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1c" sheetId="1" r:id="rId3"/>
    <sheet state="visible" name="2. c" sheetId="2" r:id="rId4"/>
    <sheet state="visible" name="3. i" sheetId="3" r:id="rId5"/>
    <sheet state="visible" name="4c" sheetId="4" r:id="rId6"/>
    <sheet state="visible" name="5b" sheetId="5" r:id="rId7"/>
    <sheet state="visible" name="6a" sheetId="6" r:id="rId8"/>
    <sheet state="visible" name="from3i" sheetId="7" r:id="rId9"/>
    <sheet state="visible" name="from4c" sheetId="8" r:id="rId10"/>
    <sheet state="visible" name="from6" sheetId="9" r:id="rId11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2">
      <text>
        <t xml:space="preserve">aba:
В каждой ячейке указана частота (в процентах) остатка в белке </t>
      </text>
    </comment>
  </commentList>
</comments>
</file>

<file path=xl/sharedStrings.xml><?xml version="1.0" encoding="utf-8"?>
<sst xmlns="http://schemas.openxmlformats.org/spreadsheetml/2006/main" count="80497" uniqueCount="33819">
  <si>
    <t>Result</t>
  </si>
  <si>
    <t>Organism Name</t>
  </si>
  <si>
    <t>Acaryochloris marina MBIC11017</t>
  </si>
  <si>
    <t>Size threshold</t>
  </si>
  <si>
    <t>Range</t>
  </si>
  <si>
    <t>Count</t>
  </si>
  <si>
    <t>1</t>
  </si>
  <si>
    <t>2</t>
  </si>
  <si>
    <t>4</t>
  </si>
  <si>
    <t>8</t>
  </si>
  <si>
    <t>16</t>
  </si>
  <si>
    <t>32</t>
  </si>
  <si>
    <t>64</t>
  </si>
  <si>
    <t>128</t>
  </si>
  <si>
    <t>256</t>
  </si>
  <si>
    <t>512</t>
  </si>
  <si>
    <t>1 024</t>
  </si>
  <si>
    <t>2 048</t>
  </si>
  <si>
    <t>Acetobacter ghanensis strain LMG 23848T</t>
  </si>
  <si>
    <t>Acetobacter pasteurianus 386B</t>
  </si>
  <si>
    <t>Acetobacter pasteurianus IFO 3283-01</t>
  </si>
  <si>
    <t>Acetobacter pasteurianus IFO 3283-01-42C</t>
  </si>
  <si>
    <t>Acetobacter pasteurianus IFO 3283-03</t>
  </si>
  <si>
    <t>Acetobacter pasteurianus IFO 3283-07</t>
  </si>
  <si>
    <t>Acetobacter pasteurianus IFO 3283-12</t>
  </si>
  <si>
    <t>Acetobacter pasteurianus IFO 3283-22</t>
  </si>
  <si>
    <t>Acetobacter pasteurianus IFO 3283-26</t>
  </si>
  <si>
    <t>Acetobacter pasteurianus IFO 3283-32</t>
  </si>
  <si>
    <t>Acetobacter pasteurianus strain Ab3</t>
  </si>
  <si>
    <t>Acetobacter senegalensis strain 108B</t>
  </si>
  <si>
    <t>Acetobacter sp. SLV-7</t>
  </si>
  <si>
    <t>Acetobacterium woodii DSM 1030</t>
  </si>
  <si>
    <t>Acetohalobium arabaticum DSM 5501</t>
  </si>
  <si>
    <t>Acholeplasma brassicae strain 0502</t>
  </si>
  <si>
    <t>Acholeplasma laidlawii PG-8A</t>
  </si>
  <si>
    <t>Acholeplasma oculi</t>
  </si>
  <si>
    <t>Acholeplasma palmae J233</t>
  </si>
  <si>
    <t>Achromobacter denitrificans strain USDA-ARS-USMARC-56712</t>
  </si>
  <si>
    <t>Achromobacter xylosoxidans A8</t>
  </si>
  <si>
    <t>Achromobacter xylosoxidans C54</t>
  </si>
  <si>
    <t>Achromobacter xylosoxidans NBRC 15126 = ATCC 27061</t>
  </si>
  <si>
    <t>Achromobacter xylosoxidans NH44784-1996</t>
  </si>
  <si>
    <t>Achromobacter xylosoxidans strain FDAARGOS_147</t>
  </si>
  <si>
    <t>Achromobacter xylosoxidans strain FDAARGOS_150</t>
  </si>
  <si>
    <t>Achromobacter xylosoxidans strain FDAARGOS_162</t>
  </si>
  <si>
    <t>Achromobacter xylosoxidans strain MN001</t>
  </si>
  <si>
    <t>Achromobacter xylosoxidans strain NCTC10807</t>
  </si>
  <si>
    <t>Acidaminococcus fermentans DSM 20731</t>
  </si>
  <si>
    <t>Acidaminococcus intestini RyC-MR95</t>
  </si>
  <si>
    <t>Acidianus hospitalis W1</t>
  </si>
  <si>
    <t>Acidilobus saccharovorans 345-15</t>
  </si>
  <si>
    <t>Acidimicrobium ferrooxidans DSM 10331</t>
  </si>
  <si>
    <t>Acidiphilium cryptum JF-5</t>
  </si>
  <si>
    <t>Acidiphilium multivorum AIU301</t>
  </si>
  <si>
    <t>Acidithiobacillus caldus SM-1</t>
  </si>
  <si>
    <t>Acidithiobacillus ferrooxidans ATCC 23270</t>
  </si>
  <si>
    <t>Acidithiobacillus ferrooxidans ATCC 53993</t>
  </si>
  <si>
    <t>Acidobacteria bacterium DSM 100886</t>
  </si>
  <si>
    <t>Acidobacteria bacterium Mor1</t>
  </si>
  <si>
    <t>Acidobacterium capsulatum ATCC 51196</t>
  </si>
  <si>
    <t>Acidothermus cellulolyticus 11B</t>
  </si>
  <si>
    <t>Acidovorax avenae subsp. avenae ATCC 19860</t>
  </si>
  <si>
    <t>Acidovorax citrulli AAC00-1</t>
  </si>
  <si>
    <t>Acidovorax ebreus TPSY</t>
  </si>
  <si>
    <t>Acidovorax sp. JS42</t>
  </si>
  <si>
    <t>Acidovorax sp. KKS102</t>
  </si>
  <si>
    <t>Aciduliprofundum boonei T469</t>
  </si>
  <si>
    <t>Aciduliprofundum sp. MAR08-339</t>
  </si>
  <si>
    <t>Acinetobacter baumannii</t>
  </si>
  <si>
    <t>Acinetobacter baumannii 1656-2</t>
  </si>
  <si>
    <t>Acinetobacter baumannii 6200</t>
  </si>
  <si>
    <t>Acinetobacter baumannii 6411</t>
  </si>
  <si>
    <t>Acinetobacter baumannii A1</t>
  </si>
  <si>
    <t>Acinetobacter baumannii AB0057</t>
  </si>
  <si>
    <t>Acinetobacter baumannii AB07</t>
  </si>
  <si>
    <t>Acinetobacter baumannii AB307-0294</t>
  </si>
  <si>
    <t>Acinetobacter baumannii AbH12O-A2</t>
  </si>
  <si>
    <t>Acinetobacter baumannii ACICU</t>
  </si>
  <si>
    <t>Acinetobacter baumannii ATCC 17978</t>
  </si>
  <si>
    <t>Acinetobacter baumannii AYE</t>
  </si>
  <si>
    <t>Acinetobacter baumannii BJAB07104</t>
  </si>
  <si>
    <t>Acinetobacter baumannii BJAB0715</t>
  </si>
  <si>
    <t>Acinetobacter baumannii BJAB0868</t>
  </si>
  <si>
    <t>Acinetobacter baumannii IOMTU 433</t>
  </si>
  <si>
    <t>Acinetobacter baumannii LAC-4</t>
  </si>
  <si>
    <t>Acinetobacter baumannii MDR-ZJ06</t>
  </si>
  <si>
    <t>Acinetobacter baumannii NCGM 237</t>
  </si>
  <si>
    <t>Acinetobacter baumannii SDF</t>
  </si>
  <si>
    <t>Acinetobacter baumannii strain 3027STDY5784958</t>
  </si>
  <si>
    <t>Acinetobacter baumannii strain 3207</t>
  </si>
  <si>
    <t>Acinetobacter baumannii strain Ab04-mff</t>
  </si>
  <si>
    <t>Acinetobacter baumannii strain AB30</t>
  </si>
  <si>
    <t>Acinetobacter baumannii strain AB31</t>
  </si>
  <si>
    <t>Acinetobacter baumannii strain Ab421_GEIH-2010</t>
  </si>
  <si>
    <t>Acinetobacter baumannii strain AB5075-UW</t>
  </si>
  <si>
    <t>Acinetobacter baumannii strain AC29</t>
  </si>
  <si>
    <t>Acinetobacter baumannii strain ATCC 17978-mff</t>
  </si>
  <si>
    <t>Acinetobacter baumannii strain B8300</t>
  </si>
  <si>
    <t>Acinetobacter baumannii strain B8342</t>
  </si>
  <si>
    <t>Acinetobacter baumannii strain CR17</t>
  </si>
  <si>
    <t>Acinetobacter baumannii strain CSO1</t>
  </si>
  <si>
    <t>Acinetobacter baumannii strain D36</t>
  </si>
  <si>
    <t>Acinetobacter baumannii strain KBN10P02143</t>
  </si>
  <si>
    <t>Acinetobacter baumannii strain XH386</t>
  </si>
  <si>
    <t>Acinetobacter baumannii strain XH856</t>
  </si>
  <si>
    <t>Acinetobacter baumannii strain XH857</t>
  </si>
  <si>
    <t>Acinetobacter baumannii strain XH858</t>
  </si>
  <si>
    <t>Acinetobacter baumannii strain XH859</t>
  </si>
  <si>
    <t>Acinetobacter baumannii strain XH860</t>
  </si>
  <si>
    <t>Acinetobacter baumannii strain YU-R612</t>
  </si>
  <si>
    <t>Acinetobacter baumannii TCDC-AB0715</t>
  </si>
  <si>
    <t>Acinetobacter baumannii TYTH-1</t>
  </si>
  <si>
    <t>Acinetobacter baumannii ZW85-1</t>
  </si>
  <si>
    <t>Acinetobacter calcoaceticus PHEA-2</t>
  </si>
  <si>
    <t>Acinetobacter johnsonii XBB1</t>
  </si>
  <si>
    <t>Acinetobacter nosocomialis strain 6411</t>
  </si>
  <si>
    <t>Acinetobacter oleivorans DR1</t>
  </si>
  <si>
    <t>Acinetobacter pittii strain AP_882</t>
  </si>
  <si>
    <t>Acinetobacter pittii strain IEC338SC</t>
  </si>
  <si>
    <t>Acinetobacter sp. 114</t>
  </si>
  <si>
    <t>Acinetobacter sp. ADP1</t>
  </si>
  <si>
    <t>Acinetobacter sp. DUT-2</t>
  </si>
  <si>
    <t>Acinetobacter sp. NCu2D-2</t>
  </si>
  <si>
    <t>Acinetobacter sp. TGL-Y2</t>
  </si>
  <si>
    <t>Acinetobacter sp. TTH0-4</t>
  </si>
  <si>
    <t>Acinetobacter venetianus VE-C3</t>
  </si>
  <si>
    <t>Actinobacillus equuli subsp. equuli 19392</t>
  </si>
  <si>
    <t>Actinobacillus pleuropneumoniae serovar 3 str. JL03</t>
  </si>
  <si>
    <t>Actinobacillus pleuropneumoniae serovar 5b str. L20</t>
  </si>
  <si>
    <t>Actinobacillus pleuropneumoniae serovar 7 str. AP76</t>
  </si>
  <si>
    <t>Actinobacillus pleuropneumoniae serovar 8</t>
  </si>
  <si>
    <t>Actinobacillus succinogenes 130Z</t>
  </si>
  <si>
    <t>Actinobacillus suis ATCC 33415</t>
  </si>
  <si>
    <t>Actinobacillus suis H91-0380</t>
  </si>
  <si>
    <t>Actinobacteria bacterium IMCC26256</t>
  </si>
  <si>
    <t>Actinobaculum schaalii strain CCUG 27420</t>
  </si>
  <si>
    <t>Actinomyces meyeri strain W712</t>
  </si>
  <si>
    <t>Actinomyces oris strain T14V</t>
  </si>
  <si>
    <t>Actinomyces radicidentis strain CCUG 36733</t>
  </si>
  <si>
    <t>Actinomyces sp. oral taxon 414 strain F0588</t>
  </si>
  <si>
    <t>Actinoplanes friuliensis DSM 7358</t>
  </si>
  <si>
    <t>Actinoplanes missouriensis 431</t>
  </si>
  <si>
    <t>Actinoplanes sp. N902-109</t>
  </si>
  <si>
    <t>Actinoplanes sp. SE50/110</t>
  </si>
  <si>
    <t>Actinosynnema mirum DSM 43827</t>
  </si>
  <si>
    <t>Adlercreutzia equolifaciens DSM 19450</t>
  </si>
  <si>
    <t>Advenella mimigardefordensis DPN7</t>
  </si>
  <si>
    <t>Aequorivita sublithincola DSM 14238</t>
  </si>
  <si>
    <t>Aerococcus christensenii strain CCUG28831</t>
  </si>
  <si>
    <t>Aerococcus sanguinicola strain CCUG43001</t>
  </si>
  <si>
    <t>Aerococcus urinae ACS-120-V-Col10a</t>
  </si>
  <si>
    <t>Aerococcus urinae strain CCUG36881</t>
  </si>
  <si>
    <t>Aerococcus urinaeequi strain CCUG28094</t>
  </si>
  <si>
    <t>Aerococcus urinaeequi strain USDA-ARS-USMARC-56713</t>
  </si>
  <si>
    <t>Aerococcus urinaehominis strain CCUG42038B</t>
  </si>
  <si>
    <t>Aerococcus viridans strain CCUG4311</t>
  </si>
  <si>
    <t>Aeromicrobium erythreum strain AR18</t>
  </si>
  <si>
    <t>Aeromicrobium sp. Root236</t>
  </si>
  <si>
    <t>Aeromicrobium sp. Root344</t>
  </si>
  <si>
    <t>Aeromonas caviae strain FDAARGOS_72</t>
  </si>
  <si>
    <t>Aeromonas caviae strain FDAARGOS_75</t>
  </si>
  <si>
    <t>Aeromonas hydrophila 4AK4</t>
  </si>
  <si>
    <t>Aeromonas hydrophila AL09-71</t>
  </si>
  <si>
    <t>Aeromonas hydrophila J-1</t>
  </si>
  <si>
    <t>Aeromonas hydrophila ML09-119</t>
  </si>
  <si>
    <t>Aeromonas hydrophila NJ-35</t>
  </si>
  <si>
    <t>Aeromonas hydrophila pc104A</t>
  </si>
  <si>
    <t>Aeromonas hydrophila strain AH10</t>
  </si>
  <si>
    <t>Aeromonas hydrophila strain AL06-06</t>
  </si>
  <si>
    <t>Aeromonas hydrophila strain D4</t>
  </si>
  <si>
    <t>Aeromonas hydrophila strain JBN2301</t>
  </si>
  <si>
    <t>Aeromonas hydrophila subsp. hydrophila ATCC 7966</t>
  </si>
  <si>
    <t>Aeromonas hydrophila YL17</t>
  </si>
  <si>
    <t>Aeromonas salmonicida subsp. salmonicida A449</t>
  </si>
  <si>
    <t>Aeromonas schubertii strain WL1483</t>
  </si>
  <si>
    <t>Aeromonas veronii B565</t>
  </si>
  <si>
    <t>Aeromonas veronii strain AVNIH1</t>
  </si>
  <si>
    <t>Aeromonas veronii strain CB51</t>
  </si>
  <si>
    <t>Aeromonas veronii strain TH0426</t>
  </si>
  <si>
    <t>Aeropyrum camini SY1 = JCM 12091</t>
  </si>
  <si>
    <t>Aeropyrum pernix K1</t>
  </si>
  <si>
    <t>Agarivorans gilvus strain WH0801</t>
  </si>
  <si>
    <t>Aggregatibacter actinomycetemcomitans ANH9381</t>
  </si>
  <si>
    <t>Aggregatibacter actinomycetemcomitans D11S-1</t>
  </si>
  <si>
    <t>Aggregatibacter actinomycetemcomitans HK1651</t>
  </si>
  <si>
    <t>Aggregatibacter actinomycetemcomitans NUM4039</t>
  </si>
  <si>
    <t>Aggregatibacter actinomycetemcomitans strain 624</t>
  </si>
  <si>
    <t>Aggregatibacter actinomycetemcomitans strain VT1169</t>
  </si>
  <si>
    <t>Aggregatibacter aphrophilus NJ8700</t>
  </si>
  <si>
    <t>Aggregatibacter aphrophilus strain W10433</t>
  </si>
  <si>
    <t>Agrobacterium fabrum str. C58</t>
  </si>
  <si>
    <t>Agrobacterium radiobacter K84</t>
  </si>
  <si>
    <t>Agrobacterium sp. H13-3</t>
  </si>
  <si>
    <t>Agrobacterium tumefaciens LBA4213 (Ach5)</t>
  </si>
  <si>
    <t>Agrobacterium tumefaciens P4</t>
  </si>
  <si>
    <t>Agrobacterium tumefaciens strain Ach5</t>
  </si>
  <si>
    <t>Agrobacterium tumefaciens strain S33</t>
  </si>
  <si>
    <t>Agrobacterium vitis S4</t>
  </si>
  <si>
    <t>Agromyces sp. AR33</t>
  </si>
  <si>
    <t>Akkermansia muciniphila ATCC BAA-835</t>
  </si>
  <si>
    <t>Alcanivorax borkumensis SK2</t>
  </si>
  <si>
    <t>Alcanivorax dieselolei B5</t>
  </si>
  <si>
    <t>Alcanivorax sp. NBRC 101098</t>
  </si>
  <si>
    <t>Algibacter sp. HZ22</t>
  </si>
  <si>
    <t>Algoriphagus sp. M8-2</t>
  </si>
  <si>
    <t>Alicycliphilus denitrificans BC</t>
  </si>
  <si>
    <t>Alicycliphilus denitrificans K601</t>
  </si>
  <si>
    <t>Alicyclobacillus acidocaldarius subsp. acidocaldarius DSM 446</t>
  </si>
  <si>
    <t>Alicyclobacillus acidocaldarius subsp. acidocaldarius Tc-4-1</t>
  </si>
  <si>
    <t>Aliivibrio salmonicida LFI1238</t>
  </si>
  <si>
    <t>Aliivibrio wodanis strain 06/09/139</t>
  </si>
  <si>
    <t>Alistipes finegoldii DSM 17242</t>
  </si>
  <si>
    <t>Alistipes shahii WAL 8301</t>
  </si>
  <si>
    <t>Alkalilimnicola ehrlichii MLHE-1</t>
  </si>
  <si>
    <t>Alkaliphilus metalliredigens QYMF</t>
  </si>
  <si>
    <t>Alkaliphilus oremlandii OhILAs</t>
  </si>
  <si>
    <t>Alloactinosynnema sp. L-07</t>
  </si>
  <si>
    <t>Allochromatium vinosum DSM 180</t>
  </si>
  <si>
    <t>alpha proteobacterium HIMB5</t>
  </si>
  <si>
    <t>alpha proteobacterium HIMB59</t>
  </si>
  <si>
    <t>Altererythrobacter atlanticus strain 26DY36</t>
  </si>
  <si>
    <t>Altererythrobacter epoxidivorans strain CGMCC 1.7731</t>
  </si>
  <si>
    <t>Altererythrobacter ishigakiensis strain NBRC 107699</t>
  </si>
  <si>
    <t>Altererythrobacter marensis strain KCTC 22370</t>
  </si>
  <si>
    <t>Alteromonas addita strain R10SW13</t>
  </si>
  <si>
    <t>Alteromonas australica strain DE170</t>
  </si>
  <si>
    <t>Alteromonas australica strain H17</t>
  </si>
  <si>
    <t>Alteromonas macleodii AltDE1</t>
  </si>
  <si>
    <t>Alteromonas macleodii ATCC 27126</t>
  </si>
  <si>
    <t>Alteromonas macleodii str. 'Aegean Sea MED64'</t>
  </si>
  <si>
    <t>Alteromonas macleodii str. 'Balearic Sea AD45'</t>
  </si>
  <si>
    <t>Alteromonas macleodii str. 'Black Sea 11'</t>
  </si>
  <si>
    <t>Alteromonas macleodii str. 'Deep ecotype'</t>
  </si>
  <si>
    <t>Alteromonas macleodii str. 'English Channel 615'</t>
  </si>
  <si>
    <t>Alteromonas macleodii str. 'English Channel 673'</t>
  </si>
  <si>
    <t>Alteromonas macleodii str. 'Ionian Sea U4'</t>
  </si>
  <si>
    <t>Alteromonas macleodii str. 'Ionian Sea U7'</t>
  </si>
  <si>
    <t>Alteromonas macleodii str. 'Ionian Sea U8'</t>
  </si>
  <si>
    <t>Alteromonas macleodii str. 'Ionian Sea UM4b'</t>
  </si>
  <si>
    <t>Alteromonas macleodii str. 'Ionian Sea UM7'</t>
  </si>
  <si>
    <t>Alteromonas macleodii strain D7</t>
  </si>
  <si>
    <t>Alteromonas macleodii strain HOT1A3</t>
  </si>
  <si>
    <t>Alteromonas mediterranea strain U10</t>
  </si>
  <si>
    <t>Alteromonas mediterranea strain UM8</t>
  </si>
  <si>
    <t>Alteromonas sp. Mac1</t>
  </si>
  <si>
    <t>Alteromonas sp. Mac2</t>
  </si>
  <si>
    <t>Alteromonas sp. SN2</t>
  </si>
  <si>
    <t>Alteromonas stellipolaris LMG 21856</t>
  </si>
  <si>
    <t>Alteromonas stellipolaris strain LMG 21861</t>
  </si>
  <si>
    <t>Alteromonas stellipolaris strain PQQ-42</t>
  </si>
  <si>
    <t>Alteromonas stellipolaris strain PQQ-44</t>
  </si>
  <si>
    <t>Aminobacter aminovorans strain KCTC 2477</t>
  </si>
  <si>
    <t>Aminobacterium colombiense DSM 12261</t>
  </si>
  <si>
    <t>Ammonifex degensii KC4</t>
  </si>
  <si>
    <t>x</t>
  </si>
  <si>
    <t>Acos(2πnx + φ)</t>
  </si>
  <si>
    <t>Amphibacillus xylanus NBRC 15112</t>
  </si>
  <si>
    <t>A</t>
  </si>
  <si>
    <t>n</t>
  </si>
  <si>
    <t>φ</t>
  </si>
  <si>
    <t>Amycolatopsis japonica strain MG417-CF17 (=DSM 44213)</t>
  </si>
  <si>
    <t>Amycolatopsis mediterranei RB</t>
  </si>
  <si>
    <t>Amycolatopsis mediterranei S699</t>
  </si>
  <si>
    <t>Amycolatopsis mediterranei U32</t>
  </si>
  <si>
    <t>Amycolatopsis methanolica 239</t>
  </si>
  <si>
    <t>Amycolatopsis orientalis HCCB10007</t>
  </si>
  <si>
    <t>Amycolicicoccus subflavus DQS3-9A1</t>
  </si>
  <si>
    <t>Anabaena cylindrica PCC 7122</t>
  </si>
  <si>
    <t>Anabaena sp. 90</t>
  </si>
  <si>
    <t>Anabaena sp. wa102</t>
  </si>
  <si>
    <t>Anabaena variabilis ATCC 29413</t>
  </si>
  <si>
    <t>Anaerobaculum mobile DSM 13181</t>
  </si>
  <si>
    <t>Anaerococcus prevotii DSM 20548</t>
  </si>
  <si>
    <t>Anaerolinea thermophila UNI-1</t>
  </si>
  <si>
    <t>Anaeromyxobacter dehalogenans 2CP-1</t>
  </si>
  <si>
    <t>Anaeromyxobacter dehalogenans 2CP-C</t>
  </si>
  <si>
    <t>Anaeromyxobacter sp. Fw109-5</t>
  </si>
  <si>
    <t>Anaeromyxobacter sp. K</t>
  </si>
  <si>
    <t>Anaplasma centrale str. Israel</t>
  </si>
  <si>
    <t>Anaplasma marginale str. Dawn</t>
  </si>
  <si>
    <t>Anaplasma marginale str. Florida</t>
  </si>
  <si>
    <t>Anaplasma marginale str. Gypsy Plains</t>
  </si>
  <si>
    <t>Anaplasma marginale str. St. Maries</t>
  </si>
  <si>
    <t>Anaplasma phagocytophilum Dog2</t>
  </si>
  <si>
    <t>Anaplasma phagocytophilum HZ</t>
  </si>
  <si>
    <t>Anaplasma phagocytophilum HZ2</t>
  </si>
  <si>
    <t>Anaplasma phagocytophilum JM</t>
  </si>
  <si>
    <t>Anaplasma phagocytophilum str. ApMUC09</t>
  </si>
  <si>
    <t>Anaplasma phagocytophilum str. ApNP</t>
  </si>
  <si>
    <t>Anaplasma phagocytophilum str. ApWI1</t>
  </si>
  <si>
    <t>Anaplasma phagocytophilum str. HGE2</t>
  </si>
  <si>
    <t>Anaplasma phagocytophilum str. Webster</t>
  </si>
  <si>
    <t>Anoxybacillus flavithermus WK1</t>
  </si>
  <si>
    <t>Anoxybacillus sp. B2M1</t>
  </si>
  <si>
    <t>Aquifex aeolicus VF5</t>
  </si>
  <si>
    <t>Arcanobacterium haemolyticum DSM 20595</t>
  </si>
  <si>
    <t>Archaeoglobus fulgidus DSM 4304</t>
  </si>
  <si>
    <t>Archaeoglobus fulgidus DSM 8774</t>
  </si>
  <si>
    <t>results_values</t>
  </si>
  <si>
    <t>Archaeoglobus profundus DSM 5631</t>
  </si>
  <si>
    <t>Archaeoglobus sulfaticallidus PM70-1</t>
  </si>
  <si>
    <t>Archaeoglobus veneficus SNP6</t>
  </si>
  <si>
    <t>Archangium gephyra strain DSM 2261</t>
  </si>
  <si>
    <t>Arcobacter butzleri ED-1</t>
  </si>
  <si>
    <t>average frequency</t>
  </si>
  <si>
    <t>Arcobacter butzleri RM4018</t>
  </si>
  <si>
    <t>Arcobacter nitrofigilis DSM 7299</t>
  </si>
  <si>
    <t>Arcobacter sp. L</t>
  </si>
  <si>
    <t>Aromatoleum aromaticum EbN1</t>
  </si>
  <si>
    <t>Arsenicicoccus sp. oral taxon 190 strain F0371</t>
  </si>
  <si>
    <t>Arsenophonus symbiont of Lipoptena fortisetosa</t>
  </si>
  <si>
    <t>Arthrobacter alpinus strain ERGS4:06</t>
  </si>
  <si>
    <t>Arthrobacter alpinus strain R3.8</t>
  </si>
  <si>
    <t>st. deviation</t>
  </si>
  <si>
    <t>Arthrobacter arilaitensis Re117</t>
  </si>
  <si>
    <t>Arthrobacter arilaitensis strain KLBMP5180</t>
  </si>
  <si>
    <t>Arthrobacter aurescens TC1</t>
  </si>
  <si>
    <t>Arthrobacter chlorophenolicus A6</t>
  </si>
  <si>
    <t>Arthrobacter phenanthrenivorans Sphe3</t>
  </si>
  <si>
    <t>Arthrobacter sp. ATCC 21022</t>
  </si>
  <si>
    <t>Arthrobacter sp. ERGS1:01</t>
  </si>
  <si>
    <t>Arthrobacter sp. FB24</t>
  </si>
  <si>
    <t>Arthrobacter sp. Hiyo8</t>
  </si>
  <si>
    <t>Arthrobacter sp. IHBB 11108</t>
  </si>
  <si>
    <t>Arthrobacter sp. LS16</t>
  </si>
  <si>
    <t>Arthrobacter sp. PAMC25486</t>
  </si>
  <si>
    <t>Arthrobacter sp. Rue61a</t>
  </si>
  <si>
    <t>Arthrobacter sp. YC-RL1</t>
  </si>
  <si>
    <t>Arthrobacter sulfonivorans strain Ar51</t>
  </si>
  <si>
    <t>Arthrospira platensis C1</t>
  </si>
  <si>
    <t>Arthrospira platensis NIES-39</t>
  </si>
  <si>
    <t>Arthrospira platensis YZ</t>
  </si>
  <si>
    <t>Arthrospira sp. PCC 8005</t>
  </si>
  <si>
    <t>Asaia bogorensis NBRC 16594</t>
  </si>
  <si>
    <t>Aster yellows witches'-broom phytoplasma AYWB</t>
  </si>
  <si>
    <t>Asticcacaulis excentricus CB 48</t>
  </si>
  <si>
    <t>Atopobium parvulum DSM 20469</t>
  </si>
  <si>
    <t>Aureimonas sp. AU20</t>
  </si>
  <si>
    <t>Azoarcus sp. BH72</t>
  </si>
  <si>
    <t>Azoarcus sp. CIB</t>
  </si>
  <si>
    <t>Azoarcus sp. KH32C</t>
  </si>
  <si>
    <t>Azorhizobium caulinodans ORS 571</t>
  </si>
  <si>
    <t>Azospirillum brasilense Sp245</t>
  </si>
  <si>
    <t>Azospirillum brasilense strain Az39</t>
  </si>
  <si>
    <t>Azospirillum brasilense strain Sp7</t>
  </si>
  <si>
    <t>Azospirillum humicireducens strain SgZ-5</t>
  </si>
  <si>
    <t>Azospirillum lipoferum 4B</t>
  </si>
  <si>
    <t>Azospirillum sp. B510</t>
  </si>
  <si>
    <t>Azospirillum thiophilum strain BV-S</t>
  </si>
  <si>
    <t>Azotobacter chroococcum NCIMB 8003</t>
  </si>
  <si>
    <t>Azotobacter vinelandii CA</t>
  </si>
  <si>
    <t>Azotobacter vinelandii CA6</t>
  </si>
  <si>
    <t>Azotobacter vinelandii DJ</t>
  </si>
  <si>
    <t>Bacillus amyloliquefaciens CC178</t>
  </si>
  <si>
    <t>Bacillus amyloliquefaciens DSM 7</t>
  </si>
  <si>
    <t>Bacillus amyloliquefaciens FZB42</t>
  </si>
  <si>
    <t>Bacillus amyloliquefaciens LFB112</t>
  </si>
  <si>
    <t>Bacillus amyloliquefaciens L-H15</t>
  </si>
  <si>
    <t>Bacillus amyloliquefaciens LL3</t>
  </si>
  <si>
    <t>Bacillus amyloliquefaciens SQR9</t>
  </si>
  <si>
    <t>Bacillus amyloliquefaciens strain B15</t>
  </si>
  <si>
    <t>Bacillus amyloliquefaciens strain G341</t>
  </si>
  <si>
    <t>Bacillus amyloliquefaciens strain L-S60</t>
  </si>
  <si>
    <t>Bacillus amyloliquefaciens strain MBE1283</t>
  </si>
  <si>
    <t>Bacillus amyloliquefaciens strain S499</t>
  </si>
  <si>
    <t>Bacillus amyloliquefaciens subsp. amyloliquefaciens KHG19</t>
  </si>
  <si>
    <t>Bacillus amyloliquefaciens subsp. plantarum AS43.3</t>
  </si>
  <si>
    <t>Bacillus amyloliquefaciens subsp. plantarum CAU B946</t>
  </si>
  <si>
    <t>Bacillus amyloliquefaciens subsp. plantarum NAU-B3</t>
  </si>
  <si>
    <t>Bacillus amyloliquefaciens subsp. plantarum NJN6</t>
  </si>
  <si>
    <t>Bacillus amyloliquefaciens subsp. plantarum TrigoCor1448</t>
  </si>
  <si>
    <t>Bacillus amyloliquefaciens subsp. plantarum UCMB5033</t>
  </si>
  <si>
    <t>Bacillus amyloliquefaciens subsp. plantarum UCMB5036</t>
  </si>
  <si>
    <t>Bacillus amyloliquefaciens subsp. plantarum UCMB5113</t>
  </si>
  <si>
    <t>Bacillus amyloliquefaciens subsp. plantarum YAU B9601-Y2</t>
  </si>
  <si>
    <t>Bacillus amyloliquefaciens TA208</t>
  </si>
  <si>
    <t>Bacillus amyloliquefaciens UMAF6614</t>
  </si>
  <si>
    <t>Bacillus amyloliquefaciens UMAF6639</t>
  </si>
  <si>
    <t>Bacillus amyloliquefaciens XH7</t>
  </si>
  <si>
    <t>Bacillus amyloliquefaciens Y2</t>
  </si>
  <si>
    <t>Bacillus anthracis 2002013094</t>
  </si>
  <si>
    <t>Bacillus anthracis 52-G</t>
  </si>
  <si>
    <t>Bacillus anthracis 8903-G</t>
  </si>
  <si>
    <t>Bacillus anthracis 9080-G</t>
  </si>
  <si>
    <t>Bacillus anthracis A0157</t>
  </si>
  <si>
    <t>Bacillus anthracis Ames A0462</t>
  </si>
  <si>
    <t>Bacillus anthracis Ames_BA1004</t>
  </si>
  <si>
    <t>Bacillus anthracis BA1015</t>
  </si>
  <si>
    <t>Bacillus anthracis BA1035</t>
  </si>
  <si>
    <t>Bacillus anthracis Canadian_bison</t>
  </si>
  <si>
    <t>Bacillus anthracis K3</t>
  </si>
  <si>
    <t>Bacillus anthracis Ohio ACB</t>
  </si>
  <si>
    <t>Bacillus anthracis PAK-1</t>
  </si>
  <si>
    <t>Bacillus anthracis Pasteur</t>
  </si>
  <si>
    <t>Bacillus anthracis Pollino</t>
  </si>
  <si>
    <t>Bacillus anthracis RA3</t>
  </si>
  <si>
    <t>Bacillus anthracis SK-102</t>
  </si>
  <si>
    <t>Bacillus anthracis str. A0248</t>
  </si>
  <si>
    <t>Bacillus anthracis str. A16</t>
  </si>
  <si>
    <t>Bacillus anthracis str. A16R</t>
  </si>
  <si>
    <t>Bacillus anthracis str. Ames</t>
  </si>
  <si>
    <t>Bacillus anthracis str. 'Ames Ancestor'</t>
  </si>
  <si>
    <t>Bacillus anthracis str. CDC 684</t>
  </si>
  <si>
    <t>Bacillus anthracis str. H9401</t>
  </si>
  <si>
    <t>Bacillus anthracis str. Sterne</t>
  </si>
  <si>
    <t>Bacillus anthracis str. SVA11</t>
  </si>
  <si>
    <t>Bacillus anthracis str. Turkey32</t>
  </si>
  <si>
    <t>Bacillus anthracis str. V770-NP-1R</t>
  </si>
  <si>
    <t>Bacillus anthracis str. Vollum</t>
  </si>
  <si>
    <t>Bacillus anthracis strain 2000031021</t>
  </si>
  <si>
    <t>Bacillus anthracis strain A1144</t>
  </si>
  <si>
    <t>Bacillus anthracis strain BFV</t>
  </si>
  <si>
    <t>Bacillus anthracis strain Cvac02</t>
  </si>
  <si>
    <t>Bacillus anthracis strain delta Sterne</t>
  </si>
  <si>
    <t>Bacillus anthracis strain Han</t>
  </si>
  <si>
    <t>Bacillus anthracis strain HYU01</t>
  </si>
  <si>
    <t>Bacillus anthracis strain Larissa</t>
  </si>
  <si>
    <t>Bacillus anthracis strain Smith 1013</t>
  </si>
  <si>
    <t>Bacillus anthracis strain Stendal</t>
  </si>
  <si>
    <t>Bacillus anthracis strain Tangail-1</t>
  </si>
  <si>
    <t>Bacillus anthracis Vollum 1B</t>
  </si>
  <si>
    <t>Bacillus atrophaeus 1942</t>
  </si>
  <si>
    <t>Bacillus atrophaeus NRS 1221A</t>
  </si>
  <si>
    <t>Bacillus atrophaeus subsp. globigii</t>
  </si>
  <si>
    <t>Bacillus bombysepticus str. Wang</t>
  </si>
  <si>
    <t>Bacillus cellulosilyticus DSM 2522</t>
  </si>
  <si>
    <t>Bacillus cereus 03BB102</t>
  </si>
  <si>
    <t>Bacillus cereus 03BB108</t>
  </si>
  <si>
    <t>Bacillus cereus 03BB87</t>
  </si>
  <si>
    <t>Bacillus cereus 3a</t>
  </si>
  <si>
    <t>Bacillus cereus AH187</t>
  </si>
  <si>
    <t>Bacillus cereus AH820</t>
  </si>
  <si>
    <t>Bacillus cereus Al Hakam</t>
  </si>
  <si>
    <t>Bacillus cereus ATCC 10987</t>
  </si>
  <si>
    <t>Bacillus cereus ATCC 14579</t>
  </si>
  <si>
    <t>Bacillus cereus ATCC 4342</t>
  </si>
  <si>
    <t>Bacillus cereus B4264</t>
  </si>
  <si>
    <t>Bacillus cereus biovar anthracis str. CI</t>
  </si>
  <si>
    <t>Bacillus cereus D17</t>
  </si>
  <si>
    <t>Bacillus cereus E33L</t>
  </si>
  <si>
    <t>Bacillus cereus F837/76</t>
  </si>
  <si>
    <t>Bacillus cereus FM1</t>
  </si>
  <si>
    <t>Bacillus cereus FRI-35</t>
  </si>
  <si>
    <t>Bacillus cereus G9241</t>
  </si>
  <si>
    <t>Bacillus cereus G9842</t>
  </si>
  <si>
    <t>Bacillus cereus NC7401</t>
  </si>
  <si>
    <t>Bacillus cereus Q1</t>
  </si>
  <si>
    <t>Bacillus cereus S2-8</t>
  </si>
  <si>
    <t>Bacillus cereus strain CMCC P0011</t>
  </si>
  <si>
    <t>Bacillus cereus strain CMCC P0021</t>
  </si>
  <si>
    <t>Bacillus cereus strain FORC_005</t>
  </si>
  <si>
    <t>Bacillus cereus strain FORC_013</t>
  </si>
  <si>
    <t>Bacillus cereus strain FT9</t>
  </si>
  <si>
    <t>Bacillus cereus strain HN001</t>
  </si>
  <si>
    <t>Bacillus cereus strain NJ-W</t>
  </si>
  <si>
    <t>Bacillus clausii KSM-K16</t>
  </si>
  <si>
    <t>Bacillus coagulans 2-6</t>
  </si>
  <si>
    <t>Bacillus coagulans DSM 1 = ATCC 7050</t>
  </si>
  <si>
    <t>Bacillus coagulans strain HM-08</t>
  </si>
  <si>
    <t>Bacillus coagulans strain S-lac</t>
  </si>
  <si>
    <t>Bacillus cytotoxicus NVH 391-98</t>
  </si>
  <si>
    <t>Bacillus endophyticus strain Hbe603</t>
  </si>
  <si>
    <t>Bacillus halodurans C-125</t>
  </si>
  <si>
    <t>Bacillus infantis NRRL B-14911</t>
  </si>
  <si>
    <t>Bacillus lehensis G1</t>
  </si>
  <si>
    <t>Bacillus licheniformis 9945A</t>
  </si>
  <si>
    <t>Bacillus licheniformis ATCC 14580 (Prj:13082)</t>
  </si>
  <si>
    <t>Bacillus licheniformis DSM 13 = ATCC 14580</t>
  </si>
  <si>
    <t>Bacillus licheniformis strain HRBL-15TDI7</t>
  </si>
  <si>
    <t>Bacillus megaterium DSM 319</t>
  </si>
  <si>
    <t>Bacillus megaterium NBRC 15308 = ATCC 14581</t>
  </si>
  <si>
    <t>Bacillus megaterium Q3</t>
  </si>
  <si>
    <t>Bacillus megaterium QM B1551</t>
  </si>
  <si>
    <t>Bacillus megaterium WSH-002</t>
  </si>
  <si>
    <t>Bacillus methanolicus MGA3</t>
  </si>
  <si>
    <t>Bacillus methylotrophicus</t>
  </si>
  <si>
    <t>Bacillus methylotrophicus JS25R</t>
  </si>
  <si>
    <t>Bacillus methylotrophicus strain JJ-D34</t>
  </si>
  <si>
    <t>Bacillus methylotrophicus strain YJ11-1-4</t>
  </si>
  <si>
    <t>Bacillus mycoides ATCC 6462</t>
  </si>
  <si>
    <t>Bacillus mycoides strain 219298</t>
  </si>
  <si>
    <t>Bacillus paralicheniformis strain ATCC 12759</t>
  </si>
  <si>
    <t>Bacillus paralicheniformis strain BL-09</t>
  </si>
  <si>
    <t>Bacillus pseudofirmus OF4</t>
  </si>
  <si>
    <t>Bacillus pumilus SAFR-032</t>
  </si>
  <si>
    <t>Bacillus pumilus strain GR-8</t>
  </si>
  <si>
    <t>Bacillus pumilus strain ku-bf1</t>
  </si>
  <si>
    <t>Bacillus pumilus strain MTCC B6033</t>
  </si>
  <si>
    <t>Bacillus pumilus strain NJ-M2</t>
  </si>
  <si>
    <t>Bacillus pumilus strain NJ-V2</t>
  </si>
  <si>
    <t>Bacillus pumilus strain SH-B11</t>
  </si>
  <si>
    <t>Bacillus pumilus strain SH-B9</t>
  </si>
  <si>
    <t>Bacillus pumilus strain TUAT1</t>
  </si>
  <si>
    <t>Bacillus pumilus strain W3</t>
  </si>
  <si>
    <t>Bacillus selenitireducens MLS10</t>
  </si>
  <si>
    <t>Bacillus simplex strain SH-B26</t>
  </si>
  <si>
    <t>Bacillus smithii strain DSM 4216</t>
  </si>
  <si>
    <t>Bacillus sp. BH072</t>
  </si>
  <si>
    <t>Bacillus sp. FJAT-18017</t>
  </si>
  <si>
    <t>Bacillus sp. FJAT-22090</t>
  </si>
  <si>
    <t>Bacillus sp. FJAT-27238</t>
  </si>
  <si>
    <t>Bacillus sp. FJAT-4402</t>
  </si>
  <si>
    <t>Bacillus sp. IHB B 7164</t>
  </si>
  <si>
    <t>Bacillus sp. JS</t>
  </si>
  <si>
    <t>Bacillus sp. LM 4-2</t>
  </si>
  <si>
    <t>Bacillus sp. OxB-1</t>
  </si>
  <si>
    <t>Bacillus sp. Pc3</t>
  </si>
  <si>
    <t>Bacillus sp. SDLI1</t>
  </si>
  <si>
    <t>Bacillus sp. strain BS34A</t>
  </si>
  <si>
    <t>Bacillus sp. strain Co1-6</t>
  </si>
  <si>
    <t>Bacillus sp. WP8</t>
  </si>
  <si>
    <t>Bacillus sp. X1(2014)</t>
  </si>
  <si>
    <t>Bacillus sp. YP1</t>
  </si>
  <si>
    <t>Bacillus subtilis</t>
  </si>
  <si>
    <t>Bacillus subtilis ATCC 13952</t>
  </si>
  <si>
    <t>Bacillus subtilis ATCC 19217</t>
  </si>
  <si>
    <t>Bacillus subtilis B-1</t>
  </si>
  <si>
    <t>Bacillus subtilis BEST7003</t>
  </si>
  <si>
    <t>Bacillus subtilis BEST7613</t>
  </si>
  <si>
    <t>Bacillus subtilis Bs-916</t>
  </si>
  <si>
    <t>Bacillus subtilis BSn5</t>
  </si>
  <si>
    <t>Bacillus subtilis HJ5</t>
  </si>
  <si>
    <t>Bacillus subtilis KCTC 1028</t>
  </si>
  <si>
    <t>Bacillus subtilis PS832</t>
  </si>
  <si>
    <t>Bacillus subtilis PY79</t>
  </si>
  <si>
    <t>Bacillus subtilis QB928</t>
  </si>
  <si>
    <t>Bacillus subtilis SG6</t>
  </si>
  <si>
    <t>Bacillus subtilis strain BST</t>
  </si>
  <si>
    <t>Bacillus subtilis strain SZMC 6179J</t>
  </si>
  <si>
    <t>Bacillus subtilis strain T30</t>
  </si>
  <si>
    <t>Bacillus subtilis strain TO-A JPC</t>
  </si>
  <si>
    <t>Bacillus subtilis strain UD1022</t>
  </si>
  <si>
    <t>Bacillus subtilis subsp. globigii</t>
  </si>
  <si>
    <t>Bacillus subtilis subsp. inaquosorum</t>
  </si>
  <si>
    <t>Bacillus subtilis subsp. natto</t>
  </si>
  <si>
    <t>Bacillus subtilis subsp. natto BEST195</t>
  </si>
  <si>
    <t>Bacillus subtilis subsp. spizizenii NRS 231</t>
  </si>
  <si>
    <t>Bacillus subtilis subsp. spizizenii str. W23</t>
  </si>
  <si>
    <t>Bacillus subtilis subsp. spizizenii TU-B-10</t>
  </si>
  <si>
    <t>Bacillus subtilis subsp. subtilis</t>
  </si>
  <si>
    <t>Bacillus subtilis subsp. subtilis 6051-HGW</t>
  </si>
  <si>
    <t>Bacillus subtilis subsp. subtilis str. 168</t>
  </si>
  <si>
    <t>Bacillus subtilis subsp. subtilis str. AG1839</t>
  </si>
  <si>
    <t>Bacillus subtilis subsp. subtilis str. BAB-1</t>
  </si>
  <si>
    <t>Bacillus subtilis subsp. subtilis str. BSP1</t>
  </si>
  <si>
    <t>Bacillus subtilis subsp. subtilis str. JH642 substr. AG174</t>
  </si>
  <si>
    <t>Bacillus subtilis subsp. subtilis str. OH 131.1</t>
  </si>
  <si>
    <t>Bacillus subtilis subsp. subtilis str. RO-NN-1</t>
  </si>
  <si>
    <t>Bacillus subtilis subsp. subtilis strain 3NA</t>
  </si>
  <si>
    <t>Bacillus subtilis TO-A</t>
  </si>
  <si>
    <t>Bacillus subtilis XF-1</t>
  </si>
  <si>
    <t>Bacillus thuringiensis 97-27</t>
  </si>
  <si>
    <t>Bacillus thuringiensis BMB171</t>
  </si>
  <si>
    <t>Bacillus thuringiensis Bt407</t>
  </si>
  <si>
    <t>Bacillus thuringiensis HD1002</t>
  </si>
  <si>
    <t>Bacillus thuringiensis HD1011</t>
  </si>
  <si>
    <t>Bacillus thuringiensis HD571</t>
  </si>
  <si>
    <t>Bacillus thuringiensis HD682</t>
  </si>
  <si>
    <t>Bacillus thuringiensis HD-771</t>
  </si>
  <si>
    <t>Bacillus thuringiensis HD-789</t>
  </si>
  <si>
    <t>Bacillus thuringiensis MC28</t>
  </si>
  <si>
    <t>Bacillus thuringiensis serovar alesti</t>
  </si>
  <si>
    <t>Bacillus thuringiensis serovar chinensis CT-43</t>
  </si>
  <si>
    <t>Bacillus thuringiensis serovar coreanensis</t>
  </si>
  <si>
    <t>Bacillus thuringiensis serovar finitimus YBT-020</t>
  </si>
  <si>
    <t>Bacillus thuringiensis serovar galleriae HD-29</t>
  </si>
  <si>
    <t>Bacillus thuringiensis serovar indiana strain HD521</t>
  </si>
  <si>
    <t>Bacillus thuringiensis serovar konkukian str. 97-27</t>
  </si>
  <si>
    <t>Bacillus thuringiensis serovar kurstaki HD 1</t>
  </si>
  <si>
    <t>Bacillus thuringiensis serovar kurstaki str. HD-1</t>
  </si>
  <si>
    <t>Bacillus thuringiensis serovar kurstaki str. HD73</t>
  </si>
  <si>
    <t>Bacillus thuringiensis serovar kurstaki str. YBT-1520</t>
  </si>
  <si>
    <t>Bacillus thuringiensis serovar morrisoni strain BGSC 4AA1</t>
  </si>
  <si>
    <t>Bacillus thuringiensis serovar thuringiensis str. IS5056</t>
  </si>
  <si>
    <t>Bacillus thuringiensis serovar tolworthi</t>
  </si>
  <si>
    <t>Bacillus thuringiensis str. Al Hakam</t>
  </si>
  <si>
    <t>Bacillus thuringiensis strain Bc601</t>
  </si>
  <si>
    <t>Bacillus thuringiensis strain Bt185</t>
  </si>
  <si>
    <t>Bacillus thuringiensis strain CTC</t>
  </si>
  <si>
    <t>Bacillus thuringiensis strain HD12</t>
  </si>
  <si>
    <t>Bacillus thuringiensis strain HS18-1</t>
  </si>
  <si>
    <t>Bacillus thuringiensis strain YC-10</t>
  </si>
  <si>
    <t>Bacillus thuringiensis strain YWC2-8</t>
  </si>
  <si>
    <t>Bacillus thuringiensis YBT-1518</t>
  </si>
  <si>
    <t>Bacillus toyonensis BCT-7112</t>
  </si>
  <si>
    <t>Bacillus velezensis strain SB1216</t>
  </si>
  <si>
    <t>Bacillus weihenstephanensis KBAB4</t>
  </si>
  <si>
    <t>Bacillus weihenstephanensis strain WSBC 10204</t>
  </si>
  <si>
    <t>Bacteriovorax marinus SJ</t>
  </si>
  <si>
    <t>gene_start</t>
  </si>
  <si>
    <t>gene_stop</t>
  </si>
  <si>
    <t>gene_ori</t>
  </si>
  <si>
    <t>group_no</t>
  </si>
  <si>
    <t>bacterium L21-Spi-D4</t>
  </si>
  <si>
    <t>Bacteroidales bacterium CF</t>
  </si>
  <si>
    <t>Bacteroides cellulosilyticus strain WH2</t>
  </si>
  <si>
    <t>Bacteroides dorei</t>
  </si>
  <si>
    <t>Bacteroides dorei CL03T12C01</t>
  </si>
  <si>
    <t>Bacteroides fragilis</t>
  </si>
  <si>
    <t>Bacteroides fragilis 638R</t>
  </si>
  <si>
    <t>Bacteroides fragilis NCTC 9343</t>
  </si>
  <si>
    <t>Bacteroides fragilis strain BOB25</t>
  </si>
  <si>
    <t>Bacteroides fragilis YCH46</t>
  </si>
  <si>
    <t>Bacteroides helcogenes P 36-108</t>
  </si>
  <si>
    <t>Bacteroides ovatus strain ATCC 8483</t>
  </si>
  <si>
    <t>Bacteroides salanitronis DSM 18170</t>
  </si>
  <si>
    <t>Bacteroides sp. CF50</t>
  </si>
  <si>
    <t>Bacteroides thetaiotaomicron strain 7330</t>
  </si>
  <si>
    <t>Bacteroides thetaiotaomicron VPI-5482</t>
  </si>
  <si>
    <t>Bacteroides uniformis</t>
  </si>
  <si>
    <t>Bacteroides vulgatus ATCC 8482</t>
  </si>
  <si>
    <t>Bacteroides vulgatus strain mpk</t>
  </si>
  <si>
    <t>Bacteroides xylanisolvens XB1A</t>
  </si>
  <si>
    <t>Bacteroidetes bacterium UKL13-3</t>
  </si>
  <si>
    <t>Barnesiella viscericola DSM 18177</t>
  </si>
  <si>
    <t>Bartonella australis Aust/NH1</t>
  </si>
  <si>
    <t>Bartonella bacilliformis KC583</t>
  </si>
  <si>
    <t>Bartonella bacilliformis strain ATCC:35685D-5</t>
  </si>
  <si>
    <t>Bartonella bovis 91-4</t>
  </si>
  <si>
    <t>Bartonella clarridgeiae 73</t>
  </si>
  <si>
    <t>Bartonella grahamii as4aup</t>
  </si>
  <si>
    <t>Bartonella henselae str. Houston-1</t>
  </si>
  <si>
    <t>Bartonella henselae strain BM1374163</t>
  </si>
  <si>
    <t>Bartonella henselae strain BM1374164</t>
  </si>
  <si>
    <t>Bartonella henselae strain BM1374165</t>
  </si>
  <si>
    <t>Bartonella quintana RM-11</t>
  </si>
  <si>
    <t>Bartonella quintana str. Toulouse</t>
  </si>
  <si>
    <t>Bartonella tribocorum CIP 105476</t>
  </si>
  <si>
    <t>Bartonella tribocorum strain BM1374166</t>
  </si>
  <si>
    <t>Bartonella vinsonii subsp. berkhoffii str. Winnie</t>
  </si>
  <si>
    <t>Basilea psittacipulmonis DSM 24701</t>
  </si>
  <si>
    <t>Baumannia cicadellinicola str. Hc (Homalodisca coagulata)</t>
  </si>
  <si>
    <t>Bdellovibrio bacteriovorus HD100</t>
  </si>
  <si>
    <t>Bdellovibrio bacteriovorus str. Tiberius</t>
  </si>
  <si>
    <t>source</t>
  </si>
  <si>
    <t>result</t>
  </si>
  <si>
    <t>LYS</t>
  </si>
  <si>
    <t>Bdellovibrio bacteriovorus strain 109J</t>
  </si>
  <si>
    <t>GLU</t>
  </si>
  <si>
    <t>Bdellovibrio bacteriovorus strain HD100 merdel</t>
  </si>
  <si>
    <t>ALA</t>
  </si>
  <si>
    <t>Bdellovibrio bacteriovorus W</t>
  </si>
  <si>
    <t>MET</t>
  </si>
  <si>
    <t>Bdellovibrio exovorus JSS</t>
  </si>
  <si>
    <t>ARG</t>
  </si>
  <si>
    <t>Beggiatoa leptomitiformis strain D-402</t>
  </si>
  <si>
    <t>Beijerinckia indica subsp. indica ATCC 9039</t>
  </si>
  <si>
    <t>LEU</t>
  </si>
  <si>
    <t>Belliella baltica DSM 15883</t>
  </si>
  <si>
    <t>Berkelbacteria bacterium GW2011_GWE1_39_12</t>
  </si>
  <si>
    <t>beta proteobacterium CB</t>
  </si>
  <si>
    <t>Betaproteobacteria bacterium UKL13-2</t>
  </si>
  <si>
    <t>Beutenbergia cavernae DSM 12333</t>
  </si>
  <si>
    <t>Bibersteinia trehalosi USDA-ARS-USMARC-188</t>
  </si>
  <si>
    <t>Bibersteinia trehalosi USDA-ARS-USMARC-189</t>
  </si>
  <si>
    <t>VAL</t>
  </si>
  <si>
    <t>Bibersteinia trehalosi USDA-ARS-USMARC-190</t>
  </si>
  <si>
    <t>Bibersteinia trehalosi USDA-ARS-USMARC-192</t>
  </si>
  <si>
    <t>Bifidobacterium actinocoloniiforme DSM 22766</t>
  </si>
  <si>
    <t>THR</t>
  </si>
  <si>
    <t>Bifidobacterium adolescentis ATCC 15703</t>
  </si>
  <si>
    <t>Bifidobacterium adolescentis strain 22L</t>
  </si>
  <si>
    <t>SER</t>
  </si>
  <si>
    <t>Bifidobacterium adolescentis strain BBMN23</t>
  </si>
  <si>
    <t>PRO</t>
  </si>
  <si>
    <t>Bifidobacterium angulatum DSM 20098 = JCM 7096</t>
  </si>
  <si>
    <t>Bifidobacterium animalis strain A6</t>
  </si>
  <si>
    <t>Bifidobacterium animalis strain RH</t>
  </si>
  <si>
    <t>Bifidobacterium animalis subsp. animalis ATCC 25527</t>
  </si>
  <si>
    <t>Bifidobacterium animalis subsp. lactis AD011</t>
  </si>
  <si>
    <t>Bifidobacterium animalis subsp. lactis ATCC 27673</t>
  </si>
  <si>
    <t>Bifidobacterium animalis subsp. lactis B420</t>
  </si>
  <si>
    <t>Bifidobacterium animalis subsp. lactis BB-12</t>
  </si>
  <si>
    <t>Bifidobacterium animalis subsp. lactis BF052</t>
  </si>
  <si>
    <t>TYR</t>
  </si>
  <si>
    <t>Bifidobacterium animalis subsp. lactis Bi-07</t>
  </si>
  <si>
    <t>GLY</t>
  </si>
  <si>
    <t>Bifidobacterium animalis subsp. lactis Bl-04</t>
  </si>
  <si>
    <t>Bifidobacterium animalis subsp. lactis Bl12</t>
  </si>
  <si>
    <t>Bifidobacterium animalis subsp. lactis BLC1</t>
  </si>
  <si>
    <t>ASP</t>
  </si>
  <si>
    <t>Bifidobacterium animalis subsp. lactis CNCM I-2494</t>
  </si>
  <si>
    <t>Bifidobacterium animalis subsp. lactis DSM 10140</t>
  </si>
  <si>
    <t>Bifidobacterium animalis subsp. lactis KLDS2.0603</t>
  </si>
  <si>
    <t>Bifidobacterium animalis subsp. lactis V9</t>
  </si>
  <si>
    <t>Bifidobacterium asteroides PRL2011</t>
  </si>
  <si>
    <t>Bifidobacterium bifidum ATCC 29521 = JCM 1255 = DSM 20456</t>
  </si>
  <si>
    <t>Bifidobacterium bifidum BGN4</t>
  </si>
  <si>
    <t>Bifidobacterium bifidum NCIMB 41171</t>
  </si>
  <si>
    <t>Bifidobacterium bifidum PRL2010</t>
  </si>
  <si>
    <t>Bifidobacterium bifidum S17</t>
  </si>
  <si>
    <t>GLN</t>
  </si>
  <si>
    <t>Bifidobacterium bifidum strain BF3</t>
  </si>
  <si>
    <t>Bifidobacterium breve 12L</t>
  </si>
  <si>
    <t>PHE</t>
  </si>
  <si>
    <t>Bifidobacterium breve 689b</t>
  </si>
  <si>
    <t>ASN</t>
  </si>
  <si>
    <t>Bifidobacterium breve ACS-071-V-Sch8b</t>
  </si>
  <si>
    <t>Bifidobacterium breve DSM 20213 = JCM 1192</t>
  </si>
  <si>
    <t>Bifidobacterium breve JCM 7017</t>
  </si>
  <si>
    <t>Bifidobacterium breve JCM 7019</t>
  </si>
  <si>
    <t>Bifidobacterium breve NCFB 2258</t>
  </si>
  <si>
    <t>Bifidobacterium breve S27</t>
  </si>
  <si>
    <t>ILE</t>
  </si>
  <si>
    <t>Bifidobacterium breve strain BR3</t>
  </si>
  <si>
    <t>Bifidobacterium breve UCC2003</t>
  </si>
  <si>
    <t>Bifidobacterium catenulatum DSM 16992 = JCM 1194 = LMG 11043</t>
  </si>
  <si>
    <t>Bifidobacterium coryneforme strain LMG 18911</t>
  </si>
  <si>
    <t>Bifidobacterium dentium Bd1</t>
  </si>
  <si>
    <t>Bifidobacterium dentium JCM 1195 = DSM 20436</t>
  </si>
  <si>
    <t>Bifidobacterium indicum LMG 11587 = DSM 20214</t>
  </si>
  <si>
    <t>Bifidobacterium kashiwanohense JCM 15439 = DSM 21854</t>
  </si>
  <si>
    <t>Bifidobacterium kashiwanohense PV20-2</t>
  </si>
  <si>
    <t>Bifidobacterium longum 105-A</t>
  </si>
  <si>
    <t>Bifidobacterium longum DJO10A</t>
  </si>
  <si>
    <t>Bifidobacterium longum E18</t>
  </si>
  <si>
    <t>HIS</t>
  </si>
  <si>
    <t>Bifidobacterium longum NCC2705</t>
  </si>
  <si>
    <t>Bifidobacterium longum strain BG7</t>
  </si>
  <si>
    <t>Bifidobacterium longum strain BXY01</t>
  </si>
  <si>
    <t>Bifidobacterium longum subsp. infantis 157F</t>
  </si>
  <si>
    <t>Bifidobacterium longum subsp. infantis ATCC 15697 = JCM 1222</t>
  </si>
  <si>
    <t>Bifidobacterium longum subsp. infantis strain BT1</t>
  </si>
  <si>
    <t>Bifidobacterium longum subsp. infantis strain CECT 7210</t>
  </si>
  <si>
    <t>Bifidobacterium longum subsp. longum BBMN68</t>
  </si>
  <si>
    <t>Bifidobacterium longum subsp. longum F8</t>
  </si>
  <si>
    <t>Bifidobacterium longum subsp. longum GT15</t>
  </si>
  <si>
    <t>Bifidobacterium longum subsp. longum JCM 1217</t>
  </si>
  <si>
    <t>Bifidobacterium longum subsp. longum JDM301</t>
  </si>
  <si>
    <t>Bifidobacterium longum subsp. longum KACC 91563</t>
  </si>
  <si>
    <t>Bifidobacterium longum subsp. longum strain CCUG30698</t>
  </si>
  <si>
    <t>Bifidobacterium longum subsp. longum strain NCIMB8809</t>
  </si>
  <si>
    <t>Bifidobacterium pseudocatenulatum DSM 20438 = JCM 1200 = LMG 10505</t>
  </si>
  <si>
    <t>Bifidobacterium pseudolongum PV8-2</t>
  </si>
  <si>
    <t>Bifidobacterium scardovii JCM 12489 = DSM 13734</t>
  </si>
  <si>
    <t>Bifidobacterium thermophilum RBL67</t>
  </si>
  <si>
    <t>Blastochloris viridis</t>
  </si>
  <si>
    <t>Blastochloris viridis strain ATCC 19567</t>
  </si>
  <si>
    <t>Blastochloris viridis strain DSM 133</t>
  </si>
  <si>
    <t>Blastococcus saxobsidens DD2</t>
  </si>
  <si>
    <t>Blattabacterium sp. (Blaberus giganteus)</t>
  </si>
  <si>
    <t>Blattabacterium sp. (Blatta orientalis) str. Tarazona</t>
  </si>
  <si>
    <t>Blattabacterium sp. (Blattella germanica) str. Bge</t>
  </si>
  <si>
    <t>Blattabacterium sp. (Cryptocercus punctulatus) str. Cpu</t>
  </si>
  <si>
    <t>Blattabacterium sp. (Mastotermes darwiniensis) str. MADAR</t>
  </si>
  <si>
    <t>Blattabacterium sp. (Nauphoeta cinerea)</t>
  </si>
  <si>
    <t>Blattabacterium sp. (Panesthia angustipennis spadica) str. BPAA</t>
  </si>
  <si>
    <t>Blattabacterium sp. (Periplaneta americana) str. BPLAN</t>
  </si>
  <si>
    <t>Blochmannia endosymbiont of Camponotus (Colobopsis) obliquus strain 757</t>
  </si>
  <si>
    <t>Blochmannia endosymbiont of Polyrhachis (Hedomyrma) turneri strain 675</t>
  </si>
  <si>
    <t>Bordetella avium 197N</t>
  </si>
  <si>
    <t>Bordetella bronchialis strain AU17976</t>
  </si>
  <si>
    <t>Bordetella bronchialis strain AU3182</t>
  </si>
  <si>
    <t>Bordetella bronchiseptica 253</t>
  </si>
  <si>
    <t>Bordetella bronchiseptica MO149</t>
  </si>
  <si>
    <t>Bordetella bronchiseptica RB50</t>
  </si>
  <si>
    <t>Bordetella bronchiseptica S798</t>
  </si>
  <si>
    <t>Bordetella bronchiseptica strain ATCC 10580</t>
  </si>
  <si>
    <t>Bordetella bronchiseptica strain ATCC:BAA-588D-5</t>
  </si>
  <si>
    <t>Bordetella flabilis strain AU10664</t>
  </si>
  <si>
    <t>Bordetella hinzii strain F582</t>
  </si>
  <si>
    <t>Bordetella hinzii strain H568</t>
  </si>
  <si>
    <t>Bordetella holmesii 44057</t>
  </si>
  <si>
    <t>Bordetella holmesii ATCC 51541</t>
  </si>
  <si>
    <t>Bordetella parapertussis 12822</t>
  </si>
  <si>
    <t>Bordetella parapertussis Bpp5</t>
  </si>
  <si>
    <t>Bordetella parapertussis strain NCTC 5952</t>
  </si>
  <si>
    <t>Bordetella pertussis</t>
  </si>
  <si>
    <t>Bordetella pertussis 137</t>
  </si>
  <si>
    <t>Bordetella pertussis 18323</t>
  </si>
  <si>
    <t>Bordetella pertussis CS</t>
  </si>
  <si>
    <t>Bordetella pertussis strain ATCC:BAA-1335D-5</t>
  </si>
  <si>
    <t>Bordetella pertussis strain B1838</t>
  </si>
  <si>
    <t>Bordetella pertussis strain B1865</t>
  </si>
  <si>
    <t>Bordetella pertussis strain B3405</t>
  </si>
  <si>
    <t>Bordetella pertussis strain B3582</t>
  </si>
  <si>
    <t>Bordetella pertussis strain B3585</t>
  </si>
  <si>
    <t>Bordetella pertussis strain B3621</t>
  </si>
  <si>
    <t>Bordetella pertussis strain B3629</t>
  </si>
  <si>
    <t>Bordetella pertussis strain B3640</t>
  </si>
  <si>
    <t>Bordetella pertussis strain B3658</t>
  </si>
  <si>
    <t>Bordetella pertussis strain B3913</t>
  </si>
  <si>
    <t>Bordetella pertussis strain B3921</t>
  </si>
  <si>
    <t>Bordetella pertussis strain C393</t>
  </si>
  <si>
    <t>Bordetella pertussis strain D420</t>
  </si>
  <si>
    <t>Bordetella pertussis strain E476</t>
  </si>
  <si>
    <t>Bordetella pertussis strain H374</t>
  </si>
  <si>
    <t>Bordetella pertussis strain H375</t>
  </si>
  <si>
    <t>Bordetella pertussis strain H378</t>
  </si>
  <si>
    <t>Bordetella pertussis strain H379</t>
  </si>
  <si>
    <t>Bordetella pertussis strain H380</t>
  </si>
  <si>
    <t>Bordetella pertussis strain H489</t>
  </si>
  <si>
    <t>Bordetella pertussis strain H542</t>
  </si>
  <si>
    <t>Bordetella pertussis strain H559</t>
  </si>
  <si>
    <t>Bordetella pertussis strain H561</t>
  </si>
  <si>
    <t>Bordetella pertussis strain H563</t>
  </si>
  <si>
    <t>Bordetella pertussis strain H564</t>
  </si>
  <si>
    <t>Bordetella pertussis strain H622</t>
  </si>
  <si>
    <t>Bordetella pertussis strain H627</t>
  </si>
  <si>
    <t>Bordetella pertussis strain H788</t>
  </si>
  <si>
    <t>Bordetella pertussis strain I344</t>
  </si>
  <si>
    <t>Bordetella pertussis strain I468</t>
  </si>
  <si>
    <t>Bordetella pertussis strain I469</t>
  </si>
  <si>
    <t>Bordetella pertussis strain I472</t>
  </si>
  <si>
    <t>Bordetella pertussis strain I475</t>
  </si>
  <si>
    <t>Bordetella pertussis strain I476</t>
  </si>
  <si>
    <t>Bordetella pertussis strain I480</t>
  </si>
  <si>
    <t>Bordetella pertussis strain I483</t>
  </si>
  <si>
    <t>Bordetella pertussis strain I496</t>
  </si>
  <si>
    <t>Bordetella pertussis strain I498</t>
  </si>
  <si>
    <t>Bordetella pertussis strain I518</t>
  </si>
  <si>
    <t>Bordetella pertussis strain I521</t>
  </si>
  <si>
    <t>Bordetella pertussis strain I538</t>
  </si>
  <si>
    <t>Bordetella pertussis strain I539</t>
  </si>
  <si>
    <t>Bordetella pertussis strain I646</t>
  </si>
  <si>
    <t>Bordetella pertussis strain I656</t>
  </si>
  <si>
    <t>Bordetella pertussis strain I669</t>
  </si>
  <si>
    <t>Bordetella pertussis strain I707</t>
  </si>
  <si>
    <t>Bordetella pertussis Tohama I</t>
  </si>
  <si>
    <t>Bordetella petrii DSM 12804</t>
  </si>
  <si>
    <t>Bordetella sp. N</t>
  </si>
  <si>
    <t>Bordetella trematum strain H044680328</t>
  </si>
  <si>
    <t>Borrelia afzelii HLJ01</t>
  </si>
  <si>
    <t>Borrelia afzelii K78</t>
  </si>
  <si>
    <t>Borrelia afzelii PKo</t>
  </si>
  <si>
    <t>Borrelia afzelii Tom3107</t>
  </si>
  <si>
    <t>Borrelia anserina BA2</t>
  </si>
  <si>
    <t>Borrelia bissettii DN127</t>
  </si>
  <si>
    <t>Borrelia burgdorferi B31</t>
  </si>
  <si>
    <t>Borrelia burgdorferi CA382</t>
  </si>
  <si>
    <t>Borrelia burgdorferi JD1</t>
  </si>
  <si>
    <t>Borrelia burgdorferi N40</t>
  </si>
  <si>
    <t>Borrelia burgdorferi ZS7</t>
  </si>
  <si>
    <t>Borrelia chilensis VA1</t>
  </si>
  <si>
    <t>Borrelia coriaceae Co53</t>
  </si>
  <si>
    <t>Borrelia crocidurae DOU</t>
  </si>
  <si>
    <t>Borrelia crocidurae str. Achema</t>
  </si>
  <si>
    <t>Borrelia duttonii Ly</t>
  </si>
  <si>
    <t>Borrelia garinii BgVir</t>
  </si>
  <si>
    <t>Borrelia garinii NMJW1</t>
  </si>
  <si>
    <t>Borrelia garinii PBi</t>
  </si>
  <si>
    <t>Borrelia garinii SZ</t>
  </si>
  <si>
    <t>Borrelia hermsii CC1</t>
  </si>
  <si>
    <t>Borrelia hermsii DAH</t>
  </si>
  <si>
    <t>Borrelia hermsii HS1</t>
  </si>
  <si>
    <t>Borrelia hermsii MTW</t>
  </si>
  <si>
    <t>Borrelia hermsii strain DAH-2E7</t>
  </si>
  <si>
    <t>Borrelia hermsii YBT</t>
  </si>
  <si>
    <t>Borrelia hermsii YOR</t>
  </si>
  <si>
    <t>Borrelia miyamotoi CT14D4</t>
  </si>
  <si>
    <t>Borrelia miyamotoi FR64b</t>
  </si>
  <si>
    <t>Borrelia miyamotoi LB-2001</t>
  </si>
  <si>
    <t>Borrelia parkeri HR1</t>
  </si>
  <si>
    <t>Borrelia parkeri SLO</t>
  </si>
  <si>
    <t>Borrelia recurrentis A1</t>
  </si>
  <si>
    <t>Borrelia turicatae 91E135</t>
  </si>
  <si>
    <t>Borrelia valaisiana Tom4006</t>
  </si>
  <si>
    <t>Bosea sp. PAMC 26642</t>
  </si>
  <si>
    <t>Brachybacterium faecium DSM 4810</t>
  </si>
  <si>
    <t>Brachyspira hyodysenteriae ATCC 27164</t>
  </si>
  <si>
    <t>Brachyspira hyodysenteriae WA1</t>
  </si>
  <si>
    <t>Brachyspira intermedia PWS/A</t>
  </si>
  <si>
    <t>Brachyspira murdochii DSM 12563</t>
  </si>
  <si>
    <t>Brachyspira pilosicoli 95/1000</t>
  </si>
  <si>
    <t>Brachyspira pilosicoli B2904</t>
  </si>
  <si>
    <t>Brachyspira pilosicoli P43/6/78</t>
  </si>
  <si>
    <t>Brachyspira pilosicoli WesB</t>
  </si>
  <si>
    <t>Bradyrhizobium diazoefficiens strain NK6</t>
  </si>
  <si>
    <t>Bradyrhizobium diazoefficiens USDA 110</t>
  </si>
  <si>
    <t>Bradyrhizobium japonicum E109</t>
  </si>
  <si>
    <t>Bradyrhizobium japonicum SEMIA 5079</t>
  </si>
  <si>
    <t>Bradyrhizobium japonicum USDA 110</t>
  </si>
  <si>
    <t>Bradyrhizobium japonicum USDA 6</t>
  </si>
  <si>
    <t>Bradyrhizobium oligotrophicum S58</t>
  </si>
  <si>
    <t>Bradyrhizobium sp. BTAi1</t>
  </si>
  <si>
    <t>Bradyrhizobium sp. ORS 278</t>
  </si>
  <si>
    <t>Bradyrhizobium sp. S23321</t>
  </si>
  <si>
    <t>Bradyrhizobium sp. strain BF49_genome1</t>
  </si>
  <si>
    <t>Brenneria goodwinii strain OBR1</t>
  </si>
  <si>
    <t>Brevibacillus brevis NBRC 100599</t>
  </si>
  <si>
    <t>Brevibacterium epidermidis strain BS258</t>
  </si>
  <si>
    <t>Brevundimonas sp. DS20</t>
  </si>
  <si>
    <t>Brevundimonas sp. GW460-12-10-14-LB2</t>
  </si>
  <si>
    <t>Brevundimonas subvibrioides ATCC 15264</t>
  </si>
  <si>
    <t>Brucella abortus 104M</t>
  </si>
  <si>
    <t>Brucella abortus A13334</t>
  </si>
  <si>
    <t>Brucella abortus bv. 1 str. 9-941</t>
  </si>
  <si>
    <t>Brucella abortus bv. 2 str. 86/8/59</t>
  </si>
  <si>
    <t>Brucella abortus bv. 6 str. 870</t>
  </si>
  <si>
    <t>Brucella abortus bv. 9 str. C68</t>
  </si>
  <si>
    <t>Brucella abortus S19</t>
  </si>
  <si>
    <t>Brucella abortus strain 3196</t>
  </si>
  <si>
    <t>Brucella abortus strain 63 75</t>
  </si>
  <si>
    <t>Brucella abortus strain BAB8416</t>
  </si>
  <si>
    <t>Brucella abortus strain BDW</t>
  </si>
  <si>
    <t>Brucella abortus strain BER</t>
  </si>
  <si>
    <t>Brucella abortus strain BFY</t>
  </si>
  <si>
    <t>Brucella abortus strain NCTC 10505</t>
  </si>
  <si>
    <t>Brucella abortus strain ZW053</t>
  </si>
  <si>
    <t>Brucella canis ATCC 23365</t>
  </si>
  <si>
    <t>Brucella canis HSK A52141</t>
  </si>
  <si>
    <t>Brucella canis str. Oliveri</t>
  </si>
  <si>
    <t>Brucella canis strain RM6/66</t>
  </si>
  <si>
    <t>Brucella canis strain SVA13</t>
  </si>
  <si>
    <t>Brucella ceti TE10759-12</t>
  </si>
  <si>
    <t>Brucella ceti TE28753-12</t>
  </si>
  <si>
    <t>Brucella melitensis ATCC 23457</t>
  </si>
  <si>
    <t>Brucella melitensis biovar Abortus 2308</t>
  </si>
  <si>
    <t>Brucella melitensis bv. 1 str. 16M</t>
  </si>
  <si>
    <t>Brucella melitensis bv. 2 str. 63/9</t>
  </si>
  <si>
    <t>Brucella melitensis bv. 3 str. Ether</t>
  </si>
  <si>
    <t>Brucella melitensis M28</t>
  </si>
  <si>
    <t>Brucella melitensis M5-90</t>
  </si>
  <si>
    <t>Brucella melitensis NI</t>
  </si>
  <si>
    <t>Brucella melitensis strain 20236</t>
  </si>
  <si>
    <t>Brucella microti CCM 4915</t>
  </si>
  <si>
    <t>Brucella neotomae 5K33</t>
  </si>
  <si>
    <t>Brucella ovis ATCC 25840</t>
  </si>
  <si>
    <t>Brucella pinnipedialis B2/94</t>
  </si>
  <si>
    <t>Brucella pinnipedialis strain 6/566</t>
  </si>
  <si>
    <t>Brucella sp. F60</t>
  </si>
  <si>
    <t>Brucella suis 019</t>
  </si>
  <si>
    <t>Brucella suis 1330</t>
  </si>
  <si>
    <t>Brucella suis ATCC 23445</t>
  </si>
  <si>
    <t>Brucella suis bv. 1 str. S2</t>
  </si>
  <si>
    <t>Brucella suis bv. 2 strain Bs143CITA</t>
  </si>
  <si>
    <t>Brucella suis bv. 2 strain Bs364CITA</t>
  </si>
  <si>
    <t>Brucella suis bv. 2 strain Bs396CITA</t>
  </si>
  <si>
    <t>Brucella suis bv. 2 strain PT09143</t>
  </si>
  <si>
    <t>Brucella suis bv. 2 strain PT09172</t>
  </si>
  <si>
    <t>Brucella suis bv. 3 str. 686</t>
  </si>
  <si>
    <t>Brucella suis strain 513UK</t>
  </si>
  <si>
    <t>Brucella suis strain BSP</t>
  </si>
  <si>
    <t>Brucella suis strain Human/AR/US/1981</t>
  </si>
  <si>
    <t>Brucella suis strain ZW043</t>
  </si>
  <si>
    <t>Brucella suis strain ZW046</t>
  </si>
  <si>
    <t>Brucella suis VBI22</t>
  </si>
  <si>
    <t>Buchnera aphidicola (Aphis glycines) strain BAg</t>
  </si>
  <si>
    <t>Buchnera aphidicola (Cinara tujafilina)</t>
  </si>
  <si>
    <t>Buchnera aphidicola (Schlechtendalia chinensis)</t>
  </si>
  <si>
    <t>Buchnera aphidicola (Tuberolachnus salignus)</t>
  </si>
  <si>
    <t>Buchnera aphidicola BCc</t>
  </si>
  <si>
    <t>Buchnera aphidicola str. 5A (Acyrthosiphon pisum)</t>
  </si>
  <si>
    <t>Buchnera aphidicola str. Ak (Acyrthosiphon kondoi)</t>
  </si>
  <si>
    <t>Buchnera aphidicola str. APS (Acyrthosiphon pisum)</t>
  </si>
  <si>
    <t>Buchnera aphidicola str. Bp (Baizongia pistaciae)</t>
  </si>
  <si>
    <t>Buchnera aphidicola str. F009 (Myzus persicae)</t>
  </si>
  <si>
    <t>Buchnera aphidicola str. G002 (Myzus persicae)</t>
  </si>
  <si>
    <t>Buchnera aphidicola str. JF98 (Acyrthosiphon pisum)</t>
  </si>
  <si>
    <t>Buchnera aphidicola str. JF99 (Acyrthosiphon pisum)</t>
  </si>
  <si>
    <t>Buchnera aphidicola str. LL01 (Acyrthosiphon pisum)</t>
  </si>
  <si>
    <t>Buchnera aphidicola str. Sg (Schizaphis graminum)</t>
  </si>
  <si>
    <t>Buchnera aphidicola str. TLW03 (Acyrthosiphon pisum)</t>
  </si>
  <si>
    <t>Buchnera aphidicola str. Tuc7 (Acyrthosiphon pisum)</t>
  </si>
  <si>
    <t>Buchnera aphidicola str. Ua (Uroleucon ambrosiae)</t>
  </si>
  <si>
    <t>Buchnera aphidicola str. USDA (Myzus persicae)</t>
  </si>
  <si>
    <t>Buchnera aphidicola str. W106 (Myzus persicae)</t>
  </si>
  <si>
    <t>Burkholderia ambifaria AMMD</t>
  </si>
  <si>
    <t>Burkholderia ambifaria MC40-6</t>
  </si>
  <si>
    <t>Burkholderia caribensis strain MWAP64</t>
  </si>
  <si>
    <t>Burkholderia cenocepacia AU 1054</t>
  </si>
  <si>
    <t>Burkholderia cenocepacia HI2424</t>
  </si>
  <si>
    <t>Burkholderia cenocepacia J2315</t>
  </si>
  <si>
    <t>Burkholderia cenocepacia MC0-3</t>
  </si>
  <si>
    <t>Burkholderia cenocepacia strain 842</t>
  </si>
  <si>
    <t>Burkholderia cenocepacia strain 895</t>
  </si>
  <si>
    <t>Burkholderia cenocepacia strain DDS 22E-1</t>
  </si>
  <si>
    <t>Burkholderia cenocepacia strain DWS 37E-2</t>
  </si>
  <si>
    <t>Burkholderia cenocepacia strain ST32</t>
  </si>
  <si>
    <t>Burkholderia cepacia ATCC 25416</t>
  </si>
  <si>
    <t>Burkholderia cepacia GG4</t>
  </si>
  <si>
    <t>Burkholderia cepacia strain DDS 7H-2</t>
  </si>
  <si>
    <t>Burkholderia cepacia strain LO6</t>
  </si>
  <si>
    <t>Burkholderia contaminans strain MS14</t>
  </si>
  <si>
    <t>Burkholderia dolosa AU0158</t>
  </si>
  <si>
    <t>Burkholderia dolosa PC543</t>
  </si>
  <si>
    <t>Burkholderia fungorum strain ATCC BAA-463</t>
  </si>
  <si>
    <t>Burkholderia gladioli BSR3</t>
  </si>
  <si>
    <t>Burkholderia gladioli strain ATCC 10248</t>
  </si>
  <si>
    <t>Burkholderia glumae BGR1</t>
  </si>
  <si>
    <t>Burkholderia glumae LMG 2196 = ATCC 33617</t>
  </si>
  <si>
    <t>Burkholderia glumae PG1</t>
  </si>
  <si>
    <t>Burkholderia lata strain 383</t>
  </si>
  <si>
    <t>Burkholderia mallei ATCC 23344</t>
  </si>
  <si>
    <t>Burkholderia mallei NCTC 10229</t>
  </si>
  <si>
    <t>Burkholderia mallei NCTC 10247</t>
  </si>
  <si>
    <t>Burkholderia mallei SAVP1</t>
  </si>
  <si>
    <t>Burkholderia mallei strain 11</t>
  </si>
  <si>
    <t>Burkholderia mallei strain 2000031063</t>
  </si>
  <si>
    <t>Burkholderia mallei strain 2002721276</t>
  </si>
  <si>
    <t>Burkholderia mallei strain 2002734299</t>
  </si>
  <si>
    <t>Burkholderia mallei strain 2002734306</t>
  </si>
  <si>
    <t>Burkholderia mallei strain 23344</t>
  </si>
  <si>
    <t>Burkholderia mallei strain 6</t>
  </si>
  <si>
    <t>Burkholderia mallei strain BMQ</t>
  </si>
  <si>
    <t>Burkholderia mallei strain China5</t>
  </si>
  <si>
    <t>Burkholderia mallei strain FMH 23344</t>
  </si>
  <si>
    <t>Burkholderia mallei strain India86-567-2</t>
  </si>
  <si>
    <t>Burkholderia mallei strain KC_1092</t>
  </si>
  <si>
    <t>Burkholderia multivorans ATCC 17616</t>
  </si>
  <si>
    <t>Burkholderia multivorans ATCC 17616 (Prj:19401)</t>
  </si>
  <si>
    <t>Burkholderia multivorans ATCC BAA-247</t>
  </si>
  <si>
    <t>Burkholderia multivorans strain DDS 15A-1</t>
  </si>
  <si>
    <t>Burkholderia oklahomensis C6786</t>
  </si>
  <si>
    <t>Burkholderia oklahomensis strain EO147</t>
  </si>
  <si>
    <t>Burkholderia phenoliruptrix BR3459a</t>
  </si>
  <si>
    <t>Burkholderia phymatum STM815</t>
  </si>
  <si>
    <t>Burkholderia phytofirmans PsJN</t>
  </si>
  <si>
    <t>Burkholderia plantarii strain ATCC 43733</t>
  </si>
  <si>
    <t>Burkholderia pseudomallei 1026b</t>
  </si>
  <si>
    <t>Burkholderia pseudomallei 1106a</t>
  </si>
  <si>
    <t>Burkholderia pseudomallei 1710b</t>
  </si>
  <si>
    <t>Burkholderia pseudomallei 406e</t>
  </si>
  <si>
    <t>Burkholderia pseudomallei 668</t>
  </si>
  <si>
    <t>Burkholderia pseudomallei 7894</t>
  </si>
  <si>
    <t>Burkholderia pseudomallei A79A</t>
  </si>
  <si>
    <t>Burkholderia pseudomallei B03</t>
  </si>
  <si>
    <t>Burkholderia pseudomallei BPC006</t>
  </si>
  <si>
    <t>Burkholderia pseudomallei HBPUB10134a</t>
  </si>
  <si>
    <t>Burkholderia pseudomallei HBPUB10303a</t>
  </si>
  <si>
    <t>Burkholderia pseudomallei K42</t>
  </si>
  <si>
    <t>Burkholderia pseudomallei K96243</t>
  </si>
  <si>
    <t>Burkholderia pseudomallei MSHR1079</t>
  </si>
  <si>
    <t>Burkholderia pseudomallei MSHR1153</t>
  </si>
  <si>
    <t>Burkholderia pseudomallei MSHR1328</t>
  </si>
  <si>
    <t>Burkholderia pseudomallei MSHR146</t>
  </si>
  <si>
    <t>Burkholderia pseudomallei MSHR2243</t>
  </si>
  <si>
    <t>Burkholderia pseudomallei MSHR2543</t>
  </si>
  <si>
    <t>Burkholderia pseudomallei MSHR305</t>
  </si>
  <si>
    <t>Burkholderia pseudomallei MSHR3965</t>
  </si>
  <si>
    <t>Burkholderia pseudomallei MSHR435</t>
  </si>
  <si>
    <t>Burkholderia pseudomallei MSHR491</t>
  </si>
  <si>
    <t>Burkholderia pseudomallei MSHR511</t>
  </si>
  <si>
    <t>Burkholderia pseudomallei MSHR520</t>
  </si>
  <si>
    <t>Burkholderia pseudomallei MSHR5848</t>
  </si>
  <si>
    <t>Burkholderia pseudomallei MSHR5855</t>
  </si>
  <si>
    <t>Burkholderia pseudomallei MSHR5858</t>
  </si>
  <si>
    <t>Burkholderia pseudomallei MSHR62</t>
  </si>
  <si>
    <t>Burkholderia pseudomallei MSHR840</t>
  </si>
  <si>
    <t>Burkholderia pseudomallei NAU20B-16</t>
  </si>
  <si>
    <t>Burkholderia pseudomallei NAU35A-3</t>
  </si>
  <si>
    <t>Burkholderia pseudomallei NCTC 13178</t>
  </si>
  <si>
    <t>Burkholderia pseudomallei NCTC 13179</t>
  </si>
  <si>
    <t>Burkholderia pseudomallei Pasteur 52237</t>
  </si>
  <si>
    <t>Burkholderia pseudomallei PB08298010</t>
  </si>
  <si>
    <t>Burkholderia pseudomallei strain 1106a</t>
  </si>
  <si>
    <t>Burkholderia pseudomallei strain 350105</t>
  </si>
  <si>
    <t>Burkholderia pseudomallei strain 3921g</t>
  </si>
  <si>
    <t>Burkholderia pseudomallei strain 576</t>
  </si>
  <si>
    <t>Burkholderia pseudomallei strain 982</t>
  </si>
  <si>
    <t>Burkholderia pseudomallei strain BDP</t>
  </si>
  <si>
    <t>Burkholderia pseudomallei strain BGR</t>
  </si>
  <si>
    <t>Burkholderia pseudomallei strain Bp1651</t>
  </si>
  <si>
    <t>Burkholderia pseudomallei strain BSR</t>
  </si>
  <si>
    <t>Burkholderia pseudomallei strain Mahidol-1106a</t>
  </si>
  <si>
    <t>Burkholderia pseudomallei strain MSHR1655</t>
  </si>
  <si>
    <t>Burkholderia pseudomallei strain MSHR346</t>
  </si>
  <si>
    <t>Burkholderia pseudomallei strain MSHR668</t>
  </si>
  <si>
    <t>Burkholderia pseudomallei strain PHLS 112</t>
  </si>
  <si>
    <t>Burkholderia pseudomallei strain vgh07</t>
  </si>
  <si>
    <t>Burkholderia pseudomallei strain vgh16R</t>
  </si>
  <si>
    <t>Burkholderia pseudomallei strain vgh16W</t>
  </si>
  <si>
    <t>Burkholderia pseudomallei TSV 48</t>
  </si>
  <si>
    <t>Burkholderia pyrrocinia strain DSM 10685</t>
  </si>
  <si>
    <t>Burkholderia rhizoxinica HKI 454</t>
  </si>
  <si>
    <t>Burkholderia sp. 2002721687</t>
  </si>
  <si>
    <t>Burkholderia sp. Bp5365</t>
  </si>
  <si>
    <t>Burkholderia sp. CCGE1001</t>
  </si>
  <si>
    <t>Burkholderia sp. CCGE1002</t>
  </si>
  <si>
    <t>Burkholderia sp. CCGE1003</t>
  </si>
  <si>
    <t>Burkholderia sp. HB1</t>
  </si>
  <si>
    <t>Burkholderia sp. KJ006</t>
  </si>
  <si>
    <t>Burkholderia sp. PAMC 26561</t>
  </si>
  <si>
    <t>Burkholderia sp. PAMC 28687</t>
  </si>
  <si>
    <t>Burkholderia sp. RPE64</t>
  </si>
  <si>
    <t>Burkholderia sp. RPE67</t>
  </si>
  <si>
    <t>Burkholderia sp. YI23</t>
  </si>
  <si>
    <t>Burkholderia territorii strain MSMB2203WGS</t>
  </si>
  <si>
    <t>Burkholderia thailandensis 2002721643</t>
  </si>
  <si>
    <t>Burkholderia thailandensis 2002721723</t>
  </si>
  <si>
    <t>Burkholderia thailandensis 2003015869</t>
  </si>
  <si>
    <t>Burkholderia thailandensis 34</t>
  </si>
  <si>
    <t>Burkholderia thailandensis E254</t>
  </si>
  <si>
    <t>Burkholderia thailandensis E264</t>
  </si>
  <si>
    <t>Burkholderia thailandensis E444</t>
  </si>
  <si>
    <t>Burkholderia thailandensis H0587</t>
  </si>
  <si>
    <t>Burkholderia thailandensis MSMB121</t>
  </si>
  <si>
    <t>Burkholderia thailandensis MSMB59</t>
  </si>
  <si>
    <t>Burkholderia thailandensis USAMRU Malaysia #20</t>
  </si>
  <si>
    <t>Burkholderia ubonensis MSMB22</t>
  </si>
  <si>
    <t>Burkholderia vietnamiensis G4</t>
  </si>
  <si>
    <t>Burkholderia vietnamiensis LMG 10929</t>
  </si>
  <si>
    <t>Burkholderia xenovorans LB400</t>
  </si>
  <si>
    <t>Burkholderia xenovorans strain LB400</t>
  </si>
  <si>
    <t>Burkholderiales bacterium GJ-E10</t>
  </si>
  <si>
    <t>butyrate-producing bacterium SM4/1</t>
  </si>
  <si>
    <t>butyrate-producing bacterium SS3/4</t>
  </si>
  <si>
    <t>Butyrivibrio fibrisolvens 16/4</t>
  </si>
  <si>
    <t>Butyrivibrio proteoclasticus B316</t>
  </si>
  <si>
    <t>Caldicellulosiruptor bescii DSM 6725</t>
  </si>
  <si>
    <t>Caldicellulosiruptor hydrothermalis 108</t>
  </si>
  <si>
    <t>Caldicellulosiruptor kristjanssonii 177R1B</t>
  </si>
  <si>
    <t>Caldicellulosiruptor kronotskyensis 2002</t>
  </si>
  <si>
    <t>Caldicellulosiruptor obsidiansis OB47</t>
  </si>
  <si>
    <t>Caldicellulosiruptor owensensis OL</t>
  </si>
  <si>
    <t>Caldicellulosiruptor saccharolyticus DSM 8903</t>
  </si>
  <si>
    <t>Caldicellulosiruptor sp. Wai35.B1</t>
  </si>
  <si>
    <t>Caldilinea aerophila DSM 14535 = NBRC 104270</t>
  </si>
  <si>
    <t>Caldisericum exile AZM16c01</t>
  </si>
  <si>
    <t>Caldisphaera lagunensis DSM 15908</t>
  </si>
  <si>
    <t>Calditerrivibrio nitroreducens DSM 19672</t>
  </si>
  <si>
    <t>Caldivirga maquilingensis IC-167</t>
  </si>
  <si>
    <t>Calothrix sp. PCC 6303</t>
  </si>
  <si>
    <t>Calothrix sp. PCC 7507</t>
  </si>
  <si>
    <t>Campylobacter coli 15-537360</t>
  </si>
  <si>
    <t>Campylobacter coli 76339</t>
  </si>
  <si>
    <t>Campylobacter coli CVM N29710</t>
  </si>
  <si>
    <t>Campylobacter coli RM1875</t>
  </si>
  <si>
    <t>Campylobacter coli RM4661</t>
  </si>
  <si>
    <t>Campylobacter coli RM5611</t>
  </si>
  <si>
    <t>Campylobacter coli strain BFR-CA-9557</t>
  </si>
  <si>
    <t>Campylobacter coli strain C9A1</t>
  </si>
  <si>
    <t>Campylobacter coli strain CF2-75</t>
  </si>
  <si>
    <t>Campylobacter coli strain CO2-160</t>
  </si>
  <si>
    <t>Campylobacter coli strain FB1</t>
  </si>
  <si>
    <t>Campylobacter coli strain HC2-48</t>
  </si>
  <si>
    <t>Campylobacter coli strain n/a</t>
  </si>
  <si>
    <t>Campylobacter coli strain OR12</t>
  </si>
  <si>
    <t>Campylobacter coli strain YH501</t>
  </si>
  <si>
    <t>Campylobacter concisus 13826</t>
  </si>
  <si>
    <t>Campylobacter concisus strain ATCC 33237</t>
  </si>
  <si>
    <t>Campylobacter curvus 525.92</t>
  </si>
  <si>
    <t>Campylobacter fetus subsp. fetus 04/554</t>
  </si>
  <si>
    <t>Campylobacter fetus subsp. fetus 82-40</t>
  </si>
  <si>
    <t>Campylobacter fetus subsp. testudinum</t>
  </si>
  <si>
    <t>Campylobacter fetus subsp. testudinum Sp3</t>
  </si>
  <si>
    <t>Campylobacter fetus subsp. venerealis 97/608</t>
  </si>
  <si>
    <t>Campylobacter fetus subsp. venerealis cfvi03/293</t>
  </si>
  <si>
    <t>Campylobacter fetus subsp. venerealis str. 84-112</t>
  </si>
  <si>
    <t>Campylobacter gracilis strain ATCC 33236</t>
  </si>
  <si>
    <t>Campylobacter hominis ATCC BAA-381</t>
  </si>
  <si>
    <t>Campylobacter hyointestinalis subsp. hyointestinalis LMG 9260</t>
  </si>
  <si>
    <t>Campylobacter hyointestinalis subsp. lawsonii CCUG 27631</t>
  </si>
  <si>
    <t>Campylobacter iguaniorum strain 2463D</t>
  </si>
  <si>
    <t>Campylobacter iguaniorum strain RM11343</t>
  </si>
  <si>
    <t>Campylobacter insulaenigrae NCTC 12927</t>
  </si>
  <si>
    <t>Campylobacter jejuni 32488</t>
  </si>
  <si>
    <t>Campylobacter jejuni 4031</t>
  </si>
  <si>
    <t>Campylobacter jejuni RM1221</t>
  </si>
  <si>
    <t>Campylobacter jejuni strain CJ677CC002</t>
  </si>
  <si>
    <t>Campylobacter jejuni strain CJ677CC008</t>
  </si>
  <si>
    <t>Campylobacter jejuni strain CJ677CC010</t>
  </si>
  <si>
    <t>Campylobacter jejuni strain CJ677CC012</t>
  </si>
  <si>
    <t>Campylobacter jejuni strain CJ677CC013</t>
  </si>
  <si>
    <t>Campylobacter jejuni strain CJ677CC014</t>
  </si>
  <si>
    <t>Campylobacter jejuni strain CJ677CC016</t>
  </si>
  <si>
    <t>Campylobacter jejuni strain CJ677CC024</t>
  </si>
  <si>
    <t>Campylobacter jejuni strain CJ677CC026</t>
  </si>
  <si>
    <t>Campylobacter jejuni strain CJ677CC032</t>
  </si>
  <si>
    <t>Campylobacter jejuni strain CJ677CC033</t>
  </si>
  <si>
    <t>Campylobacter jejuni strain CJ677CC034</t>
  </si>
  <si>
    <t>Campylobacter jejuni strain CJ677CC036</t>
  </si>
  <si>
    <t>Campylobacter jejuni strain CJ677CC039</t>
  </si>
  <si>
    <t>Campylobacter jejuni strain CJ677CC040</t>
  </si>
  <si>
    <t>Campylobacter jejuni strain CJ677CC041</t>
  </si>
  <si>
    <t>Campylobacter jejuni strain CJ677CC047</t>
  </si>
  <si>
    <t>Campylobacter jejuni strain CJ677CC052</t>
  </si>
  <si>
    <t>Campylobacter jejuni strain CJ677CC058</t>
  </si>
  <si>
    <t>Campylobacter jejuni strain CJ677CC059</t>
  </si>
  <si>
    <t>Campylobacter jejuni strain CJ677CC061</t>
  </si>
  <si>
    <t>Campylobacter jejuni strain CJ677CC062</t>
  </si>
  <si>
    <t>Campylobacter jejuni strain CJ677CC064</t>
  </si>
  <si>
    <t>Campylobacter jejuni strain CJ677CC073</t>
  </si>
  <si>
    <t>Campylobacter jejuni strain CJ677CC078</t>
  </si>
  <si>
    <t>Campylobacter jejuni strain CJ677CC085</t>
  </si>
  <si>
    <t>Campylobacter jejuni strain CJ677CC086</t>
  </si>
  <si>
    <t>Campylobacter jejuni strain CJ677CC092</t>
  </si>
  <si>
    <t>Campylobacter jejuni strain CJ677CC094</t>
  </si>
  <si>
    <t>Campylobacter jejuni strain CJ677CC095</t>
  </si>
  <si>
    <t>Campylobacter jejuni strain CJ677CC100</t>
  </si>
  <si>
    <t>Campylobacter jejuni strain CJ677CC519</t>
  </si>
  <si>
    <t>Campylobacter jejuni strain CJ677CC520</t>
  </si>
  <si>
    <t>Campylobacter jejuni strain CJ677CC521</t>
  </si>
  <si>
    <t>Campylobacter jejuni strain CJ677CC522</t>
  </si>
  <si>
    <t>Campylobacter jejuni strain CJ677CC523</t>
  </si>
  <si>
    <t>Campylobacter jejuni strain CJ677CC524</t>
  </si>
  <si>
    <t>Campylobacter jejuni strain CJ677CC525</t>
  </si>
  <si>
    <t>Campylobacter jejuni strain CJ677CC526</t>
  </si>
  <si>
    <t>Campylobacter jejuni strain CJ677CC527</t>
  </si>
  <si>
    <t>Campylobacter jejuni strain CJ677CC528</t>
  </si>
  <si>
    <t>Campylobacter jejuni strain CJ677CC529</t>
  </si>
  <si>
    <t>Campylobacter jejuni strain CJ677CC530</t>
  </si>
  <si>
    <t>Campylobacter jejuni strain CJ677CC531</t>
  </si>
  <si>
    <t>Campylobacter jejuni strain CJ677CC532</t>
  </si>
  <si>
    <t>Campylobacter jejuni strain CJ677CC533</t>
  </si>
  <si>
    <t>Campylobacter jejuni strain CJ677CC534</t>
  </si>
  <si>
    <t>Campylobacter jejuni strain CJ677CC535</t>
  </si>
  <si>
    <t>Campylobacter jejuni strain CJ677CC536</t>
  </si>
  <si>
    <t>Campylobacter jejuni strain CJ677CC537</t>
  </si>
  <si>
    <t>Campylobacter jejuni strain CJ677CC538</t>
  </si>
  <si>
    <t>Campylobacter jejuni strain CJ677CC539</t>
  </si>
  <si>
    <t>Campylobacter jejuni strain CJ677CC540</t>
  </si>
  <si>
    <t>Campylobacter jejuni strain CJ677CC541</t>
  </si>
  <si>
    <t>Campylobacter jejuni strain CJ677CC542</t>
  </si>
  <si>
    <t>Campylobacter jejuni strain CJM1cam</t>
  </si>
  <si>
    <t>Campylobacter jejuni strain NCTC11351</t>
  </si>
  <si>
    <t>Campylobacter jejuni strain OD267</t>
  </si>
  <si>
    <t>Campylobacter jejuni strain RM1285</t>
  </si>
  <si>
    <t>Campylobacter jejuni strain RM3194</t>
  </si>
  <si>
    <t>Campylobacter jejuni strain T1-21</t>
  </si>
  <si>
    <t>Campylobacter jejuni strain WP2202</t>
  </si>
  <si>
    <t>Campylobacter jejuni subsp. doylei 269.97</t>
  </si>
  <si>
    <t>Campylobacter jejuni subsp. jejuni 00-2425</t>
  </si>
  <si>
    <t>Campylobacter jejuni subsp. jejuni 00-2426</t>
  </si>
  <si>
    <t>Campylobacter jejuni subsp. jejuni 00-2538</t>
  </si>
  <si>
    <t>Campylobacter jejuni subsp. jejuni 00-2544</t>
  </si>
  <si>
    <t>Campylobacter jejuni subsp. jejuni 81116</t>
  </si>
  <si>
    <t>Campylobacter jejuni subsp. jejuni 81-176</t>
  </si>
  <si>
    <t>Campylobacter jejuni subsp. jejuni F38011</t>
  </si>
  <si>
    <t>Campylobacter jejuni subsp. jejuni IA3902</t>
  </si>
  <si>
    <t>Campylobacter jejuni subsp. jejuni ICDCCJ07001</t>
  </si>
  <si>
    <t>Campylobacter jejuni subsp. jejuni M1</t>
  </si>
  <si>
    <t>Campylobacter jejuni subsp. jejuni NCTC 11168 = ATCC 700819</t>
  </si>
  <si>
    <t>Campylobacter jejuni subsp. jejuni NCTC 11168-BN148</t>
  </si>
  <si>
    <t>Campylobacter jejuni subsp. jejuni NCTC 11168-GSv NCTC 11168-rNRC</t>
  </si>
  <si>
    <t>Campylobacter jejuni subsp. jejuni NCTC 11168-K12E5</t>
  </si>
  <si>
    <t>Campylobacter jejuni subsp. jejuni NCTC 11168-Kf1</t>
  </si>
  <si>
    <t>Campylobacter jejuni subsp. jejuni NCTC 11168-mcK12E5</t>
  </si>
  <si>
    <t>Campylobacter jejuni subsp. jejuni NCTC 11168-mfK12E5</t>
  </si>
  <si>
    <t>Campylobacter jejuni subsp. jejuni PT14</t>
  </si>
  <si>
    <t>Campylobacter jejuni subsp. jejuni R14</t>
  </si>
  <si>
    <t>Campylobacter jejuni subsp. jejuni S3</t>
  </si>
  <si>
    <t>Campylobacter jejuni subsp. jejuni strain 00-0949</t>
  </si>
  <si>
    <t>Campylobacter jejuni subsp. jejuni strain 00-1597</t>
  </si>
  <si>
    <t>Campylobacter jejuni subsp. jejuni strain 00-6200</t>
  </si>
  <si>
    <t>Campylobacter jejuni subsp. jejuni strain 01-1512</t>
  </si>
  <si>
    <t>Campylobacter jejuni subsp. jejuni strain 35925B2</t>
  </si>
  <si>
    <t>Campylobacter jejuni subsp. jejuni strain MTVDSCj20</t>
  </si>
  <si>
    <t>Campylobacter jejuni subsp. jejuni strain RM3196</t>
  </si>
  <si>
    <t>Campylobacter jejuni subsp. jejuni strain RM3197</t>
  </si>
  <si>
    <t>Campylobacter jejuni subsp. jejuni strain YH001</t>
  </si>
  <si>
    <t>Campylobacter lari CCUG 22395</t>
  </si>
  <si>
    <t>Campylobacter lari NCTC 11845</t>
  </si>
  <si>
    <t>Campylobacter lari RM16701</t>
  </si>
  <si>
    <t>Campylobacter lari RM16712</t>
  </si>
  <si>
    <t>Campylobacter lari RM2100</t>
  </si>
  <si>
    <t>Campylobacter lari strain Slaughter Beach</t>
  </si>
  <si>
    <t>Campylobacter lari subsp. concheus LMG 11760</t>
  </si>
  <si>
    <t>Campylobacter peloridis LMG 23910</t>
  </si>
  <si>
    <t>Campylobacter sp. 03-427</t>
  </si>
  <si>
    <t>Campylobacter sp. 1485E</t>
  </si>
  <si>
    <t>Campylobacter sp. RM16704</t>
  </si>
  <si>
    <t>Campylobacter subantarcticus LMG 24374</t>
  </si>
  <si>
    <t>Campylobacter subantarcticus LMG 24377</t>
  </si>
  <si>
    <t>Campylobacter ureolyticus RIGS 9880</t>
  </si>
  <si>
    <t>Campylobacter volucris LMG 24379</t>
  </si>
  <si>
    <t>candidate division TM6 bacterium GW2011_GWF2_28_16</t>
  </si>
  <si>
    <t>Candidatus Accumulibacter phosphatis clade IIA str. UW-1</t>
  </si>
  <si>
    <t>Candidatus Amoebophilus asiaticus 5a2</t>
  </si>
  <si>
    <t>Candidatus Arthromitus sp. SFB-mouse-Japan</t>
  </si>
  <si>
    <t>Candidatus Arthromitus sp. SFB-mouse-NL</t>
  </si>
  <si>
    <t>Candidatus Arthromitus sp. SFB-mouse-Yit</t>
  </si>
  <si>
    <t>Candidatus Arthromitus sp. SFB-rat-Yit</t>
  </si>
  <si>
    <t>Candidatus Atelocyanobacterium thalassa isolate ALOHA</t>
  </si>
  <si>
    <t>Candidatus Azobacteroides pseudotrichonymphae genomovar. CFP2</t>
  </si>
  <si>
    <t>Candidatus Bartonella ancashi strain 20.00</t>
  </si>
  <si>
    <t>Candidatus Baumannia cicadellinicola strain BGSS</t>
  </si>
  <si>
    <t>Candidatus Baumannia cicadellinicola strain B-GSS</t>
  </si>
  <si>
    <t>Candidatus Blochmannia chromaiodes str. 640</t>
  </si>
  <si>
    <t>Candidatus Blochmannia floridanus</t>
  </si>
  <si>
    <t>Candidatus Blochmannia pennsylvanicus str. BPEN</t>
  </si>
  <si>
    <t>Candidatus Blochmannia vafer str. BVAF</t>
  </si>
  <si>
    <t>Candidatus Caedibacter acanthamoebae</t>
  </si>
  <si>
    <t>Candidatus Caldiarchaeum subterraneum</t>
  </si>
  <si>
    <t>Candidatus Carsonella ruddii CE isolate Thao2000</t>
  </si>
  <si>
    <t>Candidatus Carsonella ruddii CS isolate Thao2000</t>
  </si>
  <si>
    <t>Candidatus Carsonella ruddii DC</t>
  </si>
  <si>
    <t>Candidatus Carsonella ruddii HC isolate Thao2000</t>
  </si>
  <si>
    <t>Candidatus Carsonella ruddii HT isolate Thao2000</t>
  </si>
  <si>
    <t>Candidatus Carsonella ruddii PC isolate NHV</t>
  </si>
  <si>
    <t>Candidatus Carsonella ruddii PV</t>
  </si>
  <si>
    <t>Candidatus Carsonella ruddii strain YCCR</t>
  </si>
  <si>
    <t>Candidatus Chloracidobacterium thermophilum B</t>
  </si>
  <si>
    <t>Candidatus Cloacamonas acidaminovorans</t>
  </si>
  <si>
    <t>Candidatus Cloacimonas acidaminovorans str. Evry</t>
  </si>
  <si>
    <t>Candidatus Desulforudis audaxviator MP104C</t>
  </si>
  <si>
    <t>Candidatus Endolissoclinum faulkneri L5</t>
  </si>
  <si>
    <t>Candidatus Endolissoclinum patella L2</t>
  </si>
  <si>
    <t>Candidatus Endomicrobium sp. Rsa215</t>
  </si>
  <si>
    <t>Candidatus Evansia muelleri</t>
  </si>
  <si>
    <t>Candidatus Hamiltonella defensa 5AT (Acyrthosiphon pisum)</t>
  </si>
  <si>
    <t>Candidatus Hepatoplasma crinochetorum Av</t>
  </si>
  <si>
    <t>Candidatus Hodgkinia cicadicola</t>
  </si>
  <si>
    <t>Candidatus Hodgkinia cicadicola Dsem</t>
  </si>
  <si>
    <t>Candidatus Hodgkinia cicadicola strain TETUND2</t>
  </si>
  <si>
    <t>Candidatus Ishikawaella capsulata Mpkobe</t>
  </si>
  <si>
    <t>Candidatus Kinetoplastibacterium blastocrithidii (ex Strigomonas culicis)</t>
  </si>
  <si>
    <t>Candidatus Kinetoplastibacterium blastocrithidii TCC012E</t>
  </si>
  <si>
    <t>Candidatus Kinetoplastibacterium crithidii (ex Angomonas deanei ATCC 30255)</t>
  </si>
  <si>
    <t>Candidatus Kinetoplastibacterium crithidii TCC036E</t>
  </si>
  <si>
    <t>Candidatus Kinetoplastibacterium desouzaii TCC079E</t>
  </si>
  <si>
    <t>Candidatus Kinetoplastibacterium galatii TCC219</t>
  </si>
  <si>
    <t>Candidatus Kinetoplastibacterium oncopeltii TCC290E</t>
  </si>
  <si>
    <t>Candidatus Korarchaeum cryptofilum OPF8</t>
  </si>
  <si>
    <t>Candidatus Koribacter versatilis Ellin345</t>
  </si>
  <si>
    <t>Candidatus Liberibacter africanus PTSAPSY</t>
  </si>
  <si>
    <t>Candidatus Liberibacter americanus str. Sao Paulo</t>
  </si>
  <si>
    <t>Candidatus Liberibacter asiaticus str. gxpsy</t>
  </si>
  <si>
    <t>Candidatus Liberibacter asiaticus str. Ishi-1</t>
  </si>
  <si>
    <t>Candidatus Liberibacter asiaticus str. psy62</t>
  </si>
  <si>
    <t>Candidatus Liberibacter solanacearum CLso-ZC1</t>
  </si>
  <si>
    <t>Candidatus Methanomassiliicoccus intestinalis Issoire-Mx1</t>
  </si>
  <si>
    <t>Candidatus Methanomethylophilus alvus Mx1201</t>
  </si>
  <si>
    <t>Candidatus Methanoplasma termitum MpT1</t>
  </si>
  <si>
    <t>Candidatus Methylomirabilis oxyfera</t>
  </si>
  <si>
    <t>Candidatus Methylopumilus planktonicus strain MMS-2-53</t>
  </si>
  <si>
    <t>Candidatus Methylopumilus turicensis strain MMS-10A-171</t>
  </si>
  <si>
    <t>Candidatus Midichloria mitochondrii IricVA</t>
  </si>
  <si>
    <t>Candidatus Moranella endobia PCIT</t>
  </si>
  <si>
    <t>Candidatus Moranella endobia PCVAL</t>
  </si>
  <si>
    <t>Candidatus Mycoplasma girerdii VCU_M1</t>
  </si>
  <si>
    <t>Candidatus Mycoplasma haemolamae str. Purdue</t>
  </si>
  <si>
    <t>Candidatus Mycoplasma haemominutum 'Birmingham 1'</t>
  </si>
  <si>
    <t>Candidatus Nasuia deltocephalinicola str. NAS-ALF</t>
  </si>
  <si>
    <t>Candidatus Nasuia deltocephalinicola strain PUNC</t>
  </si>
  <si>
    <t>Candidatus Neoehrlichia lotoris str. RAC413</t>
  </si>
  <si>
    <t>Candidatus Nitrosoarchaeum limnia SFB1</t>
  </si>
  <si>
    <t>Candidatus Nitrosopelagicus brevis V2</t>
  </si>
  <si>
    <t>Candidatus Nitrosopumilus koreensis AR1</t>
  </si>
  <si>
    <t>Candidatus Nitrosopumilus sp. AR2</t>
  </si>
  <si>
    <t>Candidatus Nitrosopumilus sp. D3C</t>
  </si>
  <si>
    <t>Candidatus Nitrosopumilus sp. NF5</t>
  </si>
  <si>
    <t>Candidatus Nitrososphaera evergladensis SR1</t>
  </si>
  <si>
    <t>Candidatus Nitrososphaera gargensis Ga9.2</t>
  </si>
  <si>
    <t>Candidatus Nitrospira defluvii</t>
  </si>
  <si>
    <t>Candidatus Pantoea carbekii</t>
  </si>
  <si>
    <t>Candidatus Paracaedibacter acanthamoebae</t>
  </si>
  <si>
    <t>Candidatus Pelagibacter sp. IMCC9063</t>
  </si>
  <si>
    <t>Candidatus Pelagibacter ubique HTCC1062</t>
  </si>
  <si>
    <t>Candidatus Phaeomarinobacter ectocarpi strain Ec32</t>
  </si>
  <si>
    <t>Candidatus Phytoplasma australiense</t>
  </si>
  <si>
    <t>Candidatus Phytoplasma mali</t>
  </si>
  <si>
    <t>Candidatus Phytoplasma solani strain 231/09</t>
  </si>
  <si>
    <t>Candidatus Phytoplasma solani strain 284/09</t>
  </si>
  <si>
    <t>Candidatus Portiera aleyrodidarum BT-B-HRs</t>
  </si>
  <si>
    <t>Candidatus Portiera aleyrodidarum BT-QVLC</t>
  </si>
  <si>
    <t>Candidatus Portiera aleyrodidarum MED (Bemisia tabaci) BT-Q</t>
  </si>
  <si>
    <t>Candidatus Portiera aleyrodidarum strain AD-CAI</t>
  </si>
  <si>
    <t>Candidatus Portiera aleyrodidarum strain AF-CAI</t>
  </si>
  <si>
    <t>Candidatus Portiera aleyrodidarum TV</t>
  </si>
  <si>
    <t>Candidatus Profftella armatura strain DC</t>
  </si>
  <si>
    <t>Candidatus Profftella armatura strain YCPA</t>
  </si>
  <si>
    <t>Candidatus Protochlamydia amoebophila UWE25</t>
  </si>
  <si>
    <t>Candidatus Puniceispirillum marinum IMCC1322</t>
  </si>
  <si>
    <t>Candidatus Rhodoluna lacicola strain MWH-Ta8</t>
  </si>
  <si>
    <t>Candidatus Rickettsia amblyommii str. Ac/Pa</t>
  </si>
  <si>
    <t>Candidatus Rickettsia amblyommii str. GAT-30V</t>
  </si>
  <si>
    <t>Candidatus Rickettsia amblyommii strain Ac37</t>
  </si>
  <si>
    <t>Candidatus Riesia pediculicola USDA</t>
  </si>
  <si>
    <t>Candidatus Ruthia magnifica str. Cm (Calyptogena magnifica)</t>
  </si>
  <si>
    <t>Candidatus Saccharibacteria bacterium GW2011_GWC2_44_17</t>
  </si>
  <si>
    <t>Candidatus Saccharibacteria bacterium RAAC3_TM7_1</t>
  </si>
  <si>
    <t>Candidatus Saccharibacteria oral taxon TM7x</t>
  </si>
  <si>
    <t>Candidatus Saccharimonas aalborgensis</t>
  </si>
  <si>
    <t>Candidatus Sodalis pierantonius strain SOPE</t>
  </si>
  <si>
    <t>Candidatus Solibacter usitatus Ellin6076</t>
  </si>
  <si>
    <t>Candidatus Sulcia muelleri</t>
  </si>
  <si>
    <t>Candidatus Sulcia muelleri CARI</t>
  </si>
  <si>
    <t>Candidatus Sulcia muelleri DMIN</t>
  </si>
  <si>
    <t>Candidatus Sulcia muelleri GWSS</t>
  </si>
  <si>
    <t>Candidatus Sulcia muelleri PSPU</t>
  </si>
  <si>
    <t>Candidatus Sulcia muelleri SMDSEM</t>
  </si>
  <si>
    <t>Candidatus Sulcia muelleri str. Sulcia-ALF</t>
  </si>
  <si>
    <t>Candidatus Sulcia muelleri strain BGSS</t>
  </si>
  <si>
    <t>Candidatus Sulcia muelleri strain ML</t>
  </si>
  <si>
    <t>Candidatus Sulcia muelleri strain PUNC</t>
  </si>
  <si>
    <t>Candidatus Sulcia muelleri strain TETUND</t>
  </si>
  <si>
    <t>Candidatus Symbiobacter mobilis CR</t>
  </si>
  <si>
    <t>Candidatus Thioglobus singularis PS1</t>
  </si>
  <si>
    <t>Candidatus Thioglobus sp. EF1</t>
  </si>
  <si>
    <t>Candidatus Tremblaya phenacola PAVE</t>
  </si>
  <si>
    <t>Candidatus Tremblaya princeps</t>
  </si>
  <si>
    <t>Candidatus Tremblaya princeps PCIT</t>
  </si>
  <si>
    <t>Candidatus Tremblaya princeps PCVAL</t>
  </si>
  <si>
    <t>Candidatus Uzinura diaspidicola str. ASNER</t>
  </si>
  <si>
    <t>Candidatus Vesicomyosocius okutanii HA</t>
  </si>
  <si>
    <t>Candidatus Xiphinematobacter sp. Idaho Grape</t>
  </si>
  <si>
    <t>Candidatus Zinderia insecticola CARI</t>
  </si>
  <si>
    <t>Capnocytophaga canimorsus Cc5</t>
  </si>
  <si>
    <t>Capnocytophaga haemolytica strain CCUG 32990</t>
  </si>
  <si>
    <t>Capnocytophaga ochracea DSM 7271</t>
  </si>
  <si>
    <t>Capnocytophaga sp. oral taxon 323 strain F0383</t>
  </si>
  <si>
    <t>Carboxydothermus hydrogenoformans Z-2901</t>
  </si>
  <si>
    <t>Cardinium endosymbiont cEper1 of Encarsia pergandiella</t>
  </si>
  <si>
    <t>Carnobacterium maltaromaticum LMA28</t>
  </si>
  <si>
    <t>Carnobacterium sp. 17-4</t>
  </si>
  <si>
    <t>Carnobacterium sp. CP1</t>
  </si>
  <si>
    <t>Carnobacterium sp. WN1359</t>
  </si>
  <si>
    <t>Castellaniella defragrans 65Phen</t>
  </si>
  <si>
    <t>Catenulispora acidiphila DSM 44928</t>
  </si>
  <si>
    <t>Caulobacter crescentus CB15</t>
  </si>
  <si>
    <t>Caulobacter crescentus NA1000</t>
  </si>
  <si>
    <t>Caulobacter henricii strain CB4</t>
  </si>
  <si>
    <t>Caulobacter segnis ATCC 21756</t>
  </si>
  <si>
    <t>Caulobacter sp. K31</t>
  </si>
  <si>
    <t>Cedecea neteri M006</t>
  </si>
  <si>
    <t>Cedecea neteri ND14a</t>
  </si>
  <si>
    <t>Cedecea neteri ND14b</t>
  </si>
  <si>
    <t>Cedecea neteri SSMD04</t>
  </si>
  <si>
    <t>Cedecea neteri strain ND02</t>
  </si>
  <si>
    <t>Celeribacter indicus P73</t>
  </si>
  <si>
    <t>Celeribacter marinus strain IMCC12053</t>
  </si>
  <si>
    <t>Cellulomonas fimi ATCC 484</t>
  </si>
  <si>
    <t>Cellulomonas flavigena DSM 20109</t>
  </si>
  <si>
    <t>Cellulomonas sp. FA1</t>
  </si>
  <si>
    <t>Cellulophaga algicola DSM 14237</t>
  </si>
  <si>
    <t>Cellulophaga lytica DSM 7489</t>
  </si>
  <si>
    <t>Cellulophaga lytica strain HI1</t>
  </si>
  <si>
    <t>Cellvibrio japonicus Ueda107</t>
  </si>
  <si>
    <t>Cenarchaeum symbiosum A</t>
  </si>
  <si>
    <t>Chamaesiphon minutus PCC 6605</t>
  </si>
  <si>
    <t>Chelativorans sp. BNC1</t>
  </si>
  <si>
    <t>Chelatococcus sp. CO-6</t>
  </si>
  <si>
    <t>Chitinophaga pinensis DSM 2588</t>
  </si>
  <si>
    <t>Chlamydia muridarum Nigg</t>
  </si>
  <si>
    <t>Chlamydia muridarum str. Nigg 2 MCR</t>
  </si>
  <si>
    <t>Chlamydia muridarum str. Nigg CM972</t>
  </si>
  <si>
    <t>Chlamydia muridarum str. Nigg3 CMUT3-5</t>
  </si>
  <si>
    <t>Chlamydia muridarum strain Nigg3</t>
  </si>
  <si>
    <t>Chlamydia pecorum DBDeUG</t>
  </si>
  <si>
    <t>Chlamydia pecorum IPTaLE</t>
  </si>
  <si>
    <t>Chlamydia pecorum MC/MarsBar</t>
  </si>
  <si>
    <t>Chlamydia pecorum P787</t>
  </si>
  <si>
    <t>Chlamydia pecorum PV3056/3</t>
  </si>
  <si>
    <t>Chlamydia pecorum VR629</t>
  </si>
  <si>
    <t>Chlamydia pecorum W73</t>
  </si>
  <si>
    <t>Chlamydia pneumoniae</t>
  </si>
  <si>
    <t>Chlamydia psittaci 01DC11</t>
  </si>
  <si>
    <t>Chlamydia psittaci 01DC12</t>
  </si>
  <si>
    <t>Chlamydia psittaci 02DC15</t>
  </si>
  <si>
    <t>Chlamydia psittaci 08DC60</t>
  </si>
  <si>
    <t>Chlamydia psittaci 84/55</t>
  </si>
  <si>
    <t>Chlamydia psittaci C19/98</t>
  </si>
  <si>
    <t>Chlamydia psittaci CP3</t>
  </si>
  <si>
    <t>Chlamydia psittaci GR9</t>
  </si>
  <si>
    <t>Chlamydia psittaci M56</t>
  </si>
  <si>
    <t>Chlamydia psittaci MN</t>
  </si>
  <si>
    <t>Chlamydia psittaci NJ1</t>
  </si>
  <si>
    <t>Chlamydia psittaci VS225</t>
  </si>
  <si>
    <t>Chlamydia psittaci WC</t>
  </si>
  <si>
    <t>Chlamydia psittaci WS/RT/E30</t>
  </si>
  <si>
    <t>Chlamydia sp. 10DC88</t>
  </si>
  <si>
    <t>Chlamydia sp. 2742-308</t>
  </si>
  <si>
    <t>Chlamydia trachomatis</t>
  </si>
  <si>
    <t>Chlamydia trachomatis 434/Bu</t>
  </si>
  <si>
    <t>Chlamydia trachomatis A/363</t>
  </si>
  <si>
    <t>Chlamydia trachomatis A/5291</t>
  </si>
  <si>
    <t>Chlamydia trachomatis A/7249</t>
  </si>
  <si>
    <t>Chlamydia trachomatis A/HAR-13</t>
  </si>
  <si>
    <t>Chlamydia trachomatis A2497</t>
  </si>
  <si>
    <t>Chlamydia trachomatis B/Jali20/OT</t>
  </si>
  <si>
    <t>Chlamydia trachomatis C/TW-3</t>
  </si>
  <si>
    <t>Chlamydia trachomatis D/CS637/11</t>
  </si>
  <si>
    <t>Chlamydia trachomatis D/SotonD1</t>
  </si>
  <si>
    <t>Chlamydia trachomatis D/SotonD5</t>
  </si>
  <si>
    <t>Chlamydia trachomatis D/SotonD6</t>
  </si>
  <si>
    <t>Chlamydia trachomatis D/UW-3/CX</t>
  </si>
  <si>
    <t>Chlamydia trachomatis D-EC</t>
  </si>
  <si>
    <t>Chlamydia trachomatis D-LC</t>
  </si>
  <si>
    <t>Chlamydia trachomatis E/11023</t>
  </si>
  <si>
    <t>Chlamydia trachomatis E/150</t>
  </si>
  <si>
    <t>Chlamydia trachomatis E/Bour</t>
  </si>
  <si>
    <t>Chlamydia trachomatis E/C599</t>
  </si>
  <si>
    <t>Chlamydia trachomatis E/SotonE4</t>
  </si>
  <si>
    <t>Chlamydia trachomatis E/SotonE8</t>
  </si>
  <si>
    <t>Chlamydia trachomatis E/SW3</t>
  </si>
  <si>
    <t>Chlamydia trachomatis F/11-96</t>
  </si>
  <si>
    <t>Chlamydia trachomatis F/SotonF3</t>
  </si>
  <si>
    <t>Chlamydia trachomatis F/SW4</t>
  </si>
  <si>
    <t>Chlamydia trachomatis F/SW5</t>
  </si>
  <si>
    <t>Chlamydia trachomatis F/SWFPminus</t>
  </si>
  <si>
    <t>Chlamydia trachomatis G/11074</t>
  </si>
  <si>
    <t>Chlamydia trachomatis G/11222</t>
  </si>
  <si>
    <t>Chlamydia trachomatis G/9301</t>
  </si>
  <si>
    <t>Chlamydia trachomatis G/9768</t>
  </si>
  <si>
    <t>Chlamydia trachomatis G/SotonG1</t>
  </si>
  <si>
    <t>Chlamydia trachomatis Ia/SotonIa1</t>
  </si>
  <si>
    <t>Chlamydia trachomatis Ia/SotonIa3</t>
  </si>
  <si>
    <t>Chlamydia trachomatis IU824</t>
  </si>
  <si>
    <t>Chlamydia trachomatis IU888</t>
  </si>
  <si>
    <t>Chlamydia trachomatis J/6276tet1</t>
  </si>
  <si>
    <t>Chlamydia trachomatis K/SotonK1</t>
  </si>
  <si>
    <t>Chlamydia trachomatis L1/115</t>
  </si>
  <si>
    <t>Chlamydia trachomatis L1/1322/p2</t>
  </si>
  <si>
    <t>Chlamydia trachomatis L1/224</t>
  </si>
  <si>
    <t>Chlamydia trachomatis L1/440/LN</t>
  </si>
  <si>
    <t>Chlamydia trachomatis L2/25667R</t>
  </si>
  <si>
    <t>Chlamydia trachomatis L2/434/Bu(f)</t>
  </si>
  <si>
    <t>Chlamydia trachomatis L2/434/Bu(i)</t>
  </si>
  <si>
    <t>Chlamydia trachomatis L2b/795</t>
  </si>
  <si>
    <t>Chlamydia trachomatis L2b/8200/07</t>
  </si>
  <si>
    <t>Chlamydia trachomatis L2b/Ams1</t>
  </si>
  <si>
    <t>Chlamydia trachomatis L2b/Ams2</t>
  </si>
  <si>
    <t>Chlamydia trachomatis L2b/Ams3</t>
  </si>
  <si>
    <t>Chlamydia trachomatis L2b/Ams4</t>
  </si>
  <si>
    <t>Chlamydia trachomatis L2b/Ams5</t>
  </si>
  <si>
    <t>Chlamydia trachomatis L2b/Canada1</t>
  </si>
  <si>
    <t>Chlamydia trachomatis L2b/Canada2</t>
  </si>
  <si>
    <t>Chlamydia trachomatis L2b/CV204</t>
  </si>
  <si>
    <t>Chlamydia trachomatis L2b/LST</t>
  </si>
  <si>
    <t>Chlamydia trachomatis L2b/UCH-1/proctitis</t>
  </si>
  <si>
    <t>Chlamydia trachomatis L2b/UCH-2</t>
  </si>
  <si>
    <t>Chlamydia trachomatis L2c</t>
  </si>
  <si>
    <t>Chlamydia trachomatis L3/404/LN</t>
  </si>
  <si>
    <t>Chlamydia trachomatis RC-F(s)/342</t>
  </si>
  <si>
    <t>Chlamydia trachomatis RC-F(s)/852</t>
  </si>
  <si>
    <t>Chlamydia trachomatis RC-F/69</t>
  </si>
  <si>
    <t>Chlamydia trachomatis RC-J(s)/122</t>
  </si>
  <si>
    <t>Chlamydia trachomatis RC-J/943</t>
  </si>
  <si>
    <t>Chlamydia trachomatis RC-J/953</t>
  </si>
  <si>
    <t>Chlamydia trachomatis RC-J/966</t>
  </si>
  <si>
    <t>Chlamydia trachomatis RC-J/971</t>
  </si>
  <si>
    <t>Chlamydia trachomatis RC-L2(s)/3</t>
  </si>
  <si>
    <t>Chlamydia trachomatis RC-L2(s)/46</t>
  </si>
  <si>
    <t>Chlamydia trachomatis RC-L2/55</t>
  </si>
  <si>
    <t>Chlamydia trachomatis strain B/TZ1A828/OT</t>
  </si>
  <si>
    <t>Chlamydia trachomatis strain E/CS1025/11</t>
  </si>
  <si>
    <t>Chlamydia trachomatis strain E-103</t>
  </si>
  <si>
    <t>Chlamydia trachomatis strain E-160</t>
  </si>
  <si>
    <t>#Organism/Name</t>
  </si>
  <si>
    <t>TaxID</t>
  </si>
  <si>
    <t>BioProject Accession</t>
  </si>
  <si>
    <t>BioProject ID</t>
  </si>
  <si>
    <t>Group</t>
  </si>
  <si>
    <t>SubGroup</t>
  </si>
  <si>
    <t>Size (Kb)</t>
  </si>
  <si>
    <t>Chlamydia trachomatis strain E-32931</t>
  </si>
  <si>
    <t>GC%</t>
  </si>
  <si>
    <t>Chlamydia trachomatis strain E-547</t>
  </si>
  <si>
    <t>Host</t>
  </si>
  <si>
    <t>Segmemts</t>
  </si>
  <si>
    <t>Genes</t>
  </si>
  <si>
    <t>Proteins</t>
  </si>
  <si>
    <t>Release Date</t>
  </si>
  <si>
    <t>Modify Date</t>
  </si>
  <si>
    <t>Status</t>
  </si>
  <si>
    <t>Mushroom bacilliform virus</t>
  </si>
  <si>
    <t>PRJNA14676</t>
  </si>
  <si>
    <t>ssRNA viruses</t>
  </si>
  <si>
    <t>Chlamydia trachomatis strain E-8873</t>
  </si>
  <si>
    <t>Barnaviridae</t>
  </si>
  <si>
    <t>46.3</t>
  </si>
  <si>
    <t>fungi</t>
  </si>
  <si>
    <t>Unknown:NC_001633.1/U07551.1</t>
  </si>
  <si>
    <t>Complete Genome</t>
  </si>
  <si>
    <t>White spot syndrome virus</t>
  </si>
  <si>
    <t>PRJNA14616</t>
  </si>
  <si>
    <t>dsDNA viruses, no RNA stage</t>
  </si>
  <si>
    <t>Nimaviridae</t>
  </si>
  <si>
    <t>40.9</t>
  </si>
  <si>
    <t>invertebrates</t>
  </si>
  <si>
    <t>Unknown:NC_003225.3/KT995472.1</t>
  </si>
  <si>
    <t>Chlamydia trachomatis strain E-DK-20</t>
  </si>
  <si>
    <t>Hepatitis E virus</t>
  </si>
  <si>
    <t>PRJNA15435</t>
  </si>
  <si>
    <t>Hepeviridae</t>
  </si>
  <si>
    <t>57.9</t>
  </si>
  <si>
    <t>vertebrates, human</t>
  </si>
  <si>
    <t>Unknown:NC_001434.1/L08816.1</t>
  </si>
  <si>
    <t>Heterosigma akashiwo RNA virus SOG263</t>
  </si>
  <si>
    <t>PRJNA15425</t>
  </si>
  <si>
    <t>Marnaviridae</t>
  </si>
  <si>
    <t>46.9</t>
  </si>
  <si>
    <t>algae</t>
  </si>
  <si>
    <t>Unknown:NC_005281.1/AY337486.1</t>
  </si>
  <si>
    <t>Chlamydia trachomatis strain F/CS847/08</t>
  </si>
  <si>
    <t>Posavirus sp.</t>
  </si>
  <si>
    <t>unclassified viruses</t>
  </si>
  <si>
    <t>unclassified</t>
  </si>
  <si>
    <t>32.8</t>
  </si>
  <si>
    <t>eukaryotes</t>
  </si>
  <si>
    <t>NC_032412.1/KX673273.1</t>
  </si>
  <si>
    <t>Acholeplasma virus L2</t>
  </si>
  <si>
    <t>PRJNA14066</t>
  </si>
  <si>
    <t>Chlamydia trachomatis strain F-6068</t>
  </si>
  <si>
    <t>Plasmaviridae</t>
  </si>
  <si>
    <t>bacteria</t>
  </si>
  <si>
    <t>Unknown:NC_001447.1/L13696.1</t>
  </si>
  <si>
    <t>Pseudoalteromonas phage PM2</t>
  </si>
  <si>
    <t>PRJNA14237</t>
  </si>
  <si>
    <t>Corticoviridae</t>
  </si>
  <si>
    <t>42.2</t>
  </si>
  <si>
    <t>Unknown:NC_000867.1/AF155037.1</t>
  </si>
  <si>
    <t>Chlamydia trachomatis strain Ia/CS190/96</t>
  </si>
  <si>
    <t>Botrytis virus F</t>
  </si>
  <si>
    <t>PRJNA14707</t>
  </si>
  <si>
    <t>Gammaflexiviridae</t>
  </si>
  <si>
    <t>53.4</t>
  </si>
  <si>
    <t>Unknown:NC_002604.1/AF238884.1</t>
  </si>
  <si>
    <t>Chaetoceros socialis f. radians RNA virus 01</t>
  </si>
  <si>
    <t>PRJNA34845</t>
  </si>
  <si>
    <t>Chlamydia trachomatis strain L2b/CS19/08</t>
  </si>
  <si>
    <t>39.6</t>
  </si>
  <si>
    <t>Unknown:NC_012212.1/AB469874.1</t>
  </si>
  <si>
    <t>Ostreid herpesvirus 1</t>
  </si>
  <si>
    <t>PRJNA14552</t>
  </si>
  <si>
    <t>Malacoherpesviridae</t>
  </si>
  <si>
    <t>38.7</t>
  </si>
  <si>
    <t>Unknown:NC_005881.2/AY509253.2</t>
  </si>
  <si>
    <t>Hamiltonella virus APSE1</t>
  </si>
  <si>
    <t>PRJNA14047</t>
  </si>
  <si>
    <t>Podoviridae</t>
  </si>
  <si>
    <t>Chlamydia trachomatis strain L2b/CS784/08</t>
  </si>
  <si>
    <t>43.9</t>
  </si>
  <si>
    <t>Unknown:NC_000935.1/AF157835.1</t>
  </si>
  <si>
    <t>Halorubrum phage HF2</t>
  </si>
  <si>
    <t>PRJNA14147</t>
  </si>
  <si>
    <t>55.8</t>
  </si>
  <si>
    <t>archaea</t>
  </si>
  <si>
    <t>Unknown:NC_003345.1/AF222060.1</t>
  </si>
  <si>
    <t>Halovirus HF1</t>
  </si>
  <si>
    <t>PRJNA14294</t>
  </si>
  <si>
    <t>Unknown:NC_004927.1/AY190604.1</t>
  </si>
  <si>
    <t>Chlamydia trachomatis Sweden2</t>
  </si>
  <si>
    <t>Strawberry mottle virus</t>
  </si>
  <si>
    <t>PRJNA14740</t>
  </si>
  <si>
    <t>Secoviridae</t>
  </si>
  <si>
    <t>45.5772</t>
  </si>
  <si>
    <t>plants</t>
  </si>
  <si>
    <t>RNA 1:NC_003445.1/AJ311875.1;  RNA 2:NC_003446.1/AJ311876.1</t>
  </si>
  <si>
    <t>Chlamydophila abortus S26/3</t>
  </si>
  <si>
    <t>Botrytis virus X</t>
  </si>
  <si>
    <t>PRJNA14947</t>
  </si>
  <si>
    <t>Alphaflexiviridae</t>
  </si>
  <si>
    <t>54.6</t>
  </si>
  <si>
    <t>Unknown:NC_005132.1/AY055762.1</t>
  </si>
  <si>
    <t>Chalara elegans RNA Virus 1</t>
  </si>
  <si>
    <t>PRJNA15126</t>
  </si>
  <si>
    <t>dsRNA viruses</t>
  </si>
  <si>
    <t>Totiviridae</t>
  </si>
  <si>
    <t>52.6</t>
  </si>
  <si>
    <t>Unknown:NC_005883.1/AY561500.1</t>
  </si>
  <si>
    <t>Chlamydophila abortus strain AB7</t>
  </si>
  <si>
    <t>Strawberry latent ringspot virus</t>
  </si>
  <si>
    <t>PRJNA15167</t>
  </si>
  <si>
    <t>45.5149</t>
  </si>
  <si>
    <t>RNA 1:NC_006964.1/AY860978.1;  RNA 2:NC_006965.1/AY860979.1</t>
  </si>
  <si>
    <t>Human picobirnavirus</t>
  </si>
  <si>
    <t>PRJNA15248</t>
  </si>
  <si>
    <t>Picobirnaviridae</t>
  </si>
  <si>
    <t>46.0452</t>
  </si>
  <si>
    <t>1:NC_007026.1/AB186897.1;  2:NC_007027.1/AB186898.1</t>
  </si>
  <si>
    <t>Chlamydophila caviae GPIC</t>
  </si>
  <si>
    <t>Satsuma dwarf virus</t>
  </si>
  <si>
    <t>PRJNA15409</t>
  </si>
  <si>
    <t>47.2522</t>
  </si>
  <si>
    <t>RNA 1:NC_003785.2/AB009958.2;  RNA 2:NC_003786.2/AB009959.2</t>
  </si>
  <si>
    <t>Chaetoceros salsugineum DNA virus</t>
  </si>
  <si>
    <t>PRJNA15497</t>
  </si>
  <si>
    <t>unassigned viruses</t>
  </si>
  <si>
    <t>Chlamydophila felis Fe/C-56</t>
  </si>
  <si>
    <t>Unknown:NC_007193.2/AB193315.2</t>
  </si>
  <si>
    <t>Haloarcula hispanica virus SH1</t>
  </si>
  <si>
    <t>PRJNA15535</t>
  </si>
  <si>
    <t>Other</t>
  </si>
  <si>
    <t>Sphaerolipoviridae</t>
  </si>
  <si>
    <t>68.4</t>
  </si>
  <si>
    <t>Unknown:NC_007217.1/AY950802.1</t>
  </si>
  <si>
    <t>Aurantiochytrium single-stranded RNA virus 01</t>
  </si>
  <si>
    <t>PRJNA16134</t>
  </si>
  <si>
    <t>49.7</t>
  </si>
  <si>
    <t>Unknown:NC_007522.1/AB193726.1</t>
  </si>
  <si>
    <t>Chlamydophila pecorum E58</t>
  </si>
  <si>
    <t>Black raspberry necrosis virus</t>
  </si>
  <si>
    <t>PRJNA17093</t>
  </si>
  <si>
    <t>47.0302</t>
  </si>
  <si>
    <t>RNA 1:NC_008182.1/DQ344639.1;  RNA 2:NC_008183.1/DQ344640.1</t>
  </si>
  <si>
    <t>Citrus leprosis virus C</t>
  </si>
  <si>
    <t>PRJNA17095</t>
  </si>
  <si>
    <t>41.7101</t>
  </si>
  <si>
    <t>RNA-1:NC_008169.1/DQ352194.1;  RNA-2:NC_008170.1/DQ352195.1</t>
  </si>
  <si>
    <t>White bream virus</t>
  </si>
  <si>
    <t>PRJNA18013</t>
  </si>
  <si>
    <t>Chlamydophila pneumoniae AR39</t>
  </si>
  <si>
    <t>Coronaviridae</t>
  </si>
  <si>
    <t>43.3</t>
  </si>
  <si>
    <t>vertebrates</t>
  </si>
  <si>
    <t>Unknown:NC_008516.1/DQ898157.1</t>
  </si>
  <si>
    <t>Tomato torrado virus</t>
  </si>
  <si>
    <t>PRJNA18831</t>
  </si>
  <si>
    <t>44.1182</t>
  </si>
  <si>
    <t>RNA 1:NC_009013.1/DQ388879.1;  RNA 2:NC_009032.1/DQ388880.1</t>
  </si>
  <si>
    <t>Acidianus bottle-shaped virus</t>
  </si>
  <si>
    <t>PRJNA19605</t>
  </si>
  <si>
    <t>Chlamydophila pneumoniae CWL029</t>
  </si>
  <si>
    <t>Ampullaviridae</t>
  </si>
  <si>
    <t>34.6</t>
  </si>
  <si>
    <t>Unknown:NC_009452.1/EF432053.1</t>
  </si>
  <si>
    <t>Pyrococcus abyssi virus 1</t>
  </si>
  <si>
    <t>PRJNA19929</t>
  </si>
  <si>
    <t>47.2</t>
  </si>
  <si>
    <t>Unknown:NC_009597.1/EF071488.1</t>
  </si>
  <si>
    <t>Marine RNA virus SOG</t>
  </si>
  <si>
    <t>PRJNA20647</t>
  </si>
  <si>
    <t>Chlamydophila pneumoniae J138</t>
  </si>
  <si>
    <t>51.7</t>
  </si>
  <si>
    <t>environment</t>
  </si>
  <si>
    <t>Unknown:NC_009756.1/EF198240.1</t>
  </si>
  <si>
    <t>Marine RNA virus JP-A</t>
  </si>
  <si>
    <t>PRJNA20649</t>
  </si>
  <si>
    <t>41.3</t>
  </si>
  <si>
    <t>Unknown:NC_009757.1/EF198241.1</t>
  </si>
  <si>
    <t>Marine RNA virus JP-B</t>
  </si>
  <si>
    <t>PRJNA20651</t>
  </si>
  <si>
    <t>37.6</t>
  </si>
  <si>
    <t>Unknown:NC_009758.1/EF198242.1</t>
  </si>
  <si>
    <t>Chlamydophila pneumoniae LPCoLN</t>
  </si>
  <si>
    <t>Gill-associated virus</t>
  </si>
  <si>
    <t>PRJNA28679</t>
  </si>
  <si>
    <t>Roniviridae</t>
  </si>
  <si>
    <t>46.2</t>
  </si>
  <si>
    <t>Unknown:NC_010306.1/AF227196.2</t>
  </si>
  <si>
    <t>-</t>
  </si>
  <si>
    <t>Chlamydophila pneumoniae TW-183</t>
  </si>
  <si>
    <t>Tomato marchitez virus</t>
  </si>
  <si>
    <t>PRJNA30365</t>
  </si>
  <si>
    <t>42.0809</t>
  </si>
  <si>
    <t>RNA 1:NC_010987.1/EF681764.1;  RNA 2:NC_010988.1/EF681765.1</t>
  </si>
  <si>
    <t>Ourmia melon virus</t>
  </si>
  <si>
    <t>PRJNA30737</t>
  </si>
  <si>
    <t>51.5204</t>
  </si>
  <si>
    <t>RNA 1:NC_011068.1/EU770623.1;  RNA 2:NC_011069.1/EU770624.1;  RNA 3:NC_011070.1/EU770625.1</t>
  </si>
  <si>
    <t>Chlamydophila psittaci 6BC</t>
  </si>
  <si>
    <t>Epirus cherry virus</t>
  </si>
  <si>
    <t>PRJNA30739</t>
  </si>
  <si>
    <t>53.0887</t>
  </si>
  <si>
    <t>RNA 1:NC_011065.1/EU770620.1;  RNA 2:NC_011066.1/EU770621.1;  RNA 3:NC_011067.1/EU770622.1</t>
  </si>
  <si>
    <t>Sputnik virophage</t>
  </si>
  <si>
    <t>PRJNA30929</t>
  </si>
  <si>
    <t>Lavidaviridae</t>
  </si>
  <si>
    <t>protozoa</t>
  </si>
  <si>
    <t>Unknown:NC_011132.1/EU606015.1</t>
  </si>
  <si>
    <t>Poinsettia latent virus</t>
  </si>
  <si>
    <t>Chlamydophila psittaci 6BC (Prj:62889)</t>
  </si>
  <si>
    <t>PRJNA32691</t>
  </si>
  <si>
    <t>45.8</t>
  </si>
  <si>
    <t>Unknown:NC_011543.1/AJ867490.1</t>
  </si>
  <si>
    <t>Midway nyavirus</t>
  </si>
  <si>
    <t>PRJNA38097</t>
  </si>
  <si>
    <t>Nyamiviridae</t>
  </si>
  <si>
    <t>50.4</t>
  </si>
  <si>
    <t>vertebrates, invertebrates</t>
  </si>
  <si>
    <t>Unknown:NC_012702.1/FJ554525.1</t>
  </si>
  <si>
    <t>Nyamanini nyavirus</t>
  </si>
  <si>
    <t>PRJNA38109</t>
  </si>
  <si>
    <t>Chlamydophila psittaci Mat116</t>
  </si>
  <si>
    <t>52.3</t>
  </si>
  <si>
    <t>Unknown:NC_012703.1/FJ554526.1</t>
  </si>
  <si>
    <t>Vibrio phage douglas 12A4</t>
  </si>
  <si>
    <t>PRJNA39215</t>
  </si>
  <si>
    <t>Unknown:NC_021068.1/HQ316580.1</t>
  </si>
  <si>
    <t>Vibrio phage helene 12B3</t>
  </si>
  <si>
    <t>PRJNA39217</t>
  </si>
  <si>
    <t>Chlamydophila psittaci RD1</t>
  </si>
  <si>
    <t>Unknown:NC_021067.1/HQ316579.1</t>
  </si>
  <si>
    <t>Vibrio phage martha 12B12</t>
  </si>
  <si>
    <t>PRJNA39219</t>
  </si>
  <si>
    <t>Myoviridae</t>
  </si>
  <si>
    <t>Unknown:NC_021070.1/HQ316581.1</t>
  </si>
  <si>
    <t>Wheat yellow dwarf virus-GPV</t>
  </si>
  <si>
    <t>PRJNA39307</t>
  </si>
  <si>
    <t>Luteoviridae</t>
  </si>
  <si>
    <t>49.5</t>
  </si>
  <si>
    <t>Unknown:NC_012931.1/FM865413.1</t>
  </si>
  <si>
    <t>Salivirus NG-J1</t>
  </si>
  <si>
    <t>PRJNA39349</t>
  </si>
  <si>
    <t>Picornaviridae</t>
  </si>
  <si>
    <t>Chlorobaculum parvum NCIB 8327</t>
  </si>
  <si>
    <t>56.7</t>
  </si>
  <si>
    <t>Unknown:NC_012957.1/GQ179640.3</t>
  </si>
  <si>
    <t>Drosophila A virus</t>
  </si>
  <si>
    <t>PRJNA39351</t>
  </si>
  <si>
    <t>47.6</t>
  </si>
  <si>
    <t>Unknown:NC_012958.1/FJ150422.1</t>
  </si>
  <si>
    <t>Kalanchoe latent virus</t>
  </si>
  <si>
    <t>PRJNA39583</t>
  </si>
  <si>
    <t>Betaflexiviridae</t>
  </si>
  <si>
    <t>Unknown:NC_013006.1/FJ531634.1</t>
  </si>
  <si>
    <t>Carrot yellow leaf virus</t>
  </si>
  <si>
    <t>PRJNA39585</t>
  </si>
  <si>
    <t>Closteroviridae</t>
  </si>
  <si>
    <t>Chlorobium chlorochromatii CaD3</t>
  </si>
  <si>
    <t>45.1</t>
  </si>
  <si>
    <t>Unknown:NC_013007.1/FJ869862.1</t>
  </si>
  <si>
    <t>Sclerotinia sclerotiorum partitivirus S</t>
  </si>
  <si>
    <t>PRJNA39595</t>
  </si>
  <si>
    <t>Partitiviridae</t>
  </si>
  <si>
    <t>44.145</t>
  </si>
  <si>
    <t>RNA 1:NC_013014.1/GQ280377.1;  RNA 2:NC_013015.1/GQ280378.1</t>
  </si>
  <si>
    <t>Aedes flavivirus</t>
  </si>
  <si>
    <t>PRJNA39601</t>
  </si>
  <si>
    <t>Flaviviridae</t>
  </si>
  <si>
    <t>50.1</t>
  </si>
  <si>
    <t>vertebrates, invertebrates, human</t>
  </si>
  <si>
    <t>Unknown:NC_012932.1/AB488408.1</t>
  </si>
  <si>
    <t>Chlorobium limicola DSM 245</t>
  </si>
  <si>
    <t>Okra leaf curl virus-[Cameroon]</t>
  </si>
  <si>
    <t>PRJNA39605</t>
  </si>
  <si>
    <t>ssDNA viruses</t>
  </si>
  <si>
    <t>Geminiviridae</t>
  </si>
  <si>
    <t>Unknown:NC_013017.1/FM164726.1</t>
  </si>
  <si>
    <t>Sunn hemp leaf distortion virus</t>
  </si>
  <si>
    <t>PRJNA39609</t>
  </si>
  <si>
    <t>42.9</t>
  </si>
  <si>
    <t>Unknown:NC_013019.1/FJ455449.1</t>
  </si>
  <si>
    <t>Ipomoea yellow vein virus</t>
  </si>
  <si>
    <t>Chlorobium luteolum DSM 273</t>
  </si>
  <si>
    <t>PRJNA39615</t>
  </si>
  <si>
    <t>44.3</t>
  </si>
  <si>
    <t>Unknown:NC_013022.2/EU839576.2</t>
  </si>
  <si>
    <t>Human papillomavirus 116</t>
  </si>
  <si>
    <t>PRJNA39691</t>
  </si>
  <si>
    <t>Papillomaviridae</t>
  </si>
  <si>
    <t>38.5</t>
  </si>
  <si>
    <t>Unknown:NC_013035.1/FJ804072.1</t>
  </si>
  <si>
    <t>Anatid alphaherpesvirus 1</t>
  </si>
  <si>
    <t>PRJNA39725</t>
  </si>
  <si>
    <t>Herpesviridae</t>
  </si>
  <si>
    <t>44.9</t>
  </si>
  <si>
    <t>Unknown:NC_013036.1/EU082088.2</t>
  </si>
  <si>
    <t>Chlorobium phaeobacteroides BS1</t>
  </si>
  <si>
    <t>Burkholderia phage KS9</t>
  </si>
  <si>
    <t>PRJNA39771</t>
  </si>
  <si>
    <t>Siphoviridae</t>
  </si>
  <si>
    <t>60.7</t>
  </si>
  <si>
    <t>Unknown:NC_013055.1/FJ982340.1</t>
  </si>
  <si>
    <t>Morogoro mammarenavirus</t>
  </si>
  <si>
    <t>PRJNA39791</t>
  </si>
  <si>
    <t>Arenaviridae</t>
  </si>
  <si>
    <t>43.05</t>
  </si>
  <si>
    <t>L:NC_013058.1/EU914104.1;  S:NC_013057.1/EU914103.1</t>
  </si>
  <si>
    <t>Chlorobium phaeobacteroides DSM 266</t>
  </si>
  <si>
    <t>Salmonella phage g341c</t>
  </si>
  <si>
    <t>PRJNA39795</t>
  </si>
  <si>
    <t>47.4</t>
  </si>
  <si>
    <t>Unknown:NC_013059.1/FJ000341.1</t>
  </si>
  <si>
    <t>Astrovirus VA1</t>
  </si>
  <si>
    <t>PRJNA39811</t>
  </si>
  <si>
    <t>Astroviridae</t>
  </si>
  <si>
    <t>41.9</t>
  </si>
  <si>
    <t>Unknown:NC_013060.1/FJ973620.1</t>
  </si>
  <si>
    <t>Faba bean necrotic stunt virus</t>
  </si>
  <si>
    <t>Chlorobium phaeovibrioides DSM 265</t>
  </si>
  <si>
    <t>PRJNA39929</t>
  </si>
  <si>
    <t>Nanoviridae</t>
  </si>
  <si>
    <t>38.9521</t>
  </si>
  <si>
    <t>DNA C:NC_013096.1/GQ150780.1;  DNA M:NC_013097.1/GQ150781.1;  DNA N:NC_013098.1/GQ150782.1;  DNA R:NC_013094.1/GQ150778.1;  DNA S:NC_013095.1/GQ150779.1;  DNA U1:NC_013099.1/GQ150783.1;  DNA U2:NC_013100.1/GQ150784.1;  DNA U4:NC_013101.1/GQ150785.1</t>
  </si>
  <si>
    <t>Tomato leaf curl Hainan virus</t>
  </si>
  <si>
    <t>PRJNA39931</t>
  </si>
  <si>
    <t>42.4</t>
  </si>
  <si>
    <t>Unknown:NC_013102.1/FN434083.1</t>
  </si>
  <si>
    <t>Stretch Lagoon orbivirus</t>
  </si>
  <si>
    <t>PRJNA39971</t>
  </si>
  <si>
    <t>Reoviridae</t>
  </si>
  <si>
    <t>42.9116</t>
  </si>
  <si>
    <t>segment 1:NC_012754.1/EU718676.1;  segment 2:NC_012755.1/EU718677.1</t>
  </si>
  <si>
    <t>Chlorobium tepidum TLS</t>
  </si>
  <si>
    <t>Primula malacoides virus China/Mar2007</t>
  </si>
  <si>
    <t>PRJNA39975</t>
  </si>
  <si>
    <t>40.9864</t>
  </si>
  <si>
    <t>RNA 1:NC_013109.1/EU195326.1;  RNA 2:NC_013110.1/EU195327.1</t>
  </si>
  <si>
    <t>Cassava virus C</t>
  </si>
  <si>
    <t>PRJNA39977</t>
  </si>
  <si>
    <t>50.7801</t>
  </si>
  <si>
    <t>RNA 1:NC_013111.1/FJ157981.1;  RNA 2:NC_013112.1/FJ157982.1;  RNA 3:NC_013113.1/FJ157983.1</t>
  </si>
  <si>
    <t>Sclerotinia sclerotiorum hypovirulence associated DNA virus 1</t>
  </si>
  <si>
    <t>Chloroflexus aggregans DSM 9485</t>
  </si>
  <si>
    <t>PRJNA39985</t>
  </si>
  <si>
    <t>Unknown:NC_013116.1/GQ365709.1</t>
  </si>
  <si>
    <t>Francolinus leucoscepus papillomavirus 1</t>
  </si>
  <si>
    <t>PRJNA39987</t>
  </si>
  <si>
    <t>52.9</t>
  </si>
  <si>
    <t>Unknown:NC_013117.1/EU188799.1</t>
  </si>
  <si>
    <t>Japanese holly fern mottle virus</t>
  </si>
  <si>
    <t>PRJNA40117</t>
  </si>
  <si>
    <t>46.156</t>
  </si>
  <si>
    <t>RNA 1:NC_013133.1/FJ907327.1;  RNA 2:NC_013134.1/FJ907328.1</t>
  </si>
  <si>
    <t>Chloroflexus aurantiacus J-10-fl</t>
  </si>
  <si>
    <t>Drosophila melanogaster sigmavirus AP30</t>
  </si>
  <si>
    <t>PRJNA40127</t>
  </si>
  <si>
    <t>Rhabdoviridae</t>
  </si>
  <si>
    <t>Unknown:NC_013135.1/AM689309.3</t>
  </si>
  <si>
    <t>Staphylococcus phage P954</t>
  </si>
  <si>
    <t>PRJNA40231</t>
  </si>
  <si>
    <t>Unknown:NC_013195.1/GQ398772.1</t>
  </si>
  <si>
    <t>Turnip ringspot virus</t>
  </si>
  <si>
    <t>Chloroflexus sp. Y-400-fl</t>
  </si>
  <si>
    <t>PRJNA40327</t>
  </si>
  <si>
    <t>41.4625</t>
  </si>
  <si>
    <t>RNA 1:NC_013218.1/FJ712026.1;  RNA 2:NC_013219.1/FJ712027.1</t>
  </si>
  <si>
    <t>Canis familiaris papillomavirus 6</t>
  </si>
  <si>
    <t>PRJNA40369</t>
  </si>
  <si>
    <t>40.2</t>
  </si>
  <si>
    <t>Unknown:NC_013237.1/FJ492744.1</t>
  </si>
  <si>
    <t>Tomato infectious chlorosis virus</t>
  </si>
  <si>
    <t>PRJNA40419</t>
  </si>
  <si>
    <t>37.0777</t>
  </si>
  <si>
    <t>Chloroherpeton thalassium ATCC 35110</t>
  </si>
  <si>
    <t>RNA 1:NC_013258.1/FJ815440.1;  RNA 2:NC_013259.1/FJ815441.1</t>
  </si>
  <si>
    <t>Canna yellow streak virus</t>
  </si>
  <si>
    <t>PRJNA40629</t>
  </si>
  <si>
    <t>Potyviridae</t>
  </si>
  <si>
    <t>41.4</t>
  </si>
  <si>
    <t>Unknown:NC_013261.1/GQ421689.2</t>
  </si>
  <si>
    <t>Pelargonium vein banding virus</t>
  </si>
  <si>
    <t>PRJNA40631</t>
  </si>
  <si>
    <t>Retro-transcribing viruses</t>
  </si>
  <si>
    <t>Caulimoviridae</t>
  </si>
  <si>
    <t>48.6</t>
  </si>
  <si>
    <t>Unknown:NC_013262.1/GQ428155.1</t>
  </si>
  <si>
    <t>Vibrio phage henriette 12B8</t>
  </si>
  <si>
    <t>PRJNA40641</t>
  </si>
  <si>
    <t>Unknown:NC_021073.1/HQ316582.1</t>
  </si>
  <si>
    <t>Chondromyces crocatus strain Cm c5</t>
  </si>
  <si>
    <t>Melandrium yellow fleck virus</t>
  </si>
  <si>
    <t>PRJNA40661</t>
  </si>
  <si>
    <t>Bromoviridae</t>
  </si>
  <si>
    <t>41.7441</t>
  </si>
  <si>
    <t>RNA 1:NC_013266.1/AB444583.1;  RNA 2:NC_013267.1/AB444584.1;  RNA 3:NC_013268.1/AB444585.1</t>
  </si>
  <si>
    <t>Epizootic hemorrhagic disease virus (serotype 1 / strain New Jersey)</t>
  </si>
  <si>
    <t>PRJNA41081</t>
  </si>
  <si>
    <t>42.1526</t>
  </si>
  <si>
    <t>segment 1:NC_013396.1/AM744977.1;  segment 10:NC_013405.1/AM744986.1;  segment 2:NC_013397.1/AM744978.1;  segment 3:NC_013398.1/AM744979.1;  segment 4:NC_013399.1/AM744980.1;  segment 5:NC_013400.1/AM744981.1;  segment 6:NC_013401.1/AM744982.1;  segment 7:NC_013402.1/AM744983.1;  segment 8:NC_013403.1/AM744984.1;  segment 9:NC_013404.1/AM744985.1</t>
  </si>
  <si>
    <t>Tomato leaf curl Sulawesi virus</t>
  </si>
  <si>
    <t>PRJNA41173</t>
  </si>
  <si>
    <t>Unknown:NC_013413.1/FJ237617.1</t>
  </si>
  <si>
    <t>Chromobacterium violaceum ATCC 12472</t>
  </si>
  <si>
    <t>Velvet bean severe mosaic virus</t>
  </si>
  <si>
    <t>PRJNA41175</t>
  </si>
  <si>
    <t>40.2789</t>
  </si>
  <si>
    <t>DNA A:NC_013414.1/FN543425.1;  DNA B:NC_013415.1/FN543426.1</t>
  </si>
  <si>
    <t>HMO Astrovirus A</t>
  </si>
  <si>
    <t>PRJNA41413</t>
  </si>
  <si>
    <t>43.5</t>
  </si>
  <si>
    <t>Unknown:NC_013443.1/GQ415660.1</t>
  </si>
  <si>
    <t>Barfin flounder nervous necrosis virus</t>
  </si>
  <si>
    <t>PRJNA41605</t>
  </si>
  <si>
    <t>Chromohalobacter salexigens DSM 3043</t>
  </si>
  <si>
    <t>Nodaviridae</t>
  </si>
  <si>
    <t>53.4155</t>
  </si>
  <si>
    <t>RNA 1:NC_013458.1/EU236146.1;  RNA 2:NC_013459.1/EU236147.1</t>
  </si>
  <si>
    <t>Tiger puffer nervous necrosis virus</t>
  </si>
  <si>
    <t>PRJNA41607</t>
  </si>
  <si>
    <t>52.5686</t>
  </si>
  <si>
    <t>RNA 1:NC_013460.1/EU236148.1;  RNA 2:NC_013461.1/EU236149.1</t>
  </si>
  <si>
    <t>Saccharum streak virus</t>
  </si>
  <si>
    <t>PRJNA41611</t>
  </si>
  <si>
    <t>53.5</t>
  </si>
  <si>
    <t>Unknown:NC_013464.1/GQ273988.1</t>
  </si>
  <si>
    <t>Sweet potato leaf curl Canary virus</t>
  </si>
  <si>
    <t>Chroococcidiopsis thermalis PCC 7203</t>
  </si>
  <si>
    <t>PRJNA41623</t>
  </si>
  <si>
    <t>44.6</t>
  </si>
  <si>
    <t>Unknown:NC_013465.1/FJ529203.1</t>
  </si>
  <si>
    <t>Deftia phage phiW-14</t>
  </si>
  <si>
    <t>PRJNA42945</t>
  </si>
  <si>
    <t>56.3</t>
  </si>
  <si>
    <t>Unknown:NC_013697.1/GQ357915.1</t>
  </si>
  <si>
    <t>Clavibacter phage CMP1</t>
  </si>
  <si>
    <t>PRJNA42947</t>
  </si>
  <si>
    <t>Chryseobacterium gallinarum strain DSM 27622</t>
  </si>
  <si>
    <t>Unknown:NC_013698.1/GQ241246.1</t>
  </si>
  <si>
    <t>Pseudomonas phage LIT1</t>
  </si>
  <si>
    <t>PRJNA42949</t>
  </si>
  <si>
    <t>Unknown:NC_013692.1/FN422399.1</t>
  </si>
  <si>
    <t>Pseudomonas phage LUZ7</t>
  </si>
  <si>
    <t>PRJNA42951</t>
  </si>
  <si>
    <t>53.2</t>
  </si>
  <si>
    <t>Unknown:NC_013691.1/FN422398.1</t>
  </si>
  <si>
    <t>Chryseobacterium sp. IHB B 10212</t>
  </si>
  <si>
    <t>Marseillevirus marseillevirus</t>
  </si>
  <si>
    <t>PRJNA43573</t>
  </si>
  <si>
    <t>Marseilleviridae</t>
  </si>
  <si>
    <t>44.7</t>
  </si>
  <si>
    <t>Unknown:NC_013756.1/GU071086.1</t>
  </si>
  <si>
    <t>Haloarcula hispanica pleomorphic virus 1</t>
  </si>
  <si>
    <t>PRJNA43589</t>
  </si>
  <si>
    <t>Pleolipoviridae</t>
  </si>
  <si>
    <t>Unknown:NC_013758.1/GU321093.1</t>
  </si>
  <si>
    <t>Chryseobacterium sp. IHB B 17019</t>
  </si>
  <si>
    <t>Pseudaletia unipuncta granulovirus</t>
  </si>
  <si>
    <t>PRJNA43731</t>
  </si>
  <si>
    <t>Baculoviridae</t>
  </si>
  <si>
    <t>Chryseobacterium sp. StRB126</t>
  </si>
  <si>
    <t>39.8</t>
  </si>
  <si>
    <t>Unknown:NC_013772.1/EU678671.1</t>
  </si>
  <si>
    <t>Porcine circovirus type 1/2a</t>
  </si>
  <si>
    <t>PRJNA45807</t>
  </si>
  <si>
    <t>Circoviridae</t>
  </si>
  <si>
    <t>Chthonomonas calidirosea strain P488</t>
  </si>
  <si>
    <t>49.1</t>
  </si>
  <si>
    <t>Unknown:NC_013774.1/FJ655418.1</t>
  </si>
  <si>
    <t>California sea lion polyomavirus 1</t>
  </si>
  <si>
    <t>PRJNA45909</t>
  </si>
  <si>
    <t>Polyomaviridae</t>
  </si>
  <si>
    <t>42.7</t>
  </si>
  <si>
    <t>Unknown:NC_013796.1/GQ331138.1</t>
  </si>
  <si>
    <t>Pieris rapae granulovirus</t>
  </si>
  <si>
    <t>PRJNA45911</t>
  </si>
  <si>
    <t>33.2</t>
  </si>
  <si>
    <t>Unknown:NC_013797.1/GQ884143.1</t>
  </si>
  <si>
    <t>Croton yellow vein mosaic alphasatellite</t>
  </si>
  <si>
    <t>Chthonomonas calidirosea strain TKA4.10</t>
  </si>
  <si>
    <t>PRJNA45931</t>
  </si>
  <si>
    <t>Satellites</t>
  </si>
  <si>
    <t>Unknown:NC_013801.1/FN658711.1</t>
  </si>
  <si>
    <t>Cotton leaf curl Burewala betasatellite</t>
  </si>
  <si>
    <t>PRJNA45933</t>
  </si>
  <si>
    <t>Tolecusatellitidae</t>
  </si>
  <si>
    <t>40.5</t>
  </si>
  <si>
    <t>Unknown:NC_013802.1/FN658722.1</t>
  </si>
  <si>
    <t>Cotton leaf curl Burewala alphasatellite</t>
  </si>
  <si>
    <t>PRJNA45935</t>
  </si>
  <si>
    <t>42.3</t>
  </si>
  <si>
    <t>Unknown:NC_013803.1/FN658727.1</t>
  </si>
  <si>
    <t>Chthonomonas calidirosea strain WRG1.2</t>
  </si>
  <si>
    <t>Pseudocowpox virus</t>
  </si>
  <si>
    <t>PRJNA45973</t>
  </si>
  <si>
    <t>Poxviridae</t>
  </si>
  <si>
    <t>Unknown:NC_013804.1/GQ329670.1</t>
  </si>
  <si>
    <t>Olive latent virus 3</t>
  </si>
  <si>
    <t>PRJNA46223</t>
  </si>
  <si>
    <t>Tymoviridae</t>
  </si>
  <si>
    <t>56.2</t>
  </si>
  <si>
    <t>invertebrates, plants</t>
  </si>
  <si>
    <t>Unknown:NC_013920.1/FJ444852.2</t>
  </si>
  <si>
    <t>Mycobacterium virus Ardmore</t>
  </si>
  <si>
    <t>PRJNA46607</t>
  </si>
  <si>
    <t>61.5</t>
  </si>
  <si>
    <t>Unknown:NC_013936.1/GU060500.1</t>
  </si>
  <si>
    <t>Chthonomonas calidirosea T49</t>
  </si>
  <si>
    <t>Lymantria xylina MNPV</t>
  </si>
  <si>
    <t>PRJNA46671</t>
  </si>
  <si>
    <t>Unknown:NC_013953.1/GQ202541.1</t>
  </si>
  <si>
    <t>Phlebiopsis gigantea mycovirus dsRNA 1</t>
  </si>
  <si>
    <t>PRJNA46855</t>
  </si>
  <si>
    <t>Unknown:NC_013999.1/AM111096.3</t>
  </si>
  <si>
    <t>Klebsiella phage KP15</t>
  </si>
  <si>
    <t>PRJNA47333</t>
  </si>
  <si>
    <t>41.8</t>
  </si>
  <si>
    <t>Unknown:NC_014036.1/GU295964.1</t>
  </si>
  <si>
    <t>Sulfitobacter phage pCB2047-C</t>
  </si>
  <si>
    <t>PRJNA47511</t>
  </si>
  <si>
    <t>Citrobacter amalonaticus strain FDAARGOS_122</t>
  </si>
  <si>
    <t>Unknown:NC_020856.2/HQ317384.2</t>
  </si>
  <si>
    <t>Sulfitobacter phage pCB2047-A</t>
  </si>
  <si>
    <t>PRJNA47513</t>
  </si>
  <si>
    <t>58.8</t>
  </si>
  <si>
    <t>Unknown:NC_020858.2/HQ332142.2</t>
  </si>
  <si>
    <t>Sulfitobacter phage phiCB2047-B</t>
  </si>
  <si>
    <t>PRJNA47515</t>
  </si>
  <si>
    <t>Unknown:NC_020862.2/HQ317387.2</t>
  </si>
  <si>
    <t>Psychrobacter phage pOW20-A</t>
  </si>
  <si>
    <t>PRJNA47519</t>
  </si>
  <si>
    <t>44.1</t>
  </si>
  <si>
    <t>Unknown:NC_020841.1/JF974295.1</t>
  </si>
  <si>
    <t>Citrobacter amalonaticus strain FDAARGOS_165</t>
  </si>
  <si>
    <t>Loktanella phage pCB2051-A</t>
  </si>
  <si>
    <t>PRJNA47541</t>
  </si>
  <si>
    <t>Unknown:NC_020853.1/HQ632859.1</t>
  </si>
  <si>
    <t>Vibrio phage pYD21-A</t>
  </si>
  <si>
    <t>PRJNA47543</t>
  </si>
  <si>
    <t>Unknown:NC_020846.1/JF974287.1</t>
  </si>
  <si>
    <t>Citrobacter amalonaticus strain FDAARGOS_166</t>
  </si>
  <si>
    <t>Aeromonas phage pIS4-A</t>
  </si>
  <si>
    <t>47.3</t>
  </si>
  <si>
    <t>JF974294.1</t>
  </si>
  <si>
    <t>Vibrio phage pYD38-A</t>
  </si>
  <si>
    <t>PRJNA47547</t>
  </si>
  <si>
    <t>Unknown:NC_021534.1/JF974312.1</t>
  </si>
  <si>
    <t>Pseudoalteromonas phage pYD6-A</t>
  </si>
  <si>
    <t>PRJNA47549</t>
  </si>
  <si>
    <t>Citrobacter amalonaticus Y19</t>
  </si>
  <si>
    <t>Unknown:NC_020849.1/JF974296.1</t>
  </si>
  <si>
    <t>Paenibacillus phage PG1</t>
  </si>
  <si>
    <t>PRJNA47551</t>
  </si>
  <si>
    <t>Unknown:NC_021558.1/HQ332138.1</t>
  </si>
  <si>
    <t>Rhizobium phage RR1-A</t>
  </si>
  <si>
    <t>PRJNA47553</t>
  </si>
  <si>
    <t>57.2</t>
  </si>
  <si>
    <t>Unknown:NC_021560.1/JF974314.1</t>
  </si>
  <si>
    <t>Citrobacter freundii CFNIH1</t>
  </si>
  <si>
    <t>Rhodobacter phage RC1</t>
  </si>
  <si>
    <t>PRJNA47555</t>
  </si>
  <si>
    <t>62.3</t>
  </si>
  <si>
    <t>Unknown:NC_020839.1/JF974308.1</t>
  </si>
  <si>
    <t>Rhodovulum phage RS1</t>
  </si>
  <si>
    <t>PRJNA47557</t>
  </si>
  <si>
    <t>62.1</t>
  </si>
  <si>
    <t>Unknown:NC_020866.1/JF974307.1</t>
  </si>
  <si>
    <t>Vibrio phage PWH3a-P1</t>
  </si>
  <si>
    <t>Citrobacter freundii strain CAV1321</t>
  </si>
  <si>
    <t>PRJNA47561</t>
  </si>
  <si>
    <t>35.5</t>
  </si>
  <si>
    <t>Unknown:NC_020863.1/HQ634156.1</t>
  </si>
  <si>
    <t>Synechococcus phage S-CBP4</t>
  </si>
  <si>
    <t>PRJNA266792</t>
  </si>
  <si>
    <t>44.4</t>
  </si>
  <si>
    <t>Unknown:NC_025464.1/KC310804.1</t>
  </si>
  <si>
    <t>Synechococcus phage S-CBP42</t>
  </si>
  <si>
    <t>PRJNA307875</t>
  </si>
  <si>
    <t>Citrobacter freundii strain CAV1741</t>
  </si>
  <si>
    <t>Unknown:NC_029031.1/KC310805.1</t>
  </si>
  <si>
    <t>Micromonas pusilla virus 12T</t>
  </si>
  <si>
    <t>PRJNA47583</t>
  </si>
  <si>
    <t>Unknown:NC_020864.1/HQ632826.1</t>
  </si>
  <si>
    <t>Ostreococcus lucimarinus virus OlV5</t>
  </si>
  <si>
    <t>PRJNA47611</t>
  </si>
  <si>
    <t>41.6</t>
  </si>
  <si>
    <t>Unknown:NC_020852.1/HQ632827.1</t>
  </si>
  <si>
    <t>Citrobacter freundii strain FDAARGOS_61</t>
  </si>
  <si>
    <t>Synechococcus phage S-CAM1</t>
  </si>
  <si>
    <t>PRJNA47615</t>
  </si>
  <si>
    <t>Unknown:NC_020837.1/HQ634177.1</t>
  </si>
  <si>
    <t>Halorubrum phage CGphi46</t>
  </si>
  <si>
    <t>PRJNA47629</t>
  </si>
  <si>
    <t>65.1</t>
  </si>
  <si>
    <t>Unknown:NC_021537.1/HQ332141.1</t>
  </si>
  <si>
    <t>Salicola phage CGphi29</t>
  </si>
  <si>
    <t>PRJNA47631</t>
  </si>
  <si>
    <t>Citrobacter freundii strain P10159</t>
  </si>
  <si>
    <t>56.4</t>
  </si>
  <si>
    <t>Unknown:NC_020844.1/HQ634153.1</t>
  </si>
  <si>
    <t>Synechococcus phage S-RIP2</t>
  </si>
  <si>
    <t>PRJNA47635</t>
  </si>
  <si>
    <t>Unknown:NC_020838.1/HQ317389.1</t>
  </si>
  <si>
    <t>Synechococcus phage S-RIP1</t>
  </si>
  <si>
    <t>PRJNA47637</t>
  </si>
  <si>
    <t>Unknown:NC_020867.1/HQ317388.1</t>
  </si>
  <si>
    <t>Synechococcus phage S-IOM18</t>
  </si>
  <si>
    <t>PRJNA47645</t>
  </si>
  <si>
    <t>40.6</t>
  </si>
  <si>
    <t>Unknown:NC_021536.1/HQ317383.1</t>
  </si>
  <si>
    <t>Citrobacter koseri ATCC BAA-895</t>
  </si>
  <si>
    <t>Synechococcus phage S-SKS1</t>
  </si>
  <si>
    <t>PRJNA47647</t>
  </si>
  <si>
    <t>Unknown:NC_020851.1/HQ633071.1</t>
  </si>
  <si>
    <t>Dunaliella viridis virus SI2</t>
  </si>
  <si>
    <t>PRJNA47665</t>
  </si>
  <si>
    <t>62.7</t>
  </si>
  <si>
    <t>Unknown:NC_023841.1/HQ332136.1</t>
  </si>
  <si>
    <t>Tetraselmis viridis virus S20</t>
  </si>
  <si>
    <t>PRJNA47667</t>
  </si>
  <si>
    <t>Citrobacter koseri strain FDAARGOS_86</t>
  </si>
  <si>
    <t>61.2</t>
  </si>
  <si>
    <t>Unknown:NC_020840.1/HQ632857.1</t>
  </si>
  <si>
    <t>Prochlorococcus phage P-SSM3</t>
  </si>
  <si>
    <t>PRJNA47671</t>
  </si>
  <si>
    <t>36.7</t>
  </si>
  <si>
    <t>Citrobacter rodentium ICC168</t>
  </si>
  <si>
    <t>Unknown:NC_021559.1/HQ337021.1</t>
  </si>
  <si>
    <t>Vibrio phage VBP32</t>
  </si>
  <si>
    <t>PRJNA47675</t>
  </si>
  <si>
    <t>42.5</t>
  </si>
  <si>
    <t>Unknown:NC_020868.1/HQ634196.1</t>
  </si>
  <si>
    <t>Vibrio phage VBP47</t>
  </si>
  <si>
    <t>PRJNA47677</t>
  </si>
  <si>
    <t>Citrobacter sp. FDAARGOS_156</t>
  </si>
  <si>
    <t>Unknown:NC_020848.1/HQ634194.1</t>
  </si>
  <si>
    <t>Vibrio phage VBM1</t>
  </si>
  <si>
    <t>PRJNA47679</t>
  </si>
  <si>
    <t>Unknown:NC_020850.1/HQ317386.1</t>
  </si>
  <si>
    <t>Vibrio phage 11895-B1</t>
  </si>
  <si>
    <t>PRJNA47681</t>
  </si>
  <si>
    <t>Unknown:NC_020843.1/HQ634157.1</t>
  </si>
  <si>
    <t>Citromicrobium sp. JL477</t>
  </si>
  <si>
    <t>Sugarcane streak mosaic virus</t>
  </si>
  <si>
    <t>PRJNA47861</t>
  </si>
  <si>
    <t>43.2</t>
  </si>
  <si>
    <t>Unknown:NC_014037.1/GQ388116.1</t>
  </si>
  <si>
    <t>Synechococcus phage S-CBP3</t>
  </si>
  <si>
    <t>PRJNA266791</t>
  </si>
  <si>
    <t>Unknown:NC_025461.1/KC310803.1</t>
  </si>
  <si>
    <t>Synechococcus phage S-CBP2</t>
  </si>
  <si>
    <t>PRJNA266790</t>
  </si>
  <si>
    <t>Clavibacter michiganensis strain PF008</t>
  </si>
  <si>
    <t>Unknown:NC_025455.1/KC310806.1</t>
  </si>
  <si>
    <t>Synechococcus phage S-CBS4</t>
  </si>
  <si>
    <t>PRJNA82651</t>
  </si>
  <si>
    <t>50.8</t>
  </si>
  <si>
    <t>Unknown:NC_016766.1/HQ698895.1</t>
  </si>
  <si>
    <t>Prochlorococcus phage P-SSP3</t>
  </si>
  <si>
    <t>PRJNA47875</t>
  </si>
  <si>
    <t>37.9</t>
  </si>
  <si>
    <t>Unknown:NC_020874.1/HQ332137.1</t>
  </si>
  <si>
    <t>Clavibacter michiganensis subsp. insidiosus strain R1-1</t>
  </si>
  <si>
    <t>Prochlorococcus phage P-SSP6</t>
  </si>
  <si>
    <t>39.2</t>
  </si>
  <si>
    <t>HQ634152.1</t>
  </si>
  <si>
    <t>Prochlorococcus phage P-GSP1</t>
  </si>
  <si>
    <t>PRJNA47879</t>
  </si>
  <si>
    <t>Unknown:NC_020878.1/HQ332140.1</t>
  </si>
  <si>
    <t>Tetraselmis viridis virus S1</t>
  </si>
  <si>
    <t>PRJNA47887</t>
  </si>
  <si>
    <t>Unknown:NC_020869.1/HQ332143.1</t>
  </si>
  <si>
    <t>Clavibacter michiganensis subsp. michiganensis NCPPB 382</t>
  </si>
  <si>
    <t>Cellulophaga phage phi3:1</t>
  </si>
  <si>
    <t>33.4</t>
  </si>
  <si>
    <t>KC821630.1</t>
  </si>
  <si>
    <t>Cellulophaga phage phiSM</t>
  </si>
  <si>
    <t>PRJNA47891</t>
  </si>
  <si>
    <t>33.9</t>
  </si>
  <si>
    <t>Unknown:NC_020860.1/HQ317392.1</t>
  </si>
  <si>
    <t>Cellulophaga phage phiST</t>
  </si>
  <si>
    <t>PRJNA47893</t>
  </si>
  <si>
    <t>30.2</t>
  </si>
  <si>
    <t>Unknown:NC_020842.1/HQ634192.1</t>
  </si>
  <si>
    <t>Clavibacter michiganensis subsp. nebraskensis NCPPB 2581</t>
  </si>
  <si>
    <t>Cellulophaga phage phi47:1</t>
  </si>
  <si>
    <t>33.5</t>
  </si>
  <si>
    <t>KC821634.1</t>
  </si>
  <si>
    <t>Sunflower chlorotic mottle virus</t>
  </si>
  <si>
    <t>PRJNA47931</t>
  </si>
  <si>
    <t>40.7</t>
  </si>
  <si>
    <t>Unknown:NC_014038.1/GU181199.1</t>
  </si>
  <si>
    <t>Okra yellow mosaic Mexico virus</t>
  </si>
  <si>
    <t>PRJNA48103</t>
  </si>
  <si>
    <t>46.2046</t>
  </si>
  <si>
    <t>DNA A:NC_014066.1/DQ022611.1;  DNA B:NC_014067.1/GU972604.1</t>
  </si>
  <si>
    <t>Torque teno mini virus 8</t>
  </si>
  <si>
    <t>Clavibacter michiganensis subsp. sepedonicus</t>
  </si>
  <si>
    <t>PRJNA48135</t>
  </si>
  <si>
    <t>Anelloviridae</t>
  </si>
  <si>
    <t>37.8</t>
  </si>
  <si>
    <t>Unknown:NC_014068.1/AF291073.1</t>
  </si>
  <si>
    <t>Torque teno virus 4</t>
  </si>
  <si>
    <t>PRJNA48137</t>
  </si>
  <si>
    <t>53.6</t>
  </si>
  <si>
    <t>Unknown:NC_014069.1/AB041957.1</t>
  </si>
  <si>
    <t>Torque teno sus virus 1a</t>
  </si>
  <si>
    <t>PRJNA48139</t>
  </si>
  <si>
    <t>51.6</t>
  </si>
  <si>
    <t>Unknown:NC_014070.1/AB076001.1</t>
  </si>
  <si>
    <t>Clostridiales genomosp. BVAB3 str. UPII9-5</t>
  </si>
  <si>
    <t>Torque teno canis virus</t>
  </si>
  <si>
    <t>PRJNA48141</t>
  </si>
  <si>
    <t>Unknown:NC_014071.1/AB076002.1</t>
  </si>
  <si>
    <t>Torque teno felis virus</t>
  </si>
  <si>
    <t>PRJNA48143</t>
  </si>
  <si>
    <t>Unknown:NC_014072.1/AB076003.1</t>
  </si>
  <si>
    <t>Torque teno virus 28</t>
  </si>
  <si>
    <t>PRJNA48145</t>
  </si>
  <si>
    <t>Clostridium aceticum strain DSM 1496</t>
  </si>
  <si>
    <t>Unknown:NC_014073.1/AB064598.1</t>
  </si>
  <si>
    <t>Torque teno virus 27</t>
  </si>
  <si>
    <t>PRJNA48147</t>
  </si>
  <si>
    <t>Unknown:NC_014074.1/AB064595.1</t>
  </si>
  <si>
    <t>Torque teno virus 12</t>
  </si>
  <si>
    <t>PRJNA48149</t>
  </si>
  <si>
    <t>Unknown:NC_014075.1/AB064605.1</t>
  </si>
  <si>
    <t>Clostridium acetobutylicum ATCC 824</t>
  </si>
  <si>
    <t>Torque teno virus 10</t>
  </si>
  <si>
    <t>PRJNA48151</t>
  </si>
  <si>
    <t>51.2</t>
  </si>
  <si>
    <t>Unknown:NC_014076.1/AB064607.1</t>
  </si>
  <si>
    <t>Torque teno virus 14</t>
  </si>
  <si>
    <t>PRJNA48153</t>
  </si>
  <si>
    <t>Unknown:NC_014077.1/AB037926.1</t>
  </si>
  <si>
    <t>Torque teno virus 19</t>
  </si>
  <si>
    <t>Clostridium acetobutylicum DSM 1731</t>
  </si>
  <si>
    <t>PRJNA48155</t>
  </si>
  <si>
    <t>53.8</t>
  </si>
  <si>
    <t>Unknown:NC_014078.1/AB025946.2</t>
  </si>
  <si>
    <t>Torque teno virus 26</t>
  </si>
  <si>
    <t>PRJNA48157</t>
  </si>
  <si>
    <t>56.9</t>
  </si>
  <si>
    <t>Unknown:NC_014079.1/AB041958.2</t>
  </si>
  <si>
    <t>Torque teno virus 7</t>
  </si>
  <si>
    <t>PRJNA48159</t>
  </si>
  <si>
    <t>48.4</t>
  </si>
  <si>
    <t>Unknown:NC_014080.1/AF261761.1</t>
  </si>
  <si>
    <t>Clostridium acetobutylicum EA 2018</t>
  </si>
  <si>
    <t>Torque teno virus 3</t>
  </si>
  <si>
    <t>PRJNA48161</t>
  </si>
  <si>
    <t>51.4</t>
  </si>
  <si>
    <t>Unknown:NC_014081.1/AY666122.2</t>
  </si>
  <si>
    <t>Torque teno mini virus 7</t>
  </si>
  <si>
    <t>PRJNA48163</t>
  </si>
  <si>
    <t>36.2</t>
  </si>
  <si>
    <t>Unknown:NC_014082.1/AB038627.1</t>
  </si>
  <si>
    <t>Torque teno virus 25</t>
  </si>
  <si>
    <t>PRJNA48165</t>
  </si>
  <si>
    <t>Unknown:NC_014083.1/AB041959.1</t>
  </si>
  <si>
    <t>Torque teno virus 8</t>
  </si>
  <si>
    <t>Clostridium acidurici 9a</t>
  </si>
  <si>
    <t>PRJNA48167</t>
  </si>
  <si>
    <t>50.9</t>
  </si>
  <si>
    <t>Unknown:NC_014084.1/AB054647.1</t>
  </si>
  <si>
    <t>Torque teno tamarin virus</t>
  </si>
  <si>
    <t>PRJNA48169</t>
  </si>
  <si>
    <t>52.8</t>
  </si>
  <si>
    <t>Unknown:NC_014085.1/AB041960.1</t>
  </si>
  <si>
    <t>Torque teno mini virus 2</t>
  </si>
  <si>
    <t>PRJNA48171</t>
  </si>
  <si>
    <t>39.4</t>
  </si>
  <si>
    <t>Clostridium autoethanogenum DSM 10061</t>
  </si>
  <si>
    <t>Unknown:NC_014086.1/AB038629.1</t>
  </si>
  <si>
    <t>Torque teno douroucouli virus</t>
  </si>
  <si>
    <t>PRJNA48173</t>
  </si>
  <si>
    <t>60.3</t>
  </si>
  <si>
    <t>Unknown:NC_014087.1/AB041961.1</t>
  </si>
  <si>
    <t>Torque teno mini virus 3</t>
  </si>
  <si>
    <t>PRJNA48175</t>
  </si>
  <si>
    <t>Unknown:NC_014088.1/AB038630.1</t>
  </si>
  <si>
    <t>Torque teno mini virus 5</t>
  </si>
  <si>
    <t>PRJNA48177</t>
  </si>
  <si>
    <t>37.1</t>
  </si>
  <si>
    <t>Unknown:NC_014089.1/AB041962.1</t>
  </si>
  <si>
    <t>Torque teno mini virus 4</t>
  </si>
  <si>
    <t>PRJNA48179</t>
  </si>
  <si>
    <t>39.9</t>
  </si>
  <si>
    <t>Unknown:NC_014090.1/AB041963.1</t>
  </si>
  <si>
    <t>Torque teno virus 16</t>
  </si>
  <si>
    <t>PRJNA48181</t>
  </si>
  <si>
    <t>51.1</t>
  </si>
  <si>
    <t>Unknown:NC_014091.1/AB017613.1</t>
  </si>
  <si>
    <t>Torque teno midi virus 2</t>
  </si>
  <si>
    <t>PRJNA48185</t>
  </si>
  <si>
    <t>Unknown:NC_014093.1/AB290919.1</t>
  </si>
  <si>
    <t>Torque teno virus 6</t>
  </si>
  <si>
    <t>PRJNA48187</t>
  </si>
  <si>
    <t>Unknown:NC_014094.1/AF435014.1</t>
  </si>
  <si>
    <t>Torque teno mini virus 6</t>
  </si>
  <si>
    <t>PRJNA48189</t>
  </si>
  <si>
    <t>37.4</t>
  </si>
  <si>
    <t>Unknown:NC_014095.1/AB026929.1</t>
  </si>
  <si>
    <t>Torque teno virus 15</t>
  </si>
  <si>
    <t>PRJNA48191</t>
  </si>
  <si>
    <t>Clostridium baratii str. Sullivan</t>
  </si>
  <si>
    <t>Unknown:NC_014096.1/AB028668.1</t>
  </si>
  <si>
    <t>Torque teno mini virus 1</t>
  </si>
  <si>
    <t>PRJNA48193</t>
  </si>
  <si>
    <t>38.2</t>
  </si>
  <si>
    <t>Unknown:NC_014097.1/AB026931.1</t>
  </si>
  <si>
    <t>Sulfolobus turreted icosahedral virus 2</t>
  </si>
  <si>
    <t>PRJNA48299</t>
  </si>
  <si>
    <t>Turriviridae</t>
  </si>
  <si>
    <t>Unknown:NC_014099.1/GU080336.1</t>
  </si>
  <si>
    <t>Clostridium beijerinckii 59B</t>
  </si>
  <si>
    <t>Torque teno sus virus 1b</t>
  </si>
  <si>
    <t>PRJNA283618</t>
  </si>
  <si>
    <t>50.5</t>
  </si>
  <si>
    <t>Unknown:NC_027059.1/AY823990.1</t>
  </si>
  <si>
    <t>Chromosome</t>
  </si>
  <si>
    <t>Freesia mosaic virus</t>
  </si>
  <si>
    <t>PRJNA48387</t>
  </si>
  <si>
    <t>Unknown:NC_014064.1/FM206346.1</t>
  </si>
  <si>
    <t>Clostridium beijerinckii ATCC 35702 SA-1</t>
  </si>
  <si>
    <t>Providence virus</t>
  </si>
  <si>
    <t>PRJNA48417</t>
  </si>
  <si>
    <t>Carmotetraviridae</t>
  </si>
  <si>
    <t>51.8</t>
  </si>
  <si>
    <t>Unknown:NC_014126.1/GU991616.1</t>
  </si>
  <si>
    <t>Chiltepin yellow mosaic virus</t>
  </si>
  <si>
    <t>PRJNA48419</t>
  </si>
  <si>
    <t>48.9</t>
  </si>
  <si>
    <t>Unknown:NC_014127.1/FN563123.1</t>
  </si>
  <si>
    <t>Sida golden mottle virus</t>
  </si>
  <si>
    <t>PRJNA48421</t>
  </si>
  <si>
    <t>Clostridium beijerinckii NCIMB 8052</t>
  </si>
  <si>
    <t>44.7628</t>
  </si>
  <si>
    <t>DNA-A:NC_014130.1/GU997691.1;  DNA-B:NC_014128.1/GU997692.1</t>
  </si>
  <si>
    <t>Slow bee paralysis virus</t>
  </si>
  <si>
    <t>PRJNA48587</t>
  </si>
  <si>
    <t>Iflaviridae</t>
  </si>
  <si>
    <t>37.5</t>
  </si>
  <si>
    <t>Unknown:NC_014137.1/EU035616.1</t>
  </si>
  <si>
    <t>Abutilon Brazil virus</t>
  </si>
  <si>
    <t>PRJNA48591</t>
  </si>
  <si>
    <t>46.4576</t>
  </si>
  <si>
    <t>DNA A:NC_014138.1/FN434438.1;  DNA B:NC_014139.1/FN434439.1</t>
  </si>
  <si>
    <t>Soybean mild mottle virus</t>
  </si>
  <si>
    <t>PRJNA48593</t>
  </si>
  <si>
    <t>Clostridium botulinum 111</t>
  </si>
  <si>
    <t>Unknown:NC_014140.1/GQ472984.1</t>
  </si>
  <si>
    <t>Soybean chlorotic blotch virus</t>
  </si>
  <si>
    <t>PRJNA48595</t>
  </si>
  <si>
    <t>44.4722</t>
  </si>
  <si>
    <t>DNA A:NC_014141.1/GQ472985.1;  DNA B:NC_014142.1/GQ472986.1</t>
  </si>
  <si>
    <t>Bettongia penicillata papillomavirus 1</t>
  </si>
  <si>
    <t>PRJNA48601</t>
  </si>
  <si>
    <t>Clostridium botulinum 202F</t>
  </si>
  <si>
    <t>44.2</t>
  </si>
  <si>
    <t>Unknown:NC_014143.1/GU220391.1</t>
  </si>
  <si>
    <t>Human papillomavirus type 121</t>
  </si>
  <si>
    <t>PRJNA49377</t>
  </si>
  <si>
    <t>37.7</t>
  </si>
  <si>
    <t>Unknown:NC_014185.1/GQ845443.1</t>
  </si>
  <si>
    <t>Streptomyces phage phiSASD1</t>
  </si>
  <si>
    <t>PRJNA49613</t>
  </si>
  <si>
    <t>66.3</t>
  </si>
  <si>
    <t>Clostridium botulinum A str. ATCC 19397</t>
  </si>
  <si>
    <t>Unknown:NC_014229.1/GQ379227.1</t>
  </si>
  <si>
    <t>Broome virus</t>
  </si>
  <si>
    <t>PRJNA49651</t>
  </si>
  <si>
    <t>42.1395</t>
  </si>
  <si>
    <t>L1:NC_014236.1/GQ258977.1;  L2:NC_014237.1/GQ258978.1;  L3:NC_014238.1/GQ258979.1;  M1:NC_014239.1/GQ258980.1;  M2:NC_014240.1/GQ258981.1;  M3:NC_014241.1/GQ258982.1;  S1:NC_014242.1/GQ258983.1;  S2:NC_014243.1/GQ258984.1;  S3:NC_014244.1/GQ258985.1;  S4:NC_014245.1/GQ258986.1</t>
  </si>
  <si>
    <t>Panax virus Y</t>
  </si>
  <si>
    <t>PRJNA49715</t>
  </si>
  <si>
    <t>Unknown:NC_014252.1/GQ916624.1</t>
  </si>
  <si>
    <t>Enterobacteria phage IME08</t>
  </si>
  <si>
    <t>PRJNA50177</t>
  </si>
  <si>
    <t>Clostridium botulinum A str. ATCC 3502</t>
  </si>
  <si>
    <t>Unknown:NC_014260.1/HM071924.1</t>
  </si>
  <si>
    <t>Hyperthermophilic Archaeal Virus 2</t>
  </si>
  <si>
    <t>PRJNA50361</t>
  </si>
  <si>
    <t>unclassified archaeal viruses</t>
  </si>
  <si>
    <t>52.1</t>
  </si>
  <si>
    <t>Unknown:NC_014321.1/GU722197.1</t>
  </si>
  <si>
    <t>Hyperthermophilic Archaeal Virus 1</t>
  </si>
  <si>
    <t>PRJNA50363</t>
  </si>
  <si>
    <t>Unknown:NC_014322.1/GU722196.1</t>
  </si>
  <si>
    <t>Turnip curly top virus</t>
  </si>
  <si>
    <t>PRJNA50429</t>
  </si>
  <si>
    <t>Unknown:NC_014324.1/GU456685.1</t>
  </si>
  <si>
    <t>Clostridium botulinum A str. Hall</t>
  </si>
  <si>
    <t>Bidens mottle virus</t>
  </si>
  <si>
    <t>PRJNA50559</t>
  </si>
  <si>
    <t>41.7</t>
  </si>
  <si>
    <t>Unknown:NC_014325.1/AF538686.2</t>
  </si>
  <si>
    <t>Pepper yellow mosaic virus</t>
  </si>
  <si>
    <t>PRJNA50567</t>
  </si>
  <si>
    <t>Unknown:NC_014327.1/AB541985.1</t>
  </si>
  <si>
    <t>Fenneropenaeus chinensis hepandensovirus</t>
  </si>
  <si>
    <t>PRJNA51177</t>
  </si>
  <si>
    <t>Clostridium botulinum A2 str. Kyoto</t>
  </si>
  <si>
    <t>Parvoviridae</t>
  </si>
  <si>
    <t>Unknown:NC_014357.1/GU371276.1</t>
  </si>
  <si>
    <t>Bocavirus gorilla/GBoV1/2009</t>
  </si>
  <si>
    <t>PRJNA51179</t>
  </si>
  <si>
    <t>41.1</t>
  </si>
  <si>
    <t>Unknown:NC_014358.1/HM145750.1</t>
  </si>
  <si>
    <t>Spissistilus festinus virus 1</t>
  </si>
  <si>
    <t>PRJNA51181</t>
  </si>
  <si>
    <t>Unknown:NC_014359.1/GU979419.1</t>
  </si>
  <si>
    <t>Clostridium botulinum A3 str. Loch Maree</t>
  </si>
  <si>
    <t>Circulifer tenellus virus 1</t>
  </si>
  <si>
    <t>PRJNA51183</t>
  </si>
  <si>
    <t>Unknown:NC_014360.1/GU979420.1</t>
  </si>
  <si>
    <t>Trichodysplasia spinulosa-associated polyomavirus</t>
  </si>
  <si>
    <t>PRJNA51185</t>
  </si>
  <si>
    <t>40.1</t>
  </si>
  <si>
    <t>Unknown:NC_014361.1/GU989205.1</t>
  </si>
  <si>
    <t>Bundibugyo ebolavirus</t>
  </si>
  <si>
    <t>PRJNA51245</t>
  </si>
  <si>
    <t>Clostridium botulinum B str. Eklund 17B (NRP)</t>
  </si>
  <si>
    <t>Filoviridae</t>
  </si>
  <si>
    <t>Unknown:NC_014373.1/FJ217161.1</t>
  </si>
  <si>
    <t>Tai Forest ebolavirus</t>
  </si>
  <si>
    <t>PRJNA51257</t>
  </si>
  <si>
    <t>Unknown:NC_014372.1/FJ217162.1</t>
  </si>
  <si>
    <t>Melon chlorotic mosaic virus-associated alphasatellite</t>
  </si>
  <si>
    <t>PRJNA51413</t>
  </si>
  <si>
    <t>Unknown:NC_014379.1/HM163578.1</t>
  </si>
  <si>
    <t>Melon chlorotic mosaic virus</t>
  </si>
  <si>
    <t>PRJNA51415</t>
  </si>
  <si>
    <t>42.9546</t>
  </si>
  <si>
    <t>DNA-A:NC_014380.1/HM163576.1;  DNA-B:NC_014381.1/HM163577.1</t>
  </si>
  <si>
    <t>Human polyomavirus 7</t>
  </si>
  <si>
    <t>PRJNA51557</t>
  </si>
  <si>
    <t>Clostridium botulinum B1 str. Okra</t>
  </si>
  <si>
    <t>Unknown:NC_014407.1/HM011566.1</t>
  </si>
  <si>
    <t>Human polyomavirus 6</t>
  </si>
  <si>
    <t>PRJNA51559</t>
  </si>
  <si>
    <t>Unknown:NC_014406.1/HM011560.1</t>
  </si>
  <si>
    <t>Passerivirus A1</t>
  </si>
  <si>
    <t>PRJNA51587</t>
  </si>
  <si>
    <t>Unknown:NC_014411.1/GU182406.1</t>
  </si>
  <si>
    <t>Oscivirus A1</t>
  </si>
  <si>
    <t>PRJNA51589</t>
  </si>
  <si>
    <t>Clostridium botulinum Ba4 str. 657</t>
  </si>
  <si>
    <t>Unknown:NC_014412.1/GU182408.1</t>
  </si>
  <si>
    <t>Oscivirus A2</t>
  </si>
  <si>
    <t>PRJNA51591</t>
  </si>
  <si>
    <t>46.6</t>
  </si>
  <si>
    <t>Unknown:NC_014413.1/GU182410.1</t>
  </si>
  <si>
    <t>Clostridium phage phiCTP1</t>
  </si>
  <si>
    <t>PRJNA51665</t>
  </si>
  <si>
    <t>Clostridium botulinum BKT015925</t>
  </si>
  <si>
    <t>Unknown:NC_014457.1/HM159959.1</t>
  </si>
  <si>
    <t>Mycobacterium virus Angelica</t>
  </si>
  <si>
    <t>PRJNA51667</t>
  </si>
  <si>
    <t>66.4</t>
  </si>
  <si>
    <t>Unknown:NC_014458.1/HM152764.1</t>
  </si>
  <si>
    <t>Mycobacterium virus Crimd</t>
  </si>
  <si>
    <t>PRJNA51669</t>
  </si>
  <si>
    <t>Clostridium botulinum CDC_1436</t>
  </si>
  <si>
    <t>66.9</t>
  </si>
  <si>
    <t>Unknown:NC_014459.1/HM152767.1</t>
  </si>
  <si>
    <t>Staphylococcus virus SAP26</t>
  </si>
  <si>
    <t>PRJNA51671</t>
  </si>
  <si>
    <t>Unknown:NC_014460.1/GU477322.1</t>
  </si>
  <si>
    <t>Mycobacterium virus Bron</t>
  </si>
  <si>
    <t>PRJNA51673</t>
  </si>
  <si>
    <t>Unknown:NC_014461.1/HM152763.1</t>
  </si>
  <si>
    <t>Clostridium botulinum CDC_297</t>
  </si>
  <si>
    <t>Magnaporthe oryzae chrysovirus 1</t>
  </si>
  <si>
    <t>PRJNA51685</t>
  </si>
  <si>
    <t>Chrysoviridae</t>
  </si>
  <si>
    <t>60.9664</t>
  </si>
  <si>
    <t>segment 1:NC_014462.1/AB560761.1;  segment 2:NC_014465.1/AB560762.1;  segment 3:NC_014463.1/AB560763.1;  segment 4:NC_014464.1/AB560764.1</t>
  </si>
  <si>
    <t>Enterobacteria phage RB16</t>
  </si>
  <si>
    <t>PRJNA51699</t>
  </si>
  <si>
    <t>Unknown:NC_014467.1/HM134276.1</t>
  </si>
  <si>
    <t>Bat adeno-associated virus YNM</t>
  </si>
  <si>
    <t>PRJNA51735</t>
  </si>
  <si>
    <t>Clostridium botulinum E3 str. Alaska E43</t>
  </si>
  <si>
    <t>62.9</t>
  </si>
  <si>
    <t>Unknown:NC_014468.1/GU226971.1</t>
  </si>
  <si>
    <t>Human papillomavirus type 127</t>
  </si>
  <si>
    <t>PRJNA51741</t>
  </si>
  <si>
    <t>Unknown:NC_014469.1/HM011570.1</t>
  </si>
  <si>
    <t>Bat coronavirus BM48-31/BGR/2008</t>
  </si>
  <si>
    <t>PRJNA51751</t>
  </si>
  <si>
    <t>40.4</t>
  </si>
  <si>
    <t>Unknown:NC_014470.1/GU190215.1</t>
  </si>
  <si>
    <t>Croton yellow vein virus</t>
  </si>
  <si>
    <t>PRJNA51789</t>
  </si>
  <si>
    <t>Clostridium botulinum F str. 230613</t>
  </si>
  <si>
    <t>Unknown:NC_014473.1/FN543112.1</t>
  </si>
  <si>
    <t>Simian retrovirus 4</t>
  </si>
  <si>
    <t>PRJNA51791</t>
  </si>
  <si>
    <t>Retroviridae</t>
  </si>
  <si>
    <t>Unknown:NC_014474.1/FJ971077.1</t>
  </si>
  <si>
    <t>Torque teno virus 2</t>
  </si>
  <si>
    <t>PRJNA51893</t>
  </si>
  <si>
    <t>Unknown:NC_014480.2/AB049608.1</t>
  </si>
  <si>
    <t>Rhododendron virus A</t>
  </si>
  <si>
    <t>PRJNA51905</t>
  </si>
  <si>
    <t>Amalgaviridae</t>
  </si>
  <si>
    <t>50.7</t>
  </si>
  <si>
    <t>Unknown:NC_014481.1/HQ128706.1</t>
  </si>
  <si>
    <t>Clostridium botulinum F str. Langeland</t>
  </si>
  <si>
    <t>Tobacco leaf curl virus</t>
  </si>
  <si>
    <t>PRJNA319880</t>
  </si>
  <si>
    <t>Unknown:NC_029994.1/KT992046.1</t>
  </si>
  <si>
    <t>Velvet tobacco mottle virus</t>
  </si>
  <si>
    <t>PRJNA52631</t>
  </si>
  <si>
    <t>47.8</t>
  </si>
  <si>
    <t>Unknown:NC_014509.2/HM754263.2</t>
  </si>
  <si>
    <t>Tomato leaf deformation virus</t>
  </si>
  <si>
    <t>PRJNA52633</t>
  </si>
  <si>
    <t>43.4</t>
  </si>
  <si>
    <t>Unknown:NC_014510.2/GQ334472.2</t>
  </si>
  <si>
    <t>Clostridium botulinum H04402 065</t>
  </si>
  <si>
    <t>Rotavirus D chicken/05V0049/DEU/2005</t>
  </si>
  <si>
    <t>PRJNA52635</t>
  </si>
  <si>
    <t>33.1189</t>
  </si>
  <si>
    <t>1:NC_014511.1/GU733443.1;  2:NC_014512.1/GU733444.1;  3:NC_014513.1/GU733445.1;  4:NC_014514.1/GU733446.1;  5:NC_014515.1/GU733447.1;  6:NC_014516.1/GU733448.1;  7:NC_014517.1/GU733449.1;  8:NC_014518.1/GU733450.1;  9:NC_014519.1/GU733451.1;  10:NC_014520.1/GU733452.1;  11:NC_014521.1/GU733453.1</t>
  </si>
  <si>
    <t>Great Island virus</t>
  </si>
  <si>
    <t>PRJNA52641</t>
  </si>
  <si>
    <t>57.7735</t>
  </si>
  <si>
    <t>segment 1:NC_014522.1/HM543465.1;  segment 10:NC_014531.1/HM543474.1;  segment 2:NC_014523.1/HM543466.1;  segment 3:NC_014524.1/HM543467.1;  segment 4:NC_014525.1/HM543468.1;  segment 5:NC_014526.1/HM543469.1;  segment 6:NC_014527.1/HM543470.1;  segment 7:NC_014528.1/HM543471.1;  segment 8:NC_014529.1/HM543472.1;  segment 9:NC_014530.1/HM543473.1</t>
  </si>
  <si>
    <t>Brugmansia suaveolens mottle virus</t>
  </si>
  <si>
    <t>PRJNA52813</t>
  </si>
  <si>
    <t>Unknown:NC_014536.1/AB551370.1</t>
  </si>
  <si>
    <t>Clostridium botulinum NCTC 8266</t>
  </si>
  <si>
    <t>Tomato leaf curl Oman virus</t>
  </si>
  <si>
    <t>PRJNA52947</t>
  </si>
  <si>
    <t>Unknown:NC_014542.1/FJ956700.1</t>
  </si>
  <si>
    <t>Synechococcus phage KBS-M-1A</t>
  </si>
  <si>
    <t>JF974293.1</t>
  </si>
  <si>
    <t>Cyanophage KBS-P-1A</t>
  </si>
  <si>
    <t>PRJNA53283</t>
  </si>
  <si>
    <t>Unknown:NC_020865.1/HQ634188.1</t>
  </si>
  <si>
    <t>Cyanophage KBS-S-2A</t>
  </si>
  <si>
    <t>PRJNA53287</t>
  </si>
  <si>
    <t>Unknown:NC_020854.1/HQ634187.1</t>
  </si>
  <si>
    <t>Cyanophage MED4-117</t>
  </si>
  <si>
    <t>PRJNA53289</t>
  </si>
  <si>
    <t>37.2</t>
  </si>
  <si>
    <t>Unknown:NC_020857.1/JF974321.1</t>
  </si>
  <si>
    <t>Prochlorococcus phage MED4-184</t>
  </si>
  <si>
    <t>PRJNA53293</t>
  </si>
  <si>
    <t>Clostridium botulinum NCTC 8550</t>
  </si>
  <si>
    <t>Unknown:NC_020847.1/JF974286.1</t>
  </si>
  <si>
    <t>Prochlorococcus phage MED4-213</t>
  </si>
  <si>
    <t>PRJNA53295</t>
  </si>
  <si>
    <t>Unknown:NC_020845.1/HQ634174.1</t>
  </si>
  <si>
    <t>Cyanophage P-RSM1</t>
  </si>
  <si>
    <t>PRJNA53297</t>
  </si>
  <si>
    <t>Unknown:NC_021071.1/HQ634175.1</t>
  </si>
  <si>
    <t>Cyanophage P-RSM3</t>
  </si>
  <si>
    <t>Clostridium botulinum Prevot_594</t>
  </si>
  <si>
    <t>HQ634176.1</t>
  </si>
  <si>
    <t>Cyanophage P-RSM6</t>
  </si>
  <si>
    <t>PRJNA53303</t>
  </si>
  <si>
    <t>39.3</t>
  </si>
  <si>
    <t>Unknown:NC_020855.1/HQ634193.1</t>
  </si>
  <si>
    <t>Cyanophage Syn30</t>
  </si>
  <si>
    <t>PRJNA53305</t>
  </si>
  <si>
    <t>Unknown:NC_021072.1/HQ634189.1</t>
  </si>
  <si>
    <t>Cyanophage Syn2</t>
  </si>
  <si>
    <t>Clostridium butyricum strain JKY6D1</t>
  </si>
  <si>
    <t>HQ634190.1</t>
  </si>
  <si>
    <t>Cyanophage Syn10</t>
  </si>
  <si>
    <t>HQ634191.1</t>
  </si>
  <si>
    <t>Cyanophage S-SSM2</t>
  </si>
  <si>
    <t>JF974292.1</t>
  </si>
  <si>
    <t>Cotton leafroll dwarf virus</t>
  </si>
  <si>
    <t>PRJNA53497</t>
  </si>
  <si>
    <t>Clostridium butyricum strain KNU-L09</t>
  </si>
  <si>
    <t>Unknown:NC_014545.1/GU167940.1</t>
  </si>
  <si>
    <t>Frangipani mosaic virus</t>
  </si>
  <si>
    <t>PRJNA53499</t>
  </si>
  <si>
    <t>Virgaviridae</t>
  </si>
  <si>
    <t>Unknown:NC_014546.1/HM026454.1</t>
  </si>
  <si>
    <t>Digitaria didactyla striate mosaic virus</t>
  </si>
  <si>
    <t>PRJNA53503</t>
  </si>
  <si>
    <t>Unknown:NC_014547.1/HM122238.1</t>
  </si>
  <si>
    <t>Vibrio phage jenny 12G5</t>
  </si>
  <si>
    <t>HQ632860.1</t>
  </si>
  <si>
    <t>Clostridium butyricum strain TOA</t>
  </si>
  <si>
    <t>Vibrio phage eugene 12A10</t>
  </si>
  <si>
    <t>PRJNA53547</t>
  </si>
  <si>
    <t>Unknown:NC_029067.1/HQ634195.1</t>
  </si>
  <si>
    <t>Turkey adenovirus 1</t>
  </si>
  <si>
    <t>PRJNA53557</t>
  </si>
  <si>
    <t>Adenoviridae</t>
  </si>
  <si>
    <t>Unknown:NC_014564.2/GU936707.2</t>
  </si>
  <si>
    <t>Saimiriine alphaherpesvirus 1</t>
  </si>
  <si>
    <t>PRJNA54017</t>
  </si>
  <si>
    <t>67.1</t>
  </si>
  <si>
    <t>Unknown:NC_014567.1/HM625781.1</t>
  </si>
  <si>
    <t>Blueberry latent virus</t>
  </si>
  <si>
    <t>PRJNA56015</t>
  </si>
  <si>
    <t>Unknown:NC_014593.1/HM029246.1</t>
  </si>
  <si>
    <t>Clostridium carboxidivorans P7</t>
  </si>
  <si>
    <t>Tomato leaf curl Bangladesh betasatellite</t>
  </si>
  <si>
    <t>PRJNA56017</t>
  </si>
  <si>
    <t>40.3</t>
  </si>
  <si>
    <t>Unknown:NC_014594.1/HQ180395.1</t>
  </si>
  <si>
    <t>Shigella phage SP18</t>
  </si>
  <si>
    <t>PRJNA56019</t>
  </si>
  <si>
    <t>Unknown:NC_014595.1/GQ981382.1</t>
  </si>
  <si>
    <t>Tobacco leaf curl Pusa virus</t>
  </si>
  <si>
    <t>Clostridium cellulolyticum H10</t>
  </si>
  <si>
    <t>PRJNA56021</t>
  </si>
  <si>
    <t>43.1</t>
  </si>
  <si>
    <t>Unknown:NC_014596.1/HQ180391.1</t>
  </si>
  <si>
    <t>Tobacco leaf curl PUSA alphasatellite</t>
  </si>
  <si>
    <t>PRJNA56023</t>
  </si>
  <si>
    <t>Unknown:NC_014597.1/HQ180392.1</t>
  </si>
  <si>
    <t>Raspberry latent virus</t>
  </si>
  <si>
    <t>PRJNA56055</t>
  </si>
  <si>
    <t>42.5502</t>
  </si>
  <si>
    <t>S1:NC_014598.1/HQ012653.1;  S10:NC_014607.1/HQ012662.1;  S2:NC_014599.1/HQ012654.1;  S3:NC_014600.1/HQ012655.1;  S4:NC_014601.1/HQ012656.1;  S5:NC_014602.1/HQ012657.1;  S6:NC_014603.1/HQ012658.1;  S7:NC_014604.1/HQ012659.1;  S8:NC_014605.1/HQ012660.1;  S9:NC_014606.1/HQ012661.1</t>
  </si>
  <si>
    <t>Clostridium cellulovorans 743B</t>
  </si>
  <si>
    <t>Armigeres subalbatus virus SaX06-AK20</t>
  </si>
  <si>
    <t>PRJNA56065</t>
  </si>
  <si>
    <t>46.4</t>
  </si>
  <si>
    <t>Unknown:NC_014609.1/EU715328.1</t>
  </si>
  <si>
    <t>Euphorbia yellow mosaic virus associated DNA 1</t>
  </si>
  <si>
    <t>PRJNA59505</t>
  </si>
  <si>
    <t>Unknown:NC_014630.1/FN436008.1</t>
  </si>
  <si>
    <t>Clostridium cf. saccharolyticum K10</t>
  </si>
  <si>
    <t>Spinach severe curly top virus</t>
  </si>
  <si>
    <t>PRJNA59507</t>
  </si>
  <si>
    <t>38.1</t>
  </si>
  <si>
    <t>Unknown:NC_014631.1/GU734126.2</t>
  </si>
  <si>
    <t>Aeromonas phage phiAS4</t>
  </si>
  <si>
    <t>PRJNA59727</t>
  </si>
  <si>
    <t>Unknown:NC_014635.1/HM452125.1</t>
  </si>
  <si>
    <t>Aeromonas phage phiAS5</t>
  </si>
  <si>
    <t>PRJNA59729</t>
  </si>
  <si>
    <t>Clostridium clariflavum DSM 19732</t>
  </si>
  <si>
    <t>Unknown:NC_014636.1/HM452126.1</t>
  </si>
  <si>
    <t>Cafeteria roenbergensis virus BV-PW1</t>
  </si>
  <si>
    <t>PRJNA59783</t>
  </si>
  <si>
    <t>Mimiviridae</t>
  </si>
  <si>
    <t>Unknown:NC_014637.1/GU244497.1</t>
  </si>
  <si>
    <t>Ageratum leaf curl Cameroon virus</t>
  </si>
  <si>
    <t>PRJNA60043</t>
  </si>
  <si>
    <t>Unknown:NC_014645.1/FR717144.1</t>
  </si>
  <si>
    <t>Cleome leaf crumple virus associated DNA 1</t>
  </si>
  <si>
    <t>PRJNA60045</t>
  </si>
  <si>
    <t>46.7</t>
  </si>
  <si>
    <t>Clostridium difficile 2007855</t>
  </si>
  <si>
    <t>Unknown:NC_014646.1/FN436007.1</t>
  </si>
  <si>
    <t>Malvastrum yellow vein Changa Manga virus</t>
  </si>
  <si>
    <t>PRJNA60047</t>
  </si>
  <si>
    <t>Unknown:NC_014647.1/FR715681.1</t>
  </si>
  <si>
    <t>Acanthamoeba polyphaga mimivirus</t>
  </si>
  <si>
    <t>PRJNA60053</t>
  </si>
  <si>
    <t>protozoa, vertebrates</t>
  </si>
  <si>
    <t>Unknown:NC_014649.1/HQ336222.2</t>
  </si>
  <si>
    <t>Acinetobacter phage Ac42</t>
  </si>
  <si>
    <t>PRJNA60115</t>
  </si>
  <si>
    <t>Clostridium difficile 630</t>
  </si>
  <si>
    <t>36.4</t>
  </si>
  <si>
    <t>Unknown:NC_014660.1/HM032710.1</t>
  </si>
  <si>
    <t>Acinetobacter phage Acj61</t>
  </si>
  <si>
    <t>PRJNA60117</t>
  </si>
  <si>
    <t>Unknown:NC_014661.1/GU911519.1</t>
  </si>
  <si>
    <t>Enterobacter phage CC31</t>
  </si>
  <si>
    <t>PRJNA60119</t>
  </si>
  <si>
    <t>Unknown:NC_014662.1/GU323318.1</t>
  </si>
  <si>
    <t>Clostridium difficile BI1</t>
  </si>
  <si>
    <t>Acinetobacter phage Acj9</t>
  </si>
  <si>
    <t>PRJNA60121</t>
  </si>
  <si>
    <t>Unknown:NC_014663.1/HM004124.1</t>
  </si>
  <si>
    <t>Porcine parvovirus 4</t>
  </si>
  <si>
    <t>PRJNA60137</t>
  </si>
  <si>
    <t>Unknown:NC_014665.1/GQ387499.1</t>
  </si>
  <si>
    <t>Papaya leaf crumple virus-Panipat 8 [India:Panipat:Papaya:2008]</t>
  </si>
  <si>
    <t>PRJNA60361</t>
  </si>
  <si>
    <t>Clostridium difficile CD196</t>
  </si>
  <si>
    <t>Unknown:NC_014707.1/HM140367.1</t>
  </si>
  <si>
    <t>Southern rice black-streaked dwarf virus</t>
  </si>
  <si>
    <t>PRJNA60383</t>
  </si>
  <si>
    <t>34.4008</t>
  </si>
  <si>
    <t>segment 1:NC_014714.1/FN563989.1;  segment 10:NC_014713.1/EU523360.1;  segment 2:NC_014715.1/FN563990.1;  segment 3:NC_014716.1/FN563991.1;  segment 4:NC_014717.1/FN563992.1;  segment 5:NC_014708.1/FN563993.1;  segment 6:NC_014709.1/FN563994.1;  segment 7:NC_014710.1/FN563995.1;  segment 8:NC_014711.1/FN563996.1;  segment 9:NC_014712.1/EU523359.1</t>
  </si>
  <si>
    <t>Cowpea mild mottle virus</t>
  </si>
  <si>
    <t>PRJNA60623</t>
  </si>
  <si>
    <t>Clostridium difficile CF5</t>
  </si>
  <si>
    <t>Unknown:NC_014730.1/HQ184471.1</t>
  </si>
  <si>
    <t>Chickpea redleaf virus</t>
  </si>
  <si>
    <t>PRJNA60625</t>
  </si>
  <si>
    <t>Unknown:NC_014739.1/GU256532.1</t>
  </si>
  <si>
    <t>Chickpea chlorosis virus-A</t>
  </si>
  <si>
    <t>PRJNA60627</t>
  </si>
  <si>
    <t>Unknown:NC_014740.1/GU256530.1</t>
  </si>
  <si>
    <t>Tomato leaf curl Togo betasatellite-[Togo:2006]</t>
  </si>
  <si>
    <t>PRJNA60629</t>
  </si>
  <si>
    <t>Clostridium difficile M120</t>
  </si>
  <si>
    <t>Unknown:NC_014741.1/HQ586965.1</t>
  </si>
  <si>
    <t>Sweet potato virus C</t>
  </si>
  <si>
    <t>PRJNA60649</t>
  </si>
  <si>
    <t>Unknown:NC_014742.1/GU207957.1</t>
  </si>
  <si>
    <t>Chimpanzee polyomavirus</t>
  </si>
  <si>
    <t>PRJNA60731</t>
  </si>
  <si>
    <t>Unknown:NC_014743.1/FR692334.1</t>
  </si>
  <si>
    <t>Clostridium difficile M68</t>
  </si>
  <si>
    <t>Ageratum leaf curl Cameroon alphasatellite</t>
  </si>
  <si>
    <t>PRJNA60733</t>
  </si>
  <si>
    <t>Unknown:NC_014744.1/FR717143.1</t>
  </si>
  <si>
    <t>Okra leaf curl Cameroon virus</t>
  </si>
  <si>
    <t>PRJNA60747</t>
  </si>
  <si>
    <t>Unknown:NC_014745.1/FR717137.1</t>
  </si>
  <si>
    <t>Ageratum leaf curl Buea betasatellite</t>
  </si>
  <si>
    <t>PRJNA60749</t>
  </si>
  <si>
    <t>Clostridium difficile R20291</t>
  </si>
  <si>
    <t>36.6</t>
  </si>
  <si>
    <t>Unknown:NC_014746.1/FR717140.1</t>
  </si>
  <si>
    <t>Tomato leaf curl Cameroon alphasatellite</t>
  </si>
  <si>
    <t>PRJNA60751</t>
  </si>
  <si>
    <t>Unknown:NC_014747.1/FR717142.1</t>
  </si>
  <si>
    <t>Chaetoceros tenuissimus DNA virus</t>
  </si>
  <si>
    <t>PRJNA60753</t>
  </si>
  <si>
    <t>Clostridium kluyveri DSM 555</t>
  </si>
  <si>
    <t>Unknown:NC_014748.1/AB597949.1</t>
  </si>
  <si>
    <t>Bathycoccus sp. RCC1105 virus BpV1</t>
  </si>
  <si>
    <t>PRJNA61009</t>
  </si>
  <si>
    <t>Phycodnaviridae</t>
  </si>
  <si>
    <t>Unknown:NC_014765.1/HM004432.1</t>
  </si>
  <si>
    <t>Ostreococcus lucimarinus virus 1</t>
  </si>
  <si>
    <t>PRJNA61011</t>
  </si>
  <si>
    <t>Unknown:NC_014766.1/HM004431.1</t>
  </si>
  <si>
    <t>Clostridium kluyveri NBRC 12016</t>
  </si>
  <si>
    <t>Micromonas sp. RCC1109 virus MpV1</t>
  </si>
  <si>
    <t>PRJNA61013</t>
  </si>
  <si>
    <t>Unknown:NC_014767.1/HM004429.1</t>
  </si>
  <si>
    <t>Ostreococcus tauri virus 2</t>
  </si>
  <si>
    <t>PRJNA61087</t>
  </si>
  <si>
    <t>Unknown:NC_014789.1/FN600414.1</t>
  </si>
  <si>
    <t>Passion fruit woodiness virus</t>
  </si>
  <si>
    <t>PRJNA61089</t>
  </si>
  <si>
    <t>41.5</t>
  </si>
  <si>
    <t>Unknown:NC_014790.2/HQ122652.2</t>
  </si>
  <si>
    <t>Clostridium ljungdahlii strain DSM 13528</t>
  </si>
  <si>
    <t>Ugandan cassava brown streak virus</t>
  </si>
  <si>
    <t>PRJNA61097</t>
  </si>
  <si>
    <t>Unknown:NC_014791.1/HM181930.1</t>
  </si>
  <si>
    <t>Escherichia phage vB_EcoM_VR7</t>
  </si>
  <si>
    <t>PRJNA61099</t>
  </si>
  <si>
    <t>Unknown:NC_014792.1/HM563683.1</t>
  </si>
  <si>
    <t>Mud crab dicistrovirus</t>
  </si>
  <si>
    <t>PRJNA61121</t>
  </si>
  <si>
    <t>Dicistroviridae</t>
  </si>
  <si>
    <t>Unknown:NC_014793.1/HM777507.1</t>
  </si>
  <si>
    <t>Sida golden mosaic Buckup virus-[Jamaica:St. Elizabeth:2004]</t>
  </si>
  <si>
    <t>Clostridium novyi NT</t>
  </si>
  <si>
    <t>PRJNA61135</t>
  </si>
  <si>
    <t>44.6717</t>
  </si>
  <si>
    <t>DNA A:NC_014794.1/HQ008338.1;  DNA B:NC_014795.1/HQ009518.1</t>
  </si>
  <si>
    <t>Apricot latent virus</t>
  </si>
  <si>
    <t>PRJNA61427</t>
  </si>
  <si>
    <t>Unknown:NC_014821.1/HQ339956.1</t>
  </si>
  <si>
    <t>Bromus catharticus striate mosaic virus</t>
  </si>
  <si>
    <t>PRJNA61437</t>
  </si>
  <si>
    <t>Clostridium pasteurianum BC1</t>
  </si>
  <si>
    <t>Unknown:NC_014822.1/HQ113104.1</t>
  </si>
  <si>
    <t>Tolypocladium cylindrosporum virus 1</t>
  </si>
  <si>
    <t>PRJNA61451</t>
  </si>
  <si>
    <t>Unknown:NC_014823.1/FR750562.1</t>
  </si>
  <si>
    <t>Bhendi yellow vein India virus [India:Dharwad OYDWR2:2006]</t>
  </si>
  <si>
    <t>PRJNA61555</t>
  </si>
  <si>
    <t>Unknown:NC_014845.1/GU112023.1</t>
  </si>
  <si>
    <t>Clostridium pasteurianum DSM 525 = ATCC 6013</t>
  </si>
  <si>
    <t>Bhendi yellow vein India betasatellite [India:Aurangabad:OY164:2006]</t>
  </si>
  <si>
    <t>PRJNA61557</t>
  </si>
  <si>
    <t>Unknown:NC_014846.1/GU111988.1</t>
  </si>
  <si>
    <t>Okra leaf curl India virus [India:Sonipat EL14A:2006]</t>
  </si>
  <si>
    <t>PRJNA61559</t>
  </si>
  <si>
    <t>Unknown:NC_014847.1/GU112010.1</t>
  </si>
  <si>
    <t>Okra enation leaf curl virus [India:Munthal EL37:2006]</t>
  </si>
  <si>
    <t>PRJNA61775</t>
  </si>
  <si>
    <t>Unknown:NC_014894.1/GU111998.1</t>
  </si>
  <si>
    <t>Bhendi yellow vein mosaic betasatellite [India:Coimbator:OYCO1:2005]</t>
  </si>
  <si>
    <t>PRJNA61777</t>
  </si>
  <si>
    <t>41.2</t>
  </si>
  <si>
    <t>Unknown:NC_014895.1/GU111975.1</t>
  </si>
  <si>
    <t>Okra enation leaf curl betasatellite [India:Sonipat:EL10:2006]</t>
  </si>
  <si>
    <t>PRJNA61781</t>
  </si>
  <si>
    <t>38.3</t>
  </si>
  <si>
    <t>Unknown:NC_014896.1/GU111961.1</t>
  </si>
  <si>
    <t>Lupinus mosaic virus</t>
  </si>
  <si>
    <t>PRJNA61853</t>
  </si>
  <si>
    <t>Unknown:NC_014898.1/EU847625.2</t>
  </si>
  <si>
    <t>Murine adenovirus 2</t>
  </si>
  <si>
    <t>PRJNA61855</t>
  </si>
  <si>
    <t>63.4</t>
  </si>
  <si>
    <t>Unknown:NC_014899.1/HM049560.1</t>
  </si>
  <si>
    <t>Clostridium perfringens ATCC 13124</t>
  </si>
  <si>
    <t>Salmonella phage ST160</t>
  </si>
  <si>
    <t>PRJNA61857</t>
  </si>
  <si>
    <t>47.1</t>
  </si>
  <si>
    <t>Unknown:NC_014900.1/GU573886.1</t>
  </si>
  <si>
    <t>Mycobacterium phage Wee</t>
  </si>
  <si>
    <t>PRJNA61859</t>
  </si>
  <si>
    <t>61.8</t>
  </si>
  <si>
    <t>Unknown:NC_014901.1/HQ728524.1</t>
  </si>
  <si>
    <t>Rhynchosia yellow mosaic India virus</t>
  </si>
  <si>
    <t>PRJNA61861</t>
  </si>
  <si>
    <t>39.0204</t>
  </si>
  <si>
    <t>Clostridium perfringens SM101</t>
  </si>
  <si>
    <t>DNA A:NC_014902.1/HM777508.1;  DNA B:NC_014903.1/HM777510.1</t>
  </si>
  <si>
    <t>Tuber aestivum betaendornavirus</t>
  </si>
  <si>
    <t>PRJNA61903</t>
  </si>
  <si>
    <t>Endornaviridae</t>
  </si>
  <si>
    <t>Unknown:NC_014904.1/HQ380014.1</t>
  </si>
  <si>
    <t>Apium virus Y</t>
  </si>
  <si>
    <t>PRJNA61905</t>
  </si>
  <si>
    <t>Unknown:NC_014905.1/HM363516.1</t>
  </si>
  <si>
    <t>Clostridium perfringens str. 13</t>
  </si>
  <si>
    <t>Okra yellow crinkle Cameroon alphasatellite [CM:Lys1sp2:09]</t>
  </si>
  <si>
    <t>PRJNA61907</t>
  </si>
  <si>
    <t>38.6</t>
  </si>
  <si>
    <t>Unknown:NC_014906.1/FN675284.1</t>
  </si>
  <si>
    <t>Malvastrum yellow mosaic Cameroon alphasatellite</t>
  </si>
  <si>
    <t>PRJNA61909</t>
  </si>
  <si>
    <t>Unknown:NC_014907.1/FN675297.1</t>
  </si>
  <si>
    <t>Cyclovirus PKgoat21/PAK/2009</t>
  </si>
  <si>
    <t>PRJNA61947</t>
  </si>
  <si>
    <t>45.3</t>
  </si>
  <si>
    <t>Unknown:NC_014927.1/HQ738635.1</t>
  </si>
  <si>
    <t>Clostridium perfringens strain FORC_003</t>
  </si>
  <si>
    <t>Cyclovirus PKgoat11/PAK/2009</t>
  </si>
  <si>
    <t>PRJNA61949</t>
  </si>
  <si>
    <t>43.7</t>
  </si>
  <si>
    <t>Unknown:NC_014928.1/HQ738636.1</t>
  </si>
  <si>
    <t>Cyclovirus bat/USA/2009</t>
  </si>
  <si>
    <t>PRJNA61951</t>
  </si>
  <si>
    <t>Unknown:NC_014929.1/HQ738637.1</t>
  </si>
  <si>
    <t>Cyclovirus NGchicken15/NGA/2009</t>
  </si>
  <si>
    <t>PRJNA61953</t>
  </si>
  <si>
    <t>Clostridium perfringens strain JP55</t>
  </si>
  <si>
    <t>44.5</t>
  </si>
  <si>
    <t>Unknown:NC_014930.1/HQ738644.1</t>
  </si>
  <si>
    <t>Human papillomavirus type 128</t>
  </si>
  <si>
    <t>PRJNA62171</t>
  </si>
  <si>
    <t>Unknown:NC_014952.1/GU225708.1</t>
  </si>
  <si>
    <t>Human papillomavirus type 129</t>
  </si>
  <si>
    <t>PRJNA62175</t>
  </si>
  <si>
    <t>Clostridium perfringens strain JP838</t>
  </si>
  <si>
    <t>37.3</t>
  </si>
  <si>
    <t>Unknown:NC_014953.1/GU233853.1</t>
  </si>
  <si>
    <t>Human papillomavirus type 131</t>
  </si>
  <si>
    <t>PRJNA62177</t>
  </si>
  <si>
    <t>Unknown:NC_014954.1/GU117631.1</t>
  </si>
  <si>
    <t>Clostridium phytofermentans ISDg</t>
  </si>
  <si>
    <t>Human papillomavirus type 132</t>
  </si>
  <si>
    <t>PRJNA62179</t>
  </si>
  <si>
    <t>Unknown:NC_014955.1/GU117632.1</t>
  </si>
  <si>
    <t>Human papillomavirus type 134</t>
  </si>
  <si>
    <t>PRJNA62181</t>
  </si>
  <si>
    <t>Clostridium saccharobutylicum DSM 13864</t>
  </si>
  <si>
    <t>Unknown:NC_014956.1/GU117634.1</t>
  </si>
  <si>
    <t>Honeysuckle ringspot virus</t>
  </si>
  <si>
    <t>PRJNA62211</t>
  </si>
  <si>
    <t>Tombusviridae</t>
  </si>
  <si>
    <t>48.7</t>
  </si>
  <si>
    <t>Unknown:NC_014967.1/HQ677625.1</t>
  </si>
  <si>
    <t>Sweet potato leaf curl Uganda virus-[Uganda:Kampala:2008]</t>
  </si>
  <si>
    <t>PRJNA62213</t>
  </si>
  <si>
    <t>Unknown:NC_014968.1/FR751068.1</t>
  </si>
  <si>
    <t>Clostridium saccharolyticum WM1</t>
  </si>
  <si>
    <t>Fowl aviadenovirus E</t>
  </si>
  <si>
    <t>PRJNA62241</t>
  </si>
  <si>
    <t>Unknown:NC_014969.1/GU734104.1</t>
  </si>
  <si>
    <t>Penaeus vannamei nodavirus</t>
  </si>
  <si>
    <t>PRJNA62263</t>
  </si>
  <si>
    <t>45.4633</t>
  </si>
  <si>
    <t>RNA-1:NC_014978.1/HQ259079.1;  RNA-2:NC_014977.1/EF137180.2</t>
  </si>
  <si>
    <t>Sida mosaic Bolivia virus 2</t>
  </si>
  <si>
    <t>Clostridium saccharoperbutylacetonicum N1-4(HMT)</t>
  </si>
  <si>
    <t>PRJNA62475</t>
  </si>
  <si>
    <t>45.1591</t>
  </si>
  <si>
    <t>DNA-A:NC_015043.1/HM585443.1;  DNA-B:NC_015047.1/HM585444.1</t>
  </si>
  <si>
    <t>Sida mosaic Bolivia virus 1</t>
  </si>
  <si>
    <t>PRJNA62477</t>
  </si>
  <si>
    <t>46.4027</t>
  </si>
  <si>
    <t>DNA-A:NC_015046.1/HM585441.1;  DNA-B:NC_015044.1/HM585442.1</t>
  </si>
  <si>
    <t>Clostridium sp. BNL1100</t>
  </si>
  <si>
    <t>Abutilon mosaic Bolivia virus</t>
  </si>
  <si>
    <t>PRJNA62479</t>
  </si>
  <si>
    <t>44.0652</t>
  </si>
  <si>
    <t>DNA-A:NC_015045.1/HM585445.1;  DNA-B:NC_015048.1/HM585446.1</t>
  </si>
  <si>
    <t>Pepper vein yellows virus</t>
  </si>
  <si>
    <t>PRJNA62493</t>
  </si>
  <si>
    <t>Clostridium sp. M2/40</t>
  </si>
  <si>
    <t>Unknown:NC_015050.1/AB594828.1</t>
  </si>
  <si>
    <t>Spinach curly top Arizona virus</t>
  </si>
  <si>
    <t>PRJNA62497</t>
  </si>
  <si>
    <t>Unknown:NC_015051.1/HQ443515.1</t>
  </si>
  <si>
    <t>Santeuil nodavirus</t>
  </si>
  <si>
    <t>PRJNA62547</t>
  </si>
  <si>
    <t>53.0552</t>
  </si>
  <si>
    <t>Clostridium sp. SY8519</t>
  </si>
  <si>
    <t>RNA 1:NC_015069.1/HM030972.1;  RNA 2:NC_015070.1/HM030973.1</t>
  </si>
  <si>
    <t>Mosquito densovirus BR/07</t>
  </si>
  <si>
    <t>PRJNA62639</t>
  </si>
  <si>
    <t>Unknown:NC_015115.1/GU452720.1</t>
  </si>
  <si>
    <t>Japanese eel endothelial cells-infecting virus</t>
  </si>
  <si>
    <t>PRJNA62749</t>
  </si>
  <si>
    <t>47.9</t>
  </si>
  <si>
    <t>Unknown:NC_015123.1/AB543063.1</t>
  </si>
  <si>
    <t>Clostridium sporogenes strain DSM 795</t>
  </si>
  <si>
    <t>Tomato leaf curl Hanoi virus</t>
  </si>
  <si>
    <t>PRJNA62755</t>
  </si>
  <si>
    <t>42.1</t>
  </si>
  <si>
    <t>Unknown:NC_015124.1/HQ162270.1</t>
  </si>
  <si>
    <t>Avian orthoreovirus</t>
  </si>
  <si>
    <t>PRJNA62875</t>
  </si>
  <si>
    <t>48.6105</t>
  </si>
  <si>
    <t>L1:NC_015126.1/FR694191.1;  L2:NC_015127.1/FR694192.1;  L3:NC_015128.1/FR694193.1;  M1:NC_015129.1/FR694194.1;  M2:NC_015130.1/FR694195.1;  M3:NC_015131.1/FR694196.1;  S1:NC_015132.1/FR694197.1;  S2:NC_015133.1/FR694198.1;  S3:NC_015134.1/FR694199.1;  S4:NC_015135.1/FR694200.1</t>
  </si>
  <si>
    <t>Human polyomavirus 9</t>
  </si>
  <si>
    <t>PRJNA63123</t>
  </si>
  <si>
    <t>Clostridium sporogenes strain NCIMB 10696</t>
  </si>
  <si>
    <t>Unknown:NC_015150.1/HQ696595.1</t>
  </si>
  <si>
    <t>Vibrio phage ICP1</t>
  </si>
  <si>
    <t>PRJNA63229</t>
  </si>
  <si>
    <t>Unknown:NC_015157.1/HQ641347.1</t>
  </si>
  <si>
    <t>Pseudomonas phage phi15</t>
  </si>
  <si>
    <t>PRJNA63435</t>
  </si>
  <si>
    <t>58.2</t>
  </si>
  <si>
    <t>Unknown:NC_015208.1/FR823298.1</t>
  </si>
  <si>
    <t>Vibrio virus CTXphi</t>
  </si>
  <si>
    <t>PRJNA63437</t>
  </si>
  <si>
    <t>Inoviridae</t>
  </si>
  <si>
    <t>Clostridium stercorarium subsp. stercorarium DSM 8532</t>
  </si>
  <si>
    <t>chromosome I:NC_015209.1/HQ224500.1</t>
  </si>
  <si>
    <t>Tsukamurella phage TPA2</t>
  </si>
  <si>
    <t>PRJNA63439</t>
  </si>
  <si>
    <t>69.6</t>
  </si>
  <si>
    <t>Unknown:NC_015210.1/HM486077.1</t>
  </si>
  <si>
    <t>Chaetoceros lorenzianus DNA virus</t>
  </si>
  <si>
    <t>PRJNA63565</t>
  </si>
  <si>
    <t>Unknown:NC_015211.1/AB553581.1</t>
  </si>
  <si>
    <t>Seal anellovirus TFFN/USA/2006</t>
  </si>
  <si>
    <t>PRJNA63583</t>
  </si>
  <si>
    <t>46.8</t>
  </si>
  <si>
    <t>Unknown:NC_015212.1/HQ287751.1</t>
  </si>
  <si>
    <t>Grapevine berry inner necrosis virus</t>
  </si>
  <si>
    <t>PRJNA63625</t>
  </si>
  <si>
    <t>Unknown:NC_015220.1/D88448.2</t>
  </si>
  <si>
    <t>Clostridium sticklandii DSM 519</t>
  </si>
  <si>
    <t>Trailing lespedeza virus 1</t>
  </si>
  <si>
    <t>PRJNA64491</t>
  </si>
  <si>
    <t>Unknown:NC_015227.2/HM640935.2</t>
  </si>
  <si>
    <t>Sweet potato vein clearing virus</t>
  </si>
  <si>
    <t>PRJNA64493</t>
  </si>
  <si>
    <t>Unknown:NC_015228.1/HQ694979.1</t>
  </si>
  <si>
    <t>Fig fleck-associated virus</t>
  </si>
  <si>
    <t>PRJNA64495</t>
  </si>
  <si>
    <t>Clostridium tetani 12124569</t>
  </si>
  <si>
    <t>54.7</t>
  </si>
  <si>
    <t>Unknown:NC_015229.1/FM200426.2</t>
  </si>
  <si>
    <t>Acinetobacter virus 133</t>
  </si>
  <si>
    <t>PRJNA64541</t>
  </si>
  <si>
    <t>39.7</t>
  </si>
  <si>
    <t>Unknown:NC_015250.1/HM114315.1</t>
  </si>
  <si>
    <t>Clostridium tetani E88</t>
  </si>
  <si>
    <t>Aeromonas virus 65</t>
  </si>
  <si>
    <t>PRJNA64543</t>
  </si>
  <si>
    <t>Unknown:NC_015251.1/GU459069.1</t>
  </si>
  <si>
    <t>Brochothrix phage NF5</t>
  </si>
  <si>
    <t>PRJNA64545</t>
  </si>
  <si>
    <t>Unknown:NC_015252.1/HM144385.1</t>
  </si>
  <si>
    <t>Brochothrix phage A9</t>
  </si>
  <si>
    <t>PRJNA64547</t>
  </si>
  <si>
    <t>Clostridium thermocellum ATCC 27405</t>
  </si>
  <si>
    <t>Unknown:NC_015253.1/HM242243.1</t>
  </si>
  <si>
    <t>Brochothrix phage BL3</t>
  </si>
  <si>
    <t>PRJNA64549</t>
  </si>
  <si>
    <t>Unknown:NC_015254.1/HM144386.1</t>
  </si>
  <si>
    <t>Clostridium phage phiCD6356</t>
  </si>
  <si>
    <t>PRJNA64557</t>
  </si>
  <si>
    <t>Unknown:NC_015262.1/GU949551.1</t>
  </si>
  <si>
    <t>Lactococcus phage 949</t>
  </si>
  <si>
    <t>Clostridium thermocellum DSM 1313</t>
  </si>
  <si>
    <t>PRJNA64559</t>
  </si>
  <si>
    <t>32.7</t>
  </si>
  <si>
    <t>Unknown:NC_015263.1/HM029250.1</t>
  </si>
  <si>
    <t>Pseudomonas phage phiIBB-PF7A</t>
  </si>
  <si>
    <t>PRJNA64561</t>
  </si>
  <si>
    <t>Unknown:NC_015264.1/GU583987.1</t>
  </si>
  <si>
    <t>Burkholderia phage KS5</t>
  </si>
  <si>
    <t>PRJNA64563</t>
  </si>
  <si>
    <t>63.7</t>
  </si>
  <si>
    <t>Unknown:NC_015265.1/GU911303.1</t>
  </si>
  <si>
    <t>Burkholderia phage KL3</t>
  </si>
  <si>
    <t>PRJNA64565</t>
  </si>
  <si>
    <t>Clostridium tyrobutyricum strain KCTC 5387</t>
  </si>
  <si>
    <t>63.2</t>
  </si>
  <si>
    <t>Unknown:NC_015266.1/GU911304.1</t>
  </si>
  <si>
    <t>Camelus dromedarius papillomavirus type 1</t>
  </si>
  <si>
    <t>PRJNA64597</t>
  </si>
  <si>
    <t>Unknown:NC_015267.1/HQ912790.1</t>
  </si>
  <si>
    <t>Camelus dromedarius papillomavirus type 2</t>
  </si>
  <si>
    <t>PRJNA64599</t>
  </si>
  <si>
    <t>Unknown:NC_015268.1/HQ912791.1</t>
  </si>
  <si>
    <t>Salmonella virus SPC35</t>
  </si>
  <si>
    <t>PRJNA64605</t>
  </si>
  <si>
    <t>Collimonas arenae Cal35</t>
  </si>
  <si>
    <t>Unknown:NC_015269.1/HQ406778.1</t>
  </si>
  <si>
    <t>Enterococcus phage EFRM31</t>
  </si>
  <si>
    <t>PRJNA64607</t>
  </si>
  <si>
    <t>Unknown:NC_015270.1/GU815339.1</t>
  </si>
  <si>
    <t>Salmonella phage Vi06</t>
  </si>
  <si>
    <t>PRJNA64609</t>
  </si>
  <si>
    <t>Unknown:NC_015271.1/FR667955.1</t>
  </si>
  <si>
    <t>Pseudomonas phage KPP10</t>
  </si>
  <si>
    <t>Collimonas arenae strain Ter10</t>
  </si>
  <si>
    <t>PRJNA64611</t>
  </si>
  <si>
    <t>54.8</t>
  </si>
  <si>
    <t>Unknown:NC_015272.2/AB472900.2</t>
  </si>
  <si>
    <t>Burkholderia phage KS14</t>
  </si>
  <si>
    <t>PRJNA64613</t>
  </si>
  <si>
    <t>Unknown:NC_015273.1/HM461982.1</t>
  </si>
  <si>
    <t>Streptococcus phage Dp-1</t>
  </si>
  <si>
    <t>PRJNA64617</t>
  </si>
  <si>
    <t>Collimonas arenae strain Ter282</t>
  </si>
  <si>
    <t>Unknown:NC_015274.1/HQ268735.1</t>
  </si>
  <si>
    <t>Erwinia phage phiEa104</t>
  </si>
  <si>
    <t>PRJNA64759</t>
  </si>
  <si>
    <t>43.8</t>
  </si>
  <si>
    <t>Unknown:NC_015292.1/FQ482083.1</t>
  </si>
  <si>
    <t>Pseudoalteromonas phage H105/1</t>
  </si>
  <si>
    <t>PRJNA64761</t>
  </si>
  <si>
    <t>40.8</t>
  </si>
  <si>
    <t>Collimonas fungivorans strain Ter6</t>
  </si>
  <si>
    <t>Unknown:NC_015293.1/HM588722.1</t>
  </si>
  <si>
    <t>Pseudomonas phage PAK_P1</t>
  </si>
  <si>
    <t>PRJNA64763</t>
  </si>
  <si>
    <t>Unknown:NC_015294.2/KC862297.1</t>
  </si>
  <si>
    <t>Erwinia phage phiEt88</t>
  </si>
  <si>
    <t>PRJNA64765</t>
  </si>
  <si>
    <t>Collimonas fungivorans Ter331</t>
  </si>
  <si>
    <t>Unknown:NC_015295.1/FQ482085.1</t>
  </si>
  <si>
    <t>Salmonella phage ViI</t>
  </si>
  <si>
    <t>PRJNA64767</t>
  </si>
  <si>
    <t>45.2</t>
  </si>
  <si>
    <t>Unknown:NC_015296.1/FQ312032.1</t>
  </si>
  <si>
    <t>Ralstonia phage PE226</t>
  </si>
  <si>
    <t>PRJNA64769</t>
  </si>
  <si>
    <t>61.7</t>
  </si>
  <si>
    <t>Unknown:NC_015297.1/HM064452.1</t>
  </si>
  <si>
    <t>Sweet potato leaf curl South Carolina virus</t>
  </si>
  <si>
    <t>PRJNA65201</t>
  </si>
  <si>
    <t>Unknown:NC_015317.1/HQ333144.1</t>
  </si>
  <si>
    <t>Collimonas pratensis strain Ter291</t>
  </si>
  <si>
    <t>Fowl aviadenovirus C</t>
  </si>
  <si>
    <t>PRJNA65223</t>
  </si>
  <si>
    <t>Unknown:NC_015323.1/GU188428.1</t>
  </si>
  <si>
    <t>Sweet potato golden vein associated virus</t>
  </si>
  <si>
    <t>PRJNA65275</t>
  </si>
  <si>
    <t>44.8</t>
  </si>
  <si>
    <t>Unknown:NC_015324.1/HQ333143.1</t>
  </si>
  <si>
    <t>Zalophus californianus papillomavirus 1</t>
  </si>
  <si>
    <t>PRJNA65277</t>
  </si>
  <si>
    <t>58.5</t>
  </si>
  <si>
    <t>Collimonas pratensis strain Ter91</t>
  </si>
  <si>
    <t>Unknown:NC_015325.1/HQ293213.1</t>
  </si>
  <si>
    <t>Lausannevirus</t>
  </si>
  <si>
    <t>PRJNA65279</t>
  </si>
  <si>
    <t>Unknown:NC_015326.1/HQ113105.1</t>
  </si>
  <si>
    <t>Cotton leaf curl virus associated DNA 1 isolate Lucknow</t>
  </si>
  <si>
    <t>PRJNA65305</t>
  </si>
  <si>
    <t>Unknown:NC_015327.1/HQ343234.2</t>
  </si>
  <si>
    <t>Sweet potato collusive virus</t>
  </si>
  <si>
    <t>Colwellia psychrerythraea 34H</t>
  </si>
  <si>
    <t>PRJNA65307</t>
  </si>
  <si>
    <t>Unknown:NC_015328.1/HQ694978.1</t>
  </si>
  <si>
    <t>Chandiru virus</t>
  </si>
  <si>
    <t>PRJNA65423</t>
  </si>
  <si>
    <t>Phenuiviridae</t>
  </si>
  <si>
    <t>39.5243</t>
  </si>
  <si>
    <t>L:NC_015374.1/HM119407.1;  M:NC_015373.1/HM119408.1;  S:NC_015375.1/HM119409.1</t>
  </si>
  <si>
    <t>Celery mosaic virus</t>
  </si>
  <si>
    <t>PRJNA65809</t>
  </si>
  <si>
    <t>Unknown:NC_015393.1/HQ676607.1</t>
  </si>
  <si>
    <t>Hardenbergia mosaic virus</t>
  </si>
  <si>
    <t>Colwellia sp. MT41</t>
  </si>
  <si>
    <t>PRJNA65811</t>
  </si>
  <si>
    <t>Unknown:NC_015394.2/HQ161081.1</t>
  </si>
  <si>
    <t>Hardenbergia virus A</t>
  </si>
  <si>
    <t>PRJNA65813</t>
  </si>
  <si>
    <t>Unknown:NC_015395.1/HQ241409.1</t>
  </si>
  <si>
    <t>Avian gyrovirus 2</t>
  </si>
  <si>
    <t>PRJNA65815</t>
  </si>
  <si>
    <t>Comamonadaceae bacterium A1</t>
  </si>
  <si>
    <t>Unknown:NC_015396.1/HM590588.1</t>
  </si>
  <si>
    <t>Cleome golden mosaic virus</t>
  </si>
  <si>
    <t>PRJNA65817</t>
  </si>
  <si>
    <t>Unknown:NC_015397.1/HQ396465.1</t>
  </si>
  <si>
    <t>Clostera anachoreta granulovirus</t>
  </si>
  <si>
    <t>PRJNA65819</t>
  </si>
  <si>
    <t>Unknown:NC_015398.1/HQ116624.1</t>
  </si>
  <si>
    <t>Barbel circovirus</t>
  </si>
  <si>
    <t>PRJNA65821</t>
  </si>
  <si>
    <t>Comamonadaceae bacterium B1</t>
  </si>
  <si>
    <t>Unknown:NC_015399.1/GU799606.1</t>
  </si>
  <si>
    <t>Sandfly fever Turkey virus</t>
  </si>
  <si>
    <t>PRJNA66185</t>
  </si>
  <si>
    <t>43.6384</t>
  </si>
  <si>
    <t>L:NC_015412.1/GQ847513.2;  M:NC_015411.1/GQ847512.2;  S:NC_015413.1/GQ847511.2</t>
  </si>
  <si>
    <t>Comamonas aquatica strain CJG</t>
  </si>
  <si>
    <t>Cherry leaf roll virus</t>
  </si>
  <si>
    <t>PRJNA66187</t>
  </si>
  <si>
    <t>49.8136</t>
  </si>
  <si>
    <t>RNA 1:NC_015414.1/FR851461.1;  RNA 2:NC_015415.1/FR851462.1</t>
  </si>
  <si>
    <t>Guinea pig Chlamydia phage</t>
  </si>
  <si>
    <t>PRJNA14012</t>
  </si>
  <si>
    <t>Microviridae</t>
  </si>
  <si>
    <t>Comamonas testosteroni CNB-2</t>
  </si>
  <si>
    <t>Unknown:NC_001998.1/U41758.1</t>
  </si>
  <si>
    <t>Potato yellow mosaic Panama virus</t>
  </si>
  <si>
    <t>PRJNA14013</t>
  </si>
  <si>
    <t>42.766</t>
  </si>
  <si>
    <t>DNA A:NC_002048.1/Y15034.1;  DNA B:NC_002049.1/Y15033.1</t>
  </si>
  <si>
    <t>Comamonas testosteroni P19</t>
  </si>
  <si>
    <t>Sulfolobus spindle-shaped virus 1</t>
  </si>
  <si>
    <t>PRJNA14014</t>
  </si>
  <si>
    <t>Fuselloviridae</t>
  </si>
  <si>
    <t>Unknown:NC_001338.1/X07234.1</t>
  </si>
  <si>
    <t>Enterobacteria phage S13</t>
  </si>
  <si>
    <t>AF274751.1</t>
  </si>
  <si>
    <t>Comamonas testosteroni TK102</t>
  </si>
  <si>
    <t>Sweet potato leaf curl Lanzarote virus</t>
  </si>
  <si>
    <t>PRJNA41625</t>
  </si>
  <si>
    <t>Unknown:NC_013467.1/EU839579.2</t>
  </si>
  <si>
    <t>Drosophila melanogaster totivirus SW-2009a</t>
  </si>
  <si>
    <t>PRJNA41725</t>
  </si>
  <si>
    <t>Unknown:NC_013499.1/GQ342961.1</t>
  </si>
  <si>
    <t>Butterbur mosaic virus</t>
  </si>
  <si>
    <t>PRJNA42145</t>
  </si>
  <si>
    <t>Conexibacter woesei DSM 14684</t>
  </si>
  <si>
    <t>Unknown:NC_013527.1/AB517596.1</t>
  </si>
  <si>
    <t>Fort Morgan virus</t>
  </si>
  <si>
    <t>PRJNA42147</t>
  </si>
  <si>
    <t>Togaviridae</t>
  </si>
  <si>
    <t>Unknown:NC_013528.1/GQ281603.1</t>
  </si>
  <si>
    <t>Vibrio phage SIO-2</t>
  </si>
  <si>
    <t>PRJNA42177</t>
  </si>
  <si>
    <t>Unknown:NC_016567.1/HQ316604.1</t>
  </si>
  <si>
    <t>Confluentimicrobium sp. EMB200-NS6</t>
  </si>
  <si>
    <t>Synechococcus phage S-SSM4</t>
  </si>
  <si>
    <t>PRJNA42181</t>
  </si>
  <si>
    <t>Unknown:NC_020875.1/HQ316583.1</t>
  </si>
  <si>
    <t>Cyanophage SS120-1</t>
  </si>
  <si>
    <t>PRJNA42183</t>
  </si>
  <si>
    <t>Unknown:NC_020872.1/HQ316584.1</t>
  </si>
  <si>
    <t>Coprococcus catus GD/7</t>
  </si>
  <si>
    <t>Acidianus spindle-shaped virus 1</t>
  </si>
  <si>
    <t>PRJNA42351</t>
  </si>
  <si>
    <t>Unknown:NC_013585.1/FJ870917.1</t>
  </si>
  <si>
    <t>Coprococcus sp. ART55/1</t>
  </si>
  <si>
    <t>Sulfolobus spindle-shaped virus 6</t>
  </si>
  <si>
    <t>PRJNA42355</t>
  </si>
  <si>
    <t>Unknown:NC_013587.1/FJ870915.1</t>
  </si>
  <si>
    <t>Sulfolobus spindle-shaped virus 7</t>
  </si>
  <si>
    <t>PRJNA42357</t>
  </si>
  <si>
    <t>Unknown:NC_013588.1/FJ870916.1</t>
  </si>
  <si>
    <t>Felid alphaherpesvirus 1</t>
  </si>
  <si>
    <t>PRJNA42429</t>
  </si>
  <si>
    <t>Coprothermobacter proteolyticus DSM 5265</t>
  </si>
  <si>
    <t>Unknown:NC_013590.2/FJ478159.2</t>
  </si>
  <si>
    <t>Cotton leaf curl Gezira alphasatellite</t>
  </si>
  <si>
    <t>PRJNA42507</t>
  </si>
  <si>
    <t>Unknown:NC_013593.1/FN554580.1</t>
  </si>
  <si>
    <t>Escherichia phage D108</t>
  </si>
  <si>
    <t>PRJNA42515</t>
  </si>
  <si>
    <t>Unknown:NC_013594.1/GQ357916.1</t>
  </si>
  <si>
    <t>Streptococcus virus ALQ132</t>
  </si>
  <si>
    <t>PRJNA42593</t>
  </si>
  <si>
    <t>Unknown:NC_013598.1/FJ226752.1</t>
  </si>
  <si>
    <t>Coraliomargarita akajimensis DSM 45221</t>
  </si>
  <si>
    <t>Xylella phage Xfas53</t>
  </si>
  <si>
    <t>PRJNA42595</t>
  </si>
  <si>
    <t>56.8</t>
  </si>
  <si>
    <t>Unknown:NC_013599.1/GQ421471.1</t>
  </si>
  <si>
    <t>Sodalis phage SO1</t>
  </si>
  <si>
    <t>PRJNA42597</t>
  </si>
  <si>
    <t>Unknown:NC_013600.1/GQ502199.1</t>
  </si>
  <si>
    <t>Pseudomonas phage phi-2</t>
  </si>
  <si>
    <t>PRJNA42717</t>
  </si>
  <si>
    <t>58.9</t>
  </si>
  <si>
    <t>Unknown:NC_013638.1/FN594518.1</t>
  </si>
  <si>
    <t>Corallococcus coralloides DSM 2259</t>
  </si>
  <si>
    <t>Tomato leaf curl Cameroon virus - [Cameroon:Buea:Okra:2008]</t>
  </si>
  <si>
    <t>PRJNA42743</t>
  </si>
  <si>
    <t>Unknown:NC_013639.1/FM210278.1</t>
  </si>
  <si>
    <t>Sweet potato leaf curl Bengal virus - [India:West Bengal:2008]</t>
  </si>
  <si>
    <t>PRJNA42745</t>
  </si>
  <si>
    <t>Unknown:NC_013640.2/FN432356.2</t>
  </si>
  <si>
    <t>Tomato yellow leaf curl Thailand betasatellite</t>
  </si>
  <si>
    <t>PRJNA14450</t>
  </si>
  <si>
    <t>Unknown:NC_004903.1/AJ566746.1</t>
  </si>
  <si>
    <t>Coriobacteriaceae bacterium 68-1-3</t>
  </si>
  <si>
    <t>Klebsiella phage KP32</t>
  </si>
  <si>
    <t>PRJNA42779</t>
  </si>
  <si>
    <t>52.4</t>
  </si>
  <si>
    <t>Unknown:NC_013647.1/GQ413937.1</t>
  </si>
  <si>
    <t>Klebsiella phage KP34</t>
  </si>
  <si>
    <t>PRJNA42781</t>
  </si>
  <si>
    <t>54.1</t>
  </si>
  <si>
    <t>Unknown:NC_013649.2/GQ413938.2</t>
  </si>
  <si>
    <t>Mycobacterium phage ET08</t>
  </si>
  <si>
    <t>Coriobacterium glomerans PW2</t>
  </si>
  <si>
    <t>PRJNA42783</t>
  </si>
  <si>
    <t>64.6</t>
  </si>
  <si>
    <t>Unknown:NC_013650.1/GQ303260.1</t>
  </si>
  <si>
    <t>Vibrio phage N4</t>
  </si>
  <si>
    <t>PRJNA42785</t>
  </si>
  <si>
    <t>42.8</t>
  </si>
  <si>
    <t>Unknown:NC_013651.1/FJ409640.1</t>
  </si>
  <si>
    <t>Corynebacteriales bacterium X1036</t>
  </si>
  <si>
    <t>Enterococcus phage phiFL3A</t>
  </si>
  <si>
    <t>PRJNA42787</t>
  </si>
  <si>
    <t>34.5</t>
  </si>
  <si>
    <t>Unknown:NC_013648.1/GQ478086.1</t>
  </si>
  <si>
    <t>Enterococcus phage phiFL1A</t>
  </si>
  <si>
    <t>PRJNA42789</t>
  </si>
  <si>
    <t>Unknown:NC_013646.1/GQ478081.1</t>
  </si>
  <si>
    <t>Streptococcus virus phiAbc2</t>
  </si>
  <si>
    <t>PRJNA42791</t>
  </si>
  <si>
    <t>Corynebacteriales bacterium X1698</t>
  </si>
  <si>
    <t>Unknown:NC_013645.1/FJ236310.1</t>
  </si>
  <si>
    <t>Enterococcus phage phiFL4A</t>
  </si>
  <si>
    <t>PRJNA42793</t>
  </si>
  <si>
    <t>Unknown:NC_013644.1/GQ478088.1</t>
  </si>
  <si>
    <t>Enterococcus phage phiFL2A</t>
  </si>
  <si>
    <t>PRJNA42795</t>
  </si>
  <si>
    <t>Unknown:NC_013643.1/GQ478084.1</t>
  </si>
  <si>
    <t>Corynebacterium argentoratense DSM 44202</t>
  </si>
  <si>
    <t>Anguillid herpesvirus 1</t>
  </si>
  <si>
    <t>PRJNA42931</t>
  </si>
  <si>
    <t>Alloherpesviridae</t>
  </si>
  <si>
    <t>Unknown:NC_013668.3/FJ940765.3</t>
  </si>
  <si>
    <t>Shigella phage Ag3</t>
  </si>
  <si>
    <t>PRJNA42937</t>
  </si>
  <si>
    <t>Unknown:NC_013693.1/FJ373894.1</t>
  </si>
  <si>
    <t>Mycobacterium virus Peaches</t>
  </si>
  <si>
    <t>PRJNA42939</t>
  </si>
  <si>
    <t>Corynebacterium atypicum strain R2070</t>
  </si>
  <si>
    <t>63.9</t>
  </si>
  <si>
    <t>Unknown:NC_013694.1/GQ303263.1</t>
  </si>
  <si>
    <t>Ictalurid herpesvirus 1</t>
  </si>
  <si>
    <t>PRJNA14018</t>
  </si>
  <si>
    <t>Unknown:NC_001493.2/M75136.2</t>
  </si>
  <si>
    <t>Minute virus of mice</t>
  </si>
  <si>
    <t>PRJNA14019</t>
  </si>
  <si>
    <t>Unknown:NC_001510.1/J02275.1</t>
  </si>
  <si>
    <t>Bovine parvovirus</t>
  </si>
  <si>
    <t>Corynebacterium aurimucosum ATCC 700975</t>
  </si>
  <si>
    <t>PRJNA14020</t>
  </si>
  <si>
    <t>48.8</t>
  </si>
  <si>
    <t>Unknown:NC_001540.1/M14363.1</t>
  </si>
  <si>
    <t>Arabis mosaic virus small satellite RNA</t>
  </si>
  <si>
    <t>PRJNA14021</t>
  </si>
  <si>
    <t>Unknown:NC_001546.1/M21212.1</t>
  </si>
  <si>
    <t>Iotapapillomavirus 1</t>
  </si>
  <si>
    <t>PRJNA14022</t>
  </si>
  <si>
    <t>50.2</t>
  </si>
  <si>
    <t>Corynebacterium callunae DSM 20147</t>
  </si>
  <si>
    <t>Unknown:NC_001605.1/U01834.1</t>
  </si>
  <si>
    <t>Human papillomavirus type 48</t>
  </si>
  <si>
    <t>PRJNA14027</t>
  </si>
  <si>
    <t>36.8</t>
  </si>
  <si>
    <t>Unknown:NC_001690.1/U31789.1</t>
  </si>
  <si>
    <t>Human papillomavirus type 60</t>
  </si>
  <si>
    <t>PRJNA14028</t>
  </si>
  <si>
    <t>Corynebacterium camporealensis strain DSM 44610</t>
  </si>
  <si>
    <t>Unknown:NC_001693.1/U31792.1</t>
  </si>
  <si>
    <t>Lactococcus virus c2</t>
  </si>
  <si>
    <t>PRJNA14029</t>
  </si>
  <si>
    <t>36.3</t>
  </si>
  <si>
    <t>Unknown:NC_001706.1/L48605.1</t>
  </si>
  <si>
    <t>Adeno-associated virus - 4</t>
  </si>
  <si>
    <t>PRJNA14030</t>
  </si>
  <si>
    <t>57.4</t>
  </si>
  <si>
    <t>Unknown:NC_001829.1/U89790.1</t>
  </si>
  <si>
    <t>Petunia vein clearing virus</t>
  </si>
  <si>
    <t>PRJNA14031</t>
  </si>
  <si>
    <t>Unknown:NC_001839.2/U95208.2</t>
  </si>
  <si>
    <t>Corynebacterium casei LMG S-19264</t>
  </si>
  <si>
    <t>Spiroplasma phage SVTS2</t>
  </si>
  <si>
    <t>PRJNA14032</t>
  </si>
  <si>
    <t>Unknown:NC_001270.2/AF133242.2</t>
  </si>
  <si>
    <t>Bacillus virus SPbeta</t>
  </si>
  <si>
    <t>PRJNA14034</t>
  </si>
  <si>
    <t>Unknown:NC_001884.1/AF020713.1</t>
  </si>
  <si>
    <t>Escherichia virus P2</t>
  </si>
  <si>
    <t>PRJNA14035</t>
  </si>
  <si>
    <t>Corynebacterium deserti GIMN1.010</t>
  </si>
  <si>
    <t>Unknown:NC_001895.1/AF063097.1</t>
  </si>
  <si>
    <t>Diatraea saccharalis densovirus</t>
  </si>
  <si>
    <t>PRJNA14036</t>
  </si>
  <si>
    <t>Unknown:NC_001899.1/AF036333.1</t>
  </si>
  <si>
    <t>Bean dwarf mosaic virus</t>
  </si>
  <si>
    <t>PRJNA14037</t>
  </si>
  <si>
    <t>44.606</t>
  </si>
  <si>
    <t>DNA A:NC_001931.1/M88179.1;  DNA B:NC_001930.1/M88180.1</t>
  </si>
  <si>
    <t>Corynebacterium diphtheriae 241</t>
  </si>
  <si>
    <t>Squash leaf curl virus</t>
  </si>
  <si>
    <t>PRJNA14038</t>
  </si>
  <si>
    <t>44.0539</t>
  </si>
  <si>
    <t>DNA A:NC_001936.1/M38183.1;  DNA B:NC_001937.1/M38182.1</t>
  </si>
  <si>
    <t>Enterobacteria phage If1</t>
  </si>
  <si>
    <t>PRJNA14039</t>
  </si>
  <si>
    <t>Unknown:NC_001954.1/U02303.1</t>
  </si>
  <si>
    <t>Ateline gammaherpesvirus 3</t>
  </si>
  <si>
    <t>PRJNA14040</t>
  </si>
  <si>
    <t>Unknown:NC_001987.1/AF083424.1</t>
  </si>
  <si>
    <t>Corynebacterium diphtheriae 31A</t>
  </si>
  <si>
    <t>Melanoplus sanguinipes entomopoxvirus</t>
  </si>
  <si>
    <t>PRJNA14042</t>
  </si>
  <si>
    <t>Unknown:NC_001993.1/AF063866.1</t>
  </si>
  <si>
    <t>Enterobacteria phage T4</t>
  </si>
  <si>
    <t>PRJNA14044</t>
  </si>
  <si>
    <t>35.3</t>
  </si>
  <si>
    <t>Unknown:NC_000866.4/AF158101.6</t>
  </si>
  <si>
    <t>Streptococcus virus Sfi19</t>
  </si>
  <si>
    <t>Corynebacterium diphtheriae BH8</t>
  </si>
  <si>
    <t>PRJNA14045</t>
  </si>
  <si>
    <t>Unknown:NC_000871.1/AF115102.1</t>
  </si>
  <si>
    <t>Pepper leaf curl virus</t>
  </si>
  <si>
    <t>PRJNA14046</t>
  </si>
  <si>
    <t>Unknown:NC_000882.1/AF134484.2</t>
  </si>
  <si>
    <t>Escherichia virus HK022</t>
  </si>
  <si>
    <t>PRJNA14048</t>
  </si>
  <si>
    <t>Unknown:NC_002166.1/AF069308.1</t>
  </si>
  <si>
    <t>Corynebacterium diphtheriae C7 (beta)</t>
  </si>
  <si>
    <t>Streptococcus virus 7201</t>
  </si>
  <si>
    <t>PRJNA14051</t>
  </si>
  <si>
    <t>Unknown:NC_002185.1/AF145054.1</t>
  </si>
  <si>
    <t>Fowlpox virus</t>
  </si>
  <si>
    <t>PRJNA14052</t>
  </si>
  <si>
    <t>Unknown:NC_002188.1/AF198100.1</t>
  </si>
  <si>
    <t>Corynebacterium diphtheriae CDCE 8392</t>
  </si>
  <si>
    <t>Porcine circovirus 1</t>
  </si>
  <si>
    <t>PRJNA14053</t>
  </si>
  <si>
    <t>Unknown:NC_001792.2/AF071879.1</t>
  </si>
  <si>
    <t>Streptococcus virus Sfi11</t>
  </si>
  <si>
    <t>PRJNA14054</t>
  </si>
  <si>
    <t>Unknown:NC_002214.1/AF158600.2</t>
  </si>
  <si>
    <t>Porcine parvovirus</t>
  </si>
  <si>
    <t>PRJNA14055</t>
  </si>
  <si>
    <t>Unknown:NC_001718.1/L23427.1</t>
  </si>
  <si>
    <t>Cassava vein mosaic virus</t>
  </si>
  <si>
    <t>Corynebacterium diphtheriae HC01</t>
  </si>
  <si>
    <t>PRJNA14056</t>
  </si>
  <si>
    <t>Unknown:NC_001648.1/U59751.1</t>
  </si>
  <si>
    <t>Kappapapillomavirus 1</t>
  </si>
  <si>
    <t>PRJNA14057</t>
  </si>
  <si>
    <t>Unknown:NC_002232.1/AF227240.1</t>
  </si>
  <si>
    <t>Pepper huasteco yellow vein virus</t>
  </si>
  <si>
    <t>PRJNA14059</t>
  </si>
  <si>
    <t>41.7129</t>
  </si>
  <si>
    <t>DNA A:NC_001359.1/X70418.1;  DNA B:NC_001369.1/X70419.1</t>
  </si>
  <si>
    <t>Corynebacterium diphtheriae HC02</t>
  </si>
  <si>
    <t>Adeno-associated virus - 2</t>
  </si>
  <si>
    <t>PRJNA14060</t>
  </si>
  <si>
    <t>Unknown:NC_001401.2/AF043303.1</t>
  </si>
  <si>
    <t>Pseudomonas phage Pf3</t>
  </si>
  <si>
    <t>PRJNA14061</t>
  </si>
  <si>
    <t>45.4</t>
  </si>
  <si>
    <t>Unknown:NC_001418.1/M11912.1</t>
  </si>
  <si>
    <t>Corynebacterium diphtheriae HC03</t>
  </si>
  <si>
    <t>Potato yellow mosaic virus</t>
  </si>
  <si>
    <t>PRJNA14065</t>
  </si>
  <si>
    <t>43.3125</t>
  </si>
  <si>
    <t>DNA A:NC_001934.1/D00940.1;  DNA B:NC_001935.1/D00941.1</t>
  </si>
  <si>
    <t>Chloris striate mosaic virus</t>
  </si>
  <si>
    <t>PRJNA14068</t>
  </si>
  <si>
    <t>Corynebacterium diphtheriae HC04</t>
  </si>
  <si>
    <t>Unknown:NC_001466.1/M20021.1</t>
  </si>
  <si>
    <t>Digitaria streak virus</t>
  </si>
  <si>
    <t>PRJNA14069</t>
  </si>
  <si>
    <t>Unknown:NC_001478.1/M23022.1</t>
  </si>
  <si>
    <t>Ground squirrel hepatitis virus</t>
  </si>
  <si>
    <t>PRJNA14070</t>
  </si>
  <si>
    <t>Hepadnaviridae</t>
  </si>
  <si>
    <t>Unknown:NC_001484.1/K02715.1</t>
  </si>
  <si>
    <t>Corynebacterium diphtheriae INCA 402</t>
  </si>
  <si>
    <t>Tomato golden mosaic virus-Yellow vein</t>
  </si>
  <si>
    <t>PRJNA14072</t>
  </si>
  <si>
    <t>41.7235</t>
  </si>
  <si>
    <t>DNA A:NC_001507.1/K02029.1;  DNA B:NC_001508.1/K02030.1</t>
  </si>
  <si>
    <t>Deltapapillomavirus 2</t>
  </si>
  <si>
    <t>PRJNA14073</t>
  </si>
  <si>
    <t>47.5</t>
  </si>
  <si>
    <t>Unknown:NC_001523.1/M11910.1</t>
  </si>
  <si>
    <t>Kappapapillomavirus 2</t>
  </si>
  <si>
    <t>PRJNA14075</t>
  </si>
  <si>
    <t>Unknown:NC_001541.1/K02708.1</t>
  </si>
  <si>
    <t>Corynebacterium diphtheriae NCTC 13129</t>
  </si>
  <si>
    <t>Panicum streak virus - Karino</t>
  </si>
  <si>
    <t>PRJNA14076</t>
  </si>
  <si>
    <t>Unknown:NC_001647.1/L39638.1</t>
  </si>
  <si>
    <t>Aleutian mink disease virus</t>
  </si>
  <si>
    <t>PRJNA14077</t>
  </si>
  <si>
    <t>Unknown:NC_001662.1/M20036.1</t>
  </si>
  <si>
    <t>Haemophilus phage HP1</t>
  </si>
  <si>
    <t>PRJNA14078</t>
  </si>
  <si>
    <t>Unknown:NC_001697.1/U24159.1</t>
  </si>
  <si>
    <t>Corynebacterium diphtheriae PW8</t>
  </si>
  <si>
    <t>Tomato mottle virus-[Florida]</t>
  </si>
  <si>
    <t>PRJNA14079</t>
  </si>
  <si>
    <t>42.9672</t>
  </si>
  <si>
    <t>DNA A:NC_001938.1/L14460.1;  DNA B:NC_001939.1/L14461.1</t>
  </si>
  <si>
    <t>Lymphocystis disease virus 1</t>
  </si>
  <si>
    <t>PRJNA14081</t>
  </si>
  <si>
    <t>Iridoviridae</t>
  </si>
  <si>
    <t>Unknown:NC_001824.1/L63545.1</t>
  </si>
  <si>
    <t>Tomato mottle Taino virus</t>
  </si>
  <si>
    <t>Corynebacterium diphtheriae strain NCTC11397</t>
  </si>
  <si>
    <t>PRJNA14082</t>
  </si>
  <si>
    <t>44.0605</t>
  </si>
  <si>
    <t>DNA A:NC_001828.1/AF012300.1;  DNA B:NC_001917.1/AF012301.1</t>
  </si>
  <si>
    <t>Sida golden mosaic virus</t>
  </si>
  <si>
    <t>PRJNA14083</t>
  </si>
  <si>
    <t>46.7022</t>
  </si>
  <si>
    <t>DNA A:NC_002046.1/AF049336.1;  DNA B:NC_002047.1/AF039841.1</t>
  </si>
  <si>
    <t>Orgyia pseudotsugata multiple nucleopolyhedrovirus</t>
  </si>
  <si>
    <t>PRJNA14084</t>
  </si>
  <si>
    <t>Corynebacterium diphtheriae VA01</t>
  </si>
  <si>
    <t>55.1</t>
  </si>
  <si>
    <t>Unknown:NC_001875.2/U75930.2</t>
  </si>
  <si>
    <t>Escherichia virus N15</t>
  </si>
  <si>
    <t>PRJNA14086</t>
  </si>
  <si>
    <t>Unknown:NC_001901.1/AF064539.1</t>
  </si>
  <si>
    <t>Vibrio phage fs2</t>
  </si>
  <si>
    <t>Corynebacterium doosanense CAU 212 = DSM 45436</t>
  </si>
  <si>
    <t>PRJNA14088</t>
  </si>
  <si>
    <t>Unknown:NC_001956.1/AB002632.1</t>
  </si>
  <si>
    <t>Bombyx mori nucleopolyhedrovirus</t>
  </si>
  <si>
    <t>PRJNA14089</t>
  </si>
  <si>
    <t>Unknown:NC_001962.1/L33180.1</t>
  </si>
  <si>
    <t>Human parvovirus B19</t>
  </si>
  <si>
    <t>PRJNA14090</t>
  </si>
  <si>
    <t>Unknown:NC_000883.2/AY386330.1</t>
  </si>
  <si>
    <t>Periplaneta fuliginosa densovirus</t>
  </si>
  <si>
    <t>PRJNA14091</t>
  </si>
  <si>
    <t>Corynebacterium efficiens YS-314</t>
  </si>
  <si>
    <t>Unknown:NC_000936.1/AF192260.1</t>
  </si>
  <si>
    <t>Xestia c-nigrum granulovirus</t>
  </si>
  <si>
    <t>PRJNA14092</t>
  </si>
  <si>
    <t>Unknown:NC_002331.1/AF162221.1</t>
  </si>
  <si>
    <t>Vibrio phage VfO3K6</t>
  </si>
  <si>
    <t>PRJNA14093</t>
  </si>
  <si>
    <t>Unknown:NC_002362.1/AB043678.1</t>
  </si>
  <si>
    <t>Corynebacterium epidermidicanis strain DSM 45586</t>
  </si>
  <si>
    <t>Vibrio phage VfO4K68</t>
  </si>
  <si>
    <t>PRJNA14094</t>
  </si>
  <si>
    <t>Unknown:NC_002363.1/AB043679.1</t>
  </si>
  <si>
    <t>Cotton leaf curl Gezira virus</t>
  </si>
  <si>
    <t>PRJNA14095</t>
  </si>
  <si>
    <t>Unknown:NC_002510.1/AF155064.2</t>
  </si>
  <si>
    <t>Amsacta moorei entomopoxvirus</t>
  </si>
  <si>
    <t>PRJNA14097</t>
  </si>
  <si>
    <t>Unknown:NC_002520.1/AF250284.1</t>
  </si>
  <si>
    <t>Corynebacterium falsenii DSM 44353</t>
  </si>
  <si>
    <t>Goose parvovirus</t>
  </si>
  <si>
    <t>PRJNA14098</t>
  </si>
  <si>
    <t>Unknown:NC_001701.1/U25749.1</t>
  </si>
  <si>
    <t>Alcelaphine gammaherpesvirus 1</t>
  </si>
  <si>
    <t>PRJNA14099</t>
  </si>
  <si>
    <t>Unknown:NC_002531.1/AF005370.1</t>
  </si>
  <si>
    <t>Horseradish curly top virus</t>
  </si>
  <si>
    <t>PRJNA14100</t>
  </si>
  <si>
    <t>Unknown:NC_002543.1/U49907.1</t>
  </si>
  <si>
    <t>Tomato rugose mosaic virus-[Ube]</t>
  </si>
  <si>
    <t>PRJNA14101</t>
  </si>
  <si>
    <t>41.3289</t>
  </si>
  <si>
    <t>DNA A:NC_002555.1/AF291705.1;  DNA B:NC_002556.1/AF291706.1</t>
  </si>
  <si>
    <t>Trichoplusia ni cypovirus 15</t>
  </si>
  <si>
    <t>PRJNA14102</t>
  </si>
  <si>
    <t>36.4019</t>
  </si>
  <si>
    <t>Corynebacterium glutamicum ATCC 13032</t>
  </si>
  <si>
    <t>RNA 1:NC_002557.1/AF291683.1;  RNA 10:NC_002565.1/AF291692.1;  RNA 11:NC_002566.1/AF291693.1;  RNA 2:NC_002558.1/AF291684.1;  RNA 3:NC_002559.1/AF291685.1;  RNA 4:NC_002567.1/AF291686.3;  RNA 5:NC_002560.1/AF291687.1;  RNA 6:NC_002561.1/AF291688.1;  RNA 7:NC_002562.1/AF291689.1;  RNA 8:NC_002563.1/AF291690.1;  RNA 9:NC_002564.1/AF291691.1</t>
  </si>
  <si>
    <t>Gallid alphaherpesvirus 3</t>
  </si>
  <si>
    <t>PRJNA14103</t>
  </si>
  <si>
    <t>Unknown:NC_002577.1/AB049735.1</t>
  </si>
  <si>
    <t>Plutella xylostella granulovirus</t>
  </si>
  <si>
    <t>PRJNA14104</t>
  </si>
  <si>
    <t>Unknown:NC_002593.1/AF270937.1</t>
  </si>
  <si>
    <t>Escherichia virus Mu</t>
  </si>
  <si>
    <t>PRJNA14105</t>
  </si>
  <si>
    <t>Corynebacterium glutamicum ATCC 13032 (Prj:307)</t>
  </si>
  <si>
    <t>Unknown:NC_000929.1/AF083977.1</t>
  </si>
  <si>
    <t>Meleagrid alphaherpesvirus 1</t>
  </si>
  <si>
    <t>PRJNA14106</t>
  </si>
  <si>
    <t>Unknown:NC_002641.1/AF291866.1</t>
  </si>
  <si>
    <t>Bdellovibrio phage phiMH2K</t>
  </si>
  <si>
    <t>PRJNA14107</t>
  </si>
  <si>
    <t>Corynebacterium glutamicum K051 strain ATCC 13032</t>
  </si>
  <si>
    <t>46.1</t>
  </si>
  <si>
    <t>Unknown:NC_002643.1/AF306496.1</t>
  </si>
  <si>
    <t>Mycobacterium virus Bxb1</t>
  </si>
  <si>
    <t>PRJNA14109</t>
  </si>
  <si>
    <t>63.6</t>
  </si>
  <si>
    <t>Unknown:NC_002656.1/AF271693.1</t>
  </si>
  <si>
    <t>Bovine gammaherpesvirus 4</t>
  </si>
  <si>
    <t>PRJNA14110</t>
  </si>
  <si>
    <t>Unknown:NC_002665.1/AF318573.1</t>
  </si>
  <si>
    <t>Lactococcus phage bIL285</t>
  </si>
  <si>
    <t>PRJNA14111</t>
  </si>
  <si>
    <t>Corynebacterium glutamicum MB001</t>
  </si>
  <si>
    <t>35.2</t>
  </si>
  <si>
    <t>Unknown:NC_002666.1/AF323668.1</t>
  </si>
  <si>
    <t>Lactococcus phage bIL310</t>
  </si>
  <si>
    <t>PRJNA14112</t>
  </si>
  <si>
    <t>35.9</t>
  </si>
  <si>
    <t>Unknown:NC_002669.1/AF323671.1</t>
  </si>
  <si>
    <t>Lactococcus phage bIL312</t>
  </si>
  <si>
    <t>PRJNA14113</t>
  </si>
  <si>
    <t>Unknown:NC_002671.1/AF323673.1</t>
  </si>
  <si>
    <t>Corynebacterium glutamicum R</t>
  </si>
  <si>
    <t>Ectocarpus siliculosus virus 1</t>
  </si>
  <si>
    <t>PRJNA14114</t>
  </si>
  <si>
    <t>Unknown:NC_002687.1/AF204951.2</t>
  </si>
  <si>
    <t>Salmonella phage HK620</t>
  </si>
  <si>
    <t>PRJNA14115</t>
  </si>
  <si>
    <t>Unknown:NC_002730.1/AF335538.1</t>
  </si>
  <si>
    <t>Lactococcus phage TP901-1</t>
  </si>
  <si>
    <t>PRJNA14116</t>
  </si>
  <si>
    <t>35.4</t>
  </si>
  <si>
    <t>Unknown:NC_002747.1/AF304433.1</t>
  </si>
  <si>
    <t>Corynebacterium glutamicum SCgG1</t>
  </si>
  <si>
    <t>Discula destructiva virus 1</t>
  </si>
  <si>
    <t>PRJNA14117</t>
  </si>
  <si>
    <t>48.69</t>
  </si>
  <si>
    <t>RNA 1:NC_002797.1/AF316992.1;  RNA 2:NC_002800.1/AF316993.1;  RNA 3:NC_002801.1/AF316994.2;  RNA 4:NC_002802.1/AF316995.1</t>
  </si>
  <si>
    <t>Cydia pomonella granulovirus</t>
  </si>
  <si>
    <t>PRJNA14118</t>
  </si>
  <si>
    <t>Unknown:NC_002816.1/U53466.2</t>
  </si>
  <si>
    <t>Corynebacterium glutamicum SCgG2</t>
  </si>
  <si>
    <t>Tobacco leaf curl Zimbabwe virus</t>
  </si>
  <si>
    <t>PRJNA14119</t>
  </si>
  <si>
    <t>Unknown:NC_002817.1/AF350330.1</t>
  </si>
  <si>
    <t>Ageratum yellow vein Sri Lanka virus</t>
  </si>
  <si>
    <t>PRJNA14120</t>
  </si>
  <si>
    <t>42.6</t>
  </si>
  <si>
    <t>Unknown:NC_002981.1/AF314144.1</t>
  </si>
  <si>
    <t>Corynebacterium glutamicum strain AR1</t>
  </si>
  <si>
    <t>Cucurbit leaf crumple virus</t>
  </si>
  <si>
    <t>PRJNA14121</t>
  </si>
  <si>
    <t>44.0558</t>
  </si>
  <si>
    <t>DNA A:NC_002984.1/AF224760.2;  DNA B:NC_002985.1/AF224761.2</t>
  </si>
  <si>
    <t>Lumpy skin disease virus NI-2490</t>
  </si>
  <si>
    <t>PRJNA14122</t>
  </si>
  <si>
    <t>Unknown:NC_003027.1/AF325528.1</t>
  </si>
  <si>
    <t>Sugarcane bacilliform IM virus</t>
  </si>
  <si>
    <t>PRJNA14123</t>
  </si>
  <si>
    <t>Corynebacterium glutamicum strain ATCC 21831</t>
  </si>
  <si>
    <t>Unknown:NC_003031.1/AJ277091.1</t>
  </si>
  <si>
    <t>Invertebrate iridescent virus 6</t>
  </si>
  <si>
    <t>PRJNA14124</t>
  </si>
  <si>
    <t>Unknown:NC_003038.1/AF303741.1</t>
  </si>
  <si>
    <t>Goose circovirus</t>
  </si>
  <si>
    <t>PRJNA14125</t>
  </si>
  <si>
    <t>Corynebacterium glutamicum strain B253</t>
  </si>
  <si>
    <t>49.2</t>
  </si>
  <si>
    <t>Unknown:NC_003054.1/AJ304456.1</t>
  </si>
  <si>
    <t>Porcine endogenous retrovirus E</t>
  </si>
  <si>
    <t>PRJNA14126</t>
  </si>
  <si>
    <t>Unknown:NC_003059.1/AF356697.1</t>
  </si>
  <si>
    <t>Epiphyas postvittana nucleopolyhedrovirus</t>
  </si>
  <si>
    <t>PRJNA14127</t>
  </si>
  <si>
    <t>Unknown:NC_003083.1/AY043265.1</t>
  </si>
  <si>
    <t>Corynebacterium glutamicum strain CP18</t>
  </si>
  <si>
    <t>Culex nigripalpus nucleopolyhedrovirus</t>
  </si>
  <si>
    <t>PRJNA14128</t>
  </si>
  <si>
    <t>Unknown:NC_003084.1/AF403738.1</t>
  </si>
  <si>
    <t>Blueberry red ringspot virus</t>
  </si>
  <si>
    <t>PRJNA14129</t>
  </si>
  <si>
    <t>Unknown:NC_003138.2/AF404509.2</t>
  </si>
  <si>
    <t>Cotton leaf curl Rajasthan virus</t>
  </si>
  <si>
    <t>PRJNA14130</t>
  </si>
  <si>
    <t>Unknown:NC_003199.1/AF363011.1</t>
  </si>
  <si>
    <t>Corynebacterium glutamicum strain USDA-ARS-USMARC-56828</t>
  </si>
  <si>
    <t>Lactococcus phage Tuc2009</t>
  </si>
  <si>
    <t>PRJNA14131</t>
  </si>
  <si>
    <t>Unknown:NC_002703.1/AF109874.2</t>
  </si>
  <si>
    <t>Sulfolobus islandicus filamentous virus</t>
  </si>
  <si>
    <t>PRJNA14132</t>
  </si>
  <si>
    <t>Lipothrixviridae</t>
  </si>
  <si>
    <t>Unknown:NC_003214.2/AF440571.2</t>
  </si>
  <si>
    <t>Temperate phage phiNIH1.1</t>
  </si>
  <si>
    <t>PRJNA14145</t>
  </si>
  <si>
    <t>Corynebacterium glutamicum strain YI</t>
  </si>
  <si>
    <t>Unknown:NC_003157.5/AY050245.2</t>
  </si>
  <si>
    <t>Sinorhizobium phage PBC5</t>
  </si>
  <si>
    <t>PRJNA14146</t>
  </si>
  <si>
    <t>Unknown:NC_003324.1/AF448724.1</t>
  </si>
  <si>
    <t>Soybean crinkle leaf virus-[Japan]</t>
  </si>
  <si>
    <t>PRJNA14149</t>
  </si>
  <si>
    <t>Unknown:NC_003357.1/AB050781.1</t>
  </si>
  <si>
    <t>Tobacco vein clearing virus</t>
  </si>
  <si>
    <t>PRJNA14150</t>
  </si>
  <si>
    <t>Corynebacterium glycinophilum AJ 3170</t>
  </si>
  <si>
    <t>Unknown:NC_003378.1/AF190123.1</t>
  </si>
  <si>
    <t>Miscanthus streak virus - [91]</t>
  </si>
  <si>
    <t>PRJNA14151</t>
  </si>
  <si>
    <t>Unknown:NC_003379.1/D01030.1</t>
  </si>
  <si>
    <t>Rice yellow mottle virus satellite</t>
  </si>
  <si>
    <t>PRJNA14152</t>
  </si>
  <si>
    <t>Unknown:NC_003380.1/AF039909.1</t>
  </si>
  <si>
    <t>Corynebacterium halotolerans YIM 70093 = DSM 44683</t>
  </si>
  <si>
    <t>Citrus yellow mosaic virus</t>
  </si>
  <si>
    <t>PRJNA14153</t>
  </si>
  <si>
    <t>43.6</t>
  </si>
  <si>
    <t>Unknown:NC_003382.1/AF347695.1</t>
  </si>
  <si>
    <t>Mycobacterium phage TM4</t>
  </si>
  <si>
    <t>PRJNA14154</t>
  </si>
  <si>
    <t>68.1</t>
  </si>
  <si>
    <t>Unknown:NC_003387.1/AF068845.1</t>
  </si>
  <si>
    <t>Swinepox virus</t>
  </si>
  <si>
    <t>PRJNA14155</t>
  </si>
  <si>
    <t>Unknown:NC_003389.1/AF410153.1</t>
  </si>
  <si>
    <t>Camelpox virus M-96</t>
  </si>
  <si>
    <t>PRJNA14156</t>
  </si>
  <si>
    <t>Unknown:NC_003391.1/AF438165.1</t>
  </si>
  <si>
    <t>Corynebacterium humireducens NBRC 106098 = DSM 45392</t>
  </si>
  <si>
    <t>Human gammaherpesvirus 8</t>
  </si>
  <si>
    <t>PRJNA14158</t>
  </si>
  <si>
    <t>Unknown:NC_009333.1/AF148805.2</t>
  </si>
  <si>
    <t>Bhendi yellow vein mosaic virus-[Madurai]</t>
  </si>
  <si>
    <t>PRJNA14159</t>
  </si>
  <si>
    <t>Unknown:NC_003418.1/AF241479.1</t>
  </si>
  <si>
    <t>Methanobacterium phage psiM2</t>
  </si>
  <si>
    <t>PRJNA14160</t>
  </si>
  <si>
    <t>Unknown:NC_001902.1/AF065411.1</t>
  </si>
  <si>
    <t>Spiroplasma phage 4</t>
  </si>
  <si>
    <t>Corynebacterium imitans strain DSM 44264</t>
  </si>
  <si>
    <t>PRJNA14161</t>
  </si>
  <si>
    <t>32.1</t>
  </si>
  <si>
    <t>Unknown:NC_003438.1/M17988.1</t>
  </si>
  <si>
    <t>Enterobacteria phage SfV</t>
  </si>
  <si>
    <t>PRJNA14162</t>
  </si>
  <si>
    <t>Unknown:NC_003444.1/U82619.2</t>
  </si>
  <si>
    <t>Propionibacterium phage B5</t>
  </si>
  <si>
    <t>PRJNA14163</t>
  </si>
  <si>
    <t>64.3</t>
  </si>
  <si>
    <t>Unknown:NC_003460.1/AF428260.1</t>
  </si>
  <si>
    <t>Atkinsonella hypoxylon virus</t>
  </si>
  <si>
    <t>PRJNA14164</t>
  </si>
  <si>
    <t>39.9797</t>
  </si>
  <si>
    <t>Corynebacterium jeikeium K411</t>
  </si>
  <si>
    <t>segment 1:NC_003470.1/L39125.1;  segment 2:NC_003471.1/L39126.1;  segment 3:NC_003472.1/L39127.1</t>
  </si>
  <si>
    <t>Bean calico mosaic virus</t>
  </si>
  <si>
    <t>PRJNA14165</t>
  </si>
  <si>
    <t>41.1617</t>
  </si>
  <si>
    <t>DNA A:NC_003504.1/AF110189.1;  DNA B:NC_003505.1/AF110190.1</t>
  </si>
  <si>
    <t>Clostridium phage phi3626</t>
  </si>
  <si>
    <t>PRJNA14166</t>
  </si>
  <si>
    <t>Unknown:NC_003524.1/AY082070.1</t>
  </si>
  <si>
    <t>Mamestra configurata nucleopolyhedrovirus A</t>
  </si>
  <si>
    <t>PRJNA14168</t>
  </si>
  <si>
    <t>Corynebacterium kroppenstedtii DSM 44385</t>
  </si>
  <si>
    <t>Unknown:NC_003529.1/U59461.2</t>
  </si>
  <si>
    <t>Cereal yellow dwarf virus-RPV satellite RNA</t>
  </si>
  <si>
    <t>PRJNA14169</t>
  </si>
  <si>
    <t>Unknown:NC_003533.1/M63666.1</t>
  </si>
  <si>
    <t>Eupatorium yellow vein mosaic virus</t>
  </si>
  <si>
    <t>PRJNA14171</t>
  </si>
  <si>
    <t>Unknown:NC_003556.1/AB007990.1</t>
  </si>
  <si>
    <t>Honeysuckle yellow vein mosaic virus</t>
  </si>
  <si>
    <t>PRJNA14172</t>
  </si>
  <si>
    <t>Corynebacterium kutscheri strain DSM 20755</t>
  </si>
  <si>
    <t>Unknown:NC_003609.1/AB020781.1</t>
  </si>
  <si>
    <t>Milk vetch dwarf virus</t>
  </si>
  <si>
    <t>PRJNA14173</t>
  </si>
  <si>
    <t>39.5075</t>
  </si>
  <si>
    <t>DNA 11:NC_003648.1/AB027511.1;  DNA 5:NC_003642.1/AB000924.1;  DNA 6:NC_003643.1/AB000925.1;  DNA 7:NC_003644.1/AB000926.1;  DNA 8:NC_003645.1/AB000927.1;  DNA 9:NC_003646.1/AB009046.1;  DNA-C:NC_003641.1/AB000923.1;  DNA-U4:NC_023626.1/AB255373.1</t>
  </si>
  <si>
    <t>Cowpox virus</t>
  </si>
  <si>
    <t>PRJNA14174</t>
  </si>
  <si>
    <t>Unknown:NC_003663.2/AF482758.2</t>
  </si>
  <si>
    <t>Tomato chlorotic mottle virus-[Brazil]</t>
  </si>
  <si>
    <t>PRJNA14175</t>
  </si>
  <si>
    <t>Corynebacterium lactis RW2-5</t>
  </si>
  <si>
    <t>41.1255</t>
  </si>
  <si>
    <t>DNA A:NC_003664.1/AF490004.1;  DNA B:NC_003665.1/AF491306.1</t>
  </si>
  <si>
    <t>Watermelon chlorotic stunt virus</t>
  </si>
  <si>
    <t>PRJNA14176</t>
  </si>
  <si>
    <t>47.3996</t>
  </si>
  <si>
    <t>DNA A:NC_003708.1/AJ012081.1;  DNA B:NC_003709.1/AJ012082.1</t>
  </si>
  <si>
    <t>Sugarcane streak virus - [Natal]</t>
  </si>
  <si>
    <t>PRJNA14177</t>
  </si>
  <si>
    <t>Unknown:NC_003744.1/M82918.1</t>
  </si>
  <si>
    <t>Corynebacterium marinum DSM 44953</t>
  </si>
  <si>
    <t>Spiroplasma phage 1-C74</t>
  </si>
  <si>
    <t>PRJNA14178</t>
  </si>
  <si>
    <t>Unknown:NC_003793.1/U28974.1</t>
  </si>
  <si>
    <t>South African cassava mosaic virus</t>
  </si>
  <si>
    <t>PRJNA14179</t>
  </si>
  <si>
    <t>44.9115</t>
  </si>
  <si>
    <t>DNA A:NC_003803.1/AF155806.1;  DNA B:NC_003804.1/AF155807.2</t>
  </si>
  <si>
    <t>Tobacco yellow dwarf virus</t>
  </si>
  <si>
    <t>PRJNA14181</t>
  </si>
  <si>
    <t>Corynebacterium maris DSM 45190</t>
  </si>
  <si>
    <t>Unknown:NC_003822.1/M81103.1</t>
  </si>
  <si>
    <t>Tomato golden mottle virus</t>
  </si>
  <si>
    <t>PRJNA14182</t>
  </si>
  <si>
    <t>41.8625</t>
  </si>
  <si>
    <t>DNA A:NC_008058.1/DQ520943.1;  DNA B:NC_008057.1/DQ406674.1</t>
  </si>
  <si>
    <t>Chino del tomate virus-[IC]</t>
  </si>
  <si>
    <t>PRJNA14183</t>
  </si>
  <si>
    <t>45.019</t>
  </si>
  <si>
    <t>Corynebacterium mustelae strain DSM 45274</t>
  </si>
  <si>
    <t>DNA A:NC_003830.1/AF101476.1;  DNA B:NC_003831.1/AF101478.1</t>
  </si>
  <si>
    <t>Solanum nodiflorum mottle virus satellite RNA</t>
  </si>
  <si>
    <t>PRJNA14184</t>
  </si>
  <si>
    <t>Unknown:NC_003850.1/J02386.1</t>
  </si>
  <si>
    <t>Dicliptera yellow mottle virus</t>
  </si>
  <si>
    <t>PRJNA14185</t>
  </si>
  <si>
    <t>39.8541</t>
  </si>
  <si>
    <t>DNA A:NC_003856.1/AF139168.1;  DNA B:NC_003857.1/AF170101.1</t>
  </si>
  <si>
    <t>Melon chlorotic leaf curl virus-[Guatemala]</t>
  </si>
  <si>
    <t>PRJNA300794</t>
  </si>
  <si>
    <t>Corynebacterium pseudotuberculosis 1/06-A</t>
  </si>
  <si>
    <t>42.3036</t>
  </si>
  <si>
    <t>DNA-A:NC_004732.1/AF325497.1;  DNA-B:NC_028138.1/AF325498.2</t>
  </si>
  <si>
    <t>Cabbage leaf curl virus</t>
  </si>
  <si>
    <t>PRJNA14187</t>
  </si>
  <si>
    <t>42.7837</t>
  </si>
  <si>
    <t>chromosome DNA A:NC_003866.1/U65529.2; chromosome DNA B:NC_003887.1/U65530.2</t>
  </si>
  <si>
    <t>Tomato mosaic Havana virus-[Quivican]</t>
  </si>
  <si>
    <t>PRJNA14188</t>
  </si>
  <si>
    <t>43.6608</t>
  </si>
  <si>
    <t>DNA A:NC_003867.1/Y14874.1;  DNA B:NC_003868.1/Y14875.1</t>
  </si>
  <si>
    <t>Corynebacterium pseudotuberculosis 1002</t>
  </si>
  <si>
    <t>Tobacco ringspot virus satellite RNA</t>
  </si>
  <si>
    <t>PRJNA14189</t>
  </si>
  <si>
    <t>54.9</t>
  </si>
  <si>
    <t>Unknown:NC_003889.1/M14879.1</t>
  </si>
  <si>
    <t>Tomato leaf curl Bangalore virus</t>
  </si>
  <si>
    <t>PRJNA14190</t>
  </si>
  <si>
    <t>Unknown:NC_003891.1/Z48182.1</t>
  </si>
  <si>
    <t>Tomato leaf curl virus-[AU]</t>
  </si>
  <si>
    <t>PRJNA14191</t>
  </si>
  <si>
    <t>Corynebacterium pseudotuberculosis 258</t>
  </si>
  <si>
    <t>Unknown:NC_003896.1/S53251.1</t>
  </si>
  <si>
    <t>Tomato leaf curl Karnataka virus</t>
  </si>
  <si>
    <t>PRJNA14192</t>
  </si>
  <si>
    <t>Unknown:NC_003897.1/U38239.1</t>
  </si>
  <si>
    <t>Tomato leaf curl Taiwan virus</t>
  </si>
  <si>
    <t>PRJNA14193</t>
  </si>
  <si>
    <t>Unknown:NC_003898.1/U88692.1</t>
  </si>
  <si>
    <t>Velvet tobacco mottle virus Satellite RNA</t>
  </si>
  <si>
    <t>Corynebacterium pseudotuberculosis 267</t>
  </si>
  <si>
    <t>PRJNA14194</t>
  </si>
  <si>
    <t>55.7</t>
  </si>
  <si>
    <t>Unknown:NC_003906.1/J02439.1</t>
  </si>
  <si>
    <t>Thetapapillomavirus 1</t>
  </si>
  <si>
    <t>PRJNA14195</t>
  </si>
  <si>
    <t>49.3</t>
  </si>
  <si>
    <t>Unknown:NC_003973.1/AF502599.1</t>
  </si>
  <si>
    <t>Sheeppox virus 17077-99</t>
  </si>
  <si>
    <t>PRJNA14196</t>
  </si>
  <si>
    <t>Corynebacterium pseudotuberculosis 3/99-5</t>
  </si>
  <si>
    <t>Unknown:NC_004002.1/AY077832.1</t>
  </si>
  <si>
    <t>Goatpox virus Pellor</t>
  </si>
  <si>
    <t>PRJNA14197</t>
  </si>
  <si>
    <t>Unknown:NC_004003.1/AY077835.1</t>
  </si>
  <si>
    <t>Ovine adenovirus 7</t>
  </si>
  <si>
    <t>PRJNA14198</t>
  </si>
  <si>
    <t>33.6</t>
  </si>
  <si>
    <t>Unknown:NC_004037.2/U40839.3</t>
  </si>
  <si>
    <t>Corynebacterium pseudotuberculosis 31</t>
  </si>
  <si>
    <t>Bean golden mosaic virus-[Brazil]</t>
  </si>
  <si>
    <t>PRJNA14199</t>
  </si>
  <si>
    <t>39.5135</t>
  </si>
  <si>
    <t>DNA A:NC_004042.1/M88686.1;  DNA B:NC_004043.1/M88687.1</t>
  </si>
  <si>
    <t>Bean golden yellow mosaic virus-[Puerto Rico-Japan]</t>
  </si>
  <si>
    <t>PRJNA14200</t>
  </si>
  <si>
    <t>39.432</t>
  </si>
  <si>
    <t>DNA A:NC_001439.1/D00201.1;  DNA B:NC_001438.1/D00200.1</t>
  </si>
  <si>
    <t>Corynebacterium pseudotuberculosis 316</t>
  </si>
  <si>
    <t>Satellites of Trichomonas vaginalis T1 virus</t>
  </si>
  <si>
    <t>PRJNA14201</t>
  </si>
  <si>
    <t>48.1</t>
  </si>
  <si>
    <t>Unknown:NC_004048.1/U15991.1</t>
  </si>
  <si>
    <t>Phthorimaea operculella granulovirus</t>
  </si>
  <si>
    <t>PRJNA14202</t>
  </si>
  <si>
    <t>35.7</t>
  </si>
  <si>
    <t>Unknown:NC_004062.1/AF499596.1</t>
  </si>
  <si>
    <t>Mycobacterium virus D29</t>
  </si>
  <si>
    <t>PRJNA14203</t>
  </si>
  <si>
    <t>Corynebacterium pseudotuberculosis 42/02-A</t>
  </si>
  <si>
    <t>63.5</t>
  </si>
  <si>
    <t>Unknown:NC_001900.1/AF022214.1</t>
  </si>
  <si>
    <t>Escherichia virus Lambda</t>
  </si>
  <si>
    <t>PRJNA14204</t>
  </si>
  <si>
    <t>49.9</t>
  </si>
  <si>
    <t>Unknown:NC_001416.1/J02459.1</t>
  </si>
  <si>
    <t>Vibrio phage ICP3</t>
  </si>
  <si>
    <t>PRJNA63233</t>
  </si>
  <si>
    <t>Corynebacterium pseudotuberculosis C231</t>
  </si>
  <si>
    <t>Unknown:NC_015159.1/HQ641340.1</t>
  </si>
  <si>
    <t>Salmonella virus PRD1</t>
  </si>
  <si>
    <t>PRJNA14062</t>
  </si>
  <si>
    <t>Tectiviridae</t>
  </si>
  <si>
    <t>Unknown:NC_001421.2/AY848689.1</t>
  </si>
  <si>
    <t>Streptococcus virus Sfi21</t>
  </si>
  <si>
    <t>PRJNA14133</t>
  </si>
  <si>
    <t>Corynebacterium pseudotuberculosis CIP 52.97</t>
  </si>
  <si>
    <t>Unknown:NC_000872.1/AF115103.1</t>
  </si>
  <si>
    <t>Spodoptera exigua multiple nucleopolyhedrovirus</t>
  </si>
  <si>
    <t>PRJNA14134</t>
  </si>
  <si>
    <t>Unknown:NC_002169.1/AF169823.1</t>
  </si>
  <si>
    <t>Staphylococcus prophage phiPV83</t>
  </si>
  <si>
    <t>PRJNA14135</t>
  </si>
  <si>
    <t>Unknown:NC_002486.1/AB044554.1</t>
  </si>
  <si>
    <t>Corynebacterium pseudotuberculosis Cp162</t>
  </si>
  <si>
    <t>Mycoplasma virus P1</t>
  </si>
  <si>
    <t>PRJNA14136</t>
  </si>
  <si>
    <t>Unknown:NC_002515.1/AF246223.1</t>
  </si>
  <si>
    <t>Staphylococcus virus phiSLT</t>
  </si>
  <si>
    <t>PRJNA14137</t>
  </si>
  <si>
    <t>33.3</t>
  </si>
  <si>
    <t>Unknown:NC_002661.2/AB045978.2</t>
  </si>
  <si>
    <t>Spodoptera litura nucleopolyhedrovirus</t>
  </si>
  <si>
    <t>PRJNA14138</t>
  </si>
  <si>
    <t>Corynebacterium pseudotuberculosis FRC41</t>
  </si>
  <si>
    <t>Unknown:NC_003102.1/AF325155.1</t>
  </si>
  <si>
    <t>Lactococcus phage bIL311</t>
  </si>
  <si>
    <t>PRJNA14139</t>
  </si>
  <si>
    <t>34.2</t>
  </si>
  <si>
    <t>Unknown:NC_002670.1/AF323672.1</t>
  </si>
  <si>
    <t>Corynebacterium pseudotuberculosis I19</t>
  </si>
  <si>
    <t>Staphylococcus virus phiETA</t>
  </si>
  <si>
    <t>PRJNA14141</t>
  </si>
  <si>
    <t>Unknown:NC_003288.1/AP001553.1</t>
  </si>
  <si>
    <t>Vibrio phage K139</t>
  </si>
  <si>
    <t>PRJNA14144</t>
  </si>
  <si>
    <t>Unknown:NC_003313.1/AF125163.2</t>
  </si>
  <si>
    <t>Corynebacterium pseudotuberculosis P54B96</t>
  </si>
  <si>
    <t>Etapapillomavirus 1</t>
  </si>
  <si>
    <t>PRJNA14205</t>
  </si>
  <si>
    <t>47.7</t>
  </si>
  <si>
    <t>Unknown:NC_004068.1/AY057109.1</t>
  </si>
  <si>
    <t>Hollyhock leaf crumple virus-[Cairo]</t>
  </si>
  <si>
    <t>PRJNA14206</t>
  </si>
  <si>
    <t>Unknown:NC_004071.1/AY036009.1</t>
  </si>
  <si>
    <t>Corynebacterium pseudotuberculosis PAT10</t>
  </si>
  <si>
    <t>Natrialba phage PhiCh1</t>
  </si>
  <si>
    <t>PRJNA14207</t>
  </si>
  <si>
    <t>61.9</t>
  </si>
  <si>
    <t>Unknown:NC_004084.1/AF440695.1</t>
  </si>
  <si>
    <t>Hollyhock leaf crumple virus satellite DNA</t>
  </si>
  <si>
    <t>PRJNA14208</t>
  </si>
  <si>
    <t>Corynebacterium pseudotuberculosis strain 1002B</t>
  </si>
  <si>
    <t>39.1</t>
  </si>
  <si>
    <t>Unknown:NC_004092.1/AF397214.1</t>
  </si>
  <si>
    <t>OkLCV satDNA 10</t>
  </si>
  <si>
    <t>PRJNA14209</t>
  </si>
  <si>
    <t>Unknown:NC_004093.1/AF397215.1</t>
  </si>
  <si>
    <t>Pepper golden mosaic virus</t>
  </si>
  <si>
    <t>PRJNA14210</t>
  </si>
  <si>
    <t>44.0052</t>
  </si>
  <si>
    <t>DNA A:NC_004101.1/U57457.1;  DNA B:NC_004096.1/AF499442.1</t>
  </si>
  <si>
    <t>Ectromelia virus</t>
  </si>
  <si>
    <t>PRJNA14211</t>
  </si>
  <si>
    <t>Corynebacterium pseudotuberculosis strain 12C</t>
  </si>
  <si>
    <t>Unknown:NC_004105.1/AF012825.2</t>
  </si>
  <si>
    <t>Woodchuck hepatitis virus</t>
  </si>
  <si>
    <t>PRJNA14212</t>
  </si>
  <si>
    <t>Unknown:NC_004107.1/M18752.1</t>
  </si>
  <si>
    <t>Papaya leaf curl virus</t>
  </si>
  <si>
    <t>PRJNA14213</t>
  </si>
  <si>
    <t>Unknown:NC_004147.1/Y15934.1</t>
  </si>
  <si>
    <t>Tomato leaf curl Vietnam virus</t>
  </si>
  <si>
    <t>PRJNA14214</t>
  </si>
  <si>
    <t>Corynebacterium pseudotuberculosis strain 226</t>
  </si>
  <si>
    <t>Unknown:NC_004153.1/AF264063.1</t>
  </si>
  <si>
    <t>Helicoverpa zea nudivirus 2</t>
  </si>
  <si>
    <t>PRJNA14215</t>
  </si>
  <si>
    <t>Nudiviridae</t>
  </si>
  <si>
    <t>Unknown:NC_004156.2/JN418988.1</t>
  </si>
  <si>
    <t>Bacillus virus B103</t>
  </si>
  <si>
    <t>PRJNA14216</t>
  </si>
  <si>
    <t>Unknown:NC_004165.1/X99260.1</t>
  </si>
  <si>
    <t>Bacillus phage phi105</t>
  </si>
  <si>
    <t>PRJNA14217</t>
  </si>
  <si>
    <t>Corynebacterium pseudotuberculosis strain 262</t>
  </si>
  <si>
    <t>Unknown:NC_004167.1/AB016282.1</t>
  </si>
  <si>
    <t>Pepper leaf curl Bangladesh virus</t>
  </si>
  <si>
    <t>PRJNA14218</t>
  </si>
  <si>
    <t>Unknown:NC_004192.1/AF314531.1</t>
  </si>
  <si>
    <t>Galleria mellonella densovirus</t>
  </si>
  <si>
    <t>PRJNA14221</t>
  </si>
  <si>
    <t>Corynebacterium pseudotuberculosis strain 29156</t>
  </si>
  <si>
    <t>Unknown:NC_004286.1/L32896.1</t>
  </si>
  <si>
    <t>Casphalia extranea densovirus</t>
  </si>
  <si>
    <t>PRJNA14222</t>
  </si>
  <si>
    <t>Unknown:NC_004288.1/AF375296.1</t>
  </si>
  <si>
    <t>Planococcus citri densovirus</t>
  </si>
  <si>
    <t>PRJNA14223</t>
  </si>
  <si>
    <t>Corynebacterium pseudotuberculosis strain 48252</t>
  </si>
  <si>
    <t>Unknown:NC_004289.1/AY032882.1</t>
  </si>
  <si>
    <t>Human erythrovirus V9</t>
  </si>
  <si>
    <t>PRJNA14224</t>
  </si>
  <si>
    <t>Unknown:NC_004295.1/AJ249437.1</t>
  </si>
  <si>
    <t>Lactococcus phage r1t</t>
  </si>
  <si>
    <t>PRJNA14225</t>
  </si>
  <si>
    <t>Corynebacterium pseudotuberculosis strain CS_10</t>
  </si>
  <si>
    <t>Unknown:NC_004302.1/U38906.1</t>
  </si>
  <si>
    <t>Streptococcus virus O1205</t>
  </si>
  <si>
    <t>PRJNA14226</t>
  </si>
  <si>
    <t>Unknown:NC_004303.1/U88974.1</t>
  </si>
  <si>
    <t>Vibrio virus fs1</t>
  </si>
  <si>
    <t>PRJNA14227</t>
  </si>
  <si>
    <t>Unknown:NC_004306.1/D89074.1</t>
  </si>
  <si>
    <t>Corynebacterium pseudotuberculosis strain E19</t>
  </si>
  <si>
    <t>Salmonella phage ST64B</t>
  </si>
  <si>
    <t>PRJNA14228</t>
  </si>
  <si>
    <t>Unknown:NC_004313.1/AY055382.1</t>
  </si>
  <si>
    <t>Salmonella phage ST64T</t>
  </si>
  <si>
    <t>PRJNA14230</t>
  </si>
  <si>
    <t>Unknown:NC_004348.1/AY052766.1</t>
  </si>
  <si>
    <t>Corynebacterium pseudotuberculosis strain E55</t>
  </si>
  <si>
    <t>Haemophilus phage HP2</t>
  </si>
  <si>
    <t>PRJNA14231</t>
  </si>
  <si>
    <t>Unknown:NC_003315.1/AY027935.1</t>
  </si>
  <si>
    <t>Taro bacilliform virus</t>
  </si>
  <si>
    <t>PRJNA14233</t>
  </si>
  <si>
    <t>Corynebacterium pseudotuberculosis strain E56</t>
  </si>
  <si>
    <t>Unknown:NC_004450.1/AF357836.1</t>
  </si>
  <si>
    <t>Vibrio phage VHML</t>
  </si>
  <si>
    <t>PRJNA14234</t>
  </si>
  <si>
    <t>50.6</t>
  </si>
  <si>
    <t>Unknown:NC_004456.1/AY133112.1</t>
  </si>
  <si>
    <t>Corynebacterium pseudotuberculosis strain Ft_2193/67</t>
  </si>
  <si>
    <t>Kalanchoe top-spotting virus</t>
  </si>
  <si>
    <t>PRJNA14236</t>
  </si>
  <si>
    <t>Unknown:NC_004540.1/AY180137.1</t>
  </si>
  <si>
    <t>Tomato leaf curl Gujarat virus - [Varanasi]</t>
  </si>
  <si>
    <t>Corynebacterium pseudotuberculosis strain MB11</t>
  </si>
  <si>
    <t>PRJNA14238</t>
  </si>
  <si>
    <t>42.1127</t>
  </si>
  <si>
    <t>DNA A:NC_004558.1/AY190290.1;  DNA B:NC_004559.1/AY190291.1</t>
  </si>
  <si>
    <t>Tomato yellow leaf curl Malaga virus</t>
  </si>
  <si>
    <t>PRJNA14239</t>
  </si>
  <si>
    <t>Unknown:NC_004569.1/AF271234.1</t>
  </si>
  <si>
    <t>Corynebacterium pseudotuberculosis strain MB14</t>
  </si>
  <si>
    <t>Cotton leaf curl Alabad virus-[802a]</t>
  </si>
  <si>
    <t>PRJNA14240</t>
  </si>
  <si>
    <t>Unknown:NC_004582.1/AJ002455.1</t>
  </si>
  <si>
    <t>Cotton leaf curl Kokhran virus-[806b]</t>
  </si>
  <si>
    <t>PRJNA14241</t>
  </si>
  <si>
    <t>Corynebacterium pseudotuberculosis strain MB30</t>
  </si>
  <si>
    <t>Unknown:NC_004583.1/AJ002449.1</t>
  </si>
  <si>
    <t>Cotton leaf curl Multan virus-[62]</t>
  </si>
  <si>
    <t>PRJNA14242</t>
  </si>
  <si>
    <t>Unknown:NC_004607.1/AJ002447.1</t>
  </si>
  <si>
    <t>Tomato leaf curl New Delhi virus-Severe</t>
  </si>
  <si>
    <t>PRJNA14243</t>
  </si>
  <si>
    <t>42.5111</t>
  </si>
  <si>
    <t>DNA A:NC_004611.1/U15015.2;  DNA B:NC_004612.1/U15017.2</t>
  </si>
  <si>
    <t>Tomato leaf curl Laos virus</t>
  </si>
  <si>
    <t>PRJNA14244</t>
  </si>
  <si>
    <t>Unknown:NC_004613.1/AF195782.1</t>
  </si>
  <si>
    <t>Corynebacterium pseudotuberculosis strain MB66</t>
  </si>
  <si>
    <t>Tomato leaf curl Bangladesh virus</t>
  </si>
  <si>
    <t>PRJNA14245</t>
  </si>
  <si>
    <t>Unknown:NC_004614.1/AF188481.1</t>
  </si>
  <si>
    <t>Staphylococcus virus 11</t>
  </si>
  <si>
    <t>PRJNA14246</t>
  </si>
  <si>
    <t>Unknown:NC_004615.1/AF424781.1</t>
  </si>
  <si>
    <t>Staphylococcus virus phi12</t>
  </si>
  <si>
    <t>PRJNA14247</t>
  </si>
  <si>
    <t>Unknown:NC_004616.1/AF424782.1</t>
  </si>
  <si>
    <t>Corynebacterium pseudotuberculosis strain MEX25</t>
  </si>
  <si>
    <t>Staphylococcus virus 13</t>
  </si>
  <si>
    <t>PRJNA14248</t>
  </si>
  <si>
    <t>Unknown:NC_004617.1/AF424783.1</t>
  </si>
  <si>
    <t>Ageratum yellow vein Taiwan virus-[Taiwan]</t>
  </si>
  <si>
    <t>PRJNA14249</t>
  </si>
  <si>
    <t>Unknown:NC_004627.1/AF307861.1</t>
  </si>
  <si>
    <t>Corynebacterium pseudotuberculosis strain MEX9</t>
  </si>
  <si>
    <t>Chilli leaf curl virus-[Multan]</t>
  </si>
  <si>
    <t>PRJNA14250</t>
  </si>
  <si>
    <t>Unknown:NC_004628.1/AF336806.1</t>
  </si>
  <si>
    <t>Pseudomonas phage phiKZ</t>
  </si>
  <si>
    <t>PRJNA14251</t>
  </si>
  <si>
    <t>Unknown:NC_004629.1/AF399011.1</t>
  </si>
  <si>
    <t>Malvastrum yellow vein virus-[Y47]</t>
  </si>
  <si>
    <t>PRJNA14252</t>
  </si>
  <si>
    <t>Unknown:NC_004634.1/AJ457824.1</t>
  </si>
  <si>
    <t>Corynebacterium pseudotuberculosis strain N1</t>
  </si>
  <si>
    <t>Sida golden yellow vein virus-[Jamaica:Liguanea2:2008]</t>
  </si>
  <si>
    <t>PRJNA14253</t>
  </si>
  <si>
    <t>44.1763</t>
  </si>
  <si>
    <t>DNA A:NC_004635.2/HQ009519.1;  DNA B:NC_014799.1/HQ009520.1</t>
  </si>
  <si>
    <t>Sida mottle virus-[Brazil]</t>
  </si>
  <si>
    <t>PRJNA14255</t>
  </si>
  <si>
    <t>Unknown:NC_004637.1/AY090555.1</t>
  </si>
  <si>
    <t>Potato yellow mosaic Trinidad virus-[Trinidad and Tobago]</t>
  </si>
  <si>
    <t>PRJNA14256</t>
  </si>
  <si>
    <t>Corynebacterium pseudotuberculosis strain PA01</t>
  </si>
  <si>
    <t>43.6661</t>
  </si>
  <si>
    <t>DNA A:NC_004638.1/AF039031.1;  DNA B:NC_004644.1/AF039032.1</t>
  </si>
  <si>
    <t>Sweet potato leaf curl Georgia virus-[16]</t>
  </si>
  <si>
    <t>PRJNA14257</t>
  </si>
  <si>
    <t>Unknown:NC_004640.1/AF326775.1</t>
  </si>
  <si>
    <t>Rhynchosia golden mosaic virus</t>
  </si>
  <si>
    <t>PRJNA14258</t>
  </si>
  <si>
    <t>42.5175</t>
  </si>
  <si>
    <t>DNA A:NC_010294.1/EU339936.1;  DNA B:NC_010293.1/DQ356429.1</t>
  </si>
  <si>
    <t>Corynebacterium pseudotuberculosis strain PA02</t>
  </si>
  <si>
    <t>Tomato leaf curl Sri Lanka virus</t>
  </si>
  <si>
    <t>PRJNA14259</t>
  </si>
  <si>
    <t>Unknown:NC_004647.1/AF274349.1</t>
  </si>
  <si>
    <t>Tomato leaf curl Malaysia virus</t>
  </si>
  <si>
    <t>PRJNA14260</t>
  </si>
  <si>
    <t>Unknown:NC_004648.1/AF327436.1</t>
  </si>
  <si>
    <t>Tobacco leaf curl Japan virus</t>
  </si>
  <si>
    <t>Corynebacterium pseudotuberculosis strain PO222/4-1</t>
  </si>
  <si>
    <t>PRJNA14261</t>
  </si>
  <si>
    <t>Unknown:NC_004654.1/AB028604.1</t>
  </si>
  <si>
    <t>Sida golden mosaic Costa Rica virus</t>
  </si>
  <si>
    <t>PRJNA14262</t>
  </si>
  <si>
    <t>45.3017</t>
  </si>
  <si>
    <t>DNA A:NC_004657.1/X99550.1;  DNA B:NC_004658.1/X99551.1</t>
  </si>
  <si>
    <t>Sida golden mosaic Honduras virus</t>
  </si>
  <si>
    <t>PRJNA14263</t>
  </si>
  <si>
    <t>Corynebacterium pseudotuberculosis strain PO269-5</t>
  </si>
  <si>
    <t>45.9</t>
  </si>
  <si>
    <t>DNA A:NC_004659.1/Y11097.1;  DNA B:NC_004660.1/Y11098.1</t>
  </si>
  <si>
    <t>Sida yellow vein virus</t>
  </si>
  <si>
    <t>PRJNA14264</t>
  </si>
  <si>
    <t>46.3524</t>
  </si>
  <si>
    <t>DNA A:NC_004661.1/Y11099.1;  DNA B:NC_004662.1/Y11100.1</t>
  </si>
  <si>
    <t>Pseudomonad phage gh-1</t>
  </si>
  <si>
    <t>PRJNA14265</t>
  </si>
  <si>
    <t>Unknown:NC_004665.1/AF493143.1</t>
  </si>
  <si>
    <t>Corynebacterium pseudotuberculosis strain VD57</t>
  </si>
  <si>
    <t>Okra yellow vein mosaic virus-[201]</t>
  </si>
  <si>
    <t>PRJNA14266</t>
  </si>
  <si>
    <t>Unknown:NC_004673.1/AJ002451.1</t>
  </si>
  <si>
    <t>Tomato curly stunt virus - [South Africa]</t>
  </si>
  <si>
    <t>PRJNA14267</t>
  </si>
  <si>
    <t>Unknown:NC_004675.1/AF261885.2</t>
  </si>
  <si>
    <t>Staphylococcus phage 44AHJD</t>
  </si>
  <si>
    <t>PRJNA14268</t>
  </si>
  <si>
    <t>Corynebacterium riegelii strain PUDD_83A45</t>
  </si>
  <si>
    <t>Unknown:NC_004678.1/AF513032.1</t>
  </si>
  <si>
    <t>Staphylococcus phage P68</t>
  </si>
  <si>
    <t>PRJNA14269</t>
  </si>
  <si>
    <t>Unknown:NC_004679.1/AF513033.1</t>
  </si>
  <si>
    <t>Corynebacterium simulans strain PES1</t>
  </si>
  <si>
    <t>Mycobacterium virus CJW1</t>
  </si>
  <si>
    <t>PRJNA14270</t>
  </si>
  <si>
    <t>63.1</t>
  </si>
  <si>
    <t>Unknown:NC_004681.1/AY129331.1</t>
  </si>
  <si>
    <t>Mycobacterium virus Che9c</t>
  </si>
  <si>
    <t>PRJNA14271</t>
  </si>
  <si>
    <t>65.4</t>
  </si>
  <si>
    <t>Corynebacterium simulans strain Wattiau</t>
  </si>
  <si>
    <t>Unknown:NC_004683.1/AY129333.1</t>
  </si>
  <si>
    <t>Mycobacterium virus Corndog</t>
  </si>
  <si>
    <t>PRJNA14272</t>
  </si>
  <si>
    <t>Unknown:NC_004685.1/AY129335.1</t>
  </si>
  <si>
    <t>Mycobacterium virus Omega</t>
  </si>
  <si>
    <t>PRJNA14273</t>
  </si>
  <si>
    <t>61.4</t>
  </si>
  <si>
    <t>Corynebacterium singulare IBS B52218</t>
  </si>
  <si>
    <t>Unknown:NC_004688.1/AY129338.1</t>
  </si>
  <si>
    <t>Mycobacterium phage Barnyard</t>
  </si>
  <si>
    <t>PRJNA14274</t>
  </si>
  <si>
    <t>57.3</t>
  </si>
  <si>
    <t>Unknown:NC_004689.1/AY129339.1</t>
  </si>
  <si>
    <t>Mycobacterium virus Bxz2</t>
  </si>
  <si>
    <t>PRJNA14275</t>
  </si>
  <si>
    <t>64.2</t>
  </si>
  <si>
    <t>Unknown:NC_004682.1/AY129332.1</t>
  </si>
  <si>
    <t>Corynebacterium sp. ATCC 6931</t>
  </si>
  <si>
    <t>Xanthomonas virus Xp10</t>
  </si>
  <si>
    <t>PRJNA14292</t>
  </si>
  <si>
    <t>Unknown:NC_004902.1/AY299121.1</t>
  </si>
  <si>
    <t>Escherichia Stx1 converting phage</t>
  </si>
  <si>
    <t>PRJNA14293</t>
  </si>
  <si>
    <t>Unknown:NC_004913.3/AP005153.1</t>
  </si>
  <si>
    <t>Streptococcus phage SM1</t>
  </si>
  <si>
    <t>PRJNA14295</t>
  </si>
  <si>
    <t>Unknown:NC_004996.1/AY007505.3</t>
  </si>
  <si>
    <t>Corynebacterium stationis strain ATCC 6872</t>
  </si>
  <si>
    <t>Tomato leaf curl Java virus</t>
  </si>
  <si>
    <t>PRJNA14296</t>
  </si>
  <si>
    <t>Unknown:NC_005031.1/AB100304.1</t>
  </si>
  <si>
    <t>Tomato leaf curl Philippines virus</t>
  </si>
  <si>
    <t>PRJNA14297</t>
  </si>
  <si>
    <t>Unknown:NC_005032.1/AB050597.1</t>
  </si>
  <si>
    <t>Adoxophyes orana granulovirus</t>
  </si>
  <si>
    <t>PRJNA14298</t>
  </si>
  <si>
    <t>Unknown:NC_005038.1/AF547984.1</t>
  </si>
  <si>
    <t>Corynebacterium terpenotabidum Y-11</t>
  </si>
  <si>
    <t>Myzus persicae densovirus</t>
  </si>
  <si>
    <t>PRJNA14299</t>
  </si>
  <si>
    <t>Unknown:NC_005040.1/AY148187.1</t>
  </si>
  <si>
    <t>Enterobacteria phage RB49</t>
  </si>
  <si>
    <t>PRJNA14301</t>
  </si>
  <si>
    <t>Unknown:NC_005066.1/AY343333.1</t>
  </si>
  <si>
    <t>Cryptophlebia leucotreta granulovirus</t>
  </si>
  <si>
    <t>Corynebacterium testudinoris strain DSM 44614</t>
  </si>
  <si>
    <t>PRJNA14302</t>
  </si>
  <si>
    <t>32.4</t>
  </si>
  <si>
    <t>Unknown:NC_005068.1/AY229987.1</t>
  </si>
  <si>
    <t>Sugarcane streak Reunion virus</t>
  </si>
  <si>
    <t>PRJNA14303</t>
  </si>
  <si>
    <t>Unknown:NC_004755.1/AF072672.1</t>
  </si>
  <si>
    <t>Mycobacterium phage Rosebush</t>
  </si>
  <si>
    <t>PRJNA14304</t>
  </si>
  <si>
    <t>Unknown:NC_004684.1/AY129334.1</t>
  </si>
  <si>
    <t>Burkholderia phage BcepNazgul</t>
  </si>
  <si>
    <t>PRJNA14305</t>
  </si>
  <si>
    <t>Corynebacterium ulcerans 0102</t>
  </si>
  <si>
    <t>60.6</t>
  </si>
  <si>
    <t>Unknown:NC_005091.2/AY357582.2</t>
  </si>
  <si>
    <t>Ralstonia phage p12J</t>
  </si>
  <si>
    <t>PRJNA14307</t>
  </si>
  <si>
    <t>Unknown:NC_005131.2/AY374414.2</t>
  </si>
  <si>
    <t>Roseobacter phage SIO1</t>
  </si>
  <si>
    <t>PRJNA14308</t>
  </si>
  <si>
    <t>Corynebacterium ulcerans 05146</t>
  </si>
  <si>
    <t>Unknown:NC_002519.1/AF189021.1</t>
  </si>
  <si>
    <t>Mycobacterium phage Bxz1</t>
  </si>
  <si>
    <t>PRJNA14309</t>
  </si>
  <si>
    <t>64.8</t>
  </si>
  <si>
    <t>Unknown:NC_004687.1/AY129337.1</t>
  </si>
  <si>
    <t>Escherichia phage Stx2 II</t>
  </si>
  <si>
    <t>PRJNA14310</t>
  </si>
  <si>
    <t>Unknown:NC_004914.3/AP005154.1</t>
  </si>
  <si>
    <t>Corynebacterium ulcerans 210931</t>
  </si>
  <si>
    <t>Bacillus phage Bam35c</t>
  </si>
  <si>
    <t>PRJNA14311</t>
  </si>
  <si>
    <t>Unknown:NC_005258.1/AY257527.1</t>
  </si>
  <si>
    <t>Aeromonas virus Aeh1</t>
  </si>
  <si>
    <t>PRJNA14312</t>
  </si>
  <si>
    <t>Unknown:NC_005260.1/AY266303.2</t>
  </si>
  <si>
    <t>Corynebacterium ulcerans 210932</t>
  </si>
  <si>
    <t>Bovine alphaherpesvirus 5</t>
  </si>
  <si>
    <t>PRJNA14313</t>
  </si>
  <si>
    <t>74.8</t>
  </si>
  <si>
    <t>Unknown:NC_005261.2/AY261359.1</t>
  </si>
  <si>
    <t>Psittacid alphaherpesvirus 1</t>
  </si>
  <si>
    <t>PRJNA14314</t>
  </si>
  <si>
    <t>60.9</t>
  </si>
  <si>
    <t>Unknown:NC_005264.1/AY372243.1</t>
  </si>
  <si>
    <t>Lactobacillus phage phig1e</t>
  </si>
  <si>
    <t>PRJNA14315</t>
  </si>
  <si>
    <t>Corynebacterium ulcerans 809</t>
  </si>
  <si>
    <t>Unknown:NC_004305.1/X98106.1</t>
  </si>
  <si>
    <t>Vibrio phage VpV262</t>
  </si>
  <si>
    <t>PRJNA14316</t>
  </si>
  <si>
    <t>Unknown:NC_003907.2/AY095314.2</t>
  </si>
  <si>
    <t>Sulfolobus spindle-shaped virus 2</t>
  </si>
  <si>
    <t>PRJNA14317</t>
  </si>
  <si>
    <t>Unknown:NC_005265.1/AY370762.1</t>
  </si>
  <si>
    <t>Adeno-associated virus - 3</t>
  </si>
  <si>
    <t>PRJNA14319</t>
  </si>
  <si>
    <t>53.9</t>
  </si>
  <si>
    <t>Unknown:NC_001729.1/U48704.1</t>
  </si>
  <si>
    <t>Blattella germanica densovirus 1</t>
  </si>
  <si>
    <t>PRJNA14320</t>
  </si>
  <si>
    <t>Corynebacterium ulcerans BR-AD22</t>
  </si>
  <si>
    <t>Unknown:NC_005041.2/AY189948.2</t>
  </si>
  <si>
    <t>Aeromonas virus 44RR2</t>
  </si>
  <si>
    <t>PRJNA14321</t>
  </si>
  <si>
    <t>Unknown:NC_005135.1/AY375531.1</t>
  </si>
  <si>
    <t>Pseudomonas virus PaP3</t>
  </si>
  <si>
    <t>PRJNA14322</t>
  </si>
  <si>
    <t>52.2</t>
  </si>
  <si>
    <t>Unknown:NC_004466.2/AY078382.2</t>
  </si>
  <si>
    <t>Corynebacterium ulcerans FRC11</t>
  </si>
  <si>
    <t>Salmonella phage FelixO1</t>
  </si>
  <si>
    <t>PRJNA14323</t>
  </si>
  <si>
    <t>Unknown:NC_005282.1/AF320576.1</t>
  </si>
  <si>
    <t>Callitrichine gammaherpesvirus 3</t>
  </si>
  <si>
    <t>PRJNA14324</t>
  </si>
  <si>
    <t>Unknown:NC_004367.1/AF319782.2</t>
  </si>
  <si>
    <t>Corynebacterium ulcerans FRC58</t>
  </si>
  <si>
    <t>Lambdapapillomavirus 2</t>
  </si>
  <si>
    <t>PRJNA14326</t>
  </si>
  <si>
    <t>Unknown:NC_001619.1/D55633.1</t>
  </si>
  <si>
    <t>Human papillomavirus type 50</t>
  </si>
  <si>
    <t>PRJNA14327</t>
  </si>
  <si>
    <t>Unknown:NC_001691.1/U31790.1</t>
  </si>
  <si>
    <t>Molluscum contagiosum virus subtype 1</t>
  </si>
  <si>
    <t>PRJNA14328</t>
  </si>
  <si>
    <t>Corynebacterium ulcerans strain 131001</t>
  </si>
  <si>
    <t>Unknown:NC_001731.1/U60315.1</t>
  </si>
  <si>
    <t>Xanthomonas virus Cf1c</t>
  </si>
  <si>
    <t>PRJNA14329</t>
  </si>
  <si>
    <t>58.1</t>
  </si>
  <si>
    <t>Unknown:NC_001396.1/M57538.1</t>
  </si>
  <si>
    <t>Vibrio phage VSK</t>
  </si>
  <si>
    <t>PRJNA14337</t>
  </si>
  <si>
    <t>Unknown:NC_003327.2/AF453500.3</t>
  </si>
  <si>
    <t>Lactococcus phage bIL309</t>
  </si>
  <si>
    <t>PRJNA14338</t>
  </si>
  <si>
    <t>Corynebacterium ulcerans strain 131002</t>
  </si>
  <si>
    <t>Unknown:NC_002668.1/AF323670.1</t>
  </si>
  <si>
    <t>Mycobacterium virus Che9d</t>
  </si>
  <si>
    <t>PRJNA14339</t>
  </si>
  <si>
    <t>Unknown:NC_004686.1/AY129336.1</t>
  </si>
  <si>
    <t>Canarypox virus</t>
  </si>
  <si>
    <t>PRJNA14340</t>
  </si>
  <si>
    <t>Corynebacterium urealyticum DSM 7109</t>
  </si>
  <si>
    <t>Unknown:NC_005309.1/AY318871.1</t>
  </si>
  <si>
    <t>Euphorbia leaf curl virus - [G35]</t>
  </si>
  <si>
    <t>PRJNA14341</t>
  </si>
  <si>
    <t>Unknown:NC_005319.1/AJ558121.1</t>
  </si>
  <si>
    <t>Tomato leaf curl China virus - [G32]</t>
  </si>
  <si>
    <t>PRJNA14342</t>
  </si>
  <si>
    <t>Unknown:NC_005320.1/AJ558118.1</t>
  </si>
  <si>
    <t>Corynebacterium urealyticum DSM 7111</t>
  </si>
  <si>
    <t>Sida micrantha mosaic virus</t>
  </si>
  <si>
    <t>PRJNA14343</t>
  </si>
  <si>
    <t>46.6537</t>
  </si>
  <si>
    <t>DNA A:NC_005330.1/AJ557451.1;  DNA B:NC_005331.1/AJ557453.1</t>
  </si>
  <si>
    <t>Dolichos yellow mosaic virus</t>
  </si>
  <si>
    <t>PRJNA14344</t>
  </si>
  <si>
    <t>44.5503</t>
  </si>
  <si>
    <t>DNA  A:NC_005338.2/KJ481204.1;  DNA  B:NC_024779.1/KJ481205.1</t>
  </si>
  <si>
    <t>Salmonella virus PsP3</t>
  </si>
  <si>
    <t>PRJNA14345</t>
  </si>
  <si>
    <t>Unknown:NC_005340.1/AY135486.1</t>
  </si>
  <si>
    <t>Mythimna loreyi densovirus</t>
  </si>
  <si>
    <t>PRJNA14346</t>
  </si>
  <si>
    <t>Unknown:NC_005341.1/AY461507.1</t>
  </si>
  <si>
    <t>Pepper yellow vein Mali virus</t>
  </si>
  <si>
    <t>PRJNA14348</t>
  </si>
  <si>
    <t>Unknown:NC_005347.1/AY502935.1</t>
  </si>
  <si>
    <t>Corynebacterium ureicelerivorans strain IMMIB RIV-2301</t>
  </si>
  <si>
    <t>Tomato leaf curl Mali virus</t>
  </si>
  <si>
    <t>PRJNA14349</t>
  </si>
  <si>
    <t>Unknown:NC_005348.1/AY502936.1</t>
  </si>
  <si>
    <t>Lactobacillus prophage Lj928</t>
  </si>
  <si>
    <t>PRJNA14350</t>
  </si>
  <si>
    <t>34.7</t>
  </si>
  <si>
    <t>Unknown:NC_005354.1/AY459533.1</t>
  </si>
  <si>
    <t>Lactobacillus prophage Lj965</t>
  </si>
  <si>
    <t>PRJNA14351</t>
  </si>
  <si>
    <t>35.1</t>
  </si>
  <si>
    <t>Unknown:NC_005355.1/AY459535.1</t>
  </si>
  <si>
    <t>Corynebacterium uterequi strain DSM 45634</t>
  </si>
  <si>
    <t>Staphylococcus virus 77</t>
  </si>
  <si>
    <t>PRJNA14352</t>
  </si>
  <si>
    <t>Unknown:NC_005356.1/AY508486.1</t>
  </si>
  <si>
    <t>Bordetella virus BPP1</t>
  </si>
  <si>
    <t>PRJNA14353</t>
  </si>
  <si>
    <t>Unknown:NC_005357.1/AY029185.2</t>
  </si>
  <si>
    <t>Sulfolobus virus Ragged Hills</t>
  </si>
  <si>
    <t>PRJNA14354</t>
  </si>
  <si>
    <t>Unknown:NC_005360.1/AY388628.1</t>
  </si>
  <si>
    <t>Sulfolobus virus Kamchatka 1</t>
  </si>
  <si>
    <t>PRJNA14355</t>
  </si>
  <si>
    <t>Corynebacterium vitaeruminis DSM 20294</t>
  </si>
  <si>
    <t>Unknown:NC_005361.1/AY423772.1</t>
  </si>
  <si>
    <t>Horsegram yellow mosaic virus</t>
  </si>
  <si>
    <t>PRJNA14356</t>
  </si>
  <si>
    <t>42.1646</t>
  </si>
  <si>
    <t>DNA A:NC_005635.1/AJ627904.1;  DNA B:NC_005636.1/AJ627905.1</t>
  </si>
  <si>
    <t>Mycobacterium phage PG1</t>
  </si>
  <si>
    <t>66.5</t>
  </si>
  <si>
    <t>Coxiella burnetii CbuG_Q212</t>
  </si>
  <si>
    <t>AF547430.1</t>
  </si>
  <si>
    <t>Bordetella phage BMP-1</t>
  </si>
  <si>
    <t>AY526908.1</t>
  </si>
  <si>
    <t>Bordetella phage BIP-1</t>
  </si>
  <si>
    <t>AY526909.1</t>
  </si>
  <si>
    <t>Coxiella burnetii CbuK_Q154</t>
  </si>
  <si>
    <t>Tomato yellow leaf curl Kanchanaburi virus-[Thailand Kan1]</t>
  </si>
  <si>
    <t>PRJNA14360</t>
  </si>
  <si>
    <t>39.35</t>
  </si>
  <si>
    <t>DNA A:NC_005812.1/AF511529.1;  DNA B:NC_005811.1/AF511528.1</t>
  </si>
  <si>
    <t>Sclerophthora macrospora virus A</t>
  </si>
  <si>
    <t>PRJNA14361</t>
  </si>
  <si>
    <t>50.3767</t>
  </si>
  <si>
    <t>RNA 1:NC_005817.1/AB083060.1;  RNA 2:NC_005818.1/AB083061.1;  RNA 3:NC_005819.1/AB083062.1</t>
  </si>
  <si>
    <t>Lactococcus phage phiLC3</t>
  </si>
  <si>
    <t>PRJNA14362</t>
  </si>
  <si>
    <t>Coxiella burnetii Dugway 5J108-111</t>
  </si>
  <si>
    <t>Unknown:NC_005822.1/AF242738.3</t>
  </si>
  <si>
    <t>Acidianus filamentous virus 1</t>
  </si>
  <si>
    <t>Coxiella burnetii RSA 331</t>
  </si>
  <si>
    <t>PRJNA14363</t>
  </si>
  <si>
    <t>36.9</t>
  </si>
  <si>
    <t>Unknown:NC_005830.1/AJ567472.1</t>
  </si>
  <si>
    <t>Ambystoma tigrinum stebbensi virus</t>
  </si>
  <si>
    <t>PRJNA14364</t>
  </si>
  <si>
    <t>Unknown:NC_005832.1/AY150217.1</t>
  </si>
  <si>
    <t>Coxiella burnetii RSA 493</t>
  </si>
  <si>
    <t>Sugarcane streak Egypt virus - [Giza]</t>
  </si>
  <si>
    <t>PRJNA14365</t>
  </si>
  <si>
    <t>Unknown:NC_001868.1/AF037752.1</t>
  </si>
  <si>
    <t>Beet curly top virus - California [Logan]</t>
  </si>
  <si>
    <t>PRJNA14366</t>
  </si>
  <si>
    <t>Coxiella burnetii RSA 493 strain Cb171_QLYMPHOMA</t>
  </si>
  <si>
    <t>Unknown:NC_001412.1/M24597.2</t>
  </si>
  <si>
    <t>Tomato chino La Paz virus</t>
  </si>
  <si>
    <t>PRJNA14368</t>
  </si>
  <si>
    <t>Unknown:NC_005843.1/AY339618.1</t>
  </si>
  <si>
    <t>Squash leaf curl Philippines virus</t>
  </si>
  <si>
    <t>PRJNA14369</t>
  </si>
  <si>
    <t>Coxiella burnetii str. Namibia</t>
  </si>
  <si>
    <t>42.2584</t>
  </si>
  <si>
    <t>DNA A:NC_005845.1/AB085793.1;  DNA B:NC_005846.1/AB085794.1</t>
  </si>
  <si>
    <t>Tomato mosaic leaf curl virus</t>
  </si>
  <si>
    <t>PRJNA14370</t>
  </si>
  <si>
    <t>42.8124</t>
  </si>
  <si>
    <t>DNA A:NC_005850.1/AY508991.1;  DNA B:NC_005851.1/AY508992.1</t>
  </si>
  <si>
    <t>Tomato yellow margin leaf curl virus</t>
  </si>
  <si>
    <t>PRJNA14371</t>
  </si>
  <si>
    <t>40.9138</t>
  </si>
  <si>
    <t>Coxiella burnetii strain 3262</t>
  </si>
  <si>
    <t>DNA A:NC_005852.2/AY508993.2;  DNA B:NC_005853.2/AY508994.2</t>
  </si>
  <si>
    <t>Tomato leaf curl Sudan virus - [Gezira]</t>
  </si>
  <si>
    <t>PRJNA14372</t>
  </si>
  <si>
    <t>Unknown:NC_005855.1/AY044137.1</t>
  </si>
  <si>
    <t>Pyrobaculum spherical virus</t>
  </si>
  <si>
    <t>PRJNA14374</t>
  </si>
  <si>
    <t>Globuloviridae</t>
  </si>
  <si>
    <t>Unknown:NC_005872.1/AJ635161.1</t>
  </si>
  <si>
    <t>Tomato leaf curl China betasatellite</t>
  </si>
  <si>
    <t>PRJNA15446</t>
  </si>
  <si>
    <t>Coxiella burnetii strain 3345937</t>
  </si>
  <si>
    <t>Unknown:NC_004544.1/AJ506791.1</t>
  </si>
  <si>
    <t>Burkholderia virus BcepMu</t>
  </si>
  <si>
    <t>PRJNA14376</t>
  </si>
  <si>
    <t>Unknown:NC_005882.1/AY539836.1</t>
  </si>
  <si>
    <t>Pseudomonas phage PaP2</t>
  </si>
  <si>
    <t>PRJNA14377</t>
  </si>
  <si>
    <t>Unknown:NC_005884.1/AY575774.1</t>
  </si>
  <si>
    <t>Actinoplanes phage phiAsp2</t>
  </si>
  <si>
    <t>PRJNA14378</t>
  </si>
  <si>
    <t>70.4</t>
  </si>
  <si>
    <t>Unknown:NC_005885.1/AY576796.1</t>
  </si>
  <si>
    <t>Coxiella endosymbiont of Amblyomma americanum C904</t>
  </si>
  <si>
    <t>Burkholderia virus BcepC6B</t>
  </si>
  <si>
    <t>PRJNA14379</t>
  </si>
  <si>
    <t>65.2</t>
  </si>
  <si>
    <t>Unknown:NC_005887.1/AY605181.1</t>
  </si>
  <si>
    <t>Bovine adeno-associated virus</t>
  </si>
  <si>
    <t>PRJNA14381</t>
  </si>
  <si>
    <t>Unknown:NC_005889.1/AY388617.1</t>
  </si>
  <si>
    <t>Vibrio phage VP5</t>
  </si>
  <si>
    <t>Coxiella-like endosymbiont strain CRt</t>
  </si>
  <si>
    <t>PRJNA14382</t>
  </si>
  <si>
    <t>Unknown:NC_005891.1/AY510084.1</t>
  </si>
  <si>
    <t>Neodiprion sertifer nucleopolyhedrovirus</t>
  </si>
  <si>
    <t>PRJNA14383</t>
  </si>
  <si>
    <t>33.8</t>
  </si>
  <si>
    <t>Unknown:NC_005905.1/AY430810.1</t>
  </si>
  <si>
    <t>Vibrio virus Vf33</t>
  </si>
  <si>
    <t>PRJNA14384</t>
  </si>
  <si>
    <t>Crinalium epipsammum PCC 9333</t>
  </si>
  <si>
    <t>45.7</t>
  </si>
  <si>
    <t>Unknown:NC_005948.1/AB012573.1</t>
  </si>
  <si>
    <t>Vibrio phage Vf12</t>
  </si>
  <si>
    <t>AB012574.1</t>
  </si>
  <si>
    <t>Mycoplasma phage phiMFV1</t>
  </si>
  <si>
    <t>PRJNA14387</t>
  </si>
  <si>
    <t>unclassified phages</t>
  </si>
  <si>
    <t>Unknown:NC_005964.2/AY583236.1</t>
  </si>
  <si>
    <t>Peanut chlorotic streak virus</t>
  </si>
  <si>
    <t>PRJNA14388</t>
  </si>
  <si>
    <t>Croceibacter atlanticus HTCC2559</t>
  </si>
  <si>
    <t>Unknown:NC_001634.1/U13988.1</t>
  </si>
  <si>
    <t>Lymantria dispar multiple nucleopolyhedrovirus</t>
  </si>
  <si>
    <t>PRJNA14390</t>
  </si>
  <si>
    <t>57.5</t>
  </si>
  <si>
    <t>Unknown:NC_001973.1/AF081810.1</t>
  </si>
  <si>
    <t>Myxococcus phage Mx8</t>
  </si>
  <si>
    <t>PRJNA14391</t>
  </si>
  <si>
    <t>67.7</t>
  </si>
  <si>
    <t>Unknown:NC_003085.1/AF396866.1</t>
  </si>
  <si>
    <t>Staphylococcus phage PVL</t>
  </si>
  <si>
    <t>Croceicoccus naphthovorans strain PQ-2</t>
  </si>
  <si>
    <t>PRJNA14392</t>
  </si>
  <si>
    <t>Unknown:NC_002321.1/AB009866.2</t>
  </si>
  <si>
    <t>Mirabilis mosaic virus</t>
  </si>
  <si>
    <t>PRJNA14393</t>
  </si>
  <si>
    <t>Unknown:NC_004036.1/AF454635.1</t>
  </si>
  <si>
    <t>Mycobacterium virus Che8</t>
  </si>
  <si>
    <t>PRJNA14394</t>
  </si>
  <si>
    <t>61.3</t>
  </si>
  <si>
    <t>Unknown:NC_004680.1/AY129330.1</t>
  </si>
  <si>
    <t>Mycoplasma phage MAV1</t>
  </si>
  <si>
    <t>Cronobacter condimenti 1330 strain LMG 26250</t>
  </si>
  <si>
    <t>PRJNA14395</t>
  </si>
  <si>
    <t>Unknown:NC_001942.1/AF074945.1</t>
  </si>
  <si>
    <t>Myxoma virus</t>
  </si>
  <si>
    <t>PRJNA14396</t>
  </si>
  <si>
    <t>Unknown:NC_001132.2/AF170726.2</t>
  </si>
  <si>
    <t>Lactococcus phage bIL286</t>
  </si>
  <si>
    <t>PRJNA14397</t>
  </si>
  <si>
    <t>Unknown:NC_002667.1/AF323669.1</t>
  </si>
  <si>
    <t>Macroptilium mosaic Puerto Rico virus</t>
  </si>
  <si>
    <t>PRJNA14398</t>
  </si>
  <si>
    <t>39.0144</t>
  </si>
  <si>
    <t>Cronobacter dublinensis subsp. dublinensis LMG 23823</t>
  </si>
  <si>
    <t>DNA A:NC_004097.1/AY044133.1;  DNA B:NC_004098.1/AY044134.1</t>
  </si>
  <si>
    <t>Macroptilium yellow mosaic Florida virus</t>
  </si>
  <si>
    <t>PRJNA14399</t>
  </si>
  <si>
    <t>41.3701</t>
  </si>
  <si>
    <t>DNA A:NC_004099.1/AY044135.1;  DNA B:NC_004100.1/AY044136.1</t>
  </si>
  <si>
    <t>Tobacco leaf curl Kochi virus-[KK]</t>
  </si>
  <si>
    <t>PRJNA14400</t>
  </si>
  <si>
    <t>Unknown:NC_004641.1/AB055009.1</t>
  </si>
  <si>
    <t>Cronobacter malonaticus LMG 23826</t>
  </si>
  <si>
    <t>Sulfolobus turreted icosahedral virus 1</t>
  </si>
  <si>
    <t>PRJNA14401</t>
  </si>
  <si>
    <t>Unknown:NC_005892.1/AY569307.1</t>
  </si>
  <si>
    <t>Gallid alphaherpesvirus 2</t>
  </si>
  <si>
    <t>PRJNA14402</t>
  </si>
  <si>
    <t>Unknown:NC_002229.3/AF243438.1</t>
  </si>
  <si>
    <t>Panine betaherpesvirus 2</t>
  </si>
  <si>
    <t>PRJNA14404</t>
  </si>
  <si>
    <t>Unknown:NC_003521.1/AF480884.1</t>
  </si>
  <si>
    <t>Cronobacter muytjensii ATCC 51329</t>
  </si>
  <si>
    <t>Burkholderia virus Bcep781</t>
  </si>
  <si>
    <t>PRJNA14405</t>
  </si>
  <si>
    <t>63.3</t>
  </si>
  <si>
    <t>Unknown:NC_004333.2/AF543311.2</t>
  </si>
  <si>
    <t>Human papillomavirus type 92</t>
  </si>
  <si>
    <t>PRJNA14406</t>
  </si>
  <si>
    <t>Unknown:NC_004500.1/AF531420.1</t>
  </si>
  <si>
    <t>Squash mild leaf curl virus-[Imperial Valley]</t>
  </si>
  <si>
    <t>Cronobacter sakazakii ATCC BAA-894</t>
  </si>
  <si>
    <t>PRJNA14407</t>
  </si>
  <si>
    <t>43.4098</t>
  </si>
  <si>
    <t>DNA A:NC_004645.1/AF421552.1;  DNA B:NC_004646.1/AF421553.1</t>
  </si>
  <si>
    <t>Adoxophyes honmai nucleopolyhedrovirus</t>
  </si>
  <si>
    <t>PRJNA14408</t>
  </si>
  <si>
    <t>35.6</t>
  </si>
  <si>
    <t>Unknown:NC_004690.1/AP006270.1</t>
  </si>
  <si>
    <t>Burkholderia virus Bcep1</t>
  </si>
  <si>
    <t>PRJNA14409</t>
  </si>
  <si>
    <t>Unknown:NC_005263.2/AY369265.2</t>
  </si>
  <si>
    <t>Burkholderia virus phi1026b</t>
  </si>
  <si>
    <t>PRJNA14410</t>
  </si>
  <si>
    <t>Unknown:NC_005284.1/AY453853.1</t>
  </si>
  <si>
    <t>Cronobacter sakazakii CMCC 45402</t>
  </si>
  <si>
    <t>Burkholderia virus Bcep43</t>
  </si>
  <si>
    <t>PRJNA14411</t>
  </si>
  <si>
    <t>Unknown:NC_005342.2/AY368235.2</t>
  </si>
  <si>
    <t>Stachytarpheta leaf curl virus - [Hn5]</t>
  </si>
  <si>
    <t>PRJNA14412</t>
  </si>
  <si>
    <t>Unknown:NC_004091.1/AJ495814.1</t>
  </si>
  <si>
    <t>Enterobacteria phage P4</t>
  </si>
  <si>
    <t>PRJNA14414</t>
  </si>
  <si>
    <t>Unknown:NC_001609.1/X51522.1</t>
  </si>
  <si>
    <t>Pseudomonas phage phiCTX</t>
  </si>
  <si>
    <t>PRJNA14415</t>
  </si>
  <si>
    <t>62.6</t>
  </si>
  <si>
    <t>Cronobacter sakazakii ES15</t>
  </si>
  <si>
    <t>Unknown:NC_003278.1/AB008550.1</t>
  </si>
  <si>
    <t>Saimiriine gammaherpesvirus 2</t>
  </si>
  <si>
    <t>PRJNA14417</t>
  </si>
  <si>
    <t>Unknown:NC_001350.1/X64346.1</t>
  </si>
  <si>
    <t>Equid alphaherpesvirus 4</t>
  </si>
  <si>
    <t>PRJNA14418</t>
  </si>
  <si>
    <t>Unknown:NC_001844.1/AF030027.1</t>
  </si>
  <si>
    <t>Cronobacter sakazakii SP291</t>
  </si>
  <si>
    <t>Rat cytomegalovirus Maastricht</t>
  </si>
  <si>
    <t>PRJNA14419</t>
  </si>
  <si>
    <t>Unknown:NC_002512.2/AF232689.2</t>
  </si>
  <si>
    <t>Rhodothermus phage RM378</t>
  </si>
  <si>
    <t>PRJNA14420</t>
  </si>
  <si>
    <t>Unknown:NC_004735.1/AX059140.1</t>
  </si>
  <si>
    <t>Felis domesticus papillomavirus type 1</t>
  </si>
  <si>
    <t>Cronobacter sakazakii strain ATCC 29544</t>
  </si>
  <si>
    <t>PRJNA14421</t>
  </si>
  <si>
    <t>Unknown:NC_004765.1/AF480454.1</t>
  </si>
  <si>
    <t>Macaca mulatta rhadinovirus 17577</t>
  </si>
  <si>
    <t>PRJNA14423</t>
  </si>
  <si>
    <t>52.5</t>
  </si>
  <si>
    <t>Unknown:NC_003401.1/AF083501.3</t>
  </si>
  <si>
    <t>Suid alphaherpesvirus 1</t>
  </si>
  <si>
    <t>PRJNA14424</t>
  </si>
  <si>
    <t>73.6</t>
  </si>
  <si>
    <t>Unknown:NC_006151.1/BK001744.1</t>
  </si>
  <si>
    <t>Cronobacter sakazakii strain NCTC 8155</t>
  </si>
  <si>
    <t>Muscovy duck parvovirus</t>
  </si>
  <si>
    <t>PRJNA14425</t>
  </si>
  <si>
    <t>Unknown:NC_006147.2/U22967.1</t>
  </si>
  <si>
    <t>Adeno-associated virus - 5</t>
  </si>
  <si>
    <t>PRJNA14426</t>
  </si>
  <si>
    <t>Unknown:NC_006152.1/AF085716.1</t>
  </si>
  <si>
    <t>Cronobacter turicensis z3032</t>
  </si>
  <si>
    <t>Faba bean necrotic yellows virus</t>
  </si>
  <si>
    <t>PRJNA14427</t>
  </si>
  <si>
    <t>38.4347</t>
  </si>
  <si>
    <t>DNA 10:NC_003559.1/AJ132179.1;  DNA 2:NC_003560.1/AJ132180.1;  DNA 3:NC_003561.1/AJ132181.1;  DNA 4:NC_003562.1/AJ132182.1;  DNA 5:NC_003563.1/AJ132183.1;  DNA 6:NC_003564.1/AJ132184.1;  DNA 8:NC_003566.1/AJ132186.1;  DNA-U4:NC_024457.1/AJ749902.1</t>
  </si>
  <si>
    <t>Groundnut rosette virus satellite RNA</t>
  </si>
  <si>
    <t>Cronobacter universalis NCTC 9529</t>
  </si>
  <si>
    <t>PRJNA14429</t>
  </si>
  <si>
    <t>56.6</t>
  </si>
  <si>
    <t>Unknown:NC_002738.1/AF202870.1</t>
  </si>
  <si>
    <t>Tomato bushy stunt virus satellite RNA B1</t>
  </si>
  <si>
    <t>PRJNA14430</t>
  </si>
  <si>
    <t>Unknown:NC_003826.1/AF022787.1</t>
  </si>
  <si>
    <t>Cryptobacterium curtum DSM 15641</t>
  </si>
  <si>
    <t>Pea enation mosaic virus satellite RNA</t>
  </si>
  <si>
    <t>PRJNA14432</t>
  </si>
  <si>
    <t>Unknown:NC_003854.1/U03564.1</t>
  </si>
  <si>
    <t>Bovine ephemeral fever virus</t>
  </si>
  <si>
    <t>PRJNA14434</t>
  </si>
  <si>
    <t>33.7</t>
  </si>
  <si>
    <t>invertebrates, vertebrates</t>
  </si>
  <si>
    <t>Unknown:NC_002526.1/AF234533.1</t>
  </si>
  <si>
    <t>Cupriavidus basilensis 4G11</t>
  </si>
  <si>
    <t>Mouse mammary tumor virus</t>
  </si>
  <si>
    <t>PRJNA14435</t>
  </si>
  <si>
    <t>Unknown:NC_001503.1/AF033807.1</t>
  </si>
  <si>
    <t>Columbid circovirus</t>
  </si>
  <si>
    <t>Cupriavidus gilardii CR3</t>
  </si>
  <si>
    <t>PRJNA14437</t>
  </si>
  <si>
    <t>55.6</t>
  </si>
  <si>
    <t>Unknown:NC_002361.1/AF252610.1</t>
  </si>
  <si>
    <t>Cotton leaf curl betasatellite</t>
  </si>
  <si>
    <t>PRJNA14438</t>
  </si>
  <si>
    <t>Cupriavidus metallidurans CH34</t>
  </si>
  <si>
    <t>Unknown:NC_003200.1/AJ292769.1</t>
  </si>
  <si>
    <t>Ageratum yellow leaf curl betasatellite</t>
  </si>
  <si>
    <t>PRJNA14439</t>
  </si>
  <si>
    <t>Unknown:NC_005046.1/AJ316026.1</t>
  </si>
  <si>
    <t>Cupriavidus nantongensis strain X1</t>
  </si>
  <si>
    <t>Tobacco leaf curl disease associated sequence</t>
  </si>
  <si>
    <t>PRJNA14442</t>
  </si>
  <si>
    <t>Unknown:NC_005049.1/AJ316033.1</t>
  </si>
  <si>
    <t>Okra yellow vein disease associated sequence</t>
  </si>
  <si>
    <t>PRJNA14443</t>
  </si>
  <si>
    <t>Unknown:NC_005051.1/AJ316039.1</t>
  </si>
  <si>
    <t>Ageratum yellow vein betasatellite</t>
  </si>
  <si>
    <t>Cupriavidus necator N-1</t>
  </si>
  <si>
    <t>PRJNA14444</t>
  </si>
  <si>
    <t>Unknown:NC_003403.1/AJ252072.1</t>
  </si>
  <si>
    <t>Tobacco curly shoot betasatellite</t>
  </si>
  <si>
    <t>PRJNA14446</t>
  </si>
  <si>
    <t>Unknown:NC_004546.1/AJ421484.1</t>
  </si>
  <si>
    <t>Eupatorium yellow vein betasatellite</t>
  </si>
  <si>
    <t>PRJNA14447</t>
  </si>
  <si>
    <t>Cupriavidus taiwanensis strain LMG 19424</t>
  </si>
  <si>
    <t>Unknown:NC_004515.1/AJ438938.1</t>
  </si>
  <si>
    <t>Papaya leaf curl betasatellite</t>
  </si>
  <si>
    <t>PRJNA14448</t>
  </si>
  <si>
    <t>Unknown:NC_004706.1/AY244706.1</t>
  </si>
  <si>
    <t>Tomato begomovirus satellite DNA beta</t>
  </si>
  <si>
    <t>PRJNA14449</t>
  </si>
  <si>
    <t>36.5</t>
  </si>
  <si>
    <t>Unknown:NC_004904.1/AJ566749.1</t>
  </si>
  <si>
    <t>Tomato leaf curl New Delhi betasatellite</t>
  </si>
  <si>
    <t>PRJNA14451</t>
  </si>
  <si>
    <t>Unknown:NC_005359.1/AY438561.1</t>
  </si>
  <si>
    <t>Curtobacterium sp. MR_MD2014</t>
  </si>
  <si>
    <t>Tomato leaf curl Java virus-[Ageratum] satellite DNA</t>
  </si>
  <si>
    <t>PRJNA14452</t>
  </si>
  <si>
    <t>Unknown:NC_005497.1/AB162142.1</t>
  </si>
  <si>
    <t>Beak and feather disease virus</t>
  </si>
  <si>
    <t>PRJNA14453</t>
  </si>
  <si>
    <t>53.1</t>
  </si>
  <si>
    <t>Unknown:NC_001944.1/AF071878.1</t>
  </si>
  <si>
    <t>Cyanobacterium aponinum PCC 10605</t>
  </si>
  <si>
    <t>Adeno-associated virus - 7</t>
  </si>
  <si>
    <t>PRJNA14454</t>
  </si>
  <si>
    <t>Unknown:NC_006260.1/AF513851.1</t>
  </si>
  <si>
    <t>Adeno-associated virus - 8</t>
  </si>
  <si>
    <t>PRJNA14455</t>
  </si>
  <si>
    <t>57.1</t>
  </si>
  <si>
    <t>Unknown:NC_006261.1/AF513852.1</t>
  </si>
  <si>
    <t>cyanobacterium endosymbiont of Epithemia turgida isolate EtSB Lake Yunoko ETSB Lake Yunoko</t>
  </si>
  <si>
    <t>Avian adeno-associated virus ATCC VR-865</t>
  </si>
  <si>
    <t>PRJNA14456</t>
  </si>
  <si>
    <t>Unknown:NC_004828.1/AY186198.1</t>
  </si>
  <si>
    <t>Equid gammaherpesvirus 2</t>
  </si>
  <si>
    <t>PRJNA14457</t>
  </si>
  <si>
    <t>Unknown:NC_001650.2/U20824.2</t>
  </si>
  <si>
    <t>Murid gammaherpesvirus 4</t>
  </si>
  <si>
    <t>PRJNA14458</t>
  </si>
  <si>
    <t>Unknown:NC_001826.2/U97553.2</t>
  </si>
  <si>
    <t>Cyanobacterium stanieri PCC 7202</t>
  </si>
  <si>
    <t>Mycobacterium virus L5</t>
  </si>
  <si>
    <t>PRJNA14459</t>
  </si>
  <si>
    <t>Unknown:NC_001335.1/Z18946.1</t>
  </si>
  <si>
    <t>Avian adeno-associated virus strain DA-1</t>
  </si>
  <si>
    <t>PRJNA14463</t>
  </si>
  <si>
    <t>Unknown:NC_006263.1/AY629583.1</t>
  </si>
  <si>
    <t>Cyanobium gracile PCC 6307</t>
  </si>
  <si>
    <t>Orf virus</t>
  </si>
  <si>
    <t>PRJNA14464</t>
  </si>
  <si>
    <t>Unknown:NC_005336.1/AY386264.1</t>
  </si>
  <si>
    <t>Equid alphaherpesvirus 1</t>
  </si>
  <si>
    <t>PRJNA14465</t>
  </si>
  <si>
    <t>Unknown:NC_001491.2/AY665713.1</t>
  </si>
  <si>
    <t>Cyanothece sp. ATCC 51142</t>
  </si>
  <si>
    <t>Yaba monkey tumor virus</t>
  </si>
  <si>
    <t>PRJNA14466</t>
  </si>
  <si>
    <t>Unknown:NC_005179.1/AY386371.1</t>
  </si>
  <si>
    <t>Macacine gammaherpesvirus 4</t>
  </si>
  <si>
    <t>PRJNA14467</t>
  </si>
  <si>
    <t>Unknown:NC_006146.1/AY037858.1</t>
  </si>
  <si>
    <t>Rhesus cytomegalovirus strain 68-1</t>
  </si>
  <si>
    <t>PRJNA14468</t>
  </si>
  <si>
    <t>Cyanothece sp. PCC 7424</t>
  </si>
  <si>
    <t>Unknown:NC_006150.1/AY186194.1</t>
  </si>
  <si>
    <t>Bovine papular stomatitis virus</t>
  </si>
  <si>
    <t>PRJNA14469</t>
  </si>
  <si>
    <t>64.5</t>
  </si>
  <si>
    <t>Unknown:NC_005337.1/AY386265.1</t>
  </si>
  <si>
    <t>Cestrum yellow leaf curling virus</t>
  </si>
  <si>
    <t>PRJNA14470</t>
  </si>
  <si>
    <t>Unknown:NC_004324.3/AF364175.3</t>
  </si>
  <si>
    <t>Cyanothece sp. PCC 7425</t>
  </si>
  <si>
    <t>Chlamydia phage 3</t>
  </si>
  <si>
    <t>NC_008355.1/AJ550635.1</t>
  </si>
  <si>
    <t>Lymphocystis disease virus - isolate China</t>
  </si>
  <si>
    <t>PRJNA14472</t>
  </si>
  <si>
    <t>Unknown:NC_005902.1/AY380826.1</t>
  </si>
  <si>
    <t>Vibrio phage VP2</t>
  </si>
  <si>
    <t>PRJNA14473</t>
  </si>
  <si>
    <t>Cyanothece sp. PCC 7822</t>
  </si>
  <si>
    <t>Unknown:NC_005879.1/AY505112.1</t>
  </si>
  <si>
    <t>Tomato leaf curl Iran virus</t>
  </si>
  <si>
    <t>PRJNA14474</t>
  </si>
  <si>
    <t>Unknown:NC_005842.1/AY297924.1</t>
  </si>
  <si>
    <t>Burkholderia phage BcepB1A</t>
  </si>
  <si>
    <t>PRJNA14476</t>
  </si>
  <si>
    <t>54.5</t>
  </si>
  <si>
    <t>Unknown:NC_005886.2/AY616033.2</t>
  </si>
  <si>
    <t>Snake adeno-associated virus</t>
  </si>
  <si>
    <t>PRJNA14477</t>
  </si>
  <si>
    <t>Unknown:NC_006148.1/AY349010.1</t>
  </si>
  <si>
    <t>Cyanothece sp. PCC 8801</t>
  </si>
  <si>
    <t>Salmonella virus P22</t>
  </si>
  <si>
    <t>PRJNA14478</t>
  </si>
  <si>
    <t>Unknown:NC_002371.2/BK000583.1</t>
  </si>
  <si>
    <t>Narcissus mosaic virus</t>
  </si>
  <si>
    <t>PRJNA14660</t>
  </si>
  <si>
    <t>Unknown:NC_001441.1/D13747.1</t>
  </si>
  <si>
    <t>Soil-borne wheat mosaic virus</t>
  </si>
  <si>
    <t>PRJNA14661</t>
  </si>
  <si>
    <t>Cyanothece sp. PCC 8802</t>
  </si>
  <si>
    <t>43.6385</t>
  </si>
  <si>
    <t>RNA 1:NC_002041.1/L07937.1;  RNA 2:NC_002042.1/L07938.1</t>
  </si>
  <si>
    <t>Cryphonectria hypovirus 1</t>
  </si>
  <si>
    <t>PRJNA14664</t>
  </si>
  <si>
    <t>Hypoviridae</t>
  </si>
  <si>
    <t>Unknown:NC_001492.1/M57938.1</t>
  </si>
  <si>
    <t>Jaagsiekte sheep retrovirus</t>
  </si>
  <si>
    <t>PRJNA14665</t>
  </si>
  <si>
    <t>Cyclobacterium amurskyense strain KCTC 12363</t>
  </si>
  <si>
    <t>Unknown:NC_001494.1/M80216.1</t>
  </si>
  <si>
    <t>Leishmania RNA virus 1 - 1</t>
  </si>
  <si>
    <t>PRJNA14666</t>
  </si>
  <si>
    <t>Unknown:NC_002063.1/M92355.1</t>
  </si>
  <si>
    <t>Alfalfa mosaic virus</t>
  </si>
  <si>
    <t>PRJNA14667</t>
  </si>
  <si>
    <t>Cyclobacterium marinum DSM 745</t>
  </si>
  <si>
    <t>42.7171</t>
  </si>
  <si>
    <t>RNA 1:NC_001495.1/L00163.1;  RNA 2:NC_002024.2/X01572.1;  RNA 3:NC_002025.1/K02703.1</t>
  </si>
  <si>
    <t>Ovine lentivirus</t>
  </si>
  <si>
    <t>PRJNA14668</t>
  </si>
  <si>
    <t>Unknown:NC_001511.1/M34193.1</t>
  </si>
  <si>
    <t>Cycloclasticus sp. P1</t>
  </si>
  <si>
    <t>Ononis yellow mosaic virus</t>
  </si>
  <si>
    <t>PRJNA14669</t>
  </si>
  <si>
    <t>Unknown:NC_001513.1/J04375.1</t>
  </si>
  <si>
    <t>Tobacco mild green mosaic virus</t>
  </si>
  <si>
    <t>PRJNA14671</t>
  </si>
  <si>
    <t>Unknown:NC_001556.1/M34077.1</t>
  </si>
  <si>
    <t>Cycloclasticus zancles 7-ME</t>
  </si>
  <si>
    <t>Satellite tobacco mosaic virus</t>
  </si>
  <si>
    <t>PRJNA14672</t>
  </si>
  <si>
    <t>Unknown:NC_001557.1/V01468.1</t>
  </si>
  <si>
    <t>Vesicular stomatitis Indiana virus</t>
  </si>
  <si>
    <t>PRJNA14673</t>
  </si>
  <si>
    <t>Unknown:NC_001560.1/J02428.1</t>
  </si>
  <si>
    <t>Cardamine chlorotic fleck virus</t>
  </si>
  <si>
    <t>Cylindrospermum stagnale PCC 7417</t>
  </si>
  <si>
    <t>PRJNA14674</t>
  </si>
  <si>
    <t>Unknown:NC_001600.1/L16015.1</t>
  </si>
  <si>
    <t>Infectious hematopoietic necrosis virus</t>
  </si>
  <si>
    <t>PRJNA14677</t>
  </si>
  <si>
    <t>Unknown:NC_001652.1/L40883.1</t>
  </si>
  <si>
    <t>Cytophaga hutchinsonii ATCC 33406</t>
  </si>
  <si>
    <t>Saccharomyces cerevisiae killer virus M1</t>
  </si>
  <si>
    <t>PRJNA14678</t>
  </si>
  <si>
    <t>Unknown:NC_001782.1/U78817.1</t>
  </si>
  <si>
    <t>Barmah Forest virus</t>
  </si>
  <si>
    <t>PRJNA14679</t>
  </si>
  <si>
    <t>48.5</t>
  </si>
  <si>
    <t>invertebrates,vertebrates,human</t>
  </si>
  <si>
    <t>Unknown:NC_001786.1/U73745.1</t>
  </si>
  <si>
    <t>Cucumber green mottle mosaic virus</t>
  </si>
  <si>
    <t>Dactylococcopsis salina PCC 8305</t>
  </si>
  <si>
    <t>PRJNA14681</t>
  </si>
  <si>
    <t>Unknown:NC_001801.1/D12505.1</t>
  </si>
  <si>
    <t>Drosophila C virus</t>
  </si>
  <si>
    <t>PRJNA14682</t>
  </si>
  <si>
    <t>Unknown:NC_001834.1/AF014388.1</t>
  </si>
  <si>
    <t>Dechloromonas aromatica RCB</t>
  </si>
  <si>
    <t>Mason-Pfizer monkey virus</t>
  </si>
  <si>
    <t>PRJNA14683</t>
  </si>
  <si>
    <t>Unknown:NC_001550.1/AF033815.1</t>
  </si>
  <si>
    <t>Equine infectious anemia virus</t>
  </si>
  <si>
    <t>PRJNA14684</t>
  </si>
  <si>
    <t>Unknown:NC_001450.1/</t>
  </si>
  <si>
    <t>Turnip vein-clearing virus</t>
  </si>
  <si>
    <t>PRJNA14685</t>
  </si>
  <si>
    <t>Dechlorosoma suillum PS</t>
  </si>
  <si>
    <t>Unknown:NC_001873.1/U03387.1</t>
  </si>
  <si>
    <t>Feline leukemia virus</t>
  </si>
  <si>
    <t>PRJNA14686</t>
  </si>
  <si>
    <t>Unknown:NC_001940.1/AF052723.1</t>
  </si>
  <si>
    <t>Sphaeropsis sapinea RNA virus 2</t>
  </si>
  <si>
    <t>PRJNA14687</t>
  </si>
  <si>
    <t>Unknown:NC_001964.1/AF039080.1</t>
  </si>
  <si>
    <t>Deferribacter desulfuricans SSM1</t>
  </si>
  <si>
    <t>Sacbrood virus</t>
  </si>
  <si>
    <t>PRJNA14688</t>
  </si>
  <si>
    <t>Unknown:NC_002066.1/AF092924.1</t>
  </si>
  <si>
    <t>Snakehead virus</t>
  </si>
  <si>
    <t>PRJNA14689</t>
  </si>
  <si>
    <t>Unknown:NC_000903.1/AF147498.1</t>
  </si>
  <si>
    <t>Cryphonectria hypovirus 3</t>
  </si>
  <si>
    <t>PRJNA14690</t>
  </si>
  <si>
    <t>Defluviimonas alba strain cai42</t>
  </si>
  <si>
    <t>Unknown:NC_000960.1/AF188515.1</t>
  </si>
  <si>
    <t>Cereal yellow dwarf virus-RPS</t>
  </si>
  <si>
    <t>PRJNA14691</t>
  </si>
  <si>
    <t>51.5</t>
  </si>
  <si>
    <t>Unknown:NC_002198.2/AF235168.2</t>
  </si>
  <si>
    <t>Rice grassy stunt tenuivirus</t>
  </si>
  <si>
    <t>PRJNA14692</t>
  </si>
  <si>
    <t>35.0334</t>
  </si>
  <si>
    <t>Defluviitoga tunisiensis strain L3</t>
  </si>
  <si>
    <t>RNA 1:NC_002323.1/AB009656.1;  RNA 2:NC_002324.1/AB010376.1;  RNA 3:NC_002325.1/AB010377.1;  RNA 4:NC_002326.1/AB010378.1;  RNA 5:NC_002327.1/AB000403.1;  RNA 6:NC_002328.1/AB000404.1</t>
  </si>
  <si>
    <t>Soil-borne cereal mosaic virus</t>
  </si>
  <si>
    <t>PRJNA14693</t>
  </si>
  <si>
    <t>43.5032</t>
  </si>
  <si>
    <t>RNA 1:NC_002351.1/AJ132576.1;  RNA 2:NC_002330.1/AJ132577.1</t>
  </si>
  <si>
    <t>Chinese wheat mosaic virus</t>
  </si>
  <si>
    <t>PRJNA14694</t>
  </si>
  <si>
    <t>43.7327</t>
  </si>
  <si>
    <t>RNA 1:NC_002359.1/AJ012005.1;  RNA 2:NC_002356.1/AJ012006.2</t>
  </si>
  <si>
    <t>Cherry mottle leaf virus</t>
  </si>
  <si>
    <t>PRJNA14695</t>
  </si>
  <si>
    <t>Unknown:NC_002500.1/AF170028.1</t>
  </si>
  <si>
    <t>Dehalobacter restrictus DSM 9455</t>
  </si>
  <si>
    <t>Leishmania RNA virus 2 - 1</t>
  </si>
  <si>
    <t>PRJNA14696</t>
  </si>
  <si>
    <t>Unknown:NC_002064.1/U32108.1</t>
  </si>
  <si>
    <t>Bovine orthopneumovirus</t>
  </si>
  <si>
    <t>PRJNA14697</t>
  </si>
  <si>
    <t>Pneumoviridae</t>
  </si>
  <si>
    <t>Dehalobacter sp. CF</t>
  </si>
  <si>
    <t>Unknown:NC_001989.1/AF092942.1</t>
  </si>
  <si>
    <t>Barley yellow dwarf virus-PAS</t>
  </si>
  <si>
    <t>PRJNA14698</t>
  </si>
  <si>
    <t>Unknown:NC_002160.2/AF218798.2</t>
  </si>
  <si>
    <t>Simian foamy virus</t>
  </si>
  <si>
    <t>PRJNA14699</t>
  </si>
  <si>
    <t>Dehalobacter sp. DCA</t>
  </si>
  <si>
    <t>Unknown:NC_001364.1/U04327.1</t>
  </si>
  <si>
    <t>Papaya mosaic virus</t>
  </si>
  <si>
    <t>PRJNA14700</t>
  </si>
  <si>
    <t>Unknown:NC_001748.1/D13957.1</t>
  </si>
  <si>
    <t>Dehalococcoides ethenogenes 195</t>
  </si>
  <si>
    <t>Snakehead retrovirus</t>
  </si>
  <si>
    <t>PRJNA14701</t>
  </si>
  <si>
    <t>Unknown:NC_001724.1/U26458.1</t>
  </si>
  <si>
    <t>Lactate dehydrogenase-elevating virus</t>
  </si>
  <si>
    <t>PRJNA14702</t>
  </si>
  <si>
    <t>Dehalococcoides mccartyi BAV1</t>
  </si>
  <si>
    <t>Arteriviridae</t>
  </si>
  <si>
    <t>49.4</t>
  </si>
  <si>
    <t>Unknown:NC_001639.1/U15146.1</t>
  </si>
  <si>
    <t>Ebola virus - Mayinga, Zaire, 1976</t>
  </si>
  <si>
    <t>PRJNA14703</t>
  </si>
  <si>
    <t>Dehalococcoides mccartyi BTF08</t>
  </si>
  <si>
    <t>Unknown:NC_002549.1/AF086833.2</t>
  </si>
  <si>
    <t>Vesicular exanthema of swine virus</t>
  </si>
  <si>
    <t>PRJNA14704</t>
  </si>
  <si>
    <t>Caliciviridae</t>
  </si>
  <si>
    <t>Unknown:NC_002551.1/U76874.2</t>
  </si>
  <si>
    <t>Dehalococcoides mccartyi CG1</t>
  </si>
  <si>
    <t>Cassava common mosaic virus</t>
  </si>
  <si>
    <t>PRJNA14705</t>
  </si>
  <si>
    <t>Unknown:NC_001658.1/U23414.1</t>
  </si>
  <si>
    <t>Human respirovirus 3</t>
  </si>
  <si>
    <t>PRJNA14706</t>
  </si>
  <si>
    <t>Paramyxoviridae</t>
  </si>
  <si>
    <t>Unknown:NC_001796.2/AB012132.1</t>
  </si>
  <si>
    <t>Dehalococcoides mccartyi CG4</t>
  </si>
  <si>
    <t>Fujinami sarcoma virus</t>
  </si>
  <si>
    <t>PRJNA14708</t>
  </si>
  <si>
    <t>59.7</t>
  </si>
  <si>
    <t>Unknown:NC_001403.1/AF033810.1</t>
  </si>
  <si>
    <t>Cucumber fruit mottle mosaic virus</t>
  </si>
  <si>
    <t>PRJNA14709</t>
  </si>
  <si>
    <t>Unknown:NC_002633.1/AF321057.1</t>
  </si>
  <si>
    <t>Acinetobacter phage AP205</t>
  </si>
  <si>
    <t>Dehalococcoides mccartyi CG5</t>
  </si>
  <si>
    <t>PRJNA14710</t>
  </si>
  <si>
    <t>Leviviridae</t>
  </si>
  <si>
    <t>Unknown:NC_002700.2/AF334111.2</t>
  </si>
  <si>
    <t>Banana mild mosaic virus</t>
  </si>
  <si>
    <t>PRJNA14711</t>
  </si>
  <si>
    <t>Unknown:NC_002729.1/AF314662.1</t>
  </si>
  <si>
    <t>Beet chlorosis virus</t>
  </si>
  <si>
    <t>PRJNA14712</t>
  </si>
  <si>
    <t>Unknown:NC_002766.1/AF352024.1</t>
  </si>
  <si>
    <t>Taura syndrome virus</t>
  </si>
  <si>
    <t>PRJNA14713</t>
  </si>
  <si>
    <t>Unknown:NC_003005.1/AF277675.1</t>
  </si>
  <si>
    <t>Lymantria dispar cypovirus 1</t>
  </si>
  <si>
    <t>PRJNA14714</t>
  </si>
  <si>
    <t>Dehalococcoides mccartyi DCMB5</t>
  </si>
  <si>
    <t>43.2247</t>
  </si>
  <si>
    <t>RNA 1:NC_003016.1/AF389462.1;  RNA 10:NC_003025.1/AF389471.1;  RNA 2:NC_003017.1/AF389463.1;  RNA 3:NC_003018.1/AF389464.1;  RNA 4:NC_003019.1/AF389465.1;  RNA 5:NC_003020.1/AF389466.1;  RNA 6:NC_003021.1/AF389467.1;  RNA 7:NC_003022.1/AF389468.1;  RNA 8:NC_003023.1/AF389469.1;  RNA 9:NC_003024.1/AF389470.1</t>
  </si>
  <si>
    <t>Soybean dwarf virus</t>
  </si>
  <si>
    <t>PRJNA14715</t>
  </si>
  <si>
    <t>Unknown:NC_003056.1/AB038147.1</t>
  </si>
  <si>
    <t>Dehalococcoides mccartyi GY50</t>
  </si>
  <si>
    <t>Indian citrus ringspot virus</t>
  </si>
  <si>
    <t>PRJNA14716</t>
  </si>
  <si>
    <t>Dehalococcoides mccartyi IBARAKI</t>
  </si>
  <si>
    <t>Unknown:NC_003093.1/AF406744.1</t>
  </si>
  <si>
    <t>Perina nuda virus</t>
  </si>
  <si>
    <t>PRJNA14717</t>
  </si>
  <si>
    <t>Unknown:NC_003113.1/AF323747.1</t>
  </si>
  <si>
    <t>Dehalococcoides mccartyi strain 11a5</t>
  </si>
  <si>
    <t>Walleye dermal sarcoma virus</t>
  </si>
  <si>
    <t>PRJNA14718</t>
  </si>
  <si>
    <t>Unknown:NC_001867.1/AF033822.1</t>
  </si>
  <si>
    <t>Avian avulavirus 6</t>
  </si>
  <si>
    <t>PRJNA14719</t>
  </si>
  <si>
    <t>Dehalococcoides sp. BAV1</t>
  </si>
  <si>
    <t>Unknown:NC_003043.1/AY029299.1</t>
  </si>
  <si>
    <t>Moloney murine sarcoma virus</t>
  </si>
  <si>
    <t>PRJNA14721</t>
  </si>
  <si>
    <t>Unknown:NC_001502.1/AF033813.1</t>
  </si>
  <si>
    <t>Sphaeropsis sapinea RNA virus 1</t>
  </si>
  <si>
    <t>Dehalococcoides sp. CBDB1</t>
  </si>
  <si>
    <t>PRJNA14722</t>
  </si>
  <si>
    <t>Unknown:NC_001963.1/AF038665.1</t>
  </si>
  <si>
    <t>Tupaia paramyxovirus</t>
  </si>
  <si>
    <t>PRJNA14723</t>
  </si>
  <si>
    <t>Dehalococcoides sp. GT</t>
  </si>
  <si>
    <t>Unknown:NC_002199.1/AF079780.2</t>
  </si>
  <si>
    <t>Nodamura virus</t>
  </si>
  <si>
    <t>PRJNA14724</t>
  </si>
  <si>
    <t>55.0226</t>
  </si>
  <si>
    <t>RNA 1:NC_002690.1/AF174533.1;  RNA 2:NC_002691.1/AF174534.1</t>
  </si>
  <si>
    <t>Eimeria brunetti RNA virus 1</t>
  </si>
  <si>
    <t>PRJNA14725</t>
  </si>
  <si>
    <t>56.1</t>
  </si>
  <si>
    <t>Dehalococcoides sp. UCH007</t>
  </si>
  <si>
    <t>Unknown:NC_002701.1/AF356189.1</t>
  </si>
  <si>
    <t>Carp sprivivirus</t>
  </si>
  <si>
    <t>PRJNA14726</t>
  </si>
  <si>
    <t>Dehalococcoides sp. VS</t>
  </si>
  <si>
    <t>Unknown:NC_002803.1/U18101.2</t>
  </si>
  <si>
    <t>Simian hemorrhagic fever virus</t>
  </si>
  <si>
    <t>PRJNA14727</t>
  </si>
  <si>
    <t>Unknown:NC_003092.2/AF180391.2</t>
  </si>
  <si>
    <t>Dehalogenimonas alkenigignens strain IP3-3</t>
  </si>
  <si>
    <t>Bamboo mosaic virus</t>
  </si>
  <si>
    <t>PRJNA14728</t>
  </si>
  <si>
    <t>Unknown:NC_001642.1/D26017.1</t>
  </si>
  <si>
    <t>Cherry necrotic rusty mottle virus</t>
  </si>
  <si>
    <t>PRJNA14729</t>
  </si>
  <si>
    <t>Unknown:NC_002468.1/AF237816.1</t>
  </si>
  <si>
    <t>Australian bat lyssavirus</t>
  </si>
  <si>
    <t>PRJNA14730</t>
  </si>
  <si>
    <t>Dehalogenimonas lykanthroporepellens BL-DC-9</t>
  </si>
  <si>
    <t>Unknown:NC_003243.1/AF081020.2</t>
  </si>
  <si>
    <t>Pseudomonas phage phi8</t>
  </si>
  <si>
    <t>PRJNA14731</t>
  </si>
  <si>
    <t>Cystoviridae</t>
  </si>
  <si>
    <t>54.4965</t>
  </si>
  <si>
    <t>segment L:NC_003299.1/AF226851.1;  segment M:NC_003300.1/AF226852.1;  segment S:NC_003301.1/AF226853.1</t>
  </si>
  <si>
    <t>Simian T-lymphotropic virus 3</t>
  </si>
  <si>
    <t>PRJNA14732</t>
  </si>
  <si>
    <t>Unknown:NC_003323.1/AF391797.1</t>
  </si>
  <si>
    <t>Dehalogenimonas sp. WBC-2</t>
  </si>
  <si>
    <t>Bean leafroll virus</t>
  </si>
  <si>
    <t>PRJNA14734</t>
  </si>
  <si>
    <t>Unknown:NC_003369.1/AF441393.1</t>
  </si>
  <si>
    <t>Garlic virus A</t>
  </si>
  <si>
    <t>PRJNA14735</t>
  </si>
  <si>
    <t>Unknown:NC_003375.1/AB010300.1</t>
  </si>
  <si>
    <t>Garlic virus C</t>
  </si>
  <si>
    <t>PRJNA14736</t>
  </si>
  <si>
    <t>Unknown:NC_003376.1/AB010302.1</t>
  </si>
  <si>
    <t>Deinococcus actinosclerus strain BM2</t>
  </si>
  <si>
    <t>Euprosterna elaeasa virus</t>
  </si>
  <si>
    <t>PRJNA14737</t>
  </si>
  <si>
    <t>Permutotetraviridae</t>
  </si>
  <si>
    <t>Unknown:NC_003412.1/AF461742.1</t>
  </si>
  <si>
    <t>Equine foamy virus</t>
  </si>
  <si>
    <t>PRJNA14738</t>
  </si>
  <si>
    <t>Unknown:NC_002201.1/AF201902.1</t>
  </si>
  <si>
    <t>Porcine epidemic diarrhea virus</t>
  </si>
  <si>
    <t>PRJNA14739</t>
  </si>
  <si>
    <t>Deinococcus deserti VCD115</t>
  </si>
  <si>
    <t>Unknown:NC_003436.1/AF353511.1</t>
  </si>
  <si>
    <t>Striped Jack nervous necrosis virus</t>
  </si>
  <si>
    <t>PRJNA14741</t>
  </si>
  <si>
    <t>53.5314</t>
  </si>
  <si>
    <t>RNA 1:NC_003448.1/AB056571.1;  RNA 2:NC_003449.1/AB056572.1</t>
  </si>
  <si>
    <t>American plum line pattern virus</t>
  </si>
  <si>
    <t>PRJNA14742</t>
  </si>
  <si>
    <t>44.5403</t>
  </si>
  <si>
    <t>RNA 1:NC_003451.1/AF235033.1;  RNA 2:NC_003452.1/AF235165.1;  RNA 3:NC_003453.1/AF235166.1</t>
  </si>
  <si>
    <t>Deinococcus geothermalis DSM 11300</t>
  </si>
  <si>
    <t>Human parainfluenza virus 1 strain Washington/1964</t>
  </si>
  <si>
    <t>PRJNA14743</t>
  </si>
  <si>
    <t>Unknown:NC_003461.1/AF457102.1</t>
  </si>
  <si>
    <t>Apple stem pitting virus</t>
  </si>
  <si>
    <t>PRJNA14744</t>
  </si>
  <si>
    <t>Unknown:NC_003462.2/D21829.2</t>
  </si>
  <si>
    <t>Apple mosaic virus</t>
  </si>
  <si>
    <t>PRJNA14745</t>
  </si>
  <si>
    <t>44.7891</t>
  </si>
  <si>
    <t>Deinococcus gobiensis I-0</t>
  </si>
  <si>
    <t>RNA 1:NC_003464.1/AF174584.1;  RNA 2:NC_003465.1/AF174585.1;  RNA 3:NC_003480.1/U15608.1</t>
  </si>
  <si>
    <t>Tobacco necrosis virus D</t>
  </si>
  <si>
    <t>PRJNA14747</t>
  </si>
  <si>
    <t>Unknown:NC_003487.1/U62546.1</t>
  </si>
  <si>
    <t>Bamboo mosaic virus satellite RNA</t>
  </si>
  <si>
    <t>PRJNA14748</t>
  </si>
  <si>
    <t>Unknown:NC_003497.1/L22762.1</t>
  </si>
  <si>
    <t>Deinococcus maricopensis DSM 21211</t>
  </si>
  <si>
    <t>Blackcurrant reversion virus</t>
  </si>
  <si>
    <t>PRJNA14749</t>
  </si>
  <si>
    <t>45.7907</t>
  </si>
  <si>
    <t>RNA 1:NC_003509.1/AF368272.1;  RNA 2:NC_003502.1/AF020051.3</t>
  </si>
  <si>
    <t>Beet soil-borne mosaic virus</t>
  </si>
  <si>
    <t>PRJNA14750</t>
  </si>
  <si>
    <t>Benyviridae</t>
  </si>
  <si>
    <t>41.0143</t>
  </si>
  <si>
    <t>RNA 1:NC_003506.1/AF280539.1;  RNA 2:NC_003503.1/AF061869.1;  RNA 3:NC_003507.1/AF280540.1;  RNA 4:NC_003508.1/AF280541.1</t>
  </si>
  <si>
    <t>Beet soil-borne virus</t>
  </si>
  <si>
    <t>PRJNA14751</t>
  </si>
  <si>
    <t>Deinococcus peraridilitoris DSM 19664</t>
  </si>
  <si>
    <t>40.0415</t>
  </si>
  <si>
    <t>RNA 1:NC_003520.1/Z97873.1;  RNA 2:NC_003518.1/U64512.1;  RNA 3:NC_003519.1/Z66493.2</t>
  </si>
  <si>
    <t>Arabis mosaic virus large satellite RNA</t>
  </si>
  <si>
    <t>PRJNA14752</t>
  </si>
  <si>
    <t>Unknown:NC_003523.1/D00664.1</t>
  </si>
  <si>
    <t>Carnation ringspot virus</t>
  </si>
  <si>
    <t>PRJNA14753</t>
  </si>
  <si>
    <t>48.2916</t>
  </si>
  <si>
    <t>RNA 1:NC_003530.1/L18870.2;  RNA 2:NC_003531.1/M88589.2</t>
  </si>
  <si>
    <t>Cryphonectria hypovirus 2-NB58</t>
  </si>
  <si>
    <t>PRJNA14754</t>
  </si>
  <si>
    <t>Deinococcus proteolyticus MRP</t>
  </si>
  <si>
    <t>Unknown:NC_003534.1/L29010.1</t>
  </si>
  <si>
    <t>Cowpea mottle virus</t>
  </si>
  <si>
    <t>PRJNA14755</t>
  </si>
  <si>
    <t>Unknown:NC_003535.1/U20976.1</t>
  </si>
  <si>
    <t>Cowpea chlorotic mottle virus</t>
  </si>
  <si>
    <t>PRJNA14758</t>
  </si>
  <si>
    <t>43.5256</t>
  </si>
  <si>
    <t>RNA 1:NC_003543.1/M65139.1;  RNA 2:NC_003541.1/M28817.1;  RNA 3:NC_003542.1/M28818.1</t>
  </si>
  <si>
    <t>Citrus leaf rugose virus</t>
  </si>
  <si>
    <t>Deinococcus puniceus strain DY1</t>
  </si>
  <si>
    <t>PRJNA14759</t>
  </si>
  <si>
    <t>44.04</t>
  </si>
  <si>
    <t>RNA 1:NC_003548.1/U23715.1;  RNA 2:NC_003547.1/U17726.1;  RNA 3:NC_003546.1/U17390.1</t>
  </si>
  <si>
    <t>Elm mottle virus</t>
  </si>
  <si>
    <t>PRJNA14760</t>
  </si>
  <si>
    <t>44.4028</t>
  </si>
  <si>
    <t>RNA 1:NC_003569.1/U57047.1;  RNA 2:NC_003568.1/U34050.1;  RNA 3:NC_003570.1/U85399.1</t>
  </si>
  <si>
    <t>Leishmania RNA virus 1 - 4</t>
  </si>
  <si>
    <t>PRJNA14761</t>
  </si>
  <si>
    <t>Deinococcus radiodurans R1</t>
  </si>
  <si>
    <t>Unknown:NC_003601.1/U01899.1</t>
  </si>
  <si>
    <t>Groundnut rosette virus</t>
  </si>
  <si>
    <t>PRJNA14762</t>
  </si>
  <si>
    <t>Unknown:NC_003603.1/Z69910.1</t>
  </si>
  <si>
    <t>Helminthosporium victoriae virus 190S</t>
  </si>
  <si>
    <t>PRJNA14763</t>
  </si>
  <si>
    <t>Unknown:NC_003607.2/U41345.2</t>
  </si>
  <si>
    <t>Impatiens necrotic spot virus</t>
  </si>
  <si>
    <t>PRJNA14767</t>
  </si>
  <si>
    <t>Tospoviridae</t>
  </si>
  <si>
    <t>33.0376</t>
  </si>
  <si>
    <t>L:NC_003625.1/X93218.1;  M:NC_003616.1/M74904.1;  S:NC_003624.1/X66972.1</t>
  </si>
  <si>
    <t>Lettuce infectious yellows virus</t>
  </si>
  <si>
    <t>PRJNA14768</t>
  </si>
  <si>
    <t>35.2846</t>
  </si>
  <si>
    <t>RNA 1:NC_003617.1/U15440.1;  RNA 2:NC_003618.1/U15441.1</t>
  </si>
  <si>
    <t>Pea enation mosaic virus 1</t>
  </si>
  <si>
    <t>PRJNA14769</t>
  </si>
  <si>
    <t>49.8</t>
  </si>
  <si>
    <t>Unknown:NC_003629.1/L04573.1</t>
  </si>
  <si>
    <t>Satellite maize white line mosaic virus</t>
  </si>
  <si>
    <t>'Deinococcus soli' Cha et al. 2014 strain N5</t>
  </si>
  <si>
    <t>PRJNA14770</t>
  </si>
  <si>
    <t>Unknown:NC_003631.1/M55012.1</t>
  </si>
  <si>
    <t>Potato aucuba mosaic virus</t>
  </si>
  <si>
    <t>PRJNA14771</t>
  </si>
  <si>
    <t>Unknown:NC_003632.1/S73580.1</t>
  </si>
  <si>
    <t>Pelargonium zonate spot virus</t>
  </si>
  <si>
    <t>PRJNA14774</t>
  </si>
  <si>
    <t>43.8794</t>
  </si>
  <si>
    <t>RNA 1:NC_003649.1/AJ272327.1;  RNA 2:NC_003650.1/AJ272328.2;  RNA 3:NC_003651.1/AJ272329.1</t>
  </si>
  <si>
    <t>Nilaparvata lugens reovirus</t>
  </si>
  <si>
    <t>PRJNA14775</t>
  </si>
  <si>
    <t>34.8023</t>
  </si>
  <si>
    <t>Deinococcus swuensis DY59</t>
  </si>
  <si>
    <t>segment 1:NC_003654.1/D49693.1;  segment 10:NC_003652.1/D14691.1;  segment 2:NC_003655.1/D49694.1;  segment 3:NC_003656.1/D49695.1;  segment 4:NC_003657.1/D49696.1;  segment 5:NC_003658.1/D49697.1;  segment 6:NC_003659.1/D49698.1;  segment 7:NC_003660.1/D49699.1;  segment 8:NC_003653.1/D26127.1;  segment 9:NC_003661.1/D49700.1</t>
  </si>
  <si>
    <t>Peanut clump virus</t>
  </si>
  <si>
    <t>PRJNA14776</t>
  </si>
  <si>
    <t>42.9125</t>
  </si>
  <si>
    <t>RNA 1:NC_003672.1/X78602.1;  RNA 2:NC_003668.1/L07269.1</t>
  </si>
  <si>
    <t>Pepper ringspot virus</t>
  </si>
  <si>
    <t>PRJNA14777</t>
  </si>
  <si>
    <t>41.4834</t>
  </si>
  <si>
    <t>RNA 1:NC_003669.1/L23972.1;  RNA 2:NC_003670.1/X03241.1</t>
  </si>
  <si>
    <t>Delftia acidovorans SPH-1</t>
  </si>
  <si>
    <t>Olive latent virus 2</t>
  </si>
  <si>
    <t>PRJNA14778</t>
  </si>
  <si>
    <t>48.9372</t>
  </si>
  <si>
    <t>RNA 1:NC_003673.1/X94346.1;  RNA 2:NC_003674.1/X94347.1;  RNA 3:NC_003671.1/X76993.1;  RNA 4:NC_028390.1/X77115.1</t>
  </si>
  <si>
    <t>Pestivirus giraffe-1 H138</t>
  </si>
  <si>
    <t>PRJNA14780</t>
  </si>
  <si>
    <t>Unknown:NC_003678.1/AF144617.2</t>
  </si>
  <si>
    <t>Barley yellow dwarf virus (ISOLATE MAV-PS1)</t>
  </si>
  <si>
    <t>PRJNA14781</t>
  </si>
  <si>
    <t>Delftia acidovorans strain 2167</t>
  </si>
  <si>
    <t>Unknown:NC_003680.1/D11028.1</t>
  </si>
  <si>
    <t>Pariacoto virus</t>
  </si>
  <si>
    <t>PRJNA14785</t>
  </si>
  <si>
    <t>51.882</t>
  </si>
  <si>
    <t>chromosome RNA 1:NC_003691.1/AF171942.1; chromosome RNA 2:NC_003692.1/AF171943.1</t>
  </si>
  <si>
    <t>Eyach virus</t>
  </si>
  <si>
    <t>PRJNA14786</t>
  </si>
  <si>
    <t>45.731</t>
  </si>
  <si>
    <t>segment 1:NC_003696.1/AF282467.1;  segment 10:NC_003705.1/AF282476.1;  segment 11:NC_003706.1/AF282477.1;  segment 12:NC_003707.1/AF282478.1;  segment 2:NC_003697.1/AF282468.1;  segment 3:NC_003698.1/AF282469.1;  segment 4:NC_003699.1/AF282470.1;  segment 5:NC_003700.1/AF282471.1;  segment 6:NC_003701.1/AF282472.1;  segment 7:NC_003702.1/AF282473.1;  segment 8:NC_003703.1/AF282474.1;  segment 9:NC_003704.1/AF282475.1</t>
  </si>
  <si>
    <t>Discula destructiva virus 2</t>
  </si>
  <si>
    <t>PRJNA14787</t>
  </si>
  <si>
    <t>Delftia sp. Cs1-4</t>
  </si>
  <si>
    <t>48.9747</t>
  </si>
  <si>
    <t>segment 1:NC_003710.1/AY033436.1;  segment 2:NC_003711.1/AY033437.1</t>
  </si>
  <si>
    <t>Pseudomonas phage phi6</t>
  </si>
  <si>
    <t>PRJNA14788</t>
  </si>
  <si>
    <t>55.8285</t>
  </si>
  <si>
    <t>segment L:NC_003715.1/M17461.1;  segment M:NC_003716.1/M17462.1;  segment S:NC_003714.1/M12921.1</t>
  </si>
  <si>
    <t>Potato mop-top virus</t>
  </si>
  <si>
    <t>PRJNA14789</t>
  </si>
  <si>
    <t>42.8348</t>
  </si>
  <si>
    <t>delta proteobacterium BABL1</t>
  </si>
  <si>
    <t>RNA 1:NC_003723.1/AJ238607.1;  RNA 2:NC_003725.1/AJ277556.1;  RNA 3:NC_003724.1/AJ243719.1</t>
  </si>
  <si>
    <t>Rice black streaked dwarf virus</t>
  </si>
  <si>
    <t>PRJNA14790</t>
  </si>
  <si>
    <t>34.3083</t>
  </si>
  <si>
    <t>segment 1:NC_003729.1/AJ294757.1;  segment 10:NC_003733.1/AJ297433.1;  segment 2:NC_003734.1/AJ409145.1;  segment 3:NC_003728.1/AJ293984.1;  segment 4:NC_003735.1/AJ409146.1;  segment 5:NC_003736.1/AJ409147.1;  segment 6:NC_003737.1/AJ409148.1;  segment 7:NC_003730.1/AJ297427.1;  segment 8:NC_003732.1/AJ297431.1;  segment 9:NC_003731.1/AJ297430.1</t>
  </si>
  <si>
    <t>Saccharomyces cerevisiae virus L-A</t>
  </si>
  <si>
    <t>PRJNA14792</t>
  </si>
  <si>
    <t>Unknown:NC_003745.1/J04692.1</t>
  </si>
  <si>
    <t>delta proteobacterium HotSeep1</t>
  </si>
  <si>
    <t>Rice yellow stunt nucleorhabdovirus</t>
  </si>
  <si>
    <t>PRJNA14793</t>
  </si>
  <si>
    <t>Unknown:NC_003746.1/AB011257.1</t>
  </si>
  <si>
    <t>Rice ragged stunt virus</t>
  </si>
  <si>
    <t>PRJNA14794</t>
  </si>
  <si>
    <t>Denitrobacterium detoxificans strain NPOH1</t>
  </si>
  <si>
    <t>44.7582</t>
  </si>
  <si>
    <t>chromosome segment 1:NC_003749.1/AF020334.1; chromosome segment 10:NC_003769.1/U66712.1; chromosome segment 2:NC_003750.1/AF020335.1; chromosome segment 3:NC_003751.1/AF020336.1; chromosome segment 4:NC_003771.1/U66714.1;  segment 5:NC_003759.1/U33633.1; chromosome segment 6:NC_003752.1/AF020337.1; chromosome segment 7:NC_003770.1/U66713.1;  segment 8:NC_003758.1/L46682.1;  segment 9:NC_003757.1/L38899.1</t>
  </si>
  <si>
    <t>Rice stripe tenuivirus</t>
  </si>
  <si>
    <t>PRJNA14795</t>
  </si>
  <si>
    <t>38.7834</t>
  </si>
  <si>
    <t>RNA 1:NC_003755.1/D31879.1;  RNA 2:NC_003754.1/D13176.1;  RNA 3:NC_003776.1/X53563.1;  RNA 4:NC_003753.1/D10979.1</t>
  </si>
  <si>
    <t>Red clover necrotic mosaic virus</t>
  </si>
  <si>
    <t>PRJNA14796</t>
  </si>
  <si>
    <t>Denitrovibrio acetiphilus DSM 12809</t>
  </si>
  <si>
    <t>46.5441</t>
  </si>
  <si>
    <t>RNA 1:NC_003756.1/J04357.1;  RNA 2:NC_003775.1/X08021.1</t>
  </si>
  <si>
    <t>Rice dwarf virus</t>
  </si>
  <si>
    <t>PRJNA14797</t>
  </si>
  <si>
    <t>43.7513</t>
  </si>
  <si>
    <t>segment 1:NC_003773.1/U73201.1;  segment 10:NC_003766.1/U36567.1;  segment 11:NC_003767.1/U36568.1;  segment 12:NC_003768.1/U36569.1;  segment 2:NC_003774.1/U73202.1;  segment 3:NC_003772.1/U72757.1;  segment 4:NC_003761.1/U36562.1;  segment 5:NC_003762.1/U36563.1;  segment 6:NC_003763.1/U36564.1;  segment 7:NC_003760.1/U36402.1;  segment 8:NC_003764.1/U36565.1;  segment 9:NC_003765.1/U36566.1</t>
  </si>
  <si>
    <t>Plautia stali intestine virus</t>
  </si>
  <si>
    <t>PRJNA14799</t>
  </si>
  <si>
    <t>Dermacoccus nishinomiyaensis strain M25</t>
  </si>
  <si>
    <t>Unknown:NC_003779.1/AB006531.1</t>
  </si>
  <si>
    <t>Infectious flacherie virus</t>
  </si>
  <si>
    <t>PRJNA14800</t>
  </si>
  <si>
    <t>Unknown:NC_003781.1/AB000906.1</t>
  </si>
  <si>
    <t>Himetobi P virus</t>
  </si>
  <si>
    <t>PRJNA14801</t>
  </si>
  <si>
    <t>Unknown:NC_003782.1/AB017037.1</t>
  </si>
  <si>
    <t>Desulfarculus baarsii DSM 2075</t>
  </si>
  <si>
    <t>Triatoma virus</t>
  </si>
  <si>
    <t>PRJNA14802</t>
  </si>
  <si>
    <t>Unknown:NC_003783.1/AF178440.1</t>
  </si>
  <si>
    <t>Black queen cell virus</t>
  </si>
  <si>
    <t>PRJNA14803</t>
  </si>
  <si>
    <t>Unknown:NC_003784.1/AF183905.1</t>
  </si>
  <si>
    <t>Avian nephritis virus 1</t>
  </si>
  <si>
    <t>PRJNA14804</t>
  </si>
  <si>
    <t>Unknown:NC_003790.1/AB033998.1</t>
  </si>
  <si>
    <t>Desulfatibacillum alkenivorans AK-01</t>
  </si>
  <si>
    <t>Shallot virus X</t>
  </si>
  <si>
    <t>PRJNA14805</t>
  </si>
  <si>
    <t>Unknown:NC_003795.1/M97264.1</t>
  </si>
  <si>
    <t>Rhizoctonia solani virus 717</t>
  </si>
  <si>
    <t>PRJNA14807</t>
  </si>
  <si>
    <t>43.5072</t>
  </si>
  <si>
    <t>RNA 1:NC_003801.1/AF133290.1;  RNA 2:NC_003802.1/AF133291.1</t>
  </si>
  <si>
    <t>Tobacco rattle virus</t>
  </si>
  <si>
    <t>Desulfitobacterium hafniense DCB-2</t>
  </si>
  <si>
    <t>PRJNA14808</t>
  </si>
  <si>
    <t>42.0827</t>
  </si>
  <si>
    <t>RNA 1:NC_003805.1/AF166084.1;  RNA 2:NC_003811.1/Z36974.2</t>
  </si>
  <si>
    <t>Sweet clover necrotic mosaic virus</t>
  </si>
  <si>
    <t>PRJNA14809</t>
  </si>
  <si>
    <t>48.5095</t>
  </si>
  <si>
    <t>RNA 1:NC_003806.1/L07884.1;  RNA 2:NC_003807.1/S46028.1</t>
  </si>
  <si>
    <t>Spinach latent virus</t>
  </si>
  <si>
    <t>PRJNA14810</t>
  </si>
  <si>
    <t>Desulfitobacterium hafniense Y51</t>
  </si>
  <si>
    <t>42.9167</t>
  </si>
  <si>
    <t>RNA 1:NC_003808.1/U93192.1;  RNA 2:NC_003809.1/U93193.1;  RNA 3:NC_003810.1/U93194.1</t>
  </si>
  <si>
    <t>Turnip crinkle virus</t>
  </si>
  <si>
    <t>PRJNA14811</t>
  </si>
  <si>
    <t>Unknown:NC_003821.3/M22445.3</t>
  </si>
  <si>
    <t>Desulfobacca acetoxidans DSM 11109</t>
  </si>
  <si>
    <t>Ustilago maydis virus H1</t>
  </si>
  <si>
    <t>PRJNA14812</t>
  </si>
  <si>
    <t>51.9</t>
  </si>
  <si>
    <t>Unknown:NC_003823.1/U01059.1</t>
  </si>
  <si>
    <t>Tulare apple mosaic virus</t>
  </si>
  <si>
    <t>PRJNA14814</t>
  </si>
  <si>
    <t>44.3635</t>
  </si>
  <si>
    <t>RNA 1:NC_003833.1/AF226160.1;  RNA 2:NC_003834.1/AF226161.1;  RNA 3:NC_003835.1/AF226162.1</t>
  </si>
  <si>
    <t>Tomato aspermy virus</t>
  </si>
  <si>
    <t>PRJNA14815</t>
  </si>
  <si>
    <t>44.4411</t>
  </si>
  <si>
    <t>RNA 1:NC_003837.1/D10044.1;  RNA 2:NC_003838.1/D10663.1;  RNA 3:NC_003836.1/AJ277268.1</t>
  </si>
  <si>
    <t>Desulfobacterium autotrophicum HRM2</t>
  </si>
  <si>
    <t>Panicum mosaic satellite virus</t>
  </si>
  <si>
    <t>PRJNA14816</t>
  </si>
  <si>
    <t>Unknown:NC_003847.1/M17182.1</t>
  </si>
  <si>
    <t>Obuda pepper virus</t>
  </si>
  <si>
    <t>PRJNA14817</t>
  </si>
  <si>
    <t>Unknown:NC_003852.1/D13438.1</t>
  </si>
  <si>
    <t>Desulfobacula toluolica Tol2</t>
  </si>
  <si>
    <t>Pea enation mosaic virus 2</t>
  </si>
  <si>
    <t>PRJNA14818</t>
  </si>
  <si>
    <t>55.9</t>
  </si>
  <si>
    <t>Unknown:NC_003853.1/U03563.1</t>
  </si>
  <si>
    <t>Sugarcane striate mosaic-associated virus</t>
  </si>
  <si>
    <t>PRJNA14819</t>
  </si>
  <si>
    <t>Unknown:NC_003870.1/AF315308.1</t>
  </si>
  <si>
    <t>Carrot red leaf luteovirus associated RNA</t>
  </si>
  <si>
    <t>PRJNA14820</t>
  </si>
  <si>
    <t>Desulfobulbus propionicus DSM 2032</t>
  </si>
  <si>
    <t>Unknown:NC_003871.1/AF020617.1</t>
  </si>
  <si>
    <t>Blackcurrant reversion virus satellite RNA</t>
  </si>
  <si>
    <t>PRJNA14821</t>
  </si>
  <si>
    <t>Unknown:NC_003872.1/AF112119.1</t>
  </si>
  <si>
    <t>Trichomonas vaginalis virus 2</t>
  </si>
  <si>
    <t>PRJNA14822</t>
  </si>
  <si>
    <t>Unknown:NC_003873.1/AF127178.1</t>
  </si>
  <si>
    <t>Desulfocapsa sulfexigens DSM 10523</t>
  </si>
  <si>
    <t>Zygosaccharomyces bailii virus Z</t>
  </si>
  <si>
    <t>PRJNA14823</t>
  </si>
  <si>
    <t>Unknown:NC_003874.1/AF224490.1</t>
  </si>
  <si>
    <t>Gremmeniella abietina RNA virus L1</t>
  </si>
  <si>
    <t>PRJNA14824</t>
  </si>
  <si>
    <t>Unknown:NC_003876.1/AF337175.1</t>
  </si>
  <si>
    <t>Citrus leaf blotch virus</t>
  </si>
  <si>
    <t>Desulfococcus oleovorans Hxd3</t>
  </si>
  <si>
    <t>PRJNA14825</t>
  </si>
  <si>
    <t>Unknown:NC_003877.1/AJ318061.1</t>
  </si>
  <si>
    <t>Fusarium poae virus 1</t>
  </si>
  <si>
    <t>PRJNA14827</t>
  </si>
  <si>
    <t>44.5424</t>
  </si>
  <si>
    <t>RNA 1:NC_003883.1/AF015924.1; chromosome RNA 2:NC_003884.1/AF047013.1</t>
  </si>
  <si>
    <t>Aura virus</t>
  </si>
  <si>
    <t>PRJNA14830</t>
  </si>
  <si>
    <t>Desulfohalobium retbaense DSM 5692</t>
  </si>
  <si>
    <t>Unknown:NC_003900.1/AF126284.1</t>
  </si>
  <si>
    <t>Western equine encephalitis virus</t>
  </si>
  <si>
    <t>PRJNA14831</t>
  </si>
  <si>
    <t>Unknown:NC_003908.1/AF214040.1</t>
  </si>
  <si>
    <t>Cricket paralysis virus</t>
  </si>
  <si>
    <t>PRJNA14832</t>
  </si>
  <si>
    <t>Unknown:NC_003924.1/AF218039.1</t>
  </si>
  <si>
    <t>Desulfomicrobium baculatum DSM 4028</t>
  </si>
  <si>
    <t>Broad bean mottle virus</t>
  </si>
  <si>
    <t>PRJNA14833</t>
  </si>
  <si>
    <t>43.214</t>
  </si>
  <si>
    <t>RNA 1:NC_004008.1/M65138.1;  RNA 2:NC_004007.1/M64713.1;  RNA 3:NC_004006.1/M60291.1</t>
  </si>
  <si>
    <t>Garlic virus E</t>
  </si>
  <si>
    <t>PRJNA14834</t>
  </si>
  <si>
    <t>Unknown:NC_004012.1/AJ292230.1</t>
  </si>
  <si>
    <t>Sorghum chlorotic spot virus</t>
  </si>
  <si>
    <t>PRJNA14835</t>
  </si>
  <si>
    <t>44.8299</t>
  </si>
  <si>
    <t>RNA 1:NC_004014.1/AB033691.1;  RNA 2:NC_004015.1/AB033692.1</t>
  </si>
  <si>
    <t>Desulfomicrobium orale DSM 12838</t>
  </si>
  <si>
    <t>Gremmeniella abietina RNA virus MS1</t>
  </si>
  <si>
    <t>PRJNA14836</t>
  </si>
  <si>
    <t>49.1249</t>
  </si>
  <si>
    <t>RNA 1:NC_004018.1/AY089993.1;  RNA 2:NC_004019.1/AY089994.1;  RNA 3:NC_004020.1/AY089995.1</t>
  </si>
  <si>
    <t>Trichomonas vaginalis virus 3</t>
  </si>
  <si>
    <t>PRJNA14837</t>
  </si>
  <si>
    <t>Unknown:NC_004034.1/AF325840.1</t>
  </si>
  <si>
    <t>Cryphonectria parasitica mitovirus 1-NB631</t>
  </si>
  <si>
    <t>PRJNA14838</t>
  </si>
  <si>
    <t>Narnaviridae</t>
  </si>
  <si>
    <t>Unknown:NC_004046.1/L31849.1</t>
  </si>
  <si>
    <t>Desulfomonile tiedjei DSM 6799</t>
  </si>
  <si>
    <t>Ophiostoma mitovirus 3a</t>
  </si>
  <si>
    <t>PRJNA14839</t>
  </si>
  <si>
    <t>Unknown:NC_004049.1/AJ004930.1</t>
  </si>
  <si>
    <t>Saccharomyces 23S RNA narnavirus</t>
  </si>
  <si>
    <t>PRJNA14840</t>
  </si>
  <si>
    <t>Desulfosporosinus orientis DSM 765</t>
  </si>
  <si>
    <t>Unknown:NC_004050.1/U90136.1</t>
  </si>
  <si>
    <t>Saccharomyces 20S RNA narnavirus</t>
  </si>
  <si>
    <t>PRJNA14841</t>
  </si>
  <si>
    <t>58.3</t>
  </si>
  <si>
    <t>Unknown:NC_004051.1/AF039063.1</t>
  </si>
  <si>
    <t>Ophiostoma mitovirus 4</t>
  </si>
  <si>
    <t>PRJNA14842</t>
  </si>
  <si>
    <t>Unknown:NC_004052.1/AJ132754.1</t>
  </si>
  <si>
    <t>Ophiostoma mitovirus 5</t>
  </si>
  <si>
    <t>PRJNA14843</t>
  </si>
  <si>
    <t>Desulfotalea psychrophila LSv54</t>
  </si>
  <si>
    <t>Unknown:NC_004053.1/AJ132755.1</t>
  </si>
  <si>
    <t>Ophiostoma mitovirus 6</t>
  </si>
  <si>
    <t>PRJNA14844</t>
  </si>
  <si>
    <t>Unknown:NC_004054.1/AJ132756.1</t>
  </si>
  <si>
    <t>Tioman virus</t>
  </si>
  <si>
    <t>PRJNA14846</t>
  </si>
  <si>
    <t>Unknown:NC_004074.1/AF298895.2</t>
  </si>
  <si>
    <t>La Crosse virus</t>
  </si>
  <si>
    <t>PRJNA14847</t>
  </si>
  <si>
    <t>Peribunyaviridae</t>
  </si>
  <si>
    <t>36.6648</t>
  </si>
  <si>
    <t>L:NC_004108.1/AF528165.1;  M:NC_004109.1/AF528166.1;  S:NC_004110.1/AF528167.1</t>
  </si>
  <si>
    <t>Sweet potato chlorotic stunt virus</t>
  </si>
  <si>
    <t>PRJNA14848</t>
  </si>
  <si>
    <t>Desulfotomaculum acetoxidans DSM 771</t>
  </si>
  <si>
    <t>37.7869</t>
  </si>
  <si>
    <t>RNA 1:NC_004123.1/AJ428554.1;  RNA 2:NC_004124.1/AJ428555.1</t>
  </si>
  <si>
    <t>Boolarra virus</t>
  </si>
  <si>
    <t>PRJNA14850</t>
  </si>
  <si>
    <t>48.7773</t>
  </si>
  <si>
    <t>RNA 1:NC_004142.1/AF329080.1;  RNA 2:NC_004145.1/X15960.1</t>
  </si>
  <si>
    <t>Yellowtail ascites virus - Y-6</t>
  </si>
  <si>
    <t>PRJNA14852</t>
  </si>
  <si>
    <t>Birnaviridae</t>
  </si>
  <si>
    <t>53.5338</t>
  </si>
  <si>
    <t>RNA A:NC_004168.1/AB006783.1;  RNA B:NC_004176.1/AY129662.1</t>
  </si>
  <si>
    <t>Drosophila x virus</t>
  </si>
  <si>
    <t>PRJNA14853</t>
  </si>
  <si>
    <t>Desulfotomaculum carboxydivorans CO-1-SRB</t>
  </si>
  <si>
    <t>45.8721</t>
  </si>
  <si>
    <t>segment A:NC_004177.1/U60650.1;  segment B:NC_004169.1/AF196645.2</t>
  </si>
  <si>
    <t>Pseudomonas phage phi13</t>
  </si>
  <si>
    <t>PRJNA14854</t>
  </si>
  <si>
    <t>57.7653</t>
  </si>
  <si>
    <t>segment L:NC_004172.1/AF261668.1;  segment M:NC_004171.1/AF261667.1;  segment S:NC_004170.1/AF261666.1</t>
  </si>
  <si>
    <t>Pseudomonas phage phi12</t>
  </si>
  <si>
    <t>PRJNA14855</t>
  </si>
  <si>
    <t>55.2025</t>
  </si>
  <si>
    <t>segemnt L:NC_004173.1/AF408636.1;  segment M:NC_004175.1/AY039807.1;  segment S:NC_004174.1/AY034425.1</t>
  </si>
  <si>
    <t>Colorado tick fever virus</t>
  </si>
  <si>
    <t>PRJNA14857</t>
  </si>
  <si>
    <t>Desulfotomaculum kuznetsovii DSM 6115</t>
  </si>
  <si>
    <t>46.547</t>
  </si>
  <si>
    <t>segment 1:NC_004181.1/AF133428.1;  segment 10:NC_004189.1/AF139765.1;  segment 11:NC_004191.1/U72694.1;  segment 12:NC_004190.1/U53227.1;  segment 2:NC_004182.1/AF139758.1;  segment 3:NC_004183.1/AF139759.1;  segment 4:NC_004184.1/AF139760.1;  segment 5:NC_004185.1/AF139761.1;  segment 6:NC_004186.1/AF139762.1;  segment 7:NC_004187.1/AF139763.1;  segment 8:NC_004188.1/AF139764.1;  segment 9:NC_004180.1/AF000720.1</t>
  </si>
  <si>
    <t>Kadipiro virus</t>
  </si>
  <si>
    <t>PRJNA14858</t>
  </si>
  <si>
    <t>37.5418</t>
  </si>
  <si>
    <t>chromosome segment 1:NC_004210.1/AF133429.1; chromosome segment 10:NC_004206.1/AF052020.1;  segment 11:NC_004205.1/AF052019.1; chromosome segment 12:NC_004199.1/AF019909.1; chromosome segment 2:NC_004212.1/AF134509.1; chromosome segment 3:NC_004213.1/AF134510.1; chromosome segment 4:NC_004214.1/AF134511.1; chromosome segment 5:NC_004215.1/AF134512.1; chromosome segment 6:NC_004216.1/AF134513.1;  segment 7:NC_004209.1/AF052023.1; chromosome segment 8:NC_004208.1/AF052022.1; chromosome segment 9:NC_004207.1/AF052021.1</t>
  </si>
  <si>
    <t>Lymphocytic choriomeningitis mammarenavirus</t>
  </si>
  <si>
    <t>PRJNA14862</t>
  </si>
  <si>
    <t>42.3136</t>
  </si>
  <si>
    <t>L:NC_004291.1/J04331.1;  S:NC_004294.1/M20869.1</t>
  </si>
  <si>
    <t>Desulfotomaculum reducens MI-1</t>
  </si>
  <si>
    <t>Tacaribe mammarenavirus</t>
  </si>
  <si>
    <t>PRJNA14863</t>
  </si>
  <si>
    <t>41.7751</t>
  </si>
  <si>
    <t>segment L:NC_004292.1/J04340.1;  segment S:NC_004293.1/M20304.1</t>
  </si>
  <si>
    <t>Tulip virus X</t>
  </si>
  <si>
    <t>PRJNA14865</t>
  </si>
  <si>
    <t>Unknown:NC_004322.1/AB066288.1</t>
  </si>
  <si>
    <t>Prunus necrotic ringspot virus</t>
  </si>
  <si>
    <t>PRJNA14866</t>
  </si>
  <si>
    <t>Desulfotomaculum ruminis DSM 2154</t>
  </si>
  <si>
    <t>44.2868</t>
  </si>
  <si>
    <t>RNA 1:NC_004362.1/AF278534.1;  RNA 2:NC_004363.1/AF278535.1;  RNA 3:NC_004364.1/U57046.1</t>
  </si>
  <si>
    <t>Aphid lethal paralysis virus</t>
  </si>
  <si>
    <t>PRJNA14867</t>
  </si>
  <si>
    <t>Unknown:NC_004365.1/AF536531.1</t>
  </si>
  <si>
    <t>Tobacco bushy top virus</t>
  </si>
  <si>
    <t>PRJNA14868</t>
  </si>
  <si>
    <t>Unknown:NC_004366.1/AF402620.2</t>
  </si>
  <si>
    <t>Desulfovibrio aespoeensis Aspo-2</t>
  </si>
  <si>
    <t>Youcai mosaic virus</t>
  </si>
  <si>
    <t>PRJNA14869</t>
  </si>
  <si>
    <t>Unknown:NC_004422.1/U30944.1</t>
  </si>
  <si>
    <t>Broad bean necrosis virus</t>
  </si>
  <si>
    <t>PRJNA14870</t>
  </si>
  <si>
    <t>Desulfovibrio alaskensis G20</t>
  </si>
  <si>
    <t>38.6082</t>
  </si>
  <si>
    <t>RNA 1:NC_004423.1/D86636.1;  RNA 2:NC_004424.1/D86637.1;  RNA 3:NC_004425.1/D86638.1</t>
  </si>
  <si>
    <t>Tomato black ring virus</t>
  </si>
  <si>
    <t>PRJNA14871</t>
  </si>
  <si>
    <t>44.5614</t>
  </si>
  <si>
    <t>RNA 1:NC_004439.1/AY157993.1;  RNA 2:NC_004440.1/AY157994.1</t>
  </si>
  <si>
    <t>Desulfovibrio desulfuricans subsp. desulfuricans str. ATCC 27774</t>
  </si>
  <si>
    <t>Walrus calicivirus</t>
  </si>
  <si>
    <t>PRJNA14874</t>
  </si>
  <si>
    <t>48.2</t>
  </si>
  <si>
    <t>Unknown:NC_004541.1/AF321298.1</t>
  </si>
  <si>
    <t>Turnip rosette virus</t>
  </si>
  <si>
    <t>PRJNA230700</t>
  </si>
  <si>
    <t>Unknown:NC_004553.3/KC778720.1</t>
  </si>
  <si>
    <t>Desulfovibrio fairfieldensis strain CCUG 45958</t>
  </si>
  <si>
    <t>Feline calicivirus</t>
  </si>
  <si>
    <t>PRJNA14877</t>
  </si>
  <si>
    <t>Unknown:NC_001481.2/L40021.1</t>
  </si>
  <si>
    <t>Grapevine rootstock stem lesion associated virus</t>
  </si>
  <si>
    <t>PRJNA14880</t>
  </si>
  <si>
    <t>Unknown:NC_004724.1/AF314061.1</t>
  </si>
  <si>
    <t>Cucumber Bulgarian virus</t>
  </si>
  <si>
    <t>PRJNA14881</t>
  </si>
  <si>
    <t>48.3</t>
  </si>
  <si>
    <t>Desulfovibrio gigas DSM 1382 = ATCC 19364</t>
  </si>
  <si>
    <t>Unknown:NC_004725.1/AY163842.1</t>
  </si>
  <si>
    <t>Indian peanut clump virus</t>
  </si>
  <si>
    <t>PRJNA14882</t>
  </si>
  <si>
    <t>43.5373</t>
  </si>
  <si>
    <t>RNA 1:NC_004729.1/X99149.1;  RNA 2:NC_004730.1/AF447397.1</t>
  </si>
  <si>
    <t>Cereal yellow dwarf virus-RPV</t>
  </si>
  <si>
    <t>PRJNA14883</t>
  </si>
  <si>
    <t>50.3</t>
  </si>
  <si>
    <t>Unknown:NC_004751.1/L25299.1</t>
  </si>
  <si>
    <t>Yam mosaic virus</t>
  </si>
  <si>
    <t>PRJNA14884</t>
  </si>
  <si>
    <t>Unknown:NC_004752.1/U42596.1</t>
  </si>
  <si>
    <t>Beet western yellows virus</t>
  </si>
  <si>
    <t>PRJNA14885</t>
  </si>
  <si>
    <t>Unknown:NC_004756.1/AF473561.1</t>
  </si>
  <si>
    <t>Kashmir bee virus</t>
  </si>
  <si>
    <t>PRJNA14889</t>
  </si>
  <si>
    <t>Unknown:NC_004807.1/AY275710.1</t>
  </si>
  <si>
    <t>Cucurbit yellow stunting disorder virus</t>
  </si>
  <si>
    <t>PRJNA14890</t>
  </si>
  <si>
    <t>36.947</t>
  </si>
  <si>
    <t>RNA 1:NC_004809.1/AY242077.1;  RNA 2:NC_004810.1/AY242078.1</t>
  </si>
  <si>
    <t>Deformed wing virus</t>
  </si>
  <si>
    <t>PRJNA14891</t>
  </si>
  <si>
    <t>Desulfovibrio hydrothermalis AM13 = DSM 14728</t>
  </si>
  <si>
    <t>Unknown:NC_004830.2/AJ489744.2</t>
  </si>
  <si>
    <t>Enzootic nasal tumour virus of goats</t>
  </si>
  <si>
    <t>PRJNA14893</t>
  </si>
  <si>
    <t>Unknown:NC_004994.2/AY197548.2</t>
  </si>
  <si>
    <t>Pea stem necrosis virus</t>
  </si>
  <si>
    <t>PRJNA14894</t>
  </si>
  <si>
    <t>Unknown:NC_004995.1/AB086951.1</t>
  </si>
  <si>
    <t>Goose paramyxovirus SF02</t>
  </si>
  <si>
    <t>PRJNA14895</t>
  </si>
  <si>
    <t>Unknown:NC_005036.1/AF473851.2</t>
  </si>
  <si>
    <t>Kamiti River virus</t>
  </si>
  <si>
    <t>PRJNA14896</t>
  </si>
  <si>
    <t>Desulfovibrio magneticus RS-1</t>
  </si>
  <si>
    <t>Unknown:NC_005064.1/AY149905.1</t>
  </si>
  <si>
    <t>Mamastrovirus 10</t>
  </si>
  <si>
    <t>PRJNA14897</t>
  </si>
  <si>
    <t>Unknown:NC_004579.1/AY179509.1</t>
  </si>
  <si>
    <t>Oat necrotic mottle virus</t>
  </si>
  <si>
    <t>PRJNA14899</t>
  </si>
  <si>
    <t>Unknown:NC_005136.1/AY377938.1</t>
  </si>
  <si>
    <t>Desulfovibrio piezophilus strain C1TLV30</t>
  </si>
  <si>
    <t>Golden shiner reovirus</t>
  </si>
  <si>
    <t>PRJNA14900</t>
  </si>
  <si>
    <t>55.6077</t>
  </si>
  <si>
    <t>segment 1:NC_005166.1/AF403398.1;  segment 10:NC_005175.1/AF403407.1;  segment 11:NC_005176.1/AF403408.1;  segment 2:NC_005167.1/AF403399.1;  segment 3:NC_005168.1/AF403400.1;  segment 4:NC_005169.1/AF403401.1;  segment 5:NC_005170.1/AF403402.1;  segment 6:NC_005171.1/AF403403.1;  segment 7:NC_005172.1/AF403404.1;  segment 8:NC_005173.1/AF403405.1;  segment 9:NC_005174.1/AF403406.1</t>
  </si>
  <si>
    <t>Beet pseudoyellows virus</t>
  </si>
  <si>
    <t>PRJNA14901</t>
  </si>
  <si>
    <t>41.0026</t>
  </si>
  <si>
    <t>RNA 1:NC_005209.2/AY330918.2;  RNA 2:NC_005210.2/AY330919.2</t>
  </si>
  <si>
    <t>Desulfovibrio salexigens DSM 2638</t>
  </si>
  <si>
    <t>Uukuniemi virus</t>
  </si>
  <si>
    <t>PRJNA14902</t>
  </si>
  <si>
    <t>47.696</t>
  </si>
  <si>
    <t>segment L:NC_005214.1/D10759.1; chromosome segment M:NC_005220.1/M17417.1;  segment S:NC_005221.1/M33551.1</t>
  </si>
  <si>
    <t>Johnsongrass chlorotic stripe mosaic virus</t>
  </si>
  <si>
    <t>PRJNA14904</t>
  </si>
  <si>
    <t>Unknown:NC_005287.1/AJ557804.1</t>
  </si>
  <si>
    <t>Broad bean wilt virus 1</t>
  </si>
  <si>
    <t>PRJNA14905</t>
  </si>
  <si>
    <t>Desulfovibrio sp. J2</t>
  </si>
  <si>
    <t>42.9792</t>
  </si>
  <si>
    <t>RNA 1:NC_005289.1/AB084450.1;  RNA 2:NC_005290.1/AB084451.1</t>
  </si>
  <si>
    <t>Grapevine leafroll-associated virus 3</t>
  </si>
  <si>
    <t>PRJNA14906</t>
  </si>
  <si>
    <t>Unknown:NC_004667.1/AF037268.2</t>
  </si>
  <si>
    <t>Avian myelocytomatosis virus</t>
  </si>
  <si>
    <t>PRJNA14909</t>
  </si>
  <si>
    <t>Desulfovibrio vulgaris DP4</t>
  </si>
  <si>
    <t>57.7</t>
  </si>
  <si>
    <t>Unknown:NC_001866.1/AF033809.1</t>
  </si>
  <si>
    <t>Beet western yellows ST9 associated virus</t>
  </si>
  <si>
    <t>PRJNA14910</t>
  </si>
  <si>
    <t>Unknown:NC_004045.1/L04281.1</t>
  </si>
  <si>
    <t>Hendra henipavirus</t>
  </si>
  <si>
    <t>PRJNA14911</t>
  </si>
  <si>
    <t>Desulfovibrio vulgaris RCH1</t>
  </si>
  <si>
    <t>Unknown:NC_001906.3/AF017149.3</t>
  </si>
  <si>
    <t>Sclerophthora macrospora virus B</t>
  </si>
  <si>
    <t>PRJNA14912</t>
  </si>
  <si>
    <t>Unknown:NC_004714.1/AB012756.1</t>
  </si>
  <si>
    <t>Human coronavirus 229E</t>
  </si>
  <si>
    <t>PRJNA14913</t>
  </si>
  <si>
    <t>Unknown:NC_002645.1/AF304460.1</t>
  </si>
  <si>
    <t>Desulfovibrio vulgaris str. Hildenborough</t>
  </si>
  <si>
    <t>Squirrel monkey retrovirus-H</t>
  </si>
  <si>
    <t>PRJNA14914</t>
  </si>
  <si>
    <t>49.6</t>
  </si>
  <si>
    <t>Unknown:NC_001514.1/M23385.1</t>
  </si>
  <si>
    <t>Desulfovibrio vulgaris str. 'Miyazaki F'</t>
  </si>
  <si>
    <t>Mossman virus</t>
  </si>
  <si>
    <t>PRJNA14915</t>
  </si>
  <si>
    <t>Unknown:NC_005339.1/AY286409.1</t>
  </si>
  <si>
    <t>Bovine leukemia virus</t>
  </si>
  <si>
    <t>PRJNA14916</t>
  </si>
  <si>
    <t>54.2</t>
  </si>
  <si>
    <t>Unknown:NC_001414.1/AF033818.1</t>
  </si>
  <si>
    <t>Helicobasidium mompa totivirus 1-17</t>
  </si>
  <si>
    <t>PRJNA14918</t>
  </si>
  <si>
    <t>Desulfurella acetivorans A63</t>
  </si>
  <si>
    <t>55.3</t>
  </si>
  <si>
    <t>segment L:NC_005074.1/AB085814.1;  segment S:NC_005075.1/AB085815.1</t>
  </si>
  <si>
    <t>Pirital mammarenavirus</t>
  </si>
  <si>
    <t>PRJNA14919</t>
  </si>
  <si>
    <t>40.489</t>
  </si>
  <si>
    <t>segment L:NC_005897.1/AY494081.1;  segment S:NC_005894.1/AF485262.1</t>
  </si>
  <si>
    <t>Maize mosaic nucleorhabdovirus</t>
  </si>
  <si>
    <t>PRJNA14920</t>
  </si>
  <si>
    <t>Desulfurispirillum indicum S5</t>
  </si>
  <si>
    <t>Unknown:NC_005975.1/AY618418.1</t>
  </si>
  <si>
    <t>Blotched snakehead virus</t>
  </si>
  <si>
    <t>PRJNA14921</t>
  </si>
  <si>
    <t>53.5434</t>
  </si>
  <si>
    <t>segment A:NC_005982.1/AJ459382.1;  segment B:NC_005983.1/AJ459383.1</t>
  </si>
  <si>
    <t>Pelargonium chlorotic ring pattern virus</t>
  </si>
  <si>
    <t>PRJNA14922</t>
  </si>
  <si>
    <t>Unknown:NC_005985.1/AY038069.2</t>
  </si>
  <si>
    <t>Desulfurivibrio alkaliphilus AHT2</t>
  </si>
  <si>
    <t>Chuzan virus</t>
  </si>
  <si>
    <t>PRJNA14923</t>
  </si>
  <si>
    <t>39.2637</t>
  </si>
  <si>
    <t>segment  3:NC_005989.1/AB014728.1;  segment 1:NC_005990.1/AB018086.1;  segment 10:NC_005995.1/AB018091.1;  segment 2:NC_005986.1/AB014725.1;  segment 4:NC_005991.1/AB018087.1;  segment 5:NC_005993.1/AB018089.1;  segment 6:NC_005987.1/AB014726.1;  segment 7:NC_005988.1/AB014727.1;  segment 8:NC_005994.1/AB018090.1;  segment 9:NC_005992.1/AB018088.1</t>
  </si>
  <si>
    <t>Potato yellow vein virus</t>
  </si>
  <si>
    <t>PRJNA14924</t>
  </si>
  <si>
    <t>Desulfurobacterium thermolithotrophum DSM 11699</t>
  </si>
  <si>
    <t>36.6195</t>
  </si>
  <si>
    <t>RNA 1:NC_006062.1/AJ557128.1;  RNA 2:NC_006063.1/AJ557129.1;  RNA 3:NC_006061.1/AJ508757.2</t>
  </si>
  <si>
    <t>Tomato mosaic virus</t>
  </si>
  <si>
    <t>PRJNA14926</t>
  </si>
  <si>
    <t>Unknown:NC_002692.1/AF332868.1</t>
  </si>
  <si>
    <t>Pelargonium flower break virus</t>
  </si>
  <si>
    <t>PRJNA14928</t>
  </si>
  <si>
    <t>Desulfurococcus fermentans DSM 16532</t>
  </si>
  <si>
    <t>51.3</t>
  </si>
  <si>
    <t>Unknown:NC_005286.1/AJ514833.1</t>
  </si>
  <si>
    <t>Machupo mammarenavirus</t>
  </si>
  <si>
    <t>PRJNA14931</t>
  </si>
  <si>
    <t>41.7761</t>
  </si>
  <si>
    <t>segment L:NC_005079.1/AY358021.2;  segment S:NC_005078.1/AY129248.1</t>
  </si>
  <si>
    <t>Desulfurococcus kamchatkensis 1221n</t>
  </si>
  <si>
    <t>Arabis mosaic virus</t>
  </si>
  <si>
    <t>PRJNA14932</t>
  </si>
  <si>
    <t>44.5507</t>
  </si>
  <si>
    <t>RNA 1:NC_006057.1/AY303786.1;  RNA 2:NC_006056.1/AY017339.1</t>
  </si>
  <si>
    <t>Tobacco ringspot virus</t>
  </si>
  <si>
    <t>PRJNA14933</t>
  </si>
  <si>
    <t>Desulfurococcus mucosus DSM 2162</t>
  </si>
  <si>
    <t>46.724</t>
  </si>
  <si>
    <t>RNA 1:NC_005097.1/U50869.1;  RNA 2:NC_005096.1/AY363727.1</t>
  </si>
  <si>
    <t>Raspberry ringspot virus</t>
  </si>
  <si>
    <t>PRJNA14934</t>
  </si>
  <si>
    <t>47.4366</t>
  </si>
  <si>
    <t>RNA 1:NC_005266.1/AY303787.1;  RNA 2:NC_005267.1/AY303788.1</t>
  </si>
  <si>
    <t>Paprika mild mottle virus</t>
  </si>
  <si>
    <t>PRJNA14935</t>
  </si>
  <si>
    <t>Desulfuromonas sp. DDH964</t>
  </si>
  <si>
    <t>Unknown:NC_004106.1/AB089381.1</t>
  </si>
  <si>
    <t>African horse sickness virus</t>
  </si>
  <si>
    <t>PRJNA14937</t>
  </si>
  <si>
    <t>42.7036</t>
  </si>
  <si>
    <t>segment 1:NC_006021.1/U94887.1;  segment 10:NC_006009.1/D12479.1;  segment 2:NC_005996.1/AF021235.1;  segment 3:NC_006017.1/M94681.1;  segment 4:NC_006012.1/D14402.1;  segment 5:NC_006020.1/U73658.1;  segment 6:NC_006018.1/M94682.1;  segment 7:NC_006011.1/D12533.1;  segment 8:NC_006016.1/M69090.1; chromosome segment 9:NC_006019.1/U33000.1</t>
  </si>
  <si>
    <t>Bluetongue virus</t>
  </si>
  <si>
    <t>PRJNA14938</t>
  </si>
  <si>
    <t>Desulfuromonas sp. WTL</t>
  </si>
  <si>
    <t>43.7396</t>
  </si>
  <si>
    <t>segment 1:NC_006023.1/X12819.1;  segment 10:NC_006015.1/M28981.1;  segment 2:NC_006013.1/M11787.1;  segment 3:NC_006014.1/M22096.1;  segment 4:NC_006024.2/Y00421.2;  segment 5:NC_006025.1/Y00422.1;  segment 6:NC_006010.1/D12532.1;  segment 7:NC_006022.1/X06463.1;  segment 8:NC_006007.1/D00500.1;  segment 9:NC_006008.1/D00509.2</t>
  </si>
  <si>
    <t>Guanarito mammarenavirus</t>
  </si>
  <si>
    <t>PRJNA14939</t>
  </si>
  <si>
    <t>40.6621</t>
  </si>
  <si>
    <t>L:NC_005082.1/AY358024.2;  S:NC_005077.1/AY129247.1</t>
  </si>
  <si>
    <t>Parietaria mottle virus</t>
  </si>
  <si>
    <t>PRJNA14940</t>
  </si>
  <si>
    <t>Devosia sp. DDS-1 strain A16</t>
  </si>
  <si>
    <t>45.1374</t>
  </si>
  <si>
    <t>RNA 1:NC_005848.1/AY496068.1;  RNA 2:NC_005849.1/AY496069.1;  RNA 3:NC_005854.1/U35145.1</t>
  </si>
  <si>
    <t>St Croix River virus</t>
  </si>
  <si>
    <t>PRJNA14941</t>
  </si>
  <si>
    <t>51.6243</t>
  </si>
  <si>
    <t>chromosome segment  8:NC_006004.1/AF145405.1;  segment 1:NC_005997.1/AF133431.1; chromosome segment 10:NC_006006.1/AF145407.1; chromosome segment 2:NC_005998.1/AF133432.1; chromosome segment 3:NC_005999.1/AF145400.1; chromosome segment 4:NC_006000.1/AF145401.1; chromosome segment 5:NC_006001.1/AF145402.1; chromosome segment 6:NC_006002.1/AF145403.1; chromosome segment 7:NC_006003.1/AF145404.1; chromosome segment 9:NC_006005.1/AF145406.1</t>
  </si>
  <si>
    <t>Beet mosaic virus</t>
  </si>
  <si>
    <t>PRJNA14942</t>
  </si>
  <si>
    <t>Devosia sp. H5989</t>
  </si>
  <si>
    <t>Unknown:NC_005304.1/AY206394.2</t>
  </si>
  <si>
    <t>Oropouche virus</t>
  </si>
  <si>
    <t>PRJNA14943</t>
  </si>
  <si>
    <t>35.3854</t>
  </si>
  <si>
    <t>segment L:NC_005776.1/AF484424.1;  segment M:NC_005775.1/AF441119.1;  segment S:NC_005777.1/AY237111.1</t>
  </si>
  <si>
    <t>Devriesea agamarum strain IMP2</t>
  </si>
  <si>
    <t>Helminthosporium victoriae 145S virus</t>
  </si>
  <si>
    <t>PRJNA14945</t>
  </si>
  <si>
    <t>45.7034</t>
  </si>
  <si>
    <t>segment 1:NC_005978.1/AF297176.1;  segment 2:NC_005979.1/AF297177.1;  segment 3:NC_005980.1/AF297178.1;  segment 4:NC_005981.1/AF297179.1</t>
  </si>
  <si>
    <t>Dichelobacter nodosus VCS1703A</t>
  </si>
  <si>
    <t>Simian sapelovirus 1</t>
  </si>
  <si>
    <t>PRJNA14946</t>
  </si>
  <si>
    <t>Unknown:NC_004451.1/AY064708.1</t>
  </si>
  <si>
    <t>Aichivirus B</t>
  </si>
  <si>
    <t>PRJNA14948</t>
  </si>
  <si>
    <t>Unknown:NC_004421.1/AB084788.1</t>
  </si>
  <si>
    <t>Beet black scorch virus</t>
  </si>
  <si>
    <t>PRJNA14949</t>
  </si>
  <si>
    <t>Unknown:NC_004452.3/AF452884.3</t>
  </si>
  <si>
    <t>Dickeya dadantii 3937</t>
  </si>
  <si>
    <t>Penicillium stoloniferum virus S</t>
  </si>
  <si>
    <t>PRJNA14950</t>
  </si>
  <si>
    <t>49.733</t>
  </si>
  <si>
    <t>segment 1:NC_005976.2/AY156521.2;  segment 2:NC_005977.2/AY156522.2</t>
  </si>
  <si>
    <t>Oyster mushroom spherical virus</t>
  </si>
  <si>
    <t>PRJNA14951</t>
  </si>
  <si>
    <t>Unknown:NC_004560.1/AY182001.1</t>
  </si>
  <si>
    <t>Ectropis obliqua picorna-like virus</t>
  </si>
  <si>
    <t>PRJNA14953</t>
  </si>
  <si>
    <t>Dickeya dadantii Ech586</t>
  </si>
  <si>
    <t>Unknown:NC_005092.1/AY365064.1</t>
  </si>
  <si>
    <t>Zygocactus virus X</t>
  </si>
  <si>
    <t>PRJNA14955</t>
  </si>
  <si>
    <t>Unknown:NC_006059.1/AY366208.1</t>
  </si>
  <si>
    <t>Opuntia virus X</t>
  </si>
  <si>
    <t>PRJNA14956</t>
  </si>
  <si>
    <t>Unknown:NC_006060.1/AY366209.1</t>
  </si>
  <si>
    <t>Humulus japonicus latent virus</t>
  </si>
  <si>
    <t>Dickeya dadantii Ech703</t>
  </si>
  <si>
    <t>PRJNA14958</t>
  </si>
  <si>
    <t>42.1785</t>
  </si>
  <si>
    <t>RNA 1:NC_006064.1/AY500236.1;  RNA 2:NC_006065.1/AY500237.1;  RNA 3:NC_006066.1/AY500238.1</t>
  </si>
  <si>
    <t>Lettuce ring necrosis virus</t>
  </si>
  <si>
    <t>PRJNA14959</t>
  </si>
  <si>
    <t>Ophioviridae</t>
  </si>
  <si>
    <t>34.5133</t>
  </si>
  <si>
    <t>RNA 1:NC_006051.1/AY535016.1;  RNA 2:NC_006052.1/AY535017.1;  RNA 3:NC_006053.1/AY535018.1;  RNA 4:NC_006054.1/AY535019.1</t>
  </si>
  <si>
    <t>Human coronavirus NL63</t>
  </si>
  <si>
    <t>Dickeya dianthicola IPO 980</t>
  </si>
  <si>
    <t>PRJNA14960</t>
  </si>
  <si>
    <t>Unknown:NC_005831.2/AY567487.2</t>
  </si>
  <si>
    <t>Black beetle virus</t>
  </si>
  <si>
    <t>PRJNA14961</t>
  </si>
  <si>
    <t>RNA 1:NC_001411.2/X02396.1;  RNA 2:NC_002037.1/X00956.1</t>
  </si>
  <si>
    <t>Diaporthe ambigua RNA virus 1</t>
  </si>
  <si>
    <t>PRJNA14962</t>
  </si>
  <si>
    <t>53.3</t>
  </si>
  <si>
    <t>Unknown:NC_001278.1/AF142094.1</t>
  </si>
  <si>
    <t>Dickeya dianthicola RNS04.9</t>
  </si>
  <si>
    <t>Rous sarcoma virus</t>
  </si>
  <si>
    <t>PRJNA14978</t>
  </si>
  <si>
    <t>Unknown:NC_001407.1/AF033808.1</t>
  </si>
  <si>
    <t>Panicum mosaic virus</t>
  </si>
  <si>
    <t>PRJNA14979</t>
  </si>
  <si>
    <t>Unknown:NC_002598.1/U55002.1</t>
  </si>
  <si>
    <t>Ribgrass mosaic virus</t>
  </si>
  <si>
    <t>Dickeya paradisiaca NCPPB 2511</t>
  </si>
  <si>
    <t>PRJNA14980</t>
  </si>
  <si>
    <t>Unknown:NC_002792.2/HQ667979.1</t>
  </si>
  <si>
    <t>Saguaro cactus virus</t>
  </si>
  <si>
    <t>PRJNA14981</t>
  </si>
  <si>
    <t>Unknown:NC_001780.1/U72332.1</t>
  </si>
  <si>
    <t>Nudaurelia capensis beta virus</t>
  </si>
  <si>
    <t>PRJNA14982</t>
  </si>
  <si>
    <t>Alphatetraviridae</t>
  </si>
  <si>
    <t>Unknown:NC_001990.1/AF102884.1</t>
  </si>
  <si>
    <t>Acute bee paralysis virus</t>
  </si>
  <si>
    <t>Dickeya solani IPO 2222</t>
  </si>
  <si>
    <t>PRJNA14983</t>
  </si>
  <si>
    <t>Unknown:NC_002548.1/AF150629.1</t>
  </si>
  <si>
    <t>Reptilian ferlavirus</t>
  </si>
  <si>
    <t>PRJNA14985</t>
  </si>
  <si>
    <t>Unknown:NC_005084.2/AY141760.2</t>
  </si>
  <si>
    <t>Grapevine fanleaf virus satellite RNA</t>
  </si>
  <si>
    <t>PRJNA14986</t>
  </si>
  <si>
    <t>Unknown:NC_003203.1/D00442.1</t>
  </si>
  <si>
    <t>Garlic virus X</t>
  </si>
  <si>
    <t>Dickeya zeae EC1</t>
  </si>
  <si>
    <t>PRJNA14987</t>
  </si>
  <si>
    <t>Unknown:NC_001800.1/U89243.1</t>
  </si>
  <si>
    <t>Chicory yellow mottle virus satellite RNA</t>
  </si>
  <si>
    <t>PRJNA14988</t>
  </si>
  <si>
    <t>54.3</t>
  </si>
  <si>
    <t>Unknown:NC_003971.1/D00721.1</t>
  </si>
  <si>
    <t>Cymbidium ringspot virus satellite RNA</t>
  </si>
  <si>
    <t>PRJNA14989</t>
  </si>
  <si>
    <t>Dickeya zeae Ech1591</t>
  </si>
  <si>
    <t>Unknown:NC_004009.2/D00720.2</t>
  </si>
  <si>
    <t>Infectious bursal disease virus</t>
  </si>
  <si>
    <t>PRJNA14990</t>
  </si>
  <si>
    <t>53.2873</t>
  </si>
  <si>
    <t>segment A:NC_004178.1/X92760.1;  segment B:NC_004179.1/X92761.1</t>
  </si>
  <si>
    <t>Human immunodeficiency virus 2</t>
  </si>
  <si>
    <t>PRJNA14991</t>
  </si>
  <si>
    <t>Unknown:NC_001722.1/M30502.1</t>
  </si>
  <si>
    <t>Dictyoglomus thermophilum H-6-12</t>
  </si>
  <si>
    <t>Carnation mottle virus</t>
  </si>
  <si>
    <t>PRJNA14993</t>
  </si>
  <si>
    <t>Unknown:NC_001265.2/X02986.1</t>
  </si>
  <si>
    <t>Sugarcane mosaic virus</t>
  </si>
  <si>
    <t>PRJNA14994</t>
  </si>
  <si>
    <t>Unknown:NC_003398.1/AJ297628.1</t>
  </si>
  <si>
    <t>Omsk hemorrhagic fever virus</t>
  </si>
  <si>
    <t>Dictyoglomus turgidum DSM 6724</t>
  </si>
  <si>
    <t>PRJNA14995</t>
  </si>
  <si>
    <t>Unknown:NC_005062.1/AY193805.1</t>
  </si>
  <si>
    <t>Cactus virus X</t>
  </si>
  <si>
    <t>PRJNA14996</t>
  </si>
  <si>
    <t>Unknown:NC_002815.2/AF308158.2</t>
  </si>
  <si>
    <t>Chikungunya virus</t>
  </si>
  <si>
    <t>PRJNA14998</t>
  </si>
  <si>
    <t>Unknown:NC_004162.2/AF369024.2</t>
  </si>
  <si>
    <t>Dinoroseobacter shibae DFL 12</t>
  </si>
  <si>
    <t>Strawberry mild yellow edge virus</t>
  </si>
  <si>
    <t>PRJNA14999</t>
  </si>
  <si>
    <t>Unknown:NC_003794.1/D12517.1</t>
  </si>
  <si>
    <t>Bovine respirovirus 3</t>
  </si>
  <si>
    <t>PRJNA15001</t>
  </si>
  <si>
    <t>Dokdonella koreensis DS-123</t>
  </si>
  <si>
    <t>Unknown:NC_002161.1/AF178654.1</t>
  </si>
  <si>
    <t>Canine morbillivirus</t>
  </si>
  <si>
    <t>PRJNA15002</t>
  </si>
  <si>
    <t>Unknown:NC_001921.1/AF014953.1</t>
  </si>
  <si>
    <t>Dokdonia donghaensis DSW-1</t>
  </si>
  <si>
    <t>Human orthopneumovirus</t>
  </si>
  <si>
    <t>PRJNA15003</t>
  </si>
  <si>
    <t>vertebrates , human</t>
  </si>
  <si>
    <t>Unknown:NC_001781.1/AF013254.1</t>
  </si>
  <si>
    <t>Respiratory syncytial virus</t>
  </si>
  <si>
    <t>PRJNA15004</t>
  </si>
  <si>
    <t>Unknown:NC_001803.1/U39661.1</t>
  </si>
  <si>
    <t>Reston ebolavirus</t>
  </si>
  <si>
    <t>PRJNA15006</t>
  </si>
  <si>
    <t>Dokdonia sp. MED134</t>
  </si>
  <si>
    <t>Unknown:NC_004161.1/AF522874.1</t>
  </si>
  <si>
    <t>Cryphonectria hypovirus 4</t>
  </si>
  <si>
    <t>PRJNA15007</t>
  </si>
  <si>
    <t>Unknown:NC_006431.1/AY307099.1</t>
  </si>
  <si>
    <t>Pichinde mammarenavirus</t>
  </si>
  <si>
    <t>PRJNA15008</t>
  </si>
  <si>
    <t>41.8443</t>
  </si>
  <si>
    <t>segment L:NC_006439.1/AF427517.1;  segment S:NC_006447.1/K02734.1</t>
  </si>
  <si>
    <t>Dokdonia sp. PRO95</t>
  </si>
  <si>
    <t>Spring beauty latent virus</t>
  </si>
  <si>
    <t>PRJNA15009</t>
  </si>
  <si>
    <t>42.0742</t>
  </si>
  <si>
    <t>RNA 1:NC_004120.1/AB080598.1;  RNA 2:NC_004121.1/AB080599.1;  RNA 3:NC_004122.1/AB080600.1</t>
  </si>
  <si>
    <t>Amasya cherry disease-associated mycovirus</t>
  </si>
  <si>
    <t>PRJNA15010</t>
  </si>
  <si>
    <t>48.9333</t>
  </si>
  <si>
    <t>RNA 1:NC_006441.1/AJ781168.1;  RNA 2:NC_006440.1/AJ781167.1</t>
  </si>
  <si>
    <t>Sudan ebolavirus</t>
  </si>
  <si>
    <t>PRJNA15012</t>
  </si>
  <si>
    <t>Unknown:NC_006432.1/AY729654.1</t>
  </si>
  <si>
    <t>Draconibacterium orientale strain FH5</t>
  </si>
  <si>
    <t>Mokola lyssavirus</t>
  </si>
  <si>
    <t>PRJNA15013</t>
  </si>
  <si>
    <t>Unknown:NC_006429.1/Y09762.1</t>
  </si>
  <si>
    <t>Lily symptomless virus</t>
  </si>
  <si>
    <t>PRJNA15015</t>
  </si>
  <si>
    <t>Unknown:NC_005138.1/AJ516059.1</t>
  </si>
  <si>
    <t>Dyadobacter fermentans DSM 18053</t>
  </si>
  <si>
    <t>Tomato black ring virus satellite RNA</t>
  </si>
  <si>
    <t>PRJNA15016</t>
  </si>
  <si>
    <t>Unknown:NC_003890.1/X05689.1</t>
  </si>
  <si>
    <t>Viral hemorrhagic septicemia virus Fil3</t>
  </si>
  <si>
    <t>PRJNA15017</t>
  </si>
  <si>
    <t>Unknown:NC_000855.1/Y18263.1</t>
  </si>
  <si>
    <t>Dyella japonica A8</t>
  </si>
  <si>
    <t>Giardia lamblia virus</t>
  </si>
  <si>
    <t>PRJNA15018</t>
  </si>
  <si>
    <t>Unknown:NC_003555.1/L13218.1</t>
  </si>
  <si>
    <t>Infectious salmon anemia virus</t>
  </si>
  <si>
    <t>PRJNA15020</t>
  </si>
  <si>
    <t>Dyella jiangningensis strain SBZ 3-12</t>
  </si>
  <si>
    <t>Orthomyxoviridae</t>
  </si>
  <si>
    <t>43.0646</t>
  </si>
  <si>
    <t>1:NC_006505.1/AY373381.1;  2:NC_006503.1/AF404346.1;  3:NC_006502.1/AF404345.1;  4:NC_006501.1/AF404344.1;  5:NC_006500.2/AF404343.2;  6:NC_006499.1/AF404342.1;  7:NC_006498.1/AF404341.1;  8:NC_006497.1/AF404340.1</t>
  </si>
  <si>
    <t>Murine respirovirus</t>
  </si>
  <si>
    <t>PRJNA15023</t>
  </si>
  <si>
    <t>Unknown:NC_001552.1/AB005795.1</t>
  </si>
  <si>
    <t>Infectious pancreatic necrosis virus</t>
  </si>
  <si>
    <t>PRJNA15024</t>
  </si>
  <si>
    <t>Dyella thiooxydans strain ATSB10</t>
  </si>
  <si>
    <t>54.4793</t>
  </si>
  <si>
    <t>segment A:NC_001915.1/M18049.1;  segment B:NC_001916.1/M58756.1</t>
  </si>
  <si>
    <t>Junin mammarenavirus</t>
  </si>
  <si>
    <t>PRJNA15028</t>
  </si>
  <si>
    <t>41.5667</t>
  </si>
  <si>
    <t>L:NC_005080.1/AY358022.2;  S:NC_005081.1/AY358023.2</t>
  </si>
  <si>
    <t>Echinicola vietnamensis DSM 17526</t>
  </si>
  <si>
    <t>Feline immunodeficiency virus</t>
  </si>
  <si>
    <t>PRJNA15029</t>
  </si>
  <si>
    <t>Unknown:NC_001482.1/M25381.1</t>
  </si>
  <si>
    <t>Beet necrotic yellow vein virus</t>
  </si>
  <si>
    <t>PRJNA15033</t>
  </si>
  <si>
    <t>Ectothiorhodospira sp. BSL-9</t>
  </si>
  <si>
    <t>40.2424</t>
  </si>
  <si>
    <t>RNA 1:NC_003514.1/D84410.1;  RNA 2:NC_003515.1/D84411.1;  RNA 3:NC_003516.1/D84412.1;  RNA 4:NC_003517.1/D84413.1;  RNA 5:NC_003513.1/D63936.1</t>
  </si>
  <si>
    <t>Barley yellow dwarf virus-GAV</t>
  </si>
  <si>
    <t>PRJNA15035</t>
  </si>
  <si>
    <t>Unknown:NC_004666.1/AY220739.1</t>
  </si>
  <si>
    <t>Edwardsiella ictaluri 93-146</t>
  </si>
  <si>
    <t>Mopeia Lassa virus reassortant 29</t>
  </si>
  <si>
    <t>PRJNA15036</t>
  </si>
  <si>
    <t>43.11</t>
  </si>
  <si>
    <t>segment L:NC_006572.1/AY772167.1;  segment S:NC_006573.1/AY772168.1</t>
  </si>
  <si>
    <t>Mopeia virus AN20410</t>
  </si>
  <si>
    <t>PRJNA15037</t>
  </si>
  <si>
    <t>Edwardsiella sp. LADL05-105</t>
  </si>
  <si>
    <t>43.461</t>
  </si>
  <si>
    <t>segment L:NC_006574.1/AY772169.1;  segment S:NC_006575.1/AY772170.1</t>
  </si>
  <si>
    <t>Sweet potato chlorotic fleck virus</t>
  </si>
  <si>
    <t>Edwardsiella tarda C07-087</t>
  </si>
  <si>
    <t>PRJNA15038</t>
  </si>
  <si>
    <t>Unknown:NC_006550.1/AY461421.1</t>
  </si>
  <si>
    <t>Avian sapelovirus</t>
  </si>
  <si>
    <t>PRJNA15039</t>
  </si>
  <si>
    <t>Unknown:NC_006553.1/AY563023.1</t>
  </si>
  <si>
    <t>Magnaporthe oryzae virus 1</t>
  </si>
  <si>
    <t>PRJNA15041</t>
  </si>
  <si>
    <t>Edwardsiella tarda EIB202</t>
  </si>
  <si>
    <t>Unknown:NC_006367.1/AB176964.1</t>
  </si>
  <si>
    <t>Solenopsis invicta virus-1</t>
  </si>
  <si>
    <t>PRJNA15042</t>
  </si>
  <si>
    <t>38.9</t>
  </si>
  <si>
    <t>Unknown:NC_006559.1/AY634314.1</t>
  </si>
  <si>
    <t>Thogoto virus</t>
  </si>
  <si>
    <t>PRJNA15043</t>
  </si>
  <si>
    <t>Edwardsiella tarda FL6-60</t>
  </si>
  <si>
    <t>48.0266</t>
  </si>
  <si>
    <t>1:NC_006508.1/Y17873.1;  2:NC_006495.1/AF004985.1;  3:NC_006496.1/AF006073.1;  4:NC_006506.1/M77280.1;  5:NC_006507.1/X96872.1;  6:NC_006504.1/AF527531.1</t>
  </si>
  <si>
    <t>Hantavirus Z10</t>
  </si>
  <si>
    <t>PRJNA15044</t>
  </si>
  <si>
    <t>Hantaviridae</t>
  </si>
  <si>
    <t>39.3134</t>
  </si>
  <si>
    <t>L:NC_006435.1/AF189155.1;  M:NC_006437.1/AF276987.1;  S:NC_006433.1/AF184987.1</t>
  </si>
  <si>
    <t>Watermelon mosaic virus</t>
  </si>
  <si>
    <t>Edwardsiella tarda strain FL95-01</t>
  </si>
  <si>
    <t>PRJNA15046</t>
  </si>
  <si>
    <t>Unknown:NC_006262.1/AY437609.1</t>
  </si>
  <si>
    <t>Usutu virus</t>
  </si>
  <si>
    <t>PRJNA15047</t>
  </si>
  <si>
    <t>Unknown:NC_006551.1/AY453411.1</t>
  </si>
  <si>
    <t>Getah virus</t>
  </si>
  <si>
    <t>PRJNA15049</t>
  </si>
  <si>
    <t>Unknown:NC_006558.1/AY702913.1</t>
  </si>
  <si>
    <t>Rinderpest virus (strain Kabete O)</t>
  </si>
  <si>
    <t>Eggerthella lenta DSM 2243</t>
  </si>
  <si>
    <t>PRJNA15050</t>
  </si>
  <si>
    <t>Unknown:NC_006296.2/X98291.3</t>
  </si>
  <si>
    <t>Brome mosaic virus</t>
  </si>
  <si>
    <t>PRJNA15052</t>
  </si>
  <si>
    <t>46.5076</t>
  </si>
  <si>
    <t>RNA 1:NC_002026.1/X02380.1;  RNA 2:NC_002027.1/X01678.1;  RNA 3:NC_002028.2/J02042.1</t>
  </si>
  <si>
    <t>Sabia mammarenavirus</t>
  </si>
  <si>
    <t>Eggerthella sp. YY7918</t>
  </si>
  <si>
    <t>PRJNA15054</t>
  </si>
  <si>
    <t>39.6748</t>
  </si>
  <si>
    <t>segment L:NC_006313.1/AY358026.2;  segment S:NC_006317.1/U41071.1</t>
  </si>
  <si>
    <t>Influenza C virus (C/Ann Arbor/1/50)</t>
  </si>
  <si>
    <t>PRJNA15055</t>
  </si>
  <si>
    <t>37.2985</t>
  </si>
  <si>
    <t>segment 1:NC_006307.2/AB126191.2;  segment 2:NC_006308.2/AB126192.2;  segment 3:NC_006309.2/AB126193.2;  segment 4:NC_006310.2/AB126194.2;  segment 5:NC_006311.1/AB126195.1;  segment 6:NC_006312.2/AB126196.2;  segment 7:NC_006306.2/AB283001.1</t>
  </si>
  <si>
    <t>Poplar mosaic virus</t>
  </si>
  <si>
    <t>PRJNA15056</t>
  </si>
  <si>
    <t>Unknown:NC_005343.1/AY505475.1</t>
  </si>
  <si>
    <t>Ehrlichia canis str. Jake</t>
  </si>
  <si>
    <t>Carrot red leaf virus</t>
  </si>
  <si>
    <t>PRJNA15057</t>
  </si>
  <si>
    <t>Unknown:NC_006265.1/AY695933.1</t>
  </si>
  <si>
    <t>Strawberry pallidosis-associated virus</t>
  </si>
  <si>
    <t>PRJNA15058</t>
  </si>
  <si>
    <t>37.5563</t>
  </si>
  <si>
    <t>RNA 1:NC_005895.2/AY488137.2;  RNA 2:NC_005896.2/AY488138.2</t>
  </si>
  <si>
    <t>Ehrlichia chaffeensis str. Arkansas</t>
  </si>
  <si>
    <t>Citrus psorosis virus</t>
  </si>
  <si>
    <t>PRJNA15060</t>
  </si>
  <si>
    <t>34.6453</t>
  </si>
  <si>
    <t>RNA 1:NC_006314.1/AY654892.1;  RNA 2:NC_006315.1/AY654893.1;  RNA 3:NC_006316.1/AY654894.1</t>
  </si>
  <si>
    <t>White clover cryptic virus 1</t>
  </si>
  <si>
    <t>PRJNA15061</t>
  </si>
  <si>
    <t>46.6646</t>
  </si>
  <si>
    <t>RNA 1:NC_006275.1/AY705784.1;  RNA 2:NC_006276.1/AY705785.1</t>
  </si>
  <si>
    <t>Little cherry virus 2</t>
  </si>
  <si>
    <t>PRJNA15062</t>
  </si>
  <si>
    <t>Ehrlichia chaffeensis str. Heartland</t>
  </si>
  <si>
    <t>Unknown:NC_005065.1/AF531505.1</t>
  </si>
  <si>
    <t>Agropyron mosaic virus</t>
  </si>
  <si>
    <t>PRJNA15063</t>
  </si>
  <si>
    <t>Unknown:NC_005903.1/AY623626.1</t>
  </si>
  <si>
    <t>Hordeum mosaic virus</t>
  </si>
  <si>
    <t>PRJNA15064</t>
  </si>
  <si>
    <t>Unknown:NC_005904.1/AY623627.1</t>
  </si>
  <si>
    <t>Cymbidium ringspot virus</t>
  </si>
  <si>
    <t>PRJNA15066</t>
  </si>
  <si>
    <t>Ehrlichia chaffeensis str. Jax</t>
  </si>
  <si>
    <t>Unknown:NC_003532.1/X15511.1</t>
  </si>
  <si>
    <t>Pea early-browning virus</t>
  </si>
  <si>
    <t>PRJNA15067</t>
  </si>
  <si>
    <t>40.4323</t>
  </si>
  <si>
    <t>RNA 1:NC_002036.1/X14006.1;  RNA 2:NC_001368.1/X51828.1</t>
  </si>
  <si>
    <t>Potato leafroll virus</t>
  </si>
  <si>
    <t>PRJNA15068</t>
  </si>
  <si>
    <t>Unknown:NC_001747.1/D00530.1</t>
  </si>
  <si>
    <t>White clover mosaic virus</t>
  </si>
  <si>
    <t>PRJNA15069</t>
  </si>
  <si>
    <t>Ehrlichia chaffeensis str. Liberty</t>
  </si>
  <si>
    <t>Unknown:NC_003820.1/X06728.1</t>
  </si>
  <si>
    <t>Tobacco mosaic virus</t>
  </si>
  <si>
    <t>PRJNA15071</t>
  </si>
  <si>
    <t>Unknown:NC_001367.1/V01408.1</t>
  </si>
  <si>
    <t>Turnip yellows virus</t>
  </si>
  <si>
    <t>PRJNA15072</t>
  </si>
  <si>
    <t>Unknown:NC_003743.1/X13063.1</t>
  </si>
  <si>
    <t>Plantago asiatica mosaic virus</t>
  </si>
  <si>
    <t>Ehrlichia chaffeensis str. Osceola</t>
  </si>
  <si>
    <t>PRJNA15073</t>
  </si>
  <si>
    <t>Unknown:NC_003849.1/Z21647.1</t>
  </si>
  <si>
    <t>Cucurbit aphid-borne yellows virus</t>
  </si>
  <si>
    <t>PRJNA15074</t>
  </si>
  <si>
    <t>Unknown:NC_003688.1/X76931.1</t>
  </si>
  <si>
    <t>Flock house virus</t>
  </si>
  <si>
    <t>Ehrlichia chaffeensis str. Saint Vincent</t>
  </si>
  <si>
    <t>PRJNA15075</t>
  </si>
  <si>
    <t>48.5796</t>
  </si>
  <si>
    <t>RNA 1:NC_004146.1/X77156.1;  RNA 2:NC_004144.1/X15959.1</t>
  </si>
  <si>
    <t>Pseudomonas phage PP7</t>
  </si>
  <si>
    <t>PRJNA15076</t>
  </si>
  <si>
    <t>Unknown:NC_001628.1/X80191.1</t>
  </si>
  <si>
    <t>Carnation Italian ringspot virus</t>
  </si>
  <si>
    <t>PRJNA15077</t>
  </si>
  <si>
    <t>Unknown:NC_003500.3/X85215.3</t>
  </si>
  <si>
    <t>Ehrlichia chaffeensis str. Wakulla</t>
  </si>
  <si>
    <t>Cocksfoot mottle virus</t>
  </si>
  <si>
    <t>PRJNA15078</t>
  </si>
  <si>
    <t>Unknown:NC_002618.2/Z48630.1</t>
  </si>
  <si>
    <t>Beet mild yellowing virus</t>
  </si>
  <si>
    <t>PRJNA15079</t>
  </si>
  <si>
    <t>Unknown:NC_003491.1/X83110.1</t>
  </si>
  <si>
    <t>Cherry virus A</t>
  </si>
  <si>
    <t>PRJNA15080</t>
  </si>
  <si>
    <t>Ehrlichia chaffeensis str. West Paces</t>
  </si>
  <si>
    <t>Unknown:NC_003689.1/X82547.1</t>
  </si>
  <si>
    <t>Oat chlorotic stunt virus</t>
  </si>
  <si>
    <t>PRJNA15081</t>
  </si>
  <si>
    <t>Unknown:NC_003633.1/X83964.1</t>
  </si>
  <si>
    <t>Leek white stripe virus</t>
  </si>
  <si>
    <t>PRJNA15082</t>
  </si>
  <si>
    <t>Unknown:NC_001822.1/X94560.1</t>
  </si>
  <si>
    <t>Ehrlichia muris AS145</t>
  </si>
  <si>
    <t>Grapevine virus B</t>
  </si>
  <si>
    <t>PRJNA15083</t>
  </si>
  <si>
    <t>46.5</t>
  </si>
  <si>
    <t>Unknown:NC_003602.1/X75448.1</t>
  </si>
  <si>
    <t>Olive latent virus 1</t>
  </si>
  <si>
    <t>PRJNA15084</t>
  </si>
  <si>
    <t>Unknown:NC_001721.1/X85989.1</t>
  </si>
  <si>
    <t>Carrot mottle mimic virus</t>
  </si>
  <si>
    <t>PRJNA15085</t>
  </si>
  <si>
    <t>Ehrlichia ruminantium str. Gardel</t>
  </si>
  <si>
    <t>Unknown:NC_001726.1/U57305.1</t>
  </si>
  <si>
    <t>Grapevine virus A</t>
  </si>
  <si>
    <t>PRJNA15086</t>
  </si>
  <si>
    <t>Unknown:NC_003604.2/X75433.2</t>
  </si>
  <si>
    <t>European brown hare syndrome virus</t>
  </si>
  <si>
    <t>PRJNA15087</t>
  </si>
  <si>
    <t>Unknown:NC_002615.1/Z69620.1</t>
  </si>
  <si>
    <t>Ehrlichia ruminantium str. Welgevonden</t>
  </si>
  <si>
    <t>Bovine viral diarrhea virus 2 C413</t>
  </si>
  <si>
    <t>PRJNA15089</t>
  </si>
  <si>
    <t>Unknown:NC_002032.1/AF002227.1</t>
  </si>
  <si>
    <t>Physalis mottle virus</t>
  </si>
  <si>
    <t>PRJNA15090</t>
  </si>
  <si>
    <t>53.7</t>
  </si>
  <si>
    <t>Unknown:NC_003634.1/Y16104.1</t>
  </si>
  <si>
    <t>Ehrlichia ruminantium str. Welgevonden (Prj:9614)</t>
  </si>
  <si>
    <t>Beet virus Q</t>
  </si>
  <si>
    <t>PRJNA15091</t>
  </si>
  <si>
    <t>41.7302</t>
  </si>
  <si>
    <t>RNA 1:NC_003510.1/AJ223596.1;  RNA 2:NC_003511.1/AJ223597.1;  RNA 3:NC_003512.1/AJ223598.1</t>
  </si>
  <si>
    <t>Porcine teschovirus 1</t>
  </si>
  <si>
    <t>PRJNA15092</t>
  </si>
  <si>
    <t>Unknown:NC_003985.1/AJ011380.1</t>
  </si>
  <si>
    <t>Oat golden stripe virus</t>
  </si>
  <si>
    <t>PRJNA15093</t>
  </si>
  <si>
    <t>44.1312</t>
  </si>
  <si>
    <t>RNA 1:NC_002358.1/AJ132578.1;  RNA 2:NC_002357.1/AJ132579.1</t>
  </si>
  <si>
    <t>Japanese iris necrotic ring virus</t>
  </si>
  <si>
    <t>PRJNA15094</t>
  </si>
  <si>
    <t>Ehrlichia sp. HF</t>
  </si>
  <si>
    <t>Unknown:NC_002187.1/D86123.1</t>
  </si>
  <si>
    <t>Mamastrovirus 13</t>
  </si>
  <si>
    <t>PRJNA15095</t>
  </si>
  <si>
    <t>Unknown:NC_002469.1/Y15937.2</t>
  </si>
  <si>
    <t>Sorghum mosaic virus</t>
  </si>
  <si>
    <t>PRJNA15098</t>
  </si>
  <si>
    <t>Elizabethkingia anophelis strain CSID_3000521207</t>
  </si>
  <si>
    <t>Unknown:NC_004035.1/AJ310197.1</t>
  </si>
  <si>
    <t>Maize chlorotic mottle virus</t>
  </si>
  <si>
    <t>PRJNA15117</t>
  </si>
  <si>
    <t>Unknown:NC_003627.1/X14736.2</t>
  </si>
  <si>
    <t>Yokose virus</t>
  </si>
  <si>
    <t>PRJNA15118</t>
  </si>
  <si>
    <t>Unknown:NC_005039.1/AB114858.1</t>
  </si>
  <si>
    <t>Elizabethkingia anophelis strain CSID_3015183678</t>
  </si>
  <si>
    <t>Apple stem grooving virus</t>
  </si>
  <si>
    <t>PRJNA15119</t>
  </si>
  <si>
    <t>Unknown:NC_001749.2/D14995.2</t>
  </si>
  <si>
    <t>Dendrolimus punctatus tetravirus</t>
  </si>
  <si>
    <t>PRJNA15120</t>
  </si>
  <si>
    <t>56.7945</t>
  </si>
  <si>
    <t>Elizabethkingia anophelis strain CSID_3015183681</t>
  </si>
  <si>
    <t>RNA 1:NC_005898.1/AY594352.1;  RNA 2:NC_005899.1/AY594353.1</t>
  </si>
  <si>
    <t>Varroa destructor virus-1</t>
  </si>
  <si>
    <t>PRJNA15121</t>
  </si>
  <si>
    <t>Unknown:NC_006494.1/AY251269.2</t>
  </si>
  <si>
    <t>Elizabethkingia anophelis strain CSID_3015183684</t>
  </si>
  <si>
    <t>Fragaria chiloensis latent virus</t>
  </si>
  <si>
    <t>PRJNA15122</t>
  </si>
  <si>
    <t>42.3393</t>
  </si>
  <si>
    <t>RNA 1:NC_006566.1/AY682102.1;  RNA 2:NC_006567.1/AY707771.1;  RNA 3:NC_006568.1/AY707772.1</t>
  </si>
  <si>
    <t>Calicivirus isolate TCG</t>
  </si>
  <si>
    <t>PRJNA15123</t>
  </si>
  <si>
    <t>Elizabethkingia meningoseptica FMS-007</t>
  </si>
  <si>
    <t>Unknown:NC_006875.1/AB117797.2</t>
  </si>
  <si>
    <t>Streptococcus virus DT1</t>
  </si>
  <si>
    <t>PRJNA15124</t>
  </si>
  <si>
    <t>Unknown:NC_002072.2/AF085222.2</t>
  </si>
  <si>
    <t>Elizabethkingia sp. BM10</t>
  </si>
  <si>
    <t>Pepino mosaic virus</t>
  </si>
  <si>
    <t>PRJNA15125</t>
  </si>
  <si>
    <t>Unknown:NC_004067.1/AF484251.1</t>
  </si>
  <si>
    <t>Pseudomonas virus F116</t>
  </si>
  <si>
    <t>Elusimicrobium minutum Pei191</t>
  </si>
  <si>
    <t>PRJNA15127</t>
  </si>
  <si>
    <t>Unknown:NC_006552.1/AY625898.1</t>
  </si>
  <si>
    <t>Mamestra configurata nucleopolyhedrovirus B</t>
  </si>
  <si>
    <t>PRJNA15128</t>
  </si>
  <si>
    <t>Emticicia oligotrophica DSM 17448</t>
  </si>
  <si>
    <t>Unknown:NC_004117.1/AY126275.1</t>
  </si>
  <si>
    <t>Macrobrachium rosenbergii nodavirus</t>
  </si>
  <si>
    <t>PRJNA15129</t>
  </si>
  <si>
    <t>43.1531</t>
  </si>
  <si>
    <t>RNA 1:NC_005094.1/AY222839.1;  RNA 2:NC_005095.1/AY222840.1</t>
  </si>
  <si>
    <t>Sri Lankan cassava mosaic virus-[Colombo]</t>
  </si>
  <si>
    <t>Endozoicomonas montiporae CL-33</t>
  </si>
  <si>
    <t>PRJNA15130</t>
  </si>
  <si>
    <t>44.7649</t>
  </si>
  <si>
    <t>DNA A:NC_003861.1/AJ314737.1;  DNA B:NC_003862.1/AJ314738.1</t>
  </si>
  <si>
    <t>Cherry rasp leaf virus</t>
  </si>
  <si>
    <t>PRJNA15131</t>
  </si>
  <si>
    <t>43.3641</t>
  </si>
  <si>
    <t>RNA 1:NC_006271.1/AJ621357.1;  RNA 2:NC_006272.1/AJ621358.1</t>
  </si>
  <si>
    <t>Choristoneura fumiferana multiple nucleopolyhedrovirus</t>
  </si>
  <si>
    <t>Ensifer adhaerens OV14</t>
  </si>
  <si>
    <t>PRJNA15133</t>
  </si>
  <si>
    <t>Unknown:NC_004778.3/AF512031.3</t>
  </si>
  <si>
    <t>Prochlorococcus phage P-SSM4</t>
  </si>
  <si>
    <t>PRJNA15136</t>
  </si>
  <si>
    <t>Unknown:NC_006884.2/AY940168.2</t>
  </si>
  <si>
    <t>Choristoneura fumiferana DEF multiple nucleopolyhedrovirus</t>
  </si>
  <si>
    <t>PRJNA15137</t>
  </si>
  <si>
    <t>Unknown:NC_005137.2/AY327402.2</t>
  </si>
  <si>
    <t>Enterobacter aerogenes EA1509E</t>
  </si>
  <si>
    <t>Human coronavirus HKU1</t>
  </si>
  <si>
    <t>PRJNA15139</t>
  </si>
  <si>
    <t>Unknown:NC_006577.2/AY597011.2</t>
  </si>
  <si>
    <t>Kyuri green mottle mosaic virus</t>
  </si>
  <si>
    <t>PRJNA15140</t>
  </si>
  <si>
    <t>Unknown:NC_003610.1/AJ295948.1</t>
  </si>
  <si>
    <t>Enterobacter aerogenes KCTC 2190</t>
  </si>
  <si>
    <t>Enterobacteria phage RB69</t>
  </si>
  <si>
    <t>PRJNA15141</t>
  </si>
  <si>
    <t>Unknown:NC_004928.1/AY303349.1</t>
  </si>
  <si>
    <t>Monkeypox virus Zaire-96-I-16</t>
  </si>
  <si>
    <t>PRJNA15142</t>
  </si>
  <si>
    <t>33.1</t>
  </si>
  <si>
    <t>Unknown:NC_003310.1/AF380138.1</t>
  </si>
  <si>
    <t>Escherichia virus T5</t>
  </si>
  <si>
    <t>PRJNA15143</t>
  </si>
  <si>
    <t>Enterobacter aerogenes strain CAV1320</t>
  </si>
  <si>
    <t>Unknown:NC_005859.1/AY543070.1</t>
  </si>
  <si>
    <t>Rabies lyssavirus</t>
  </si>
  <si>
    <t>PRJNA15144</t>
  </si>
  <si>
    <t>Unknown:NC_001542.1/M13215.1</t>
  </si>
  <si>
    <t>Enterobacter aerogenes strain FDAARGOS_139</t>
  </si>
  <si>
    <t>Reticuloendotheliosis virus</t>
  </si>
  <si>
    <t>PRJNA15145</t>
  </si>
  <si>
    <t>52.7</t>
  </si>
  <si>
    <t>Unknown:NC_006934.1/AY842951.1</t>
  </si>
  <si>
    <t>Tobacco necrosis virus A</t>
  </si>
  <si>
    <t>PRJNA15146</t>
  </si>
  <si>
    <t>Enterobacter aerogenes strain FDAARGOS_152</t>
  </si>
  <si>
    <t>Unknown:NC_001777.1/M33002.1</t>
  </si>
  <si>
    <t>Tomato bushy stunt virus</t>
  </si>
  <si>
    <t>PRJNA15147</t>
  </si>
  <si>
    <t>Unknown:NC_001554.1/M21958.1</t>
  </si>
  <si>
    <t>Pepper mild mottle virus</t>
  </si>
  <si>
    <t>PRJNA15148</t>
  </si>
  <si>
    <t>Unknown:NC_003630.1/M81413.1</t>
  </si>
  <si>
    <t>Enterobacter aerogenes strain G7</t>
  </si>
  <si>
    <t>Karshi virus</t>
  </si>
  <si>
    <t>PRJNA15149</t>
  </si>
  <si>
    <t>54.4</t>
  </si>
  <si>
    <t>Unknown:NC_006947.1/AY863002.1</t>
  </si>
  <si>
    <t>Hydrangea ringspot virus</t>
  </si>
  <si>
    <t>PRJNA15151</t>
  </si>
  <si>
    <t>Unknown:NC_006943.1/AY707100.1</t>
  </si>
  <si>
    <t>Cucumber vein yellowing virus</t>
  </si>
  <si>
    <t>PRJNA15153</t>
  </si>
  <si>
    <t>Enterobacter asburiae L1</t>
  </si>
  <si>
    <t>Unknown:NC_006941.1/AY578085.1</t>
  </si>
  <si>
    <t>Fusarium graminearum dsRNA mycovirus-1</t>
  </si>
  <si>
    <t>PRJNA15154</t>
  </si>
  <si>
    <t>Unknown:NC_006937.2/AY533037.2</t>
  </si>
  <si>
    <t>Strawberry latent ringspot virus satellite RNA</t>
  </si>
  <si>
    <t>Enterobacter asburiae LF7a</t>
  </si>
  <si>
    <t>PRJNA15155</t>
  </si>
  <si>
    <t>Unknown:NC_003848.1/X69826.1</t>
  </si>
  <si>
    <t>Lactobacillus virus phiJL1</t>
  </si>
  <si>
    <t>PRJNA15156</t>
  </si>
  <si>
    <t>Enterobacter asburiae strain 35734</t>
  </si>
  <si>
    <t>Unknown:NC_006936.1/AY236756.1</t>
  </si>
  <si>
    <t>Cowpea severe leaf curl-associated DNA beta</t>
  </si>
  <si>
    <t>PRJNA15157</t>
  </si>
  <si>
    <t>Unknown:NC_006952.1/AY728263.1</t>
  </si>
  <si>
    <t>Salmonella phage SS3e</t>
  </si>
  <si>
    <t>PRJNA15158</t>
  </si>
  <si>
    <t>Enterobacter asburiae strain ATCC 35953</t>
  </si>
  <si>
    <t>Unknown:NC_006940.2/AY730274.2</t>
  </si>
  <si>
    <t>Olive mild mosaic virus</t>
  </si>
  <si>
    <t>PRJNA15159</t>
  </si>
  <si>
    <t>Unknown:NC_006939.1/AY616760.1</t>
  </si>
  <si>
    <t>Mint virus X</t>
  </si>
  <si>
    <t>Enterobacter asburiae strain CAV1043</t>
  </si>
  <si>
    <t>PRJNA15160</t>
  </si>
  <si>
    <t>59.2</t>
  </si>
  <si>
    <t>Unknown:NC_006948.1/AY789138.1</t>
  </si>
  <si>
    <t>Begomovirus-associated DNA-II</t>
  </si>
  <si>
    <t>PRJNA15161</t>
  </si>
  <si>
    <t>Enterobacter asburiae strain ENIPBJ-CG1</t>
  </si>
  <si>
    <t>Unknown:NC_006956.1/AY836366.1</t>
  </si>
  <si>
    <t>Begomovirus-associated DNA-III</t>
  </si>
  <si>
    <t>PRJNA15162</t>
  </si>
  <si>
    <t>Unknown:NC_006957.1/AY836367.1</t>
  </si>
  <si>
    <t>Taro vein chlorosis nucleorhabdovirus</t>
  </si>
  <si>
    <t>PRJNA15163</t>
  </si>
  <si>
    <t>Enterobacter cloacae 34399</t>
  </si>
  <si>
    <t>Unknown:NC_006942.1/AY674964.1</t>
  </si>
  <si>
    <t>Bacillus phage GIL16c</t>
  </si>
  <si>
    <t>PRJNA15164</t>
  </si>
  <si>
    <t>Unknown:NC_006945.1/AY701338.1</t>
  </si>
  <si>
    <t>Enterobacter cloacae 34977</t>
  </si>
  <si>
    <t>Blackberry yellow vein-associated virus</t>
  </si>
  <si>
    <t>PRJNA15168</t>
  </si>
  <si>
    <t>38.2963</t>
  </si>
  <si>
    <t>RNA 1:NC_006962.2/AY776334.2;  RNA 2:NC_006963.2/AY776335.2</t>
  </si>
  <si>
    <t>Pleurotus ostreatus virus 1</t>
  </si>
  <si>
    <t>PRJNA15169</t>
  </si>
  <si>
    <t>Enterobacter cloacae 34983</t>
  </si>
  <si>
    <t>49.7282</t>
  </si>
  <si>
    <t>RNA 1:NC_006961.1/AY533038.1;  RNA 2:NC_006960.1/AY533036.1</t>
  </si>
  <si>
    <t>Citrus sudden death-associated virus</t>
  </si>
  <si>
    <t>PRJNA15170</t>
  </si>
  <si>
    <t>Unknown:NC_006950.1/AY884005.1</t>
  </si>
  <si>
    <t>Erethizon dorsatum papillomavirus 1</t>
  </si>
  <si>
    <t>PRJNA15171</t>
  </si>
  <si>
    <t>Unknown:NC_006951.1/AY684126.1</t>
  </si>
  <si>
    <t>Apricot pseudo-chlorotic leaf spot virus</t>
  </si>
  <si>
    <t>PRJNA15172</t>
  </si>
  <si>
    <t>Unknown:NC_006946.1/AY713379.1</t>
  </si>
  <si>
    <t>Listonella phage phiHSIC</t>
  </si>
  <si>
    <t>PRJNA15173</t>
  </si>
  <si>
    <t>Enterobacter cloacae ECNIH2</t>
  </si>
  <si>
    <t>Unknown:NC_006953.1/AY772740.1</t>
  </si>
  <si>
    <t>Enterobacteria phage ES18</t>
  </si>
  <si>
    <t>PRJNA15174</t>
  </si>
  <si>
    <t>Unknown:NC_006949.1/AY736146.1</t>
  </si>
  <si>
    <t>African cassava mosaic virus</t>
  </si>
  <si>
    <t>PRJNA15175</t>
  </si>
  <si>
    <t>42.125</t>
  </si>
  <si>
    <t>DNA A:NC_001467.1/J02057.1;  DNA B:NC_001468.1/J02058.1</t>
  </si>
  <si>
    <t>East African cassava mosaic virus</t>
  </si>
  <si>
    <t>PRJNA15177</t>
  </si>
  <si>
    <t>44.5545</t>
  </si>
  <si>
    <t>DNA A:NC_004674.1/AF126806.1;  DNA B:NC_004676.1/AF126807.1</t>
  </si>
  <si>
    <t>Banna virus</t>
  </si>
  <si>
    <t>PRJNA15178</t>
  </si>
  <si>
    <t>39.3541</t>
  </si>
  <si>
    <t>segment 1:NC_004211.1/AF133430.1;  segment 10:NC_004201.1/AF052015.1;  segment 11:NC_004200.1/AF052014.1;  segment 12:NC_004198.1/AF019908.1;  segment 2:NC_004217.1/AF134514.1;  segment 3:NC_004218.1/AF134515.1;  segment 4:NC_004219.1/AF134516.1;  segment 5:NC_004220.1/AF134517.1;  segment 6:NC_004221.1/AF134518.1;  segment 7:NC_004204.1/AF052018.1;  segment 8:NC_004203.1/AF052017.1;  segment 9:NC_004202.1/AF052016.1</t>
  </si>
  <si>
    <t>Enterobacter cloacae ECNIH3</t>
  </si>
  <si>
    <t>Tomato yellow leaf curl Thailand virus-[2]</t>
  </si>
  <si>
    <t>PRJNA15179</t>
  </si>
  <si>
    <t>40.7023</t>
  </si>
  <si>
    <t>DNA A:NC_000869.1/AF141922.1;  DNA B:NC_000870.1/AF141897.1</t>
  </si>
  <si>
    <t>East African cassava mosaic Cameroon virus</t>
  </si>
  <si>
    <t>PRJNA15180</t>
  </si>
  <si>
    <t>44.5561</t>
  </si>
  <si>
    <t>DNA A:NC_004625.1/AF112354.1;  DNA B:NC_004630.1/AF112355.1</t>
  </si>
  <si>
    <t>Murid betaherpesvirus 1</t>
  </si>
  <si>
    <t>PRJNA15181</t>
  </si>
  <si>
    <t>58.7</t>
  </si>
  <si>
    <t>Unknown:NC_004065.1/U68299.1</t>
  </si>
  <si>
    <t>Tomato yellow leaf curl virus-[Almeria]</t>
  </si>
  <si>
    <t>PRJNA15182</t>
  </si>
  <si>
    <t>Unknown:NC_004005.1/AJ489258.1</t>
  </si>
  <si>
    <t>Enterobacter cloacae ECNIH4</t>
  </si>
  <si>
    <t>Bean common mosaic virus</t>
  </si>
  <si>
    <t>PRJNA15183</t>
  </si>
  <si>
    <t>Unknown:NC_003397.1/AJ312437.1</t>
  </si>
  <si>
    <t>Leek yellow stripe virus</t>
  </si>
  <si>
    <t>PRJNA15184</t>
  </si>
  <si>
    <t>Unknown:NC_004011.1/AJ307057.1</t>
  </si>
  <si>
    <t>Pothos latent virus</t>
  </si>
  <si>
    <t>PRJNA15185</t>
  </si>
  <si>
    <t>Unknown:NC_000939.2/X87115.1</t>
  </si>
  <si>
    <t>Enterobacter cloacae ECNIH5</t>
  </si>
  <si>
    <t>Omikronpapillomavirus 1</t>
  </si>
  <si>
    <t>PRJNA15186</t>
  </si>
  <si>
    <t>Unknown:NC_003348.1/AJ238373.1</t>
  </si>
  <si>
    <t>Grapevine fleck virus</t>
  </si>
  <si>
    <t>PRJNA15188</t>
  </si>
  <si>
    <t>66.2</t>
  </si>
  <si>
    <t>Unknown:NC_003347.1/AJ309022.1</t>
  </si>
  <si>
    <t>Zucchini green mottle mosaic virus</t>
  </si>
  <si>
    <t>PRJNA15189</t>
  </si>
  <si>
    <t>Enterobacter cloacae ECR091</t>
  </si>
  <si>
    <t>Unknown:NC_003878.1/AJ295949.1</t>
  </si>
  <si>
    <t>Scallion mosaic virus</t>
  </si>
  <si>
    <t>PRJNA15190</t>
  </si>
  <si>
    <t>Unknown:NC_003399.1/AJ316084.1</t>
  </si>
  <si>
    <t>Sulfolobus islandicus rod-shaped virus 2</t>
  </si>
  <si>
    <t>PRJNA15191</t>
  </si>
  <si>
    <t>Rudiviridae</t>
  </si>
  <si>
    <t>Unknown:NC_004086.1/AJ344259.1</t>
  </si>
  <si>
    <t>Ageratum enation virus</t>
  </si>
  <si>
    <t>Enterobacter cloacae EcWSU1</t>
  </si>
  <si>
    <t>PRJNA15192</t>
  </si>
  <si>
    <t>Unknown:NC_003434.1/AJ437618.1</t>
  </si>
  <si>
    <t>Chayote yellow mosaic virus</t>
  </si>
  <si>
    <t>PRJNA15193</t>
  </si>
  <si>
    <t>Unknown:NC_004618.1/AJ223191.1</t>
  </si>
  <si>
    <t>Squash leaf curl Yunnan virus</t>
  </si>
  <si>
    <t>PRJNA15194</t>
  </si>
  <si>
    <t>Unknown:NC_004651.1/AJ420319.1</t>
  </si>
  <si>
    <t>Enterobacter cloacae GGT036</t>
  </si>
  <si>
    <t>Croton yellow vein mosaic virus</t>
  </si>
  <si>
    <t>PRJNA15195</t>
  </si>
  <si>
    <t>Unknown:NC_004300.1/AJ507777.1</t>
  </si>
  <si>
    <t>Barley yellow dwarf virus-PAV</t>
  </si>
  <si>
    <t>PRJNA15196</t>
  </si>
  <si>
    <t>Unknown:NC_004750.1/X07653.1</t>
  </si>
  <si>
    <t>Variola virus</t>
  </si>
  <si>
    <t>PRJNA15197</t>
  </si>
  <si>
    <t>Unknown:NC_001611.1/X69198.1</t>
  </si>
  <si>
    <t>Enterobacter cloacae P101</t>
  </si>
  <si>
    <t>Human herpesvirus 3 strain Dumas</t>
  </si>
  <si>
    <t>PRJNA15198</t>
  </si>
  <si>
    <t>Unknown:NC_001348.1/X04370.1</t>
  </si>
  <si>
    <t>Budgerigar fledgling disease virus - 1</t>
  </si>
  <si>
    <t>PRJNA14284</t>
  </si>
  <si>
    <t>Enterobacter cloacae strain 34978</t>
  </si>
  <si>
    <t>Unknown:NC_004764.2/AF241168.1</t>
  </si>
  <si>
    <t>Salmonella phage epsilon15</t>
  </si>
  <si>
    <t>PRJNA14285</t>
  </si>
  <si>
    <t>Unknown:NC_004775.1/AY150271.1</t>
  </si>
  <si>
    <t>Goose hemorrhagic polyomavirus</t>
  </si>
  <si>
    <t>PRJNA14286</t>
  </si>
  <si>
    <t>Unknown:NC_004800.1/AY140894.1</t>
  </si>
  <si>
    <t>Enterobacteria phage BP-4795</t>
  </si>
  <si>
    <t>PRJNA14287</t>
  </si>
  <si>
    <t>Enterobacter cloacae strain 34998</t>
  </si>
  <si>
    <t>Unknown:NC_004813.1/AJ556162.1</t>
  </si>
  <si>
    <t>Streptococcus phage C1</t>
  </si>
  <si>
    <t>PRJNA14288</t>
  </si>
  <si>
    <t>Unknown:NC_004814.1/AY212251.1</t>
  </si>
  <si>
    <t>Methanothermobacter phage psiM100</t>
  </si>
  <si>
    <t>PRJNA14289</t>
  </si>
  <si>
    <t>Unknown:NC_002628.3/AF301375.1</t>
  </si>
  <si>
    <t>Luffa yellow mosaic virus</t>
  </si>
  <si>
    <t>PRJNA14290</t>
  </si>
  <si>
    <t>41.9582</t>
  </si>
  <si>
    <t>DNA A:NC_004824.1/AF509739.1;  DNA B:NC_004825.1/AF509740.1</t>
  </si>
  <si>
    <t>Enterobacter cloacae strain CAV1311</t>
  </si>
  <si>
    <t>Salmonella virus SP6</t>
  </si>
  <si>
    <t>PRJNA14291</t>
  </si>
  <si>
    <t>Unknown:NC_004831.2/AY288927.2</t>
  </si>
  <si>
    <t>Streptomyces virus phiBT1</t>
  </si>
  <si>
    <t>PRJNA14276</t>
  </si>
  <si>
    <t>62.8</t>
  </si>
  <si>
    <t>Unknown:NC_004664.2/AJ550940.2</t>
  </si>
  <si>
    <t>Vibrio phage VGJphi</t>
  </si>
  <si>
    <t>PRJNA14279</t>
  </si>
  <si>
    <t>Unknown:NC_004736.1/AY242528.1</t>
  </si>
  <si>
    <t>Enterobacter cloacae strain CAV1411</t>
  </si>
  <si>
    <t>Yersinia phage L-413C</t>
  </si>
  <si>
    <t>PRJNA14280</t>
  </si>
  <si>
    <t>Unknown:NC_004745.1/AY251033.1</t>
  </si>
  <si>
    <t>Lactococcus phage 4268</t>
  </si>
  <si>
    <t>PRJNA14281</t>
  </si>
  <si>
    <t>M</t>
  </si>
  <si>
    <t>Unknown:NC_004746.1/AF489521.1</t>
  </si>
  <si>
    <t>Burkholderia virus phiE125</t>
  </si>
  <si>
    <t>PRJNA14330</t>
  </si>
  <si>
    <t>Enterobacter cloacae strain CAV1668</t>
  </si>
  <si>
    <t>E</t>
  </si>
  <si>
    <t>Unknown:NC_003309.1/AF447491.1</t>
  </si>
  <si>
    <t>K</t>
  </si>
  <si>
    <t>T</t>
  </si>
  <si>
    <t>L</t>
  </si>
  <si>
    <t>G</t>
  </si>
  <si>
    <t>I</t>
  </si>
  <si>
    <t>Lactococcus phage ul36</t>
  </si>
  <si>
    <t>V</t>
  </si>
  <si>
    <t>N</t>
  </si>
  <si>
    <t>PRJNA14331</t>
  </si>
  <si>
    <t>S</t>
  </si>
  <si>
    <t>F</t>
  </si>
  <si>
    <t>D</t>
  </si>
  <si>
    <t>Q</t>
  </si>
  <si>
    <t>Y</t>
  </si>
  <si>
    <t>35.8</t>
  </si>
  <si>
    <t>C</t>
  </si>
  <si>
    <t>Unknown:NC_004066.1/AF349457.1</t>
  </si>
  <si>
    <t>R</t>
  </si>
  <si>
    <t>H</t>
  </si>
  <si>
    <t>P</t>
  </si>
  <si>
    <t>W</t>
  </si>
  <si>
    <t>total</t>
  </si>
  <si>
    <t>C7LLA2_MYCML</t>
  </si>
  <si>
    <t>Enterobacter cloacae strain CAV1669</t>
  </si>
  <si>
    <t>Vibrio phage ICP2</t>
  </si>
  <si>
    <t>PRJNA63231</t>
  </si>
  <si>
    <t>Unknown:NC_015158.1/HQ641345.1</t>
  </si>
  <si>
    <t>Yersinia phage phiA1122</t>
  </si>
  <si>
    <t>PRJNA14332</t>
  </si>
  <si>
    <t>Unknown:NC_004777.1/AY247822.1</t>
  </si>
  <si>
    <t>Pseudomonas virus D3112</t>
  </si>
  <si>
    <t>PRJNA14334</t>
  </si>
  <si>
    <t>Enterobacter cloacae strain colR/S</t>
  </si>
  <si>
    <t>Unknown:NC_005178.1/AY394005.1</t>
  </si>
  <si>
    <t>Burkholderia virus Bcep22</t>
  </si>
  <si>
    <t>PRJNA14335</t>
  </si>
  <si>
    <t>65.3</t>
  </si>
  <si>
    <t>Unknown:NC_005262.3/AY349011.3</t>
  </si>
  <si>
    <t>C7LLA1_MYCML</t>
  </si>
  <si>
    <t>Enterobacteria phage T3</t>
  </si>
  <si>
    <t>PRJNA14336</t>
  </si>
  <si>
    <t>Enterobacter cloacae strain FDAARGOS_68</t>
  </si>
  <si>
    <t>Unknown:NC_003298.1/AJ318471.1</t>
  </si>
  <si>
    <t>Staphylococcus virus K</t>
  </si>
  <si>
    <t>PRJNA14479</t>
  </si>
  <si>
    <t>C7LLV2_MYCML</t>
  </si>
  <si>
    <t>Unknown:NC_005880.2/KF766114.1</t>
  </si>
  <si>
    <t>Agrotis segetum granulovirus</t>
  </si>
  <si>
    <t>PRJNA14481</t>
  </si>
  <si>
    <t>C7LKW2_MYCML</t>
  </si>
  <si>
    <t>Unknown:NC_005839.2/AY522332.4</t>
  </si>
  <si>
    <t>Enterobacter cloacae strain MBRL1077</t>
  </si>
  <si>
    <t>Tomato severe leaf curl virus-[Guatemala 96-1]</t>
  </si>
  <si>
    <t>PRJNA14482</t>
  </si>
  <si>
    <t>C7LM32_MYCML</t>
  </si>
  <si>
    <t>Unknown:NC_004642.1/AF130415.2</t>
  </si>
  <si>
    <t>Indian cassava mosaic virus</t>
  </si>
  <si>
    <t>PRJNA14483</t>
  </si>
  <si>
    <t>45.1858</t>
  </si>
  <si>
    <t>DNA A:NC_001932.1/Z24758.1;  DNA B:NC_001933.1/Z24759.1</t>
  </si>
  <si>
    <t>C7LMN3_MYCML</t>
  </si>
  <si>
    <t>Tomato yellow leaf curl Sardinia virus</t>
  </si>
  <si>
    <t>PRJNA14484</t>
  </si>
  <si>
    <t>Enterobacter cloacae strain NH52</t>
  </si>
  <si>
    <t>Unknown:NC_003828.1/X61153.1</t>
  </si>
  <si>
    <t>Streptomyces phage VWB</t>
  </si>
  <si>
    <t>PRJNA14485</t>
  </si>
  <si>
    <t>71.1</t>
  </si>
  <si>
    <t>C7LMH1_MYCML</t>
  </si>
  <si>
    <t>Unknown:NC_005345.2/AY320035.2</t>
  </si>
  <si>
    <t>Bovine adenovirus 4</t>
  </si>
  <si>
    <t>PRJNA14486</t>
  </si>
  <si>
    <t>C7LM21_MYCML</t>
  </si>
  <si>
    <t>Unknown:NC_002685.2/AF036092.3</t>
  </si>
  <si>
    <t>Enterobacter cloacae strain UW5</t>
  </si>
  <si>
    <t>Human mastadenovirus F</t>
  </si>
  <si>
    <t>PRJNA14487</t>
  </si>
  <si>
    <t>C7LMT1_MYCML</t>
  </si>
  <si>
    <t>Unknown:NC_001454.1/L19443.1</t>
  </si>
  <si>
    <t>Frog adenovirus 1</t>
  </si>
  <si>
    <t>PRJNA14488</t>
  </si>
  <si>
    <t>Unknown:NC_002501.1/AF224336.1</t>
  </si>
  <si>
    <t>C7LML7_MYCML</t>
  </si>
  <si>
    <t>Macacine alphaherpesvirus 1</t>
  </si>
  <si>
    <t>PRJNA14489</t>
  </si>
  <si>
    <t>Enterobacter cloacae subsp. cloacae ATCC 13047</t>
  </si>
  <si>
    <t>C7LMS4_MYCML</t>
  </si>
  <si>
    <t>74.5</t>
  </si>
  <si>
    <t>Unknown:NC_004812.1/AF533768.1</t>
  </si>
  <si>
    <t>Ageratum yellow vein China virus - [Hn2]</t>
  </si>
  <si>
    <t>PRJNA14490</t>
  </si>
  <si>
    <t>C7LLA0_MYCML</t>
  </si>
  <si>
    <t>Unknown:NC_004090.1/AJ495813.1</t>
  </si>
  <si>
    <t>Simian adenovirus 3</t>
  </si>
  <si>
    <t>PRJNA14491</t>
  </si>
  <si>
    <t>Enterobacter cloacae subsp. cloacae ENHKU01</t>
  </si>
  <si>
    <t>C7LLG1_MYCML</t>
  </si>
  <si>
    <t>Unknown:NC_006144.1/AY598782.1</t>
  </si>
  <si>
    <t>Ageratum leaf curl virus - [G52]</t>
  </si>
  <si>
    <t>PRJNA14492</t>
  </si>
  <si>
    <t>Unknown:NC_006384.1/AJ851005.1</t>
  </si>
  <si>
    <t>Escherichia virus P1</t>
  </si>
  <si>
    <t>PRJNA14493</t>
  </si>
  <si>
    <t>C7LMT9_MYCML</t>
  </si>
  <si>
    <t>Unknown:NC_005856.1/AF234172.1</t>
  </si>
  <si>
    <t>Cucurbita yellow vein virus-associated DNA beta</t>
  </si>
  <si>
    <t>Enterobacter cloacae subsp. cloacae NCTC 9394</t>
  </si>
  <si>
    <t>PRJNA14525</t>
  </si>
  <si>
    <t>C7MJ02_MYCML</t>
  </si>
  <si>
    <t>Unknown:NC_005875.1/AJ542500.1</t>
  </si>
  <si>
    <t>East African cassava mosaic Zanzibar virus</t>
  </si>
  <si>
    <t>PRJNA14526</t>
  </si>
  <si>
    <t>44.1056</t>
  </si>
  <si>
    <t>DNA A:NC_004655.1/AF422174.1;  DNA B:NC_004656.2/AF422175.2</t>
  </si>
  <si>
    <t>C7LL69_MYCML</t>
  </si>
  <si>
    <t>Cacao swollen shoot virus</t>
  </si>
  <si>
    <t>PRJNA14534</t>
  </si>
  <si>
    <t>Unknown:NC_001574.1/L14546.1</t>
  </si>
  <si>
    <t>Papaya leaf curl China virus - [G8]</t>
  </si>
  <si>
    <t>PRJNA14536</t>
  </si>
  <si>
    <t>C7LM69_MYCML</t>
  </si>
  <si>
    <t>Unknown:NC_005321.1/AJ558124.1</t>
  </si>
  <si>
    <t>Enterobacter lignolyticus SCF1</t>
  </si>
  <si>
    <t>Papaya leaf curl Guangdong virus - [GD2]</t>
  </si>
  <si>
    <t>PRJNA14537</t>
  </si>
  <si>
    <t>Unknown:NC_005844.1/AJ558122.1</t>
  </si>
  <si>
    <t>C7LM98_MYCML</t>
  </si>
  <si>
    <t>Zinnia leaf curl virus-associated DNA beta</t>
  </si>
  <si>
    <t>PRJNA14538</t>
  </si>
  <si>
    <t>39.5</t>
  </si>
  <si>
    <t>Unknown:NC_005874.1/AJ542499.1</t>
  </si>
  <si>
    <t>Tobacco leaf curl Yunnan betasatellite</t>
  </si>
  <si>
    <t>Enterobacter sp. 638</t>
  </si>
  <si>
    <t>PRJNA14539</t>
  </si>
  <si>
    <t>C7LLD2_MYCML</t>
  </si>
  <si>
    <t>Unknown:NC_005030.2/KC699042.1</t>
  </si>
  <si>
    <t>Thermoproteus tenax spherical virus 1</t>
  </si>
  <si>
    <t>PRJNA14540</t>
  </si>
  <si>
    <t>Unknown:NC_006556.1/AY722806.1</t>
  </si>
  <si>
    <t>C7MIT2_MYCML</t>
  </si>
  <si>
    <t>Cotton leaf crumple virus - [Mexico : Sonora]</t>
  </si>
  <si>
    <t>PRJNA14541</t>
  </si>
  <si>
    <t>43.2216</t>
  </si>
  <si>
    <t>DNA A:NC_004580.1/AF480940.1;  DNA B:NC_004581.1/AF480941.1</t>
  </si>
  <si>
    <t>Pseudomonas phage B3</t>
  </si>
  <si>
    <t>PRJNA14542</t>
  </si>
  <si>
    <t>C7LLW8_MYCML</t>
  </si>
  <si>
    <t>Unknown:NC_006548.1/AF232233.1</t>
  </si>
  <si>
    <t>Muscovy duck circovirus</t>
  </si>
  <si>
    <t>PRJNA14543</t>
  </si>
  <si>
    <t>Unknown:NC_006561.1/AY394721.1</t>
  </si>
  <si>
    <t>C7LML2_MYCML</t>
  </si>
  <si>
    <t>Enterobacter sp. BIDMC93</t>
  </si>
  <si>
    <t>Singapore grouper iridovirus</t>
  </si>
  <si>
    <t>PRJNA14544</t>
  </si>
  <si>
    <t>Unknown:NC_006549.1/AY521625.1</t>
  </si>
  <si>
    <t>Trichechus manatus papillomavirus 1</t>
  </si>
  <si>
    <t>PRJNA14545</t>
  </si>
  <si>
    <t>C7LMM0_MYCML</t>
  </si>
  <si>
    <t>Unknown:NC_006563.1/AY609301.1</t>
  </si>
  <si>
    <t>Dendrolimus punctatus densovirus</t>
  </si>
  <si>
    <t>PRJNA14546</t>
  </si>
  <si>
    <t>Enterobacter sp. FY-07</t>
  </si>
  <si>
    <t>Unknown:NC_006555.1/AY665654.1</t>
  </si>
  <si>
    <t>C7LKW1_MYCML</t>
  </si>
  <si>
    <t>Lactobacillus virus LP65</t>
  </si>
  <si>
    <t>PRJNA14547</t>
  </si>
  <si>
    <t>Unknown:NC_006565.1/AY682195.1</t>
  </si>
  <si>
    <t>Bacillus phage BCJA1c</t>
  </si>
  <si>
    <t>PRJNA14548</t>
  </si>
  <si>
    <t>C7LM91_MYCML</t>
  </si>
  <si>
    <t>Unknown:NC_006557.1/AY616446.1</t>
  </si>
  <si>
    <t>Enterobacter sp. MGH120</t>
  </si>
  <si>
    <t>Canis familiaris papillomavirus 2</t>
  </si>
  <si>
    <t>PRJNA14551</t>
  </si>
  <si>
    <t>Unknown:NC_006564.1/AY722648.1</t>
  </si>
  <si>
    <t>C7LLG2_MYCML</t>
  </si>
  <si>
    <t>Bovine parvovirus - 2</t>
  </si>
  <si>
    <t>PRJNA14553</t>
  </si>
  <si>
    <t>Unknown:NC_006259.1/AF406966.1</t>
  </si>
  <si>
    <t>Mungbean yellow mosaic virus</t>
  </si>
  <si>
    <t>PRJNA14555</t>
  </si>
  <si>
    <t>C7LLN3_MYCML</t>
  </si>
  <si>
    <t>Enterobacter sp. ODB01</t>
  </si>
  <si>
    <t>41.4665</t>
  </si>
  <si>
    <t>DNA A:NC_001983.1/D14703.1;  DNA B:NC_001984.1/D14704.1</t>
  </si>
  <si>
    <t>Cotesia congregata bracovirus</t>
  </si>
  <si>
    <t>PRJNA14556</t>
  </si>
  <si>
    <t>Polydnaviridae</t>
  </si>
  <si>
    <t>33.5677</t>
  </si>
  <si>
    <t>C7LMV5_MYCML</t>
  </si>
  <si>
    <t>Circle 1:NC_006633.1/AJ632304.1;  Circle 10:NC_006642.1/AJ632313.1;  Circle 11:NC_006643.1/AJ632314.1;  Circle 12:NC_006644.1/AJ632315.1;  Circle 13:NC_006645.1/AJ632316.1;  Circle 14:NC_006646.1/AJ632317.1;  Circle 15:NC_006647.1/AJ632318.1;  Circle 17:NC_006648.1/AJ632319.1;  Circle 18:NC_006649.1/AJ632320.1;  Circle 19:NC_006650.1/AJ632321.1;  Circle 2:NC_006634.1/AJ632305.1;  Circle 20:NC_006651.1/AJ632322.1;  Circle 21:NC_006652.1/AJ632323.1;  Circle 22:NC_006653.1/AJ632324.1;  Circle 23:NC_006654.1/AJ632325.1;  Circle 25:NC_006655.1/AJ632326.1;  Circle 26:NC_006656.1/AJ632327.1;  Circle 3:NC_006635.1/AJ632306.1;  Circle 30:NC_006657.1/AJ632328.1;  Circle 31:NC_006658.1/AJ632329.1;  Circle 32:NC_006659.1/AJ632330.1;  Circle 33:NC_006660.1/AJ632331.1;  Circle 35:NC_006661.1/AJ632332.1;  Circle 36:NC_006662.1/AJ632333.1;  Circle 4:NC_006636.1/AJ632307.1;  Circle 5:NC_006637.1/AJ632308.1;  Circle 6:NC_006638.1/AJ632309.1;  Circle 7:NC_006639.1/AJ632310.1;  Circle 8:NC_006640.1/AJ632311.1;  Circle 9:NC_006641.1/AJ632312.1</t>
  </si>
  <si>
    <t>Bombyx mori cypovirus 1 satellite RNA</t>
  </si>
  <si>
    <t>PRJNA14557</t>
  </si>
  <si>
    <t>Enterobacter sp. R4-368</t>
  </si>
  <si>
    <t>Unknown:NC_006630.1/AB183384.1</t>
  </si>
  <si>
    <t>C7LL97_MYCML</t>
  </si>
  <si>
    <t>Cercopithecine alphaherpesvirus 2</t>
  </si>
  <si>
    <t>PRJNA14558</t>
  </si>
  <si>
    <t>Unknown:NC_006560.1/AY714813.1</t>
  </si>
  <si>
    <t>Human betaherpesvirus 5</t>
  </si>
  <si>
    <t>C7LM14_MYCML</t>
  </si>
  <si>
    <t>PRJNA14559</t>
  </si>
  <si>
    <t>Unknown:NC_006273.2/AY446894.2</t>
  </si>
  <si>
    <t>Enterobacter sp. YD4</t>
  </si>
  <si>
    <t>Frog virus 3</t>
  </si>
  <si>
    <t>PRJNA14560</t>
  </si>
  <si>
    <t>C7LM01_MYCML</t>
  </si>
  <si>
    <t>Unknown:NC_005946.1/AY548484.1</t>
  </si>
  <si>
    <t>Sulfolobus virus STSV1</t>
  </si>
  <si>
    <t>PRJNA14561</t>
  </si>
  <si>
    <t>Bicaudaviridae</t>
  </si>
  <si>
    <t>Unknown:NC_006268.1/AJ783769.1</t>
  </si>
  <si>
    <t>C7LM88_MYCML</t>
  </si>
  <si>
    <t>Vibrio phage KSF1</t>
  </si>
  <si>
    <t>PRJNA14562</t>
  </si>
  <si>
    <t>Enterobacteriaceae bacterium strain FGI 57</t>
  </si>
  <si>
    <t>Unknown:NC_006294.1/AY714348.1</t>
  </si>
  <si>
    <t>Corchorus yellow vein virus - [Hoa Binh]</t>
  </si>
  <si>
    <t>PRJNA14563</t>
  </si>
  <si>
    <t>C7LM49_MYCML</t>
  </si>
  <si>
    <t>43.2497</t>
  </si>
  <si>
    <t>DNA A:NC_006358.1/AY727903.1;  DNA B:NC_006359.1/AY727904.1</t>
  </si>
  <si>
    <t>Paramecium bursaria Chlorella virus 1</t>
  </si>
  <si>
    <t>PRJNA14564</t>
  </si>
  <si>
    <t>Unknown:NC_000852.5/JF411744.1</t>
  </si>
  <si>
    <t>C7LM17_MYCML</t>
  </si>
  <si>
    <t>Flavobacterium phage 11b</t>
  </si>
  <si>
    <t>PRJNA14565</t>
  </si>
  <si>
    <t>Enterobacteriaceae bacterium symbiont of Ferrisia virgata</t>
  </si>
  <si>
    <t>Unknown:NC_006356.2/AJ842011.2</t>
  </si>
  <si>
    <t>Pseudomonas phage Pf1</t>
  </si>
  <si>
    <t>C7LMV0_MYCML</t>
  </si>
  <si>
    <t>PRJNA14571</t>
  </si>
  <si>
    <t>Unknown:NC_001331.1/X52107.1</t>
  </si>
  <si>
    <t>Escherichia virus I22</t>
  </si>
  <si>
    <t>PRJNA14572</t>
  </si>
  <si>
    <t>C7LML5_MYCML</t>
  </si>
  <si>
    <t>Unknown:NC_001332.1/X14336.1</t>
  </si>
  <si>
    <t>Acholeplasma phage MV-L1</t>
  </si>
  <si>
    <t>PRJNA14573</t>
  </si>
  <si>
    <t>Unknown:NC_001341.1/X58839.1</t>
  </si>
  <si>
    <t>Enterobacteriaceae bacterium symbiont of Maconellicoccus hirsutus</t>
  </si>
  <si>
    <t>C7LM79_MYCML</t>
  </si>
  <si>
    <t>Cauliflower mosaic virus</t>
  </si>
  <si>
    <t>PRJNA14574</t>
  </si>
  <si>
    <t>Unknown:NC_001497.1/V00141.1</t>
  </si>
  <si>
    <t>C7LMT2_MYCML</t>
  </si>
  <si>
    <t>Commelina yellow mottle virus</t>
  </si>
  <si>
    <t>PRJNA14575</t>
  </si>
  <si>
    <t>Unknown:NC_001343.1/X52938.1</t>
  </si>
  <si>
    <t>C7LLF5_MYCML</t>
  </si>
  <si>
    <t>Duck hepatitis B virus</t>
  </si>
  <si>
    <t>PRJNA14576</t>
  </si>
  <si>
    <t>Unknown:NC_001344.1/X60213.1</t>
  </si>
  <si>
    <t>C7LMG6_MYCML</t>
  </si>
  <si>
    <t>Enterobacteriaceae bacterium symbiont of Paracoccus marginatus</t>
  </si>
  <si>
    <t>Maize streak virus - A[Ama]</t>
  </si>
  <si>
    <t>PRJNA14577</t>
  </si>
  <si>
    <t>C7LLF8_MYCML</t>
  </si>
  <si>
    <t>Unknown:NC_001346.2/AF329878.1</t>
  </si>
  <si>
    <t>Rice tungro bacilliform virus</t>
  </si>
  <si>
    <t>PRJNA14579</t>
  </si>
  <si>
    <t>C7LMR2_MYCML</t>
  </si>
  <si>
    <t>Unknown:NC_001914.1/X57924.1</t>
  </si>
  <si>
    <t>Spiroplasma phage 1-R8A2B</t>
  </si>
  <si>
    <t>PRJNA14580</t>
  </si>
  <si>
    <t>C7LMJ3_MYCML</t>
  </si>
  <si>
    <t>Unknown:NC_001365.1/X51344.1</t>
  </si>
  <si>
    <t>Enterobacteriaceae bacterium symbiont of Trionymus perrisii</t>
  </si>
  <si>
    <t>Tomato pseudo-curly top virus</t>
  </si>
  <si>
    <t>PRJNA14582</t>
  </si>
  <si>
    <t>Unknown:NC_003825.1/X84735.1</t>
  </si>
  <si>
    <t>C7LMA3_MYCML</t>
  </si>
  <si>
    <t>Streptococcus phage Cp-1</t>
  </si>
  <si>
    <t>PRJNA14584</t>
  </si>
  <si>
    <t>38.8</t>
  </si>
  <si>
    <t>Unknown:NC_001825.1/Z47794.1</t>
  </si>
  <si>
    <t>Bovine herpesvirus type 1.1</t>
  </si>
  <si>
    <t>PRJNA14585</t>
  </si>
  <si>
    <t>C7LL54_MYCML</t>
  </si>
  <si>
    <t>72.4</t>
  </si>
  <si>
    <t>Unknown:NC_001847.1/AJ004801.1</t>
  </si>
  <si>
    <t>Enterococcus casseliflavus EC20</t>
  </si>
  <si>
    <t>Bacillus phage SPP1</t>
  </si>
  <si>
    <t>PRJNA14586</t>
  </si>
  <si>
    <t>Unknown:NC_004166.2/X97918.2</t>
  </si>
  <si>
    <t>C7LMT4_MYCML</t>
  </si>
  <si>
    <t>Lactobacillus phage phiadh</t>
  </si>
  <si>
    <t>PRJNA14588</t>
  </si>
  <si>
    <t>Unknown:NC_000896.1/AJ131519.1</t>
  </si>
  <si>
    <t>Listeria phage A118</t>
  </si>
  <si>
    <t>C7LMH4_MYCML</t>
  </si>
  <si>
    <t>PRJNA14589</t>
  </si>
  <si>
    <t>36.1</t>
  </si>
  <si>
    <t>Enterococcus cecorum strain CE1</t>
  </si>
  <si>
    <t>Unknown:NC_003216.1/AJ242593.1</t>
  </si>
  <si>
    <t>Rabbit fibroma virus</t>
  </si>
  <si>
    <t>PRJNA14590</t>
  </si>
  <si>
    <t>C7LMX8_MYCML</t>
  </si>
  <si>
    <t>Unknown:NC_001266.1/AF170722.1</t>
  </si>
  <si>
    <t>Yersinia phage phiYeO3-12</t>
  </si>
  <si>
    <t>PRJNA14591</t>
  </si>
  <si>
    <t>Unknown:NC_001271.1/AJ251805.1</t>
  </si>
  <si>
    <t>C7LML1_MYCML</t>
  </si>
  <si>
    <t>Escherichia virus HK97</t>
  </si>
  <si>
    <t>Enterococcus cecorum strain CE2</t>
  </si>
  <si>
    <t>PRJNA14592</t>
  </si>
  <si>
    <t>C7LMJ4_MYCML</t>
  </si>
  <si>
    <t>Unknown:NC_002167.1/AF069529.1</t>
  </si>
  <si>
    <t>Chlamydia phage 2</t>
  </si>
  <si>
    <t>PRJNA14593</t>
  </si>
  <si>
    <t>C7LMK4_MYCML</t>
  </si>
  <si>
    <t>Unknown:NC_002194.1/AJ270057.1</t>
  </si>
  <si>
    <t>Enterococcus cecorum strain CE3</t>
  </si>
  <si>
    <t>Soybean chlorotic mottle virus</t>
  </si>
  <si>
    <t>PRJNA14594</t>
  </si>
  <si>
    <t>C7LLZ6_MYCML</t>
  </si>
  <si>
    <t>Unknown:NC_001739.2/X15828.2</t>
  </si>
  <si>
    <t>Cercopithecine alphaherpesvirus 9</t>
  </si>
  <si>
    <t>PRJNA14596</t>
  </si>
  <si>
    <t>Unknown:NC_002686.2/AF275348.3</t>
  </si>
  <si>
    <t>C7LM10_MYCML</t>
  </si>
  <si>
    <t>Tupaiid betaherpesvirus 1</t>
  </si>
  <si>
    <t>PRJNA14597</t>
  </si>
  <si>
    <t>Enterococcus cecorum strain SA1</t>
  </si>
  <si>
    <t>66.6</t>
  </si>
  <si>
    <t>Unknown:NC_002794.1/AF281817.1</t>
  </si>
  <si>
    <t>Macroptilium yellow mosaic virus</t>
  </si>
  <si>
    <t>C7LMP1_MYCML</t>
  </si>
  <si>
    <t>PRJNA14598</t>
  </si>
  <si>
    <t>42.0184</t>
  </si>
  <si>
    <t>DNA A:NC_010647.1/EF585290.1;  DNA B:NC_010648.1/EF585291.1</t>
  </si>
  <si>
    <t>Enterobacteria phage phiP27</t>
  </si>
  <si>
    <t>PRJNA14599</t>
  </si>
  <si>
    <t>C7LMT0_MYCML</t>
  </si>
  <si>
    <t>Enterococcus cecorum strain SA2</t>
  </si>
  <si>
    <t>Unknown:NC_003356.1/AJ298298.1</t>
  </si>
  <si>
    <t>Infectious spleen and kidney necrosis virus</t>
  </si>
  <si>
    <t>PRJNA14600</t>
  </si>
  <si>
    <t>Unknown:NC_003494.1/AF371960.1</t>
  </si>
  <si>
    <t>C7LMI6_MYCML</t>
  </si>
  <si>
    <t>Streptococcus phage MM1</t>
  </si>
  <si>
    <t>PRJNA14601</t>
  </si>
  <si>
    <t>38.4</t>
  </si>
  <si>
    <t>Unknown:NC_003050.2/AJ302074.2</t>
  </si>
  <si>
    <t>Enterococcus cecorum strain SA3</t>
  </si>
  <si>
    <t>Lactobacillus phage A2</t>
  </si>
  <si>
    <t>C7LME8_MYCML</t>
  </si>
  <si>
    <t>PRJNA14602</t>
  </si>
  <si>
    <t>Unknown:NC_004112.1/AJ251789.2</t>
  </si>
  <si>
    <t>Abutilon mosaic virus</t>
  </si>
  <si>
    <t>PRJNA14603</t>
  </si>
  <si>
    <t>46.7036</t>
  </si>
  <si>
    <t>C7LMQ2_MYCML</t>
  </si>
  <si>
    <t>DNA A:NC_001928.2/X15983.2;  DNA B:NC_001929.2/X15984.3</t>
  </si>
  <si>
    <t>Streptococcus phage EJ-1</t>
  </si>
  <si>
    <t>PRJNA14604</t>
  </si>
  <si>
    <t>Enterococcus durans strain KLDS6.0930</t>
  </si>
  <si>
    <t>Unknown:NC_005294.1/AJ609634.1</t>
  </si>
  <si>
    <t>C7LML4_MYCML</t>
  </si>
  <si>
    <t>Bean yellow dwarf virus</t>
  </si>
  <si>
    <t>PRJNA14605</t>
  </si>
  <si>
    <t>Unknown:NC_003493.2/Y11023.2</t>
  </si>
  <si>
    <t>C7LMK3_MYCML</t>
  </si>
  <si>
    <t>Streptomyces virus phiC31</t>
  </si>
  <si>
    <t>PRJNA14606</t>
  </si>
  <si>
    <t>Unknown:NC_001978.3/AJ006589.3</t>
  </si>
  <si>
    <t>Enterococcus durans strain KLDS6.0933</t>
  </si>
  <si>
    <t>C7LMQ5_MYCML</t>
  </si>
  <si>
    <t>Porcine adenovirus 3</t>
  </si>
  <si>
    <t>PRJNA14610</t>
  </si>
  <si>
    <t>63.8</t>
  </si>
  <si>
    <t>Unknown:AC_000189.1/</t>
  </si>
  <si>
    <t>C7LLZ5_MYCML</t>
  </si>
  <si>
    <t>Tree shrew adenovirus 1</t>
  </si>
  <si>
    <t>PRJNA14611</t>
  </si>
  <si>
    <t>Unknown:AC_000190.1/</t>
  </si>
  <si>
    <t>C7LLZ9_MYCML</t>
  </si>
  <si>
    <t>Enterococcus faecalis 62</t>
  </si>
  <si>
    <t>Bovine mastadenovirus A</t>
  </si>
  <si>
    <t>PRJNA14612</t>
  </si>
  <si>
    <t>Unknown:AC_000191.1/</t>
  </si>
  <si>
    <t>C7LM53_MYCML</t>
  </si>
  <si>
    <t>Canine parvovirus</t>
  </si>
  <si>
    <t>PRJNA14614</t>
  </si>
  <si>
    <t>Unknown:NC_001539.1/M19296.1</t>
  </si>
  <si>
    <t>C7LLR4_MYCML</t>
  </si>
  <si>
    <t>Neodiprion lecontei nucleopolyhedrovirus</t>
  </si>
  <si>
    <t>PRJNA14617</t>
  </si>
  <si>
    <t>Unknown:NC_005906.1/AY349019.1</t>
  </si>
  <si>
    <t>Enterococcus faecalis ATCC 29212</t>
  </si>
  <si>
    <t>C7LKS0_MYCML</t>
  </si>
  <si>
    <t>Sheldgoose hepatitis B virus</t>
  </si>
  <si>
    <t>PRJNA14618</t>
  </si>
  <si>
    <t>Unknown:NC_005890.1/AY494853.1</t>
  </si>
  <si>
    <t>C7LMH8_MYCML</t>
  </si>
  <si>
    <t>Mulard duck circovirus</t>
  </si>
  <si>
    <t>PRJNA14619</t>
  </si>
  <si>
    <t>Unknown:NC_005053.1/AY228555.1</t>
  </si>
  <si>
    <t>C7LMN9_MYCML</t>
  </si>
  <si>
    <t>Honeysuckle yellow vein betasatellite</t>
  </si>
  <si>
    <t>PRJNA14620</t>
  </si>
  <si>
    <t>Enterococcus faecalis D32</t>
  </si>
  <si>
    <t>C7LLY8_MYCML</t>
  </si>
  <si>
    <t>Unknown:NC_005052.1/AJ316040.1</t>
  </si>
  <si>
    <t>C7LMK1_MYCML</t>
  </si>
  <si>
    <t>Banana bunchy top virus</t>
  </si>
  <si>
    <t>PRJNA14621</t>
  </si>
  <si>
    <t>40.3702</t>
  </si>
  <si>
    <t>C7LLL9_MYCML</t>
  </si>
  <si>
    <t>DNA 1:NC_003479.1/S56276.1;  DNA 2:NC_003475.1/L41576.1;  DNA 3:NC_003473.1/L41574.1;  DNA 4:NC_003474.1/L41575.1;  DNA 5:NC_003477.1/L41578.1;  DNA 6:NC_003476.1/L41577.1</t>
  </si>
  <si>
    <t>Enterococcus faecalis DENG1</t>
  </si>
  <si>
    <t>Tomato leaf curl betasatellite</t>
  </si>
  <si>
    <t>PRJNA14622</t>
  </si>
  <si>
    <t>Unknown:NC_004715.1/AY230138.1</t>
  </si>
  <si>
    <t>Beet black scorch virus satellite RNA</t>
  </si>
  <si>
    <t>PRJNA14623</t>
  </si>
  <si>
    <t>C7LMB5_MYCML</t>
  </si>
  <si>
    <t>Unknown:NC_006460.1/AY394497.1</t>
  </si>
  <si>
    <t>Enterococcus faecalis str. Symbioflor 1</t>
  </si>
  <si>
    <t>Human betaherpesvirus 7</t>
  </si>
  <si>
    <t>PRJNA14625</t>
  </si>
  <si>
    <t>Unknown:NC_001716.2/AF037218.1</t>
  </si>
  <si>
    <t>C7LM94_MYCML</t>
  </si>
  <si>
    <t>Simian adenovirus 1</t>
  </si>
  <si>
    <t>PRJNA14626</t>
  </si>
  <si>
    <t>55.2</t>
  </si>
  <si>
    <t>Unknown:NC_006879.1/AY771780.1</t>
  </si>
  <si>
    <t>Enterobacteria phage Ike</t>
  </si>
  <si>
    <t>C7LL96_MYCML</t>
  </si>
  <si>
    <t>PRJNA14627</t>
  </si>
  <si>
    <t>Enterococcus faecalis strain LD33</t>
  </si>
  <si>
    <t>Unknown:NC_002014.1/X02139.1</t>
  </si>
  <si>
    <t>Synechococcus phage P60</t>
  </si>
  <si>
    <t>PRJNA14628</t>
  </si>
  <si>
    <t>C7LM12_MYCML</t>
  </si>
  <si>
    <t>Unknown:NC_003390.2/AF338467.2</t>
  </si>
  <si>
    <t>Rift Valley fever virus</t>
  </si>
  <si>
    <t>PRJNA14631</t>
  </si>
  <si>
    <t>45.1243</t>
  </si>
  <si>
    <t>segment L:NC_014397.1/DQ375403.1;  segment M:NC_014396.1/DQ380206.1;  segment S:NC_014395.1/DQ380151.1</t>
  </si>
  <si>
    <t>C7LMJ2_MYCML</t>
  </si>
  <si>
    <t>Avian carcinoma virus</t>
  </si>
  <si>
    <t>PRJNA14632</t>
  </si>
  <si>
    <t>Enterococcus faecalis V583</t>
  </si>
  <si>
    <t>Unknown:NC_001402.1/M14008.1</t>
  </si>
  <si>
    <t>C7LMM4_MYCML</t>
  </si>
  <si>
    <t>Bovine immunodeficiency virus</t>
  </si>
  <si>
    <t>PRJNA14634</t>
  </si>
  <si>
    <t>Unknown:NC_001413.1/M32690.1</t>
  </si>
  <si>
    <t>Enterobacteria phage GA</t>
  </si>
  <si>
    <t>PRJNA14635</t>
  </si>
  <si>
    <t>C7LMH6_MYCML</t>
  </si>
  <si>
    <t>Enterococcus faecium Aus0004</t>
  </si>
  <si>
    <t>Unknown:NC_001426.1/X03869.1</t>
  </si>
  <si>
    <t>Visna/maedi virus</t>
  </si>
  <si>
    <t>PRJNA14636</t>
  </si>
  <si>
    <t>Unknown:NC_001452.1/L06906.1</t>
  </si>
  <si>
    <t>C7LMS7_MYCML</t>
  </si>
  <si>
    <t>Cucumber necrosis virus</t>
  </si>
  <si>
    <t>PRJNA14638</t>
  </si>
  <si>
    <t>Enterococcus faecium Aus0085</t>
  </si>
  <si>
    <t>Unknown:NC_001469.1/M25270.1</t>
  </si>
  <si>
    <t>Eggplant mosaic virus</t>
  </si>
  <si>
    <t>C7LLT3_MYCML</t>
  </si>
  <si>
    <t>PRJNA14639</t>
  </si>
  <si>
    <t>Unknown:NC_001480.1/J04374.1</t>
  </si>
  <si>
    <t>Foxtail mosaic virus</t>
  </si>
  <si>
    <t>PRJNA14640</t>
  </si>
  <si>
    <t>C7LKU9_MYCML</t>
  </si>
  <si>
    <t>Unknown:NC_001483.1/M62730.1</t>
  </si>
  <si>
    <t>Friend spleen focus-forming virus</t>
  </si>
  <si>
    <t>PRJNA14641</t>
  </si>
  <si>
    <t>Enterococcus faecium NRRL B-2354</t>
  </si>
  <si>
    <t>Unknown:NC_001500.1/K00021.1</t>
  </si>
  <si>
    <t>C7LLA8_MYCML</t>
  </si>
  <si>
    <t>Sonchus yellow net nucleorhabdovirus</t>
  </si>
  <si>
    <t>PRJNA14642</t>
  </si>
  <si>
    <t>Unknown:NC_001615.3/L32603.1</t>
  </si>
  <si>
    <t>Saccharomyces cerevisiae virus L-BC (La)</t>
  </si>
  <si>
    <t>PRJNA14643</t>
  </si>
  <si>
    <t>C7LKQ4_MYCML</t>
  </si>
  <si>
    <t>Unknown:NC_001641.1/U01060.1</t>
  </si>
  <si>
    <t>Enterococcus faecium strain 64/3</t>
  </si>
  <si>
    <t>Kennedya yellow mosaic virus</t>
  </si>
  <si>
    <t>PRJNA14644</t>
  </si>
  <si>
    <t>Unknown:NC_001746.1/D00637.1</t>
  </si>
  <si>
    <t>C7LMD7_MYCML</t>
  </si>
  <si>
    <t>Clover yellow mosaic virus</t>
  </si>
  <si>
    <t>PRJNA14645</t>
  </si>
  <si>
    <t>Unknown:NC_001753.1/D29630.1</t>
  </si>
  <si>
    <t>Enterococcus faecium strain 6E6</t>
  </si>
  <si>
    <t>Bovine foamy virus</t>
  </si>
  <si>
    <t>PRJNA14646</t>
  </si>
  <si>
    <t>C7LLK8_MYCML</t>
  </si>
  <si>
    <t>Unknown:NC_001831.1/U94514.1</t>
  </si>
  <si>
    <t>Pegivirus A</t>
  </si>
  <si>
    <t>PRJNA14647</t>
  </si>
  <si>
    <t>Unknown:NC_001837.1/U94421.1</t>
  </si>
  <si>
    <t>C7LM59_MYCML</t>
  </si>
  <si>
    <t>Rhopalosiphum padi virus</t>
  </si>
  <si>
    <t>PRJNA14648</t>
  </si>
  <si>
    <t>Unknown:NC_001874.1/AF022937.1</t>
  </si>
  <si>
    <t>Bunyamwera virus</t>
  </si>
  <si>
    <t>PRJNA14649</t>
  </si>
  <si>
    <t>Enterococcus faecium strain ATCC 700221</t>
  </si>
  <si>
    <t>C7LMA0_MYCML</t>
  </si>
  <si>
    <t>35.1611</t>
  </si>
  <si>
    <t>L:NC_001925.1/X14383.1;  M:NC_001926.1/M11852.1;  S:NC_001927.1/D00353.1</t>
  </si>
  <si>
    <t>Cherry green ring mottle virus</t>
  </si>
  <si>
    <t>PRJNA14650</t>
  </si>
  <si>
    <t>Unknown:NC_001946.1/AF017780.1</t>
  </si>
  <si>
    <t>C7LMX9_MYCML</t>
  </si>
  <si>
    <t>Erysimum latent virus</t>
  </si>
  <si>
    <t>PRJNA14651</t>
  </si>
  <si>
    <t>Unknown:NC_001977.1/AF098523.1</t>
  </si>
  <si>
    <t>Helicoverpa armigera stunt virus</t>
  </si>
  <si>
    <t>C7LLR2_MYCML</t>
  </si>
  <si>
    <t>PRJNA14652</t>
  </si>
  <si>
    <t>59.4773</t>
  </si>
  <si>
    <t>RNA 1:NC_001981.1/U18246.1;  RNA 2:NC_001982.1/L37299.1</t>
  </si>
  <si>
    <t>Enterococcus faecium strain E39</t>
  </si>
  <si>
    <t>Abelson murine leukemia virus</t>
  </si>
  <si>
    <t>PRJNA14654</t>
  </si>
  <si>
    <t>C7LMQ7_MYCML</t>
  </si>
  <si>
    <t>Unknown:NC_001499.1/AF033812.1</t>
  </si>
  <si>
    <t>Murine osteosarcoma virus</t>
  </si>
  <si>
    <t>PRJNA14655</t>
  </si>
  <si>
    <t>Unknown:NC_001506.1/AF033814.1</t>
  </si>
  <si>
    <t>C7MJI4_MYCML</t>
  </si>
  <si>
    <t>Influenza B virus (B/Lee/1940)</t>
  </si>
  <si>
    <t>Enterococcus faecium strain EFE10021</t>
  </si>
  <si>
    <t>PRJNA14656</t>
  </si>
  <si>
    <t>40.1517</t>
  </si>
  <si>
    <t>RNA 1:NC_002204.1/M14880.1;  RNA 2:NC_002205.1/AF101982.1;  RNA 3:NC_002206.1/AF102017.1;  RNA 4:NC_002207.1/K00423.1;  RNA 5:NC_002208.1/K01395.1;  RNA 6:NC_002209.1/J02095.1;  RNA 7:NC_002210.1/J02094.1;  RNA 8:NC_002211.1/J02096.1</t>
  </si>
  <si>
    <t>C7LKR2_MYCML</t>
  </si>
  <si>
    <t>Gibbon ape leukemia virus</t>
  </si>
  <si>
    <t>PRJNA14657</t>
  </si>
  <si>
    <t>Unknown:NC_001885.2/M26927.1</t>
  </si>
  <si>
    <t>C7LMP3_MYCML</t>
  </si>
  <si>
    <t>Apple chlorotic leaf spot virus</t>
  </si>
  <si>
    <t>PRJNA14658</t>
  </si>
  <si>
    <t>Unknown:NC_001409.1/M58152.1</t>
  </si>
  <si>
    <t>C7LLP4_MYCML</t>
  </si>
  <si>
    <t>Enterobacterio phage MS2</t>
  </si>
  <si>
    <t>PRJNA14659</t>
  </si>
  <si>
    <t>Unknown:NC_001417.2/V00642.1</t>
  </si>
  <si>
    <t>Carnation etched ring virus</t>
  </si>
  <si>
    <t>Enterococcus faecium strain UW8175</t>
  </si>
  <si>
    <t>PRJNA14494</t>
  </si>
  <si>
    <t>C7LLF7_MYCML</t>
  </si>
  <si>
    <t>Unknown:NC_003498.1/X04658.1</t>
  </si>
  <si>
    <t>Klebsiella phage phiKO2</t>
  </si>
  <si>
    <t>PRJNA14495</t>
  </si>
  <si>
    <t>Unknown:NC_005857.1/AY374448.1</t>
  </si>
  <si>
    <t>C7LL21_MYCML</t>
  </si>
  <si>
    <t>Shigella phage Sf6</t>
  </si>
  <si>
    <t>PRJNA14498</t>
  </si>
  <si>
    <t>Unknown:NC_005344.1/AF547987.1</t>
  </si>
  <si>
    <t>C7LLX3_MYCML</t>
  </si>
  <si>
    <t>Enterococcus faecium strain WCF-TC1</t>
  </si>
  <si>
    <t>Enterobacteria phage ST104</t>
  </si>
  <si>
    <t>PRJNA14499</t>
  </si>
  <si>
    <t>Unknown:NC_005841.1/AB102868.1</t>
  </si>
  <si>
    <t>Pseudomonas virus D3</t>
  </si>
  <si>
    <t>PRJNA14500</t>
  </si>
  <si>
    <t>57.8</t>
  </si>
  <si>
    <t>Unknown:NC_002484.2/AF165214.2</t>
  </si>
  <si>
    <t>C7LMW6_MYCML</t>
  </si>
  <si>
    <t>Lucerne transient streak virus satellite RNA</t>
  </si>
  <si>
    <t>PRJNA14501</t>
  </si>
  <si>
    <t>Unknown:NC_003798.1/X01984.1</t>
  </si>
  <si>
    <t>C7LLF0_MYCML</t>
  </si>
  <si>
    <t>Peanut stunt virus satellite RNA</t>
  </si>
  <si>
    <t>Enterococcus faecium T110</t>
  </si>
  <si>
    <t>PRJNA14502</t>
  </si>
  <si>
    <t>Unknown:NC_003855.1/Z98198.1</t>
  </si>
  <si>
    <t>Subterranean clover mottle virus satellite RNA</t>
  </si>
  <si>
    <t>PRJNA14503</t>
  </si>
  <si>
    <t>Unknown:NC_003851.1/M33001.1</t>
  </si>
  <si>
    <t>C7LLF6_MYCML</t>
  </si>
  <si>
    <t>Tobacco bushy top virus satellite-like RNA</t>
  </si>
  <si>
    <t>PRJNA14511</t>
  </si>
  <si>
    <t>Enterococcus gallinarum strain FDAARGOS_163</t>
  </si>
  <si>
    <t>Unknown:NC_006458.1/AJ315135.1</t>
  </si>
  <si>
    <t>Figwort mosaic virus</t>
  </si>
  <si>
    <t>PRJNA14512</t>
  </si>
  <si>
    <t>Enterococcus hirae ATCC 9790</t>
  </si>
  <si>
    <t>Unknown:NC_003554.1/X06166.1</t>
  </si>
  <si>
    <t>Canary circovirus</t>
  </si>
  <si>
    <t>PRJNA14513</t>
  </si>
  <si>
    <t>Unknown:NC_003410.1/AJ301633.2</t>
  </si>
  <si>
    <t>Sulfolobus islandicus rod-shaped virus 1</t>
  </si>
  <si>
    <t>PRJNA14514</t>
  </si>
  <si>
    <t>Unknown:NC_004087.1/AJ414696.1</t>
  </si>
  <si>
    <t>Enterococcus hirae strain R17</t>
  </si>
  <si>
    <t>Gallid alphaherpesvirus 1</t>
  </si>
  <si>
    <t>PRJNA14566</t>
  </si>
  <si>
    <t>Unknown:NC_006623.1/U80762.1</t>
  </si>
  <si>
    <t>Malvastrum yellow vein Yunnan virus satellite DNA beta</t>
  </si>
  <si>
    <t>PRJNA14567</t>
  </si>
  <si>
    <t>Unknown:NC_006632.1/AJ786712.1</t>
  </si>
  <si>
    <t>Enterococcus mundtii QU 25</t>
  </si>
  <si>
    <t>Cucumber mosaic virus satellite RNA</t>
  </si>
  <si>
    <t>PRJNA14568</t>
  </si>
  <si>
    <t>Unknown:NC_002602.2/M10686.1</t>
  </si>
  <si>
    <t>Enterobacteria phage alpha3</t>
  </si>
  <si>
    <t>PRJNA14570</t>
  </si>
  <si>
    <t>Unknown:NC_001330.1/X60322.1</t>
  </si>
  <si>
    <t>Marburg virus - Musoke, Kenya, 1980</t>
  </si>
  <si>
    <t>PRJNA15199</t>
  </si>
  <si>
    <t>Unknown:NC_001608.3/DQ217792.1</t>
  </si>
  <si>
    <t>Enterococcus rotai strain LMG 26678</t>
  </si>
  <si>
    <t>Odontoglossum ringspot virus</t>
  </si>
  <si>
    <t>PRJNA15201</t>
  </si>
  <si>
    <t>Unknown:NC_001728.1/X82130.1</t>
  </si>
  <si>
    <t>Bacillus virus GA1</t>
  </si>
  <si>
    <t>PRJNA15202</t>
  </si>
  <si>
    <t>Unknown:NC_002649.1/X96987.2</t>
  </si>
  <si>
    <t>Ageratum yellow vein virus</t>
  </si>
  <si>
    <t>PRJNA15203</t>
  </si>
  <si>
    <t>Unknown:NC_004626.1/X74516.1</t>
  </si>
  <si>
    <t>Equine rhinitis A virus</t>
  </si>
  <si>
    <t>Enterococcus silesiacus strain LMG 23085</t>
  </si>
  <si>
    <t>PRJNA15205</t>
  </si>
  <si>
    <t>Unknown:NC_003982.1/X96870.1</t>
  </si>
  <si>
    <t>Strawberry vein banding virus</t>
  </si>
  <si>
    <t>PRJNA15207</t>
  </si>
  <si>
    <t>Unknown:NC_001725.1/X97304.1</t>
  </si>
  <si>
    <t>Hibiscus chlorotic ringspot virus</t>
  </si>
  <si>
    <t>PRJNA15208</t>
  </si>
  <si>
    <t>Unknown:NC_003608.1/X86448.2</t>
  </si>
  <si>
    <t>Enterococcus sp. 7L76</t>
  </si>
  <si>
    <t>Galinsoga mosaic virus</t>
  </si>
  <si>
    <t>PRJNA15209</t>
  </si>
  <si>
    <t>Unknown:NC_001818.1/Y13463.1</t>
  </si>
  <si>
    <t>Mint virus 1</t>
  </si>
  <si>
    <t>PRJNA15210</t>
  </si>
  <si>
    <t>Unknown:NC_006944.1/AY792620.1</t>
  </si>
  <si>
    <t>Tomato leaf curl Madagascar virus-Menabe [Madagascar:Morondova:2001]</t>
  </si>
  <si>
    <t>PRJNA15211</t>
  </si>
  <si>
    <t>Unknown:NC_006874.1/AJ865338.1</t>
  </si>
  <si>
    <t>Tomato leaf curl Mayotte virus</t>
  </si>
  <si>
    <t>PRJNA15212</t>
  </si>
  <si>
    <t>Unknown:NC_006876.1/AJ865340.1</t>
  </si>
  <si>
    <t>Enterococcus sp. HSIEG1</t>
  </si>
  <si>
    <t>Avian endogenous retrovirus EAV-HP</t>
  </si>
  <si>
    <t>PRJNA15213</t>
  </si>
  <si>
    <t>Unknown:NC_005947.1/AJ238124.1</t>
  </si>
  <si>
    <t>Pelargonium necrotic spot virus</t>
  </si>
  <si>
    <t>PRJNA15214</t>
  </si>
  <si>
    <t>Unknown:NC_005285.1/AJ607402.1</t>
  </si>
  <si>
    <t>Dolphin morbillivirus</t>
  </si>
  <si>
    <t>PRJNA15215</t>
  </si>
  <si>
    <t>Erwinia amylovora ATCC 49946</t>
  </si>
  <si>
    <t>Unknown:NC_005283.1/AJ608288.1</t>
  </si>
  <si>
    <t>Maize fine streak nucleorhabdovirus</t>
  </si>
  <si>
    <t>PRJNA15216</t>
  </si>
  <si>
    <t>Unknown:NC_005974.1/AY618417.1</t>
  </si>
  <si>
    <t>Human alphaherpesvirus 1</t>
  </si>
  <si>
    <t>PRJNA15217</t>
  </si>
  <si>
    <t>68.3</t>
  </si>
  <si>
    <t>Unknown:NC_001806.2/JN555585.1</t>
  </si>
  <si>
    <t>Feline foamy virus</t>
  </si>
  <si>
    <t>PRJNA15219</t>
  </si>
  <si>
    <t>Erwinia amylovora CFBP1430</t>
  </si>
  <si>
    <t>Unknown:NC_001871.1/AJ223851.1</t>
  </si>
  <si>
    <t>Acheta domestica densovirus</t>
  </si>
  <si>
    <t>PRJNA15222</t>
  </si>
  <si>
    <t>Unknown:NC_004290.1/AX344110.1</t>
  </si>
  <si>
    <t>Synechococcus phage S-PM2</t>
  </si>
  <si>
    <t>PRJNA15223</t>
  </si>
  <si>
    <t>Unknown:NC_006820.1/AJ630128.1</t>
  </si>
  <si>
    <t>Honeysuckle yellow vein virus-[UK1]</t>
  </si>
  <si>
    <t>Erwinia billingiae Eb661</t>
  </si>
  <si>
    <t>PRJNA15224</t>
  </si>
  <si>
    <t>Unknown:NC_005807.1/AJ542540.1</t>
  </si>
  <si>
    <t>Chilli veinal mottle virus</t>
  </si>
  <si>
    <t>PRJNA15225</t>
  </si>
  <si>
    <t>Unknown:NC_005778.1/AJ237843.3</t>
  </si>
  <si>
    <t>Pseudomonas phage phiKMV</t>
  </si>
  <si>
    <t>PRJNA15226</t>
  </si>
  <si>
    <t>Erwinia pyrifoliae DSM 12163</t>
  </si>
  <si>
    <t>Unknown:NC_005045.1/AJ505558.1</t>
  </si>
  <si>
    <t>Yersinia phage PY54</t>
  </si>
  <si>
    <t>PRJNA15227</t>
  </si>
  <si>
    <t>Unknown:NC_005069.1/AJ564013.1</t>
  </si>
  <si>
    <t>Haemophilus phage Aaphi23</t>
  </si>
  <si>
    <t>PRJNA15228</t>
  </si>
  <si>
    <t>Unknown:NC_004827.1/AJ560763.1</t>
  </si>
  <si>
    <t>Gremmeniella abietina mitochondrial RNA virus S2</t>
  </si>
  <si>
    <t>PRJNA15229</t>
  </si>
  <si>
    <t>Erwinia pyrifoliae Ep1/96</t>
  </si>
  <si>
    <t>Unknown:NC_006264.1/AY615209.1</t>
  </si>
  <si>
    <t>Gremmeniella abietina RNA virus L2</t>
  </si>
  <si>
    <t>PRJNA15230</t>
  </si>
  <si>
    <t>Unknown:NC_005965.1/AY615210.1</t>
  </si>
  <si>
    <t>Malvastrum yellow vein Yunnan virus</t>
  </si>
  <si>
    <t>PRJNA15231</t>
  </si>
  <si>
    <t>Unknown:NC_006631.1/AJ786711.1</t>
  </si>
  <si>
    <t>Senecio yellow mosaic virus</t>
  </si>
  <si>
    <t>PRJNA15233</t>
  </si>
  <si>
    <t>Erwinia sp. Ejp617</t>
  </si>
  <si>
    <t>Unknown:NC_006995.1/AJ876550.1</t>
  </si>
  <si>
    <t>Banana streak OL virus</t>
  </si>
  <si>
    <t>PRJNA15239</t>
  </si>
  <si>
    <t>Unknown:NC_003381.1/AJ002234.1</t>
  </si>
  <si>
    <t>Vaccinia virus WR</t>
  </si>
  <si>
    <t>PRJNA15241</t>
  </si>
  <si>
    <t>Unknown:NC_006998.1/AY243312.1</t>
  </si>
  <si>
    <t>Erwinia sp. EM595</t>
  </si>
  <si>
    <t>Caprine arthritis encephalitis virus</t>
  </si>
  <si>
    <t>PRJNA15243</t>
  </si>
  <si>
    <t>Unknown:NC_001463.1/M33677.1</t>
  </si>
  <si>
    <t>Lactococcus phage BK5-T</t>
  </si>
  <si>
    <t>PRJNA15244</t>
  </si>
  <si>
    <t>Unknown:NC_002796.1/AF176025.1</t>
  </si>
  <si>
    <t>Erwinia tasmaniensis Et1/99</t>
  </si>
  <si>
    <t>Semliki Forest virus</t>
  </si>
  <si>
    <t>PRJNA15282</t>
  </si>
  <si>
    <t>Unknown:NC_003215.1/X04129.1</t>
  </si>
  <si>
    <t>Cowpea mosaic virus</t>
  </si>
  <si>
    <t>PRJNA15283</t>
  </si>
  <si>
    <t>42.2257</t>
  </si>
  <si>
    <t>RNA 1:NC_003549.1/X00206.1;  RNA 2:NC_003550.1/X00729.1</t>
  </si>
  <si>
    <t>Yellow fever virus</t>
  </si>
  <si>
    <t>PRJNA15284</t>
  </si>
  <si>
    <t>Erysipelothrix rhusiopathiae str. Fujisawa</t>
  </si>
  <si>
    <t>Unknown:NC_002031.1/X03700.1</t>
  </si>
  <si>
    <t>Grapevine chrome mosaic virus</t>
  </si>
  <si>
    <t>PRJNA15285</t>
  </si>
  <si>
    <t>45.4189</t>
  </si>
  <si>
    <t>RNA 1:NC_003622.1/X15346.1;  RNA 2:NC_003621.1/X15163.1</t>
  </si>
  <si>
    <t>Grapevine fanleaf virus</t>
  </si>
  <si>
    <t>PRJNA15286</t>
  </si>
  <si>
    <t>45.3469</t>
  </si>
  <si>
    <t>RNA 1:NC_003615.1/D00915.1;  RNA 2:NC_003623.1/X16907.1</t>
  </si>
  <si>
    <t>Beet ringspot virus</t>
  </si>
  <si>
    <t>PRJNA15287</t>
  </si>
  <si>
    <t>Erysipelothrix rhusiopathiae strain GXBY-1</t>
  </si>
  <si>
    <t>44.6714</t>
  </si>
  <si>
    <t>RNA 1:NC_003693.1/D00322.1;  RNA 2:NC_003694.1/X04062.1</t>
  </si>
  <si>
    <t>Papaya ringspot virus</t>
  </si>
  <si>
    <t>PRJNA15289</t>
  </si>
  <si>
    <t>Unknown:NC_001785.1/X67673.1</t>
  </si>
  <si>
    <t>3-letter_code</t>
  </si>
  <si>
    <t>Potato virus Y</t>
  </si>
  <si>
    <t>PRJNA15290</t>
  </si>
  <si>
    <t>Unknown:NC_001616.1/X12456.1</t>
  </si>
  <si>
    <t>Erysipelothrix rhusiopathiae SY1027</t>
  </si>
  <si>
    <t>Red clover mottle virus</t>
  </si>
  <si>
    <t>PRJNA15291</t>
  </si>
  <si>
    <t>1-letter_code</t>
  </si>
  <si>
    <t>aminoacid</t>
  </si>
  <si>
    <t>41.152</t>
  </si>
  <si>
    <t>RNA 1:NC_003741.1/X64886.1;  RNA 2:NC_003738.1/M14913.1</t>
  </si>
  <si>
    <t>Turnip yellow mosaic virus</t>
  </si>
  <si>
    <t>Ala</t>
  </si>
  <si>
    <t>PRJNA15293</t>
  </si>
  <si>
    <t>56.5</t>
  </si>
  <si>
    <t>Unknown:NC_004063.1/X07441.1</t>
  </si>
  <si>
    <t>  Alanine</t>
  </si>
  <si>
    <t>Erysipelothrix sp. LV19</t>
  </si>
  <si>
    <t>Bean pod mottle virus</t>
  </si>
  <si>
    <t>PRJNA15294</t>
  </si>
  <si>
    <t>Arg</t>
  </si>
  <si>
    <t>  Arginine</t>
  </si>
  <si>
    <t>38.4654</t>
  </si>
  <si>
    <t>RNA 1:NC_003496.1/U70866.1;  RNA 2:NC_003495.1/M62738.1</t>
  </si>
  <si>
    <t>Asn</t>
  </si>
  <si>
    <t>  Asparagine</t>
  </si>
  <si>
    <t>Pea seed-borne mosaic virus</t>
  </si>
  <si>
    <t>PRJNA15295</t>
  </si>
  <si>
    <t>Asp</t>
  </si>
  <si>
    <t>  Aspartic acid</t>
  </si>
  <si>
    <t>Unknown:NC_001671.1/D10930.1</t>
  </si>
  <si>
    <t>Erythrobacter litoralis HTCC2594</t>
  </si>
  <si>
    <t>Cys</t>
  </si>
  <si>
    <t>Human enterovirus 70</t>
  </si>
  <si>
    <t>  Cysteine</t>
  </si>
  <si>
    <t>PRJNA15297</t>
  </si>
  <si>
    <t>Gln</t>
  </si>
  <si>
    <t>Unknown:NC_001430.1/D00820.1</t>
  </si>
  <si>
    <t>  Glutamine</t>
  </si>
  <si>
    <t>Plum pox virus</t>
  </si>
  <si>
    <t>Glu</t>
  </si>
  <si>
    <t>  Glutamic acid</t>
  </si>
  <si>
    <t>PRJNA15298</t>
  </si>
  <si>
    <t>Gly</t>
  </si>
  <si>
    <t>  Glycine</t>
  </si>
  <si>
    <t>Unknown:NC_001445.1/D13751.1</t>
  </si>
  <si>
    <t>Erythrobacter sp. s21-N3</t>
  </si>
  <si>
    <t>His</t>
  </si>
  <si>
    <t>  Histidine</t>
  </si>
  <si>
    <t>Parsnip yellow fleck virus</t>
  </si>
  <si>
    <t>PRJNA15299</t>
  </si>
  <si>
    <t>Xle</t>
  </si>
  <si>
    <t>J</t>
  </si>
  <si>
    <t>  Leucine or Isoleucine</t>
  </si>
  <si>
    <t>Unknown:NC_003628.1/D14066.1</t>
  </si>
  <si>
    <t>Leu</t>
  </si>
  <si>
    <t>  Leucine</t>
  </si>
  <si>
    <t>Tomato ringspot virus</t>
  </si>
  <si>
    <t>PRJNA15300</t>
  </si>
  <si>
    <t>Ile</t>
  </si>
  <si>
    <t>Escherichia albertii KF1</t>
  </si>
  <si>
    <t>47.1921</t>
  </si>
  <si>
    <t>  Isoleucine</t>
  </si>
  <si>
    <t>RNA 1:NC_003840.1/L19655.1;  RNA 2:NC_003839.2/D12477.2</t>
  </si>
  <si>
    <t>Cowpea severe mosaic virus</t>
  </si>
  <si>
    <t>Lys</t>
  </si>
  <si>
    <t>PRJNA15301</t>
  </si>
  <si>
    <t>  Lysine</t>
  </si>
  <si>
    <t>41.6837</t>
  </si>
  <si>
    <t>RNA 1:NC_003545.1/M83830.1;  RNA 2:NC_003544.1/M83309.1</t>
  </si>
  <si>
    <t>Met</t>
  </si>
  <si>
    <t>  Methionine</t>
  </si>
  <si>
    <t>Venezuelan equine encephalitis virus</t>
  </si>
  <si>
    <t>Phe</t>
  </si>
  <si>
    <t>PRJNA15302</t>
  </si>
  <si>
    <t>  Phenylalanine</t>
  </si>
  <si>
    <t>Escherichia albertii strain EC06-170</t>
  </si>
  <si>
    <t>Unknown:NC_001449.1/L04653.1</t>
  </si>
  <si>
    <t>Pro</t>
  </si>
  <si>
    <t>  Proline</t>
  </si>
  <si>
    <t>Powassan virus</t>
  </si>
  <si>
    <t>PRJNA15304</t>
  </si>
  <si>
    <t>Pyl</t>
  </si>
  <si>
    <t>O</t>
  </si>
  <si>
    <t>   Pyrrolysine</t>
  </si>
  <si>
    <t>Unknown:NC_003687.1/L06436.1</t>
  </si>
  <si>
    <t>Sec</t>
  </si>
  <si>
    <t>U</t>
  </si>
  <si>
    <t>  Selenocysteine</t>
  </si>
  <si>
    <t>Bovine viral diarrhea virus 1-NADL</t>
  </si>
  <si>
    <t>PRJNA15305</t>
  </si>
  <si>
    <t>Ser</t>
  </si>
  <si>
    <t>  Serine</t>
  </si>
  <si>
    <t>Unknown:NC_001461.1/M31182.1</t>
  </si>
  <si>
    <t>Escherichia coli 042</t>
  </si>
  <si>
    <t>Thr</t>
  </si>
  <si>
    <t>Encephalomyocarditis virus</t>
  </si>
  <si>
    <t>PRJNA15307</t>
  </si>
  <si>
    <t>  Threonine</t>
  </si>
  <si>
    <t>Unknown:NC_001479.1/M81861.1</t>
  </si>
  <si>
    <t>Trp</t>
  </si>
  <si>
    <t>  Tryptophan</t>
  </si>
  <si>
    <t>Hepatovirus A</t>
  </si>
  <si>
    <t>PRJNA15308</t>
  </si>
  <si>
    <t>Tyr</t>
  </si>
  <si>
    <t>Unknown:NC_001489.1/M14707.1</t>
  </si>
  <si>
    <t>  Tyrosine</t>
  </si>
  <si>
    <t>Rhinovirus B14</t>
  </si>
  <si>
    <t>PRJNA15309</t>
  </si>
  <si>
    <t>Escherichia coli 1303</t>
  </si>
  <si>
    <t>Unknown:NC_001490.1/K02121.1</t>
  </si>
  <si>
    <t>Japanese encephalitis virus</t>
  </si>
  <si>
    <t>Val</t>
  </si>
  <si>
    <t>PRJNA15310</t>
  </si>
  <si>
    <t>  Valine</t>
  </si>
  <si>
    <t>Unknown:NC_001437.1/M18370.1</t>
  </si>
  <si>
    <t>Asx</t>
  </si>
  <si>
    <t>B</t>
  </si>
  <si>
    <t>  Aspartic acid or Asparagine</t>
  </si>
  <si>
    <t>O'nyong-nyong virus</t>
  </si>
  <si>
    <t>PRJNA15311</t>
  </si>
  <si>
    <t>Glx</t>
  </si>
  <si>
    <t>Z</t>
  </si>
  <si>
    <t>  Glutamic acid or Glutamine</t>
  </si>
  <si>
    <t>Unknown:NC_001512.1/M20303.1</t>
  </si>
  <si>
    <t>Xaa</t>
  </si>
  <si>
    <t>Pepper mottle virus</t>
  </si>
  <si>
    <t>X</t>
  </si>
  <si>
    <t>Escherichia coli 536</t>
  </si>
  <si>
    <t>  Any amino acid</t>
  </si>
  <si>
    <t>PRJNA15312</t>
  </si>
  <si>
    <t>Unknown:NC_001517.1/M96425.1</t>
  </si>
  <si>
    <t>Rabbit hemorrhagic disease virus-FRG</t>
  </si>
  <si>
    <t>PRJNA15313</t>
  </si>
  <si>
    <t>Unknown:NC_001543.1/M67473.1</t>
  </si>
  <si>
    <t>Ross River virus</t>
  </si>
  <si>
    <t>PRJNA15314</t>
  </si>
  <si>
    <t>Escherichia coli 55989</t>
  </si>
  <si>
    <t>Unknown:NC_001544.1/M20162.1</t>
  </si>
  <si>
    <t>Sindbis virus</t>
  </si>
  <si>
    <t>PRJNA15316</t>
  </si>
  <si>
    <t>Unknown:NC_001547.1/J02363.1</t>
  </si>
  <si>
    <t>Malvastrum yellow vein betasatellite</t>
  </si>
  <si>
    <t>PRJNA15317</t>
  </si>
  <si>
    <t>Unknown:NC_004733.1/AJ421482.1</t>
  </si>
  <si>
    <t>Tomato yellow leaf curl China virus</t>
  </si>
  <si>
    <t>Escherichia coli 789</t>
  </si>
  <si>
    <t>PRJNA15318</t>
  </si>
  <si>
    <t>Unknown:NC_004044.1/AF311734.1</t>
  </si>
  <si>
    <t>African green monkey polyomavirus</t>
  </si>
  <si>
    <t>PRJNA15320</t>
  </si>
  <si>
    <t>Unknown:NC_004763.2/K02562.2</t>
  </si>
  <si>
    <t>UR2 sarcoma virus</t>
  </si>
  <si>
    <t>PRJNA15322</t>
  </si>
  <si>
    <t>Unknown:NC_001618.1/M10455.1</t>
  </si>
  <si>
    <t>Escherichia coli 94-3024</t>
  </si>
  <si>
    <t>Adeno-associated virus - 1</t>
  </si>
  <si>
    <t>PRJNA15323</t>
  </si>
  <si>
    <t>Unknown:NC_002077.1/AF063497.1</t>
  </si>
  <si>
    <t>Potato virus M</t>
  </si>
  <si>
    <t>PRJNA15324</t>
  </si>
  <si>
    <t>Unknown:NC_001361.2/D14449.2</t>
  </si>
  <si>
    <t>Tobacco etch virus</t>
  </si>
  <si>
    <t>PRJNA15325</t>
  </si>
  <si>
    <t>Escherichia coli ABU 83972</t>
  </si>
  <si>
    <t>Unknown:NC_001555.1/M11458.1</t>
  </si>
  <si>
    <t>Cell fusing agent virus</t>
  </si>
  <si>
    <t>PRJNA15326</t>
  </si>
  <si>
    <t>NC_001564.2/KJ741267.1</t>
  </si>
  <si>
    <t>Rice yellow mottle virus</t>
  </si>
  <si>
    <t>PRJNA15327</t>
  </si>
  <si>
    <t>Unknown:NC_001575.2/AJ608206.1</t>
  </si>
  <si>
    <t>Beet yellows virus</t>
  </si>
  <si>
    <t>PRJNA15328</t>
  </si>
  <si>
    <t>Escherichia coli ACN001</t>
  </si>
  <si>
    <t>Unknown:NC_001598.1/X73476.1</t>
  </si>
  <si>
    <t>Blueberry scorch virus</t>
  </si>
  <si>
    <t>PRJNA15329</t>
  </si>
  <si>
    <t>Unknown:NC_003499.1/L25658.1</t>
  </si>
  <si>
    <t>Human rhinovirus A89</t>
  </si>
  <si>
    <t>PRJNA15330</t>
  </si>
  <si>
    <t>Unknown:NC_001617.1/A10937.1</t>
  </si>
  <si>
    <t>Escherichia coli APEC IMT5155</t>
  </si>
  <si>
    <t>Southern cowpea mosaic virus</t>
  </si>
  <si>
    <t>PRJNA15331</t>
  </si>
  <si>
    <t>Unknown:NC_001625.2/M23021.1</t>
  </si>
  <si>
    <t>Rice tungro spherical virus</t>
  </si>
  <si>
    <t>PRJNA15332</t>
  </si>
  <si>
    <t>Unknown:NC_001632.1/M95497.1</t>
  </si>
  <si>
    <t>Bean common mosaic necrosis virus</t>
  </si>
  <si>
    <t>Escherichia coli APEC O1</t>
  </si>
  <si>
    <t>PRJNA15333</t>
  </si>
  <si>
    <t>Unknown:NC_004047.1/U19287.1</t>
  </si>
  <si>
    <t>Citrus tristeza virus</t>
  </si>
  <si>
    <t>PRJNA15334</t>
  </si>
  <si>
    <t>Unknown:NC_001661.1/U16304.1</t>
  </si>
  <si>
    <t>Tick-borne encephalitis virus</t>
  </si>
  <si>
    <t>PRJNA15335</t>
  </si>
  <si>
    <t>Unknown:NC_001672.1/U27495.1</t>
  </si>
  <si>
    <t>Escherichia coli APEC O78</t>
  </si>
  <si>
    <t>Brome streak mosaic virus</t>
  </si>
  <si>
    <t>PRJNA15336</t>
  </si>
  <si>
    <t>Unknown:NC_003501.1/Z48506.1</t>
  </si>
  <si>
    <t>Lucerne transient streak virus</t>
  </si>
  <si>
    <t>PRJNA15337</t>
  </si>
  <si>
    <t>Unknown:NC_001696.2/JQ782213.1</t>
  </si>
  <si>
    <t>Barley mild mosaic virus</t>
  </si>
  <si>
    <t>PRJNA15338</t>
  </si>
  <si>
    <t>Escherichia coli ATCC 25922</t>
  </si>
  <si>
    <t>48.9861</t>
  </si>
  <si>
    <t>RNA 1:NC_003483.1/Y10973.1;  RNA 2:NC_003482.1/X90904.1</t>
  </si>
  <si>
    <t>Bean yellow mosaic virus</t>
  </si>
  <si>
    <t>PRJNA15339</t>
  </si>
  <si>
    <t>Unknown:NC_003492.1/D83749.1</t>
  </si>
  <si>
    <t>Sweet potato mild mottle virus</t>
  </si>
  <si>
    <t>PRJNA15340</t>
  </si>
  <si>
    <t>Unknown:NC_003797.1/Z73124.1</t>
  </si>
  <si>
    <t>Oat blue dwarf virus</t>
  </si>
  <si>
    <t>Escherichia coli ATCC 8739</t>
  </si>
  <si>
    <t>PRJNA15341</t>
  </si>
  <si>
    <t>Unknown:NC_001793.1/U87832.1</t>
  </si>
  <si>
    <t>Lettuce mosaic virus</t>
  </si>
  <si>
    <t>PRJNA15342</t>
  </si>
  <si>
    <t>Unknown:NC_003605.1/X97705.1</t>
  </si>
  <si>
    <t>Louping ill virus</t>
  </si>
  <si>
    <t>PRJNA15343</t>
  </si>
  <si>
    <t>Unknown:NC_001809.1/Y07863.1</t>
  </si>
  <si>
    <t>Escherichia coli B</t>
  </si>
  <si>
    <t>Ryegrass mosaic virus</t>
  </si>
  <si>
    <t>PRJNA15344</t>
  </si>
  <si>
    <t>Unknown:NC_001814.1/Y09854.1</t>
  </si>
  <si>
    <t>Maize chlorotic dwarf virus</t>
  </si>
  <si>
    <t>PRJNA15345</t>
  </si>
  <si>
    <t>Unknown:NC_003626.1/U67839.1</t>
  </si>
  <si>
    <t>Little cherry virus 1</t>
  </si>
  <si>
    <t>PRJNA15346</t>
  </si>
  <si>
    <t>Unknown:NC_001836.1/Y10237.1</t>
  </si>
  <si>
    <t>Escherichia coli B str. REL606</t>
  </si>
  <si>
    <t>Sweet potato feathery mottle virus</t>
  </si>
  <si>
    <t>PRJNA15347</t>
  </si>
  <si>
    <t>Unknown:NC_001841.1/D86371.1</t>
  </si>
  <si>
    <t>Tobacco vein mottling virus</t>
  </si>
  <si>
    <t>Escherichia coli B7A</t>
  </si>
  <si>
    <t>PRJNA15348</t>
  </si>
  <si>
    <t>Unknown:NC_001768.1/X04083.1</t>
  </si>
  <si>
    <t>Johnsongrass mosaic virus</t>
  </si>
  <si>
    <t>PRJNA15349</t>
  </si>
  <si>
    <t>Unknown:NC_003606.1/Z26920.1</t>
  </si>
  <si>
    <t>Enterovirus E</t>
  </si>
  <si>
    <t>PRJNA15351</t>
  </si>
  <si>
    <t>Unknown:NC_001859.1/D00214.1</t>
  </si>
  <si>
    <t>Escherichia coli BL21 (TaKaRa)</t>
  </si>
  <si>
    <t>Peanut mottle virus</t>
  </si>
  <si>
    <t>PRJNA15352</t>
  </si>
  <si>
    <t>Unknown:NC_002600.1/AF023848.1</t>
  </si>
  <si>
    <t>Clover yellow vein virus</t>
  </si>
  <si>
    <t>PRJNA15353</t>
  </si>
  <si>
    <t>Unknown:NC_003536.1/AB011819.1</t>
  </si>
  <si>
    <t>Escherichia coli BL21(DE3) (Prj:20713)</t>
  </si>
  <si>
    <t>Wheat streak mosaic virus</t>
  </si>
  <si>
    <t>PRJNA15354</t>
  </si>
  <si>
    <t>Unknown:NC_001886.1/AF057533.1</t>
  </si>
  <si>
    <t>Maize dwarf mosaic virus</t>
  </si>
  <si>
    <t>Escherichia coli BL21(DE3) (Prj:28965)</t>
  </si>
  <si>
    <t>PRJNA15355</t>
  </si>
  <si>
    <t>Unknown:NC_003377.1/AJ001691.1</t>
  </si>
  <si>
    <t>Southern bean mosaic virus</t>
  </si>
  <si>
    <t>PRJNA15356</t>
  </si>
  <si>
    <t>Unknown:NC_004060.2/DQ875594.2</t>
  </si>
  <si>
    <t>Wheat yellow mosaic virus</t>
  </si>
  <si>
    <t>PRJNA15358</t>
  </si>
  <si>
    <t>Escherichia coli 'BL21-Gold(DE3)pLysS AG'</t>
  </si>
  <si>
    <t>48.3056</t>
  </si>
  <si>
    <t>RNA 1:NC_002350.1/D86634.1;  RNA 2:NC_002349.1/D86635.1</t>
  </si>
  <si>
    <t>Tremovirus A</t>
  </si>
  <si>
    <t>PRJNA15360</t>
  </si>
  <si>
    <t>Unknown:NC_003990.1/AJ225173.1</t>
  </si>
  <si>
    <t>Barley yellow mosaic virus</t>
  </si>
  <si>
    <t>PRJNA15362</t>
  </si>
  <si>
    <t>46.2789</t>
  </si>
  <si>
    <t>RNA 1:NC_002990.1/AJ132268.1;  RNA 2:NC_002991.1/AJ132269.1</t>
  </si>
  <si>
    <t>Escherichia coli BW25113</t>
  </si>
  <si>
    <t>Sugarcane yellow leaf virus</t>
  </si>
  <si>
    <t>PRJNA15363</t>
  </si>
  <si>
    <t>Unknown:NC_000874.1/AF157029.1</t>
  </si>
  <si>
    <t>Hepatitis GB virus B</t>
  </si>
  <si>
    <t>PRJNA15364</t>
  </si>
  <si>
    <t>Unknown:NC_001655.1/AF179612.1</t>
  </si>
  <si>
    <t>Japanese yam mosaic virus</t>
  </si>
  <si>
    <t>PRJNA15365</t>
  </si>
  <si>
    <t>Escherichia coli BW2952</t>
  </si>
  <si>
    <t>Unknown:NC_000947.1/AB027007.1</t>
  </si>
  <si>
    <t>Poinsettia mosaic virus</t>
  </si>
  <si>
    <t>PRJNA15366</t>
  </si>
  <si>
    <t>Unknown:NC_002164.1/AJ271595.1</t>
  </si>
  <si>
    <t>Apple latent spherical virus</t>
  </si>
  <si>
    <t>PRJNA15367</t>
  </si>
  <si>
    <t>Escherichia coli C321.deltaA</t>
  </si>
  <si>
    <t>40.7302</t>
  </si>
  <si>
    <t>RNA 1:NC_003787.1/AB030940.1;  RNA 2:NC_003788.1/AB030941.1</t>
  </si>
  <si>
    <t>Rio Bravo virus</t>
  </si>
  <si>
    <t>PRJNA15368</t>
  </si>
  <si>
    <t>Unknown:NC_003675.1/AF144692.1</t>
  </si>
  <si>
    <t>Apoi virus</t>
  </si>
  <si>
    <t>PRJNA15369</t>
  </si>
  <si>
    <t>Unknown:NC_003676.1/AF160193.1</t>
  </si>
  <si>
    <t>Escherichia coli C41(DE3)</t>
  </si>
  <si>
    <t>Langat virus</t>
  </si>
  <si>
    <t>PRJNA15370</t>
  </si>
  <si>
    <t>Unknown:NC_003690.1/AF253419.1</t>
  </si>
  <si>
    <t>A-2 plaque virus</t>
  </si>
  <si>
    <t>PRJNA15371</t>
  </si>
  <si>
    <t>Unknown:NC_003988.1/AF201894.1</t>
  </si>
  <si>
    <t>Sesbania mosaic virus</t>
  </si>
  <si>
    <t>PRJNA15372</t>
  </si>
  <si>
    <t>Escherichia coli CFT073</t>
  </si>
  <si>
    <t>Unknown:NC_002568.2/AY004291.2</t>
  </si>
  <si>
    <t>Hop latent virus</t>
  </si>
  <si>
    <t>PRJNA15373</t>
  </si>
  <si>
    <t>Unknown:NC_002552.1/AB032469.1</t>
  </si>
  <si>
    <t>Ryegrass mottle virus</t>
  </si>
  <si>
    <t>PRJNA15375</t>
  </si>
  <si>
    <t>Escherichia coli DH1</t>
  </si>
  <si>
    <t>Unknown:NC_003747.2/EF091714.1</t>
  </si>
  <si>
    <t>Potato virus A</t>
  </si>
  <si>
    <t>PRJNA15376</t>
  </si>
  <si>
    <t>Unknown:NC_004039.1/AJ296311.1</t>
  </si>
  <si>
    <t>Soybean mosaic virus N</t>
  </si>
  <si>
    <t>PRJNA15377</t>
  </si>
  <si>
    <t>Unknown:NC_002634.1/D00507.2</t>
  </si>
  <si>
    <t>Potato virus V</t>
  </si>
  <si>
    <t>PRJNA15379</t>
  </si>
  <si>
    <t>Unknown:NC_004010.1/AJ243766.2</t>
  </si>
  <si>
    <t>Broad bean wilt virus 2</t>
  </si>
  <si>
    <t>PRJNA15380</t>
  </si>
  <si>
    <t>42.7113</t>
  </si>
  <si>
    <t>RNA 1:NC_003003.1/AF225953.1;  RNA 2:NC_003004.1/AF225954.1</t>
  </si>
  <si>
    <t>Escherichia coli E24377A</t>
  </si>
  <si>
    <t>Maize rayado fino virus</t>
  </si>
  <si>
    <t>PRJNA15381</t>
  </si>
  <si>
    <t>Unknown:NC_002786.1/AF265566.1</t>
  </si>
  <si>
    <t>Aconitum latent virus</t>
  </si>
  <si>
    <t>PRJNA15382</t>
  </si>
  <si>
    <t>Unknown:NC_002795.1/AB051848.1</t>
  </si>
  <si>
    <t>Escherichia coli ECC-1470</t>
  </si>
  <si>
    <t>Equine arteritis virus</t>
  </si>
  <si>
    <t>PRJNA15383</t>
  </si>
  <si>
    <t>Unknown:NC_002532.2/X53459.3</t>
  </si>
  <si>
    <t>Squash mosaic virus</t>
  </si>
  <si>
    <t>PRJNA15384</t>
  </si>
  <si>
    <t>42.5089</t>
  </si>
  <si>
    <t>RNA 1:NC_003799.1/AB054688.1;  RNA 2:NC_003800.1/AB054689.1</t>
  </si>
  <si>
    <t>Alkhumra hemorrhagic fever virus</t>
  </si>
  <si>
    <t>Escherichia coli ECONIH1</t>
  </si>
  <si>
    <t>PRJNA15387</t>
  </si>
  <si>
    <t>Unknown:NC_004355.1/AF331718.1</t>
  </si>
  <si>
    <t>Dasheen mosaic virus</t>
  </si>
  <si>
    <t>PRJNA15388</t>
  </si>
  <si>
    <t>Unknown:NC_003537.1/AJ298033.1</t>
  </si>
  <si>
    <t>Zucchini yellow mosaic virus</t>
  </si>
  <si>
    <t>PRJNA15390</t>
  </si>
  <si>
    <t>Escherichia coli ED1a</t>
  </si>
  <si>
    <t>Unknown:NC_003224.1/AF127929.2</t>
  </si>
  <si>
    <t>Oat mosaic virus</t>
  </si>
  <si>
    <t>PRJNA15391</t>
  </si>
  <si>
    <t>46.8716</t>
  </si>
  <si>
    <t>RNA 1:NC_004016.1/AJ306718.1;  RNA 2:NC_004017.1/AJ306719.1</t>
  </si>
  <si>
    <t>Mayaro virus</t>
  </si>
  <si>
    <t>PRJNA15392</t>
  </si>
  <si>
    <t>Escherichia coli ER2796</t>
  </si>
  <si>
    <t>Unknown:NC_003417.1/AF237947.1</t>
  </si>
  <si>
    <t>Modoc virus</t>
  </si>
  <si>
    <t>PRJNA15393</t>
  </si>
  <si>
    <t>45.5</t>
  </si>
  <si>
    <t>Unknown:NC_003635.1/AJ242984.1</t>
  </si>
  <si>
    <t>Cowpea aphid-borne mosaic virus</t>
  </si>
  <si>
    <t>PRJNA15394</t>
  </si>
  <si>
    <t>Unknown:NC_004013.1/AF348210.1</t>
  </si>
  <si>
    <t>Escherichia coli ETEC H10407</t>
  </si>
  <si>
    <t>Porcine enterovirus 9</t>
  </si>
  <si>
    <t>PRJNA15396</t>
  </si>
  <si>
    <t>Unknown:NC_004441.1/AF363453.1</t>
  </si>
  <si>
    <t>Cycas necrotic stunt virus</t>
  </si>
  <si>
    <t>PRJNA15397</t>
  </si>
  <si>
    <t>44.8616</t>
  </si>
  <si>
    <t>RNA 1:NC_003791.1/AB073147.1;  RNA 2:NC_003792.2/AB073148.2</t>
  </si>
  <si>
    <t>Tamana bat virus</t>
  </si>
  <si>
    <t>PRJNA15398</t>
  </si>
  <si>
    <t>Escherichia coli FAP1</t>
  </si>
  <si>
    <t>Unknown:NC_003996.1/AF285080.1</t>
  </si>
  <si>
    <t>Cocksfoot streak virus</t>
  </si>
  <si>
    <t>PRJNA15399</t>
  </si>
  <si>
    <t>Unknown:NC_003742.1/AF499738.1</t>
  </si>
  <si>
    <t>Porcine sapelovirus 1</t>
  </si>
  <si>
    <t>PRJNA15400</t>
  </si>
  <si>
    <t>Unknown:NC_003987.1/AF406813.1</t>
  </si>
  <si>
    <t>Escherichia coli HS</t>
  </si>
  <si>
    <t>Montana myotis leukoencephalitis virus</t>
  </si>
  <si>
    <t>PRJNA15402</t>
  </si>
  <si>
    <t>Unknown:NC_004119.1/AJ299445.1</t>
  </si>
  <si>
    <t>Subterranean clover mottle virus</t>
  </si>
  <si>
    <t>PRJNA15403</t>
  </si>
  <si>
    <t>Unknown:NC_004346.1/AF208001.1</t>
  </si>
  <si>
    <t>Escherichia coli IAI1</t>
  </si>
  <si>
    <t>Wild potato mosaic virus</t>
  </si>
  <si>
    <t>PRJNA15404</t>
  </si>
  <si>
    <t>Unknown:NC_004426.1/AJ437279.1</t>
  </si>
  <si>
    <t>Papaya leaf distortion mosaic virus</t>
  </si>
  <si>
    <t>Escherichia coli IAI39</t>
  </si>
  <si>
    <t>PRJNA15405</t>
  </si>
  <si>
    <t>Unknown:NC_005028.1/BD171712.1</t>
  </si>
  <si>
    <t>Peru tomato mosaic virus</t>
  </si>
  <si>
    <t>PRJNA15406</t>
  </si>
  <si>
    <t>Escherichia coli IHE3034</t>
  </si>
  <si>
    <t>Unknown:NC_004573.1/AJ437280.1</t>
  </si>
  <si>
    <t>Onion yellow dwarf virus</t>
  </si>
  <si>
    <t>PRJNA15407</t>
  </si>
  <si>
    <t>Unknown:NC_005029.1/AJ510223.1</t>
  </si>
  <si>
    <t>Turnip mosaic virus</t>
  </si>
  <si>
    <t>PRJNA15408</t>
  </si>
  <si>
    <t>Unknown:NC_002509.2/AF169561.2</t>
  </si>
  <si>
    <t>Ovine enzootic nasal tumor virus</t>
  </si>
  <si>
    <t>Escherichia coli JJ1886</t>
  </si>
  <si>
    <t>PRJNA15410</t>
  </si>
  <si>
    <t>Unknown:NC_007015.1/Y16627.1</t>
  </si>
  <si>
    <t>Banana streak GF virus</t>
  </si>
  <si>
    <t>PRJNA15411</t>
  </si>
  <si>
    <t>Unknown:NC_007002.1/AY493509.1</t>
  </si>
  <si>
    <t>Pelargonium line pattern virus</t>
  </si>
  <si>
    <t>PRJNA15413</t>
  </si>
  <si>
    <t>Escherichia coli JJ1887</t>
  </si>
  <si>
    <t>Unknown:NC_007017.2/AY613852.2</t>
  </si>
  <si>
    <t>Tupaia virus</t>
  </si>
  <si>
    <t>PRJNA15415</t>
  </si>
  <si>
    <t>Unknown:NC_007020.1/AY840978.1</t>
  </si>
  <si>
    <t>Aeromonas virus 31</t>
  </si>
  <si>
    <t>PRJNA15416</t>
  </si>
  <si>
    <t>Escherichia coli K-12</t>
  </si>
  <si>
    <t>Unknown:NC_007022.1/AY962392.1</t>
  </si>
  <si>
    <t>Enterobacteria phage RB43</t>
  </si>
  <si>
    <t>PRJNA15417</t>
  </si>
  <si>
    <t>Unknown:NC_007023.1/AY967407.1</t>
  </si>
  <si>
    <t>Phytophthora alphaendornavirus 1</t>
  </si>
  <si>
    <t>PRJNA15418</t>
  </si>
  <si>
    <t>Unknown:NC_007069.1/AJ877914.1</t>
  </si>
  <si>
    <t>Cassia yellow blotch virus</t>
  </si>
  <si>
    <t>PRJNA15419</t>
  </si>
  <si>
    <t>45.1715</t>
  </si>
  <si>
    <t>RNA 1:NC_006999.2/AB194806.2;  RNA 2:NC_007000.2/AB194807.2;  RNA 3:NC_007001.1/AB194808.1</t>
  </si>
  <si>
    <t>Chayote mosaic virus</t>
  </si>
  <si>
    <t>PRJNA15420</t>
  </si>
  <si>
    <t>Unknown:NC_002588.1/AF195000.2</t>
  </si>
  <si>
    <t>Burkholderia virus phi52237</t>
  </si>
  <si>
    <t>PRJNA15422</t>
  </si>
  <si>
    <t>Unknown:NC_007145.2/DQ087285.2</t>
  </si>
  <si>
    <t>Microplitis demolitor bracovirus</t>
  </si>
  <si>
    <t>PRJNA15245</t>
  </si>
  <si>
    <t>34.1371</t>
  </si>
  <si>
    <t>I:NC_007041.1/AY887894.1;  A:NC_007028.1/AY842013.1;  B:NC_007029.1/AY848690.1;  C:NC_007031.1/AY875681.1;  D:NC_007033.1/AY875683.1;  E:NC_007030.2/AY875680.2;  F:NC_007032.1/AY875682.1;  G:NC_007034.1/AY875684.1;  H:NC_007035.1/AY875685.1;  J:NC_007036.1/AY875686.1;  K:NC_007037.1/AY875687.1;  L:NC_007040.1/AY875690.1;  M:NC_007038.1/AY875688.1;  N:NC_007039.1/AY875689.1;  O:NC_007044.1/DQ000240.1</t>
  </si>
  <si>
    <t>Staphylococcus phage Twort</t>
  </si>
  <si>
    <t>PRJNA15246</t>
  </si>
  <si>
    <t>Unknown:NC_007021.1/AY954970.1</t>
  </si>
  <si>
    <t>Grapevine rupestris stem pitting-associated virus 1</t>
  </si>
  <si>
    <t>PRJNA15249</t>
  </si>
  <si>
    <t>Unknown:NC_001948.1/AF057136.1</t>
  </si>
  <si>
    <t>Lymantria dispar cypovirus 14</t>
  </si>
  <si>
    <t>PRJNA15250</t>
  </si>
  <si>
    <t>40.2924</t>
  </si>
  <si>
    <t>RNA 1:NC_003006.1/AF389452.1;  RNA 10:NC_003015.1/AF389461.1;  RNA 2:NC_003007.1/AF389453.1;  RNA 3:NC_003008.1/AF389454.1;  RNA 4:NC_003009.1/AF389455.1;  RNA 5:NC_003010.1/AF389456.1;  RNA 6:NC_003011.1/AF389457.1;  RNA 7:NC_003012.1/AF389458.1;  RNA 8:NC_003013.1/AF389459.1;  RNA 9:NC_003014.1/AF389460.1</t>
  </si>
  <si>
    <t>Escherichia coli K-12 ER3413</t>
  </si>
  <si>
    <t>Pneumonia virus of mice J3666</t>
  </si>
  <si>
    <t>PRJNA15251</t>
  </si>
  <si>
    <t>Unknown:NC_006579.1/AY743909.1</t>
  </si>
  <si>
    <t>Streptococcus virus 2972</t>
  </si>
  <si>
    <t>PRJNA15254</t>
  </si>
  <si>
    <t>Unknown:NC_007019.1/AY699705.1</t>
  </si>
  <si>
    <t>Escherichia coli K-12 GM4792</t>
  </si>
  <si>
    <t>Xanthomonas phage Xp15</t>
  </si>
  <si>
    <t>PRJNA15255</t>
  </si>
  <si>
    <t>Unknown:NC_007024.1/AY986977.1</t>
  </si>
  <si>
    <t>Tobacco curly shoot virus - [Y41]</t>
  </si>
  <si>
    <t>PRJNA15257</t>
  </si>
  <si>
    <t>Unknown:NC_003722.1/AJ457986.1</t>
  </si>
  <si>
    <t>Tobacco leaf curl Yunnan virus - [Y136]</t>
  </si>
  <si>
    <t>PRJNA15258</t>
  </si>
  <si>
    <t>Escherichia coli K-12 strain ER3435</t>
  </si>
  <si>
    <t>Unknown:NC_004356.1/AJ512761.1</t>
  </si>
  <si>
    <t>Mungbean yellow mosaic India virus</t>
  </si>
  <si>
    <t>PRJNA15259</t>
  </si>
  <si>
    <t>41.7385</t>
  </si>
  <si>
    <t>DNA A:NC_004608.1/AF126406.1;  DNA B:NC_004609.1/AF142440.1</t>
  </si>
  <si>
    <t>Staphylococcus virus G1</t>
  </si>
  <si>
    <t>PRJNA15261</t>
  </si>
  <si>
    <t>Unknown:NC_007066.1/AY954969.1</t>
  </si>
  <si>
    <t>Staphylococcus virus 187</t>
  </si>
  <si>
    <t>PRJNA15264</t>
  </si>
  <si>
    <t>Escherichia coli K-12 strain ER3440</t>
  </si>
  <si>
    <t>34.3</t>
  </si>
  <si>
    <t>Unknown:NC_007047.1/AY954950.1</t>
  </si>
  <si>
    <t>Staphylococcus phage 2638A</t>
  </si>
  <si>
    <t>PRJNA15267</t>
  </si>
  <si>
    <t>Unknown:NC_007051.1/AY954954.1</t>
  </si>
  <si>
    <t>Staphylococcus virus 42e</t>
  </si>
  <si>
    <t>PRJNA15268</t>
  </si>
  <si>
    <t>Unknown:NC_007052.1/AY954955.1</t>
  </si>
  <si>
    <t>Escherichia coli K-12 strain ER3445</t>
  </si>
  <si>
    <t>Staphylococcus virus 3a</t>
  </si>
  <si>
    <t>PRJNA15269</t>
  </si>
  <si>
    <t>Unknown:NC_007053.1/AY954956.1</t>
  </si>
  <si>
    <t>Escherichia coli K-12 strain ER3446</t>
  </si>
  <si>
    <t>Staphylococcus virus 37</t>
  </si>
  <si>
    <t>PRJNA15271</t>
  </si>
  <si>
    <t>Unknown:NC_007055.1/AY954958.1</t>
  </si>
  <si>
    <t>Staphylococcus virus EW</t>
  </si>
  <si>
    <t>PRJNA15272</t>
  </si>
  <si>
    <t>Unknown:NC_007056.1/AY954959.1</t>
  </si>
  <si>
    <t>Staphylococcus phage ROSA</t>
  </si>
  <si>
    <t>PRJNA15274</t>
  </si>
  <si>
    <t>Escherichia coli K-12 strain ER3454</t>
  </si>
  <si>
    <t>Unknown:NC_007058.1/AY954961.1</t>
  </si>
  <si>
    <t>Staphylococcus virus 55</t>
  </si>
  <si>
    <t>PRJNA15276</t>
  </si>
  <si>
    <t>Unknown:NC_007060.1/AY954963.1</t>
  </si>
  <si>
    <t>Junonia coenia densovirus</t>
  </si>
  <si>
    <t>PRJNA15423</t>
  </si>
  <si>
    <t>Unknown:NC_004284.1/S47266.1</t>
  </si>
  <si>
    <t>Human papillomavirus type 90</t>
  </si>
  <si>
    <t>PRJNA15424</t>
  </si>
  <si>
    <t>Escherichia coli K-12 strain ER3466</t>
  </si>
  <si>
    <t>Unknown:NC_004104.1/AY057438.1</t>
  </si>
  <si>
    <t>Garlic latent virus</t>
  </si>
  <si>
    <t>PRJNA15426</t>
  </si>
  <si>
    <t>Unknown:NC_003557.1/AJ292226.1</t>
  </si>
  <si>
    <t>Hepatitis B virus</t>
  </si>
  <si>
    <t>PRJNA15428</t>
  </si>
  <si>
    <t>Unknown:NC_003977.2/V01460.1</t>
  </si>
  <si>
    <t>Eastern equine encephalitis virus</t>
  </si>
  <si>
    <t>PRJNA15429</t>
  </si>
  <si>
    <t>Unknown:NC_003899.1/X63135.1</t>
  </si>
  <si>
    <t>Escherichia coli K-12 strain ER3475</t>
  </si>
  <si>
    <t>Murray Valley encephalitis virus</t>
  </si>
  <si>
    <t>PRJNA15430</t>
  </si>
  <si>
    <t>Unknown:NC_000943.1/AF161266.1</t>
  </si>
  <si>
    <t>Newcastle disease virus B1</t>
  </si>
  <si>
    <t>PRJNA15433</t>
  </si>
  <si>
    <t>Unknown:NC_002617.1/AF309418.1</t>
  </si>
  <si>
    <t>Tobacco curly shoot alphasatellite</t>
  </si>
  <si>
    <t>PRJNA15480</t>
  </si>
  <si>
    <t>Unknown:NC_005057.1/AJ579345.1</t>
  </si>
  <si>
    <t>Escherichia coli K-12 strain ER3476</t>
  </si>
  <si>
    <t>Tomato yellow leaf curl China alphasatellite</t>
  </si>
  <si>
    <t>PRJNA15481</t>
  </si>
  <si>
    <t>Unknown:NC_005058.1/AJ579353.1</t>
  </si>
  <si>
    <t>Thunberg fritillary mosaic virus</t>
  </si>
  <si>
    <t>PRJNA15483</t>
  </si>
  <si>
    <t>Unknown:NC_007180.1/AJ851866.1</t>
  </si>
  <si>
    <t>Chicken anemia virus</t>
  </si>
  <si>
    <t>PRJNA15484</t>
  </si>
  <si>
    <t>Unknown:NC_001427.1/M55918.1</t>
  </si>
  <si>
    <t>Escherichia coli KLY</t>
  </si>
  <si>
    <t>Human papillomavirus type 41</t>
  </si>
  <si>
    <t>PRJNA15485</t>
  </si>
  <si>
    <t>Unknown:NC_001354.1/X56147.1</t>
  </si>
  <si>
    <t>Human papillomavirus type 63</t>
  </si>
  <si>
    <t>PRJNA15486</t>
  </si>
  <si>
    <t>Unknown:NC_001458.1/X70828.1</t>
  </si>
  <si>
    <t>Human papillomavirus type 96</t>
  </si>
  <si>
    <t>PRJNA15488</t>
  </si>
  <si>
    <t>Escherichia coli KO11FL</t>
  </si>
  <si>
    <t>Unknown:NC_005134.2/AY382779.2</t>
  </si>
  <si>
    <t>Cymbidium mosaic virus</t>
  </si>
  <si>
    <t>PRJNA15490</t>
  </si>
  <si>
    <t>Unknown:NC_001812.1/U62963.1</t>
  </si>
  <si>
    <t>Human papillomavirus type 1a</t>
  </si>
  <si>
    <t>PRJNA15491</t>
  </si>
  <si>
    <t>Unknown:NC_001356.1/V01116.1</t>
  </si>
  <si>
    <t>Human papillomavirus type 4</t>
  </si>
  <si>
    <t>PRJNA15492</t>
  </si>
  <si>
    <t>Unknown:NC_001457.1/X70827.1</t>
  </si>
  <si>
    <t>Stenotrophomonas phage SMA9</t>
  </si>
  <si>
    <t>PRJNA15493</t>
  </si>
  <si>
    <t>62.4</t>
  </si>
  <si>
    <t>Unknown:NC_007189.1/AM040673.1</t>
  </si>
  <si>
    <t>Lily virus X</t>
  </si>
  <si>
    <t>PRJNA15494</t>
  </si>
  <si>
    <t>Escherichia coli LF82</t>
  </si>
  <si>
    <t>Unknown:NC_007192.1/AJ633822.2</t>
  </si>
  <si>
    <t>Lily mottle virus</t>
  </si>
  <si>
    <t>PRJNA15495</t>
  </si>
  <si>
    <t>Unknown:NC_005288.1/AJ564636.1</t>
  </si>
  <si>
    <t>Sida yellow mosaic virus-[Brazil]</t>
  </si>
  <si>
    <t>PRJNA15496</t>
  </si>
  <si>
    <t>Escherichia coli LY180</t>
  </si>
  <si>
    <t>Unknown:NC_004639.1/AY090558.1</t>
  </si>
  <si>
    <t>Human metapneumovirus</t>
  </si>
  <si>
    <t>PRJNA15498</t>
  </si>
  <si>
    <t>Unknown:NC_004148.2/AY297749.1</t>
  </si>
  <si>
    <t>Small ruminant morbillivirus</t>
  </si>
  <si>
    <t>PRJNA15499</t>
  </si>
  <si>
    <t>Escherichia coli NA114</t>
  </si>
  <si>
    <t>Unknown:NC_006383.2/AJ849636.2</t>
  </si>
  <si>
    <t>Melon necrotic spot virus</t>
  </si>
  <si>
    <t>PRJNA15502</t>
  </si>
  <si>
    <t>Unknown:NC_001504.1/M29671.1</t>
  </si>
  <si>
    <t>Potato virus X</t>
  </si>
  <si>
    <t>PRJNA15503</t>
  </si>
  <si>
    <t>Unknown:NC_011620.1/D00344.1</t>
  </si>
  <si>
    <t>Human papillomavirus type 10</t>
  </si>
  <si>
    <t>PRJNA15504</t>
  </si>
  <si>
    <t>Escherichia coli Nissle 1917</t>
  </si>
  <si>
    <t>Unknown:NC_001576.1/X74465.1</t>
  </si>
  <si>
    <t>Human papillomavirus type 16</t>
  </si>
  <si>
    <t>PRJNA15505</t>
  </si>
  <si>
    <t>NC_001526.4/K02718.1</t>
  </si>
  <si>
    <t>Human papillomavirus type 18</t>
  </si>
  <si>
    <t>PRJNA15506</t>
  </si>
  <si>
    <t>Unknown:NC_001357.1/X05015.1</t>
  </si>
  <si>
    <t>Human papillomavirus type 26</t>
  </si>
  <si>
    <t>PRJNA15507</t>
  </si>
  <si>
    <t>Unknown:NC_001583.1/X74472.1</t>
  </si>
  <si>
    <t>Human papillomavirus type 32</t>
  </si>
  <si>
    <t>PRJNA15508</t>
  </si>
  <si>
    <t>Escherichia coli O103:H2 str. 12009</t>
  </si>
  <si>
    <t>Unknown:NC_001586.1/X74475.1</t>
  </si>
  <si>
    <t>Human papillomavirus type 34</t>
  </si>
  <si>
    <t>PRJNA15509</t>
  </si>
  <si>
    <t>Unknown:NC_001587.1/X74476.1</t>
  </si>
  <si>
    <t>Human papillomavirus type 53</t>
  </si>
  <si>
    <t>PRJNA15510</t>
  </si>
  <si>
    <t>Unknown:NC_001593.1/X74482.1</t>
  </si>
  <si>
    <t>Human papillomavirus type 2a</t>
  </si>
  <si>
    <t>PRJNA15512</t>
  </si>
  <si>
    <t>Escherichia coli O104:H4 str. 2009EL-2050</t>
  </si>
  <si>
    <t>Unknown:NC_001352.1/X55964.1</t>
  </si>
  <si>
    <t>Sida yellow mosaic virus-[China]-associated DNA beta</t>
  </si>
  <si>
    <t>PRJNA15514</t>
  </si>
  <si>
    <t>Unknown:NC_006267.1/AJ810093.1</t>
  </si>
  <si>
    <t>Ageratum yellow vein China betasatellite</t>
  </si>
  <si>
    <t>PRJNA15515</t>
  </si>
  <si>
    <t>Unknown:NC_007067.1/AJ971257.1</t>
  </si>
  <si>
    <t>Artichoke mottled crinkle virus</t>
  </si>
  <si>
    <t>PRJNA15517</t>
  </si>
  <si>
    <t>Escherichia coli O104:H4 str. 2009EL-2071</t>
  </si>
  <si>
    <t>Unknown:NC_001339.1/X62493.1</t>
  </si>
  <si>
    <t>Norwalk virus</t>
  </si>
  <si>
    <t>PRJNA15520</t>
  </si>
  <si>
    <t>Unknown:NC_001959.2/M87661.2</t>
  </si>
  <si>
    <t>Breda virus</t>
  </si>
  <si>
    <t>PRJNA15881</t>
  </si>
  <si>
    <t>Unknown:NC_007447.1/AY427798.1</t>
  </si>
  <si>
    <t>Grapevine leafroll-associated virus 2</t>
  </si>
  <si>
    <t>Escherichia coli O104:H4 str. 2011C-3493</t>
  </si>
  <si>
    <t>PRJNA15884</t>
  </si>
  <si>
    <t>Unknown:NC_007448.1/AY881628.1</t>
  </si>
  <si>
    <t>J-virus</t>
  </si>
  <si>
    <t>PRJNA15892</t>
  </si>
  <si>
    <t>Unknown:NC_007454.1/AY900001.1</t>
  </si>
  <si>
    <t>Human bocavirus</t>
  </si>
  <si>
    <t>PRJNA15895</t>
  </si>
  <si>
    <t>Unknown:NC_007455.1/DQ000496.1</t>
  </si>
  <si>
    <t>Phage phiJL001</t>
  </si>
  <si>
    <t>PRJNA16076</t>
  </si>
  <si>
    <t>Escherichia coli O104:H4 str. C227-11</t>
  </si>
  <si>
    <t>Unknown:NC_006938.1/AY576273.1</t>
  </si>
  <si>
    <t>Burkholderia phage Bcep176</t>
  </si>
  <si>
    <t>PRJNA16102</t>
  </si>
  <si>
    <t>Unknown:NC_007497.1/DQ203855.1</t>
  </si>
  <si>
    <t>Rotavirus C</t>
  </si>
  <si>
    <t>PRJNA16140</t>
  </si>
  <si>
    <t>31.6777</t>
  </si>
  <si>
    <t>1:NC_007547.1/AJ304859.1;  2:NC_007546.1/AJ303139.1;  3:NC_007572.1/X79442.1;  4:NC_007574.1/X96697.1;  5:NC_007570.1/X59843.2;  6:NC_007543.1/AJ132203.1;  7:NC_007544.1/AJ132204.1;  8:NC_007571.1/X77257.1;  9:NC_007545.1/AJ132205.1;  10:NC_007569.1/M81488.2;  11:NC_007573.1/X83967.1</t>
  </si>
  <si>
    <t>Penicillium chrysogenum virus</t>
  </si>
  <si>
    <t>Escherichia coli O111:H- str. 11128</t>
  </si>
  <si>
    <t>PRJNA16141</t>
  </si>
  <si>
    <t>50.7586</t>
  </si>
  <si>
    <t>1:NC_007539.1/AF296439.1;  2:NC_007540.1/AF296440.1;  3:NC_007541.1/AF296441.1;  4:NC_007542.1/AF296442.1</t>
  </si>
  <si>
    <t>Coniothyrium minitans RNA virus</t>
  </si>
  <si>
    <t>PRJNA16142</t>
  </si>
  <si>
    <t>Unknown:NC_007523.1/AF527633.1</t>
  </si>
  <si>
    <t>Mycoreovirus 3</t>
  </si>
  <si>
    <t>PRJNA16143</t>
  </si>
  <si>
    <t>48.4833</t>
  </si>
  <si>
    <t>1:NC_007535.1/AB102674.1;  2:NC_007533.1/AB098022.1;  3:NC_007536.1/AB102675.1;  4:NC_007524.1/AB073276.1;  5:NC_007534.1/AB098023.1;  6:NC_007525.1/AB073277.1;  7:NC_007526.1/AB073278.1;  8:NC_007527.1/AB073279.1;  9:NC_007528.1/AB073280.1;  10:NC_007529.1/AB073281.1;  11:NC_007531.1/AB073282.1;  12:NC_007532.1/AB073283.1</t>
  </si>
  <si>
    <t>Adult diarrheal rotavirus strain J19</t>
  </si>
  <si>
    <t>Escherichia coli O127:H6 str. E2348/69</t>
  </si>
  <si>
    <t>PRJNA16144</t>
  </si>
  <si>
    <t>33.509</t>
  </si>
  <si>
    <t>1:NC_007548.1/DQ113897.1;  2:NC_007549.1/DQ113898.1;  3:NC_007551.1/DQ113900.1;  4:NC_007550.1/DQ113899.1;  5:NC_007552.1/DQ113901.1;  6:NC_007553.1/DQ113902.1;  7:NC_007555.1/DQ113904.1;  8:NC_007554.1/DQ113903.1;  9:NC_007556.1/DQ113905.1;  10:NC_007557.1/DQ113906.1;  11:NC_007558.1/DQ113907.1</t>
  </si>
  <si>
    <t>Operophtera brumata reovirus</t>
  </si>
  <si>
    <t>PRJNA16145</t>
  </si>
  <si>
    <t>41.2592</t>
  </si>
  <si>
    <t>1:NC_007559.1/DQ192235.1;  2:NC_007560.1/DQ192236.1;  3:NC_007561.1/DQ192237.1;  4:NC_007562.1/DQ192238.1;  5:NC_007563.1/DQ192239.1;  6:NC_007564.1/DQ192240.1;  7:NC_007565.1/DQ192241.1;  8:NC_007566.1/DQ192242.1;  9:NC_007567.1/DQ192243.1;  10:NC_007568.1/DQ192244.1</t>
  </si>
  <si>
    <t>St. Louis encephalitis virus</t>
  </si>
  <si>
    <t>Escherichia coli O145:H28 str. RM12581</t>
  </si>
  <si>
    <t>PRJNA16150</t>
  </si>
  <si>
    <t>Unknown:NC_007580.2/DQ525916.1</t>
  </si>
  <si>
    <t>Clostridium phage c-st</t>
  </si>
  <si>
    <t>PRJNA16151</t>
  </si>
  <si>
    <t>Unknown:NC_007581.1/AP008983.1</t>
  </si>
  <si>
    <t>Escherichia coli O145:H28 str. RM12761</t>
  </si>
  <si>
    <t>Rosellinia necatrix partitivirus 1-W8</t>
  </si>
  <si>
    <t>PRJNA16156</t>
  </si>
  <si>
    <t>48.4362</t>
  </si>
  <si>
    <t>1:NC_007537.1/AB113347.1;  2:NC_007538.1/AB113348.1</t>
  </si>
  <si>
    <t>Chum salmon reovirus CS</t>
  </si>
  <si>
    <t>PRJNA16158</t>
  </si>
  <si>
    <t>55.3946</t>
  </si>
  <si>
    <t>Escherichia coli O145:H28 str. RM13514</t>
  </si>
  <si>
    <t>1:NC_007582.1/AF418294.1;  2:NC_007583.1/AF418295.1;  3:NC_007584.1/AF418296.1;  4:NC_007585.1/AF418297.1;  5:NC_007586.1/AF418298.1;  6:NC_007592.1/AF418299.1;  7:NC_007587.1/AF418300.1;  8:NC_007588.1/AF418301.1;  9:NC_007589.1/AF418302.1;  10:NC_007590.1/AF418303.1;  11:NC_007591.1/AF418304.1</t>
  </si>
  <si>
    <t>Escherichia virus Rtp</t>
  </si>
  <si>
    <t>PRJNA16178</t>
  </si>
  <si>
    <t>Unknown:NC_007603.1/AM156909.1</t>
  </si>
  <si>
    <t>Escherichia coli O145:H28 str. RM13516</t>
  </si>
  <si>
    <t>Dulcamara mottle virus</t>
  </si>
  <si>
    <t>PRJNA16188</t>
  </si>
  <si>
    <t>Unknown:NC_007609.1/AY789137.1</t>
  </si>
  <si>
    <t>Simian virus 12</t>
  </si>
  <si>
    <t>PRJNA16189</t>
  </si>
  <si>
    <t>Escherichia coli O157</t>
  </si>
  <si>
    <t>Unknown:NC_007611.1/AY614708.1</t>
  </si>
  <si>
    <t>Pseudomonas phage EL</t>
  </si>
  <si>
    <t>PRJNA16199</t>
  </si>
  <si>
    <t>Unknown:NC_007623.1/AJ697969.1</t>
  </si>
  <si>
    <t>Kelp fly virus</t>
  </si>
  <si>
    <t>PRJNA16201</t>
  </si>
  <si>
    <t>Unknown:NC_007619.1/DQ112227.1</t>
  </si>
  <si>
    <t>Bos taurus papillomavirus 7</t>
  </si>
  <si>
    <t>PRJNA16202</t>
  </si>
  <si>
    <t>Escherichia coli O157:H16 Santai</t>
  </si>
  <si>
    <t>Unknown:NC_007612.1/DQ217793.1</t>
  </si>
  <si>
    <t>Menangle virus</t>
  </si>
  <si>
    <t>PRJNA16205</t>
  </si>
  <si>
    <t>Unknown:NC_007620.1/AF326114.2</t>
  </si>
  <si>
    <t>Escherichia coli O157:H7</t>
  </si>
  <si>
    <t>Sida leaf curl virus</t>
  </si>
  <si>
    <t>PRJNA16225</t>
  </si>
  <si>
    <t>Unknown:NC_007638.1/AM050730.1</t>
  </si>
  <si>
    <t>Sida leaf curl virus-associated DNA beta</t>
  </si>
  <si>
    <t>PRJNA16226</t>
  </si>
  <si>
    <t>Unknown:NC_007639.1/AM050732.1</t>
  </si>
  <si>
    <t>Sida leaf curl virus-associated DNA 1</t>
  </si>
  <si>
    <t>PRJNA16227</t>
  </si>
  <si>
    <t>Unknown:NC_007640.1/AM050734.1</t>
  </si>
  <si>
    <t>Escherichia virus K1E</t>
  </si>
  <si>
    <t>PRJNA16228</t>
  </si>
  <si>
    <t>Unknown:NC_007637.1/AM084415.1</t>
  </si>
  <si>
    <t>Ovine gammaherpesvirus 2</t>
  </si>
  <si>
    <t>PRJNA16234</t>
  </si>
  <si>
    <t>Escherichia coli O157:H7 str. EC4115</t>
  </si>
  <si>
    <t>Unknown:NC_007646.1/AY839756.1</t>
  </si>
  <si>
    <t>Lettuce necrotic yellows virus</t>
  </si>
  <si>
    <t>PRJNA16236</t>
  </si>
  <si>
    <t>Unknown:NC_007642.1/AJ867584.2</t>
  </si>
  <si>
    <t>Vicia faba alphaendornavirus</t>
  </si>
  <si>
    <t>Escherichia coli O157:H7 str. EDL933</t>
  </si>
  <si>
    <t>PRJNA16237</t>
  </si>
  <si>
    <t>Unknown:NC_007648.1/AJ000929.1</t>
  </si>
  <si>
    <t>Oryza rufipogon alphaendornavirus</t>
  </si>
  <si>
    <t>PRJNA16238</t>
  </si>
  <si>
    <t>Unknown:NC_007649.1/AB014344.1</t>
  </si>
  <si>
    <t>Oryza sativa alphaendornavirus</t>
  </si>
  <si>
    <t>PRJNA16239</t>
  </si>
  <si>
    <t>Unknown:NC_007647.1/D32136.1</t>
  </si>
  <si>
    <t>Avian metapneumovirus</t>
  </si>
  <si>
    <t>PRJNA16240</t>
  </si>
  <si>
    <t>Unknown:NC_007652.1/DQ009484.1</t>
  </si>
  <si>
    <t>Yunnan orbivirus</t>
  </si>
  <si>
    <t>PRJNA16242</t>
  </si>
  <si>
    <t>40.6967</t>
  </si>
  <si>
    <t>1:NC_007656.1/AY701509.1;  2:NC_007657.1/AY701510.1;  3:NC_007658.1/AY701511.1;  4:NC_007659.1/AY701512.1;  5:NC_007660.1/AY701513.1;  6:NC_007661.1/AY701514.1;  7:NC_007662.1/AY701515.1;  8:NC_007663.1/AY701516.1;  9:NC_007664.1/AY701517.1;  10:NC_007665.1/AY701518.1</t>
  </si>
  <si>
    <t>Aedes pseudoscutellaris reovirus</t>
  </si>
  <si>
    <t>PRJNA16243</t>
  </si>
  <si>
    <t>Escherichia coli O157:H7 str. Sakai</t>
  </si>
  <si>
    <t>33.9535</t>
  </si>
  <si>
    <t>1:NC_007666.1/DQ087276.1;  2:NC_007667.1/DQ087277.1;  3:NC_007668.1/DQ087278.1;  4:NC_007669.1/DQ087279.1;  5:NC_007670.1/DQ087280.1;  6:NC_007671.1/DQ087281.1;  7:NC_007672.1/DQ087282.1;  8:NC_007673.1/DQ087283.1;  9:NC_007674.1/DQ087284.1</t>
  </si>
  <si>
    <t>Bitter gourd leaf curl betasatellite</t>
  </si>
  <si>
    <t>PRJNA16245</t>
  </si>
  <si>
    <t>Unknown:NC_007655.1/AY817151.1</t>
  </si>
  <si>
    <t>Papiine alphaherpesvirus 2</t>
  </si>
  <si>
    <t>PRJNA16246</t>
  </si>
  <si>
    <t>76.1</t>
  </si>
  <si>
    <t>Unknown:NC_007653.1/DQ149153.1</t>
  </si>
  <si>
    <t>Escherichia coli O157:H7 str. SS17</t>
  </si>
  <si>
    <t>Atlantic salmon swim bladder sarcoma virus</t>
  </si>
  <si>
    <t>PRJNA16247</t>
  </si>
  <si>
    <t>Unknown:NC_007654.1/DQ174103.1</t>
  </si>
  <si>
    <t>Nerine virus X</t>
  </si>
  <si>
    <t>PRJNA16257</t>
  </si>
  <si>
    <t>Unknown:NC_007679.1/AB219105.1</t>
  </si>
  <si>
    <t>Xanthomonas virus OP1</t>
  </si>
  <si>
    <t>PRJNA16299</t>
  </si>
  <si>
    <t>Unknown:NC_007709.1/AP008979.1</t>
  </si>
  <si>
    <t>Escherichia coli O157:H7 str. SS52</t>
  </si>
  <si>
    <t>Xanthomonas phage OP2</t>
  </si>
  <si>
    <t>PRJNA16300</t>
  </si>
  <si>
    <t>Unknown:NC_007710.1/AP008986.1</t>
  </si>
  <si>
    <t>Cotton leaf curl Multan virus satellite U36-1</t>
  </si>
  <si>
    <t>PRJNA16312</t>
  </si>
  <si>
    <t>Unknown:NC_007721.1/AJ620463.1</t>
  </si>
  <si>
    <t>Maize necrotic streak virus</t>
  </si>
  <si>
    <t>PRJNA16323</t>
  </si>
  <si>
    <t>Unknown:NC_007729.1/AF266518.2</t>
  </si>
  <si>
    <t>Escherichia coli O157:H7 str. TW14359</t>
  </si>
  <si>
    <t>Tomato leaf curl Joydebpur virus</t>
  </si>
  <si>
    <t>PRJNA16324</t>
  </si>
  <si>
    <t>Unknown:NC_007723.1/AJ875159.1</t>
  </si>
  <si>
    <t>Malvastrum leaf curl virus - [G87]</t>
  </si>
  <si>
    <t>PRJNA16325</t>
  </si>
  <si>
    <t>Unknown:NC_007724.1/AJ971263.1</t>
  </si>
  <si>
    <t>East Asian Passiflora virus</t>
  </si>
  <si>
    <t>PRJNA16326</t>
  </si>
  <si>
    <t>Escherichia coli O157:H7 strain WS4202</t>
  </si>
  <si>
    <t>Unknown:NC_007728.1/AB246773.1</t>
  </si>
  <si>
    <t>Tomato yellow spot virus</t>
  </si>
  <si>
    <t>PRJNA16327</t>
  </si>
  <si>
    <t>44.2568</t>
  </si>
  <si>
    <t>DNA A:NC_007726.1/DQ336350.1;  DNA B:NC_007727.1/DQ336351.1</t>
  </si>
  <si>
    <t>Bacillus virus Wbeta</t>
  </si>
  <si>
    <t>PRJNA16329</t>
  </si>
  <si>
    <t>Unknown:NC_007734.1/DQ289555.1</t>
  </si>
  <si>
    <t>Alternanthera mosaic virus</t>
  </si>
  <si>
    <t>PRJNA16333</t>
  </si>
  <si>
    <t>Escherichia coli O26:H11 str. 11368</t>
  </si>
  <si>
    <t>Unknown:NC_007731.1/AY863024.1</t>
  </si>
  <si>
    <t>Angelonia flower break virus</t>
  </si>
  <si>
    <t>PRJNA16334</t>
  </si>
  <si>
    <t>Unknown:NC_007733.1/DQ219415.1</t>
  </si>
  <si>
    <t>Vernonia yellow vein virus</t>
  </si>
  <si>
    <t>PRJNA16335</t>
  </si>
  <si>
    <t>Unknown:NC_007730.2/AM182232.2</t>
  </si>
  <si>
    <t>Liao ning virus</t>
  </si>
  <si>
    <t>PRJNA16336</t>
  </si>
  <si>
    <t>41.3639</t>
  </si>
  <si>
    <t>1:NC_007736.1/AY701339.1;  2:NC_007737.1/AY701340.1;  3:NC_007738.1/AY701341.1;  4:NC_007739.1/AY701342.1;  5:NC_007740.1/AY701343.1;  6:NC_007741.1/AY701344.1;  7:NC_007742.1/AY701345.1;  8:NC_007743.1/AY701346.1;  9:NC_007744.1/AY701347.1;  10:NC_007745.1/AY701348.1;  11:NC_007746.1/AY701349.1;  12:NC_007747.1/AY701350.1</t>
  </si>
  <si>
    <t>Escherichia coli O55:H7 str. CB9615</t>
  </si>
  <si>
    <t>Peruvian horse sickness virus</t>
  </si>
  <si>
    <t>PRJNA16337</t>
  </si>
  <si>
    <t>35.9197</t>
  </si>
  <si>
    <t>1:NC_007748.1/DQ248057.1;  2:NC_007749.1/DQ248058.1;  3:NC_007750.1/DQ248059.1;  4:NC_007751.1/DQ248060.1;  5:NC_007755.1/DQ248064.1;  6:NC_007752.1/DQ248061.1;  7:NC_007756.1/DQ248065.1;  8:NC_007754.1/DQ248063.1;  9:NC_007753.1/DQ248062.1;  10:NC_007757.1/DQ248066.1</t>
  </si>
  <si>
    <t>TYLCCNV-[Y322] satellite DNA beta</t>
  </si>
  <si>
    <t>PRJNA16338</t>
  </si>
  <si>
    <t>Escherichia coli O55:H7 str. RM12579</t>
  </si>
  <si>
    <t>Unknown:NC_007735.1/AM181684.1</t>
  </si>
  <si>
    <t>Hyphantria cunea nucleopolyhedrovirus</t>
  </si>
  <si>
    <t>PRJNA16343</t>
  </si>
  <si>
    <t>Unknown:NC_007767.1/AP009046.1</t>
  </si>
  <si>
    <t>Escherichia phage phiV10</t>
  </si>
  <si>
    <t>PRJNA16381</t>
  </si>
  <si>
    <t>Unknown:NC_007804.2/DQ126339.2</t>
  </si>
  <si>
    <t>Escherichia coli O7:K1 str. CE10</t>
  </si>
  <si>
    <t>Bacillus phage Fah</t>
  </si>
  <si>
    <t>PRJNA16382</t>
  </si>
  <si>
    <t>34.9</t>
  </si>
  <si>
    <t>Unknown:NC_007814.1/DQ150593.1</t>
  </si>
  <si>
    <t>Pseudomonas phage F10</t>
  </si>
  <si>
    <t>PRJNA16383</t>
  </si>
  <si>
    <t>Unknown:NC_007805.1/DQ163912.1</t>
  </si>
  <si>
    <t>Pseudomonas phage 73</t>
  </si>
  <si>
    <t>PRJNA16384</t>
  </si>
  <si>
    <t>Escherichia coli O83:H1 str. NRG 857C</t>
  </si>
  <si>
    <t>Unknown:NC_007806.1/DQ163913.1</t>
  </si>
  <si>
    <t>Pseudomonas phage 119X</t>
  </si>
  <si>
    <t>PRJNA16385</t>
  </si>
  <si>
    <t>Unknown:NC_007807.1/DQ163914.1</t>
  </si>
  <si>
    <t>Pseudomonas phage PA11</t>
  </si>
  <si>
    <t>PRJNA16386</t>
  </si>
  <si>
    <t>Unknown:NC_007808.1/DQ163915.1</t>
  </si>
  <si>
    <t>Escherichia coli P12b</t>
  </si>
  <si>
    <t>Pseudomonas phage M6</t>
  </si>
  <si>
    <t>PRJNA16387</t>
  </si>
  <si>
    <t>Unknown:NC_007809.1/DQ163916.1</t>
  </si>
  <si>
    <t>Pseudomonas phage F8</t>
  </si>
  <si>
    <t>PRJNA16388</t>
  </si>
  <si>
    <t>Unknown:NC_007810.1/DQ163917.1</t>
  </si>
  <si>
    <t>Mobala mammarenavirus</t>
  </si>
  <si>
    <t>PRJNA16582</t>
  </si>
  <si>
    <t>40.9261</t>
  </si>
  <si>
    <t>Escherichia coli PCN061</t>
  </si>
  <si>
    <t>L:NC_007904.1/DQ328876.1;  S:NC_007903.1/AY342390.1</t>
  </si>
  <si>
    <t>Sodalis phage phiSG1</t>
  </si>
  <si>
    <t>PRJNA16583</t>
  </si>
  <si>
    <t>Unknown:NC_007902.1/AP009146.1</t>
  </si>
  <si>
    <t>Human papillomavirus type 7</t>
  </si>
  <si>
    <t>PRJNA15450</t>
  </si>
  <si>
    <t>Unknown:NC_001595.1/X74463.1</t>
  </si>
  <si>
    <t>Human papillomavirus type 61</t>
  </si>
  <si>
    <t>PRJNA15451</t>
  </si>
  <si>
    <t>Escherichia coli pHNSHP45-2</t>
  </si>
  <si>
    <t>Unknown:NC_001694.1/U31793.1</t>
  </si>
  <si>
    <t>Deltapapillomavirus 1</t>
  </si>
  <si>
    <t>PRJNA15453</t>
  </si>
  <si>
    <t>Unknown:NC_001524.1/M15953.1</t>
  </si>
  <si>
    <t>Classical swine fever virus strain Eystrup</t>
  </si>
  <si>
    <t>PRJNA15457</t>
  </si>
  <si>
    <t>Unknown:NC_002657.1/AF326963.1</t>
  </si>
  <si>
    <t>Heron hepatitis B virus</t>
  </si>
  <si>
    <t>PRJNA15458</t>
  </si>
  <si>
    <t>Unknown:NC_001486.1/M22056.1</t>
  </si>
  <si>
    <t>Deltapapillomavirus 3</t>
  </si>
  <si>
    <t>PRJNA15460</t>
  </si>
  <si>
    <t>Escherichia coli PMV-1</t>
  </si>
  <si>
    <t>Unknown:NC_001789.1/U83594.1</t>
  </si>
  <si>
    <t>Sweet potato leaf curl virus</t>
  </si>
  <si>
    <t>PRJNA15461</t>
  </si>
  <si>
    <t>Unknown:NC_004650.1/AF104036.1</t>
  </si>
  <si>
    <t>Deerpox virus W-848-83</t>
  </si>
  <si>
    <t>PRJNA15462</t>
  </si>
  <si>
    <t>Unknown:NC_006966.1/AY689436.1</t>
  </si>
  <si>
    <t>Escherichia coli RM9387</t>
  </si>
  <si>
    <t>Border disease virus - X818</t>
  </si>
  <si>
    <t>PRJNA15463</t>
  </si>
  <si>
    <t>Unknown:NC_003679.1/AF037405.1</t>
  </si>
  <si>
    <t>Canine minute virus</t>
  </si>
  <si>
    <t>PRJNA15465</t>
  </si>
  <si>
    <t>Unknown:NC_004442.1/AF495467.1</t>
  </si>
  <si>
    <t>Human papillomavirus type 54</t>
  </si>
  <si>
    <t>PRJNA15466</t>
  </si>
  <si>
    <t>Escherichia coli RS218</t>
  </si>
  <si>
    <t>Unknown:NC_001676.1/U37488.1</t>
  </si>
  <si>
    <t>GB virus C</t>
  </si>
  <si>
    <t>PRJNA15467</t>
  </si>
  <si>
    <t>59.1</t>
  </si>
  <si>
    <t>Unknown:NC_001710.1/U44402.1</t>
  </si>
  <si>
    <t>Procyon lotor papillomavirus 1</t>
  </si>
  <si>
    <t>PRJNA15468</t>
  </si>
  <si>
    <t>Unknown:NC_007150.1/AY763115.1</t>
  </si>
  <si>
    <t>Escherichia coli S88</t>
  </si>
  <si>
    <t>Chrysodeixis chalcites nucleopolyhedrovirus</t>
  </si>
  <si>
    <t>PRJNA15469</t>
  </si>
  <si>
    <t>Unknown:NC_007151.1/AY864330.1</t>
  </si>
  <si>
    <t>Cucumber mosaic virus</t>
  </si>
  <si>
    <t>PRJNA15470</t>
  </si>
  <si>
    <t>46.4387</t>
  </si>
  <si>
    <t>RNA 1:NC_002034.1/D00356.1;  RNA 2:NC_002035.1/D00355.1;  RNA 3:NC_001440.1/D10538.1</t>
  </si>
  <si>
    <t>Peanut stunt virus</t>
  </si>
  <si>
    <t>PRJNA15471</t>
  </si>
  <si>
    <t>46.514</t>
  </si>
  <si>
    <t>Escherichia coli SE11</t>
  </si>
  <si>
    <t>RNA 1:NC_002038.1/U15728.1;  RNA 2:NC_002039.1/U15729.1;  RNA 3:NC_002040.1/U15730.1</t>
  </si>
  <si>
    <t>Tobacco streak virus</t>
  </si>
  <si>
    <t>PRJNA15472</t>
  </si>
  <si>
    <t>43.4028</t>
  </si>
  <si>
    <t>RNA 1:NC_003844.1/U80934.1; chromosome RNA 2:NC_003842.1/U75538.1;  RNA 3:NC_003845.1/X00435.1</t>
  </si>
  <si>
    <t>Fiji disease virus</t>
  </si>
  <si>
    <t>PRJNA15473</t>
  </si>
  <si>
    <t>31.9128</t>
  </si>
  <si>
    <t>1:NC_007159.1/AY029520.1;  2:NC_007154.1/AF049704.1;  3:NC_007158.1/AF359556.1; chromosome 4:NC_007155.1/AF049705.1;  5:NC_007160.1/AY029521.1;  6:NC_007157.1/AF356083.1;  7:NC_007163.1/AY789927.1;  8:NC_007161.1/AY297693.1;  9:NC_007156.1/AF050086.1;  10:NC_007162.1/AY297694.1</t>
  </si>
  <si>
    <t>Escherichia coli SE15</t>
  </si>
  <si>
    <t>JC polyomavirus</t>
  </si>
  <si>
    <t>PRJNA15477</t>
  </si>
  <si>
    <t>Unknown:NC_001699.1/J02226.1</t>
  </si>
  <si>
    <t>Wheat dwarf virus - [Enkoping1]</t>
  </si>
  <si>
    <t>PRJNA15478</t>
  </si>
  <si>
    <t>Unknown:NC_003326.1/AJ311031.1</t>
  </si>
  <si>
    <t>Enterobacteria phage MX1</t>
  </si>
  <si>
    <t>PRJNA15479</t>
  </si>
  <si>
    <t>Escherichia coli SMS-3-5</t>
  </si>
  <si>
    <t>Unknown:NC_001890.1/AF059242.1</t>
  </si>
  <si>
    <t>Wisteria vein mosaic virus</t>
  </si>
  <si>
    <t>PRJNA15532</t>
  </si>
  <si>
    <t>Unknown:NC_007216.1/AY656816.1</t>
  </si>
  <si>
    <t>Penicillium stoloniferum virus F</t>
  </si>
  <si>
    <t>PRJNA15533</t>
  </si>
  <si>
    <t>42.6419</t>
  </si>
  <si>
    <t>1:NC_007221.1/AY738336.1;  2:NC_007222.1/AY738337.1;  3:NC_007223.1/AY738338.1</t>
  </si>
  <si>
    <t>Escherichia coli str. 'clone D i14'</t>
  </si>
  <si>
    <t>Vicia cryptic virus</t>
  </si>
  <si>
    <t>PRJNA15555</t>
  </si>
  <si>
    <t>47.0855</t>
  </si>
  <si>
    <t>RNA 1:NC_007241.1/AY751737.1;  RNA 2:NC_007242.1/AY751738.1</t>
  </si>
  <si>
    <t>Cotton leaf curl Bangalore betasatellite</t>
  </si>
  <si>
    <t>PRJNA15557</t>
  </si>
  <si>
    <t>Unknown:NC_007219.1/AY705381.1</t>
  </si>
  <si>
    <t>Duck circovirus</t>
  </si>
  <si>
    <t>PRJNA15558</t>
  </si>
  <si>
    <t>Escherichia coli str. 'clone D i2'</t>
  </si>
  <si>
    <t>Unknown:NC_007220.1/DQ100076.1</t>
  </si>
  <si>
    <t>Ludwigia yellow vein virus</t>
  </si>
  <si>
    <t>PRJNA15559</t>
  </si>
  <si>
    <t>Unknown:NC_007210.2/AJ965539.2</t>
  </si>
  <si>
    <t>Alternanthera yellow vein virus</t>
  </si>
  <si>
    <t>PRJNA15560</t>
  </si>
  <si>
    <t>Unknown:NC_007211.1/AJ965540.1</t>
  </si>
  <si>
    <t>Ludwigia yellow vein virus-associated DNA beta</t>
  </si>
  <si>
    <t>Escherichia coli str. K-12 substr. DH10B</t>
  </si>
  <si>
    <t>PRJNA15561</t>
  </si>
  <si>
    <t>Unknown:NC_007212.1/AJ965541.1</t>
  </si>
  <si>
    <t>Sida yellow vein virus satellite DNA beta</t>
  </si>
  <si>
    <t>PRJNA15562</t>
  </si>
  <si>
    <t>Unknown:NC_007213.1/AJ967003.1</t>
  </si>
  <si>
    <t>Potato virus S</t>
  </si>
  <si>
    <t>PRJNA15574</t>
  </si>
  <si>
    <t>Unknown:NC_007289.1/AJ863509.1</t>
  </si>
  <si>
    <t>Escherichia coli str. K-12 substr. MC4100</t>
  </si>
  <si>
    <t>Cotton leaf curl Bangalore virus</t>
  </si>
  <si>
    <t>PRJNA15575</t>
  </si>
  <si>
    <t>Unknown:NC_007290.1/AY705380.1</t>
  </si>
  <si>
    <t>Tomato chlorosis virus</t>
  </si>
  <si>
    <t>PRJNA15587</t>
  </si>
  <si>
    <t>40.0124</t>
  </si>
  <si>
    <t>RNA1:NC_007340.1/AY903447.1;  RNA2:NC_007341.1/AY903448.1</t>
  </si>
  <si>
    <t>Squash leaf curl China virus - [B]</t>
  </si>
  <si>
    <t>PRJNA15591</t>
  </si>
  <si>
    <t>42.6022</t>
  </si>
  <si>
    <t>DNA A:NC_007339.1/AF509743.1;  DNA B:NC_007338.1/AF509742.1</t>
  </si>
  <si>
    <t>Escherichia coli str. K-12 substr. MDS42</t>
  </si>
  <si>
    <t>Emiliania huxleyi virus 86</t>
  </si>
  <si>
    <t>PRJNA15618</t>
  </si>
  <si>
    <t>Unknown:NC_007346.1/AJ890364.1</t>
  </si>
  <si>
    <t>Trichoplusia ni single nucleopolyhedrovirus</t>
  </si>
  <si>
    <t>PRJNA15635</t>
  </si>
  <si>
    <t>Unknown:NC_007383.1/DQ017380.1</t>
  </si>
  <si>
    <t>Acidianus two-tailed virus</t>
  </si>
  <si>
    <t>PRJNA15686</t>
  </si>
  <si>
    <t>Unknown:NC_007409.1/AJ888457.1</t>
  </si>
  <si>
    <t>Escherichia coli str. K-12 substr. MG1655</t>
  </si>
  <si>
    <t>Alstroemeria virus x</t>
  </si>
  <si>
    <t>PRJNA15687</t>
  </si>
  <si>
    <t>Unknown:NC_007408.1/AB206396.1</t>
  </si>
  <si>
    <t>Sclerotinia sclerotiorum debilitation-associated RNA virus</t>
  </si>
  <si>
    <t>PRJNA15717</t>
  </si>
  <si>
    <t>Unknown:NC_007415.1/AY147260.2</t>
  </si>
  <si>
    <t>Shallot yellow stripe virus</t>
  </si>
  <si>
    <t>PRJNA15745</t>
  </si>
  <si>
    <t>Unknown:NC_007433.1/AJ865076.1</t>
  </si>
  <si>
    <t>Cotton leaf curl Multan betasatellite</t>
  </si>
  <si>
    <t>PRJNA15780</t>
  </si>
  <si>
    <t>Unknown:NC_009535.1/EF465536.1</t>
  </si>
  <si>
    <t>Chlamydia phage 4</t>
  </si>
  <si>
    <t>PRJNA15781</t>
  </si>
  <si>
    <t>Unknown:NC_007461.1/AY769964.1</t>
  </si>
  <si>
    <t>Bacillus phage Gamma</t>
  </si>
  <si>
    <t>PRJNA15783</t>
  </si>
  <si>
    <t>Unknown:NC_007458.1/DQ222853.1</t>
  </si>
  <si>
    <t>Beilong virus</t>
  </si>
  <si>
    <t>PRJNA16630</t>
  </si>
  <si>
    <t>Unknown:NC_007803.1/DQ100461.1</t>
  </si>
  <si>
    <t>Ippy mammarenavirus</t>
  </si>
  <si>
    <t>PRJNA16633</t>
  </si>
  <si>
    <t>41.4071</t>
  </si>
  <si>
    <t>L:NC_007906.1/DQ328878.1;  S:NC_007905.1/DQ328877.1</t>
  </si>
  <si>
    <t>Konjac mosaic virus</t>
  </si>
  <si>
    <t>PRJNA16643</t>
  </si>
  <si>
    <t>Unknown:NC_007913.1/AB219545.1</t>
  </si>
  <si>
    <t>His 1 virus</t>
  </si>
  <si>
    <t>PRJNA16650</t>
  </si>
  <si>
    <t>Unknown:NC_007914.1/AF191796.1</t>
  </si>
  <si>
    <t>His2 virus</t>
  </si>
  <si>
    <t>PRJNA16651</t>
  </si>
  <si>
    <t>Unknown:NC_007918.1/AF191797.1</t>
  </si>
  <si>
    <t>Penaeid shrimp infectious myonecrosis virus</t>
  </si>
  <si>
    <t>PRJNA16652</t>
  </si>
  <si>
    <t>Unknown:NC_007915.3/AY570982.3</t>
  </si>
  <si>
    <t>Nora virus</t>
  </si>
  <si>
    <t>PRJNA16656</t>
  </si>
  <si>
    <t>Unknown:NC_007919.3/GQ257737.1</t>
  </si>
  <si>
    <t>Gremmeniella abietina type B RNA virus XL1</t>
  </si>
  <si>
    <t>PRJNA16657</t>
  </si>
  <si>
    <t>Unknown:NC_007920.1/DQ399289.1</t>
  </si>
  <si>
    <t>Clostridium virus phiCD119</t>
  </si>
  <si>
    <t>PRJNA16662</t>
  </si>
  <si>
    <t>Unknown:NC_007917.1/AY855346.1</t>
  </si>
  <si>
    <t>Lactobacillus phage KC5a</t>
  </si>
  <si>
    <t>PRJNA16663</t>
  </si>
  <si>
    <t>Unknown:NC_007924.1/DQ320509.1</t>
  </si>
  <si>
    <t>Merremia mosaic virus</t>
  </si>
  <si>
    <t>PRJNA16699</t>
  </si>
  <si>
    <t>41.8232</t>
  </si>
  <si>
    <t>DNA A:NC_007965.1/AF068636.2;  DNA B:NC_007966.1/AY965899.1</t>
  </si>
  <si>
    <t>Streptomyces phage mu1/6</t>
  </si>
  <si>
    <t>PRJNA16706</t>
  </si>
  <si>
    <t>71.2</t>
  </si>
  <si>
    <t>Unknown:NC_007967.1/DQ372923.1</t>
  </si>
  <si>
    <t>Campoletis sonorensis ichnovirus</t>
  </si>
  <si>
    <t>PRJNA16738</t>
  </si>
  <si>
    <t>41.1668</t>
  </si>
  <si>
    <t>I:NC_007992.1/AF362513.1;  V:NC_008003.1/U41655.2;  Z:NC_008002.1/AY029400.1;  A2:NC_008005.1/AF411011.1;  B:NC_007987.1/AF362508.1;  C:NC_007986.1/AF362507.1;  D:NC_008008.1/AF361869.1;  E:NC_007988.1/AF362509.1;  F:NC_008004.1/AF361488.1;  G:NC_007989.1/AF362510.1;  G2:NC_007990.1/AF362511.1;  H:NC_007991.1/AF362512.1;  I2:NC_007995.1/AF362516.1;  J:NC_007993.1/AF362514.1;  L:NC_007994.1/AF362515.1;  M:NC_007996.1/AF362517.1;  N:NC_008006.1/AY029394.2;  O1:NC_007998.1/AY029395.1;  P:NC_007999.1/AY029396.1;  Q:NC_007985.1/AF361487.1;  T:NC_008000.1/AY029397.1;  U:NC_008001.1/AY029398.1; chromosome W:NC_008007.1/AF004378.1</t>
  </si>
  <si>
    <t>Avian sarcoma virus PR2257/16</t>
  </si>
  <si>
    <t>PRJNA16745</t>
  </si>
  <si>
    <t>Unknown:NC_008094.1/L21974.1</t>
  </si>
  <si>
    <t>Banana streak virus Acuminata Yunnan</t>
  </si>
  <si>
    <t>PRJNA16747</t>
  </si>
  <si>
    <t>Unknown:NC_008018.1/DQ092436.1</t>
  </si>
  <si>
    <t>Daphne virus S</t>
  </si>
  <si>
    <t>PRJNA16749</t>
  </si>
  <si>
    <t>Unknown:NC_008020.1/AJ620300.1</t>
  </si>
  <si>
    <t>Sugarcane bacilliform MO virus</t>
  </si>
  <si>
    <t>PRJNA16750</t>
  </si>
  <si>
    <t>Unknown:NC_008017.1/M89923.1</t>
  </si>
  <si>
    <t>Antheraea pernyi nucleopolyhedrovirus</t>
  </si>
  <si>
    <t>PRJNA16793</t>
  </si>
  <si>
    <t>Unknown:NC_008035.3/DQ486030.3</t>
  </si>
  <si>
    <t>Escherichia coli str. K-12 substr. W3110</t>
  </si>
  <si>
    <t>Daphne mosaic virus</t>
  </si>
  <si>
    <t>PRJNA16794</t>
  </si>
  <si>
    <t>Unknown:NC_008028.1/DQ299908.1</t>
  </si>
  <si>
    <t>Starling circovirus</t>
  </si>
  <si>
    <t>PRJNA16796</t>
  </si>
  <si>
    <t>Unknown:NC_008033.1/DQ172906.1</t>
  </si>
  <si>
    <t>Homalodisca coagulata virus-1</t>
  </si>
  <si>
    <t>PRJNA16797</t>
  </si>
  <si>
    <t>Unknown:NC_008029.1/DQ288865.1</t>
  </si>
  <si>
    <t>Escherichia coli str. Sanji</t>
  </si>
  <si>
    <t>Dracaena mottle virus</t>
  </si>
  <si>
    <t>PRJNA16799</t>
  </si>
  <si>
    <t>Unknown:NC_008034.1/DQ473478.1</t>
  </si>
  <si>
    <t>Capra hircus papillomavirus 1</t>
  </si>
  <si>
    <t>PRJNA16815</t>
  </si>
  <si>
    <t>Unknown:NC_008032.1/DQ091200.1</t>
  </si>
  <si>
    <t>Prune dwarf virus</t>
  </si>
  <si>
    <t>PRJNA16818</t>
  </si>
  <si>
    <t>40.4481</t>
  </si>
  <si>
    <t>RNA 1:NC_008039.1/U57648.1;  RNA 2:NC_008037.1/AF277662.1;  RNA 3:NC_008038.1/L28145.1</t>
  </si>
  <si>
    <t>Escherichia coli strain 2009C-3133</t>
  </si>
  <si>
    <t>Sevenband grouper nervous necrosis virus</t>
  </si>
  <si>
    <t>PRJNA16819</t>
  </si>
  <si>
    <t>52.6212</t>
  </si>
  <si>
    <t>RNA 1:NC_008040.1/AY324869.1;  RNA 2:NC_008041.1/AY324870.1</t>
  </si>
  <si>
    <t>Sida mosaic Sinaloa virus</t>
  </si>
  <si>
    <t>PRJNA16937</t>
  </si>
  <si>
    <t>45.2065</t>
  </si>
  <si>
    <t>DNA A:NC_008059.1/DQ520944.1;  DNA B:NC_008056.1/DQ356428.1</t>
  </si>
  <si>
    <t>Escherichia virus K1-5</t>
  </si>
  <si>
    <t>PRJNA17059</t>
  </si>
  <si>
    <t>Escherichia coli strain 2011C-3911</t>
  </si>
  <si>
    <t>Unknown:NC_008152.1/AY370674.1</t>
  </si>
  <si>
    <t>Micromonas pusilla reovirus</t>
  </si>
  <si>
    <t>PRJNA17091</t>
  </si>
  <si>
    <t>43.9306</t>
  </si>
  <si>
    <t>1:NC_008171.1/DQ126101.1;  2:NC_008172.1/DQ126102.1;  3:NC_008173.1/DQ126103.1;  4:NC_008174.1/DQ126104.1;  5:NC_008175.1/DQ126105.1;  6:NC_008176.1/DQ126106.1;  7:NC_008177.1/DQ126107.1;  8:NC_008178.1/DQ126108.1;  9:NC_008179.1/DQ126109.1;  10:NC_008180.1/DQ126110.1;  11:NC_008181.1/DQ126111.1</t>
  </si>
  <si>
    <t>Choristoneura occidentalis granulovirus</t>
  </si>
  <si>
    <t>PRJNA17097</t>
  </si>
  <si>
    <t>Unknown:NC_008168.1/DQ333351.1</t>
  </si>
  <si>
    <t>Escherichia coli strain 2012C-4227</t>
  </si>
  <si>
    <t>Aedes taeniorhynchus iridescent virus</t>
  </si>
  <si>
    <t>PRJNA17099</t>
  </si>
  <si>
    <t>Unknown:NC_008187.1/DQ643392.1</t>
  </si>
  <si>
    <t>Mannheimia phage vB_MhM_535AP1</t>
  </si>
  <si>
    <t>KP137432.1</t>
  </si>
  <si>
    <t>Mycobacterium phage Butterscotch</t>
  </si>
  <si>
    <t>FJ168660.1</t>
  </si>
  <si>
    <t>Escherichia coli strain 2013C-4465</t>
  </si>
  <si>
    <t>Mycobacterium phage Gumball</t>
  </si>
  <si>
    <t>PRJNA32009</t>
  </si>
  <si>
    <t>59.6</t>
  </si>
  <si>
    <t>Unknown:NC_011290.1/FJ168661.1</t>
  </si>
  <si>
    <t>Mycobacterium phage Troll4</t>
  </si>
  <si>
    <t>PRJNA32011</t>
  </si>
  <si>
    <t>Unknown:NC_011285.1/FJ168662.1</t>
  </si>
  <si>
    <t>Mycobacterium virus Fruitloop</t>
  </si>
  <si>
    <t>PRJNA32013</t>
  </si>
  <si>
    <t>Unknown:NC_011288.1/FJ174690.1</t>
  </si>
  <si>
    <t>Escherichia coli strain 268-78-1</t>
  </si>
  <si>
    <t>Mycobacterium phage Konstantine</t>
  </si>
  <si>
    <t>PRJNA32015</t>
  </si>
  <si>
    <t>Unknown:NC_011292.1/FJ174691.1</t>
  </si>
  <si>
    <t>Mycobacterium virus Pacc40</t>
  </si>
  <si>
    <t>PRJNA32017</t>
  </si>
  <si>
    <t>Unknown:NC_011287.1/FJ174692.1</t>
  </si>
  <si>
    <t>Mycobacterium virus Ramsey</t>
  </si>
  <si>
    <t>PRJNA32019</t>
  </si>
  <si>
    <t>Unknown:NC_011289.1/FJ174693.1</t>
  </si>
  <si>
    <t>Escherichia coli strain 28RC1</t>
  </si>
  <si>
    <t>Mycobacterium phage Chah</t>
  </si>
  <si>
    <t>FJ174694.1</t>
  </si>
  <si>
    <t>Listeria phage P40</t>
  </si>
  <si>
    <t>PRJNA32073</t>
  </si>
  <si>
    <t>Unknown:NC_011308.1/EU855793.1</t>
  </si>
  <si>
    <t>Jatropha yellow mosaic India virus</t>
  </si>
  <si>
    <t>PRJNA32075</t>
  </si>
  <si>
    <t>Unknown:NC_011309.2/FJ177030.2</t>
  </si>
  <si>
    <t>Myotis polyomavirus VM-2008</t>
  </si>
  <si>
    <t>PRJNA32077</t>
  </si>
  <si>
    <t>Unknown:NC_011310.1/FJ188392.1</t>
  </si>
  <si>
    <t>Escherichia coli strain 300073</t>
  </si>
  <si>
    <t>Anopheles gambiae densovirus</t>
  </si>
  <si>
    <t>PRJNA32101</t>
  </si>
  <si>
    <t>Unknown:NC_011317.1/EU233812.1</t>
  </si>
  <si>
    <t>Clostridium phage phiCP39-O</t>
  </si>
  <si>
    <t>PRJNA32103</t>
  </si>
  <si>
    <t>Unknown:NC_011318.1/EU588980.1</t>
  </si>
  <si>
    <t>Diadromus pulchellus ascovirus 4a</t>
  </si>
  <si>
    <t>PRJNA32133</t>
  </si>
  <si>
    <t>Ascoviridae</t>
  </si>
  <si>
    <t>Unknown:NC_011335.1/CU469068.1</t>
  </si>
  <si>
    <t>Agrotis ipsilon multiple nucleopolyhedrovirus</t>
  </si>
  <si>
    <t>PRJNA32171</t>
  </si>
  <si>
    <t>Escherichia coli strain 401907</t>
  </si>
  <si>
    <t>Unknown:NC_011345.1/EU839994.1</t>
  </si>
  <si>
    <t>Staphylococcus phage phi2958PVL</t>
  </si>
  <si>
    <t>PRJNA32173</t>
  </si>
  <si>
    <t>Unknown:NC_011344.1/AP009363.1</t>
  </si>
  <si>
    <t>Clerodendrum golden mosaic China virus</t>
  </si>
  <si>
    <t>PRJNA32175</t>
  </si>
  <si>
    <t>43.404</t>
  </si>
  <si>
    <t>Escherichia coli strain 703273</t>
  </si>
  <si>
    <t>DNA A:NC_011346.1/FJ011668.1;  DNA B:NC_011347.1/FJ011669.1</t>
  </si>
  <si>
    <t>Senecavirus A</t>
  </si>
  <si>
    <t>PRJNA32193</t>
  </si>
  <si>
    <t>Unknown:NC_011349.1/DQ641257.1</t>
  </si>
  <si>
    <t>Stx2-converting phage 1717</t>
  </si>
  <si>
    <t>PRJNA32213</t>
  </si>
  <si>
    <t>Escherichia coli strain ACN002</t>
  </si>
  <si>
    <t>Unknown:NC_011357.1/FJ188381.1</t>
  </si>
  <si>
    <t>Enterobacteria phage YYZ-2008</t>
  </si>
  <si>
    <t>PRJNA32231</t>
  </si>
  <si>
    <t>Unknown:NC_011356.1/FJ184280.1</t>
  </si>
  <si>
    <t>Botrytis cinerea mitovirus 1</t>
  </si>
  <si>
    <t>PRJNA32247</t>
  </si>
  <si>
    <t>Escherichia coli strain C43(DE3)</t>
  </si>
  <si>
    <t>Unknown:NC_011372.2/EF580100.3</t>
  </si>
  <si>
    <t>Pseudomonas phage PAJU2</t>
  </si>
  <si>
    <t>PRJNA32249</t>
  </si>
  <si>
    <t>Unknown:NC_011373.1/AP009624.1</t>
  </si>
  <si>
    <t>Escherichia coli strain CD306</t>
  </si>
  <si>
    <t>Lactococcus virus bIL67</t>
  </si>
  <si>
    <t>PRJNA32321</t>
  </si>
  <si>
    <t>Unknown:NC_001629.1/L33769.1</t>
  </si>
  <si>
    <t>Clostridium virus phiCD27</t>
  </si>
  <si>
    <t>PRJNA32323</t>
  </si>
  <si>
    <t>Unknown:NC_011398.1/EU719189.1</t>
  </si>
  <si>
    <t>Ralstonia phage RSM3</t>
  </si>
  <si>
    <t>PRJNA32325</t>
  </si>
  <si>
    <t>Escherichia coli strain CFSAN029787</t>
  </si>
  <si>
    <t>Unknown:NC_011399.1/AB434711.1</t>
  </si>
  <si>
    <t>East African cassava mosaic Kenya virus</t>
  </si>
  <si>
    <t>PRJNA32329</t>
  </si>
  <si>
    <t>44.5075</t>
  </si>
  <si>
    <t>DNA A:NC_011583.1/AJ717572.1;  DNA B:NC_011584.1/AJ704971.1</t>
  </si>
  <si>
    <t>Bacillus virus SPO1</t>
  </si>
  <si>
    <t>PRJNA32379</t>
  </si>
  <si>
    <t>Unknown:NC_011421.1/FJ230960.1</t>
  </si>
  <si>
    <t>Escherichia coli strain CI5</t>
  </si>
  <si>
    <t>Adoxophyes orana nucleopolyhedrovirus</t>
  </si>
  <si>
    <t>PRJNA32387</t>
  </si>
  <si>
    <t>Unknown:NC_011423.1/EU591746.1</t>
  </si>
  <si>
    <t>Rotavirus A</t>
  </si>
  <si>
    <t>PRJNA32521</t>
  </si>
  <si>
    <t>33.7338</t>
  </si>
  <si>
    <t>1:NC_011507.2/DQ838640.2;  2:NC_011506.2/DQ838635.2;  3:NC_011508.2/DQ838645.2;  4:NC_011510.2/DQ841262.2;  5:NC_011500.2/DQ838599.2;  6:NC_011509.2/DQ838650.2;  7:NC_011501.2/DQ838610.2;  8:NC_011502.2/DQ838615.2;  9:NC_011503.2/DQ838620.2;  10:NC_011504.2/DQ838625.2;  11:NC_011505.2/DQ838630.2</t>
  </si>
  <si>
    <t>Ilheus virus</t>
  </si>
  <si>
    <t>PRJNA18845</t>
  </si>
  <si>
    <t>Escherichia coli strain Co6114</t>
  </si>
  <si>
    <t>Unknown:NC_009028.2/AY632539.4</t>
  </si>
  <si>
    <t>Bussuquara virus</t>
  </si>
  <si>
    <t>PRJNA18847</t>
  </si>
  <si>
    <t>Unknown:NC_009026.2/AY632536.4</t>
  </si>
  <si>
    <t>Vibrio phage VP882</t>
  </si>
  <si>
    <t>PRJNA18851</t>
  </si>
  <si>
    <t>Unknown:NC_009016.1/EF057797.1</t>
  </si>
  <si>
    <t>Nootka lupine vein clearing virus</t>
  </si>
  <si>
    <t>PRJNA18853</t>
  </si>
  <si>
    <t>Escherichia coli strain CQSW20</t>
  </si>
  <si>
    <t>Unknown:NC_009017.1/EF207438.1</t>
  </si>
  <si>
    <t>Israeli acute paralysis virus</t>
  </si>
  <si>
    <t>PRJNA18855</t>
  </si>
  <si>
    <t>Unknown:NC_009025.1/EF219380.1</t>
  </si>
  <si>
    <t>Burkholderia virus BcepF1</t>
  </si>
  <si>
    <t>PRJNA18857</t>
  </si>
  <si>
    <t>Unknown:NC_009015.1/EF153632.1</t>
  </si>
  <si>
    <t>Escherichia coli strain DH1Ec095</t>
  </si>
  <si>
    <t>Streptococcus phage phi3396</t>
  </si>
  <si>
    <t>PRJNA18859</t>
  </si>
  <si>
    <t>Unknown:NC_009018.1/EF207558.1</t>
  </si>
  <si>
    <t>Tomato leaf curl Arusha virus</t>
  </si>
  <si>
    <t>PRJNA18861</t>
  </si>
  <si>
    <t>Unknown:NC_009030.1/EF194760.1</t>
  </si>
  <si>
    <t>Bat coronavirus HKU4-1</t>
  </si>
  <si>
    <t>PRJNA18863</t>
  </si>
  <si>
    <t>Unknown:NC_009019.1/EF065505.1</t>
  </si>
  <si>
    <t>Bat coronavirus HKU5-1</t>
  </si>
  <si>
    <t>Escherichia coli strain DH1Ec104</t>
  </si>
  <si>
    <t>PRJNA18865</t>
  </si>
  <si>
    <t>Unknown:NC_009020.1/EF065509.1</t>
  </si>
  <si>
    <t>Bat coronavirus HKU9-1</t>
  </si>
  <si>
    <t>PRJNA18867</t>
  </si>
  <si>
    <t>Unknown:NC_009021.1/EF065513.1</t>
  </si>
  <si>
    <t>Tomato leaf curl Seychelles virus</t>
  </si>
  <si>
    <t>PRJNA18869</t>
  </si>
  <si>
    <t>Unknown:NC_009031.1/AM491778.1</t>
  </si>
  <si>
    <t>Escherichia coli strain DH1Ec169</t>
  </si>
  <si>
    <t>Rehmannia mosaic virus</t>
  </si>
  <si>
    <t>PRJNA18885</t>
  </si>
  <si>
    <t>Unknown:NC_009041.1/EF375551.1</t>
  </si>
  <si>
    <t>Mesta yellow vein mosaic virus</t>
  </si>
  <si>
    <t>Escherichia coli strain Eco889</t>
  </si>
  <si>
    <t>Escherichia coli strain Ecol_448</t>
  </si>
  <si>
    <t>PRJNA18967</t>
  </si>
  <si>
    <t>Unknown:NC_009088.1/EF373060.1</t>
  </si>
  <si>
    <t>Chrysanthemum virus B</t>
  </si>
  <si>
    <t>PRJNA18985</t>
  </si>
  <si>
    <t>Unknown:NC_009087.2/AM493895.2</t>
  </si>
  <si>
    <t>Escherichia coli strain Ecol_732</t>
  </si>
  <si>
    <t>Cyprinid herpesvirus 3</t>
  </si>
  <si>
    <t>PRJNA19059</t>
  </si>
  <si>
    <t>Unknown:NC_009127.1/DQ657948.1</t>
  </si>
  <si>
    <t>Botryotinia fuckeliana totivirus 1</t>
  </si>
  <si>
    <t>PRJNA19133</t>
  </si>
  <si>
    <t>Unknown:NC_009224.1/AM491608.1</t>
  </si>
  <si>
    <t>Rice gall dwarf virus</t>
  </si>
  <si>
    <t>Escherichia coli strain Ecol_743</t>
  </si>
  <si>
    <t>PRJNA19149</t>
  </si>
  <si>
    <t>40.0063</t>
  </si>
  <si>
    <t>S1:NC_009248.1/AB254451.1;  S10:NC_009242.1/D13411.1;  S11:NC_009245.1/AB030009.1;  S12:NC_009252.1/AB254455.1;  S2:NC_009244.1/D86439.1;  S3:NC_009243.1/D13774.1;  S4:NC_009249.1/AB254452.1;  S5:NC_009247.1/D76429.1;  S6:NC_009250.1/AB254453.1;  S7:NC_009251.1/AB254454.1;  S8:NC_009241.1/D13410.1;  S9:NC_009246.1/D01047.1</t>
  </si>
  <si>
    <t>Heliothis virescens ascovirus 3e</t>
  </si>
  <si>
    <t>PRJNA19151</t>
  </si>
  <si>
    <t>Unknown:NC_009233.1/EF133465.1</t>
  </si>
  <si>
    <t>Clostridium virus phiC2</t>
  </si>
  <si>
    <t>PRJNA19153</t>
  </si>
  <si>
    <t>Escherichia coli strain Ecol_745</t>
  </si>
  <si>
    <t>Unknown:NC_009231.1/DQ466086.1</t>
  </si>
  <si>
    <t>Salmonella phage SETP3</t>
  </si>
  <si>
    <t>PRJNA19157</t>
  </si>
  <si>
    <t>Unknown:NC_009232.2/EF177456.2</t>
  </si>
  <si>
    <t>Gryllus bimaculatus nudivirus</t>
  </si>
  <si>
    <t>PRJNA19181</t>
  </si>
  <si>
    <t>Unknown:NC_009240.1/EF203088.1</t>
  </si>
  <si>
    <t>Sida yellow vein Madurai virus</t>
  </si>
  <si>
    <t>Escherichia coli strain ECONIH2</t>
  </si>
  <si>
    <t>PRJNA19405</t>
  </si>
  <si>
    <t>Unknown:NC_009354.1/AM259382.1</t>
  </si>
  <si>
    <t>Phlox virus S</t>
  </si>
  <si>
    <t>PRJNA19427</t>
  </si>
  <si>
    <t>Unknown:NC_009383.1/EF492068.1</t>
  </si>
  <si>
    <t>Ralstonia phage RSA1</t>
  </si>
  <si>
    <t>PRJNA19481</t>
  </si>
  <si>
    <t>Unknown:NC_009382.1/AB276040.1</t>
  </si>
  <si>
    <t>Woolly monkey sarcoma virus</t>
  </si>
  <si>
    <t>PRJNA19547</t>
  </si>
  <si>
    <t>Unknown:NC_009424.4/V01201.1</t>
  </si>
  <si>
    <t>Escherichia coli strain ER1821R</t>
  </si>
  <si>
    <t>Burkholderia phage BcepGomr</t>
  </si>
  <si>
    <t>PRJNA19579</t>
  </si>
  <si>
    <t>Unknown:NC_009447.1/EF523948.1</t>
  </si>
  <si>
    <t>Clerodendron yellow mosaic virus</t>
  </si>
  <si>
    <t>PRJNA19599</t>
  </si>
  <si>
    <t>Unknown:NC_009451.1/EF408037.1</t>
  </si>
  <si>
    <t>Honeysuckle yellow vein beta-[Japan:Fukui:2001]</t>
  </si>
  <si>
    <t>PRJNA19601</t>
  </si>
  <si>
    <t>Escherichia coli strain G749</t>
  </si>
  <si>
    <t>Unknown:NC_009449.1/AB236322.1</t>
  </si>
  <si>
    <t>Honeysuckle yellow vein Japan betasatellite</t>
  </si>
  <si>
    <t>PRJNA19603</t>
  </si>
  <si>
    <t>Unknown:NC_009450.1/AB236324.1</t>
  </si>
  <si>
    <t>Spodoptera litura granulovirus</t>
  </si>
  <si>
    <t>PRJNA19695</t>
  </si>
  <si>
    <t>Escherichia coli strain HUSEC2011</t>
  </si>
  <si>
    <t>Unknown:NC_009503.1/DQ288858.2</t>
  </si>
  <si>
    <t>Enterobacteria phage cdtI</t>
  </si>
  <si>
    <t>PRJNA19737</t>
  </si>
  <si>
    <t>Unknown:NC_009514.1/AB285204.1</t>
  </si>
  <si>
    <t>Fragaria chiloensis cryptic virus</t>
  </si>
  <si>
    <t>PRJNA19741</t>
  </si>
  <si>
    <t>42.9578</t>
  </si>
  <si>
    <t>RNA 1:NC_009519.1/DQ093961.2;  RNA 2:NC_009521.1/DQ355440.1;  RNA 3:NC_009520.1/DQ355439.1</t>
  </si>
  <si>
    <t>Citrus variegation virus</t>
  </si>
  <si>
    <t>PRJNA19747</t>
  </si>
  <si>
    <t>43.2462</t>
  </si>
  <si>
    <t>RNA 1:NC_009537.1/EF584664.1;  RNA 2:NC_009538.1/EF584665.1;  RNA 3:NC_009536.1/U17389.1</t>
  </si>
  <si>
    <t>Staphylococcus virus 80alpha</t>
  </si>
  <si>
    <t>PRJNA19749</t>
  </si>
  <si>
    <t>Escherichia coli strain JEONG-1266</t>
  </si>
  <si>
    <t>34.1</t>
  </si>
  <si>
    <t>Unknown:NC_009526.1/DQ517338.1</t>
  </si>
  <si>
    <t>Brevicoryne brassicae virus - UK</t>
  </si>
  <si>
    <t>PRJNA19753</t>
  </si>
  <si>
    <t>Unknown:NC_009530.1/EF517277.1</t>
  </si>
  <si>
    <t>Maize white line mosaic virus</t>
  </si>
  <si>
    <t>PRJNA19755</t>
  </si>
  <si>
    <t>Unknown:NC_009533.1/EF589670.1</t>
  </si>
  <si>
    <t>Escherichia coli strain JJ1897</t>
  </si>
  <si>
    <t>European bat 1 lyssavirus</t>
  </si>
  <si>
    <t>PRJNA19757</t>
  </si>
  <si>
    <t>Unknown:NC_009527.1/EF157976.1</t>
  </si>
  <si>
    <t>European bat 2 lyssavirus</t>
  </si>
  <si>
    <t>PRJNA19759</t>
  </si>
  <si>
    <t>Unknown:NC_009528.2/EF157977.2</t>
  </si>
  <si>
    <t>Okra mosaic virus</t>
  </si>
  <si>
    <t>PRJNA19761</t>
  </si>
  <si>
    <t>Unknown:NC_009532.1/EF554577.1</t>
  </si>
  <si>
    <t>Escherichia coli strain JJ2434</t>
  </si>
  <si>
    <t>Synechococcus phage Syn5</t>
  </si>
  <si>
    <t>PRJNA19763</t>
  </si>
  <si>
    <t>Unknown:NC_009531.1/EF372997.1</t>
  </si>
  <si>
    <t>WU Polyomavirus</t>
  </si>
  <si>
    <t>PRJNA19765</t>
  </si>
  <si>
    <t>Unknown:NC_009539.1/EF444549.1</t>
  </si>
  <si>
    <t>Escherichia coli strain K-12 substr. HMS174</t>
  </si>
  <si>
    <t>Propionibacterium phage PA6</t>
  </si>
  <si>
    <t>PRJNA19767</t>
  </si>
  <si>
    <t>Unknown:NC_009541.1/DQ431235.1</t>
  </si>
  <si>
    <t>Aeromonas virus phiO18P</t>
  </si>
  <si>
    <t>PRJNA19769</t>
  </si>
  <si>
    <t>Unknown:NC_009542.2/DQ674738.2</t>
  </si>
  <si>
    <t>Escherichia coli strain K-12 substr. RV308</t>
  </si>
  <si>
    <t>Xanthomonas virus Xop411</t>
  </si>
  <si>
    <t>PRJNA19771</t>
  </si>
  <si>
    <t>Unknown:NC_009543.1/DQ777876.1</t>
  </si>
  <si>
    <t>Solenopsis invicta virus 2</t>
  </si>
  <si>
    <t>PRJNA19773</t>
  </si>
  <si>
    <t>Unknown:NC_009544.1/EF428566.1</t>
  </si>
  <si>
    <t>Escherichia virus TLS</t>
  </si>
  <si>
    <t>PRJNA19775</t>
  </si>
  <si>
    <t>Unknown:NC_009540.1/AY308796.1</t>
  </si>
  <si>
    <t>Escherichia coli strain K-12 substrain MG1655_TMP32XR1</t>
  </si>
  <si>
    <t>Lindernia anagallis yellow vein virus</t>
  </si>
  <si>
    <t>PRJNA19777</t>
  </si>
  <si>
    <t>Unknown:NC_009550.1/DQ641701.1</t>
  </si>
  <si>
    <t>Spilanthes yellow vein virus</t>
  </si>
  <si>
    <t>PRJNA19779</t>
  </si>
  <si>
    <t>Unknown:NC_009545.1/DQ641694.1</t>
  </si>
  <si>
    <t>Mimosa yellow leaf curl virus</t>
  </si>
  <si>
    <t>PRJNA19781</t>
  </si>
  <si>
    <t>Escherichia coli strain K-12 substrain MG1655_TMP32XR2</t>
  </si>
  <si>
    <t>Unknown:NC_009546.1/DQ641695.1</t>
  </si>
  <si>
    <t>Sida yellow vein Vietnam virus</t>
  </si>
  <si>
    <t>PRJNA19783</t>
  </si>
  <si>
    <t>Unknown:NC_009547.1/DQ641696.1</t>
  </si>
  <si>
    <t>Tomato yellow leaf curl Vietnam virus</t>
  </si>
  <si>
    <t>PRJNA19785</t>
  </si>
  <si>
    <t>Unknown:NC_009548.1/DQ641697.1</t>
  </si>
  <si>
    <t>Escherichia coli strain MC1061</t>
  </si>
  <si>
    <t>Erectites yellow mosaic virus</t>
  </si>
  <si>
    <t>PRJNA19787</t>
  </si>
  <si>
    <t>Unknown:NC_009549.1/DQ641698.1</t>
  </si>
  <si>
    <t>Geobacillus virus E2</t>
  </si>
  <si>
    <t>PRJNA19797</t>
  </si>
  <si>
    <t>Unknown:NC_009552.2/DQ453159.1</t>
  </si>
  <si>
    <t>Tobacco leaf curl Thailand virus</t>
  </si>
  <si>
    <t>Escherichia coli strain MNCRE44</t>
  </si>
  <si>
    <t>PRJNA19799</t>
  </si>
  <si>
    <t>Unknown:NC_009553.1/DQ871221.1</t>
  </si>
  <si>
    <t>Phormidium phage Pf-WMP3</t>
  </si>
  <si>
    <t>PRJNA19801</t>
  </si>
  <si>
    <t>Unknown:NC_009551.1/EF537008.1</t>
  </si>
  <si>
    <t>Lactobacillus phage LL-H</t>
  </si>
  <si>
    <t>PRJNA19803</t>
  </si>
  <si>
    <t>Unknown:NC_009554.1/EF455602.1</t>
  </si>
  <si>
    <t>Escherichia coli strain MRE600</t>
  </si>
  <si>
    <t>Sida yellow vein Vietnam alphasatellite</t>
  </si>
  <si>
    <t>PRJNA19815</t>
  </si>
  <si>
    <t>Unknown:NC_009563.1/DQ641718.1</t>
  </si>
  <si>
    <t>Mimosa yellow leaf curl virus-associated DNA 1</t>
  </si>
  <si>
    <t>PRJNA19817</t>
  </si>
  <si>
    <t>Unknown:NC_009564.1/DQ641719.1</t>
  </si>
  <si>
    <t>Mimosa yellow leaf curl virus satellite DNA beta</t>
  </si>
  <si>
    <t>PRJNA19821</t>
  </si>
  <si>
    <t>Escherichia coli strain MVAST0167</t>
  </si>
  <si>
    <t>Unknown:NC_009556.1/DQ641710.1</t>
  </si>
  <si>
    <t>Sida yellow vein Vietnam virus satellite DNA beta</t>
  </si>
  <si>
    <t>PRJNA19825</t>
  </si>
  <si>
    <t>Unknown:NC_009558.1/DQ641712.1</t>
  </si>
  <si>
    <t>Erectites yellow mosaic virus satellite DNA beta</t>
  </si>
  <si>
    <t>PRJNA19827</t>
  </si>
  <si>
    <t>Escherichia coli strain NCM3722</t>
  </si>
  <si>
    <t>Unknown:NC_009559.1/DQ641713.1</t>
  </si>
  <si>
    <t>Tomato yellow leaf curl Vietnam betasatellite</t>
  </si>
  <si>
    <t>PRJNA19829</t>
  </si>
  <si>
    <t>Unknown:NC_009560.1/DQ641714.1</t>
  </si>
  <si>
    <t>Escherichia coli strain NCTC9001</t>
  </si>
  <si>
    <t>Lindernia anagallis yellow vein virus satellite DNA beta</t>
  </si>
  <si>
    <t>PRJNA19831</t>
  </si>
  <si>
    <t>Unknown:NC_009561.1/DQ641715.1</t>
  </si>
  <si>
    <t>Alternanthera yellow vein betasatellite</t>
  </si>
  <si>
    <t>PRJNA19833</t>
  </si>
  <si>
    <t>Unknown:NC_009562.1/DQ641716.1</t>
  </si>
  <si>
    <t>Honeysuckle yellow vein mosaic disease associated satellite DNA beta-[Ibaraki]</t>
  </si>
  <si>
    <t>PRJNA19863</t>
  </si>
  <si>
    <t>Unknown:NC_009571.1/AB287442.1</t>
  </si>
  <si>
    <t>Microbacterium phage Min1</t>
  </si>
  <si>
    <t>PRJNA19961</t>
  </si>
  <si>
    <t>Escherichia coli strain NGF1</t>
  </si>
  <si>
    <t>Unknown:NC_009603.1/EF579802.1</t>
  </si>
  <si>
    <t>Burkholderia virus BcepNY3</t>
  </si>
  <si>
    <t>PRJNA19963</t>
  </si>
  <si>
    <t>Unknown:NC_009604.1/EF602154.1</t>
  </si>
  <si>
    <t>Orchid fleck dichorhavirus</t>
  </si>
  <si>
    <t>PRJNA19969</t>
  </si>
  <si>
    <t>Escherichia coli strain PPECC42</t>
  </si>
  <si>
    <t>47.21</t>
  </si>
  <si>
    <t>RNA 1:NC_009608.1/AB244417.1;  RNA 2:NC_009609.1/AB244418.1</t>
  </si>
  <si>
    <t>Tomato leaf curl Sinaloa virus</t>
  </si>
  <si>
    <t>PRJNA19971</t>
  </si>
  <si>
    <t>42.9152</t>
  </si>
  <si>
    <t>DNA A:NC_009606.1/AJ608286.1;  DNA B:NC_009605.1/AJ508783.1</t>
  </si>
  <si>
    <t>Tomato severe rugose virus</t>
  </si>
  <si>
    <t>PRJNA19973</t>
  </si>
  <si>
    <t>40.9613</t>
  </si>
  <si>
    <t>Escherichia coli strain RR1</t>
  </si>
  <si>
    <t>DNA A:NC_009607.1/DQ207749.1;  DNA B:NC_009612.1/EF534708.1</t>
  </si>
  <si>
    <t>Corchorus golden mosaic virus</t>
  </si>
  <si>
    <t>PRJNA20051</t>
  </si>
  <si>
    <t>41.3037</t>
  </si>
  <si>
    <t>DNA A:NC_009644.1/DQ641688.1;  DNA B:NC_009646.1/DQ641689.1</t>
  </si>
  <si>
    <t>Kudzu mosaic virus</t>
  </si>
  <si>
    <t>PRJNA20053</t>
  </si>
  <si>
    <t>43.2218</t>
  </si>
  <si>
    <t>DNA A:NC_009645.1/DQ641690.1;  DNA B:NC_009647.1/DQ641691.1</t>
  </si>
  <si>
    <t>Escherichia coli strain RS76</t>
  </si>
  <si>
    <t>Porcine rubulavirus</t>
  </si>
  <si>
    <t>PRJNA20055</t>
  </si>
  <si>
    <t>Unknown:NC_009640.1/BK005918.1</t>
  </si>
  <si>
    <t>Actinomyces virus Av1</t>
  </si>
  <si>
    <t>PRJNA20057</t>
  </si>
  <si>
    <t>Escherichia coli strain S51</t>
  </si>
  <si>
    <t>Unknown:NC_009643.1/DQ123818.2</t>
  </si>
  <si>
    <t>Bell pepper mottle virus</t>
  </si>
  <si>
    <t>PRJNA20059</t>
  </si>
  <si>
    <t>Unknown:NC_009642.1/DQ355023.1</t>
  </si>
  <si>
    <t>Escherichia coli strain SaT040</t>
  </si>
  <si>
    <t>Scotophilus bat coronavirus 512</t>
  </si>
  <si>
    <t>PRJNA20135</t>
  </si>
  <si>
    <t>Unknown:NC_009657.1/DQ648858.1</t>
  </si>
  <si>
    <t>Okra leaf curl Mali virus satellite DNA beta</t>
  </si>
  <si>
    <t>PRJNA20323</t>
  </si>
  <si>
    <t>Unknown:NC_009731.1/EU024121.1</t>
  </si>
  <si>
    <t>Bacillus virus 1</t>
  </si>
  <si>
    <t>Escherichia coli strain SEC470</t>
  </si>
  <si>
    <t>PRJNA20397</t>
  </si>
  <si>
    <t>Unknown:NC_009737.2/DQ840344.2</t>
  </si>
  <si>
    <t>Banana bract mosaic virus</t>
  </si>
  <si>
    <t>PRJNA20617</t>
  </si>
  <si>
    <t>Unknown:NC_009745.1/DQ851496.1</t>
  </si>
  <si>
    <t>Basella rugose mosaic virus</t>
  </si>
  <si>
    <t>PRJNA20619</t>
  </si>
  <si>
    <t>Unknown:NC_009741.1/DQ821938.1</t>
  </si>
  <si>
    <t>Telosma mosaic virus</t>
  </si>
  <si>
    <t>PRJNA20621</t>
  </si>
  <si>
    <t>Unknown:NC_009742.1/DQ851493.1</t>
  </si>
  <si>
    <t>Wild tomato mosaic virus</t>
  </si>
  <si>
    <t>PRJNA20625</t>
  </si>
  <si>
    <t>Unknown:NC_009744.1/DQ851495.1</t>
  </si>
  <si>
    <t>Bacillus phage 0305phi8-36</t>
  </si>
  <si>
    <t>Escherichia coli strain SF-088</t>
  </si>
  <si>
    <t>PRJNA20653</t>
  </si>
  <si>
    <t>Unknown:NC_009760.1/EF583821.1</t>
  </si>
  <si>
    <t>Potato rough dwarf virus</t>
  </si>
  <si>
    <t>PRJNA20657</t>
  </si>
  <si>
    <t>Unknown:NC_009759.1/EU020009.1</t>
  </si>
  <si>
    <t>Staphylococcus phage tp310-1</t>
  </si>
  <si>
    <t>PRJNA20659</t>
  </si>
  <si>
    <t>Unknown:NC_009761.3/EF462197.1</t>
  </si>
  <si>
    <t>Escherichia coli strain SF-166</t>
  </si>
  <si>
    <t>Staphylococcus phage tp310-2</t>
  </si>
  <si>
    <t>PRJNA20661</t>
  </si>
  <si>
    <t>Unknown:NC_009762.3/EF462198.1</t>
  </si>
  <si>
    <t>Staphylococcus phage tp310-3</t>
  </si>
  <si>
    <t>PRJNA20663</t>
  </si>
  <si>
    <t>Escherichia coli strain SF-173</t>
  </si>
  <si>
    <t>Unknown:NC_009763.3/EF462199.1</t>
  </si>
  <si>
    <t>Coleus vein necrosis virus</t>
  </si>
  <si>
    <t>PRJNA20665</t>
  </si>
  <si>
    <t>Unknown:NC_009764.1/EF527260.1</t>
  </si>
  <si>
    <t>Corynebacterium phage BFK20</t>
  </si>
  <si>
    <t>PRJNA20757</t>
  </si>
  <si>
    <t>Escherichia coli strain SF-468</t>
  </si>
  <si>
    <t>Unknown:NC_009799.3/AJ278322.4</t>
  </si>
  <si>
    <t>Wheat eqlid mosaic virus</t>
  </si>
  <si>
    <t>PRJNA20763</t>
  </si>
  <si>
    <t>Escherichia coli strain SQ110</t>
  </si>
  <si>
    <t>Unknown:NC_009805.1/EF608612.1</t>
  </si>
  <si>
    <t>Thermus virus P23-45</t>
  </si>
  <si>
    <t>PRJNA20765</t>
  </si>
  <si>
    <t>Unknown:NC_009803.1/EU100883.1</t>
  </si>
  <si>
    <t>Escherichia coli strain SQ171</t>
  </si>
  <si>
    <t>Thermus virus P74-26</t>
  </si>
  <si>
    <t>PRJNA20767</t>
  </si>
  <si>
    <t>Unknown:NC_009804.1/EU100884.1</t>
  </si>
  <si>
    <t>Corynebacterium phage P1201</t>
  </si>
  <si>
    <t>PRJNA20781</t>
  </si>
  <si>
    <t>Unknown:NC_009816.1/DQ499600.1</t>
  </si>
  <si>
    <t>Lactococcus virus KSY1</t>
  </si>
  <si>
    <t>PRJNA20783</t>
  </si>
  <si>
    <t>Unknown:NC_009817.1/DQ535032.1</t>
  </si>
  <si>
    <t>Escherichia coli strain SQ2203</t>
  </si>
  <si>
    <t>Streptococcus phage P9</t>
  </si>
  <si>
    <t>PRJNA20785</t>
  </si>
  <si>
    <t>Unknown:NC_009819.1/DQ864624.1</t>
  </si>
  <si>
    <t>Mycobacterium phage Tweety</t>
  </si>
  <si>
    <t>PRJNA20787</t>
  </si>
  <si>
    <t>Unknown:NC_009820.1/EF536069.1</t>
  </si>
  <si>
    <t>Listeria phage A500</t>
  </si>
  <si>
    <t>Escherichia coli strain SQ37</t>
  </si>
  <si>
    <t>PRJNA20791</t>
  </si>
  <si>
    <t>Unknown:NC_009810.1/DQ003637.1</t>
  </si>
  <si>
    <t>Listeria virus A511</t>
  </si>
  <si>
    <t>PRJNA20793</t>
  </si>
  <si>
    <t>Unknown:NC_009811.2/DQ003638.2</t>
  </si>
  <si>
    <t>Listeria phage B025</t>
  </si>
  <si>
    <t>PRJNA20795</t>
  </si>
  <si>
    <t>Escherichia coli strain SQ88</t>
  </si>
  <si>
    <t>Unknown:NC_009812.1/DQ003639.1</t>
  </si>
  <si>
    <t>Listeria phage B054</t>
  </si>
  <si>
    <t>PRJNA20797</t>
  </si>
  <si>
    <t>Unknown:NC_009813.1/DQ003640.1</t>
  </si>
  <si>
    <t>Listeria phage P35</t>
  </si>
  <si>
    <t>PRJNA20799</t>
  </si>
  <si>
    <t>Unknown:NC_009814.1/DQ003641.1</t>
  </si>
  <si>
    <t>Escherichia coli strain ST2747</t>
  </si>
  <si>
    <t>Listeria phage A006</t>
  </si>
  <si>
    <t>PRJNA20801</t>
  </si>
  <si>
    <t>Unknown:NC_009815.1/DQ003642.1</t>
  </si>
  <si>
    <t>Staphylococcus phage SAP-2</t>
  </si>
  <si>
    <t>PRJNA20925</t>
  </si>
  <si>
    <t>Unknown:NC_009875.1/EU136189.1</t>
  </si>
  <si>
    <t>Mycobacterium phage U2</t>
  </si>
  <si>
    <t>PRJNA20943</t>
  </si>
  <si>
    <t>Unknown:NC_009877.1/AY500152.1</t>
  </si>
  <si>
    <t>Mycobacterium virus Bethlehem</t>
  </si>
  <si>
    <t>PRJNA20945</t>
  </si>
  <si>
    <t>Unknown:NC_009878.1/AY500153.1</t>
  </si>
  <si>
    <t>Pseudomonas virus MP22</t>
  </si>
  <si>
    <t>PRJNA20961</t>
  </si>
  <si>
    <t>Unknown:NC_009818.1/DQ873690.1</t>
  </si>
  <si>
    <t>Acidianus filamentous virus 2</t>
  </si>
  <si>
    <t>PRJNA20965</t>
  </si>
  <si>
    <t>Unknown:NC_009884.1/AJ854042.1</t>
  </si>
  <si>
    <t>Akabane virus</t>
  </si>
  <si>
    <t>PRJNA20971</t>
  </si>
  <si>
    <t>36.901</t>
  </si>
  <si>
    <t>L:NC_009894.1/AB190458.1;  M:NC_009895.1/AB100604.1;  S:NC_009896.1/AB000851.1</t>
  </si>
  <si>
    <t>Escherichia coli strain ST540</t>
  </si>
  <si>
    <t>Black raspberry virus F</t>
  </si>
  <si>
    <t>PRJNA20975</t>
  </si>
  <si>
    <t>Unknown:NC_009890.1/EU082131.1</t>
  </si>
  <si>
    <t>Peach chlorotic mottle virus</t>
  </si>
  <si>
    <t>PRJNA20977</t>
  </si>
  <si>
    <t>Unknown:NC_009892.1/EF693898.1</t>
  </si>
  <si>
    <t>RD114 retrovirus</t>
  </si>
  <si>
    <t>PRJNA20979</t>
  </si>
  <si>
    <t>Unknown:NC_009889.1/EU030001.1</t>
  </si>
  <si>
    <t>Tomato yellow dwarf disease associated satellite DNA beta-[Kochi]</t>
  </si>
  <si>
    <t>PRJNA20983</t>
  </si>
  <si>
    <t>Unknown:NC_009893.1/AB294512.1</t>
  </si>
  <si>
    <t>Seal picornavirus type 1</t>
  </si>
  <si>
    <t>PRJNA20985</t>
  </si>
  <si>
    <t>Unknown:NC_009891.1/EU142040.1</t>
  </si>
  <si>
    <t>Paramecium bursaria Chlorella virus NY2A</t>
  </si>
  <si>
    <t>PRJNA20989</t>
  </si>
  <si>
    <t>Unknown:NC_009898.1/DQ491002.1</t>
  </si>
  <si>
    <t>Paramecium bursaria Chlorella virus AR158</t>
  </si>
  <si>
    <t>PRJNA20991</t>
  </si>
  <si>
    <t>Escherichia coli strain ST648</t>
  </si>
  <si>
    <t>Unknown:NC_009899.1/DQ491003.2</t>
  </si>
  <si>
    <t>Mesta yellow vein mosaic virus-associated DNA beta</t>
  </si>
  <si>
    <t>PRJNA21015</t>
  </si>
  <si>
    <t>Unknown:NC_009903.1/DQ298137.1</t>
  </si>
  <si>
    <t>Pseudomonas phage LKD16</t>
  </si>
  <si>
    <t>PRJNA21043</t>
  </si>
  <si>
    <t>Unknown:NC_009935.1/AM265638.1</t>
  </si>
  <si>
    <t>Pseudomonas phage LKA1</t>
  </si>
  <si>
    <t>PRJNA21045</t>
  </si>
  <si>
    <t>Escherichia coli strain uk_P46212</t>
  </si>
  <si>
    <t>Unknown:NC_009936.1/AM265639.1</t>
  </si>
  <si>
    <t>Amasya cherry disease associated chrysovirus</t>
  </si>
  <si>
    <t>PRJNA21113</t>
  </si>
  <si>
    <t>45.7437</t>
  </si>
  <si>
    <t>1:NC_009947.1/AJ781166.1;  2:NC_009946.1/AJ781165.1;  3:NC_009945.1/AJ781164.1;  4:NC_009944.1/AJ781163.1</t>
  </si>
  <si>
    <t>Squirrel monkey polyomavirus</t>
  </si>
  <si>
    <t>PRJNA27775</t>
  </si>
  <si>
    <t>Unknown:NC_009951.1/AM748741.2</t>
  </si>
  <si>
    <t>Acidianus rod-shaped virus 1</t>
  </si>
  <si>
    <t>PRJNA27799</t>
  </si>
  <si>
    <t>Unknown:NC_009965.1/AJ875026.1</t>
  </si>
  <si>
    <t>Escherichia coli strain YD786</t>
  </si>
  <si>
    <t>Spiroplasma virus SkV1CR23x</t>
  </si>
  <si>
    <t>PRJNA27891</t>
  </si>
  <si>
    <t>Unknown:NC_009987.1/EF506570.1</t>
  </si>
  <si>
    <t>Sulfolobus spindle-shaped virus 4</t>
  </si>
  <si>
    <t>PRJNA27893</t>
  </si>
  <si>
    <t>Unknown:NC_009986.1/EU030938.1</t>
  </si>
  <si>
    <t>Tobacco vein banding mosaic virus</t>
  </si>
  <si>
    <t>PRJNA27895</t>
  </si>
  <si>
    <t>Escherichia coli strain ZH063</t>
  </si>
  <si>
    <t>Unknown:NC_009994.1/EF219408.1</t>
  </si>
  <si>
    <t>Moroccan watermelon mosaic virus</t>
  </si>
  <si>
    <t>PRJNA27897</t>
  </si>
  <si>
    <t>Unknown:NC_009995.1/EF579955.1</t>
  </si>
  <si>
    <t>Snake adenovirus 1</t>
  </si>
  <si>
    <t>PRJNA27899</t>
  </si>
  <si>
    <t>Unknown:NC_009989.1/DQ106414.1</t>
  </si>
  <si>
    <t>Thalassomonas phage BA3</t>
  </si>
  <si>
    <t>PRJNA27903</t>
  </si>
  <si>
    <t>Unknown:NC_009990.1/EU124666.1</t>
  </si>
  <si>
    <t>Escherichia coli strain ZH193</t>
  </si>
  <si>
    <t>Phlox Virus B</t>
  </si>
  <si>
    <t>PRJNA27905</t>
  </si>
  <si>
    <t>Unknown:NC_009991.1/EU162589.1</t>
  </si>
  <si>
    <t>Mycobacterium phage Giles</t>
  </si>
  <si>
    <t>PRJNA27907</t>
  </si>
  <si>
    <t>67.4</t>
  </si>
  <si>
    <t>Unknown:NC_009993.2/EU203571.2</t>
  </si>
  <si>
    <t>Plum bark necrosis stem pitting-associated virus</t>
  </si>
  <si>
    <t>PRJNA27909</t>
  </si>
  <si>
    <t>Unknown:NC_009992.1/EF546442.1</t>
  </si>
  <si>
    <t>Rhinolophus bat coronavirus HKU2</t>
  </si>
  <si>
    <t>Escherichia coli UM146</t>
  </si>
  <si>
    <t>PRJNA27911</t>
  </si>
  <si>
    <t>Unknown:NC_009988.1/EF203064.1</t>
  </si>
  <si>
    <t>Enterobacteria phage phiEcoM-GJ1</t>
  </si>
  <si>
    <t>PRJNA27979</t>
  </si>
  <si>
    <t>Unknown:NC_010106.1/EF460875.1</t>
  </si>
  <si>
    <t>Escherichia phage JS98</t>
  </si>
  <si>
    <t>PRJNA27983</t>
  </si>
  <si>
    <t>Unknown:NC_010105.1/EF469154.1</t>
  </si>
  <si>
    <t>Escherichia coli UMN026</t>
  </si>
  <si>
    <t>Bandicoot papillomatosis carcinomatosis virus type 1</t>
  </si>
  <si>
    <t>PRJNA27985</t>
  </si>
  <si>
    <t>Unknown:NC_010107.1/EU069819.1</t>
  </si>
  <si>
    <t>Tomato yellow leaf curl betasatellite</t>
  </si>
  <si>
    <t>PRJNA28045</t>
  </si>
  <si>
    <t>Unknown:NC_010126.1/DQ644566.1</t>
  </si>
  <si>
    <t>Escherichia coli UMNF18</t>
  </si>
  <si>
    <t>Pseudomonas phage YuA</t>
  </si>
  <si>
    <t>PRJNA28053</t>
  </si>
  <si>
    <t>Unknown:NC_010116.1/AM749441.1</t>
  </si>
  <si>
    <t>Staphylococcus virus phiMR11</t>
  </si>
  <si>
    <t>PRJNA28065</t>
  </si>
  <si>
    <t>Unknown:NC_010147.1/AB370268.1</t>
  </si>
  <si>
    <t>Tomato leaf curl Bangalore virus-[Ban5] satellite DNA beta</t>
  </si>
  <si>
    <t>PRJNA28067</t>
  </si>
  <si>
    <t>Escherichia coli UMNK88</t>
  </si>
  <si>
    <t>Unknown:NC_010148.1/EU280314.1</t>
  </si>
  <si>
    <t>Acidianus filamentous virus 3</t>
  </si>
  <si>
    <t>PRJNA28073</t>
  </si>
  <si>
    <t>Unknown:NC_010155.1/AM087120.2</t>
  </si>
  <si>
    <t>Acidianus filamentous virus 6</t>
  </si>
  <si>
    <t>PRJNA28075</t>
  </si>
  <si>
    <t>Unknown:NC_010152.1/AM087121.2</t>
  </si>
  <si>
    <t>Escherichia coli UTI89</t>
  </si>
  <si>
    <t>Acidianus filamentous virus 7</t>
  </si>
  <si>
    <t>PRJNA28077</t>
  </si>
  <si>
    <t>Unknown:NC_010153.1/AM087122.1</t>
  </si>
  <si>
    <t>Acidianus filamentous virus 8</t>
  </si>
  <si>
    <t>PRJNA28079</t>
  </si>
  <si>
    <t>Unknown:NC_010154.1/AM087123.2</t>
  </si>
  <si>
    <t>Lactobacillus prophage Lj771</t>
  </si>
  <si>
    <t>PRJNA28145</t>
  </si>
  <si>
    <t>Escherichia coli VR50</t>
  </si>
  <si>
    <t>Unknown:NC_010179.2/AF195902.3</t>
  </si>
  <si>
    <t>Pineapple mealybug wilt-associated virus 1</t>
  </si>
  <si>
    <t>PRJNA28147</t>
  </si>
  <si>
    <t>Unknown:NC_010178.1/AF414119.3</t>
  </si>
  <si>
    <t>Canine papillomavirus 4</t>
  </si>
  <si>
    <t>PRJNA28243</t>
  </si>
  <si>
    <t>Escherichia coli W</t>
  </si>
  <si>
    <t>Unknown:NC_010226.1/EF584537.1</t>
  </si>
  <si>
    <t>Tomato leaf curl Joydebpur betasatellite</t>
  </si>
  <si>
    <t>PRJNA28273</t>
  </si>
  <si>
    <t>Unknown:NC_010236.1/EF190216.1</t>
  </si>
  <si>
    <t>Helicoverpa armigera granulovirus</t>
  </si>
  <si>
    <t>PRJNA28275</t>
  </si>
  <si>
    <t>Unknown:NC_010240.1/EU255577.1</t>
  </si>
  <si>
    <t>Radish leaf curl betasatellite</t>
  </si>
  <si>
    <t>PRJNA28281</t>
  </si>
  <si>
    <t>Unknown:NC_010239.1/EF175734.1</t>
  </si>
  <si>
    <t>Pepper leaf curl virus satellite DNA beta</t>
  </si>
  <si>
    <t>PRJNA28283</t>
  </si>
  <si>
    <t>Unknown:NC_010235.1/EF190215.1</t>
  </si>
  <si>
    <t>Magnaporthe oryzae virus 2</t>
  </si>
  <si>
    <t>PRJNA28297</t>
  </si>
  <si>
    <t>Unknown:NC_010246.1/AB300379.1</t>
  </si>
  <si>
    <t>Oliveros mammarenavirus</t>
  </si>
  <si>
    <t>PRJNA28319</t>
  </si>
  <si>
    <t>Escherichia coli Xuzhou21</t>
  </si>
  <si>
    <t>39.9766</t>
  </si>
  <si>
    <t>L:NC_010250.1/AY216514.2;  S:NC_010248.1/U34248.1</t>
  </si>
  <si>
    <t>Amapar mammarenavirus</t>
  </si>
  <si>
    <t>PRJNA28321</t>
  </si>
  <si>
    <t>40.4118</t>
  </si>
  <si>
    <t>L:NC_010251.1/AY216517.2;  S:NC_010247.1/AF485256.1</t>
  </si>
  <si>
    <t>Allpahuayo mammarenavirus</t>
  </si>
  <si>
    <t>PRJNA28323</t>
  </si>
  <si>
    <t>40.5972</t>
  </si>
  <si>
    <t>L:NC_010249.1/AY216502.2;  S:NC_010253.1/AY012687.1</t>
  </si>
  <si>
    <t>Bear Canyon mammarenavirus</t>
  </si>
  <si>
    <t>Escherichia fergusonii ATCC 35469</t>
  </si>
  <si>
    <t>PRJNA28325</t>
  </si>
  <si>
    <t>39.003</t>
  </si>
  <si>
    <t>L:NC_010255.1/AY924390.1;  S:NC_010256.1/AY924391.1</t>
  </si>
  <si>
    <t>Cupixi mammarenavirus</t>
  </si>
  <si>
    <t>PRJNA28327</t>
  </si>
  <si>
    <t>42.4088</t>
  </si>
  <si>
    <t>L:NC_010252.1/AY216519.2;  S:NC_010254.1/AF512832.1</t>
  </si>
  <si>
    <t>Orgyia leucostigma nucleopolyhedrovirus</t>
  </si>
  <si>
    <t>PRJNA28501</t>
  </si>
  <si>
    <t>Unknown:NC_010276.1/EU309041.1</t>
  </si>
  <si>
    <t>Merkel cell polyomavirus</t>
  </si>
  <si>
    <t>PRJNA28509</t>
  </si>
  <si>
    <t>Escherichia fergusonii strain FDAARGOS_170</t>
  </si>
  <si>
    <t>Unknown:NC_010277.2/HM011556.1</t>
  </si>
  <si>
    <t>Phaius virus X</t>
  </si>
  <si>
    <t>PRJNA28617</t>
  </si>
  <si>
    <t>Unknown:NC_010295.1/AB353071.1</t>
  </si>
  <si>
    <t>Cardiospermum yellow leaf curl betasatellite</t>
  </si>
  <si>
    <t>PRJNA28647</t>
  </si>
  <si>
    <t>Unknown:NC_010297.1/AM933578.1</t>
  </si>
  <si>
    <t>Ligustrum necrotic ringspot virus</t>
  </si>
  <si>
    <t>PRJNA28681</t>
  </si>
  <si>
    <t>Ethanoligenens harbinense YUAN-3</t>
  </si>
  <si>
    <t>Unknown:NC_010305.1/EU074853.1</t>
  </si>
  <si>
    <t>Emilia yellow vein virus-[Fz1]</t>
  </si>
  <si>
    <t>PRJNA28689</t>
  </si>
  <si>
    <t>Unknown:NC_010307.1/EU377539.1</t>
  </si>
  <si>
    <t>Abaca bunchy top virus</t>
  </si>
  <si>
    <t>PRJNA28697</t>
  </si>
  <si>
    <t>41.0385</t>
  </si>
  <si>
    <t>1:NC_010319.1/EF546813.1;  2:NC_010315.1/EF546809.1;  3:NC_010316.1/EF546810.1;  4:NC_010317.1/EF546811.1;  5:NC_010318.1/EF546812.1;  6:NC_010314.1/EF546808.1</t>
  </si>
  <si>
    <t>Tomato leaf curl Ghana virus</t>
  </si>
  <si>
    <t>Eubacterium acidaminophilum DSM 3953</t>
  </si>
  <si>
    <t>PRJNA28699</t>
  </si>
  <si>
    <t>Unknown:NC_010313.1/EU350585.1</t>
  </si>
  <si>
    <t>Malachra yellow vein mosaic virus-associated satellite DNA beta</t>
  </si>
  <si>
    <t>PRJNA28727</t>
  </si>
  <si>
    <t>Unknown:NC_010328.1/EU285590.1</t>
  </si>
  <si>
    <t>Escherichia virus phiEco32</t>
  </si>
  <si>
    <t>PRJNA28729</t>
  </si>
  <si>
    <t>Unknown:NC_010324.1/EU330206.1</t>
  </si>
  <si>
    <t>Human papillomavirus type 88</t>
  </si>
  <si>
    <t>PRJNA28737</t>
  </si>
  <si>
    <t>Eubacterium eligens ATCC 27750</t>
  </si>
  <si>
    <t>Unknown:NC_010329.1/EF467176.1</t>
  </si>
  <si>
    <t>Pseudomonas virus LUZ24</t>
  </si>
  <si>
    <t>PRJNA28739</t>
  </si>
  <si>
    <t>Unknown:NC_010325.1/AM910650.1</t>
  </si>
  <si>
    <t>Pseudomonas phage LUZ19</t>
  </si>
  <si>
    <t>PRJNA28741</t>
  </si>
  <si>
    <t>Unknown:NC_010326.1/AM910651.1</t>
  </si>
  <si>
    <t>Raphanus sativus cryptic virus 2</t>
  </si>
  <si>
    <t>PRJNA28757</t>
  </si>
  <si>
    <t>45.1753</t>
  </si>
  <si>
    <t>Eubacterium limosum KIST612</t>
  </si>
  <si>
    <t>1:NC_010343.1/DQ218036.1;  2:NC_010344.1/DQ218037.1;  3:NC_010345.1/DQ218038.1</t>
  </si>
  <si>
    <t>Botryotinia fuckeliana partitivirus 1</t>
  </si>
  <si>
    <t>PRJNA28759</t>
  </si>
  <si>
    <t>47.5583</t>
  </si>
  <si>
    <t>RNA 1:NC_010349.1/AM491609.1;  RNA 2:NC_010350.1/AM491610.1;  RNA 3:NC_010351.1/AM491611.1</t>
  </si>
  <si>
    <t>Rose cryptic virus 1</t>
  </si>
  <si>
    <t>PRJNA28761</t>
  </si>
  <si>
    <t>44.7818</t>
  </si>
  <si>
    <t>RNA 1:NC_010346.1/EU413666.1;  RNA 2:NC_010347.1/EU413667.1;  RNA 3:NC_010348.1/EU413668.1</t>
  </si>
  <si>
    <t>Eubacterium limosum strain SA11</t>
  </si>
  <si>
    <t>Halomonas phage phiHAP-1</t>
  </si>
  <si>
    <t>PRJNA28763</t>
  </si>
  <si>
    <t>Unknown:NC_010342.1/EU399241.1</t>
  </si>
  <si>
    <t>Eragrostis streak virus</t>
  </si>
  <si>
    <t>PRJNA28825</t>
  </si>
  <si>
    <t>Unknown:NC_010352.1/EU244915.1</t>
  </si>
  <si>
    <t>Streptococcus virus 858</t>
  </si>
  <si>
    <t>PRJNA28829</t>
  </si>
  <si>
    <t>Unknown:NC_010353.1/EF529515.1</t>
  </si>
  <si>
    <t>Eubacterium rectale ATCC 33656</t>
  </si>
  <si>
    <t>Bovine rhinitis B virus</t>
  </si>
  <si>
    <t>PRJNA28835</t>
  </si>
  <si>
    <t>45.6</t>
  </si>
  <si>
    <t>Unknown:NC_010354.1/EU236594.1</t>
  </si>
  <si>
    <t>Glossina pallidipes salivary gland hypertrophy virus</t>
  </si>
  <si>
    <t>PRJNA28839</t>
  </si>
  <si>
    <t>Hytrosaviridae</t>
  </si>
  <si>
    <t>Unknown:NC_010356.1/EF568108.1</t>
  </si>
  <si>
    <t>Azospirillum phage Cd</t>
  </si>
  <si>
    <t>PRJNA28841</t>
  </si>
  <si>
    <t>Eubacterium rectale DSM 17629</t>
  </si>
  <si>
    <t>Unknown:NC_010355.1/CU468217.1</t>
  </si>
  <si>
    <t>Lolium latent virus</t>
  </si>
  <si>
    <t>PRJNA28971</t>
  </si>
  <si>
    <t>Unknown:NC_010434.1/EU489641.1</t>
  </si>
  <si>
    <t>Beet curly top Iran virus-[K]</t>
  </si>
  <si>
    <t>PRJNA28973</t>
  </si>
  <si>
    <t>Unknown:NC_010417.1/EU273818.1</t>
  </si>
  <si>
    <t>Asparagus virus 3</t>
  </si>
  <si>
    <t>PRJNA15099</t>
  </si>
  <si>
    <t>Eubacterium rectale M104/1</t>
  </si>
  <si>
    <t>Unknown:NC_003400.1/AJ316085.1</t>
  </si>
  <si>
    <t>Aeromonas virus 25</t>
  </si>
  <si>
    <t>PRJNA17105</t>
  </si>
  <si>
    <t>Unknown:NC_008208.1/DQ529280.1</t>
  </si>
  <si>
    <t>Pasteurella phage F108</t>
  </si>
  <si>
    <t>PRJNA17113</t>
  </si>
  <si>
    <t>Unknown:NC_008193.1/DQ114220.1</t>
  </si>
  <si>
    <t>Eubacterium siraeum 70/3</t>
  </si>
  <si>
    <t>Mycobacterium virus 244</t>
  </si>
  <si>
    <t>PRJNA17115</t>
  </si>
  <si>
    <t>Unknown:NC_008194.1/DQ398041.1</t>
  </si>
  <si>
    <t>Tursiops truncatus papillomavirus 2</t>
  </si>
  <si>
    <t>PRJNA17117</t>
  </si>
  <si>
    <t>Unknown:NC_008184.1/AY956402.1</t>
  </si>
  <si>
    <t>Raphanus sativus cryptic virus 1</t>
  </si>
  <si>
    <t>PRJNA17127</t>
  </si>
  <si>
    <t>47.6874</t>
  </si>
  <si>
    <t>Eubacterium siraeum V10Sc8a</t>
  </si>
  <si>
    <t>segment 1:NC_008191.1/AY949985.2;  segment 2:NC_008190.1/DQ181926.1</t>
  </si>
  <si>
    <t>Mycobacterium phage Catera</t>
  </si>
  <si>
    <t>PRJNA17141</t>
  </si>
  <si>
    <t>64.7</t>
  </si>
  <si>
    <t>Unknown:NC_008207.1/DQ398053.1</t>
  </si>
  <si>
    <t>Mycobacterium virus Che12</t>
  </si>
  <si>
    <t>PRJNA17143</t>
  </si>
  <si>
    <t>Unknown:NC_008203.1/DQ398043.1</t>
  </si>
  <si>
    <t>Mycobacterium phage Cooper</t>
  </si>
  <si>
    <t>Eubacterium sulci ATCC 35585</t>
  </si>
  <si>
    <t>PRJNA17145</t>
  </si>
  <si>
    <t>69.1</t>
  </si>
  <si>
    <t>Unknown:NC_008195.1/DQ398044.1</t>
  </si>
  <si>
    <t>Mycobacterium virus Halo</t>
  </si>
  <si>
    <t>PRJNA17147</t>
  </si>
  <si>
    <t>66.7</t>
  </si>
  <si>
    <t>Unknown:NC_008202.2/DQ398042.2</t>
  </si>
  <si>
    <t>Mycobacterium virus Llij</t>
  </si>
  <si>
    <t>PRJNA17149</t>
  </si>
  <si>
    <t>Unknown:NC_008196.1/DQ398045.1</t>
  </si>
  <si>
    <t>Mycobacterium phage Orion</t>
  </si>
  <si>
    <t>Exiguobacterium antarcticum B7</t>
  </si>
  <si>
    <t>PRJNA17151</t>
  </si>
  <si>
    <t>Unknown:NC_008197.1/DQ398046.1</t>
  </si>
  <si>
    <t>Mycobacterium phage PBI1</t>
  </si>
  <si>
    <t>PRJNA17165</t>
  </si>
  <si>
    <t>Unknown:NC_008198.1/DQ398047.1</t>
  </si>
  <si>
    <t>Mycobacterium phage PLot</t>
  </si>
  <si>
    <t>PRJNA17167</t>
  </si>
  <si>
    <t>Exiguobacterium sibiricum 255-15</t>
  </si>
  <si>
    <t>Unknown:NC_008200.1/DQ398051.1</t>
  </si>
  <si>
    <t>Mycobacterium virus PMC</t>
  </si>
  <si>
    <t>PRJNA17169</t>
  </si>
  <si>
    <t>Unknown:NC_008205.1/DQ398050.1</t>
  </si>
  <si>
    <t>Mycobacterium phage Pipefish</t>
  </si>
  <si>
    <t>PRJNA17171</t>
  </si>
  <si>
    <t>67.3</t>
  </si>
  <si>
    <t>Unknown:NC_008199.1/DQ398049.1</t>
  </si>
  <si>
    <t>Mycobacterium phage Qyrzula</t>
  </si>
  <si>
    <t>PRJNA17173</t>
  </si>
  <si>
    <t>Unknown:NC_008204.1/DQ398048.1</t>
  </si>
  <si>
    <t>Exiguobacterium sp. AT1b</t>
  </si>
  <si>
    <t>Mycobacterium phage Wildcat</t>
  </si>
  <si>
    <t>PRJNA17175</t>
  </si>
  <si>
    <t>NC_008206.2/DQ398052.2</t>
  </si>
  <si>
    <t>Ranid herpesvirus 1</t>
  </si>
  <si>
    <t>PRJNA17181</t>
  </si>
  <si>
    <t>Unknown:NC_008211.1/DQ665917.1</t>
  </si>
  <si>
    <t>Ranid herpesvirus 2</t>
  </si>
  <si>
    <t>PRJNA17183</t>
  </si>
  <si>
    <t>Unknown:NC_008210.1/DQ665652.1</t>
  </si>
  <si>
    <t>Exiguobacterium sp. MH3</t>
  </si>
  <si>
    <t>Siegesbeckia yellow vein virus-[GD13]</t>
  </si>
  <si>
    <t>PRJNA17267</t>
  </si>
  <si>
    <t>Unknown:NC_008236.1/AM183224.1</t>
  </si>
  <si>
    <t>Siegesbeckia yellow vein virus-[GD13]-associated DNA beta</t>
  </si>
  <si>
    <t>PRJNA17269</t>
  </si>
  <si>
    <t>Unknown:NC_008237.1/AM230643.1</t>
  </si>
  <si>
    <t>Malva mosaic virus</t>
  </si>
  <si>
    <t>PRJNA17349</t>
  </si>
  <si>
    <t>Faecalibacterium prausnitzii L2-6</t>
  </si>
  <si>
    <t>Unknown:NC_008251.1/DQ660333.1</t>
  </si>
  <si>
    <t>Neodiprion abietis NPV</t>
  </si>
  <si>
    <t>PRJNA17361</t>
  </si>
  <si>
    <t>Unknown:NC_008252.1/DQ317692.1</t>
  </si>
  <si>
    <t>Chickpea chlorotic stunt virus</t>
  </si>
  <si>
    <t>PRJNA17363</t>
  </si>
  <si>
    <t>Unknown:NC_008249.1/AY956384.1</t>
  </si>
  <si>
    <t>Narcissus common latent virus</t>
  </si>
  <si>
    <t>Faecalibacterium prausnitzii SL3/3</t>
  </si>
  <si>
    <t>PRJNA17373</t>
  </si>
  <si>
    <t>Unknown:NC_008266.1/AM158439.1</t>
  </si>
  <si>
    <t>Tomato yellow leaf curl Indonesia virus-[Lembang]</t>
  </si>
  <si>
    <t>PRJNA17387</t>
  </si>
  <si>
    <t>Unknown:NC_008267.1/AF189018.4</t>
  </si>
  <si>
    <t>Pepper yellow leaf curl Indonesia virus</t>
  </si>
  <si>
    <t>PRJNA17429</t>
  </si>
  <si>
    <t>42.2533</t>
  </si>
  <si>
    <t>DNA A:NC_008283.1/AB267834.1;  DNA B:NC_008284.1/AB267835.1</t>
  </si>
  <si>
    <t>Pseudomonas phage PRR1</t>
  </si>
  <si>
    <t>Faecalibaculum rodentium strain Alo17</t>
  </si>
  <si>
    <t>PRJNA17481</t>
  </si>
  <si>
    <t>Unknown:NC_008294.1/DQ836063.1</t>
  </si>
  <si>
    <t>Taterapox virus</t>
  </si>
  <si>
    <t>PRJNA17483</t>
  </si>
  <si>
    <t>Unknown:NC_008291.1/DQ437594.1</t>
  </si>
  <si>
    <t>Clanis bilineata nucleopolyhedrovirus</t>
  </si>
  <si>
    <t>PRJNA17485</t>
  </si>
  <si>
    <t>Ferrimonas balearica DSM 9799</t>
  </si>
  <si>
    <t>Unknown:NC_008293.1/DQ504428.1</t>
  </si>
  <si>
    <t>Passiflora latent carlavirus</t>
  </si>
  <si>
    <t>PRJNA17487</t>
  </si>
  <si>
    <t>Unknown:NC_008292.1/DQ455582.1</t>
  </si>
  <si>
    <t>Tomato leaf curl Pakistan virus</t>
  </si>
  <si>
    <t>PRJNA17539</t>
  </si>
  <si>
    <t>Unknown:NC_008299.1/DQ116884.1</t>
  </si>
  <si>
    <t>Synechococcus phage syn9</t>
  </si>
  <si>
    <t>PRJNA17541</t>
  </si>
  <si>
    <t>Ferroglobus placidus DSM 10642</t>
  </si>
  <si>
    <t>Unknown:NC_008296.2/DQ149023.2</t>
  </si>
  <si>
    <t>Melon yellow spot virus</t>
  </si>
  <si>
    <t>PRJNA17545</t>
  </si>
  <si>
    <t>35.1604</t>
  </si>
  <si>
    <t>L:NC_008306.1/AB061774.1;  M:NC_008307.1/AB061773.1;  S:NC_008300.1/AB038343.1</t>
  </si>
  <si>
    <t>Capsicum chlorosis virus</t>
  </si>
  <si>
    <t>PRJNA17547</t>
  </si>
  <si>
    <t>33.6668</t>
  </si>
  <si>
    <t>L:NC_008302.1/DQ256124.1;  M:NC_008303.1/DQ256125.1;  S:NC_008301.1/DQ256123.1</t>
  </si>
  <si>
    <t>Rousettus aegyptiacus papillomavirus 1</t>
  </si>
  <si>
    <t>PRJNA17549</t>
  </si>
  <si>
    <t>Unknown:NC_008298.1/DQ366842.1</t>
  </si>
  <si>
    <t>Euphorbia mosaic virus - A [Mexico:Yucatan:2004]</t>
  </si>
  <si>
    <t>Ferroplasma acidarmanus fer1</t>
  </si>
  <si>
    <t>PRJNA17551</t>
  </si>
  <si>
    <t>44.8528</t>
  </si>
  <si>
    <t>DNA A:NC_008304.1/DQ318937.1;  DNA B:NC_008305.1/DQ318938.1</t>
  </si>
  <si>
    <t>Hibiscus latent Singapore virus</t>
  </si>
  <si>
    <t>PRJNA17573</t>
  </si>
  <si>
    <t>Unknown:NC_008310.2/AF395898.3</t>
  </si>
  <si>
    <t>Murine norovirus 1</t>
  </si>
  <si>
    <t>Fervidicoccus fontis Kam940</t>
  </si>
  <si>
    <t>PRJNA17577</t>
  </si>
  <si>
    <t>Unknown:NC_008311.1/DQ285629.1</t>
  </si>
  <si>
    <t>Malvastrum leaf curl Guangdong virus</t>
  </si>
  <si>
    <t>PRJNA17593</t>
  </si>
  <si>
    <t>Unknown:NC_008316.1/AM236779.1</t>
  </si>
  <si>
    <t>Siegesbeckia yellow vein Guangxi virus</t>
  </si>
  <si>
    <t>PRJNA17595</t>
  </si>
  <si>
    <t>Unknown:NC_008317.1/AM238692.1</t>
  </si>
  <si>
    <t>Tomato leaf curl Guangxi virus</t>
  </si>
  <si>
    <t>PRJNA17607</t>
  </si>
  <si>
    <t>Fervidobacterium nodosum Rt17-B1</t>
  </si>
  <si>
    <t>Unknown:NC_008329.1/AM236784.1</t>
  </si>
  <si>
    <t>Leucania separata nucleopolyhedrovirus</t>
  </si>
  <si>
    <t>PRJNA17669</t>
  </si>
  <si>
    <t>Unknown:NC_008348.1/AY394490.1</t>
  </si>
  <si>
    <t>Spodoptera frugiperda ascovirus 1a</t>
  </si>
  <si>
    <t>PRJNA17721</t>
  </si>
  <si>
    <t>Unknown:NC_008361.1/AM398843.1</t>
  </si>
  <si>
    <t>Strawberry chlorotic fleck-associated virus</t>
  </si>
  <si>
    <t>Fervidobacterium pennivorans DSM 9078</t>
  </si>
  <si>
    <t>PRJNA17741</t>
  </si>
  <si>
    <t>Unknown:NC_008366.1/DQ860839.1</t>
  </si>
  <si>
    <t>Phormidium phage Pf-WMP4</t>
  </si>
  <si>
    <t>PRJNA17743</t>
  </si>
  <si>
    <t>Unknown:NC_008367.1/DQ875742.1</t>
  </si>
  <si>
    <t>Raven circovirus</t>
  </si>
  <si>
    <t>PRJNA17773</t>
  </si>
  <si>
    <t>Unknown:NC_008375.1/DQ146997.1</t>
  </si>
  <si>
    <t>Geobacillus phage GBSV1</t>
  </si>
  <si>
    <t>PRJNA17775</t>
  </si>
  <si>
    <t>Fervidobacterium pennivorans strain DYC</t>
  </si>
  <si>
    <t>Unknown:NC_008376.2/DQ340064.2</t>
  </si>
  <si>
    <t>Tomato yellow leaf curl Guangdong virus</t>
  </si>
  <si>
    <t>PRJNA17801</t>
  </si>
  <si>
    <t>DNA-A:NC_008374.1/AY602166.1</t>
  </si>
  <si>
    <t>Streptocarpus flower break virus</t>
  </si>
  <si>
    <t>PRJNA17803</t>
  </si>
  <si>
    <t>Unknown:NC_008365.1/AM040955.1</t>
  </si>
  <si>
    <t>Tomato leaf curl Guangdong virus</t>
  </si>
  <si>
    <t>PRJNA17805</t>
  </si>
  <si>
    <t>Fibrella aestuarina strain BUZ 2T</t>
  </si>
  <si>
    <t>DNA-A:NC_008373.1/AY602165.1</t>
  </si>
  <si>
    <t>Okra yellow crinkle virus</t>
  </si>
  <si>
    <t>PRJNA17807</t>
  </si>
  <si>
    <t>Unknown:NC_008377.1/DQ875879.1</t>
  </si>
  <si>
    <t>Pepper severe mosaic virus</t>
  </si>
  <si>
    <t>PRJNA17809</t>
  </si>
  <si>
    <t>Unknown:NC_008393.1/AM181350.1</t>
  </si>
  <si>
    <t>Stx2-converting phage 86</t>
  </si>
  <si>
    <t>PRJNA17979</t>
  </si>
  <si>
    <t>Unknown:NC_008464.1/AB255436.1</t>
  </si>
  <si>
    <t>Fibrobacter succinogenes subsp. succinogenes S85</t>
  </si>
  <si>
    <t>Desmodium leaf distortion virus</t>
  </si>
  <si>
    <t>PRJNA17991</t>
  </si>
  <si>
    <t>45.556</t>
  </si>
  <si>
    <t>DNA A:NC_008494.1/DQ875870.1;  DNA B:NC_008495.1/DQ875871.1</t>
  </si>
  <si>
    <t>Corchorus yellow spot virus</t>
  </si>
  <si>
    <t>PRJNA17993</t>
  </si>
  <si>
    <t>46.2551</t>
  </si>
  <si>
    <t>DNA A:NC_008492.1/DQ875868.1;  DNA B:NC_008493.1/DQ875869.1</t>
  </si>
  <si>
    <t>Anticarsia gemmatalis nucleopolyhedrovirus</t>
  </si>
  <si>
    <t>PRJNA17995</t>
  </si>
  <si>
    <t>Fibrobacter succinogenes subsp. succinogenes S85 (Prj:47)</t>
  </si>
  <si>
    <t>Unknown:NC_008520.2/DQ813662.2</t>
  </si>
  <si>
    <t>Enterobacteria phage RB32</t>
  </si>
  <si>
    <t>PRJNA17997</t>
  </si>
  <si>
    <t>Unknown:NC_008515.1/DQ904452.1</t>
  </si>
  <si>
    <t>Tomato leaf curl virus-Pune-associated DNA beta</t>
  </si>
  <si>
    <t>PRJNA18001</t>
  </si>
  <si>
    <t>Unknown:NC_008524.1/AY754815.1</t>
  </si>
  <si>
    <t>Trichoplusia ni ascovirus 2c</t>
  </si>
  <si>
    <t>PRJNA18003</t>
  </si>
  <si>
    <t>Filifactor alocis ATCC 35896</t>
  </si>
  <si>
    <t>Unknown:NC_008518.1/DQ517337.1</t>
  </si>
  <si>
    <t>Siniperca chuatsi rhabdovirus</t>
  </si>
  <si>
    <t>PRJNA18009</t>
  </si>
  <si>
    <t>Unknown:NC_008514.1/DQ399789.1</t>
  </si>
  <si>
    <t>Tomato leaf curl Pune virus - [India:Pune:2005]</t>
  </si>
  <si>
    <t>PRJNA18015</t>
  </si>
  <si>
    <t>Unknown:NC_008517.1/AY754814.1</t>
  </si>
  <si>
    <t>Gull circovirus</t>
  </si>
  <si>
    <t>PRJNA18019</t>
  </si>
  <si>
    <t>Unknown:NC_008521.1/DQ845074.1</t>
  </si>
  <si>
    <t>Filomicrobium sp. W</t>
  </si>
  <si>
    <t>Finch circovirus</t>
  </si>
  <si>
    <t>PRJNA18021</t>
  </si>
  <si>
    <t>Unknown:NC_008522.1/DQ845075.1</t>
  </si>
  <si>
    <t>Narcissus symptomless virus</t>
  </si>
  <si>
    <t>PRJNA18071</t>
  </si>
  <si>
    <t>Unknown:NC_008552.1/AM182569.2</t>
  </si>
  <si>
    <t>Blackberry virus Y</t>
  </si>
  <si>
    <t>PRJNA18125</t>
  </si>
  <si>
    <t>Unknown:NC_008558.1/AY994084.1</t>
  </si>
  <si>
    <t>Fimbriimonas ginsengisoli Gsoil 348</t>
  </si>
  <si>
    <t>Microcystis aeruginosa phage Ma-LMM01</t>
  </si>
  <si>
    <t>PRJNA18127</t>
  </si>
  <si>
    <t>Unknown:NC_008562.1/AB231700.1</t>
  </si>
  <si>
    <t>Malvastrum yellow mosaic alphasatellite</t>
  </si>
  <si>
    <t>PRJNA18129</t>
  </si>
  <si>
    <t>Unknown:NC_008561.1/AM236763.1</t>
  </si>
  <si>
    <t>Malvastrum yellow mosaic virus</t>
  </si>
  <si>
    <t>Finegoldia magna ATCC 29328</t>
  </si>
  <si>
    <t>PRJNA18131</t>
  </si>
  <si>
    <t>Unknown:NC_008559.1/AM236755.1</t>
  </si>
  <si>
    <t>Malvastrum yellow mosaic virus satellite DNA beta</t>
  </si>
  <si>
    <t>PRJNA18133</t>
  </si>
  <si>
    <t>Unknown:NC_008560.1/AM236761.1</t>
  </si>
  <si>
    <t>Ralstonia phage RSM1</t>
  </si>
  <si>
    <t>PRJNA18239</t>
  </si>
  <si>
    <t>Unknown:NC_008574.2/AB259123.2</t>
  </si>
  <si>
    <t>Fischerella sp. NIES-3754</t>
  </si>
  <si>
    <t>Croton yellow vein mosaic betasatellite</t>
  </si>
  <si>
    <t>PRJNA18249</t>
  </si>
  <si>
    <t>Unknown:NC_008579.1/AM410551.1</t>
  </si>
  <si>
    <t>Ectropis obliqua nucleopolyhedrovirus</t>
  </si>
  <si>
    <t>PRJNA18273</t>
  </si>
  <si>
    <t>Unknown:NC_008586.1/DQ837165.1</t>
  </si>
  <si>
    <t>Raspberry leaf mottle virus</t>
  </si>
  <si>
    <t>PRJNA18275</t>
  </si>
  <si>
    <t>Unknown:NC_008585.1/DQ357218.1</t>
  </si>
  <si>
    <t>Flammeovirgaceae bacterium 311</t>
  </si>
  <si>
    <t>Rabbit vesivirus</t>
  </si>
  <si>
    <t>PRJNA18289</t>
  </si>
  <si>
    <t>Unknown:NC_008580.1/AJ866991.1</t>
  </si>
  <si>
    <t>Ralstonia phage RSS1</t>
  </si>
  <si>
    <t>PRJNA18291</t>
  </si>
  <si>
    <t>Unknown:NC_008575.1/AB259124.1</t>
  </si>
  <si>
    <t>Culex flavivirus</t>
  </si>
  <si>
    <t>PRJNA18303</t>
  </si>
  <si>
    <t>Unknown:NC_008604.2/AB262759.2</t>
  </si>
  <si>
    <t>Paramecium bursaria Chlorella virus FR483</t>
  </si>
  <si>
    <t>PRJNA18305</t>
  </si>
  <si>
    <t>Unknown:NC_008603.1/DQ890022.1</t>
  </si>
  <si>
    <t>Flavisolibacter sp. LCS9</t>
  </si>
  <si>
    <t>Potato apical leaf curl disease-associated satellite DNA beta</t>
  </si>
  <si>
    <t>PRJNA18323</t>
  </si>
  <si>
    <t>Unknown:NC_008605.1/EF043234.1</t>
  </si>
  <si>
    <t>Staphylococcus phage phiNM3</t>
  </si>
  <si>
    <t>PRJNA18329</t>
  </si>
  <si>
    <t>Unknown:NC_008617.1/DQ530361.1</t>
  </si>
  <si>
    <t>Cucumber mottle virus</t>
  </si>
  <si>
    <t>PRJNA18331</t>
  </si>
  <si>
    <t>Flavobacteriaceae bacterium 3519-10</t>
  </si>
  <si>
    <t>Unknown:NC_008614.1/AB261167.1</t>
  </si>
  <si>
    <t>Staphylococcus virus 108PVL</t>
  </si>
  <si>
    <t>PRJNA18463</t>
  </si>
  <si>
    <t>Unknown:NC_008689.1/AB243556.1</t>
  </si>
  <si>
    <t>Yersinia phage Berlin</t>
  </si>
  <si>
    <t>PRJNA18481</t>
  </si>
  <si>
    <t>Unknown:NC_008694.1/AM183667.1</t>
  </si>
  <si>
    <t>Archaeal BJ1 virus</t>
  </si>
  <si>
    <t>PRJNA18503</t>
  </si>
  <si>
    <t>64.9</t>
  </si>
  <si>
    <t>Unknown:NC_008695.1/AM419438.1</t>
  </si>
  <si>
    <t>Flavobacterium branchiophilum strain FL-15</t>
  </si>
  <si>
    <t>Strawberry necrotic shock virus</t>
  </si>
  <si>
    <t>PRJNA18507</t>
  </si>
  <si>
    <t>41.6062</t>
  </si>
  <si>
    <t>RNA 1:NC_008708.2/DQ318818.3;  RNA 2:NC_008707.1/AY743591.2;  RNA 3:NC_008706.1/AY363228.2</t>
  </si>
  <si>
    <t>Escherichia phage N4</t>
  </si>
  <si>
    <t>PRJNA18511</t>
  </si>
  <si>
    <t>Unknown:NC_008720.1/EF056009.1</t>
  </si>
  <si>
    <t>Sepik virus</t>
  </si>
  <si>
    <t>PRJNA18513</t>
  </si>
  <si>
    <t>Unknown:NC_008719.1/DQ837642.1</t>
  </si>
  <si>
    <t>Entebbe bat virus</t>
  </si>
  <si>
    <t>PRJNA18515</t>
  </si>
  <si>
    <t>Unknown:NC_008718.1/DQ837641.1</t>
  </si>
  <si>
    <t>Flavobacterium columnare ATCC 49512</t>
  </si>
  <si>
    <t>Possum enterovirus W1</t>
  </si>
  <si>
    <t>PRJNA18517</t>
  </si>
  <si>
    <t>Unknown:NC_008714.1/AY462106.1</t>
  </si>
  <si>
    <t>Pseudomonas virus DMS3</t>
  </si>
  <si>
    <t>PRJNA18521</t>
  </si>
  <si>
    <t>Unknown:NC_008717.1/DQ631426.1</t>
  </si>
  <si>
    <t>Staphylococcus virus CNPH82</t>
  </si>
  <si>
    <t>PRJNA18523</t>
  </si>
  <si>
    <t>Unknown:NC_008722.1/DQ831957.1</t>
  </si>
  <si>
    <t>Flavobacterium columnare strain 94-081</t>
  </si>
  <si>
    <t>Staphylococcus virus PH15</t>
  </si>
  <si>
    <t>PRJNA18525</t>
  </si>
  <si>
    <t>Unknown:NC_008723.1/DQ834250.1</t>
  </si>
  <si>
    <t>Acanthocystis turfacea Chlorella virus 1</t>
  </si>
  <si>
    <t>PRJNA18527</t>
  </si>
  <si>
    <t>Unknown:NC_008724.1/EF101928.1</t>
  </si>
  <si>
    <t>Streptococcus phage SMP</t>
  </si>
  <si>
    <t>PRJNA18529</t>
  </si>
  <si>
    <t>Unknown:NC_008721.2/EF116926.2</t>
  </si>
  <si>
    <t>Flavobacterium columnare strain C#2</t>
  </si>
  <si>
    <t>Maracuja mosaic virus</t>
  </si>
  <si>
    <t>PRJNA18531</t>
  </si>
  <si>
    <t>Unknown:NC_008716.1/DQ356949.1</t>
  </si>
  <si>
    <t>Maruca vitrata nucleopolyhedrovirus</t>
  </si>
  <si>
    <t>PRJNA18533</t>
  </si>
  <si>
    <t>Unknown:NC_008725.1/EF125867.1</t>
  </si>
  <si>
    <t>Mal de Rio Cuarto virus</t>
  </si>
  <si>
    <t>PRJNA18539</t>
  </si>
  <si>
    <t>Flavobacterium indicum GPTSA100-9</t>
  </si>
  <si>
    <t>33.9434</t>
  </si>
  <si>
    <t>S1:NC_008733.1/AF499925.1;  S10:NC_008734.1/AY607586.1;  S2:NC_008730.1/AF499926.1;  S3:NC_008732.1/AF499928.1;  S4:NC_008729.1/AF395873.1;  S5:NC_008735.1/AY607587.1;  S6:NC_008731.1/AF499927.1;  S7:NC_008736.1/AY923115.1;  S8:NC_008728.1/AF395872.1;  S9:NC_008737.1/DQ023312.1</t>
  </si>
  <si>
    <t>Sida yellow mosaic Yucatan virus</t>
  </si>
  <si>
    <t>PRJNA18625</t>
  </si>
  <si>
    <t>45.7087</t>
  </si>
  <si>
    <t>DNA A:NC_008779.1/DQ875872.1;  DNA B:NC_008780.1/DQ875873.1</t>
  </si>
  <si>
    <t>Honeysuckle yellow vein Kagoshima virus</t>
  </si>
  <si>
    <t>Flavobacterium indicum GPTSA100-9 = DSM 17447</t>
  </si>
  <si>
    <t>PRJNA18657</t>
  </si>
  <si>
    <t>Unknown:NC_008793.1/AB178949.1</t>
  </si>
  <si>
    <t>Crassocephalum yellow vein virus - Jinghong</t>
  </si>
  <si>
    <t>PRJNA18659</t>
  </si>
  <si>
    <t>Unknown:NC_008794.1/EF165536.1</t>
  </si>
  <si>
    <t>Staphylococcus virus phiETA2</t>
  </si>
  <si>
    <t>PRJNA18669</t>
  </si>
  <si>
    <t>Unknown:NC_008798.1/AP008953.1</t>
  </si>
  <si>
    <t>Staphylococcus virus phiETA3</t>
  </si>
  <si>
    <t>PRJNA18671</t>
  </si>
  <si>
    <t>Flavobacterium johnsoniae UW101</t>
  </si>
  <si>
    <t>Unknown:NC_008799.1/AP008954.1</t>
  </si>
  <si>
    <t>Narcissus degeneration virus</t>
  </si>
  <si>
    <t>PRJNA18729</t>
  </si>
  <si>
    <t>Unknown:NC_008824.1/AM182028.1</t>
  </si>
  <si>
    <t>Glypta fumiferanae ichnovirus</t>
  </si>
  <si>
    <t>PRJNA18767</t>
  </si>
  <si>
    <t>36.6847</t>
  </si>
  <si>
    <t>Flavobacterium psychrophilum 950106-1/1</t>
  </si>
  <si>
    <t>D5:NC_008929.1/AB290004.1;  segment A1:NC_008837.1/AB289903.1;  segment A10:NC_008846.1/AB289912.1;  segment A2:NC_008838.1/AB289904.1;  segment A3:NC_008839.1/AB289905.1;  segment A4:NC_008840.1/AB289906.1;  segment A5:NC_008841.1/AB289907.1;  segment A6:NC_008842.1/AB289908.1;  segment A7:NC_008843.1/AB289909.1;  segment A8:NC_008844.1/AB289910.1;  segment A9:NC_008845.1/AB289911.1;  segment B1:NC_008847.1/AB289913.1;  segment B10:NC_008855.1/AB289922.1;  segment B11:NC_008856.1/AB289923.1;  segment B12:NC_008857.1/AB289924.1;  segment B13:NC_008858.1/AB289925.1;  segment B14:NC_008859.1/AB289926.1;  segment B15:NC_008860.1/AB289927.1;  segment B16:NC_008861.1/AB289928.1;  segment B17:NC_008862.1/AB289929.1;  segment B18:NC_008934.1/AB289930.1;  segment B19:NC_008863.1/AB289931.1;  segment B2:NC_008933.1/AB289914.1;  segment B20:NC_008864.1/AB289932.1;  segment B21:NC_008865.1/AB289933.1;  segment B22:NC_008866.1/AB289934.1;  segment B23:NC_008867.1/AB289935.1;  segment B24:NC_008868.1/AB289936.1;  segment B25:NC_008869.1/AB289937.1;  segment B26:NC_008870.1/AB289938.1;  segment B27:NC_008871.1/AB289939.1;  segment B28:NC_008872.1/AB289940.1;  segment B29:NC_008873.1/AB289941.1;  segment B3:NC_008848.1/AB289915.1;  segment B30:NC_008935.1/AB289942.1;  segment B31:NC_008874.1/AB289943.1;  segment B32:NC_008875.1/AB289944.1;  segment B33:NC_008876.1/AB289945.1;  segment B34:NC_008877.1/AB289946.1;  segment B35:NC_008878.1/AB289947.1;  segment B36:NC_008936.1/AB289948.1;  segment B37:NC_008879.1/AB289949.1;  segment B38:NC_008880.1/AB289950.1;  segment B39:NC_008881.1/AB289951.1;  segment B4:NC_008849.1/AB289916.1;  segment B40:NC_008882.1/AB289952.1;  segment B41:NC_008883.1/AB289953.1;  segment B42:NC_008884.1/AB289954.1;  segment B43:NC_008885.1/AB289955.1;  segment B44:NC_008886.1/AB289956.1;  segment B45:NC_008887.1/AB289957.1;  segment B46:NC_008888.1/AB289958.1;  segment B47:NC_008889.1/AB289959.1;  segment B48:NC_008937.1/AB289960.1;  segment B49:NC_008890.1/AB289961.1;  segment B5:NC_008850.1/AB289917.1;  segment B50:NC_008891.1/AB289962.1;  segment B51:NC_008892.1/AB289963.1;  segment B52:NC_008893.1/AB289964.1;  segment B53:NC_008894.1/AB289965.1;  segment B54:NC_008938.1/AB289966.1;  segment B55:NC_008895.1/AB289967.1;  segment B56:NC_008896.1/AB289968.1;  segment B57:NC_008897.1/AB289969.1;  segment B58:NC_008898.1/AB289970.1;  segment B59:NC_008899.1/AB289971.1;  segment B6:NC_008851.1/AB289918.1;  segment B60:NC_008900.1/AB289972.1;  segment B61:NC_008901.1/AB289973.1;  segment B62:NC_008902.1/AB289974.1;  segment B63:NC_008903.1/AB289975.1;  segment B64:NC_008904.1/AB289976.1;  segment B65:NC_008905.1/AB289977.1;  segment B7:NC_008852.1/AB289919.1;  segment B8:NC_008853.1/AB289920.1;  segment B9:NC_008854.1/AB289921.1;  segment C1:NC_008939.1/AB289978.1;  segment C10:NC_008913.1/AB289987.1;  segment C11:NC_008914.1/AB289988.1;  segment C12:NC_008915.1/AB289989.1;  segment C13:NC_008916.1/AB289990.1;  segment C14:NC_008917.1/AB289991.1;  segment C15:NC_008918.1/AB289992.1;  segment C16:NC_008919.1/AB289993.1;  segment C17:NC_008920.1/AB289994.1;  segment C18:NC_008921.1/AB289995.1;  segment C19:NC_008922.1/AB289996.1;  segment C2:NC_008906.1/AB289979.1;  segment C20:NC_008923.1/AB289997.1;  segment C21:NC_008924.1/AB289998.1;  segment C22:NC_008925.1/AB289999.1;  segment C3:NC_008907.1/AB289980.1;  segment C4:NC_008908.1/AB289981.1;  segment C5:NC_008909.1/AB289982.1;  segment C6:NC_008910.1/AB289983.1;  segment C7:NC_008911.1/AB289984.1;  segment C8:NC_008940.1/AB289985.1;  segment C9:NC_008912.1/AB289986.1;  segment D1:NC_008926.1/AB290000.1;  segment D2:NC_008927.1/AB290001.1;  segment D3:NC_008928.1/AB290002.1;  segment D4:NC_008941.1/AB290003.1;  segment D6:NC_008930.1/AB290005.1;  segment D7:NC_008931.1/AB290006.1;  segment E1:NC_008932.1/AB290007.1</t>
  </si>
  <si>
    <t>Hyposoter fugitivus ichnovirus</t>
  </si>
  <si>
    <t>PRJNA18779</t>
  </si>
  <si>
    <t>43.1599</t>
  </si>
  <si>
    <t>Flavobacterium psychrophilum FPG101</t>
  </si>
  <si>
    <t>segment B14:NC_009000.1/AB291176.1;  segment B6:NC_008999.1/AB291171.1;  segment C13:NC_009001.1/AB291189.1;  segment C19:NC_009002.1/AB291194.1;  segment D10:NC_008994.1/AB291204.1;  segment D11:NC_008995.1/AB291205.1;  segment D12:NC_008996.1/AB291206.1;  segment D8:NC_008992.1/AB291202.1;  segment D9:NC_008993.1/AB291203.1;  segment E1:NC_009003.1/AB291207.1;  segment E2:NC_008997.1/AB291208.1;  segment G1:NC_008998.1/AB291209.1;  segment A1:NC_008947.1/AY556383.1;  segment A2:NC_008957.1/AB291165.1;  segment A3:NC_008958.1/AB291166.1;  segment B1:NC_008956.1/AY935249.1;  segment B10:NC_008964.1/AB291173.1;  segment B11:NC_008951.1/AY570798.1;  segment B12:NC_008965.1/AB291174.1;  segment B13:NC_008966.1/AB291175.1;  segment B15:NC_008967.1/AB291177.1;  segment B16:NC_008968.1/AB291178.1;  segment B17:NC_008953.1/AY577428.1;  segment B18:NC_008969.1/AB291179.1;  segment B2:NC_008959.1/AB291167.1;  segment B3:NC_008960.1/AB291168.1;  segment B4:NC_008961.1/AB291169.1;  segment B5:NC_008962.1/AB291170.1;  segment B7:NC_008949.1/AY563518.1;  segment B8:NC_008955.1/AY597814.1;  segment B9:NC_008963.1/AB291172.1;  segment C1:NC_008970.1/AB291180.1;  segment C10:NC_008954.1/AY577429.1;  segment C11:NC_008980.1/AB291188.1;  segment C12:NC_008948.1/AY556384.1;  segment C14:NC_008981.1/AB291190.1;  segment C15:NC_008982.1/AB291191.1;  segment C16:NC_008946.1/AY547319.1;  segment C17:NC_008983.1/AB291192.1;  segment C18:NC_008984.1/AB291193.1;  segment C2:NC_008952.1/AY570799.1;  segment C20:NC_008985.1/AB291195.1;  segment C3:NC_008971.1/AB291181.1;  segment C4:NC_008972.1/AB291182.1;  segment C5:NC_008973.1/AB291183.1;  segment C6:NC_008976.1/AB291184.1;  segment C7:NC_008977.1/AB291185.1;  segment C8:NC_008978.1/AB291186.1;  segment C9:NC_008979.1/AB291187.1;  segment D1:NC_008986.1/AB291196.1;  segment D2:NC_008987.1/AB291197.1;  segment D3:NC_008988.1/AB291198.1;  segment D4:NC_008989.1/AB291199.1;  segment D5:NC_008950.1/AY563519.1;  segment D6:NC_008990.1/AB291200.1;  segment D7:NC_008991.1/AB291201.1</t>
  </si>
  <si>
    <t>Spodoptera frugiperda multiple nucleopolyhedrovirus</t>
  </si>
  <si>
    <t>PRJNA18827</t>
  </si>
  <si>
    <t>Unknown:NC_009011.2/EF035042.2</t>
  </si>
  <si>
    <t>Erwinia amylovora phage Era103</t>
  </si>
  <si>
    <t>PRJNA18839</t>
  </si>
  <si>
    <t>Flavobacterium psychrophilum FPG3</t>
  </si>
  <si>
    <t>Unknown:NC_009014.1/EF160123.1</t>
  </si>
  <si>
    <t>New Mapoon virus</t>
  </si>
  <si>
    <t>PRJNA18843</t>
  </si>
  <si>
    <t>Flavobacterium psychrophilum JIP02/86</t>
  </si>
  <si>
    <t>NC_032088.1/KC788512.1</t>
  </si>
  <si>
    <t>Okra leaf curl alphasatellite</t>
  </si>
  <si>
    <t>PRJNA14386</t>
  </si>
  <si>
    <t>Unknown:NC_005954.1/AJ512954.1</t>
  </si>
  <si>
    <t>Pepper leaf curl Yunnan virus-[YN323]</t>
  </si>
  <si>
    <t>PRJNA29413</t>
  </si>
  <si>
    <t>Unknown:NC_010618.1/EU585781.1</t>
  </si>
  <si>
    <t>Flavobacterium psychrophilum strain 3</t>
  </si>
  <si>
    <t>Pepper leaf curl Yunnan virus satellite DNA beta</t>
  </si>
  <si>
    <t>PRJNA29415</t>
  </si>
  <si>
    <t>Unknown:NC_010619.1/EU585782.1</t>
  </si>
  <si>
    <t>Beluga Whale coronavirus SW1</t>
  </si>
  <si>
    <t>PRJNA29509</t>
  </si>
  <si>
    <t>Unknown:NC_010646.1/EU111742.1</t>
  </si>
  <si>
    <t>Heliothis armigera cypovirus 5</t>
  </si>
  <si>
    <t>PRJNA29601</t>
  </si>
  <si>
    <t>36.4209</t>
  </si>
  <si>
    <t>1:NC_010670.1/EF634325.1;  2:NC_010669.1/EF634324.1;  3:NC_010668.1/EF634323.1;  4:NC_010667.1/EF634322.1;  5:NC_010666.1/EF634321.1;  6:NC_010665.1/EF634320.1;  7:NC_010662.1/DQ077913.1;  8:NC_010664.1/DQ178180.1;  9:NC_010663.1/DQ178179.1;  10:NC_010661.1/DQ077912.1</t>
  </si>
  <si>
    <t>Flavobacterium psychrophilum strain 4</t>
  </si>
  <si>
    <t>Musca domestica salivary gland hypertrophy virus</t>
  </si>
  <si>
    <t>PRJNA29631</t>
  </si>
  <si>
    <t>Unknown:NC_010671.1/EU522111.1</t>
  </si>
  <si>
    <t>Tamiami mammarenavirus</t>
  </si>
  <si>
    <t>PRJNA29831</t>
  </si>
  <si>
    <t>41.524</t>
  </si>
  <si>
    <t>L:NC_010702.1/AY924393.1;  S:NC_010701.1/AF485263.1</t>
  </si>
  <si>
    <t>Whitewater Arroyo mammarenavirus</t>
  </si>
  <si>
    <t>PRJNA29833</t>
  </si>
  <si>
    <t>39.6917</t>
  </si>
  <si>
    <t>Flavobacterium psychrophilum strain 5</t>
  </si>
  <si>
    <t>L:NC_010703.1/AY924395.1;  S:NC_010700.1/AF228063.1</t>
  </si>
  <si>
    <t>Chronic bee paralysis virus</t>
  </si>
  <si>
    <t>PRJNA29839</t>
  </si>
  <si>
    <t>50.8084</t>
  </si>
  <si>
    <t>RNA 1:NC_010711.1/EU122229.1;  RNA 2:NC_010712.1/EU122230.1</t>
  </si>
  <si>
    <t>Radish mosaic virus</t>
  </si>
  <si>
    <t>PRJNA29843</t>
  </si>
  <si>
    <t>43.2209</t>
  </si>
  <si>
    <t>RNA 1:NC_010709.1/AB295643.1;  RNA 2:NC_010710.1/AB295644.1</t>
  </si>
  <si>
    <t>Ceratocystis polonica partitivirus</t>
  </si>
  <si>
    <t>PRJNA29847</t>
  </si>
  <si>
    <t>Flavobacterium psychrophilum strain CSF259-93</t>
  </si>
  <si>
    <t>42.649</t>
  </si>
  <si>
    <t>RNA 1:NC_010705.1/AY247204.1;  RNA 2:NC_010706.1/AY247205.1</t>
  </si>
  <si>
    <t>Clerodendron golden mosaic virus</t>
  </si>
  <si>
    <t>PRJNA29849</t>
  </si>
  <si>
    <t>42.4495</t>
  </si>
  <si>
    <t>DNA A:NC_010713.1/DQ641692.1;  DNA B:NC_010714.1/DQ641693.1</t>
  </si>
  <si>
    <t>Tobacco vein distorting virus</t>
  </si>
  <si>
    <t>PRJNA29875</t>
  </si>
  <si>
    <t>Unknown:NC_010732.1/EF529624.1</t>
  </si>
  <si>
    <t>Lamium leaf distortion virus</t>
  </si>
  <si>
    <t>Flavobacterium psychrophilum strain MH1</t>
  </si>
  <si>
    <t>PRJNA29877</t>
  </si>
  <si>
    <t>Unknown:NC_010737.1/EU554423.1</t>
  </si>
  <si>
    <t>Eupatorium vein clearing virus</t>
  </si>
  <si>
    <t>PRJNA29879</t>
  </si>
  <si>
    <t>Unknown:NC_010738.1/EU569831.1</t>
  </si>
  <si>
    <t>Verbena virus Y</t>
  </si>
  <si>
    <t>PRJNA29881</t>
  </si>
  <si>
    <t>Unknown:NC_010735.1/EU564817.1</t>
  </si>
  <si>
    <t>Flavobacterium psychrophilum strain PG2</t>
  </si>
  <si>
    <t>Algerian watermelon mosaic virus</t>
  </si>
  <si>
    <t>PRJNA29883</t>
  </si>
  <si>
    <t>Unknown:NC_010736.1/EU410442.1</t>
  </si>
  <si>
    <t>Ceratocystis resinifera virus 1</t>
  </si>
  <si>
    <t>PRJNA29901</t>
  </si>
  <si>
    <t>42.6924</t>
  </si>
  <si>
    <t>RNA 1:NC_010755.1/AY603052.1;  RNA 2:NC_010754.1/AY603051.1</t>
  </si>
  <si>
    <t>Flexal mammarenavirus</t>
  </si>
  <si>
    <t>PRJNA29903</t>
  </si>
  <si>
    <t>41.8562</t>
  </si>
  <si>
    <t>L:NC_010759.1/EU627611.1;  S:NC_010757.1/AF512831.1</t>
  </si>
  <si>
    <t>Latino mammarenavirus</t>
  </si>
  <si>
    <t>Flavobacterium psychrophilum strain VQ50</t>
  </si>
  <si>
    <t>PRJNA29905</t>
  </si>
  <si>
    <t>39.7313</t>
  </si>
  <si>
    <t>L:NC_010760.1/EU627612.1;  S:NC_010758.1/AF512830.1</t>
  </si>
  <si>
    <t>Parana mammarenavirus</t>
  </si>
  <si>
    <t>PRJNA29907</t>
  </si>
  <si>
    <t>39.5228</t>
  </si>
  <si>
    <t>L:NC_010761.1/EU627613.1;  S:NC_010756.1/AF485261.1</t>
  </si>
  <si>
    <t>Cryphonectria parasitica mycoreovirus-1 (9B21)</t>
  </si>
  <si>
    <t>PRJNA29913</t>
  </si>
  <si>
    <t>41.8857</t>
  </si>
  <si>
    <t>1:NC_010743.1/AY277888.1;  2:NC_010744.1/AY277889.1;  3:NC_010745.1/AY277890.1;  4:NC_010746.1/AB179636.1;  5:NC_010747.1/AB179637.1;  6:NC_010748.1/AB179638.1;  7:NC_010749.1/AB179639.1;  8:NC_010750.1/AB179640.1;  9:NC_010751.1/AB179641.1;  10:NC_010752.1/AB179642.1;  11:NC_010753.1/AB179643.1</t>
  </si>
  <si>
    <t>Flavobacterium psychrophilum strain Z2</t>
  </si>
  <si>
    <t>Ursus maritimus papillomavirus 1</t>
  </si>
  <si>
    <t>PRJNA29915</t>
  </si>
  <si>
    <t>Unknown:NC_010739.1/EF536349.1</t>
  </si>
  <si>
    <t>Mycobacterium phage BPs</t>
  </si>
  <si>
    <t>EU568876.1</t>
  </si>
  <si>
    <t>Mycobacterium phage Adjutor</t>
  </si>
  <si>
    <t>EU676000.1</t>
  </si>
  <si>
    <t>Flavobacterium psychrophilum V3-5</t>
  </si>
  <si>
    <t>Ramie mosaic virus</t>
  </si>
  <si>
    <t>PRJNA29985</t>
  </si>
  <si>
    <t>43.7055</t>
  </si>
  <si>
    <t>DNA A:NC_010791.1/EU596959.1;  DNA B:NC_010792.1/EU596960.1</t>
  </si>
  <si>
    <t>Urochloa streak virus</t>
  </si>
  <si>
    <t>PRJNA30033</t>
  </si>
  <si>
    <t>Unknown:NC_010797.1/EU445699.1</t>
  </si>
  <si>
    <t>Oat dwarf virus</t>
  </si>
  <si>
    <t>PRJNA30037</t>
  </si>
  <si>
    <t>Flavobacterium psychrophilum V4-24</t>
  </si>
  <si>
    <t>Unknown:NC_010799.1/AM296025.1</t>
  </si>
  <si>
    <t>Melon aphid-borne yellows virus</t>
  </si>
  <si>
    <t>PRJNA30049</t>
  </si>
  <si>
    <t>Unknown:NC_010809.1/EU000534.1</t>
  </si>
  <si>
    <t>Flavobacterium psychrophilum v4-33</t>
  </si>
  <si>
    <t>Rose spring dwarf-associated virus</t>
  </si>
  <si>
    <t>PRJNA30051</t>
  </si>
  <si>
    <t>Unknown:NC_010806.1/EU024678.1</t>
  </si>
  <si>
    <t>Ageratum yellow vein Hualian virus-[Taiwan:Hsinchu:tom:2003]</t>
  </si>
  <si>
    <t>PRJNA30057</t>
  </si>
  <si>
    <t>Unknown:NC_010812.1/DQ866124.1</t>
  </si>
  <si>
    <t>Staphylococcus virus phiMR25</t>
  </si>
  <si>
    <t>PRJNA30061</t>
  </si>
  <si>
    <t>Flexibacter litoralis DSM 6794</t>
  </si>
  <si>
    <t>Unknown:NC_010808.1/AB370205.1</t>
  </si>
  <si>
    <t>Salmonella phage phiSG-JL2</t>
  </si>
  <si>
    <t>PRJNA30063</t>
  </si>
  <si>
    <t>Unknown:NC_010807.1/EU547803.1</t>
  </si>
  <si>
    <t>Bandicoot papillomatosis carcinomatosis virus type 2</t>
  </si>
  <si>
    <t>PRJNA30081</t>
  </si>
  <si>
    <t>Unknown:NC_010817.1/EU277647.1</t>
  </si>
  <si>
    <t>Mesta yellow vein mosaic Bahraich virus-[India:Bahraich:2007]</t>
  </si>
  <si>
    <t>PRJNA30083</t>
  </si>
  <si>
    <t>Flexistipes sinusarabici DSM 4947</t>
  </si>
  <si>
    <t>Unknown:NC_010818.1/EU360303.1</t>
  </si>
  <si>
    <t>Simian foamy virus 3</t>
  </si>
  <si>
    <t>PRJNA30095</t>
  </si>
  <si>
    <t>Unknown:NC_010820.1/M74895.1</t>
  </si>
  <si>
    <t>Pseudomonas phage 201phi2-1</t>
  </si>
  <si>
    <t>PRJNA30097</t>
  </si>
  <si>
    <t>Unknown:NC_010821.1/EU197055.1</t>
  </si>
  <si>
    <t>Macaque simian foamy virus</t>
  </si>
  <si>
    <t>PRJNA30115</t>
  </si>
  <si>
    <t>Unknown:NC_010819.1/X54482.1</t>
  </si>
  <si>
    <t>Fluviicola taffensis DSM 16823</t>
  </si>
  <si>
    <t>Brugmansia mild mottle virus</t>
  </si>
  <si>
    <t>PRJNA30157</t>
  </si>
  <si>
    <t>Unknown:NC_010944.1/AM398436.1</t>
  </si>
  <si>
    <t>Pumpkin yellow mosaic Malaysia virus</t>
  </si>
  <si>
    <t>PRJNA30159</t>
  </si>
  <si>
    <t>Unknown:NC_010946.1/EF197941.1</t>
  </si>
  <si>
    <t>Streptococcus phage PH15</t>
  </si>
  <si>
    <t>PRJNA30161</t>
  </si>
  <si>
    <t>Unknown:NC_010945.1/FM163528.1</t>
  </si>
  <si>
    <t>Formosa agariphila KMM 3901</t>
  </si>
  <si>
    <t>Wissadula golden mosaic St Thomas Virus</t>
  </si>
  <si>
    <t>PRJNA30167</t>
  </si>
  <si>
    <t>46.8572</t>
  </si>
  <si>
    <t>DNA A:NC_010948.1/DQ395343.2;  DNA B:NC_010951.1/EU158095.1</t>
  </si>
  <si>
    <t>Macroptilium golden mosaic virus-[Jamaica:Wissadula:August Town]</t>
  </si>
  <si>
    <t>PRJNA30169</t>
  </si>
  <si>
    <t>46.8131</t>
  </si>
  <si>
    <t>DNA A:NC_010952.1/EU158096.1;  DNA B:NC_010953.1/EU158097.1</t>
  </si>
  <si>
    <t>Tomato yellow vein streak virus</t>
  </si>
  <si>
    <t>PRJNA30171</t>
  </si>
  <si>
    <t>39.4457</t>
  </si>
  <si>
    <t>DNA A:NC_010949.1/EF417915.1;  DNA B:NC_010950.1/EF417916.1</t>
  </si>
  <si>
    <t>Francisella cf. novicida 3523</t>
  </si>
  <si>
    <t>Xenopus laevis endogenous retrovirus Xen1</t>
  </si>
  <si>
    <t>PRJNA30173</t>
  </si>
  <si>
    <t>Unknown:NC_010955.1/AJ506107.1</t>
  </si>
  <si>
    <t>Fritillary virus Y</t>
  </si>
  <si>
    <t>PRJNA30175</t>
  </si>
  <si>
    <t>Unknown:NC_010954.1/AM039800.1</t>
  </si>
  <si>
    <t>Lettuce virus X</t>
  </si>
  <si>
    <t>PRJNA30177</t>
  </si>
  <si>
    <t>Unknown:NC_010832.1/AM745758.1</t>
  </si>
  <si>
    <t>Francisella cf. novicida Fx1</t>
  </si>
  <si>
    <t>Allamanda leaf curl virus</t>
  </si>
  <si>
    <t>PRJNA30179</t>
  </si>
  <si>
    <t>Unknown:NC_010947.1/EF602306.1</t>
  </si>
  <si>
    <t>Tomato leaf curl Palampur virus</t>
  </si>
  <si>
    <t>PRJNA30181</t>
  </si>
  <si>
    <t>41.7622</t>
  </si>
  <si>
    <t>DNA A:NC_010840.1/AM884015.2;  DNA B:NC_010839.1/AM992534.1</t>
  </si>
  <si>
    <t>Blainvillea yellow spot virus</t>
  </si>
  <si>
    <t>PRJNA30183</t>
  </si>
  <si>
    <t>Francisella guangzhouensis 08HL01032</t>
  </si>
  <si>
    <t>42.3618</t>
  </si>
  <si>
    <t>DNA A:NC_010837.1/EU710756.1;  DNA B:NC_010838.1/EU710757.1</t>
  </si>
  <si>
    <t>Tomato common mosaic virus</t>
  </si>
  <si>
    <t>PRJNA30185</t>
  </si>
  <si>
    <t>41.7972</t>
  </si>
  <si>
    <t>DNA A:NC_010835.1/EU710754.1;  DNA B:NC_010836.1/EU710755.1</t>
  </si>
  <si>
    <t>Tomato mild mosaic virus</t>
  </si>
  <si>
    <t>PRJNA30187</t>
  </si>
  <si>
    <t>46.9092</t>
  </si>
  <si>
    <t>DNA A:NC_010833.1/EU710752.1;  DNA B:NC_010834.1/EU710753.1</t>
  </si>
  <si>
    <t>Curvularia thermal tolerance virus</t>
  </si>
  <si>
    <t>Francisella noatunensis subsp. orientalis FNO12</t>
  </si>
  <si>
    <t>PRJNA30363</t>
  </si>
  <si>
    <t>56.1164</t>
  </si>
  <si>
    <t>RNA 1:NC_010985.1/EF120984.1;  RNA 2:NC_010986.1/EF120985.1</t>
  </si>
  <si>
    <t>Alternaria alternata virus 1</t>
  </si>
  <si>
    <t>PRJNA30367</t>
  </si>
  <si>
    <t>56.8189</t>
  </si>
  <si>
    <t>L:NC_010984.1/AB368492.1;  M1:NC_010989.1/AB438027.1;  M2:NC_010990.1/AB438028.1;  S:NC_010991.1/AB438029.1</t>
  </si>
  <si>
    <t>Mycobacterium phage DD5</t>
  </si>
  <si>
    <t>PRJNA30513</t>
  </si>
  <si>
    <t>Francisella noatunensis subsp. orientalis FNO24</t>
  </si>
  <si>
    <t>Unknown:NC_011022.1/EU744252.1</t>
  </si>
  <si>
    <t>Mycobacterium virus Jasper</t>
  </si>
  <si>
    <t>PRJNA30515</t>
  </si>
  <si>
    <t>Unknown:NC_011020.1/EU744251.1</t>
  </si>
  <si>
    <t>Mycobacterium virus KBG</t>
  </si>
  <si>
    <t>PRJNA30517</t>
  </si>
  <si>
    <t>Unknown:NC_011019.1/EU744248.1</t>
  </si>
  <si>
    <t>Mycobacterium virus Lockley</t>
  </si>
  <si>
    <t>PRJNA30519</t>
  </si>
  <si>
    <t>Unknown:NC_011021.1/EU744249.1</t>
  </si>
  <si>
    <t>Mycobacterium virus Pukovnik</t>
  </si>
  <si>
    <t>Francisella noatunensis subsp. orientalis LADL--07-285A</t>
  </si>
  <si>
    <t>PRJNA30521</t>
  </si>
  <si>
    <t>Unknown:NC_011023.1/EU744250.1</t>
  </si>
  <si>
    <t>TYLCAxV-Sic1-[IT:Sic2/2:04]</t>
  </si>
  <si>
    <t>PRJNA30523</t>
  </si>
  <si>
    <t>Unknown:NC_011024.1/EU734831.1</t>
  </si>
  <si>
    <t>Mycobacterium phage Nigel</t>
  </si>
  <si>
    <t>PRJNA30609</t>
  </si>
  <si>
    <t>Francisella noatunensis subsp. orientalis str. Toba 04</t>
  </si>
  <si>
    <t>Unknown:NC_011044.1/EU770221.1</t>
  </si>
  <si>
    <t>Mycobacterium phage Predator</t>
  </si>
  <si>
    <t>PRJNA30611</t>
  </si>
  <si>
    <t>Unknown:NC_011039.1/EU770222.1</t>
  </si>
  <si>
    <t>Escherichia phage V5</t>
  </si>
  <si>
    <t>PRJNA30613</t>
  </si>
  <si>
    <t>Francisella noatunensis subsp. orientalis strain FNO01</t>
  </si>
  <si>
    <t>Unknown:NC_011041.1/DQ832317.1</t>
  </si>
  <si>
    <t>Bacillus virus phi29</t>
  </si>
  <si>
    <t>PRJNA30615</t>
  </si>
  <si>
    <t>Unknown:NC_011048.1/EU771092.1</t>
  </si>
  <si>
    <t>Human astrovirus 1</t>
  </si>
  <si>
    <t>PRJNA15436</t>
  </si>
  <si>
    <t>Unknown:NC_001943.1/Z25771.1</t>
  </si>
  <si>
    <t>Francisella noatunensis subsp. orientalis strain FNO190</t>
  </si>
  <si>
    <t>Porcine reproductive and respiratory syndrome virus</t>
  </si>
  <si>
    <t>PRJNA15437</t>
  </si>
  <si>
    <t>Unknown:NC_001961.1/AF046869.1</t>
  </si>
  <si>
    <t>Aichi virus 1</t>
  </si>
  <si>
    <t>PRJNA15441</t>
  </si>
  <si>
    <t>human</t>
  </si>
  <si>
    <t>Unknown:NC_001918.1/AB010145.1</t>
  </si>
  <si>
    <t>Nipah henipavirus</t>
  </si>
  <si>
    <t>PRJNA15443</t>
  </si>
  <si>
    <t>Unknown:NC_002728.1/AF212302.2</t>
  </si>
  <si>
    <t>Bombyx mori densovirus 5</t>
  </si>
  <si>
    <t>PRJNA15444</t>
  </si>
  <si>
    <t>Francisella novicida U112</t>
  </si>
  <si>
    <t>Unknown:NC_004287.1/AB042597.1</t>
  </si>
  <si>
    <t>Pennisetum mosaic virus</t>
  </si>
  <si>
    <t>PRJNA15447</t>
  </si>
  <si>
    <t>Francisella persica ATCC VR-331</t>
  </si>
  <si>
    <t>Unknown:NC_007147.1/AY642590.1</t>
  </si>
  <si>
    <t>Vibriophage VP4</t>
  </si>
  <si>
    <t>PRJNA15449</t>
  </si>
  <si>
    <t>Unknown:NC_007149.1/DQ029335.1</t>
  </si>
  <si>
    <t>Staphylococcus phage PT1028</t>
  </si>
  <si>
    <t>PRJNA15262</t>
  </si>
  <si>
    <t>31.4</t>
  </si>
  <si>
    <t>Unknown:NC_007045.1/AY954948.1</t>
  </si>
  <si>
    <t>Staphylococcus phage 66</t>
  </si>
  <si>
    <t>PRJNA15263</t>
  </si>
  <si>
    <t>Unknown:NC_007046.1/AY954949.1</t>
  </si>
  <si>
    <t>Bacillus phage Cherry</t>
  </si>
  <si>
    <t>DQ222851.1</t>
  </si>
  <si>
    <t>Enterobacteria phage K1F</t>
  </si>
  <si>
    <t>PRJNA15880</t>
  </si>
  <si>
    <t>Unknown:NC_007456.1/DQ111067.1</t>
  </si>
  <si>
    <t>Cucumber leaf spot virus</t>
  </si>
  <si>
    <t>PRJNA16590</t>
  </si>
  <si>
    <t>Francisella philomiragia GA01-2794</t>
  </si>
  <si>
    <t>Unknown:NC_007816.2/EU127904.1</t>
  </si>
  <si>
    <t>Enterobacteria phage ID2 Moscow/ID/2001</t>
  </si>
  <si>
    <t>PRJNA16591</t>
  </si>
  <si>
    <t>Unknown:NC_007817.1/DQ079869.1</t>
  </si>
  <si>
    <t>Enterobacteria phage WA13</t>
  </si>
  <si>
    <t>PRJNA16595</t>
  </si>
  <si>
    <t>Unknown:NC_007821.1/DQ079873.1</t>
  </si>
  <si>
    <t>Francisella philomiragia GA01-2801</t>
  </si>
  <si>
    <t>Lactococcus phage asccphi28</t>
  </si>
  <si>
    <t>PRJNA28985</t>
  </si>
  <si>
    <t>Unknown:NC_010363.1/EU438902.1</t>
  </si>
  <si>
    <t>Tomato leaf curl Cebu virus</t>
  </si>
  <si>
    <t>PRJNA28987</t>
  </si>
  <si>
    <t>Unknown:NC_010439.1/EU487042.1</t>
  </si>
  <si>
    <t>Tomato leaf curl Cotabato virus</t>
  </si>
  <si>
    <t>PRJNA28989</t>
  </si>
  <si>
    <t>Francisella philomiragia O#319-029</t>
  </si>
  <si>
    <t>Unknown:NC_010441.2/EU487047.2</t>
  </si>
  <si>
    <t>Kenaf leaf curl virus-[India:Bahraich:2007]</t>
  </si>
  <si>
    <t>PRJNA28991</t>
  </si>
  <si>
    <t>Unknown:NC_010435.1/EU366903.1</t>
  </si>
  <si>
    <t>Tomato leaf curl Mindanao virus</t>
  </si>
  <si>
    <t>PRJNA29011</t>
  </si>
  <si>
    <t>Unknown:NC_010440.1/EU487046.1</t>
  </si>
  <si>
    <t>Francisella philomiragia O#319-067</t>
  </si>
  <si>
    <t>Salmonella phage Vi II-E1</t>
  </si>
  <si>
    <t>PRJNA29079</t>
  </si>
  <si>
    <t>Unknown:NC_010495.1/AM491472.1</t>
  </si>
  <si>
    <t>Tomato zonate spot virus</t>
  </si>
  <si>
    <t>PRJNA29091</t>
  </si>
  <si>
    <t>34.4026</t>
  </si>
  <si>
    <t>segment L:NC_010491.1/EF552435.1;  segment M:NC_010490.1/EF552434.1;  segment S:NC_010489.1/EF552433.1</t>
  </si>
  <si>
    <t>Squash vein yellowing virus</t>
  </si>
  <si>
    <t>PRJNA29107</t>
  </si>
  <si>
    <t>Unknown:NC_010521.1/EU259611.1</t>
  </si>
  <si>
    <t>Francisella philomiragia subsp. philomiragia ATCC 25015 strain O#319L</t>
  </si>
  <si>
    <t>Escherichia phage Min27</t>
  </si>
  <si>
    <t>PRJNA29143</t>
  </si>
  <si>
    <t>Unknown:NC_010237.1/EU311208.1</t>
  </si>
  <si>
    <t>Hop mosaic virus</t>
  </si>
  <si>
    <t>PRJNA29191</t>
  </si>
  <si>
    <t>Unknown:NC_010538.1/EU527979.1</t>
  </si>
  <si>
    <t>Acidianus filamentous virus 9</t>
  </si>
  <si>
    <t>PRJNA29195</t>
  </si>
  <si>
    <t>Unknown:NC_010537.1/EU545650.1</t>
  </si>
  <si>
    <t>Chapare mammarenavirus</t>
  </si>
  <si>
    <t>PRJNA29223</t>
  </si>
  <si>
    <t>Francisella philomiragia subsp. philomiragia ATCC 25017</t>
  </si>
  <si>
    <t>40.0116</t>
  </si>
  <si>
    <t>segment L:NC_010563.1/EU260464.1;  segment S:NC_010562.1/EU260463.1</t>
  </si>
  <si>
    <t>Ludwigia leaf distortion betasatellite [India:Amadalavalasa:Hibiscus:2007]</t>
  </si>
  <si>
    <t>PRJNA29233</t>
  </si>
  <si>
    <t>Unknown:NC_010569.1/EU557374.1</t>
  </si>
  <si>
    <t>Bean yellow disorder virus</t>
  </si>
  <si>
    <t>PRJNA29237</t>
  </si>
  <si>
    <t>36.0323</t>
  </si>
  <si>
    <t>RNA 1:NC_010560.1/EU191904.1;  RNA 2:NC_010561.1/EU191905.1</t>
  </si>
  <si>
    <t>Miniopterus bat coronavirus HKU8</t>
  </si>
  <si>
    <t>PRJNA29245</t>
  </si>
  <si>
    <t>Unknown:NC_010438.1/EU420139.1</t>
  </si>
  <si>
    <t>Francisella sp. FSC1006</t>
  </si>
  <si>
    <t>Bat coronavirus 1A</t>
  </si>
  <si>
    <t>PRJNA29247</t>
  </si>
  <si>
    <t>Unknown:NC_010437.1/EU420138.1</t>
  </si>
  <si>
    <t>Lactococcus phage 1706</t>
  </si>
  <si>
    <t>PRJNA29283</t>
  </si>
  <si>
    <t>Unknown:NC_010576.1/EU081845.1</t>
  </si>
  <si>
    <t>American grass carp reovirus</t>
  </si>
  <si>
    <t>PRJNA29285</t>
  </si>
  <si>
    <t>55.6439</t>
  </si>
  <si>
    <t>Francisella sp. TX077308</t>
  </si>
  <si>
    <t>segment 1:NC_010584.1/EF589098.1;  segment 10:NC_010593.1/EF589107.1;  segment 11:NC_010594.1/EF589108.1;  segment 2:NC_010585.1/EF589099.1;  segment 3:NC_010586.1/EF589100.1;  segment 4:NC_010587.1/EF589101.1;  segment 5:NC_010588.1/EF589102.1;  segment 6:NC_010589.1/EF589103.1;  segment 7:NC_010590.1/EF589104.1;  segment 8:NC_010591.1/EF589105.1;  segment 9:NC_010592.1/EF589106.1</t>
  </si>
  <si>
    <t>Steller sea lion vesivirus</t>
  </si>
  <si>
    <t>PRJNA30663</t>
  </si>
  <si>
    <t>Unknown:NC_011050.1/EF195384.1</t>
  </si>
  <si>
    <t>Capreolus capreolus papillomavirus 1</t>
  </si>
  <si>
    <t>PRJNA30665</t>
  </si>
  <si>
    <t>Unknown:NC_011051.1/EF680235.1</t>
  </si>
  <si>
    <t>Francisella tularensis strain FAE</t>
  </si>
  <si>
    <t>Sweet potato leaf curl Spain virus</t>
  </si>
  <si>
    <t>PRJNA30673</t>
  </si>
  <si>
    <t>Unknown:NC_011052.2/EF456741.2</t>
  </si>
  <si>
    <t>Mycobacterium virus Boomer</t>
  </si>
  <si>
    <t>PRJNA30693</t>
  </si>
  <si>
    <t>61.1</t>
  </si>
  <si>
    <t>Unknown:NC_011054.1/EU816590.1</t>
  </si>
  <si>
    <t>Mycobacterium virus Kostya</t>
  </si>
  <si>
    <t>PRJNA30695</t>
  </si>
  <si>
    <t>Unknown:NC_011056.1/EU816591.1</t>
  </si>
  <si>
    <t>Francisella tularensis strain FTU</t>
  </si>
  <si>
    <t>Mycobacterium phage Phaedrus</t>
  </si>
  <si>
    <t>PRJNA30697</t>
  </si>
  <si>
    <t>67.6</t>
  </si>
  <si>
    <t>Unknown:NC_011057.1/EU816589.1</t>
  </si>
  <si>
    <t>Mycobacterium virus Porky</t>
  </si>
  <si>
    <t>PRJNA30699</t>
  </si>
  <si>
    <t>Unknown:NC_011055.1/EU816588.1</t>
  </si>
  <si>
    <t>Francisella tularensis strain FTV</t>
  </si>
  <si>
    <t>Chickpea chlorotic dwarf virus</t>
  </si>
  <si>
    <t>PRJNA30715</t>
  </si>
  <si>
    <t>Unknown:NC_011058.1/AM850136.1</t>
  </si>
  <si>
    <t>Potato virus T</t>
  </si>
  <si>
    <t>PRJNA30735</t>
  </si>
  <si>
    <t>Unknown:NC_011062.1/EU835937.1</t>
  </si>
  <si>
    <t>Morganella phage MmP1</t>
  </si>
  <si>
    <t>PRJNA30793</t>
  </si>
  <si>
    <t>Unknown:NC_011085.3/EU652770.3</t>
  </si>
  <si>
    <t>Francisella tularensis strain FTX</t>
  </si>
  <si>
    <t>Diascia yellow mottle virus</t>
  </si>
  <si>
    <t>PRJNA30795</t>
  </si>
  <si>
    <t>Unknown:NC_011086.1/EU684141.1</t>
  </si>
  <si>
    <t>Cycad leaf necrosis virus</t>
  </si>
  <si>
    <t>PRJNA30835</t>
  </si>
  <si>
    <t>Unknown:NC_011097.1/EU853709.1</t>
  </si>
  <si>
    <t>Tomato leaf curl Kumasi virus</t>
  </si>
  <si>
    <t>PRJNA30837</t>
  </si>
  <si>
    <t>Unknown:NC_011096.1/EU847739.1</t>
  </si>
  <si>
    <t>Francisella tularensis strain FTZ</t>
  </si>
  <si>
    <t>Rhizobium phage 16-3</t>
  </si>
  <si>
    <t>PRJNA30845</t>
  </si>
  <si>
    <t>Unknown:NC_011103.1/DQ500118.1</t>
  </si>
  <si>
    <t>Pseudomonas phage PT5</t>
  </si>
  <si>
    <t>EU056923.1</t>
  </si>
  <si>
    <t>Cocksfoot mild mosaic virus</t>
  </si>
  <si>
    <t>PRJNA30849</t>
  </si>
  <si>
    <t>Francisella tularensis strain Larsen</t>
  </si>
  <si>
    <t>Unknown:NC_011108.1/EU081018.1</t>
  </si>
  <si>
    <t>Pseudomonas phage PT2</t>
  </si>
  <si>
    <t>PRJNA30851</t>
  </si>
  <si>
    <t>62.2</t>
  </si>
  <si>
    <t>Unknown:NC_011107.1/EU236438.1</t>
  </si>
  <si>
    <t>Grapevine virus E</t>
  </si>
  <si>
    <t>PRJNA30853</t>
  </si>
  <si>
    <t>Unknown:NC_011106.1/AB432910.1</t>
  </si>
  <si>
    <t>Lactobacillus phage Lrm1</t>
  </si>
  <si>
    <t>PRJNA30879</t>
  </si>
  <si>
    <t>Francisella tularensis strain T01</t>
  </si>
  <si>
    <t>Unknown:NC_011104.1/EU246945.1</t>
  </si>
  <si>
    <t>Tomato leaf curl Kerala virus</t>
  </si>
  <si>
    <t>PRJNA30935</t>
  </si>
  <si>
    <t>Unknown:NC_011135.1/EU910141.1</t>
  </si>
  <si>
    <t>Pseudomonas phage LBL3</t>
  </si>
  <si>
    <t>PRJNA31053</t>
  </si>
  <si>
    <t>55.5</t>
  </si>
  <si>
    <t>Unknown:NC_011165.1/FM201281.1</t>
  </si>
  <si>
    <t>Francisella tularensis subsp. holarctica F92</t>
  </si>
  <si>
    <t>Pseudomonas phage LMA2</t>
  </si>
  <si>
    <t>PRJNA31055</t>
  </si>
  <si>
    <t>Unknown:NC_011166.1/FM201282.1</t>
  </si>
  <si>
    <t>Bacillus virus IEBH</t>
  </si>
  <si>
    <t>PRJNA31057</t>
  </si>
  <si>
    <t>Unknown:NC_011167.1/EU874396.1</t>
  </si>
  <si>
    <t>Feldmannia species virus</t>
  </si>
  <si>
    <t>PRJNA31093</t>
  </si>
  <si>
    <t>Unknown:NC_011183.1/EU916176.1</t>
  </si>
  <si>
    <t>Okra mottle virus - [Brazil:okra]</t>
  </si>
  <si>
    <t>PRJNA31095</t>
  </si>
  <si>
    <t>Francisella tularensis subsp. holarctica FTNF002-00</t>
  </si>
  <si>
    <t>45.451</t>
  </si>
  <si>
    <t>DNA A:NC_011181.1/EU914817.1;  DNA B:NC_011182.1/EU914818.1</t>
  </si>
  <si>
    <t>Mikania micrantha mosaic virus</t>
  </si>
  <si>
    <t>PRJNA31113</t>
  </si>
  <si>
    <t>40.058</t>
  </si>
  <si>
    <t>RNA 1:NC_011190.1/EU158250.1;  RNA 2:NC_011189.1/EU158249.1</t>
  </si>
  <si>
    <t>Sowbane mosaic virus</t>
  </si>
  <si>
    <t>PRJNA31125</t>
  </si>
  <si>
    <t>Unknown:NC_011187.1/AM940437.1</t>
  </si>
  <si>
    <t>Ralstonia phage RSB1</t>
  </si>
  <si>
    <t>PRJNA31163</t>
  </si>
  <si>
    <t>Francisella tularensis subsp. holarctica LVS</t>
  </si>
  <si>
    <t>Unknown:NC_011201.1/AB451219.1</t>
  </si>
  <si>
    <t>Sulfolobus spindle-shaped virus 5</t>
  </si>
  <si>
    <t>PRJNA31219</t>
  </si>
  <si>
    <t>Unknown:NC_011217.1/EU030939.1</t>
  </si>
  <si>
    <t>Burkholderia phage KS10</t>
  </si>
  <si>
    <t>PRJNA31221</t>
  </si>
  <si>
    <t>Unknown:NC_011216.1/EU822883.1</t>
  </si>
  <si>
    <t>Bacteroides phage B40-8</t>
  </si>
  <si>
    <t>PRJNA31249</t>
  </si>
  <si>
    <t>Francisella tularensis subsp. holarctica OSU18</t>
  </si>
  <si>
    <t>Unknown:NC_011222.1/FJ008913.1</t>
  </si>
  <si>
    <t>Jatropha leaf curl virus</t>
  </si>
  <si>
    <t>PRJNA31277</t>
  </si>
  <si>
    <t>Unknown:NC_011268.1/EU798996.1</t>
  </si>
  <si>
    <t>Mycobacterium phage Myrna</t>
  </si>
  <si>
    <t>PRJNA31279</t>
  </si>
  <si>
    <t>Unknown:NC_011273.1/EU826466.1</t>
  </si>
  <si>
    <t>Mycobacterium phage Rizal</t>
  </si>
  <si>
    <t>PRJNA31281</t>
  </si>
  <si>
    <t>Francisella tularensis subsp. holarctica OSU18 (Prj:32025)</t>
  </si>
  <si>
    <t>Unknown:NC_011272.1/EU826467.1</t>
  </si>
  <si>
    <t>Mycobacterium phage ScottMcG</t>
  </si>
  <si>
    <t>PRJNA31283</t>
  </si>
  <si>
    <t>Unknown:NC_011269.1/EU826469.1</t>
  </si>
  <si>
    <t>Mycobacterium phage Spud</t>
  </si>
  <si>
    <t>PRJNA31285</t>
  </si>
  <si>
    <t>Unknown:NC_011270.1/EU826468.1</t>
  </si>
  <si>
    <t>Mycobacterium phage Solon</t>
  </si>
  <si>
    <t>PRJNA31287</t>
  </si>
  <si>
    <t>Francisella tularensis subsp. holarctica PHIT-FT049</t>
  </si>
  <si>
    <t>Unknown:NC_011267.1/EU826470.1</t>
  </si>
  <si>
    <t>Mycobacterium phage Cali</t>
  </si>
  <si>
    <t>PRJNA31291</t>
  </si>
  <si>
    <t>Unknown:NC_011271.1/EU826471.1</t>
  </si>
  <si>
    <t>Sus scrofa papillomavirus 1</t>
  </si>
  <si>
    <t>PRJNA32003</t>
  </si>
  <si>
    <t>Unknown:NC_011280.1/EF395818.1</t>
  </si>
  <si>
    <t>Francisella tularensis subsp. holarctica strain 425</t>
  </si>
  <si>
    <t>Mycobacterium virus Brujita</t>
  </si>
  <si>
    <t>PRJNA32005</t>
  </si>
  <si>
    <t>66.8</t>
  </si>
  <si>
    <t>Unknown:NC_011291.1/FJ168659.1</t>
  </si>
  <si>
    <t>Bacillus virus AP50</t>
  </si>
  <si>
    <t>PRJNA32599</t>
  </si>
  <si>
    <t>Unknown:NC_011523.1/EU408779.1</t>
  </si>
  <si>
    <t>Potato latent virus</t>
  </si>
  <si>
    <t>PRJNA32629</t>
  </si>
  <si>
    <t>Unknown:NC_011525.1/EU433397.2</t>
  </si>
  <si>
    <t>Francisella tularensis subsp. holarctica strain FTT_1</t>
  </si>
  <si>
    <t>Lettuce yellow mottle virus</t>
  </si>
  <si>
    <t>PRJNA32669</t>
  </si>
  <si>
    <t>Unknown:NC_011532.1/EF687738.1</t>
  </si>
  <si>
    <t>Kluyvera phage Kvp1</t>
  </si>
  <si>
    <t>PRJNA32673</t>
  </si>
  <si>
    <t>Unknown:NC_011534.1/FJ194439.1</t>
  </si>
  <si>
    <t>Grapevine Algerian latent virus</t>
  </si>
  <si>
    <t>PRJNA32675</t>
  </si>
  <si>
    <t>Unknown:NC_011535.1/AY830918.1</t>
  </si>
  <si>
    <t>Francisella tularensis subsp. holarctica strain LVS</t>
  </si>
  <si>
    <t>Imperata yellow mottle virus</t>
  </si>
  <si>
    <t>PRJNA32677</t>
  </si>
  <si>
    <t>Unknown:NC_011536.1/AM990928.1</t>
  </si>
  <si>
    <t>Scrophularia mottle virus</t>
  </si>
  <si>
    <t>PRJNA32679</t>
  </si>
  <si>
    <t>Unknown:NC_011537.1/AY751777.1</t>
  </si>
  <si>
    <t>Nemesia ring necrosis virus</t>
  </si>
  <si>
    <t>PRJNA32681</t>
  </si>
  <si>
    <t>Unknown:NC_011538.1/AY751778.1</t>
  </si>
  <si>
    <t>Francisella tularensis subsp. holarctica strain OR96-0246</t>
  </si>
  <si>
    <t>Plantago mottle virus</t>
  </si>
  <si>
    <t>PRJNA32683</t>
  </si>
  <si>
    <t>Unknown:NC_011539.1/AY751779.1</t>
  </si>
  <si>
    <t>Hippeastrum latent virus</t>
  </si>
  <si>
    <t>PRJNA32685</t>
  </si>
  <si>
    <t>Unknown:NC_011540.1/DQ098905.1</t>
  </si>
  <si>
    <t>Narcissus yellow stripe virus</t>
  </si>
  <si>
    <t>PRJNA32687</t>
  </si>
  <si>
    <t>Unknown:NC_011541.1/AM158908.1</t>
  </si>
  <si>
    <t>Francisella tularensis subsp. holarctica strain VT68</t>
  </si>
  <si>
    <t>Maize Iranian mosaic nucleorhabdovirus</t>
  </si>
  <si>
    <t>PRJNA32689</t>
  </si>
  <si>
    <t>Unknown:NC_011542.1/DQ186554.1</t>
  </si>
  <si>
    <t>Hosta virus X</t>
  </si>
  <si>
    <t>PRJNA32693</t>
  </si>
  <si>
    <t>Unknown:NC_011544.1/AJ620114.1</t>
  </si>
  <si>
    <t>Simian T-cell lymphotropic virus 6</t>
  </si>
  <si>
    <t>PRJNA32697</t>
  </si>
  <si>
    <t>Francisella tularensis subsp. mediasiatica FSC147</t>
  </si>
  <si>
    <t>Unknown:NC_011546.1/EU231644.1</t>
  </si>
  <si>
    <t>Bacteriophage APSE-2</t>
  </si>
  <si>
    <t>PRJNA32705</t>
  </si>
  <si>
    <t>Unknown:NC_011551.1/EU794049.1</t>
  </si>
  <si>
    <t>Blackberry chlorotic ringspot virus</t>
  </si>
  <si>
    <t>PRJNA32707</t>
  </si>
  <si>
    <t>42.8401</t>
  </si>
  <si>
    <t>RNA 1:NC_011553.1/DQ091193.1;  RNA 2:NC_011554.1/DQ091194.2;  RNA 3:NC_011555.2/DQ091195.2</t>
  </si>
  <si>
    <t>Beet cryptic virus 1</t>
  </si>
  <si>
    <t>Francisella tularensis subsp. novicida D9876</t>
  </si>
  <si>
    <t>PRJNA32709</t>
  </si>
  <si>
    <t>47.7283</t>
  </si>
  <si>
    <t>RNA 1:NC_011556.1/EU489061.1;  RNA 2:NC_011557.1/EU489062.1</t>
  </si>
  <si>
    <t>Anagyris vein yellowing virus</t>
  </si>
  <si>
    <t>PRJNA32713</t>
  </si>
  <si>
    <t>Unknown:NC_011559.1/AY751780.1</t>
  </si>
  <si>
    <t>Zantedeschia mild mosaic virus</t>
  </si>
  <si>
    <t>PRJNA32715</t>
  </si>
  <si>
    <t>Unknown:NC_011560.1/AY626825.4</t>
  </si>
  <si>
    <t>Francisella tularensis subsp. novicida F6168</t>
  </si>
  <si>
    <t>Peach mosaic virus</t>
  </si>
  <si>
    <t>PRJNA32727</t>
  </si>
  <si>
    <t>Unknown:NC_011552.1/DQ117579.1</t>
  </si>
  <si>
    <t>Caviid betaherpesvirus 2</t>
  </si>
  <si>
    <t>PRJNA188730</t>
  </si>
  <si>
    <t>Unknown:NC_020231.1/KC503762.1</t>
  </si>
  <si>
    <t>Oryctes rhinoceros nudivirus</t>
  </si>
  <si>
    <t>PRJNA32781</t>
  </si>
  <si>
    <t>Francisella tularensis subsp. novicida strain DPG 3A-IS</t>
  </si>
  <si>
    <t>Unknown:NC_011588.1/EU747721.1</t>
  </si>
  <si>
    <t>Stenotrophomonas phage S1</t>
  </si>
  <si>
    <t>PRJNA32787</t>
  </si>
  <si>
    <t>Unknown:NC_011589.1/EU849489.1</t>
  </si>
  <si>
    <t>Southern tomato virus</t>
  </si>
  <si>
    <t>PRJNA32821</t>
  </si>
  <si>
    <t>Unknown:NC_011591.1/EF442780.1</t>
  </si>
  <si>
    <t>Bougainvillea chlorotic vein banding virus</t>
  </si>
  <si>
    <t>PRJNA32823</t>
  </si>
  <si>
    <t>Unknown:NC_011592.1/EU034539.1</t>
  </si>
  <si>
    <t>Francisella tularensis subsp. novicida U112</t>
  </si>
  <si>
    <t>Pseudomonas virus MP38</t>
  </si>
  <si>
    <t>PRJNA32995</t>
  </si>
  <si>
    <t>Unknown:NC_011611.1/EU272037.1</t>
  </si>
  <si>
    <t>Staphylococcus virus IPLA35</t>
  </si>
  <si>
    <t>PRJNA32997</t>
  </si>
  <si>
    <t>Unknown:NC_011612.1/EU861005.1</t>
  </si>
  <si>
    <t>Pseudomonas virus MP29</t>
  </si>
  <si>
    <t>PRJNA32999</t>
  </si>
  <si>
    <t>Unknown:NC_011613.1/EU272036.1</t>
  </si>
  <si>
    <t>Staphylococcus virus IPLA88</t>
  </si>
  <si>
    <t>Francisella tularensis subsp. tularensis FSC198</t>
  </si>
  <si>
    <t>PRJNA33001</t>
  </si>
  <si>
    <t>Unknown:NC_011614.1/EU861004.1</t>
  </si>
  <si>
    <t>Spodoptera litura nucleopolyhedrovirus II</t>
  </si>
  <si>
    <t>PRJNA33005</t>
  </si>
  <si>
    <t>Unknown:NC_011616.1/EU780426.1</t>
  </si>
  <si>
    <t>Soybean yellow mottle mosaic virus</t>
  </si>
  <si>
    <t>PRJNA33135</t>
  </si>
  <si>
    <t>Francisella tularensis subsp. tularensis NE061598</t>
  </si>
  <si>
    <t>Unknown:NC_011643.1/FJ457015.1</t>
  </si>
  <si>
    <t>Equid alphaherpesvirus 9</t>
  </si>
  <si>
    <t>PRJNA33137</t>
  </si>
  <si>
    <t>Unknown:NC_011644.1/AP010838.1</t>
  </si>
  <si>
    <t>Francisella tularensis subsp. tularensis NIH B-38</t>
  </si>
  <si>
    <t>Bacillus phage TP21-L</t>
  </si>
  <si>
    <t>PRJNA33139</t>
  </si>
  <si>
    <t>Unknown:NC_011645.1/EU887664.1</t>
  </si>
  <si>
    <t>Abalone shriveling syndrome-associated virus</t>
  </si>
  <si>
    <t>PRJNA33141</t>
  </si>
  <si>
    <t>Unknown:NC_011646.1/EU350361.2</t>
  </si>
  <si>
    <t>Francisella tularensis subsp. tularensis Scherm</t>
  </si>
  <si>
    <t>Schlumbergera virus X</t>
  </si>
  <si>
    <t>PRJNA33189</t>
  </si>
  <si>
    <t>Unknown:NC_011659.1/AY366207.2</t>
  </si>
  <si>
    <t>Grapevine leafroll-associated virus 10</t>
  </si>
  <si>
    <t>PRJNA33263</t>
  </si>
  <si>
    <t>Unknown:NC_011702.1/AM182328.4</t>
  </si>
  <si>
    <t>Pseudomonas phage 14-1</t>
  </si>
  <si>
    <t>PRJNA33265</t>
  </si>
  <si>
    <t>Unknown:NC_011703.1/FM897211.1</t>
  </si>
  <si>
    <t>Francisella tularensis subsp. tularensis SCHU S4</t>
  </si>
  <si>
    <t>Rabbit calicivirus Australia 1 MIC-07</t>
  </si>
  <si>
    <t>PRJNA33267</t>
  </si>
  <si>
    <t>Unknown:NC_011704.1/EU871528.1</t>
  </si>
  <si>
    <t>Raphanus sativus cryptic virus 3</t>
  </si>
  <si>
    <t>PRJNA33269</t>
  </si>
  <si>
    <t>43.5877</t>
  </si>
  <si>
    <t>1:NC_011705.1/FJ461349.1;  2:NC_011706.1/FJ461350.1</t>
  </si>
  <si>
    <t>Francisella tularensis subsp. tularensis SCHU S4 strain SHU-S4</t>
  </si>
  <si>
    <t>Pseudomonas phage SN</t>
  </si>
  <si>
    <t>PRJNA33327</t>
  </si>
  <si>
    <t>Unknown:NC_011756.1/FM887021.1</t>
  </si>
  <si>
    <t>Erinaceus europaeus papillomavirus 1</t>
  </si>
  <si>
    <t>PRJNA33407</t>
  </si>
  <si>
    <t>Unknown:NC_011765.1/FJ379293.1</t>
  </si>
  <si>
    <t>Human T-lymphotropic virus 4</t>
  </si>
  <si>
    <t>PRJNA33481</t>
  </si>
  <si>
    <t>Francisella tularensis subsp. tularensis str. SCHU S4 substr. NR-28534</t>
  </si>
  <si>
    <t>Unknown:NC_011800.1/EF488483.1</t>
  </si>
  <si>
    <t>Salmonella phage SE1</t>
  </si>
  <si>
    <t>PRJNA33483</t>
  </si>
  <si>
    <t>Unknown:NC_011802.1/DQ003260.1</t>
  </si>
  <si>
    <t>Cactus mild mottle virus</t>
  </si>
  <si>
    <t>PRJNA33485</t>
  </si>
  <si>
    <t>Unknown:NC_011803.1/EU043335.1</t>
  </si>
  <si>
    <t>Gossypium darwinii symptomless virus</t>
  </si>
  <si>
    <t>PRJNA33487</t>
  </si>
  <si>
    <t>Unknown:NC_011804.1/EU365613.1</t>
  </si>
  <si>
    <t>Gossypium punctatum mild leaf curl virus</t>
  </si>
  <si>
    <t>PRJNA33489</t>
  </si>
  <si>
    <t>43.3011</t>
  </si>
  <si>
    <t>DNA A:NC_011805.1/EU365617.1;  DNA B:NC_012120.1/EU384576.1</t>
  </si>
  <si>
    <t>Asparagus virus 2</t>
  </si>
  <si>
    <t>PRJNA33493</t>
  </si>
  <si>
    <t>Francisella tularensis subsp. tularensis TI0902</t>
  </si>
  <si>
    <t>43.1632</t>
  </si>
  <si>
    <t>RNA 1:NC_011808.1/EU919666.1;  RNA 2:NC_011809.1/EU919667.1;  RNA 3:NC_011807.1/X86352.1</t>
  </si>
  <si>
    <t>Pseudomonas phage PB1</t>
  </si>
  <si>
    <t>PRJNA33499</t>
  </si>
  <si>
    <t>Unknown:NC_011810.1/EU716414.1</t>
  </si>
  <si>
    <t>Lactobacillus phage Lv-1</t>
  </si>
  <si>
    <t>PRJNA33535</t>
  </si>
  <si>
    <t>Unknown:NC_011801.1/EU871039.1</t>
  </si>
  <si>
    <t>Erwinia phage phiEa21-4</t>
  </si>
  <si>
    <t>PRJNA33537</t>
  </si>
  <si>
    <t>Francisella tularensis subsp. tularensis TIGB03</t>
  </si>
  <si>
    <t>Unknown:NC_011811.1/EU710883.1</t>
  </si>
  <si>
    <t>Pepper veinal mottle virus</t>
  </si>
  <si>
    <t>PRJNA33675</t>
  </si>
  <si>
    <t>Unknown:NC_011918.1/DQ645484.1</t>
  </si>
  <si>
    <t>Bhendi yellow vein Delhi virus [2004:New Delhi]</t>
  </si>
  <si>
    <t>PRJNA33677</t>
  </si>
  <si>
    <t>Unknown:NC_011919.1/FJ515747.1</t>
  </si>
  <si>
    <t>Rudbeckia flower distortion virus</t>
  </si>
  <si>
    <t>PRJNA33679</t>
  </si>
  <si>
    <t>Francisella tularensis subsp. tularensis WY-00W4114</t>
  </si>
  <si>
    <t>Unknown:NC_011920.1/FJ493469.1</t>
  </si>
  <si>
    <t>Salmonella phage epsilon34</t>
  </si>
  <si>
    <t>PRJNA33779</t>
  </si>
  <si>
    <t>Unknown:NC_011976.1/EU570103.1</t>
  </si>
  <si>
    <t>Francisella tularensis subsp. tularensis WY96</t>
  </si>
  <si>
    <t>Mycobacterium phage Phlyer</t>
  </si>
  <si>
    <t>PRJNA33871</t>
  </si>
  <si>
    <t>67.5</t>
  </si>
  <si>
    <t>Unknown:NC_012027.1/FJ641182.1</t>
  </si>
  <si>
    <t>Helleborus net necrosis virus</t>
  </si>
  <si>
    <t>PRJNA33877</t>
  </si>
  <si>
    <t>Francisella tularensis subsp. tularensis WY96-3418</t>
  </si>
  <si>
    <t>Unknown:NC_012038.1/FJ196835.1</t>
  </si>
  <si>
    <t>Bhendi yellow vein Bhubhaneswar virus</t>
  </si>
  <si>
    <t>PRJNA33885</t>
  </si>
  <si>
    <t>Unknown:NC_012041.1/FJ589571.1</t>
  </si>
  <si>
    <t>Frankia alni ACN14a</t>
  </si>
  <si>
    <t>Pseudomonas phage phi2954</t>
  </si>
  <si>
    <t>PRJNA34533</t>
  </si>
  <si>
    <t>53.4352</t>
  </si>
  <si>
    <t>segment L:NC_012091.2/FJ608823.2;  segment M:NC_012092.1/FJ608824.1;  segment S:NC_012093.1/FJ608825.1</t>
  </si>
  <si>
    <t>Sea turtle tornovirus 1</t>
  </si>
  <si>
    <t>PRJNA34541</t>
  </si>
  <si>
    <t>Frankia sp. CcI3</t>
  </si>
  <si>
    <t>Unknown:NC_012094.1/EU867823.1</t>
  </si>
  <si>
    <t>Pedilanthus leaf curl virus [Pakistan:Multan:2004]</t>
  </si>
  <si>
    <t>PRJNA34665</t>
  </si>
  <si>
    <t>Unknown:NC_012118.1/AM712436.1</t>
  </si>
  <si>
    <t>Equine papillomavirus 2</t>
  </si>
  <si>
    <t>PRJNA34709</t>
  </si>
  <si>
    <t>Unknown:NC_012123.1/EU503122.1</t>
  </si>
  <si>
    <t>Frankia sp. DC12</t>
  </si>
  <si>
    <t>Torque teno zalophus virus 1</t>
  </si>
  <si>
    <t>PRJNA34735</t>
  </si>
  <si>
    <t>Unknown:NC_012126.1/FJ459582.1</t>
  </si>
  <si>
    <t>Gayfeather mild mottle virus</t>
  </si>
  <si>
    <t>PRJNA34755</t>
  </si>
  <si>
    <t>46.6455</t>
  </si>
  <si>
    <t>RNA 1:NC_012134.1/FM881899.1;  RNA 2:NC_012135.1/FM881900.1;  RNA 3:NC_012136.1/FM881901.1</t>
  </si>
  <si>
    <t>Cotton leaf curl Burewala virus - [India:Vehari:2006]</t>
  </si>
  <si>
    <t>PRJNA34757</t>
  </si>
  <si>
    <t>Frankia sp. EAN1pec</t>
  </si>
  <si>
    <t>Unknown:NC_012137.1/AM421522.1</t>
  </si>
  <si>
    <t>Tomato leaf curl Nigeria virus-[Nigeria:2006]</t>
  </si>
  <si>
    <t>PRJNA34815</t>
  </si>
  <si>
    <t>Unknown:NC_012206.1/FJ685621.1</t>
  </si>
  <si>
    <t>Red clover vein mosaic virus</t>
  </si>
  <si>
    <t>PRJNA34841</t>
  </si>
  <si>
    <t>Unknown:NC_012210.1/FJ685618.1</t>
  </si>
  <si>
    <t>Frankia sp. EuI1c</t>
  </si>
  <si>
    <t>Allium virus X</t>
  </si>
  <si>
    <t>PRJNA34843</t>
  </si>
  <si>
    <t>Unknown:NC_012211.2/FJ670570.2</t>
  </si>
  <si>
    <t>Escherichia virus SSL2009a</t>
  </si>
  <si>
    <t>PRJNA34919</t>
  </si>
  <si>
    <t>Unknown:NC_012223.2/FJ750948.2</t>
  </si>
  <si>
    <t>Pseudomonas phage phikF77</t>
  </si>
  <si>
    <t>PRJNA36373</t>
  </si>
  <si>
    <t>Frankia sp. QA3</t>
  </si>
  <si>
    <t>Unknown:NC_012418.1/FN263372.1</t>
  </si>
  <si>
    <t>Enterococcus phage EFAP-1</t>
  </si>
  <si>
    <t>PRJNA36375</t>
  </si>
  <si>
    <t>Unknown:NC_012419.1/FJ792813.1</t>
  </si>
  <si>
    <t>Rhynchosia golden mosaic Yucatan virus</t>
  </si>
  <si>
    <t>PRJNA36505</t>
  </si>
  <si>
    <t>42.7752</t>
  </si>
  <si>
    <t>DNA A:NC_012481.1/EU021216.1;  DNA B:NC_012482.1/FJ792608.1</t>
  </si>
  <si>
    <t>Frateuria aurantia DSM 6220</t>
  </si>
  <si>
    <t>Grapevine Syrah virus 1</t>
  </si>
  <si>
    <t>PRJNA36515</t>
  </si>
  <si>
    <t>59.4</t>
  </si>
  <si>
    <t>Unknown:NC_012484.1/FJ436028.1</t>
  </si>
  <si>
    <t>Human papillomavirus type 109</t>
  </si>
  <si>
    <t>PRJNA36519</t>
  </si>
  <si>
    <t>Unknown:NC_012485.1/EU541441.1</t>
  </si>
  <si>
    <t>Tomato leaf curl Patna virus</t>
  </si>
  <si>
    <t>PRJNA36527</t>
  </si>
  <si>
    <t>Frischella perrara PEB0191</t>
  </si>
  <si>
    <t>Unknown:NC_012492.1/EU862323.1</t>
  </si>
  <si>
    <t>Tomato leaf curl Patna betasatellite</t>
  </si>
  <si>
    <t>PRJNA36541</t>
  </si>
  <si>
    <t>Unknown:NC_012493.1/EU862324.1</t>
  </si>
  <si>
    <t>African oil palm ringspot virus</t>
  </si>
  <si>
    <t>PRJNA36557</t>
  </si>
  <si>
    <t>Unknown:NC_012519.1/AY072921.2</t>
  </si>
  <si>
    <t>Frondihabitans sp. PAMC28766</t>
  </si>
  <si>
    <t>Lactobacillus virus Lb338-1</t>
  </si>
  <si>
    <t>PRJNA36611</t>
  </si>
  <si>
    <t>Unknown:NC_012530.1/FJ822135.1</t>
  </si>
  <si>
    <t>Solenopsis invicta virus 3</t>
  </si>
  <si>
    <t>PRJNA36613</t>
  </si>
  <si>
    <t>Solinviviridae</t>
  </si>
  <si>
    <t>Unknown:NC_012531.1/FJ528584.1</t>
  </si>
  <si>
    <t>Zika virus</t>
  </si>
  <si>
    <t>Fusobacterium hwasookii ChDC F174</t>
  </si>
  <si>
    <t>PRJNA36615</t>
  </si>
  <si>
    <t>Unknown:NC_012532.1/AY632535.2</t>
  </si>
  <si>
    <t>Enterobacteria phage RB14</t>
  </si>
  <si>
    <t>PRJNA37825</t>
  </si>
  <si>
    <t>Unknown:NC_012638.1/FJ839692.1</t>
  </si>
  <si>
    <t>Euproctis pseudoconspersa nucleopolyhedrovirus</t>
  </si>
  <si>
    <t>PRJNA37827</t>
  </si>
  <si>
    <t>Fusobacterium hwasookii ChDC F206</t>
  </si>
  <si>
    <t>Unknown:NC_012639.1/FJ227128.1</t>
  </si>
  <si>
    <t>Vibrio phage VP93</t>
  </si>
  <si>
    <t>PRJNA37885</t>
  </si>
  <si>
    <t>Unknown:NC_012662.1/FJ896200.1</t>
  </si>
  <si>
    <t>Lactococcus phage P087</t>
  </si>
  <si>
    <t>PRJNA37887</t>
  </si>
  <si>
    <t>34.4</t>
  </si>
  <si>
    <t>Unknown:NC_012663.1/FJ429185.1</t>
  </si>
  <si>
    <t>Fusobacterium hwasookii ChDC F300</t>
  </si>
  <si>
    <t>Eragrostis curvula streak virus</t>
  </si>
  <si>
    <t>PRJNA37889</t>
  </si>
  <si>
    <t>Unknown:NC_012664.1/FJ665631.1</t>
  </si>
  <si>
    <t>Malvastrum yellow vein Baoshan virus</t>
  </si>
  <si>
    <t>PRJNA37891</t>
  </si>
  <si>
    <t>Unknown:NC_012665.1/FN386459.1</t>
  </si>
  <si>
    <t>Emilia yellow vein virus-associated DNA beta</t>
  </si>
  <si>
    <t>Fusobacterium nucleatum subsp. animalis 4_8</t>
  </si>
  <si>
    <t>PRJNA37893</t>
  </si>
  <si>
    <t>Unknown:NC_012666.1/FJ869906.1</t>
  </si>
  <si>
    <t>Quang Binh virus</t>
  </si>
  <si>
    <t>PRJNA37969</t>
  </si>
  <si>
    <t>Unknown:NC_012671.1/FJ644291.1</t>
  </si>
  <si>
    <t>Culex pipiens densovirus</t>
  </si>
  <si>
    <t>PRJNA37995</t>
  </si>
  <si>
    <t>Unknown:NC_012685.1/FJ810126.1</t>
  </si>
  <si>
    <t>Sulfitobacter phage EE36phi1</t>
  </si>
  <si>
    <t>Fusobacterium nucleatum subsp. animalis strain KCOM 1279</t>
  </si>
  <si>
    <t>PRJNA38079</t>
  </si>
  <si>
    <t>Unknown:NC_012696.1/FJ591094.1</t>
  </si>
  <si>
    <t>Silicibacter phage DSS3phi2</t>
  </si>
  <si>
    <t>PRJNA38081</t>
  </si>
  <si>
    <t>Unknown:NC_012697.1/FJ591093.1</t>
  </si>
  <si>
    <t>Cassava brown streak virus</t>
  </si>
  <si>
    <t>PRJNA38085</t>
  </si>
  <si>
    <t>Unknown:NC_012698.2/GU563327.1</t>
  </si>
  <si>
    <t>Calicivirus pig/AB90/CAN</t>
  </si>
  <si>
    <t>PRJNA38093</t>
  </si>
  <si>
    <t>Unknown:NC_012699.1/FJ355928.1</t>
  </si>
  <si>
    <t>Fusobacterium nucleatum subsp. animalis strain KCOM 1325</t>
  </si>
  <si>
    <t>Sweet potato badnavirus B</t>
  </si>
  <si>
    <t>PRJNA38241</t>
  </si>
  <si>
    <t>Unknown:NC_012728.1/FJ560944.1</t>
  </si>
  <si>
    <t>Escherichia phage JSE</t>
  </si>
  <si>
    <t>PRJNA38263</t>
  </si>
  <si>
    <t>Unknown:NC_012740.1/EU863408.1</t>
  </si>
  <si>
    <t>Enterobacteria phage JS10</t>
  </si>
  <si>
    <t>PRJNA38265</t>
  </si>
  <si>
    <t>Fusobacterium nucleatum subsp. nucleatum ATCC 25586</t>
  </si>
  <si>
    <t>Unknown:NC_012741.1/EU863409.1</t>
  </si>
  <si>
    <t>Xanthomonas virus phil7</t>
  </si>
  <si>
    <t>PRJNA38267</t>
  </si>
  <si>
    <t>Unknown:NC_012742.1/EU717894.1</t>
  </si>
  <si>
    <t>Escherichia phage wV8</t>
  </si>
  <si>
    <t>PRJNA38281</t>
  </si>
  <si>
    <t>Unknown:NC_012749.1/EU877232.1</t>
  </si>
  <si>
    <t>Wesselsbron virus</t>
  </si>
  <si>
    <t>Fusobacterium nucleatum subsp. nucleatum ChDC F316 strain KCOM 1322</t>
  </si>
  <si>
    <t>PRJNA38295</t>
  </si>
  <si>
    <t>Unknown:NC_012735.1/EU707555.1</t>
  </si>
  <si>
    <t>Burkholderia virus Bcepil02</t>
  </si>
  <si>
    <t>PRJNA38297</t>
  </si>
  <si>
    <t>Unknown:NC_012743.2/FJ937737.2</t>
  </si>
  <si>
    <t>Streptococcus phage 5093</t>
  </si>
  <si>
    <t>PRJNA38299</t>
  </si>
  <si>
    <t>Fusobacterium nucleatum subsp. nucleatum strain KCOM 1250</t>
  </si>
  <si>
    <t>Unknown:NC_012753.1/FJ965538.1</t>
  </si>
  <si>
    <t>Streptococcus phage PH10</t>
  </si>
  <si>
    <t>PRJNA38365</t>
  </si>
  <si>
    <t>Unknown:NC_012756.1/FN391954.1</t>
  </si>
  <si>
    <t>Vibrio phage VEJphi</t>
  </si>
  <si>
    <t>PRJNA38367</t>
  </si>
  <si>
    <t>Unknown:NC_012757.1/FJ904927.1</t>
  </si>
  <si>
    <t>Kedougou virus</t>
  </si>
  <si>
    <t>PRJNA36617</t>
  </si>
  <si>
    <t>Unknown:NC_012533.1/AY632540.2</t>
  </si>
  <si>
    <t>Fusobacterium nucleatum subsp. polymorphum</t>
  </si>
  <si>
    <t>Bagaza virus</t>
  </si>
  <si>
    <t>PRJNA36619</t>
  </si>
  <si>
    <t>Unknown:NC_012534.1/AY632545.2</t>
  </si>
  <si>
    <t>Homalodisca vitripennis reovirus</t>
  </si>
  <si>
    <t>PRJNA36621</t>
  </si>
  <si>
    <t>38.7039</t>
  </si>
  <si>
    <t>S1:NC_012535.1/FJ497789.1;  S10:NC_012544.1/FJ497798.1;  S11:NC_012545.1/FJ497799.1;  S12:NC_012546.1/FJ497800.1;  S2:NC_012536.1/FJ497790.1;  S3:NC_012537.1/FJ497791.1;  S4:NC_012538.1/FJ497792.1;  S5:NC_012539.1/FJ497793.1;  S6:NC_012540.1/FJ497794.1;  S7:NC_012541.1/FJ497795.1;  S8:NC_012542.1/FJ497796.1;  S9:NC_012543.1/FJ497797.1</t>
  </si>
  <si>
    <t>Euphorbia yellow mosaic virus</t>
  </si>
  <si>
    <t>PRJNA36655</t>
  </si>
  <si>
    <t>45.5569</t>
  </si>
  <si>
    <t>DNA A:NC_012553.1/FJ619507.1;  DNA B:NC_012554.2/FJ619508.2</t>
  </si>
  <si>
    <t>Ageratum leaf curl Cameroon betasatellite</t>
  </si>
  <si>
    <t>PRJNA36669</t>
  </si>
  <si>
    <t>Unknown:NC_012557.1/FN298804.1</t>
  </si>
  <si>
    <t>Halorubrum pleomorphic virus 1</t>
  </si>
  <si>
    <t>Fusobacterium nucleatum subsp. polymorphum strain ChDC F306</t>
  </si>
  <si>
    <t>PRJNA36677</t>
  </si>
  <si>
    <t>Unknown:NC_012558.1/FJ685651.1</t>
  </si>
  <si>
    <t>Highlands J virus</t>
  </si>
  <si>
    <t>PRJNA37281</t>
  </si>
  <si>
    <t>Unknown:NC_012561.1/FJ827631.1</t>
  </si>
  <si>
    <t>Human bocavirus 3</t>
  </si>
  <si>
    <t>PRJNA37291</t>
  </si>
  <si>
    <t>Unknown:NC_012564.1/EU918736.1</t>
  </si>
  <si>
    <t>Murine adenovirus 3</t>
  </si>
  <si>
    <t>PRJNA37713</t>
  </si>
  <si>
    <t>Fusobacterium nucleatum subsp. vincentii ChDC F8 strain KCOM 1231</t>
  </si>
  <si>
    <t>Unknown:NC_012584.1/EU835513.1</t>
  </si>
  <si>
    <t>Thielaviopsis basicola mitovirus</t>
  </si>
  <si>
    <t>PRJNA37715</t>
  </si>
  <si>
    <t>32.6</t>
  </si>
  <si>
    <t>Unknown:NC_012585.1/AY563138.1</t>
  </si>
  <si>
    <t>Enterobacteria phage RB51</t>
  </si>
  <si>
    <t>PRJNA37819</t>
  </si>
  <si>
    <t>Unknown:NC_012635.1/FJ839693.1</t>
  </si>
  <si>
    <t>Staphylococcus phage phiPVL-CN125</t>
  </si>
  <si>
    <t>PRJNA38431</t>
  </si>
  <si>
    <t>Unknown:NC_012784.1/FJ713816.1</t>
  </si>
  <si>
    <t>Passionfruit severe leaf distortion virus</t>
  </si>
  <si>
    <t>PRJNA38459</t>
  </si>
  <si>
    <t>45.3487</t>
  </si>
  <si>
    <t>DNA A:NC_012786.1/FJ972767.1;  DNA B:NC_012787.1/FJ972768.1</t>
  </si>
  <si>
    <t>Mycobacterium phage Angel</t>
  </si>
  <si>
    <t>PRJNA38461</t>
  </si>
  <si>
    <t>Gallibacterium anatis UMN179</t>
  </si>
  <si>
    <t>Unknown:NC_012788.1/FJ973624.1</t>
  </si>
  <si>
    <t>Tomato leaf curl Pakistan alphasatellite</t>
  </si>
  <si>
    <t>PRJNA38463</t>
  </si>
  <si>
    <t>Unknown:NC_012789.1/FM164939.1</t>
  </si>
  <si>
    <t>Triticum mosaic virus</t>
  </si>
  <si>
    <t>PRJNA38495</t>
  </si>
  <si>
    <t>Unknown:NC_012799.1/FJ263671.1</t>
  </si>
  <si>
    <t>Bovine viral diarrhea virus 3 Th/04_KhonKaen</t>
  </si>
  <si>
    <t>PRJNA38557</t>
  </si>
  <si>
    <t>Unknown:NC_012812.1/FJ040215.1</t>
  </si>
  <si>
    <t>Gallionella capsiferriformans ES-2</t>
  </si>
  <si>
    <t>Enterobacteria phage St-1</t>
  </si>
  <si>
    <t>PRJNA38669</t>
  </si>
  <si>
    <t>Unknown:NC_012868.1/GQ149088.1</t>
  </si>
  <si>
    <t>Hydrangea chlorotic mottle virus</t>
  </si>
  <si>
    <t>PRJNA38689</t>
  </si>
  <si>
    <t>gamma proteobacterium HdN1</t>
  </si>
  <si>
    <t>Unknown:NC_012869.1/EU754720.2</t>
  </si>
  <si>
    <t>Streptococcus phage M102</t>
  </si>
  <si>
    <t>PRJNA38845</t>
  </si>
  <si>
    <t>Unknown:NC_012884.1/AM749121.1</t>
  </si>
  <si>
    <t>Lettuce chlorosis virus</t>
  </si>
  <si>
    <t>PRJNA38899</t>
  </si>
  <si>
    <t>Gammaproteobacteria bacterium NRL1</t>
  </si>
  <si>
    <t>37.4031</t>
  </si>
  <si>
    <t>RNA 1:NC_012909.1/FJ380118.1;  RNA 2:NC_012910.1/FJ380119.1</t>
  </si>
  <si>
    <t>Gossypium davidsonii symptomless alphasatellite</t>
  </si>
  <si>
    <t>PRJNA39589</t>
  </si>
  <si>
    <t>Unknown:NC_013011.1/EU384655.1</t>
  </si>
  <si>
    <t>Gossypium darwinii symptomless alphasatellite</t>
  </si>
  <si>
    <t>PRJNA39593</t>
  </si>
  <si>
    <t>Unknown:NC_013013.1/EU384641.1</t>
  </si>
  <si>
    <t>Gardnerella vaginalis 409-05</t>
  </si>
  <si>
    <t>Circovirus-like genome SAR-B</t>
  </si>
  <si>
    <t>PRJNA39607</t>
  </si>
  <si>
    <t>Unknown:NC_013018.1/FJ959085.1</t>
  </si>
  <si>
    <t>Circovirus-like genome BBC-A</t>
  </si>
  <si>
    <t>PRJNA39611</t>
  </si>
  <si>
    <t>31.9</t>
  </si>
  <si>
    <t>Unknown:NC_013020.1/FJ959086.1</t>
  </si>
  <si>
    <t>Gardnerella vaginalis ATCC 14018 = JCM 11026</t>
  </si>
  <si>
    <t>Circovirus-like genome RW-A</t>
  </si>
  <si>
    <t>PRJNA39617</t>
  </si>
  <si>
    <t>Unknown:NC_013023.1/FJ959077.1</t>
  </si>
  <si>
    <t>Circovirus-like genome RW-B</t>
  </si>
  <si>
    <t>PRJNA39619</t>
  </si>
  <si>
    <t>Unknown:NC_013024.1/FJ959078.1</t>
  </si>
  <si>
    <t>Circovirus-like genome RW-C</t>
  </si>
  <si>
    <t>PRJNA39621</t>
  </si>
  <si>
    <t>Unknown:NC_013025.1/FJ959079.1</t>
  </si>
  <si>
    <t>Circovirus-like genome RW-D</t>
  </si>
  <si>
    <t>PRJNA39623</t>
  </si>
  <si>
    <t>Unknown:NC_013026.1/FJ959080.1</t>
  </si>
  <si>
    <t>Circovirus-like genome RW-E</t>
  </si>
  <si>
    <t>PRJNA39625</t>
  </si>
  <si>
    <t>Unknown:NC_013027.1/FJ959081.1</t>
  </si>
  <si>
    <t>Circovirus-like genome CB-A</t>
  </si>
  <si>
    <t>PRJNA39627</t>
  </si>
  <si>
    <t>Gardnerella vaginalis ATCC 14019</t>
  </si>
  <si>
    <t>Unknown:NC_013028.1/FJ959082.1</t>
  </si>
  <si>
    <t>Circovirus-like genome CB-B</t>
  </si>
  <si>
    <t>PRJNA39629</t>
  </si>
  <si>
    <t>Unknown:NC_013029.1/FJ959083.1</t>
  </si>
  <si>
    <t>Circovirus-like genome SAR-A</t>
  </si>
  <si>
    <t>PRJNA39631</t>
  </si>
  <si>
    <t>Unknown:NC_013030.2/FJ959084.2</t>
  </si>
  <si>
    <t>Tomato chocolate spot virus</t>
  </si>
  <si>
    <t>PRJNA39867</t>
  </si>
  <si>
    <t>43.6027</t>
  </si>
  <si>
    <t>RNA 1:NC_013075.1/GQ305131.1;  RNA 2:NC_013076.1/GQ305132.1</t>
  </si>
  <si>
    <t>Gardnerella vaginalis HMP9231</t>
  </si>
  <si>
    <t>Chilli leaf curl Multan alphasatellite</t>
  </si>
  <si>
    <t>PRJNA39933</t>
  </si>
  <si>
    <t>Unknown:NC_013103.1/FM179614.1</t>
  </si>
  <si>
    <t>Phytophthora infestans RNA virus 1</t>
  </si>
  <si>
    <t>PRJNA40329</t>
  </si>
  <si>
    <t>43.9159</t>
  </si>
  <si>
    <t>RNA 1:NC_013220.1/FJ373316.1;  RNA 2:NC_013221.1/FJ373317.1</t>
  </si>
  <si>
    <t>Acyrthosiphon pisum virus</t>
  </si>
  <si>
    <t>Geitlerinema sp. PCC 7407</t>
  </si>
  <si>
    <t>PRJNA40357</t>
  </si>
  <si>
    <t>Unknown:NC_003780.1/AF024514.1</t>
  </si>
  <si>
    <t>Ostreococcus tauri virus 1</t>
  </si>
  <si>
    <t>PRJNA36523</t>
  </si>
  <si>
    <t>Unknown:NC_013288.1/FN386611.1</t>
  </si>
  <si>
    <t>Vernonia yellow vein betasatellite</t>
  </si>
  <si>
    <t>PRJNA41303</t>
  </si>
  <si>
    <t>Unknown:NC_013423.1/FN435836.1</t>
  </si>
  <si>
    <t>Gemella sp. oral taxon 928</t>
  </si>
  <si>
    <t>Leucas zeylanica yellow vein virus satellite DNA beta</t>
  </si>
  <si>
    <t>PRJNA41305</t>
  </si>
  <si>
    <t>Unknown:NC_013424.1/GQ421324.1</t>
  </si>
  <si>
    <t>Helicobasidium mompa alphaendornavirus 1</t>
  </si>
  <si>
    <t>PRJNA41437</t>
  </si>
  <si>
    <t>Unknown:NC_013447.1/AB218287.1</t>
  </si>
  <si>
    <t>Rosellinia necatrix megabirnavirus 1/W779</t>
  </si>
  <si>
    <t>PRJNA41609</t>
  </si>
  <si>
    <t>Megabirnaviridae</t>
  </si>
  <si>
    <t>52.6587</t>
  </si>
  <si>
    <t>L1:NC_013462.1/AB512282.1;  L2:NC_013463.1/AB512283.1</t>
  </si>
  <si>
    <t>Geminocystis sp. NIES-3708</t>
  </si>
  <si>
    <t>Fusarium graminearum dsRNA mycovirus-3</t>
  </si>
  <si>
    <t>PRJNA41629</t>
  </si>
  <si>
    <t>Unknown:NC_013469.1/GQ140626.1</t>
  </si>
  <si>
    <t>Fusarium graminearum dsRNA mycovirus-4</t>
  </si>
  <si>
    <t>PRJNA41631</t>
  </si>
  <si>
    <t>57.0547</t>
  </si>
  <si>
    <t>RNA 1:NC_013470.1/GQ140627.1;  RNA 2:NC_013471.1/GQ140628.1</t>
  </si>
  <si>
    <t>Diplodia scrobiculata RNA virus 1</t>
  </si>
  <si>
    <t>PRJNA43007</t>
  </si>
  <si>
    <t>58.6</t>
  </si>
  <si>
    <t>Geminocystis sp. NIES-3709</t>
  </si>
  <si>
    <t>Unknown:NC_013699.1/EU547739.1</t>
  </si>
  <si>
    <t>Aguacate virus</t>
  </si>
  <si>
    <t>PRJNA66333</t>
  </si>
  <si>
    <t>42.8459</t>
  </si>
  <si>
    <t>segment L:NC_015451.1/HM566138.1;  segment M:NC_015450.1/HM566137.1;  segment S:NC_015452.1/HM566139.1</t>
  </si>
  <si>
    <t>Propionibacterium phage PAS50</t>
  </si>
  <si>
    <t>PRJNA66339</t>
  </si>
  <si>
    <t>Gemmata sp. SH-PL17</t>
  </si>
  <si>
    <t>Unknown:NC_015453.1/FJ706172.1</t>
  </si>
  <si>
    <t>Propionibacterium phage PAD20</t>
  </si>
  <si>
    <t>PRJNA66341</t>
  </si>
  <si>
    <t>Unknown:NC_015454.1/FJ706171.1</t>
  </si>
  <si>
    <t>Raptor adenovirus 1</t>
  </si>
  <si>
    <t>PRJNA66343</t>
  </si>
  <si>
    <t>Unknown:NC_015455.1/EU715130.4</t>
  </si>
  <si>
    <t>Gemmatimonadetes bacterium KBS708</t>
  </si>
  <si>
    <t>Shigella virus Shfl1</t>
  </si>
  <si>
    <t>PRJNA66345</t>
  </si>
  <si>
    <t>Unknown:NC_015456.1/HM035024.1</t>
  </si>
  <si>
    <t>Shigella phage Shfl2</t>
  </si>
  <si>
    <t>PRJNA66347</t>
  </si>
  <si>
    <t>Unknown:NC_015457.1/HM035025.1</t>
  </si>
  <si>
    <t>Synechococcus phage S-CBS2</t>
  </si>
  <si>
    <t>PRJNA66393</t>
  </si>
  <si>
    <t>Unknown:NC_015463.1/GU936714.1</t>
  </si>
  <si>
    <t>Campylobacter virus NCTC12673</t>
  </si>
  <si>
    <t>Gemmatimonas aurantiaca T-27</t>
  </si>
  <si>
    <t>PRJNA66395</t>
  </si>
  <si>
    <t>Unknown:NC_015464.1/GU296433.1</t>
  </si>
  <si>
    <t>Synechococcus phage S-CBS3</t>
  </si>
  <si>
    <t>PRJNA66397</t>
  </si>
  <si>
    <t>Unknown:NC_015465.1/GU936715.1</t>
  </si>
  <si>
    <t>Roseobacter phage RDJL Phi 1</t>
  </si>
  <si>
    <t>PRJNA66399</t>
  </si>
  <si>
    <t>Geoalkalibacter subterraneus Red1</t>
  </si>
  <si>
    <t>Unknown:NC_015466.1/HM151342.1</t>
  </si>
  <si>
    <t>Groundnut ringspot and Tomato chlorotic spot virus reassortant</t>
  </si>
  <si>
    <t>PRJNA66459</t>
  </si>
  <si>
    <t>35.4487</t>
  </si>
  <si>
    <t>segment L:NC_015469.1/HQ644142.1;  segment M:NC_015468.1/HQ644141.1;  segment S:NC_015467.1/HQ644140.1</t>
  </si>
  <si>
    <t>Bean yellow mosaic Mexico virus</t>
  </si>
  <si>
    <t>PRJNA66545</t>
  </si>
  <si>
    <t>Unknown:NC_015487.1/FJ944023.1</t>
  </si>
  <si>
    <t>Geobacillus kaustophilus HTA426</t>
  </si>
  <si>
    <t>Rhynchosia mild mosaic virus</t>
  </si>
  <si>
    <t>PRJNA66547</t>
  </si>
  <si>
    <t>41.6738</t>
  </si>
  <si>
    <t>DNA A:NC_015488.1/FJ944019.1;  DNA B:NC_015489.1/FJ944020.1</t>
  </si>
  <si>
    <t>Merremia mosaic Puerto Rico virus</t>
  </si>
  <si>
    <t>PRJNA66549</t>
  </si>
  <si>
    <t>40.9232</t>
  </si>
  <si>
    <t>DNA A:NC_015490.1/FJ944021.1;  DNA B:NC_015491.1/FJ944022.1</t>
  </si>
  <si>
    <t>Geobacillus sp. 12AMOR1</t>
  </si>
  <si>
    <t>Grapevine Bulgarian latent virus</t>
  </si>
  <si>
    <t>PRJNA66553</t>
  </si>
  <si>
    <t>47.0176</t>
  </si>
  <si>
    <t>segment 1:NC_015492.1/FN691934.1;  segment 2:NC_015493.1/FN691935.1</t>
  </si>
  <si>
    <t>Fig cryptic virus</t>
  </si>
  <si>
    <t>PRJNA66565</t>
  </si>
  <si>
    <t>43.4464</t>
  </si>
  <si>
    <t>RNA 1:NC_015494.1/FR687854.1;  RNA 2:NC_015495.1/FR687855.1</t>
  </si>
  <si>
    <t>Geobacillus sp. C56-T3</t>
  </si>
  <si>
    <t>Banana streak UA virus</t>
  </si>
  <si>
    <t>PRJNA66609</t>
  </si>
  <si>
    <t>Unknown:NC_015502.1/HQ593107.1</t>
  </si>
  <si>
    <t>Banana streak UI virus</t>
  </si>
  <si>
    <t>PRJNA66611</t>
  </si>
  <si>
    <t>Geobacillus sp. GHH01</t>
  </si>
  <si>
    <t>Unknown:NC_015503.1/HQ593108.1</t>
  </si>
  <si>
    <t>Banana streak UL virus</t>
  </si>
  <si>
    <t>PRJNA66613</t>
  </si>
  <si>
    <t>Unknown:NC_015504.1/HQ593109.1</t>
  </si>
  <si>
    <t>Banana streak UM virus</t>
  </si>
  <si>
    <t>PRJNA66615</t>
  </si>
  <si>
    <t>Unknown:NC_015505.1/HQ593110.1</t>
  </si>
  <si>
    <t>Geobacillus sp. JF8</t>
  </si>
  <si>
    <t>Banana streak CA virus</t>
  </si>
  <si>
    <t>PRJNA66617</t>
  </si>
  <si>
    <t>Unknown:NC_015506.1/HQ593111.1</t>
  </si>
  <si>
    <t>Banana streak IM virus</t>
  </si>
  <si>
    <t>PRJNA66619</t>
  </si>
  <si>
    <t>Unknown:NC_015507.1/HQ593112.1</t>
  </si>
  <si>
    <t>Lujo mammarenavirus</t>
  </si>
  <si>
    <t>PRJNA38405</t>
  </si>
  <si>
    <t>42.3863</t>
  </si>
  <si>
    <t>segment L:NC_012777.1/FJ952385.1;  segment S:NC_012776.1/FJ952384.1</t>
  </si>
  <si>
    <t>Cercopithecine betaherpesvirus 5</t>
  </si>
  <si>
    <t>PRJNA38429</t>
  </si>
  <si>
    <t>Unknown:NC_012783.2/FJ483968.2</t>
  </si>
  <si>
    <t>Cutthroat trout virus</t>
  </si>
  <si>
    <t>PRJNA66895</t>
  </si>
  <si>
    <t>Unknown:NC_015521.1/HQ731075.1</t>
  </si>
  <si>
    <t>Switchgrass mosaic virus</t>
  </si>
  <si>
    <t>PRJNA66897</t>
  </si>
  <si>
    <t>Geobacillus sp. JS12</t>
  </si>
  <si>
    <t>Unknown:NC_015522.1/JF727261.2</t>
  </si>
  <si>
    <t>Asclepias asymptomatic virus</t>
  </si>
  <si>
    <t>PRJNA66899</t>
  </si>
  <si>
    <t>Unknown:NC_015523.1/HQ425778.1</t>
  </si>
  <si>
    <t>Bombyx mori Macula-like virus</t>
  </si>
  <si>
    <t>PRJNA66973</t>
  </si>
  <si>
    <t>Unknown:NC_015524.1/AB624361.1</t>
  </si>
  <si>
    <t>Geobacillus sp. LC300</t>
  </si>
  <si>
    <t>Chrysanthemum chlorotic mottle viroid</t>
  </si>
  <si>
    <t>PRJNA14170</t>
  </si>
  <si>
    <t>Avsunviroidae</t>
  </si>
  <si>
    <t>Pelamoviroid</t>
  </si>
  <si>
    <t>55.4</t>
  </si>
  <si>
    <t>Unknown:NC_003540.1/Y14700.1</t>
  </si>
  <si>
    <t>Coconut cadang-cadang viroid</t>
  </si>
  <si>
    <t>PRJNA14629</t>
  </si>
  <si>
    <t>Pospiviroidae</t>
  </si>
  <si>
    <t>Cocadviroid</t>
  </si>
  <si>
    <t>59.3</t>
  </si>
  <si>
    <t>Unknown:NC_001462.1/J02049.1</t>
  </si>
  <si>
    <t>Citrus exocortis viroid</t>
  </si>
  <si>
    <t>PRJNA14637</t>
  </si>
  <si>
    <t>Pospiviroid</t>
  </si>
  <si>
    <t>59.8</t>
  </si>
  <si>
    <t>Unknown:NC_001464.1/J02053.1</t>
  </si>
  <si>
    <t>Geobacillus sp. WCH70</t>
  </si>
  <si>
    <t>Coconut tinangaja viroid</t>
  </si>
  <si>
    <t>PRJNA14662</t>
  </si>
  <si>
    <t>60.2</t>
  </si>
  <si>
    <t>Unknown:NC_001471.1/M20731.1</t>
  </si>
  <si>
    <t>Tomato apical stunt viroid</t>
  </si>
  <si>
    <t>PRJNA14670</t>
  </si>
  <si>
    <t>Unknown:NC_001553.1/K00818.1</t>
  </si>
  <si>
    <t>Geobacillus sp. Y4.1MC1</t>
  </si>
  <si>
    <t>Hop stunt viroid</t>
  </si>
  <si>
    <t>PRJNA14720</t>
  </si>
  <si>
    <t>Hostuviroid</t>
  </si>
  <si>
    <t>Unknown:NC_001351.1/X06719.1</t>
  </si>
  <si>
    <t>Columnea latent viroid</t>
  </si>
  <si>
    <t>PRJNA14756</t>
  </si>
  <si>
    <t>Unknown:NC_003538.1/X15663.1</t>
  </si>
  <si>
    <t>Citrus bark cracking viroid</t>
  </si>
  <si>
    <t>PRJNA14757</t>
  </si>
  <si>
    <t>Unknown:NC_003539.1/X14638.1</t>
  </si>
  <si>
    <t>Geobacillus sp. Y412MC52</t>
  </si>
  <si>
    <t>Grapevine yellow speckle viroid 2</t>
  </si>
  <si>
    <t>PRJNA14764</t>
  </si>
  <si>
    <t>Apscaviroid</t>
  </si>
  <si>
    <t>60.1</t>
  </si>
  <si>
    <t>Unknown:NC_003612.1/J04348.1</t>
  </si>
  <si>
    <t>Iresine viroid 1</t>
  </si>
  <si>
    <t>Geobacillus sp. Y412MC61</t>
  </si>
  <si>
    <t>PRJNA14765</t>
  </si>
  <si>
    <t>61.6</t>
  </si>
  <si>
    <t>Unknown:NC_003613.1/X95734.1</t>
  </si>
  <si>
    <t>Peach latent mosaic viroid</t>
  </si>
  <si>
    <t>PRJNA14772</t>
  </si>
  <si>
    <t>Unknown:NC_003636.1/M83545.1</t>
  </si>
  <si>
    <t>Mexican papita viroid</t>
  </si>
  <si>
    <t>PRJNA14773</t>
  </si>
  <si>
    <t>Geobacillus stearothermophilus 10</t>
  </si>
  <si>
    <t>Unknown:NC_003637.1/L78454.1</t>
  </si>
  <si>
    <t>Coleus blumei viroid 1</t>
  </si>
  <si>
    <t>PRJNA14782</t>
  </si>
  <si>
    <t>Coleviroid</t>
  </si>
  <si>
    <t>Unknown:NC_003681.1/X52960.1</t>
  </si>
  <si>
    <t>Coleus blumei viroid 2-RL</t>
  </si>
  <si>
    <t>PRJNA14783</t>
  </si>
  <si>
    <t>Unknown:NC_003682.1/X95365.1</t>
  </si>
  <si>
    <t>Coleus blumei viroid 3-FR</t>
  </si>
  <si>
    <t>PRJNA14784</t>
  </si>
  <si>
    <t>Geobacillus stearothermophilus NUB3621</t>
  </si>
  <si>
    <t>Unknown:NC_003683.1/X95290.1</t>
  </si>
  <si>
    <t>Coleus blumei viroid</t>
  </si>
  <si>
    <t>PRJNA14826</t>
  </si>
  <si>
    <t>Unknown:NC_003882.1/X97202.1</t>
  </si>
  <si>
    <t>Avocado sunblotch viroid</t>
  </si>
  <si>
    <t>PRJNA14908</t>
  </si>
  <si>
    <t>Avsunviroid</t>
  </si>
  <si>
    <t>Unknown:NC_001410.1/J02020.1</t>
  </si>
  <si>
    <t>Geobacillus subterraneus strain KCTC 3922</t>
  </si>
  <si>
    <t>Grapevine yellow speckle viroid 1</t>
  </si>
  <si>
    <t>PRJNA14963</t>
  </si>
  <si>
    <t>Unknown:NC_001920.1/AF059712.1</t>
  </si>
  <si>
    <t>Apple fruit crinkle viroid</t>
  </si>
  <si>
    <t>PRJNA14964</t>
  </si>
  <si>
    <t>unclassified viroids</t>
  </si>
  <si>
    <t>Unknown:NC_003777.1/E29032.1</t>
  </si>
  <si>
    <t>Pear blister canker viroid</t>
  </si>
  <si>
    <t>PRJNA14965</t>
  </si>
  <si>
    <t>Unknown:NC_001830.1/D12823.1</t>
  </si>
  <si>
    <t>Geobacillus thermodenitrificans NG80-2</t>
  </si>
  <si>
    <t>Potato spindle tuber viroid</t>
  </si>
  <si>
    <t>PRJNA14966</t>
  </si>
  <si>
    <t>Unknown:NC_002030.1/V01465.1</t>
  </si>
  <si>
    <t>Apple scar skin viroid</t>
  </si>
  <si>
    <t>PRJNA14967</t>
  </si>
  <si>
    <t>60.5</t>
  </si>
  <si>
    <t>Unknown:NC_001340.1/X17696.1</t>
  </si>
  <si>
    <t>Chrysanthemum stunt viroid</t>
  </si>
  <si>
    <t>PRJNA14968</t>
  </si>
  <si>
    <t>Unknown:NC_002015.1/V01107.1</t>
  </si>
  <si>
    <t>Geobacillus thermoglucosidans TNO-09.020</t>
  </si>
  <si>
    <t>Citrus bent leaf viroid</t>
  </si>
  <si>
    <t>PRJNA14969</t>
  </si>
  <si>
    <t>Unknown:NC_001651.1/U21125.1</t>
  </si>
  <si>
    <t>Hop latent viroid</t>
  </si>
  <si>
    <t>PRJNA14970</t>
  </si>
  <si>
    <t>Unknown:NC_003611.1/X07397.1</t>
  </si>
  <si>
    <t>Apple dimple fruit viroid</t>
  </si>
  <si>
    <t>PRJNA14971</t>
  </si>
  <si>
    <t>Geobacillus thermoglucosidasius strain DSM 2542</t>
  </si>
  <si>
    <t>Unknown:NC_003463.1/X99487.1</t>
  </si>
  <si>
    <t>Tomato chlorotic dwarf viroid</t>
  </si>
  <si>
    <t>PRJNA14973</t>
  </si>
  <si>
    <t>Unknown:NC_000885.1/AF162131.1</t>
  </si>
  <si>
    <t>Citrus dwarfing viroid</t>
  </si>
  <si>
    <t>PRJNA14974</t>
  </si>
  <si>
    <t>Unknown:NC_003264.1/AF447788.1</t>
  </si>
  <si>
    <t>Australian grapevine viroid</t>
  </si>
  <si>
    <t>PRJNA14976</t>
  </si>
  <si>
    <t>Geobacillus thermoleovorans CCB_US3_UF5</t>
  </si>
  <si>
    <t>Unknown:NC_003553.1/X17101.1</t>
  </si>
  <si>
    <t>Eggplant latent viroid</t>
  </si>
  <si>
    <t>PRJNA14977</t>
  </si>
  <si>
    <t>Elaviroid</t>
  </si>
  <si>
    <t>Unknown:NC_004728.1/AJ536612.1</t>
  </si>
  <si>
    <t>Tomato planta macho viroid</t>
  </si>
  <si>
    <t>PRJNA15000</t>
  </si>
  <si>
    <t>Unknown:NC_001558.1/K00817.1</t>
  </si>
  <si>
    <t>Geobacillus thermoleovorans strain KCTC 3570</t>
  </si>
  <si>
    <t>Citrus viroid V</t>
  </si>
  <si>
    <t>PRJNA28115</t>
  </si>
  <si>
    <t>Unknown:NC_010165.1/EF617306.1</t>
  </si>
  <si>
    <t>Persimmon viroid</t>
  </si>
  <si>
    <t>PRJNA28683</t>
  </si>
  <si>
    <t>Unknown:NC_010308.1/AB366022.1</t>
  </si>
  <si>
    <t>Mulberry small circular viroid-like RNA 1</t>
  </si>
  <si>
    <t>PRJNA32241</t>
  </si>
  <si>
    <t>Geobacter anodireducens strain SD-1</t>
  </si>
  <si>
    <t>Unknown:NC_011362.1/EU547491.1</t>
  </si>
  <si>
    <t>Pepper chat fruit viroid</t>
  </si>
  <si>
    <t>PRJNA32817</t>
  </si>
  <si>
    <t>Unknown:NC_011590.1/FJ409044.1</t>
  </si>
  <si>
    <t>Coleus blumei viroid 5</t>
  </si>
  <si>
    <t>PRJNA34737</t>
  </si>
  <si>
    <t>Unknown:NC_012127.1/FJ151370.1</t>
  </si>
  <si>
    <t>Geobacter bemidjiensis Bem</t>
  </si>
  <si>
    <t>Coleus blumei viroid 6</t>
  </si>
  <si>
    <t>PRJNA38541</t>
  </si>
  <si>
    <t>Unknown:NC_012805.1/FJ615418.1</t>
  </si>
  <si>
    <t>Citrus viroid VI</t>
  </si>
  <si>
    <t>PRJNA42701</t>
  </si>
  <si>
    <t>Unknown:NC_004359.1/AB019508.1</t>
  </si>
  <si>
    <t>Rubber viroid India/2009</t>
  </si>
  <si>
    <t>PRJNA48423</t>
  </si>
  <si>
    <t>58.4</t>
  </si>
  <si>
    <t>Geobacter daltonii FRC-32</t>
  </si>
  <si>
    <t>Unknown:NC_014129.1/HM107844.1</t>
  </si>
  <si>
    <t>Mycobacterium virus Faith1</t>
  </si>
  <si>
    <t>PRJNA67415</t>
  </si>
  <si>
    <t>Unknown:NC_015584.1/JF744988.1</t>
  </si>
  <si>
    <t>Passion fruit mosaic virus</t>
  </si>
  <si>
    <t>PRJNA67109</t>
  </si>
  <si>
    <t>Unknown:NC_015552.1/HQ389540.1</t>
  </si>
  <si>
    <t>Geobacter lovleyi SZ</t>
  </si>
  <si>
    <t>Eragrostis minor streak virus</t>
  </si>
  <si>
    <t>PRJNA67111</t>
  </si>
  <si>
    <t>Unknown:NC_015553.1/JF508490.1</t>
  </si>
  <si>
    <t>Pantoea phage LIMEzero</t>
  </si>
  <si>
    <t>PRJNA67417</t>
  </si>
  <si>
    <t>Geobacter metallireducens GS-15</t>
  </si>
  <si>
    <t>Unknown:NC_015585.1/FR751545.1</t>
  </si>
  <si>
    <t>Stenotrophomonas phage phiSHP2</t>
  </si>
  <si>
    <t>PRJNA67419</t>
  </si>
  <si>
    <t>Unknown:NC_015586.1/HM150760.1</t>
  </si>
  <si>
    <t>Geobacter pickeringii G13</t>
  </si>
  <si>
    <t>Pigeon picornavirus B</t>
  </si>
  <si>
    <t>PRJNA67691</t>
  </si>
  <si>
    <t>Unknown:NC_015626.1/FR727144.1</t>
  </si>
  <si>
    <t>Clostridium phage phiCD38-2</t>
  </si>
  <si>
    <t>PRJNA67249</t>
  </si>
  <si>
    <t>Unknown:NC_015568.1/HM568888.1</t>
  </si>
  <si>
    <t>Synechococcus phage S-CRM01</t>
  </si>
  <si>
    <t>PRJNA67251</t>
  </si>
  <si>
    <t>Unknown:NC_015569.1/HQ615693.1</t>
  </si>
  <si>
    <t>Geobacter sp. M18</t>
  </si>
  <si>
    <t>Tuber aestivum mitovirus</t>
  </si>
  <si>
    <t>PRJNA67889</t>
  </si>
  <si>
    <t>Unknown:NC_015629.1/HQ992989.1</t>
  </si>
  <si>
    <t>Geobacter sp. M21</t>
  </si>
  <si>
    <t>Verbesina encelioides leaf curl alphasatellite</t>
  </si>
  <si>
    <t>PRJNA67961</t>
  </si>
  <si>
    <t>Unknown:NC_015631.1/HQ631431.1</t>
  </si>
  <si>
    <t>Piscine myocarditis virus AL V-708</t>
  </si>
  <si>
    <t>PRJNA67963</t>
  </si>
  <si>
    <t>Unknown:NC_015639.1/HQ339954.1</t>
  </si>
  <si>
    <t>Cavally virus</t>
  </si>
  <si>
    <t>PRJNA68059</t>
  </si>
  <si>
    <t>Geobacter sulfurreducens KN400</t>
  </si>
  <si>
    <t>Mesoniviridae</t>
  </si>
  <si>
    <t>Unknown:NC_015668.1/HM746600.1</t>
  </si>
  <si>
    <t>Macaca fascicularis papillomavirus 2</t>
  </si>
  <si>
    <t>PRJNA68287</t>
  </si>
  <si>
    <t>Unknown:NC_015691.1/GU014531.1</t>
  </si>
  <si>
    <t>Colobus guereza papillomavirus type 2</t>
  </si>
  <si>
    <t>PRJNA68289</t>
  </si>
  <si>
    <t>Unknown:NC_015692.1/GU014533.1</t>
  </si>
  <si>
    <t>Blackberry virus E</t>
  </si>
  <si>
    <t>PRJNA68409</t>
  </si>
  <si>
    <t>Unknown:NC_015706.1/JN053266.1</t>
  </si>
  <si>
    <t>Escherichia phage K30</t>
  </si>
  <si>
    <t>PRJNA68413</t>
  </si>
  <si>
    <t>Geobacter sulfurreducens PCA</t>
  </si>
  <si>
    <t>Unknown:NC_015719.1/HM480846.1</t>
  </si>
  <si>
    <t>Gordonia phage GTE2</t>
  </si>
  <si>
    <t>PRJNA68415</t>
  </si>
  <si>
    <t>Unknown:NC_015720.1/HQ403646.1</t>
  </si>
  <si>
    <t>Bdellovibrio phage phi1402</t>
  </si>
  <si>
    <t>PRJNA68417</t>
  </si>
  <si>
    <t>Unknown:NC_015721.1/JF344709.1</t>
  </si>
  <si>
    <t>Helicoverpa armigera densovirus</t>
  </si>
  <si>
    <t>Geobacter sulfurreducens strain AM-1</t>
  </si>
  <si>
    <t>PRJNA68437</t>
  </si>
  <si>
    <t>Unknown:NC_015718.1/HQ613271.1</t>
  </si>
  <si>
    <t>Autographa californica nucleopolyhedrovirus</t>
  </si>
  <si>
    <t>PRJNA14023</t>
  </si>
  <si>
    <t>Unknown:NC_001623.1/L22858.1</t>
  </si>
  <si>
    <t>Alphapapillomavirus 12</t>
  </si>
  <si>
    <t>PRJNA14025</t>
  </si>
  <si>
    <t>Unknown:NC_001678.1/M60184.1</t>
  </si>
  <si>
    <t>Geobacter uraniireducens Rf4</t>
  </si>
  <si>
    <t>Enterobacteria phage VT2-Sakai</t>
  </si>
  <si>
    <t>PRJNA14480</t>
  </si>
  <si>
    <t>Unknown:NC_000902.1/AP000363.1</t>
  </si>
  <si>
    <t>Lactococcus phage Q54</t>
  </si>
  <si>
    <t>PRJNA17739</t>
  </si>
  <si>
    <t>Unknown:NC_008364.1/DQ490056.1</t>
  </si>
  <si>
    <t>Equus caballus papillomavirus 1</t>
  </si>
  <si>
    <t>Geodermatophilus obscurus DSM 43160</t>
  </si>
  <si>
    <t>PRJNA15487</t>
  </si>
  <si>
    <t>Unknown:NC_003748.1/AF498323.1</t>
  </si>
  <si>
    <t>Epsilonpapillomavirus 1</t>
  </si>
  <si>
    <t>PRJNA14220</t>
  </si>
  <si>
    <t>Unknown:NC_004195.1/AF457465.1</t>
  </si>
  <si>
    <t>Sida golden mosaic Florida virus-Malvastrum</t>
  </si>
  <si>
    <t>PRJNA51627</t>
  </si>
  <si>
    <t>43.5624</t>
  </si>
  <si>
    <t>DNA-A:NC_014446.1/HM003779.1;  DNA-B:NC_014447.1/HM003778.1</t>
  </si>
  <si>
    <t>Snow goose hepatitis B virus</t>
  </si>
  <si>
    <t>PRJNA14403</t>
  </si>
  <si>
    <t>Unknown:NC_005950.1/AF110996.1</t>
  </si>
  <si>
    <t>Geoglobus acetivorans SBH6</t>
  </si>
  <si>
    <t>Turnip crinkle virus satellite RNA</t>
  </si>
  <si>
    <t>PRJNA14433</t>
  </si>
  <si>
    <t>Unknown:NC_004033.1/X12749.1</t>
  </si>
  <si>
    <t>Enterobacteria phage T7</t>
  </si>
  <si>
    <t>PRJNA14460</t>
  </si>
  <si>
    <t>Unknown:NC_001604.1/V01146.1</t>
  </si>
  <si>
    <t>Human papillomavirus type 6b</t>
  </si>
  <si>
    <t>PRJNA15454</t>
  </si>
  <si>
    <t>Geoglobus ahangari strain 234</t>
  </si>
  <si>
    <t>Unknown:NC_001355.1/X00203.1</t>
  </si>
  <si>
    <t>Human gammaherpesvirus 4</t>
  </si>
  <si>
    <t>PRJNA20959</t>
  </si>
  <si>
    <t>59.5</t>
  </si>
  <si>
    <t>Unknown:NC_009334.1/DQ279927.1</t>
  </si>
  <si>
    <t>Lactobacillus phage phiAT3</t>
  </si>
  <si>
    <t>PRJNA14475</t>
  </si>
  <si>
    <t>Unknown:NC_005893.1/AY605066.1</t>
  </si>
  <si>
    <t>Gilliamella apicola strain wkB1</t>
  </si>
  <si>
    <t>Bovine adenovirus 2</t>
  </si>
  <si>
    <t>PRJNA14497</t>
  </si>
  <si>
    <t>Unknown:NC_002513.1/AF252854.1</t>
  </si>
  <si>
    <t>Bovine adenovirus 3</t>
  </si>
  <si>
    <t>PRJNA14515</t>
  </si>
  <si>
    <t>Unknown:NC_001876.1/AF030154.1</t>
  </si>
  <si>
    <t>Canine adenovirus 1</t>
  </si>
  <si>
    <t>PRJNA14516</t>
  </si>
  <si>
    <t>Glaciecola nitratireducens FR1064</t>
  </si>
  <si>
    <t>Unknown:NC_001734.1/Y07760.1</t>
  </si>
  <si>
    <t>Human adenovirus 12</t>
  </si>
  <si>
    <t>PRJNA14517</t>
  </si>
  <si>
    <t>Unknown:NC_001460.1/X73487.1</t>
  </si>
  <si>
    <t>Human adenovirus 2</t>
  </si>
  <si>
    <t>PRJNA14518</t>
  </si>
  <si>
    <t>Unknown:NC_001405.1/J01917.1</t>
  </si>
  <si>
    <t>Glaciecola sp. 4H-3-7+YE-5</t>
  </si>
  <si>
    <t>Murine adenovirus 1</t>
  </si>
  <si>
    <t>PRJNA14519</t>
  </si>
  <si>
    <t>Unknown:NC_000942.1/M22245.1</t>
  </si>
  <si>
    <t>Duck adenovirus 1</t>
  </si>
  <si>
    <t>PRJNA14520</t>
  </si>
  <si>
    <t>Unknown:NC_001813.1/Y09598.1</t>
  </si>
  <si>
    <t>Gloeobacter kilaueensis JS1</t>
  </si>
  <si>
    <t>Porcine adenovirus 5</t>
  </si>
  <si>
    <t>PRJNA14521</t>
  </si>
  <si>
    <t>Unknown:NC_002702.1/AF289262.1</t>
  </si>
  <si>
    <t>Fowl aviadenovirus 1</t>
  </si>
  <si>
    <t>PRJNA14522</t>
  </si>
  <si>
    <t>Unknown:NC_001720.1/U46933.1</t>
  </si>
  <si>
    <t>Fowl aviadenovirus 9</t>
  </si>
  <si>
    <t>PRJNA14523</t>
  </si>
  <si>
    <t>Gloeobacter violaceus PCC 7421</t>
  </si>
  <si>
    <t>Unknown:NC_000899.1/AF083975.2</t>
  </si>
  <si>
    <t>Turkey adenovirus 3</t>
  </si>
  <si>
    <t>PRJNA14524</t>
  </si>
  <si>
    <t>Unknown:NC_001958.1/AF074946.1</t>
  </si>
  <si>
    <t>Human adenovirus D9</t>
  </si>
  <si>
    <t>PRJNA14535</t>
  </si>
  <si>
    <t>Unknown:NC_010956.1/AJ854486.1</t>
  </si>
  <si>
    <t>Yaba-like disease virus</t>
  </si>
  <si>
    <t>PRJNA14595</t>
  </si>
  <si>
    <t>Gloeocapsa sp. PCC 7428</t>
  </si>
  <si>
    <t>Unknown:NC_002642.1/AJ293568.1</t>
  </si>
  <si>
    <t>Human adenovirus 11</t>
  </si>
  <si>
    <t>PRJNA15150</t>
  </si>
  <si>
    <t>Unknown:NC_011202.1/AY163756.1</t>
  </si>
  <si>
    <t>Simian adenovirus 25</t>
  </si>
  <si>
    <t>PRJNA14608</t>
  </si>
  <si>
    <t>Unknown:AC_000011.1/</t>
  </si>
  <si>
    <t>Helicoverpa armigera nucleopolyhedrovirus</t>
  </si>
  <si>
    <t>PRJNA14615</t>
  </si>
  <si>
    <t>Unknown:NC_003094.2/AF303045.2</t>
  </si>
  <si>
    <t>Avian leukosis virus - RSA</t>
  </si>
  <si>
    <t>PRJNA14633</t>
  </si>
  <si>
    <t>Gluconacetobacter diazotrophicus PAl 5</t>
  </si>
  <si>
    <t>Unknown:NC_001408.1/M37980.1</t>
  </si>
  <si>
    <t>Porcine enteric sapovirus</t>
  </si>
  <si>
    <t>PRJNA14653</t>
  </si>
  <si>
    <t>Unknown:NC_000940.1/AF182760.1</t>
  </si>
  <si>
    <t>Human T-lymphotropic virus 2</t>
  </si>
  <si>
    <t>PRJNA14663</t>
  </si>
  <si>
    <t>Unknown:NC_001488.1/M10060.1</t>
  </si>
  <si>
    <t>Chicory yellow mottle virus large satellite RNA</t>
  </si>
  <si>
    <t>PRJNA14798</t>
  </si>
  <si>
    <t>Unknown:NC_003778.1/D00686.1</t>
  </si>
  <si>
    <t>Gluconacetobacter diazotrophicus PAl 5 (Prj:21071)</t>
  </si>
  <si>
    <t>Calicivirus strain NB</t>
  </si>
  <si>
    <t>PRJNA14845</t>
  </si>
  <si>
    <t>Unknown:NC_004064.1/AY082891.1</t>
  </si>
  <si>
    <t>Mammalian orthoreovirus 3</t>
  </si>
  <si>
    <t>PRJNA262089</t>
  </si>
  <si>
    <t>47.022</t>
  </si>
  <si>
    <t>segment  L1:NC_013225.1/GQ468266.1;  segment  L2:NC_013226.1/GQ468267.1;  segment  L3:NC_013229.1/GQ468270.1;  segment  M1:NC_013227.1/GQ468268.1;  segment  S1:NC_013231.1/GQ468272.1;  segment  S3:NC_013233.1/GQ468274.1;  segment M2:NC_013228.1/GQ468269.1;  segment M3:NC_013230.1/GQ468271.1;  segment S2:NC_013232.1/GQ468273.1;  segment S4:NC_013234.1/GQ468275.1</t>
  </si>
  <si>
    <t>Simian immunodeficiency virus</t>
  </si>
  <si>
    <t>PRJNA15501</t>
  </si>
  <si>
    <t>Unknown:NC_001549.1/M58410.1</t>
  </si>
  <si>
    <t>Influenza A virus (A/New York/392/2004(H3N2))</t>
  </si>
  <si>
    <t>PRJNA15622</t>
  </si>
  <si>
    <t>42.9178</t>
  </si>
  <si>
    <t>segment 1:NC_007373.1/CY002071.1;  segment 2:NC_007372.1/CY002070.1;  segment 3:NC_007371.1/CY002069.1;  segment 4:NC_007366.1/CY002064.1;  segment 5:NC_007369.1/CY002067.1;  segment 6:NC_007368.1/CY002066.1;  segment 7:NC_007367.1/CY002065.1;  segment 8:NC_007370.1/CY002068.1</t>
  </si>
  <si>
    <t>Foot-and-mouth disease virus - type O</t>
  </si>
  <si>
    <t>Gluconacetobacter xylinus E25</t>
  </si>
  <si>
    <t>PRJNA15378</t>
  </si>
  <si>
    <t>Unknown:NC_004004.1/AF308157.1</t>
  </si>
  <si>
    <t>Feline infectious peritonitis virus</t>
  </si>
  <si>
    <t>PRJNA15097</t>
  </si>
  <si>
    <t>Unknown:NC_002306.3/AY994055.1</t>
  </si>
  <si>
    <t>Prochlorococcus phage P-SSP7</t>
  </si>
  <si>
    <t>PRJNA15134</t>
  </si>
  <si>
    <t>Unknown:NC_006882.2/AY939843.2</t>
  </si>
  <si>
    <t>Prochlorococcus phage P-SSM2</t>
  </si>
  <si>
    <t>PRJNA15135</t>
  </si>
  <si>
    <t>Unknown:NC_006883.2/AY939844.2</t>
  </si>
  <si>
    <t>Gluconacetobacter xylinus NBRC 3288</t>
  </si>
  <si>
    <t>Moloney murine leukemia virus</t>
  </si>
  <si>
    <t>PRJNA15030</t>
  </si>
  <si>
    <t>Unknown:NC_001501.1/AF033811.1</t>
  </si>
  <si>
    <t>Murine hepatitis virus</t>
  </si>
  <si>
    <t>PRJNA15350</t>
  </si>
  <si>
    <t>Unknown:NC_001846.1/AF029248.1</t>
  </si>
  <si>
    <t>Equine rhinitis B virus 1</t>
  </si>
  <si>
    <t>PRJNA15206</t>
  </si>
  <si>
    <t>Gluconobacter oxydans 621H</t>
  </si>
  <si>
    <t>Unknown:NC_003983.1/X96871.1</t>
  </si>
  <si>
    <t>Human alphaherpesvirus 2</t>
  </si>
  <si>
    <t>PRJNA15218</t>
  </si>
  <si>
    <t>Unknown:NC_001798.2/JN561323.2</t>
  </si>
  <si>
    <t>African swine fever virus</t>
  </si>
  <si>
    <t>PRJNA15242</t>
  </si>
  <si>
    <t>Asfarviridae</t>
  </si>
  <si>
    <t>Unknown:NC_001659.2/U18466.2</t>
  </si>
  <si>
    <t>Gluconobacter oxydans DSM 3504</t>
  </si>
  <si>
    <t>Small anellovirus 1</t>
  </si>
  <si>
    <t>PRJNA15252</t>
  </si>
  <si>
    <t>Unknown:NC_007013.1/AY622908.1</t>
  </si>
  <si>
    <t>Human poliovirus 1 Mahoney</t>
  </si>
  <si>
    <t>PRJNA15288</t>
  </si>
  <si>
    <t>Unknown:NC_002058.3/V01149.1</t>
  </si>
  <si>
    <t>Infectious bronchitis virus</t>
  </si>
  <si>
    <t>PRJNA15303</t>
  </si>
  <si>
    <t>Unknown:NC_001451.1/M95169.1</t>
  </si>
  <si>
    <t>Dengue virus 2 Thailand/16681/84</t>
  </si>
  <si>
    <t>PRJNA20183</t>
  </si>
  <si>
    <t>Unknown:NC_001474.2/U87411.1</t>
  </si>
  <si>
    <t>Gluconobacter oxydans H24</t>
  </si>
  <si>
    <t>Coxsackievirus B1</t>
  </si>
  <si>
    <t>PRJNA15321</t>
  </si>
  <si>
    <t>Unknown:NC_001472.1/M16560.1</t>
  </si>
  <si>
    <t>Bovine coronavirus</t>
  </si>
  <si>
    <t>PRJNA15385</t>
  </si>
  <si>
    <t>Unknown:NC_003045.1/AF391541.1</t>
  </si>
  <si>
    <t>Cotton leaf curl Gezira betasatellite</t>
  </si>
  <si>
    <t>PRJNA15166</t>
  </si>
  <si>
    <t>Unknown:NC_006935.1/AY077797.1</t>
  </si>
  <si>
    <t>Gordonia bronchialis DSM 43247</t>
  </si>
  <si>
    <t>Salmon pancreas disease virus</t>
  </si>
  <si>
    <t>PRJNA15187</t>
  </si>
  <si>
    <t>Unknown:NC_003930.1/AJ316244.1</t>
  </si>
  <si>
    <t>West Nile virus</t>
  </si>
  <si>
    <t>PRJNA15431</t>
  </si>
  <si>
    <t>Unknown:NC_001563.2/M12294.2</t>
  </si>
  <si>
    <t>Hepatitis C virus subtype 1a</t>
  </si>
  <si>
    <t>PRJNA15432</t>
  </si>
  <si>
    <t>Unknown:NC_004102.1/AF009606.1</t>
  </si>
  <si>
    <t>Gordonia polyisoprenivorans VH2</t>
  </si>
  <si>
    <t>Simian T-lymphotropic virus 1</t>
  </si>
  <si>
    <t>PRJNA15439</t>
  </si>
  <si>
    <t>Unknown:NC_000858.1/AF074966.1</t>
  </si>
  <si>
    <t>Porcine circovirus 2</t>
  </si>
  <si>
    <t>PRJNA15442</t>
  </si>
  <si>
    <t>Unknown:NC_005148.1/AY424401.1</t>
  </si>
  <si>
    <t>Coxsackievirus A16</t>
  </si>
  <si>
    <t>PRJNA15445</t>
  </si>
  <si>
    <t>Gordonia sp. KTR9</t>
  </si>
  <si>
    <t>Unknown:NC_001612.1/U05876.1</t>
  </si>
  <si>
    <t>Xipapillomavirus 1</t>
  </si>
  <si>
    <t>PRJNA15452</t>
  </si>
  <si>
    <t>Unknown:NC_004197.1/AF486184.1</t>
  </si>
  <si>
    <t>Human papillomavirus type 49</t>
  </si>
  <si>
    <t>PRJNA15455</t>
  </si>
  <si>
    <t>Unknown:NC_001591.1/X74480.1</t>
  </si>
  <si>
    <t>Human papillomavirus type 9</t>
  </si>
  <si>
    <t>PRJNA15456</t>
  </si>
  <si>
    <t>Gordonia sp. QH-11</t>
  </si>
  <si>
    <t>Unknown:NC_001596.1/X74464.1</t>
  </si>
  <si>
    <t>Human immunodeficiency virus 1</t>
  </si>
  <si>
    <t>PRJNA15476</t>
  </si>
  <si>
    <t>Unknown:NC_001802.1/AF033819.3</t>
  </si>
  <si>
    <t>SARS coronavirus Tor2</t>
  </si>
  <si>
    <t>PRJNA15500</t>
  </si>
  <si>
    <t>Unknown:NC_004718.3/AY274119.3</t>
  </si>
  <si>
    <t>Gordonibacter pamelaeae 7-10-1-b</t>
  </si>
  <si>
    <t>Human papillomavirus type 5</t>
  </si>
  <si>
    <t>PRJNA15511</t>
  </si>
  <si>
    <t>Unknown:NC_001531.1/M17463.1</t>
  </si>
  <si>
    <t>Malvastrum leaf curl betasatellite</t>
  </si>
  <si>
    <t>PRJNA16301</t>
  </si>
  <si>
    <t>Unknown:NC_007711.1/AM072289.1</t>
  </si>
  <si>
    <t>Duck hepatitis A virus 1</t>
  </si>
  <si>
    <t>PRJNA17347</t>
  </si>
  <si>
    <t>Unknown:NC_008250.2/DQ226541.1</t>
  </si>
  <si>
    <t>Gramella forsetii KT0803</t>
  </si>
  <si>
    <t>Canine papillomavirus 3</t>
  </si>
  <si>
    <t>PRJNA17543</t>
  </si>
  <si>
    <t>Unknown:NC_008297.1/DQ295066.1</t>
  </si>
  <si>
    <t>Burkholderia virus phi6442</t>
  </si>
  <si>
    <t>PRJNA17749</t>
  </si>
  <si>
    <t>60.4</t>
  </si>
  <si>
    <t>chromosome:NC_009235.2/CP000625.2</t>
  </si>
  <si>
    <t>Burkholderia virus phiE122</t>
  </si>
  <si>
    <t>PRJNA17751</t>
  </si>
  <si>
    <t>Granulibacter bethesdensis CGDNIH1</t>
  </si>
  <si>
    <t>chromosome:NC_009236.1/CP000624.1</t>
  </si>
  <si>
    <t>Burkholderia virus phiE202</t>
  </si>
  <si>
    <t>PRJNA17755</t>
  </si>
  <si>
    <t>chromosome:NC_009234.1/CP000623.1</t>
  </si>
  <si>
    <t>Burkholderia virus phiE255</t>
  </si>
  <si>
    <t>PRJNA17777</t>
  </si>
  <si>
    <t>Granulibacter bethesdensis CGDNIH2</t>
  </si>
  <si>
    <t>chromosome:NC_009237.1/CP000622.1</t>
  </si>
  <si>
    <t>Micromys minutus papillomavirus 1</t>
  </si>
  <si>
    <t>PRJNA18259</t>
  </si>
  <si>
    <t>Unknown:NC_008582.1/DQ269468.1</t>
  </si>
  <si>
    <t>Rhinovirus C</t>
  </si>
  <si>
    <t>PRJNA27901</t>
  </si>
  <si>
    <t>Unknown:NC_009996.1/EF582385.1</t>
  </si>
  <si>
    <t>Escherichia virus EPS7</t>
  </si>
  <si>
    <t>Granulibacter bethesdensis CGDNIH3</t>
  </si>
  <si>
    <t>PRJNA28123</t>
  </si>
  <si>
    <t>chromosome:NC_010583.1/CP000917.1</t>
  </si>
  <si>
    <t>Radish leaf curl virus</t>
  </si>
  <si>
    <t>PRJNA28279</t>
  </si>
  <si>
    <t>Unknown:NC_010238.1/EF175733.1</t>
  </si>
  <si>
    <t>Synechococcus phage S-SM2</t>
  </si>
  <si>
    <t>PRJNA29093</t>
  </si>
  <si>
    <t>Unknown:NC_015279.1/GU071095.1</t>
  </si>
  <si>
    <t>Granulibacter bethesdensis CGDNIH4</t>
  </si>
  <si>
    <t>Synechococcus phage S-SSM5</t>
  </si>
  <si>
    <t>PRJNA29095</t>
  </si>
  <si>
    <t>Unknown:NC_015289.1/GU071097.1</t>
  </si>
  <si>
    <t>Synechococcus phage S-ShM2</t>
  </si>
  <si>
    <t>PRJNA29097</t>
  </si>
  <si>
    <t>Grimontia hollisae strain ATCC 33564</t>
  </si>
  <si>
    <t>Unknown:NC_015281.1/GU071096.1</t>
  </si>
  <si>
    <t>Synechococcus phage S-SSM7</t>
  </si>
  <si>
    <t>PRJNA29099</t>
  </si>
  <si>
    <t>Unknown:NC_015287.1/GU071098.1</t>
  </si>
  <si>
    <t>Prochlorococcus phage P-RSM4</t>
  </si>
  <si>
    <t>PRJNA29101</t>
  </si>
  <si>
    <t>Unknown:NC_015283.1/GU071099.1</t>
  </si>
  <si>
    <t>Gynuella sunshinyii YC6258</t>
  </si>
  <si>
    <t>Prochlorococcus phage P-HM1</t>
  </si>
  <si>
    <t>PRJNA29103</t>
  </si>
  <si>
    <t>Unknown:NC_015280.1/GU071101.1</t>
  </si>
  <si>
    <t>Prochlorococcus phage P-HM2</t>
  </si>
  <si>
    <t>PRJNA29105</t>
  </si>
  <si>
    <t>Unknown:NC_015284.1/GU075905.1</t>
  </si>
  <si>
    <t>Prochlorococcus phage P-SSM7</t>
  </si>
  <si>
    <t>PRJNA29113</t>
  </si>
  <si>
    <t>Haematospirillum jordaniae strain H5569</t>
  </si>
  <si>
    <t>Unknown:NC_015290.1/GU071103.1</t>
  </si>
  <si>
    <t>Prochlorococcus phage Syn1</t>
  </si>
  <si>
    <t>PRJNA29117</t>
  </si>
  <si>
    <t>Unknown:NC_015288.1/GU071105.1</t>
  </si>
  <si>
    <t>Synechococcus phage Syn19</t>
  </si>
  <si>
    <t>PRJNA29119</t>
  </si>
  <si>
    <t>Haemophilus ducreyi 35000HP</t>
  </si>
  <si>
    <t>Unknown:NC_015286.1/GU071106.1</t>
  </si>
  <si>
    <t>Prochlorococcus phage Syn33</t>
  </si>
  <si>
    <t>PRJNA29123</t>
  </si>
  <si>
    <t>Unknown:NC_015285.1/GU071108.1</t>
  </si>
  <si>
    <t>Synechococcus phage S-SM1</t>
  </si>
  <si>
    <t>PRJNA29125</t>
  </si>
  <si>
    <t>Unknown:NC_015282.1/GU071094.1</t>
  </si>
  <si>
    <t>Enterobacteria phage 13a</t>
  </si>
  <si>
    <t>PRJNA29819</t>
  </si>
  <si>
    <t>Haemophilus influenzae 10810</t>
  </si>
  <si>
    <t>Unknown:NC_011045.1/EU734174.1</t>
  </si>
  <si>
    <t>Enterobacteria phage BA14</t>
  </si>
  <si>
    <t>PRJNA29821</t>
  </si>
  <si>
    <t>Unknown:NC_011040.1/EU734171.1</t>
  </si>
  <si>
    <t>Enterobacteria phage EcoDS1</t>
  </si>
  <si>
    <t>PRJNA29823</t>
  </si>
  <si>
    <t>Unknown:NC_011042.1/EU734172.1</t>
  </si>
  <si>
    <t>Klebsiella phage K11</t>
  </si>
  <si>
    <t>Haemophilus influenzae 2019</t>
  </si>
  <si>
    <t>PRJNA29825</t>
  </si>
  <si>
    <t>Unknown:NC_011043.1/EU734173.1</t>
  </si>
  <si>
    <t>Yersinia phage Yepe2</t>
  </si>
  <si>
    <t>PRJNA29827</t>
  </si>
  <si>
    <t>Unknown:NC_011038.1/EU734170.1</t>
  </si>
  <si>
    <t>Iodobacteriophage phiPLPE</t>
  </si>
  <si>
    <t>PRJNA30463</t>
  </si>
  <si>
    <t>Unknown:NC_011142.1/EU876853.1</t>
  </si>
  <si>
    <t>Haemophilus influenzae 86-028NP</t>
  </si>
  <si>
    <t>Tursiops truncatus papillomavirus 1</t>
  </si>
  <si>
    <t>PRJNA30875</t>
  </si>
  <si>
    <t>Unknown:NC_011109.1/EU240894.1</t>
  </si>
  <si>
    <t>Synechococcus phage S-RSM4</t>
  </si>
  <si>
    <t>PRJEA30947</t>
  </si>
  <si>
    <t>Unknown:NC_013085.1/FM207411.1</t>
  </si>
  <si>
    <t>Astrovirus MLB1</t>
  </si>
  <si>
    <t>PRJNA32327</t>
  </si>
  <si>
    <t>Unknown:NC_011400.1/FJ222451.1</t>
  </si>
  <si>
    <t>Haemophilus influenzae CGSHiCZ412602</t>
  </si>
  <si>
    <t>Tobacco yellow crinkle virus</t>
  </si>
  <si>
    <t>PRJNA67693</t>
  </si>
  <si>
    <t>42.7196</t>
  </si>
  <si>
    <t>DNA A:NC_015627.1/FJ213931.1;  DNA B:NC_015628.1/HQ896204.1</t>
  </si>
  <si>
    <t>Caretta caretta papillomavirus 1</t>
  </si>
  <si>
    <t>PRJNA32633</t>
  </si>
  <si>
    <t>Unknown:NC_011530.1/EU493092.1</t>
  </si>
  <si>
    <t>Porcine kobuvirus</t>
  </si>
  <si>
    <t>PRJNA284019</t>
  </si>
  <si>
    <t>Haemophilus influenzae F3031</t>
  </si>
  <si>
    <t>Unknown:NC_027054.1/KP260507.1</t>
  </si>
  <si>
    <t>Human papillomavirus type 112</t>
  </si>
  <si>
    <t>PRJNA36517</t>
  </si>
  <si>
    <t>Unknown:NC_012486.1/EU541442.1</t>
  </si>
  <si>
    <t>Cyanophage PSS2</t>
  </si>
  <si>
    <t>PRJNA39613</t>
  </si>
  <si>
    <t>Haemophilus influenzae F3047</t>
  </si>
  <si>
    <t>Unknown:NC_013021.1/GQ334450.1</t>
  </si>
  <si>
    <t>Enterococcus phage phiEf11</t>
  </si>
  <si>
    <t>PRJNA39721</t>
  </si>
  <si>
    <t>Unknown:NC_013696.1/GQ452243.1</t>
  </si>
  <si>
    <t>Haemophilus influenzae Hi375</t>
  </si>
  <si>
    <t>Enterobacteria phage 285P</t>
  </si>
  <si>
    <t>PRJNA64539</t>
  </si>
  <si>
    <t>Unknown:NC_015249.1/GQ468526.1</t>
  </si>
  <si>
    <t>Colwellia phage 9A</t>
  </si>
  <si>
    <t>PRJNA42179</t>
  </si>
  <si>
    <t>Unknown:NC_018088.1/HQ317390.1</t>
  </si>
  <si>
    <t>Synechococcus phage S-CAM8</t>
  </si>
  <si>
    <t>Haemophilus influenzae KR494</t>
  </si>
  <si>
    <t>PRJNA47617</t>
  </si>
  <si>
    <t>Unknown:NC_021530.1/HQ634178.1</t>
  </si>
  <si>
    <t>Synechococcus phage S-RIM2 R1_1999</t>
  </si>
  <si>
    <t>PRJNA47643</t>
  </si>
  <si>
    <t>Unknown:NC_020859.1/HQ317292.1</t>
  </si>
  <si>
    <t>Synechococcus phage S-RIM8 A.HR1</t>
  </si>
  <si>
    <t>PRJNA47623</t>
  </si>
  <si>
    <t>Unknown:NC_020486.1/JF974288.1</t>
  </si>
  <si>
    <t>Human papillomavirus type 103</t>
  </si>
  <si>
    <t>Haemophilus influenzae PittEE</t>
  </si>
  <si>
    <t>PRJNA17119</t>
  </si>
  <si>
    <t>Unknown:NC_008188.1/DQ080078.1</t>
  </si>
  <si>
    <t>Enterobacteria phage Phi1</t>
  </si>
  <si>
    <t>PRJNA18763</t>
  </si>
  <si>
    <t>Unknown:NC_009821.1/EF437941.1</t>
  </si>
  <si>
    <t>Enterococcus phage phiEF24C</t>
  </si>
  <si>
    <t>PRJDA19567</t>
  </si>
  <si>
    <t>Haemophilus influenzae PittGG</t>
  </si>
  <si>
    <t>Unknown:NC_009904.1/AP009390.1</t>
  </si>
  <si>
    <t>Wiseana iridescent virus</t>
  </si>
  <si>
    <t>PRJNA69999</t>
  </si>
  <si>
    <t>Unknown:NC_015780.1/GQ918152.1</t>
  </si>
  <si>
    <t>Bell pepper alphaendornavirus</t>
  </si>
  <si>
    <t>PRJNA70001</t>
  </si>
  <si>
    <t>Haemophilus influenzae R2846</t>
  </si>
  <si>
    <t>Unknown:NC_015781.2/JN019858.1</t>
  </si>
  <si>
    <t>Grapevine Pinot gris virus</t>
  </si>
  <si>
    <t>PRJNA70003</t>
  </si>
  <si>
    <t>Unknown:NC_015782.1/FR877530.1</t>
  </si>
  <si>
    <t>Torque teno virus</t>
  </si>
  <si>
    <t>PRJNA15247</t>
  </si>
  <si>
    <t>Unknown:NC_002076.2/AB041007.1</t>
  </si>
  <si>
    <t>Haemophilus influenzae R2866</t>
  </si>
  <si>
    <t>Grapevine vein clearing virus</t>
  </si>
  <si>
    <t>PRJNA70007</t>
  </si>
  <si>
    <t>Unknown:NC_015784.2/JF301669.2</t>
  </si>
  <si>
    <t>Tembusu virus</t>
  </si>
  <si>
    <t>PRJNA70159</t>
  </si>
  <si>
    <t>Unknown:NC_015843.2/JF895923.2</t>
  </si>
  <si>
    <t>Haemophilus influenzae Rd KW20</t>
  </si>
  <si>
    <t>Measles morbillivirus</t>
  </si>
  <si>
    <t>PRJNA15025</t>
  </si>
  <si>
    <t>Unknown:NC_001498.1/AB016162.1</t>
  </si>
  <si>
    <t>Rubella virus</t>
  </si>
  <si>
    <t>PRJNA15315</t>
  </si>
  <si>
    <t>Unknown:NC_001545.2/M15240.2</t>
  </si>
  <si>
    <t>Nam Dinh virus</t>
  </si>
  <si>
    <t>PRJNA71143</t>
  </si>
  <si>
    <t>Unknown:NC_015874.1/DQ458789.2</t>
  </si>
  <si>
    <t>Haemophilus influenzae strain 477</t>
  </si>
  <si>
    <t>Baboon orthoreovirus</t>
  </si>
  <si>
    <t>PRJNA71165</t>
  </si>
  <si>
    <t>37.7922</t>
  </si>
  <si>
    <t>L1:NC_015877.1/HQ847903.1;  L2:NC_015878.1/HQ847904.1;  L3:NC_015879.1/HQ847905.1;  M1:NC_015880.1/HQ847906.1;  M2:NC_015881.1/HQ847907.1;  M3:NC_015882.1/HQ847908.1;  S1:NC_015883.1/AF059719.1;  S2:NC_015884.1/AF059723.1;  S3:NC_015886.1/AF059727.1;  S4:NC_015885.1/AF406787.1</t>
  </si>
  <si>
    <t>Thermus phage phiYS40</t>
  </si>
  <si>
    <t>PRJNA18277</t>
  </si>
  <si>
    <t>Unknown:NC_008584.1/DQ997624.1</t>
  </si>
  <si>
    <t>Haemophilus influenzae strain 723</t>
  </si>
  <si>
    <t>Vernonia yellow vein Fujian virus alphasatellite</t>
  </si>
  <si>
    <t>PRJNA72145</t>
  </si>
  <si>
    <t>Unknown:NC_015929.1/JF733780.1</t>
  </si>
  <si>
    <t>Canine calicivirus</t>
  </si>
  <si>
    <t>PRJNA14875</t>
  </si>
  <si>
    <t>Unknown:NC_004542.1/AB070225.1</t>
  </si>
  <si>
    <t>Bat adenovirus 2</t>
  </si>
  <si>
    <t>PRJNA72369</t>
  </si>
  <si>
    <t>Unknown:NC_015932.1/JN252129.1</t>
  </si>
  <si>
    <t>Haemophilus influenzae strain C486</t>
  </si>
  <si>
    <t>Escherichia phage vB_EcoP_G7C</t>
  </si>
  <si>
    <t>PRJNA72371</t>
  </si>
  <si>
    <t>Unknown:NC_015933.1/HQ259105.1</t>
  </si>
  <si>
    <t>Bat picornavirus 3</t>
  </si>
  <si>
    <t>PRJNA72379</t>
  </si>
  <si>
    <t>Unknown:NC_015934.1/HQ595344.1</t>
  </si>
  <si>
    <t>Haemophilus influenzae strain NCTC8143</t>
  </si>
  <si>
    <t>Mouse astrovirus M-52/USA/2008</t>
  </si>
  <si>
    <t>PRJNA72381</t>
  </si>
  <si>
    <t>Unknown:NC_015935.1/JF755422.1</t>
  </si>
  <si>
    <t>Salmonella phage 7-11</t>
  </si>
  <si>
    <t>PRJNA72387</t>
  </si>
  <si>
    <t>Haemophilus parainfluenzae T3T1</t>
  </si>
  <si>
    <t>Unknown:NC_015938.1/HM997019.1</t>
  </si>
  <si>
    <t>Bat picornavirus 1</t>
  </si>
  <si>
    <t>PRJNA72391</t>
  </si>
  <si>
    <t>Unknown:NC_015940.1/HQ595340.1</t>
  </si>
  <si>
    <t>Haemophilus parasuis SH0165</t>
  </si>
  <si>
    <t>Bat picornavirus 2</t>
  </si>
  <si>
    <t>PRJNA72393</t>
  </si>
  <si>
    <t>Unknown:NC_015941.1/HQ595342.1</t>
  </si>
  <si>
    <t>Thermus phage TMA</t>
  </si>
  <si>
    <t>PRJDA42491</t>
  </si>
  <si>
    <t>Haemophilus parasuis ZJ0906</t>
  </si>
  <si>
    <t>Unknown:NC_015937.1/AP011617.1</t>
  </si>
  <si>
    <t>Carrot mottle virus</t>
  </si>
  <si>
    <t>PRJNA72859</t>
  </si>
  <si>
    <t>Unknown:NC_011515.1/FJ188473.1</t>
  </si>
  <si>
    <t>Haemophilus somnus 129PT</t>
  </si>
  <si>
    <t>Yokapox virus</t>
  </si>
  <si>
    <t>PRJNA72715</t>
  </si>
  <si>
    <t>Unknown:NC_015960.1/HQ849551.1</t>
  </si>
  <si>
    <t>Haemophilus somnus 2336</t>
  </si>
  <si>
    <t>Tamus red mosaic virus</t>
  </si>
  <si>
    <t>PRJNA73083</t>
  </si>
  <si>
    <t>Unknown:NC_016003.1/JN389521.1</t>
  </si>
  <si>
    <t>Morelia spilota papillomavirus 1</t>
  </si>
  <si>
    <t>PRJNA73439</t>
  </si>
  <si>
    <t>Unknown:NC_016013.1/HQ262535.1</t>
  </si>
  <si>
    <t>Canis familiaris papillomavirus 8</t>
  </si>
  <si>
    <t>PRJNA73441</t>
  </si>
  <si>
    <t>Hafnia alvei FB1</t>
  </si>
  <si>
    <t>Unknown:NC_016014.1/HQ262536.1</t>
  </si>
  <si>
    <t>Porcine bocavirus 3</t>
  </si>
  <si>
    <t>PRJNA73547</t>
  </si>
  <si>
    <t>Unknown:NC_016031.1/JF429834.1</t>
  </si>
  <si>
    <t>Porcine bocavirus 4-1</t>
  </si>
  <si>
    <t>PRJNA73549</t>
  </si>
  <si>
    <t>Unknown:NC_016032.1/JF429835.1</t>
  </si>
  <si>
    <t>Hafnia alvei strain FDAARGOS_158</t>
  </si>
  <si>
    <t>Soybean yellow common mosaic virus</t>
  </si>
  <si>
    <t>PRJNA73551</t>
  </si>
  <si>
    <t>Unknown:NC_016033.1/JF495127.1</t>
  </si>
  <si>
    <t>Brassica yellows virus</t>
  </si>
  <si>
    <t>PRJNA73689</t>
  </si>
  <si>
    <t>Unknown:NC_016038.1/HQ388348.1</t>
  </si>
  <si>
    <t>Lassa mammarenavirus</t>
  </si>
  <si>
    <t>PRJNA14864</t>
  </si>
  <si>
    <t>42.0874</t>
  </si>
  <si>
    <t>segment L:NC_004297.1/U73034.2;  segment S:NC_004296.1/J04324.1</t>
  </si>
  <si>
    <t>Hafnia alvei strain HUMV-5920</t>
  </si>
  <si>
    <t>Leuconostoc phage L5</t>
  </si>
  <si>
    <t>L06183.1</t>
  </si>
  <si>
    <t>Cyanophage NATL1A-7</t>
  </si>
  <si>
    <t>PRJNA29115</t>
  </si>
  <si>
    <t>Unknown:NC_016658.1/GU071102.1</t>
  </si>
  <si>
    <t>Hahella chejuensis KCTC 2396</t>
  </si>
  <si>
    <t>Cyanophage P-SSP2</t>
  </si>
  <si>
    <t>PRJNA29121</t>
  </si>
  <si>
    <t>Unknown:NC_016656.1/GU071107.1</t>
  </si>
  <si>
    <t>Cyanophage 9515-10a</t>
  </si>
  <si>
    <t>PRJNA31171</t>
  </si>
  <si>
    <t>Unknown:NC_016657.1/GU071100.1</t>
  </si>
  <si>
    <t>Cyanophage NATL2A-133</t>
  </si>
  <si>
    <t>PRJNA31173</t>
  </si>
  <si>
    <t>Halalkalicoccus jeotgali B3</t>
  </si>
  <si>
    <t>Unknown:NC_016659.1/GU071104.1</t>
  </si>
  <si>
    <t>Escherichia phage AR1</t>
  </si>
  <si>
    <t>PRJNA32381</t>
  </si>
  <si>
    <t>Unknown:NC_027983.1/AP011113.1</t>
  </si>
  <si>
    <t>Escherichia phage vB_EcoM_ECO1230-10</t>
  </si>
  <si>
    <t>PRJNA40177</t>
  </si>
  <si>
    <t>Unknown:NC_027995.1/GU903191.1</t>
  </si>
  <si>
    <t>Halanaeroarchaeum sulfurireducens strain HSR2</t>
  </si>
  <si>
    <t>Cyanophage S-SSM6a</t>
  </si>
  <si>
    <t>HQ317391.1</t>
  </si>
  <si>
    <t>Cyanophage S-SSM6b</t>
  </si>
  <si>
    <t>HQ316603.1</t>
  </si>
  <si>
    <t>Prochlorococcus phage P-SSP10</t>
  </si>
  <si>
    <t>PRJNA52443</t>
  </si>
  <si>
    <t>Unknown:NC_020835.1/HQ337022.1</t>
  </si>
  <si>
    <t>Halanaeroarchaeum sulfurireducens strain M27-SA2</t>
  </si>
  <si>
    <t>Vibrio phage pYD38-B</t>
  </si>
  <si>
    <t>PRJNA60461</t>
  </si>
  <si>
    <t>Unknown:NC_021561.1/JF974313.1</t>
  </si>
  <si>
    <t>Rhizobium phage RR1-B</t>
  </si>
  <si>
    <t>PRJNA60463</t>
  </si>
  <si>
    <t>Unknown:NC_021557.1/JF974315.1</t>
  </si>
  <si>
    <t>Enterococcus phage EF62phi</t>
  </si>
  <si>
    <t>PRJNA61185</t>
  </si>
  <si>
    <t>Halanaerobium hydrogeniformans strain 'sapolanicus'</t>
  </si>
  <si>
    <t>EF62phi:NC_017732.1/CP002495.1</t>
  </si>
  <si>
    <t>Streptococcus phage YMC-2011</t>
  </si>
  <si>
    <t>PRJNA68129</t>
  </si>
  <si>
    <t>phage_YMC-2011:NC_018285.1/CP002889.1</t>
  </si>
  <si>
    <t>Microviridae phi-CA82</t>
  </si>
  <si>
    <t>PRJNA70009</t>
  </si>
  <si>
    <t>Unknown:NC_015785.1/HQ264138.1</t>
  </si>
  <si>
    <t>Halanaerobium praevalens DSM 2228</t>
  </si>
  <si>
    <t>Titi monkey adenovirus ECC-2011</t>
  </si>
  <si>
    <t>PRJNA70951</t>
  </si>
  <si>
    <t>Unknown:NC_020487.1/HQ913600.1</t>
  </si>
  <si>
    <t>Mouse kobuvirus M-5/USA/2010</t>
  </si>
  <si>
    <t>PRJNA72383</t>
  </si>
  <si>
    <t>Unknown:NC_015936.1/JF755427.1</t>
  </si>
  <si>
    <t>Sclerotinia sclerotiorum hypovirus 1</t>
  </si>
  <si>
    <t>PRJNA72389</t>
  </si>
  <si>
    <t>Haliangium ochraceum DSM 14365</t>
  </si>
  <si>
    <t>Unknown:NC_015939.1/JF781304.1</t>
  </si>
  <si>
    <t>Tomato chlorotic leaf distortion virus-[Venezuela:Zulia:2004]</t>
  </si>
  <si>
    <t>PRJNA72721</t>
  </si>
  <si>
    <t>46.0525</t>
  </si>
  <si>
    <t>DNA A:NC_015962.1/HQ201952.1;  DNA B:NC_015961.1/HQ201953.1</t>
  </si>
  <si>
    <t>Haliscomenobacter hydrossis DSM 1100</t>
  </si>
  <si>
    <t>Chilli ringspot virus</t>
  </si>
  <si>
    <t>PRJNA73825</t>
  </si>
  <si>
    <t>Unknown:NC_016044.1/JN008909.1</t>
  </si>
  <si>
    <t>Salmonella phage PVP-SE1</t>
  </si>
  <si>
    <t>PRJNA74359</t>
  </si>
  <si>
    <t>Unknown:NC_016071.1/GU070616.1</t>
  </si>
  <si>
    <t>Haloarcula hispanica ATCC 33960</t>
  </si>
  <si>
    <t>Megavirus chiliensis</t>
  </si>
  <si>
    <t>PRJNA74349</t>
  </si>
  <si>
    <t>Unknown:NC_016072.1/JN258408.1</t>
  </si>
  <si>
    <t>Salmonella phage SFP10</t>
  </si>
  <si>
    <t>PRJNA74351</t>
  </si>
  <si>
    <t>Unknown:NC_016073.1/HQ259103.1</t>
  </si>
  <si>
    <t>Canine papillomavirus 9</t>
  </si>
  <si>
    <t>PRJNA74353</t>
  </si>
  <si>
    <t>Unknown:NC_016074.1/JF800656.1</t>
  </si>
  <si>
    <t>Haloarcula hispanica N601</t>
  </si>
  <si>
    <t>Canine papillomavirus 10</t>
  </si>
  <si>
    <t>PRJNA74355</t>
  </si>
  <si>
    <t>Unknown:NC_016075.1/JF800657.1</t>
  </si>
  <si>
    <t>Potato yellow dwarf nucleorhabdovirus</t>
  </si>
  <si>
    <t>PRJNA74995</t>
  </si>
  <si>
    <t>Unknown:NC_016136.1/GU734660.1</t>
  </si>
  <si>
    <t>Mirabilis jalapa mottle virus</t>
  </si>
  <si>
    <t>PRJNA74427</t>
  </si>
  <si>
    <t>Haloarcula marismortui ATCC 43049</t>
  </si>
  <si>
    <t>Unknown:NC_016080.1/JN039374.1</t>
  </si>
  <si>
    <t>Grapevine leafroll-associated virus 5</t>
  </si>
  <si>
    <t>PRJNA74429</t>
  </si>
  <si>
    <t>Unknown:NC_016081.1/FR822696.2</t>
  </si>
  <si>
    <t>Sida yellow mottle virus</t>
  </si>
  <si>
    <t>PRJNA74527</t>
  </si>
  <si>
    <t>46.7011</t>
  </si>
  <si>
    <t>DNA A:NC_016082.1/JN411687.1;  DNA B:NC_016083.1/JN411688.1</t>
  </si>
  <si>
    <t>Blueberry necrotic ring blotch virus</t>
  </si>
  <si>
    <t>PRJNA74579</t>
  </si>
  <si>
    <t>Haloarcula sp. CBA1115</t>
  </si>
  <si>
    <t>41.6966</t>
  </si>
  <si>
    <t>RNA 1:NC_016084.1/JN651148.1;  RNA 2:NC_016085.1/JN651149.1;  RNA 3:NC_016086.1/JN651150.1;  RNA 4:NC_016087.1/JN651151.1</t>
  </si>
  <si>
    <t>Luna mammarenavirus</t>
  </si>
  <si>
    <t>PRJNA76617</t>
  </si>
  <si>
    <t>42.0964</t>
  </si>
  <si>
    <t>segment L:NC_016153.1/AB586645.1;  segment S:NC_016152.1/AB586644.1</t>
  </si>
  <si>
    <t>Halobacillus halophilus DSM 2266</t>
  </si>
  <si>
    <t>Astrovirus MLB2</t>
  </si>
  <si>
    <t>PRJNA76723</t>
  </si>
  <si>
    <t>Unknown:NC_016155.1/JF742759.1</t>
  </si>
  <si>
    <t>Feline picornavirus</t>
  </si>
  <si>
    <t>PRJNA76725</t>
  </si>
  <si>
    <t>Unknown:NC_016156.1/JN572115.1</t>
  </si>
  <si>
    <t>Human papillomavirus type 126</t>
  </si>
  <si>
    <t>Halobacterium salinarum R1</t>
  </si>
  <si>
    <t>PRJNA76727</t>
  </si>
  <si>
    <t>Unknown:NC_016157.1/AB646346.1</t>
  </si>
  <si>
    <t>Escherichia phage HK639</t>
  </si>
  <si>
    <t>PRJNA76729</t>
  </si>
  <si>
    <t>Unknown:NC_016158.1/HM208537.1</t>
  </si>
  <si>
    <t>Keunjorong mosaic virus</t>
  </si>
  <si>
    <t>PRJNA76731</t>
  </si>
  <si>
    <t>Unknown:NC_016159.1/JF838187.1</t>
  </si>
  <si>
    <t>Halobacterium sp. JI20-1</t>
  </si>
  <si>
    <t>Escherichia phage HK75</t>
  </si>
  <si>
    <t>PRJNA76733</t>
  </si>
  <si>
    <t>Unknown:NC_016160.1/HM173637.1</t>
  </si>
  <si>
    <t>Pediococcus virus cIP1</t>
  </si>
  <si>
    <t>PRJNA76735</t>
  </si>
  <si>
    <t>Unknown:NC_016161.1/JN051154.1</t>
  </si>
  <si>
    <t>Vibrio phage VCY-phi</t>
  </si>
  <si>
    <t>Halobacterium sp. NRC-1</t>
  </si>
  <si>
    <t>PRJNA76737</t>
  </si>
  <si>
    <t>Unknown:NC_016162.1/JN848801.1</t>
  </si>
  <si>
    <t>Yersinia phage phiR1-37</t>
  </si>
  <si>
    <t>PRJNA76739</t>
  </si>
  <si>
    <t>32.5</t>
  </si>
  <si>
    <t>Unknown:NC_016163.1/AJ972879.2</t>
  </si>
  <si>
    <t>Synechococcus phage S-CBS1</t>
  </si>
  <si>
    <t>PRJNA76741</t>
  </si>
  <si>
    <t>Halobacteroides halobius DSM 5150</t>
  </si>
  <si>
    <t>Unknown:NC_016164.1/HM480106.1</t>
  </si>
  <si>
    <t>Rhodobacter phage RcapMu</t>
  </si>
  <si>
    <t>PRJNA76743</t>
  </si>
  <si>
    <t>Unknown:NC_016165.1/JN190960.1</t>
  </si>
  <si>
    <t>Gordonia phage GTE7</t>
  </si>
  <si>
    <t>PRJNA76745</t>
  </si>
  <si>
    <t>Unknown:NC_016166.1/JN035618.1</t>
  </si>
  <si>
    <t>Quail picornavirus QPV1/HUN/2010</t>
  </si>
  <si>
    <t>PRJNA77133</t>
  </si>
  <si>
    <t>Haloferax gibbonsii strain ARA6</t>
  </si>
  <si>
    <t>Unknown:NC_016403.1/JN674502.1</t>
  </si>
  <si>
    <t>Spodoptera exigua iflavirus 1</t>
  </si>
  <si>
    <t>PRJNA77135</t>
  </si>
  <si>
    <t>Unknown:NC_016405.1/JN091707.1</t>
  </si>
  <si>
    <t>Haloferax mediterranei ATCC 33500</t>
  </si>
  <si>
    <t>Actinidia virus B</t>
  </si>
  <si>
    <t>PRJNA77137</t>
  </si>
  <si>
    <t>Unknown:NC_016404.1/JN427015.1</t>
  </si>
  <si>
    <t>Grapevine leafroll-associated virus 4</t>
  </si>
  <si>
    <t>PRJNA77935</t>
  </si>
  <si>
    <t>Unknown:NC_016416.1/FJ467503.1</t>
  </si>
  <si>
    <t>Grapevine leafroll-associated virus 6</t>
  </si>
  <si>
    <t>PRJNA77937</t>
  </si>
  <si>
    <t>Unknown:NC_016417.1/FJ467504.1</t>
  </si>
  <si>
    <t>Halastavi arva RNA virus</t>
  </si>
  <si>
    <t>PRJNA77939</t>
  </si>
  <si>
    <t>Unknown:NC_016418.1/JN000306.1</t>
  </si>
  <si>
    <t>Gordonia phage GRU1</t>
  </si>
  <si>
    <t>PRJNA78691</t>
  </si>
  <si>
    <t>65.5</t>
  </si>
  <si>
    <t>Unknown:NC_016435.1/JF923797.1</t>
  </si>
  <si>
    <t>Gordonia phage GTE5</t>
  </si>
  <si>
    <t>PRJNA78693</t>
  </si>
  <si>
    <t>Unknown:NC_016434.1/JF923796.1</t>
  </si>
  <si>
    <t>Haloferax volcanii DS2</t>
  </si>
  <si>
    <t>Grapevine leafroll-associated virus 7</t>
  </si>
  <si>
    <t>PRJNA78707</t>
  </si>
  <si>
    <t>Unknown:NC_016436.1/HE588185.1</t>
  </si>
  <si>
    <t>Skua adenovirus 1</t>
  </si>
  <si>
    <t>PRJNA78801</t>
  </si>
  <si>
    <t>Unknown:NC_016437.1/HM585353.1</t>
  </si>
  <si>
    <t>Garlic common latent virus</t>
  </si>
  <si>
    <t>PRJNA78925</t>
  </si>
  <si>
    <t>Halogeometricum borinquense DSM 11551</t>
  </si>
  <si>
    <t>Unknown:NC_016440.1/JF320810.1</t>
  </si>
  <si>
    <t>Rattail cactus necrosis-associated virus</t>
  </si>
  <si>
    <t>PRJNA78929</t>
  </si>
  <si>
    <t>Unknown:NC_016442.1/JF729471.1</t>
  </si>
  <si>
    <t>Chocolate lily virus A</t>
  </si>
  <si>
    <t>PRJNA78931</t>
  </si>
  <si>
    <t>44.1306</t>
  </si>
  <si>
    <t>RNA 1:NC_016443.1/JN052073.1;  RNA 2:NC_016444.1/JN052074.1</t>
  </si>
  <si>
    <t>Aotine betaherpesvirus 1</t>
  </si>
  <si>
    <t>Halolamina sediminis strain halo7</t>
  </si>
  <si>
    <t>PRJNA78945</t>
  </si>
  <si>
    <t>Unknown:NC_016447.1/FJ483970.2</t>
  </si>
  <si>
    <t>Grapevine leafroll-associated virus 1</t>
  </si>
  <si>
    <t>PRJNA80677</t>
  </si>
  <si>
    <t>Unknown:NC_016509.1/JQ023131.1</t>
  </si>
  <si>
    <t>Espirito Santo virus</t>
  </si>
  <si>
    <t>PRJNA80737</t>
  </si>
  <si>
    <t>49.1424</t>
  </si>
  <si>
    <t>A:NC_016518.1/JN589003.1;  B:NC_016517.1/JN589002.1</t>
  </si>
  <si>
    <t>Halomicrobium mukohataei DSM 12286</t>
  </si>
  <si>
    <t>Clitoria yellow mottle virus</t>
  </si>
  <si>
    <t>PRJNA80771</t>
  </si>
  <si>
    <t>Unknown:NC_016519.1/JN566124.1</t>
  </si>
  <si>
    <t>Ipomoea begomovirus satellite DNA beta</t>
  </si>
  <si>
    <t>PRJNA80873</t>
  </si>
  <si>
    <t>Unknown:NC_016536.1/FJ914390.1</t>
  </si>
  <si>
    <t>Parrot hepatitis B virus</t>
  </si>
  <si>
    <t>PRJNA80909</t>
  </si>
  <si>
    <t>Halomonas campaniensis strain LS21</t>
  </si>
  <si>
    <t>Unknown:NC_016561.1/JN565944.1</t>
  </si>
  <si>
    <t>Campylobacter virus CPX</t>
  </si>
  <si>
    <t>PRJNA80911</t>
  </si>
  <si>
    <t>Unknown:NC_016562.1/JN132397.1</t>
  </si>
  <si>
    <t>Bacillus phage W.Ph.</t>
  </si>
  <si>
    <t>PRJNA80913</t>
  </si>
  <si>
    <t>Unknown:NC_016563.1/HM144387.1</t>
  </si>
  <si>
    <t>Halomonas chromatireducens strain AGD 8-3</t>
  </si>
  <si>
    <t>Planktothrix phage PaV-LD</t>
  </si>
  <si>
    <t>PRJNA80915</t>
  </si>
  <si>
    <t>Unknown:NC_016564.1/HQ683709.1</t>
  </si>
  <si>
    <t>Staphylococcus phage S24-1</t>
  </si>
  <si>
    <t>PRJNA80917</t>
  </si>
  <si>
    <t>Unknown:NC_016565.1/AB626962.1</t>
  </si>
  <si>
    <t>Shigella phage EP23</t>
  </si>
  <si>
    <t>PRJNA80919</t>
  </si>
  <si>
    <t>Unknown:NC_016566.1/JN984867.1</t>
  </si>
  <si>
    <t>Nocardia phage NBR1</t>
  </si>
  <si>
    <t>Halomonas elongata DSM 2581</t>
  </si>
  <si>
    <t>PRJNA80925</t>
  </si>
  <si>
    <t>Unknown:NC_016569.1/JN116828.1</t>
  </si>
  <si>
    <t>Pseudomonas phage OBP</t>
  </si>
  <si>
    <t>PRJNA81003</t>
  </si>
  <si>
    <t>Unknown:NC_016571.1/JN627160.1</t>
  </si>
  <si>
    <t>Cleome leaf crumple virus</t>
  </si>
  <si>
    <t>PRJNA81005</t>
  </si>
  <si>
    <t>49.4143</t>
  </si>
  <si>
    <t>DNA-A:NC_016578.1/JF694461.1;  DNA-B:NC_016572.1/JF694462.1</t>
  </si>
  <si>
    <t>Halomonas huangheensis strain BJGMM-B45</t>
  </si>
  <si>
    <t>Sida mosaic Alagoas virus</t>
  </si>
  <si>
    <t>PRJNA81007</t>
  </si>
  <si>
    <t>45.8181</t>
  </si>
  <si>
    <t>DNA-A:NC_016573.1/JF694471.1;  DNA-B:NC_016579.1/JF694473.1</t>
  </si>
  <si>
    <t>Abutilon mosaic Brazil virus</t>
  </si>
  <si>
    <t>PRJNA81009</t>
  </si>
  <si>
    <t>45.0082</t>
  </si>
  <si>
    <t>Halomonas sp. A3H3</t>
  </si>
  <si>
    <t>DNA-A:NC_016574.1/JF694480.1;  DNA-B:NC_016577.1/JF694479.1</t>
  </si>
  <si>
    <t>West African Asystasia virus 1</t>
  </si>
  <si>
    <t>PRJNA81011</t>
  </si>
  <si>
    <t>42.4592</t>
  </si>
  <si>
    <t>DNA-A:NC_016575.1/JF694484.1;  DNA-B:NC_016576.1/JF694485.1</t>
  </si>
  <si>
    <t>Tomato dwarf leaf virus</t>
  </si>
  <si>
    <t>PRJNA81031</t>
  </si>
  <si>
    <t>Halomonas sp. HL-93</t>
  </si>
  <si>
    <t>40.7164</t>
  </si>
  <si>
    <t>DNA A:NC_016580.1/JN564749.1;  DNA B:NC_016581.1/JN564750.1</t>
  </si>
  <si>
    <t>Porcine bocavirus 5/JS677</t>
  </si>
  <si>
    <t>PRJNA81033</t>
  </si>
  <si>
    <t>Unknown:NC_016647.1/JN831651.1</t>
  </si>
  <si>
    <t>Persea americana alphaendornavirus 1</t>
  </si>
  <si>
    <t>PRJNA81035</t>
  </si>
  <si>
    <t>Unknown:NC_016648.1/JN880414.1</t>
  </si>
  <si>
    <t>Halomonas sp. R57-5</t>
  </si>
  <si>
    <t>Hollyhock yellow vein mosaic virus</t>
  </si>
  <si>
    <t>PRJNA81151</t>
  </si>
  <si>
    <t>Unknown:NC_016649.1/FR772081.1</t>
  </si>
  <si>
    <t>Rhodococcus virus RGL3</t>
  </si>
  <si>
    <t>PRJNA81167</t>
  </si>
  <si>
    <t>Unknown:NC_016650.1/JN116826.1</t>
  </si>
  <si>
    <t>halophilic archaeon DL31</t>
  </si>
  <si>
    <t>Rhodococcus phage RRH1</t>
  </si>
  <si>
    <t>PRJNA81169</t>
  </si>
  <si>
    <t>Unknown:NC_016651.1/JN116822.1</t>
  </si>
  <si>
    <t>Rhodococcus phage REQ2</t>
  </si>
  <si>
    <t>PRJNA81171</t>
  </si>
  <si>
    <t>Unknown:NC_016652.1/JN116823.1</t>
  </si>
  <si>
    <t>Rhodococcus phage RER2</t>
  </si>
  <si>
    <t>PRJNA81173</t>
  </si>
  <si>
    <t>Unknown:NC_016653.1/JN116827.1</t>
  </si>
  <si>
    <t>Halopiger xanaduensis SH-6</t>
  </si>
  <si>
    <t>Rhodococcus phage REQ3</t>
  </si>
  <si>
    <t>PRJNA81175</t>
  </si>
  <si>
    <t>65.9</t>
  </si>
  <si>
    <t>Unknown:NC_016654.1/JN116824.1</t>
  </si>
  <si>
    <t>Rhodococcus phage REQ1</t>
  </si>
  <si>
    <t>PRJNA81177</t>
  </si>
  <si>
    <t>Unknown:NC_016655.1/JN116825.1</t>
  </si>
  <si>
    <t>Haloquadratum walsbyi C23</t>
  </si>
  <si>
    <t>Eclipta yellow vein virus</t>
  </si>
  <si>
    <t>PRJNA81215</t>
  </si>
  <si>
    <t>Unknown:NC_016660.1/GQ478343.1</t>
  </si>
  <si>
    <t>Eidolon helvum (bat) parvovirus</t>
  </si>
  <si>
    <t>PRJNA81567</t>
  </si>
  <si>
    <t>Unknown:NC_016744.1/JQ037753.1</t>
  </si>
  <si>
    <t>Artibeus jamaicensis parvovirus 1</t>
  </si>
  <si>
    <t>PRJNA81739</t>
  </si>
  <si>
    <t>Unknown:NC_016752.1/JQ037754.1</t>
  </si>
  <si>
    <t>Haloquadratum walsbyi DSM 16790</t>
  </si>
  <si>
    <t>Rosellinia necatrix quadrivirus 1</t>
  </si>
  <si>
    <t>PRJNA82351</t>
  </si>
  <si>
    <t>Quadriviridae</t>
  </si>
  <si>
    <t>52.804</t>
  </si>
  <si>
    <t>segment 1:NC_016757.1/AB620061.1;  segment 2:NC_016759.1/AB620062.1;  segment 3:NC_016760.1/AB620063.1;  segment 4:NC_016758.1/AB620064.1</t>
  </si>
  <si>
    <t>Salmonella phage SPN1S</t>
  </si>
  <si>
    <t>PRJNA82639</t>
  </si>
  <si>
    <t>Unknown:NC_016761.1/JN391180.1</t>
  </si>
  <si>
    <t>Halorhabdus tiamatea SARL4B</t>
  </si>
  <si>
    <t>Pseudomonas phage phi297</t>
  </si>
  <si>
    <t>PRJNA82641</t>
  </si>
  <si>
    <t>Unknown:NC_016762.1/HQ711984.1</t>
  </si>
  <si>
    <t>Salmonella phage SE2</t>
  </si>
  <si>
    <t>PRJNA82643</t>
  </si>
  <si>
    <t>Halorhabdus utahensis DSM 12940</t>
  </si>
  <si>
    <t>Unknown:NC_016763.1/JQ007353.1</t>
  </si>
  <si>
    <t>Pseudomonas phage Bf7</t>
  </si>
  <si>
    <t>PRJNA82647</t>
  </si>
  <si>
    <t>Unknown:NC_016764.1/JN991020.1</t>
  </si>
  <si>
    <t>Pseudomonas virus PMG1</t>
  </si>
  <si>
    <t>Halorhodospira halochloris str. A</t>
  </si>
  <si>
    <t>PRJNA82649</t>
  </si>
  <si>
    <t>Unknown:NC_016765.1/HQ711985.1</t>
  </si>
  <si>
    <t>Erwinia phage PEp14</t>
  </si>
  <si>
    <t>PRJNA82653</t>
  </si>
  <si>
    <t>Halorhodospira halophila SL1</t>
  </si>
  <si>
    <t>Unknown:NC_016767.1/JN585957.1</t>
  </si>
  <si>
    <t>Porcine kobuvirus SH-W-CHN/2010/China</t>
  </si>
  <si>
    <t>PRJNA82751</t>
  </si>
  <si>
    <t>Unknown:NC_016769.1/JN630514.1</t>
  </si>
  <si>
    <t>Bacteroides phage B124-14</t>
  </si>
  <si>
    <t>PRJNA82753</t>
  </si>
  <si>
    <t>Unknown:NC_016770.1/HE608841.1</t>
  </si>
  <si>
    <t>Halorubrum lacusprofundi ATCC 49239</t>
  </si>
  <si>
    <t>Spissistilus festinus reovirus</t>
  </si>
  <si>
    <t>PRJNA83187</t>
  </si>
  <si>
    <t>48.884</t>
  </si>
  <si>
    <t>segment 1:NC_016879.1/JF773382.1;  segment 10:NC_016878.1/JF773391.1;  segment 2:NC_016874.1/JF773383.1;  segment 3:NC_016880.1/JF773384.1;  segment 4:NC_016875.1/JF773385.1;  segment 5:NC_016881.1/JF773386.1;  segment 6:NC_016876.1/JF773387.1;  segment 7:NC_016882.1/JF773388.1;  segment 8:NC_016877.1/JF773389.1;  segment 9:NC_016883.1/JF773390.1</t>
  </si>
  <si>
    <t>Simian adenovirus 49</t>
  </si>
  <si>
    <t>PRJNA64487</t>
  </si>
  <si>
    <t>Unknown:NC_015225.1/HQ241819.1</t>
  </si>
  <si>
    <t>Bat adenovirus TJM</t>
  </si>
  <si>
    <t>PRJNA84399</t>
  </si>
  <si>
    <t>Halostagnicola larsenii XH-48</t>
  </si>
  <si>
    <t>NC_016895.2/GU226970.2</t>
  </si>
  <si>
    <t>Astrovirus wild boar/WBAstV-1/2011/HUN</t>
  </si>
  <si>
    <t>PRJNA84401</t>
  </si>
  <si>
    <t>Unknown:NC_016896.1/JQ340310.1</t>
  </si>
  <si>
    <t>Halotalea alkalilenta strain IHB B 13600</t>
  </si>
  <si>
    <t>Trichechus manatus latirostris papillomavirus 2</t>
  </si>
  <si>
    <t>PRJNA84405</t>
  </si>
  <si>
    <t>Unknown:NC_016898.1/JN709473.1</t>
  </si>
  <si>
    <t>Thermococcus prieurii virus 1</t>
  </si>
  <si>
    <t>PRJNA84407</t>
  </si>
  <si>
    <t>Unknown:NC_016899.1/JQ010983.1</t>
  </si>
  <si>
    <t>Cotia virus SPAn232</t>
  </si>
  <si>
    <t>PRJNA85563</t>
  </si>
  <si>
    <t>Haloterrigena turkmenica DSM 5511</t>
  </si>
  <si>
    <t>Unknown:NC_016924.1/HQ647181.2</t>
  </si>
  <si>
    <t>Ndumu virus</t>
  </si>
  <si>
    <t>PRJNA88115</t>
  </si>
  <si>
    <t>Unknown:NC_016959.1/HM147989.1</t>
  </si>
  <si>
    <t>Southern elephant seal virus</t>
  </si>
  <si>
    <t>PRJNA88117</t>
  </si>
  <si>
    <t>Unknown:NC_016960.1/HM147990.1</t>
  </si>
  <si>
    <t>Whataroa virus</t>
  </si>
  <si>
    <t>PRJNA88119</t>
  </si>
  <si>
    <t>Halothece sp. PCC 7418</t>
  </si>
  <si>
    <t>Unknown:NC_016961.1/HM147993.1</t>
  </si>
  <si>
    <t>Bebaru virus</t>
  </si>
  <si>
    <t>PRJNA88121</t>
  </si>
  <si>
    <t>Unknown:NC_016962.1/HM147985.1</t>
  </si>
  <si>
    <t>New World begomovirus associated satellite DNA isolate 177H3</t>
  </si>
  <si>
    <t>PRJNA88123</t>
  </si>
  <si>
    <t>Unknown:NC_016963.1/JN819486.1</t>
  </si>
  <si>
    <t>Halothermothrix orenii H 168</t>
  </si>
  <si>
    <t>Canine picornavirus</t>
  </si>
  <si>
    <t>PRJNA89397</t>
  </si>
  <si>
    <t>Unknown:NC_016964.1/JN831356.1</t>
  </si>
  <si>
    <t>Tomato leaf curl Ranchi virus</t>
  </si>
  <si>
    <t>PRJNA89399</t>
  </si>
  <si>
    <t>DNA-A:NC_016965.1/GQ994095.1</t>
  </si>
  <si>
    <t>Halothiobacillus neapolitanus c2</t>
  </si>
  <si>
    <t>Pepper leaf curl Lahore Virus-[Pakistan:Lahore1:2004]</t>
  </si>
  <si>
    <t>PRJNA89655</t>
  </si>
  <si>
    <t>A:NC_016984.1/AM404179.1</t>
  </si>
  <si>
    <t>Sparrow coronavirus HKU17</t>
  </si>
  <si>
    <t>PRJNA17048</t>
  </si>
  <si>
    <t>Unknown:NC_016992.1/JQ065045.1</t>
  </si>
  <si>
    <t>Halovivax ruber XH-70</t>
  </si>
  <si>
    <t>Haloarcula hispanica icosahedral virus 2</t>
  </si>
  <si>
    <t>PRJNA109269</t>
  </si>
  <si>
    <t>Unknown:NC_016989.1/JN968479.1</t>
  </si>
  <si>
    <t>Porcine coronavirus HKU15</t>
  </si>
  <si>
    <t>PRJNA109271</t>
  </si>
  <si>
    <t>Halyomorpha halys symbiont</t>
  </si>
  <si>
    <t>Unknown:NC_016990.2/JQ065042.2</t>
  </si>
  <si>
    <t>White-eye coronavirus HKU16</t>
  </si>
  <si>
    <t>PRJNA109273</t>
  </si>
  <si>
    <t>Unknown:NC_016991.1/JQ065044.1</t>
  </si>
  <si>
    <t>Magpie-robin coronavirus HKU18</t>
  </si>
  <si>
    <t>PRJNA109275</t>
  </si>
  <si>
    <t>Unknown:NC_016993.1/JQ065046.1</t>
  </si>
  <si>
    <t>Helicobacter acinonychis str. Sheeba</t>
  </si>
  <si>
    <t>Night heron coronavirus HKU19</t>
  </si>
  <si>
    <t>PRJNA109277</t>
  </si>
  <si>
    <t>Unknown:NC_016994.1/JQ065047.1</t>
  </si>
  <si>
    <t>Wigeon coronavirus HKU20</t>
  </si>
  <si>
    <t>PRJNA109279</t>
  </si>
  <si>
    <t>Unknown:NC_016995.1/JQ065048.1</t>
  </si>
  <si>
    <t>Common moorhen coronavirus HKU21</t>
  </si>
  <si>
    <t>PRJNA109281</t>
  </si>
  <si>
    <t>Helicobacter bizzozeronii CIII-1</t>
  </si>
  <si>
    <t>Unknown:NC_016996.1/JQ065049.1</t>
  </si>
  <si>
    <t>Donggang virus</t>
  </si>
  <si>
    <t>PRJNA115527</t>
  </si>
  <si>
    <t>Unknown:NC_016997.1/JQ086551.1</t>
  </si>
  <si>
    <t>Centrosema yellow spot virus</t>
  </si>
  <si>
    <t>PRJNA124057</t>
  </si>
  <si>
    <t>Helicobacter cetorum MIT 00-7128</t>
  </si>
  <si>
    <t>DNA-A:NC_016998.1/JN419002.1</t>
  </si>
  <si>
    <t>Macroptilium yellow spot virus</t>
  </si>
  <si>
    <t>PRJNA124059</t>
  </si>
  <si>
    <t>DNA-A:NC_016999.1/JN419013.1</t>
  </si>
  <si>
    <t>Macroptilium yellow vein virus</t>
  </si>
  <si>
    <t>PRJNA124061</t>
  </si>
  <si>
    <t>DNA-A:NC_017000.1/JN419021.1</t>
  </si>
  <si>
    <t>Helicobacter cetorum MIT 99-5656</t>
  </si>
  <si>
    <t>Macroptilium yellow net virus</t>
  </si>
  <si>
    <t>PRJNA124063</t>
  </si>
  <si>
    <t>42.867</t>
  </si>
  <si>
    <t>DNA A:NC_017001.1/JN418998.1;  DNA B:NC_017002.1/JN418999.1</t>
  </si>
  <si>
    <t>Clitocybe odora virus</t>
  </si>
  <si>
    <t>PRJNA129589</t>
  </si>
  <si>
    <t>Unknown:NC_017003.1/HE717021.1</t>
  </si>
  <si>
    <t>Helicobacter cinaedi PAGU611</t>
  </si>
  <si>
    <t>Cassava mosaic Madagascar virus</t>
  </si>
  <si>
    <t>PRJNA129597</t>
  </si>
  <si>
    <t>43.2513</t>
  </si>
  <si>
    <t>DNA A:NC_017004.1/HE617299.1;  DNA B:NC_017005.1/HE617300.1</t>
  </si>
  <si>
    <t>Rabbit coronavirus HKU14</t>
  </si>
  <si>
    <t>PRJNA157249</t>
  </si>
  <si>
    <t>Unknown:NC_017083.1/JN874559.1</t>
  </si>
  <si>
    <t>Helicobacter felis ATCC 49179</t>
  </si>
  <si>
    <t>Tianjin totivirus</t>
  </si>
  <si>
    <t>PRJNA157251</t>
  </si>
  <si>
    <t>Unknown:NC_017084.1/JN391187.1</t>
  </si>
  <si>
    <t>Canary polyomavirus</t>
  </si>
  <si>
    <t>PRJNA157253</t>
  </si>
  <si>
    <t>Unknown:NC_017085.1/GU345044.1</t>
  </si>
  <si>
    <t>Helicobacter heilmannii ASB1.4</t>
  </si>
  <si>
    <t>Chaoyang virus</t>
  </si>
  <si>
    <t>PRJNA157255</t>
  </si>
  <si>
    <t>Unknown:NC_017086.1/JQ308185.1</t>
  </si>
  <si>
    <t>Halorubrum pleomorphic virus 2</t>
  </si>
  <si>
    <t>PRJNA157257</t>
  </si>
  <si>
    <t>Unknown:NC_017087.1/JN882264.1</t>
  </si>
  <si>
    <t>Halorubrum pleomorphic virus 3</t>
  </si>
  <si>
    <t>Helicobacter hepaticus ATCC 51449</t>
  </si>
  <si>
    <t>PRJNA157259</t>
  </si>
  <si>
    <t>Unknown:NC_017088.1/JN882265.1</t>
  </si>
  <si>
    <t>Halorubrum pleomorphic virus 6</t>
  </si>
  <si>
    <t>PRJNA157261</t>
  </si>
  <si>
    <t>Unknown:NC_017089.1/JN882266.1</t>
  </si>
  <si>
    <t>Halogeometricum pleomorphic virus 1</t>
  </si>
  <si>
    <t>PRJNA157263</t>
  </si>
  <si>
    <t>Unknown:NC_017090.1/JN882267.1</t>
  </si>
  <si>
    <t>Gyrovirus GyV3</t>
  </si>
  <si>
    <t>PRJNA157265</t>
  </si>
  <si>
    <t>Helicobacter himalayensis strain YS1</t>
  </si>
  <si>
    <t>Unknown:NC_017091.1/JQ308210.1</t>
  </si>
  <si>
    <t>Valsa ceratosperma hypovirus 1</t>
  </si>
  <si>
    <t>PRJNA157807</t>
  </si>
  <si>
    <t>Unknown:NC_017099.1/AB690372.1</t>
  </si>
  <si>
    <t>Obodhiang virus</t>
  </si>
  <si>
    <t>PRJNA159049</t>
  </si>
  <si>
    <t>Helicobacter mustelae 12198</t>
  </si>
  <si>
    <t>Unknown:NC_017685.1/HM856902.1</t>
  </si>
  <si>
    <t>Kotonkan virus</t>
  </si>
  <si>
    <t>PRJNA159107</t>
  </si>
  <si>
    <t>Unknown:NC_017714.1/HM474855.1</t>
  </si>
  <si>
    <t>Papio hamadryas papillomavirus type 1</t>
  </si>
  <si>
    <t>PRJNA159111</t>
  </si>
  <si>
    <t>Unknown:NC_017716.1/JF304764.1</t>
  </si>
  <si>
    <t>Wheat dwarf India virus</t>
  </si>
  <si>
    <t>PRJNA162491</t>
  </si>
  <si>
    <t>Helicobacter pylori 2017</t>
  </si>
  <si>
    <t>Unknown:NC_017828.1/JQ361910.1</t>
  </si>
  <si>
    <t>Cotton leaf curl virus betasatellite</t>
  </si>
  <si>
    <t>PRJNA162497</t>
  </si>
  <si>
    <t>Unknown:NC_017829.1/HM037921.1</t>
  </si>
  <si>
    <t>Fig badnavirus 1</t>
  </si>
  <si>
    <t>PRJNA162487</t>
  </si>
  <si>
    <t>Unknown:NC_017830.1/JF411989.1</t>
  </si>
  <si>
    <t>Helicobacter pylori 2018</t>
  </si>
  <si>
    <t>Feline bocavirus</t>
  </si>
  <si>
    <t>PRJNA162493</t>
  </si>
  <si>
    <t>Unknown:NC_017823.1/JQ692585.1</t>
  </si>
  <si>
    <t>Tomato necrotic stunt virus</t>
  </si>
  <si>
    <t>PRJNA162495</t>
  </si>
  <si>
    <t>Unknown:NC_017824.1/JQ314463.1</t>
  </si>
  <si>
    <t>Equid alphaherpesvirus 8</t>
  </si>
  <si>
    <t>PRJNA162499</t>
  </si>
  <si>
    <t>Helicobacter pylori 26695</t>
  </si>
  <si>
    <t>Unknown:NC_017826.1/JQ343919.1</t>
  </si>
  <si>
    <t>Cotton leaf curl virus</t>
  </si>
  <si>
    <t>PRJNA352736</t>
  </si>
  <si>
    <t>NC_031760.1/KX831888.1</t>
  </si>
  <si>
    <t>American hop latent virus</t>
  </si>
  <si>
    <t>PRJNA163147</t>
  </si>
  <si>
    <t>Unknown:NC_017859.1/JQ245696.1</t>
  </si>
  <si>
    <t>Equus caballus papillomavirus 3</t>
  </si>
  <si>
    <t>PRJNA163309</t>
  </si>
  <si>
    <t>Unknown:NC_017862.1/GU384895.1</t>
  </si>
  <si>
    <t>Pig stool associated circular ssDNA virus GER2011</t>
  </si>
  <si>
    <t>PRJNA165737</t>
  </si>
  <si>
    <t>Unknown:NC_017916.1/JQ023166.1</t>
  </si>
  <si>
    <t>Helicobacter pylori 26695-1</t>
  </si>
  <si>
    <t>Artemisia virus A</t>
  </si>
  <si>
    <t>PRJNA165739</t>
  </si>
  <si>
    <t>Unknown:NC_017914.1/JN620802.1</t>
  </si>
  <si>
    <t>Sclerotinia sclerotiorum dsRNA mycovirus-L</t>
  </si>
  <si>
    <t>PRJNA165743</t>
  </si>
  <si>
    <t>Unknown:NC_017915.1/JQ513382.1</t>
  </si>
  <si>
    <t>Maize streak Reunion virus</t>
  </si>
  <si>
    <t>PRJNA165745</t>
  </si>
  <si>
    <t>Unknown:NC_017917.1/JQ624879.1</t>
  </si>
  <si>
    <t>Tomato yellow leaf distortion virus</t>
  </si>
  <si>
    <t>PRJNA165747</t>
  </si>
  <si>
    <t>46.0614</t>
  </si>
  <si>
    <t>DNA A:NC_011348.1/FJ174698.1;  DNA B:NC_017913.1/FJ999999.1</t>
  </si>
  <si>
    <t>Pseudomonas phage vB_Pae-TbilisiM32</t>
  </si>
  <si>
    <t>PRJNA167051</t>
  </si>
  <si>
    <t>Helicobacter pylori 26695-1CH</t>
  </si>
  <si>
    <t>Unknown:NC_017865.1/JQ307386.1</t>
  </si>
  <si>
    <t>Pseudomonas phage vB_Pae-Kakheti25</t>
  </si>
  <si>
    <t>PRJNA167052</t>
  </si>
  <si>
    <t>Unknown:NC_017864.1/JQ307387.1</t>
  </si>
  <si>
    <t>Bat sapovirus TLC58/HK</t>
  </si>
  <si>
    <t>PRJNA167111</t>
  </si>
  <si>
    <t>Helicobacter pylori 26695-1CL</t>
  </si>
  <si>
    <t>Unknown:NC_017936.1/JN899075.1</t>
  </si>
  <si>
    <t>Nariva virus</t>
  </si>
  <si>
    <t>PRJNA167112</t>
  </si>
  <si>
    <t>Unknown:NC_017937.1/FJ362497.2</t>
  </si>
  <si>
    <t>Grapevine deformation virus</t>
  </si>
  <si>
    <t>PRJNA167162</t>
  </si>
  <si>
    <t>45.1326</t>
  </si>
  <si>
    <t>RNA 1:NC_017939.1/HE613269.1;  RNA 2:NC_017938.1/AY291208.1</t>
  </si>
  <si>
    <t>Helicobacter pylori 26695-1MET</t>
  </si>
  <si>
    <t>European catfish virus</t>
  </si>
  <si>
    <t>PRJNA167164</t>
  </si>
  <si>
    <t>Unknown:NC_017940.1/JQ724856.1</t>
  </si>
  <si>
    <t>Cronobacter phage CR3</t>
  </si>
  <si>
    <t>PRJNA167658</t>
  </si>
  <si>
    <t>Helicobacter pylori 35A</t>
  </si>
  <si>
    <t>Unknown:NC_017974.1/JQ691612.1</t>
  </si>
  <si>
    <t>Xanthomonas phage vB_XveM_DIBBI</t>
  </si>
  <si>
    <t>PRJNA167661</t>
  </si>
  <si>
    <t>Unknown:NC_017981.1/JN022534.1</t>
  </si>
  <si>
    <t>Bacillus phage PBC1</t>
  </si>
  <si>
    <t>PRJNA167662</t>
  </si>
  <si>
    <t>Unknown:NC_017976.1/JQ619704.1</t>
  </si>
  <si>
    <t>Helicobacter pylori 51</t>
  </si>
  <si>
    <t>Clostridium phage phiCP7R</t>
  </si>
  <si>
    <t>PRJNA167663</t>
  </si>
  <si>
    <t>34.8</t>
  </si>
  <si>
    <t>Unknown:NC_017980.1/JQ729990.1</t>
  </si>
  <si>
    <t>Halocynthia phage JM-2012</t>
  </si>
  <si>
    <t>PRJNA167664</t>
  </si>
  <si>
    <t>Unknown:NC_017975.1/JQ340088.1</t>
  </si>
  <si>
    <t>Helicobacter pylori 52</t>
  </si>
  <si>
    <t>Salmonella phage SPN9CC</t>
  </si>
  <si>
    <t>PRJNA167665</t>
  </si>
  <si>
    <t>Unknown:NC_017985.1/JF900176.1</t>
  </si>
  <si>
    <t>Escherichia virus AKFV33</t>
  </si>
  <si>
    <t>PRJNA167572</t>
  </si>
  <si>
    <t>Helicobacter pylori 83</t>
  </si>
  <si>
    <t>Unknown:NC_017969.1/HQ665011.1</t>
  </si>
  <si>
    <t>Staphylococcus phage TEM123</t>
  </si>
  <si>
    <t>PRJNA167573</t>
  </si>
  <si>
    <t>Unknown:NC_017968.1/JQ779024.1</t>
  </si>
  <si>
    <t>Mycobacterium phage SWU1</t>
  </si>
  <si>
    <t>PRJNA167574</t>
  </si>
  <si>
    <t>Helicobacter pylori 908</t>
  </si>
  <si>
    <t>Unknown:NC_017973.1/JF946695.1</t>
  </si>
  <si>
    <t>Salisaeta icosahedral phage 1</t>
  </si>
  <si>
    <t>PRJNA167575</t>
  </si>
  <si>
    <t>Unknown:NC_017983.1/JN880423.1</t>
  </si>
  <si>
    <t>Acinetobacter phage AP22</t>
  </si>
  <si>
    <t>PRJNA167576</t>
  </si>
  <si>
    <t>Unknown:NC_017984.1/HE806280.1</t>
  </si>
  <si>
    <t>Clostridium phage PhiS63</t>
  </si>
  <si>
    <t>PRJNA167577</t>
  </si>
  <si>
    <t>Helicobacter pylori Aklavik117</t>
  </si>
  <si>
    <t>Unknown:NC_017978.1/JQ660954.1</t>
  </si>
  <si>
    <t>Goose adenovirus 4</t>
  </si>
  <si>
    <t>PRJNA167579</t>
  </si>
  <si>
    <t>Unknown:NC_017979.1/JF510462.1</t>
  </si>
  <si>
    <t>Helicobacter pylori Aklavik86</t>
  </si>
  <si>
    <t>Hippeastrum mosaic virus</t>
  </si>
  <si>
    <t>PRJNA167580</t>
  </si>
  <si>
    <t>Unknown:NC_017967.1/JQ395040.1</t>
  </si>
  <si>
    <t>Sweet potato virus 2</t>
  </si>
  <si>
    <t>PRJNA167581</t>
  </si>
  <si>
    <t>Unknown:NC_017970.1/JN613807.1</t>
  </si>
  <si>
    <t>Helicobacter pylori B38</t>
  </si>
  <si>
    <t>Pseudomonas phage tf</t>
  </si>
  <si>
    <t>PRJNA167604</t>
  </si>
  <si>
    <t>Unknown:NC_017971.2/HE611333.2</t>
  </si>
  <si>
    <t>Pseudomonas phage Lu11</t>
  </si>
  <si>
    <t>PRJNA167656</t>
  </si>
  <si>
    <t>Helicobacter pylori B8</t>
  </si>
  <si>
    <t>Unknown:NC_017972.1/JQ768459.1</t>
  </si>
  <si>
    <t>Persimmon cryptic virus</t>
  </si>
  <si>
    <t>PRJNA167734</t>
  </si>
  <si>
    <t>45.2776</t>
  </si>
  <si>
    <t>segment 1:NC_017989.1/HE805113.1;  segment 2:NC_017988.1/HE805114.1</t>
  </si>
  <si>
    <t>Sida yellow mosaic China virus - [Hainan 8]</t>
  </si>
  <si>
    <t>PRJNA167735</t>
  </si>
  <si>
    <t>Unknown:NC_017987.1/AM048837.1</t>
  </si>
  <si>
    <t>Helicobacter pylori BM012A</t>
  </si>
  <si>
    <t>Human papillomavirus type 135</t>
  </si>
  <si>
    <t>PRJNA167865</t>
  </si>
  <si>
    <t>Unknown:NC_017993.1/HM999987.1</t>
  </si>
  <si>
    <t>Human papillomavirus type 136</t>
  </si>
  <si>
    <t>PRJNA167866</t>
  </si>
  <si>
    <t>Unknown:NC_017994.1/HM999988.1</t>
  </si>
  <si>
    <t>Human papillomavirus type 137</t>
  </si>
  <si>
    <t>Helicobacter pylori BM012S</t>
  </si>
  <si>
    <t>PRJNA167867</t>
  </si>
  <si>
    <t>Unknown:NC_017995.1/HM999989.1</t>
  </si>
  <si>
    <t>Human papillomavirus type 140</t>
  </si>
  <si>
    <t>PRJNA167868</t>
  </si>
  <si>
    <t>Unknown:NC_017996.1/HM999992.1</t>
  </si>
  <si>
    <t>Human papillomavirus type 144</t>
  </si>
  <si>
    <t>PRJNA167869</t>
  </si>
  <si>
    <t>Unknown:NC_017997.1/HM999996.1</t>
  </si>
  <si>
    <t>Helicobacter pylori Cuz20</t>
  </si>
  <si>
    <t>Bean necrotic mosaic virus</t>
  </si>
  <si>
    <t>PRJNA168523</t>
  </si>
  <si>
    <t>35.6474</t>
  </si>
  <si>
    <t>L:NC_018070.1/JF417980.1;  M:NC_018072.1/JN587269.1;  S:NC_018071.1/JN587268.1</t>
  </si>
  <si>
    <t>Phocoena phocoena papillomavirus 1</t>
  </si>
  <si>
    <t>PRJNA168666</t>
  </si>
  <si>
    <t>Unknown:NC_018074.1/GU117621.1</t>
  </si>
  <si>
    <t>Phocoena phocoena papillomavirus 2</t>
  </si>
  <si>
    <t>Helicobacter pylori ELS37</t>
  </si>
  <si>
    <t>PRJNA168667</t>
  </si>
  <si>
    <t>Unknown:NC_018075.1/GU117622.1</t>
  </si>
  <si>
    <t>Phocoena phocoena papillomavirus 4</t>
  </si>
  <si>
    <t>PRJNA168668</t>
  </si>
  <si>
    <t>Unknown:NC_018076.1/GU117623.1</t>
  </si>
  <si>
    <t>Cotton leaf curl Multan alphasatellite</t>
  </si>
  <si>
    <t>PRJNA169228</t>
  </si>
  <si>
    <t>Helicobacter pylori F16</t>
  </si>
  <si>
    <t>Unknown:NC_018082.1/FR877532.1</t>
  </si>
  <si>
    <t>Enterococcus phage BC611</t>
  </si>
  <si>
    <t>PRJNA169229</t>
  </si>
  <si>
    <t>Unknown:NC_018086.1/AB712291.1</t>
  </si>
  <si>
    <t>Acinetobacter phage ZZ1</t>
  </si>
  <si>
    <t>PRJNA169230</t>
  </si>
  <si>
    <t>Unknown:NC_018087.3/HQ698922.4</t>
  </si>
  <si>
    <t>Helicobacter pylori F30</t>
  </si>
  <si>
    <t>Clostridium phage phiCPV4</t>
  </si>
  <si>
    <t>PRJNA169231</t>
  </si>
  <si>
    <t>Unknown:NC_018083.1/JQ729991.1</t>
  </si>
  <si>
    <t>Clostridium phage phiZP2</t>
  </si>
  <si>
    <t>PRJNA169232</t>
  </si>
  <si>
    <t>Unknown:NC_018084.1/JQ729992.1</t>
  </si>
  <si>
    <t>Bacillus phage BtCS33</t>
  </si>
  <si>
    <t>Helicobacter pylori F32</t>
  </si>
  <si>
    <t>PRJNA169233</t>
  </si>
  <si>
    <t>Unknown:NC_018085.1/JN191664.1</t>
  </si>
  <si>
    <t>French bean leaf curl betasatellite-Kanpur</t>
  </si>
  <si>
    <t>PRJNA169556</t>
  </si>
  <si>
    <t>Unknown:NC_018091.1/JQ866298.1</t>
  </si>
  <si>
    <t>Sweet potato virus G</t>
  </si>
  <si>
    <t>PRJNA169624</t>
  </si>
  <si>
    <t>Helicobacter pylori F57</t>
  </si>
  <si>
    <t>Unknown:NC_018093.1/JQ824374.1</t>
  </si>
  <si>
    <t>MW polyomavirus</t>
  </si>
  <si>
    <t>PRJNA170047</t>
  </si>
  <si>
    <t>Unknown:NC_018102.1/JQ898291.1</t>
  </si>
  <si>
    <t>Gooseberry vein banding associated virus</t>
  </si>
  <si>
    <t>PRJNA170172</t>
  </si>
  <si>
    <t>Unknown:NC_018105.1/JQ316114.1</t>
  </si>
  <si>
    <t>Citrus chlorotic dwarf associated virus</t>
  </si>
  <si>
    <t>Helicobacter pylori G27</t>
  </si>
  <si>
    <t>PRJNA170854</t>
  </si>
  <si>
    <t>Unknown:NC_018151.1/JQ920490.1</t>
  </si>
  <si>
    <t>Cucurbit chlorotic yellows virus</t>
  </si>
  <si>
    <t>PRJNA170929</t>
  </si>
  <si>
    <t>36.6823</t>
  </si>
  <si>
    <t>RNA 1:NC_018173.1/AB523788.1;  RNA 2:NC_018174.1/AB523789.1</t>
  </si>
  <si>
    <t>Potato virus H</t>
  </si>
  <si>
    <t>PRJNA171010</t>
  </si>
  <si>
    <t>Helicobacter pylori Gambia94/24</t>
  </si>
  <si>
    <t>Unknown:NC_018175.1/JQ904630.1</t>
  </si>
  <si>
    <t>Arracacha mottle virus</t>
  </si>
  <si>
    <t>PRJNA171011</t>
  </si>
  <si>
    <t>Unknown:NC_018176.1/DQ925486.2</t>
  </si>
  <si>
    <t>Enterobacteria phage phi92</t>
  </si>
  <si>
    <t>PRJEA62157</t>
  </si>
  <si>
    <t>Unknown:NC_023693.1/FR775895.2</t>
  </si>
  <si>
    <t>Helicobacter pylori Hp238</t>
  </si>
  <si>
    <t>Staphylococcus phage SpaA1</t>
  </si>
  <si>
    <t>PRJNA171956</t>
  </si>
  <si>
    <t>Unknown:NC_018277.1/HE614281.1</t>
  </si>
  <si>
    <t>Salmonella phage vB_SemP_Emek</t>
  </si>
  <si>
    <t>PRJNA171957</t>
  </si>
  <si>
    <t>Unknown:NC_018275.1/JQ806763.1</t>
  </si>
  <si>
    <t>Burkholderia phage KL1</t>
  </si>
  <si>
    <t>PRJNA171970</t>
  </si>
  <si>
    <t>Unknown:NC_018278.1/JF939047.1</t>
  </si>
  <si>
    <t>Burkholderia phage AH2</t>
  </si>
  <si>
    <t>PRJNA171971</t>
  </si>
  <si>
    <t>Helicobacter pylori HPAG1</t>
  </si>
  <si>
    <t>Unknown:NC_018283.1/JN564907.1</t>
  </si>
  <si>
    <t>Pseudomonas phage MP42</t>
  </si>
  <si>
    <t>PRJNA171972</t>
  </si>
  <si>
    <t>Unknown:NC_018274.1/JQ762257.1</t>
  </si>
  <si>
    <t>Weissella phage phiYS61</t>
  </si>
  <si>
    <t>PRJNA171973</t>
  </si>
  <si>
    <t>Unknown:NC_018270.1/JQ341413.1</t>
  </si>
  <si>
    <t>Helicobacter pylori HUP-B14</t>
  </si>
  <si>
    <t>Leuconostoc phage Lmd1</t>
  </si>
  <si>
    <t>PRJNA171974</t>
  </si>
  <si>
    <t>Unknown:NC_018273.1/JQ659259.1</t>
  </si>
  <si>
    <t>Nonlabens phage P12024S</t>
  </si>
  <si>
    <t>PRJNA171975</t>
  </si>
  <si>
    <t>Unknown:NC_018271.1/JQ823122.1</t>
  </si>
  <si>
    <t>Helicobacter pylori India7</t>
  </si>
  <si>
    <t>Nonlabens phage P12024L</t>
  </si>
  <si>
    <t>PRJNA171976</t>
  </si>
  <si>
    <t>Unknown:NC_018272.1/JQ823123.1</t>
  </si>
  <si>
    <t>Salmonella phage vB_SosS_Oslo</t>
  </si>
  <si>
    <t>PRJNA171977</t>
  </si>
  <si>
    <t>Unknown:NC_018279.1/JQ806764.1</t>
  </si>
  <si>
    <t>Helicobacter pylori J166</t>
  </si>
  <si>
    <t>Croceibacter phage P2559S</t>
  </si>
  <si>
    <t>PRJNA171978</t>
  </si>
  <si>
    <t>Unknown:NC_018276.1/JQ867099.1</t>
  </si>
  <si>
    <t>Marinomonas phage P12026</t>
  </si>
  <si>
    <t>PRJNA171979</t>
  </si>
  <si>
    <t>Unknown:NC_018269.1/JQ867100.1</t>
  </si>
  <si>
    <t>Celeribacter phage P12053L</t>
  </si>
  <si>
    <t>PRJNA171980</t>
  </si>
  <si>
    <t>Unknown:NC_018280.1/JQ809650.1</t>
  </si>
  <si>
    <t>Staphylococcus virus IPLA5</t>
  </si>
  <si>
    <t>PRJNA171981</t>
  </si>
  <si>
    <t>Unknown:NC_018281.1/JN192400.1</t>
  </si>
  <si>
    <t>Staphylococcus virus IPLA7</t>
  </si>
  <si>
    <t>PRJNA171982</t>
  </si>
  <si>
    <t>Helicobacter pylori J99</t>
  </si>
  <si>
    <t>Unknown:NC_018284.1/JN192401.1</t>
  </si>
  <si>
    <t>Pseudomonas phage MP1412</t>
  </si>
  <si>
    <t>PRJNA171983</t>
  </si>
  <si>
    <t>Unknown:NC_018282.1/JX131330.1</t>
  </si>
  <si>
    <t>Amazon lily mild mottle virus</t>
  </si>
  <si>
    <t>PRJNA172456</t>
  </si>
  <si>
    <t>44.0455</t>
  </si>
  <si>
    <t>RNA 1:NC_018402.1/AB724113.1;  RNA 2:NC_018403.1/AB724114.1;  RNA 3:NC_018404.1/AB724115.1</t>
  </si>
  <si>
    <t>Persimmon virus A</t>
  </si>
  <si>
    <t>PRJNA172457</t>
  </si>
  <si>
    <t>Unknown:NC_018381.2/AB735628.2</t>
  </si>
  <si>
    <t>Turkey gallivirus</t>
  </si>
  <si>
    <t>PRJNA172458</t>
  </si>
  <si>
    <t>Unknown:NC_018400.1/JQ691613.1</t>
  </si>
  <si>
    <t>Gyrovirus 4</t>
  </si>
  <si>
    <t>PRJNA172459</t>
  </si>
  <si>
    <t>Unknown:NC_018401.1/JX310702.1</t>
  </si>
  <si>
    <t>Sibine fusca densovirus</t>
  </si>
  <si>
    <t>PRJNA172461</t>
  </si>
  <si>
    <t>Unknown:NC_018399.1/JX020762.1</t>
  </si>
  <si>
    <t>Helicobacter pylori Lithuania75</t>
  </si>
  <si>
    <t>Grapevine Anatolian ringspot virus</t>
  </si>
  <si>
    <t>PRJNA172462</t>
  </si>
  <si>
    <t>47.9521</t>
  </si>
  <si>
    <t>RNA 1:NC_018383.1/HE774604.1;  RNA 2:NC_018384.1/AY291207.1</t>
  </si>
  <si>
    <t>Burkholderia virus DC1</t>
  </si>
  <si>
    <t>PRJNA173047</t>
  </si>
  <si>
    <t>Unknown:NC_018452.1/JN662425.1</t>
  </si>
  <si>
    <t>Sweet potato C6 virus</t>
  </si>
  <si>
    <t>PRJNA173048</t>
  </si>
  <si>
    <t>Unknown:NC_018448.1/JX212747.1</t>
  </si>
  <si>
    <t>Helicobacter pylori NY40</t>
  </si>
  <si>
    <t>Papilio polyxenes densovirus</t>
  </si>
  <si>
    <t>PRJNA173049</t>
  </si>
  <si>
    <t>Unknown:NC_018450.1/JX110122.1</t>
  </si>
  <si>
    <t>Papaya lethal yellowing virus</t>
  </si>
  <si>
    <t>PRJNA173050</t>
  </si>
  <si>
    <t>Helicobacter pylori OK113</t>
  </si>
  <si>
    <t>Unknown:NC_018449.1/JX123318.1</t>
  </si>
  <si>
    <t>Arabis mosaic virus small satellite RNA barley/CHE/1991</t>
  </si>
  <si>
    <t>PRJNA173051</t>
  </si>
  <si>
    <t>RNA3-VI:NC_018451.1/GQ369531.1</t>
  </si>
  <si>
    <t>Helicobacter pylori OK310</t>
  </si>
  <si>
    <t>Cronobacter phage phiES15</t>
  </si>
  <si>
    <t>PRJNA173212</t>
  </si>
  <si>
    <t>Unknown:NC_018454.1/JQ780327.1</t>
  </si>
  <si>
    <t>French bean severe leaf curl virus</t>
  </si>
  <si>
    <t>Helicobacter pylori oki102</t>
  </si>
  <si>
    <t>PRJNA173213</t>
  </si>
  <si>
    <t>Unknown:NC_018453.1/JX094280.1</t>
  </si>
  <si>
    <t>Soybean chlorotic spot virus</t>
  </si>
  <si>
    <t>PRJNA173351</t>
  </si>
  <si>
    <t>41.8197</t>
  </si>
  <si>
    <t>Helicobacter pylori oki112</t>
  </si>
  <si>
    <t>DNA A:NC_018457.1/JX122965.1;  DNA B:NC_018456.1/JX122966.1</t>
  </si>
  <si>
    <t>Grapevine virus F</t>
  </si>
  <si>
    <t>PRJNA173352</t>
  </si>
  <si>
    <t>Unknown:NC_018458.1/JX105428.1</t>
  </si>
  <si>
    <t>Helicobacter pylori oki128</t>
  </si>
  <si>
    <t>CAS virus</t>
  </si>
  <si>
    <t>PRJNA173353</t>
  </si>
  <si>
    <t>39.5264</t>
  </si>
  <si>
    <t>L:NC_018484.1/JQ717261.1;  S:NC_018481.1/JQ717262.1</t>
  </si>
  <si>
    <t>Golden Gate virus</t>
  </si>
  <si>
    <t>Helicobacter pylori oki154</t>
  </si>
  <si>
    <t>PRJNA173354</t>
  </si>
  <si>
    <t>41.1391</t>
  </si>
  <si>
    <t>L:NC_018482.1/JQ717263.1;  S:NC_018483.1/JQ717264.1</t>
  </si>
  <si>
    <t>Chinese yam necrotic mosaic virus</t>
  </si>
  <si>
    <t>PRJNA173355</t>
  </si>
  <si>
    <t>Unknown:NC_018455.1/AB710145.1</t>
  </si>
  <si>
    <t>Helicobacter pylori oki422</t>
  </si>
  <si>
    <t>Sathuperi orthobunyavirus</t>
  </si>
  <si>
    <t>PRJNA173356</t>
  </si>
  <si>
    <t>35.4595</t>
  </si>
  <si>
    <t>L:NC_018461.1/HE795102.1;  M:NC_018466.1/HE795103.1;  S:NC_018462.1/HE795104.1</t>
  </si>
  <si>
    <t>Aino virus</t>
  </si>
  <si>
    <t>PRJNA173357</t>
  </si>
  <si>
    <t>34.563</t>
  </si>
  <si>
    <t>L:NC_018465.1/HE795087.1;  M:NC_018459.1/HE795088.1;  S:NC_018460.1/HE795089.1</t>
  </si>
  <si>
    <t>Shamonda orthobunyavirus</t>
  </si>
  <si>
    <t>PRJNA173358</t>
  </si>
  <si>
    <t>Helicobacter pylori oki673</t>
  </si>
  <si>
    <t>36.0797</t>
  </si>
  <si>
    <t>L:NC_018463.1/HE795105.1;  M:NC_018467.1/HE795106.1;  S:NC_018464.1/HE795107.1</t>
  </si>
  <si>
    <t>Simbu orthobunyavirus</t>
  </si>
  <si>
    <t>PRJNA173359</t>
  </si>
  <si>
    <t>34.483</t>
  </si>
  <si>
    <t>L:NC_018476.1/HE795108.1;  M:NC_018478.1/HE795109.1;  S:NC_018477.1/HE795110.1</t>
  </si>
  <si>
    <t>Soybean Putnam virus</t>
  </si>
  <si>
    <t>PRJNA173861</t>
  </si>
  <si>
    <t>Unknown:NC_018505.1/JQ926983.1</t>
  </si>
  <si>
    <t>Bluegill picornavirus</t>
  </si>
  <si>
    <t>PRJNA173862</t>
  </si>
  <si>
    <t>Unknown:NC_018506.1/JX134222.1</t>
  </si>
  <si>
    <t>Helicobacter pylori oki828</t>
  </si>
  <si>
    <t>Apocheima cinerarium nucleopolyhedrovirus</t>
  </si>
  <si>
    <t>PRJNA173863</t>
  </si>
  <si>
    <t>Unknown:NC_018504.1/FJ914221.1</t>
  </si>
  <si>
    <t>Blueberry virus A</t>
  </si>
  <si>
    <t>PRJNA173920</t>
  </si>
  <si>
    <t>Unknown:NC_018519.1/AB733585.1</t>
  </si>
  <si>
    <t>Helicobacter pylori oki898</t>
  </si>
  <si>
    <t>Paspalum striate mosaic virus</t>
  </si>
  <si>
    <t>PRJNA174510</t>
  </si>
  <si>
    <t>Unknown:NC_018530.1/JF905486.1</t>
  </si>
  <si>
    <t>Macrobrachium rosenbergii Taihu virus</t>
  </si>
  <si>
    <t>PRJNA174773</t>
  </si>
  <si>
    <t>NC_018570.2/HQ113110.2</t>
  </si>
  <si>
    <t>Crocuta crocuta papillomavirus 1</t>
  </si>
  <si>
    <t>Helicobacter pylori P12</t>
  </si>
  <si>
    <t>PRJNA174774</t>
  </si>
  <si>
    <t>Unknown:NC_018575.1/HQ585856.1</t>
  </si>
  <si>
    <t>Sporobolus striate mosaic virus 1</t>
  </si>
  <si>
    <t>PRJNA174775</t>
  </si>
  <si>
    <t>Helicobacter pylori PeCan18</t>
  </si>
  <si>
    <t>Unknown:NC_018577.1/JQ948051.1</t>
  </si>
  <si>
    <t>Sporobolus striate mosaic virus 2</t>
  </si>
  <si>
    <t>PRJNA174776</t>
  </si>
  <si>
    <t>Unknown:NC_018578.1/JQ948052.1</t>
  </si>
  <si>
    <t>Paspalum dilatatum striate mosaic virus</t>
  </si>
  <si>
    <t>Helicobacter pylori PeCan4</t>
  </si>
  <si>
    <t>PRJNA174777</t>
  </si>
  <si>
    <t>Unknown:NC_018576.1/JQ948061.1</t>
  </si>
  <si>
    <t>Digitaria ciliaris striate mosaic virus</t>
  </si>
  <si>
    <t>PRJNA174778</t>
  </si>
  <si>
    <t>Unknown:NC_018579.1/JQ948088.1</t>
  </si>
  <si>
    <t>Caladenia virus A</t>
  </si>
  <si>
    <t>PRJNA174779</t>
  </si>
  <si>
    <t>Unknown:NC_018572.1/JX156425.1</t>
  </si>
  <si>
    <t>Helicobacter pylori Puno120</t>
  </si>
  <si>
    <t>Mesta yellow vein mosaic virus-associated alphasatellite</t>
  </si>
  <si>
    <t>PRJNA174780</t>
  </si>
  <si>
    <t>Unknown:NC_018573.1/JX183090.1</t>
  </si>
  <si>
    <t>Bhendi yellow vein mosaic virus-associated alphasatellite</t>
  </si>
  <si>
    <t>PRJNA174781</t>
  </si>
  <si>
    <t>Helicobacter pylori Puno135</t>
  </si>
  <si>
    <t>Unknown:NC_018574.1/JX183091.1</t>
  </si>
  <si>
    <t>Suakwa aphid-borne yellows virus</t>
  </si>
  <si>
    <t>PRJNA174782</t>
  </si>
  <si>
    <t>Unknown:NC_018571.2/JQ700308.2</t>
  </si>
  <si>
    <t>Tomato leaf curl Hajipur betasatellite</t>
  </si>
  <si>
    <t>Helicobacter pylori Rif1</t>
  </si>
  <si>
    <t>PRJNA175587</t>
  </si>
  <si>
    <t>Unknown:NC_018614.1/JX262390.1</t>
  </si>
  <si>
    <t>Eilat virus</t>
  </si>
  <si>
    <t>PRJNA175588</t>
  </si>
  <si>
    <t>Unknown:NC_018615.1/JX678730.1</t>
  </si>
  <si>
    <t>Dahlia mosaic virus</t>
  </si>
  <si>
    <t>PRJNA175589</t>
  </si>
  <si>
    <t>Helicobacter pylori Rif2</t>
  </si>
  <si>
    <t>Unknown:NC_018616.1/JX272320.1</t>
  </si>
  <si>
    <t>Rhizosolenia setigera RNA virus 01</t>
  </si>
  <si>
    <t>PRJNA175590</t>
  </si>
  <si>
    <t>Unknown:NC_018613.1/AB243297.1</t>
  </si>
  <si>
    <t>Ikoma lyssavirus</t>
  </si>
  <si>
    <t>PRJNA175665</t>
  </si>
  <si>
    <t>Helicobacter pylori Sat464</t>
  </si>
  <si>
    <t>Unknown:NC_018629.1/JX193798.1</t>
  </si>
  <si>
    <t>Cassava mosaic Madagascar alphasatellite</t>
  </si>
  <si>
    <t>PRJNA175666</t>
  </si>
  <si>
    <t>DNA-1:NC_018628.1/HE984148.1</t>
  </si>
  <si>
    <t>Helicobacter pylori Shi112</t>
  </si>
  <si>
    <t>Murine astrovirus</t>
  </si>
  <si>
    <t>PRJNA176429</t>
  </si>
  <si>
    <t>Unknown:NC_018702.1/JX544743.1</t>
  </si>
  <si>
    <t>Helicobacter pylori Shi169</t>
  </si>
  <si>
    <t>Sauropus leaf curl disease associated DNA beta</t>
  </si>
  <si>
    <t>PRJNA176433</t>
  </si>
  <si>
    <t>Unknown:NC_018671.1/JX393885.1</t>
  </si>
  <si>
    <t>Culex originated Tymoviridae-like virus</t>
  </si>
  <si>
    <t>Helicobacter pylori Shi417</t>
  </si>
  <si>
    <t>PRJNA176434</t>
  </si>
  <si>
    <t>Unknown:NC_018703.1/JQ429443.1</t>
  </si>
  <si>
    <t>Ntaya virus</t>
  </si>
  <si>
    <t>PRJNA176549</t>
  </si>
  <si>
    <t>Helicobacter pylori Shi470</t>
  </si>
  <si>
    <t>Unknown:NC_018705.3/JX236040.3</t>
  </si>
  <si>
    <t>Lunk virus NKS-1</t>
  </si>
  <si>
    <t>PRJNA176605</t>
  </si>
  <si>
    <t>43.0697</t>
  </si>
  <si>
    <t>segment L:NC_018711.1/AB693151.1;  segment S:NC_018710.1/AB693150.1</t>
  </si>
  <si>
    <t>Apple green crinkle associated virus</t>
  </si>
  <si>
    <t>PRJNA176615</t>
  </si>
  <si>
    <t>Unknown:NC_018714.1/HE963831.1</t>
  </si>
  <si>
    <t>Helicobacter pylori SJM180</t>
  </si>
  <si>
    <t>Dalechampia chlorotic mosaic virus</t>
  </si>
  <si>
    <t>PRJNA176616</t>
  </si>
  <si>
    <t>43.8038</t>
  </si>
  <si>
    <t>DNA A:NC_018716.1/JN848775.1;  DNA B:NC_018718.1/JN848776.1</t>
  </si>
  <si>
    <t>Datura leaf distortion virus</t>
  </si>
  <si>
    <t>PRJNA176617</t>
  </si>
  <si>
    <t>43.4632</t>
  </si>
  <si>
    <t>DNA A:NC_018717.1/JN848773.1;  DNA B:NC_018715.1/JN848774.1</t>
  </si>
  <si>
    <t>Helicobacter pylori SNT49</t>
  </si>
  <si>
    <t>Pestivirus strain Aydin/04-TR</t>
  </si>
  <si>
    <t>PRJNA176618</t>
  </si>
  <si>
    <t>Unknown:NC_018713.1/JX428945.1</t>
  </si>
  <si>
    <t>Bacillus phage BCP78</t>
  </si>
  <si>
    <t>PRJNA177518</t>
  </si>
  <si>
    <t>Unknown:NC_018860.1/JN797797.1</t>
  </si>
  <si>
    <t>Bacillus phage BPS13</t>
  </si>
  <si>
    <t>PRJNA177519</t>
  </si>
  <si>
    <t>Helicobacter pylori SouthAfrica20</t>
  </si>
  <si>
    <t>Unknown:NC_018857.1/JN654439.1</t>
  </si>
  <si>
    <t>Bacillus phage B4</t>
  </si>
  <si>
    <t>PRJNA177520</t>
  </si>
  <si>
    <t>Unknown:NC_018863.1/JN790865.1</t>
  </si>
  <si>
    <t>Salmonella phage SSU5</t>
  </si>
  <si>
    <t>PRJNA177521</t>
  </si>
  <si>
    <t>Unknown:NC_018843.1/JQ965645.1</t>
  </si>
  <si>
    <t>Helicobacter pylori SouthAfrica7</t>
  </si>
  <si>
    <t>Streptomyces phage phiHau3</t>
  </si>
  <si>
    <t>PRJNA177522</t>
  </si>
  <si>
    <t>67.8</t>
  </si>
  <si>
    <t>Unknown:NC_018836.1/JX182369.1</t>
  </si>
  <si>
    <t>Streptomyces phage SV1</t>
  </si>
  <si>
    <t>PRJNA177523</t>
  </si>
  <si>
    <t>72.7</t>
  </si>
  <si>
    <t>Unknown:NC_018848.1/JX182371.1</t>
  </si>
  <si>
    <t>Streptomyce phage TG1</t>
  </si>
  <si>
    <t>PRJNA177524</t>
  </si>
  <si>
    <t>Unknown:NC_018853.1/JX182372.1</t>
  </si>
  <si>
    <t>Helicobacter pylori strain 29CaP</t>
  </si>
  <si>
    <t>Pectobacterium phage My1</t>
  </si>
  <si>
    <t>PRJNA177525</t>
  </si>
  <si>
    <t>Unknown:NC_018837.1/JX195166.1</t>
  </si>
  <si>
    <t>Listeria phage P70</t>
  </si>
  <si>
    <t>PRJNA177526</t>
  </si>
  <si>
    <t>Unknown:NC_018831.1/JX442241.1</t>
  </si>
  <si>
    <t>Propionibacterium phage P9.1</t>
  </si>
  <si>
    <t>PRJNA177529</t>
  </si>
  <si>
    <t>Helicobacter pylori strain 7C</t>
  </si>
  <si>
    <t>Unknown:NC_018834.1/JX262215.1</t>
  </si>
  <si>
    <t>Propionibacterium phage P14.4</t>
  </si>
  <si>
    <t>PRJNA177530</t>
  </si>
  <si>
    <t>Unknown:NC_018839.1/JX262216.1</t>
  </si>
  <si>
    <t>Propionibacterium phage P101A</t>
  </si>
  <si>
    <t>PRJNA177531</t>
  </si>
  <si>
    <t>Unknown:NC_018841.1/JX262217.1</t>
  </si>
  <si>
    <t>Helicobacter pylori strain ausabrJ05</t>
  </si>
  <si>
    <t>Propionibacterium phage P104A</t>
  </si>
  <si>
    <t>PRJNA177532</t>
  </si>
  <si>
    <t>Unknown:NC_018845.1/JX262218.1</t>
  </si>
  <si>
    <t>Propionibacterium phage P105</t>
  </si>
  <si>
    <t>PRJNA177533</t>
  </si>
  <si>
    <t>Unknown:NC_018849.1/JX262219.1</t>
  </si>
  <si>
    <t>Propionibacterium phage P100D</t>
  </si>
  <si>
    <t>PRJNA177534</t>
  </si>
  <si>
    <t>Helicobacter pylori strain BM012B</t>
  </si>
  <si>
    <t>Unknown:NC_018852.1/JX262220.1</t>
  </si>
  <si>
    <t>Propionibacterium phage P100_A</t>
  </si>
  <si>
    <t>PRJNA177535</t>
  </si>
  <si>
    <t>Unknown:NC_018838.1/JX262221.1</t>
  </si>
  <si>
    <t>Propionibacterium phage P100_1</t>
  </si>
  <si>
    <t>PRJNA177536</t>
  </si>
  <si>
    <t>Unknown:NC_018840.1/JX262222.1</t>
  </si>
  <si>
    <t>Helicobacter pylori strain BM013A</t>
  </si>
  <si>
    <t>Propionibacterium phage P1.1</t>
  </si>
  <si>
    <t>PRJNA177537</t>
  </si>
  <si>
    <t>Unknown:NC_018842.1/JX262223.1</t>
  </si>
  <si>
    <t>Propionibacterium phage ATCC29399B_T</t>
  </si>
  <si>
    <t>PRJNA177538</t>
  </si>
  <si>
    <t>Unknown:NC_018847.1/JX262224.1</t>
  </si>
  <si>
    <t>Propionibacterium phage ATCC29399B_C</t>
  </si>
  <si>
    <t>Helicobacter pylori strain BM013B</t>
  </si>
  <si>
    <t>PRJNA177539</t>
  </si>
  <si>
    <t>Unknown:NC_018851.1/JX262225.1</t>
  </si>
  <si>
    <t>Providencia phage Redjac</t>
  </si>
  <si>
    <t>PRJNA177540</t>
  </si>
  <si>
    <t>Unknown:NC_018832.1/JX296113.1</t>
  </si>
  <si>
    <t>Escherichia phage NJ01</t>
  </si>
  <si>
    <t>PRJNA177541</t>
  </si>
  <si>
    <t>Unknown:NC_018835.1/JX867715.1</t>
  </si>
  <si>
    <t>Escherichia phage HX01</t>
  </si>
  <si>
    <t>PRJNA177542</t>
  </si>
  <si>
    <t>Helicobacter pylori strain CC33C</t>
  </si>
  <si>
    <t>Unknown:NC_018855.1/JX536493.1</t>
  </si>
  <si>
    <t>Escherichia phage P13374</t>
  </si>
  <si>
    <t>PRJNA177543</t>
  </si>
  <si>
    <t>Unknown:NC_018846.1/HE664024.1</t>
  </si>
  <si>
    <t>Iranian johnsongrass mosaic virus</t>
  </si>
  <si>
    <t>PRJNA177544</t>
  </si>
  <si>
    <t>Unknown:NC_018833.1/JQ692088.1</t>
  </si>
  <si>
    <t>Campylobacter phage CP30A</t>
  </si>
  <si>
    <t>Helicobacter pylori strain DU15</t>
  </si>
  <si>
    <t>PRJNA177545</t>
  </si>
  <si>
    <t>Unknown:NC_018861.1/JX569801.1</t>
  </si>
  <si>
    <t>Dragonfly-associated microphage 1</t>
  </si>
  <si>
    <t>PRJNA177547</t>
  </si>
  <si>
    <t>Unknown:NC_018862.1/JX185431.1</t>
  </si>
  <si>
    <t>Pseudomonas phage UFV-P2</t>
  </si>
  <si>
    <t>PRJNA177548</t>
  </si>
  <si>
    <t>Helicobacter pylori strain K26A1</t>
  </si>
  <si>
    <t>Unknown:NC_018850.2/JX863101.2</t>
  </si>
  <si>
    <t>Horseradish latent virus</t>
  </si>
  <si>
    <t>PRJNA177549</t>
  </si>
  <si>
    <t>Unknown:NC_018858.1/JX429923.1</t>
  </si>
  <si>
    <t>Bacillus phage Bastille</t>
  </si>
  <si>
    <t>PRJNA177550</t>
  </si>
  <si>
    <t>Helicobacter pylori strain L7</t>
  </si>
  <si>
    <t>Unknown:NC_018856.1/JF966203.1</t>
  </si>
  <si>
    <t>Tomato leaf curl Yemen betasatellite</t>
  </si>
  <si>
    <t>PRJNA177643</t>
  </si>
  <si>
    <t>Unknown:NC_018864.1/JF919717.1</t>
  </si>
  <si>
    <t>Mungbean yellow mosaic India virus associated betasatellite [India: Faizabad: Cow Pea:2012]</t>
  </si>
  <si>
    <t>PRJNA177773</t>
  </si>
  <si>
    <t>Helicobacter pylori strain ML1</t>
  </si>
  <si>
    <t>Unknown:NC_018869.1/JX443646.1</t>
  </si>
  <si>
    <t>Pokeweed mosaic virus</t>
  </si>
  <si>
    <t>PRJNA177901</t>
  </si>
  <si>
    <t>Unknown:NC_018872.2/JQ609095.1</t>
  </si>
  <si>
    <t>Rousettus bat coronavirus HKU10</t>
  </si>
  <si>
    <t>PRJNA177902</t>
  </si>
  <si>
    <t>Unknown:NC_018871.1/JQ989270.1</t>
  </si>
  <si>
    <t>Helicobacter pylori strain ML2</t>
  </si>
  <si>
    <t>Epinotia aporema granulovirus</t>
  </si>
  <si>
    <t>PRJNA177904</t>
  </si>
  <si>
    <t>Unknown:NC_018875.1/JN408834.1</t>
  </si>
  <si>
    <t>Abalone herpesvirus Victoria/AUS/2009</t>
  </si>
  <si>
    <t>PRJNA177933</t>
  </si>
  <si>
    <t>Unknown:NC_018874.1/JX453331.1</t>
  </si>
  <si>
    <t>Tobacco leaf chlorosis betasatellite</t>
  </si>
  <si>
    <t>PRJNA178075</t>
  </si>
  <si>
    <t>Helicobacter pylori strain ML3</t>
  </si>
  <si>
    <t>Unknown:NC_018935.1/JX025224.1</t>
  </si>
  <si>
    <t>Human papillomavirus</t>
  </si>
  <si>
    <t>PRJNA293723</t>
  </si>
  <si>
    <t>Unknown:NC_027779.1/KP692117.1</t>
  </si>
  <si>
    <t>Peristrophe mosaic virus</t>
  </si>
  <si>
    <t>PRJNA178459</t>
  </si>
  <si>
    <t>DNA-B:NC_019024.1/HE806447.1</t>
  </si>
  <si>
    <t>Helicobacter pylori strain PNG84A</t>
  </si>
  <si>
    <t>Rubus canadensis virus 1</t>
  </si>
  <si>
    <t>PRJNA178460</t>
  </si>
  <si>
    <t>Unknown:NC_019025.1/JX277553.1</t>
  </si>
  <si>
    <t>Astrovirus VA4</t>
  </si>
  <si>
    <t>PRJNA178562</t>
  </si>
  <si>
    <t>Unknown:NC_019027.1/JX857869.1</t>
  </si>
  <si>
    <t>Astrovirus MLB3</t>
  </si>
  <si>
    <t>PRJNA178563</t>
  </si>
  <si>
    <t>Unknown:NC_019028.1/JX857870.1</t>
  </si>
  <si>
    <t>Astrovirus VA3</t>
  </si>
  <si>
    <t>Helicobacter pylori UM032</t>
  </si>
  <si>
    <t>PRJNA178564</t>
  </si>
  <si>
    <t>Unknown:NC_019026.1/JX857868.1</t>
  </si>
  <si>
    <t>Rose yellow mosaic virus</t>
  </si>
  <si>
    <t>PRJNA178589</t>
  </si>
  <si>
    <t>Unknown:NC_019031.1/JF280796.2</t>
  </si>
  <si>
    <t>Diuris virus A</t>
  </si>
  <si>
    <t>PRJNA178591</t>
  </si>
  <si>
    <t>Helicobacter pylori UM037</t>
  </si>
  <si>
    <t>Unknown:NC_019029.1/JX173276.1</t>
  </si>
  <si>
    <t>Diuris virus B</t>
  </si>
  <si>
    <t>PRJNA178592</t>
  </si>
  <si>
    <t>Unknown:NC_019030.1/JX173277.1</t>
  </si>
  <si>
    <t>Jatropha mosaic Nigeria virus</t>
  </si>
  <si>
    <t>PRJNA178634</t>
  </si>
  <si>
    <t>Unknown:NC_019034.1/JX025358.1</t>
  </si>
  <si>
    <t>Blechum interveinal chlorosis virus</t>
  </si>
  <si>
    <t>PRJNA178635</t>
  </si>
  <si>
    <t>38.0529</t>
  </si>
  <si>
    <t>DNA A:NC_019035.1/JX827487.1;  DNA B:NC_019036.1/JX827488.1</t>
  </si>
  <si>
    <t>Salmonella virus SPN19</t>
  </si>
  <si>
    <t>PRJNA179408</t>
  </si>
  <si>
    <t>Unknown:NC_019417.1/JN871591.1</t>
  </si>
  <si>
    <t>Helicobacter pylori UM066</t>
  </si>
  <si>
    <t>Cronobacter phage vB_CsaM_GAP31</t>
  </si>
  <si>
    <t>PRJNA179409</t>
  </si>
  <si>
    <t>Unknown:NC_019400.1/JN882284.1</t>
  </si>
  <si>
    <t>Cronobacter phage vB_CsaM_GAP32</t>
  </si>
  <si>
    <t>PRJNA179410</t>
  </si>
  <si>
    <t>Unknown:NC_019401.1/JN882285.1</t>
  </si>
  <si>
    <t>Cronobacter phage vB_CsaP_GAP52</t>
  </si>
  <si>
    <t>PRJNA179411</t>
  </si>
  <si>
    <t>Helicobacter pylori UM298</t>
  </si>
  <si>
    <t>Unknown:NC_019402.1/JN882286.1</t>
  </si>
  <si>
    <t>Cronobacter phage vB_CsaM_GAP161</t>
  </si>
  <si>
    <t>PRJNA179412</t>
  </si>
  <si>
    <t>Unknown:NC_019398.1/JN882287.1</t>
  </si>
  <si>
    <t>Enterobacteria phage vB_EcoP_ACG-C91</t>
  </si>
  <si>
    <t>PRJNA179413</t>
  </si>
  <si>
    <t>Unknown:NC_019403.1/JN986844.1</t>
  </si>
  <si>
    <t>Helicobacter pylori UM299</t>
  </si>
  <si>
    <t>Escherichia phage vB_Eco_ACG-M12</t>
  </si>
  <si>
    <t>PRJNA179414</t>
  </si>
  <si>
    <t>Unknown:NC_019404.1/JN986845.1</t>
  </si>
  <si>
    <t>Escherichia phage vB_EcoM_ACG-C40</t>
  </si>
  <si>
    <t>PRJNA179415</t>
  </si>
  <si>
    <t>Unknown:NC_019399.1/JN986846.1</t>
  </si>
  <si>
    <t>Clostridium phage phiMMP02</t>
  </si>
  <si>
    <t>Helicobacter pylori v225d</t>
  </si>
  <si>
    <t>PRJNA179416</t>
  </si>
  <si>
    <t>Unknown:NC_019421.1/JX145341.1</t>
  </si>
  <si>
    <t>Clostridium phage phiMMP04</t>
  </si>
  <si>
    <t>PRJNA179417</t>
  </si>
  <si>
    <t>Helicobacter pylori XZ274</t>
  </si>
  <si>
    <t>Unknown:NC_019422.1/JX145342.1</t>
  </si>
  <si>
    <t>Caulobacter virus phiCbK</t>
  </si>
  <si>
    <t>PRJNA222858</t>
  </si>
  <si>
    <t>Unknown:NC_019405.1/JX100813.1</t>
  </si>
  <si>
    <t>Helicobacter typhlonius</t>
  </si>
  <si>
    <t>Caulobacter phage CcrColossus</t>
  </si>
  <si>
    <t>Unknown:NC_019406.1/JX100810.1</t>
  </si>
  <si>
    <t>Caulobacter virus Karma</t>
  </si>
  <si>
    <t>Unknown:NC_019410.1/JX100811.1</t>
  </si>
  <si>
    <t>Caulobacter virus Magneto</t>
  </si>
  <si>
    <t>Heliobacterium modesticaldum Ice1</t>
  </si>
  <si>
    <t>66.1</t>
  </si>
  <si>
    <t>Unknown:NC_019407.1/JX100812.1</t>
  </si>
  <si>
    <t>Caulobacter virus Rogue</t>
  </si>
  <si>
    <t>Unknown:NC_019408.1/JX100814.1</t>
  </si>
  <si>
    <t>Herbaspirillum hiltneri N3</t>
  </si>
  <si>
    <t>Caulobacter virus Swift</t>
  </si>
  <si>
    <t>Unknown:NC_019411.1/JX100809.1</t>
  </si>
  <si>
    <t>Streptococcus phage phiNJ2</t>
  </si>
  <si>
    <t>PRJNA179424</t>
  </si>
  <si>
    <t>Herbaspirillum rubrisubalbicans M1</t>
  </si>
  <si>
    <t>Unknown:NC_019418.1/JX879087.1</t>
  </si>
  <si>
    <t>Escherichia phage IME11</t>
  </si>
  <si>
    <t>PRJNA179425</t>
  </si>
  <si>
    <t>Unknown:NC_019423.1/JX880034.1</t>
  </si>
  <si>
    <t>Herbaspirillum seropedicae SmR1</t>
  </si>
  <si>
    <t>Escherichia virus JL1</t>
  </si>
  <si>
    <t>PRJNA179426</t>
  </si>
  <si>
    <t>Unknown:NC_019419.2/JX865427.2</t>
  </si>
  <si>
    <t>Herbaspirillum seropedicae strain Z67</t>
  </si>
  <si>
    <t>Blue squill virus A</t>
  </si>
  <si>
    <t>PRJNA179427</t>
  </si>
  <si>
    <t>Unknown:NC_019415.1/JQ807999.1</t>
  </si>
  <si>
    <t>Ornithogalum mosaic virus</t>
  </si>
  <si>
    <t>PRJNA179428</t>
  </si>
  <si>
    <t>Unknown:NC_019409.1/JQ807997.1</t>
  </si>
  <si>
    <t>Stenotrophomonas phage IME15</t>
  </si>
  <si>
    <t>PRJNA179429</t>
  </si>
  <si>
    <t>Unknown:NC_019416.1/JX872508.1</t>
  </si>
  <si>
    <t>Edwardsiella phage KF-1</t>
  </si>
  <si>
    <t>PRJNA179430</t>
  </si>
  <si>
    <t>Herminiimonas arsenicoxydans</t>
  </si>
  <si>
    <t>Unknown:NC_019420.1/AB757800.1</t>
  </si>
  <si>
    <t>Sulfolobales Mexican rudivirus 1</t>
  </si>
  <si>
    <t>PRJNA179431</t>
  </si>
  <si>
    <t>Unknown:NC_019413.1/JX944686.1</t>
  </si>
  <si>
    <t>Yam mild mosaic virus</t>
  </si>
  <si>
    <t>PRJNA179432</t>
  </si>
  <si>
    <t>Unknown:NC_019412.1/JX470965.1</t>
  </si>
  <si>
    <t>Streptomyces phage R4</t>
  </si>
  <si>
    <t>PRJNA179407</t>
  </si>
  <si>
    <t>Unknown:NC_019414.1/JX182370.1</t>
  </si>
  <si>
    <t>Acinetobacter phage IME-AB2</t>
  </si>
  <si>
    <t>JX976549.1</t>
  </si>
  <si>
    <t>Herpetosiphon aurantiacus DSM 785</t>
  </si>
  <si>
    <t>Yersinia phage phiR1-RT</t>
  </si>
  <si>
    <t>PRJEB130</t>
  </si>
  <si>
    <t>Unknown:NC_019909.1/HE956709.1</t>
  </si>
  <si>
    <t>Yersinia phage phiR201</t>
  </si>
  <si>
    <t>PRJEB129</t>
  </si>
  <si>
    <t>Unknown:NC_019919.2/HE956708.2</t>
  </si>
  <si>
    <t>Yersinia phage phiD1</t>
  </si>
  <si>
    <t>PRJEB131</t>
  </si>
  <si>
    <t>Unknown:NC_027353.1/HE956711.1</t>
  </si>
  <si>
    <t>Hippea maritima DSM 10411</t>
  </si>
  <si>
    <t>Yersinia phage phi80-18</t>
  </si>
  <si>
    <t>PRJEB135</t>
  </si>
  <si>
    <t>Unknown:NC_019911.1/HE956710.1</t>
  </si>
  <si>
    <t>Pseudomonas phage vB_PaeM_C2-10_Ab1</t>
  </si>
  <si>
    <t>PRJEB435</t>
  </si>
  <si>
    <t>Unknown:NC_019918.1/HE983845.1</t>
  </si>
  <si>
    <t>Hirschia baltica ATCC 49814</t>
  </si>
  <si>
    <t>Vibrio phage CP-T1</t>
  </si>
  <si>
    <t>PRJNA181062</t>
  </si>
  <si>
    <t>Unknown:NC_019457.1/JQ177061.1</t>
  </si>
  <si>
    <t>Synechococcus phage metaG-MbCM1</t>
  </si>
  <si>
    <t>PRJNA181073</t>
  </si>
  <si>
    <t>Hoeflea sp. IMCC20628</t>
  </si>
  <si>
    <t>Unknown:NC_019443.1/JN371769.1</t>
  </si>
  <si>
    <t>Escherichia phage TL-2011b</t>
  </si>
  <si>
    <t>PRJNA181074</t>
  </si>
  <si>
    <t>Unknown:NC_019445.1/JQ011317.1</t>
  </si>
  <si>
    <t>Hydrogenobacter thermophilus TK-6</t>
  </si>
  <si>
    <t>Escherichia phage TL-2011c</t>
  </si>
  <si>
    <t>PRJNA181075</t>
  </si>
  <si>
    <t>Unknown:NC_019442.1/JQ011318.1</t>
  </si>
  <si>
    <t>Lactobacillus phage JCL1032</t>
  </si>
  <si>
    <t>Hydrogenobacter thermophilus TK-6 (Prj:41547)</t>
  </si>
  <si>
    <t>PRJNA181076</t>
  </si>
  <si>
    <t>Unknown:NC_019456.1/EU409559.1</t>
  </si>
  <si>
    <t>Lactobacillus virus c5</t>
  </si>
  <si>
    <t>PRJNA181077</t>
  </si>
  <si>
    <t>Hydrogenobaculum sp. 3684</t>
  </si>
  <si>
    <t>Unknown:NC_019449.1/EU340421.2</t>
  </si>
  <si>
    <t>Caulobacter phage phiCb5</t>
  </si>
  <si>
    <t>PRJNA181078</t>
  </si>
  <si>
    <t>Unknown:NC_019453.1/HM066936.1</t>
  </si>
  <si>
    <t>Hydrogenobaculum sp. HO</t>
  </si>
  <si>
    <t>Pantoea phage LIMElight</t>
  </si>
  <si>
    <t>PRJNA181079</t>
  </si>
  <si>
    <t>Unknown:NC_019454.1/FR687252.1</t>
  </si>
  <si>
    <t>Hydrogenobaculum sp. SHO</t>
  </si>
  <si>
    <t>Escherichia phage PhaxI</t>
  </si>
  <si>
    <t>PRJNA181080</t>
  </si>
  <si>
    <t>Unknown:NC_019452.1/JN673056.1</t>
  </si>
  <si>
    <t>Riemerella phage RAP44</t>
  </si>
  <si>
    <t>PRJNA181081</t>
  </si>
  <si>
    <t>Hydrogenobaculum sp. SN</t>
  </si>
  <si>
    <t>Unknown:NC_019490.1/HQ396194.1</t>
  </si>
  <si>
    <t>Bacillus phage SP-10</t>
  </si>
  <si>
    <t>PRJNA181082</t>
  </si>
  <si>
    <t>Hydrogenobaculum sp. Y04AAS1</t>
  </si>
  <si>
    <t>Unknown:NC_019487.1/AB605730.1</t>
  </si>
  <si>
    <t>Lactobacillus phage LF1</t>
  </si>
  <si>
    <t>PRJNA181083</t>
  </si>
  <si>
    <t>Unknown:NC_019486.1/HQ141410.1</t>
  </si>
  <si>
    <t>Hymenobacter sp. APR13</t>
  </si>
  <si>
    <t>Lactobacillus phage Sha1</t>
  </si>
  <si>
    <t>PRJNA181084</t>
  </si>
  <si>
    <t>Unknown:NC_019489.1/HQ141411.1</t>
  </si>
  <si>
    <t>Hymenobacter sp. DG25A</t>
  </si>
  <si>
    <t>Brucella phage Pr</t>
  </si>
  <si>
    <t>PRJNA181064</t>
  </si>
  <si>
    <t>Unknown:NC_019447.1/JN939332.1</t>
  </si>
  <si>
    <t>Pseudomonas phage NH-4</t>
  </si>
  <si>
    <t>PRJNA181065</t>
  </si>
  <si>
    <t>Hymenobacter sp. DG25B</t>
  </si>
  <si>
    <t>Unknown:NC_019451.1/JN254800.1</t>
  </si>
  <si>
    <t>Haemophilus phage SuMu</t>
  </si>
  <si>
    <t>PRJNA181066</t>
  </si>
  <si>
    <t>Hymenobacter sp. DG5B</t>
  </si>
  <si>
    <t>Unknown:NC_019455.1/JF832915.1</t>
  </si>
  <si>
    <t>Pseudomonas phage JG024</t>
  </si>
  <si>
    <t>PRJNA181067</t>
  </si>
  <si>
    <t>Unknown:NC_017674.1/GU815091.1</t>
  </si>
  <si>
    <t>Pseudomonas phage JG004</t>
  </si>
  <si>
    <t>PRJNA181068</t>
  </si>
  <si>
    <t>Unknown:NC_019450.1/GU988610.2</t>
  </si>
  <si>
    <t>Hymenobacter sp. DY53</t>
  </si>
  <si>
    <t>Staphylococcus phage GH15</t>
  </si>
  <si>
    <t>PRJNA181069</t>
  </si>
  <si>
    <t>Unknown:NC_019448.1/JQ686190.1</t>
  </si>
  <si>
    <t>Salmonella phage RE-2010</t>
  </si>
  <si>
    <t>PRJNA181070</t>
  </si>
  <si>
    <t>Unknown:NC_019488.1/HM770079.1</t>
  </si>
  <si>
    <t>Hymenobacter sp. PAMC26628</t>
  </si>
  <si>
    <t>Enterobacter phage EcP1</t>
  </si>
  <si>
    <t>PRJNA181071</t>
  </si>
  <si>
    <t>Unknown:NC_019485.1/HQ641380.1</t>
  </si>
  <si>
    <t>Synechococcus phage ACG-2014c</t>
  </si>
  <si>
    <t>PRJNA181072</t>
  </si>
  <si>
    <t>Unknown:NC_019444.1/JN371768.1</t>
  </si>
  <si>
    <t>Brucella phage Tb</t>
  </si>
  <si>
    <t>Hyperthermus butylicus DSM 5456</t>
  </si>
  <si>
    <t>PRJNA181063</t>
  </si>
  <si>
    <t>Unknown:NC_019446.1/JN939331.1</t>
  </si>
  <si>
    <t>Clostridium phage phiCP13O</t>
  </si>
  <si>
    <t>PRJNA181210</t>
  </si>
  <si>
    <t>Unknown:NC_019506.1/JF767208.1</t>
  </si>
  <si>
    <t>Clostridium phage phiCP34O</t>
  </si>
  <si>
    <t>Hyphomicrobium denitrificans ATCC 51888</t>
  </si>
  <si>
    <t>PRJNA181211</t>
  </si>
  <si>
    <t>Unknown:NC_019508.1/JF767209.1</t>
  </si>
  <si>
    <t>Enterobacteria phage Bp7</t>
  </si>
  <si>
    <t>PRJNA181212</t>
  </si>
  <si>
    <t>Unknown:NC_019500.1/HQ829472.1</t>
  </si>
  <si>
    <t>Hyphomicrobium nitrativorans NL23</t>
  </si>
  <si>
    <t>Bacillus phage phIS3501</t>
  </si>
  <si>
    <t>PRJNA181213</t>
  </si>
  <si>
    <t>Unknown:NC_019502.1/JQ062992.1</t>
  </si>
  <si>
    <t>Aeromonas phage vB_AsaM-56</t>
  </si>
  <si>
    <t>PRJNA181214</t>
  </si>
  <si>
    <t>Unknown:NC_019527.1/JQ177063.1</t>
  </si>
  <si>
    <t>Hyphomicrobium sp. MC1</t>
  </si>
  <si>
    <t>Bdellovibrio phage phi1422</t>
  </si>
  <si>
    <t>PRJNA181215</t>
  </si>
  <si>
    <t>Unknown:NC_019525.1/JQ177062.1</t>
  </si>
  <si>
    <t>Pectobacterium phage ZF40</t>
  </si>
  <si>
    <t>PRJNA181216</t>
  </si>
  <si>
    <t>Unknown:NC_019522.1/JQ177065.1</t>
  </si>
  <si>
    <t>Vibrio phage vB_VchM-138</t>
  </si>
  <si>
    <t>Hyphomonadaceae bacterium UKL13-1</t>
  </si>
  <si>
    <t>PRJNA181217</t>
  </si>
  <si>
    <t>Unknown:NC_019518.1/JQ177064.1</t>
  </si>
  <si>
    <t>Clostridium phage phi24R</t>
  </si>
  <si>
    <t>PRJNA181218</t>
  </si>
  <si>
    <t>Unknown:NC_019523.1/JN800508.1</t>
  </si>
  <si>
    <t>Escherichia phage FV3</t>
  </si>
  <si>
    <t>PRJNA181219</t>
  </si>
  <si>
    <t>Hyphomonas neptunium ATCC 15444</t>
  </si>
  <si>
    <t>Unknown:NC_019517.1/JQ031132.1</t>
  </si>
  <si>
    <t>Bacillus phage BCD7</t>
  </si>
  <si>
    <t>PRJNA181220</t>
  </si>
  <si>
    <t>Unknown:NC_019515.1/JN712910.1</t>
  </si>
  <si>
    <t>Aeromonas phage phiAS7</t>
  </si>
  <si>
    <t>PRJNA181221</t>
  </si>
  <si>
    <t>Idiomarina loihiensis GSL 199</t>
  </si>
  <si>
    <t>Unknown:NC_019528.1/JN651747.1</t>
  </si>
  <si>
    <t>Escherichia phage phiKT</t>
  </si>
  <si>
    <t>PRJNA181222</t>
  </si>
  <si>
    <t>Unknown:NC_019520.1/JN882298.1</t>
  </si>
  <si>
    <t>Enterobacteria phage vB_KleM-RaK2</t>
  </si>
  <si>
    <t>PRJNA181223</t>
  </si>
  <si>
    <t>Idiomarina loihiensis L2TR</t>
  </si>
  <si>
    <t>Unknown:NC_019526.1/JQ513383.1</t>
  </si>
  <si>
    <t>Vibrio phage pVp-1</t>
  </si>
  <si>
    <t>PRJNA181224</t>
  </si>
  <si>
    <t>Unknown:NC_019529.1/JQ340389.1</t>
  </si>
  <si>
    <t>Sphingomonas phage PAU</t>
  </si>
  <si>
    <t>PRJNA181225</t>
  </si>
  <si>
    <t>Idiomarinaceae bacterium HL-53</t>
  </si>
  <si>
    <t>Unknown:NC_019521.1/JQ362498.1</t>
  </si>
  <si>
    <t>Agrobacterium phage 7-7-1</t>
  </si>
  <si>
    <t>PRJNA181226</t>
  </si>
  <si>
    <t>Ignavibacterium album JCM 16511</t>
  </si>
  <si>
    <t>Unknown:NC_019519.1/JQ312117.1</t>
  </si>
  <si>
    <t>Cyprinid herpesvirus 1</t>
  </si>
  <si>
    <t>PRJNA181227</t>
  </si>
  <si>
    <t>Unknown:NC_019491.1/JQ815363.1</t>
  </si>
  <si>
    <t>Ignicoccus hospitalis KIN4/I</t>
  </si>
  <si>
    <t>Cyprinid herpesvirus 2</t>
  </si>
  <si>
    <t>PRJNA181228</t>
  </si>
  <si>
    <t>Unknown:NC_019495.1/JQ815364.1</t>
  </si>
  <si>
    <t>Erwinia phage vB_EamP-L1</t>
  </si>
  <si>
    <t>PRJNA181229</t>
  </si>
  <si>
    <t>Unknown:NC_019510.1/HQ728265.1</t>
  </si>
  <si>
    <t>Erwinia phage vB_EamP-S6</t>
  </si>
  <si>
    <t>PRJNA181230</t>
  </si>
  <si>
    <t>Unknown:NC_019514.1/HQ728266.1</t>
  </si>
  <si>
    <t>Erwinia phage vB_EamM-Y2</t>
  </si>
  <si>
    <t>PRJNA181231</t>
  </si>
  <si>
    <t>Unknown:NC_019504.1/HQ728264.1</t>
  </si>
  <si>
    <t>Escherichia phage wV7</t>
  </si>
  <si>
    <t>PRJNA181232</t>
  </si>
  <si>
    <t>Unknown:NC_019505.1/HM997020.1</t>
  </si>
  <si>
    <t>Escherichia phage ime09</t>
  </si>
  <si>
    <t>PRJNA181233</t>
  </si>
  <si>
    <t>Unknown:NC_019503.1/JN202312.1</t>
  </si>
  <si>
    <t>Cronobacter virus ESP29491</t>
  </si>
  <si>
    <t>PRJNA181234</t>
  </si>
  <si>
    <t>Unknown:NC_019509.1/JF912400.1</t>
  </si>
  <si>
    <t>Enterobacteria phage IME10</t>
  </si>
  <si>
    <t>PRJNA181235</t>
  </si>
  <si>
    <t>Unknown:NC_019501.1/JF974339.1</t>
  </si>
  <si>
    <t>Salmonella phage Sh19</t>
  </si>
  <si>
    <t>PRJNA181236</t>
  </si>
  <si>
    <t>Unknown:NC_019530.1/JN126049.1</t>
  </si>
  <si>
    <t>Cyanophage S-TIM5</t>
  </si>
  <si>
    <t>PRJNA181237</t>
  </si>
  <si>
    <t>Ignicoccus islandicus DSM 13165</t>
  </si>
  <si>
    <t>Unknown:NC_019516.1/JQ245707.1</t>
  </si>
  <si>
    <t>Enterobacter phage Enc34</t>
  </si>
  <si>
    <t>PRJNA181238</t>
  </si>
  <si>
    <t>Unknown:NC_019524.1/JQ340774.1</t>
  </si>
  <si>
    <t>Helicobacter phage 1961P</t>
  </si>
  <si>
    <t>PRJNA181239</t>
  </si>
  <si>
    <t>Unknown:NC_019512.1/JQ617284.1</t>
  </si>
  <si>
    <t>Staphylococcus phage SMSAP5</t>
  </si>
  <si>
    <t>PRJNA181240</t>
  </si>
  <si>
    <t>Unknown:NC_019513.1/JQ779023.1</t>
  </si>
  <si>
    <t>Campylobacter virus CP21</t>
  </si>
  <si>
    <t>PRJNA181241</t>
  </si>
  <si>
    <t>Unknown:NC_019507.1/HE815464.1</t>
  </si>
  <si>
    <t>Staphylococcus virus SA11</t>
  </si>
  <si>
    <t>PRJNA181242</t>
  </si>
  <si>
    <t>Unknown:NC_019511.1/JX194239.1</t>
  </si>
  <si>
    <t>Dragonfly-associated mastrevirus</t>
  </si>
  <si>
    <t>PRJNA181243</t>
  </si>
  <si>
    <t>Unknown:NC_019497.1/JX458741.1</t>
  </si>
  <si>
    <t>Dragonfly-associated alphasatellite</t>
  </si>
  <si>
    <t>PRJNA181244</t>
  </si>
  <si>
    <t>Ignisphaera aggregans DSM 17230</t>
  </si>
  <si>
    <t>Unknown:NC_019498.1/JX458742.1</t>
  </si>
  <si>
    <t>Grapevine endophyte alphaendornavirus</t>
  </si>
  <si>
    <t>PRJNA181245</t>
  </si>
  <si>
    <t>Unknown:NC_019493.1/JX678977.1</t>
  </si>
  <si>
    <t>Sunflower leaf curl Karnataka alphasatellite</t>
  </si>
  <si>
    <t>PRJNA181246</t>
  </si>
  <si>
    <t>Unknown:NC_019499.1/JX569789.1</t>
  </si>
  <si>
    <t>Porcine astrovirus 3</t>
  </si>
  <si>
    <t>PRJNA181247</t>
  </si>
  <si>
    <t>Unknown:NC_019494.1/JX556691.1</t>
  </si>
  <si>
    <t>Tomato yellow leaf curl China betasatellite</t>
  </si>
  <si>
    <t>PRJNA181248</t>
  </si>
  <si>
    <t>Ilumatobacter coccineum YM16-304</t>
  </si>
  <si>
    <t>Unknown:NC_019532.1/JX679253.1</t>
  </si>
  <si>
    <t>Pseudoplusia includens densovirus</t>
  </si>
  <si>
    <t>PRJNA181249</t>
  </si>
  <si>
    <t>Unknown:NC_019492.1/JX645046.1</t>
  </si>
  <si>
    <t>Avian avulavirus 4</t>
  </si>
  <si>
    <t>PRJNA181250</t>
  </si>
  <si>
    <t>Unknown:NC_019531.1/JX987283.1</t>
  </si>
  <si>
    <t>Clostridium phage phiCP26F</t>
  </si>
  <si>
    <t>PRJNA181251</t>
  </si>
  <si>
    <t>Ilyobacter polytropus DSM 2926</t>
  </si>
  <si>
    <t>Unknown:NC_019496.1/GQ443085.1</t>
  </si>
  <si>
    <t>Salmonella phage SPN3UB</t>
  </si>
  <si>
    <t>PRJNA181984</t>
  </si>
  <si>
    <t>Unknown:NC_019545.1/JQ288021.1</t>
  </si>
  <si>
    <t>Ralstonia phage RSS0</t>
  </si>
  <si>
    <t>PRJNA181985</t>
  </si>
  <si>
    <t>Unknown:NC_019548.1/JQ408219.1</t>
  </si>
  <si>
    <t>Intestinimonas butyriciproducens strain af211</t>
  </si>
  <si>
    <t>Aeromonas phage Aes508</t>
  </si>
  <si>
    <t>PRJNA181986</t>
  </si>
  <si>
    <t>Unknown:NC_019543.1/JN377894.1</t>
  </si>
  <si>
    <t>Aeromonas phage CC2</t>
  </si>
  <si>
    <t>PRJNA181987</t>
  </si>
  <si>
    <t>Unknown:NC_019538.1/JX123262.1</t>
  </si>
  <si>
    <t>Pectobacterium phage PP1</t>
  </si>
  <si>
    <t>PRJNA181988</t>
  </si>
  <si>
    <t>Unknown:NC_019542.1/JQ837901.1</t>
  </si>
  <si>
    <t>Intrasporangium calvum DSM 43043</t>
  </si>
  <si>
    <t>Acinetobacter phage Bphi-B1251</t>
  </si>
  <si>
    <t>PRJNA181989</t>
  </si>
  <si>
    <t>Unknown:NC_019541.1/JX403940.1</t>
  </si>
  <si>
    <t>Liberibacter phage SC1</t>
  </si>
  <si>
    <t>PRJNA181990</t>
  </si>
  <si>
    <t>Unknown:NC_019549.1/HQ377372.1</t>
  </si>
  <si>
    <t>Liberibacter phage SC2</t>
  </si>
  <si>
    <t>PRJNA181991</t>
  </si>
  <si>
    <t>Isoptericola dokdonensis DS-3</t>
  </si>
  <si>
    <t>Unknown:NC_019550.1/HQ377373.1</t>
  </si>
  <si>
    <t>Salinivibrio phage CW02</t>
  </si>
  <si>
    <t>PRJNA181992</t>
  </si>
  <si>
    <t>Unknown:NC_019540.1/JQ446452.1</t>
  </si>
  <si>
    <t>Salmonella phage Ent1</t>
  </si>
  <si>
    <t>PRJNA181993</t>
  </si>
  <si>
    <t>Unknown:NC_019539.1/HE775250.1</t>
  </si>
  <si>
    <t>Isoptericola variabilis 225</t>
  </si>
  <si>
    <t>Ageratum enation alphasatellite</t>
  </si>
  <si>
    <t>PRJNA181994</t>
  </si>
  <si>
    <t>Unknown:NC_019547.1/JX913532.1</t>
  </si>
  <si>
    <t>Deep-sea thermophilic phage D6E</t>
  </si>
  <si>
    <t>PRJNA181996</t>
  </si>
  <si>
    <t>Unknown:NC_019544.1/GU568037.1</t>
  </si>
  <si>
    <t>Murid betaherpesvirus 8</t>
  </si>
  <si>
    <t>PRJNA182227</t>
  </si>
  <si>
    <t>Unknown:NC_019559.1/JX867617.1</t>
  </si>
  <si>
    <t>Isosphaera pallida ATCC 43644</t>
  </si>
  <si>
    <t>Pseudomonas phage vB_PaeP_p2-10_Or1</t>
  </si>
  <si>
    <t>PRJEB546</t>
  </si>
  <si>
    <t>Unknown:NC_019813.1/HF543949.1</t>
  </si>
  <si>
    <t>Bean chlorosis virus</t>
  </si>
  <si>
    <t>PRJNA182753</t>
  </si>
  <si>
    <t>46.1026</t>
  </si>
  <si>
    <t>DNA A:NC_019569.1/JN848770.1;  DNA B:NC_019568.1/JN848771.1</t>
  </si>
  <si>
    <t>Escherichia phage HK578</t>
  </si>
  <si>
    <t>PRJNA183138</t>
  </si>
  <si>
    <t>Unknown:NC_019724.1/JQ086375.1</t>
  </si>
  <si>
    <t>Jannaschia sp. CCS1</t>
  </si>
  <si>
    <t>Enterobacteria phage HK140</t>
  </si>
  <si>
    <t>PRJNA183139</t>
  </si>
  <si>
    <t>Unknown:NC_019710.1/JQ086370.1</t>
  </si>
  <si>
    <t>Enterobacteria phage HK225</t>
  </si>
  <si>
    <t>PRJNA183140</t>
  </si>
  <si>
    <t>Unknown:NC_019717.1/JQ086371.1</t>
  </si>
  <si>
    <t>Janthinobacterium agaricidamnosum NBRC 102515 = DSM 9628</t>
  </si>
  <si>
    <t>Enterobacteria phage HK446</t>
  </si>
  <si>
    <t>PRJNA183141</t>
  </si>
  <si>
    <t>Unknown:NC_019714.1/JQ086372.1</t>
  </si>
  <si>
    <t>Enterobacteria phage HK630</t>
  </si>
  <si>
    <t>PRJNA183142</t>
  </si>
  <si>
    <t>Unknown:NC_019723.1/JQ086376.1</t>
  </si>
  <si>
    <t>Enterobacteria phage HK633</t>
  </si>
  <si>
    <t>PRJNA183143</t>
  </si>
  <si>
    <t>Unknown:NC_019719.1/JQ086377.1</t>
  </si>
  <si>
    <t>Enterobacteria phage HK629</t>
  </si>
  <si>
    <t>PRJNA183144</t>
  </si>
  <si>
    <t>Janthinobacterium sp. Marseille</t>
  </si>
  <si>
    <t>Unknown:NC_019711.1/JQ182735.1</t>
  </si>
  <si>
    <t>Enterobacteria phage mEp043 c-1</t>
  </si>
  <si>
    <t>PRJNA183145</t>
  </si>
  <si>
    <t>Unknown:NC_019706.1/JQ182734.1</t>
  </si>
  <si>
    <t>Enterobacteria phage mEp235</t>
  </si>
  <si>
    <t>Jeotgalibacillus sp. D5</t>
  </si>
  <si>
    <t>PRJNA183146</t>
  </si>
  <si>
    <t>Unknown:NC_019708.1/JQ182731.1</t>
  </si>
  <si>
    <t>Enterobacteria phage mEp237</t>
  </si>
  <si>
    <t>PRJNA183147</t>
  </si>
  <si>
    <t>Unknown:NC_019704.1/JQ182730.1</t>
  </si>
  <si>
    <t>Enterobacteria phage mEp460</t>
  </si>
  <si>
    <t>PRJNA183148</t>
  </si>
  <si>
    <t>Unknown:NC_019716.1/JQ182728.1</t>
  </si>
  <si>
    <t>Jeotgalicoccus sp. 13MG44_air</t>
  </si>
  <si>
    <t>Enterobacteria phage mEpX1</t>
  </si>
  <si>
    <t>PRJNA183149</t>
  </si>
  <si>
    <t>Unknown:NC_019709.1/JQ182727.1</t>
  </si>
  <si>
    <t>Enterobacteria phage mEpX2</t>
  </si>
  <si>
    <t>PRJNA183150</t>
  </si>
  <si>
    <t>Unknown:NC_019705.1/JQ182726.1</t>
  </si>
  <si>
    <t>Enterobacteria phage vB_EcoS_Rogue1</t>
  </si>
  <si>
    <t>PRJNA183151</t>
  </si>
  <si>
    <t>Jonesia denitrificans DSM 20603</t>
  </si>
  <si>
    <t>Unknown:NC_019718.1/JQ182736.1</t>
  </si>
  <si>
    <t>Enterobacterial phage mEp213</t>
  </si>
  <si>
    <t>PRJNA183152</t>
  </si>
  <si>
    <t>Unknown:NC_019720.1/JQ182733.1</t>
  </si>
  <si>
    <t>Enterobacterial phage mEp234</t>
  </si>
  <si>
    <t>PRJNA183153</t>
  </si>
  <si>
    <t>Unknown:NC_019715.1/JQ182732.1</t>
  </si>
  <si>
    <t>Kangiella geojedonensis strain YCS-5</t>
  </si>
  <si>
    <t>Enterobacterial phage mEp390</t>
  </si>
  <si>
    <t>PRJNA183154</t>
  </si>
  <si>
    <t>Unknown:NC_019721.1/JQ182729.1</t>
  </si>
  <si>
    <t>Escherichia phage ADB-2</t>
  </si>
  <si>
    <t>PRJNA183155</t>
  </si>
  <si>
    <t>Unknown:NC_019725.1/JX912252.1</t>
  </si>
  <si>
    <t>Vibrio phage vB_VpaM_MAR</t>
  </si>
  <si>
    <t>Kangiella koreensis DSM 16069</t>
  </si>
  <si>
    <t>PRJNA183156</t>
  </si>
  <si>
    <t>Unknown:NC_019722.1/JX556417.1</t>
  </si>
  <si>
    <t>Vibrio phage vB_VpaS_MAR10</t>
  </si>
  <si>
    <t>PRJNA183157</t>
  </si>
  <si>
    <t>Unknown:NC_019713.1/JX556418.1</t>
  </si>
  <si>
    <t>Enterobacteria phage HK106</t>
  </si>
  <si>
    <t>PRJNA183158</t>
  </si>
  <si>
    <t>Unknown:NC_019768.1/JQ086369.1</t>
  </si>
  <si>
    <t>Enterobacteria phage HK542</t>
  </si>
  <si>
    <t>Ketogulonicigenium vulgare strain Hbe602</t>
  </si>
  <si>
    <t>PRJNA183159</t>
  </si>
  <si>
    <t>Unknown:NC_019769.1/JQ086373.1</t>
  </si>
  <si>
    <t>Enterobacteria phage HK544</t>
  </si>
  <si>
    <t>PRJNA183160</t>
  </si>
  <si>
    <t>Unknown:NC_019767.1/JQ086374.1</t>
  </si>
  <si>
    <t>Enterobacteria phage M</t>
  </si>
  <si>
    <t>PRJNA183161</t>
  </si>
  <si>
    <t>Unknown:NC_019707.1/JX625144.1</t>
  </si>
  <si>
    <t>Staphylococcus phage JD007</t>
  </si>
  <si>
    <t>PRJNA183162</t>
  </si>
  <si>
    <t>Unknown:NC_019726.1/JX878671.1</t>
  </si>
  <si>
    <t>Ketogulonicigenium vulgare WSH-001</t>
  </si>
  <si>
    <t>Mink calicivirus</t>
  </si>
  <si>
    <t>PRJNA183163</t>
  </si>
  <si>
    <t>Unknown:NC_019712.1/JX847605.1</t>
  </si>
  <si>
    <t>Human betaherpesvirus 6B</t>
  </si>
  <si>
    <t>PRJNA14422</t>
  </si>
  <si>
    <t>Unknown:NC_000898.1/AF157706.1</t>
  </si>
  <si>
    <t>Ketogulonicigenium vulgare Y25</t>
  </si>
  <si>
    <t>Human betaherpesvirus 6A</t>
  </si>
  <si>
    <t>PRJNA14462</t>
  </si>
  <si>
    <t>Unknown:NC_001664.2/X83413.1</t>
  </si>
  <si>
    <t>Klebsiella phage KP36</t>
  </si>
  <si>
    <t>PRJNA310887</t>
  </si>
  <si>
    <t>Unknown:NC_029099.1/JF501022.1</t>
  </si>
  <si>
    <t>Ateles paniscus polyomavirus 1</t>
  </si>
  <si>
    <t>PRJNA183902</t>
  </si>
  <si>
    <t>Kibdelosporangium phytohabitans strain KLBMP1111</t>
  </si>
  <si>
    <t>Unknown:NC_019853.1/JX159987.1</t>
  </si>
  <si>
    <t>Cebus albifrons polyomavirus 1</t>
  </si>
  <si>
    <t>PRJNA183903</t>
  </si>
  <si>
    <t>Unknown:NC_019854.2/JX159988.2</t>
  </si>
  <si>
    <t>Macaca fascicularis polyomavirus 1</t>
  </si>
  <si>
    <t>PRJNA183904</t>
  </si>
  <si>
    <t>Unknown:NC_019851.1/JX159986.1</t>
  </si>
  <si>
    <t>Kineococcus radiotolerans SRS30216</t>
  </si>
  <si>
    <t>Pan troglodytes schweinfurthii polyomavirus 2</t>
  </si>
  <si>
    <t>PRJNA183905</t>
  </si>
  <si>
    <t>Unknown:NC_019858.1/JX159983.1</t>
  </si>
  <si>
    <t>Pan troglodytes verus polyomavirus 3</t>
  </si>
  <si>
    <t>PRJNA183906</t>
  </si>
  <si>
    <t>Unknown:NC_019855.1/JX159980.1</t>
  </si>
  <si>
    <t>Pan troglodytes verus polyomavirus 4</t>
  </si>
  <si>
    <t>PRJNA183907</t>
  </si>
  <si>
    <t>Unknown:NC_019856.1/JX159981.1</t>
  </si>
  <si>
    <t>Pan troglodytes verus polyomavirus 5</t>
  </si>
  <si>
    <t>PRJNA183908</t>
  </si>
  <si>
    <t>Unknown:NC_019857.1/JX159982.1</t>
  </si>
  <si>
    <t>Piliocolobus rufomitratus polyomavirus 1</t>
  </si>
  <si>
    <t>PRJNA183909</t>
  </si>
  <si>
    <t>Unknown:NC_019850.1/JX159984.1</t>
  </si>
  <si>
    <t>Kingella kingae KK171</t>
  </si>
  <si>
    <t>Canine papillomavirus 14</t>
  </si>
  <si>
    <t>PRJNA183910</t>
  </si>
  <si>
    <t>Unknown:NC_019852.1/JQ701802.1</t>
  </si>
  <si>
    <t>Human betacoronavirus 2c EMC/2012</t>
  </si>
  <si>
    <t>PRJNA183710</t>
  </si>
  <si>
    <t>Unknown:NC_019843.3/JX869059.2</t>
  </si>
  <si>
    <t>Clostridium phage phi8074-B1</t>
  </si>
  <si>
    <t>PRJNA184148</t>
  </si>
  <si>
    <t>Unknown:NC_019924.1/JQ246028.1</t>
  </si>
  <si>
    <t>Kingella kingae KK3</t>
  </si>
  <si>
    <t>Burkholderia virus Bcepmigl</t>
  </si>
  <si>
    <t>PRJNA184149</t>
  </si>
  <si>
    <t>Unknown:NC_019917.1/JX104231.1</t>
  </si>
  <si>
    <t>Lactobacillus virus ATCC8014</t>
  </si>
  <si>
    <t>PRJNA184150</t>
  </si>
  <si>
    <t>Unknown:NC_019916.1/JX486087.1</t>
  </si>
  <si>
    <t>Kingella kingae strain KWG1</t>
  </si>
  <si>
    <t>Pseudomonas phage AF</t>
  </si>
  <si>
    <t>PRJNA184151</t>
  </si>
  <si>
    <t>Unknown:NC_019923.1/JX676771.1</t>
  </si>
  <si>
    <t>Bacillus virus BMBtp2</t>
  </si>
  <si>
    <t>PRJNA184152</t>
  </si>
  <si>
    <t>Unknown:NC_019912.1/JX887877.1</t>
  </si>
  <si>
    <t>Pseudomonas phage PaP1</t>
  </si>
  <si>
    <t>Kitasatospora setae KM-6054</t>
  </si>
  <si>
    <t>PRJNA184153</t>
  </si>
  <si>
    <t>Unknown:NC_019913.1/HQ832595.1</t>
  </si>
  <si>
    <t>Erwinia phage phiEa100</t>
  </si>
  <si>
    <t>PRJNA184154</t>
  </si>
  <si>
    <t>Unknown:NC_019926.1/FQ482086.1</t>
  </si>
  <si>
    <t>Erwinia phage phiEaH2</t>
  </si>
  <si>
    <t>PRJNA184155</t>
  </si>
  <si>
    <t>Unknown:NC_019929.1/JX316028.1</t>
  </si>
  <si>
    <t>Klebsiella michiganensis strain RC10</t>
  </si>
  <si>
    <t>Staphylococcus phage StB20</t>
  </si>
  <si>
    <t>PRJNA184156</t>
  </si>
  <si>
    <t>Unknown:NC_019915.1/JN700521.1</t>
  </si>
  <si>
    <t>Staphylococcus phage StB27</t>
  </si>
  <si>
    <t>PRJNA184157</t>
  </si>
  <si>
    <t>Unknown:NC_019914.1/JN700519.1</t>
  </si>
  <si>
    <t>Xanthomonas virus CP1</t>
  </si>
  <si>
    <t>PRJNA184158</t>
  </si>
  <si>
    <t>Klebsiella oxytoca E718</t>
  </si>
  <si>
    <t>Unknown:NC_019933.2/AB720063.2</t>
  </si>
  <si>
    <t>Helicobacter phage KHP40</t>
  </si>
  <si>
    <t>PRJNA184159</t>
  </si>
  <si>
    <t>Unknown:NC_019931.1/AB731695.1</t>
  </si>
  <si>
    <t>Salmonella phage SKML-39</t>
  </si>
  <si>
    <t>PRJNA184160</t>
  </si>
  <si>
    <t>Unknown:NC_019910.1/JX181829.1</t>
  </si>
  <si>
    <t>Klebsiella oxytoca HKOPL1</t>
  </si>
  <si>
    <t>Enterobacteria phage Hgal1</t>
  </si>
  <si>
    <t>PRJNA184161</t>
  </si>
  <si>
    <t>Unknown:NC_019922.1/JX045650.1</t>
  </si>
  <si>
    <t>Enterobacteria phage C-1 INW-2012</t>
  </si>
  <si>
    <t>PRJNA184162</t>
  </si>
  <si>
    <t>Unknown:NC_019920.1/JX045649.1</t>
  </si>
  <si>
    <t>Helicobacter phage KHP30</t>
  </si>
  <si>
    <t>PRJNA184163</t>
  </si>
  <si>
    <t>Klebsiella oxytoca KCTC 1686</t>
  </si>
  <si>
    <t>Unknown:NC_019928.1/AB647160.1</t>
  </si>
  <si>
    <t>Pseudomonas phage KPP12</t>
  </si>
  <si>
    <t>PRJNA184164</t>
  </si>
  <si>
    <t>Unknown:NC_019935.1/AB560486.1</t>
  </si>
  <si>
    <t>Staphylococcus phage phi5967PVL</t>
  </si>
  <si>
    <t>PRJNA184165</t>
  </si>
  <si>
    <t>Unknown:NC_019921.1/AP011955.1</t>
  </si>
  <si>
    <t>Erwinia phage ENT90</t>
  </si>
  <si>
    <t>PRJNA184166</t>
  </si>
  <si>
    <t>Klebsiella oxytoca KONIH1</t>
  </si>
  <si>
    <t>Unknown:NC_019932.1/HQ110084.1</t>
  </si>
  <si>
    <t>Tetrasphaera phage TJE1</t>
  </si>
  <si>
    <t>PRJNA184167</t>
  </si>
  <si>
    <t>Unknown:NC_019930.1/HQ225832.1</t>
  </si>
  <si>
    <t>Cronobacter phage ENT39118</t>
  </si>
  <si>
    <t>PRJNA184168</t>
  </si>
  <si>
    <t>Klebsiella oxytoca strain CAV1099</t>
  </si>
  <si>
    <t>Unknown:NC_019934.1/HQ201307.1</t>
  </si>
  <si>
    <t>Cronobacter phage ENT47670</t>
  </si>
  <si>
    <t>PRJNA184169</t>
  </si>
  <si>
    <t>Unknown:NC_019927.1/HQ201308.1</t>
  </si>
  <si>
    <t>Thysanoplusia orichalcea nucleopolyhedrovirus</t>
  </si>
  <si>
    <t>PRJNA184813</t>
  </si>
  <si>
    <t>Unknown:NC_019945.1/JX467702.1</t>
  </si>
  <si>
    <t>Klebsiella oxytoca strain CAV1335</t>
  </si>
  <si>
    <t>Okra enation leaf curl alphasatellite</t>
  </si>
  <si>
    <t>PRJNA184814</t>
  </si>
  <si>
    <t>Unknown:NC_019944.1/HF546575.1</t>
  </si>
  <si>
    <t>Tomato yellow mottle virus</t>
  </si>
  <si>
    <t>PRJNA184815</t>
  </si>
  <si>
    <t>41.0111</t>
  </si>
  <si>
    <t>DNA A:NC_019946.1/KC176780.1;  DNA B:NC_019947.1/KC176781.1</t>
  </si>
  <si>
    <t>Miniopterus polyomavirus</t>
  </si>
  <si>
    <t>PRJNA185189</t>
  </si>
  <si>
    <t>Unknown:NC_020069.1/JX520661.1</t>
  </si>
  <si>
    <t>Klebsiella oxytoca strain CAV1374</t>
  </si>
  <si>
    <t>Pteronotus polyomavirus</t>
  </si>
  <si>
    <t>PRJNA185190</t>
  </si>
  <si>
    <t>Unknown:NC_020070.1/JX520662.1</t>
  </si>
  <si>
    <t>Chaerephon polyomavirus 1</t>
  </si>
  <si>
    <t>PRJNA185191</t>
  </si>
  <si>
    <t>Unknown:NC_020065.1/JX520657.1</t>
  </si>
  <si>
    <t>Bovine adenovirus 6</t>
  </si>
  <si>
    <t>PRJNA185272</t>
  </si>
  <si>
    <t>Klebsiella oxytoca strain JKo3</t>
  </si>
  <si>
    <t>Unknown:NC_020074.1/JQ345700.1</t>
  </si>
  <si>
    <t>Moroccan pepper virus</t>
  </si>
  <si>
    <t>PRJNA185273</t>
  </si>
  <si>
    <t>Unknown:NC_020073.2/JX197071.1</t>
  </si>
  <si>
    <t>Colombian datura virus</t>
  </si>
  <si>
    <t>PRJNA185274</t>
  </si>
  <si>
    <t>Unknown:NC_020072.1/JQ801448.1</t>
  </si>
  <si>
    <t>Klebsiella oxytoca strain M1</t>
  </si>
  <si>
    <t>Sulfolobus virus STSV2</t>
  </si>
  <si>
    <t>PRJNA185313</t>
  </si>
  <si>
    <t>Unknown:NC_020077.1/JQ287645.1</t>
  </si>
  <si>
    <t>Klebsiella phage KP27</t>
  </si>
  <si>
    <t>PRJNA185314</t>
  </si>
  <si>
    <t>Unknown:NC_020080.1/HQ918180.1</t>
  </si>
  <si>
    <t>Escherichia phage phAPEC8</t>
  </si>
  <si>
    <t>PRJNA185315</t>
  </si>
  <si>
    <t>Klebsiella pneumoniae 30660/NJST258_1</t>
  </si>
  <si>
    <t>Unknown:NC_020079.1/JX561091.1</t>
  </si>
  <si>
    <t>Cronobacter phage vB_CskP_GAP227</t>
  </si>
  <si>
    <t>PRJNA185316</t>
  </si>
  <si>
    <t>Unknown:NC_020078.1/KC107834.1</t>
  </si>
  <si>
    <t>Dickeya virus Limestone</t>
  </si>
  <si>
    <t>PRJNA185317</t>
  </si>
  <si>
    <t>Unknown:NC_019925.1/HE600015.1</t>
  </si>
  <si>
    <t>Klebsiella pneumoniae 30684/NJST258_2</t>
  </si>
  <si>
    <t>Bacillus phage phiAGATE</t>
  </si>
  <si>
    <t>PRJNA185318</t>
  </si>
  <si>
    <t>Unknown:NC_020081.2/JX238501.3</t>
  </si>
  <si>
    <t>Equus ferus caballus papillomavirus type 4</t>
  </si>
  <si>
    <t>PRJNA185426</t>
  </si>
  <si>
    <t>Unknown:NC_020085.1/JQ031032.1</t>
  </si>
  <si>
    <t>Equus ferus caballus papillomavirus type 5</t>
  </si>
  <si>
    <t>PRJNA185427</t>
  </si>
  <si>
    <t>Klebsiella pneumoniae 342</t>
  </si>
  <si>
    <t>Unknown:NC_020084.1/JQ031033.1</t>
  </si>
  <si>
    <t>Edwardsiella phage MSW-3</t>
  </si>
  <si>
    <t>PRJNA185428</t>
  </si>
  <si>
    <t>Unknown:NC_020082.1/AB767244.1</t>
  </si>
  <si>
    <t>Serratia phage phiMAM1</t>
  </si>
  <si>
    <t>PRJNA185777</t>
  </si>
  <si>
    <t>Unknown:NC_020083.1/JX878496.1</t>
  </si>
  <si>
    <t>Klebsiella pneumoniae ATCC 43816</t>
  </si>
  <si>
    <t>Okra leaf curl Oman virus</t>
  </si>
  <si>
    <t>PRJNA307870</t>
  </si>
  <si>
    <t>Unknown:NC_028985.1/HE862273.1</t>
  </si>
  <si>
    <t>Brugmansia mosaic virus</t>
  </si>
  <si>
    <t>PRJNA186429</t>
  </si>
  <si>
    <t>Unknown:NC_020105.1/JX867236.1</t>
  </si>
  <si>
    <t>Acanthamoeba polyphaga moumouvirus</t>
  </si>
  <si>
    <t>PRJNA186430</t>
  </si>
  <si>
    <t>Unknown:NC_020104.1/JX962719.1</t>
  </si>
  <si>
    <t>Klebsiella pneumoniae ATCC BAA-2146</t>
  </si>
  <si>
    <t>Aspergillus foetidus dsRNA mycovirus</t>
  </si>
  <si>
    <t>PRJNA186431</t>
  </si>
  <si>
    <t>55.2804</t>
  </si>
  <si>
    <t>RNA 1:NC_020103.1/HE588144.1;  RNA 2:NC_020100.1/HE588145.1;  RNA 3:NC_020101.1/HE588146.1;  RNA 4:NC_020102.1/HE647818.1</t>
  </si>
  <si>
    <t>Acartia tonsa copepod circovirus</t>
  </si>
  <si>
    <t>PRJNA186432</t>
  </si>
  <si>
    <t>Unknown:NC_020099.1/JQ837277.2</t>
  </si>
  <si>
    <t>Labidocera aestiva circovirus</t>
  </si>
  <si>
    <t>PRJNA186433</t>
  </si>
  <si>
    <t>Klebsiella pneumoniae CG43</t>
  </si>
  <si>
    <t>Unknown:NC_017843.2/JF912805.2</t>
  </si>
  <si>
    <t>STL polyomavirus</t>
  </si>
  <si>
    <t>PRJNA186434</t>
  </si>
  <si>
    <t>Unknown:NC_020106.1/JX463183.1</t>
  </si>
  <si>
    <t>Halovirus HSTV-2</t>
  </si>
  <si>
    <t>PRJNA186951</t>
  </si>
  <si>
    <t>Unknown:NC_020159.1/KC117376.1</t>
  </si>
  <si>
    <t>Halovirus HVTV-1</t>
  </si>
  <si>
    <t>Klebsiella pneumoniae HK787</t>
  </si>
  <si>
    <t>PRJNA186952</t>
  </si>
  <si>
    <t>Unknown:NC_020158.1/KC117377.1</t>
  </si>
  <si>
    <t>Dahlia latent viroid</t>
  </si>
  <si>
    <t>PRJNA186953</t>
  </si>
  <si>
    <t>unclassified Pospiviroidae</t>
  </si>
  <si>
    <t>Unknown:NC_020160.1/JX263426.1</t>
  </si>
  <si>
    <t>Streptococcus phage TP-J34</t>
  </si>
  <si>
    <t>PRJNA188154</t>
  </si>
  <si>
    <t>Klebsiella pneumoniae JM45</t>
  </si>
  <si>
    <t>Unknown:NC_020197.1/HE861935.1</t>
  </si>
  <si>
    <t>Pectobacterium phage phiTE</t>
  </si>
  <si>
    <t>PRJNA188533</t>
  </si>
  <si>
    <t>Unknown:NC_020201.1/JQ015307.1</t>
  </si>
  <si>
    <t>Pseudomonas phage JBD24</t>
  </si>
  <si>
    <t>PRJNA188535</t>
  </si>
  <si>
    <t>Klebsiella pneumoniae KCTC 2242</t>
  </si>
  <si>
    <t>Unknown:NC_020203.1/JX434031.1</t>
  </si>
  <si>
    <t>Pseudomonas phage JBD30</t>
  </si>
  <si>
    <t>PRJNA188536</t>
  </si>
  <si>
    <t>Unknown:NC_020198.1/JX434032.1</t>
  </si>
  <si>
    <t>Xanthomonas citri phage CP2</t>
  </si>
  <si>
    <t>PRJNA188546</t>
  </si>
  <si>
    <t>Unknown:NC_020205.1/AB720064.1</t>
  </si>
  <si>
    <t>Pseudomonas phage JBD5</t>
  </si>
  <si>
    <t>PRJNA188543</t>
  </si>
  <si>
    <t>Klebsiella pneumoniae strain 32192</t>
  </si>
  <si>
    <t>Unknown:NC_020202.1/JX434030.1</t>
  </si>
  <si>
    <t>Pseudomonas phage JBD88a</t>
  </si>
  <si>
    <t>PRJNA188544</t>
  </si>
  <si>
    <t>64.1</t>
  </si>
  <si>
    <t>Unknown:NC_020200.1/JX434033.1</t>
  </si>
  <si>
    <t>Staphylococcus phage phi7401PVL</t>
  </si>
  <si>
    <t>PRJNA188545</t>
  </si>
  <si>
    <t>Unknown:NC_020199.1/AP012341.1</t>
  </si>
  <si>
    <t>Klebsiella phage JD001</t>
  </si>
  <si>
    <t>PRJNA188547</t>
  </si>
  <si>
    <t>Klebsiella pneumoniae strain 34618</t>
  </si>
  <si>
    <t>Unknown:NC_020204.1/JX866719.1</t>
  </si>
  <si>
    <t>Rosellinia necatrix partitivirus 2</t>
  </si>
  <si>
    <t>PRJNA188731</t>
  </si>
  <si>
    <t>45.9629</t>
  </si>
  <si>
    <t>RNA 1:NC_020234.1/AB569997.1;  RNA 2:NC_020235.1/AB569998.1</t>
  </si>
  <si>
    <t>Pepper yellow leaf curl China virus</t>
  </si>
  <si>
    <t>PRJNA188776</t>
  </si>
  <si>
    <t>Unknown:NC_020236.1/KC149938.1</t>
  </si>
  <si>
    <t>Klebsiella pneumoniae strain AATZP</t>
  </si>
  <si>
    <t>Gentian Kobu-sho-associated virus</t>
  </si>
  <si>
    <t>PRJNA189210</t>
  </si>
  <si>
    <t>Unknown:NC_020252.1/AB698917.1</t>
  </si>
  <si>
    <t>Tomato rugose yellow leaf curl virus</t>
  </si>
  <si>
    <t>PRJNA189211</t>
  </si>
  <si>
    <t>44.4144</t>
  </si>
  <si>
    <t>DNA A:NC_020257.1/JN381819.1;  DNA B:NC_020258.1/JN381820.1</t>
  </si>
  <si>
    <t>Sida yellow net virus</t>
  </si>
  <si>
    <t>PRJNA189215</t>
  </si>
  <si>
    <t>DNA-A:NC_020253.1/JX871376.1</t>
  </si>
  <si>
    <t>Sida yellow blotch virus</t>
  </si>
  <si>
    <t>PRJNA189216</t>
  </si>
  <si>
    <t>Klebsiella pneumoniae strain blaNDM-1</t>
  </si>
  <si>
    <t>DNA-A:NC_020254.1/JX871380.1</t>
  </si>
  <si>
    <t>Sida yellow mosaic Alagoas virus</t>
  </si>
  <si>
    <t>PRJNA189217</t>
  </si>
  <si>
    <t>DNA-A:NC_020255.1/JX871383.1</t>
  </si>
  <si>
    <t>Sida mottle Alagoas virus</t>
  </si>
  <si>
    <t>PRJNA189218</t>
  </si>
  <si>
    <t>DNA-A:NC_020256.1/JX871385.1</t>
  </si>
  <si>
    <t>Enterobacteria phage UAB_Phi78</t>
  </si>
  <si>
    <t>Klebsiella pneumoniae strain BR</t>
  </si>
  <si>
    <t>PRJNA191121</t>
  </si>
  <si>
    <t>Unknown:NC_020414.1/GU595417.1</t>
  </si>
  <si>
    <t>Salmonella phage vB_SenMS16</t>
  </si>
  <si>
    <t>PRJNA191122</t>
  </si>
  <si>
    <t>Unknown:NC_020416.1/HQ331142.1</t>
  </si>
  <si>
    <t>Rosa rugosa leaf distortion virus</t>
  </si>
  <si>
    <t>PRJNA191123</t>
  </si>
  <si>
    <t>Unknown:NC_020415.1/KC166238.1</t>
  </si>
  <si>
    <t>Andean potato mild mosaic virus</t>
  </si>
  <si>
    <t>Klebsiella pneumoniae strain CAV1193</t>
  </si>
  <si>
    <t>PRJNA192605</t>
  </si>
  <si>
    <t>Unknown:NC_020471.1/JX508290.1</t>
  </si>
  <si>
    <t>Gastropod associated circular ssDNA virus</t>
  </si>
  <si>
    <t>PRJNA192606</t>
  </si>
  <si>
    <t>Unknown:NC_020472.1/KC172652.1</t>
  </si>
  <si>
    <t>Corchorus yellow vein mosaic virus</t>
  </si>
  <si>
    <t>PRJNA192607</t>
  </si>
  <si>
    <t>Klebsiella pneumoniae strain CAV1344</t>
  </si>
  <si>
    <t>Unknown:NC_020473.1/KC223600.1</t>
  </si>
  <si>
    <t>Corchorus yellow vein mosaic betasatellite</t>
  </si>
  <si>
    <t>PRJNA192608</t>
  </si>
  <si>
    <t>Unknown:NC_020475.1/KC196078.1</t>
  </si>
  <si>
    <t>Elephantid betaherpesvirus 1</t>
  </si>
  <si>
    <t>PRJNA192609</t>
  </si>
  <si>
    <t>Unknown:NC_020474.2/KC462165.1</t>
  </si>
  <si>
    <t>Klebsiella pneumoniae strain CAV1392</t>
  </si>
  <si>
    <t>Furcraea necrotic streak virus</t>
  </si>
  <si>
    <t>PRJNA192610</t>
  </si>
  <si>
    <t>Unknown:NC_020469.1/FJ768020.1</t>
  </si>
  <si>
    <t>Andean potato latent virus</t>
  </si>
  <si>
    <t>PRJNA192611</t>
  </si>
  <si>
    <t>Unknown:NC_020470.1/JX508291.1</t>
  </si>
  <si>
    <t>Melaka orthoreovirus</t>
  </si>
  <si>
    <t>PRJNA191884</t>
  </si>
  <si>
    <t>Klebsiella pneumoniae strain CAV1596</t>
  </si>
  <si>
    <t>48.5767</t>
  </si>
  <si>
    <t>L1:NC_020439.1/JF342660.1;  L2:NC_020447.1/JF342661.1;  L3:NC_020440.1/JF342662.1;  M1:NC_020441.1/JF342663.1;  M2:NC_020442.1/JF342664.1;  M3:NC_020443.1/JF342665.1;  S1:NC_020448.1/EF026043.1;  S2:NC_020444.1/EF026044.1;  S3:NC_020445.1/EF026045.1;  S4:NC_020446.1/EF026046.1</t>
  </si>
  <si>
    <t>Pelagibacter phage HTVC008M</t>
  </si>
  <si>
    <t>PRJNA192865</t>
  </si>
  <si>
    <t>Unknown:NC_020484.1/KC465899.1</t>
  </si>
  <si>
    <t>Pelagibacter phage HTVC010P</t>
  </si>
  <si>
    <t>PRJNA192866</t>
  </si>
  <si>
    <t>Klebsiella pneumoniae strain CIP 52.145</t>
  </si>
  <si>
    <t>Unknown:NC_020481.1/KC465898.1</t>
  </si>
  <si>
    <t>Pelagibacter phage HTVC011P</t>
  </si>
  <si>
    <t>PRJNA192867</t>
  </si>
  <si>
    <t>Unknown:NC_020482.1/KC465900.1</t>
  </si>
  <si>
    <t>Pelagibacter phage HTVC019P</t>
  </si>
  <si>
    <t>PRJNA192868</t>
  </si>
  <si>
    <t>Unknown:NC_020483.1/KC465901.1</t>
  </si>
  <si>
    <t>Simian adenovirus 20</t>
  </si>
  <si>
    <t>PRJNA192869</t>
  </si>
  <si>
    <t>Unknown:NC_020485.1/HQ605912.1</t>
  </si>
  <si>
    <t>Klebsiella pneumoniae strain J1</t>
  </si>
  <si>
    <t>Vibrio phage VvAW1</t>
  </si>
  <si>
    <t>PRJNA192871</t>
  </si>
  <si>
    <t>Unknown:NC_020488.1/JQ801337.1</t>
  </si>
  <si>
    <t>Bacillus virus Andromeda</t>
  </si>
  <si>
    <t>PRJNA192872</t>
  </si>
  <si>
    <t>Unknown:NC_020478.1/KC330684.1</t>
  </si>
  <si>
    <t>Bacillus virus Curly</t>
  </si>
  <si>
    <t>Klebsiella pneumoniae strain KP617</t>
  </si>
  <si>
    <t>PRJNA192873</t>
  </si>
  <si>
    <t>Unknown:NC_020479.1/KC330679.1</t>
  </si>
  <si>
    <t>Bacillus virus Eoghan</t>
  </si>
  <si>
    <t>PRJNA192874</t>
  </si>
  <si>
    <t>Unknown:NC_020477.1/KC330680.1</t>
  </si>
  <si>
    <t>Bacillus virus Finn</t>
  </si>
  <si>
    <t>PRJNA192875</t>
  </si>
  <si>
    <t>Klebsiella pneumoniae strain KpN01</t>
  </si>
  <si>
    <t>Unknown:NC_020480.1/KC330683.1</t>
  </si>
  <si>
    <t>Rhodobacter phage RcapNL</t>
  </si>
  <si>
    <t>PRJNA192926</t>
  </si>
  <si>
    <t>Unknown:NC_020489.1/JQ066768.1</t>
  </si>
  <si>
    <t>Staphylococcus phage StB12</t>
  </si>
  <si>
    <t>PRJNA192927</t>
  </si>
  <si>
    <t>Unknown:NC_020490.2/JN700520.2</t>
  </si>
  <si>
    <t>Klebsiella pneumoniae strain KpN06</t>
  </si>
  <si>
    <t>Equine papillomavirus type 6</t>
  </si>
  <si>
    <t>PRJNA193978</t>
  </si>
  <si>
    <t>Unknown:NC_020500.1/JQ965698.1</t>
  </si>
  <si>
    <t>Equus ferus caballus papillomavirus type 7</t>
  </si>
  <si>
    <t>PRJNA193979</t>
  </si>
  <si>
    <t>Unknown:NC_020501.1/JX035935.1</t>
  </si>
  <si>
    <t>Guar leaf curl alphasatellite</t>
  </si>
  <si>
    <t>Klebsiella pneumoniae strain Kpn223</t>
  </si>
  <si>
    <t>PRJNA193981</t>
  </si>
  <si>
    <t>Unknown:NC_020502.1/KC305096.1</t>
  </si>
  <si>
    <t>TTV-like mini virus</t>
  </si>
  <si>
    <t>PRJNA14058</t>
  </si>
  <si>
    <t>Unknown:NC_002195.1/AB038625.1</t>
  </si>
  <si>
    <t>Chandipura virus</t>
  </si>
  <si>
    <t>PRJNA194137</t>
  </si>
  <si>
    <t>Klebsiella pneumoniae strain Kpn555</t>
  </si>
  <si>
    <t>Unknown:NC_020805.1/GU212856.1</t>
  </si>
  <si>
    <t>Perch perhabdovirus</t>
  </si>
  <si>
    <t>PRJNA194138</t>
  </si>
  <si>
    <t>Unknown:NC_020803.1/JX679246.1</t>
  </si>
  <si>
    <t>Aravan lyssavirus</t>
  </si>
  <si>
    <t>PRJNA194139</t>
  </si>
  <si>
    <t>Unknown:NC_020808.1/EF614259.1</t>
  </si>
  <si>
    <t>Klebsiella pneumoniae strain KPNIH36</t>
  </si>
  <si>
    <t>Irkut lyssavirus</t>
  </si>
  <si>
    <t>PRJNA194140</t>
  </si>
  <si>
    <t>Unknown:NC_020809.1/EF614260.1</t>
  </si>
  <si>
    <t>Isfahan virus</t>
  </si>
  <si>
    <t>PRJNA194141</t>
  </si>
  <si>
    <t>Unknown:NC_020806.1/AJ810084.2</t>
  </si>
  <si>
    <t>Tibrogargan virus</t>
  </si>
  <si>
    <t>PRJNA194142</t>
  </si>
  <si>
    <t>Klebsiella pneumoniae strain KPNIH39</t>
  </si>
  <si>
    <t>Unknown:NC_020804.1/GQ294472.1</t>
  </si>
  <si>
    <t>Lagos bat lyssavirus</t>
  </si>
  <si>
    <t>PRJNA194143</t>
  </si>
  <si>
    <t>Unknown:NC_020807.1/EU293108.1</t>
  </si>
  <si>
    <t>Duvenhage lyssavirus</t>
  </si>
  <si>
    <t>PRJNA194144</t>
  </si>
  <si>
    <t>Unknown:NC_020810.1/EU293119.1</t>
  </si>
  <si>
    <t>Alteromonas phage vB_AmaP_AD45-P1</t>
  </si>
  <si>
    <t>PRJNA209073</t>
  </si>
  <si>
    <t>Klebsiella pneumoniae strain MS6671</t>
  </si>
  <si>
    <t>Unknown:NC_021532.1/KF005317.1</t>
  </si>
  <si>
    <t>Listeria phage vB_LmoM_AG20</t>
  </si>
  <si>
    <t>PRJNA195527</t>
  </si>
  <si>
    <t>Unknown:NC_020871.1/JQ797329.1</t>
  </si>
  <si>
    <t>Staphylococcus phage vB_SauM_Romulus</t>
  </si>
  <si>
    <t>PRJNA195528</t>
  </si>
  <si>
    <t>Unknown:NC_020877.1/JX846613.1</t>
  </si>
  <si>
    <t>Klebsiella pneumoniae strain PMK1</t>
  </si>
  <si>
    <t>Mycobacterium phage First</t>
  </si>
  <si>
    <t>PRJNA195529</t>
  </si>
  <si>
    <t>Unknown:NC_020876.1/JX899358.1</t>
  </si>
  <si>
    <t>Leuconostoc phage phiLN04</t>
  </si>
  <si>
    <t>PRJNA195530</t>
  </si>
  <si>
    <t>Unknown:NC_020870.1/KC013023.1</t>
  </si>
  <si>
    <t>Leuconostoc phage P793</t>
  </si>
  <si>
    <t>Klebsiella pneumoniae strain SB3432</t>
  </si>
  <si>
    <t>PRJNA195531</t>
  </si>
  <si>
    <t>Unknown:NC_020880.1/KC013021.1</t>
  </si>
  <si>
    <t>Aeromonas phage Aes012</t>
  </si>
  <si>
    <t>PRJNA195532</t>
  </si>
  <si>
    <t>Unknown:NC_020879.1/JN377895.1</t>
  </si>
  <si>
    <t>Sulfolobales Mexican fusellovirus 1</t>
  </si>
  <si>
    <t>PRJNA195533</t>
  </si>
  <si>
    <t>Klebsiella pneumoniae strain SKGH01</t>
  </si>
  <si>
    <t>Unknown:NC_020882.1/KC618393.1</t>
  </si>
  <si>
    <t>Bacillus phage vB_BceM_Bc431v3</t>
  </si>
  <si>
    <t>PRJNA195534</t>
  </si>
  <si>
    <t>Unknown:NC_020873.1/JX094431.1</t>
  </si>
  <si>
    <t>Bacillus phage PM1</t>
  </si>
  <si>
    <t>PRJNA195536</t>
  </si>
  <si>
    <t>Unknown:NC_020883.1/AB711120.1</t>
  </si>
  <si>
    <t>Ageratum leaf curl betasatellite</t>
  </si>
  <si>
    <t>Klebsiella pneumoniae strain TH1</t>
  </si>
  <si>
    <t>PRJNA195929</t>
  </si>
  <si>
    <t>Unknown:NC_020889.1/KC589700.1</t>
  </si>
  <si>
    <t>Human polyomavirus 12</t>
  </si>
  <si>
    <t>PRJNA195931</t>
  </si>
  <si>
    <t>Unknown:NC_020890.1/JX308829.1</t>
  </si>
  <si>
    <t>Sweet potato latent virus</t>
  </si>
  <si>
    <t>PRJNA196180</t>
  </si>
  <si>
    <t>Unknown:NC_020896.1/KC443039.1</t>
  </si>
  <si>
    <t>Arracacha virus B</t>
  </si>
  <si>
    <t>Klebsiella pneumoniae strain U25</t>
  </si>
  <si>
    <t>PRJNA196183</t>
  </si>
  <si>
    <t>42.4922</t>
  </si>
  <si>
    <t>RNA 1:NC_020898.1/JQ437415.1;  RNA 2:NC_020897.1/JQ581051.1</t>
  </si>
  <si>
    <t>Xanthophyllomyces dendrorhous virus L1A</t>
  </si>
  <si>
    <t>PRJNA196417</t>
  </si>
  <si>
    <t>Unknown:NC_020903.1/JN997472.1</t>
  </si>
  <si>
    <t>Hana virus</t>
  </si>
  <si>
    <t>PRJNA196418</t>
  </si>
  <si>
    <t>Unknown:NC_020899.1/JQ957872.1</t>
  </si>
  <si>
    <t>Klebsiella pneumoniae strain W14</t>
  </si>
  <si>
    <t>Meno virus</t>
  </si>
  <si>
    <t>PRJNA196419</t>
  </si>
  <si>
    <t>Unknown:NC_020900.1/JQ957873.1</t>
  </si>
  <si>
    <t>Nse virus</t>
  </si>
  <si>
    <t>PRJNA196420</t>
  </si>
  <si>
    <t>Unknown:NC_020901.1/JQ957874.1</t>
  </si>
  <si>
    <t>Equine pegivirus 1</t>
  </si>
  <si>
    <t>PRJNA196421</t>
  </si>
  <si>
    <t>Klebsiella pneumoniae strain XH209</t>
  </si>
  <si>
    <t>Unknown:NC_020902.1/KC410872.1</t>
  </si>
  <si>
    <t>Canine circovirus</t>
  </si>
  <si>
    <t>PRJNA196432</t>
  </si>
  <si>
    <t>Unknown:NC_020904.1/KC241982.1</t>
  </si>
  <si>
    <t>Bombyx mori densovirus 3</t>
  </si>
  <si>
    <t>PRJNA196762</t>
  </si>
  <si>
    <t>Bidnaviridae</t>
  </si>
  <si>
    <t>Klebsiella pneumoniae strain YH43</t>
  </si>
  <si>
    <t>29.9788</t>
  </si>
  <si>
    <t>VD1:NC_020928.1/DQ017268.1;  VD2:NC_020927.1/DQ017269.1</t>
  </si>
  <si>
    <t>Choristoneura rosaceana entomopoxvirus 'L'</t>
  </si>
  <si>
    <t>PRJEB1435</t>
  </si>
  <si>
    <t>Unknown :NC_021249.1/HF679133.1</t>
  </si>
  <si>
    <t>Adoxophyes honmai entomopoxvirus 'L'</t>
  </si>
  <si>
    <t>PRJEB1432</t>
  </si>
  <si>
    <t>Unknown :NC_021247.1/HF679131.1</t>
  </si>
  <si>
    <t>Choristoneura biennis entomopoxvirus</t>
  </si>
  <si>
    <t>PRJEB1434</t>
  </si>
  <si>
    <t>Unknown :NC_021248.1/HF679132.1</t>
  </si>
  <si>
    <t>Mythimna separata entomopoxvirus 'L'</t>
  </si>
  <si>
    <t>PRJEB1436</t>
  </si>
  <si>
    <t>Unknown :NC_021246.1/HF679134.1</t>
  </si>
  <si>
    <t>Klebsiella pneumoniae strain yzusk-4</t>
  </si>
  <si>
    <t>Cherry rusty mottle associated virus</t>
  </si>
  <si>
    <t>PRJNA196970</t>
  </si>
  <si>
    <t>Unknown:NC_020996.1/KC218926.1</t>
  </si>
  <si>
    <t>Ustilaginoidea virens RNA virus 1</t>
  </si>
  <si>
    <t>Klebsiella pneumoniae subsp. pneumoniae</t>
  </si>
  <si>
    <t>PRJNA196971</t>
  </si>
  <si>
    <t>Unknown:NC_020997.1/KC433710.1</t>
  </si>
  <si>
    <t>Rose yellow vein virus</t>
  </si>
  <si>
    <t>PRJNA196972</t>
  </si>
  <si>
    <t>Unknown:NC_020999.1/JX028536.1</t>
  </si>
  <si>
    <t>Haloarcula hispanica virus PH1</t>
  </si>
  <si>
    <t>PRJNA196975</t>
  </si>
  <si>
    <t>Unknown:NC_020998.1/KC252997.1</t>
  </si>
  <si>
    <t>Mycobacterium phage vB_MapS_FF47</t>
  </si>
  <si>
    <t>PRJNA197296</t>
  </si>
  <si>
    <t>Unknown:NC_021063.1/JX901189.1</t>
  </si>
  <si>
    <t>Mycobacterium phage Butters</t>
  </si>
  <si>
    <t>PRJNA197297</t>
  </si>
  <si>
    <t>65.8</t>
  </si>
  <si>
    <t>Unknown:NC_021061.1/KC576783.1</t>
  </si>
  <si>
    <t>Pseudomonas phage Phi-S1</t>
  </si>
  <si>
    <t>PRJNA197298</t>
  </si>
  <si>
    <t>Unknown:NC_021062.1/JX173487.1</t>
  </si>
  <si>
    <t>Sunflower mild mosaic virus</t>
  </si>
  <si>
    <t>PRJNA198478</t>
  </si>
  <si>
    <t>Unknown:NC_021065.1/JQ350738.1</t>
  </si>
  <si>
    <t>Mosquito flavivirus</t>
  </si>
  <si>
    <t>PRJNA198479</t>
  </si>
  <si>
    <t>Unknown:NC_021069.1/KC464457.1</t>
  </si>
  <si>
    <t>Acheta domesticus volvovirus</t>
  </si>
  <si>
    <t>PRJNA198480</t>
  </si>
  <si>
    <t>Unknown:NC_021074.1/KC794540.1</t>
  </si>
  <si>
    <t>White clover cryptic virus 2</t>
  </si>
  <si>
    <t>PRJNA198685</t>
  </si>
  <si>
    <t>41.0854</t>
  </si>
  <si>
    <t>RNA  1:NC_021094.1/JX971976.1;  RNA  2:NC_021095.1/JX971977.1</t>
  </si>
  <si>
    <t>Red clover cryptic virus 2</t>
  </si>
  <si>
    <t>PRJNA198686</t>
  </si>
  <si>
    <t>40.8887</t>
  </si>
  <si>
    <t>RNA  1:NC_021096.1/JX971978.1;  RNA  2:NC_021097.1/JX971979.1</t>
  </si>
  <si>
    <t>Hop trefoil cryptic virus 2</t>
  </si>
  <si>
    <t>PRJNA198687</t>
  </si>
  <si>
    <t>42.2743</t>
  </si>
  <si>
    <t>RN  1:NC_021098.1/JX971980.1;  RN  2:NC_021099.1/JX971981.1</t>
  </si>
  <si>
    <t>Dill cryptic virus 2</t>
  </si>
  <si>
    <t>PRJNA198774</t>
  </si>
  <si>
    <t>41.7793</t>
  </si>
  <si>
    <t>RN  1:NC_021147.1/JX971984.1;  RN  2:NC_021148.1/JX971985.1</t>
  </si>
  <si>
    <t>Rodent pegivirus</t>
  </si>
  <si>
    <t>Klebsiella pneumoniae subsp. pneumoniae 1084</t>
  </si>
  <si>
    <t>PRJNA198868</t>
  </si>
  <si>
    <t>Unknown:NC_021154.1/KC815311.1</t>
  </si>
  <si>
    <t>Simian adenovirus C</t>
  </si>
  <si>
    <t>PRJNA200956</t>
  </si>
  <si>
    <t>Unknown:NC_021168.1/KC693022.1</t>
  </si>
  <si>
    <t>Streptococcus phage SPQS1</t>
  </si>
  <si>
    <t>PRJEB60</t>
  </si>
  <si>
    <t>Unknown:NC_021868.1/HE962497.1</t>
  </si>
  <si>
    <t>Calla lily latent virus</t>
  </si>
  <si>
    <t>PRJNA202315</t>
  </si>
  <si>
    <t>Klebsiella pneumoniae subsp. pneumoniae 1158</t>
  </si>
  <si>
    <t>Unknown:NC_021196.1/EF105297.1</t>
  </si>
  <si>
    <t>Donkey orchid virus A</t>
  </si>
  <si>
    <t>PRJNA202316</t>
  </si>
  <si>
    <t>Unknown:NC_021197.1/JX156422.1</t>
  </si>
  <si>
    <t>Canine picodicistrovirus</t>
  </si>
  <si>
    <t>PRJNA201444</t>
  </si>
  <si>
    <t>Unknown:NC_021178.1/JN819202.1</t>
  </si>
  <si>
    <t>Turkey hepatitis virus 2993D</t>
  </si>
  <si>
    <t>PRJNA202886</t>
  </si>
  <si>
    <t>Klebsiella pneumoniae subsp. pneumoniae HS11286</t>
  </si>
  <si>
    <t>Unknown:NC_021201.1/HM751199.1</t>
  </si>
  <si>
    <t>Bat circovirus</t>
  </si>
  <si>
    <t>PRJNA406967</t>
  </si>
  <si>
    <t>Unknown:NC_035799.1/KX756986.1</t>
  </si>
  <si>
    <t>Tomato leaf curl China virus - OX2</t>
  </si>
  <si>
    <t>PRJNA202888</t>
  </si>
  <si>
    <t>Klebsiella pneumoniae subsp. pneumoniae Kp13</t>
  </si>
  <si>
    <t>DNA A:NC_021205.1/JX972142.1</t>
  </si>
  <si>
    <t>Ageratum Yellow vein China virus - OX1</t>
  </si>
  <si>
    <t>PRJNA202889</t>
  </si>
  <si>
    <t>Unknown:NC_021202.1/JX972141.1</t>
  </si>
  <si>
    <t>Porcine stool-associated circular virus 3</t>
  </si>
  <si>
    <t>PRJNA202890</t>
  </si>
  <si>
    <t>Unknown:NC_021204.1/KC545227.1</t>
  </si>
  <si>
    <t>Klebsiella pneumoniae subsp. pneumoniae KP5-1</t>
  </si>
  <si>
    <t>Porcine stool-associated circular virus 2</t>
  </si>
  <si>
    <t>PRJNA202891</t>
  </si>
  <si>
    <t>Unknown:NC_021203.1/KC545226.1</t>
  </si>
  <si>
    <t>Enterovirus F</t>
  </si>
  <si>
    <t>PRJNA203090</t>
  </si>
  <si>
    <t>Unknown:NC_021220.1/DQ092770.1</t>
  </si>
  <si>
    <t>Fowl aviadenovirus 5</t>
  </si>
  <si>
    <t>PRJNA203280</t>
  </si>
  <si>
    <t>Unknown:NC_021221.1/KC493646.1</t>
  </si>
  <si>
    <t>Klebsiella pneumoniae subsp. pneumoniae KPNIH24</t>
  </si>
  <si>
    <t>Cryphonectria parasitica bipartite mycovirus 1</t>
  </si>
  <si>
    <t>PRJNA203281</t>
  </si>
  <si>
    <t>57.5793</t>
  </si>
  <si>
    <t>RA11:NC_021222.1/KC549809.1;  RA22:NC_021223.1/KC549810.1</t>
  </si>
  <si>
    <t>Lone Star virus</t>
  </si>
  <si>
    <t>PRJNA203651</t>
  </si>
  <si>
    <t>46.3592</t>
  </si>
  <si>
    <t>L:NC_021242.1/KC589005.1;  M:NC_021243.1/KC589006.1;  S:NC_021244.1/KC589007.1</t>
  </si>
  <si>
    <t>Malvastrum leaf curl Philippines virus</t>
  </si>
  <si>
    <t>PRJNA203676</t>
  </si>
  <si>
    <t>Klebsiella pneumoniae subsp. pneumoniae KPNIH27</t>
  </si>
  <si>
    <t>DNA-A:NC_021245.1/KC577540.1</t>
  </si>
  <si>
    <t>Phaeocystis globosa virus</t>
  </si>
  <si>
    <t>PRJNA206023</t>
  </si>
  <si>
    <t>Unknown:NC_021312.1/KC662249.1</t>
  </si>
  <si>
    <t>Mycobacterium phage Murphy</t>
  </si>
  <si>
    <t>PRJNA206024</t>
  </si>
  <si>
    <t>Klebsiella pneumoniae subsp. pneumoniae KPR0928</t>
  </si>
  <si>
    <t>Unknown:NC_021305.1/KC748971.1</t>
  </si>
  <si>
    <t>Mycobacterium phage Phaux</t>
  </si>
  <si>
    <t>PRJNA206025</t>
  </si>
  <si>
    <t>Unknown:NC_021311.1/KC748969.1</t>
  </si>
  <si>
    <t>Mycobacterium phage SiSi</t>
  </si>
  <si>
    <t>PRJNA206026</t>
  </si>
  <si>
    <t>Unknown:NC_021301.1/KC661278.1</t>
  </si>
  <si>
    <t>Klebsiella pneumoniae subsp. pneumoniae MGH 78578</t>
  </si>
  <si>
    <t>Mycobacterium phage Severus</t>
  </si>
  <si>
    <t>PRJNA206027</t>
  </si>
  <si>
    <t>64.4</t>
  </si>
  <si>
    <t>Unknown:NC_021307.1/KC661279.1</t>
  </si>
  <si>
    <t>Mycobacterium phage SDcharge11</t>
  </si>
  <si>
    <t>KC661274.1</t>
  </si>
  <si>
    <t>Mycobacterium phage Phrux</t>
  </si>
  <si>
    <t>PRJNA206029</t>
  </si>
  <si>
    <t>Unknown:NC_021309.1/KC661277.1</t>
  </si>
  <si>
    <t>Mycobacterium phage PattyP</t>
  </si>
  <si>
    <t>Klebsiella pneumoniae subsp. pneumoniae NTUH-K2044</t>
  </si>
  <si>
    <t>PRJNA206030</t>
  </si>
  <si>
    <t>Unknown:NC_021297.1/KC661273.1</t>
  </si>
  <si>
    <t>Mycobacterium phage HINdeR</t>
  </si>
  <si>
    <t>PRJNA206031</t>
  </si>
  <si>
    <t>Unknown:NC_021308.1/KC661275.1</t>
  </si>
  <si>
    <t>Mycobacterium phage Newman</t>
  </si>
  <si>
    <t>PRJNA206032</t>
  </si>
  <si>
    <t>Unknown:NC_021310.1/KC691258.1</t>
  </si>
  <si>
    <t>Mycobacterium phage Fishburne</t>
  </si>
  <si>
    <t>PRJNA206033</t>
  </si>
  <si>
    <t>Unknown:NC_021302.1/KC691256.1</t>
  </si>
  <si>
    <t>Klebsiella pneumoniae subsp. pneumoniae PittNDM01</t>
  </si>
  <si>
    <t>Mycobacterium phage Dumbo</t>
  </si>
  <si>
    <t>PRJNA206034</t>
  </si>
  <si>
    <t>Unknown:NC_021306.1/KC691255.1</t>
  </si>
  <si>
    <t>Tomato yellow leaf curl Yunnan virus</t>
  </si>
  <si>
    <t>PRJNA206466</t>
  </si>
  <si>
    <t>DNA-A:NC_021341.1/KC686705.1</t>
  </si>
  <si>
    <t>Chili leaf curl Bhatinda betasatellite</t>
  </si>
  <si>
    <t>PRJNA206467</t>
  </si>
  <si>
    <t>Klebsiella pneumoniae subsp. pneumoniae strain 234-12</t>
  </si>
  <si>
    <t>Unknown:NC_021345.1/KC684927.1</t>
  </si>
  <si>
    <t>Salmonella phage L13</t>
  </si>
  <si>
    <t>PRJNA206468</t>
  </si>
  <si>
    <t>Unknown:NC_021317.1/KC832325.1</t>
  </si>
  <si>
    <t>Acinetobacter phage Abp1</t>
  </si>
  <si>
    <t>PRJNA206470</t>
  </si>
  <si>
    <t>Unknown:NC_021316.1/JX658790.1</t>
  </si>
  <si>
    <t>Staphylococcus phage StauST398-3</t>
  </si>
  <si>
    <t>PRJNA206472</t>
  </si>
  <si>
    <t>Unknown:NC_021332.1/JQ973847.1</t>
  </si>
  <si>
    <t>Staphylococcus phage StauST398-1</t>
  </si>
  <si>
    <t>PRJNA206473</t>
  </si>
  <si>
    <t>Klebsiella pneumoniae subsp. pneumoniae strain HKUOPLC</t>
  </si>
  <si>
    <t>Unknown:NC_021326.1/JX013863.1</t>
  </si>
  <si>
    <t>Rhodococcus phage E3</t>
  </si>
  <si>
    <t>PRJNA206474</t>
  </si>
  <si>
    <t>Unknown:NC_021347.1/HM114277.1</t>
  </si>
  <si>
    <t>Phaeocystis globosa virus virophage</t>
  </si>
  <si>
    <t>PRJNA206475</t>
  </si>
  <si>
    <t>unclassified virophages</t>
  </si>
  <si>
    <t>Unknown:NC_021333.1/KC662250.1</t>
  </si>
  <si>
    <t>Mycobacterium phage Chy5</t>
  </si>
  <si>
    <t>PRJNA206476</t>
  </si>
  <si>
    <t>Unknown:NC_021318.1/KC787106.1</t>
  </si>
  <si>
    <t>Mycobacterium phage Chy4</t>
  </si>
  <si>
    <t>PRJNA206477</t>
  </si>
  <si>
    <t>Unknown:NC_021338.1/KC787105.1</t>
  </si>
  <si>
    <t>Klebsiella pneumoniae subsp. pneumoniae strain KPNIH29</t>
  </si>
  <si>
    <t>Mycobacterium phage ArcherS7</t>
  </si>
  <si>
    <t>PRJNA206478</t>
  </si>
  <si>
    <t>Unknown:NC_021348.1/KC748970.1</t>
  </si>
  <si>
    <t>Mycobacterium phage Gizmo</t>
  </si>
  <si>
    <t>PRJNA206479</t>
  </si>
  <si>
    <t>Unknown:NC_021346.1/KC748968.1</t>
  </si>
  <si>
    <t>Mycobacterium phage Astraea</t>
  </si>
  <si>
    <t>PRJNA206480</t>
  </si>
  <si>
    <t>Unknown:NC_021349.1/KC691257.1</t>
  </si>
  <si>
    <t>Streptomyces phage Zemlya</t>
  </si>
  <si>
    <t>PRJNA206481</t>
  </si>
  <si>
    <t>65.7</t>
  </si>
  <si>
    <t>Unknown:NC_021339.1/KC700558.1</t>
  </si>
  <si>
    <t>Mycobacterium phage WIVsmall</t>
  </si>
  <si>
    <t>PRJNA206482</t>
  </si>
  <si>
    <t>Klebsiella pneumoniae subsp. pneumoniae strain KPNIH30</t>
  </si>
  <si>
    <t>Unknown:NC_021334.1/KC736071.1</t>
  </si>
  <si>
    <t>Mycobacterium phage CASbig</t>
  </si>
  <si>
    <t>PRJNA206483</t>
  </si>
  <si>
    <t>Unknown:NC_021324.1/KC701493.1</t>
  </si>
  <si>
    <t>Shigella phage pSf-1</t>
  </si>
  <si>
    <t>PRJNA206484</t>
  </si>
  <si>
    <t>Unknown:NC_021331.1/KC710998.1</t>
  </si>
  <si>
    <t>Bacillus phage MG-B1</t>
  </si>
  <si>
    <t>PRJNA206485</t>
  </si>
  <si>
    <t>Unknown:NC_021336.1/KC685370.1</t>
  </si>
  <si>
    <t>Escherichia phage Lw1</t>
  </si>
  <si>
    <t>PRJNA206486</t>
  </si>
  <si>
    <t>Unknown:NC_021344.2/KC801932.2</t>
  </si>
  <si>
    <t>Klebsiella pneumoniae subsp. pneumoniae strain KPNIH31</t>
  </si>
  <si>
    <t>Clostridium phage vB_CpeS-CP51</t>
  </si>
  <si>
    <t>PRJNA206487</t>
  </si>
  <si>
    <t>Unknown:NC_021325.1/KC237729.1</t>
  </si>
  <si>
    <t>Burkholderia phage ST79</t>
  </si>
  <si>
    <t>PRJNA206488</t>
  </si>
  <si>
    <t>62.5</t>
  </si>
  <si>
    <t>Unknown:NC_021343.1/KC462197.1</t>
  </si>
  <si>
    <t>Staphylococcus phage StauST398-2</t>
  </si>
  <si>
    <t>PRJNA206489</t>
  </si>
  <si>
    <t>Unknown:NC_021323.1/JQ957932.1</t>
  </si>
  <si>
    <t>Halovirus HRTV-8</t>
  </si>
  <si>
    <t>PRJNA206490</t>
  </si>
  <si>
    <t>Unknown:NC_021321.1/KC292020.1</t>
  </si>
  <si>
    <t>Klebsiella pneumoniae subsp. pneumoniae strain KPNIH32</t>
  </si>
  <si>
    <t>Halovirus HRTV-7</t>
  </si>
  <si>
    <t>PRJNA206491</t>
  </si>
  <si>
    <t>Unknown:NC_021335.1/KC292021.1</t>
  </si>
  <si>
    <t>Halovirus HRTV-5</t>
  </si>
  <si>
    <t>PRJNA206492</t>
  </si>
  <si>
    <t>Unknown:NC_021320.1/KC292022.1</t>
  </si>
  <si>
    <t>Halovirus HRTV-4</t>
  </si>
  <si>
    <t>PRJNA206493</t>
  </si>
  <si>
    <t>Unknown:NC_021329.1/KC292023.1</t>
  </si>
  <si>
    <t>Halovirus HHTV-2</t>
  </si>
  <si>
    <t>PRJNA206494</t>
  </si>
  <si>
    <t>Unknown:NC_021340.1/KC292024.1</t>
  </si>
  <si>
    <t>Halovirus HHTV-1</t>
  </si>
  <si>
    <t>PRJNA206495</t>
  </si>
  <si>
    <t>Klebsiella pneumoniae subsp. pneumoniae strain KPNIH33</t>
  </si>
  <si>
    <t>Unknown:NC_021322.1/KC292025.1</t>
  </si>
  <si>
    <t>Halovirus HGTV-1</t>
  </si>
  <si>
    <t>PRJNA206496</t>
  </si>
  <si>
    <t>Unknown:NC_021328.1/KC292026.1</t>
  </si>
  <si>
    <t>Halovirus HCTV-5</t>
  </si>
  <si>
    <t>PRJNA206497</t>
  </si>
  <si>
    <t>57.6</t>
  </si>
  <si>
    <t>Unknown:NC_021327.1/KC292027.1</t>
  </si>
  <si>
    <t>Halovirus HCTV-2</t>
  </si>
  <si>
    <t>PRJNA206498</t>
  </si>
  <si>
    <t>Unknown:NC_021319.1/KC292028.1</t>
  </si>
  <si>
    <t>Halovirus HCTV-1</t>
  </si>
  <si>
    <t>PRJNA206499</t>
  </si>
  <si>
    <t>Unknown:NC_021330.1/KC292029.1</t>
  </si>
  <si>
    <t>Acinetobacter phage AB3</t>
  </si>
  <si>
    <t>PRJNA206500</t>
  </si>
  <si>
    <t>Unknown:NC_021337.1/KC311669.1</t>
  </si>
  <si>
    <t>Klebsiella pneumoniae subsp. pneumoniae strain VK055</t>
  </si>
  <si>
    <t>Mycobacterium phage Breezona</t>
  </si>
  <si>
    <t>KC691254.1</t>
  </si>
  <si>
    <t>Streptomyces phage Sujidade</t>
  </si>
  <si>
    <t>PRJNA206036</t>
  </si>
  <si>
    <t>Unknown:NC_021304.1/KC700557.1</t>
  </si>
  <si>
    <t>Streptomyces phage Lika</t>
  </si>
  <si>
    <t>PRJNA206037</t>
  </si>
  <si>
    <t>Unknown:NC_021298.1/KC700556.1</t>
  </si>
  <si>
    <t>Mycobacterium phage PegLeg</t>
  </si>
  <si>
    <t>Klebsiella quasipneumoniae strain ATCC 700603</t>
  </si>
  <si>
    <t>PRJNA206038</t>
  </si>
  <si>
    <t>Unknown:NC_021299.1/KC900379.1</t>
  </si>
  <si>
    <t>Pseudoalteromonas phage RIO-1</t>
  </si>
  <si>
    <t>PRJNA206039</t>
  </si>
  <si>
    <t>Unknown:NC_021300.1/KC751414.1</t>
  </si>
  <si>
    <t>Vibrio phage VPUSM 8</t>
  </si>
  <si>
    <t>PRJNA227006</t>
  </si>
  <si>
    <t>Unknown:NC_022747.1/KF361475.1</t>
  </si>
  <si>
    <t>Vibrio phage KVP40</t>
  </si>
  <si>
    <t>PRJNA14416</t>
  </si>
  <si>
    <t>Klebsiella sp. G5</t>
  </si>
  <si>
    <t>Unknown:NC_005083.2/AY283928.2</t>
  </si>
  <si>
    <t>Felis catus papillomavirus 3</t>
  </si>
  <si>
    <t>PRJNA207833</t>
  </si>
  <si>
    <t>Unknown:NC_021472.1/JX972168.1</t>
  </si>
  <si>
    <t>Halovirus HSTV-1</t>
  </si>
  <si>
    <t>PRJNA207837</t>
  </si>
  <si>
    <t>Unknown:NC_021471.1/KC117378.1</t>
  </si>
  <si>
    <t>Maize yellow dwarf virus-RMV</t>
  </si>
  <si>
    <t>PRJNA208537</t>
  </si>
  <si>
    <t>Unknown:NC_021484.1/KC921392.1</t>
  </si>
  <si>
    <t>Klebsiella variicola At-22</t>
  </si>
  <si>
    <t>Human papillomavirus type 154</t>
  </si>
  <si>
    <t>PRJNA208538</t>
  </si>
  <si>
    <t>Unknown:NC_021483.1/JN211193.1</t>
  </si>
  <si>
    <t>Grapevine satellite virus</t>
  </si>
  <si>
    <t>PRJNA208539</t>
  </si>
  <si>
    <t>Unknown:NC_021480.1/KC149510.1</t>
  </si>
  <si>
    <t>Sebokele virus 1</t>
  </si>
  <si>
    <t>Klebsiella variicola DSM 15968</t>
  </si>
  <si>
    <t>PRJNA208541</t>
  </si>
  <si>
    <t>Unknown:NC_021482.1/HF677705.1</t>
  </si>
  <si>
    <t>Vibrio phage nt-1</t>
  </si>
  <si>
    <t>PRJNA47597</t>
  </si>
  <si>
    <t>Unknown:NC_021529.2/HQ317393.2</t>
  </si>
  <si>
    <t>Mycobacterium phage Job42</t>
  </si>
  <si>
    <t>PRJNA209072</t>
  </si>
  <si>
    <t>Unknown:NC_021538.1/KC661280.1</t>
  </si>
  <si>
    <t>Klebsiella variicola DX120E</t>
  </si>
  <si>
    <t>Mycobacterium phage Jobu08</t>
  </si>
  <si>
    <t>PRJNA209074</t>
  </si>
  <si>
    <t>Unknown:NC_021535.1/KC661281.1</t>
  </si>
  <si>
    <t>Vibrio phage JA-1</t>
  </si>
  <si>
    <t>PRJNA209075</t>
  </si>
  <si>
    <t>Unknown:NC_021540.1/KC438282.1</t>
  </si>
  <si>
    <t>Cronobacter phage CR5</t>
  </si>
  <si>
    <t>PRJNA209076</t>
  </si>
  <si>
    <t>Unknown:NC_021531.1/JX094500.1</t>
  </si>
  <si>
    <t>Mycobacterium phage BTCU-1</t>
  </si>
  <si>
    <t>PRJNA209077</t>
  </si>
  <si>
    <t>Unknown:NC_021533.1/KC172839.1</t>
  </si>
  <si>
    <t>Listeria phage LP-030-2</t>
  </si>
  <si>
    <t>PRJNA209078</t>
  </si>
  <si>
    <t>Unknown:NC_021539.2/JX120799.2</t>
  </si>
  <si>
    <t>Nilaparvata lugens honeydew virus-3</t>
  </si>
  <si>
    <t>PRJNA209357</t>
  </si>
  <si>
    <t>Unknown:NC_021567.1/AB826460.1</t>
  </si>
  <si>
    <t>Vibrio phage VFJ</t>
  </si>
  <si>
    <t>PRJNA209358</t>
  </si>
  <si>
    <t>Klebsiella variicola strain HKUOPLA</t>
  </si>
  <si>
    <t>Unknown:NC_021562.1/KC357596.1</t>
  </si>
  <si>
    <t>Nilaparvata lugens honeydew virus-2</t>
  </si>
  <si>
    <t>PRJNA209359</t>
  </si>
  <si>
    <t>Unknown:NC_021566.1/AB826459.1</t>
  </si>
  <si>
    <t>Stenotrophomonas phage SMA7</t>
  </si>
  <si>
    <t>PRJNA209360</t>
  </si>
  <si>
    <t>Unknown:NC_021569.1/HG007973.1</t>
  </si>
  <si>
    <t>Mycobacterium phage Leo</t>
  </si>
  <si>
    <t>PRJNA209361</t>
  </si>
  <si>
    <t>Kluyvera intermedia strain CAV1151</t>
  </si>
  <si>
    <t>Unknown:NC_021556.1/KC787110.1</t>
  </si>
  <si>
    <t>Rosellinia necatrix victorivirus 1</t>
  </si>
  <si>
    <t>PRJNA209362</t>
  </si>
  <si>
    <t>Unknown:NC_021565.1/AB742454.1</t>
  </si>
  <si>
    <t>Serratia phage Eta</t>
  </si>
  <si>
    <t>PRJNA209364</t>
  </si>
  <si>
    <t>Unknown:NC_021563.1/KC460990.1</t>
  </si>
  <si>
    <t>Kocuria flava strain HO-9041</t>
  </si>
  <si>
    <t>Human cyclovirus VS5700009</t>
  </si>
  <si>
    <t>PRJNA209365</t>
  </si>
  <si>
    <t>Unknown:NC_021568.1/KC771281.1</t>
  </si>
  <si>
    <t>Citrus vein enation virus</t>
  </si>
  <si>
    <t>PRJNA209366</t>
  </si>
  <si>
    <t>Unknown:NC_021564.1/HF679486.1</t>
  </si>
  <si>
    <t>Human rotavirus B</t>
  </si>
  <si>
    <t>PRJNA209367</t>
  </si>
  <si>
    <t>Kocuria palustris strain MU14/1</t>
  </si>
  <si>
    <t>37.037</t>
  </si>
  <si>
    <t>1:NC_021541.1/EU490415.1;  2:NC_021545.1/AY238390.1;  3:NC_021551.1/EU490418.1;  4:NC_021543.1/AY238388.1;  5:NC_021546.1/AY238391.1;  6:NC_021544.1/AY238389.1;  7:NC_021547.1/AY238392.1;  8:NC_021548.1/AY238393.1;  9:NC_021542.1/AY238385.1;  10:NC_021550.1/AY238384.1;  11:NC_021549.1/AY238394.1</t>
  </si>
  <si>
    <t>Tomato golden leaf spot virus</t>
  </si>
  <si>
    <t>PRJNA209726</t>
  </si>
  <si>
    <t>DNA-A:NC_021579.1/KC626021.1</t>
  </si>
  <si>
    <t>Rotavirus G chicken/03V0567/DEU/2003</t>
  </si>
  <si>
    <t>PRJNA209727</t>
  </si>
  <si>
    <t>34.9496</t>
  </si>
  <si>
    <t>1:NC_021590.1/JN596592.1;  2:NC_021580.1/JQ920004.1;  3:NC_021581.1/JQ920006.1;  4:NC_021589.1/JQ920005.1;  5:NC_021583.1/JQ920008.1;  6:NC_021588.1/HQ403604.1;  7:NC_021585.1/JQ920010.1;  8:NC_021584.1/JQ920009.1;  9:NC_021582.1/JQ920007.1;  10:NC_021586.1/JQ920011.1;  11:NC_021587.1/JQ920012.1</t>
  </si>
  <si>
    <t>Kocuria rhizophila DC2201</t>
  </si>
  <si>
    <t>Rotavirus F chicken/03V0568/DEU/2003</t>
  </si>
  <si>
    <t>PRJNA210412</t>
  </si>
  <si>
    <t>34.4913</t>
  </si>
  <si>
    <t>1:NC_021625.1/JN596591.1;  2:NC_021626.1/JQ919995.1;  3:NC_021631.1/JQ919997.1;  4:NC_021630.1/JQ919996.1;  5:NC_021632.1/JQ919999.1;  6:NC_021635.1/HQ403603.1;  7:NC_021633.1/JQ920001.1;  8:NC_021628.1/JQ920000.1;  9:NC_021627.1/JQ919998.1;  10:NC_021629.1/JQ920003.1;  11:NC_021634.1/JQ920002.1</t>
  </si>
  <si>
    <t>Sclerotinia sclerotiorum endornavirus-1</t>
  </si>
  <si>
    <t>PRJNA210796</t>
  </si>
  <si>
    <t>Unknown:NC_021706.1/KC852908.1</t>
  </si>
  <si>
    <t>Kocuria turfanensis strain HO-9042</t>
  </si>
  <si>
    <t>Cuban alphasatellite 1</t>
  </si>
  <si>
    <t>PRJNA210798</t>
  </si>
  <si>
    <t>DNA-alpha:NC_021708.1/HE806451.1</t>
  </si>
  <si>
    <t>Koala retrovirus</t>
  </si>
  <si>
    <t>PRJNA210799</t>
  </si>
  <si>
    <t>Unknown:NC_021704.1/KC779547.1</t>
  </si>
  <si>
    <t>Thin paspalum asymptomatic virus</t>
  </si>
  <si>
    <t>Kosakonia oryzae strain Ola 51</t>
  </si>
  <si>
    <t>PRJNA210800</t>
  </si>
  <si>
    <t>Unknown:NC_021705.2/JX848617.1</t>
  </si>
  <si>
    <t>Cyclovirus VN</t>
  </si>
  <si>
    <t>PRJNA254810</t>
  </si>
  <si>
    <t>Unknown:NC_021707.2/KF031465.1</t>
  </si>
  <si>
    <t>Burdock mottle virus</t>
  </si>
  <si>
    <t>PRJNA212310</t>
  </si>
  <si>
    <t>43.8841</t>
  </si>
  <si>
    <t>RN  1:NC_021735.1/AB818898.1;  RN  2:NC_021736.1/AB818899.1</t>
  </si>
  <si>
    <t>Kosakonia sacchari SP1</t>
  </si>
  <si>
    <t>Vibrio phage VPMS1</t>
  </si>
  <si>
    <t>PRJNA212709</t>
  </si>
  <si>
    <t>Unknown:NC_021776.1/JX880072.1</t>
  </si>
  <si>
    <t>Staphylococcus phage JS01</t>
  </si>
  <si>
    <t>PRJNA212710</t>
  </si>
  <si>
    <t>Unknown:NC_021773.2/KC342645.2</t>
  </si>
  <si>
    <t>Kosmotoga olearia TBF 19.5.1</t>
  </si>
  <si>
    <t>Salmonella virus FSLSP088</t>
  </si>
  <si>
    <t>PRJNA212711</t>
  </si>
  <si>
    <t>Unknown:NC_021780.1/KC139512.1</t>
  </si>
  <si>
    <t>Salmonella phage FSL SP-058</t>
  </si>
  <si>
    <t>PRJNA212712</t>
  </si>
  <si>
    <t>Unknown:NC_021772.1/KC139517.1</t>
  </si>
  <si>
    <t>Salmonella phage Jersey</t>
  </si>
  <si>
    <t>PRJNA212713</t>
  </si>
  <si>
    <t>Unknown:NC_021777.1/KF148055.1</t>
  </si>
  <si>
    <t>Salmonella phage FSL SP-004</t>
  </si>
  <si>
    <t>PRJNA212714</t>
  </si>
  <si>
    <t>Unknown:NC_021774.1/KC139521.1</t>
  </si>
  <si>
    <t>Kosmotoga pacifica strain SLHLJ1</t>
  </si>
  <si>
    <t>Listeria phage LP-125</t>
  </si>
  <si>
    <t>PRJNA212716</t>
  </si>
  <si>
    <t>Unknown:NC_021781.2/JX126918.2</t>
  </si>
  <si>
    <t>Salmonella phage FSL SP-031</t>
  </si>
  <si>
    <t>PRJNA212717</t>
  </si>
  <si>
    <t>Unknown:NC_021775.1/KC139518.1</t>
  </si>
  <si>
    <t>Salmonella phage FSL SP-076</t>
  </si>
  <si>
    <t>PRJNA212719</t>
  </si>
  <si>
    <t>Unknown:NC_021782.1/KC139520.1</t>
  </si>
  <si>
    <t>Mannheimia phage vB_MhM_1152AP</t>
  </si>
  <si>
    <t>Kribbella flavida DSM 17836</t>
  </si>
  <si>
    <t>JN255163.1</t>
  </si>
  <si>
    <t>Salmonella virus FSLSP030</t>
  </si>
  <si>
    <t>PRJNA212718</t>
  </si>
  <si>
    <t>Unknown:NC_021779.1/KC139519.1</t>
  </si>
  <si>
    <t>Tomato blistering mosaic virus</t>
  </si>
  <si>
    <t>PRJNA213013</t>
  </si>
  <si>
    <t>Unknown:NC_021851.1/KC840043.1</t>
  </si>
  <si>
    <t>Cellulophaga phage phi19:1</t>
  </si>
  <si>
    <t>Krokinobacter sp. 4H-3-7-5</t>
  </si>
  <si>
    <t>PRJNA212942</t>
  </si>
  <si>
    <t>31.2</t>
  </si>
  <si>
    <t>Unknown:NC_021799.1/KC821607.1</t>
  </si>
  <si>
    <t>Cellulophaga phage phi12:2</t>
  </si>
  <si>
    <t>PRJNA212943</t>
  </si>
  <si>
    <t>Unknown:NC_021797.1/KC821606.1</t>
  </si>
  <si>
    <t>Cellulophaga phage phi19:3</t>
  </si>
  <si>
    <t>PRJNA212945</t>
  </si>
  <si>
    <t>Kurthia sp. 11kri321</t>
  </si>
  <si>
    <t>Unknown:NC_021789.1/KC821608.1</t>
  </si>
  <si>
    <t>Listeria phage LP-037</t>
  </si>
  <si>
    <t>PRJNA212948</t>
  </si>
  <si>
    <t>Unknown:NC_021787.2/JX126920.2</t>
  </si>
  <si>
    <t>Salmonella virus iEPS5</t>
  </si>
  <si>
    <t>PRJNA212949</t>
  </si>
  <si>
    <t>Unknown:NC_021783.1/KC677662.1</t>
  </si>
  <si>
    <t>Kutzneria albida DSM 43870</t>
  </si>
  <si>
    <t>Thermus phage phi OH2</t>
  </si>
  <si>
    <t>PRJNA212950</t>
  </si>
  <si>
    <t>Unknown:NC_021784.1/AB823818.1</t>
  </si>
  <si>
    <t>Habenaria mosaic virus</t>
  </si>
  <si>
    <t>PRJNA212951</t>
  </si>
  <si>
    <t>Unknown:NC_021786.1/AB818538.1</t>
  </si>
  <si>
    <t>Cellulophaga phage phi4:1</t>
  </si>
  <si>
    <t>Kyrpidia tusciae DSM 2912</t>
  </si>
  <si>
    <t>PRJNA212952</t>
  </si>
  <si>
    <t>Unknown:NC_021788.1/KC821632.1</t>
  </si>
  <si>
    <t>Cellulophaga phage phi13:2</t>
  </si>
  <si>
    <t>PRJNA212953</t>
  </si>
  <si>
    <t>32.9</t>
  </si>
  <si>
    <t>Unknown:NC_021803.1/KC821633.1</t>
  </si>
  <si>
    <t>Cellulophaga phage phi14:2</t>
  </si>
  <si>
    <t>PRJNA212954</t>
  </si>
  <si>
    <t>Unknown:NC_021806.1/KC821624.1</t>
  </si>
  <si>
    <t>Kytococcus sedentarius DSM 20547</t>
  </si>
  <si>
    <t>Staphylococcus phage SA12</t>
  </si>
  <si>
    <t>PRJNA212955</t>
  </si>
  <si>
    <t>Unknown:NC_021801.1/KC677663.1</t>
  </si>
  <si>
    <t>Cellulophaga phage phi12a:1</t>
  </si>
  <si>
    <t>PRJNA212956</t>
  </si>
  <si>
    <t>Unknown:NC_021805.1/KC821623.1</t>
  </si>
  <si>
    <t>Cellulophaga phage phi18:1</t>
  </si>
  <si>
    <t>PRJNA212959</t>
  </si>
  <si>
    <t>Unknown:NC_021790.1/KC821619.1</t>
  </si>
  <si>
    <t>Labilithrix luteola strain DSM 27648</t>
  </si>
  <si>
    <t>Cellulophaga phage phi18:3</t>
  </si>
  <si>
    <t>PRJNA212960</t>
  </si>
  <si>
    <t>Unknown:NC_021794.1/KC821620.1</t>
  </si>
  <si>
    <t>Cellulophaga phage phi46:1</t>
  </si>
  <si>
    <t>PRJNA212961</t>
  </si>
  <si>
    <t>Unknown:NC_021800.1/KC821611.1</t>
  </si>
  <si>
    <t>Cellulophaga phage phi17:1</t>
  </si>
  <si>
    <t>PRJNA212962</t>
  </si>
  <si>
    <t>Unknown:NC_021795.1/KC821617.1</t>
  </si>
  <si>
    <t>Labrenzia sp. CP4</t>
  </si>
  <si>
    <t>Cellulophaga phage phi46:3</t>
  </si>
  <si>
    <t>PRJNA212963</t>
  </si>
  <si>
    <t>Unknown:NC_021792.1/KC821622.1</t>
  </si>
  <si>
    <t>Cellulophaga phage phi17:2</t>
  </si>
  <si>
    <t>PRJNA212965</t>
  </si>
  <si>
    <t>Unknown:NC_021798.1/KC821609.1</t>
  </si>
  <si>
    <t>Cellulophaga phage phi12:1</t>
  </si>
  <si>
    <t>PRJNA212966</t>
  </si>
  <si>
    <t>Lacimicrobium alkaliphilum strain KCTC 32984</t>
  </si>
  <si>
    <t>Unknown:NC_021791.1/KC821613.1</t>
  </si>
  <si>
    <t>Listeria phage LP-110</t>
  </si>
  <si>
    <t>PRJNA212944</t>
  </si>
  <si>
    <t>Unknown:NC_021785.1/JX126919.1</t>
  </si>
  <si>
    <t>Lacinutrix sp. 5H-3-7-4</t>
  </si>
  <si>
    <t>Cellulophaga phage phi48:2</t>
  </si>
  <si>
    <t>PRJNA212947</t>
  </si>
  <si>
    <t>Unknown:NC_021793.1/KC821605.1</t>
  </si>
  <si>
    <t>Cellulophaga phage phi10:1</t>
  </si>
  <si>
    <t>PRJNA212964</t>
  </si>
  <si>
    <t>Unknown:NC_021802.1/KC821618.1</t>
  </si>
  <si>
    <t>Bacillus phage phiNIT1</t>
  </si>
  <si>
    <t>PRJNA213017</t>
  </si>
  <si>
    <t>Lactobacillus acetotolerans strain NBRC 13120</t>
  </si>
  <si>
    <t>Unknown:NC_021856.1/AP013029.1</t>
  </si>
  <si>
    <t>Flavobacterium phage 6H</t>
  </si>
  <si>
    <t>PRJNA213018</t>
  </si>
  <si>
    <t>31.6</t>
  </si>
  <si>
    <t>Unknown:NC_021867.1/KC959568.1</t>
  </si>
  <si>
    <t>Pandoravirus dulcis</t>
  </si>
  <si>
    <t>PRJNA213019</t>
  </si>
  <si>
    <t>Unknown:NC_021858.1/KC977570.1</t>
  </si>
  <si>
    <t>Lactobacillus acidophilus 30SC</t>
  </si>
  <si>
    <t>Ralstonia phage RSS20</t>
  </si>
  <si>
    <t>PRJNA213020</t>
  </si>
  <si>
    <t>Unknown:NC_021866.1/AB830321.1</t>
  </si>
  <si>
    <t>Ralstonia phage RSS30</t>
  </si>
  <si>
    <t>PRJNA213021</t>
  </si>
  <si>
    <t>Unknown:NC_021862.1/AB828698.1</t>
  </si>
  <si>
    <t>Puniceispirillum phage HMO-2011</t>
  </si>
  <si>
    <t>PRJNA213071</t>
  </si>
  <si>
    <t>Lactobacillus acidophilus La-14</t>
  </si>
  <si>
    <t>Unknown:NC_021864.1/GU557055.1</t>
  </si>
  <si>
    <t>Paenibacillus phage phiIBB_Pl23</t>
  </si>
  <si>
    <t>PRJNA213072</t>
  </si>
  <si>
    <t>Unknown:NC_021865.1/KF010834.1</t>
  </si>
  <si>
    <t>Lactococcus phage jm2</t>
  </si>
  <si>
    <t>PRJNA213074</t>
  </si>
  <si>
    <t>Lactobacillus acidophilus NCFM</t>
  </si>
  <si>
    <t>Unknown:NC_021860.1/KC182546.1</t>
  </si>
  <si>
    <t>Lactococcus phage jm3</t>
  </si>
  <si>
    <t>PRJNA213075</t>
  </si>
  <si>
    <t>Unknown:NC_021854.1/KC182547.1</t>
  </si>
  <si>
    <t>Lactococcus phage BM13</t>
  </si>
  <si>
    <t>PRJNA213076</t>
  </si>
  <si>
    <t>Unknown:NC_021861.1/JX567312.1</t>
  </si>
  <si>
    <t>Lactobacillus acidophilus strain FSI4</t>
  </si>
  <si>
    <t>Staphylococcus phage SA13</t>
  </si>
  <si>
    <t>PRJNA213078</t>
  </si>
  <si>
    <t>Unknown:NC_021863.1/JX094501.1</t>
  </si>
  <si>
    <t>Mycobacterium phage DNAIII</t>
  </si>
  <si>
    <t>KC787108.1</t>
  </si>
  <si>
    <t>Lactococcus phage P680</t>
  </si>
  <si>
    <t>PRJNA213080</t>
  </si>
  <si>
    <t>Lactobacillus acidophilus strain MN-BM-F01</t>
  </si>
  <si>
    <t>Unknown:NC_021852.1/KC182551.1</t>
  </si>
  <si>
    <t>Lactococcus phage 340</t>
  </si>
  <si>
    <t>PRJNA213081</t>
  </si>
  <si>
    <t>Unknown:NC_021853.1/KC182542.1</t>
  </si>
  <si>
    <t>Shigella phage SfII</t>
  </si>
  <si>
    <t>PRJNA213070</t>
  </si>
  <si>
    <t>Unknown:NC_021857.1/KC736978.1</t>
  </si>
  <si>
    <t>Lactobacillus amylovorus GRL 1112</t>
  </si>
  <si>
    <t>Lactococcus phage phi7</t>
  </si>
  <si>
    <t>PRJNA213073</t>
  </si>
  <si>
    <t>Unknown:NC_021855.1/KC182552.1</t>
  </si>
  <si>
    <t>Invertebrate iridescent virus 22</t>
  </si>
  <si>
    <t>PRJEB1567</t>
  </si>
  <si>
    <t>Unknown:NC_023615.1/HF920634.1</t>
  </si>
  <si>
    <t>Avian avulavirus 8</t>
  </si>
  <si>
    <t>PRJNA264936</t>
  </si>
  <si>
    <t>Unknown:NC_025374.1/FJ619036.1</t>
  </si>
  <si>
    <t>Lactobacillus amylovorus GRL1118</t>
  </si>
  <si>
    <t>Choristoneura rosaceana alphabaculovirus</t>
  </si>
  <si>
    <t>PRJNA214178</t>
  </si>
  <si>
    <t>Unknown:NC_021924.1/KC961304.1</t>
  </si>
  <si>
    <t>Calibrachoa mottle virus</t>
  </si>
  <si>
    <t>PRJNA214239</t>
  </si>
  <si>
    <t>Unknown:NC_021926.1/GQ244431.1</t>
  </si>
  <si>
    <t>Hemileuca sp. nucleopolyhedrovirus</t>
  </si>
  <si>
    <t>PRJNA214353</t>
  </si>
  <si>
    <t>Unknown:NC_021923.1/KF158713.1</t>
  </si>
  <si>
    <t>Lactobacillus backii strain TMW 1.1988</t>
  </si>
  <si>
    <t>Malvastrum leaf curl Philippines betasatellite</t>
  </si>
  <si>
    <t>PRJNA214366</t>
  </si>
  <si>
    <t>Unknown:NC_021929.1/KF433066.1</t>
  </si>
  <si>
    <t>Rangifer tarandus papillomavirus 2</t>
  </si>
  <si>
    <t>PRJNA214364</t>
  </si>
  <si>
    <t>Unknown:NC_021930.1/KC810012.1</t>
  </si>
  <si>
    <t>Cellulophaga phage phi39:1</t>
  </si>
  <si>
    <t>PRJNA212957</t>
  </si>
  <si>
    <t>Unknown:NC_021804.1/KC821626.1</t>
  </si>
  <si>
    <t>Lactobacillus backii strain TMW 1.1989</t>
  </si>
  <si>
    <t>Cellulophaga phage phi38:1</t>
  </si>
  <si>
    <t>PRJNA212958</t>
  </si>
  <si>
    <t>Unknown:NC_021796.1/KC821614.1</t>
  </si>
  <si>
    <t>Grapevine red blotch virus</t>
  </si>
  <si>
    <t>PRJNA214508</t>
  </si>
  <si>
    <t>Unknown:NC_022002.1/KC896623.1</t>
  </si>
  <si>
    <t>Capraria yellow spot Yucatan virus</t>
  </si>
  <si>
    <t>PRJNA214689</t>
  </si>
  <si>
    <t>45.01</t>
  </si>
  <si>
    <t>DN  A:NC_022007.1/KC426927.1;  DN  B:NC_022008.1/KC426928.1</t>
  </si>
  <si>
    <t>Broad bean true mosaic virus</t>
  </si>
  <si>
    <t>PRJNA214691</t>
  </si>
  <si>
    <t>Lactobacillus backii strain TMW 1.1991</t>
  </si>
  <si>
    <t>41.3368</t>
  </si>
  <si>
    <t>RNA1:NC_022004.1/GU810903.1;  RNA2:NC_022006.1/GU810904.1</t>
  </si>
  <si>
    <t>Bean chlorotic mosaic virus</t>
  </si>
  <si>
    <t>PRJNA214690</t>
  </si>
  <si>
    <t>45.4012</t>
  </si>
  <si>
    <t>DN  A:NC_022005.1/JN848772.1;  DN  B:NC_022003.1/JQ283246.1</t>
  </si>
  <si>
    <t>Brazoran virus</t>
  </si>
  <si>
    <t>PRJNA214783</t>
  </si>
  <si>
    <t>37.0408</t>
  </si>
  <si>
    <t>L:NC_022039.1/KC854418.1;  M:NC_022038.1/KC854417.1;  S:NC_022037.1/KC854416.1</t>
  </si>
  <si>
    <t>Mycobacterium phage Papyrus</t>
  </si>
  <si>
    <t>PRJNA215107</t>
  </si>
  <si>
    <t>Unknown:NC_022053.1/KF416342.1</t>
  </si>
  <si>
    <t>Mycobacterium phage Adzzy</t>
  </si>
  <si>
    <t>Lactobacillus backii strain TMW 1.1992</t>
  </si>
  <si>
    <t>PRJNA215109</t>
  </si>
  <si>
    <t>Unknown:NC_022058.1/KF416344.1</t>
  </si>
  <si>
    <t>Mycobacterium phage Wheeler</t>
  </si>
  <si>
    <t>PRJNA215110</t>
  </si>
  <si>
    <t>Unknown:NC_022070.1/KF416340.1</t>
  </si>
  <si>
    <t>Mycobacterium phage Phelemich</t>
  </si>
  <si>
    <t>PRJNA215112</t>
  </si>
  <si>
    <t>Unknown:NC_022063.1/KF416341.1</t>
  </si>
  <si>
    <t>Lactobacillus backii strain TMW 1.2002</t>
  </si>
  <si>
    <t>Mycobacterium phage Crossroads</t>
  </si>
  <si>
    <t>PRJNA215113</t>
  </si>
  <si>
    <t>Unknown:NC_022071.1/KF024731.1</t>
  </si>
  <si>
    <t>Mycobacterium phage Jabbawokkie</t>
  </si>
  <si>
    <t>PRJNA215115</t>
  </si>
  <si>
    <t>Unknown:NC_022069.1/KF017003.1</t>
  </si>
  <si>
    <t>Mycobacterium phage Hamulus</t>
  </si>
  <si>
    <t>PRJNA215116</t>
  </si>
  <si>
    <t>Unknown:NC_022056.1/KF024723.1</t>
  </si>
  <si>
    <t>Lactobacillus brevis ATCC 367</t>
  </si>
  <si>
    <t>Mycobacterium phage Whirlwind</t>
  </si>
  <si>
    <t>PRJNA215117</t>
  </si>
  <si>
    <t>Unknown:NC_022052.1/KF024725.1</t>
  </si>
  <si>
    <t>Mycobacterium phage Reprobate</t>
  </si>
  <si>
    <t>KF024727.1</t>
  </si>
  <si>
    <t>Mycobacterium phage Trouble</t>
  </si>
  <si>
    <t>PRJNA215119</t>
  </si>
  <si>
    <t>Unknown:NC_022062.1/KF024724.1</t>
  </si>
  <si>
    <t>Lactobacillus brevis BSO 464</t>
  </si>
  <si>
    <t>Mycobacterium phage Muddy</t>
  </si>
  <si>
    <t>PRJNA215120</t>
  </si>
  <si>
    <t>Unknown:NC_022054.1/KF024728.1</t>
  </si>
  <si>
    <t>Mycobacterium phage Daenerys</t>
  </si>
  <si>
    <t>PRJNA215121</t>
  </si>
  <si>
    <t>Unknown:NC_022068.1/KF017005.1</t>
  </si>
  <si>
    <t>Mycobacterium phage Velveteen</t>
  </si>
  <si>
    <t>Lactobacillus brevis KB290</t>
  </si>
  <si>
    <t>PRJNA215123</t>
  </si>
  <si>
    <t>Unknown:NC_022060.1/KF017004.1</t>
  </si>
  <si>
    <t>Mycobacterium phage Catdawg</t>
  </si>
  <si>
    <t>PRJNA215124</t>
  </si>
  <si>
    <t>Unknown:NC_022057.1/KF017002.1</t>
  </si>
  <si>
    <t>Mycobacterium phage Bobi</t>
  </si>
  <si>
    <t>PRJNA215126</t>
  </si>
  <si>
    <t>Lactobacillus brevis strain NPS-QW-145</t>
  </si>
  <si>
    <t>Unknown:NC_022055.1/KF114874.1</t>
  </si>
  <si>
    <t>Mycobacterium phage DrDrey</t>
  </si>
  <si>
    <t>PRJNA215108</t>
  </si>
  <si>
    <t>Unknown:NC_022059.1/KF306380.1</t>
  </si>
  <si>
    <t>Mycobacterium phage KayaCho</t>
  </si>
  <si>
    <t>PRJNA215111</t>
  </si>
  <si>
    <t>Unknown:NC_022061.1/KF024729.1</t>
  </si>
  <si>
    <t>Lactobacillus buchneri CD034</t>
  </si>
  <si>
    <t>Mycobacterium phage Contagion</t>
  </si>
  <si>
    <t>PRJNA215114</t>
  </si>
  <si>
    <t>Unknown:NC_022065.1/KF024732.1</t>
  </si>
  <si>
    <t>Mycobacterium phage Wanda</t>
  </si>
  <si>
    <t>PRJNA215122</t>
  </si>
  <si>
    <t>60.8</t>
  </si>
  <si>
    <t>Unknown:NC_022067.1/KF006818.1</t>
  </si>
  <si>
    <t>Lactobacillus buchneri NRRL B-30929</t>
  </si>
  <si>
    <t>Mycobacterium phage Redno2</t>
  </si>
  <si>
    <t>PRJNA215125</t>
  </si>
  <si>
    <t>Unknown:NC_022066.1/KF114875.1</t>
  </si>
  <si>
    <t>Lactobacillus casei ATCC 334</t>
  </si>
  <si>
    <t>Blackberry vein banding-associated virus</t>
  </si>
  <si>
    <t>PRJNA215129</t>
  </si>
  <si>
    <t>Unknown:NC_022072.1/KC904540.1</t>
  </si>
  <si>
    <t>Hemidesmus yellow mosaic virus</t>
  </si>
  <si>
    <t>PRJNA215128</t>
  </si>
  <si>
    <t>DNA-A:NC_022073.1/KC898543.1</t>
  </si>
  <si>
    <t>Parvovirus NIH-CQV</t>
  </si>
  <si>
    <t>PRJNA215356</t>
  </si>
  <si>
    <t>Lactobacillus casei BD-II</t>
  </si>
  <si>
    <t>Unknown:NC_022089.1/KC617868.1</t>
  </si>
  <si>
    <t>Bacillus phage Wip1</t>
  </si>
  <si>
    <t>PRJNA215653</t>
  </si>
  <si>
    <t>Unknown:NC_022094.1/KF188458.1</t>
  </si>
  <si>
    <t>Bacillus phage Troll</t>
  </si>
  <si>
    <t>PRJNA215668</t>
  </si>
  <si>
    <t>Unknown:NC_022088.2/KF208639.2</t>
  </si>
  <si>
    <t>Pseudomonas phage PaBG</t>
  </si>
  <si>
    <t>Lactobacillus casei BL23</t>
  </si>
  <si>
    <t>PRJNA215670</t>
  </si>
  <si>
    <t>Unknown:NC_022096.1/KF147891.1</t>
  </si>
  <si>
    <t>Mycobacterium phage AnnaL29</t>
  </si>
  <si>
    <t>PRJNA215671</t>
  </si>
  <si>
    <t>Unknown:NC_022087.1/KF024721.1</t>
  </si>
  <si>
    <t>Pseudomonas phage MPK7</t>
  </si>
  <si>
    <t>PRJNA215673</t>
  </si>
  <si>
    <t>Lactobacillus casei LC2W</t>
  </si>
  <si>
    <t>Unknown:NC_022091.1/JX501340.1</t>
  </si>
  <si>
    <t>Mycobacterium phage LittleCherry</t>
  </si>
  <si>
    <t>PRJNA215674</t>
  </si>
  <si>
    <t>Unknown:NC_022086.1/KF017001.1</t>
  </si>
  <si>
    <t>Staphylococcus phage vB_SauM_Remus</t>
  </si>
  <si>
    <t>PRJNA215669</t>
  </si>
  <si>
    <t>Lactobacillus casei LOCK919</t>
  </si>
  <si>
    <t>Unknown:NC_022090.1/JX846612.1</t>
  </si>
  <si>
    <t>Mycobacterium phage Goku</t>
  </si>
  <si>
    <t>PRJNA215672</t>
  </si>
  <si>
    <t>Unknown:NC_022085.1/KF416343.1</t>
  </si>
  <si>
    <t>Pandoravirus salinus</t>
  </si>
  <si>
    <t>PRJNA215788</t>
  </si>
  <si>
    <t>Lactobacillus casei str. Zhang</t>
  </si>
  <si>
    <t>Unknown:NC_022098.1/KC977571.1</t>
  </si>
  <si>
    <t>Ageratum latent virus</t>
  </si>
  <si>
    <t>PRJNA216153</t>
  </si>
  <si>
    <t>40.0074</t>
  </si>
  <si>
    <t>RN  1:NC_022127.1/JX463340.1;  RN  2:NC_022128.1/JX463341.1;  RN  3:NC_022129.1/JX463342.1</t>
  </si>
  <si>
    <t>Chickpea chlorosis Australia virus</t>
  </si>
  <si>
    <t>PRJNA216948</t>
  </si>
  <si>
    <t>Lactobacillus casei subsp. casei ATCC 393</t>
  </si>
  <si>
    <t>Unknown:NC_022131.1/JN989422.1</t>
  </si>
  <si>
    <t>Edwardsiella phage eiAU</t>
  </si>
  <si>
    <t>KF772233.1</t>
  </si>
  <si>
    <t>Bat coronavirus CDPHE15/USA/2006</t>
  </si>
  <si>
    <t>PRJNA260063</t>
  </si>
  <si>
    <t>Unknown:NC_022103.1/KF430219.1</t>
  </si>
  <si>
    <t>Porcine partetravirus</t>
  </si>
  <si>
    <t>Lactobacillus casei W56</t>
  </si>
  <si>
    <t>PRJNA215864</t>
  </si>
  <si>
    <t>Unknown:NC_022104.1/KC992732.1</t>
  </si>
  <si>
    <t>Changuinola virus</t>
  </si>
  <si>
    <t>PRJNA217476</t>
  </si>
  <si>
    <t>42.1565</t>
  </si>
  <si>
    <t>1:NC_022639.1/KF624614.1;  2:NC_022633.1/KF624615.1;  3:NC_022634.1/KF624616.1;  4:NC_022640.1/KF624617.1;  5:NC_022635.1/KF624618.1;  6:NC_022641.1/KF624619.1;  7:NC_022636.1/KF624620.1;  8:NC_022637.1/KF624621.1;  9:NC_022642.1/KF624622.1;  10:NC_022638.1/KF624623.1</t>
  </si>
  <si>
    <t>Sweet potato leaf curl Shanghai virus</t>
  </si>
  <si>
    <t>PRJNA217878</t>
  </si>
  <si>
    <t>Lactobacillus crispatus ST1</t>
  </si>
  <si>
    <t>Unknown:NC_022232.1/KF040467.1</t>
  </si>
  <si>
    <t>Tomato yellow leaf curl Saudi virus</t>
  </si>
  <si>
    <t>PRJNA217879</t>
  </si>
  <si>
    <t>Unknown:NC_022229.1/KF040453.1</t>
  </si>
  <si>
    <t>Tomato mottle mosaic virus</t>
  </si>
  <si>
    <t>PRJNA217881</t>
  </si>
  <si>
    <t>Unknown:NC_022230.1/KF477193.1</t>
  </si>
  <si>
    <t>Lactobacillus curvatus strain FBA2</t>
  </si>
  <si>
    <t>Feline astrovirus 2</t>
  </si>
  <si>
    <t>PRJNA218014</t>
  </si>
  <si>
    <t>Unknown:NC_022249.1/KF499111.1</t>
  </si>
  <si>
    <t>Blueberry shock virus</t>
  </si>
  <si>
    <t>PRJNA218015</t>
  </si>
  <si>
    <t>42.8616</t>
  </si>
  <si>
    <t>RA11:NC_022250.1/KF031037.1;  RA22:NC_022251.1/KF031038.1;  RA33:NC_022252.1/KF031039.1</t>
  </si>
  <si>
    <t>Ferret papillomavirus</t>
  </si>
  <si>
    <t>Lactobacillus delbrueckii subsp. bulgaricus 2038</t>
  </si>
  <si>
    <t>PRJNA218024</t>
  </si>
  <si>
    <t>Unknown:NC_022253.1/KF006988.1</t>
  </si>
  <si>
    <t>Simian adenovirus 18</t>
  </si>
  <si>
    <t>PRJNA218146</t>
  </si>
  <si>
    <t>Unknown:NC_022266.1/FJ025931.1</t>
  </si>
  <si>
    <t>Eel picornavirus 1</t>
  </si>
  <si>
    <t>PRJNA219023</t>
  </si>
  <si>
    <t>Lactobacillus delbrueckii subsp. bulgaricus ATCC 11842</t>
  </si>
  <si>
    <t>Unknown:NC_022332.1/KC843627.1</t>
  </si>
  <si>
    <t>Klebsiella phage 0507-KN2-1</t>
  </si>
  <si>
    <t>PRJNA219106</t>
  </si>
  <si>
    <t>Unknown:NC_022343.1/AB797215.1</t>
  </si>
  <si>
    <t>Mycobacterium phage SargentShorty9</t>
  </si>
  <si>
    <t>KF279416.1</t>
  </si>
  <si>
    <t>Lactobacillus delbrueckii subsp. bulgaricus ATCC BAA-365</t>
  </si>
  <si>
    <t>Propionibacterium phage PHL071N05</t>
  </si>
  <si>
    <t>PRJNA219109</t>
  </si>
  <si>
    <t>Unknown:NC_022337.1/JX570710.1</t>
  </si>
  <si>
    <t>Propionibacterium phage PHL112N00</t>
  </si>
  <si>
    <t>PRJNA219110</t>
  </si>
  <si>
    <t>Unknown:NC_022334.1/JX570714.1</t>
  </si>
  <si>
    <t>Propionibacterium phage PHL111M01</t>
  </si>
  <si>
    <t>PRJNA219111</t>
  </si>
  <si>
    <t>Lactobacillus delbrueckii subsp. bulgaricus ND02</t>
  </si>
  <si>
    <t>Unknown:NC_022342.1/JX570702.1</t>
  </si>
  <si>
    <t>Propionibacterium phage PHL114L00</t>
  </si>
  <si>
    <t>PRJNA219112</t>
  </si>
  <si>
    <t>Unknown:NC_022340.1/JX570712.1</t>
  </si>
  <si>
    <t>Mycobacterium phage Quink</t>
  </si>
  <si>
    <t>PRJNA219113</t>
  </si>
  <si>
    <t>Unknown:NC_022330.1/KF279417.1</t>
  </si>
  <si>
    <t>Lactobacillus delbrueckii subsp. lactis strain CNRZ327</t>
  </si>
  <si>
    <t>Mycobacterium phage PhrostyMug</t>
  </si>
  <si>
    <t>PRJNA219114</t>
  </si>
  <si>
    <t>Unknown:NC_022329.1/KF279415.1</t>
  </si>
  <si>
    <t>Propionibacterium phage PHL037M02</t>
  </si>
  <si>
    <t>JX570706.1</t>
  </si>
  <si>
    <t>Propionibacterium phage PHL010M04</t>
  </si>
  <si>
    <t>PRJNA219117</t>
  </si>
  <si>
    <t>Unknown:NC_022336.1/JX570704.1</t>
  </si>
  <si>
    <t>Mycobacterium phage Bane2</t>
  </si>
  <si>
    <t>Lactobacillus farciminis strain CNCM-I-3699-R</t>
  </si>
  <si>
    <t>68.9</t>
  </si>
  <si>
    <t>KF279413.1</t>
  </si>
  <si>
    <t>Mycobacterium phage Dylan</t>
  </si>
  <si>
    <t>PRJNA219120</t>
  </si>
  <si>
    <t>Unknown:NC_022325.1/KF024730.1</t>
  </si>
  <si>
    <t>Propionibacterium phage PHL060L00</t>
  </si>
  <si>
    <t>PRJNA219122</t>
  </si>
  <si>
    <t>Unknown:NC_022338.1/JX570705.1</t>
  </si>
  <si>
    <t>Mycobacterium phage Sarfire</t>
  </si>
  <si>
    <t>Lactobacillus farciminis strain CNCM-I-3699-S</t>
  </si>
  <si>
    <t>PRJNA219123</t>
  </si>
  <si>
    <t>Unknown:NC_022324.1/KF024726.1</t>
  </si>
  <si>
    <t>Propionibacterium phage PHL113M01</t>
  </si>
  <si>
    <t>PRJNA219107</t>
  </si>
  <si>
    <t>Unknown:NC_022341.1/JX570713.1</t>
  </si>
  <si>
    <t>Escherichia phage JES2013</t>
  </si>
  <si>
    <t>PRJNA219124</t>
  </si>
  <si>
    <t>Unknown:NC_022323.1/KC690136.1</t>
  </si>
  <si>
    <t>Lactobacillus fermentum CECT 5716</t>
  </si>
  <si>
    <t>Propionibacterium phage PHL067M10</t>
  </si>
  <si>
    <t>PRJNA219115</t>
  </si>
  <si>
    <t>Unknown:NC_022335.1/JX570709.1</t>
  </si>
  <si>
    <t>Mycobacterium phage Bane1</t>
  </si>
  <si>
    <t>PRJNA219118</t>
  </si>
  <si>
    <t>NC_022331.2/KF279412.2</t>
  </si>
  <si>
    <t>Mycobacterium phage Adawi</t>
  </si>
  <si>
    <t>PRJNA219121</t>
  </si>
  <si>
    <t>Lactobacillus fermentum F-6</t>
  </si>
  <si>
    <t>68.8</t>
  </si>
  <si>
    <t>Unknown:NC_022328.1/KF279411.1</t>
  </si>
  <si>
    <t>Piper yellow mottle virus</t>
  </si>
  <si>
    <t>PRJNA219627</t>
  </si>
  <si>
    <t>Unknown:NC_022365.1/KC808712.1</t>
  </si>
  <si>
    <t>Felis catus papillomavirus 4</t>
  </si>
  <si>
    <t>PRJNA221115</t>
  </si>
  <si>
    <t>Unknown:NC_022373.1/KF147892.1</t>
  </si>
  <si>
    <t>Lactobacillus fermentum IFO 3956</t>
  </si>
  <si>
    <t>Human endogenous retrovirus K113</t>
  </si>
  <si>
    <t>PRJNA222261</t>
  </si>
  <si>
    <t>Unknown:NC_022518.1/AY037928.1</t>
  </si>
  <si>
    <t>Baboon endogenous virus strain M7</t>
  </si>
  <si>
    <t>PRJNA222253</t>
  </si>
  <si>
    <t>Unknown:NC_022517.1/D10032.1</t>
  </si>
  <si>
    <t>African elephant polyomavirus 1</t>
  </si>
  <si>
    <t>PRJNA222309</t>
  </si>
  <si>
    <t>Lactobacillus gallinarum strain HFD4</t>
  </si>
  <si>
    <t>Unknown:NC_022519.1/KF147833.1</t>
  </si>
  <si>
    <t>Enterobacteria phage GEC-3S</t>
  </si>
  <si>
    <t>PRJEB227</t>
  </si>
  <si>
    <t>Unknown:NC_025425.1/HE978309.1</t>
  </si>
  <si>
    <t>Wallal virus</t>
  </si>
  <si>
    <t>PRJNA222995</t>
  </si>
  <si>
    <t>Lactobacillus gasseri 130918</t>
  </si>
  <si>
    <t>38.9966</t>
  </si>
  <si>
    <t>segmen  2:NC_022554.1/KF234260.1;  segmen  4:NC_022560.1/KF234262.1;  segmen  5:NC_022556.1/KF234263.1;  segmen  6:NC_022561.1/KF234264.1;  segmen  7:NC_022557.1/KF234265.1;  segmen  8:NC_022562.1/KF234266.1;  segmen  9:NC_022558.1/KF234267.1;  segment 1:NC_022553.1/KF234259.1;  segment 10:NC_022559.1/KF234268.1;  segment 3:NC_022555.1/KF234261.1</t>
  </si>
  <si>
    <t>Acheta domestica mini ambidensovirus</t>
  </si>
  <si>
    <t>PRJNA223005</t>
  </si>
  <si>
    <t>Unknown:NC_022564.1/KF275669.1</t>
  </si>
  <si>
    <t>Squirrelpox virus</t>
  </si>
  <si>
    <t>PRJNA223065</t>
  </si>
  <si>
    <t>Unknown:NC_022563.1/HE601899.1</t>
  </si>
  <si>
    <t>Lactobacillus gasseri ATCC 33323</t>
  </si>
  <si>
    <t>Drosophila obscura sigmavirus 10A</t>
  </si>
  <si>
    <t>PRJNA224247</t>
  </si>
  <si>
    <t>Unknown:NC_022580.1/GQ410979.1</t>
  </si>
  <si>
    <t>Eel virus European X</t>
  </si>
  <si>
    <t>PRJNA224248</t>
  </si>
  <si>
    <t>Unknown:NC_022581.1/FN557213.1</t>
  </si>
  <si>
    <t>Lactococcus phage phiL47</t>
  </si>
  <si>
    <t>PRJNA240042</t>
  </si>
  <si>
    <t>Unknown:NC_023574.1/KF926093.1</t>
  </si>
  <si>
    <t>Lactobacillus ginsenosidimutans strain EMML 3041</t>
  </si>
  <si>
    <t>Murrumbidgee virus</t>
  </si>
  <si>
    <t>PRJNA225034</t>
  </si>
  <si>
    <t>31.8213</t>
  </si>
  <si>
    <t>L:NC_022595.1/KF234253.1;  M:NC_022596.1/KF234254.1;  S:NC_022597.1/KF234255.1</t>
  </si>
  <si>
    <t>Halyomorpha halys virus</t>
  </si>
  <si>
    <t>PRJNA225920</t>
  </si>
  <si>
    <t>Unknown:NC_022611.1/KF699344.1</t>
  </si>
  <si>
    <t>Dill cryptic virus 1</t>
  </si>
  <si>
    <t>PRJNA225921</t>
  </si>
  <si>
    <t>45.8903</t>
  </si>
  <si>
    <t>RA11:NC_022614.1/KF484726.1;  RA22:NC_022615.1/KF484727.1</t>
  </si>
  <si>
    <t>Lactobacillus helveticus CNRZ32</t>
  </si>
  <si>
    <t>Turkey aviadenovirus 5</t>
  </si>
  <si>
    <t>PRJNA225923</t>
  </si>
  <si>
    <t>Unknown:NC_022613.1/KF477313.1</t>
  </si>
  <si>
    <t>Red clover cryptic virus 1</t>
  </si>
  <si>
    <t>PRJNA225924</t>
  </si>
  <si>
    <t>45.5574</t>
  </si>
  <si>
    <t>RNA 1:NC_022616.1/KF484724.1;  RNA 2:NC_022617.1/KF484725.1</t>
  </si>
  <si>
    <t>Lactobacillus helveticus DPC 4571</t>
  </si>
  <si>
    <t>Turkey aviadenovirus 4</t>
  </si>
  <si>
    <t>PRJNA225922</t>
  </si>
  <si>
    <t>Unknown:NC_022612.1/KF477312.1</t>
  </si>
  <si>
    <t>Rhizoctonia cerealis alphaendornavirus 1</t>
  </si>
  <si>
    <t>PRJNA225929</t>
  </si>
  <si>
    <t>Unknown:NC_022619.1/KF311065.1</t>
  </si>
  <si>
    <t>Mobuck virus</t>
  </si>
  <si>
    <t>PRJNA225930</t>
  </si>
  <si>
    <t>39.5956</t>
  </si>
  <si>
    <t>Lactobacillus helveticus H10</t>
  </si>
  <si>
    <t>segmen  1:NC_022626.1/KF296322.1;  segmen  2:NC_022620.1/KF296323.1;  segmen  3:NC_022627.1/KF296324.1;  segmen  4:NC_022621.1/KF296325.1;  segmen  5:NC_022628.1/KF296326.1;  segmen  6:NC_022622.1/KF296327.1;  segmen  7:NC_022623.1/KF296328.1;  segmen  8:NC_022629.1/KF296329.1;  segmen  9:NC_022624.1/KF296330.1;  segment 10:NC_022625.1/KF296331.1</t>
  </si>
  <si>
    <t>Razdan virus</t>
  </si>
  <si>
    <t>PRJNA225931</t>
  </si>
  <si>
    <t>45.5068</t>
  </si>
  <si>
    <t>L:NC_022630.1/KC335496.1;  M:NC_022631.1/KC335497.1;  S:NC_022632.1/KC335498.1</t>
  </si>
  <si>
    <t>East African cassava mosaic Malawi virus</t>
  </si>
  <si>
    <t>PRJNA226083</t>
  </si>
  <si>
    <t>44.2054</t>
  </si>
  <si>
    <t>DN  A:NC_022645.1/JX658694.1;  DN  B:NC_022644.1/JX658684.1</t>
  </si>
  <si>
    <t>Lactobacillus helveticus H9</t>
  </si>
  <si>
    <t>Betacoronavirus Erinaceus/VMC/DEU/2012</t>
  </si>
  <si>
    <t>PRJNA226084</t>
  </si>
  <si>
    <t>Unknown:NC_022643.1/KC545386.1</t>
  </si>
  <si>
    <t>Mesocricetus auratus papillomavirus 1</t>
  </si>
  <si>
    <t>PRJNA226107</t>
  </si>
  <si>
    <t>Unknown:NC_022647.1/HG530538.1</t>
  </si>
  <si>
    <t>Salmonella phage SETP7</t>
  </si>
  <si>
    <t>Lactobacillus helveticus strain CAUH18</t>
  </si>
  <si>
    <t>PRJNA226725</t>
  </si>
  <si>
    <t>Unknown:NC_022754.1/KF562865.1</t>
  </si>
  <si>
    <t>Enterobacteria phage fiAA91-ss</t>
  </si>
  <si>
    <t>PRJNA226726</t>
  </si>
  <si>
    <t>Unknown:NC_022750.1/KF322032.1</t>
  </si>
  <si>
    <t>Salmonella phage SETP13</t>
  </si>
  <si>
    <t>PRJNA226727</t>
  </si>
  <si>
    <t>Lactobacillus helveticus strain KLDS1.8701</t>
  </si>
  <si>
    <t>Unknown:NC_022752.1/KF562864.1</t>
  </si>
  <si>
    <t>Tall oatgrass mosaic virus</t>
  </si>
  <si>
    <t>PRJNA226728</t>
  </si>
  <si>
    <t>Unknown:NC_022745.1/KF260962.1</t>
  </si>
  <si>
    <t>Solenopsis invicta densovirus</t>
  </si>
  <si>
    <t>PRJNA226730</t>
  </si>
  <si>
    <t>Lactobacillus helveticus strain MB2-1</t>
  </si>
  <si>
    <t>Unknown:NC_022748.1/KC991097.1</t>
  </si>
  <si>
    <t>American bat vesiculovirus TFFN-2013</t>
  </si>
  <si>
    <t>PRJNA226731</t>
  </si>
  <si>
    <t>Unknown:NC_022755.1/JX569193.2</t>
  </si>
  <si>
    <t>Shigella phage SfIV</t>
  </si>
  <si>
    <t>PRJNA227000</t>
  </si>
  <si>
    <t>Unknown:NC_022749.1/KC814930.1</t>
  </si>
  <si>
    <t>Pseudomonas phage MPK6</t>
  </si>
  <si>
    <t>PRJNA227001</t>
  </si>
  <si>
    <t>Lactobacillus hokkaidonensis LOOC260</t>
  </si>
  <si>
    <t>Unknown:NC_022746.1/JX997978.1</t>
  </si>
  <si>
    <t>Staphylococcus phage YMC/09/04/R1988</t>
  </si>
  <si>
    <t>PRJNA227002</t>
  </si>
  <si>
    <t>Unknown:NC_022758.1/KF598856.1</t>
  </si>
  <si>
    <t>Erwinia phage FE44</t>
  </si>
  <si>
    <t>Lactobacillus johnsonii DPC 6026</t>
  </si>
  <si>
    <t>PRJNA227003</t>
  </si>
  <si>
    <t>Unknown:NC_022744.1/KF700371.1</t>
  </si>
  <si>
    <t>Lactobacillus phage J-1</t>
  </si>
  <si>
    <t>PRJNA227005</t>
  </si>
  <si>
    <t>Unknown:NC_022756.1/KC171646.1</t>
  </si>
  <si>
    <t>Lactobacillus johnsonii FI9785</t>
  </si>
  <si>
    <t>Mycobacterium phage Fredward</t>
  </si>
  <si>
    <t>PRJNA227008</t>
  </si>
  <si>
    <t>Unknown:NC_022753.1/KF279414.1</t>
  </si>
  <si>
    <t>Lactobacillus phage PL-1</t>
  </si>
  <si>
    <t>PRJNA227007</t>
  </si>
  <si>
    <t>Unknown:NC_022757.1/KC171647.1</t>
  </si>
  <si>
    <t>Cyanophage PP</t>
  </si>
  <si>
    <t>PRJNA227004</t>
  </si>
  <si>
    <t>Unknown:NC_022751.1/KF598865.1</t>
  </si>
  <si>
    <t>Streptococcus phage TP-778L</t>
  </si>
  <si>
    <t>Lactobacillus johnsonii N6.2</t>
  </si>
  <si>
    <t>PRJNA227111</t>
  </si>
  <si>
    <t>Unknown:NC_022776.1/HG380752.1</t>
  </si>
  <si>
    <t>Salmonella phage Marshall</t>
  </si>
  <si>
    <t>Unknown:NC_022772.1/KF669653.1</t>
  </si>
  <si>
    <t>Bacillus phage CampHawk</t>
  </si>
  <si>
    <t>Lactobacillus johnsonii NCC 533</t>
  </si>
  <si>
    <t>Unknown:NC_022761.1/KF669649.1</t>
  </si>
  <si>
    <t>Lactobacillus phage phiLdb</t>
  </si>
  <si>
    <t>PRJNA227117</t>
  </si>
  <si>
    <t>Unknown:NC_022762.1/KF188410.1</t>
  </si>
  <si>
    <t>Bacillus phage BigBertha</t>
  </si>
  <si>
    <t>Unknown:NC_022769.1/KF669647.1</t>
  </si>
  <si>
    <t>Bacillus phage Spock</t>
  </si>
  <si>
    <t>Lactobacillus kefiranofaciens ZW3</t>
  </si>
  <si>
    <t>Unknown:NC_022763.1/KF669662.1</t>
  </si>
  <si>
    <t>Bacillus virus Glittering</t>
  </si>
  <si>
    <t>Unknown:NC_022766.1/KF669651.1</t>
  </si>
  <si>
    <t>Bacillus virus Riggi</t>
  </si>
  <si>
    <t>Lactobacillus koreensis strain 26-25</t>
  </si>
  <si>
    <t>Unknown:NC_022765.1/KF669659.1</t>
  </si>
  <si>
    <t>Bacillus phage Staley</t>
  </si>
  <si>
    <t>Unknown:NC_022767.1/KF669663.1</t>
  </si>
  <si>
    <t>Lactobacillus kunkeei strain MP2</t>
  </si>
  <si>
    <t>Bacillus phage Pony</t>
  </si>
  <si>
    <t>Unknown:NC_022770.1/KF669660.1</t>
  </si>
  <si>
    <t>Bacillus phage Grass</t>
  </si>
  <si>
    <t>Unknown:NC_022771.1/KF669652.1</t>
  </si>
  <si>
    <t>Bacillus virus Blastoid</t>
  </si>
  <si>
    <t>Unknown:NC_022773.1/KF669648.1</t>
  </si>
  <si>
    <t>Lactobacillus oris strain J-1</t>
  </si>
  <si>
    <t>Lactobacillus phage phiJB</t>
  </si>
  <si>
    <t>PRJNA227128</t>
  </si>
  <si>
    <t>Unknown:NC_022775.1/KF188409.1</t>
  </si>
  <si>
    <t>Bacillus phage Page</t>
  </si>
  <si>
    <t>Unknown:NC_022764.1/KF669655.1</t>
  </si>
  <si>
    <t>Streptococcus phage phiBHN167</t>
  </si>
  <si>
    <t>Lactobacillus paracasei N1115</t>
  </si>
  <si>
    <t>PRJNA227353</t>
  </si>
  <si>
    <t>Unknown:NC_022791.1/HF563658.1</t>
  </si>
  <si>
    <t>Porcine torovirus</t>
  </si>
  <si>
    <t>PRJNA227354</t>
  </si>
  <si>
    <t>Unknown:NC_022787.1/JQ860350.1</t>
  </si>
  <si>
    <t>Gyrovirus Tu789</t>
  </si>
  <si>
    <t>PRJNA227355</t>
  </si>
  <si>
    <t>Lactobacillus paracasei strain CAUH35</t>
  </si>
  <si>
    <t>Unknown:NC_022789.1/KF294862.1</t>
  </si>
  <si>
    <t>Marine gokushovirus</t>
  </si>
  <si>
    <t>PRJNA227357</t>
  </si>
  <si>
    <t>Unknown:NC_022790.1/KC131021.1</t>
  </si>
  <si>
    <t>Gyrovirus Tu243</t>
  </si>
  <si>
    <t>PRJNA227356</t>
  </si>
  <si>
    <t>Lactobacillus paracasei strain KL1</t>
  </si>
  <si>
    <t>Unknown:NC_022788.1/KF294861.1</t>
  </si>
  <si>
    <t>Potato black ringspot virus</t>
  </si>
  <si>
    <t>PRJNA227467</t>
  </si>
  <si>
    <t>47.0756</t>
  </si>
  <si>
    <t>RNA 1:NC_022798.1/KC832887.1;  RNA 2:NC_022799.1/KC832892.1</t>
  </si>
  <si>
    <t>Yellow tailflower mild mottle virus</t>
  </si>
  <si>
    <t>PRJNA227475</t>
  </si>
  <si>
    <t>Unknown:NC_022801.1/KF495564.1</t>
  </si>
  <si>
    <t>Lactobacillus paracasei strain L9</t>
  </si>
  <si>
    <t>Feline sakobuvirus A</t>
  </si>
  <si>
    <t>PRJNA227566</t>
  </si>
  <si>
    <t>Unknown:NC_022802.1/KF387721.1</t>
  </si>
  <si>
    <t>Feline bocavirus 2</t>
  </si>
  <si>
    <t>PRJNA227738</t>
  </si>
  <si>
    <t>Unknown:NC_022800.1/KF792837.1</t>
  </si>
  <si>
    <t>Staphylococcus phage S25-4</t>
  </si>
  <si>
    <t>PRJNA230071</t>
  </si>
  <si>
    <t>Lactobacillus paracasei subsp. paracasei JCM 8130</t>
  </si>
  <si>
    <t>Unknown:NC_022918.1/AB853331.1</t>
  </si>
  <si>
    <t>Staphylococcus phage S25-3</t>
  </si>
  <si>
    <t>PRJNA230094</t>
  </si>
  <si>
    <t>Unknown:NC_022920.1/AB853330.1</t>
  </si>
  <si>
    <t>Cardamom bushy dwarf virus satellite</t>
  </si>
  <si>
    <t>PRJNA230064</t>
  </si>
  <si>
    <t>Unknown:NC_022919.1/KF435148.1</t>
  </si>
  <si>
    <t>Garlic virus D</t>
  </si>
  <si>
    <t>PRJNA230252</t>
  </si>
  <si>
    <t>Lactobacillus pentosus KCA1</t>
  </si>
  <si>
    <t>Unknown:NC_022961.1/KF555653.1</t>
  </si>
  <si>
    <t>Olive viral satellite RNA</t>
  </si>
  <si>
    <t>PRJNA230268</t>
  </si>
  <si>
    <t>Unknown:NC_022962.1/KC133073.1</t>
  </si>
  <si>
    <t>Pseudomonas phage phiIBB-PAA2</t>
  </si>
  <si>
    <t>PRJNA230578</t>
  </si>
  <si>
    <t>Unknown:NC_022971.1/KF856712.1</t>
  </si>
  <si>
    <t>Lactobacillus plantarum 16</t>
  </si>
  <si>
    <t>Carnation yellow fleck virus</t>
  </si>
  <si>
    <t>PRJNA230579</t>
  </si>
  <si>
    <t>Unknown:NC_022978.1/GU234167.1</t>
  </si>
  <si>
    <t>Lactobacillus virus LLKu</t>
  </si>
  <si>
    <t>PRJNA230581</t>
  </si>
  <si>
    <t>Unknown:NC_022989.1/AY739900.2</t>
  </si>
  <si>
    <t>Mycobacterium phage HufflyPuff</t>
  </si>
  <si>
    <t>PRJNA230582</t>
  </si>
  <si>
    <t>Unknown:NC_022981.1/KF562100.1</t>
  </si>
  <si>
    <t>Lactobacillus plantarum CMPG5300</t>
  </si>
  <si>
    <t>Mycobacterium phage Jovo</t>
  </si>
  <si>
    <t>PRJNA230584</t>
  </si>
  <si>
    <t>Unknown:NC_022984.1/KF493882.1</t>
  </si>
  <si>
    <t>Mycobacterium phage HanShotFirst</t>
  </si>
  <si>
    <t>PRJNA230585</t>
  </si>
  <si>
    <t>Unknown:NC_022975.1/KF493880.1</t>
  </si>
  <si>
    <t>Mycobacterium phage Bernardo</t>
  </si>
  <si>
    <t>Lactobacillus plantarum DOMLa</t>
  </si>
  <si>
    <t>PRJNA230586</t>
  </si>
  <si>
    <t>Unknown:NC_022983.1/KF493879.1</t>
  </si>
  <si>
    <t>Xylella phage Prado</t>
  </si>
  <si>
    <t>PRJNA230587</t>
  </si>
  <si>
    <t>Unknown:NC_022987.1/KF626667.1</t>
  </si>
  <si>
    <t>Mycobacterium phage CloudWang3</t>
  </si>
  <si>
    <t>Lactobacillus plantarum JDM1</t>
  </si>
  <si>
    <t>PRJNA230588</t>
  </si>
  <si>
    <t>Unknown:NC_022965.1/KF560332.1</t>
  </si>
  <si>
    <t>Mycobacterium phage Zaka</t>
  </si>
  <si>
    <t>PRJNA230589</t>
  </si>
  <si>
    <t>Unknown:NC_022985.1/KF560334.1</t>
  </si>
  <si>
    <t>Arthrobacter phage vB_ArS-ArV2</t>
  </si>
  <si>
    <t>PRJNA230590</t>
  </si>
  <si>
    <t>Lactobacillus plantarum strain 5-2</t>
  </si>
  <si>
    <t>Unknown:NC_022972.2/KF692088.2</t>
  </si>
  <si>
    <t>Escherichia phage 4MG</t>
  </si>
  <si>
    <t>PRJNA230592</t>
  </si>
  <si>
    <t>Unknown:NC_022968.1/KF550303.1</t>
  </si>
  <si>
    <t>Xylella phage Paz</t>
  </si>
  <si>
    <t>PRJNA230593</t>
  </si>
  <si>
    <t>Unknown:NC_022982.1/KF626666.1</t>
  </si>
  <si>
    <t>Mycobacterium phage PhatBacter</t>
  </si>
  <si>
    <t>PRJNA230595</t>
  </si>
  <si>
    <t>Unknown:NC_022969.1/KF562102.1</t>
  </si>
  <si>
    <t>Lactobacillus plantarum strain B21</t>
  </si>
  <si>
    <t>Mycobacterium phage Artemis2UCLA</t>
  </si>
  <si>
    <t>PRJNA230596</t>
  </si>
  <si>
    <t>Unknown:NC_022977.1/KF560333.1</t>
  </si>
  <si>
    <t>Mycobacterium phage Graduation</t>
  </si>
  <si>
    <t>PRJNA230598</t>
  </si>
  <si>
    <t>Unknown:NC_022979.1/KF560331.1</t>
  </si>
  <si>
    <t>Pseudomonas phage PAK_P2</t>
  </si>
  <si>
    <t>PRJNA230599</t>
  </si>
  <si>
    <t>Lactobacillus plantarum strain CAUH2</t>
  </si>
  <si>
    <t>Unknown:NC_022967.1/KC862298.1</t>
  </si>
  <si>
    <t>Pseudomonas phage PAK_P4</t>
  </si>
  <si>
    <t>PRJNA230604</t>
  </si>
  <si>
    <t>Unknown:NC_022986.1/KC862300.1</t>
  </si>
  <si>
    <t>Pseudomonas phage CHA_P1</t>
  </si>
  <si>
    <t>PRJNA230606</t>
  </si>
  <si>
    <t>Unknown:NC_022974.1/KC862295.1</t>
  </si>
  <si>
    <t>Lactobacillus plantarum strain HFC8</t>
  </si>
  <si>
    <t>Zamilon virus</t>
  </si>
  <si>
    <t>PRJNA230580</t>
  </si>
  <si>
    <t>Unknown:NC_022990.1/HG531932.1</t>
  </si>
  <si>
    <t>Pseudomonas phage PAK_P3</t>
  </si>
  <si>
    <t>PRJNA230583</t>
  </si>
  <si>
    <t>Unknown:NC_022970.1/KC862299.1</t>
  </si>
  <si>
    <t>Pseudomonas phage PAK_P5</t>
  </si>
  <si>
    <t>PRJNA230600</t>
  </si>
  <si>
    <t>Lactobacillus plantarum strain JBE245</t>
  </si>
  <si>
    <t>Unknown:NC_022966.1/KC862301.1</t>
  </si>
  <si>
    <t>Mycobacterium phage Conspiracy</t>
  </si>
  <si>
    <t>PRJNA230591</t>
  </si>
  <si>
    <t>Unknown:NC_022973.1/KF560330.1</t>
  </si>
  <si>
    <t>Mycobacterium phage Bruin</t>
  </si>
  <si>
    <t>PRJNA230594</t>
  </si>
  <si>
    <t>Unknown:NC_022988.1/KF562099.1</t>
  </si>
  <si>
    <t>Lactobacillus plantarum strain LZ206</t>
  </si>
  <si>
    <t>Mycobacterium phage Nala</t>
  </si>
  <si>
    <t>PRJNA230597</t>
  </si>
  <si>
    <t>Unknown:NC_022976.1/KF562101.1</t>
  </si>
  <si>
    <t>Butcherbird polyomavirus</t>
  </si>
  <si>
    <t>PRJNA230847</t>
  </si>
  <si>
    <t>Unknown:NC_023008.1/KF360862.1</t>
  </si>
  <si>
    <t>Pseudomonas phage PPpW-4</t>
  </si>
  <si>
    <t>PRJNA230850</t>
  </si>
  <si>
    <t>Lactobacillus plantarum strain LZ227</t>
  </si>
  <si>
    <t>Unknown:NC_023005.1/AB775549.1</t>
  </si>
  <si>
    <t>Pseudomonas phage PPpW-3</t>
  </si>
  <si>
    <t>PRJNA230849</t>
  </si>
  <si>
    <t>Unknown:NC_023006.1/AB775548.1</t>
  </si>
  <si>
    <t>Staphylococcus phage Sb-1</t>
  </si>
  <si>
    <t>PRJNA230853</t>
  </si>
  <si>
    <t>Unknown:NC_023009.1/HQ163896.1</t>
  </si>
  <si>
    <t>Lactobacillus plantarum strain NCU116</t>
  </si>
  <si>
    <t>Hedyotis yellow mosaic betasatellite</t>
  </si>
  <si>
    <t>PRJNA230991</t>
  </si>
  <si>
    <t>Unknown:NC_023015.1/KF641186.1</t>
  </si>
  <si>
    <t>Bidens mosaic virus</t>
  </si>
  <si>
    <t>PRJNA230992</t>
  </si>
  <si>
    <t>Unknown:NC_023014.1/KF649336.1</t>
  </si>
  <si>
    <t>Lamium mild mosaic virus</t>
  </si>
  <si>
    <t>PRJNA230993</t>
  </si>
  <si>
    <t>43.7195</t>
  </si>
  <si>
    <t>Lactobacillus plantarum strain Zhang-LL</t>
  </si>
  <si>
    <t>RNA 1:NC_023016.1/KC595304.1;  RNA 2:NC_023017.1/KC595305.1</t>
  </si>
  <si>
    <t>Human papillomavirus 167</t>
  </si>
  <si>
    <t>PRJNA229821</t>
  </si>
  <si>
    <t>Unknown:NC_022892.1/KC862318.1</t>
  </si>
  <si>
    <t>Penaeus monodon circovirus VN11</t>
  </si>
  <si>
    <t>PRJNA229825</t>
  </si>
  <si>
    <t>Unknown:NC_022897.1/KF481961.1</t>
  </si>
  <si>
    <t>Lactobacillus plantarum strain ZJ95</t>
  </si>
  <si>
    <t>Sclerotinia sclerotiorum hypovirus 2</t>
  </si>
  <si>
    <t>PRJNA229826</t>
  </si>
  <si>
    <t>Unknown:NC_022896.1/KF525367.1</t>
  </si>
  <si>
    <t>Yam spherical virus</t>
  </si>
  <si>
    <t>PRJNA229827</t>
  </si>
  <si>
    <t>Unknown:NC_022895.1/KF482072.1</t>
  </si>
  <si>
    <t>Donkey orchid symptomless virus</t>
  </si>
  <si>
    <t>Lactobacillus plantarum strain ZS2058</t>
  </si>
  <si>
    <t>PRJNA229828</t>
  </si>
  <si>
    <t>Unknown:NC_022894.1/KC923234.1</t>
  </si>
  <si>
    <t>Ralstonia phage RSK1</t>
  </si>
  <si>
    <t>PRJNA229896</t>
  </si>
  <si>
    <t>Unknown:NC_022915.1/AB863625.1</t>
  </si>
  <si>
    <t>Ralstonia phage RSB3</t>
  </si>
  <si>
    <t>PRJNA229898</t>
  </si>
  <si>
    <t>Unknown:NC_022917.1/AB854109.1</t>
  </si>
  <si>
    <t>Lactobacillus plantarum subsp. plantarum P-8</t>
  </si>
  <si>
    <t>Staphylococcus phage phiRS7</t>
  </si>
  <si>
    <t>PRJNA229900</t>
  </si>
  <si>
    <t>Unknown:NC_022914.1/KF589919.1</t>
  </si>
  <si>
    <t>Burkholderia phage JG068</t>
  </si>
  <si>
    <t>PRJNA229901</t>
  </si>
  <si>
    <t>Unknown:NC_022916.1/KC853746.1</t>
  </si>
  <si>
    <t>Porcine parvovirus 5</t>
  </si>
  <si>
    <t>PRJNA231186</t>
  </si>
  <si>
    <t>Lactobacillus plantarum subsp. plantarum ST-III</t>
  </si>
  <si>
    <t>Unknown:NC_023020.1/JX896321.1</t>
  </si>
  <si>
    <t>Spinach yellow vein Sikar virus</t>
  </si>
  <si>
    <t>PRJNA231203</t>
  </si>
  <si>
    <t>Unknown:NC_023023.1/KF660223.1</t>
  </si>
  <si>
    <t>Formica exsecta virus 1</t>
  </si>
  <si>
    <t>PRJNA231521</t>
  </si>
  <si>
    <t>Unknown:NC_023021.1/KF500001.1</t>
  </si>
  <si>
    <t>Lactobacillus plantarum subsp. plantarum strain CGMCC 1.557</t>
  </si>
  <si>
    <t>Formica exsecta virus 2</t>
  </si>
  <si>
    <t>PRJNA231522</t>
  </si>
  <si>
    <t>Unknown:NC_023022.1/KF500002.1</t>
  </si>
  <si>
    <t>Tomato leaf curl Gandhinagar virus</t>
  </si>
  <si>
    <t>PRJNA231657</t>
  </si>
  <si>
    <t>DNA-A:NC_023034.1/KC952005.1</t>
  </si>
  <si>
    <t>Tomato leaf curl Gandhinagar betasatellite</t>
  </si>
  <si>
    <t>PRJNA231683</t>
  </si>
  <si>
    <t>Lactobacillus plantarum WCFS1</t>
  </si>
  <si>
    <t>Unknown:NC_023038.1/KC952006.1</t>
  </si>
  <si>
    <t>Magnaporthe oryzae chrysovirus 3</t>
  </si>
  <si>
    <t>PRJNA231682</t>
  </si>
  <si>
    <t>61.9971</t>
  </si>
  <si>
    <t>1:NC_023041.1/AB824667.1;  2:NC_023042.1/AB824668.1;  3:NC_023043.1/AB824669.1;  4:NC_023039.1/AB824670.1;  5:NC_023040.1/AB824671.1</t>
  </si>
  <si>
    <t>Citrus endogenous pararetrovirus</t>
  </si>
  <si>
    <t>PRJNA232404</t>
  </si>
  <si>
    <t>Unknown:NC_023153.1/KF800043.1</t>
  </si>
  <si>
    <t>Lactobacillus plantarum ZJ316</t>
  </si>
  <si>
    <t>Pea necrotic yellow dwarf virus</t>
  </si>
  <si>
    <t>PRJNA232600</t>
  </si>
  <si>
    <t>40.1222</t>
  </si>
  <si>
    <t>DNA C:NC_023158.1/JN133280.1;  DNA M:NC_023156.1/JN133281.1;  DNA N:NC_023159.1/JN133282.1;  DNA R:NC_023154.1/GU553134.1;  DNA S:NC_023155.1/JN133279.1;  DNA-U1:NC_023160.1/JN133283.1;  DNA-U2:NC_023157.1/JN133284.1;  DNA-U4:NC_023161.1/JN133285.1</t>
  </si>
  <si>
    <t>Carp picornavirus 1</t>
  </si>
  <si>
    <t>PRJNA232646</t>
  </si>
  <si>
    <t>Unknown:NC_023162.1/KF306267.1</t>
  </si>
  <si>
    <t>Lactobacillus reuteri DSM 20016</t>
  </si>
  <si>
    <t>Zucchini tigre mosaic virus</t>
  </si>
  <si>
    <t>PRJNA232774</t>
  </si>
  <si>
    <t>Unknown:NC_023175.1/KC345607.1</t>
  </si>
  <si>
    <t>Castor canadensis papillomavirus 1</t>
  </si>
  <si>
    <t>PRJNA232776</t>
  </si>
  <si>
    <t>Unknown:NC_023178.1/KC020689.2</t>
  </si>
  <si>
    <t>Porcine pestivirus isolate Bungowannah</t>
  </si>
  <si>
    <t>PRJNA232775</t>
  </si>
  <si>
    <t>Unknown:NC_023176.1/EF100713.2</t>
  </si>
  <si>
    <t>Lactobacillus reuteri I5007</t>
  </si>
  <si>
    <t>Papaya leaf curl alphasatellite</t>
  </si>
  <si>
    <t>PRJNA233414</t>
  </si>
  <si>
    <t>Unknown:NC_023292.1/HQ668024.1</t>
  </si>
  <si>
    <t>Apricot vein clearing associated virus</t>
  </si>
  <si>
    <t>PRJNA233521</t>
  </si>
  <si>
    <t>Unknown:NC_023295.1/HG008921.2</t>
  </si>
  <si>
    <t>Lactobacillus reuteri JCM 1112</t>
  </si>
  <si>
    <t>Pea yellow stunt virus</t>
  </si>
  <si>
    <t>PRJNA233604</t>
  </si>
  <si>
    <t>41.2453</t>
  </si>
  <si>
    <t>DNA-C:NC_023309.1/KC979056.1;  DNA-M:NC_023297.1/KC979057.1;  DNA-N:NC_023310.1/KC979058.1;  DNA-R:NC_023296.1/KC979054.1;  DNA-S:NC_023308.1/KC979055.1;  DNA-U1:NC_023303.1/KC979062.1;  DNA-U2:NC_023298.1/KC979059.1;  DNA-U4:NC_023311.1/KC979061.1</t>
  </si>
  <si>
    <t>Tomato leaf curl Liwa virus</t>
  </si>
  <si>
    <t>PRJNA233691</t>
  </si>
  <si>
    <t>Unknown:NC_023312.1/HF912280.1</t>
  </si>
  <si>
    <t>Eggplant mottled crinkle virus</t>
  </si>
  <si>
    <t>PRJNA236313</t>
  </si>
  <si>
    <t>Unknown:NC_023339.1/JQ864181.1</t>
  </si>
  <si>
    <t>Pithovirus sibericum</t>
  </si>
  <si>
    <t>Lactobacillus reuteri strain IRT</t>
  </si>
  <si>
    <t>PRJNA237323</t>
  </si>
  <si>
    <t>Pithoviridae</t>
  </si>
  <si>
    <t>Unknown:NC_023423.1/KF740664.1</t>
  </si>
  <si>
    <t>Tyuleniy virus</t>
  </si>
  <si>
    <t>PRJNA237448</t>
  </si>
  <si>
    <t>Unknown:NC_023424.1/KF815939.1</t>
  </si>
  <si>
    <t>Avian hepatitis E virus</t>
  </si>
  <si>
    <t>PRJNA237458</t>
  </si>
  <si>
    <t>Lactobacillus reuteri strain ZLR003</t>
  </si>
  <si>
    <t>Unknown:NC_023425.1/AY535004.1</t>
  </si>
  <si>
    <t>Dragonfly larvae associated circular virus-9</t>
  </si>
  <si>
    <t>PRJNA237469</t>
  </si>
  <si>
    <t>Unknown:NC_023435.1/KF738883.1</t>
  </si>
  <si>
    <t>Anomala cuprea entomopoxvirus</t>
  </si>
  <si>
    <t>PRJNA237470</t>
  </si>
  <si>
    <t>Unknown:NC_023426.1/AP013055.1</t>
  </si>
  <si>
    <t>Dragonfly larvae associated circular virus-8</t>
  </si>
  <si>
    <t>Lactobacillus reuteri TD1</t>
  </si>
  <si>
    <t>PRJNA237471</t>
  </si>
  <si>
    <t>Unknown:NC_023434.1/KF738882.1</t>
  </si>
  <si>
    <t>Dragonfly larvae associated circular virus-6</t>
  </si>
  <si>
    <t>PRJNA237473</t>
  </si>
  <si>
    <t>Unknown:NC_023432.1/KF738880.1</t>
  </si>
  <si>
    <t>Dragonfly larvae associated circular virus-5</t>
  </si>
  <si>
    <t>PRJNA237474</t>
  </si>
  <si>
    <t>Unknown:NC_023431.1/KF738878.1</t>
  </si>
  <si>
    <t>Lactobacillus rhamnosus ATCC 8530</t>
  </si>
  <si>
    <t>Dragonfly larvae associated circular virus-2</t>
  </si>
  <si>
    <t>PRJNA237476</t>
  </si>
  <si>
    <t>Unknown:NC_023428.1/KF738874.1</t>
  </si>
  <si>
    <t>Dragonfly larvae associated circular virus-4</t>
  </si>
  <si>
    <t>PRJNA237477</t>
  </si>
  <si>
    <t>Unknown:NC_023430.1/KF738877.1</t>
  </si>
  <si>
    <t>Dragonfly larvae associated circular virus-1</t>
  </si>
  <si>
    <t>PRJNA237478</t>
  </si>
  <si>
    <t>Lactobacillus rhamnosus GG</t>
  </si>
  <si>
    <t>Unknown:NC_023427.1/KF738873.1</t>
  </si>
  <si>
    <t>Dragonfly larvae associated circular virus-10</t>
  </si>
  <si>
    <t>PRJNA237479</t>
  </si>
  <si>
    <t>Unknown:NC_023436.1/KF738885.1</t>
  </si>
  <si>
    <t>Dragonfly larvae associated circular virus-7</t>
  </si>
  <si>
    <t>PRJNA237472</t>
  </si>
  <si>
    <t>Unknown:NC_023433.1/KF738881.1</t>
  </si>
  <si>
    <t>Lactobacillus rhamnosus GG (Prj:40637)</t>
  </si>
  <si>
    <t>Dragonfly larvae associated circular virus-3</t>
  </si>
  <si>
    <t>PRJNA237475</t>
  </si>
  <si>
    <t>Unknown:NC_023429.1/KF738875.1</t>
  </si>
  <si>
    <t>Anguilla anguilla circovirus</t>
  </si>
  <si>
    <t>PRJNA237138</t>
  </si>
  <si>
    <t>Unknown:NC_023421.1/KC469701.1</t>
  </si>
  <si>
    <t>Caprine kobuvirus</t>
  </si>
  <si>
    <t>PRJNA237139</t>
  </si>
  <si>
    <t>Unknown:NC_023422.1/KF793927.1</t>
  </si>
  <si>
    <t>Lactobacillus rhamnosus Lc 705</t>
  </si>
  <si>
    <t>Cimodo virus</t>
  </si>
  <si>
    <t>PRJNA237137</t>
  </si>
  <si>
    <t>41.637</t>
  </si>
  <si>
    <t>1:NC_023420.2/KF880748.1;  2:NC_024916.1/KF880749.1;  3:NC_024917.1/KF880750.1;  4:NC_024918.1/KF880751.1;  5:NC_024919.1/KF880752.1;  6:NC_024920.1/KF880753.1;  7:NC_024910.1/KF880754.1;  8:NC_024911.1/KF880755.1;  9:NC_024912.1/KF880756.1;  10:NC_024913.1/KF880757.1;  11:NC_024914.1/KF880758.1;  12:NC_024915.1/KF880759.1</t>
  </si>
  <si>
    <t>Fathead minnow picornavirus</t>
  </si>
  <si>
    <t>PRJNA237541</t>
  </si>
  <si>
    <t>Unknown:NC_023437.1/KC465953.1</t>
  </si>
  <si>
    <t>Kama virus</t>
  </si>
  <si>
    <t>PRJNA237552</t>
  </si>
  <si>
    <t>Unknown:NC_023439.1/KF815940.1</t>
  </si>
  <si>
    <t>Lactobacillus rhamnosus LOCK900</t>
  </si>
  <si>
    <t>Buzura suppressaria nucleopolyhedrovirus</t>
  </si>
  <si>
    <t>PRJNA237559</t>
  </si>
  <si>
    <t>Unknown:NC_023442.1/KF611977.1</t>
  </si>
  <si>
    <t>Wallerfield virus</t>
  </si>
  <si>
    <t>PRJNA237560</t>
  </si>
  <si>
    <t>Unknown:NC_023440.1/KF042857.1</t>
  </si>
  <si>
    <t>Ageratum yellow vein China alphasatellite</t>
  </si>
  <si>
    <t>Lactobacillus rhamnosus LOCK908</t>
  </si>
  <si>
    <t>PRJNA237561</t>
  </si>
  <si>
    <t>DNA-1:NC_023443.1/KF785752.1</t>
  </si>
  <si>
    <t>Antheraea pernyi iflavirus</t>
  </si>
  <si>
    <t>PRJNA238830</t>
  </si>
  <si>
    <t>Unknown:NC_023483.1/KF751885.1</t>
  </si>
  <si>
    <t>Sida yellow vein China alphasatellite</t>
  </si>
  <si>
    <t>PRJNA238950</t>
  </si>
  <si>
    <t>Lactobacillus rhamnosus strain ASCC 290</t>
  </si>
  <si>
    <t>Unknown:NC_023484.1/KC677735.1</t>
  </si>
  <si>
    <t>Hibiscus bacilliform virus GD1</t>
  </si>
  <si>
    <t>PRJNA238954</t>
  </si>
  <si>
    <t>Unknown:NC_023485.1/KF875586.1</t>
  </si>
  <si>
    <t>Inachis io cypovirus 2</t>
  </si>
  <si>
    <t>PRJNA238956</t>
  </si>
  <si>
    <t>38.5851</t>
  </si>
  <si>
    <t>1:NC_023491.1/KC588366.1;  2:NC_023486.1/KC588367.1;  3:NC_023492.1/KC588368.1;  4:NC_023487.1/KC588369.1;  5:NC_023488.1/KC588370.1;  6:NC_023493.1/KC588371.1;  7:NC_023489.1/KC588372.1;  8:NC_023494.1/KC588373.1;  9:NC_023490.1/KC588374.1;  10:NC_023495.1/KC588375.1</t>
  </si>
  <si>
    <t>Lactobacillus rhamnosus strain BPL5</t>
  </si>
  <si>
    <t>Milk vetch dwarf C3 alphasatellite</t>
  </si>
  <si>
    <t>PRJNA239033</t>
  </si>
  <si>
    <t>3:NC_003640.1/AB000922.1</t>
  </si>
  <si>
    <t>Lactobacillus ruminis ATCC 27782</t>
  </si>
  <si>
    <t>Milk vetch dwarf C2 alphasatellite</t>
  </si>
  <si>
    <t>PRJNA239034</t>
  </si>
  <si>
    <t>2:NC_003639.1/AB000921.1</t>
  </si>
  <si>
    <t>Milk vetch dwarf C1 alphasatellite</t>
  </si>
  <si>
    <t>PRJNA239035</t>
  </si>
  <si>
    <t>1:NC_003638.1/AB000920.1</t>
  </si>
  <si>
    <t>Streptococcus phage 20617</t>
  </si>
  <si>
    <t>PRJNA239271</t>
  </si>
  <si>
    <t>Lactobacillus sakei subsp. sakei 23K</t>
  </si>
  <si>
    <t>Unknown:NC_023503.1/HG424323.1</t>
  </si>
  <si>
    <t>Staphylococcus phage StauST398-5</t>
  </si>
  <si>
    <t>PRJNA239431</t>
  </si>
  <si>
    <t>Unknown:NC_023500.1/KC595279.1</t>
  </si>
  <si>
    <t>Bacillus phage BPS10C</t>
  </si>
  <si>
    <t>PRJNA239432</t>
  </si>
  <si>
    <t>Unknown:NC_023501.1/KC430106.1</t>
  </si>
  <si>
    <t>Staphylococcus phage StauST398-4</t>
  </si>
  <si>
    <t>PRJNA239434</t>
  </si>
  <si>
    <t>Lactobacillus salivarius CECT 5713</t>
  </si>
  <si>
    <t>Unknown:NC_023499.1/KC595278.1</t>
  </si>
  <si>
    <t>Mycobacterium phage Validus</t>
  </si>
  <si>
    <t>PRJNA239430</t>
  </si>
  <si>
    <t>Unknown:NC_023498.1/KF713486.1</t>
  </si>
  <si>
    <t>Rhizobium phage vB_RleS_L338C</t>
  </si>
  <si>
    <t>PRJNA239433</t>
  </si>
  <si>
    <t>Unknown:NC_023502.1/KF614509.1</t>
  </si>
  <si>
    <t>Ustilaginoidea virens RNA virus 3</t>
  </si>
  <si>
    <t>Lactobacillus salivarius JCM1046</t>
  </si>
  <si>
    <t>PRJNA239697</t>
  </si>
  <si>
    <t>Unknown:NC_023547.1/KF791042.1</t>
  </si>
  <si>
    <t>Staphylococcus phage phiSA12</t>
  </si>
  <si>
    <t>PRJNA239723</t>
  </si>
  <si>
    <t>Unknown:NC_023573.1/AB903967.1</t>
  </si>
  <si>
    <t>Pseudomonas phage TL</t>
  </si>
  <si>
    <t>PRJNA239724</t>
  </si>
  <si>
    <t>Lactobacillus salivarius str. Ren</t>
  </si>
  <si>
    <t>Unknown:NC_023583.1/HG518155.1</t>
  </si>
  <si>
    <t>Ralstonia phage 1 NP-2014</t>
  </si>
  <si>
    <t>PRJNA239726</t>
  </si>
  <si>
    <t>Unknown:NC_023586.1/KF887906.1</t>
  </si>
  <si>
    <t>Citrobacter phage CR8</t>
  </si>
  <si>
    <t>PRJNA239727</t>
  </si>
  <si>
    <t>Unknown:NC_023548.1/HG818824.1</t>
  </si>
  <si>
    <t>Lactobacillus salivarius UCC118</t>
  </si>
  <si>
    <t>Vibrio phage VH7D</t>
  </si>
  <si>
    <t>PRJNA239728</t>
  </si>
  <si>
    <t>Unknown:NC_023568.1/KC131129.1</t>
  </si>
  <si>
    <t>Oenococcus phage phiS11</t>
  </si>
  <si>
    <t>PRJNA239729</t>
  </si>
  <si>
    <t>Unknown:NC_023571.1/KF183314.1</t>
  </si>
  <si>
    <t>Citrobacter phage CR44b</t>
  </si>
  <si>
    <t>PRJNA239730</t>
  </si>
  <si>
    <t>Lactobacillus sanfranciscensis TMW 1.1304</t>
  </si>
  <si>
    <t>Unknown:NC_023576.1/HG818823.1</t>
  </si>
  <si>
    <t>Enterococcus phage IME_EF3</t>
  </si>
  <si>
    <t>PRJNA239731</t>
  </si>
  <si>
    <t>Unknown:NC_023595.2/KF728385.2</t>
  </si>
  <si>
    <t>Haloarcula hispanica pleomorphic virus 2</t>
  </si>
  <si>
    <t>PRJNA239732</t>
  </si>
  <si>
    <t>Unknown:NC_023592.1/KF056323.1</t>
  </si>
  <si>
    <t>Oenococcus phage phiS13</t>
  </si>
  <si>
    <t>PRJNA239733</t>
  </si>
  <si>
    <t>Unknown:NC_023560.1/KF183315.1</t>
  </si>
  <si>
    <t>Lactobacillus sp. wkB8</t>
  </si>
  <si>
    <t>Pseudomonas phage vB_PaeP_Tr60_Ab31</t>
  </si>
  <si>
    <t>PRJNA239734</t>
  </si>
  <si>
    <t>Unknown:NC_023575.1/HG798806.1</t>
  </si>
  <si>
    <t>Sulfolobus monocaudavirus SMV1</t>
  </si>
  <si>
    <t>PRJNA239735</t>
  </si>
  <si>
    <t>Unknown:NC_023585.1/HG322870.1</t>
  </si>
  <si>
    <t>Lactococcus garvieae ATCC 49156</t>
  </si>
  <si>
    <t>Oenococcus phage phi9805</t>
  </si>
  <si>
    <t>PRJNA239725</t>
  </si>
  <si>
    <t>Unknown:NC_023559.1/KF147927.1</t>
  </si>
  <si>
    <t>Erwinia phage PhiEaH1</t>
  </si>
  <si>
    <t>PRJNA239740</t>
  </si>
  <si>
    <t>Unknown:NC_023610.1/KF623294.1</t>
  </si>
  <si>
    <t>Pseudomonas phage phiPsa374</t>
  </si>
  <si>
    <t>PRJNA239741</t>
  </si>
  <si>
    <t>Unknown:NC_023601.1/KJ409772.1</t>
  </si>
  <si>
    <t>Lactococcus garvieae Lg2</t>
  </si>
  <si>
    <t>Salmonella phage vB_SenS-Ent2</t>
  </si>
  <si>
    <t>PRJNA239739</t>
  </si>
  <si>
    <t>Unknown:NC_023608.1/HG934469.1</t>
  </si>
  <si>
    <t>Sclerotinia sclerotiorum mitovirus 6</t>
  </si>
  <si>
    <t>PRJNA239742</t>
  </si>
  <si>
    <t>Unknown:NC_023598.1/KC602001.1</t>
  </si>
  <si>
    <t>Laodelphax striatella honeydew virus 1</t>
  </si>
  <si>
    <t>PRJNA239909</t>
  </si>
  <si>
    <t>Unknown:NC_023627.1/KF934491.1</t>
  </si>
  <si>
    <t>Narcissus late season yellows virus</t>
  </si>
  <si>
    <t>PRJNA239908</t>
  </si>
  <si>
    <t>Unknown:NC_023628.1/KC691259.1</t>
  </si>
  <si>
    <t>Lactococcus lactis AI06</t>
  </si>
  <si>
    <t>Mycobacterium phage Jolie1</t>
  </si>
  <si>
    <t>PRJNA240006</t>
  </si>
  <si>
    <t>69.9</t>
  </si>
  <si>
    <t>Unknown:NC_023600.1/KJ433976.1</t>
  </si>
  <si>
    <t>Mycobacterium phage 39HC</t>
  </si>
  <si>
    <t>PRJNA240007</t>
  </si>
  <si>
    <t>Unknown:NC_023603.1/KJ433973.1</t>
  </si>
  <si>
    <t>Mycobacterium phage 40AC</t>
  </si>
  <si>
    <t>PRJNA240008</t>
  </si>
  <si>
    <t>Lactococcus lactis subsp. cremoris A76</t>
  </si>
  <si>
    <t>Unknown:NC_023607.1/KJ192196.1</t>
  </si>
  <si>
    <t>Geobacillus phage GBK2</t>
  </si>
  <si>
    <t>PRJNA240009</t>
  </si>
  <si>
    <t>Unknown:NC_023612.1/KJ159566.1</t>
  </si>
  <si>
    <t>Pseudomonas phage SPM-1</t>
  </si>
  <si>
    <t>Lactococcus lactis subsp. cremoris KW2</t>
  </si>
  <si>
    <t>KF981875.1</t>
  </si>
  <si>
    <t>Mycobacterium phage Jolie2</t>
  </si>
  <si>
    <t>PRJNA240012</t>
  </si>
  <si>
    <t>Unknown:NC_023604.1/KJ410133.1</t>
  </si>
  <si>
    <t>Mycobacterium phage RhynO</t>
  </si>
  <si>
    <t>PRJNA240013</t>
  </si>
  <si>
    <t>Unknown:NC_023609.1/KJ156985.1</t>
  </si>
  <si>
    <t>Lactococcus lactis subsp. cremoris MG1363</t>
  </si>
  <si>
    <t>Mycobacterium phage 32HC</t>
  </si>
  <si>
    <t>PRJNA240015</t>
  </si>
  <si>
    <t>Unknown:NC_023602.1/KJ028219.1</t>
  </si>
  <si>
    <t>Rhizobium phage vB_RglS_P106B</t>
  </si>
  <si>
    <t>PRJNA240016</t>
  </si>
  <si>
    <t>Unknown:NC_023566.1/KF977490.1</t>
  </si>
  <si>
    <t>Erwinia phage Ea35-70</t>
  </si>
  <si>
    <t>PRJNA240017</t>
  </si>
  <si>
    <t>Lactococcus lactis subsp. cremoris NZ9000</t>
  </si>
  <si>
    <t>Unknown:NC_023557.1/KF806589.1</t>
  </si>
  <si>
    <t>Mycobacterium phage 20ES</t>
  </si>
  <si>
    <t>PRJNA240018</t>
  </si>
  <si>
    <t>Unknown:NC_023597.1/KJ410132.1</t>
  </si>
  <si>
    <t>Croceibacter phage P2559Y</t>
  </si>
  <si>
    <t>PRJNA240019</t>
  </si>
  <si>
    <t>Unknown:NC_023614.1/KC688701.1</t>
  </si>
  <si>
    <t>Mycobacterium phage Donovan</t>
  </si>
  <si>
    <t>PRJNA240020</t>
  </si>
  <si>
    <t>Lactococcus lactis subsp. cremoris SK11</t>
  </si>
  <si>
    <t>67.2</t>
  </si>
  <si>
    <t>Unknown:NC_023552.1/KF841477.1</t>
  </si>
  <si>
    <t>Mycobacterium phage CRB1</t>
  </si>
  <si>
    <t>PRJNA240021</t>
  </si>
  <si>
    <t>Unknown:NC_023606.1/KJ410134.1</t>
  </si>
  <si>
    <t>Bacillus phage phiCM3</t>
  </si>
  <si>
    <t>PRJNA240022</t>
  </si>
  <si>
    <t>Unknown:NC_023599.1/KF296718.1</t>
  </si>
  <si>
    <t>Lactococcus lactis subsp. cremoris UC509.9</t>
  </si>
  <si>
    <t>Mycobacterium phage BellusTerra</t>
  </si>
  <si>
    <t>PRJNA240023</t>
  </si>
  <si>
    <t>Unknown:NC_023562.1/KF841475.1</t>
  </si>
  <si>
    <t>Stenotrophomonas phage Smp131</t>
  </si>
  <si>
    <t>PRJNA240053</t>
  </si>
  <si>
    <t>Unknown:NC_023588.1/JQ809663.1</t>
  </si>
  <si>
    <t>Vibrio phage PVA1</t>
  </si>
  <si>
    <t>PRJNA240011</t>
  </si>
  <si>
    <t>Unknown:NC_023605.1/KJ395778.1</t>
  </si>
  <si>
    <t>Enterobacter phage PG7</t>
  </si>
  <si>
    <t>Lactococcus lactis subsp. lactis CV56</t>
  </si>
  <si>
    <t>PRJNA240014</t>
  </si>
  <si>
    <t>Unknown:NC_023561.1/KJ101592.1</t>
  </si>
  <si>
    <t>Mycobacterium phage Saal</t>
  </si>
  <si>
    <t>PRJNA240031</t>
  </si>
  <si>
    <t>Unknown:NC_023580.1/KJ025956.1</t>
  </si>
  <si>
    <t>Klebsiella phage F19</t>
  </si>
  <si>
    <t>PRJNA240034</t>
  </si>
  <si>
    <t>Unknown:NC_023567.2/KF765493.2</t>
  </si>
  <si>
    <t>Lactococcus lactis subsp. lactis Il1403</t>
  </si>
  <si>
    <t>Clavibacter phage CN1A</t>
  </si>
  <si>
    <t>Unknown:NC_023549.1/KF669650.1</t>
  </si>
  <si>
    <t>Arumowot virus</t>
  </si>
  <si>
    <t>PRJNA240065</t>
  </si>
  <si>
    <t>39.8026</t>
  </si>
  <si>
    <t>L:NC_023635.1/HM566144.1;  M:NC_023633.1/HM566143.1;  S:NC_023634.1/HM566145.1</t>
  </si>
  <si>
    <t>Bovine astrovirus B18/HK</t>
  </si>
  <si>
    <t>PRJNA240066</t>
  </si>
  <si>
    <t>Unknown:NC_023631.1/HQ916313.1</t>
  </si>
  <si>
    <t>Bovine astrovirus B170/HK</t>
  </si>
  <si>
    <t>Lactococcus lactis subsp. lactis IO-1</t>
  </si>
  <si>
    <t>PRJNA240068</t>
  </si>
  <si>
    <t>Unknown:NC_023632.1/HQ916314.1</t>
  </si>
  <si>
    <t>Bovine astrovirus B76/HK</t>
  </si>
  <si>
    <t>PRJNA240069</t>
  </si>
  <si>
    <t>Unknown:NC_023629.1/HQ916316.1</t>
  </si>
  <si>
    <t>Bovine astrovirus B76-2/HK</t>
  </si>
  <si>
    <t>PRJNA240070</t>
  </si>
  <si>
    <t>Unknown:NC_023630.1/HQ916317.1</t>
  </si>
  <si>
    <t>Lactococcus lactis subsp. lactis KF147</t>
  </si>
  <si>
    <t>Porcine astrovirus 5</t>
  </si>
  <si>
    <t>PRJNA240228</t>
  </si>
  <si>
    <t>Unknown:NC_023636.1/JX556693.1</t>
  </si>
  <si>
    <t>Mimivirus terra2</t>
  </si>
  <si>
    <t>PRJNA240235</t>
  </si>
  <si>
    <t>Unknown:NC_023639.1/KF527228.1</t>
  </si>
  <si>
    <t>Posavirus 1</t>
  </si>
  <si>
    <t>PRJNA240236</t>
  </si>
  <si>
    <t>Lactococcus lactis subsp. lactis KLDS 4.0325</t>
  </si>
  <si>
    <t>Unknown:NC_023637.1/JF713720.1</t>
  </si>
  <si>
    <t>Posavirus 2</t>
  </si>
  <si>
    <t>PRJNA240238</t>
  </si>
  <si>
    <t>Unknown:NC_023638.1/JF713721.1</t>
  </si>
  <si>
    <t>Lagenaria siceraria endornavirus-California</t>
  </si>
  <si>
    <t>PRJNA240244</t>
  </si>
  <si>
    <t>Unknown:NC_023641.1/KF562072.1</t>
  </si>
  <si>
    <t>Spodoptera exigua iflavirus 2</t>
  </si>
  <si>
    <t>PRJNA240317</t>
  </si>
  <si>
    <t>Unknown:NC_023676.1/JN870848.1</t>
  </si>
  <si>
    <t>Porcine astrovirus 2</t>
  </si>
  <si>
    <t>Lactococcus lactis subsp. lactis S0</t>
  </si>
  <si>
    <t>PRJNA240318</t>
  </si>
  <si>
    <t>Unknown:NC_023674.1/JF713710.1</t>
  </si>
  <si>
    <t>Porcine astrovirus 4</t>
  </si>
  <si>
    <t>PRJNA240319</t>
  </si>
  <si>
    <t>Unknown:NC_023675.1/JF713713.1</t>
  </si>
  <si>
    <t>Chimpanzee herpesvirus strain 105640</t>
  </si>
  <si>
    <t>PRJNA240320</t>
  </si>
  <si>
    <t>Unknown:NC_023677.1/JQ360576.1</t>
  </si>
  <si>
    <t>Lactococcus lactis subsp. lactis strain 511</t>
  </si>
  <si>
    <t>Porcine bocavirus</t>
  </si>
  <si>
    <t>PRJNA240321</t>
  </si>
  <si>
    <t>Unknown:NC_023673.1/KF360033.1</t>
  </si>
  <si>
    <t>Shewanella phage Spp001</t>
  </si>
  <si>
    <t>PRJNA240024</t>
  </si>
  <si>
    <t>NC_023594.2/KJ002054.2</t>
  </si>
  <si>
    <t>Mycobacterium phage Nyxis</t>
  </si>
  <si>
    <t>PRJNA240026</t>
  </si>
  <si>
    <t>Unknown:NC_023565.1/KF954506.1</t>
  </si>
  <si>
    <t>Lactococcus piscium MKFS47</t>
  </si>
  <si>
    <t>Acinetobacter phage IME_AB3</t>
  </si>
  <si>
    <t>PRJNA240027</t>
  </si>
  <si>
    <t>Unknown:NC_023590.1/KF811200.1</t>
  </si>
  <si>
    <t>Mycobacterium phage Oaker</t>
  </si>
  <si>
    <t>PRJNA240028</t>
  </si>
  <si>
    <t>Unknown:NC_023578.1/KF986247.1</t>
  </si>
  <si>
    <t>Mycobacterium phage Echild</t>
  </si>
  <si>
    <t>Laribacter hongkongensis HLHK9</t>
  </si>
  <si>
    <t>PRJNA240029</t>
  </si>
  <si>
    <t>Unknown:NC_023553.1/KF981601.1</t>
  </si>
  <si>
    <t>Enterococcus phage IME-EF4</t>
  </si>
  <si>
    <t>PRJNA240030</t>
  </si>
  <si>
    <t>Unknown:NC_023551.1/KF733017.1</t>
  </si>
  <si>
    <t>Staphylococcus phage GRCS</t>
  </si>
  <si>
    <t>PRJNA240033</t>
  </si>
  <si>
    <t>Lawsonia intracellularis N343</t>
  </si>
  <si>
    <t>Unknown:NC_023550.1/KJ210330.1</t>
  </si>
  <si>
    <t>Staphylococcus phage vB_SepS_SEP9</t>
  </si>
  <si>
    <t>PRJNA240035</t>
  </si>
  <si>
    <t>Unknown:NC_023582.1/KF929199.1</t>
  </si>
  <si>
    <t>Mycobacterium phage MichelleMyBell</t>
  </si>
  <si>
    <t>PRJNA240036</t>
  </si>
  <si>
    <t>Lawsonia intracellularis PHE/MN1-00</t>
  </si>
  <si>
    <t>Unknown:NC_023572.1/KF986246.1</t>
  </si>
  <si>
    <t>Mycobacterium phage JAMaL</t>
  </si>
  <si>
    <t>PRJNA240038</t>
  </si>
  <si>
    <t>Unknown:NC_023554.1/KF493881.1</t>
  </si>
  <si>
    <t>Shigella phage pSb-1</t>
  </si>
  <si>
    <t>PRJNA240039</t>
  </si>
  <si>
    <t>Unknown:NC_023589.1/KF620435.1</t>
  </si>
  <si>
    <t>Leadbetterella byssophila DSM 17132</t>
  </si>
  <si>
    <t>Erwinia phage Ea9-2</t>
  </si>
  <si>
    <t>PRJNA240040</t>
  </si>
  <si>
    <t>Unknown:NC_023579.1/KF806588.1</t>
  </si>
  <si>
    <t>Leclercia adecarboxylata strain USDA-ARS-USMARC-60222</t>
  </si>
  <si>
    <t>Mycobacterium phage EagleEye</t>
  </si>
  <si>
    <t>PRJNA240041</t>
  </si>
  <si>
    <t>Unknown:NC_023564.1/KF861510.1</t>
  </si>
  <si>
    <t>Vibrio phage SHOU24</t>
  </si>
  <si>
    <t>PRJNA240043</t>
  </si>
  <si>
    <t>Unknown:NC_023569.1/KF623293.1</t>
  </si>
  <si>
    <t>Synechococcus phage S-MbCM100</t>
  </si>
  <si>
    <t>PRJNA240044</t>
  </si>
  <si>
    <t>Unknown:NC_023584.1/KF156340.1</t>
  </si>
  <si>
    <t>Legionella fallonii LLAP-10</t>
  </si>
  <si>
    <t>Achromobacter phage JWAlpha</t>
  </si>
  <si>
    <t>PRJNA240045</t>
  </si>
  <si>
    <t>Unknown:NC_023556.1/KF787095.1</t>
  </si>
  <si>
    <t>Mycobacterium phage Nova</t>
  </si>
  <si>
    <t>JN699014.1</t>
  </si>
  <si>
    <t>Legionella hackeliae strain ATCC35250</t>
  </si>
  <si>
    <t>Synechococcus phage ACG-2014h</t>
  </si>
  <si>
    <t>PRJNA240047</t>
  </si>
  <si>
    <t>Unknown:NC_023587.1/KF156338.1</t>
  </si>
  <si>
    <t>Acinetobacter phage Presley</t>
  </si>
  <si>
    <t>Unknown:NC_023581.1/KF669658.1</t>
  </si>
  <si>
    <t>Mycobacterium phage KLucky39</t>
  </si>
  <si>
    <t>Legionella longbeachae NSW150</t>
  </si>
  <si>
    <t>JF704099.1</t>
  </si>
  <si>
    <t>Acinetobacter phage Petty</t>
  </si>
  <si>
    <t>Unknown:NC_023570.1/KF669656.1</t>
  </si>
  <si>
    <t>Mycobacterium phage Adler</t>
  </si>
  <si>
    <t>PRJNA240052</t>
  </si>
  <si>
    <t>Unknown:NC_023591.1/KC960489.1</t>
  </si>
  <si>
    <t>Rhizoctonia solani dsRNA virus 2</t>
  </si>
  <si>
    <t>PRJNA240575</t>
  </si>
  <si>
    <t>Legionella oakridgensis ATCC 33761 = DSM 21215</t>
  </si>
  <si>
    <t>47.765</t>
  </si>
  <si>
    <t>segmen  1:NC_023684.1/KF372436.1;  segmen  2:NC_023685.1/KF372437.1</t>
  </si>
  <si>
    <t>Mamestra brassicae multiple nucleopolyhedrovirus</t>
  </si>
  <si>
    <t>PRJNA240576</t>
  </si>
  <si>
    <t>Unknown:NC_023681.1/JQ798165.1</t>
  </si>
  <si>
    <t>Psychrobacter phage Psymv2</t>
  </si>
  <si>
    <t>PRJNA240594</t>
  </si>
  <si>
    <t>Unknown:NC_023734.1/JF270478.1</t>
  </si>
  <si>
    <t>Ralstonia phage RSB2</t>
  </si>
  <si>
    <t>PRJNA240595</t>
  </si>
  <si>
    <t>Unknown:NC_023736.1/AB597179.1</t>
  </si>
  <si>
    <t>Legionella pneumophila 130b</t>
  </si>
  <si>
    <t>Pseudomonas virus PA1KOR</t>
  </si>
  <si>
    <t>PRJNA240596</t>
  </si>
  <si>
    <t>Unknown:NC_023700.1/HM624080.1</t>
  </si>
  <si>
    <t>Escherichia phage EB49</t>
  </si>
  <si>
    <t>PRJNA240597</t>
  </si>
  <si>
    <t>Unknown:NC_023743.1/JF770475.1</t>
  </si>
  <si>
    <t>Milk vetch dwarf C10 alphasatellite</t>
  </si>
  <si>
    <t>PRJNA240682</t>
  </si>
  <si>
    <t>Legionella pneumophila 2300/99 Alcoy</t>
  </si>
  <si>
    <t>10:NC_003647.1/AB009047.1</t>
  </si>
  <si>
    <t>Mycobacterium phage Violet</t>
  </si>
  <si>
    <t>PRJNA240714</t>
  </si>
  <si>
    <t>Unknown:NC_023695.1/JN687951.1</t>
  </si>
  <si>
    <t>Mycobacterium virus Rumpelstiltskin</t>
  </si>
  <si>
    <t>PRJNA240715</t>
  </si>
  <si>
    <t>Unknown:NC_023732.1/JN680858.1</t>
  </si>
  <si>
    <t>Legionella pneumophila str. Corby</t>
  </si>
  <si>
    <t>Bacillus virus G</t>
  </si>
  <si>
    <t>PRJNA240716</t>
  </si>
  <si>
    <t>Unknown:NC_023719.1/JN638751.1</t>
  </si>
  <si>
    <t>Mycobacterium phage Redi</t>
  </si>
  <si>
    <t>PRJNA240717</t>
  </si>
  <si>
    <t>Unknown:NC_023730.1/JN624851.1</t>
  </si>
  <si>
    <t>Mycobacterium phage Pleione</t>
  </si>
  <si>
    <t>PRJNA240719</t>
  </si>
  <si>
    <t>Legionella pneumophila str. Lens</t>
  </si>
  <si>
    <t>Unknown:NC_023737.1/JN624850.1</t>
  </si>
  <si>
    <t>Mycobacterium phage Dreamboat</t>
  </si>
  <si>
    <t>PRJNA240720</t>
  </si>
  <si>
    <t>Unknown:NC_023708.1/JN660814.1</t>
  </si>
  <si>
    <t>Legionella pneumophila str. Paris</t>
  </si>
  <si>
    <t>Mycobacterium phage BigNuz</t>
  </si>
  <si>
    <t>PRJNA240721</t>
  </si>
  <si>
    <t>Unknown:NC_023692.1/JN412591.1</t>
  </si>
  <si>
    <t>Mycobacterium virus Liefie</t>
  </si>
  <si>
    <t>PRJNA240722</t>
  </si>
  <si>
    <t>Unknown:NC_023705.1/JN412593.1</t>
  </si>
  <si>
    <t>Legionella pneumophila strain D-7630</t>
  </si>
  <si>
    <t>Mycobacterium phage Patience</t>
  </si>
  <si>
    <t>PRJNA240723</t>
  </si>
  <si>
    <t>Unknown:NC_023691.1/JN412589.1</t>
  </si>
  <si>
    <t>Pseudomonas phage phiPto-bp6g</t>
  </si>
  <si>
    <t>PRJNA240724</t>
  </si>
  <si>
    <t>Unknown:NC_023718.1/JN175269.1</t>
  </si>
  <si>
    <t>Mycobacterium virus Perseus</t>
  </si>
  <si>
    <t>PRJNA240725</t>
  </si>
  <si>
    <t>Legionella pneumophila strain D-7631</t>
  </si>
  <si>
    <t>Unknown:NC_023720.1/JN572689.1</t>
  </si>
  <si>
    <t>Mycobacterium virus Drago</t>
  </si>
  <si>
    <t>PRJNA240726</t>
  </si>
  <si>
    <t>Unknown:NC_023721.1/JN542517.1</t>
  </si>
  <si>
    <t>Mycobacterium phage LinStu</t>
  </si>
  <si>
    <t>PRJNA240727</t>
  </si>
  <si>
    <t>Unknown:NC_023714.1/JN412592.1</t>
  </si>
  <si>
    <t>Mycobacterium phage Dandelion</t>
  </si>
  <si>
    <t>Legionella pneumophila strain D-7632</t>
  </si>
  <si>
    <t>PRJNA240728</t>
  </si>
  <si>
    <t>Unknown:NC_023696.1/JN412588.1</t>
  </si>
  <si>
    <t>Mycobacterium phage Turbido</t>
  </si>
  <si>
    <t>PRJNA240729</t>
  </si>
  <si>
    <t>Unknown:NC_023707.1/JN408460.1</t>
  </si>
  <si>
    <t>Mycobacterium phage Wile</t>
  </si>
  <si>
    <t>PRJNA240730</t>
  </si>
  <si>
    <t>Legionella pneumophila strain L10-023</t>
  </si>
  <si>
    <t>Unknown:NC_023709.1/JN243857.1</t>
  </si>
  <si>
    <t>Mycobacterium phage RidgeCB</t>
  </si>
  <si>
    <t>PRJNA240731</t>
  </si>
  <si>
    <t>Unknown:NC_023710.1/JN398369.1</t>
  </si>
  <si>
    <t>Mycobacterium phage Trixie</t>
  </si>
  <si>
    <t>PRJNA240732</t>
  </si>
  <si>
    <t>Unknown:NC_023731.1/JN408461.1</t>
  </si>
  <si>
    <t>Legionella pneumophila subsp. pascullei</t>
  </si>
  <si>
    <t>Mycobacterium phage Lilac</t>
  </si>
  <si>
    <t>PRJNA240733</t>
  </si>
  <si>
    <t>Unknown:NC_023689.1/JN382248.1</t>
  </si>
  <si>
    <t>Mycobacterium virus Larva</t>
  </si>
  <si>
    <t>PRJNA240734</t>
  </si>
  <si>
    <t>Unknown:NC_023724.1/JN243855.1</t>
  </si>
  <si>
    <t>Mycobacterium virus Avani</t>
  </si>
  <si>
    <t>PRJNA240736</t>
  </si>
  <si>
    <t>Unknown:NC_023698.1/JQ809702.1</t>
  </si>
  <si>
    <t>Mycobacterium phage Oline</t>
  </si>
  <si>
    <t>PRJNA240737</t>
  </si>
  <si>
    <t>Unknown:NC_023711.1/JN192463.1</t>
  </si>
  <si>
    <t>Mycobacterium virus Euphoria</t>
  </si>
  <si>
    <t>PRJNA240738</t>
  </si>
  <si>
    <t>Unknown:NC_023726.1/JN153086.1</t>
  </si>
  <si>
    <t>Mycobacterium phage Charlie</t>
  </si>
  <si>
    <t>PRJNA240739</t>
  </si>
  <si>
    <t>Unknown:NC_023729.1/JN256079.1</t>
  </si>
  <si>
    <t>Mycobacterium virus Doom</t>
  </si>
  <si>
    <t>PRJNA240741</t>
  </si>
  <si>
    <t>Unknown:NC_023704.1/JN153085.1</t>
  </si>
  <si>
    <t>Rhodococcus phage ReqiDocB7</t>
  </si>
  <si>
    <t>PRJNA240743</t>
  </si>
  <si>
    <t>Unknown:NC_023706.1/GU580940.1</t>
  </si>
  <si>
    <t>Legionella pneumophila subsp. pneumophila</t>
  </si>
  <si>
    <t>Mycobacterium phage Thibault</t>
  </si>
  <si>
    <t>PRJNA240745</t>
  </si>
  <si>
    <t>Unknown:NC_023738.1/JN201525.1</t>
  </si>
  <si>
    <t>Rhodococcus phage ReqiPine5</t>
  </si>
  <si>
    <t>PRJNA240746</t>
  </si>
  <si>
    <t>Unknown:NC_023722.1/GU580943.1</t>
  </si>
  <si>
    <t>Aeromonas phage PX29</t>
  </si>
  <si>
    <t>PRJNA240747</t>
  </si>
  <si>
    <t>Unknown:NC_023688.1/GU396103.1</t>
  </si>
  <si>
    <t>Mycobacterium phage Aeneas</t>
  </si>
  <si>
    <t>PRJNA240749</t>
  </si>
  <si>
    <t>Unknown:NC_023723.1/JQ809703.1</t>
  </si>
  <si>
    <t>Rhodococcus phage ReqiPepy6</t>
  </si>
  <si>
    <t>PRJNA240750</t>
  </si>
  <si>
    <t>Unknown:NC_023735.1/GU580941.1</t>
  </si>
  <si>
    <t>Legionella pneumophila subsp. pneumophila ATCC 43290</t>
  </si>
  <si>
    <t>Rhodococcus phage ReqiPoco6</t>
  </si>
  <si>
    <t>PRJNA240751</t>
  </si>
  <si>
    <t>Unknown:NC_023694.1/GU580942.1</t>
  </si>
  <si>
    <t>Mycobacterium virus SG4</t>
  </si>
  <si>
    <t>PRJNA240752</t>
  </si>
  <si>
    <t>Unknown:NC_023699.1/JN699012.1</t>
  </si>
  <si>
    <t>Mycobacterium phage JacAttac</t>
  </si>
  <si>
    <t>PRJNA240753</t>
  </si>
  <si>
    <t>Unknown:NC_023740.1/JN698989.1</t>
  </si>
  <si>
    <t>Mycobacterium virus Firecracker</t>
  </si>
  <si>
    <t>PRJNA240754</t>
  </si>
  <si>
    <t>Unknown:NC_023712.1/JN698993.1</t>
  </si>
  <si>
    <t>Legionella pneumophila subsp. pneumophila LPE509</t>
  </si>
  <si>
    <t>Cronobacter phage CR9</t>
  </si>
  <si>
    <t>PRJNA240755</t>
  </si>
  <si>
    <t>Unknown:NC_023717.1/JQ691611.1</t>
  </si>
  <si>
    <t>Mycobacterium phage Blue7</t>
  </si>
  <si>
    <t>PRJNA240757</t>
  </si>
  <si>
    <t>Unknown:NC_023713.1/JN698999.1</t>
  </si>
  <si>
    <t>Mycobacterium virus Kugel</t>
  </si>
  <si>
    <t>PRJNA240758</t>
  </si>
  <si>
    <t>Unknown:NC_023702.1/JN699016.1</t>
  </si>
  <si>
    <t>Mycobacterium phage Dori</t>
  </si>
  <si>
    <t>Legionella pneumophila subsp. pneumophila str. Hextuple_2q</t>
  </si>
  <si>
    <t>PRJNA240759</t>
  </si>
  <si>
    <t>Unknown:NC_023703.1/JN698995.1</t>
  </si>
  <si>
    <t>Mycobacterium phage Gadjet</t>
  </si>
  <si>
    <t>PRJNA240760</t>
  </si>
  <si>
    <t>Unknown:NC_023686.1/JN698992.1</t>
  </si>
  <si>
    <t>Mycobacterium phage Vista</t>
  </si>
  <si>
    <t>PRJNA240761</t>
  </si>
  <si>
    <t>Unknown:NC_023727.1/JN699008.1</t>
  </si>
  <si>
    <t>Legionella pneumophila subsp. pneumophila str. Hextuple_3a</t>
  </si>
  <si>
    <t>Mycobacterium virus Deadp</t>
  </si>
  <si>
    <t>PRJNA240765</t>
  </si>
  <si>
    <t>Unknown:NC_023728.1/JN698996.1</t>
  </si>
  <si>
    <t>Mycobacterium virus Babsiella</t>
  </si>
  <si>
    <t>PRJNA240766</t>
  </si>
  <si>
    <t>Unknown:NC_023697.1/JN699001.1</t>
  </si>
  <si>
    <t>Mycobacterium virus Alma</t>
  </si>
  <si>
    <t>PRJNA240767</t>
  </si>
  <si>
    <t>Unknown:NC_023716.1/JN699005.1</t>
  </si>
  <si>
    <t>Legionella pneumophila subsp. pneumophila str. Philadelphia 1</t>
  </si>
  <si>
    <t>Mycobacterium virus Bruns</t>
  </si>
  <si>
    <t>PRJNA240768</t>
  </si>
  <si>
    <t>Unknown:NC_023687.1/JN698998.1</t>
  </si>
  <si>
    <t>Mycobacterium virus Courthouse</t>
  </si>
  <si>
    <t>PRJNA240769</t>
  </si>
  <si>
    <t>Unknown:NC_023690.1/JN698997.1</t>
  </si>
  <si>
    <t>Mycobacterium virus Billknuckles</t>
  </si>
  <si>
    <t>PRJNA240771</t>
  </si>
  <si>
    <t>Unknown:NC_023739.1/JN699000.1</t>
  </si>
  <si>
    <t>Legionella pneumophila subsp. pneumophila str. Thunder Bay</t>
  </si>
  <si>
    <t>Yersinia phage Yep-phi</t>
  </si>
  <si>
    <t>PRJNA240772</t>
  </si>
  <si>
    <t>Unknown:NC_023715.1/HQ333270.1</t>
  </si>
  <si>
    <t>Mycobacterium phage MoMoMixon</t>
  </si>
  <si>
    <t>PRJNA240773</t>
  </si>
  <si>
    <t>Unknown:NC_023733.1/JN699626.1</t>
  </si>
  <si>
    <t>Mycobacterium phage Nappy</t>
  </si>
  <si>
    <t>PRJNA240775</t>
  </si>
  <si>
    <t>Unknown:NC_023725.1/JN699627.1</t>
  </si>
  <si>
    <t>ROUT virus</t>
  </si>
  <si>
    <t>PRJNA241100</t>
  </si>
  <si>
    <t>41.0473</t>
  </si>
  <si>
    <t>L:NC_023762.1/KC508670.1;  S:NC_023761.1/KC508669.1</t>
  </si>
  <si>
    <t>Merino Walk mammarenavirus</t>
  </si>
  <si>
    <t>Legionella pneumophila subsp. pneumophila strain HL06041035</t>
  </si>
  <si>
    <t>PRJNA241107</t>
  </si>
  <si>
    <t>39.7785</t>
  </si>
  <si>
    <t>L:NC_023763.1/GU078661.1;  S:NC_023764.1/GU078660.1</t>
  </si>
  <si>
    <t>Avastrovirus 3</t>
  </si>
  <si>
    <t>PRJNA14954</t>
  </si>
  <si>
    <t>Unknown:NC_005790.1/AF206663.2</t>
  </si>
  <si>
    <t>Mastomys coucha papillomavirus 2</t>
  </si>
  <si>
    <t>PRJNA18011</t>
  </si>
  <si>
    <t>Leifsonia xyli strain SE134</t>
  </si>
  <si>
    <t>Unknown:NC_008519.1/DQ664501.1</t>
  </si>
  <si>
    <t>Thrush coronavirus HKU12-600</t>
  </si>
  <si>
    <t>PRJNA32701</t>
  </si>
  <si>
    <t>Unknown:NC_011549.1/FJ376621.1</t>
  </si>
  <si>
    <t>Munia coronavirus HKU13-3514</t>
  </si>
  <si>
    <t>PRJNA32703</t>
  </si>
  <si>
    <t>Unknown:NC_011550.1/FJ376622.1</t>
  </si>
  <si>
    <t>Leifsonia xyli subsp. cynodontis DSM 46306</t>
  </si>
  <si>
    <t>Porcine kobuvirus swine/S-1-HUN/2007/Hungary</t>
  </si>
  <si>
    <t>PRJNA33533</t>
  </si>
  <si>
    <t>Unknown:NC_011829.1/EU787450.2</t>
  </si>
  <si>
    <t>Planaria asexual strain-specific virus-like element type 1</t>
  </si>
  <si>
    <t>PRJNA14140</t>
  </si>
  <si>
    <t>36.5166</t>
  </si>
  <si>
    <t>large DNA segment:NC_003220.1/AF364090.1;  small DNA segment:NC_003219.1/AF364089.1</t>
  </si>
  <si>
    <t>Raspberry bushy dwarf virus</t>
  </si>
  <si>
    <t>PRJNA14791</t>
  </si>
  <si>
    <t>Leifsonia xyli subsp. xyli str. CTCB07</t>
  </si>
  <si>
    <t>42.9195</t>
  </si>
  <si>
    <t>RNA 1:NC_003739.1/S51557.1;  RNA 2:NC_003740.1/S55890.1</t>
  </si>
  <si>
    <t>Barley stripe mosaic virus</t>
  </si>
  <si>
    <t>PRJNA15031</t>
  </si>
  <si>
    <t>42.6061</t>
  </si>
  <si>
    <t>RNA 1:NC_003469.1/J04342.1;  RNA 2:NC_003481.1/X03854.1;  RNA 3:NC_003478.1/M16576.1</t>
  </si>
  <si>
    <t>Hepatitis delta virus</t>
  </si>
  <si>
    <t>PRJNA15032</t>
  </si>
  <si>
    <t>Deltavirus</t>
  </si>
  <si>
    <t>Unknown:NC_001653.2/D01075.1</t>
  </si>
  <si>
    <t>Bacillus phage vB_BanS-Tsamsa</t>
  </si>
  <si>
    <t>PRJNA230848</t>
  </si>
  <si>
    <t>Unknown:NC_023007.1/KC481682.1</t>
  </si>
  <si>
    <t>Leisingera methylohalidivorans DSM 14336</t>
  </si>
  <si>
    <t>Persimmon viroid 2</t>
  </si>
  <si>
    <t>PRJNA210930</t>
  </si>
  <si>
    <t>Unknown:NC_021720.1/AB817729.1</t>
  </si>
  <si>
    <t>Cherry leaf scorch small circular viroid-like RNA 1</t>
  </si>
  <si>
    <t>PRJNA229823</t>
  </si>
  <si>
    <t>Unknown:NC_022893.1/KF516923.1</t>
  </si>
  <si>
    <t>Enterovirus J</t>
  </si>
  <si>
    <t>PRJNA29255</t>
  </si>
  <si>
    <t>Lelliottia amnigena strain ZB04</t>
  </si>
  <si>
    <t>Unknown:NC_010415.1/AF326766.2</t>
  </si>
  <si>
    <t>Chaetoceros sp. DNA virus 7</t>
  </si>
  <si>
    <t>PRJNA237558</t>
  </si>
  <si>
    <t>diatom</t>
  </si>
  <si>
    <t>Unknown:NC_023441.1/AB844272.1</t>
  </si>
  <si>
    <t>Invertebrate iridovirus 25</t>
  </si>
  <si>
    <t>PRJEB1568</t>
  </si>
  <si>
    <t>Leptolyngbya sp. NIES-3755</t>
  </si>
  <si>
    <t>Unknown:NC_023613.1/HF920635.1</t>
  </si>
  <si>
    <t>Invertebrate iridescent virus 30</t>
  </si>
  <si>
    <t>PRJEB1569</t>
  </si>
  <si>
    <t>Unknown:NC_023611.1/HF920636.1</t>
  </si>
  <si>
    <t>Escherichia phage KBNP1711</t>
  </si>
  <si>
    <t>PRJNA240032</t>
  </si>
  <si>
    <t>Unknown:NC_023593.1/KF981730.1</t>
  </si>
  <si>
    <t>Leptolyngbya sp. O-77</t>
  </si>
  <si>
    <t>Torque teno sus virus k2</t>
  </si>
  <si>
    <t>PRJNA48301</t>
  </si>
  <si>
    <t>Unknown:NC_014092.2/AY823991.1</t>
  </si>
  <si>
    <t>Bush viper reovirus</t>
  </si>
  <si>
    <t>PRJNA242281</t>
  </si>
  <si>
    <t>Leptolyngbya sp. PCC 7376</t>
  </si>
  <si>
    <t>45.6725</t>
  </si>
  <si>
    <t>L1:NC_023813.1/KC852153.1;  L2:NC_023814.1/KC852155.1;  L3:NC_023819.1/KC852154.1;  M1:NC_023816.1/KC852158.1;  M2:NC_023815.1/KC852156.1;  M3:NC_023820.1/KC852157.1;  S1:NC_023822.1/KC852161.1;  S2:NC_023821.1/KC852159.1;  S3:NC_023817.1/KC852160.1;  S4:NC_023818.1/KC852162.1</t>
  </si>
  <si>
    <t>University of Helsinki virus</t>
  </si>
  <si>
    <t>PRJNA242647</t>
  </si>
  <si>
    <t>41.4472</t>
  </si>
  <si>
    <t>L:NC_023765.1/KF297881.1;  S:NC_023766.1/KF297880.1</t>
  </si>
  <si>
    <t>Danaus plexippus plexippus iteravirus</t>
  </si>
  <si>
    <t>PRJNA242944</t>
  </si>
  <si>
    <t>Unknown:NC_023842.1/KF963252.1</t>
  </si>
  <si>
    <t>Leptospira biflexa serovar Patoc strain 'Patoc 1 (Ames)'</t>
  </si>
  <si>
    <t>Raccoon polyomavirus</t>
  </si>
  <si>
    <t>PRJNA242945</t>
  </si>
  <si>
    <t>Unknown:NC_023845.1/JQ178241.1</t>
  </si>
  <si>
    <t>Pouzolzia golden mosaic virus</t>
  </si>
  <si>
    <t>PRJNA242953</t>
  </si>
  <si>
    <t>DNA-A:NC_023849.1/JX183732.1</t>
  </si>
  <si>
    <t>Canis familiaris papillomavirus 13</t>
  </si>
  <si>
    <t>PRJNA242954</t>
  </si>
  <si>
    <t>Leptospira biflexa serovar Patoc strain 'Patoc 1 (Paris)'</t>
  </si>
  <si>
    <t>Unknown:NC_023852.1/JX141478.1</t>
  </si>
  <si>
    <t>Dragonfly circularisvirus</t>
  </si>
  <si>
    <t>PRJNA242959</t>
  </si>
  <si>
    <t>Unknown:NC_023853.1/JX185415.1</t>
  </si>
  <si>
    <t>Dragonfly cyclicusvirus</t>
  </si>
  <si>
    <t>PRJNA242960</t>
  </si>
  <si>
    <t>Unknown:NC_023855.1/JX185418.1</t>
  </si>
  <si>
    <t>Dragonfly orbiculatusvirus</t>
  </si>
  <si>
    <t>PRJNA242961</t>
  </si>
  <si>
    <t>Leptospira borgpetersenii serovar Ballum strain 56604</t>
  </si>
  <si>
    <t>Unknown:NC_023854.1/JX185416.1</t>
  </si>
  <si>
    <t>Fusarium graminearum hypovirus 1</t>
  </si>
  <si>
    <t>PRJNA240740</t>
  </si>
  <si>
    <t>Unknown:NC_023680.1/KC330231.1</t>
  </si>
  <si>
    <t>Nepavirus</t>
  </si>
  <si>
    <t>PRJNA242942</t>
  </si>
  <si>
    <t>Unknown:NC_023843.1/JQ898333.2</t>
  </si>
  <si>
    <t>Leptospira borgpetersenii serovar Hardjo</t>
  </si>
  <si>
    <t>Baminivirus</t>
  </si>
  <si>
    <t>PRJNA242951</t>
  </si>
  <si>
    <t>Unknown:NC_023850.1/JQ898331.2</t>
  </si>
  <si>
    <t>Niminivirus</t>
  </si>
  <si>
    <t>PRJNA242952</t>
  </si>
  <si>
    <t>Unknown:NC_023851.1/JQ898332.2</t>
  </si>
  <si>
    <t>Axonopus compressus streak virus</t>
  </si>
  <si>
    <t>PRJNA242972</t>
  </si>
  <si>
    <t>Unknown:NC_023864.1/KJ437671.1</t>
  </si>
  <si>
    <t>Salmonella phage vB_SalM_SJ2</t>
  </si>
  <si>
    <t>PRJNA242974</t>
  </si>
  <si>
    <t>Unknown:NC_023856.1/KJ174317.1</t>
  </si>
  <si>
    <t>Chicken megrivirus</t>
  </si>
  <si>
    <t>PRJNA242977</t>
  </si>
  <si>
    <t>Unknown:NC_023857.1/KF961187.1</t>
  </si>
  <si>
    <t>Porcine parvovirus 6</t>
  </si>
  <si>
    <t>PRJNA242978</t>
  </si>
  <si>
    <t>Unknown:NC_023860.1/KF999685.1</t>
  </si>
  <si>
    <t>Turkey megrivirus</t>
  </si>
  <si>
    <t>PRJNA242979</t>
  </si>
  <si>
    <t>Unknown:NC_023858.1/KF961188.1</t>
  </si>
  <si>
    <t>Mycobacterium phage Alsfro</t>
  </si>
  <si>
    <t>PRJNA243063</t>
  </si>
  <si>
    <t>Unknown:NC_023862.1/KJ174156.1</t>
  </si>
  <si>
    <t>Anopheles minimus irodovirus</t>
  </si>
  <si>
    <t>PRJNA243064</t>
  </si>
  <si>
    <t>Unknown:NC_023848.1/KF938901.1</t>
  </si>
  <si>
    <t>Microbacterium phage vB_MoxS-ISF9</t>
  </si>
  <si>
    <t>PRJNA243066</t>
  </si>
  <si>
    <t>Unknown:NC_023859.1/KJ173786.1</t>
  </si>
  <si>
    <t>Vibrio phage CHOED</t>
  </si>
  <si>
    <t>PRJNA243068</t>
  </si>
  <si>
    <t>Unknown:NC_023863.2/KJ192399.2</t>
  </si>
  <si>
    <t>Pectobacterium phage PM1</t>
  </si>
  <si>
    <t>PRJNA243247</t>
  </si>
  <si>
    <t>Leptospira borgpetersenii serovar Hardjo-bovis str. JB197</t>
  </si>
  <si>
    <t>Unknown:NC_023865.1/KF534715.1</t>
  </si>
  <si>
    <t>Dragonfly associated gemykibivirus 1</t>
  </si>
  <si>
    <t>PRJNA243271</t>
  </si>
  <si>
    <t>Genomoviridae</t>
  </si>
  <si>
    <t>Unknown:NC_023872.1/JX185430.1</t>
  </si>
  <si>
    <t>Dragonfly-associated circular virus 2</t>
  </si>
  <si>
    <t>PRJNA243272</t>
  </si>
  <si>
    <t>Unknown:NC_023871.1/JX185429.1</t>
  </si>
  <si>
    <t>Leptospira borgpetersenii serovar Hardjo-bovis str. L550</t>
  </si>
  <si>
    <t>Dragonfly-associated circular virus 3</t>
  </si>
  <si>
    <t>PRJNA243273</t>
  </si>
  <si>
    <t>Unknown:NC_023870.1/JX185428.1</t>
  </si>
  <si>
    <t>Dragonfly associated cyclovirus 5</t>
  </si>
  <si>
    <t>PRJNA243274</t>
  </si>
  <si>
    <t>Unknown:NC_023866.1/JX185426.1</t>
  </si>
  <si>
    <t>Dragonfly associated cyclovirus 3</t>
  </si>
  <si>
    <t>PRJNA243275</t>
  </si>
  <si>
    <t>Unknown:NC_023868.1/JX185424.1</t>
  </si>
  <si>
    <t>Dragonfly associated cyclovirus 4</t>
  </si>
  <si>
    <t>PRJNA243276</t>
  </si>
  <si>
    <t>Leptospira borgpetersenii str. 4E</t>
  </si>
  <si>
    <t>Unknown:NC_023867.1/JX185425.1</t>
  </si>
  <si>
    <t>Dragonfly associated cyclovirus 2</t>
  </si>
  <si>
    <t>PRJNA243277</t>
  </si>
  <si>
    <t>Unknown:NC_023869.1/JX185422.1</t>
  </si>
  <si>
    <t>Andrographis yellow vein leaf curl betasatellite</t>
  </si>
  <si>
    <t>PRJNA243492</t>
  </si>
  <si>
    <t>Leptospira interrogans serovar Bratislava strain PigK151</t>
  </si>
  <si>
    <t>Unknown:NC_023876.2/KC967282.2</t>
  </si>
  <si>
    <t>Mink circovirus</t>
  </si>
  <si>
    <t>PRJNA243493</t>
  </si>
  <si>
    <t>Unknown:NC_023885.1/KJ020099.1</t>
  </si>
  <si>
    <t>Porcine stool-associated circular virus 5</t>
  </si>
  <si>
    <t>PRJNA243494</t>
  </si>
  <si>
    <t>Unknown:NC_023878.1/KJ433989.1</t>
  </si>
  <si>
    <t>Leptospira interrogans serovar Copenhageni str. Fiocruz L1-130</t>
  </si>
  <si>
    <t>Porcine stool-associated circular virus 4</t>
  </si>
  <si>
    <t>PRJNA243495</t>
  </si>
  <si>
    <t>Unknown:NC_023877.1/KJ417134.1</t>
  </si>
  <si>
    <t>Faba bean necrotic stunt alphasatellite 2</t>
  </si>
  <si>
    <t>PRJNA243498</t>
  </si>
  <si>
    <t>Unknown:NC_023880.1/KC978990.1</t>
  </si>
  <si>
    <t>Faba bean necrotic stunt alphasatellite 1</t>
  </si>
  <si>
    <t>PRJNA243499</t>
  </si>
  <si>
    <t>Leptospira interrogans serovar Hardjo str. Norma</t>
  </si>
  <si>
    <t>Unknown:NC_023881.1/KC978991.1</t>
  </si>
  <si>
    <t>Black medic leafroll alphasatellite 1</t>
  </si>
  <si>
    <t>PRJNA243500</t>
  </si>
  <si>
    <t>Unknown:NC_023875.1/KC978957.1</t>
  </si>
  <si>
    <t>Cyanoramphus nest associated circular K DNA virus</t>
  </si>
  <si>
    <t>PRJNA243501</t>
  </si>
  <si>
    <t>Unknown:NC_023884.1/JX908740.1</t>
  </si>
  <si>
    <t>Fur seal faeces associated circular DNA virus</t>
  </si>
  <si>
    <t>PRJNA243502</t>
  </si>
  <si>
    <t>Leptospira interrogans serovar Hardjo-prajitno</t>
  </si>
  <si>
    <t>Unknown:NC_023879.1/KF246569.1</t>
  </si>
  <si>
    <t>Cyanoramphus nest associated circular X DNA virus</t>
  </si>
  <si>
    <t>PRJNA243503</t>
  </si>
  <si>
    <t>Unknown:NC_023883.1/JX908739.1</t>
  </si>
  <si>
    <t>Dragonfly associated cyclovirus 1</t>
  </si>
  <si>
    <t>PRJNA243506</t>
  </si>
  <si>
    <t>Unknown:NC_023886.1/HQ638069.1</t>
  </si>
  <si>
    <t>Turkey stool associated circular ssDNA virus</t>
  </si>
  <si>
    <t>PRJNA243528</t>
  </si>
  <si>
    <t>Unknown:NC_023887.1/KF880727.1</t>
  </si>
  <si>
    <t>Leptospira interrogans serovar Lai str. 56601</t>
  </si>
  <si>
    <t>Circo-like virus-Brazil hs1</t>
  </si>
  <si>
    <t>PRJNA243529</t>
  </si>
  <si>
    <t>Unknown:NC_023888.1/JX559621.1</t>
  </si>
  <si>
    <t>Enhydra lutris papillomavirus 1</t>
  </si>
  <si>
    <t>PRJNA243540</t>
  </si>
  <si>
    <t>Unknown:NC_023873.1/KJ410351.1</t>
  </si>
  <si>
    <t>Pygoscelis adeliae papillomavirus 1</t>
  </si>
  <si>
    <t>PRJNA243629</t>
  </si>
  <si>
    <t>Unknown:NC_023894.1/KJ173785.1</t>
  </si>
  <si>
    <t>Leptospira interrogans serovar Lai str. IPAV</t>
  </si>
  <si>
    <t>Human papillomavirus 178</t>
  </si>
  <si>
    <t>PRJNA243630</t>
  </si>
  <si>
    <t>Unknown:NC_023891.1/KJ130020.1</t>
  </si>
  <si>
    <t>Rupicapra rupicapra papillomavirus 1</t>
  </si>
  <si>
    <t>PRJNA243631</t>
  </si>
  <si>
    <t>Unknown:NC_023895.1/KC876045.1</t>
  </si>
  <si>
    <t>Gaillardia latent virus</t>
  </si>
  <si>
    <t>PRJNA243632</t>
  </si>
  <si>
    <t>Leptospira interrogans serovar Linhai str. 56609</t>
  </si>
  <si>
    <t>Unknown:NC_023892.1/KJ415259.1</t>
  </si>
  <si>
    <t>Sclerotinia sclerotiorum endornavirus 2</t>
  </si>
  <si>
    <t>PRJNA243633</t>
  </si>
  <si>
    <t>Unknown:NC_023893.1/KJ123645.1</t>
  </si>
  <si>
    <t>Malvastrum leaf curl Guangdong betasatellite</t>
  </si>
  <si>
    <t>PRJNA243827</t>
  </si>
  <si>
    <t>Unknown:NC_023896.1/KF912951.1</t>
  </si>
  <si>
    <t>Bacillus phage Slash</t>
  </si>
  <si>
    <t>Unknown:NC_022774.1/KF669661.1</t>
  </si>
  <si>
    <t>Leptospira interrogans serovar Manilae strain UP-MMC-NIID HP</t>
  </si>
  <si>
    <t>Salmonella phage Maynard</t>
  </si>
  <si>
    <t>Unknown:NC_022768.1/KF669654.1</t>
  </si>
  <si>
    <t>Brevibacillus phage Davies</t>
  </si>
  <si>
    <t>PRJNA230605</t>
  </si>
  <si>
    <t>Unknown:NC_022980.1/KC595518.2</t>
  </si>
  <si>
    <t>Mycobacterium phage BarrelRoll</t>
  </si>
  <si>
    <t>PRJNA240718</t>
  </si>
  <si>
    <t>Leptospira interrogans serovar Manilae strain UP-MMC-NIID LP</t>
  </si>
  <si>
    <t>Unknown:NC_023747.1/JN643714.1</t>
  </si>
  <si>
    <t>Mycobacterium virus Gumbie</t>
  </si>
  <si>
    <t>PRJNA240735</t>
  </si>
  <si>
    <t>Unknown:NC_023746.1/JN398368.1</t>
  </si>
  <si>
    <t>Mycobacterium phage Stinger</t>
  </si>
  <si>
    <t>PRJNA240742</t>
  </si>
  <si>
    <t>68.6</t>
  </si>
  <si>
    <t>Unknown:NC_023741.1/JN699011.1</t>
  </si>
  <si>
    <t>Mycobacterium phage SkiPole</t>
  </si>
  <si>
    <t>PRJNA240744</t>
  </si>
  <si>
    <t>Unknown:NC_023748.1/GU247132.1</t>
  </si>
  <si>
    <t>Mycobacterium phage DS6A</t>
  </si>
  <si>
    <t>PRJNA240748</t>
  </si>
  <si>
    <t>Unknown:NC_023744.1/JN698994.1</t>
  </si>
  <si>
    <t>Mycobacterium phage Obama12</t>
  </si>
  <si>
    <t>PRJNA240046</t>
  </si>
  <si>
    <t>Unknown:NC_023577.1/KF959563.1</t>
  </si>
  <si>
    <t>Mycobacterium phage Akoma</t>
  </si>
  <si>
    <t>PRJNA240770</t>
  </si>
  <si>
    <t>Leptospirillum ferriphilum ML-04</t>
  </si>
  <si>
    <t>Unknown:NC_023742.1/JN699006.1</t>
  </si>
  <si>
    <t>Persimmon latent virus</t>
  </si>
  <si>
    <t>PRJNA244308</t>
  </si>
  <si>
    <t>Unknown:NC_023983.1/AB735629.2</t>
  </si>
  <si>
    <t>Tortoise rafivirus A</t>
  </si>
  <si>
    <t>PRJNA244474</t>
  </si>
  <si>
    <t>Unknown:NC_023988.1/KJ415177.1</t>
  </si>
  <si>
    <t>Mosavirus A2</t>
  </si>
  <si>
    <t>PRJNA244475</t>
  </si>
  <si>
    <t>Unknown:NC_023987.1/KF958461.1</t>
  </si>
  <si>
    <t>Leptospirillum ferriphilum YSK</t>
  </si>
  <si>
    <t>Casuarina virus</t>
  </si>
  <si>
    <t>PRJNA244476</t>
  </si>
  <si>
    <t>Unknown:NC_023986.1/KJ125489.1</t>
  </si>
  <si>
    <t>Duck picornavirus GL/12</t>
  </si>
  <si>
    <t>PRJNA244477</t>
  </si>
  <si>
    <t>Unknown:NC_023985.1/KJ000696.1</t>
  </si>
  <si>
    <t>Human cosavirus</t>
  </si>
  <si>
    <t>PRJNA244478</t>
  </si>
  <si>
    <t>Leptospirillum ferrooxidans C2-3</t>
  </si>
  <si>
    <t>Unknown:NC_023984.1/KJ194505.1</t>
  </si>
  <si>
    <t>Allamanda leaf mottle distortion virus</t>
  </si>
  <si>
    <t>PRJNA244665</t>
  </si>
  <si>
    <t>DNA-A:NC_024009.1/KC202818.1</t>
  </si>
  <si>
    <t>Jatropha mosaic virus</t>
  </si>
  <si>
    <t>PRJNA244666</t>
  </si>
  <si>
    <t>47.2047</t>
  </si>
  <si>
    <t>DNA A:NC_024012.1/KF723258.1;  DNA B:NC_024013.1/KF723261.1</t>
  </si>
  <si>
    <t>Leptospirillum sp. Group II 'CF-1'</t>
  </si>
  <si>
    <t>Nhumirim virus</t>
  </si>
  <si>
    <t>PRJNA244736</t>
  </si>
  <si>
    <t>Unknown:NC_024017.1/KJ210048.1</t>
  </si>
  <si>
    <t>Heliconius erato iflavirus</t>
  </si>
  <si>
    <t>PRJNA244737</t>
  </si>
  <si>
    <t>Unknown:NC_024016.1/KJ679438.1</t>
  </si>
  <si>
    <t>Pronghorn antelope pestivirus</t>
  </si>
  <si>
    <t>PRJNA244947</t>
  </si>
  <si>
    <t>Leptothrix cholodnii SP-6</t>
  </si>
  <si>
    <t>Unknown:NC_024018.2/AY781152.3</t>
  </si>
  <si>
    <t>Atlantic salmon calicivirus</t>
  </si>
  <si>
    <t>PRJNA245453</t>
  </si>
  <si>
    <t>Unknown:NC_024031.1/KJ577139.1</t>
  </si>
  <si>
    <t>Sugarcane white streak virus</t>
  </si>
  <si>
    <t>PRJNA244473</t>
  </si>
  <si>
    <t>Leptotrichia buccalis C-1013-b</t>
  </si>
  <si>
    <t>Unknown:NC_023989.1/KJ210622.1</t>
  </si>
  <si>
    <t>Tanay virus</t>
  </si>
  <si>
    <t>PRJNA246129</t>
  </si>
  <si>
    <t>Unknown:NC_024071.1/KF425261.1</t>
  </si>
  <si>
    <t>Enterovirus sp.</t>
  </si>
  <si>
    <t>PRJNA246231</t>
  </si>
  <si>
    <t>Unknown:NC_024073.1/KJ420749.1</t>
  </si>
  <si>
    <t>Pasivirus A1</t>
  </si>
  <si>
    <t>PRJNA171374</t>
  </si>
  <si>
    <t>Unknown:NC_018226.1/JQ316470.1</t>
  </si>
  <si>
    <t>Leptotrichia sp. oral taxon 212 strain W10393</t>
  </si>
  <si>
    <t>Rosavirus A2</t>
  </si>
  <si>
    <t>PRJNA246130</t>
  </si>
  <si>
    <t>Unknown:NC_024070.1/KJ158169.1</t>
  </si>
  <si>
    <t>Decapod penstyldensovirus 1</t>
  </si>
  <si>
    <t>PRJNA14436</t>
  </si>
  <si>
    <t>Unknown:NC_002190.2/AF218266.2</t>
  </si>
  <si>
    <t>Banana streak VN virus</t>
  </si>
  <si>
    <t>PRJNA15240</t>
  </si>
  <si>
    <t>Unknown:NC_007003.1/AY750155.1</t>
  </si>
  <si>
    <t>Lloviu cuevavirus</t>
  </si>
  <si>
    <t>PRJNA76475</t>
  </si>
  <si>
    <t>Unknown:NC_016144.1/JF828358.1</t>
  </si>
  <si>
    <t>Saimiri sciureus papillomavirus 1</t>
  </si>
  <si>
    <t>PRJNA239026</t>
  </si>
  <si>
    <t>Unknown:NC_023496.1/JF304765.1</t>
  </si>
  <si>
    <t>Banana streak MY virus</t>
  </si>
  <si>
    <t>PRJNA15234</t>
  </si>
  <si>
    <t>Unknown:NC_006955.1/AY805074.1</t>
  </si>
  <si>
    <t>Faba bean necrotic yellows C9 alphasatellite</t>
  </si>
  <si>
    <t>PRJNA254346</t>
  </si>
  <si>
    <t>Unknown:NC_003567.1/AJ132187.1</t>
  </si>
  <si>
    <t>Faba bean necrotic yellows C7 alphasatellite</t>
  </si>
  <si>
    <t>PRJNA254347</t>
  </si>
  <si>
    <t>Unknown:NC_003565.1/AJ132185.1</t>
  </si>
  <si>
    <t>Faba bean necrotic yellows C11 alphasatellite</t>
  </si>
  <si>
    <t>PRJNA254348</t>
  </si>
  <si>
    <t>Leptotrichia sp. oral taxon 847</t>
  </si>
  <si>
    <t>Unknown:NC_003558.1/AJ005968.1</t>
  </si>
  <si>
    <t>Sweet potato leaf curl Henan virus</t>
  </si>
  <si>
    <t>PRJNA210929</t>
  </si>
  <si>
    <t>Unknown:NC_021719.1/KC907406.1</t>
  </si>
  <si>
    <t>Leishmania aethiopica RNA virus</t>
  </si>
  <si>
    <t>PRJNA248100</t>
  </si>
  <si>
    <t>Unknown:NC_024115.1/KF757256.1</t>
  </si>
  <si>
    <t>PoSCV Kor J481</t>
  </si>
  <si>
    <t>PRJNA248101</t>
  </si>
  <si>
    <t>Unknown:NC_024119.1/KF193403.1</t>
  </si>
  <si>
    <t>New Jersey polyomavirus-2013</t>
  </si>
  <si>
    <t>PRJNA248102</t>
  </si>
  <si>
    <t>Unknown:NC_024118.1/KF954417.1</t>
  </si>
  <si>
    <t>Duck megrivirus</t>
  </si>
  <si>
    <t>PRJNA248318</t>
  </si>
  <si>
    <t>Unknown:NC_024120.1/KC663628.1</t>
  </si>
  <si>
    <t>Pseudomonas phage KPP25</t>
  </si>
  <si>
    <t>Leuconostoc carnosum JB16</t>
  </si>
  <si>
    <t>PRJNA248320</t>
  </si>
  <si>
    <t>Unknown:NC_024123.1/AB910393.1</t>
  </si>
  <si>
    <t>Escherichia phage vB_EcoM_JS09</t>
  </si>
  <si>
    <t>PRJNA248321</t>
  </si>
  <si>
    <t>Unknown:NC_024124.2/KF582788.2</t>
  </si>
  <si>
    <t>Salmonella phage vB_SalM_SJ3</t>
  </si>
  <si>
    <t>PRJNA248322</t>
  </si>
  <si>
    <t>Unknown:NC_024122.1/KJ174318.1</t>
  </si>
  <si>
    <t>Leuconostoc citreum KM20</t>
  </si>
  <si>
    <t>Serratia phage PS2</t>
  </si>
  <si>
    <t>PRJNA248461</t>
  </si>
  <si>
    <t>Unknown:NC_024121.1/KJ025957.1</t>
  </si>
  <si>
    <t>Escherichia phage vB_EcoM_112</t>
  </si>
  <si>
    <t>PRJNA248462</t>
  </si>
  <si>
    <t>Unknown:NC_024125.2/KJ668714.2</t>
  </si>
  <si>
    <t>Escherichia phage FFH2</t>
  </si>
  <si>
    <t>PRJNA248531</t>
  </si>
  <si>
    <t>Unknown:NC_024134.1/KJ190158.1</t>
  </si>
  <si>
    <t>Clostridium phage CDMH1</t>
  </si>
  <si>
    <t>PRJNA248532</t>
  </si>
  <si>
    <t>Leuconostoc gasicomitatum LMG 18811</t>
  </si>
  <si>
    <t>Unknown:NC_024144.1/HG531805.1</t>
  </si>
  <si>
    <t>Escherichia phage vB_EcoS_FFH1</t>
  </si>
  <si>
    <t>PRJNA248533</t>
  </si>
  <si>
    <t>Unknown:NC_024139.1/KJ190157.1</t>
  </si>
  <si>
    <t>Pseudomonas phage vB_PaeP_C2-10_Ab09</t>
  </si>
  <si>
    <t>PRJNA248534</t>
  </si>
  <si>
    <t>Unknown:NC_024140.1/HG962375.1</t>
  </si>
  <si>
    <t>Lactoccocus phage WP-2</t>
  </si>
  <si>
    <t>PRJNA248625</t>
  </si>
  <si>
    <t>Unknown:NC_024149.1/KJ528544.1</t>
  </si>
  <si>
    <t>Escherichia phage Bp4</t>
  </si>
  <si>
    <t>PRJNA248626</t>
  </si>
  <si>
    <t>Unknown:NC_024142.2/KJ135004.2</t>
  </si>
  <si>
    <t>Leuconostoc gelidum JB7</t>
  </si>
  <si>
    <t>Enterobacteria phage 9g</t>
  </si>
  <si>
    <t>PRJNA248627</t>
  </si>
  <si>
    <t>Unknown:NC_024146.1/KJ419279.1</t>
  </si>
  <si>
    <t>Mycobacterium phage Lamina13</t>
  </si>
  <si>
    <t>PRJNA248628</t>
  </si>
  <si>
    <t>Unknown:NC_024143.1/KJ409696.1</t>
  </si>
  <si>
    <t>Mycobacterium phage MosMoris</t>
  </si>
  <si>
    <t>PRJNA248629</t>
  </si>
  <si>
    <t>Leuconostoc gelidum subsp. gasicomitatum KG16-1</t>
  </si>
  <si>
    <t>Unknown:NC_024138.1/KJ538721.1</t>
  </si>
  <si>
    <t>Mycobacterium phage Kampy</t>
  </si>
  <si>
    <t>PRJNA248630</t>
  </si>
  <si>
    <t>Unknown:NC_024141.1/KJ510414.1</t>
  </si>
  <si>
    <t>Mycobacterium phage ZoeJ</t>
  </si>
  <si>
    <t>PRJNA248631</t>
  </si>
  <si>
    <t>68.5</t>
  </si>
  <si>
    <t>Unknown:NC_024147.1/KJ510412.1</t>
  </si>
  <si>
    <t>Bacillus phage Bcp1</t>
  </si>
  <si>
    <t>Leuconostoc kimchii IMSNU 11154</t>
  </si>
  <si>
    <t>PRJNA248632</t>
  </si>
  <si>
    <t>Unknown:NC_024137.1/KJ451625.1</t>
  </si>
  <si>
    <t>Mycobacterium phage Bernal13</t>
  </si>
  <si>
    <t>PRJNA248633</t>
  </si>
  <si>
    <t>Unknown:NC_024135.1/KJ510413.1</t>
  </si>
  <si>
    <t>Mycobacterium phage Hosp</t>
  </si>
  <si>
    <t>PRJNA248634</t>
  </si>
  <si>
    <t>Unknown:NC_024145.1/KJ433974.1</t>
  </si>
  <si>
    <t>Mycobacterium phage Phantastic</t>
  </si>
  <si>
    <t>PRJNA248635</t>
  </si>
  <si>
    <t>Leuconostoc mesenteroides KFRI-MG</t>
  </si>
  <si>
    <t>Unknown:NC_024148.1/KJ510415.1</t>
  </si>
  <si>
    <t>Mycobacterium phage Seabiscuit</t>
  </si>
  <si>
    <t>PRJNA248636</t>
  </si>
  <si>
    <t>Unknown:NC_024136.1/KJ194585.1</t>
  </si>
  <si>
    <t>California sea lion adenovirus 1</t>
  </si>
  <si>
    <t>PRJNA248745</t>
  </si>
  <si>
    <t>Unknown:NC_024150.1/KJ563221.1</t>
  </si>
  <si>
    <t>Leuconostoc mesenteroides subsp. dextranicum strain DSM 20484</t>
  </si>
  <si>
    <t>Beauveria bassiana victorivirus NZL/1980</t>
  </si>
  <si>
    <t>PRJNA248746</t>
  </si>
  <si>
    <t>Unknown:NC_024151.1/KJ364649.1</t>
  </si>
  <si>
    <t>Escherichia phage e4/1c</t>
  </si>
  <si>
    <t>PRJNA249090</t>
  </si>
  <si>
    <t>Unknown:NC_024210.1/KJ668713.1</t>
  </si>
  <si>
    <t>Salmonella phage vB_SenS-Ent3</t>
  </si>
  <si>
    <t>PRJNA249091</t>
  </si>
  <si>
    <t>Unknown:NC_024204.1/HG934470.1</t>
  </si>
  <si>
    <t>Leuconostoc mesenteroides subsp. mesenteroides</t>
  </si>
  <si>
    <t>Bacillus phage Hakuna</t>
  </si>
  <si>
    <t>PRJNA249092</t>
  </si>
  <si>
    <t>Unknown:NC_024213.1/KJ489399.1</t>
  </si>
  <si>
    <t>Bacillus phage Hoody T</t>
  </si>
  <si>
    <t>PRJNA249093</t>
  </si>
  <si>
    <t>Unknown:NC_024205.1/KJ489400.1</t>
  </si>
  <si>
    <t>Bacillus phage CAM003</t>
  </si>
  <si>
    <t>PRJNA249094</t>
  </si>
  <si>
    <t>Leuconostoc mesenteroides subsp. mesenteroides ATCC 8293</t>
  </si>
  <si>
    <t>Unknown:NC_024216.1/KJ489397.1</t>
  </si>
  <si>
    <t>Bacillus phage Megatron</t>
  </si>
  <si>
    <t>PRJNA249095</t>
  </si>
  <si>
    <t>Unknown:NC_024211.1/KJ489401.1</t>
  </si>
  <si>
    <t>Bacillus phage Evoli</t>
  </si>
  <si>
    <t>PRJNA249096</t>
  </si>
  <si>
    <t>Unknown:NC_024207.1/KJ489398.1</t>
  </si>
  <si>
    <t>Goose calicivirus</t>
  </si>
  <si>
    <t>PRJNA247501</t>
  </si>
  <si>
    <t>Unknown:NC_024078.1/KJ473715.1</t>
  </si>
  <si>
    <t>Leuconostoc mesenteroides subsp. mesenteroides J18</t>
  </si>
  <si>
    <t>Soybean cyst nematode virus 5</t>
  </si>
  <si>
    <t>PRJNA247502</t>
  </si>
  <si>
    <t>Unknown:NC_024077.1/KF726084.1</t>
  </si>
  <si>
    <t>Jingmen tick virus</t>
  </si>
  <si>
    <t>PRJNA247973</t>
  </si>
  <si>
    <t>52.9358</t>
  </si>
  <si>
    <t>segmen  1:NC_024113.1/KJ001579.1;  segmen  2:NC_024112.1/KJ001580.1;  segmen  3:NC_024114.1/KJ001581.1;  segmen  4:NC_024111.1/KJ001582.1</t>
  </si>
  <si>
    <t>Leuconostoc sp. C2</t>
  </si>
  <si>
    <t>Tomato leaf curl Barka virus</t>
  </si>
  <si>
    <t>PRJNA248098</t>
  </si>
  <si>
    <t>Unknown:NC_024116.1/KF260965.1</t>
  </si>
  <si>
    <t>Solanum mosaic Bolivia virus</t>
  </si>
  <si>
    <t>PRJNA252618</t>
  </si>
  <si>
    <t>40.2026</t>
  </si>
  <si>
    <t>DN--A:NC_024304.1/HM585435.1;  DN--B:NC_024305.1/HM585436.1</t>
  </si>
  <si>
    <t>Bovine astrovirus</t>
  </si>
  <si>
    <t>PRJNA252619</t>
  </si>
  <si>
    <t>Liberibacter crescens BT-1</t>
  </si>
  <si>
    <t>Unknown:NC_024297.1/KJ620979.1</t>
  </si>
  <si>
    <t>Pagoda yellow mosaic associated virus</t>
  </si>
  <si>
    <t>PRJNA252620</t>
  </si>
  <si>
    <t>Unknown:NC_024301.1/KJ013302.1</t>
  </si>
  <si>
    <t>Liberibacter crescens strain BT-0</t>
  </si>
  <si>
    <t>Sclerotinia sclerotiorum debilitation-associated RNA virus 2</t>
  </si>
  <si>
    <t>PRJNA252621</t>
  </si>
  <si>
    <t>Unknown:NC_024298.1/KJ561219.1</t>
  </si>
  <si>
    <t>Fulmarus glacialis papillomavirus 1</t>
  </si>
  <si>
    <t>PRJNA252623</t>
  </si>
  <si>
    <t>Unknown:NC_024300.1/KJ452243.1</t>
  </si>
  <si>
    <t>Limnochorda pilosa strain HC45</t>
  </si>
  <si>
    <t>Nienokoue virus</t>
  </si>
  <si>
    <t>PRJNA252624</t>
  </si>
  <si>
    <t>NC_024299.2/JQ957875.2</t>
  </si>
  <si>
    <t>Bovine gammaherpesvirus 6</t>
  </si>
  <si>
    <t>PRJNA252717</t>
  </si>
  <si>
    <t>Unknown:NC_024303.1/KJ705001.1</t>
  </si>
  <si>
    <t>Fruit bat alphaherpesvirus 1</t>
  </si>
  <si>
    <t>Limnohabitans sp. 103DPR2</t>
  </si>
  <si>
    <t>PRJNA252745</t>
  </si>
  <si>
    <t>Unknown:NC_024306.1/AB825953.1</t>
  </si>
  <si>
    <t>Pseudomonas phage JD024</t>
  </si>
  <si>
    <t>PRJNA253206</t>
  </si>
  <si>
    <t>Unknown:NC_024330.1/KJ477077.1</t>
  </si>
  <si>
    <t>Limnohabitans sp. 63ED37-2</t>
  </si>
  <si>
    <t>Sida yellow vein alphasatellite</t>
  </si>
  <si>
    <t>PRJNA253217</t>
  </si>
  <si>
    <t>Unknown:NC_024372.1/KJ614231.1</t>
  </si>
  <si>
    <t>Luffa puckering and leaf distortion-associated betasatellite [India:Gurdaspur:Okra:2013]</t>
  </si>
  <si>
    <t>PRJNA253218</t>
  </si>
  <si>
    <t>Unknown:NC_024373.1/KJ614230.1</t>
  </si>
  <si>
    <t>Streptococcus phage DCC1738</t>
  </si>
  <si>
    <t>Listeria innocua Clip11262</t>
  </si>
  <si>
    <t>PRJNA253219</t>
  </si>
  <si>
    <t>Unknown:NC_024361.1/HG799497.1</t>
  </si>
  <si>
    <t>Streptococcus phage IC1</t>
  </si>
  <si>
    <t>PRJNA253220</t>
  </si>
  <si>
    <t>Unknown:NC_024370.1/HG799490.1</t>
  </si>
  <si>
    <t>Listeria phage List-36</t>
  </si>
  <si>
    <t>PRJNA253221</t>
  </si>
  <si>
    <t>Listeria ivanovii subsp. ivanovii PAM 55</t>
  </si>
  <si>
    <t>Unknown:NC_024364.1/KJ535721.1</t>
  </si>
  <si>
    <t>Pseudomonas phage phiPSA1</t>
  </si>
  <si>
    <t>PRJNA253222</t>
  </si>
  <si>
    <t>Unknown:NC_024365.1/KJ507100.1</t>
  </si>
  <si>
    <t>Streptococcus phage K13</t>
  </si>
  <si>
    <t>PRJNA253223</t>
  </si>
  <si>
    <t>Unknown:NC_024357.1/HG799496.1</t>
  </si>
  <si>
    <t>Chilli leaf curl alphasatellite</t>
  </si>
  <si>
    <t>PRJNA253224</t>
  </si>
  <si>
    <t>Listeria ivanovii subsp. ivanovii WSLC 3010</t>
  </si>
  <si>
    <t>Unknown:NC_024374.1/KF471047.1</t>
  </si>
  <si>
    <t>Listeria phage LMSP-25</t>
  </si>
  <si>
    <t>PRJNA253225</t>
  </si>
  <si>
    <t>Unknown:NC_024360.1/KJ535722.1</t>
  </si>
  <si>
    <t>Mycobacterium phage OkiRoe</t>
  </si>
  <si>
    <t>PRJNA253329</t>
  </si>
  <si>
    <t>Unknown:NC_024366.1/KJ567042.1</t>
  </si>
  <si>
    <t>Listeria phage LP-048</t>
  </si>
  <si>
    <t>PRJNA253330</t>
  </si>
  <si>
    <t>Unknown:NC_024359.1/KJ094033.1</t>
  </si>
  <si>
    <t>Listeria ivanovii subsp. londoniensis WSLC 30151</t>
  </si>
  <si>
    <t>Simian pegivirus</t>
  </si>
  <si>
    <t>PRJNA253339</t>
  </si>
  <si>
    <t>Unknown:NC_024377.1/KF234501.1</t>
  </si>
  <si>
    <t>Pseudomonas phage vB_PaeS_SCH_Ab26</t>
  </si>
  <si>
    <t>PRJNA253340</t>
  </si>
  <si>
    <t>Unknown:NC_024381.1/HG962376.1</t>
  </si>
  <si>
    <t>Staphylococcus phage DW2</t>
  </si>
  <si>
    <t>PRJNA253383</t>
  </si>
  <si>
    <t>Unknown:NC_024391.1/KJ140076.1</t>
  </si>
  <si>
    <t>Listeria ivanovii subsp. londoniensis WSLC 30167</t>
  </si>
  <si>
    <t>Listeria phage LP-114</t>
  </si>
  <si>
    <t>PRJNA253384</t>
  </si>
  <si>
    <t>Unknown:NC_024392.1/KJ094021.1</t>
  </si>
  <si>
    <t>Listeria phage LP-030-3</t>
  </si>
  <si>
    <t>PRJNA253385</t>
  </si>
  <si>
    <t>Unknown:NC_024384.1/KJ094022.1</t>
  </si>
  <si>
    <t>Leuconostoc phage phiLN6B</t>
  </si>
  <si>
    <t>PRJNA253386</t>
  </si>
  <si>
    <t>Unknown:NC_024380.1/KC013024.1</t>
  </si>
  <si>
    <t>Listeria ivanovii WSLC3009</t>
  </si>
  <si>
    <t>Listeria phage LP-083-2</t>
  </si>
  <si>
    <t>PRJNA253387</t>
  </si>
  <si>
    <t>Unknown:NC_024383.1/KJ094030.1</t>
  </si>
  <si>
    <t>Leuconostoc phage phiLN34</t>
  </si>
  <si>
    <t>PRJNA253388</t>
  </si>
  <si>
    <t>Unknown:NC_024388.1/KC013027.1</t>
  </si>
  <si>
    <t>Leuconostoc phage phiLNTR3</t>
  </si>
  <si>
    <t>Listeria monocytogenes</t>
  </si>
  <si>
    <t>PRJNA253389</t>
  </si>
  <si>
    <t>Unknown:NC_024378.1/KC013029.1</t>
  </si>
  <si>
    <t>Listeria phage LP-101</t>
  </si>
  <si>
    <t>PRJNA253390</t>
  </si>
  <si>
    <t>Unknown:NC_024387.1/KJ094023.1</t>
  </si>
  <si>
    <t>Alcelaphine gammaherpesvirus 2</t>
  </si>
  <si>
    <t>PRJNA253391</t>
  </si>
  <si>
    <t>Listeria monocytogenes 07PF0776</t>
  </si>
  <si>
    <t>Unknown:NC_024382.1/KF274499.1</t>
  </si>
  <si>
    <t>Leuconostoc phage phiLN12</t>
  </si>
  <si>
    <t>PRJNA253392</t>
  </si>
  <si>
    <t>Unknown:NC_024385.1/KC013025.1</t>
  </si>
  <si>
    <t>Leuconostoc phage phiLNTR2</t>
  </si>
  <si>
    <t>PRJNA253393</t>
  </si>
  <si>
    <t>Unknown:NC_024389.1/KC013028.1</t>
  </si>
  <si>
    <t>Listeria monocytogenes 08-5578</t>
  </si>
  <si>
    <t>Escherichia phage PE3-1</t>
  </si>
  <si>
    <t>PRJNA253394</t>
  </si>
  <si>
    <t>Unknown:NC_024379.1/KJ748011.1</t>
  </si>
  <si>
    <t>Leuconostoc phage phiLN03</t>
  </si>
  <si>
    <t>PRJNA253395</t>
  </si>
  <si>
    <t>Unknown:NC_024390.1/KC013022.1</t>
  </si>
  <si>
    <t>Sierra Nevada virus</t>
  </si>
  <si>
    <t>PRJNA253396</t>
  </si>
  <si>
    <t>Unknown:NC_024376.1/KF530058.1</t>
  </si>
  <si>
    <t>Listeria monocytogenes 08-5923</t>
  </si>
  <si>
    <t>Leuconostoc phage phiLN25</t>
  </si>
  <si>
    <t>PRJNA253397</t>
  </si>
  <si>
    <t>Unknown:NC_024386.1/KC013026.1</t>
  </si>
  <si>
    <t>Horseshoe bat hepatitis B virus</t>
  </si>
  <si>
    <t>PRJNA253463</t>
  </si>
  <si>
    <t>Unknown:NC_024444.1/KC790377.1</t>
  </si>
  <si>
    <t>Tent-making bat hepatitis B virus</t>
  </si>
  <si>
    <t>PRJNA253464</t>
  </si>
  <si>
    <t>Unknown:NC_024445.1/KC790378.1</t>
  </si>
  <si>
    <t>Listeria monocytogenes 6179</t>
  </si>
  <si>
    <t>Roundleaf bat hepatitis B virus</t>
  </si>
  <si>
    <t>PRJNA253465</t>
  </si>
  <si>
    <t>Unknown:NC_024443.1/KC790373.1</t>
  </si>
  <si>
    <t>Pigeonpox virus</t>
  </si>
  <si>
    <t>PRJNA253476</t>
  </si>
  <si>
    <t>Unknown:NC_024447.1/KJ801920.1</t>
  </si>
  <si>
    <t>Penguinpox virus</t>
  </si>
  <si>
    <t>PRJNA253477</t>
  </si>
  <si>
    <t>Listeria monocytogenes ATCC 19117</t>
  </si>
  <si>
    <t>Unknown:NC_024446.1/KJ859677.1</t>
  </si>
  <si>
    <t>Armadillidium vulgare iridescent virus</t>
  </si>
  <si>
    <t>PRJEB1570</t>
  </si>
  <si>
    <t>Unknown:NC_024451.1/HF920637.1</t>
  </si>
  <si>
    <t>Cherry twisted leaf associated virus</t>
  </si>
  <si>
    <t>PRJNA253575</t>
  </si>
  <si>
    <t>Unknown:NC_024449.1/KF958838.1</t>
  </si>
  <si>
    <t>Falconid herpesvirus 1</t>
  </si>
  <si>
    <t>PRJNA253588</t>
  </si>
  <si>
    <t>Unknown:NC_024450.1/KJ668231.1</t>
  </si>
  <si>
    <t>Porcine bocavirus 1 pig/ZJD/China/2006</t>
  </si>
  <si>
    <t>PRJNA253738</t>
  </si>
  <si>
    <t>Unknown:NC_024453.2/HM053693.2</t>
  </si>
  <si>
    <t>Turkey parvovirus 1078</t>
  </si>
  <si>
    <t>PRJNA253739</t>
  </si>
  <si>
    <t>Unknown:NC_024454.1/GU214705.1</t>
  </si>
  <si>
    <t>Listeria monocytogenes EGD</t>
  </si>
  <si>
    <t>Chicken parvovirus ABU-P1</t>
  </si>
  <si>
    <t>PRJNA253740</t>
  </si>
  <si>
    <t>Unknown:NC_024452.1/GU214704.1</t>
  </si>
  <si>
    <t>Yerba mate alphaendornavirus</t>
  </si>
  <si>
    <t>PRJNA253818</t>
  </si>
  <si>
    <t>Listeria monocytogenes EGD-e</t>
  </si>
  <si>
    <t>Unknown:NC_024455.1/KJ634409.1</t>
  </si>
  <si>
    <t>Pitaya virus X</t>
  </si>
  <si>
    <t>PRJNA254434</t>
  </si>
  <si>
    <t>Unknown:NC_024458.1/JF930327.1</t>
  </si>
  <si>
    <t>Pigeon adenovirus 1</t>
  </si>
  <si>
    <t>PRJNA255102</t>
  </si>
  <si>
    <t>Listeria monocytogenes FSL F6-684</t>
  </si>
  <si>
    <t>Unknown:NC_024474.1/FN824512.2</t>
  </si>
  <si>
    <t>Yellow oat-grass mosaic virus</t>
  </si>
  <si>
    <t>PRJNA255103</t>
  </si>
  <si>
    <t>Unknown:NC_024471.1/KF984546.1</t>
  </si>
  <si>
    <t>Human astrovirus BF34</t>
  </si>
  <si>
    <t>PRJNA255104</t>
  </si>
  <si>
    <t>Listeria monocytogenes HCC23</t>
  </si>
  <si>
    <t>Unknown:NC_024472.1/KF859964.1</t>
  </si>
  <si>
    <t>Vesicular stomatitis New Jersey virus</t>
  </si>
  <si>
    <t>PRJNA255105</t>
  </si>
  <si>
    <t>Unknown:NC_024473.1/JX121109.2</t>
  </si>
  <si>
    <t>Listeria monocytogenes IZSAM_Lm_hs2008</t>
  </si>
  <si>
    <t>Blueberry mosaic associated virus</t>
  </si>
  <si>
    <t>PRJNA255707</t>
  </si>
  <si>
    <t>RNA2:NC_024476.1/KJ704367.1</t>
  </si>
  <si>
    <t>McMurdo Ice Shelf pond-associated circular DNA virus-8</t>
  </si>
  <si>
    <t>PRJNA255728</t>
  </si>
  <si>
    <t>Unknown:NC_024484.1/KJ547653.1</t>
  </si>
  <si>
    <t>McMurdo Ice Shelf pond-associated circular DNA virus-7</t>
  </si>
  <si>
    <t>PRJNA255729</t>
  </si>
  <si>
    <t>Listeria monocytogenes L312</t>
  </si>
  <si>
    <t>Unknown:NC_024483.1/KJ547652.1</t>
  </si>
  <si>
    <t>McMurdo Ice Shelf pond-associated circular DNA virus-6</t>
  </si>
  <si>
    <t>PRJNA255730</t>
  </si>
  <si>
    <t>Unknown:NC_024482.1/KJ547651.1</t>
  </si>
  <si>
    <t>McMurdo Ice Shelf pond-associated circular DNA virus-5</t>
  </si>
  <si>
    <t>Listeria monocytogenes L99</t>
  </si>
  <si>
    <t>PRJNA255731</t>
  </si>
  <si>
    <t>Unknown:NC_024481.1/KJ547650.1</t>
  </si>
  <si>
    <t>McMurdo Ice Shelf pond-associated circular DNA virus-4</t>
  </si>
  <si>
    <t>PRJNA255732</t>
  </si>
  <si>
    <t>Unknown:NC_024480.1/KJ547649.1</t>
  </si>
  <si>
    <t>Listeria monocytogenes La111</t>
  </si>
  <si>
    <t>McMurdo Ice Shelf pond-associated circular DNA virus-3</t>
  </si>
  <si>
    <t>PRJNA255733</t>
  </si>
  <si>
    <t>Unknown:NC_024479.1/KJ547648.1</t>
  </si>
  <si>
    <t>McMurdo Ice Shelf pond-associated circular DNA virus-2</t>
  </si>
  <si>
    <t>PRJNA255734</t>
  </si>
  <si>
    <t>Unknown:NC_024478.1/KJ547647.1</t>
  </si>
  <si>
    <t>McMurdo Ice Shelf pond-associated circular DNA virus-1</t>
  </si>
  <si>
    <t>PRJNA255735</t>
  </si>
  <si>
    <t>Listeria monocytogenes M7</t>
  </si>
  <si>
    <t>Unknown:NC_024477.1/KJ547646.1</t>
  </si>
  <si>
    <t>Rosellinia necatrix fusarivirus 1</t>
  </si>
  <si>
    <t>PRJNA255787</t>
  </si>
  <si>
    <t>Fusariviridae</t>
  </si>
  <si>
    <t>Unknown:NC_024485.1/AB915829.1</t>
  </si>
  <si>
    <t>Asterionellopsis glacialis RNA virus</t>
  </si>
  <si>
    <t>PRJNA255792</t>
  </si>
  <si>
    <t>Unknown:NC_024489.1/AB973945.1</t>
  </si>
  <si>
    <t>Listeria monocytogenes N53-1</t>
  </si>
  <si>
    <t>Duck adenovirus 2</t>
  </si>
  <si>
    <t>PRJNA255793</t>
  </si>
  <si>
    <t>Unknown:NC_024486.1/KJ469653.1</t>
  </si>
  <si>
    <t>Drosophila immigrans Nora virus</t>
  </si>
  <si>
    <t>PRJNA255794</t>
  </si>
  <si>
    <t>Unknown:NC_024488.1/KF242511.1</t>
  </si>
  <si>
    <t>Listeria monocytogenes NTSN</t>
  </si>
  <si>
    <t>Drosophila subobscura Nora virus</t>
  </si>
  <si>
    <t>PRJNA255795</t>
  </si>
  <si>
    <t>Unknown:NC_024487.1/KF242510.1</t>
  </si>
  <si>
    <t>Mirabilis leaf curl India virus associated betasatellite</t>
  </si>
  <si>
    <t>PRJNA255800</t>
  </si>
  <si>
    <t>Unknown:NC_024490.1/LK054804.1</t>
  </si>
  <si>
    <t>Senegalese sole Iberian betanodavirus</t>
  </si>
  <si>
    <t>Listeria monocytogenes R479a</t>
  </si>
  <si>
    <t>PRJNA255996</t>
  </si>
  <si>
    <t>52.6454</t>
  </si>
  <si>
    <t>1:NC_024492.1/FJ803911.2;  2:NC_024493.1/FJ803923.2</t>
  </si>
  <si>
    <t>Heartland virus</t>
  </si>
  <si>
    <t>PRJNA255997</t>
  </si>
  <si>
    <t>46.3289</t>
  </si>
  <si>
    <t>L:NC_024495.1/JX005846.1;  M:NC_024494.1/JX005844.1;  S:NC_024496.1/JX005842.1</t>
  </si>
  <si>
    <t>Umatilla virus</t>
  </si>
  <si>
    <t>PRJNA256076</t>
  </si>
  <si>
    <t>Listeria monocytogenes serotype 4b str. CLIP 80459</t>
  </si>
  <si>
    <t>40.9389</t>
  </si>
  <si>
    <t>1:NC_024503.1/HQ842619.1;  2:NC_024504.1/HQ842620.1;  3:NC_024505.1/HQ842621.1;  4:NC_024506.1/HQ842622.1;  5:NC_024507.1/HQ842623.1;  6:NC_024508.1/HQ842624.1;  7:NC_024509.1/HQ842625.1;  8:NC_024510.1/HQ842626.1;  9:NC_024499.1/HQ842627.1;  10:NC_024500.1/HQ842628.1</t>
  </si>
  <si>
    <t>Lymantria dispar iflavirus 1</t>
  </si>
  <si>
    <t>PRJNA256085</t>
  </si>
  <si>
    <t>Unknown:NC_024497.1/KJ629170.1</t>
  </si>
  <si>
    <t>Bovine astrovirus CH13</t>
  </si>
  <si>
    <t>PRJNA256091</t>
  </si>
  <si>
    <t>Unknown:NC_024498.1/KM035759.1</t>
  </si>
  <si>
    <t>Peridroma alphabaculovirus</t>
  </si>
  <si>
    <t>PRJNA257515</t>
  </si>
  <si>
    <t>Listeria monocytogenes serotype 4b str. F2365</t>
  </si>
  <si>
    <t>Unknown:NC_024625.1/KM009991.1</t>
  </si>
  <si>
    <t>Lizard adenovirus 2</t>
  </si>
  <si>
    <t>PRJNA257662</t>
  </si>
  <si>
    <t>Unknown:NC_024684.1/KJ156523.1</t>
  </si>
  <si>
    <t>Rose leaf curl virus</t>
  </si>
  <si>
    <t>PRJNA257697</t>
  </si>
  <si>
    <t>Unknown:NC_024687.1/KJ739692.1</t>
  </si>
  <si>
    <t>Phomopsis longicolla hypovirus</t>
  </si>
  <si>
    <t>Listeria monocytogenes serotype 4b str. LL195</t>
  </si>
  <si>
    <t>PRJNA257698</t>
  </si>
  <si>
    <t>Unknown:NC_024685.1/KF537784.1</t>
  </si>
  <si>
    <t>MSSI2.225 virus</t>
  </si>
  <si>
    <t>PRJNA257699</t>
  </si>
  <si>
    <t>Unknown:NC_024691.1/LK931485.1</t>
  </si>
  <si>
    <t>Listeria monocytogenes serotype 7 str. SLCC2482</t>
  </si>
  <si>
    <t>HCBI9.212 virus</t>
  </si>
  <si>
    <t>PRJNA257700</t>
  </si>
  <si>
    <t>Unknown:NC_024690.1/LK931484.1</t>
  </si>
  <si>
    <t>HCBI8.215 virus</t>
  </si>
  <si>
    <t>PRJNA257701</t>
  </si>
  <si>
    <t>Unknown:NC_024689.1/LK931483.1</t>
  </si>
  <si>
    <t>Prunus virus T</t>
  </si>
  <si>
    <t>PRJNA257702</t>
  </si>
  <si>
    <t>Listeria monocytogenes SLCC2372</t>
  </si>
  <si>
    <t>Unknown:NC_024686.1/KF700263.1</t>
  </si>
  <si>
    <t>Rose leaf curl betasatellite</t>
  </si>
  <si>
    <t>PRJNA257741</t>
  </si>
  <si>
    <t>Unknown:NC_024695.1/KJ739691.1</t>
  </si>
  <si>
    <t>Human circovirus VS6600022</t>
  </si>
  <si>
    <t>PRJNA257742</t>
  </si>
  <si>
    <t>Listeria monocytogenes SLCC2376</t>
  </si>
  <si>
    <t>Unknown:NC_024694.1/KJ206566.1</t>
  </si>
  <si>
    <t>Sweet potato leaf curl Guangxi virus</t>
  </si>
  <si>
    <t>PRJNA257743</t>
  </si>
  <si>
    <t>Unknown:NC_024693.1/KJ476510.2</t>
  </si>
  <si>
    <t>Listeria monocytogenes SLCC2378</t>
  </si>
  <si>
    <t>Aureococcus anophagefferens virus</t>
  </si>
  <si>
    <t>PRJNA258005</t>
  </si>
  <si>
    <t>Unknown:NC_024697.1/KJ645900.1</t>
  </si>
  <si>
    <t>Mamastrovirus 2</t>
  </si>
  <si>
    <t>PRJNA390416</t>
  </si>
  <si>
    <t>Unknown:NC_034974.1/KY940076.1</t>
  </si>
  <si>
    <t>Listeria monocytogenes SLCC2479</t>
  </si>
  <si>
    <t>Elephant endotheliotropic herpesvirus 5</t>
  </si>
  <si>
    <t>PRJNA258185</t>
  </si>
  <si>
    <t>Unknown:NC_024696.1/KF921519.1</t>
  </si>
  <si>
    <t>Soybean cyst nematode socyvirus</t>
  </si>
  <si>
    <t>PRJNA258186</t>
  </si>
  <si>
    <t>Unknown:NC_024702.1/HM849038.1</t>
  </si>
  <si>
    <t>Alternaria longipes dsRNA virus 1</t>
  </si>
  <si>
    <t>PRJNA258281</t>
  </si>
  <si>
    <t>Listeria monocytogenes SLCC2540</t>
  </si>
  <si>
    <t>Unknown:NC_024703.1/KJ817371.1</t>
  </si>
  <si>
    <t>Cladosporium cladosporioides virus 1</t>
  </si>
  <si>
    <t>PRJNA258308</t>
  </si>
  <si>
    <t>57.0461</t>
  </si>
  <si>
    <t>1:NC_024704.1/KJ787686.1;  2:NC_024705.1/KJ787687.1;  3:NC_024706.1/KJ787688.1;  4:NC_024707.1/KJ787689.1;  5:NC_024708.1/KJ787690.1</t>
  </si>
  <si>
    <t>Penaeus monodon nudivirus</t>
  </si>
  <si>
    <t>PRJNA259190</t>
  </si>
  <si>
    <t>Listeria monocytogenes SLCC2755</t>
  </si>
  <si>
    <t>Unknown:NC_024692.1/KJ184318.1</t>
  </si>
  <si>
    <t>Ageratum conyzoides associated symptomless alphasatellite</t>
  </si>
  <si>
    <t>PRJNA259293</t>
  </si>
  <si>
    <t>Unknown:NC_024710.1/HG518788.1</t>
  </si>
  <si>
    <t>uncultured crAssphage</t>
  </si>
  <si>
    <t>PRJNA259336</t>
  </si>
  <si>
    <t>Unknown:NC_024711.1/</t>
  </si>
  <si>
    <t>Listeria monocytogenes SLCC5850</t>
  </si>
  <si>
    <t>Lactococcus phage P092</t>
  </si>
  <si>
    <t>PRJNA251389</t>
  </si>
  <si>
    <t>Unknown:NC_024203.1/KJ489011.1</t>
  </si>
  <si>
    <t>Lactococcus phage P078</t>
  </si>
  <si>
    <t>PRJNA251390</t>
  </si>
  <si>
    <t>Unknown:NC_024215.1/KJ489010.1</t>
  </si>
  <si>
    <t>Nitrincola phage 1M3-16</t>
  </si>
  <si>
    <t>Listeria monocytogenes SLCC7179</t>
  </si>
  <si>
    <t>PRJNA251391</t>
  </si>
  <si>
    <t>Unknown:NC_024217.1/KJ534580.1</t>
  </si>
  <si>
    <t>Lactococcus phage P118</t>
  </si>
  <si>
    <t>PRJNA251392</t>
  </si>
  <si>
    <t>Unknown:NC_024208.1/KJ489012.1</t>
  </si>
  <si>
    <t>Lactococcus phage P162</t>
  </si>
  <si>
    <t>PRJNA251393</t>
  </si>
  <si>
    <t>Listeria monocytogenes strain 2015TE19005-1355</t>
  </si>
  <si>
    <t>Unknown:NC_024214.1/KJ489013.1</t>
  </si>
  <si>
    <t>Mycobacterium phage Hawkeye</t>
  </si>
  <si>
    <t>PRJNA251394</t>
  </si>
  <si>
    <t>Unknown:NC_024209.1/KJ194582.1</t>
  </si>
  <si>
    <t>Staphylococcus phage 6ec</t>
  </si>
  <si>
    <t>PRJNA253318</t>
  </si>
  <si>
    <t>Unknown:NC_024355.1/KJ804259.1</t>
  </si>
  <si>
    <t>Listeria phage LP-026</t>
  </si>
  <si>
    <t>PRJNA253319</t>
  </si>
  <si>
    <t>Unknown:NC_024375.1/KJ094020.1</t>
  </si>
  <si>
    <t>Mycobacterium phage Manad</t>
  </si>
  <si>
    <t>Listeria monocytogenes strain 2015TE24968</t>
  </si>
  <si>
    <t>PRJNA253320</t>
  </si>
  <si>
    <t>Unknown:NC_024363.1/KJ595576.1</t>
  </si>
  <si>
    <t>Anabaena phage A-4L</t>
  </si>
  <si>
    <t>PRJNA253321</t>
  </si>
  <si>
    <t>Unknown:NC_024358.1/KF356198.1</t>
  </si>
  <si>
    <t>Pseudomonas phage phiPSA2</t>
  </si>
  <si>
    <t>PRJNA253322</t>
  </si>
  <si>
    <t>Unknown:NC_024362.1/KJ507099.1</t>
  </si>
  <si>
    <t>Cronobacter phage CR8</t>
  </si>
  <si>
    <t>PRJNA253325</t>
  </si>
  <si>
    <t>Unknown:NC_024354.1/KC954774.1</t>
  </si>
  <si>
    <t>Listeria monocytogenes strain C1-387</t>
  </si>
  <si>
    <t>Enterococcus phage IME-EFm1</t>
  </si>
  <si>
    <t>PRJNA253326</t>
  </si>
  <si>
    <t>Unknown:NC_024356.1/KJ010489.1</t>
  </si>
  <si>
    <t>Mycobacterium phage Damien</t>
  </si>
  <si>
    <t>PRJNA253327</t>
  </si>
  <si>
    <t>Unknown:NC_024371.1/KJ567046.1</t>
  </si>
  <si>
    <t>Dinoroseobacter phage DFL12phi1</t>
  </si>
  <si>
    <t>Listeria monocytogenes strain CFSAN006122</t>
  </si>
  <si>
    <t>PRJNA253328</t>
  </si>
  <si>
    <t>Unknown:NC_024367.1/KJ621082.2</t>
  </si>
  <si>
    <t>Chicken picornavirus 1</t>
  </si>
  <si>
    <t>PRJNA259972</t>
  </si>
  <si>
    <t>Unknown:NC_024765.1/KF979331.1</t>
  </si>
  <si>
    <t>Chicken gallivirus 1</t>
  </si>
  <si>
    <t>PRJNA259980</t>
  </si>
  <si>
    <t>Unknown:NC_024770.1/KF979337.1</t>
  </si>
  <si>
    <t>Chicken picornavirus 5</t>
  </si>
  <si>
    <t>PRJNA259981</t>
  </si>
  <si>
    <t>Unknown:NC_024769.1/KF979336.1</t>
  </si>
  <si>
    <t>Chicken picornavirus 4</t>
  </si>
  <si>
    <t>PRJNA259982</t>
  </si>
  <si>
    <t>Unknown:NC_024768.1/KF979335.1</t>
  </si>
  <si>
    <t>Chicken picornavirus 3</t>
  </si>
  <si>
    <t>PRJNA259983</t>
  </si>
  <si>
    <t>Unknown:NC_024767.1/KF979334.1</t>
  </si>
  <si>
    <t>Chicken picornavirus 2</t>
  </si>
  <si>
    <t>PRJNA259984</t>
  </si>
  <si>
    <t>Unknown:NC_024766.1/KF979333.1</t>
  </si>
  <si>
    <t>Equid alphaherpesvirus 3</t>
  </si>
  <si>
    <t>PRJNA259985</t>
  </si>
  <si>
    <t>Listeria monocytogenes strain CFSAN007956</t>
  </si>
  <si>
    <t>Unknown:NC_024771.1/KM051845.1</t>
  </si>
  <si>
    <t>Small begomovirus-associated satellite</t>
  </si>
  <si>
    <t>PRJNA259986</t>
  </si>
  <si>
    <t>Unknown:NC_024777.1/KJ859134.1</t>
  </si>
  <si>
    <t>Porcine stool-associated circular virus 9</t>
  </si>
  <si>
    <t>PRJNA259987</t>
  </si>
  <si>
    <t>Unknown:NC_024774.1/KJ577816.1</t>
  </si>
  <si>
    <t>Porcine stool-associated circular virus 8</t>
  </si>
  <si>
    <t>PRJNA259988</t>
  </si>
  <si>
    <t>Unknown:NC_024775.1/KJ577817.1</t>
  </si>
  <si>
    <t>Porcine stool-associated circular virus 7</t>
  </si>
  <si>
    <t>PRJNA259989</t>
  </si>
  <si>
    <t>Listeria monocytogenes strain CFSAN008100</t>
  </si>
  <si>
    <t>Unknown:NC_024773.1/KJ577812.1</t>
  </si>
  <si>
    <t>Porcine stool-associated circular virus 6</t>
  </si>
  <si>
    <t>PRJNA259990</t>
  </si>
  <si>
    <t>Unknown:NC_024776.1/KJ577819.1</t>
  </si>
  <si>
    <t>Porcine stool-associated circular virus 1</t>
  </si>
  <si>
    <t>PRJNA259991</t>
  </si>
  <si>
    <t>Unknown:NC_024772.1/KJ577811.1</t>
  </si>
  <si>
    <t>Mycobacterium phage Pinto</t>
  </si>
  <si>
    <t>PRJNA253323</t>
  </si>
  <si>
    <t>Unknown:NC_024368.1/KJ690250.1</t>
  </si>
  <si>
    <t>Vibrio phage X29</t>
  </si>
  <si>
    <t>PRJNA253324</t>
  </si>
  <si>
    <t>Listeria monocytogenes strain CFSAN010068</t>
  </si>
  <si>
    <t>Unknown:NC_024369.2/KJ572845.2</t>
  </si>
  <si>
    <t>Escherichia phage vB_EcoS_AHS24</t>
  </si>
  <si>
    <t>PRJNA260420</t>
  </si>
  <si>
    <t>Unknown:NC_024784.1/KF771238.1</t>
  </si>
  <si>
    <t>Pseudomonas phage MP48</t>
  </si>
  <si>
    <t>PRJNA260422</t>
  </si>
  <si>
    <t>Unknown:NC_024782.1/KF475786.1</t>
  </si>
  <si>
    <t>Bacillus phage Riley</t>
  </si>
  <si>
    <t>PRJNA260451</t>
  </si>
  <si>
    <t>Unknown:NC_024788.1/KJ489402.1</t>
  </si>
  <si>
    <t>Listeria monocytogenes strain CFSAN012299</t>
  </si>
  <si>
    <t>Listeria phage LMTA-148</t>
  </si>
  <si>
    <t>PRJNA260452</t>
  </si>
  <si>
    <t>Unknown:NC_024787.1/KJ591604.1</t>
  </si>
  <si>
    <t>Bacillus phage Bobb</t>
  </si>
  <si>
    <t>PRJNA260453</t>
  </si>
  <si>
    <t>Unknown:NC_024792.1/KM051843.1</t>
  </si>
  <si>
    <t>Escherichia phage EK99P-1</t>
  </si>
  <si>
    <t>PRJNA260479</t>
  </si>
  <si>
    <t>Unknown:NC_024783.1/KM233151.1</t>
  </si>
  <si>
    <t>Listeria monocytogenes strain CFSAN023459</t>
  </si>
  <si>
    <t>Acinetobacter phage YMC-13-01-C62</t>
  </si>
  <si>
    <t>PRJNA260480</t>
  </si>
  <si>
    <t>Unknown:NC_024785.1/KJ817802.1</t>
  </si>
  <si>
    <t>Escherichia phage vB_EcoS_AKS96</t>
  </si>
  <si>
    <t>PRJNA260481</t>
  </si>
  <si>
    <t>Unknown:NC_024789.1/KF771239.1</t>
  </si>
  <si>
    <t>Escherichia phage vB_EcoS_AHP42</t>
  </si>
  <si>
    <t>PRJNA260482</t>
  </si>
  <si>
    <t>Unknown:NC_024793.1/KF771237.1</t>
  </si>
  <si>
    <t>Escherichia phage vB_EcoP_PhAPEC5</t>
  </si>
  <si>
    <t>PRJNA260483</t>
  </si>
  <si>
    <t>Listeria monocytogenes strain CFSAN023463</t>
  </si>
  <si>
    <t>Unknown:NC_024786.1/KF192075.1</t>
  </si>
  <si>
    <t>Escherichia phage vB_EcoM_PhAPEC2</t>
  </si>
  <si>
    <t>PRJNA260484</t>
  </si>
  <si>
    <t>Unknown:NC_024794.1/KF562341.1</t>
  </si>
  <si>
    <t>Escherichia phage vB_EcoP_PhAPEC7</t>
  </si>
  <si>
    <t>PRJNA260485</t>
  </si>
  <si>
    <t>Unknown:NC_024790.1/KF562340.1</t>
  </si>
  <si>
    <t>Vibrio phage ICP2_2013_A_Haiti</t>
  </si>
  <si>
    <t>PRJNA260486</t>
  </si>
  <si>
    <t>Unknown:NC_024791.1/KM224879.1</t>
  </si>
  <si>
    <t>Ilomantsi virus</t>
  </si>
  <si>
    <t>PRJNA260714</t>
  </si>
  <si>
    <t>Listeria monocytogenes strain FSIS1606618</t>
  </si>
  <si>
    <t>Unknown:NC_024805.1/KC692067.1</t>
  </si>
  <si>
    <t>Lammi virus</t>
  </si>
  <si>
    <t>PRJNA260751</t>
  </si>
  <si>
    <t>Unknown:NC_024806.1/KC692068.1</t>
  </si>
  <si>
    <t>Ethiopian tobacco bushy top virus satellite RNA</t>
  </si>
  <si>
    <t>PRJNA260752</t>
  </si>
  <si>
    <t>Unknown:NC_024807.1/KJ918747.1</t>
  </si>
  <si>
    <t>Listeria monocytogenes strain FW040025</t>
  </si>
  <si>
    <t>Ethiopian tobacco bushy top virus</t>
  </si>
  <si>
    <t>PRJNA260753</t>
  </si>
  <si>
    <t>Unknown:NC_024808.1/KJ918748.1</t>
  </si>
  <si>
    <t>Coccinia mosaic Tamil Nadu virus</t>
  </si>
  <si>
    <t>PRJNA260754</t>
  </si>
  <si>
    <t>45.9612</t>
  </si>
  <si>
    <t>DN  A:NC_024810.1/KM244719.1;  DN  B:NC_024809.1/KM244718.1</t>
  </si>
  <si>
    <t>Faba bean necrotic yellows C1 alphasatellite</t>
  </si>
  <si>
    <t>PRJNA261252</t>
  </si>
  <si>
    <t>Unknown:NC_024886.1/X80879.1</t>
  </si>
  <si>
    <t>Listeria monocytogenes strain J1776</t>
  </si>
  <si>
    <t>Bufavirus-3</t>
  </si>
  <si>
    <t>PRJNA261260</t>
  </si>
  <si>
    <t>Unknown:NC_024888.1/AB847987.1</t>
  </si>
  <si>
    <t>Middelburg virus</t>
  </si>
  <si>
    <t>PRJNA261261</t>
  </si>
  <si>
    <t>Unknown:NC_024887.1/KM115530.1</t>
  </si>
  <si>
    <t>Equine hepacivirus JPN3/JAPAN/2013</t>
  </si>
  <si>
    <t>PRJNA261347</t>
  </si>
  <si>
    <t>Unknown:NC_024889.1/AB863589.1</t>
  </si>
  <si>
    <t>Bitter gourd yellow vein virus</t>
  </si>
  <si>
    <t>Listeria monocytogenes strain J1817</t>
  </si>
  <si>
    <t>PRJNA261351</t>
  </si>
  <si>
    <t>43.1537</t>
  </si>
  <si>
    <t>DN--A:NC_024894.1/KJ862841.1;  DN--B:NC_024895.1/KJ862842.1</t>
  </si>
  <si>
    <t>Seal anellovirus 2</t>
  </si>
  <si>
    <t>PRJNA261352</t>
  </si>
  <si>
    <t>Unknown:NC_024891.1/KF373760.1</t>
  </si>
  <si>
    <t>Seal anellovirus 3</t>
  </si>
  <si>
    <t>PRJNA261353</t>
  </si>
  <si>
    <t>Listeria monocytogenes strain J1926</t>
  </si>
  <si>
    <t>Unknown:NC_024890.1/KF373758.1</t>
  </si>
  <si>
    <t>Apodemus sylvaticus papillomavirus 1</t>
  </si>
  <si>
    <t>PRJNA261355</t>
  </si>
  <si>
    <t>Unknown:NC_024893.1/HQ625440.1</t>
  </si>
  <si>
    <t>Rose leaf rosette-associated virus</t>
  </si>
  <si>
    <t>PRJNA261443</t>
  </si>
  <si>
    <t>Unknown:NC_024906.1/KJ748003.1</t>
  </si>
  <si>
    <t>Listeria monocytogenes strain J2-031</t>
  </si>
  <si>
    <t>Torque teno Tadarida brasiliensis virus</t>
  </si>
  <si>
    <t>PRJNA261536</t>
  </si>
  <si>
    <t>Unknown:NC_024908.1/KM434181.1</t>
  </si>
  <si>
    <t>Ancient caribou feces associated virus</t>
  </si>
  <si>
    <t>PRJNA261537</t>
  </si>
  <si>
    <t>Unknown:NC_024907.1/KJ938716.1</t>
  </si>
  <si>
    <t>Caribou feces-associated gemycircularvirus</t>
  </si>
  <si>
    <t>Listeria monocytogenes strain J2-064</t>
  </si>
  <si>
    <t>PRJNA261538</t>
  </si>
  <si>
    <t>Unknown:NC_024909.1/KJ938717.1</t>
  </si>
  <si>
    <t>Ralstonia phage RSY1</t>
  </si>
  <si>
    <t>PRJNA262488</t>
  </si>
  <si>
    <t>Unknown:NC_025115.1/AB981169.1</t>
  </si>
  <si>
    <t>Mikumi yellow baboon virus 1</t>
  </si>
  <si>
    <t>PRJNA262492</t>
  </si>
  <si>
    <t>Unknown:NC_025112.1/KM110938.1</t>
  </si>
  <si>
    <t>Listeria monocytogenes strain J2-1091</t>
  </si>
  <si>
    <t>Salivirus FHB</t>
  </si>
  <si>
    <t>PRJNA262543</t>
  </si>
  <si>
    <t>Unknown:NC_025114.1/KM023140.1</t>
  </si>
  <si>
    <t>Southwest baboon virus 1</t>
  </si>
  <si>
    <t>PRJNA262544</t>
  </si>
  <si>
    <t>Unknown:NC_025113.1/KM110946.1</t>
  </si>
  <si>
    <t>Halovirus VNH-1</t>
  </si>
  <si>
    <t>PRJNA262927</t>
  </si>
  <si>
    <t>Unknown:NC_025213.1/KF771641.1</t>
  </si>
  <si>
    <t>Listeria monocytogenes strain JF5171</t>
  </si>
  <si>
    <t>Sweet potato leaf curl virus associated satellite</t>
  </si>
  <si>
    <t>Unknown:NC_025220.1/KF716173.1</t>
  </si>
  <si>
    <t>Leptopilina boulardi Toti-like virus</t>
  </si>
  <si>
    <t>PRJNA263031</t>
  </si>
  <si>
    <t>Unknown:NC_025218.2/KF274642.2</t>
  </si>
  <si>
    <t>Listeria monocytogenes strain L1846</t>
  </si>
  <si>
    <t>Circoviridae SFBeef</t>
  </si>
  <si>
    <t>PRJNA263032</t>
  </si>
  <si>
    <t>Unknown:NC_025216.1/KM111537.1</t>
  </si>
  <si>
    <t>Gyrovirus GyV7-SF</t>
  </si>
  <si>
    <t>PRJNA263033</t>
  </si>
  <si>
    <t>Unknown:NC_025215.1/KM111536.1</t>
  </si>
  <si>
    <t>Listeria monocytogenes strain L2074</t>
  </si>
  <si>
    <t>Cripavirus NB-1/2011/HUN</t>
  </si>
  <si>
    <t>PRJNA263035</t>
  </si>
  <si>
    <t>Unknown:NC_025219.1/KJ802403.1</t>
  </si>
  <si>
    <t>Bat Hp-betacoronavirus/Zhejiang2013</t>
  </si>
  <si>
    <t>PRJNA263036</t>
  </si>
  <si>
    <t>Unknown:NC_025217.1/KF636752.1</t>
  </si>
  <si>
    <t>Botryosphaeria dothidea victorivirus 1</t>
  </si>
  <si>
    <t>PRJNA263092</t>
  </si>
  <si>
    <t>Unknown:NC_025214.1/KM051424.1</t>
  </si>
  <si>
    <t>Listeria monocytogenes strain L2624</t>
  </si>
  <si>
    <t>Swan circovirus</t>
  </si>
  <si>
    <t>PRJNA263507</t>
  </si>
  <si>
    <t>Unknown:NC_025247.1/EU056309.1</t>
  </si>
  <si>
    <t>Silurus glanis circovirus</t>
  </si>
  <si>
    <t>PRJNA263599</t>
  </si>
  <si>
    <t>Unknown:NC_025246.1/JQ011377.1</t>
  </si>
  <si>
    <t>Vanilla distortion mosaic virus</t>
  </si>
  <si>
    <t>PRJNA263828</t>
  </si>
  <si>
    <t>Unknown:NC_025250.1/KF906523.1</t>
  </si>
  <si>
    <t>Bokeloh bat lyssavirus</t>
  </si>
  <si>
    <t>PRJNA263847</t>
  </si>
  <si>
    <t>Listeria monocytogenes strain L2625</t>
  </si>
  <si>
    <t>Unknown:NC_025251.1/JF311903.1</t>
  </si>
  <si>
    <t>Maraba virus</t>
  </si>
  <si>
    <t>PRJNA263848</t>
  </si>
  <si>
    <t>vertebrates,human</t>
  </si>
  <si>
    <t>Unknown:NC_025255.1/HQ660076.1</t>
  </si>
  <si>
    <t>Listeria monocytogenes strain L2626</t>
  </si>
  <si>
    <t>Farmington virus</t>
  </si>
  <si>
    <t>PRJNA263849</t>
  </si>
  <si>
    <t>Unknown:NC_025253.1/KC602379.1</t>
  </si>
  <si>
    <t>Yam virus X</t>
  </si>
  <si>
    <t>PRJNA263850</t>
  </si>
  <si>
    <t>Unknown:NC_025252.1/KJ711908.1</t>
  </si>
  <si>
    <t>Carrot thin leaf virus</t>
  </si>
  <si>
    <t>Listeria monocytogenes strain L2676</t>
  </si>
  <si>
    <t>PRJNA263851</t>
  </si>
  <si>
    <t>Unknown:NC_025254.1/JX156434.1</t>
  </si>
  <si>
    <t>Bat Paramyxovirus Eid_hel/GH-M74a/GHA/2009</t>
  </si>
  <si>
    <t>PRJNA263908</t>
  </si>
  <si>
    <t>Unknown:NC_025256.1/HQ660129.1</t>
  </si>
  <si>
    <t>Erinnyis ello granulovirus</t>
  </si>
  <si>
    <t>PRJNA263949</t>
  </si>
  <si>
    <t>Unknown:NC_025257.1/KJ406702.1</t>
  </si>
  <si>
    <t>Listeria monocytogenes strain Lm 3136</t>
  </si>
  <si>
    <t>Sea otter polyomavirus 1</t>
  </si>
  <si>
    <t>PRJNA263990</t>
  </si>
  <si>
    <t>Unknown:NC_025259.1/KM282376.1</t>
  </si>
  <si>
    <t>Tomato mottle wrinkle virus</t>
  </si>
  <si>
    <t>PRJNA264185</t>
  </si>
  <si>
    <t>39.0021</t>
  </si>
  <si>
    <t>DNA A:NC_025265.1/JQ714137.2;  DNA B:NC_025266.1/JQ714138.2</t>
  </si>
  <si>
    <t>Long Island tick rhabdovirus</t>
  </si>
  <si>
    <t>PRJNA264895</t>
  </si>
  <si>
    <t>Unknown:NC_025340.1/KJ396935.1</t>
  </si>
  <si>
    <t>Sosuga virus</t>
  </si>
  <si>
    <t>PRJNA264896</t>
  </si>
  <si>
    <t>Unknown:NC_025343.1/KF774436.1</t>
  </si>
  <si>
    <t>Listeria monocytogenes strain Lm 3163</t>
  </si>
  <si>
    <t>Kolente virus</t>
  </si>
  <si>
    <t>PRJNA264897</t>
  </si>
  <si>
    <t>Unknown:NC_025342.1/KC984953.1</t>
  </si>
  <si>
    <t>Canine pneumovirus</t>
  </si>
  <si>
    <t>PRJNA264898</t>
  </si>
  <si>
    <t>Unknown:NC_025344.1/KF015281.1</t>
  </si>
  <si>
    <t>Fikirini rhabdovirus</t>
  </si>
  <si>
    <t>PRJNA264899</t>
  </si>
  <si>
    <t>Unknown:NC_025341.1/KC676792.1</t>
  </si>
  <si>
    <t>Vesicular stomatitis Alagoas virus</t>
  </si>
  <si>
    <t>PRJNA264901</t>
  </si>
  <si>
    <t>Unknown:NC_025353.1/EU373658.1</t>
  </si>
  <si>
    <t>Sunshine Coast virus</t>
  </si>
  <si>
    <t>PRJNA264902</t>
  </si>
  <si>
    <t>Sunviridae</t>
  </si>
  <si>
    <t>Unknown:NC_025345.1/JN192445.1</t>
  </si>
  <si>
    <t>Listeria monocytogenes strain Lm N1546</t>
  </si>
  <si>
    <t>Salmon aquaparamyxovirus</t>
  </si>
  <si>
    <t>PRJNA264907</t>
  </si>
  <si>
    <t>Unknown:NC_025360.1/EU156171.1</t>
  </si>
  <si>
    <t>Berrimah virus</t>
  </si>
  <si>
    <t>PRJNA264908</t>
  </si>
  <si>
    <t>Unknown:NC_025358.1/HM461974.1</t>
  </si>
  <si>
    <t>West Caucasian bat lyssavirus</t>
  </si>
  <si>
    <t>PRJNA264909</t>
  </si>
  <si>
    <t>Unknown:NC_025377.1/EF614258.1</t>
  </si>
  <si>
    <t>Pike fry sprivivirus</t>
  </si>
  <si>
    <t>PRJNA264911</t>
  </si>
  <si>
    <t>Unknown:NC_025356.1/FJ872827.1</t>
  </si>
  <si>
    <t>Listeria monocytogenes strain Lm60</t>
  </si>
  <si>
    <t>Avian avulavirus 3</t>
  </si>
  <si>
    <t>PRJNA264912</t>
  </si>
  <si>
    <t>Unknown:NC_025373.1/EU782025.1</t>
  </si>
  <si>
    <t>Ustilaginoidea virens RNA virus M</t>
  </si>
  <si>
    <t>PRJNA264913</t>
  </si>
  <si>
    <t>Unknown:NC_025367.1/KJ101567.1</t>
  </si>
  <si>
    <t>Ustilaginoidea virens RNA virus L</t>
  </si>
  <si>
    <t>PRJNA264914</t>
  </si>
  <si>
    <t>Unknown:NC_025366.1/KJ101566.1</t>
  </si>
  <si>
    <t>Goutanap virus</t>
  </si>
  <si>
    <t>PRJNA264915</t>
  </si>
  <si>
    <t>Listeria monocytogenes strain LM850658</t>
  </si>
  <si>
    <t>Unknown:NC_025357.1/KF588035.1</t>
  </si>
  <si>
    <t>Avian avulavirus 12</t>
  </si>
  <si>
    <t>PRJNA264916</t>
  </si>
  <si>
    <t>Unknown:NC_025363.1/KC333050.1</t>
  </si>
  <si>
    <t>Grass carp rhabdovirus V76</t>
  </si>
  <si>
    <t>PRJNA264917</t>
  </si>
  <si>
    <t>Unknown:NC_025376.1/KC113518.1</t>
  </si>
  <si>
    <t>Tench rhabdovirus S64</t>
  </si>
  <si>
    <t>Listeria monocytogenes strain N1-011A</t>
  </si>
  <si>
    <t>PRJNA264918</t>
  </si>
  <si>
    <t>Unknown:NC_025371.1/KC113517.1</t>
  </si>
  <si>
    <t>Xiburema virus</t>
  </si>
  <si>
    <t>PRJNA264919</t>
  </si>
  <si>
    <t>Unknown:NC_025362.1/KJ636781.1</t>
  </si>
  <si>
    <t>Mamastrovirus 3</t>
  </si>
  <si>
    <t>PRJNA264920</t>
  </si>
  <si>
    <t>Unknown:NC_025379.1/KF787112.2</t>
  </si>
  <si>
    <t>Cedar virus</t>
  </si>
  <si>
    <t>Listeria monocytogenes strain N2306</t>
  </si>
  <si>
    <t>PRJNA264921</t>
  </si>
  <si>
    <t>Unknown:NC_025351.1/JQ001776.1</t>
  </si>
  <si>
    <t>Rabbit astrovirus TN/2208/2010</t>
  </si>
  <si>
    <t>PRJNA264923</t>
  </si>
  <si>
    <t>Unknown:NC_025346.1/JF729316.1</t>
  </si>
  <si>
    <t>Tailam virus</t>
  </si>
  <si>
    <t>PRJNA264924</t>
  </si>
  <si>
    <t>Listeria monocytogenes strain NE dc0214</t>
  </si>
  <si>
    <t>Unknown:NC_025355.1/JN689227.1</t>
  </si>
  <si>
    <t>Gorilla gorilla gorilla polyomavirus 1</t>
  </si>
  <si>
    <t>PRJNA264925</t>
  </si>
  <si>
    <t>Unknown:NC_025380.1/HQ385752.1</t>
  </si>
  <si>
    <t>Pan troglodytes verus polyomavirus 2a</t>
  </si>
  <si>
    <t>PRJNA264927</t>
  </si>
  <si>
    <t>Unknown:NC_025370.1/HQ385748.1</t>
  </si>
  <si>
    <t>Pan troglodytes verus polyomavirus 1a</t>
  </si>
  <si>
    <t>Listeria monocytogenes strain PNUSAL000046</t>
  </si>
  <si>
    <t>PRJNA264928</t>
  </si>
  <si>
    <t>Unknown:NC_025368.1/HQ385746.1</t>
  </si>
  <si>
    <t>Avian paramyxovirus penguin/Falkland Islands/324/2007</t>
  </si>
  <si>
    <t>PRJNA264931</t>
  </si>
  <si>
    <t>Unknown:NC_025349.3/HM147142.3</t>
  </si>
  <si>
    <t>Tuhoko virus 3</t>
  </si>
  <si>
    <t>PRJNA264932</t>
  </si>
  <si>
    <t>Unknown:NC_025350.1/GU128082.1</t>
  </si>
  <si>
    <t>Listeria monocytogenes strain PNUSAL000474</t>
  </si>
  <si>
    <t>Tuhoko virus 2</t>
  </si>
  <si>
    <t>PRJNA264933</t>
  </si>
  <si>
    <t>Unknown:NC_025348.1/GU128081.1</t>
  </si>
  <si>
    <t>Shimoni bat lyssavirus</t>
  </si>
  <si>
    <t>PRJNA264934</t>
  </si>
  <si>
    <t>Unknown:NC_025365.1/GU170201.1</t>
  </si>
  <si>
    <t>Avian avulavirus 5</t>
  </si>
  <si>
    <t>PRJNA264935</t>
  </si>
  <si>
    <t>Unknown:NC_025361.1/GU206351.1</t>
  </si>
  <si>
    <t>Listeria monocytogenes strain PNUSAL001142</t>
  </si>
  <si>
    <t>Avian avulavirus 7</t>
  </si>
  <si>
    <t>PRJNA264937</t>
  </si>
  <si>
    <t>Unknown:NC_025347.1/FJ231524.1</t>
  </si>
  <si>
    <t>Stygiolobus rod-shaped virus</t>
  </si>
  <si>
    <t>PRJNA264938</t>
  </si>
  <si>
    <t>Unknown:NC_025375.1/FM164764.1</t>
  </si>
  <si>
    <t>Curionopolis virus</t>
  </si>
  <si>
    <t>PRJNA264939</t>
  </si>
  <si>
    <t>Listeria monocytogenes strain R2-502</t>
  </si>
  <si>
    <t>Unknown:NC_025354.1/KJ701190.1</t>
  </si>
  <si>
    <t>Moussa virus</t>
  </si>
  <si>
    <t>PRJNA264964</t>
  </si>
  <si>
    <t>Unknown:NC_025359.1/FJ985748.1</t>
  </si>
  <si>
    <t>Mojiang virus</t>
  </si>
  <si>
    <t>PRJNA264966</t>
  </si>
  <si>
    <t>Unknown:NC_025352.1/KF278639.1</t>
  </si>
  <si>
    <t>Listeria monocytogenes strain WSLC 1018</t>
  </si>
  <si>
    <t>Spodoptera frugiperda rhabdovirus</t>
  </si>
  <si>
    <t>PRJNA264993</t>
  </si>
  <si>
    <t>Unknown:NC_025382.1/KF947078.1</t>
  </si>
  <si>
    <t>Culex tritaeniorhynchus rhabdovirus</t>
  </si>
  <si>
    <t>PRJNA265832</t>
  </si>
  <si>
    <t>Unknown:NC_025384.1/AB604791.1</t>
  </si>
  <si>
    <t>Sclerotinia sclerotiorum negative-stranded RNA virus 1</t>
  </si>
  <si>
    <t>PRJNA265833</t>
  </si>
  <si>
    <t>Mymonaviridae</t>
  </si>
  <si>
    <t>Unknown:NC_025383.1/KJ186782.1</t>
  </si>
  <si>
    <t>Khujand lyssavirus</t>
  </si>
  <si>
    <t>PRJNA265878</t>
  </si>
  <si>
    <t>Listeria monocytogenes strain WSLC 1019</t>
  </si>
  <si>
    <t>Unknown:NC_025385.1/EF614261.1</t>
  </si>
  <si>
    <t>Almpiwar virus</t>
  </si>
  <si>
    <t>PRJNA265890</t>
  </si>
  <si>
    <t>Unknown:NC_025391.1/KJ399977.1</t>
  </si>
  <si>
    <t>Boiling Springs Lake RNA-DNA hybrid virus</t>
  </si>
  <si>
    <t>PRJNA265891</t>
  </si>
  <si>
    <t>Unknown:NC_025411.1/JN900499.1</t>
  </si>
  <si>
    <t>Porcine respirovirus 1</t>
  </si>
  <si>
    <t>PRJNA265892</t>
  </si>
  <si>
    <t>Unknown:NC_025402.1/JX857409.1</t>
  </si>
  <si>
    <t>Listeria monocytogenes strain WSLC 1020</t>
  </si>
  <si>
    <t>Niakha virus</t>
  </si>
  <si>
    <t>PRJNA265893</t>
  </si>
  <si>
    <t>Unknown:NC_025405.1/KC585008.1</t>
  </si>
  <si>
    <t>Achimota virus 2</t>
  </si>
  <si>
    <t>PRJNA265895</t>
  </si>
  <si>
    <t>Unknown:NC_025404.1/JX051320.1</t>
  </si>
  <si>
    <t>Achimota virus 1</t>
  </si>
  <si>
    <t>PRJNA265896</t>
  </si>
  <si>
    <t>Unknown:NC_025403.1/JX051319.1</t>
  </si>
  <si>
    <t>Listeria monocytogenes strain WSLC 1047</t>
  </si>
  <si>
    <t>Malakal virus</t>
  </si>
  <si>
    <t>PRJNA265897</t>
  </si>
  <si>
    <t>Unknown:NC_025400.1/JQ941707.1</t>
  </si>
  <si>
    <t>Salem virus</t>
  </si>
  <si>
    <t>PRJNA265898</t>
  </si>
  <si>
    <t>Unknown:NC_025386.1/JQ697837.1</t>
  </si>
  <si>
    <t>Avian avulavirus 11</t>
  </si>
  <si>
    <t>PRJNA265899</t>
  </si>
  <si>
    <t>Listeria monocytogenes WSLC1001</t>
  </si>
  <si>
    <t>Unknown:NC_025407.1/JQ886184.1</t>
  </si>
  <si>
    <t>Scophthalmus maximus rhabdovirus</t>
  </si>
  <si>
    <t>PRJNA265900</t>
  </si>
  <si>
    <t>Unknown:NC_025387.1/HQ003891.1</t>
  </si>
  <si>
    <t>Tuhoko virus 1</t>
  </si>
  <si>
    <t>PRJNA265902</t>
  </si>
  <si>
    <t>Unknown:NC_025410.1/GU128080.1</t>
  </si>
  <si>
    <t>Listeria monocytogenes WSLC1042</t>
  </si>
  <si>
    <t>Coastal Plains virus</t>
  </si>
  <si>
    <t>PRJNA265903</t>
  </si>
  <si>
    <t>Unknown:NC_025397.1/GQ294473.1</t>
  </si>
  <si>
    <t>Lyssavirus Ozernoe</t>
  </si>
  <si>
    <t>PRJNA265904</t>
  </si>
  <si>
    <t>Listeria seeligeri serovar 1/2b str. SLCC3954</t>
  </si>
  <si>
    <t>Unknown:NC_025408.1/FJ905105.2</t>
  </si>
  <si>
    <t>Avian avulavirus 9</t>
  </si>
  <si>
    <t>PRJNA265905</t>
  </si>
  <si>
    <t>Unknown:NC_025390.1/EU910942.1</t>
  </si>
  <si>
    <t>Eggplant mottled dwarf nucleorhabdovirus</t>
  </si>
  <si>
    <t>PRJNA265906</t>
  </si>
  <si>
    <t>Unknown:NC_025389.1/KJ082087.1</t>
  </si>
  <si>
    <t>Asian prunus virus 1</t>
  </si>
  <si>
    <t>PRJNA265907</t>
  </si>
  <si>
    <t>Listeria welshimeri serovar 6b str. SLCC5334</t>
  </si>
  <si>
    <t>Unknown:NC_025388.1/FJ824737.1</t>
  </si>
  <si>
    <t>Oak-Vale virus</t>
  </si>
  <si>
    <t>PRJNA265908</t>
  </si>
  <si>
    <t>Unknown:NC_025399.1/JF705876.1</t>
  </si>
  <si>
    <t>Kimberley virus</t>
  </si>
  <si>
    <t>PRJNA265910</t>
  </si>
  <si>
    <t>Unknown:NC_025396.1/JQ941664.1</t>
  </si>
  <si>
    <t>Dolphin rhabdovirus</t>
  </si>
  <si>
    <t>PRJNA265911</t>
  </si>
  <si>
    <t>Listonella anguillarum M3</t>
  </si>
  <si>
    <t>Unknown:NC_025406.1/KF958252.1</t>
  </si>
  <si>
    <t>Sunguru virus</t>
  </si>
  <si>
    <t>PRJNA265912</t>
  </si>
  <si>
    <t>Unknown:NC_025401.1/KF395226.1</t>
  </si>
  <si>
    <t>Puerto Almendras virus</t>
  </si>
  <si>
    <t>PRJNA265913</t>
  </si>
  <si>
    <t>Luteipulveratus mongoliensis strain MN07-A0370</t>
  </si>
  <si>
    <t>Unknown:NC_025395.1/KF534749.1</t>
  </si>
  <si>
    <t>Melbournevirus</t>
  </si>
  <si>
    <t>PRJNA265987</t>
  </si>
  <si>
    <t>Unknown:NC_025412.1/KM275475.1</t>
  </si>
  <si>
    <t>Feline morbillivirus</t>
  </si>
  <si>
    <t>PRJNA264182</t>
  </si>
  <si>
    <t>Unknown:NC_025264.1/AB924120.1</t>
  </si>
  <si>
    <t>Feline cyclovirus</t>
  </si>
  <si>
    <t>PRJNA258099</t>
  </si>
  <si>
    <t>Lutibacter sp. LP1</t>
  </si>
  <si>
    <t>Unknown:NC_024700.1/KM017740.1</t>
  </si>
  <si>
    <t>Penicillium roqueforti ssRNA mycovirus 1</t>
  </si>
  <si>
    <t>PRJNA258162</t>
  </si>
  <si>
    <t>Unknown:NC_024699.1/KJ817266.1</t>
  </si>
  <si>
    <t>Synedrella leaf curl alphasatellite</t>
  </si>
  <si>
    <t>PRJNA263034</t>
  </si>
  <si>
    <t>Lysinibacillus sp. GY32</t>
  </si>
  <si>
    <t>Unknown:NC_025244.1/KJ939346.1</t>
  </si>
  <si>
    <t>Bacillus phage Waukesha92</t>
  </si>
  <si>
    <t>PRJNA266641</t>
  </si>
  <si>
    <t>Unknown:NC_025424.1/KJ920400.1</t>
  </si>
  <si>
    <t>Staphylococcus phage P108</t>
  </si>
  <si>
    <t>PRJNA266646</t>
  </si>
  <si>
    <t>Unknown:NC_025426.1/KM216423.1</t>
  </si>
  <si>
    <t>Lactobacillus phage Ld3</t>
  </si>
  <si>
    <t>PRJNA266647</t>
  </si>
  <si>
    <t>Lysinibacillus sphaericus C3-41</t>
  </si>
  <si>
    <t>Unknown:NC_025421.1/KJ564038.1</t>
  </si>
  <si>
    <t>Lactobacillus phage Ld25A</t>
  </si>
  <si>
    <t>PRJNA266648</t>
  </si>
  <si>
    <t>Unknown:NC_025415.1/KJ564036.1</t>
  </si>
  <si>
    <t>Lactobacillus phage Ld17</t>
  </si>
  <si>
    <t>PRJNA266649</t>
  </si>
  <si>
    <t>Unknown:NC_025420.1/KJ564037.1</t>
  </si>
  <si>
    <t>Mycobacterium phage RedRock</t>
  </si>
  <si>
    <t>PRJNA266660</t>
  </si>
  <si>
    <t>Unknown:NC_025444.1/GU339467.1</t>
  </si>
  <si>
    <t>Lysinibacillus sphaericus strain 2362</t>
  </si>
  <si>
    <t>Rhizobium phage vB_RleM_PPF1</t>
  </si>
  <si>
    <t>PRJNA266675</t>
  </si>
  <si>
    <t>Unknown:NC_025427.1/KJ746502.1</t>
  </si>
  <si>
    <t>Ruegeria phage DSS3-P1</t>
  </si>
  <si>
    <t>PRJNA266767</t>
  </si>
  <si>
    <t>Unknown:NC_025428.1/KM581061.1</t>
  </si>
  <si>
    <t>Escherichia phage 121Q</t>
  </si>
  <si>
    <t>PRJNA266768</t>
  </si>
  <si>
    <t>Unknown:NC_025447.1/KM507819.1</t>
  </si>
  <si>
    <t>Lelliottia phage phD2B</t>
  </si>
  <si>
    <t>PRJNA266769</t>
  </si>
  <si>
    <t>Unknown:NC_025450.1/KM370384.1</t>
  </si>
  <si>
    <t>Salmonella virus Chi</t>
  </si>
  <si>
    <t>PRJNA266770</t>
  </si>
  <si>
    <t>Unknown:NC_025442.1/KM458633.1</t>
  </si>
  <si>
    <t>Escherichia phage vB_EcoM-ep3</t>
  </si>
  <si>
    <t>PRJNA266771</t>
  </si>
  <si>
    <t>Unknown:NC_025430.1/KM360178.1</t>
  </si>
  <si>
    <t>Lysinibacillus sphaericus strain III(3)7</t>
  </si>
  <si>
    <t>Yersinia phage vB_YenP_AP5</t>
  </si>
  <si>
    <t>PRJNA266772</t>
  </si>
  <si>
    <t>Unknown:NC_025451.1/KM253764.1</t>
  </si>
  <si>
    <t>Idiomarinaceae phage 1N2-2</t>
  </si>
  <si>
    <t>PRJNA266773</t>
  </si>
  <si>
    <t>Unknown:NC_025439.1/KJ847052.1</t>
  </si>
  <si>
    <t>Mesorhizobium phage vB_MloP_Lo5R7ANS</t>
  </si>
  <si>
    <t>PRJNA266774</t>
  </si>
  <si>
    <t>Unknown:NC_025431.1/KM199771.1</t>
  </si>
  <si>
    <t>Rhizobium phage vB_RleM_P10VF</t>
  </si>
  <si>
    <t>PRJNA266775</t>
  </si>
  <si>
    <t>Lysinibacillus sphaericus strain OT4b.25</t>
  </si>
  <si>
    <t>Unknown:NC_025429.1/KM199770.1</t>
  </si>
  <si>
    <t>Aeromonas phage pAh6-C</t>
  </si>
  <si>
    <t>PRJNA266776</t>
  </si>
  <si>
    <t>Unknown:NC_025459.1/KJ858521.1</t>
  </si>
  <si>
    <t>Acinetobacter phage vB_AbaP_Acibel007</t>
  </si>
  <si>
    <t>PRJNA266777</t>
  </si>
  <si>
    <t>Unknown:NC_025457.1/KJ473423.1</t>
  </si>
  <si>
    <t>Acinetobacter phage vB_AbaM_Acibel004</t>
  </si>
  <si>
    <t>PRJNA266778</t>
  </si>
  <si>
    <t>Unknown:NC_025462.1/KJ473422.1</t>
  </si>
  <si>
    <t>Shewanella sp. phage 1/4</t>
  </si>
  <si>
    <t>PRJNA266782</t>
  </si>
  <si>
    <t>Lysobacter antibioticus strain 76</t>
  </si>
  <si>
    <t>Unknown:NC_025436.1/KJ018209.1</t>
  </si>
  <si>
    <t>Mycobacterium phage Soto</t>
  </si>
  <si>
    <t>PRJNA266783</t>
  </si>
  <si>
    <t>Unknown:NC_025438.1/KJ174157.1</t>
  </si>
  <si>
    <t>Synechococcus phage S-CBP1</t>
  </si>
  <si>
    <t>PRJNA266784</t>
  </si>
  <si>
    <t>Unknown:NC_025456.1/KC310802.1</t>
  </si>
  <si>
    <t>Enterococcus phage EfaCPT1</t>
  </si>
  <si>
    <t>PRJNA266785</t>
  </si>
  <si>
    <t>Unknown:NC_025465.1/JX193904.1</t>
  </si>
  <si>
    <t>Escherichia phage ECML-134</t>
  </si>
  <si>
    <t>PRJNA266786</t>
  </si>
  <si>
    <t>Unknown:NC_025449.1/JX128259.1</t>
  </si>
  <si>
    <t>Lysobacter antibioticus strain ATCC 29479</t>
  </si>
  <si>
    <t>Mycobacterium phage Taj</t>
  </si>
  <si>
    <t>PRJNA266787</t>
  </si>
  <si>
    <t>Unknown:NC_025433.1/JX121091.1</t>
  </si>
  <si>
    <t>Enterococcus phage vB_Efae230P-4</t>
  </si>
  <si>
    <t>PRJNA266788</t>
  </si>
  <si>
    <t>Unknown:NC_025467.1/JQ309827.1</t>
  </si>
  <si>
    <t>Salmonella phage 9NA</t>
  </si>
  <si>
    <t>PRJNA266789</t>
  </si>
  <si>
    <t>Unknown:NC_025443.1/KJ802832.1</t>
  </si>
  <si>
    <t>Idiomarinaceae phage Phi1M2-2</t>
  </si>
  <si>
    <t>PRJNA267261</t>
  </si>
  <si>
    <t>Unknown:NC_025471.1/KM226324.1</t>
  </si>
  <si>
    <t>Fako virus</t>
  </si>
  <si>
    <t>PRJNA267263</t>
  </si>
  <si>
    <t>33.2568</t>
  </si>
  <si>
    <t>Lysobacter capsici strain 55</t>
  </si>
  <si>
    <t>1:NC_025487.1/KM978415.1;  2:NC_025486.1/KM978416.1;  3:NC_025493.1/KM978417.1;  4:NC_025488.1/KM978418.1;  5:NC_025485.1/KM978419.1;  6:NC_025492.1/KM978420.1;  7:NC_025491.1/KM978421.1;  8:NC_025489.1/KM978422.1;  9:NC_025490.1/KM978423.1</t>
  </si>
  <si>
    <t>Cyclovirus ZM36a</t>
  </si>
  <si>
    <t>PRJNA267266</t>
  </si>
  <si>
    <t>Unknown:NC_025476.1/AB937982.1</t>
  </si>
  <si>
    <t>Hibiscus latent Fort Pierce virus</t>
  </si>
  <si>
    <t>PRJNA264910</t>
  </si>
  <si>
    <t>Unknown:NC_025381.1/AB917427.1</t>
  </si>
  <si>
    <t>Carrot Ch virus 2</t>
  </si>
  <si>
    <t>PRJNA267001</t>
  </si>
  <si>
    <t>Lysobacter enzymogenes strain C3</t>
  </si>
  <si>
    <t>Unknown:NC_025468.1/KF533710.1</t>
  </si>
  <si>
    <t>Lilac leaf chlorosis virus</t>
  </si>
  <si>
    <t>PRJNA267135</t>
  </si>
  <si>
    <t>44.4021</t>
  </si>
  <si>
    <t>RNA 1:NC_025477.1/HE572565.1;  RNA 2:NC_025478.1/FN669168.1;  RNA 3:NC_025481.1/FN669169.1</t>
  </si>
  <si>
    <t>Cassava Ivorian bacilliform virus</t>
  </si>
  <si>
    <t>PRJNA267136</t>
  </si>
  <si>
    <t>43.8557</t>
  </si>
  <si>
    <t>RNA 1:NC_025482.1/KF742519.1;  RNA 2:NC_025483.1/KF742520.1;  RNA 3:NC_025484.1/KF742521.1</t>
  </si>
  <si>
    <t>Carrot torradovirus 1</t>
  </si>
  <si>
    <t>PRJNA267137</t>
  </si>
  <si>
    <t>Lysobacter gummosus strain 3.2.11</t>
  </si>
  <si>
    <t>40.051</t>
  </si>
  <si>
    <t>RNA 1:NC_025479.2/KF533719.2;  RNA 2:NC_025480.2/KF533720.2</t>
  </si>
  <si>
    <t>Carrot Ch virus 1</t>
  </si>
  <si>
    <t>PRJNA267138</t>
  </si>
  <si>
    <t>Unknown:NC_025469.1/KF533711.1</t>
  </si>
  <si>
    <t>Crohivirus</t>
  </si>
  <si>
    <t>PRJNA267248</t>
  </si>
  <si>
    <t>Unknown:NC_025474.1/AB937989.1</t>
  </si>
  <si>
    <t>Chickpea yellow dwarf virus</t>
  </si>
  <si>
    <t>PRJNA267262</t>
  </si>
  <si>
    <t>Unknown:NC_025475.1/KM377674.1</t>
  </si>
  <si>
    <t>Tomato yellow leaf curl Axarquia virus</t>
  </si>
  <si>
    <t>PRJNA267774</t>
  </si>
  <si>
    <t>Unknown:NC_025680.1/KM215610.1</t>
  </si>
  <si>
    <t>San Miguel sea lion virus 8</t>
  </si>
  <si>
    <t>PRJNA267775</t>
  </si>
  <si>
    <t>Unknown:NC_025676.1/KM244552.1</t>
  </si>
  <si>
    <t>Norway rat pestivirus</t>
  </si>
  <si>
    <t>PRJNA267776</t>
  </si>
  <si>
    <t>Macrococcus caseolyticus JCSC5402</t>
  </si>
  <si>
    <t>Unknown:NC_025677.1/KJ950914.1</t>
  </si>
  <si>
    <t>Norway rat pegivirus</t>
  </si>
  <si>
    <t>PRJNA267777</t>
  </si>
  <si>
    <t>Unknown:NC_025679.1/KJ950934.1</t>
  </si>
  <si>
    <t>Norway rat hunnivirus</t>
  </si>
  <si>
    <t>PRJNA267778</t>
  </si>
  <si>
    <t>Magnetococcus marinus MC-1</t>
  </si>
  <si>
    <t>Unknown:NC_025675.1/KJ950971.1</t>
  </si>
  <si>
    <t>Simian adenovirus DM-2014</t>
  </si>
  <si>
    <t>PRJNA267780</t>
  </si>
  <si>
    <t>Unknown:NC_025678.1/KM190146.1</t>
  </si>
  <si>
    <t>Macrophomina phaseolina tobamo-like virus</t>
  </si>
  <si>
    <t>PRJNA267781</t>
  </si>
  <si>
    <t>Unknown:NC_025674.1/KF537660.1</t>
  </si>
  <si>
    <t>Magnetospira sp. QH-2</t>
  </si>
  <si>
    <t>Sweet potato leaf curl Sao Paulo virus</t>
  </si>
  <si>
    <t>PRJNA268098</t>
  </si>
  <si>
    <t>Unknown:NC_025681.1/HQ393477.1</t>
  </si>
  <si>
    <t>Po-Circo-like virus 21</t>
  </si>
  <si>
    <t>PRJNA268176</t>
  </si>
  <si>
    <t>Unknown:NC_025682.1/JF713716.1</t>
  </si>
  <si>
    <t>Magnetospirillum gryphiswaldense MSR-1 v2</t>
  </si>
  <si>
    <t>Po-Circo-like virus 51</t>
  </si>
  <si>
    <t>PRJNA268200</t>
  </si>
  <si>
    <t>Unknown:NC_025684.1/JF713719.1</t>
  </si>
  <si>
    <t>Po-Circo-like virus 41</t>
  </si>
  <si>
    <t>PRJNA268201</t>
  </si>
  <si>
    <t>Unknown:NC_025683.1/JF713718.1</t>
  </si>
  <si>
    <t>Magnetospirillum magneticum AMB-1</t>
  </si>
  <si>
    <t>Staphylococcus phage MCE-2014</t>
  </si>
  <si>
    <t>PRJNA266640</t>
  </si>
  <si>
    <t>Unknown:NC_025416.1/KJ888149.1</t>
  </si>
  <si>
    <t>Bacillus phage CP-51</t>
  </si>
  <si>
    <t>PRJNA266642</t>
  </si>
  <si>
    <t>Unknown:NC_025423.1/KF554508.2</t>
  </si>
  <si>
    <t>Caulobacter phage Cr30</t>
  </si>
  <si>
    <t>PRJNA266643</t>
  </si>
  <si>
    <t>Magnetospirillum sp. XM-1</t>
  </si>
  <si>
    <t>Unknown:NC_025422.1/KF301602.1</t>
  </si>
  <si>
    <t>Staphylococcus phage Team1</t>
  </si>
  <si>
    <t>PRJNA266644</t>
  </si>
  <si>
    <t>Unknown:NC_025417.1/KC012913.1</t>
  </si>
  <si>
    <t>Mahella australiensis 50-1 BON</t>
  </si>
  <si>
    <t>Klebsiella phage NTUH-K2044-K1-1</t>
  </si>
  <si>
    <t>PRJNA266645</t>
  </si>
  <si>
    <t>Unknown:NC_025418.1/AB716666.1</t>
  </si>
  <si>
    <t>Shigella phage Shf125875</t>
  </si>
  <si>
    <t>Mannheimia haemolytica D153</t>
  </si>
  <si>
    <t>PRJNA266712</t>
  </si>
  <si>
    <t>Unknown:NC_025437.1/KM407600.1</t>
  </si>
  <si>
    <t>Listeria phage WIL-1</t>
  </si>
  <si>
    <t>PRJNA266713</t>
  </si>
  <si>
    <t>Unknown:NC_025440.1/KM373208.1</t>
  </si>
  <si>
    <t>Enterobacteria phage J8-65</t>
  </si>
  <si>
    <t>PRJNA266714</t>
  </si>
  <si>
    <t>Mannheimia haemolytica D171</t>
  </si>
  <si>
    <t>Unknown:NC_025445.1/KM247287.1</t>
  </si>
  <si>
    <t>Ralstonia phage RS603</t>
  </si>
  <si>
    <t>PRJNA266715</t>
  </si>
  <si>
    <t>Unknown:NC_025454.1/AB937974.1</t>
  </si>
  <si>
    <t>Shigella phage POCJ13</t>
  </si>
  <si>
    <t>PRJNA266716</t>
  </si>
  <si>
    <t>Unknown:NC_025434.1/KJ603229.1</t>
  </si>
  <si>
    <t>Mannheimia haemolytica D174</t>
  </si>
  <si>
    <t>Staphylococcus phage phiSa119</t>
  </si>
  <si>
    <t>PRJNA266717</t>
  </si>
  <si>
    <t>Unknown:NC_025460.1/KJ596420.1</t>
  </si>
  <si>
    <t>Enterococcus phage EFC-1</t>
  </si>
  <si>
    <t>PRJNA266718</t>
  </si>
  <si>
    <t>Unknown:NC_025453.1/KJ608188.1</t>
  </si>
  <si>
    <t>Mannheimia haemolytica M42548</t>
  </si>
  <si>
    <t>Escherichia phage ECML-4</t>
  </si>
  <si>
    <t>PRJNA266719</t>
  </si>
  <si>
    <t>Unknown:NC_025446.1/JX128257.1</t>
  </si>
  <si>
    <t>Escherichia phage ECML-117</t>
  </si>
  <si>
    <t>PRJNA266720</t>
  </si>
  <si>
    <t>Unknown:NC_025441.1/JX128258.1</t>
  </si>
  <si>
    <t>Chicken orivirus 1</t>
  </si>
  <si>
    <t>PRJNA266721</t>
  </si>
  <si>
    <t>Mannheimia haemolytica strain 89010807N</t>
  </si>
  <si>
    <t>Unknown:NC_025432.1/KM203656.1</t>
  </si>
  <si>
    <t>Strawberry polerovirus 1</t>
  </si>
  <si>
    <t>PRJNA266722</t>
  </si>
  <si>
    <t>Unknown:NC_025435.1/KM233705.1</t>
  </si>
  <si>
    <t>Circoviridae 1 LDMD-2013</t>
  </si>
  <si>
    <t>PRJNA268380</t>
  </si>
  <si>
    <t>Unknown:NC_025705.1/KF133807.1</t>
  </si>
  <si>
    <t>Circoviridae 5 LDMD-2013</t>
  </si>
  <si>
    <t>PRJNA268412</t>
  </si>
  <si>
    <t>Unknown:NC_025710.1/KF133812.1</t>
  </si>
  <si>
    <t>Circoviridae 21 LDMD-2013</t>
  </si>
  <si>
    <t>PRJNA268413</t>
  </si>
  <si>
    <t>Unknown:NC_025724.1/KF133828.1</t>
  </si>
  <si>
    <t>Mannheimia haemolytica USDA-ARS-USMARC-183</t>
  </si>
  <si>
    <t>Circoviridae 19 LDMD-2013</t>
  </si>
  <si>
    <t>PRJNA268414</t>
  </si>
  <si>
    <t>Unknown:NC_025723.1/KF133826.1</t>
  </si>
  <si>
    <t>Circoviridae 16 LDMD-2013</t>
  </si>
  <si>
    <t>PRJNA268416</t>
  </si>
  <si>
    <t>Unknown:NC_025720.1/KF133823.1</t>
  </si>
  <si>
    <t>Circoviridae 15 LDMD-2013</t>
  </si>
  <si>
    <t>Mannheimia haemolytica USDA-ARS-USMARC-184</t>
  </si>
  <si>
    <t>PRJNA268417</t>
  </si>
  <si>
    <t>Unknown:NC_025719.1/KF133822.1</t>
  </si>
  <si>
    <t>Circoviridae 14 LDMD-2013</t>
  </si>
  <si>
    <t>PRJNA268418</t>
  </si>
  <si>
    <t>Unknown:NC_025718.1/KF133821.1</t>
  </si>
  <si>
    <t>Circoviridae 13 LDMD-2013</t>
  </si>
  <si>
    <t>PRJNA268419</t>
  </si>
  <si>
    <t>Mannheimia haemolytica USDA-ARS-USMARC-185</t>
  </si>
  <si>
    <t>Unknown:NC_025717.1/KF133820.1</t>
  </si>
  <si>
    <t>Circoviridae 11 LDMD-2013</t>
  </si>
  <si>
    <t>PRJNA268420</t>
  </si>
  <si>
    <t>Unknown:NC_025716.1/KF133818.1</t>
  </si>
  <si>
    <t>Circoviridae 10 LDMD-2013</t>
  </si>
  <si>
    <t>PRJNA268421</t>
  </si>
  <si>
    <t>Mannheimia haemolytica USMARC_2286</t>
  </si>
  <si>
    <t>Unknown:NC_025715.1/KF133817.1</t>
  </si>
  <si>
    <t>Circoviridae 9 LDMD-2013</t>
  </si>
  <si>
    <t>PRJNA268422</t>
  </si>
  <si>
    <t>Unknown:NC_025714.1/KF133816.1</t>
  </si>
  <si>
    <t>Circoviridae 8 LDMD-2013</t>
  </si>
  <si>
    <t>PRJNA268423</t>
  </si>
  <si>
    <t>Unknown:NC_025713.1/KF133815.1</t>
  </si>
  <si>
    <t>Circoviridae 7 LDMD-2013</t>
  </si>
  <si>
    <t>PRJNA268424</t>
  </si>
  <si>
    <t>Mannheimia succiniciproducens MBEL55E</t>
  </si>
  <si>
    <t>Unknown:NC_025712.1/KF133814.1</t>
  </si>
  <si>
    <t>Bacillariodnavirus LDMD-2013</t>
  </si>
  <si>
    <t>PRJNA268425</t>
  </si>
  <si>
    <t>Unknown:NC_025707.1/KF133809.1</t>
  </si>
  <si>
    <t>Circoviridae 3 LDMD-2013</t>
  </si>
  <si>
    <t>PRJNA268426</t>
  </si>
  <si>
    <t>Unknown:NC_025708.1/KF133810.1</t>
  </si>
  <si>
    <t>Mannheimia varigena USDA-ARS-USMARC-1261</t>
  </si>
  <si>
    <t>Circoviridae 2 LDMD-2013</t>
  </si>
  <si>
    <t>PRJNA268427</t>
  </si>
  <si>
    <t>Unknown:NC_025706.1/KF133808.1</t>
  </si>
  <si>
    <t>Circoviridae 4 LDMD-2013</t>
  </si>
  <si>
    <t>PRJNA268428</t>
  </si>
  <si>
    <t>Unknown:NC_025709.1/KF133811.1</t>
  </si>
  <si>
    <t>Circoviridae 6 LDMD-2013</t>
  </si>
  <si>
    <t>PRJNA268429</t>
  </si>
  <si>
    <t>Mannheimia varigena USDA-ARS-USMARC-1296</t>
  </si>
  <si>
    <t>Unknown:NC_025711.1/KF133813.1</t>
  </si>
  <si>
    <t>Circoviridae 18 LDMD-2013</t>
  </si>
  <si>
    <t>PRJNA268430</t>
  </si>
  <si>
    <t>Unknown:NC_025722.1/KF133825.1</t>
  </si>
  <si>
    <t>Jatropha leaf crumple virus</t>
  </si>
  <si>
    <t>PRJNA268505</t>
  </si>
  <si>
    <t>Unknown:NC_025725.1/KM023146.1</t>
  </si>
  <si>
    <t>Mannheimia varigena USDA-ARS-USMARC-1312</t>
  </si>
  <si>
    <t>Faeces associated gemycircularvirus 7</t>
  </si>
  <si>
    <t>PRJNA268553</t>
  </si>
  <si>
    <t>Unknown:NC_025733.1/KF371635.1</t>
  </si>
  <si>
    <t>Faeces associated gemycircularvirus 6</t>
  </si>
  <si>
    <t>Mannheimia varigena USDA-ARS-USMARC-1388</t>
  </si>
  <si>
    <t>PRJNA268554</t>
  </si>
  <si>
    <t>Unknown:NC_025734.1/KF371636.1</t>
  </si>
  <si>
    <t>Faeces associated gemycircularvirus 5</t>
  </si>
  <si>
    <t>PRJNA268555</t>
  </si>
  <si>
    <t>Unknown:NC_025735.1/KF371637.1</t>
  </si>
  <si>
    <t>Faeces associated gemycircularvirus 4</t>
  </si>
  <si>
    <t>PRJNA268556</t>
  </si>
  <si>
    <t>Maribacter sp. HTCC2170</t>
  </si>
  <si>
    <t>Unknown:NC_025736.1/KF371638.1</t>
  </si>
  <si>
    <t>Faeces associated gemycircularvirus 3</t>
  </si>
  <si>
    <t>PRJNA268557</t>
  </si>
  <si>
    <t>Unknown:NC_025737.1/KF371639.1</t>
  </si>
  <si>
    <t>Faeces associated gemycircularvirus 2</t>
  </si>
  <si>
    <t>PRJNA268558</t>
  </si>
  <si>
    <t>Unknown:NC_025738.1/KF371640.1</t>
  </si>
  <si>
    <t>Maricaulis maris MCS10</t>
  </si>
  <si>
    <t>Faecal-associated gemycircularvirus 1a</t>
  </si>
  <si>
    <t>PRJNA268561</t>
  </si>
  <si>
    <t>Unknown:NC_025741.1/KF371643.1</t>
  </si>
  <si>
    <t>Faeces associated gemycircularvirus 12</t>
  </si>
  <si>
    <t>PRJNA268562</t>
  </si>
  <si>
    <t>Unknown:NC_025728.1/KF371630.1</t>
  </si>
  <si>
    <t>Faeces associated gemycircularvirus 11</t>
  </si>
  <si>
    <t>PRJNA268563</t>
  </si>
  <si>
    <t>Marinithermus hydrothermalis DSM 14884</t>
  </si>
  <si>
    <t>Unknown:NC_025729.1/KF371631.1</t>
  </si>
  <si>
    <t>Faeces associated gemycircularvirus 10</t>
  </si>
  <si>
    <t>PRJNA268564</t>
  </si>
  <si>
    <t>Unknown:NC_025730.1/KF371632.1</t>
  </si>
  <si>
    <t>Blackbird associated gemykibivirus 1</t>
  </si>
  <si>
    <t>PRJNA268565</t>
  </si>
  <si>
    <t>Unknown:NC_025731.1/KF371633.1</t>
  </si>
  <si>
    <t>Black robin associated gemykibivirus 1</t>
  </si>
  <si>
    <t>Marinitoga piezophila KA3</t>
  </si>
  <si>
    <t>PRJNA268566</t>
  </si>
  <si>
    <t>Unknown:NC_025732.1/KF371634.1</t>
  </si>
  <si>
    <t>Torque teno mini virus ALH8</t>
  </si>
  <si>
    <t>PRJNA268591</t>
  </si>
  <si>
    <t>Unknown:NC_025727.1/KM259874.1</t>
  </si>
  <si>
    <t>Torque teno mini virus ALA22</t>
  </si>
  <si>
    <t>PRJNA268592</t>
  </si>
  <si>
    <t>Marinobacter adhaerens HP15</t>
  </si>
  <si>
    <t>Unknown:NC_025726.1/KM259873.1</t>
  </si>
  <si>
    <t>Laodelphax striatellus picorna-like virus 2</t>
  </si>
  <si>
    <t>PRJNA268832</t>
  </si>
  <si>
    <t>Unknown:NC_025788.1/KM272628.1</t>
  </si>
  <si>
    <t>Black sea bass polyomavirus 1</t>
  </si>
  <si>
    <t>PRJNA268860</t>
  </si>
  <si>
    <t>Unknown:NC_025790.1/KP071318.1</t>
  </si>
  <si>
    <t>Marinobacter aquaeolei VT8</t>
  </si>
  <si>
    <t>Bat circovirus POA/2012/VI</t>
  </si>
  <si>
    <t>PRJNA268861</t>
  </si>
  <si>
    <t>Unknown:NC_025792.1/KM382270.1</t>
  </si>
  <si>
    <t>Bat circovirus POA/2012/II</t>
  </si>
  <si>
    <t>PRJNA268862</t>
  </si>
  <si>
    <t>Unknown:NC_025791.1/KM382269.1</t>
  </si>
  <si>
    <t>Wellfleet Bay virus</t>
  </si>
  <si>
    <t>PRJNA268863</t>
  </si>
  <si>
    <t>Marinobacter excellens HL-55</t>
  </si>
  <si>
    <t>43.5749</t>
  </si>
  <si>
    <t>segmen  1:NC_025795.1/KM114304.1;  segmen  2:NC_025796.1/KM114305.1;  segmen  3:NC_025797.1/KM114306.1;  segmen  4:NC_025793.1/KM114307.1;  segmen  5:NC_025798.1/KM114308.1;  segmen  6:NC_025799.1/KM114309.1;  segmen  7:NC_025794.1/KM114310.1</t>
  </si>
  <si>
    <t>Garlic virus B</t>
  </si>
  <si>
    <t>PRJNA268864</t>
  </si>
  <si>
    <t>Unknown:NC_025789.1/KM379144.1</t>
  </si>
  <si>
    <t>Cangyuan orthoreovirus</t>
  </si>
  <si>
    <t>PRJNA269146</t>
  </si>
  <si>
    <t>48.5385</t>
  </si>
  <si>
    <t>Marinobacter hydrocarbonoclasticus ATCC 49840</t>
  </si>
  <si>
    <t>segment L1:NC_025801.1/KM382259.1;  segment L2:NC_025802.1/KM382260.1;  segment L3:NC_025803.1/KM382261.1;  segment M1:NC_025804.1/KM382262.1;  segment M2:NC_025808.1/KM382263.1;  segment M3:NC_025805.1/KM382264.1;  segment S1:NC_025806.1/KM382265.1;  segment S2:NC_025809.1/KM382266.1;  segment S3:NC_025807.1/KM382267.1;  segment S4:NC_025810.1/KM382268.1</t>
  </si>
  <si>
    <t>Bovine polyomavirus 3</t>
  </si>
  <si>
    <t>PRJNA269173</t>
  </si>
  <si>
    <t>Unknown:NC_025800.1/KM496326.1</t>
  </si>
  <si>
    <t>Bovine polyomavirus 2</t>
  </si>
  <si>
    <t>PRJNA269306</t>
  </si>
  <si>
    <t>Unknown:NC_025811.1/KM111535.1</t>
  </si>
  <si>
    <t>Vibrio phage phi-A318</t>
  </si>
  <si>
    <t>PRJNA269621</t>
  </si>
  <si>
    <t>Marinobacter psychrophilus strain 20041</t>
  </si>
  <si>
    <t>Unknown:NC_025822.1/KF322026.1</t>
  </si>
  <si>
    <t>Enterobacteria phage fd</t>
  </si>
  <si>
    <t>PRJNA269628</t>
  </si>
  <si>
    <t>Unknown:NC_025824.1/J02451.1</t>
  </si>
  <si>
    <t>Leopards Hill virus</t>
  </si>
  <si>
    <t>PRJNA269629</t>
  </si>
  <si>
    <t>Nairoviridae</t>
  </si>
  <si>
    <t>42.2153</t>
  </si>
  <si>
    <t>L:NC_025831.1/AB842088.1;  M:NC_025832.1/AB842089.1;  S:NC_025833.1/AB842090.1</t>
  </si>
  <si>
    <t>Marinobacter salarius R9SW1</t>
  </si>
  <si>
    <t>Asparagus virus 1</t>
  </si>
  <si>
    <t>PRJNA269630</t>
  </si>
  <si>
    <t>Unknown:NC_025821.1/KJ830760.1</t>
  </si>
  <si>
    <t>Raccoon dog amdovirus</t>
  </si>
  <si>
    <t>PRJNA269633</t>
  </si>
  <si>
    <t>Unknown:NC_025825.1/KJ396347.1</t>
  </si>
  <si>
    <t>Marinobacter similis A3d10</t>
  </si>
  <si>
    <t>Shigella phage pSs-1</t>
  </si>
  <si>
    <t>PRJNA269769</t>
  </si>
  <si>
    <t>Unknown:NC_025829.1/KM501444.1</t>
  </si>
  <si>
    <t>Escherichia phage Av-05</t>
  </si>
  <si>
    <t>PRJNA269770</t>
  </si>
  <si>
    <t>Unknown:NC_025830.1/KM190144.1</t>
  </si>
  <si>
    <t>Dinocampus coccinellae paralysis virus</t>
  </si>
  <si>
    <t>PRJNA269768</t>
  </si>
  <si>
    <t>Unknown:NC_025835.1/KF843822.1</t>
  </si>
  <si>
    <t>Marinobacter sp. BSs20148</t>
  </si>
  <si>
    <t>Switchgrass mosaic-associated virus 1</t>
  </si>
  <si>
    <t>PRJNA269775</t>
  </si>
  <si>
    <t>Unknown:NC_025834.1/KF806701.1</t>
  </si>
  <si>
    <t>Sauropus yellowing virus</t>
  </si>
  <si>
    <t>PRJNA269794</t>
  </si>
  <si>
    <t>Unknown:NC_025837.1/KJ885302.1</t>
  </si>
  <si>
    <t>Marinobacter sp. CP1</t>
  </si>
  <si>
    <t>Dendrolimus punctatus cypovirus 22</t>
  </si>
  <si>
    <t>PRJNA269795</t>
  </si>
  <si>
    <t>39.9411</t>
  </si>
  <si>
    <t>1:NC_025845.1/KJ191104.1;  2:NC_025846.1/KJ191105.1;  3:NC_025847.1/KJ191106.1;  4:NC_025848.1/KJ191107.1;  5:NC_025849.1/KJ191108.1;  6:NC_025850.1/KJ191109.1;  7:NC_025851.1/KJ191110.1;  8:NC_025852.1/KJ191111.1;  9:NC_025853.1/KJ191112.1;  10:NC_025838.1/KJ191113.1;  11:NC_025839.1/KJ191114.1;  12:NC_025840.1/KJ191115.1;  13:NC_025841.1/KJ191116.1;  14:NC_025842.1/KJ191117.1;  15:NC_025843.1/KJ191118.1;  16:NC_025844.1/KJ191119.1</t>
  </si>
  <si>
    <t>Fisavirus 1</t>
  </si>
  <si>
    <t>PRJNA269796</t>
  </si>
  <si>
    <t>Unknown:NC_025836.1/KM434233.1</t>
  </si>
  <si>
    <t>Cercopithecus erythrotis polyomavirus 1</t>
  </si>
  <si>
    <t>PRJNA269971</t>
  </si>
  <si>
    <t>Marinobacterium sp. ST58-10</t>
  </si>
  <si>
    <t>Unknown:NC_025892.1/JX159985.1</t>
  </si>
  <si>
    <t>Chaetoceros tenuissimus RNA virus type-II</t>
  </si>
  <si>
    <t>PRJNA269977</t>
  </si>
  <si>
    <t>Unknown:NC_025889.1/AB971661.1</t>
  </si>
  <si>
    <t>Yellow baboon polyomavirus 1</t>
  </si>
  <si>
    <t>PRJNA270089</t>
  </si>
  <si>
    <t>Marinomonas mediterranea MMB-1</t>
  </si>
  <si>
    <t>Unknown:NC_025894.1/AB767294.1</t>
  </si>
  <si>
    <t>Chaetoceros tenuissimus DNA virus type-II</t>
  </si>
  <si>
    <t>PRJNA270090</t>
  </si>
  <si>
    <t>Unknown:NC_025893.1/AB971658.1</t>
  </si>
  <si>
    <t>Slow loris parvovirus 1</t>
  </si>
  <si>
    <t>PRJNA270093</t>
  </si>
  <si>
    <t>Marinomonas posidonica IVIA-Po-181</t>
  </si>
  <si>
    <t>Unknown:NC_025891.1/KP120516.1</t>
  </si>
  <si>
    <t>Tortoise picornavirus</t>
  </si>
  <si>
    <t>PRJNA270094</t>
  </si>
  <si>
    <t>Unknown:NC_025890.1/KM873611.1</t>
  </si>
  <si>
    <t>Agrotis segetum nucleopolyhedrovirus B</t>
  </si>
  <si>
    <t>PRJNA271033</t>
  </si>
  <si>
    <t>Marinomonas sp. MWYL1</t>
  </si>
  <si>
    <t>Unknown:NC_025960.1/KM102981.1</t>
  </si>
  <si>
    <t>Dromedary stool-associated circular ssDNA virus</t>
  </si>
  <si>
    <t>PRJNA271034</t>
  </si>
  <si>
    <t>Unknown:NC_025959.1/KM573763.1</t>
  </si>
  <si>
    <t>Cosavirus JMY-2014</t>
  </si>
  <si>
    <t>Marinovum algicola DG 898</t>
  </si>
  <si>
    <t>PRJNA271106</t>
  </si>
  <si>
    <t>Unknown:NC_025961.1/KM516909.1</t>
  </si>
  <si>
    <t>Parapoxvirus red deer/HL953</t>
  </si>
  <si>
    <t>PRJNA271121</t>
  </si>
  <si>
    <t>Unknown:NC_025963.1/KM502564.1</t>
  </si>
  <si>
    <t>Catharanthus yellow mosaic virus</t>
  </si>
  <si>
    <t>PRJNA271122</t>
  </si>
  <si>
    <t>Marivirga tractuosa DSM 4126</t>
  </si>
  <si>
    <t>Unknown:NC_025964.1/LK028570.1</t>
  </si>
  <si>
    <t>Psittacine adenovirus 3</t>
  </si>
  <si>
    <t>PRJNA271153</t>
  </si>
  <si>
    <t>Unknown:NC_025962.1/KJ675568.1</t>
  </si>
  <si>
    <t>Porcine parvovirus 2</t>
  </si>
  <si>
    <t>PRJNA271167</t>
  </si>
  <si>
    <t>Unknown:NC_025965.1/KM926355.1</t>
  </si>
  <si>
    <t>Martelella endophytica strain YC6887</t>
  </si>
  <si>
    <t>Rodent Torque teno virus 2</t>
  </si>
  <si>
    <t>PRJNA271180</t>
  </si>
  <si>
    <t>Unknown:NC_025966.1/KM668486.1</t>
  </si>
  <si>
    <t>Persimmon virus B</t>
  </si>
  <si>
    <t>PRJNA271230</t>
  </si>
  <si>
    <t>Unknown:NC_025967.1/AB923924.1</t>
  </si>
  <si>
    <t>Shigella phage pSf-2</t>
  </si>
  <si>
    <t>PRJNA271410</t>
  </si>
  <si>
    <t>Unknown:NC_026010.1/KP085586.1</t>
  </si>
  <si>
    <t>Betacoronavirus HKU24</t>
  </si>
  <si>
    <t>PRJNA271776</t>
  </si>
  <si>
    <t>Unknown:NC_026011.1/KM349742.1</t>
  </si>
  <si>
    <t>Wenzhou mammarenavirus</t>
  </si>
  <si>
    <t>PRJNA271777</t>
  </si>
  <si>
    <t>42.882</t>
  </si>
  <si>
    <t>L:NC_026019.1/KJ909795.1;  S:NC_026018.1/KJ909794.1</t>
  </si>
  <si>
    <t>Martelella sp. AD-3</t>
  </si>
  <si>
    <t>Tadarida brasiliensis polyomavirus 2</t>
  </si>
  <si>
    <t>PRJNA271778</t>
  </si>
  <si>
    <t>Unknown:NC_026015.1/KM655869.1</t>
  </si>
  <si>
    <t>Tadarida brasiliensis polyomavirus 1</t>
  </si>
  <si>
    <t>PRJNA271779</t>
  </si>
  <si>
    <t>Unknown:NC_026012.1/KM655868.1</t>
  </si>
  <si>
    <t>Enterobacteria phage P88</t>
  </si>
  <si>
    <t>PRJNA271780</t>
  </si>
  <si>
    <t>Unknown:NC_026014.1/KP063541.1</t>
  </si>
  <si>
    <t>Massilia sp. NR 4-1</t>
  </si>
  <si>
    <t>Staphylococcus phage phiBU01</t>
  </si>
  <si>
    <t>PRJNA271781</t>
  </si>
  <si>
    <t>Unknown:NC_026016.1/KF831354.1</t>
  </si>
  <si>
    <t>Microviridae IME-16</t>
  </si>
  <si>
    <t>PRJNA271782</t>
  </si>
  <si>
    <t>Unknown:NC_026013.1/KM276541.1</t>
  </si>
  <si>
    <t>Salmonella phage LSPA1</t>
  </si>
  <si>
    <t>PRJNA271783</t>
  </si>
  <si>
    <t>Unknown:NC_026017.1/KM272358.1</t>
  </si>
  <si>
    <t>Mulberry badnavirus 1</t>
  </si>
  <si>
    <t>PRJNA271900</t>
  </si>
  <si>
    <t>Massilia sp. WG5</t>
  </si>
  <si>
    <t>NC_026020.2/LN651258.2</t>
  </si>
  <si>
    <t>Sewage-associated circular DNA molecule-1</t>
  </si>
  <si>
    <t>PRJNA272394</t>
  </si>
  <si>
    <t>NC_026170.1/KJ547618.1</t>
  </si>
  <si>
    <t>Adelie penguin polyomavirus</t>
  </si>
  <si>
    <t>PRJNA272395</t>
  </si>
  <si>
    <t>Unknown:NC_026141.2/KP033140.2</t>
  </si>
  <si>
    <t>Megamonas hypermegale ART12/1</t>
  </si>
  <si>
    <t>Seal anellovirus 4</t>
  </si>
  <si>
    <t>PRJNA272436</t>
  </si>
  <si>
    <t>Unknown:NC_026138.1/KM262783.1</t>
  </si>
  <si>
    <t>Sewage-associated gemycircularvirus 4</t>
  </si>
  <si>
    <t>PRJNA272438</t>
  </si>
  <si>
    <t>Unknown:NC_026144.1/KJ547634.1</t>
  </si>
  <si>
    <t>Eimeria tenella RNA virus 1</t>
  </si>
  <si>
    <t>PRJNA272440</t>
  </si>
  <si>
    <t>Megasphaera elsdenii 14-14</t>
  </si>
  <si>
    <t>Unknown:NC_026140.1/KJ363185.1</t>
  </si>
  <si>
    <t>Sewage-associated circular DNA molecule-3</t>
  </si>
  <si>
    <t>PRJNA272441</t>
  </si>
  <si>
    <t>Unknown:NC_026143.1/KJ547619.1</t>
  </si>
  <si>
    <t>Magnaporthe oryzae RNA virus</t>
  </si>
  <si>
    <t>PRJNA272442</t>
  </si>
  <si>
    <t>Megasphaera elsdenii DSM 20460</t>
  </si>
  <si>
    <t>Unknown:NC_026137.1/KP174727.1</t>
  </si>
  <si>
    <t>Alternaria brassicicola betaendornavirus 1</t>
  </si>
  <si>
    <t>PRJNA272443</t>
  </si>
  <si>
    <t>Unknown:NC_026136.1/KP239989.1</t>
  </si>
  <si>
    <t>Botrytis cinerea RNA virus 1</t>
  </si>
  <si>
    <t>PRJNA272444</t>
  </si>
  <si>
    <t>Unknown:NC_026139.1/KJ549662.1</t>
  </si>
  <si>
    <t>Sewage-associated gemycircularvirus 5</t>
  </si>
  <si>
    <t>PRJNA272393</t>
  </si>
  <si>
    <t>Meiothermus ruber DSM 1279</t>
  </si>
  <si>
    <t>Unknown:NC_026161.1/KJ547635.1</t>
  </si>
  <si>
    <t>Sewage-associated gemycircularvirus 6</t>
  </si>
  <si>
    <t>PRJNA272467</t>
  </si>
  <si>
    <t>Unknown:NC_026162.1/KJ547636.1</t>
  </si>
  <si>
    <t>Sewage-associated gemycircularvirus 11</t>
  </si>
  <si>
    <t>PRJNA272483</t>
  </si>
  <si>
    <t>Unknown:NC_026166.1/KJ547641.1</t>
  </si>
  <si>
    <t>Sewage-associated gemycircularvirus-10a</t>
  </si>
  <si>
    <t>PRJNA272515</t>
  </si>
  <si>
    <t>Unknown:NC_026169.1/KJ547644.1</t>
  </si>
  <si>
    <t>Sewage-associated gemycircularvirus 3</t>
  </si>
  <si>
    <t>PRJNA272516</t>
  </si>
  <si>
    <t>Unknown:NC_026168.1/KJ547643.1</t>
  </si>
  <si>
    <t>Phomopsis vexans RNA virus</t>
  </si>
  <si>
    <t>PRJNA272150</t>
  </si>
  <si>
    <t>Unknown:NC_026135.1/KP090346.1</t>
  </si>
  <si>
    <t>Sewage-associated gemycircularvirus-7a</t>
  </si>
  <si>
    <t>PRJNA272466</t>
  </si>
  <si>
    <t>Meiothermus silvanus DSM 9946</t>
  </si>
  <si>
    <t>Unknown:NC_026163.1/KJ547637.1</t>
  </si>
  <si>
    <t>Sewage-associated gemycircularvirus 8</t>
  </si>
  <si>
    <t>PRJNA272468</t>
  </si>
  <si>
    <t>Unknown:NC_026164.1/KJ547638.1</t>
  </si>
  <si>
    <t>Sewage-associated gemycircularvirus 9</t>
  </si>
  <si>
    <t>PRJNA272472</t>
  </si>
  <si>
    <t>Unknown:NC_026165.1/KJ547639.1</t>
  </si>
  <si>
    <t>Sewage-associated gemycircularvirus 2</t>
  </si>
  <si>
    <t>PRJNA272517</t>
  </si>
  <si>
    <t>Unknown:NC_026167.1/KJ547642.1</t>
  </si>
  <si>
    <t>Melioribacter roseus P3M-2</t>
  </si>
  <si>
    <t>Sewage-associated circular DNA molecule</t>
  </si>
  <si>
    <t>PRJNA273165</t>
  </si>
  <si>
    <t>Unknown:NC_026187.1/KM877826.1</t>
  </si>
  <si>
    <t>Tipula oleracea nudivirus</t>
  </si>
  <si>
    <t>PRJNA261283</t>
  </si>
  <si>
    <t>Unknown:NC_026242.1/KM610234.1</t>
  </si>
  <si>
    <t>Giant guitarfish polyomavirus 1</t>
  </si>
  <si>
    <t>PRJNA273466</t>
  </si>
  <si>
    <t>Melissococcus plutonius ATCC 35311</t>
  </si>
  <si>
    <t>Unknown:NC_026244.1/KP264963.1</t>
  </si>
  <si>
    <t>Bromus-associated circular DNA virus 4</t>
  </si>
  <si>
    <t>PRJNA273467</t>
  </si>
  <si>
    <t>Unknown:NC_026245.1/KP005454.1</t>
  </si>
  <si>
    <t>Bromus-associated circular DNA virus 2</t>
  </si>
  <si>
    <t>PRJNA273468</t>
  </si>
  <si>
    <t>Unknown:NC_026243.1/KM510191.1</t>
  </si>
  <si>
    <t>Bromus-associated circular DNA virus 1</t>
  </si>
  <si>
    <t>PRJNA273470</t>
  </si>
  <si>
    <t>Unknown:NC_026241.1/KM510189.1</t>
  </si>
  <si>
    <t>Melissococcus plutonius DAT561</t>
  </si>
  <si>
    <t>Rubus yellow net virus</t>
  </si>
  <si>
    <t>PRJNA273471</t>
  </si>
  <si>
    <t>Unknown:NC_026238.1/KM078034.1</t>
  </si>
  <si>
    <t>Pelargonium ringspot virus</t>
  </si>
  <si>
    <t>PRJNA273472</t>
  </si>
  <si>
    <t>Unknown:NC_026240.1/AY038068.2</t>
  </si>
  <si>
    <t>Melissococcus plutonius S1</t>
  </si>
  <si>
    <t>Elderberry latent virus</t>
  </si>
  <si>
    <t>PRJNA273473</t>
  </si>
  <si>
    <t>Unknown:NC_026239.1/AY038066.2</t>
  </si>
  <si>
    <t>Gairo mammarenavirus</t>
  </si>
  <si>
    <t>PRJNA273480</t>
  </si>
  <si>
    <t>40.8765</t>
  </si>
  <si>
    <t>segmen  L:NC_026247.1/KJ855307.1;  segmen  S:NC_026246.1/KJ855308.1</t>
  </si>
  <si>
    <t>Human smacovirus 1</t>
  </si>
  <si>
    <t>PRJNA273530</t>
  </si>
  <si>
    <t>Unknown:NC_026252.1/KP264966.1</t>
  </si>
  <si>
    <t>Thaumetopoea pityocampa iflavirus 1</t>
  </si>
  <si>
    <t>Mesoplasma florum L1</t>
  </si>
  <si>
    <t>PRJNA273531</t>
  </si>
  <si>
    <t>Unknown:NC_026250.1/KP217032.1</t>
  </si>
  <si>
    <t>Bovine picornavirus</t>
  </si>
  <si>
    <t>PRJNA273532</t>
  </si>
  <si>
    <t>Unknown:NC_026249.1/KM589358.1</t>
  </si>
  <si>
    <t>Sesavirus CSL10538</t>
  </si>
  <si>
    <t>PRJNA273533</t>
  </si>
  <si>
    <t>Mesoplasma florum W37</t>
  </si>
  <si>
    <t>Unknown:NC_026251.1/KM035804.1</t>
  </si>
  <si>
    <t>Oxalis yellow vein virus</t>
  </si>
  <si>
    <t>PRJNA273529</t>
  </si>
  <si>
    <t>DNA-A:NC_026253.1/KM887907.1</t>
  </si>
  <si>
    <t>Sewage-associated circular DNA virus-37</t>
  </si>
  <si>
    <t>PRJNA274063</t>
  </si>
  <si>
    <t>Unknown:NC_026256.1/KM821749.1</t>
  </si>
  <si>
    <t>Sewage-associated circular DNA virus-36</t>
  </si>
  <si>
    <t>Mesorhizobium ciceri biovar biserrulae WSM1271</t>
  </si>
  <si>
    <t>PRJNA274064</t>
  </si>
  <si>
    <t>Unknown:NC_026255.1/KM821748.1</t>
  </si>
  <si>
    <t>Sewage-associated circular DNA virus-35</t>
  </si>
  <si>
    <t>PRJNA274065</t>
  </si>
  <si>
    <t>Unknown:NC_026280.1/KM821770.1</t>
  </si>
  <si>
    <t>Sewage-associated circular DNA virus-34</t>
  </si>
  <si>
    <t>PRJNA274066</t>
  </si>
  <si>
    <t>Unknown:NC_026279.1/KM821769.1</t>
  </si>
  <si>
    <t>Sewage-associated circular DNA virus-33</t>
  </si>
  <si>
    <t>Mesorhizobium ciceri ca181</t>
  </si>
  <si>
    <t>PRJNA274067</t>
  </si>
  <si>
    <t>Unknown:NC_026278.1/KM821768.1</t>
  </si>
  <si>
    <t>Sewage-associated circular DNA virus-32</t>
  </si>
  <si>
    <t>PRJNA274068</t>
  </si>
  <si>
    <t>Unknown:NC_026277.1/KM821767.1</t>
  </si>
  <si>
    <t>Sewage-associated circular DNA virus-31</t>
  </si>
  <si>
    <t>PRJNA274069</t>
  </si>
  <si>
    <t>Unknown:NC_026276.1/KM821766.1</t>
  </si>
  <si>
    <t>Mesorhizobium huakuii 7653R</t>
  </si>
  <si>
    <t>Sewage-associated circular DNA virus-30</t>
  </si>
  <si>
    <t>PRJNA274070</t>
  </si>
  <si>
    <t>Unknown:NC_026275.1/KM821765.1</t>
  </si>
  <si>
    <t>Sewage-associated circular DNA virus-29</t>
  </si>
  <si>
    <t>PRJNA274101</t>
  </si>
  <si>
    <t>Mesorhizobium loti MAFF303099</t>
  </si>
  <si>
    <t>Unknown:NC_026274.1/KM821764.1</t>
  </si>
  <si>
    <t>Sewage-associated circular DNA virus-28</t>
  </si>
  <si>
    <t>PRJNA274102</t>
  </si>
  <si>
    <t>Unknown:NC_026273.1/KM821763.1</t>
  </si>
  <si>
    <t>Sewage-associated circular DNA virus-27</t>
  </si>
  <si>
    <t>PRJNA274103</t>
  </si>
  <si>
    <t>Unknown:NC_026271.1/KM821762.1</t>
  </si>
  <si>
    <t>Sewage-associated circular DNA virus-26</t>
  </si>
  <si>
    <t>Mesorhizobium loti NZP2037</t>
  </si>
  <si>
    <t>PRJNA274104</t>
  </si>
  <si>
    <t>Unknown:NC_026270.1/KM821761.1</t>
  </si>
  <si>
    <t>Sewage-associated circular DNA virus-25</t>
  </si>
  <si>
    <t>PRJNA274105</t>
  </si>
  <si>
    <t>Unknown:NC_026269.1/KM821760.1</t>
  </si>
  <si>
    <t>Sewage-associated circular DNA virus-24</t>
  </si>
  <si>
    <t>PRJNA274106</t>
  </si>
  <si>
    <t>Unknown:NC_026267.1/KM821759.1</t>
  </si>
  <si>
    <t>Metallosphaera cuprina Ar-4</t>
  </si>
  <si>
    <t>Sewage-associated circular DNA virus-23</t>
  </si>
  <si>
    <t>PRJNA274107</t>
  </si>
  <si>
    <t>Unknown:NC_026266.1/KM821758.1</t>
  </si>
  <si>
    <t>Sewage-associated circular DNA virus-22</t>
  </si>
  <si>
    <t>PRJNA274108</t>
  </si>
  <si>
    <t>Unknown:NC_026265.1/KM821757.1</t>
  </si>
  <si>
    <t>Sewage-associated circular DNA virus-21</t>
  </si>
  <si>
    <t>PRJNA274109</t>
  </si>
  <si>
    <t>Metallosphaera sedula DSM 5348</t>
  </si>
  <si>
    <t>Unknown:NC_026264.1/KM821756.1</t>
  </si>
  <si>
    <t>Sewage-associated circular DNA virus-20</t>
  </si>
  <si>
    <t>PRJNA274110</t>
  </si>
  <si>
    <t>Unknown:NC_026263.1/KM821755.2</t>
  </si>
  <si>
    <t>Sewage-associated circular DNA virus-19</t>
  </si>
  <si>
    <t>PRJNA274111</t>
  </si>
  <si>
    <t>Unknown:NC_026262.1/KM821754.2</t>
  </si>
  <si>
    <t>Sewage-associated circular DNA virus-18</t>
  </si>
  <si>
    <t>PRJNA274112</t>
  </si>
  <si>
    <t>Unknown:NC_026260.1/KM821753.1</t>
  </si>
  <si>
    <t>Metallosphaera sedula strain ARS120-1</t>
  </si>
  <si>
    <t>Sewage-associated circular DNA virus-17</t>
  </si>
  <si>
    <t>PRJNA274113</t>
  </si>
  <si>
    <t>Unknown:NC_026259.1/KM821752.1</t>
  </si>
  <si>
    <t>Sewage-associated circular DNA virus-16</t>
  </si>
  <si>
    <t>PRJNA274114</t>
  </si>
  <si>
    <t>Unknown:NC_026258.1/KM821751.1</t>
  </si>
  <si>
    <t>Sewage-associated circular DNA virus-15</t>
  </si>
  <si>
    <t>PRJNA274115</t>
  </si>
  <si>
    <t>Unknown:NC_026257.1/KM821750.1</t>
  </si>
  <si>
    <t>Metallosphaera sedula strain ARS120-2</t>
  </si>
  <si>
    <t>Sewage-associated gemycircularvirus 1</t>
  </si>
  <si>
    <t>PRJNA274116</t>
  </si>
  <si>
    <t>Unknown:NC_026254.1/KM821747.1</t>
  </si>
  <si>
    <t>Maprik virus</t>
  </si>
  <si>
    <t>PRJNA274117</t>
  </si>
  <si>
    <t>32.8542</t>
  </si>
  <si>
    <t>segmen  L:NC_026281.1/KJ481926.1;  segmen  M:NC_026283.1/KJ481925.1;  segmen  S:NC_026282.1/KJ481924.1</t>
  </si>
  <si>
    <t>Trifolium-associated circular DNA virus 1</t>
  </si>
  <si>
    <t>PRJNA274118</t>
  </si>
  <si>
    <t>Metallosphaera sedula strain ARS50-1</t>
  </si>
  <si>
    <t>Unknown:NC_026272.1/KP005453.1</t>
  </si>
  <si>
    <t>Bromus-associated circular DNA virus 3</t>
  </si>
  <si>
    <t>PRJNA274119</t>
  </si>
  <si>
    <t>Unknown:NC_026261.1/KM510192.1</t>
  </si>
  <si>
    <t>Pseudoplusia includens SNPV IE</t>
  </si>
  <si>
    <t>PRJNA274120</t>
  </si>
  <si>
    <t>Unknown:NC_026268.1/KJ631622.1</t>
  </si>
  <si>
    <t>Rabovirus A</t>
  </si>
  <si>
    <t>PRJNA274150</t>
  </si>
  <si>
    <t>Metallosphaera sedula strain ARS50-2</t>
  </si>
  <si>
    <t>Unknown:NC_026314.1/KP233897.1</t>
  </si>
  <si>
    <t>Lesavirus 2</t>
  </si>
  <si>
    <t>PRJNA274154</t>
  </si>
  <si>
    <t>Unknown:NC_026316.1/KM396708.1</t>
  </si>
  <si>
    <t>Lesavirus 1</t>
  </si>
  <si>
    <t>PRJNA274155</t>
  </si>
  <si>
    <t>Unknown:NC_026315.1/KM396707.1</t>
  </si>
  <si>
    <t>Lemur smacovirus</t>
  </si>
  <si>
    <t>Metallosphaera sedula strain CuR1</t>
  </si>
  <si>
    <t>PRJNA274156</t>
  </si>
  <si>
    <t>Unknown:NC_026320.1/KP233194.1</t>
  </si>
  <si>
    <t>Gorilla smacovirus</t>
  </si>
  <si>
    <t>PRJNA274157</t>
  </si>
  <si>
    <t>Unknown:NC_026319.1/KP233191.1</t>
  </si>
  <si>
    <t>Chimpanzee smacovirus</t>
  </si>
  <si>
    <t>PRJNA274158</t>
  </si>
  <si>
    <t>Unknown:NC_026318.1/KP233190.1</t>
  </si>
  <si>
    <t>Black howler monkey smacovirus</t>
  </si>
  <si>
    <t>Metallosphaera sedula strain SARC-M1</t>
  </si>
  <si>
    <t>PRJNA274159</t>
  </si>
  <si>
    <t>Unknown:NC_026317.1/KP233189.1</t>
  </si>
  <si>
    <t>Equid gammaherpesvirus 5</t>
  </si>
  <si>
    <t>PRJNA274586</t>
  </si>
  <si>
    <t>Unknown:NC_026421.1/KM924295.1</t>
  </si>
  <si>
    <t>Condylorrhiza vestigialis MNPV</t>
  </si>
  <si>
    <t>PRJNA274777</t>
  </si>
  <si>
    <t>Unknown:NC_026430.1/KJ631623.1</t>
  </si>
  <si>
    <t>Methanobacterium formicicum BRM9</t>
  </si>
  <si>
    <t>Pandoravirus inopinatum</t>
  </si>
  <si>
    <t>PRJNA274798</t>
  </si>
  <si>
    <t>Unknown:NC_026440.1/KP136319.1</t>
  </si>
  <si>
    <t>Coconut foliar decay alphasatellite</t>
  </si>
  <si>
    <t>PRJNA14067</t>
  </si>
  <si>
    <t>Unknown:NC_001465.1/M29963.1</t>
  </si>
  <si>
    <t>Squash yellow mild mottle virus</t>
  </si>
  <si>
    <t>Methanobacterium formicicum strain DSM 1535</t>
  </si>
  <si>
    <t>PRJNA14186</t>
  </si>
  <si>
    <t>43.0002</t>
  </si>
  <si>
    <t>DNA A:NC_003865.1/AY064391.1;  DNA B:NC_003860.1/AF440790.1</t>
  </si>
  <si>
    <t>Aedes albopictus densovirus 2</t>
  </si>
  <si>
    <t>PRJNA14581</t>
  </si>
  <si>
    <t>Unknown:NC_004285.1/X74945.1</t>
  </si>
  <si>
    <t>Methanobacterium formicicum strain Mb9</t>
  </si>
  <si>
    <t>Wasabi mottle virus</t>
  </si>
  <si>
    <t>PRJNA14733</t>
  </si>
  <si>
    <t>Unknown:NC_003355.1/AB017503.1</t>
  </si>
  <si>
    <t>Human parvovirus 4 G1</t>
  </si>
  <si>
    <t>PRJNA15414</t>
  </si>
  <si>
    <t>Unknown:NC_007018.1/AY622943.1</t>
  </si>
  <si>
    <t>PreXMRV-1</t>
  </si>
  <si>
    <t>PRJNA16631</t>
  </si>
  <si>
    <t>Unknown:NC_007815.2/FR871849.1</t>
  </si>
  <si>
    <t>Methanobacterium lacus strain AL-21</t>
  </si>
  <si>
    <t>Penaeus monodon hepandensovirus 1</t>
  </si>
  <si>
    <t>PRJNA15556</t>
  </si>
  <si>
    <t>Unknown:NC_007218.1/DQ002873.1</t>
  </si>
  <si>
    <t>Nile crocodilepox virus</t>
  </si>
  <si>
    <t>PRJNA16798</t>
  </si>
  <si>
    <t>Unknown:NC_008030.1/DQ356948.1</t>
  </si>
  <si>
    <t>Tomato leaf curl Karnataka betasatellite</t>
  </si>
  <si>
    <t>PRJNA17999</t>
  </si>
  <si>
    <t>DNA-A:NC_008523.1/AY754813.1</t>
  </si>
  <si>
    <t>Methanobacterium paludis strain SWAN-1</t>
  </si>
  <si>
    <t>Tomato mild yellow leaf curl Aragua virus</t>
  </si>
  <si>
    <t>PRJNA19653</t>
  </si>
  <si>
    <t>44.7087</t>
  </si>
  <si>
    <t>DNA A:NC_009490.1/AY927277.1;  DNA B:NC_009491.1/EF547938.1</t>
  </si>
  <si>
    <t>Meles meles polyomavirus 1</t>
  </si>
  <si>
    <t>PRJNA275612</t>
  </si>
  <si>
    <t>Unknown:NC_026473.1/KP644238.1</t>
  </si>
  <si>
    <t>Yacon necrotic mottle virus</t>
  </si>
  <si>
    <t>PRJNA275613</t>
  </si>
  <si>
    <t>Methanobacterium sp. MB1</t>
  </si>
  <si>
    <t>Unknown:NC_026472.1/KM229702.1</t>
  </si>
  <si>
    <t>Aedes aegypti densovirus 2</t>
  </si>
  <si>
    <t>PRJNA37821</t>
  </si>
  <si>
    <t>Unknown:NC_012636.1/FJ360744.1</t>
  </si>
  <si>
    <t>Salivirus A</t>
  </si>
  <si>
    <t>PRJNA39553</t>
  </si>
  <si>
    <t>Methanobrevibacter millerae strain SM9</t>
  </si>
  <si>
    <t>Unknown:NC_012986.1/GQ184145.1</t>
  </si>
  <si>
    <t>Bornean orang-utan polyomavirus</t>
  </si>
  <si>
    <t>PRJNA41471</t>
  </si>
  <si>
    <t>Unknown:NC_013439.1/FN356900.1</t>
  </si>
  <si>
    <t>Cosavirus A</t>
  </si>
  <si>
    <t>PRJNA38497</t>
  </si>
  <si>
    <t>Unknown:NC_012800.1/FJ438902.1</t>
  </si>
  <si>
    <t>Methanobrevibacter olleyae strain YLM1</t>
  </si>
  <si>
    <t>Cricetid gammaherpesvirus 2</t>
  </si>
  <si>
    <t>PRJNA62491</t>
  </si>
  <si>
    <t>Unknown:NC_015049.1/HQ221963.1</t>
  </si>
  <si>
    <t>Saimiriine betaherpesvirus 4</t>
  </si>
  <si>
    <t>PRJNA78947</t>
  </si>
  <si>
    <t>Unknown:NC_016448.1/FJ483967.2</t>
  </si>
  <si>
    <t>Helicobacter phage phiHP33</t>
  </si>
  <si>
    <t>PRJNA64479</t>
  </si>
  <si>
    <t>Methanobrevibacter ruminantium M1</t>
  </si>
  <si>
    <t>Unknown:NC_016568.1/JF734911.1</t>
  </si>
  <si>
    <t>Bovine hungarovirus 1</t>
  </si>
  <si>
    <t>PRJNA176432</t>
  </si>
  <si>
    <t>Unknown:NC_018668.1/JQ941880.1</t>
  </si>
  <si>
    <t>Methanobrevibacter smithii ATCC 35061</t>
  </si>
  <si>
    <t>Escherichia phage ECBP2</t>
  </si>
  <si>
    <t>PRJNA177528</t>
  </si>
  <si>
    <t>Unknown:NC_018859.1/JX415536.1</t>
  </si>
  <si>
    <t>Cyrtanthus elatus virus A</t>
  </si>
  <si>
    <t>PRJNA167578</t>
  </si>
  <si>
    <t>Unknown:NC_017977.1/JQ723475.1</t>
  </si>
  <si>
    <t>Human papillomavirus type 166</t>
  </si>
  <si>
    <t>PRJNA178458</t>
  </si>
  <si>
    <t>Methanobrevibacter sp. AbM4</t>
  </si>
  <si>
    <t>Unknown:NC_019023.1/JX413104.1</t>
  </si>
  <si>
    <t>Escherichia phage ECBP1</t>
  </si>
  <si>
    <t>PRJNA177527</t>
  </si>
  <si>
    <t>Unknown:NC_018854.1/JX415535.1</t>
  </si>
  <si>
    <t>Canine bocavirus 1</t>
  </si>
  <si>
    <t>PRJNA193977</t>
  </si>
  <si>
    <t>Methanobrevibacter sp. YE315</t>
  </si>
  <si>
    <t>Unknown:NC_020499.1/JN648103.1</t>
  </si>
  <si>
    <t>Lactobacillus phage phiAQ113</t>
  </si>
  <si>
    <t>PRJEB134</t>
  </si>
  <si>
    <t>Unknown:NC_019782.1/HE956704.1</t>
  </si>
  <si>
    <t>Ustilaginoidea virens partitivirus 2</t>
  </si>
  <si>
    <t>PRJNA213142</t>
  </si>
  <si>
    <t>46.6441</t>
  </si>
  <si>
    <t>RNA 1:NC_021873.1/KF361014.1;  Unknown:NC_021874.1/KF361015.1</t>
  </si>
  <si>
    <t>Invertebrate iridovirus 22</t>
  </si>
  <si>
    <t>Methanocaldococcus fervens AG86</t>
  </si>
  <si>
    <t>PRJEB1566</t>
  </si>
  <si>
    <t>Unknown:NC_021901.1/HF920633.1</t>
  </si>
  <si>
    <t>Human papillomavirus type 179</t>
  </si>
  <si>
    <t>PRJNA215652</t>
  </si>
  <si>
    <t>Unknown:NC_022095.1/HG421739.1</t>
  </si>
  <si>
    <t>Suid betaherpesvirus 2</t>
  </si>
  <si>
    <t>PRJNA217990</t>
  </si>
  <si>
    <t>Methanocaldococcus infernus ME</t>
  </si>
  <si>
    <t>Unknown:NC_022233.1/KF017583.1</t>
  </si>
  <si>
    <t>Cronobacter phage Dev2</t>
  </si>
  <si>
    <t>PRJEB4846</t>
  </si>
  <si>
    <t>Unknown:NC_023558.1/HG813241.1</t>
  </si>
  <si>
    <t>Anopheline-associated C virus</t>
  </si>
  <si>
    <t>PRJNA206059</t>
  </si>
  <si>
    <t>Methanocaldococcus jannaschii DSM 2661</t>
  </si>
  <si>
    <t>55.2933</t>
  </si>
  <si>
    <t>segment 1:NC_023682.1/KF298278.1;  segment 2:NC_023683.1/KF298279.1</t>
  </si>
  <si>
    <t>Madariaga virus</t>
  </si>
  <si>
    <t>PRJNA183000</t>
  </si>
  <si>
    <t>Unknown:NC_023812.1/KJ469640.1</t>
  </si>
  <si>
    <t>Enterococcus phage VD13</t>
  </si>
  <si>
    <t>PRJNA230494</t>
  </si>
  <si>
    <t>Unknown:NC_024212.1/KJ127303.1</t>
  </si>
  <si>
    <t>Human bocavirus 2c PK</t>
  </si>
  <si>
    <t>PRJNA33891</t>
  </si>
  <si>
    <t>Unknown:NC_012042.1/FJ170278.1</t>
  </si>
  <si>
    <t>Methanocaldococcus sp. FS406-22</t>
  </si>
  <si>
    <t>Feline astrovirus D1</t>
  </si>
  <si>
    <t>PRJNA258184</t>
  </si>
  <si>
    <t>Unknown:NC_024701.1/KM017741.1</t>
  </si>
  <si>
    <t>Dickeya phage RC-2014</t>
  </si>
  <si>
    <t>PRJNA242299</t>
  </si>
  <si>
    <t>Unknown:NC_025452.1/KJ716335.1</t>
  </si>
  <si>
    <t>Sclerotinia sclerotiorum mitovirus 1 HC025</t>
  </si>
  <si>
    <t>PRJNA275808</t>
  </si>
  <si>
    <t>Methanocaldococcus sp. JH146</t>
  </si>
  <si>
    <t>Unknown:NC_026510.1/KJ463570.1</t>
  </si>
  <si>
    <t>Cucurbit aphid borne yellows virus associated RNA</t>
  </si>
  <si>
    <t>PRJNA275895</t>
  </si>
  <si>
    <t>Unknown:NC_026508.1/KM486094.1</t>
  </si>
  <si>
    <t>Spodoptera frugiperda granulovirus</t>
  </si>
  <si>
    <t>PRJNA276252</t>
  </si>
  <si>
    <t>Methanocaldococcus vulcanius M7</t>
  </si>
  <si>
    <t>Unknown:NC_026511.1/KM371112.1</t>
  </si>
  <si>
    <t>Asystasia mosaic Madagascar virus</t>
  </si>
  <si>
    <t>PRJNA276253</t>
  </si>
  <si>
    <t>42.312</t>
  </si>
  <si>
    <t>DN  A:NC_026514.1/KP663485.1;  DN  B:NC_026513.1/KP663484.1</t>
  </si>
  <si>
    <t>Mosquito circovirus</t>
  </si>
  <si>
    <t>PRJNA276254</t>
  </si>
  <si>
    <t>Methanocella arvoryzae MRE50</t>
  </si>
  <si>
    <t>Unknown:NC_026512.1/KM972725.1</t>
  </si>
  <si>
    <t>Trichomonas vaginalis virus 1</t>
  </si>
  <si>
    <t>PRJNA14813</t>
  </si>
  <si>
    <t>Unknown:NC_003824.1/U08999.1</t>
  </si>
  <si>
    <t>Pseudomonas phage vB_PaeM_PAO1_Ab27</t>
  </si>
  <si>
    <t>PRJNA276681</t>
  </si>
  <si>
    <t>Methanocella conradii HZ254</t>
  </si>
  <si>
    <t>Unknown:NC_026586.1/LN610579.1</t>
  </si>
  <si>
    <t>uncultured phage WW-nAnB</t>
  </si>
  <si>
    <t>PRJNA276713</t>
  </si>
  <si>
    <t>Unknown:NC_026582.1/JN402401.1</t>
  </si>
  <si>
    <t>Mycobacterium phage Cerasum</t>
  </si>
  <si>
    <t>PRJNA276849</t>
  </si>
  <si>
    <t>Methanocella paludicola SANAE</t>
  </si>
  <si>
    <t>Unknown:NC_026604.1/KM215148.1</t>
  </si>
  <si>
    <t>Mycobacterium phage Gaia</t>
  </si>
  <si>
    <t>PRJNA276850</t>
  </si>
  <si>
    <t>Unknown:NC_026590.1/KJ567043.1</t>
  </si>
  <si>
    <t>Salmonella phage STP4-a</t>
  </si>
  <si>
    <t>PRJNA276851</t>
  </si>
  <si>
    <t>Unknown:NC_026607.2/KJ000058.2</t>
  </si>
  <si>
    <t>Methanococcoides burtonii DSM 6242</t>
  </si>
  <si>
    <t>Paracoccus phage vB_PmaS_IMEP1</t>
  </si>
  <si>
    <t>PRJNA276855</t>
  </si>
  <si>
    <t>Unknown:NC_026608.1/KP162168.1</t>
  </si>
  <si>
    <t>Pseudomonas phage vB_PaeS_PAO1_Ab30</t>
  </si>
  <si>
    <t>PRJNA276856</t>
  </si>
  <si>
    <t>Unknown:NC_026601.1/LN610590.1</t>
  </si>
  <si>
    <t>Pseudomonas phage vB_PaeM_C1-14_Ab28</t>
  </si>
  <si>
    <t>PRJNA276857</t>
  </si>
  <si>
    <t>Methanococcoides methylutens MM1</t>
  </si>
  <si>
    <t>Unknown:NC_026600.1/LN610589.1</t>
  </si>
  <si>
    <t>Pseudomonas phage vB_PaeP_C2-10_Ab22</t>
  </si>
  <si>
    <t>PRJNA276858</t>
  </si>
  <si>
    <t>Unknown:NC_026599.1/LN610578.1</t>
  </si>
  <si>
    <t>Pseudomonas phage vB_PaeS_PAO1_Ab18</t>
  </si>
  <si>
    <t>PRJNA276859</t>
  </si>
  <si>
    <t>Unknown:NC_026594.1/LN610577.1</t>
  </si>
  <si>
    <t>Methanococcus aeolicus Nankai-3</t>
  </si>
  <si>
    <t>Pseudomonas phage vB_PaeP_PAO1_Ab05</t>
  </si>
  <si>
    <t>PRJNA276860</t>
  </si>
  <si>
    <t>Unknown:NC_026602.1/LN610574.1</t>
  </si>
  <si>
    <t>Pseudomonas phage vB_PaeM_PAO1_Ab03</t>
  </si>
  <si>
    <t>PRJNA276861</t>
  </si>
  <si>
    <t>Unknown:NC_026587.1/LN610573.1</t>
  </si>
  <si>
    <t>Methanococcus maripaludis C5</t>
  </si>
  <si>
    <t>Vibrio phage VpKK5</t>
  </si>
  <si>
    <t>PRJNA276862</t>
  </si>
  <si>
    <t>Unknown:NC_026610.2/KM378617.2</t>
  </si>
  <si>
    <t>Edwardsiella phage GF-2</t>
  </si>
  <si>
    <t>PRJNA276863</t>
  </si>
  <si>
    <t>Unknown:NC_026611.1/AP014629.1</t>
  </si>
  <si>
    <t>Uncultured phage WW-nAnB strain 3</t>
  </si>
  <si>
    <t>PRJNA276864</t>
  </si>
  <si>
    <t>Methanococcus maripaludis C6</t>
  </si>
  <si>
    <t>Unknown:NC_026613.1/KJ003982.1</t>
  </si>
  <si>
    <t>Uncultured phage WW-nAnB strain 2</t>
  </si>
  <si>
    <t>PRJNA276865</t>
  </si>
  <si>
    <t>Unknown:NC_026612.1/KJ003981.1</t>
  </si>
  <si>
    <t>Citrus yellow vein clearing virus</t>
  </si>
  <si>
    <t>PRJNA276866</t>
  </si>
  <si>
    <t>Unknown:NC_026592.1/KP313240.1</t>
  </si>
  <si>
    <t>Methanococcus maripaludis C7</t>
  </si>
  <si>
    <t>Mycobacterium phage Sbash</t>
  </si>
  <si>
    <t>PRJNA276867</t>
  </si>
  <si>
    <t>65.6</t>
  </si>
  <si>
    <t>Unknown:NC_026589.1/KP027201.1</t>
  </si>
  <si>
    <t>Mycobacterium phage Milly</t>
  </si>
  <si>
    <t>PRJNA276868</t>
  </si>
  <si>
    <t>Unknown:NC_026598.1/KP027206.1</t>
  </si>
  <si>
    <t>Mycobacterium phage Malithi</t>
  </si>
  <si>
    <t>Methanococcus maripaludis KA1 KA1 (= NBRC 102054)</t>
  </si>
  <si>
    <t>PRJNA276869</t>
  </si>
  <si>
    <t>Unknown:NC_026605.1/KP027200.1</t>
  </si>
  <si>
    <t>Mycobacterium phage Keshu</t>
  </si>
  <si>
    <t>PRJNA276870</t>
  </si>
  <si>
    <t>Unknown:NC_026603.1/KP027199.1</t>
  </si>
  <si>
    <t>Mycobacterium phage Alvin</t>
  </si>
  <si>
    <t>PRJNA276871</t>
  </si>
  <si>
    <t>Unknown:NC_026583.1/KP027205.1</t>
  </si>
  <si>
    <t>Methanococcus maripaludis OS7 OS7 (= NBRC 103642)</t>
  </si>
  <si>
    <t>Arthrobacter phage vB_ArtM-ArV1</t>
  </si>
  <si>
    <t>PRJNA276872</t>
  </si>
  <si>
    <t>Unknown:NC_026606.1/KM879463.1</t>
  </si>
  <si>
    <t>Lactobacillus phage Ldl1</t>
  </si>
  <si>
    <t>PRJNA276873</t>
  </si>
  <si>
    <t>Unknown:NC_026609.1/KM514685.1</t>
  </si>
  <si>
    <t>Mycobacterium phage Estave1</t>
  </si>
  <si>
    <t>PRJNA276874</t>
  </si>
  <si>
    <t>Unknown:NC_026585.1/KM279937.1</t>
  </si>
  <si>
    <t>Mycobacterium phage BuzzLyseyear</t>
  </si>
  <si>
    <t>PRJNA276875</t>
  </si>
  <si>
    <t>Methanococcus maripaludis S2</t>
  </si>
  <si>
    <t>Unknown:NC_026593.1/KM347889.1</t>
  </si>
  <si>
    <t>Mycobacterium phage Inventum</t>
  </si>
  <si>
    <t>PRJNA276876</t>
  </si>
  <si>
    <t>Unknown:NC_026596.1/KM066034.1</t>
  </si>
  <si>
    <t>Methanococcus maripaludis X1</t>
  </si>
  <si>
    <t>Mycobacterium phage Trike</t>
  </si>
  <si>
    <t>PRJNA276877</t>
  </si>
  <si>
    <t>Unknown:NC_026591.1/KM101120.1</t>
  </si>
  <si>
    <t>Mycobacterium phage Minerva</t>
  </si>
  <si>
    <t>PRJNA276878</t>
  </si>
  <si>
    <t>Unknown:NC_026584.1/KM101123.1</t>
  </si>
  <si>
    <t>Methanococcus vannielii SB</t>
  </si>
  <si>
    <t>Mycobacterium phage Squirty</t>
  </si>
  <si>
    <t>PRJNA276879</t>
  </si>
  <si>
    <t>Unknown:NC_026588.1/KM101124.1</t>
  </si>
  <si>
    <t>Mycobacterium phage Hades</t>
  </si>
  <si>
    <t>PRJNA276880</t>
  </si>
  <si>
    <t>Unknown:NC_026595.1/KM101122.1</t>
  </si>
  <si>
    <t>Mycobacterium phage Sparky</t>
  </si>
  <si>
    <t>PRJNA276881</t>
  </si>
  <si>
    <t>Methanococcus voltae A3</t>
  </si>
  <si>
    <t>Unknown:NC_026597.1/KM083128.1</t>
  </si>
  <si>
    <t>Avastrovirus 1</t>
  </si>
  <si>
    <t>PRJNA15096</t>
  </si>
  <si>
    <t>Unknown:NC_002470.1/Y15936.2</t>
  </si>
  <si>
    <t>Mannheimia phage phiMhaA1-PHL101</t>
  </si>
  <si>
    <t>PRJNA17103</t>
  </si>
  <si>
    <t>Methanocorpusculum labreanum Z</t>
  </si>
  <si>
    <t>Unknown:NC_008201.1/DQ426904.1</t>
  </si>
  <si>
    <t>Torque teno midi virus</t>
  </si>
  <si>
    <t>PRJNA19131</t>
  </si>
  <si>
    <t>Unknown:NC_009225.1/AB290917.1</t>
  </si>
  <si>
    <t>Tamarillo leaf malformation virus</t>
  </si>
  <si>
    <t>PRJNA277199</t>
  </si>
  <si>
    <t>Unknown:NC_026615.1/KM523548.1</t>
  </si>
  <si>
    <t>Methanoculleus bourgensis MS2</t>
  </si>
  <si>
    <t>Alfalfa latent virus</t>
  </si>
  <si>
    <t>PRJNA277201</t>
  </si>
  <si>
    <t>Unknown:NC_026616.2/KP784454.2</t>
  </si>
  <si>
    <t>Mulberry vein banding virus</t>
  </si>
  <si>
    <t>PRJNA277203</t>
  </si>
  <si>
    <t>33.9861</t>
  </si>
  <si>
    <t>L:NC_026617.1/KM819698.1;  M:NC_026618.2/KM819699.2;  S:NC_026619.1/KM819701.1</t>
  </si>
  <si>
    <t>Methanoculleus bourgensis strain BA1</t>
  </si>
  <si>
    <t>Fusarium globosum mitovirus 1</t>
  </si>
  <si>
    <t>PRJNA277229</t>
  </si>
  <si>
    <t>Unknown:NC_026621.1/LC006128.1</t>
  </si>
  <si>
    <t>Jutiapa virus</t>
  </si>
  <si>
    <t>PRJNA277469</t>
  </si>
  <si>
    <t>Unknown:NC_026620.1/KJ469371.1</t>
  </si>
  <si>
    <t>Avon-Heathcote Estuary associated circular virus 29</t>
  </si>
  <si>
    <t>PRJNA277490</t>
  </si>
  <si>
    <t>Unknown:NC_026631.1/KM874368.1</t>
  </si>
  <si>
    <t>Methanoculleus marisnigri JR1</t>
  </si>
  <si>
    <t>Avon-Heathcote Estuary associated circular virus 28</t>
  </si>
  <si>
    <t>PRJNA277491</t>
  </si>
  <si>
    <t>Unknown:NC_026630.1/KM874365.1</t>
  </si>
  <si>
    <t>Avon-Heathcote Estuary associated circular virus 27</t>
  </si>
  <si>
    <t>PRJNA277492</t>
  </si>
  <si>
    <t>Unknown:NC_026627.1/KM874360.1</t>
  </si>
  <si>
    <t>Avon-Heathcote Estuary associated circular virus 26</t>
  </si>
  <si>
    <t>PRJNA277493</t>
  </si>
  <si>
    <t>Methanoculleus sp. MAB1</t>
  </si>
  <si>
    <t>Unknown:NC_026626.1/KM874359.1</t>
  </si>
  <si>
    <t>Avon-Heathcote Estuary associated circular virus 25</t>
  </si>
  <si>
    <t>PRJNA277494</t>
  </si>
  <si>
    <t>Unknown:NC_026654.1/KM874357.1</t>
  </si>
  <si>
    <t>Avon-Heathcote Estuary associated circular virus 24</t>
  </si>
  <si>
    <t>PRJNA277495</t>
  </si>
  <si>
    <t>Unknown:NC_026652.1/KM874354.1</t>
  </si>
  <si>
    <t>Avon-Heathcote Estuary associated circular virus 23</t>
  </si>
  <si>
    <t>PRJNA277496</t>
  </si>
  <si>
    <t>Unknown:NC_026651.1/KM874353.1</t>
  </si>
  <si>
    <t>Methanofollis liminatans DSM 4140</t>
  </si>
  <si>
    <t>Avon-Heathcote Estuary associated circular virus 22</t>
  </si>
  <si>
    <t>PRJNA277497</t>
  </si>
  <si>
    <t>Unknown:NC_026649.1/KM874351.1</t>
  </si>
  <si>
    <t>Avon-Heathcote Estuary associated circular virus 21</t>
  </si>
  <si>
    <t>PRJNA277498</t>
  </si>
  <si>
    <t>Unknown:NC_026648.1/KM874350.1</t>
  </si>
  <si>
    <t>Avon-Heathcote Estuary associated circular virus 20</t>
  </si>
  <si>
    <t>PRJNA277499</t>
  </si>
  <si>
    <t>methanogenic archaeon ISO4-H5</t>
  </si>
  <si>
    <t>Unknown:NC_026647.1/KM874349.1</t>
  </si>
  <si>
    <t>Avon-Heathcote Estuary associated circular virus 2</t>
  </si>
  <si>
    <t>PRJNA277500</t>
  </si>
  <si>
    <t>Unknown:NC_026653.1/KM874292.1</t>
  </si>
  <si>
    <t>Avon-Heathcote Estuary associated circular virus 19</t>
  </si>
  <si>
    <t>PRJNA277501</t>
  </si>
  <si>
    <t>Unknown:NC_026646.1/KM874347.1</t>
  </si>
  <si>
    <t>Avon-Heathcote Estuary associated circular virus 17</t>
  </si>
  <si>
    <t>PRJNA277506</t>
  </si>
  <si>
    <t>Unknown:NC_026645.1/KM874345.1</t>
  </si>
  <si>
    <t>Avon-Heathcote Estuary associated circular virus 16</t>
  </si>
  <si>
    <t>PRJNA277507</t>
  </si>
  <si>
    <t>methanogenic archaeon mixed culture ISO4-G1</t>
  </si>
  <si>
    <t>Unknown:NC_026643.1/KM874342.1</t>
  </si>
  <si>
    <t>Avon-Heathcote Estuary associated circular virus 15</t>
  </si>
  <si>
    <t>PRJNA277508</t>
  </si>
  <si>
    <t>Unknown:NC_026642.1/KM874338.1</t>
  </si>
  <si>
    <t>Avon-Heathcote Estuary associated circular virus 14</t>
  </si>
  <si>
    <t>PRJNA277509</t>
  </si>
  <si>
    <t>Unknown:NC_026641.1/KM874335.1</t>
  </si>
  <si>
    <t>Avon-Heathcote Estuary associated circular virus 13</t>
  </si>
  <si>
    <t>PRJNA277510</t>
  </si>
  <si>
    <t>Unknown:NC_026639.1/KM874330.1</t>
  </si>
  <si>
    <t>Avon-Heathcote Estuary associated circular virus 12</t>
  </si>
  <si>
    <t>PRJNA277511</t>
  </si>
  <si>
    <t>Unknown:NC_026638.1/KM874328.1</t>
  </si>
  <si>
    <t>Methanohalobium evestigatum Z-7303</t>
  </si>
  <si>
    <t>Avon-Heathcote Estuary associated circular virus 11</t>
  </si>
  <si>
    <t>PRJNA277512</t>
  </si>
  <si>
    <t>Unknown:NC_026637.1/KM874327.1</t>
  </si>
  <si>
    <t>Avon-Heathcote Estuary associated circular virus 10</t>
  </si>
  <si>
    <t>PRJNA277513</t>
  </si>
  <si>
    <t>Unknown:NC_026636.1/KM874322.1</t>
  </si>
  <si>
    <t>Avon-Heathcote Estuary associated circular virus 1</t>
  </si>
  <si>
    <t>PRJNA277514</t>
  </si>
  <si>
    <t>Unknown:NC_026650.1/KM874290.1</t>
  </si>
  <si>
    <t>Fusarium coeruleum mitovirus 1</t>
  </si>
  <si>
    <t>PRJNA277515</t>
  </si>
  <si>
    <t>Methanohalophilus mahii DSM 5219</t>
  </si>
  <si>
    <t>Unknown:NC_026622.1/LC006129.1</t>
  </si>
  <si>
    <t>Sokoluk virus</t>
  </si>
  <si>
    <t>PRJNA277516</t>
  </si>
  <si>
    <t>Unknown:NC_026624.1/KF917541.1</t>
  </si>
  <si>
    <t>Cacipacore virus</t>
  </si>
  <si>
    <t>PRJNA277517</t>
  </si>
  <si>
    <t>Unknown:NC_026623.1/KF917536.1</t>
  </si>
  <si>
    <t>Canine papillomavirus 16</t>
  </si>
  <si>
    <t>Methanolobus psychrophilus R15</t>
  </si>
  <si>
    <t>PRJNA277518</t>
  </si>
  <si>
    <t>Unknown:NC_026640.1/KP099966.1</t>
  </si>
  <si>
    <t>Avon-Heathcote Estuary associated circular virus 9</t>
  </si>
  <si>
    <t>PRJNA277519</t>
  </si>
  <si>
    <t>Unknown:NC_026635.1/KM874318.1</t>
  </si>
  <si>
    <t>Avon-Heathcote Estuary associated circular virus 8</t>
  </si>
  <si>
    <t>PRJNA277520</t>
  </si>
  <si>
    <t>Unknown:NC_026634.1/KM874312.1</t>
  </si>
  <si>
    <t>Methanomethylovorans hollandica DSM 15978</t>
  </si>
  <si>
    <t>Avon-Heathcote Estuary associated circular virus 7</t>
  </si>
  <si>
    <t>PRJNA277521</t>
  </si>
  <si>
    <t>Unknown:NC_026633.1/KM874309.1</t>
  </si>
  <si>
    <t>Avon-Heathcote Estuary associated circular virus 6</t>
  </si>
  <si>
    <t>PRJNA277522</t>
  </si>
  <si>
    <t>Unknown:NC_026632.1/KM874307.1</t>
  </si>
  <si>
    <t>Avon-Heathcote Estuary associated circular virus 5</t>
  </si>
  <si>
    <t>PRJNA277523</t>
  </si>
  <si>
    <t>Unknown:NC_026629.1/KM874301.1</t>
  </si>
  <si>
    <t>Avon-Heathcote Estuary associated circular virus 4</t>
  </si>
  <si>
    <t>PRJNA277524</t>
  </si>
  <si>
    <t>Methanoplanus limicola DSM 2279</t>
  </si>
  <si>
    <t>Unknown:NC_026628.1/KM874298.1</t>
  </si>
  <si>
    <t>Avon-Heathcote Estuary associated circular virus 3</t>
  </si>
  <si>
    <t>PRJNA277525</t>
  </si>
  <si>
    <t>Unknown:NC_026625.1/KM874295.1</t>
  </si>
  <si>
    <t>Staphylococcus virus 47</t>
  </si>
  <si>
    <t>PRJNA15270</t>
  </si>
  <si>
    <t>Unknown:NC_007054.1/AY954957.1</t>
  </si>
  <si>
    <t>Enterobacteria phage G4</t>
  </si>
  <si>
    <t>PRJNA14318</t>
  </si>
  <si>
    <t>Unknown:NC_001420.2/V00657.1</t>
  </si>
  <si>
    <t>Methanoplanus petrolearius DSM 11571</t>
  </si>
  <si>
    <t>Ageratum yellow vein alphasatellite</t>
  </si>
  <si>
    <t>PRJNA14232</t>
  </si>
  <si>
    <t>Unknown:NC_003414.1/AJ416153.1</t>
  </si>
  <si>
    <t>Staphylococcus virus 85</t>
  </si>
  <si>
    <t>PRJNA15260</t>
  </si>
  <si>
    <t>Unknown:NC_007050.1/AY954953.1</t>
  </si>
  <si>
    <t>Staphylococcus virus 92</t>
  </si>
  <si>
    <t>PRJNA15280</t>
  </si>
  <si>
    <t>Methanopyrus kandleri AV19</t>
  </si>
  <si>
    <t>Unknown:NC_007064.1/AY954967.1</t>
  </si>
  <si>
    <t>Staphylococcus virus 69</t>
  </si>
  <si>
    <t>PRJNA15265</t>
  </si>
  <si>
    <t>Unknown:NC_007048.1/AY954951.1</t>
  </si>
  <si>
    <t>Staphylococcus virus 96</t>
  </si>
  <si>
    <t>PRJNA15273</t>
  </si>
  <si>
    <t>Unknown:NC_007057.1/AY954960.1</t>
  </si>
  <si>
    <t>Methanoregula boonei 6A8</t>
  </si>
  <si>
    <t>Staphylococcus virus 29</t>
  </si>
  <si>
    <t>PRJNA15277</t>
  </si>
  <si>
    <t>Unknown:NC_007061.1/AY954964.1</t>
  </si>
  <si>
    <t>Staphylococcus virus 53</t>
  </si>
  <si>
    <t>PRJNA15266</t>
  </si>
  <si>
    <t>Unknown:NC_007049.1/AY954952.1</t>
  </si>
  <si>
    <t>Methanoregula formicica SMSP</t>
  </si>
  <si>
    <t>Staphylococcus virus 52a</t>
  </si>
  <si>
    <t>PRJNA15278</t>
  </si>
  <si>
    <t>Unknown:NC_007062.1/AY954965.1</t>
  </si>
  <si>
    <t>Staphylococcus virus 71</t>
  </si>
  <si>
    <t>PRJNA15275</t>
  </si>
  <si>
    <t>Unknown:NC_007059.1/AY954962.1</t>
  </si>
  <si>
    <t>Staphylococcus virus 88</t>
  </si>
  <si>
    <t>PRJNA15279</t>
  </si>
  <si>
    <t>Methanosaeta concilii GP6</t>
  </si>
  <si>
    <t>Unknown:NC_007063.1/AY954966.1</t>
  </si>
  <si>
    <t>Simian torque teno virus 31</t>
  </si>
  <si>
    <t>PRJNA278056</t>
  </si>
  <si>
    <t>Unknown:NC_026662.1/KP296853.1</t>
  </si>
  <si>
    <t>Lactococcus virus bIL170</t>
  </si>
  <si>
    <t>PRJNA14087</t>
  </si>
  <si>
    <t>Unknown:NC_001909.1/AF009630.1</t>
  </si>
  <si>
    <t>Methanosaeta harundinacea 6Ac</t>
  </si>
  <si>
    <t>Staphylococcus virus X2</t>
  </si>
  <si>
    <t>PRJNA15281</t>
  </si>
  <si>
    <t>Unknown:NC_007065.1/AY954968.1</t>
  </si>
  <si>
    <t>Lactococcus virus P008</t>
  </si>
  <si>
    <t>PRJNA17737</t>
  </si>
  <si>
    <t>Unknown:NC_008363.1/DQ054536.1</t>
  </si>
  <si>
    <t>Methanosaeta thermophila PT</t>
  </si>
  <si>
    <t>Lactococcus virus 712</t>
  </si>
  <si>
    <t>PRJNA17757</t>
  </si>
  <si>
    <t>Unknown:NC_008370.1/DQ227763.1</t>
  </si>
  <si>
    <t>Lactococcus virus jj50</t>
  </si>
  <si>
    <t>PRJNA17759</t>
  </si>
  <si>
    <t>Methanosalsum zhilinae DSM 4017</t>
  </si>
  <si>
    <t>Unknown:NC_008371.1/DQ227764.1</t>
  </si>
  <si>
    <t>Staphylococcus virus phiNM1</t>
  </si>
  <si>
    <t>PRJNA18293</t>
  </si>
  <si>
    <t>Unknown:NC_008583.1/DQ530359.1</t>
  </si>
  <si>
    <t>Lactococcus virus Bibb29</t>
  </si>
  <si>
    <t>PRJNA30597</t>
  </si>
  <si>
    <t>Methanosarcina acetivorans C2A</t>
  </si>
  <si>
    <t>Unknown:NC_011046.1/EU221285.1</t>
  </si>
  <si>
    <t>Simian torque teno virus 32</t>
  </si>
  <si>
    <t>PRJNA278303</t>
  </si>
  <si>
    <t>Unknown:NC_026664.1/KP296854.1</t>
  </si>
  <si>
    <t>Simian torque teno virus 30</t>
  </si>
  <si>
    <t>PRJNA278640</t>
  </si>
  <si>
    <t>Methanosarcina barkeri 227</t>
  </si>
  <si>
    <t>Unknown:NC_026663.1/KP296857.1</t>
  </si>
  <si>
    <t>Eel River basin pequenovirus</t>
  </si>
  <si>
    <t>PRJNA278641</t>
  </si>
  <si>
    <t>Unknown:NC_026665.1/KP087957.1</t>
  </si>
  <si>
    <t>Lactococcus virus sk1</t>
  </si>
  <si>
    <t>PRJNA14096</t>
  </si>
  <si>
    <t>Unknown:NC_001835.1/AF011378.1</t>
  </si>
  <si>
    <t>Graminella nigrifrons virus 1</t>
  </si>
  <si>
    <t>PRJNA279079</t>
  </si>
  <si>
    <t>Unknown:NC_026733.1/KP866792.1</t>
  </si>
  <si>
    <t>Sclerotinia sclerotiorum negative-stranded RNA virus 3</t>
  </si>
  <si>
    <t>PRJNA279033</t>
  </si>
  <si>
    <t>Methanosarcina barkeri 3</t>
  </si>
  <si>
    <t>Unknown:NC_026732.1/KC601997.2</t>
  </si>
  <si>
    <t>Mulberry mosaic dwarf associated virus</t>
  </si>
  <si>
    <t>PRJNA280301</t>
  </si>
  <si>
    <t>Unknown:NC_026771.1/KP303687.1</t>
  </si>
  <si>
    <t>Bat polyomavirus 6c</t>
  </si>
  <si>
    <t>PRJNA280305</t>
  </si>
  <si>
    <t>Unknown:NC_026769.1/AB972946.1</t>
  </si>
  <si>
    <t>Methanosarcina barkeri CM1</t>
  </si>
  <si>
    <t>Apple geminivirus PL-2015</t>
  </si>
  <si>
    <t>PRJNA280298</t>
  </si>
  <si>
    <t>Unknown:NC_026760.1/KM386645.1</t>
  </si>
  <si>
    <t>Simian torque teno virus 34</t>
  </si>
  <si>
    <t>PRJNA280302</t>
  </si>
  <si>
    <t>Unknown:NC_026765.1/KP296856.1</t>
  </si>
  <si>
    <t>Bat polyomavirus 5a</t>
  </si>
  <si>
    <t>PRJNA280306</t>
  </si>
  <si>
    <t>Unknown:NC_026768.1/AB972945.1</t>
  </si>
  <si>
    <t>Malvastrum yellow vein Cambodia virus</t>
  </si>
  <si>
    <t>PRJNA280299</t>
  </si>
  <si>
    <t>Methanosarcina barkeri MS</t>
  </si>
  <si>
    <t>DNA-A:NC_026763.1/KP188831.1</t>
  </si>
  <si>
    <t>Simian torque teno virus 33</t>
  </si>
  <si>
    <t>PRJNA280303</t>
  </si>
  <si>
    <t>Unknown:NC_026764.1/KP296855.1</t>
  </si>
  <si>
    <t>Bat polyomavirus 6d</t>
  </si>
  <si>
    <t>PRJNA280307</t>
  </si>
  <si>
    <t>Unknown:NC_026766.1/AB972943.1</t>
  </si>
  <si>
    <t>Methanosarcina barkeri str. Fusaro</t>
  </si>
  <si>
    <t>Artichoke latent virus</t>
  </si>
  <si>
    <t>PRJNA280116</t>
  </si>
  <si>
    <t>Unknown:NC_026759.1/KP405232.1</t>
  </si>
  <si>
    <t>Tomato enation leaf curl virus</t>
  </si>
  <si>
    <t>PRJNA280300</t>
  </si>
  <si>
    <t>DNA-A:NC_026761.1/KP195260.1</t>
  </si>
  <si>
    <t>Methanosarcina barkeri str. Wiesmoor</t>
  </si>
  <si>
    <t>Bat polyomavirus 6b</t>
  </si>
  <si>
    <t>PRJNA280304</t>
  </si>
  <si>
    <t>Unknown:NC_026770.1/AB972947.1</t>
  </si>
  <si>
    <t>Black grass varicosavirus-like virus</t>
  </si>
  <si>
    <t>PRJNA280459</t>
  </si>
  <si>
    <t>43.2074</t>
  </si>
  <si>
    <t>1:NC_026801.1/LN713933.1;  2:NC_026798.1/LN713934.1</t>
  </si>
  <si>
    <t>Black grass cryptic virus 2</t>
  </si>
  <si>
    <t>Methanosarcina horonobensis HB-1 = JCM 15518</t>
  </si>
  <si>
    <t>PRJNA280458</t>
  </si>
  <si>
    <t>48.0861</t>
  </si>
  <si>
    <t>1:NC_026799.1/LN713936.1;  2:NC_026800.1/LN713937.1</t>
  </si>
  <si>
    <t>Bat polyomavirus 6a</t>
  </si>
  <si>
    <t>PRJNA279594</t>
  </si>
  <si>
    <t>Unknown:NC_026762.1/AB972941.1</t>
  </si>
  <si>
    <t>Bovine hepacivirus</t>
  </si>
  <si>
    <t>PRJNA280337</t>
  </si>
  <si>
    <t>Unknown:NC_026797.1/KP265943.1</t>
  </si>
  <si>
    <t>Gemycircularvirus SL1</t>
  </si>
  <si>
    <t>PRJNA281396</t>
  </si>
  <si>
    <t>Methanosarcina lacustris Z-7289</t>
  </si>
  <si>
    <t>Unknown:NC_026818.1/KP133075.1</t>
  </si>
  <si>
    <t>Canine astrovirus</t>
  </si>
  <si>
    <t>PRJNA281400</t>
  </si>
  <si>
    <t>Unknown:NC_026814.1/KP404149.1</t>
  </si>
  <si>
    <t>Mongoose feces-associated gemycircularvirus c</t>
  </si>
  <si>
    <t>PRJNA281404</t>
  </si>
  <si>
    <t>Methanosarcina mazei C16</t>
  </si>
  <si>
    <t>Unknown:NC_026809.1/KP263546.1</t>
  </si>
  <si>
    <t>Chinook salmon bafinivirus</t>
  </si>
  <si>
    <t>PRJNA281408</t>
  </si>
  <si>
    <t>Unknown:NC_026812.1/KJ681496.1</t>
  </si>
  <si>
    <t>Wobbly possum disease virus</t>
  </si>
  <si>
    <t>PRJNA281395</t>
  </si>
  <si>
    <t>Methanosarcina mazei Go1</t>
  </si>
  <si>
    <t>Unknown:NC_026811.1/JN116253.2</t>
  </si>
  <si>
    <t>Human genital-associated circular DNA virus-1</t>
  </si>
  <si>
    <t>PRJNA281399</t>
  </si>
  <si>
    <t>Unknown:NC_026817.1/KJ413144.1</t>
  </si>
  <si>
    <t>Taro bacilliform CH virus</t>
  </si>
  <si>
    <t>PRJNA281403</t>
  </si>
  <si>
    <t>Unknown:NC_026819.1/KP710178.1</t>
  </si>
  <si>
    <t>Methanosarcina mazei LYC</t>
  </si>
  <si>
    <t>Mongoose feces-associated gemycircularvirus a</t>
  </si>
  <si>
    <t>PRJNA281407</t>
  </si>
  <si>
    <t>Unknown:NC_026807.1/KP263544.1</t>
  </si>
  <si>
    <t>Badger associated gemykibivirus 1</t>
  </si>
  <si>
    <t>PRJNA281125</t>
  </si>
  <si>
    <t>Unknown:NC_026806.1/KP263543.1</t>
  </si>
  <si>
    <t>Methanosarcina mazei S-6</t>
  </si>
  <si>
    <t>Plumeria mosaic virus</t>
  </si>
  <si>
    <t>PRJNA281398</t>
  </si>
  <si>
    <t>Unknown:NC_026816.1/KJ395757.1</t>
  </si>
  <si>
    <t>Rotavirus I</t>
  </si>
  <si>
    <t>PRJNA281402</t>
  </si>
  <si>
    <t>35.3453</t>
  </si>
  <si>
    <t>1:NC_026825.2/KM369892.2;  2:NC_026826.2/KM369893.2;  3:NC_026827.2/KM369894.2;  4:NC_026828.2/KM369895.2;  5:NC_026820.2/KM369887.2;  6:NC_026829.2/KM369896.2;  7:NC_026822.2/KM369889.2;  8:NC_026821.2/KM369888.2;  9:NC_026830.2/KM369897.2;  10:NC_026823.2/KM369890.2;  11:NC_026824.2/KM369891.2</t>
  </si>
  <si>
    <t>Methanosarcina mazei SarPi</t>
  </si>
  <si>
    <t>Mongoose feces-associated gemycircularvirus b</t>
  </si>
  <si>
    <t>PRJNA281406</t>
  </si>
  <si>
    <t>Unknown:NC_026808.1/KP263545.1</t>
  </si>
  <si>
    <t>Mpulungu bufavirus</t>
  </si>
  <si>
    <t>PRJNA281397</t>
  </si>
  <si>
    <t>Unknown:NC_026815.1/AB937988.1</t>
  </si>
  <si>
    <t>Fusarium graminearum hypovirus 2</t>
  </si>
  <si>
    <t>PRJNA281401</t>
  </si>
  <si>
    <t>Methanosarcina mazei Tuc01</t>
  </si>
  <si>
    <t>Unknown:NC_026813.1/KP208178.1</t>
  </si>
  <si>
    <t>Mongoose feces-associated gemycircularvirus d</t>
  </si>
  <si>
    <t>PRJNA281405</t>
  </si>
  <si>
    <t>Unknown:NC_026810.1/KP263547.1</t>
  </si>
  <si>
    <t>Falcovirus A1</t>
  </si>
  <si>
    <t>PRJNA282169</t>
  </si>
  <si>
    <t>Unknown:NC_026921.1/KP230449.1</t>
  </si>
  <si>
    <t>Methanosarcina mazei WWM610</t>
  </si>
  <si>
    <t>Lambdina fiscellaria nucleopolyhedrovirus</t>
  </si>
  <si>
    <t>PRJNA282403</t>
  </si>
  <si>
    <t>Unknown:NC_026922.1/KP752043.1</t>
  </si>
  <si>
    <t>Synechococcus phage ACG-2014e</t>
  </si>
  <si>
    <t>PRJNA282474</t>
  </si>
  <si>
    <t>Unknown:NC_026928.1/KJ019156.1</t>
  </si>
  <si>
    <t>Synechococcus phage ACG-2014d</t>
  </si>
  <si>
    <t>Methanosarcina siciliae C2J</t>
  </si>
  <si>
    <t>PRJNA282475</t>
  </si>
  <si>
    <t>Unknown:NC_026923.1/KJ019136.1</t>
  </si>
  <si>
    <t>Synechococcus phage ACG-2014a</t>
  </si>
  <si>
    <t>KJ019026.1</t>
  </si>
  <si>
    <t>Synechococcus phage ACG-2014g</t>
  </si>
  <si>
    <t>PRJNA282478</t>
  </si>
  <si>
    <t>Methanosarcina siciliae HI350</t>
  </si>
  <si>
    <t>Unknown:NC_026924.1/KJ019071.1</t>
  </si>
  <si>
    <t>Synechococcus phage ACG-2014f</t>
  </si>
  <si>
    <t>PRJNA282479</t>
  </si>
  <si>
    <t>Unknown:NC_026927.1/KJ019059.1</t>
  </si>
  <si>
    <t>Synechococcus phage ACG-2014j</t>
  </si>
  <si>
    <t>PRJNA282477</t>
  </si>
  <si>
    <t>Unknown:NC_026926.1/KJ019069.1</t>
  </si>
  <si>
    <t>Citrobacter phage Miller</t>
  </si>
  <si>
    <t>Unknown:NC_025414.1/KM236237.1</t>
  </si>
  <si>
    <t>Methanosarcina siciliae T4/M</t>
  </si>
  <si>
    <t>Yam latent virus</t>
  </si>
  <si>
    <t>PRJNA273489</t>
  </si>
  <si>
    <t>Unknown:NC_026248.1/KJ789130.1</t>
  </si>
  <si>
    <t>Sheep polyomavirus 1</t>
  </si>
  <si>
    <t>PRJNA282770</t>
  </si>
  <si>
    <t>Unknown:NC_026942.1/KP890267.1</t>
  </si>
  <si>
    <t>Zebra finch circovirus</t>
  </si>
  <si>
    <t>PRJNA283066</t>
  </si>
  <si>
    <t>Unknown:NC_026945.1/KP793918.1</t>
  </si>
  <si>
    <t>Bhendi yellow vein mosaic alphasatellite</t>
  </si>
  <si>
    <t>PRJNA283064</t>
  </si>
  <si>
    <t>Unknown:NC_026947.1/KR068484.1</t>
  </si>
  <si>
    <t>Rhizoctonia fumigata mycovirus</t>
  </si>
  <si>
    <t>PRJNA283068</t>
  </si>
  <si>
    <t>57.9094</t>
  </si>
  <si>
    <t>1:NC_026954.1/KP209316.1;  2:NC_026955.1/KP209317.1</t>
  </si>
  <si>
    <t>Trematomus polyomavirus 1</t>
  </si>
  <si>
    <t>Methanosarcina sp. 795</t>
  </si>
  <si>
    <t>PRJNA282773</t>
  </si>
  <si>
    <t>Unknown:NC_026944.1/KP768176.1</t>
  </si>
  <si>
    <t>Cherax quadricarinatus densovirus</t>
  </si>
  <si>
    <t>PRJNA283067</t>
  </si>
  <si>
    <t>Unknown:NC_026943.1/KP410261.1</t>
  </si>
  <si>
    <t>Influenza D virus (D/bovine/France/2986/2012)</t>
  </si>
  <si>
    <t>PRJNA282494</t>
  </si>
  <si>
    <t>41.4495</t>
  </si>
  <si>
    <t>Methanosarcina sp. Kolksee</t>
  </si>
  <si>
    <t>HEF:NC_026952.1/LN559126.1;  M1:NC_026950.1/LN559124.1;  NP:NC_026949.1/LN559123.1;  NS1:NC_026951.1/LN559125.1;  P3:NC_026948.1/LN559122.1;  PB1:NC_026956.1/LN559121.1;  PB2:NC_026953.1/LN559120.1</t>
  </si>
  <si>
    <t>Human papillomavirus KC5</t>
  </si>
  <si>
    <t>PRJNA283065</t>
  </si>
  <si>
    <t>Unknown:NC_026946.1/JX444073.1</t>
  </si>
  <si>
    <t>Desmodus rotundus endogenous retrovirus</t>
  </si>
  <si>
    <t>PRJNA284421</t>
  </si>
  <si>
    <t>Unknown:NC_027117.1/KP175580.1</t>
  </si>
  <si>
    <t>Methanosarcina sp. MTP4</t>
  </si>
  <si>
    <t>Vibrio phage phiVC8</t>
  </si>
  <si>
    <t>PRJNA284783</t>
  </si>
  <si>
    <t>Unknown:NC_027118.1/JF712866.1</t>
  </si>
  <si>
    <t>Salmonella phage Det7</t>
  </si>
  <si>
    <t>PRJNA285253</t>
  </si>
  <si>
    <t>Unknown:NC_027119.1/KP797973.1</t>
  </si>
  <si>
    <t>Lactococcus phage 1358</t>
  </si>
  <si>
    <t>Methanosarcina sp. WH1</t>
  </si>
  <si>
    <t>PRJNA284805</t>
  </si>
  <si>
    <t>Unknown:NC_027120.1/GQ403788.1</t>
  </si>
  <si>
    <t>Enterobacteria phage phi80</t>
  </si>
  <si>
    <t>PRJNA284780</t>
  </si>
  <si>
    <t>Unknown:NC_021190.1/JX871397.1</t>
  </si>
  <si>
    <t>Grapevine roditis leaf discoloration-associated virus</t>
  </si>
  <si>
    <t>PRJNA285589</t>
  </si>
  <si>
    <t>Methanosarcina sp. WWM596</t>
  </si>
  <si>
    <t>Unknown:NC_027131.1/HG940503.2</t>
  </si>
  <si>
    <t>La Jolla virus</t>
  </si>
  <si>
    <t>PRJNA285595</t>
  </si>
  <si>
    <t>Unknown:NC_027128.1/KP714074.1</t>
  </si>
  <si>
    <t>Okahandja mammarenavirus</t>
  </si>
  <si>
    <t>PRJNA285599</t>
  </si>
  <si>
    <t>39.1016</t>
  </si>
  <si>
    <t>Methanosarcina thermophila CHTI-55</t>
  </si>
  <si>
    <t>L:NC_027137.1/KP867642.1;  S:NC_027135.1/KM272988.1</t>
  </si>
  <si>
    <t>Flavobacterium phage FCL-2</t>
  </si>
  <si>
    <t>PRJNA284804</t>
  </si>
  <si>
    <t>Unknown:NC_027125.1/KM873719.2</t>
  </si>
  <si>
    <t>Areca palm velarivirus 1</t>
  </si>
  <si>
    <t>PRJNA285357</t>
  </si>
  <si>
    <t>Unknown:NC_027121.1/KR349464.1</t>
  </si>
  <si>
    <t>Bhanja virus</t>
  </si>
  <si>
    <t>Methanosarcina thermophila TM-1</t>
  </si>
  <si>
    <t>PRJNA285593</t>
  </si>
  <si>
    <t>45.3022</t>
  </si>
  <si>
    <t>L:NC_027140.1/JX961616.1;  M:NC_027141.1/JX961617.1;  S:NC_027142.1/JX961618.1</t>
  </si>
  <si>
    <t>Kilifi Virus</t>
  </si>
  <si>
    <t>PRJNA285597</t>
  </si>
  <si>
    <t>Unknown:NC_027126.1/KP714071.1</t>
  </si>
  <si>
    <t>Hollyhock yellow vein mosaic Islamabad virus</t>
  </si>
  <si>
    <t>PRJNA285601</t>
  </si>
  <si>
    <t>Methanosarcina vacuolata Z-761</t>
  </si>
  <si>
    <t>Unknown:NC_027129.1/LK028571.1</t>
  </si>
  <si>
    <t>Synechococcus phage ACG-2014b</t>
  </si>
  <si>
    <t>PRJNA284772</t>
  </si>
  <si>
    <t>Unknown:NC_027130.1/KJ019134.1</t>
  </si>
  <si>
    <t>Vesivirus ferret badger/JX12/China/2012</t>
  </si>
  <si>
    <t>PRJNA285496</t>
  </si>
  <si>
    <t>Unknown:NC_027122.1/KJ701554.1</t>
  </si>
  <si>
    <t>Methanosphaera stadtmanae DSM 3091</t>
  </si>
  <si>
    <t>Pebjah virus</t>
  </si>
  <si>
    <t>PRJNA285594</t>
  </si>
  <si>
    <t>Unknown:NC_027124.1/KR139839.1</t>
  </si>
  <si>
    <t>Sclerotinia sclerotiorum botybirnavirus 1</t>
  </si>
  <si>
    <t>PRJNA285598</t>
  </si>
  <si>
    <t>49.4401</t>
  </si>
  <si>
    <t>1:NC_027138.1/KP774592.1;  2:NC_027139.1/KP774593.1</t>
  </si>
  <si>
    <t>Synechococcus phage ACG-2014i</t>
  </si>
  <si>
    <t>PRJNA285603</t>
  </si>
  <si>
    <t>Methanosphaerula palustris E1-9c</t>
  </si>
  <si>
    <t>Unknown:NC_027132.1/KJ019082.1</t>
  </si>
  <si>
    <t>Cymbidium chlorotic mosaic virus</t>
  </si>
  <si>
    <t>PRJNA285266</t>
  </si>
  <si>
    <t>Unknown:NC_027123.1/LC019764.1</t>
  </si>
  <si>
    <t>Kenaf leaf curl betasatellite</t>
  </si>
  <si>
    <t>PRJNA285590</t>
  </si>
  <si>
    <t>Unknown:NC_027133.1/FR772083.1</t>
  </si>
  <si>
    <t>Methanospirillum hungatei JF-1</t>
  </si>
  <si>
    <t>Thika virus</t>
  </si>
  <si>
    <t>PRJNA285596</t>
  </si>
  <si>
    <t>Unknown:NC_027127.1/KP714072.1</t>
  </si>
  <si>
    <t>Mariental mammarenavirus</t>
  </si>
  <si>
    <t>PRJNA285600</t>
  </si>
  <si>
    <t>41.2188</t>
  </si>
  <si>
    <t>L:NC_027136.1/KP867641.1;  S:NC_027134.1/KM272987.1</t>
  </si>
  <si>
    <t>Bovine nidovirus TCH5</t>
  </si>
  <si>
    <t>Methanothermobacter marburgensis str. Marburg</t>
  </si>
  <si>
    <t>PRJNA286008</t>
  </si>
  <si>
    <t>Unknown:NC_027199.1/KM589359.1</t>
  </si>
  <si>
    <t>Rottboellia yellow mottle virus</t>
  </si>
  <si>
    <t>PRJNA286012</t>
  </si>
  <si>
    <t>Unknown:NC_027198.1/KC577469.1</t>
  </si>
  <si>
    <t>Phytophthora parasitica virus</t>
  </si>
  <si>
    <t>PRJNA286009</t>
  </si>
  <si>
    <t>Unknown:NC_027197.1/KM105953.1</t>
  </si>
  <si>
    <t>Methanothermobacter thermautotrophicus str. Delta H</t>
  </si>
  <si>
    <t>Punta Toro virus</t>
  </si>
  <si>
    <t>PRJNA286006</t>
  </si>
  <si>
    <t>39.5204</t>
  </si>
  <si>
    <t>L:NC_027203.1/KP272025.1;  M:NC_027201.1/KP272026.1;  S:NC_027202.1/KP272027.1</t>
  </si>
  <si>
    <t>CHIV14</t>
  </si>
  <si>
    <t>PRJNA286010</t>
  </si>
  <si>
    <t>Unknown:NC_027196.1/KM105952.1</t>
  </si>
  <si>
    <t>Sinorhizobium phage phiM19</t>
  </si>
  <si>
    <t>KR052481.1</t>
  </si>
  <si>
    <t>Methanothermococcus okinawensis IH1</t>
  </si>
  <si>
    <t>Sclerotinia sclerotiorum fusarivirus 1</t>
  </si>
  <si>
    <t>PRJNA286247</t>
  </si>
  <si>
    <t>Unknown:NC_027208.1/KP842791.1</t>
  </si>
  <si>
    <t>Nectarine stem pitting-associated virus</t>
  </si>
  <si>
    <t>PRJNA286706</t>
  </si>
  <si>
    <t>Unknown:NC_027211.1/KP638562.1</t>
  </si>
  <si>
    <t>Tomato yellow leaf curl Mali virus</t>
  </si>
  <si>
    <t>PRJNA286971</t>
  </si>
  <si>
    <t>Methanothermus fervidus DSM 2088</t>
  </si>
  <si>
    <t>Unknown:NC_027215.1/LM651400.1</t>
  </si>
  <si>
    <t>Magnaporthe oryzae virus 3</t>
  </si>
  <si>
    <t>PRJNA286258</t>
  </si>
  <si>
    <t>Unknown:NC_027209.1/KP893140.1</t>
  </si>
  <si>
    <t>Camponotus yamaokai virus</t>
  </si>
  <si>
    <t>PRJNA286937</t>
  </si>
  <si>
    <t>Unknown:NC_027212.1/LC026053.1</t>
  </si>
  <si>
    <t>Ampivirus A1</t>
  </si>
  <si>
    <t>Methanotorris igneus Kol 5</t>
  </si>
  <si>
    <t>PRJNA286936</t>
  </si>
  <si>
    <t>Unknown:NC_027214.1/KP770140.1</t>
  </si>
  <si>
    <t>Catharanthus mosaic virus</t>
  </si>
  <si>
    <t>PRJNA286899</t>
  </si>
  <si>
    <t>Unknown:NC_027210.1/KP343681.1</t>
  </si>
  <si>
    <t>Raccoonpox virus</t>
  </si>
  <si>
    <t>PRJNA287042</t>
  </si>
  <si>
    <t>32.3</t>
  </si>
  <si>
    <t>Unknown:NC_027213.1/KP143769.1</t>
  </si>
  <si>
    <t>Sclerotinia sclerotiorum megabirnavirus 1</t>
  </si>
  <si>
    <t>PRJNA286970</t>
  </si>
  <si>
    <t>50.042</t>
  </si>
  <si>
    <t>L1:NC_027221.1/KP686398.1;  L2:NC_027222.1/KP686399.1</t>
  </si>
  <si>
    <t>Methylacidiphilum fumariolicum SolV</t>
  </si>
  <si>
    <t>Pseudomonas phage Pf-10</t>
  </si>
  <si>
    <t>PRJNA263998</t>
  </si>
  <si>
    <t>Unknown:NC_027292.1/KP025626.1</t>
  </si>
  <si>
    <t>Propionibacterium phage PHL150M00</t>
  </si>
  <si>
    <t>PRJNA287578</t>
  </si>
  <si>
    <t>Unknown:NC_027294.1/KJ578782.1</t>
  </si>
  <si>
    <t>Pseudomonas virus LPB1</t>
  </si>
  <si>
    <t>PRJNA287866</t>
  </si>
  <si>
    <t>Methylacidiphilum infernorum V4</t>
  </si>
  <si>
    <t>Unknown:NC_027298.1/HE584812.1</t>
  </si>
  <si>
    <t>Sulfitobacter phage NYA-2014a</t>
  </si>
  <si>
    <t>PRJNA255785</t>
  </si>
  <si>
    <t>Unknown:NC_027299.1/KM233261.1</t>
  </si>
  <si>
    <t>Escherichia phage ECBP5</t>
  </si>
  <si>
    <t>PRJNA244962</t>
  </si>
  <si>
    <t>Unknown:NC_027330.1/KJ749827.1</t>
  </si>
  <si>
    <t>Methylibium petroleiphilum PM1</t>
  </si>
  <si>
    <t>Erwinia phage phiEa2809</t>
  </si>
  <si>
    <t>PRJNA264600</t>
  </si>
  <si>
    <t>Unknown:NC_027340.1/KP037007.1</t>
  </si>
  <si>
    <t>Salmonella phage vB_SPuM_SP116</t>
  </si>
  <si>
    <t>PRJNA287865</t>
  </si>
  <si>
    <t>Unknown:NC_027329.1/KP010413.1</t>
  </si>
  <si>
    <t>Salmonella phage SSE121</t>
  </si>
  <si>
    <t>PRJNA287955</t>
  </si>
  <si>
    <t>Methylobacillus flagellatus KT</t>
  </si>
  <si>
    <t>Unknown:NC_027351.1/JX181824.1</t>
  </si>
  <si>
    <t>Delftia phage RG-2014</t>
  </si>
  <si>
    <t>PRJNA287956</t>
  </si>
  <si>
    <t>59.9</t>
  </si>
  <si>
    <t>Unknown:NC_027348.2/KM879221.2</t>
  </si>
  <si>
    <t>Pseudomonas phage Pa2</t>
  </si>
  <si>
    <t>PRJNA287957</t>
  </si>
  <si>
    <t>Methylobacterium aquaticum strain MA-22A</t>
  </si>
  <si>
    <t>Unknown:NC_027345.1/KM411959.1</t>
  </si>
  <si>
    <t>Escherichia phage CICC 80001</t>
  </si>
  <si>
    <t>PRJNA287958</t>
  </si>
  <si>
    <t>Unknown:NC_027387.1/KM242061.1</t>
  </si>
  <si>
    <t>Aurantimonas phage AmM-1</t>
  </si>
  <si>
    <t>PRJNA287959</t>
  </si>
  <si>
    <t>Unknown:NC_027334.1/AB967974.1</t>
  </si>
  <si>
    <t>Methylobacterium extorquens AM1</t>
  </si>
  <si>
    <t>Propionibacterium phage Pacnes 2012-15</t>
  </si>
  <si>
    <t>PRJNA287960</t>
  </si>
  <si>
    <t>Unknown:NC_027371.1/KJ722067.1</t>
  </si>
  <si>
    <t>Enterococcus phage ECP3</t>
  </si>
  <si>
    <t>PRJNA287961</t>
  </si>
  <si>
    <t>Unknown:NC_027335.1/KJ801817.1</t>
  </si>
  <si>
    <t>Vibrio phage PV94</t>
  </si>
  <si>
    <t>PRJNA287962</t>
  </si>
  <si>
    <t>Unknown:NC_027368.1/HG803181.1</t>
  </si>
  <si>
    <t>Methylobacterium extorquens CM4</t>
  </si>
  <si>
    <t>Klebsiella phage K64-1</t>
  </si>
  <si>
    <t>PRJNA287963</t>
  </si>
  <si>
    <t>Unknown:NC_027399.1/AB897757.1</t>
  </si>
  <si>
    <t>Yersinia phage PST</t>
  </si>
  <si>
    <t>PRJNA287964</t>
  </si>
  <si>
    <t>Unknown:NC_027404.1/KF208315.1</t>
  </si>
  <si>
    <t>Methylobacterium extorquens DM4</t>
  </si>
  <si>
    <t>Escherichia phage PBECO 4</t>
  </si>
  <si>
    <t>PRJNA287965</t>
  </si>
  <si>
    <t>Methylobacterium extorquens PA1</t>
  </si>
  <si>
    <t>Unknown:NC_027364.1/KC295538.1</t>
  </si>
  <si>
    <t>Escherichia phage EC6</t>
  </si>
  <si>
    <t>PRJNA287966</t>
  </si>
  <si>
    <t>Unknown:NC_027369.1/JX560968.1</t>
  </si>
  <si>
    <t>Salmonella phage STML-198</t>
  </si>
  <si>
    <t>PRJNA287967</t>
  </si>
  <si>
    <t>Unknown:NC_027344.1/JX181825.1</t>
  </si>
  <si>
    <t>Methylobacterium nodulans ORS 2060</t>
  </si>
  <si>
    <t>Escherichia virus DT57C</t>
  </si>
  <si>
    <t>PRJNA287971</t>
  </si>
  <si>
    <t>Unknown:NC_027356.1/KM979354.1</t>
  </si>
  <si>
    <t>Escherichia phage YD-2008.s</t>
  </si>
  <si>
    <t>PRJNA287972</t>
  </si>
  <si>
    <t>Unknown:NC_027383.1/KM896878.1</t>
  </si>
  <si>
    <t>Pseudomonas phage YH6</t>
  </si>
  <si>
    <t>PRJNA287973</t>
  </si>
  <si>
    <t>Methylobacterium oryzae CBMB20</t>
  </si>
  <si>
    <t>Unknown:NC_027388.1/KM974184.1</t>
  </si>
  <si>
    <t>Streptococcus phage SpSL1</t>
  </si>
  <si>
    <t>PRJNA287975</t>
  </si>
  <si>
    <t>Unknown:NC_027396.1/KM882824.1</t>
  </si>
  <si>
    <t>Acinetobacter phage YMC13/03/R2096</t>
  </si>
  <si>
    <t>PRJNA287976</t>
  </si>
  <si>
    <t>Unknown:NC_027332.1/KM672662.1</t>
  </si>
  <si>
    <t>Methylobacterium populi BJ001</t>
  </si>
  <si>
    <t>Lactococcus phage WRP3</t>
  </si>
  <si>
    <t>PRJNA287977</t>
  </si>
  <si>
    <t>Unknown:NC_027341.1/KM677185.1</t>
  </si>
  <si>
    <t>Proteus phage PM 93</t>
  </si>
  <si>
    <t>PRJNA287978</t>
  </si>
  <si>
    <t>Unknown:NC_027390.1/KM819696.1</t>
  </si>
  <si>
    <t>Methylobacterium radiotolerans JCM 2831</t>
  </si>
  <si>
    <t>Proteus phage PM 85</t>
  </si>
  <si>
    <t>PRJNA287979</t>
  </si>
  <si>
    <t>Unknown:NC_027379.1/KM819695.1</t>
  </si>
  <si>
    <t>Proteus phage PM 75</t>
  </si>
  <si>
    <t>PRJNA287980</t>
  </si>
  <si>
    <t>Methylobacterium sp. 4-46</t>
  </si>
  <si>
    <t>Unknown:NC_027363.1/KM819694.1</t>
  </si>
  <si>
    <t>Vibrio phage QH</t>
  </si>
  <si>
    <t>PRJNA287981</t>
  </si>
  <si>
    <t>Unknown:NC_027397.1/KM612259.1</t>
  </si>
  <si>
    <t>Vibrio phage J2</t>
  </si>
  <si>
    <t>PRJNA287982</t>
  </si>
  <si>
    <t>Unknown:NC_027393.1/KM612264.1</t>
  </si>
  <si>
    <t>Escherichia phage vB_EcoM-VpaE1</t>
  </si>
  <si>
    <t>PRJNA287983</t>
  </si>
  <si>
    <t>Methylobacterium sp. AMS5</t>
  </si>
  <si>
    <t>Unknown:NC_027337.1/KM657822.1</t>
  </si>
  <si>
    <t>Escherichia phage Pollock</t>
  </si>
  <si>
    <t>PRJNA287984</t>
  </si>
  <si>
    <t>Unknown:NC_027381.1/KM236242.1</t>
  </si>
  <si>
    <t>Citrobacter virus Stevie</t>
  </si>
  <si>
    <t>PRJNA287985</t>
  </si>
  <si>
    <t>Unknown:NC_027350.1/KM236241.1</t>
  </si>
  <si>
    <t>Methyloceanibacter caenitepidi Gela4</t>
  </si>
  <si>
    <t>Citrobacter phage Moon</t>
  </si>
  <si>
    <t>PRJNA287986</t>
  </si>
  <si>
    <t>Unknown:NC_027331.1/KM236240.1</t>
  </si>
  <si>
    <t>Leuconostoc phage Ln-9</t>
  </si>
  <si>
    <t>PRJNA287987</t>
  </si>
  <si>
    <t>Unknown:NC_027358.1/KM262192.1</t>
  </si>
  <si>
    <t>Methylocella silvestris BL2</t>
  </si>
  <si>
    <t>Leuconostoc phage Ln-8</t>
  </si>
  <si>
    <t>PRJNA287988</t>
  </si>
  <si>
    <t>Unknown:NC_027377.1/KM262191.1</t>
  </si>
  <si>
    <t>Pseudomonas phage H70</t>
  </si>
  <si>
    <t>PRJNA287989</t>
  </si>
  <si>
    <t>Unknown:NC_027384.1/KM233689.1</t>
  </si>
  <si>
    <t>Pseudomonas phage vB_PaeP_PPA-ABTNL</t>
  </si>
  <si>
    <t>Methylococcus capsulatus str. Bath</t>
  </si>
  <si>
    <t>PRJNA287990</t>
  </si>
  <si>
    <t>Unknown:NC_027375.1/KM067278.1</t>
  </si>
  <si>
    <t>Enterobacteria phage Sf101</t>
  </si>
  <si>
    <t>PRJNA287991</t>
  </si>
  <si>
    <t>Unknown:NC_027398.1/KJ832078.1</t>
  </si>
  <si>
    <t>Escherichia phage vB_EcoP_SU10</t>
  </si>
  <si>
    <t>PRJNA287992</t>
  </si>
  <si>
    <t>Unknown:NC_027395.1/KM044272.1</t>
  </si>
  <si>
    <t>Methylocystis sp. SC2</t>
  </si>
  <si>
    <t>Bacillus phage JBP901</t>
  </si>
  <si>
    <t>PRJNA287993</t>
  </si>
  <si>
    <t>Unknown:NC_027352.1/KJ676859.1</t>
  </si>
  <si>
    <t>Escherichia phage HY01</t>
  </si>
  <si>
    <t>PRJNA287994</t>
  </si>
  <si>
    <t>Unknown:NC_027349.1/KF925357.1</t>
  </si>
  <si>
    <t>Methylomicrobium alcaliphilum strain 20Z</t>
  </si>
  <si>
    <t>Proteus phage PM16</t>
  </si>
  <si>
    <t>PRJNA287995</t>
  </si>
  <si>
    <t>Unknown:NC_027342.1/KF319020.1</t>
  </si>
  <si>
    <t>Enterobacteria phage SfI</t>
  </si>
  <si>
    <t>PRJNA287996</t>
  </si>
  <si>
    <t>Unknown:NC_027339.1/JX509734.1</t>
  </si>
  <si>
    <t>Enterobacteriaphage UAB_Phi87</t>
  </si>
  <si>
    <t>PRJNA287997</t>
  </si>
  <si>
    <t>Methylomonas methanica MC09</t>
  </si>
  <si>
    <t>Unknown:NC_027360.1/JN225449.1</t>
  </si>
  <si>
    <t>Bacillus phage BCP8-2</t>
  </si>
  <si>
    <t>PRJNA287998</t>
  </si>
  <si>
    <t>Unknown:NC_027355.1/KJ081346.1</t>
  </si>
  <si>
    <t>Mycobacterium virus Fionnbarth</t>
  </si>
  <si>
    <t>PRJNA287999</t>
  </si>
  <si>
    <t>Methylomonas sp. DH-1</t>
  </si>
  <si>
    <t>Unknown:NC_027365.1/JN831653.1</t>
  </si>
  <si>
    <t>Salmonella phage SPN3US</t>
  </si>
  <si>
    <t>PRJNA288000</t>
  </si>
  <si>
    <t>Unknown:NC_027402.1/JN641803.1</t>
  </si>
  <si>
    <t>Propionibacterium phage PHL116M10</t>
  </si>
  <si>
    <t>KJ578777.1</t>
  </si>
  <si>
    <t>Methylophaga sp. JAM1</t>
  </si>
  <si>
    <t>Propionibacterium phage PHL085N00</t>
  </si>
  <si>
    <t>PRJNA288016</t>
  </si>
  <si>
    <t>Unknown:NC_027361.1/KJ578772.1</t>
  </si>
  <si>
    <t>Rhizobium phage RHEph06</t>
  </si>
  <si>
    <t>PRJNA287857</t>
  </si>
  <si>
    <t>Unknown:NC_027296.1/JX483878.1</t>
  </si>
  <si>
    <t>Propionibacterium phage PHL082M00</t>
  </si>
  <si>
    <t>PRJNA288017</t>
  </si>
  <si>
    <t>Methylophaga sp. JAM7</t>
  </si>
  <si>
    <t>Unknown:NC_027359.1/KJ578768.1</t>
  </si>
  <si>
    <t>Propionibacterium phage PHL067M09</t>
  </si>
  <si>
    <t>KJ578766.1</t>
  </si>
  <si>
    <t>Propionibacterium phage PHL064M01</t>
  </si>
  <si>
    <t>KJ578763.1</t>
  </si>
  <si>
    <t>Methylophilales bacterium MBRSF5</t>
  </si>
  <si>
    <t>Propionibacterium phage PHL055N00</t>
  </si>
  <si>
    <t>PRJNA288021</t>
  </si>
  <si>
    <t>Unknown:NC_027400.1/KJ578762.1</t>
  </si>
  <si>
    <t>Propionibacterium phage PHL030N00</t>
  </si>
  <si>
    <t>PRJNA288023</t>
  </si>
  <si>
    <t>Unknown:NC_027373.1/KJ578760.1</t>
  </si>
  <si>
    <t>Shigella phage SfMu</t>
  </si>
  <si>
    <t>Methylophilales bacterium MBRSG12</t>
  </si>
  <si>
    <t>PRJNA288026</t>
  </si>
  <si>
    <t>Unknown:NC_027382.1/KP010268.1</t>
  </si>
  <si>
    <t>Astrovirus Er/SZAL6/HUN/2011</t>
  </si>
  <si>
    <t>PRJNA288349</t>
  </si>
  <si>
    <t>Unknown:NC_027426.1/KP663426.1</t>
  </si>
  <si>
    <t>Ustilaginoidea virens unassigned RNA virus HNND-1</t>
  </si>
  <si>
    <t>PRJNA288352</t>
  </si>
  <si>
    <t>Methylophilales bacterium MBRSH7</t>
  </si>
  <si>
    <t>Unknown:NC_027427.1/KR106133.1</t>
  </si>
  <si>
    <t>Portulaca latent viroid</t>
  </si>
  <si>
    <t>PRJNA288492</t>
  </si>
  <si>
    <t>Unknown:NC_027432.1/KR677387.1</t>
  </si>
  <si>
    <t>Chilli leaf curl India alphasatellite</t>
  </si>
  <si>
    <t>PRJNA288495</t>
  </si>
  <si>
    <t>Methylophilus sp. TWE2</t>
  </si>
  <si>
    <t>Unknown:NC_027431.1/KF471037.1</t>
  </si>
  <si>
    <t>Gyrovirus GyV8</t>
  </si>
  <si>
    <t>PRJNA288496</t>
  </si>
  <si>
    <t>Unknown:NC_027430.1/KR137527.1</t>
  </si>
  <si>
    <t>Bearded dragon parvovirus</t>
  </si>
  <si>
    <t>PRJNA288497</t>
  </si>
  <si>
    <t>Unknown:NC_027429.1/KP733794.1</t>
  </si>
  <si>
    <t>Methylotenera mobilis JLW8</t>
  </si>
  <si>
    <t>Rhizoctonia solani RNA virus HN008</t>
  </si>
  <si>
    <t>PRJNA290094</t>
  </si>
  <si>
    <t>Unknown:NC_027529.1/KP861921.1</t>
  </si>
  <si>
    <t>Fusarium oxysporum f. sp. dianthi mycovirus 1</t>
  </si>
  <si>
    <t>PRJNA290353</t>
  </si>
  <si>
    <t>49.4977</t>
  </si>
  <si>
    <t>1:NC_027563.1/KP876629.1;  2:NC_027564.1/KP876630.1;  3:NC_027565.1/KP876631.1;  4:NC_027566.1/KP876632.1</t>
  </si>
  <si>
    <t>Human papillomavirus type 201</t>
  </si>
  <si>
    <t>PRJNA289889</t>
  </si>
  <si>
    <t>Methylotenera versatilis 301</t>
  </si>
  <si>
    <t>Unknown:NC_027528.1/KP692115.1</t>
  </si>
  <si>
    <t>Rattus norvegicus polyomavirus 1</t>
  </si>
  <si>
    <t>PRJNA290310</t>
  </si>
  <si>
    <t>Unknown:NC_027531.1/KR075943.1</t>
  </si>
  <si>
    <t>Chobar Gorge virus</t>
  </si>
  <si>
    <t>PRJNA290354</t>
  </si>
  <si>
    <t>52.5646</t>
  </si>
  <si>
    <t>1:NC_027553.1/KP268784.1;  2:NC_027554.1/KP268785.1;  3:NC_027555.1/KP268786.1;  4:NC_027556.1/KP268787.1;  5:NC_027557.1/KP268788.1;  6:NC_027558.1/KP268789.1;  7:NC_027559.1/KP268790.1;  8:NC_027560.1/KP268791.1;  9:NC_027561.1/KP268792.1;  10:NC_027562.1/KP268793.1</t>
  </si>
  <si>
    <t>Methylovorus glucosetrophus SIP3-4</t>
  </si>
  <si>
    <t>Wad Medani virus</t>
  </si>
  <si>
    <t>PRJNA290067</t>
  </si>
  <si>
    <t>53.5698</t>
  </si>
  <si>
    <t>1:NC_027533.1/KP268804.1;  2:NC_027539.1/KP268805.1;  3:NC_027540.1/KP268806.1;  4:NC_027541.1/KP268807.1;  5:NC_027542.1/KP268808.1;  6:NC_027543.1/KP268809.1;  7:NC_027544.1/KP268810.1;  8:NC_027545.1/KP268811.1;  9:NC_027546.1/KP268812.1;  10:NC_027547.1/KP268813.1</t>
  </si>
  <si>
    <t>Chenuda virus</t>
  </si>
  <si>
    <t>PRJNA290352</t>
  </si>
  <si>
    <t>55.3583</t>
  </si>
  <si>
    <t>1:NC_027534.1/KP268794.1;  2:NC_027535.1/KP268795.1;  3:NC_027536.1/KP268796.1;  4:NC_027537.1/KP268797.1;  5:NC_027538.1/KP268798.1;  6:NC_027548.1/KP268799.1;  7:NC_027549.1/KP268800.1;  8:NC_027550.1/KP268801.1;  9:NC_027551.1/KP268802.1;  10:NC_027552.1/KP268803.1</t>
  </si>
  <si>
    <t>Pan troglodytes troglodytes polyomavirus 1</t>
  </si>
  <si>
    <t>Methylovorus sp. MP688</t>
  </si>
  <si>
    <t>PRJNA290360</t>
  </si>
  <si>
    <t>Unknown:NC_027532.1/KT184855.1</t>
  </si>
  <si>
    <t>Pea streak virus</t>
  </si>
  <si>
    <t>PRJNA289929</t>
  </si>
  <si>
    <t>Unknown:NC_027527.1/KP828803.1</t>
  </si>
  <si>
    <t>Cyclovirus TsCyV-1_JP-NUBS-2014</t>
  </si>
  <si>
    <t>PRJNA290311</t>
  </si>
  <si>
    <t>Micavibrio aeruginosavorus ARL-13</t>
  </si>
  <si>
    <t>Unknown:NC_027530.1/LC018134.1</t>
  </si>
  <si>
    <t>Lutzomyia reovirus 1</t>
  </si>
  <si>
    <t>PRJNA290358</t>
  </si>
  <si>
    <t>39.4918</t>
  </si>
  <si>
    <t>1:NC_027567.1/KR003787.1;  2:NC_027568.1/KR003788.1;  3:NC_027572.1/KR003792.1;  4:NC_027569.1/KR003789.1;  5:NC_027574.1/KR003794.1;  7:NC_027570.1/KR003790.1;  8:NC_027573.1/KR003793.1;  9:NC_027576.1/KR003796.1;  10:NC_027571.1/KR003791.1</t>
  </si>
  <si>
    <t>Gokushovirinae Bog1183_53</t>
  </si>
  <si>
    <t>PRJNA291246</t>
  </si>
  <si>
    <t>Unknown:NC_027633.1/KM589498.1</t>
  </si>
  <si>
    <t>Micavibrio aeruginosavorus EPB</t>
  </si>
  <si>
    <t>Temperate fruit decay-associated virus</t>
  </si>
  <si>
    <t>PRJNA291247</t>
  </si>
  <si>
    <t>Unknown:NC_027632.1/KR134312.1</t>
  </si>
  <si>
    <t>Bee Macula-like virus</t>
  </si>
  <si>
    <t>PRJNA291249</t>
  </si>
  <si>
    <t>Unknown:NC_027631.1/KT162924.1</t>
  </si>
  <si>
    <t>Microbacterium chocolatum strain SIT 101</t>
  </si>
  <si>
    <t>Microviridae Fen7940_21</t>
  </si>
  <si>
    <t>PRJNA291250</t>
  </si>
  <si>
    <t>Unknown:NC_027648.1/KM589514.1</t>
  </si>
  <si>
    <t>Microviridae Fen7918_21</t>
  </si>
  <si>
    <t>PRJNA291251</t>
  </si>
  <si>
    <t>Unknown:NC_027647.1/KM589513.1</t>
  </si>
  <si>
    <t>Microviridae Fen7895_21</t>
  </si>
  <si>
    <t>PRJNA291252</t>
  </si>
  <si>
    <t>Microbacterium sp. CGR1</t>
  </si>
  <si>
    <t>Unknown:NC_027646.1/KM589512.1</t>
  </si>
  <si>
    <t>Gokushovirinae Fen7875_21</t>
  </si>
  <si>
    <t>PRJNA291253</t>
  </si>
  <si>
    <t>Unknown:NC_027645.1/KM589511.1</t>
  </si>
  <si>
    <t>Microviridae Fen7786_21</t>
  </si>
  <si>
    <t>PRJNA291254</t>
  </si>
  <si>
    <t>Unknown:NC_027644.1/KM589510.1</t>
  </si>
  <si>
    <t>Microbacterium sp. No. 7</t>
  </si>
  <si>
    <t>Microviridae Fen685_11</t>
  </si>
  <si>
    <t>PRJNA291255</t>
  </si>
  <si>
    <t>Unknown:NC_027643.1/KM589509.1</t>
  </si>
  <si>
    <t>Gokushovirinae Fen672_31</t>
  </si>
  <si>
    <t>PRJNA291256</t>
  </si>
  <si>
    <t>Unknown:NC_027642.1/KM589508.1</t>
  </si>
  <si>
    <t>Microviridae Fen4707_41</t>
  </si>
  <si>
    <t>PRJNA291257</t>
  </si>
  <si>
    <t>Microbacterium sp. PAMC 28756</t>
  </si>
  <si>
    <t>Unknown:NC_027641.1/KM589506.1</t>
  </si>
  <si>
    <t>Microviridae Fen418_41</t>
  </si>
  <si>
    <t>PRJNA291258</t>
  </si>
  <si>
    <t>Unknown:NC_027640.1/KM589505.1</t>
  </si>
  <si>
    <t>Microviridae Fen2266_11</t>
  </si>
  <si>
    <t>PRJNA291259</t>
  </si>
  <si>
    <t>Unknown:NC_027639.1/KM589504.1</t>
  </si>
  <si>
    <t>Microbacterium sp. XT11</t>
  </si>
  <si>
    <t>Microviridae Bog9017_22</t>
  </si>
  <si>
    <t>PRJNA291260</t>
  </si>
  <si>
    <t>Unknown:NC_027638.1/KM589503.1</t>
  </si>
  <si>
    <t>Propionibacterium phage Procrass1</t>
  </si>
  <si>
    <t>PRJNA291263</t>
  </si>
  <si>
    <t>Unknown:NC_027626.1/KR337644.1</t>
  </si>
  <si>
    <t>Microbacterium testaceum StLB037</t>
  </si>
  <si>
    <t>Propionibacterium phage Pirate</t>
  </si>
  <si>
    <t>PRJNA291264</t>
  </si>
  <si>
    <t>Unknown:NC_027623.1/KR337653.1</t>
  </si>
  <si>
    <t>Propionibacterium phage Ouroboros</t>
  </si>
  <si>
    <t>PRJNA291265</t>
  </si>
  <si>
    <t>Unknown:NC_027630.1/KR337654.1</t>
  </si>
  <si>
    <t>Propionibacterium phage MrAK</t>
  </si>
  <si>
    <t>PRJNA291266</t>
  </si>
  <si>
    <t>Unknown:NC_027620.1/KR337643.1</t>
  </si>
  <si>
    <t>Propionibacterium phage Lauchelly</t>
  </si>
  <si>
    <t>Microbulbifer thermotolerans strain DAU221</t>
  </si>
  <si>
    <t>PRJNA291267</t>
  </si>
  <si>
    <t>Unknown:NC_027628.1/KR337650.1</t>
  </si>
  <si>
    <t>Propionibacterium phage Kubed</t>
  </si>
  <si>
    <t>PRJNA291268</t>
  </si>
  <si>
    <t>Unknown:NC_027625.1/KR337645.1</t>
  </si>
  <si>
    <t>Propionibacterium phage Attacne</t>
  </si>
  <si>
    <t>Micrococcus luteus NCTC 2665</t>
  </si>
  <si>
    <t>PRJNA291269</t>
  </si>
  <si>
    <t>Unknown:NC_027629.1/KR337651.1</t>
  </si>
  <si>
    <t>Propionibacterium phage Wizzo</t>
  </si>
  <si>
    <t>PRJNA291270</t>
  </si>
  <si>
    <t>Unknown:NC_027621.1/KR337646.1</t>
  </si>
  <si>
    <t>Propionibacterium phage Stormborn</t>
  </si>
  <si>
    <t>PRJNA291271</t>
  </si>
  <si>
    <t>Micrococcus luteus strain trpE16</t>
  </si>
  <si>
    <t>Unknown:NC_027622.1/KR337652.1</t>
  </si>
  <si>
    <t>Propionibacterium phage Solid</t>
  </si>
  <si>
    <t>PRJNA291272</t>
  </si>
  <si>
    <t>Unknown:NC_027627.1/KR337647.1</t>
  </si>
  <si>
    <t>Propionibacterium phage SKKY</t>
  </si>
  <si>
    <t>Microcoleus sp. PCC 7113</t>
  </si>
  <si>
    <t>PRJNA291273</t>
  </si>
  <si>
    <t>Unknown:NC_027624.1/KR337648.1</t>
  </si>
  <si>
    <t>Varroa Tymo-like virus</t>
  </si>
  <si>
    <t>PRJNA290931</t>
  </si>
  <si>
    <t>Unknown:NC_027619.1/KT162926.1</t>
  </si>
  <si>
    <t>Gokushovirinae Bog8989_22</t>
  </si>
  <si>
    <t>PRJNA291242</t>
  </si>
  <si>
    <t>Microcystis aeruginosa NIES-2549</t>
  </si>
  <si>
    <t>Unknown:NC_027637.1/KM589502.1</t>
  </si>
  <si>
    <t>Gokushovirinae Bog5712_52</t>
  </si>
  <si>
    <t>PRJNA291243</t>
  </si>
  <si>
    <t>Unknown:NC_027636.1/KM589501.1</t>
  </si>
  <si>
    <t>Microviridae Bog5275_51</t>
  </si>
  <si>
    <t>PRJNA291244</t>
  </si>
  <si>
    <t>Microcystis aeruginosa NIES-843</t>
  </si>
  <si>
    <t>Unknown:NC_027635.1/KM589500.1</t>
  </si>
  <si>
    <t>Microviridae Bog1249_12</t>
  </si>
  <si>
    <t>PRJNA291245</t>
  </si>
  <si>
    <t>Unknown:NC_027634.1/KM589499.1</t>
  </si>
  <si>
    <t>Alfalfa leaf curl virus</t>
  </si>
  <si>
    <t>PRJNA293043</t>
  </si>
  <si>
    <t>Microcystis panniformis FACHB-1757</t>
  </si>
  <si>
    <t>Unknown:NC_027714.1/KP732474.1</t>
  </si>
  <si>
    <t>Spanish goat encephalitis virus</t>
  </si>
  <si>
    <t>PRJNA293047</t>
  </si>
  <si>
    <t>Unknown:NC_027709.1/KP144332.1</t>
  </si>
  <si>
    <t>Trichomonas vaginalis virus dsRNA satellite S1'</t>
  </si>
  <si>
    <t>PRJNA293051</t>
  </si>
  <si>
    <t>Microlunatus phosphovorus NM-1</t>
  </si>
  <si>
    <t>Unknown:NC_027704.1/KM262034.1</t>
  </si>
  <si>
    <t>Hunter Island virus</t>
  </si>
  <si>
    <t>PRJNA293055</t>
  </si>
  <si>
    <t>44.2484</t>
  </si>
  <si>
    <t>L:NC_027717.1/KM198925.1;  M:NC_027715.1/KM198926.1;  S:NC_027716.1/KM198927.1</t>
  </si>
  <si>
    <t>Opium poppy mosaic virus</t>
  </si>
  <si>
    <t>PRJNA293045</t>
  </si>
  <si>
    <t>Unknown:NC_027710.2/EU151723.4</t>
  </si>
  <si>
    <t>Micromonospora aurantiaca ATCC 27029</t>
  </si>
  <si>
    <t>Lettuce italian necrotic virus</t>
  </si>
  <si>
    <t>PRJNA293049</t>
  </si>
  <si>
    <t>Unknown:NC_027706.1/KP769852.1</t>
  </si>
  <si>
    <t>Skunk adenovirus PB1</t>
  </si>
  <si>
    <t>PRJNA293053</t>
  </si>
  <si>
    <t>Unknown:NC_027708.1/KP238322.1</t>
  </si>
  <si>
    <t>Equine adenovirus 2</t>
  </si>
  <si>
    <t>PRJNA293044</t>
  </si>
  <si>
    <t>Micromonospora auratinigra strain DSM 44815</t>
  </si>
  <si>
    <t>Unknown:NC_027705.1/KT160425.1</t>
  </si>
  <si>
    <t>Bombyx mori iflavirus</t>
  </si>
  <si>
    <t>PRJNA293048</t>
  </si>
  <si>
    <t>Unknown:NC_027713.1/LC068762.1</t>
  </si>
  <si>
    <t>Trichomonas vaginalis virus dsRNA satellite S1</t>
  </si>
  <si>
    <t>PRJNA293052</t>
  </si>
  <si>
    <t>Unknown:NC_027702.1/KM262033.1</t>
  </si>
  <si>
    <t>Salmon gill poxvirus</t>
  </si>
  <si>
    <t>PRJNA293081</t>
  </si>
  <si>
    <t>Micromonospora narathiwatensis strain DSM 45248</t>
  </si>
  <si>
    <t>Unknown:NC_027707.1/KT159937.1</t>
  </si>
  <si>
    <t>Tobacco virus 1</t>
  </si>
  <si>
    <t>PRJNA293046</t>
  </si>
  <si>
    <t>Unknown:NC_027712.1/KT203917.1</t>
  </si>
  <si>
    <t>Dromedary astrovirus</t>
  </si>
  <si>
    <t>PRJNA293050</t>
  </si>
  <si>
    <t>Unknown:NC_027711.1/KR868724.1</t>
  </si>
  <si>
    <t>Micromonospora sp. L5</t>
  </si>
  <si>
    <t>Luffa aphid-borne yellows virus</t>
  </si>
  <si>
    <t>PRJNA293054</t>
  </si>
  <si>
    <t>Unknown:NC_027703.1/KF427701.2</t>
  </si>
  <si>
    <t>Chrysanthemum stem necrosis virus</t>
  </si>
  <si>
    <t>PRJNA293212</t>
  </si>
  <si>
    <t>32.731</t>
  </si>
  <si>
    <t>L:NC_027718.1/KM114546.1;  M:NC_027720.1/KM114547.1;  S:NC_027719.1/KM114548.1</t>
  </si>
  <si>
    <t>Poecile atricapillus GI tract-associated gemycircularvirus</t>
  </si>
  <si>
    <t>Microterricola viridarii strain ERGS5:02</t>
  </si>
  <si>
    <t>PRJNA293231</t>
  </si>
  <si>
    <t>Unknown:NC_027776.1/KT309029.1</t>
  </si>
  <si>
    <t>Rat stool-associated circular ssDNA virus</t>
  </si>
  <si>
    <t>PRJNA293568</t>
  </si>
  <si>
    <t>Unknown:NC_027777.1/KP860906.1</t>
  </si>
  <si>
    <t>Gammarus sp. amphipod associated circular virus</t>
  </si>
  <si>
    <t>PRJNA293712</t>
  </si>
  <si>
    <t>Mitsuaria sp. 7</t>
  </si>
  <si>
    <t>Unknown:NC_027793.1/KR528561.1</t>
  </si>
  <si>
    <t>Callinectes sapidus associated circular virus</t>
  </si>
  <si>
    <t>PRJNA293716</t>
  </si>
  <si>
    <t>Unknown:NC_027785.1/KR528550.1</t>
  </si>
  <si>
    <t>Hermit crab associated circular genome</t>
  </si>
  <si>
    <t>PRJNA293724</t>
  </si>
  <si>
    <t>Unknown:NC_027790.1/KR528557.1</t>
  </si>
  <si>
    <t>Mobiluncus curtisii ATCC 43063</t>
  </si>
  <si>
    <t>Paramuricea placomus associated circular virus</t>
  </si>
  <si>
    <t>PRJNA293728</t>
  </si>
  <si>
    <t>Unknown:NC_027798.1/KR528566.1</t>
  </si>
  <si>
    <t>Marine snail associated circular virus</t>
  </si>
  <si>
    <t>PRJNA293733</t>
  </si>
  <si>
    <t>Unknown:NC_027788.1/KR528554.1</t>
  </si>
  <si>
    <t>Farfantepenaeus duorarum pink shrimp associated circular virus</t>
  </si>
  <si>
    <t>PRJNA293714</t>
  </si>
  <si>
    <t>Unknown:NC_027787.1/KR528552.1</t>
  </si>
  <si>
    <t>Fengkai orbivirus</t>
  </si>
  <si>
    <t>PRJNA293722</t>
  </si>
  <si>
    <t>Modestobacter marinus strain BC501</t>
  </si>
  <si>
    <t>42.3977</t>
  </si>
  <si>
    <t>1:NC_027803.1/KR822286.1;  2:NC_027811.2/KR822287.2;  3:NC_027812.1/KR822288.1;  4:NC_027813.1/KR822289.1;  5:NC_027804.1/KR822290.1;  6:NC_027814.1/KR822291.1;  7:NC_027805.1/KR822292.1;  8:NC_027806.1/KR822293.1;  9:NC_027815.1/KR822294.1;  10:NC_027807.1/KR822295.1</t>
  </si>
  <si>
    <t>Primnoa pacifica coral associated circular virus</t>
  </si>
  <si>
    <t>PRJNA293726</t>
  </si>
  <si>
    <t>Unknown:NC_027797.1/KR528565.1</t>
  </si>
  <si>
    <t>Palaemonetes intermedius brackish grass shrimp associated circular virus</t>
  </si>
  <si>
    <t>PRJNA293731</t>
  </si>
  <si>
    <t>Mollicutes bacterium HR1</t>
  </si>
  <si>
    <t>Unknown:NC_027786.1/KR528551.1</t>
  </si>
  <si>
    <t>Hermit crab associated circular virus</t>
  </si>
  <si>
    <t>PRJNA293707</t>
  </si>
  <si>
    <t>Unknown:NC_027789.1/KR528555.1</t>
  </si>
  <si>
    <t>Artemia melana sponge associated circular genome</t>
  </si>
  <si>
    <t>PRJNA293719</t>
  </si>
  <si>
    <t>Unknown:NC_027796.1/KR528564.1</t>
  </si>
  <si>
    <t>Moorella thermoacetica ATCC 39073</t>
  </si>
  <si>
    <t>Petrochirus diogenes giant hermit crab associated circular virus</t>
  </si>
  <si>
    <t>PRJNA293727</t>
  </si>
  <si>
    <t>Unknown:NC_027780.1/KR528543.1</t>
  </si>
  <si>
    <t>Scale drop disease virus</t>
  </si>
  <si>
    <t>PRJNA293685</t>
  </si>
  <si>
    <t>Unknown:NC_027778.1/KR139659.1</t>
  </si>
  <si>
    <t>Fiddler Crab associated circular virus</t>
  </si>
  <si>
    <t>PRJNA293713</t>
  </si>
  <si>
    <t>Moorella thermoacetica strain DSM 2955</t>
  </si>
  <si>
    <t>Unknown:NC_027791.1/KR528558.1</t>
  </si>
  <si>
    <t>Callinectes ornatus blue crab associated circular virus</t>
  </si>
  <si>
    <t>PRJNA293717</t>
  </si>
  <si>
    <t>Unknown:NC_027784.1/KR528549.1</t>
  </si>
  <si>
    <t>Sicyonia brevirostris associated circular virus</t>
  </si>
  <si>
    <t>PRJNA293725</t>
  </si>
  <si>
    <t>Unknown:NC_027799.1/KR528567.1</t>
  </si>
  <si>
    <t>Palaemonetes kadiakensis Mississippi grass shrimp associated circular virus</t>
  </si>
  <si>
    <t>PRJNA293730</t>
  </si>
  <si>
    <t>Moorella thermoacetica strain DSM 521</t>
  </si>
  <si>
    <t>Unknown:NC_027792.1/KR528560.1</t>
  </si>
  <si>
    <t>Lytechinus variegatus variable sea urchin associated circular virus</t>
  </si>
  <si>
    <t>PRJNA293734</t>
  </si>
  <si>
    <t>Unknown:NC_027801.1/KR528569.1</t>
  </si>
  <si>
    <t>Grapevine Cabernet Sauvignon reovirus</t>
  </si>
  <si>
    <t>41.7875</t>
  </si>
  <si>
    <t>1:NC_035935.1/KR107527.1;  2:NC_027816.1/KR107528.1;  3:NC_027808.1/KR107529.1;  4:NC_035936.1/KR107530.1;  5:NC_027809.1/KR107531.1;  6:NC_035937.1/KR107532.1;  7:NC_035938.1/KR107533.1;  8:NC_035939.1/KR107534.1;  9:NC_027802.1/KR107535.1;  10:NC_027810.1/KR107536.1</t>
  </si>
  <si>
    <t>Clostridium phage phiSM101</t>
  </si>
  <si>
    <t>Moraxella bovoculi strain 22581</t>
  </si>
  <si>
    <t>PRJNA12521</t>
  </si>
  <si>
    <t>chromosome phage phiSM101:NC_008265.1/CP000315.1</t>
  </si>
  <si>
    <t>Thermoanaerobacterium phage THSA-485A</t>
  </si>
  <si>
    <t>Moraxella bovoculi strain 23343</t>
  </si>
  <si>
    <t>PRJNA73961</t>
  </si>
  <si>
    <t>THSA-485A:NC_018264.1/CP003186.1</t>
  </si>
  <si>
    <t>Thermus virus IN93</t>
  </si>
  <si>
    <t>PRJNA14235</t>
  </si>
  <si>
    <t>Unknown:NC_004462.2/AB063393.2</t>
  </si>
  <si>
    <t>Ageratum yellow vein India alphasatellite</t>
  </si>
  <si>
    <t>PRJNA181995</t>
  </si>
  <si>
    <t>Unknown:NC_019546.1/JX570736.1</t>
  </si>
  <si>
    <t>Moraxella bovoculi strain 28389</t>
  </si>
  <si>
    <t>Verticillium dahliae partitivirus 1</t>
  </si>
  <si>
    <t>PRJNA295302</t>
  </si>
  <si>
    <t>52.0787</t>
  </si>
  <si>
    <t>1:NC_027822.1/KJ700651.1;  2:NC_027823.1/KJ700652.1</t>
  </si>
  <si>
    <t>Parramatta River virus</t>
  </si>
  <si>
    <t>PRJNA295309</t>
  </si>
  <si>
    <t>Unknown:NC_027817.1/KT192549.1</t>
  </si>
  <si>
    <t>Gemycircularvirus gemy-ch-rat1</t>
  </si>
  <si>
    <t>PRJNA295577</t>
  </si>
  <si>
    <t>Moraxella bovoculi strain 33362</t>
  </si>
  <si>
    <t>Unknown:NC_027821.1/KR912221.1</t>
  </si>
  <si>
    <t>Mercadeo virus</t>
  </si>
  <si>
    <t>PRJNA295578</t>
  </si>
  <si>
    <t>Unknown:NC_027819.1/KP688058.1</t>
  </si>
  <si>
    <t>Phopivirus</t>
  </si>
  <si>
    <t>PRJNA295579</t>
  </si>
  <si>
    <t>Unknown:NC_027818.1/KR703607.1</t>
  </si>
  <si>
    <t>Poaceae-associated gemycircularvirus 1</t>
  </si>
  <si>
    <t>Moraxella bovoculi strain 58069</t>
  </si>
  <si>
    <t>PRJNA295580</t>
  </si>
  <si>
    <t>Unknown:NC_027820.1/KT253577.1</t>
  </si>
  <si>
    <t>Mollivirus sibericum</t>
  </si>
  <si>
    <t>PRJNA288631</t>
  </si>
  <si>
    <t>Unknown:NC_027867.1/KR921745.1</t>
  </si>
  <si>
    <t>Perigonia lusca single nucleopolyhedrovirus</t>
  </si>
  <si>
    <t>PRJNA298041</t>
  </si>
  <si>
    <t>Unknown:NC_027923.1/KM596836.1</t>
  </si>
  <si>
    <t>Moraxella bovoculi strain 58086</t>
  </si>
  <si>
    <t>Tomato necrotic dwarf virus</t>
  </si>
  <si>
    <t>PRJNA298045</t>
  </si>
  <si>
    <t>42.6789</t>
  </si>
  <si>
    <t>RA11:NC_027926.1/KC999058.1;  RA22:NC_027927.1/KC999059.1</t>
  </si>
  <si>
    <t>Binucleate Rhizoctonia mitovirus K1</t>
  </si>
  <si>
    <t>PRJNA298049</t>
  </si>
  <si>
    <t>Unknown:NC_027921.1/KR005622.1</t>
  </si>
  <si>
    <t>Lactobacillus phage LBR48</t>
  </si>
  <si>
    <t>Moraxella catarrhalis 25239</t>
  </si>
  <si>
    <t>PRJNA298065</t>
  </si>
  <si>
    <t>Unknown:NC_027990.1/GU967410.1</t>
  </si>
  <si>
    <t>Escherichia phage vB_EcoP_24B</t>
  </si>
  <si>
    <t>PRJNA298069</t>
  </si>
  <si>
    <t>Unknown:NC_027984.1/HM208303.1</t>
  </si>
  <si>
    <t>Lactobacillus phage phiPYB5</t>
  </si>
  <si>
    <t>PRJNA298073</t>
  </si>
  <si>
    <t>Unknown:NC_027982.1/GU323708.1</t>
  </si>
  <si>
    <t>Moraxella catarrhalis BBH18</t>
  </si>
  <si>
    <t>Testudinid herpesvirus 3</t>
  </si>
  <si>
    <t>PRJNA297387</t>
  </si>
  <si>
    <t>Unknown:NC_027916.2/KM924292.1</t>
  </si>
  <si>
    <t>Opsiphanes invirae iflavirus 1</t>
  </si>
  <si>
    <t>PRJNA298042</t>
  </si>
  <si>
    <t>Unknown:NC_027917.1/KR534892.1</t>
  </si>
  <si>
    <t>Moraxella catarrhalis RH4</t>
  </si>
  <si>
    <t>White sucker hepatitis B virus</t>
  </si>
  <si>
    <t>PRJNA298046</t>
  </si>
  <si>
    <t>Unknown:NC_027922.1/KR229754.1</t>
  </si>
  <si>
    <t>Vibrio phage VP585</t>
  </si>
  <si>
    <t>PRJNA298061</t>
  </si>
  <si>
    <t>Unknown:NC_027981.1/FN297812.1</t>
  </si>
  <si>
    <t>Escherichia phage K1-dep(1)</t>
  </si>
  <si>
    <t>Moraxella catarrhalis strain 25240</t>
  </si>
  <si>
    <t>PRJNA298066</t>
  </si>
  <si>
    <t>Unknown:NC_027994.1/GU196278.1</t>
  </si>
  <si>
    <t>Campylobacter virus CPt10</t>
  </si>
  <si>
    <t>PRJNA298070</t>
  </si>
  <si>
    <t>Unknown:NC_027996.1/FN667789.1</t>
  </si>
  <si>
    <t>Enterobacter phage phiKDA1</t>
  </si>
  <si>
    <t>JQ267518.1</t>
  </si>
  <si>
    <t>Hot pepper alphaendornavirus</t>
  </si>
  <si>
    <t>Moraxella osloensis strain CCUG 350</t>
  </si>
  <si>
    <t>PRJNA295853</t>
  </si>
  <si>
    <t>Unknown:NC_027920.1/KR080326.1</t>
  </si>
  <si>
    <t>Atractylodes mild mottle virus</t>
  </si>
  <si>
    <t>PRJNA298040</t>
  </si>
  <si>
    <t>Unknown:NC_027924.1/KR080327.1</t>
  </si>
  <si>
    <t>Kobuvirus cattle/Kagoshima-2-24-KoV/2015/JPN</t>
  </si>
  <si>
    <t>PRJNA298044</t>
  </si>
  <si>
    <t>Unknown:NC_027918.1/LC055960.1</t>
  </si>
  <si>
    <t>Moraxella ovis strain 199/55</t>
  </si>
  <si>
    <t>Privet ringsport virus</t>
  </si>
  <si>
    <t>PRJNA298048</t>
  </si>
  <si>
    <t>42.1603</t>
  </si>
  <si>
    <t>RA11:NC_027928.1/KT290039.1;  RA22:NC_027929.1/KT290040.1;  RA33:NC_027930.1/KT290041.1</t>
  </si>
  <si>
    <t>Staphylococcus phage SA1</t>
  </si>
  <si>
    <t>PRJNA298068</t>
  </si>
  <si>
    <t>Unknown:NC_027991.1/GU169904.1</t>
  </si>
  <si>
    <t>Mycobacterium phage UncleHowie</t>
  </si>
  <si>
    <t>PRJNA298072</t>
  </si>
  <si>
    <t>Morganella morganii strain FDAARGOS_172</t>
  </si>
  <si>
    <t>Unknown:NC_027985.1/GQ303266.1</t>
  </si>
  <si>
    <t>Bellflower vein chlorosis virus</t>
  </si>
  <si>
    <t>PRJNA297596</t>
  </si>
  <si>
    <t>Unknown:NC_027915.1/KT238881.1</t>
  </si>
  <si>
    <t>Kobuvirus cattle/Kagoshima-1-22-KoV/2014/JPN</t>
  </si>
  <si>
    <t>PRJNA298043</t>
  </si>
  <si>
    <t>Unknown:NC_027919.1/LC055961.1</t>
  </si>
  <si>
    <t>Morganella morganii strain FDAARGOS_63</t>
  </si>
  <si>
    <t>Apis mellifera filamentous virus</t>
  </si>
  <si>
    <t>PRJNA298047</t>
  </si>
  <si>
    <t>Unknown:NC_027925.1/KR819915.1</t>
  </si>
  <si>
    <t>Citrobacter phage CVT22</t>
  </si>
  <si>
    <t>PRJNA298062</t>
  </si>
  <si>
    <t>Unknown:NC_027988.2/KP774835.2</t>
  </si>
  <si>
    <t>Escherichia phage K1-dep(4)</t>
  </si>
  <si>
    <t>Moritella viscosa</t>
  </si>
  <si>
    <t>PRJNA298067</t>
  </si>
  <si>
    <t>Unknown:NC_027993.1/GU196277.1</t>
  </si>
  <si>
    <t>Campylobacter virus CP220</t>
  </si>
  <si>
    <t>PRJNA298071</t>
  </si>
  <si>
    <t>Unknown:NC_027997.1/FN667788.1</t>
  </si>
  <si>
    <t>Human pegivirus 2</t>
  </si>
  <si>
    <t>Muricauda lutaonensis strain CC-HSB-11</t>
  </si>
  <si>
    <t>PRJNA298087</t>
  </si>
  <si>
    <t>Unknown:NC_027998.2/KT427414.1</t>
  </si>
  <si>
    <t>Leuconostoc phage 1-A4</t>
  </si>
  <si>
    <t>PRJNA39711</t>
  </si>
  <si>
    <t>Unknown:NC_027987.1/GQ451696.1</t>
  </si>
  <si>
    <t>Paraiso Escondido virus</t>
  </si>
  <si>
    <t>PRJNA298208</t>
  </si>
  <si>
    <t>Muricauda ruestringensis DSM 13258</t>
  </si>
  <si>
    <t>Unknown:NC_027999.1/KJ152564.1</t>
  </si>
  <si>
    <t>Maize-associated totivirus 1</t>
  </si>
  <si>
    <t>PRJNA298247</t>
  </si>
  <si>
    <t>Unknown:NC_028044.1/KP984504.1</t>
  </si>
  <si>
    <t>Canary bornavirus 3</t>
  </si>
  <si>
    <t>PRJNA252622</t>
  </si>
  <si>
    <t>Bornaviridae</t>
  </si>
  <si>
    <t>Unknown:NC_024296.1/KC595273.2</t>
  </si>
  <si>
    <t>Chilli leaf curl Ahmedabad virus-India [India/Ahmedabad/2014]</t>
  </si>
  <si>
    <t>PRJNA298792</t>
  </si>
  <si>
    <t>Mycobacterium abscessus CF</t>
  </si>
  <si>
    <t>Unknown:NC_028046.1/KM880103.1</t>
  </si>
  <si>
    <t>Tadarida brasiliensis circovirus 1</t>
  </si>
  <si>
    <t>PRJNA298251</t>
  </si>
  <si>
    <t>Unknown:NC_028045.1/KT783484.1</t>
  </si>
  <si>
    <t>Ostreococcus lucimarinus virus 7</t>
  </si>
  <si>
    <t>PRJNA298991</t>
  </si>
  <si>
    <t>Unknown:NC_028093.1/KP874737.1</t>
  </si>
  <si>
    <t>Mycobacterium abscessus strain ATCC 19977</t>
  </si>
  <si>
    <t>Chrysochromulina ericina virus</t>
  </si>
  <si>
    <t>PRJNA298907</t>
  </si>
  <si>
    <t>Unknown:NC_028094.1/KT820662.1</t>
  </si>
  <si>
    <t>Ostreococcus mediterraneus virus 1</t>
  </si>
  <si>
    <t>PRJNA298990</t>
  </si>
  <si>
    <t>Unknown:NC_028092.1/KP874735.1</t>
  </si>
  <si>
    <t>Ostreococcus lucimarinus virus 2</t>
  </si>
  <si>
    <t>PRJNA298920</t>
  </si>
  <si>
    <t>Mycobacterium abscessus strain FLAC003</t>
  </si>
  <si>
    <t>Unknown:NC_028091.1/KP874736.1</t>
  </si>
  <si>
    <t>Torulaspora delbrueckii dsRNA Mbarr-1 killer virus</t>
  </si>
  <si>
    <t>PRJNA299179</t>
  </si>
  <si>
    <t>Unknown:NC_028095.1/KT429819.1</t>
  </si>
  <si>
    <t>Orsay virus</t>
  </si>
  <si>
    <t>PRJNA299193</t>
  </si>
  <si>
    <t>54.4978</t>
  </si>
  <si>
    <t>RA11:NC_028097.1/HM030970.2;  RA22:NC_028098.1/HM030971.2</t>
  </si>
  <si>
    <t>Mycobacterium abscessus strain FLAC004</t>
  </si>
  <si>
    <t>Sida yellow vein mosaic alphasatellite</t>
  </si>
  <si>
    <t>PRJNA300228</t>
  </si>
  <si>
    <t>Unknown:NC_028115.1/KT390506.1</t>
  </si>
  <si>
    <t>Bos taurus papillomavirus 12</t>
  </si>
  <si>
    <t>PRJNA300229</t>
  </si>
  <si>
    <t>Unknown:NC_028126.1/JF834523.1</t>
  </si>
  <si>
    <t>Human papillomavirus type 163</t>
  </si>
  <si>
    <t>Mycobacterium abscessus strain FLAC005</t>
  </si>
  <si>
    <t>PRJNA300230</t>
  </si>
  <si>
    <t>Unknown:NC_028125.1/JX413107.1</t>
  </si>
  <si>
    <t>Le Blanc nodavirus</t>
  </si>
  <si>
    <t>PRJNA300232</t>
  </si>
  <si>
    <t>52.3003</t>
  </si>
  <si>
    <t>RA11:NC_028133.1/JQ943579.1;  RA22:NC_028134.1/JQ943580.2</t>
  </si>
  <si>
    <t>Vinca leaf curl virus</t>
  </si>
  <si>
    <t>PRJNA300233</t>
  </si>
  <si>
    <t>Unknown:NC_028124.1/KR612272.1</t>
  </si>
  <si>
    <t>Tomato leaf curl Comoros virus</t>
  </si>
  <si>
    <t>PRJNA300234</t>
  </si>
  <si>
    <t>Mycobacterium abscessus strain FLAC007</t>
  </si>
  <si>
    <t>Unknown:NC_028114.1/AJ865341.1</t>
  </si>
  <si>
    <t>Nerine latent virus</t>
  </si>
  <si>
    <t>PRJNA300235</t>
  </si>
  <si>
    <t>Unknown:NC_028111.1/JQ395043.1</t>
  </si>
  <si>
    <t>Woolly monkey hepatitis B Virus</t>
  </si>
  <si>
    <t>PRJNA300236</t>
  </si>
  <si>
    <t>Unknown:NC_028129.1/AY226578.1</t>
  </si>
  <si>
    <t>Mycobacterium abscessus strain FLAC008</t>
  </si>
  <si>
    <t>Simian adenovirus 8</t>
  </si>
  <si>
    <t>PRJNA300238</t>
  </si>
  <si>
    <t>Unknown:NC_028113.1/KP329561.1</t>
  </si>
  <si>
    <t>Simian adenovirus 13</t>
  </si>
  <si>
    <t>PRJNA300239</t>
  </si>
  <si>
    <t>Unknown:NC_028103.1/KP329563.1</t>
  </si>
  <si>
    <t>Simian adenovirus 19</t>
  </si>
  <si>
    <t>PRJNA300241</t>
  </si>
  <si>
    <t>Mycobacterium abscessus strain FLAC013</t>
  </si>
  <si>
    <t>Unknown:NC_028107.1/KP329565.1</t>
  </si>
  <si>
    <t>Common vole polyomavirus</t>
  </si>
  <si>
    <t>PRJNA300242</t>
  </si>
  <si>
    <t>Unknown:NC_028119.1/KR612373.1</t>
  </si>
  <si>
    <t>Bank vole polyomavirus</t>
  </si>
  <si>
    <t>PRJNA300243</t>
  </si>
  <si>
    <t>Mycobacterium abscessus strain FLAC029</t>
  </si>
  <si>
    <t>Unknown:NC_028117.1/KR612368.1</t>
  </si>
  <si>
    <t>Apple hammerhead viroid-like circular RNA</t>
  </si>
  <si>
    <t>PRJNA300244</t>
  </si>
  <si>
    <t>Unknown:NC_028132.1/KR605506.1</t>
  </si>
  <si>
    <t>Grapevine latent viroid</t>
  </si>
  <si>
    <t>PRJNA300245</t>
  </si>
  <si>
    <t>Unknown:NC_028131.1/KR605505.1</t>
  </si>
  <si>
    <t>Mycobacterium abscessus strain FLAC031</t>
  </si>
  <si>
    <t>Simian adenovirus 16</t>
  </si>
  <si>
    <t>PRJNA300246</t>
  </si>
  <si>
    <t>Unknown:NC_028105.1/KP329564.1</t>
  </si>
  <si>
    <t>Ageratum conyzoides symptomless alphasatellite</t>
  </si>
  <si>
    <t>PRJNA300248</t>
  </si>
  <si>
    <t>Unknown:NC_028116.1/KT390508.1</t>
  </si>
  <si>
    <t>Malachra yellow vein mosaic betasatellite</t>
  </si>
  <si>
    <t>PRJNA300249</t>
  </si>
  <si>
    <t>Unknown:NC_028128.1/KT390361.1</t>
  </si>
  <si>
    <t>Mycobacterium abscessus strain FLAC045</t>
  </si>
  <si>
    <t>Luffa begomovirus betasatellite</t>
  </si>
  <si>
    <t>PRJNA300250</t>
  </si>
  <si>
    <t>Unknown:NC_028130.1/KT390486.1</t>
  </si>
  <si>
    <t>Molossus molossus polyomavirus 1</t>
  </si>
  <si>
    <t>PRJNA300251</t>
  </si>
  <si>
    <t>Unknown:NC_028123.1/JQ958893.1</t>
  </si>
  <si>
    <t>Mycobacterium abscessus strain FLAC048</t>
  </si>
  <si>
    <t>Desmodus rotundus polyomavirus 1</t>
  </si>
  <si>
    <t>PRJNA300252</t>
  </si>
  <si>
    <t>Unknown:NC_028122.1/JQ958892.1</t>
  </si>
  <si>
    <t>Carollia perspicillata polyomavirus 1</t>
  </si>
  <si>
    <t>PRJNA300253</t>
  </si>
  <si>
    <t>Unknown:NC_028120.1/JQ958889.1</t>
  </si>
  <si>
    <t>Mycobacterium abscessus strain FLAC049</t>
  </si>
  <si>
    <t>Pteronotus parnellii polyomavirus 1</t>
  </si>
  <si>
    <t>PRJNA300254</t>
  </si>
  <si>
    <t>Unknown:NC_028121.1/JQ958891.1</t>
  </si>
  <si>
    <t>Sumatran orang-utan polyomavirus</t>
  </si>
  <si>
    <t>PRJNA300255</t>
  </si>
  <si>
    <t>Unknown:NC_028127.1/FN356901.1</t>
  </si>
  <si>
    <t>Yellowstone lake phycodnavirus 3</t>
  </si>
  <si>
    <t>PRJNA300256</t>
  </si>
  <si>
    <t>Mycobacterium abscessus strain FLAC054</t>
  </si>
  <si>
    <t>Unknown:NC_028108.1/LC015649.1</t>
  </si>
  <si>
    <t>Yellowstone lake phycodnavirus 2</t>
  </si>
  <si>
    <t>PRJNA300257</t>
  </si>
  <si>
    <t>Unknown:NC_028110.1/LC015648.1</t>
  </si>
  <si>
    <t>Yellowstone lake phycodnavirus 1</t>
  </si>
  <si>
    <t>PRJNA300258</t>
  </si>
  <si>
    <t>Unknown:NC_028112.1/LC015647.1</t>
  </si>
  <si>
    <t>Mycobacterium abscessus strain NOV0213</t>
  </si>
  <si>
    <t>Yellowstone lake mimivirus</t>
  </si>
  <si>
    <t>PRJNA300259</t>
  </si>
  <si>
    <t>Unknown:NC_028104.1/LC015646.1</t>
  </si>
  <si>
    <t>Parrot bornavirus 4</t>
  </si>
  <si>
    <t>PRJNA300260</t>
  </si>
  <si>
    <t>NC_030688.1/JX065209.1</t>
  </si>
  <si>
    <t>Felis catus gammaherpesvirus 1</t>
  </si>
  <si>
    <t>PRJNA299515</t>
  </si>
  <si>
    <t>Unknown:NC_028099.1/KT595939.1</t>
  </si>
  <si>
    <t>Borna disease virus 2</t>
  </si>
  <si>
    <t>PRJNA14675</t>
  </si>
  <si>
    <t>NC_030692.1/AJ311524.1</t>
  </si>
  <si>
    <t>Mycobacterium abscessus subsp. abscessus strain 4529</t>
  </si>
  <si>
    <t>Melochia mosaic virus</t>
  </si>
  <si>
    <t>PRJNA300792</t>
  </si>
  <si>
    <t>45.5175</t>
  </si>
  <si>
    <t>DN--A:NC_028140.1/KT201151.1;  DN--B:NC_028141.1/KT201152.1</t>
  </si>
  <si>
    <t>Melochia yellow mosaic virus</t>
  </si>
  <si>
    <t>PRJNA300791</t>
  </si>
  <si>
    <t>45.6686</t>
  </si>
  <si>
    <t>DN--A:NC_028142.1/KT201153.1;  DN--B:NC_028143.1/KT201154.1</t>
  </si>
  <si>
    <t>Bean rugose mosaic virus</t>
  </si>
  <si>
    <t>PRJNA300795</t>
  </si>
  <si>
    <t>40.9526</t>
  </si>
  <si>
    <t>RA11:NC_028139.1/KP404602.1;  RA22:NC_028146.1/KP404603.1</t>
  </si>
  <si>
    <t>Ungulate tetraparvovirus 1</t>
  </si>
  <si>
    <t>PRJNA300551</t>
  </si>
  <si>
    <t>Mycobacterium abscessus subsp. abscessus strain DJO-44274</t>
  </si>
  <si>
    <t>Unknown:NC_028136.1/KT225725.1</t>
  </si>
  <si>
    <t>Macrosiphum euphorbiae virus 1</t>
  </si>
  <si>
    <t>PRJNA300793</t>
  </si>
  <si>
    <t>Unknown:NC_028137.1/KT309079.1</t>
  </si>
  <si>
    <t>Rice necrosis mosaic virus</t>
  </si>
  <si>
    <t>PRJNA300790</t>
  </si>
  <si>
    <t>45.1665</t>
  </si>
  <si>
    <t>RA11:NC_028144.1/LC055681.1;  RA22:NC_028145.1/LC060925.1</t>
  </si>
  <si>
    <t>Posavirus 3</t>
  </si>
  <si>
    <t>PRJNA301015</t>
  </si>
  <si>
    <t>Mycobacterium abscessus subsp. bolletii 103</t>
  </si>
  <si>
    <t>Unknown:NC_028240.1/KR019688.1</t>
  </si>
  <si>
    <t>Colletotrichum higginsianum non-segmented dsRNA virus 1</t>
  </si>
  <si>
    <t>PRJNA301019</t>
  </si>
  <si>
    <t>Unknown:NC_028242.1/KM923925.1</t>
  </si>
  <si>
    <t>Kumasi rhabdovirus</t>
  </si>
  <si>
    <t>PRJNA301023</t>
  </si>
  <si>
    <t>Unknown:NC_028236.1/KJ179955.1</t>
  </si>
  <si>
    <t>Turkeypox virus</t>
  </si>
  <si>
    <t>Mycobacterium abscessus subsp. bolletii 50594</t>
  </si>
  <si>
    <t>PRJNA301027</t>
  </si>
  <si>
    <t>Unknown:NC_028238.1/KP728110.2</t>
  </si>
  <si>
    <t>Inhangapi virus</t>
  </si>
  <si>
    <t>PRJNA301016</t>
  </si>
  <si>
    <t>Unknown:NC_028230.1/KR604694.1</t>
  </si>
  <si>
    <t>Teviot virus</t>
  </si>
  <si>
    <t>PRJNA301020</t>
  </si>
  <si>
    <t>Unknown:NC_028233.1/KP271123.1</t>
  </si>
  <si>
    <t>Yata virus</t>
  </si>
  <si>
    <t>PRJNA301024</t>
  </si>
  <si>
    <t>Unknown:NC_028241.1/KM085030.1</t>
  </si>
  <si>
    <t>Suffolk virus</t>
  </si>
  <si>
    <t>PRJNA301017</t>
  </si>
  <si>
    <t>Mycobacterium abscessus subsp. bolletii MA 1948</t>
  </si>
  <si>
    <t>Unknown:NC_028243.1/KM460042.1</t>
  </si>
  <si>
    <t>Santa barbara virus</t>
  </si>
  <si>
    <t>PRJNA301021</t>
  </si>
  <si>
    <t>Unknown:NC_028234.1/KM350503.1</t>
  </si>
  <si>
    <t>Alfalfa dwarf virus</t>
  </si>
  <si>
    <t>PRJNA301025</t>
  </si>
  <si>
    <t>Unknown:NC_028237.1/KP205452.1</t>
  </si>
  <si>
    <t>Datura yellow vein nucleorhabdovirus</t>
  </si>
  <si>
    <t>PRJNA301029</t>
  </si>
  <si>
    <t>Unknown:NC_028231.1/KM823531.1</t>
  </si>
  <si>
    <t>Walkabout Creek virus</t>
  </si>
  <si>
    <t>PRJNA301018</t>
  </si>
  <si>
    <t>Unknown:NC_028232.1/KJ432572.1</t>
  </si>
  <si>
    <t>Koolpinyah virus</t>
  </si>
  <si>
    <t>PRJNA301022</t>
  </si>
  <si>
    <t>Mycobacterium abscessus subsp. bolletii MC1518</t>
  </si>
  <si>
    <t>Unknown:NC_028239.1/KM085029.1</t>
  </si>
  <si>
    <t>Adelaide River virus</t>
  </si>
  <si>
    <t>PRJNA301068</t>
  </si>
  <si>
    <t>Unknown:NC_028246.1/JN935380.1</t>
  </si>
  <si>
    <t>Tasmanian aquabirnavirus</t>
  </si>
  <si>
    <t>PRJNA301069</t>
  </si>
  <si>
    <t>53.9624</t>
  </si>
  <si>
    <t>segment  A:NC_028252.1/KP268650.1;  segment  B:NC_028253.1/KP268665.1</t>
  </si>
  <si>
    <t>Avian avulavirus 2</t>
  </si>
  <si>
    <t>Mycobacterium abscessus subsp. bolletii MM1513</t>
  </si>
  <si>
    <t>PRJNA301067</t>
  </si>
  <si>
    <t>Unknown:NC_028245.1/HM159993.1</t>
  </si>
  <si>
    <t>Rosellinia necatrix partitivirus 6</t>
  </si>
  <si>
    <t>PRJNA301071</t>
  </si>
  <si>
    <t>46.6638</t>
  </si>
  <si>
    <t>segment  1:NC_028251.1/LC010952.1;  segment  2:NC_028250.1/LC010953.1</t>
  </si>
  <si>
    <t>Phocine morbillivirus</t>
  </si>
  <si>
    <t>PRJNA301066</t>
  </si>
  <si>
    <t>Unknown:NC_028249.1/KC802221.1</t>
  </si>
  <si>
    <t>Escherichia phage slur16</t>
  </si>
  <si>
    <t>Mycobacterium abscessus UC22</t>
  </si>
  <si>
    <t>PRJNA301070</t>
  </si>
  <si>
    <t>Unknown:NC_028248.1/LN881727.1</t>
  </si>
  <si>
    <t>Wuhan Mosquito Virus 8</t>
  </si>
  <si>
    <t>PRJNA301247</t>
  </si>
  <si>
    <t>Unknown:NC_028265.1/KM817610.1</t>
  </si>
  <si>
    <t>Changping Tick Virus 2</t>
  </si>
  <si>
    <t>PRJNA301251</t>
  </si>
  <si>
    <t>Unknown:NC_028260.1/KM817594.1</t>
  </si>
  <si>
    <t>Mycobacterium africanum GM041182</t>
  </si>
  <si>
    <t>Aeropyrum pernix ovoid virus 1</t>
  </si>
  <si>
    <t>PRJNA301255</t>
  </si>
  <si>
    <t>Guttaviridae</t>
  </si>
  <si>
    <t>Unknown:NC_028256.1/HE580237.1</t>
  </si>
  <si>
    <t>Yellowstone Lake virophage 5</t>
  </si>
  <si>
    <t>PRJNA301259</t>
  </si>
  <si>
    <t>Unknown:NC_028269.1/KM502589.1</t>
  </si>
  <si>
    <t>Mycobacterium africanum strain 25</t>
  </si>
  <si>
    <t>Cocal virus</t>
  </si>
  <si>
    <t>PRJNA301158</t>
  </si>
  <si>
    <t>Unknown:NC_028255.1/EU373657.1</t>
  </si>
  <si>
    <t>Changping Tick Virus 3</t>
  </si>
  <si>
    <t>PRJNA301250</t>
  </si>
  <si>
    <t>Unknown:NC_028261.1/KM817595.1</t>
  </si>
  <si>
    <t>Trichechus manatus papillomavirus 4</t>
  </si>
  <si>
    <t>PRJNA301254</t>
  </si>
  <si>
    <t>Unknown:NC_028267.1/KP205503.2</t>
  </si>
  <si>
    <t>Yellowstone Lake virophage 6</t>
  </si>
  <si>
    <t>PRJNA301258</t>
  </si>
  <si>
    <t>Mycobacterium africanum strain UT307</t>
  </si>
  <si>
    <t>Unknown:NC_028270.1/KM502590.1</t>
  </si>
  <si>
    <t>Wuhan Tick Virus 2</t>
  </si>
  <si>
    <t>PRJNA301302</t>
  </si>
  <si>
    <t>Unknown:NC_028266.1/KM817611.1</t>
  </si>
  <si>
    <t>Tacheng Tick Virus 4</t>
  </si>
  <si>
    <t>PRJNA301249</t>
  </si>
  <si>
    <t>Unknown:NC_028263.1/KM817599.1</t>
  </si>
  <si>
    <t>Mycobacterium avium 104</t>
  </si>
  <si>
    <t>Sewage-associated circular DNA virus-2</t>
  </si>
  <si>
    <t>PRJNA301253</t>
  </si>
  <si>
    <t>Unknown:NC_028258.1/KJ547626.2</t>
  </si>
  <si>
    <t>Yellowstone Lake virophage 7</t>
  </si>
  <si>
    <t>PRJNA301257</t>
  </si>
  <si>
    <t>Unknown:NC_028257.1/KM502591.1</t>
  </si>
  <si>
    <t>Andrographis yellow vein leaf curl virus</t>
  </si>
  <si>
    <t>PRJNA301301</t>
  </si>
  <si>
    <t>Unknown:NC_028262.1/KM359406.2</t>
  </si>
  <si>
    <t>Tacheng Tick Virus 5</t>
  </si>
  <si>
    <t>PRJNA301248</t>
  </si>
  <si>
    <t>Mycobacterium avium subsp. avium 2285 (R) 2285 (R)</t>
  </si>
  <si>
    <t>Unknown:NC_028264.1/KM817600.1</t>
  </si>
  <si>
    <t>Bole Tick Virus 3</t>
  </si>
  <si>
    <t>PRJNA301252</t>
  </si>
  <si>
    <t>Unknown:NC_028259.1/KM817593.1</t>
  </si>
  <si>
    <t>Aeropyrum pernix spindle-shaped virus 1</t>
  </si>
  <si>
    <t>PRJNA301256</t>
  </si>
  <si>
    <t>Unknown:NC_028268.1/HE580238.1</t>
  </si>
  <si>
    <t>Mycobacterium avium subsp. avium 2285 (S) 2285 (S)</t>
  </si>
  <si>
    <t>Cherry small circular viroid-like RNA</t>
  </si>
  <si>
    <t>PRJNA301300</t>
  </si>
  <si>
    <t>Unknown:NC_028271.1/DQ357615.1</t>
  </si>
  <si>
    <t>Gamboa mosquito virus</t>
  </si>
  <si>
    <t>PRJNA302017</t>
  </si>
  <si>
    <t>Unknown:NC_028374.1/KR902733.1</t>
  </si>
  <si>
    <t>Bat hepatovirus</t>
  </si>
  <si>
    <t>PRJNA302021</t>
  </si>
  <si>
    <t>Unknown:NC_028366.1/KT452714.1</t>
  </si>
  <si>
    <t>Papaya meleira virus</t>
  </si>
  <si>
    <t>PRJNA302025</t>
  </si>
  <si>
    <t>Mycobacterium avium subsp. avium DJO-44271</t>
  </si>
  <si>
    <t>Unknown:NC_028378.1/KT013296.1</t>
  </si>
  <si>
    <t>Xingshan cricket virus</t>
  </si>
  <si>
    <t>PRJNA302029</t>
  </si>
  <si>
    <t>Unknown:NC_028370.1/KR902738.1</t>
  </si>
  <si>
    <t>Shayang spider virus 4</t>
  </si>
  <si>
    <t>PRJNA302033</t>
  </si>
  <si>
    <t>Unknown:NC_028369.1/KR902739.1</t>
  </si>
  <si>
    <t>Beihai barnacle viurs 1</t>
  </si>
  <si>
    <t>Mycobacterium avium subsp. hominissuis TH135</t>
  </si>
  <si>
    <t>PRJNA302019</t>
  </si>
  <si>
    <t>Unknown:NC_028376.1/KR902731.1</t>
  </si>
  <si>
    <t>Elephant endotheliotropic herpesvirus 4</t>
  </si>
  <si>
    <t>PRJNA302027</t>
  </si>
  <si>
    <t>Unknown:NC_028379.1/KT832477.1</t>
  </si>
  <si>
    <t>Tacheng tick virus 8</t>
  </si>
  <si>
    <t>PRJNA302031</t>
  </si>
  <si>
    <t>Unknown:NC_028367.1/KR902741.1</t>
  </si>
  <si>
    <t>Mycobacterium avium subsp. paratuberculosis</t>
  </si>
  <si>
    <t>Wuhan aphid virus 2</t>
  </si>
  <si>
    <t>PRJNA302060</t>
  </si>
  <si>
    <t>41.4774</t>
  </si>
  <si>
    <t>segmen  1:NC_028382.1/KR902725.1;  segmen  2:NC_028386.1/KR902726.1;  segmen  3:NC_028383.1/KR902727.1;  segmen  4:NC_028387.1/KR902728.1</t>
  </si>
  <si>
    <t>Sanxia water strider virus 6</t>
  </si>
  <si>
    <t>PRJNA302016</t>
  </si>
  <si>
    <t>Unknown:NC_028368.1/KR902740.1</t>
  </si>
  <si>
    <t>Chicken sicinivirus JSY</t>
  </si>
  <si>
    <t>PRJNA302020</t>
  </si>
  <si>
    <t>Mycobacterium avium subsp. paratuberculosis E1</t>
  </si>
  <si>
    <t>Unknown:NC_028380.1/KP779642.1</t>
  </si>
  <si>
    <t>Xinzhou spider virus 2</t>
  </si>
  <si>
    <t>PRJNA302028</t>
  </si>
  <si>
    <t>Unknown:NC_028372.1/KR902735.1</t>
  </si>
  <si>
    <t>Shuangao lacewing virus 2</t>
  </si>
  <si>
    <t>PRJNA302032</t>
  </si>
  <si>
    <t>Unknown:NC_028373.1/KR902734.1</t>
  </si>
  <si>
    <t>Bole tick virus 4</t>
  </si>
  <si>
    <t>Mycobacterium avium subsp. paratuberculosis E93</t>
  </si>
  <si>
    <t>PRJNA302018</t>
  </si>
  <si>
    <t>Unknown:NC_028371.1/KR902736.1</t>
  </si>
  <si>
    <t>Wenling shark virus</t>
  </si>
  <si>
    <t>PRJNA302030</t>
  </si>
  <si>
    <t>Unknown:NC_028377.1/KR902729.1</t>
  </si>
  <si>
    <t>Shayang fly virus 4</t>
  </si>
  <si>
    <t>PRJNA302034</t>
  </si>
  <si>
    <t>Unknown:NC_028375.1/KR902732.1</t>
  </si>
  <si>
    <t>Mycobacterium avium subsp. paratuberculosis K-10</t>
  </si>
  <si>
    <t>Wuhan aphid virus 1</t>
  </si>
  <si>
    <t>PRJNA302067</t>
  </si>
  <si>
    <t>42.5382</t>
  </si>
  <si>
    <t>1:NC_028388.1/KR902721.1;  2:NC_028384.1/KR902722.1;  3:NC_028389.1/KR902723.1;  4:NC_028385.1/KR902724.1</t>
  </si>
  <si>
    <t>Shuangao insect virus 7</t>
  </si>
  <si>
    <t>PRJNA302170</t>
  </si>
  <si>
    <t>45.8874</t>
  </si>
  <si>
    <t>1:NC_028396.1/KR902717.1;  2:NC_028391.1/KR902718.1;  3:NC_028397.1/KR902719.1;  4:NC_028392.1/KR902720.1</t>
  </si>
  <si>
    <t>Wuhan cricket virus</t>
  </si>
  <si>
    <t>PRJNA302261</t>
  </si>
  <si>
    <t>40.4677</t>
  </si>
  <si>
    <t>Mycobacterium avium subsp. paratuberculosis MAP4</t>
  </si>
  <si>
    <t>1:NC_028400.1/KR902709.1;  2:NC_028401.1/KR902710.1;  3:NC_028395.1/KR902711.1;  4:NC_028402.1/KR902712.1</t>
  </si>
  <si>
    <t>Wuhan flea virus</t>
  </si>
  <si>
    <t>PRJNA302224</t>
  </si>
  <si>
    <t>45.6834</t>
  </si>
  <si>
    <t>1:NC_028398.1/KR902713.1;  2:NC_028393.1/KR902714.1;  3:NC_028399.1/KR902715.1;  4:NC_028394.1/KR902716.1</t>
  </si>
  <si>
    <t>Escherichia phage slur14</t>
  </si>
  <si>
    <t>PRJNA302552</t>
  </si>
  <si>
    <t>Unknown:NC_028448.1/LN881736.1</t>
  </si>
  <si>
    <t>Escherichia phage PA2</t>
  </si>
  <si>
    <t>PRJNA302553</t>
  </si>
  <si>
    <t>Mycobacterium bovis AF2122/97</t>
  </si>
  <si>
    <t>Unknown:NC_028449.1/KP682371.1</t>
  </si>
  <si>
    <t>Epizootic haematopoietic necrosis virus</t>
  </si>
  <si>
    <t>PRJNA303940</t>
  </si>
  <si>
    <t>Unknown:NC_028461.1/FJ433873.1</t>
  </si>
  <si>
    <t>Mycobacterium bovis ATCC BAA-935</t>
  </si>
  <si>
    <t>Blueberry fruit drop associated virus</t>
  </si>
  <si>
    <t>PRJNA303938</t>
  </si>
  <si>
    <t>Unknown:NC_028462.1/KT148886.1</t>
  </si>
  <si>
    <t>Soybean leaf-associated gemycircularvirus 1</t>
  </si>
  <si>
    <t>PRJNA303939</t>
  </si>
  <si>
    <t>Unknown:NC_028460.1/KT598248.2</t>
  </si>
  <si>
    <t>Human plasma-associated gemycircularvirus</t>
  </si>
  <si>
    <t>PRJNA303113</t>
  </si>
  <si>
    <t>Mycobacterium bovis BCG</t>
  </si>
  <si>
    <t>Unknown:NC_028459.1/KP974693.1</t>
  </si>
  <si>
    <t>Botrytis cinerea negative-stranded RNA virus 1</t>
  </si>
  <si>
    <t>PRJNA304422</t>
  </si>
  <si>
    <t>NC_028466.3/LN827956.3</t>
  </si>
  <si>
    <t>Penicillium aurantiogriseum bipartite virus 1</t>
  </si>
  <si>
    <t>PRJNA304898</t>
  </si>
  <si>
    <t>53.9595</t>
  </si>
  <si>
    <t>RNA1:NC_028498.1/KT601101.1;  RNA2:NC_028493.1/KT601102.1</t>
  </si>
  <si>
    <t>Red clover powdery mildew-associated totivirus 7</t>
  </si>
  <si>
    <t>PRJNA304902</t>
  </si>
  <si>
    <t>Unknown:NC_028488.1/LC075492.1</t>
  </si>
  <si>
    <t>Rabbit picornavirus</t>
  </si>
  <si>
    <t>PRJNA304317</t>
  </si>
  <si>
    <t>Unknown:NC_028479.1/KT325852.1</t>
  </si>
  <si>
    <t>Penicillium aurantiogriseum partiti-like virus</t>
  </si>
  <si>
    <t>PRJNA304897</t>
  </si>
  <si>
    <t>Unknown:NC_028469.1/KT601105.1</t>
  </si>
  <si>
    <t>Red clover powdery mildew-associated totivirus 2</t>
  </si>
  <si>
    <t>PRJNA304906</t>
  </si>
  <si>
    <t>Unknown:NC_028481.1/LC075487.1</t>
  </si>
  <si>
    <t>Botrytis cinerea mitovirus 4</t>
  </si>
  <si>
    <t>PRJNA304910</t>
  </si>
  <si>
    <t>Unknown:NC_028474.1/LN827947.1</t>
  </si>
  <si>
    <t>Grapevine associated narnavirus-1</t>
  </si>
  <si>
    <t>PRJNA304914</t>
  </si>
  <si>
    <t>Unknown:NC_028473.1/LN827943.1</t>
  </si>
  <si>
    <t>Daeseongdong virus 1</t>
  </si>
  <si>
    <t>PRJNA304918</t>
  </si>
  <si>
    <t>Unknown:NC_028487.1/KU095841.1</t>
  </si>
  <si>
    <t>Penicillium janczewskii chrysovirus 1</t>
  </si>
  <si>
    <t>PRJNA304922</t>
  </si>
  <si>
    <t>52.312</t>
  </si>
  <si>
    <t>RNA1:NC_028495.1/KT601115.1;  RNA2:NC_028500.1/KT601116.1;  RNA3:NC_028496.1/KT601117.1;  RNA4:NC_028497.1/KT601118.1</t>
  </si>
  <si>
    <t>Red clover powdery mildew-associated totivirus 9</t>
  </si>
  <si>
    <t>PRJNA304901</t>
  </si>
  <si>
    <t>Unknown:NC_028490.1/LC075494.1</t>
  </si>
  <si>
    <t>Red clover powdery mildew-associated totivirus 3</t>
  </si>
  <si>
    <t>PRJNA304905</t>
  </si>
  <si>
    <t>Unknown:NC_028483.1/LC075488.1</t>
  </si>
  <si>
    <t>Sclerotinia sclerotiorum mitovirus 3</t>
  </si>
  <si>
    <t>PRJNA304913</t>
  </si>
  <si>
    <t>Unknown:NC_028475.1/LN827949.1</t>
  </si>
  <si>
    <t>Daeseongdong virus 2</t>
  </si>
  <si>
    <t>PRJNA304917</t>
  </si>
  <si>
    <t>Unknown:NC_028489.1/KU095842.1</t>
  </si>
  <si>
    <t>Penicillium aurantiogriseum partitivirus 1</t>
  </si>
  <si>
    <t>PRJNA304921</t>
  </si>
  <si>
    <t>48.9276</t>
  </si>
  <si>
    <t>RNA1:NC_028499.1/KT601103.1;  RNA2:NC_028494.1/KT601104.1</t>
  </si>
  <si>
    <t>Maize rough dwarf fijivirus</t>
  </si>
  <si>
    <t>PRJNA304521</t>
  </si>
  <si>
    <t>Unknown:NC_028465.1/HQ637554.1</t>
  </si>
  <si>
    <t>Penicillium aurantiogriseum foetidus-like virus</t>
  </si>
  <si>
    <t>PRJNA304899</t>
  </si>
  <si>
    <t>Unknown:NC_028468.1/KT601100.1</t>
  </si>
  <si>
    <t>Red clover powdery mildew-associated totivirus 6</t>
  </si>
  <si>
    <t>PRJNA304903</t>
  </si>
  <si>
    <t>Unknown:NC_028486.1/LC075491.1</t>
  </si>
  <si>
    <t>Red clover powdery mildew-associated totivirus 1</t>
  </si>
  <si>
    <t>PRJNA304907</t>
  </si>
  <si>
    <t>Unknown:NC_028480.1/LC075485.1</t>
  </si>
  <si>
    <t>Botrytis cinerea mitovirus 3</t>
  </si>
  <si>
    <t>PRJNA304911</t>
  </si>
  <si>
    <t>Unknown:NC_028472.1/LN827942.1</t>
  </si>
  <si>
    <t>Tomato brown rugose fruit virus</t>
  </si>
  <si>
    <t>PRJNA304915</t>
  </si>
  <si>
    <t>Unknown:NC_028478.1/KT383474.1</t>
  </si>
  <si>
    <t>Tongilchon virus 1</t>
  </si>
  <si>
    <t>PRJNA304919</t>
  </si>
  <si>
    <t>Unknown:NC_028484.1/KU095840.1</t>
  </si>
  <si>
    <t>Rattus norvegicus papillomavirus 3</t>
  </si>
  <si>
    <t>PRJNA304315</t>
  </si>
  <si>
    <t>Unknown:NC_028492.1/KT945134.1</t>
  </si>
  <si>
    <t>Pleospora typhicola fusarivirus 1</t>
  </si>
  <si>
    <t>PRJNA304896</t>
  </si>
  <si>
    <t>Unknown:NC_028470.1/KT601107.1</t>
  </si>
  <si>
    <t>Penicillium aurantiogriseum fusarivirus 1</t>
  </si>
  <si>
    <t>PRJNA304900</t>
  </si>
  <si>
    <t>Unknown:NC_028467.1/KT601099.1</t>
  </si>
  <si>
    <t>Red clover powdery mildew-associated totivirus 5</t>
  </si>
  <si>
    <t>PRJNA304904</t>
  </si>
  <si>
    <t>Unknown:NC_028485.1/LC075490.1</t>
  </si>
  <si>
    <t>Diatraea saccharalis granulovirus</t>
  </si>
  <si>
    <t>PRJNA304908</t>
  </si>
  <si>
    <t>Unknown:NC_028491.1/KP296186.1</t>
  </si>
  <si>
    <t>Botrytis cinerea mitovirus 2</t>
  </si>
  <si>
    <t>PRJNA304912</t>
  </si>
  <si>
    <t>Unknown:NC_028471.1/LN827941.1</t>
  </si>
  <si>
    <t>Imjin River virus 1</t>
  </si>
  <si>
    <t>PRJNA304916</t>
  </si>
  <si>
    <t>Unknown:NC_028482.1/KU095839.1</t>
  </si>
  <si>
    <t>Ustilaginoidea virens RNA virus 5</t>
  </si>
  <si>
    <t>PRJNA304920</t>
  </si>
  <si>
    <t>Unknown:NC_028477.1/KT188753.1</t>
  </si>
  <si>
    <t>Sucra jujuba nucleopolyhedrovirus</t>
  </si>
  <si>
    <t>PRJNA305153</t>
  </si>
  <si>
    <t>Unknown:NC_028636.1/KJ676450.1</t>
  </si>
  <si>
    <t>Pan troglodytes verus polyomavirus 8</t>
  </si>
  <si>
    <t>PRJNA305160</t>
  </si>
  <si>
    <t>Unknown:NC_028635.1/KT884050.1</t>
  </si>
  <si>
    <t>Actinidia virus X</t>
  </si>
  <si>
    <t>PRJNA305432</t>
  </si>
  <si>
    <t>Mycobacterium bovis BCG str. Korea 1168P</t>
  </si>
  <si>
    <t>Unknown:NC_028649.1/KR872420.1</t>
  </si>
  <si>
    <t>Rat bufavirus SY-2015</t>
  </si>
  <si>
    <t>PRJNA305765</t>
  </si>
  <si>
    <t>Unknown:NC_028650.1/KT716186.1</t>
  </si>
  <si>
    <t>Pseudomonas phage C11</t>
  </si>
  <si>
    <t>PRJNA306230</t>
  </si>
  <si>
    <t>Unknown:NC_028652.1/KT804923.1</t>
  </si>
  <si>
    <t>Mycobacterium bovis BCG str. Mexico</t>
  </si>
  <si>
    <t>Enterococcus phage vB_EfaS_IME197</t>
  </si>
  <si>
    <t>PRJNA306278</t>
  </si>
  <si>
    <t>Unknown:NC_028671.1/KT945994.1</t>
  </si>
  <si>
    <t>Mycobacterium phage Pepe</t>
  </si>
  <si>
    <t>PRJNA306282</t>
  </si>
  <si>
    <t>Unknown:NC_028680.1/KT818595.1</t>
  </si>
  <si>
    <t>Acinetobacter phage vB_AbaP_PD-6A3</t>
  </si>
  <si>
    <t>PRJNA306286</t>
  </si>
  <si>
    <t>Unknown:NC_028684.1/KT388102.1</t>
  </si>
  <si>
    <t>Mycobacterium bovis BCG str. Pasteur 1173P2</t>
  </si>
  <si>
    <t>Mycobacterium phage Apizium</t>
  </si>
  <si>
    <t>PRJNA306290</t>
  </si>
  <si>
    <t>Unknown:NC_028691.1/KR781349.1</t>
  </si>
  <si>
    <t>Salmonella phage SEN34</t>
  </si>
  <si>
    <t>PRJNA306294</t>
  </si>
  <si>
    <t>Unknown:NC_028699.1/KT630649.1</t>
  </si>
  <si>
    <t>Sinorhizobium phage phiM9</t>
  </si>
  <si>
    <t>PRJNA306298</t>
  </si>
  <si>
    <t>Unknown:NC_028676.1/KP881232.1</t>
  </si>
  <si>
    <t>Mycobacterium bovis BCG str. Tokyo 172</t>
  </si>
  <si>
    <t>Mycobacterium phage Badfish</t>
  </si>
  <si>
    <t>PRJNA306302</t>
  </si>
  <si>
    <t>Unknown:NC_028682.1/KJ194580.1</t>
  </si>
  <si>
    <t>Klebsiella phage Kp2</t>
  </si>
  <si>
    <t>PRJNA306342</t>
  </si>
  <si>
    <t>Unknown:NC_028664.1/KT367886.1</t>
  </si>
  <si>
    <t>Shigella phage Ss-VASD</t>
  </si>
  <si>
    <t>PRJNA306346</t>
  </si>
  <si>
    <t>Unknown:NC_028685.1/KR781488.1</t>
  </si>
  <si>
    <t>Acinetobacter phage phiAB1</t>
  </si>
  <si>
    <t>PRJNA306350</t>
  </si>
  <si>
    <t>Unknown:NC_028675.1/HQ186308.1</t>
  </si>
  <si>
    <t>Pseudomonas phage YMC11/02/R656</t>
  </si>
  <si>
    <t>PRJNA306354</t>
  </si>
  <si>
    <t>Unknown:NC_028657.1/KT968831.1</t>
  </si>
  <si>
    <t>Salmonella phage f18SE</t>
  </si>
  <si>
    <t>PRJNA274999</t>
  </si>
  <si>
    <t>Unknown:NC_028698.1/KR270151.1</t>
  </si>
  <si>
    <t>Mycobacterium phage ShiVal</t>
  </si>
  <si>
    <t>Mycobacterium bovis BCG strain 3281</t>
  </si>
  <si>
    <t>PRJNA306276</t>
  </si>
  <si>
    <t>Unknown:NC_028674.1/KC576784.1</t>
  </si>
  <si>
    <t>Mycobacterium phage Cabrinians</t>
  </si>
  <si>
    <t>PRJNA306280</t>
  </si>
  <si>
    <t>Unknown:NC_028678.1/KT895281.1</t>
  </si>
  <si>
    <t>Streptococcus phage A25</t>
  </si>
  <si>
    <t>PRJNA306284</t>
  </si>
  <si>
    <t>Unknown:NC_028697.1/KT388093.1</t>
  </si>
  <si>
    <t>Mycobacterium bovis BCG strain Russia 368</t>
  </si>
  <si>
    <t>Arthrobacter phage Decurro</t>
  </si>
  <si>
    <t>PRJNA306288</t>
  </si>
  <si>
    <t>Unknown:NC_028692.1/KT355471.1</t>
  </si>
  <si>
    <t>Gordonia phage GMA7</t>
  </si>
  <si>
    <t>PRJNA306296</t>
  </si>
  <si>
    <t>Unknown:NC_028673.1/KR063278.1</t>
  </si>
  <si>
    <t>Mycobacterium phage Eremos</t>
  </si>
  <si>
    <t>PRJNA306300</t>
  </si>
  <si>
    <t>Unknown:NC_028690.1/KM236502.1</t>
  </si>
  <si>
    <t>Mycobacterium bovis strain 1595</t>
  </si>
  <si>
    <t>Pseudomonas phage vB_PaeS_PM105</t>
  </si>
  <si>
    <t>PRJNA306340</t>
  </si>
  <si>
    <t>Unknown:NC_028667.1/LN898172.1</t>
  </si>
  <si>
    <t>Mycobacterium phage Phlei</t>
  </si>
  <si>
    <t>PRJNA306344</t>
  </si>
  <si>
    <t>Unknown:NC_028662.1/KT206225.1</t>
  </si>
  <si>
    <t>Edwardsiella phage PEi20</t>
  </si>
  <si>
    <t>PRJNA306348</t>
  </si>
  <si>
    <t>Unknown:NC_028683.1/AP014714.1</t>
  </si>
  <si>
    <t>Streptococcus phage T12</t>
  </si>
  <si>
    <t>PRJNA306352</t>
  </si>
  <si>
    <t>Unknown:NC_028700.1/KM289195.1</t>
  </si>
  <si>
    <t>Mycobacterium bovis strain 30</t>
  </si>
  <si>
    <t>Klebsiella phage KpV41</t>
  </si>
  <si>
    <t>PRJNA306356</t>
  </si>
  <si>
    <t>Unknown:NC_028670.1/KT964103.1</t>
  </si>
  <si>
    <t>Cronobacter phage PBES 02</t>
  </si>
  <si>
    <t>PRJNA290132</t>
  </si>
  <si>
    <t>Unknown:NC_028672.1/KT353109.1</t>
  </si>
  <si>
    <t>Escherichia phage phi191</t>
  </si>
  <si>
    <t>PRJNA306275</t>
  </si>
  <si>
    <t>Unknown:NC_028660.1/KF971864.1</t>
  </si>
  <si>
    <t>Mycobacterium bovis strain BCG-1</t>
  </si>
  <si>
    <t>Hydrogenobaculum phage 1</t>
  </si>
  <si>
    <t>PRJNA306050</t>
  </si>
  <si>
    <t>Unknown:NC_028651.1/KP282676.1</t>
  </si>
  <si>
    <t>Enterobacteria phage VT2phi_272</t>
  </si>
  <si>
    <t>PRJNA306277</t>
  </si>
  <si>
    <t>Unknown:NC_028656.1/HQ424691.1</t>
  </si>
  <si>
    <t>Mycobacterium phage Sparkdehlily</t>
  </si>
  <si>
    <t>Mycobacterium bovis strain BCG-1 (Russia)</t>
  </si>
  <si>
    <t>PRJNA306281</t>
  </si>
  <si>
    <t>Unknown:NC_028654.1/KT895280.1</t>
  </si>
  <si>
    <t>Acinetobacter phage vB_AbaP_PD-AB9</t>
  </si>
  <si>
    <t>PRJNA306285</t>
  </si>
  <si>
    <t>Unknown:NC_028679.1/KT388103.1</t>
  </si>
  <si>
    <t>Klebsiella phage JD18</t>
  </si>
  <si>
    <t>PRJNA306289</t>
  </si>
  <si>
    <t>Mycobacterium canettii CIPT 140010059</t>
  </si>
  <si>
    <t>Unknown:NC_028686.1/KT239446.1</t>
  </si>
  <si>
    <t>Salmonella phage SEN5</t>
  </si>
  <si>
    <t>PRJNA306293</t>
  </si>
  <si>
    <t>NC_028701.2/KT630646.2</t>
  </si>
  <si>
    <t>Gordonia phage GMA3</t>
  </si>
  <si>
    <t>PRJNA306297</t>
  </si>
  <si>
    <t>Unknown:NC_028668.1/KR063279.1</t>
  </si>
  <si>
    <t>Mycobacterium phage Swish</t>
  </si>
  <si>
    <t>PRJNA306301</t>
  </si>
  <si>
    <t>Mycobacterium canettii CIPT 140060008</t>
  </si>
  <si>
    <t>Unknown:NC_028658.1/KJ194579.1</t>
  </si>
  <si>
    <t>Yersinia phage vB_YenP_AP10</t>
  </si>
  <si>
    <t>PRJNA306341</t>
  </si>
  <si>
    <t>Unknown:NC_028655.1/KT852574.1</t>
  </si>
  <si>
    <t>Mycobacterium phage Pops</t>
  </si>
  <si>
    <t>PRJNA306345</t>
  </si>
  <si>
    <t>Unknown:NC_028681.1/KR997967.1</t>
  </si>
  <si>
    <t>Streptococcus phage Str-PAP-1</t>
  </si>
  <si>
    <t>Mycobacterium canettii CIPT 140070008</t>
  </si>
  <si>
    <t>PRJNA306349</t>
  </si>
  <si>
    <t>Unknown:NC_028666.1/KP208803.1</t>
  </si>
  <si>
    <t>Pseudomonas phage PPPL-1</t>
  </si>
  <si>
    <t>PRJNA306353</t>
  </si>
  <si>
    <t>Unknown:NC_028661.1/KU064779.1</t>
  </si>
  <si>
    <t>Klebsiella phage vB_KpnM_KB57</t>
  </si>
  <si>
    <t>PRJNA269675</t>
  </si>
  <si>
    <t>Unknown:NC_028659.1/KT934943.1</t>
  </si>
  <si>
    <t>Enterococcus phage vB_EfaP_IME195</t>
  </si>
  <si>
    <t>PRJNA306279</t>
  </si>
  <si>
    <t>Mycobacterium canettii CIPT 140070010</t>
  </si>
  <si>
    <t>Unknown:NC_028693.1/KT932700.1</t>
  </si>
  <si>
    <t>Rhodococcus phage CosmicSans</t>
  </si>
  <si>
    <t>PRJNA306283</t>
  </si>
  <si>
    <t>Unknown:NC_028677.1/KT372002.1</t>
  </si>
  <si>
    <t>Staphylococcus phage phiJB</t>
  </si>
  <si>
    <t>PRJNA306287</t>
  </si>
  <si>
    <t>Unknown:NC_028669.1/KT344895.1</t>
  </si>
  <si>
    <t>Salmonella phage SEN22</t>
  </si>
  <si>
    <t>PRJNA306295</t>
  </si>
  <si>
    <t>Mycobacterium canettii CIPT 140070017</t>
  </si>
  <si>
    <t>NC_028696.2/KT630648.2</t>
  </si>
  <si>
    <t>Cyanophage P-TIM40</t>
  </si>
  <si>
    <t>PRJNA306299</t>
  </si>
  <si>
    <t>Unknown:NC_028663.1/KP211958.1</t>
  </si>
  <si>
    <t>Propionibacterium phage PA1-14</t>
  </si>
  <si>
    <t>PRJNA306339</t>
  </si>
  <si>
    <t>Unknown:NC_028694.1/KT934381.1</t>
  </si>
  <si>
    <t>Klebsiella phage vB_Kp1</t>
  </si>
  <si>
    <t>PRJNA306343</t>
  </si>
  <si>
    <t>Mycobacterium chelonae CCUG 47445</t>
  </si>
  <si>
    <t>Unknown:NC_028688.1/KT367885.1</t>
  </si>
  <si>
    <t>Delftia phage IME-DE1</t>
  </si>
  <si>
    <t>PRJNA306347</t>
  </si>
  <si>
    <t>Unknown:NC_028702.1/KR153873.1</t>
  </si>
  <si>
    <t>Mycobacterium phage Colbert</t>
  </si>
  <si>
    <t>PRJNA306351</t>
  </si>
  <si>
    <t>Unknown:NC_028689.1/GQ303259.1</t>
  </si>
  <si>
    <t>Mycobacterium phage Iracema64</t>
  </si>
  <si>
    <t>PRJNA306355</t>
  </si>
  <si>
    <t>Mycobacterium chelonae strain ATCC 35752</t>
  </si>
  <si>
    <t>Unknown:NC_028687.1/KU055616.1</t>
  </si>
  <si>
    <t>Enterobacter phage phiEap-2</t>
  </si>
  <si>
    <t>PRJNA285508</t>
  </si>
  <si>
    <t>NC_028695.2/KT287080.2</t>
  </si>
  <si>
    <t>Mycobacterium phage LadyBird</t>
  </si>
  <si>
    <t>PRJNA306786</t>
  </si>
  <si>
    <t>Unknown:NC_028744.1/KT588442.1</t>
  </si>
  <si>
    <t>Mycobacterium chubuense NBB4</t>
  </si>
  <si>
    <t>Mannheimia phage vB_MhS_587AP2</t>
  </si>
  <si>
    <t>PRJNA306787</t>
  </si>
  <si>
    <t>Unknown:NC_028743.1/KP137435.1</t>
  </si>
  <si>
    <t>Mycobacterium phage Baee</t>
  </si>
  <si>
    <t>PRJNA306892</t>
  </si>
  <si>
    <t>Unknown:NC_028742.1/KR080199.1</t>
  </si>
  <si>
    <t>Salmonella phage Shivani</t>
  </si>
  <si>
    <t>PRJNA307512</t>
  </si>
  <si>
    <t>Mycobacterium fortuitum strain CT6</t>
  </si>
  <si>
    <t>Unknown:NC_028754.1/KP143763.1</t>
  </si>
  <si>
    <t>Bacillus phage vB_BtS_BMBtp3</t>
  </si>
  <si>
    <t>PRJNA307686</t>
  </si>
  <si>
    <t>NC_028748.2/KJ024807.2</t>
  </si>
  <si>
    <t>Mycobacterium phage Brusacoram</t>
  </si>
  <si>
    <t>PRJNA307687</t>
  </si>
  <si>
    <t>Unknown:NC_028747.1/KT347313.1</t>
  </si>
  <si>
    <t>Brevibacillus phage Sundance</t>
  </si>
  <si>
    <t>Mycobacterium gilvum PYR-GCK</t>
  </si>
  <si>
    <t>PRJNA307688</t>
  </si>
  <si>
    <t>Unknown:NC_028749.1/KT151959.1</t>
  </si>
  <si>
    <t>Mycobacterium phage Equemioh13</t>
  </si>
  <si>
    <t>PRJNA307707</t>
  </si>
  <si>
    <t>Unknown:NC_028852.1/KJ959632.1</t>
  </si>
  <si>
    <t>Mycobacterium phage Bipolar</t>
  </si>
  <si>
    <t>PRJNA307708</t>
  </si>
  <si>
    <t>Mycobacterium gilvum Spyr1</t>
  </si>
  <si>
    <t>Unknown:NC_028823.1/KM597530.1</t>
  </si>
  <si>
    <t>Mycobacterium phage Abrogate</t>
  </si>
  <si>
    <t>PRJNA307709</t>
  </si>
  <si>
    <t>Unknown:NC_028920.1/KM597531.1</t>
  </si>
  <si>
    <t>Pseudomonas phage vB_PaeM_PS24</t>
  </si>
  <si>
    <t>PRJNA307710</t>
  </si>
  <si>
    <t>Unknown:NC_028882.1/KM434186.1</t>
  </si>
  <si>
    <t>Pseudomonas phage vB_Pae_PS44</t>
  </si>
  <si>
    <t>PRJNA307711</t>
  </si>
  <si>
    <t>Mycobacterium goodii strain X7B</t>
  </si>
  <si>
    <t>Unknown:NC_028939.1/KM434184.1</t>
  </si>
  <si>
    <t>Mycobacterium phage Ariel</t>
  </si>
  <si>
    <t>PRJNA307712</t>
  </si>
  <si>
    <t>Unknown:NC_028876.1/KM400683.1</t>
  </si>
  <si>
    <t>Mycobacterium phage Llama</t>
  </si>
  <si>
    <t>PRJNA307713</t>
  </si>
  <si>
    <t>Unknown:NC_028923.1/KM402757.1</t>
  </si>
  <si>
    <t>Mycobacterium haemophilum DSM 44634 = ATCC 29548</t>
  </si>
  <si>
    <t>Mycobacterium phage Omnicron</t>
  </si>
  <si>
    <t>PRJNA307714</t>
  </si>
  <si>
    <t>Unknown:NC_028832.1/KM363596.1</t>
  </si>
  <si>
    <t>Mycobacterium phage Tiffany</t>
  </si>
  <si>
    <t>PRJNA307715</t>
  </si>
  <si>
    <t>Unknown:NC_028757.1/KM101119.1</t>
  </si>
  <si>
    <t>Klebsiella phage KLPN1</t>
  </si>
  <si>
    <t>PRJNA307734</t>
  </si>
  <si>
    <t>Unknown:NC_028760.1/KR262148.1</t>
  </si>
  <si>
    <t>Sinorhizobium phage phiN3</t>
  </si>
  <si>
    <t>PRJNA307735</t>
  </si>
  <si>
    <t>Mycobacterium immunogenum strain CCUG 47286</t>
  </si>
  <si>
    <t>Unknown:NC_028945.1/KR052482.1</t>
  </si>
  <si>
    <t>Streptococcus phage APCM01</t>
  </si>
  <si>
    <t>PRJNA307736</t>
  </si>
  <si>
    <t>Unknown:NC_029030.1/KR153145.1</t>
  </si>
  <si>
    <t>Polaribacter phage P12002S</t>
  </si>
  <si>
    <t>PRJNA307737</t>
  </si>
  <si>
    <t>Unknown:NC_028763.1/KR136260.1</t>
  </si>
  <si>
    <t>Polaribacter phage P12002L</t>
  </si>
  <si>
    <t>Mycobacterium indicus pranii MTCC 9506</t>
  </si>
  <si>
    <t>PRJNA307738</t>
  </si>
  <si>
    <t>Unknown:NC_028924.1/KR136259.1</t>
  </si>
  <si>
    <t>Acinetobacter phage Fri1</t>
  </si>
  <si>
    <t>PRJNA307739</t>
  </si>
  <si>
    <t>Unknown:NC_028848.1/KR149290.1</t>
  </si>
  <si>
    <t>Mycobacterium phage ShedlockHolmes</t>
  </si>
  <si>
    <t>PRJNA307740</t>
  </si>
  <si>
    <t>Unknown:NC_028846.1/KR080206.1</t>
  </si>
  <si>
    <t>Mycobacterium intracellulare 1956</t>
  </si>
  <si>
    <t>Mycobacterium phage MOOREtheMARYer</t>
  </si>
  <si>
    <t>PRJNA307741</t>
  </si>
  <si>
    <t>Unknown:NC_028791.1/KR080202.1</t>
  </si>
  <si>
    <t>Mycobacterium phage Nerujay</t>
  </si>
  <si>
    <t>PRJNA307742</t>
  </si>
  <si>
    <t>Unknown:NC_028928.1/KR080201.1</t>
  </si>
  <si>
    <t>Mycobacterium phage Cambiare</t>
  </si>
  <si>
    <t>PRJNA307743</t>
  </si>
  <si>
    <t>Mycobacterium intracellulare ATCC 13950</t>
  </si>
  <si>
    <t>Unknown:NC_028922.1/KR080198.1</t>
  </si>
  <si>
    <t>Mycobacterium phage FlagStaff</t>
  </si>
  <si>
    <t>PRJNA307744</t>
  </si>
  <si>
    <t>Unknown:NC_028861.1/KR080197.1</t>
  </si>
  <si>
    <t>Mycobacterium phage Phayonce</t>
  </si>
  <si>
    <t>PRJNA307745</t>
  </si>
  <si>
    <t>Unknown:NC_028796.1/KR080195.1</t>
  </si>
  <si>
    <t>Mycobacterium phage Vincenzo</t>
  </si>
  <si>
    <t>PRJNA307746</t>
  </si>
  <si>
    <t>Mycobacterium intracellulare MOTT-02</t>
  </si>
  <si>
    <t>Unknown:NC_028934.1/KR080194.1</t>
  </si>
  <si>
    <t>Mycobacterium phage Luchador</t>
  </si>
  <si>
    <t>PRJNA307747</t>
  </si>
  <si>
    <t>Unknown:NC_028849.1/KR080193.1</t>
  </si>
  <si>
    <t>Enterococcus phage EFLK1</t>
  </si>
  <si>
    <t>PRJNA307748</t>
  </si>
  <si>
    <t>Unknown:NC_029026.1/KR049063.1</t>
  </si>
  <si>
    <t>Mycobacterium intracellulare MOTT-64</t>
  </si>
  <si>
    <t>Tsukamurella phage TIN3</t>
  </si>
  <si>
    <t>PRJNA307749</t>
  </si>
  <si>
    <t>Unknown:NC_028966.1/KR011063.1</t>
  </si>
  <si>
    <t>Tsukamurella phage TIN2</t>
  </si>
  <si>
    <t>PRJNA307750</t>
  </si>
  <si>
    <t>Unknown:NC_028865.1/KR011062.1</t>
  </si>
  <si>
    <t>Mycobacterium kansasii 662</t>
  </si>
  <si>
    <t>Paenibacillus phage Xenia</t>
  </si>
  <si>
    <t>PRJNA307751</t>
  </si>
  <si>
    <t>Unknown:NC_028837.1/KT361652.1</t>
  </si>
  <si>
    <t>Paenibacillus phage Vegas</t>
  </si>
  <si>
    <t>PRJNA307752</t>
  </si>
  <si>
    <t>Unknown:NC_028767.1/KT361654.1</t>
  </si>
  <si>
    <t>Paenibacillus phage Fern</t>
  </si>
  <si>
    <t>PRJNA307753</t>
  </si>
  <si>
    <t>Mycobacterium kansasii 824</t>
  </si>
  <si>
    <t>Unknown:NC_028851.1/KT361649.1</t>
  </si>
  <si>
    <t>Proteus phage vB_PmiM_Pm5461</t>
  </si>
  <si>
    <t>PRJNA307754</t>
  </si>
  <si>
    <t>Unknown:NC_028762.1/KP890823.1</t>
  </si>
  <si>
    <t>Proteus phage vB_PmiP_Pm5460</t>
  </si>
  <si>
    <t>PRJNA307755</t>
  </si>
  <si>
    <t>Unknown:NC_028916.1/KP890822.1</t>
  </si>
  <si>
    <t>Mycobacterium leprae Br4923</t>
  </si>
  <si>
    <t>Escherichia phage vB_EcoM_AYO145A</t>
  </si>
  <si>
    <t>PRJNA307756</t>
  </si>
  <si>
    <t>Unknown:NC_028825.1/KR014248.1</t>
  </si>
  <si>
    <t>Streptomyces phage TP1604</t>
  </si>
  <si>
    <t>PRJNA307757</t>
  </si>
  <si>
    <t>69.2</t>
  </si>
  <si>
    <t>Unknown:NC_028818.1/KP876466.1</t>
  </si>
  <si>
    <t>Streptomyces phage YDN12</t>
  </si>
  <si>
    <t>PRJNA307758</t>
  </si>
  <si>
    <t>Mycobacterium leprae TN</t>
  </si>
  <si>
    <t>Unknown:NC_028974.1/KP876465.1</t>
  </si>
  <si>
    <t>Acinetobacter phage YMC11/12/R2315</t>
  </si>
  <si>
    <t>PRJNA307759</t>
  </si>
  <si>
    <t>Unknown:NC_028855.1/KP861229.1</t>
  </si>
  <si>
    <t>Gordonia phage Gmala1</t>
  </si>
  <si>
    <t>PRJNA307760</t>
  </si>
  <si>
    <t>Mycobacterium liflandii 128FXT</t>
  </si>
  <si>
    <t>Unknown:NC_028972.1/KP790009.1</t>
  </si>
  <si>
    <t>Staphylococcus phage IME-SA4</t>
  </si>
  <si>
    <t>PRJNA307761</t>
  </si>
  <si>
    <t>Unknown:NC_029025.1/KP735928.1</t>
  </si>
  <si>
    <t>Klebsiella phage vB_KpnP_SU552A</t>
  </si>
  <si>
    <t>PRJNA307762</t>
  </si>
  <si>
    <t>Unknown:NC_028870.1/KP708986.1</t>
  </si>
  <si>
    <t>Mycobacterium marinum E11</t>
  </si>
  <si>
    <t>Klebsiella phage vB_KpnP_SU503</t>
  </si>
  <si>
    <t>PRJNA307763</t>
  </si>
  <si>
    <t>Unknown:NC_028816.1/KP708985.1</t>
  </si>
  <si>
    <t>Pseudomonas phage PhiPA3</t>
  </si>
  <si>
    <t>PRJNA307764</t>
  </si>
  <si>
    <t>Unknown:NC_028999.1/HQ630627.1</t>
  </si>
  <si>
    <t>Hawaiian green turtle herpesvirus</t>
  </si>
  <si>
    <t>PRJNA307765</t>
  </si>
  <si>
    <t>Unknown:NC_028891.1/AF035003.3</t>
  </si>
  <si>
    <t>Bacillus virus 250</t>
  </si>
  <si>
    <t>PRJNA307766</t>
  </si>
  <si>
    <t>Mycobacterium marinum M</t>
  </si>
  <si>
    <t>Unknown:NC_029024.1/GU229986.1</t>
  </si>
  <si>
    <t>Staphylococcus virus phiNM2</t>
  </si>
  <si>
    <t>PRJNA307771</t>
  </si>
  <si>
    <t>Unknown:NC_028913.1/DQ530360.1</t>
  </si>
  <si>
    <t>Asian prunus virus 3</t>
  </si>
  <si>
    <t>PRJNA307772</t>
  </si>
  <si>
    <t>Unknown:NC_028975.1/KT893296.1</t>
  </si>
  <si>
    <t>Asian prunus virus 2</t>
  </si>
  <si>
    <t>PRJNA307773</t>
  </si>
  <si>
    <t>Mycobacterium massiliense str. GO 06</t>
  </si>
  <si>
    <t>Unknown:NC_028868.1/KT893294.1</t>
  </si>
  <si>
    <t>Escherichia virus 186</t>
  </si>
  <si>
    <t>PRJNA307774</t>
  </si>
  <si>
    <t>Unknown:NC_001317.1/U32222.1</t>
  </si>
  <si>
    <t>Lactococcus virus Sl4</t>
  </si>
  <si>
    <t>PRJNA307775</t>
  </si>
  <si>
    <t>Unknown:NC_028900.1/FJ848881.1</t>
  </si>
  <si>
    <t>Mycobacterium microti strain 12</t>
  </si>
  <si>
    <t>Hordeum vulgare alphaendornavirus</t>
  </si>
  <si>
    <t>PRJNA307776</t>
  </si>
  <si>
    <t>Unknown:NC_028949.1/KT721705.1</t>
  </si>
  <si>
    <t>Pepper yellow leaf curl Thailand virus</t>
  </si>
  <si>
    <t>PRJNA307777</t>
  </si>
  <si>
    <t>A:NC_028989.1/KT322141.1</t>
  </si>
  <si>
    <t>Thelephora terrestris virus 1</t>
  </si>
  <si>
    <t>PRJNA307778</t>
  </si>
  <si>
    <t>Mycobacterium phlei strain CCUG 21000</t>
  </si>
  <si>
    <t>Unknown:NC_028921.1/KT191297.1</t>
  </si>
  <si>
    <t>Rabbit bocaparvovirus</t>
  </si>
  <si>
    <t>PRJNA307779</t>
  </si>
  <si>
    <t>Unknown:NC_028973.1/KP729195.1</t>
  </si>
  <si>
    <t>Tupaia hepatovirus A</t>
  </si>
  <si>
    <t>PRJNA307780</t>
  </si>
  <si>
    <t>Unknown:NC_028981.1/KT877158.1</t>
  </si>
  <si>
    <t>Avisivirus Pf-CHK1/AsV</t>
  </si>
  <si>
    <t>PRJNA307781</t>
  </si>
  <si>
    <t>Mycobacterium rhodesiae NBB3</t>
  </si>
  <si>
    <t>Unknown:NC_028970.1/KT880669.1</t>
  </si>
  <si>
    <t>Gallivirus Pf-CHK1/GV</t>
  </si>
  <si>
    <t>PRJNA307782</t>
  </si>
  <si>
    <t>Unknown:NC_028964.1/KT880666.1</t>
  </si>
  <si>
    <t>Swine enteric coronavirus</t>
  </si>
  <si>
    <t>PRJNA307783</t>
  </si>
  <si>
    <t>Unknown:NC_028806.1/KR061459.1</t>
  </si>
  <si>
    <t>Mycobacterium simiae strain MO323</t>
  </si>
  <si>
    <t>Colombian potato soil-borne virus</t>
  </si>
  <si>
    <t>PRJNA307784</t>
  </si>
  <si>
    <t>44.3488</t>
  </si>
  <si>
    <t>RNA 1:NC_029034.2/KT225271.2;  RNA 2:NC_029035.2/KT225272.2;  RNA 3:NC_029037.2/KT225273.2</t>
  </si>
  <si>
    <t>Phasey bean mild yellows virus</t>
  </si>
  <si>
    <t>PRJNA307785</t>
  </si>
  <si>
    <t>Unknown:NC_028793.1/KT962999.1</t>
  </si>
  <si>
    <t>Mycobacterium smegmatis INHR1</t>
  </si>
  <si>
    <t>Streptomyces phage phiSAJS1</t>
  </si>
  <si>
    <t>PRJNA307786</t>
  </si>
  <si>
    <t>Unknown:NC_029005.1/KT989433.1</t>
  </si>
  <si>
    <t>Penicillium aurantiogriseum totivirus 1</t>
  </si>
  <si>
    <t>PRJNA307787</t>
  </si>
  <si>
    <t>Unknown:NC_028948.1/KT592305.1</t>
  </si>
  <si>
    <t>Mycobacterium smegmatis INHR2</t>
  </si>
  <si>
    <t>Enterococcus phage vB_EfaS_IME196</t>
  </si>
  <si>
    <t>PRJNA307788</t>
  </si>
  <si>
    <t>Unknown:NC_028990.1/KT932701.1</t>
  </si>
  <si>
    <t>Enterococcus phage vB_EfaS_IME198</t>
  </si>
  <si>
    <t>PRJNA307789</t>
  </si>
  <si>
    <t>Unknown:NC_029016.1/KT932699.1</t>
  </si>
  <si>
    <t>Acinetobacter phage vB_AbaM_IME200</t>
  </si>
  <si>
    <t>PRJNA307790</t>
  </si>
  <si>
    <t>Mycobacterium smegmatis MKD8</t>
  </si>
  <si>
    <t>Unknown:NC_028987.1/KT804908.1</t>
  </si>
  <si>
    <t>Rat arterivirus Jilin2014</t>
  </si>
  <si>
    <t>PRJNA307791</t>
  </si>
  <si>
    <t>Unknown:NC_028963.1/KP280006.1</t>
  </si>
  <si>
    <t>Sulfolobales Virus YNP2</t>
  </si>
  <si>
    <t>PRJNA307792</t>
  </si>
  <si>
    <t>Unknown:NC_028992.1/KP282680.1</t>
  </si>
  <si>
    <t>Sulfolobales virus YNP1</t>
  </si>
  <si>
    <t>Mycobacterium smegmatis str. MC2 155</t>
  </si>
  <si>
    <t>PRJNA307793</t>
  </si>
  <si>
    <t>Unknown:NC_029027.1/KP282679.1</t>
  </si>
  <si>
    <t>Sulfolobus monocaudavirus SMV4</t>
  </si>
  <si>
    <t>PRJNA307794</t>
  </si>
  <si>
    <t>Unknown:NC_029011.1/KP282678.1</t>
  </si>
  <si>
    <t>Acidianus bottle-shaped virus 3</t>
  </si>
  <si>
    <t>PRJNA307795</t>
  </si>
  <si>
    <t>Unknown:NC_028787.1/KP282674.1</t>
  </si>
  <si>
    <t>Acidianus bottle-shaped virus 2</t>
  </si>
  <si>
    <t>PRJNA307796</t>
  </si>
  <si>
    <t>Unknown:NC_028938.1/KP282673.1</t>
  </si>
  <si>
    <t>Escherichia phage slur07</t>
  </si>
  <si>
    <t>PRJNA307797</t>
  </si>
  <si>
    <t>Unknown:NC_028780.1/LN881732.1</t>
  </si>
  <si>
    <t>Escherichia phage slur05</t>
  </si>
  <si>
    <t>PRJNA307798</t>
  </si>
  <si>
    <t>Unknown:NC_028901.1/LN881730.1</t>
  </si>
  <si>
    <t>Escherichia phage slur02</t>
  </si>
  <si>
    <t>PRJNA307799</t>
  </si>
  <si>
    <t>Unknown:NC_028927.1/LN881726.1</t>
  </si>
  <si>
    <t>Escherichia phage slur01</t>
  </si>
  <si>
    <t>PRJNA307800</t>
  </si>
  <si>
    <t>Unknown:NC_028831.1/LN881725.1</t>
  </si>
  <si>
    <t>Escherichia phage SUSP2</t>
  </si>
  <si>
    <t>PRJNA307801</t>
  </si>
  <si>
    <t>Unknown:NC_028935.1/KT454806.1</t>
  </si>
  <si>
    <t>Escherichia phage SUSP1</t>
  </si>
  <si>
    <t>Mycobacterium smegmatis strain NCTC8159</t>
  </si>
  <si>
    <t>PRJNA307802</t>
  </si>
  <si>
    <t>Unknown:NC_028808.1/KT454805.1</t>
  </si>
  <si>
    <t>Gokushovirinae GNX3R</t>
  </si>
  <si>
    <t>PRJNA307804</t>
  </si>
  <si>
    <t>Unknown:NC_028994.1/KP823396.1</t>
  </si>
  <si>
    <t>Gokushovirinae GAIR4</t>
  </si>
  <si>
    <t>PRJNA307805</t>
  </si>
  <si>
    <t>Mycobacterium sp. EPa45</t>
  </si>
  <si>
    <t>Unknown:NC_028993.1/KP823395.1</t>
  </si>
  <si>
    <t>Ralstonia phage RSF1</t>
  </si>
  <si>
    <t>PRJNA307806</t>
  </si>
  <si>
    <t>Unknown:NC_028899.1/AP014927.1</t>
  </si>
  <si>
    <t>Pseudomonas phage KPP21</t>
  </si>
  <si>
    <t>PRJNA307807</t>
  </si>
  <si>
    <t>Unknown:NC_029017.1/LC064302.1</t>
  </si>
  <si>
    <t>Mycobacterium sp. JDM601</t>
  </si>
  <si>
    <t>Mycobacterium phage Nhonho</t>
  </si>
  <si>
    <t>PRJNA307808</t>
  </si>
  <si>
    <t>Unknown:NC_028815.1/KR997934.1</t>
  </si>
  <si>
    <t>Mycobacterium phage Florinda</t>
  </si>
  <si>
    <t>PRJNA307809</t>
  </si>
  <si>
    <t>Unknown:NC_028889.1/KR997930.1</t>
  </si>
  <si>
    <t>Mycobacterium phage Barriga</t>
  </si>
  <si>
    <t>Mycobacterium sp. JLS</t>
  </si>
  <si>
    <t>PRJNA307810</t>
  </si>
  <si>
    <t>Unknown:NC_028804.1/KR997929.1</t>
  </si>
  <si>
    <t>Yersinia phage vB_YenP_ISAO8</t>
  </si>
  <si>
    <t>PRJNA307811</t>
  </si>
  <si>
    <t>Unknown:NC_028850.1/KT184661.1</t>
  </si>
  <si>
    <t>Staphylococcus phage vB_SauS_phi2</t>
  </si>
  <si>
    <t>PRJNA307812</t>
  </si>
  <si>
    <t>Unknown:NC_028862.1/KT186243.1</t>
  </si>
  <si>
    <t>Mycobacterium sp. KMS</t>
  </si>
  <si>
    <t>Citrobacter phage IME-CF2</t>
  </si>
  <si>
    <t>PRJNA307813</t>
  </si>
  <si>
    <t>Unknown:NC_029013.1/KR869820.1</t>
  </si>
  <si>
    <t>Klebsiella phage vB_KpnP_KpV289</t>
  </si>
  <si>
    <t>PRJNA307814</t>
  </si>
  <si>
    <t>Unknown:NC_028977.1/LN866626.1</t>
  </si>
  <si>
    <t>Stenotrophomonas phage vB_SmaS-DLP_2</t>
  </si>
  <si>
    <t>PRJNA307815</t>
  </si>
  <si>
    <t>Unknown:NC_029019.1/KR537871.1</t>
  </si>
  <si>
    <t>Parabacteroides phage YZ-2015b</t>
  </si>
  <si>
    <t>Mycobacterium sp. MCS</t>
  </si>
  <si>
    <t>PRJNA307816</t>
  </si>
  <si>
    <t>Unknown:NC_029014.1/KM589516.1</t>
  </si>
  <si>
    <t>Parabacteroides phage YZ-2015a</t>
  </si>
  <si>
    <t>PRJNA307817</t>
  </si>
  <si>
    <t>Unknown:NC_029012.1/KM589515.1</t>
  </si>
  <si>
    <t>Klebsiella phage K5</t>
  </si>
  <si>
    <t>PRJNA307818</t>
  </si>
  <si>
    <t>Mycobacterium sp. MOTT36Y</t>
  </si>
  <si>
    <t>Unknown:NC_028800.1/KR149291.1</t>
  </si>
  <si>
    <t>Pseudomonas phage DL68</t>
  </si>
  <si>
    <t>PRJNA307819</t>
  </si>
  <si>
    <t>Unknown:NC_028971.1/KR054033.1</t>
  </si>
  <si>
    <t>Pseudomonas phage DL64</t>
  </si>
  <si>
    <t>PRJNA307820</t>
  </si>
  <si>
    <t>Unknown:NC_028885.1/KR054032.1</t>
  </si>
  <si>
    <t>Mycobacterium sp. NRRL B-3805</t>
  </si>
  <si>
    <t>Pseudomonas phage DL62</t>
  </si>
  <si>
    <t>PRJNA307821</t>
  </si>
  <si>
    <t>Unknown:NC_028836.1/KR054031.1</t>
  </si>
  <si>
    <t>Pseudomonas phage DL54</t>
  </si>
  <si>
    <t>PRJNA307822</t>
  </si>
  <si>
    <t>Unknown:NC_028919.1/KR054029.1</t>
  </si>
  <si>
    <t>Mycobacterium sp. QIA-37</t>
  </si>
  <si>
    <t>Enterobacter phage E-3</t>
  </si>
  <si>
    <t>PRJNA307823</t>
  </si>
  <si>
    <t>Unknown:NC_028795.1/KP791806.1</t>
  </si>
  <si>
    <t>Staphylococcus phage B236</t>
  </si>
  <si>
    <t>PRJNA307824</t>
  </si>
  <si>
    <t>Unknown:NC_028915.1/KP893290.1</t>
  </si>
  <si>
    <t>Mycobacterium sp. YC-RL4</t>
  </si>
  <si>
    <t>Staphylococcus phage B166</t>
  </si>
  <si>
    <t>PRJNA307825</t>
  </si>
  <si>
    <t>Unknown:NC_028859.1/KP893289.1</t>
  </si>
  <si>
    <t>Pseudoalteromonas phage H103</t>
  </si>
  <si>
    <t>PRJNA307826</t>
  </si>
  <si>
    <t>Unknown:NC_028819.1/KP994596.1</t>
  </si>
  <si>
    <t>Vibrio phage ValKK3</t>
  </si>
  <si>
    <t>Mycobacterium tuberculosis 18b</t>
  </si>
  <si>
    <t>PRJNA307827</t>
  </si>
  <si>
    <t>Unknown:NC_028829.1/KP671755.1</t>
  </si>
  <si>
    <t>Enterobacteria phage JenP2</t>
  </si>
  <si>
    <t>PRJNA307828</t>
  </si>
  <si>
    <t>Unknown:NC_028997.1/KP719133.1</t>
  </si>
  <si>
    <t>Enterobacteria phage JenP1</t>
  </si>
  <si>
    <t>PRJNA307829</t>
  </si>
  <si>
    <t>Mycobacterium tuberculosis 49-02</t>
  </si>
  <si>
    <t>Unknown:NC_029028.1/KP719132.1</t>
  </si>
  <si>
    <t>Enterobacteria phage JenK1</t>
  </si>
  <si>
    <t>PRJNA307830</t>
  </si>
  <si>
    <t>Unknown:NC_029021.1/KP719134.1</t>
  </si>
  <si>
    <t>Escherichia phage CAjan</t>
  </si>
  <si>
    <t>PRJNA307831</t>
  </si>
  <si>
    <t>Unknown:NC_028776.1/KP064094.1</t>
  </si>
  <si>
    <t>Streptococcus phage M102AD</t>
  </si>
  <si>
    <t>PRJNA307832</t>
  </si>
  <si>
    <t>Unknown:NC_028984.1/DQ386162.1</t>
  </si>
  <si>
    <t>Ralstonia phage RSL2</t>
  </si>
  <si>
    <t>PRJNA307833</t>
  </si>
  <si>
    <t>Mycobacterium tuberculosis 7199-99</t>
  </si>
  <si>
    <t>Unknown:NC_028950.1/AP014693.1</t>
  </si>
  <si>
    <t>Sulfolobus monocaudavirus SMV2</t>
  </si>
  <si>
    <t>PRJNA307834</t>
  </si>
  <si>
    <t>Unknown:NC_029020.1/KP238129.1</t>
  </si>
  <si>
    <t>Staphylococcus phage phiIPLA-C1C</t>
  </si>
  <si>
    <t>PRJNA307835</t>
  </si>
  <si>
    <t>Mycobacterium tuberculosis BT1</t>
  </si>
  <si>
    <t>Unknown:NC_028962.1/KP027447.1</t>
  </si>
  <si>
    <t>Staphylococcus phage phiIPLA-RODI</t>
  </si>
  <si>
    <t>PRJNA307836</t>
  </si>
  <si>
    <t>Unknown:NC_028765.1/KP027446.1</t>
  </si>
  <si>
    <t>Prochlorococcus phage P-TIM68</t>
  </si>
  <si>
    <t>PRJNA307841</t>
  </si>
  <si>
    <t>Unknown:NC_028955.1/KM359505.1</t>
  </si>
  <si>
    <t>Mycobacterium tuberculosis BT2</t>
  </si>
  <si>
    <t>Ralstonia phage RSJ5</t>
  </si>
  <si>
    <t>PRJNA307842</t>
  </si>
  <si>
    <t>Unknown:NC_029007.1/AB983711.1</t>
  </si>
  <si>
    <t>Clostridium phage phiCDHM19</t>
  </si>
  <si>
    <t>PRJNA307843</t>
  </si>
  <si>
    <t>Unknown:NC_028996.1/LK985322.1</t>
  </si>
  <si>
    <t>Mycobacterium tuberculosis CAS/NITR204</t>
  </si>
  <si>
    <t>Staphylococcus phage 23MRA</t>
  </si>
  <si>
    <t>PRJNA307844</t>
  </si>
  <si>
    <t>Unknown:NC_028775.1/KJ452292.1</t>
  </si>
  <si>
    <t>Staphylococcus phage 3MRA</t>
  </si>
  <si>
    <t>PRJNA307845</t>
  </si>
  <si>
    <t>Unknown:NC_028917.1/KJ452291.1</t>
  </si>
  <si>
    <t>Fox fecal rhabdovirus</t>
  </si>
  <si>
    <t>PRJNA307846</t>
  </si>
  <si>
    <t>Mycobacterium tuberculosis CCDC5079</t>
  </si>
  <si>
    <t>Unknown:NC_028867.1/KF823814.1</t>
  </si>
  <si>
    <t>BtRf-AlphaCoV/YN2012</t>
  </si>
  <si>
    <t>PRJNA307855</t>
  </si>
  <si>
    <t>Unknown:NC_028824.1/KJ473808.1</t>
  </si>
  <si>
    <t>BtRf-AlphaCoV/HuB2013</t>
  </si>
  <si>
    <t>PRJNA307856</t>
  </si>
  <si>
    <t>Unknown:NC_028814.1/KJ473807.1</t>
  </si>
  <si>
    <t>BtNv-AlphaCoV/SC2013</t>
  </si>
  <si>
    <t>PRJNA307857</t>
  </si>
  <si>
    <t>Unknown:NC_028833.1/KJ473809.1</t>
  </si>
  <si>
    <t>BtMr-AlphaCoV/SAX2011</t>
  </si>
  <si>
    <t>PRJNA307859</t>
  </si>
  <si>
    <t>Mycobacterium tuberculosis CCDC5180</t>
  </si>
  <si>
    <t>Unknown:NC_028811.1/KJ473806.1</t>
  </si>
  <si>
    <t>Ralstonia phage RSJ2</t>
  </si>
  <si>
    <t>PRJNA307866</t>
  </si>
  <si>
    <t>Unknown:NC_028988.1/AB920995.1</t>
  </si>
  <si>
    <t>Currant latent virus</t>
  </si>
  <si>
    <t>PRJNA307867</t>
  </si>
  <si>
    <t>41.499</t>
  </si>
  <si>
    <t>RNA1:NC_029038.1/KT692952.1;  RNA2:NC_029036.1/KT692953.1</t>
  </si>
  <si>
    <t>Clostridium phage phiCDHM11</t>
  </si>
  <si>
    <t>PRJNA307868</t>
  </si>
  <si>
    <t>Unknown:NC_029001.1/HG798901.1</t>
  </si>
  <si>
    <t>Malvastrum yellow vein Chitwan betasatellite</t>
  </si>
  <si>
    <t>PRJNA307869</t>
  </si>
  <si>
    <t>DNA-B:NC_028875.1/JQ327842.1</t>
  </si>
  <si>
    <t>Stenotrophomonas phage IME13</t>
  </si>
  <si>
    <t>Mycobacterium tuberculosis CDC1551</t>
  </si>
  <si>
    <t>PRJNA307871</t>
  </si>
  <si>
    <t>Unknown:NC_029000.1/JX306041.1</t>
  </si>
  <si>
    <t>Escherichia virus phiK</t>
  </si>
  <si>
    <t>PRJNA307872</t>
  </si>
  <si>
    <t>Unknown:NC_001730.1/X60323.1</t>
  </si>
  <si>
    <t>Mycobacterium phage OSmaximus</t>
  </si>
  <si>
    <t>PRJNA307873</t>
  </si>
  <si>
    <t>Unknown:NC_028803.1/JN006064.1</t>
  </si>
  <si>
    <t>Mycobacterium tuberculosis CTRI-2</t>
  </si>
  <si>
    <t>Enterobacteria phage WPhi</t>
  </si>
  <si>
    <t>PRJNA307874</t>
  </si>
  <si>
    <t>Unknown:NC_005056.1/AY135739.1</t>
  </si>
  <si>
    <t>Lactobacillus phage iLp1308</t>
  </si>
  <si>
    <t>PRJNA307876</t>
  </si>
  <si>
    <t>Unknown:NC_028911.1/KR905070.1</t>
  </si>
  <si>
    <t>Lactobacillus phage iLp84</t>
  </si>
  <si>
    <t>PRJNA307877</t>
  </si>
  <si>
    <t>Mycobacterium tuberculosis EAI5</t>
  </si>
  <si>
    <t>Unknown:NC_028783.1/KR905069.1</t>
  </si>
  <si>
    <t>Lactobacillus phage iA2</t>
  </si>
  <si>
    <t>PRJNA307878</t>
  </si>
  <si>
    <t>Unknown:NC_028830.1/KR905068.1</t>
  </si>
  <si>
    <t>Lactobacillus phage CL2</t>
  </si>
  <si>
    <t>PRJNA307879</t>
  </si>
  <si>
    <t>Unknown:NC_028835.1/KR905067.1</t>
  </si>
  <si>
    <t>Mycobacterium tuberculosis EAI5/NITR206</t>
  </si>
  <si>
    <t>Lactobacillus phage CL1</t>
  </si>
  <si>
    <t>PRJNA307880</t>
  </si>
  <si>
    <t>Unknown:NC_028888.1/KR905066.1</t>
  </si>
  <si>
    <t>Bacillus phage VMY22</t>
  </si>
  <si>
    <t>PRJNA307881</t>
  </si>
  <si>
    <t>Unknown:NC_028789.1/KT780304.1</t>
  </si>
  <si>
    <t>Mycobacterium tuberculosis F11</t>
  </si>
  <si>
    <t>Staphylococcus phage StB20-like</t>
  </si>
  <si>
    <t>PRJNA307882</t>
  </si>
  <si>
    <t>Unknown:NC_028821.1/KT429161.1</t>
  </si>
  <si>
    <t>Mycobacterium phage Mufasa</t>
  </si>
  <si>
    <t>PRJNA307883</t>
  </si>
  <si>
    <t>68.2</t>
  </si>
  <si>
    <t>Unknown:NC_028759.1/KT591490.1</t>
  </si>
  <si>
    <t>Mycobacterium phage Archie</t>
  </si>
  <si>
    <t>PRJNA307884</t>
  </si>
  <si>
    <t>Unknown:NC_028878.1/KT591489.1</t>
  </si>
  <si>
    <t>Pseudomonas phage PAE1</t>
  </si>
  <si>
    <t>PRJNA307885</t>
  </si>
  <si>
    <t>Unknown:NC_028980.1/KT734862.1</t>
  </si>
  <si>
    <t>Mycobacterium phage Theia</t>
  </si>
  <si>
    <t>PRJNA307886</t>
  </si>
  <si>
    <t>Mycobacterium tuberculosis H37Ra</t>
  </si>
  <si>
    <t>Unknown:NC_028960.1/KT438501.1</t>
  </si>
  <si>
    <t>Mycobacterium phage Pari</t>
  </si>
  <si>
    <t>PRJNA307887</t>
  </si>
  <si>
    <t>Unknown:NC_028874.1/KT438500.1</t>
  </si>
  <si>
    <t>Paenibacillus phage Tripp</t>
  </si>
  <si>
    <t>PRJNA307888</t>
  </si>
  <si>
    <t>Mycobacterium tuberculosis H37Rv</t>
  </si>
  <si>
    <t>Unknown:NC_028930.1/KT755656.1</t>
  </si>
  <si>
    <t>Enterococcus phage IME-EFm5</t>
  </si>
  <si>
    <t>PRJNA307889</t>
  </si>
  <si>
    <t>Unknown:NC_028826.1/KT588072.1</t>
  </si>
  <si>
    <t>Pseudomonas phage K8</t>
  </si>
  <si>
    <t>PRJNA307890</t>
  </si>
  <si>
    <t>Unknown:NC_028817.1/KT736033.1</t>
  </si>
  <si>
    <t>Mycobacterium phage Serenity</t>
  </si>
  <si>
    <t>PRJNA307891</t>
  </si>
  <si>
    <t>Unknown:NC_028932.1/KT381276.1</t>
  </si>
  <si>
    <t>Mycobacterium phage Turj99</t>
  </si>
  <si>
    <t>PRJNA307892</t>
  </si>
  <si>
    <t>Mycobacterium tuberculosis H37Rv (Broad)</t>
  </si>
  <si>
    <t>Unknown:NC_028941.1/KT388014.1</t>
  </si>
  <si>
    <t>Mycobacterium phage TheloniousMonk</t>
  </si>
  <si>
    <t>PRJNA307893</t>
  </si>
  <si>
    <t>Unknown:NC_028828.1/KT363731.1</t>
  </si>
  <si>
    <t>Mycobacterium phage XFactor</t>
  </si>
  <si>
    <t>PRJNA307894</t>
  </si>
  <si>
    <t>Unknown:NC_028910.1/KT281795.1</t>
  </si>
  <si>
    <t>Mycobacterium tuberculosis H37RvAE</t>
  </si>
  <si>
    <t>Mycobacterium phage Snenia</t>
  </si>
  <si>
    <t>PRJNA307895</t>
  </si>
  <si>
    <t>Unknown:NC_028778.1/KT281794.1</t>
  </si>
  <si>
    <t>Camel alphacoronavirus</t>
  </si>
  <si>
    <t>PRJNA306529</t>
  </si>
  <si>
    <t>Unknown:NC_028752.1/KT368907.1</t>
  </si>
  <si>
    <t>Pseudomonas phage DL60</t>
  </si>
  <si>
    <t>PRJNA307055</t>
  </si>
  <si>
    <t>Mycobacterium tuberculosis H37RvCO</t>
  </si>
  <si>
    <t>Unknown:NC_028745.1/KR054030.1</t>
  </si>
  <si>
    <t>Paenibacillus phage Harrison</t>
  </si>
  <si>
    <t>PRJNA307065</t>
  </si>
  <si>
    <t>Unknown:NC_028746.1/KT361651.1</t>
  </si>
  <si>
    <t>Mycobacterium phage Quico</t>
  </si>
  <si>
    <t>Mycobacterium tuberculosis H37RvHA</t>
  </si>
  <si>
    <t>PRJNA307201</t>
  </si>
  <si>
    <t>Unknown:NC_028751.1/KR997968.1</t>
  </si>
  <si>
    <t>Bacillus phage Eyuki</t>
  </si>
  <si>
    <t>PRJNA307716</t>
  </si>
  <si>
    <t>Unknown:NC_028944.1/KT207918.1</t>
  </si>
  <si>
    <t>Mycobacterium tuberculosis H37RvJO</t>
  </si>
  <si>
    <t>Streptomyces phage Caliburn</t>
  </si>
  <si>
    <t>PRJNA307717</t>
  </si>
  <si>
    <t>Unknown:NC_028892.1/KT152029.1</t>
  </si>
  <si>
    <t>Mycobacterium phage NelitzaMV</t>
  </si>
  <si>
    <t>PRJNA307718</t>
  </si>
  <si>
    <t>Unknown:NC_028785.1/KT222941.1</t>
  </si>
  <si>
    <t>Klebsiella phage Sushi</t>
  </si>
  <si>
    <t>PRJNA307719</t>
  </si>
  <si>
    <t>Mycobacterium tuberculosis H37RvLP</t>
  </si>
  <si>
    <t>Unknown:NC_028774.1/KT001920.1</t>
  </si>
  <si>
    <t>Bacillus phage Pavlov</t>
  </si>
  <si>
    <t>PRJNA307720</t>
  </si>
  <si>
    <t>Unknown:NC_028782.1/KT001911.1</t>
  </si>
  <si>
    <t>Streptomyces phage Lannister</t>
  </si>
  <si>
    <t>PRJNA307721</t>
  </si>
  <si>
    <t>Mycobacterium tuberculosis H37RvMA</t>
  </si>
  <si>
    <t>Unknown:NC_028827.1/KT184391.1</t>
  </si>
  <si>
    <t>Streptomyces phage Izzy</t>
  </si>
  <si>
    <t>PRJNA307722</t>
  </si>
  <si>
    <t>Unknown:NC_028976.1/KT184390.1</t>
  </si>
  <si>
    <t>Mycobacterium phage Ovechkin</t>
  </si>
  <si>
    <t>PRJNA307723</t>
  </si>
  <si>
    <t>Unknown:NC_028937.1/KR824843.1</t>
  </si>
  <si>
    <t>Streptomyces phage Amela</t>
  </si>
  <si>
    <t>Mycobacterium tuberculosis H37RvSiena</t>
  </si>
  <si>
    <t>PRJNA307724</t>
  </si>
  <si>
    <t>Unknown:NC_028904.1/KT186228.1</t>
  </si>
  <si>
    <t>Mycobacterium phage Seagreen</t>
  </si>
  <si>
    <t>PRJNA307896</t>
  </si>
  <si>
    <t>Unknown:NC_028813.1/KT281793.1</t>
  </si>
  <si>
    <t>Mycobacterium phage PopTart</t>
  </si>
  <si>
    <t>Mycobacterium tuberculosis HKBS1</t>
  </si>
  <si>
    <t>PRJNA307897</t>
  </si>
  <si>
    <t>Unknown:NC_028961.1/KT281792.1</t>
  </si>
  <si>
    <t>Mycobacterium phage Lolly9</t>
  </si>
  <si>
    <t>PRJNA307898</t>
  </si>
  <si>
    <t>Unknown:NC_028843.1/KT281791.1</t>
  </si>
  <si>
    <t>Mycobacterium phage HyRo</t>
  </si>
  <si>
    <t>PRJNA307899</t>
  </si>
  <si>
    <t>Mycobacterium tuberculosis K</t>
  </si>
  <si>
    <t>Unknown:NC_028869.1/KT281790.1</t>
  </si>
  <si>
    <t>Mycobacterium phage Enkosi</t>
  </si>
  <si>
    <t>PRJNA307900</t>
  </si>
  <si>
    <t>Unknown:NC_028936.1/KT281789.1</t>
  </si>
  <si>
    <t>Bacillus phage AvesoBmore</t>
  </si>
  <si>
    <t>PRJNA307901</t>
  </si>
  <si>
    <t>Unknown:NC_028887.1/KT307976.1</t>
  </si>
  <si>
    <t>Mycobacterium tuberculosis KZN 1435</t>
  </si>
  <si>
    <t>Mycobacterium phage Rufus</t>
  </si>
  <si>
    <t>PRJNA307902</t>
  </si>
  <si>
    <t>Unknown:NC_028810.1/KT259047.1</t>
  </si>
  <si>
    <t>Mycobacterium phage Tasp14</t>
  </si>
  <si>
    <t>PRJNA307903</t>
  </si>
  <si>
    <t>Unknown:NC_028784.1/KT326768.1</t>
  </si>
  <si>
    <t>Mycobacterium phage Pioneer</t>
  </si>
  <si>
    <t>PRJNA307904</t>
  </si>
  <si>
    <t>Unknown:NC_028965.1/KT285706.1</t>
  </si>
  <si>
    <t>Mycobacterium phage Chadwick</t>
  </si>
  <si>
    <t>PRJNA307905</t>
  </si>
  <si>
    <t>Mycobacterium tuberculosis KZN 4207 (Broad)</t>
  </si>
  <si>
    <t>Unknown:NC_028897.1/KT246486.1</t>
  </si>
  <si>
    <t>Mycobacterium phage Dante</t>
  </si>
  <si>
    <t>PRJNA307906</t>
  </si>
  <si>
    <t>Unknown:NC_028946.1/KT309034.1</t>
  </si>
  <si>
    <t>Mycobacterium phage Phatniss</t>
  </si>
  <si>
    <t>PRJNA307907</t>
  </si>
  <si>
    <t>Unknown:NC_028844.1/KT279576.1</t>
  </si>
  <si>
    <t>Mycobacterium phage BrownCNA</t>
  </si>
  <si>
    <t>PRJNA307908</t>
  </si>
  <si>
    <t>Mycobacterium tuberculosis PanR0201</t>
  </si>
  <si>
    <t>Unknown:NC_028968.1/KT270441.1</t>
  </si>
  <si>
    <t>Brevibacillus phage Osiris</t>
  </si>
  <si>
    <t>PRJNA307909</t>
  </si>
  <si>
    <t>Unknown:NC_028969.1/KT151956.1</t>
  </si>
  <si>
    <t>Brevibacillus phage Jenst</t>
  </si>
  <si>
    <t>PRJNA307910</t>
  </si>
  <si>
    <t>Unknown:NC_028805.1/KT151955.1</t>
  </si>
  <si>
    <t>Mycobacterium tuberculosis PanR0202</t>
  </si>
  <si>
    <t>Streptomyces phage SF3</t>
  </si>
  <si>
    <t>PRJNA307911</t>
  </si>
  <si>
    <t>Unknown:NC_028952.1/KT221034.1</t>
  </si>
  <si>
    <t>Streptomyces phage SF1</t>
  </si>
  <si>
    <t>PRJNA307912</t>
  </si>
  <si>
    <t>Unknown:NC_028807.1/KT221033.1</t>
  </si>
  <si>
    <t>Propionibacterium phage PAC1</t>
  </si>
  <si>
    <t>PRJNA307913</t>
  </si>
  <si>
    <t>Mycobacterium tuberculosis PanR0203</t>
  </si>
  <si>
    <t>Unknown:NC_028967.1/KR902978.1</t>
  </si>
  <si>
    <t>Bacillus phage TsarBomba</t>
  </si>
  <si>
    <t>PRJNA307914</t>
  </si>
  <si>
    <t>Unknown:NC_028890.1/KT224359.1</t>
  </si>
  <si>
    <t>Klebsiella phage 1513</t>
  </si>
  <si>
    <t>PRJNA307915</t>
  </si>
  <si>
    <t>Mycobacterium tuberculosis PanR0205</t>
  </si>
  <si>
    <t>Unknown:NC_028786.1/KP658157.1</t>
  </si>
  <si>
    <t>Mycobacterium phage Kratio</t>
  </si>
  <si>
    <t>PRJNA307916</t>
  </si>
  <si>
    <t>Unknown:NC_028947.1/KM923971.1</t>
  </si>
  <si>
    <t>Escherichia phage 172-1</t>
  </si>
  <si>
    <t>PRJNA307917</t>
  </si>
  <si>
    <t>Unknown:NC_028903.1/KP308307.1</t>
  </si>
  <si>
    <t>Mycobacterium tuberculosis PanR0206</t>
  </si>
  <si>
    <t>Enterococcus phage EFDG1</t>
  </si>
  <si>
    <t>PRJNA307918</t>
  </si>
  <si>
    <t>Unknown:NC_029009.1/KP339049.1</t>
  </si>
  <si>
    <t>Bacillus phage Palmer</t>
  </si>
  <si>
    <t>PRJNA307919</t>
  </si>
  <si>
    <t>Unknown:NC_028926.1/KP411017.1</t>
  </si>
  <si>
    <t>Mycobacterium tuberculosis PanR0207</t>
  </si>
  <si>
    <t>Listeria phage vB_LmoS_293</t>
  </si>
  <si>
    <t>PRJNA307920</t>
  </si>
  <si>
    <t>Unknown:NC_028929.1/KP399678.1</t>
  </si>
  <si>
    <t>Listeria phage vB_LmoS_188</t>
  </si>
  <si>
    <t>PRJNA307921</t>
  </si>
  <si>
    <t>Unknown:NC_028871.1/KP399677.1</t>
  </si>
  <si>
    <t>Paenibacillus phage Sitara</t>
  </si>
  <si>
    <t>Mycobacterium tuberculosis PanR0208</t>
  </si>
  <si>
    <t>PRJNA307922</t>
  </si>
  <si>
    <t>Unknown:NC_028854.1/KP296796.1</t>
  </si>
  <si>
    <t>Bacteriophage Lily</t>
  </si>
  <si>
    <t>PRJNA307923</t>
  </si>
  <si>
    <t>Unknown:NC_028841.1/KP296792.1</t>
  </si>
  <si>
    <t>Paenibacillus phage Diva</t>
  </si>
  <si>
    <t>PRJNA307924</t>
  </si>
  <si>
    <t>Unknown:NC_028788.1/KP296791.1</t>
  </si>
  <si>
    <t>Mycobacterium tuberculosis PanR0209</t>
  </si>
  <si>
    <t>Paenibacillus phage HB10c2</t>
  </si>
  <si>
    <t>PRJNA307925</t>
  </si>
  <si>
    <t>Unknown:NC_028758.1/KP202972.1</t>
  </si>
  <si>
    <t>Achromobacter phage 83-24</t>
  </si>
  <si>
    <t>PRJNA307926</t>
  </si>
  <si>
    <t>Unknown:NC_028834.1/KP202970.1</t>
  </si>
  <si>
    <t>Achromobacter phage JWX</t>
  </si>
  <si>
    <t>Mycobacterium tuberculosis PanR0301</t>
  </si>
  <si>
    <t>PRJNA307927</t>
  </si>
  <si>
    <t>Unknown:NC_028768.1/KP202969.1</t>
  </si>
  <si>
    <t>Vibrio phage phi 3</t>
  </si>
  <si>
    <t>PRJNA307928</t>
  </si>
  <si>
    <t>Unknown:NC_028895.1/KP280063.1</t>
  </si>
  <si>
    <t>Vibrio phage phi 1</t>
  </si>
  <si>
    <t>PRJNA307929</t>
  </si>
  <si>
    <t>Mycobacterium tuberculosis PanR0304</t>
  </si>
  <si>
    <t>Unknown:NC_028799.1/KP280062.1</t>
  </si>
  <si>
    <t>Mycobacterium phage Sheen</t>
  </si>
  <si>
    <t>PRJNA307930</t>
  </si>
  <si>
    <t>Unknown:NC_028914.1/KP273225.1</t>
  </si>
  <si>
    <t>Mycobacterium tuberculosis PanR0305</t>
  </si>
  <si>
    <t>Pseudomonas phage PhiCHU</t>
  </si>
  <si>
    <t>PRJNA307931</t>
  </si>
  <si>
    <t>Unknown:NC_028933.1/KP233880.1</t>
  </si>
  <si>
    <t>Yersinia phage vB_YenM_TG1</t>
  </si>
  <si>
    <t>PRJNA307932</t>
  </si>
  <si>
    <t>Unknown:NC_028820.1/KP202158.1</t>
  </si>
  <si>
    <t>Mycobacterium phage MarQuardt</t>
  </si>
  <si>
    <t>PRJNA307933</t>
  </si>
  <si>
    <t>Mycobacterium tuberculosis PanR0306</t>
  </si>
  <si>
    <t>Unknown:NC_028798.1/KM233454.1</t>
  </si>
  <si>
    <t>Escherichia phage QL01</t>
  </si>
  <si>
    <t>PRJNA307727</t>
  </si>
  <si>
    <t>Unknown:NC_028847.1/KT176190.1</t>
  </si>
  <si>
    <t>Rhodobacter phage RcRhea</t>
  </si>
  <si>
    <t>PRJNA307728</t>
  </si>
  <si>
    <t>Unknown:NC_028954.1/KR935216.1</t>
  </si>
  <si>
    <t>Mycobacterium tuberculosis PanR0307</t>
  </si>
  <si>
    <t>Mycobacterium phage Kimberlium</t>
  </si>
  <si>
    <t>PRJNA307729</t>
  </si>
  <si>
    <t>Unknown:NC_028792.1/KR935214.1</t>
  </si>
  <si>
    <t>Escherichia phage pro483</t>
  </si>
  <si>
    <t>PRJNA307730</t>
  </si>
  <si>
    <t>Unknown:NC_028943.1/KR073661.1</t>
  </si>
  <si>
    <t>Mycobacterium tuberculosis PanR0308</t>
  </si>
  <si>
    <t>Escherichia phage pro147</t>
  </si>
  <si>
    <t>PRJNA307731</t>
  </si>
  <si>
    <t>Unknown:NC_028896.1/KR073660.1</t>
  </si>
  <si>
    <t>Salmonella phage SEN4</t>
  </si>
  <si>
    <t>PRJNA307732</t>
  </si>
  <si>
    <t>NC_029015.2/KT630645.2</t>
  </si>
  <si>
    <t>Salmonella phage SEN1</t>
  </si>
  <si>
    <t>Mycobacterium tuberculosis PanR0309</t>
  </si>
  <si>
    <t>PRJNA307733</t>
  </si>
  <si>
    <t>NC_029003.2/KT630644.2</t>
  </si>
  <si>
    <t>Mycobacterium phage UnionJack</t>
  </si>
  <si>
    <t>PRJNA307725</t>
  </si>
  <si>
    <t>Unknown:NC_028802.1/KT004677.1</t>
  </si>
  <si>
    <t>Mycobacterium phage Smeadley</t>
  </si>
  <si>
    <t>PRJNA307726</t>
  </si>
  <si>
    <t>Mycobacterium tuberculosis PanR0311</t>
  </si>
  <si>
    <t>Unknown:NC_028860.1/KT184694.1</t>
  </si>
  <si>
    <t>Enterobacteria phage SP</t>
  </si>
  <si>
    <t>PRJNA15459</t>
  </si>
  <si>
    <t>Unknown:NC_004301.1/X07489.1</t>
  </si>
  <si>
    <t>Staphylococcus phage SA97</t>
  </si>
  <si>
    <t>PRJNA307934</t>
  </si>
  <si>
    <t>Unknown:NC_029010.1/KJ716334.1</t>
  </si>
  <si>
    <t>Mycobacterium tuberculosis PanR0313</t>
  </si>
  <si>
    <t>Pectobacterium bacteriophage PM2</t>
  </si>
  <si>
    <t>PRJNA307935</t>
  </si>
  <si>
    <t>Unknown:NC_028940.1/KF835987.1</t>
  </si>
  <si>
    <t>Mycobacterium phage Cheetobro</t>
  </si>
  <si>
    <t>PRJNA307936</t>
  </si>
  <si>
    <t>Unknown:NC_028979.1/KJ944841.1</t>
  </si>
  <si>
    <t>Mycobacterium tuberculosis PanR0314</t>
  </si>
  <si>
    <t>Mycobacterium phage Piro94</t>
  </si>
  <si>
    <t>PRJNA307937</t>
  </si>
  <si>
    <t>Unknown:NC_028794.1/KM197169.1</t>
  </si>
  <si>
    <t>Escherichia phage HY02</t>
  </si>
  <si>
    <t>PRJNA307938</t>
  </si>
  <si>
    <t>Unknown:NC_028872.1/KM092515.1</t>
  </si>
  <si>
    <t>Mycobacterium phage Swirley</t>
  </si>
  <si>
    <t>Mycobacterium tuberculosis PanR0315</t>
  </si>
  <si>
    <t>PRJNA307939</t>
  </si>
  <si>
    <t>Unknown:NC_028912.1/KM101118.1</t>
  </si>
  <si>
    <t>Microcystis phage MaMV-DC</t>
  </si>
  <si>
    <t>PRJNA307940</t>
  </si>
  <si>
    <t>Unknown:NC_029002.1/KF356199.1</t>
  </si>
  <si>
    <t>Mycobacterium phage Anubis</t>
  </si>
  <si>
    <t>PRJNA307941</t>
  </si>
  <si>
    <t>Mycobacterium tuberculosis PanR0316</t>
  </si>
  <si>
    <t>Unknown:NC_029018.1/KF279418.1</t>
  </si>
  <si>
    <t>Escherichia phage JH2</t>
  </si>
  <si>
    <t>PRJNA307942</t>
  </si>
  <si>
    <t>Unknown:NC_029023.1/KF055347.1</t>
  </si>
  <si>
    <t>Cronobacter phage S13</t>
  </si>
  <si>
    <t>PRJNA307943</t>
  </si>
  <si>
    <t>Mycobacterium tuberculosis PanR0317</t>
  </si>
  <si>
    <t>Unknown:NC_028773.1/KC954775.1</t>
  </si>
  <si>
    <t>Brevibacillus phage Abouo</t>
  </si>
  <si>
    <t>PRJNA307944</t>
  </si>
  <si>
    <t>Unknown:NC_029029.1/KC595517.1</t>
  </si>
  <si>
    <t>Bacillus phage Shanette</t>
  </si>
  <si>
    <t>PRJNA307945</t>
  </si>
  <si>
    <t>Unknown:NC_028983.1/KC595513.2</t>
  </si>
  <si>
    <t>Mycobacterium tuberculosis PanR0401</t>
  </si>
  <si>
    <t>Bacillus phage JL</t>
  </si>
  <si>
    <t>PRJNA307946</t>
  </si>
  <si>
    <t>Unknown:NC_028982.1/KC595512.2</t>
  </si>
  <si>
    <t>Acinetobacter phage phiAC-1</t>
  </si>
  <si>
    <t>PRJNA307947</t>
  </si>
  <si>
    <t>Unknown:NC_028995.1/JX560521.1</t>
  </si>
  <si>
    <t>Mycobacterium tuberculosis PanR0402</t>
  </si>
  <si>
    <t>Pseudomonas phage PaMx74</t>
  </si>
  <si>
    <t>PRJNA307948</t>
  </si>
  <si>
    <t>Unknown:NC_028809.1/JQ067093.2</t>
  </si>
  <si>
    <t>Pseudomonas phage PaMx42</t>
  </si>
  <si>
    <t>PRJNA307949</t>
  </si>
  <si>
    <t>Unknown:NC_028879.1/JQ067092.2</t>
  </si>
  <si>
    <t>Pseudomonas phage PaMx28</t>
  </si>
  <si>
    <t>Mycobacterium tuberculosis PanR0403</t>
  </si>
  <si>
    <t>PRJNA307950</t>
  </si>
  <si>
    <t>Unknown:NC_028931.1/JQ067089.2</t>
  </si>
  <si>
    <t>Pseudomonas phage PaMx11</t>
  </si>
  <si>
    <t>PRJNA307951</t>
  </si>
  <si>
    <t>Unknown:NC_028770.1/JQ067087.2</t>
  </si>
  <si>
    <t>Lactococcus virus ASCC191</t>
  </si>
  <si>
    <t>PRJNA307952</t>
  </si>
  <si>
    <t>Mycobacterium tuberculosis PanR0404</t>
  </si>
  <si>
    <t>Unknown:NC_017688.1/JQ740787.1</t>
  </si>
  <si>
    <t>Mycobacterium phage Kikipoo</t>
  </si>
  <si>
    <t>PRJNA307953</t>
  </si>
  <si>
    <t>Unknown:NC_028907.1/JN699017.1</t>
  </si>
  <si>
    <t>Mycobacterium phage Toto</t>
  </si>
  <si>
    <t>PRJNA307954</t>
  </si>
  <si>
    <t>Unknown:NC_028906.1/JN006061.1</t>
  </si>
  <si>
    <t>Mycobacterium tuberculosis PanR0405</t>
  </si>
  <si>
    <t>Mycobacterium phage Vortex</t>
  </si>
  <si>
    <t>PRJNA307955</t>
  </si>
  <si>
    <t>Unknown:NC_028801.1/JF704103.1</t>
  </si>
  <si>
    <t>Mycobacterium phage Phipps</t>
  </si>
  <si>
    <t>PRJNA307956</t>
  </si>
  <si>
    <t>Unknown:NC_028942.1/JF704102.1</t>
  </si>
  <si>
    <t>Mycobacterium phage Alice</t>
  </si>
  <si>
    <t>PRJNA307957</t>
  </si>
  <si>
    <t>Mycobacterium tuberculosis PanR0407</t>
  </si>
  <si>
    <t>Unknown:NC_028986.1/JF704092.1</t>
  </si>
  <si>
    <t>Escherichia phage P694</t>
  </si>
  <si>
    <t>PRJNA307958</t>
  </si>
  <si>
    <t>Unknown:NC_028863.1/KP090454.1</t>
  </si>
  <si>
    <t>Mycobacterium tuberculosis PanR0409</t>
  </si>
  <si>
    <t>Escherichia phage P483</t>
  </si>
  <si>
    <t>PRJNA307959</t>
  </si>
  <si>
    <t>Unknown:NC_028822.1/KP090453.1</t>
  </si>
  <si>
    <t>Mannheimia phage vB_MhM_3927AP2</t>
  </si>
  <si>
    <t>PRJNA307960</t>
  </si>
  <si>
    <t>Unknown:NC_028766.1/KP137440.1</t>
  </si>
  <si>
    <t>Mannheimia phage vB_MhS_1152AP2</t>
  </si>
  <si>
    <t>PRJNA307961</t>
  </si>
  <si>
    <t>Mycobacterium tuberculosis PanR0410</t>
  </si>
  <si>
    <t>Unknown:NC_028956.1/KP137437.1</t>
  </si>
  <si>
    <t>Mannheimia phage vB_MhM_587AP1</t>
  </si>
  <si>
    <t>PRJNA307962</t>
  </si>
  <si>
    <t>Unknown:NC_028898.1/KP137434.1</t>
  </si>
  <si>
    <t>Mannheimia phage vB_MhS_535AP2</t>
  </si>
  <si>
    <t>PRJNA307963</t>
  </si>
  <si>
    <t>Mycobacterium tuberculosis PanR0411</t>
  </si>
  <si>
    <t>Unknown:NC_028853.1/KP137433.1</t>
  </si>
  <si>
    <t>Proteus phage pPM_01</t>
  </si>
  <si>
    <t>PRJNA307964</t>
  </si>
  <si>
    <t>Unknown:NC_028812.1/KP063118.1</t>
  </si>
  <si>
    <t>Escherichia phage vB_EcoM_VR26</t>
  </si>
  <si>
    <t>PRJNA307965</t>
  </si>
  <si>
    <t>Unknown:NC_028957.1/KP007362.1</t>
  </si>
  <si>
    <t>Mycobacterium tuberculosis PanR0412</t>
  </si>
  <si>
    <t>Escherichia phage vB_EcoM_VR25</t>
  </si>
  <si>
    <t>PRJNA307966</t>
  </si>
  <si>
    <t>Unknown:NC_028925.1/KP007361.1</t>
  </si>
  <si>
    <t>Escherichia phage vB_EcoM_VR20</t>
  </si>
  <si>
    <t>PRJNA307967</t>
  </si>
  <si>
    <t>Unknown:NC_028894.1/KP007360.1</t>
  </si>
  <si>
    <t>Enterobacteria phage vB_EcoM_VR5</t>
  </si>
  <si>
    <t>Mycobacterium tuberculosis PanR0501</t>
  </si>
  <si>
    <t>PRJNA307968</t>
  </si>
  <si>
    <t>Unknown:NC_028881.1/KP007359.1</t>
  </si>
  <si>
    <t>Mycobacterium phage MiaZeal</t>
  </si>
  <si>
    <t>PRJNA307969</t>
  </si>
  <si>
    <t>Unknown:NC_028953.1/KM925136.1</t>
  </si>
  <si>
    <t>Mycobacterium phage Murucutumbu</t>
  </si>
  <si>
    <t>PRJNA307970</t>
  </si>
  <si>
    <t>Mycobacterium tuberculosis PanR0503</t>
  </si>
  <si>
    <t>Unknown:NC_028978.1/KM677211.1</t>
  </si>
  <si>
    <t>Mycobacterium phage Larenn</t>
  </si>
  <si>
    <t>PRJNA307971</t>
  </si>
  <si>
    <t>Unknown:NC_028877.1/KM677210.1</t>
  </si>
  <si>
    <t>Mycobacterium phage CaptainTrips</t>
  </si>
  <si>
    <t>PRJNA307972</t>
  </si>
  <si>
    <t>Mycobacterium tuberculosis PanR0505</t>
  </si>
  <si>
    <t>Unknown:NC_028842.1/KM652553.1</t>
  </si>
  <si>
    <t>Mycobacterium phage Carcharodon</t>
  </si>
  <si>
    <t>PRJNA307973</t>
  </si>
  <si>
    <t>Unknown:NC_028779.1/KM588359.1</t>
  </si>
  <si>
    <t>Lactococcus virus CB14</t>
  </si>
  <si>
    <t>PRJNA307767</t>
  </si>
  <si>
    <t>Unknown:NC_013152.1/FJ848883.1</t>
  </si>
  <si>
    <t>Mycobacterium tuberculosis PanR0601</t>
  </si>
  <si>
    <t>Lactococcus virus CB13</t>
  </si>
  <si>
    <t>PRJNA307768</t>
  </si>
  <si>
    <t>Unknown:NC_013155.1/FJ848882.1</t>
  </si>
  <si>
    <t>Clostridium phage phiCT9441A</t>
  </si>
  <si>
    <t>PRJNA260193</t>
  </si>
  <si>
    <t>Unknown:NC_029022.1/KM983329.1</t>
  </si>
  <si>
    <t>Clostridium phage phiCD146</t>
  </si>
  <si>
    <t>PRJEB7776</t>
  </si>
  <si>
    <t>Mycobacterium tuberculosis PanR0602</t>
  </si>
  <si>
    <t>Unknown:NC_028958.1/LN681536.1</t>
  </si>
  <si>
    <t>Clostridium phage phiMMP01</t>
  </si>
  <si>
    <t>PRJEB7782</t>
  </si>
  <si>
    <t>Unknown:NC_028883.1/LN681541.1</t>
  </si>
  <si>
    <t>Enterobacter phage phiEap-1</t>
  </si>
  <si>
    <t>PRJNA270704</t>
  </si>
  <si>
    <t>Mycobacterium tuberculosis PanR0603</t>
  </si>
  <si>
    <t>Unknown:NC_028772.1/KT321314.1</t>
  </si>
  <si>
    <t>Clostridium phage phiCD111</t>
  </si>
  <si>
    <t>PRJEB7775</t>
  </si>
  <si>
    <t>Unknown:NC_028905.1/LN681535.1</t>
  </si>
  <si>
    <t>Clostridium phage phiCD506</t>
  </si>
  <si>
    <t>PRJEB7781</t>
  </si>
  <si>
    <t>Mycobacterium tuberculosis PanR0604</t>
  </si>
  <si>
    <t>Unknown:NC_028838.1/LN681540.1</t>
  </si>
  <si>
    <t>Achromobacter phage phiAxp-1</t>
  </si>
  <si>
    <t>PRJNA270702</t>
  </si>
  <si>
    <t>Unknown:NC_029033.1/KP313532.2</t>
  </si>
  <si>
    <t>Escherichia phage slur09</t>
  </si>
  <si>
    <t>PRJEB10958</t>
  </si>
  <si>
    <t>Mycobacterium tuberculosis PanR0605</t>
  </si>
  <si>
    <t>1:NC_028840.1/LN887948.1</t>
  </si>
  <si>
    <t>Clostridium phage phiCT19406C</t>
  </si>
  <si>
    <t>Mycobacterium tuberculosis PanR0606</t>
  </si>
  <si>
    <t>PRJNA260197</t>
  </si>
  <si>
    <t>29.2</t>
  </si>
  <si>
    <t>Unknown:NC_029006.1/KM983332.1</t>
  </si>
  <si>
    <t>Clostridium phage phiCD481-1</t>
  </si>
  <si>
    <t>PRJEB7779</t>
  </si>
  <si>
    <t>Unknown:NC_028951.1/LN681538.1</t>
  </si>
  <si>
    <t>Clostridium phage phiMMP03</t>
  </si>
  <si>
    <t>PRJEB7783</t>
  </si>
  <si>
    <t>Unknown:NC_028959.1/LN681542.1</t>
  </si>
  <si>
    <t>Mycobacterium tuberculosis PanR0607</t>
  </si>
  <si>
    <t>Clostridium phage phiCD505</t>
  </si>
  <si>
    <t>PRJEB7780</t>
  </si>
  <si>
    <t>Unknown:NC_028764.1/LN681539.1</t>
  </si>
  <si>
    <t>Citrobacter phage phiCFP-1</t>
  </si>
  <si>
    <t>PRJNA270680</t>
  </si>
  <si>
    <t>Unknown:NC_028880.1/KP313531.1</t>
  </si>
  <si>
    <t>Achromobacter phage phiAxp-3</t>
  </si>
  <si>
    <t>Mycobacterium tuberculosis PanR0609</t>
  </si>
  <si>
    <t>PRJNA285741</t>
  </si>
  <si>
    <t>Unknown:KT321317.2;  Unknown:NC_028908.2/</t>
  </si>
  <si>
    <t>Lactobacillus phage phi jlb1</t>
  </si>
  <si>
    <t>PRJNA217792</t>
  </si>
  <si>
    <t>Unknown:NC_024206.1/KF767351.1</t>
  </si>
  <si>
    <t>Podovirus Lau218</t>
  </si>
  <si>
    <t>PRJNA234377</t>
  </si>
  <si>
    <t>Mycobacterium tuberculosis PanR0610</t>
  </si>
  <si>
    <t>Unknown:NC_024329.1/KJ183191.1</t>
  </si>
  <si>
    <t>Staphylococcus virus phiNM4</t>
  </si>
  <si>
    <t>PRJNA307770</t>
  </si>
  <si>
    <t>Unknown:NC_028864.1/DQ530362.1</t>
  </si>
  <si>
    <t>Salmonella phage 38</t>
  </si>
  <si>
    <t>PRJNA308496</t>
  </si>
  <si>
    <t>Mycobacterium tuberculosis PanR0611</t>
  </si>
  <si>
    <t>Unknown:NC_029042.1/KR296692.1</t>
  </si>
  <si>
    <t>Mycobacterium phage Breeniome</t>
  </si>
  <si>
    <t>PRJNA308758</t>
  </si>
  <si>
    <t>Unknown:NC_029044.1/KF006817.1</t>
  </si>
  <si>
    <t>Mycobacterium phage SweetiePie</t>
  </si>
  <si>
    <t>PRJNA308859</t>
  </si>
  <si>
    <t>Unknown:NC_029043.1/KM591906.1</t>
  </si>
  <si>
    <t>Salmonella phage 37</t>
  </si>
  <si>
    <t>PRJNA308638</t>
  </si>
  <si>
    <t>Mycobacterium tuberculosis PanR0702</t>
  </si>
  <si>
    <t>Unknown:NC_029045.1/KR296691.1</t>
  </si>
  <si>
    <t>Verrucomicrobia phage P8625</t>
  </si>
  <si>
    <t>PRJNA308884</t>
  </si>
  <si>
    <t>Unknown:NC_029047.1/KP792622.1</t>
  </si>
  <si>
    <t>Sinorhizobium phage phiLM21</t>
  </si>
  <si>
    <t>PRJNA308962</t>
  </si>
  <si>
    <t>Unknown:NC_029046.1/KJ743987.1</t>
  </si>
  <si>
    <t>Mycobacterium tuberculosis PanR0703</t>
  </si>
  <si>
    <t>Clostridium phage phiCD211</t>
  </si>
  <si>
    <t>PRJEB7144</t>
  </si>
  <si>
    <t>Unknown:NC_029048.2/LN681537.2</t>
  </si>
  <si>
    <t>Salmonella phage 21</t>
  </si>
  <si>
    <t>PRJNA309567</t>
  </si>
  <si>
    <t>Unknown:NC_029050.1/KR296685.1</t>
  </si>
  <si>
    <t>Mycobacterium tuberculosis PanR0704</t>
  </si>
  <si>
    <t>Jasmine virus T</t>
  </si>
  <si>
    <t>PRJNA310150</t>
  </si>
  <si>
    <t>Unknown:NC_029051.1/KT222674.1</t>
  </si>
  <si>
    <t>Goose dicistrovirus</t>
  </si>
  <si>
    <t>PRJNA310652</t>
  </si>
  <si>
    <t>Unknown:NC_029052.1/KT873140.1</t>
  </si>
  <si>
    <t>Mycobacterium tuberculosis PanR0707</t>
  </si>
  <si>
    <t>Achromobacter phage phiAxp-2</t>
  </si>
  <si>
    <t>PRJNA285740</t>
  </si>
  <si>
    <t>Unknown:NC_029106.1/KT321316.2</t>
  </si>
  <si>
    <t>Ctenophore-associated circular virus 1</t>
  </si>
  <si>
    <t>PRJNA310885</t>
  </si>
  <si>
    <t>Unknown:NC_029108.1/KT945162.1</t>
  </si>
  <si>
    <t>Mycobacterium tuberculosis PanR0708</t>
  </si>
  <si>
    <t>Erysiphe cichoracearum alphaendornavirus</t>
  </si>
  <si>
    <t>PRJNA310889</t>
  </si>
  <si>
    <t>Unknown:NC_029095.1/KT388110.1</t>
  </si>
  <si>
    <t>Sulfolobus monocaudavirus SMV3</t>
  </si>
  <si>
    <t>PRJNA310893</t>
  </si>
  <si>
    <t>Mycobacterium tuberculosis PanR0801</t>
  </si>
  <si>
    <t>Unknown:NC_029103.1/KP282677.1</t>
  </si>
  <si>
    <t>Erysipelothrix phage SE-1</t>
  </si>
  <si>
    <t>PRJNA310897</t>
  </si>
  <si>
    <t>Unknown:NC_029078.1/KR816341.1</t>
  </si>
  <si>
    <t>Pectobacterium phage Peat1</t>
  </si>
  <si>
    <t>PRJNA310901</t>
  </si>
  <si>
    <t>Unknown:NC_029081.1/KR604693.1</t>
  </si>
  <si>
    <t>Mycobacterium tuberculosis PanR0802</t>
  </si>
  <si>
    <t>Elderberry carlavirus D</t>
  </si>
  <si>
    <t>PRJNA310905</t>
  </si>
  <si>
    <t>Unknown:NC_029088.1/KJ572563.2</t>
  </si>
  <si>
    <t>Mycobacterium tuberculosis PanR0803</t>
  </si>
  <si>
    <t>Ralstonia phage RS138</t>
  </si>
  <si>
    <t>PRJNA310909</t>
  </si>
  <si>
    <t>Unknown:NC_029107.1/AB916497.1</t>
  </si>
  <si>
    <t>Staphylococcus phage 812</t>
  </si>
  <si>
    <t>PRJNA310913</t>
  </si>
  <si>
    <t>Unknown:NC_029080.1/KJ206559.1</t>
  </si>
  <si>
    <t>Iris severe mosaic virus</t>
  </si>
  <si>
    <t>Mycobacterium tuberculosis PanR0804</t>
  </si>
  <si>
    <t>PRJNA310917</t>
  </si>
  <si>
    <t>Unknown:NC_029076.1/KT692938.1</t>
  </si>
  <si>
    <t>Ctenophore-associated circular genome 1</t>
  </si>
  <si>
    <t>PRJNA310921</t>
  </si>
  <si>
    <t>Unknown:NC_029112.1/KT945166.1</t>
  </si>
  <si>
    <t>Staphylococcus phage SPbeta-like</t>
  </si>
  <si>
    <t>PRJNA310925</t>
  </si>
  <si>
    <t>Unknown:NC_029119.1/KT429160.1</t>
  </si>
  <si>
    <t>Mycobacterium tuberculosis PanR0805</t>
  </si>
  <si>
    <t>Salmonella phage 36</t>
  </si>
  <si>
    <t>PRJNA310929</t>
  </si>
  <si>
    <t>Unknown:NC_029071.1/KR296690.1</t>
  </si>
  <si>
    <t>Pseudomonas phage YH30</t>
  </si>
  <si>
    <t>PRJNA310933</t>
  </si>
  <si>
    <t>Unknown:NC_029101.1/KP994390.1</t>
  </si>
  <si>
    <t>Mycobacterium tuberculosis PanR0902</t>
  </si>
  <si>
    <t>Achromobacter phage JWF</t>
  </si>
  <si>
    <t>PRJNA310937</t>
  </si>
  <si>
    <t>Unknown:NC_029075.1/KP202971.1</t>
  </si>
  <si>
    <t>Lactobacillus phage LfeSau</t>
  </si>
  <si>
    <t>PRJNA310941</t>
  </si>
  <si>
    <t>Unknown:NC_029068.1/KP027015.1</t>
  </si>
  <si>
    <t>Brevibacillus phage Jimmer1</t>
  </si>
  <si>
    <t>Mycobacterium tuberculosis PanR0903</t>
  </si>
  <si>
    <t>PRJNA310945</t>
  </si>
  <si>
    <t>Unknown:NC_029104.1/KC595515.1</t>
  </si>
  <si>
    <t>Pseudomonas phage VCM</t>
  </si>
  <si>
    <t>PRJEB11093</t>
  </si>
  <si>
    <t>1:NC_029065.1/LN887844.1</t>
  </si>
  <si>
    <t>Ctenophore-associated circular virus 2</t>
  </si>
  <si>
    <t>PRJNA310884</t>
  </si>
  <si>
    <t>Mycobacterium tuberculosis PanR0904</t>
  </si>
  <si>
    <t>Unknown:NC_029109.1/KT945163.1</t>
  </si>
  <si>
    <t>Vibrio phage qdvp001</t>
  </si>
  <si>
    <t>PRJNA310888</t>
  </si>
  <si>
    <t>Unknown:NC_029057.1/KT932418.1</t>
  </si>
  <si>
    <t>Pavonia yellow mosaic virus</t>
  </si>
  <si>
    <t>PRJNA310892</t>
  </si>
  <si>
    <t>Mycobacterium tuberculosis PanR0906</t>
  </si>
  <si>
    <t>DNA-A:NC_029105.1/KT948787.1</t>
  </si>
  <si>
    <t>Rosellinia necatrix megabirnavirus 2-W8</t>
  </si>
  <si>
    <t>PRJNA310896</t>
  </si>
  <si>
    <t>54.1622</t>
  </si>
  <si>
    <t>1:NC_029125.1/LC062704.1;  2:NC_029126.1/LC062705.1</t>
  </si>
  <si>
    <t>Pseudoalteromonas phage H101</t>
  </si>
  <si>
    <t>PRJNA310900</t>
  </si>
  <si>
    <t>Mycobacterium tuberculosis PanR0907</t>
  </si>
  <si>
    <t>Unknown:NC_029094.1/KR534323.1</t>
  </si>
  <si>
    <t>Elderberry carlavirus E</t>
  </si>
  <si>
    <t>PRJNA310904</t>
  </si>
  <si>
    <t>Unknown:NC_029089.1/KJ572564.2</t>
  </si>
  <si>
    <t>Elderberry carlavirus A</t>
  </si>
  <si>
    <t>PRJNA310908</t>
  </si>
  <si>
    <t>Unknown:NC_029085.1/KJ572560.2</t>
  </si>
  <si>
    <t>Shigella phage 75/02 Stx</t>
  </si>
  <si>
    <t>PRJNA310912</t>
  </si>
  <si>
    <t>Unknown:NC_029120.1/KF766125.2</t>
  </si>
  <si>
    <t>Mycobacterium tuberculosis PanR0908</t>
  </si>
  <si>
    <t>Bacillus phage BM5</t>
  </si>
  <si>
    <t>PRJNA310924</t>
  </si>
  <si>
    <t>Unknown:NC_029069.1/KT995479.1</t>
  </si>
  <si>
    <t>Escherichia phage APCEc01</t>
  </si>
  <si>
    <t>PRJNA310928</t>
  </si>
  <si>
    <t>Unknown:NC_029091.1/KR422352.1</t>
  </si>
  <si>
    <t>Rhodoferax phage P26218</t>
  </si>
  <si>
    <t>PRJNA310932</t>
  </si>
  <si>
    <t>Mycobacterium tuberculosis PanR0909</t>
  </si>
  <si>
    <t>Unknown:NC_029061.1/KP792623.1</t>
  </si>
  <si>
    <t>Paenibacillus phage Rani</t>
  </si>
  <si>
    <t>PRJNA310936</t>
  </si>
  <si>
    <t>Unknown:NC_029084.1/KP296793.1</t>
  </si>
  <si>
    <t>Mycobacterium phage Edtherson</t>
  </si>
  <si>
    <t>PRJNA310940</t>
  </si>
  <si>
    <t>Unknown:NC_029059.1/KP027196.1</t>
  </si>
  <si>
    <t>Mycobacterium tuberculosis PanR1005</t>
  </si>
  <si>
    <t>Bacillus phage Bp8p-T</t>
  </si>
  <si>
    <t>KJ010548.1</t>
  </si>
  <si>
    <t>Pseudomonas phage PaoP5</t>
  </si>
  <si>
    <t>PRJNA295793</t>
  </si>
  <si>
    <t>Unknown:NC_029083.1/KU297675.1</t>
  </si>
  <si>
    <t>Ostreococcus tauri virus OtV5</t>
  </si>
  <si>
    <t>PRJNA28159</t>
  </si>
  <si>
    <t>Unknown:NC_010191.2/EU304328.2</t>
  </si>
  <si>
    <t>Mycobacterium tuberculosis PanR1006</t>
  </si>
  <si>
    <t>Spondweni virus</t>
  </si>
  <si>
    <t>PRJNA311759</t>
  </si>
  <si>
    <t>Unknown:NC_029055.1/DQ859064.1</t>
  </si>
  <si>
    <t>Salmonella phage 19</t>
  </si>
  <si>
    <t>PRJNA310930</t>
  </si>
  <si>
    <t>Unknown:NC_029072.1/KR296684.1</t>
  </si>
  <si>
    <t>Gordonia phage GordTnk2</t>
  </si>
  <si>
    <t>PRJNA310934</t>
  </si>
  <si>
    <t>Mycobacterium tuberculosis PanR1007</t>
  </si>
  <si>
    <t>Unknown:NC_029074.1/KP790008.1</t>
  </si>
  <si>
    <t>Geobacillus virus E3</t>
  </si>
  <si>
    <t>PRJNA310938</t>
  </si>
  <si>
    <t>Unknown:NC_029073.1/KP144388.1</t>
  </si>
  <si>
    <t>Streptomyces phage Jay2Jay</t>
  </si>
  <si>
    <t>PRJNA310942</t>
  </si>
  <si>
    <t>Mycobacterium tuberculosis PanR1101</t>
  </si>
  <si>
    <t>Unknown:NC_029098.1/KM652554.1</t>
  </si>
  <si>
    <t>Tofla virus</t>
  </si>
  <si>
    <t>PRJNA308206</t>
  </si>
  <si>
    <t>47.0321</t>
  </si>
  <si>
    <t>L:NC_029124.1/LC008512.1;  M:NC_029123.1/LC008511.1;  S:NC_029122.1/LC008510.1</t>
  </si>
  <si>
    <t>Alternaria brassicicola fusarivirus 1</t>
  </si>
  <si>
    <t>PRJNA310788</t>
  </si>
  <si>
    <t>Mycobacterium tuberculosis RGTB327</t>
  </si>
  <si>
    <t>Unknown:NC_029056.1/KT581960.1</t>
  </si>
  <si>
    <t>Turnip leaf roll virus</t>
  </si>
  <si>
    <t>PRJNA310891</t>
  </si>
  <si>
    <t>Unknown:NC_029117.1/KT388076.1</t>
  </si>
  <si>
    <t>Lactococcus phage GE1</t>
  </si>
  <si>
    <t>PRJNA310895</t>
  </si>
  <si>
    <t>Unknown:NC_029118.1/KT339177.1</t>
  </si>
  <si>
    <t>Mycobacterium tuberculosis RGTB423</t>
  </si>
  <si>
    <t>Pseudomonas phage PS-1</t>
  </si>
  <si>
    <t>PRJNA310903</t>
  </si>
  <si>
    <t>Unknown:NC_029066.1/AP014684.1</t>
  </si>
  <si>
    <t>Elderberry carlavirus B</t>
  </si>
  <si>
    <t>PRJNA310907</t>
  </si>
  <si>
    <t>Unknown:NC_029086.1/KJ572561.2</t>
  </si>
  <si>
    <t>Mycobacterium tuberculosis str. Beijing/NITR203</t>
  </si>
  <si>
    <t>Clostridium phage phiCDHM13</t>
  </si>
  <si>
    <t>PRJNA310911</t>
  </si>
  <si>
    <t>Unknown:NC_029116.1/HG796225.1</t>
  </si>
  <si>
    <t>Ctenophore-associated circular genome 3</t>
  </si>
  <si>
    <t>PRJNA310919</t>
  </si>
  <si>
    <t>Unknown:NC_029114.1/KT945168.1</t>
  </si>
  <si>
    <t>Ctenophore-associated circular virus 3</t>
  </si>
  <si>
    <t>PRJNA310923</t>
  </si>
  <si>
    <t>Mycobacterium tuberculosis str. Erdman = ATCC 35801</t>
  </si>
  <si>
    <t>Unknown:NC_029110.1/KT945164.1</t>
  </si>
  <si>
    <t>Rhodobacter phage RcTitan</t>
  </si>
  <si>
    <t>PRJNA310927</t>
  </si>
  <si>
    <t>Unknown:NC_029097.1/KR935213.1</t>
  </si>
  <si>
    <t>Mycobacterium phage Mindy</t>
  </si>
  <si>
    <t>PRJNA310931</t>
  </si>
  <si>
    <t>Unknown:NC_029093.1/KR080204.1</t>
  </si>
  <si>
    <t>Gordonia phage GordDuk1</t>
  </si>
  <si>
    <t>PRJNA310935</t>
  </si>
  <si>
    <t>Unknown:NC_029060.1/KP790010.1</t>
  </si>
  <si>
    <t>Mycobacterium tuberculosis str. Haarlem/NITR202</t>
  </si>
  <si>
    <t>Lactobacillus phage LfeInf</t>
  </si>
  <si>
    <t>PRJNA310939</t>
  </si>
  <si>
    <t>Unknown:NC_029058.1/KP054477.1</t>
  </si>
  <si>
    <t>Mycobacterium phage VohminGhazi</t>
  </si>
  <si>
    <t>PRJNA310943</t>
  </si>
  <si>
    <t>Unknown:NC_029077.1/KM401838.1</t>
  </si>
  <si>
    <t>Lactococcus virus CB19</t>
  </si>
  <si>
    <t>FJ848884.1</t>
  </si>
  <si>
    <t>Mycobacterium tuberculosis str. Kurono</t>
  </si>
  <si>
    <t>Panax notoginseng virus A</t>
  </si>
  <si>
    <t>PRJNA310886</t>
  </si>
  <si>
    <t>Unknown:NC_029096.1/KT388111.1</t>
  </si>
  <si>
    <t>Cucumis melo alphaendornavirus</t>
  </si>
  <si>
    <t>PRJNA310890</t>
  </si>
  <si>
    <t>Unknown:NC_029064.1/KT727022.1</t>
  </si>
  <si>
    <t>Cronobacter phage Dev-CD-23823</t>
  </si>
  <si>
    <t>PRJNA310894</t>
  </si>
  <si>
    <t>Mycobacterium tuberculosis strain 0A005DS</t>
  </si>
  <si>
    <t>Unknown:NC_029070.1/LN878149.1</t>
  </si>
  <si>
    <t>Pseudoalteromonas phage Pq0</t>
  </si>
  <si>
    <t>PRJNA310898</t>
  </si>
  <si>
    <t>Unknown:NC_029100.1/KR060090.1</t>
  </si>
  <si>
    <t>Enterobacter phage E-2</t>
  </si>
  <si>
    <t>PRJNA310902</t>
  </si>
  <si>
    <t>Unknown:NC_029102.1/KP791805.1</t>
  </si>
  <si>
    <t>Elderberry carlavirus C</t>
  </si>
  <si>
    <t>PRJNA310906</t>
  </si>
  <si>
    <t>Mycobacterium tuberculosis strain 0A012DS</t>
  </si>
  <si>
    <t>Unknown:NC_029087.1/KJ572562.2</t>
  </si>
  <si>
    <t>Arrabida virus</t>
  </si>
  <si>
    <t>PRJNA310910</t>
  </si>
  <si>
    <t>L:NC_029082.1/KP863799.1</t>
  </si>
  <si>
    <t>Nectarine marafivirus M</t>
  </si>
  <si>
    <t>PRJNA310914</t>
  </si>
  <si>
    <t>Unknown:NC_029063.1/KT273411.1</t>
  </si>
  <si>
    <t>Mycobacterium tuberculosis strain 0A029DS</t>
  </si>
  <si>
    <t>Ctenophore-associated circular genome 4</t>
  </si>
  <si>
    <t>PRJNA310918</t>
  </si>
  <si>
    <t>Unknown:NC_029115.1/KT945169.1</t>
  </si>
  <si>
    <t>Ctenophore-associated circular virus 4</t>
  </si>
  <si>
    <t>PRJNA310922</t>
  </si>
  <si>
    <t>Mycobacterium tuberculosis strain 0A033DS</t>
  </si>
  <si>
    <t>Unknown:NC_029111.1/KT945165.1</t>
  </si>
  <si>
    <t>Mycobacterium phage Dusk</t>
  </si>
  <si>
    <t>PRJNA310926</t>
  </si>
  <si>
    <t>Unknown:NC_029079.1/KT222942.1</t>
  </si>
  <si>
    <t>Rat bocavirus</t>
  </si>
  <si>
    <t>PRJNA311074</t>
  </si>
  <si>
    <t>Unknown:NC_029133.1/KT454512.1</t>
  </si>
  <si>
    <t>Mycobacterium tuberculosis strain 0A036DS</t>
  </si>
  <si>
    <t>Delisea pulchra RNA virus</t>
  </si>
  <si>
    <t>PRJNA311077</t>
  </si>
  <si>
    <t>Unknown:NC_029131.1/KT455464.1</t>
  </si>
  <si>
    <t>Macropodid alphaherpesvirus 1</t>
  </si>
  <si>
    <t>PRJNA311730</t>
  </si>
  <si>
    <t>Unknown:NC_029132.1/KT594769.1</t>
  </si>
  <si>
    <t>Myotis gammaherpesvirus 8</t>
  </si>
  <si>
    <t>Mycobacterium tuberculosis strain 0A087DS</t>
  </si>
  <si>
    <t>PRJNA295864</t>
  </si>
  <si>
    <t>Unknown:NC_029255.1/KU220026.1</t>
  </si>
  <si>
    <t>Bat bocavirus</t>
  </si>
  <si>
    <t>PRJNA312360</t>
  </si>
  <si>
    <t>Unknown:NC_029300.1/KT592508.1</t>
  </si>
  <si>
    <t>Blackberry Virus F</t>
  </si>
  <si>
    <t>PRJNA312642</t>
  </si>
  <si>
    <t>Unknown:NC_029303.1/KJ413252.1</t>
  </si>
  <si>
    <t>Mycobacterium tuberculosis strain 0A092DS</t>
  </si>
  <si>
    <t>Currant virus A</t>
  </si>
  <si>
    <t>PRJNA312655</t>
  </si>
  <si>
    <t>Unknown:NC_029301.1/KT763043.1</t>
  </si>
  <si>
    <t>Piscine myocarditis-like virus</t>
  </si>
  <si>
    <t>PRJNA312709</t>
  </si>
  <si>
    <t>Unknown:NC_029302.1/KT725636.1</t>
  </si>
  <si>
    <t>Cnaphalocrocis medinalis granulovirus</t>
  </si>
  <si>
    <t>PRJNA312792</t>
  </si>
  <si>
    <t>Mycobacterium tuberculosis strain 0A093DS</t>
  </si>
  <si>
    <t>Unknown:NC_029304.1/KU593505.1</t>
  </si>
  <si>
    <t>Lake Sarah-associated circular virus-30</t>
  </si>
  <si>
    <t>PRJNA314346</t>
  </si>
  <si>
    <t>Unknown:NC_029577.1/KP153456.1</t>
  </si>
  <si>
    <t>Lake Sarah-associated circular virus-31</t>
  </si>
  <si>
    <t>PRJNA314394</t>
  </si>
  <si>
    <t>Unknown:NC_029579.1/KP153459.1</t>
  </si>
  <si>
    <t>Blueberry shoestring virus</t>
  </si>
  <si>
    <t>PRJNA314396</t>
  </si>
  <si>
    <t>Mycobacterium tuberculosis strain 0A094DS</t>
  </si>
  <si>
    <t>Unknown:NC_029578.1/LC081344.1</t>
  </si>
  <si>
    <t>Lake Sarah-associated circular molecule 9</t>
  </si>
  <si>
    <t>PRJNA314612</t>
  </si>
  <si>
    <t>Unknown:NC_029632.1/KP153377.1</t>
  </si>
  <si>
    <t>Lake Sarah-associated circular molecule 8</t>
  </si>
  <si>
    <t>PRJNA314613</t>
  </si>
  <si>
    <t>Unknown:NC_029621.1/KP153371.1</t>
  </si>
  <si>
    <t>Lake Sarah-associated circular molecule 7</t>
  </si>
  <si>
    <t>PRJNA314614</t>
  </si>
  <si>
    <t>Unknown:NC_029618.1/KP153370.1</t>
  </si>
  <si>
    <t>Mycobacterium tuberculosis strain 0A115DS</t>
  </si>
  <si>
    <t>Lake Sarah-associated circular molecule 6</t>
  </si>
  <si>
    <t>PRJNA314615</t>
  </si>
  <si>
    <t>Unknown:NC_029615.1/KP153368.1</t>
  </si>
  <si>
    <t>Lake Sarah-associated circular molecule 5</t>
  </si>
  <si>
    <t>PRJNA314616</t>
  </si>
  <si>
    <t>Unknown:NC_029608.1/KP153364.1</t>
  </si>
  <si>
    <t>Lake Sarah-associated circular molecule 4</t>
  </si>
  <si>
    <t>PRJNA314617</t>
  </si>
  <si>
    <t>Mycobacterium tuberculosis strain 0A117DS</t>
  </si>
  <si>
    <t>Unknown:NC_029606.1/KP153363.1</t>
  </si>
  <si>
    <t>Lake Sarah-associated circular molecule 3</t>
  </si>
  <si>
    <t>PRJNA314618</t>
  </si>
  <si>
    <t>Unknown:NC_029602.1/KP153361.1</t>
  </si>
  <si>
    <t>Lake Sarah-associated circular molecule 2</t>
  </si>
  <si>
    <t>PRJNA314619</t>
  </si>
  <si>
    <t>Unknown:NC_029603.1/KP153360.1</t>
  </si>
  <si>
    <t>Mycobacterium tuberculosis strain 0B026XDR</t>
  </si>
  <si>
    <t>Lake Sarah-associated circular molecule 11</t>
  </si>
  <si>
    <t>PRJNA314620</t>
  </si>
  <si>
    <t>Unknown:NC_029640.1/KP153384.1</t>
  </si>
  <si>
    <t>Lake Sarah-associated circular molecule 10</t>
  </si>
  <si>
    <t>PRJNA314621</t>
  </si>
  <si>
    <t>Unknown:NC_029634.1/KP153379.1</t>
  </si>
  <si>
    <t>Lake Sarah-associated circular molecule 1</t>
  </si>
  <si>
    <t>PRJNA314622</t>
  </si>
  <si>
    <t>Mycobacterium tuberculosis strain 0B049XDR</t>
  </si>
  <si>
    <t>Unknown:NC_029601.1/KP153359.1</t>
  </si>
  <si>
    <t>Lake Sarah-associated circular virus-3</t>
  </si>
  <si>
    <t>PRJNA314623</t>
  </si>
  <si>
    <t>Unknown:NC_029611.1/KP153395.1</t>
  </si>
  <si>
    <t>Lake Sarah-associated circular virus-29</t>
  </si>
  <si>
    <t>PRJNA314624</t>
  </si>
  <si>
    <t>Unknown:NC_029619.1/KP153454.1</t>
  </si>
  <si>
    <t>Lake Sarah-associated circular virus-28</t>
  </si>
  <si>
    <t>PRJNA314625</t>
  </si>
  <si>
    <t>Mycobacterium tuberculosis strain 0B070XDR</t>
  </si>
  <si>
    <t>Unknown:NC_029617.1/KP153451.1</t>
  </si>
  <si>
    <t>Lake Sarah-associated circular virus-27</t>
  </si>
  <si>
    <t>PRJNA314626</t>
  </si>
  <si>
    <t>Unknown:NC_029630.1/KP153523.1</t>
  </si>
  <si>
    <t>Lake Sarah-associated circular virus-26</t>
  </si>
  <si>
    <t>PRJNA314627</t>
  </si>
  <si>
    <t>Unknown:NC_029614.1/KP153446.1</t>
  </si>
  <si>
    <t>Lake Sarah-associated circular virus-25</t>
  </si>
  <si>
    <t>PRJNA314628</t>
  </si>
  <si>
    <t>Unknown:NC_029613.1/KP153445.1</t>
  </si>
  <si>
    <t>Lake Sarah-associated circular virus-24</t>
  </si>
  <si>
    <t>Mycobacterium tuberculosis strain 0B076XDR</t>
  </si>
  <si>
    <t>PRJNA314629</t>
  </si>
  <si>
    <t>Unknown:NC_029639.1/KP153443.1</t>
  </si>
  <si>
    <t>Lake Sarah-associated circular virus-23</t>
  </si>
  <si>
    <t>PRJNA314630</t>
  </si>
  <si>
    <t>Unknown:NC_029637.1/KP153442.1</t>
  </si>
  <si>
    <t>Lake Sarah-associated circular molecule 12</t>
  </si>
  <si>
    <t>PRJNA314631</t>
  </si>
  <si>
    <t>Unknown:NC_029620.1/KP153472.1</t>
  </si>
  <si>
    <t>Lake Sarah-associated circular virus-9</t>
  </si>
  <si>
    <t>PRJNA314632</t>
  </si>
  <si>
    <t>Unknown:NC_029587.1/KP153407.1</t>
  </si>
  <si>
    <t>Lake Sarah-associated circular virus-8</t>
  </si>
  <si>
    <t>PRJNA314633</t>
  </si>
  <si>
    <t>Mycobacterium tuberculosis strain 0B123ND</t>
  </si>
  <si>
    <t>Unknown:NC_029585.1/KP153405.1</t>
  </si>
  <si>
    <t>Lake Sarah-associated circular virus-7</t>
  </si>
  <si>
    <t>PRJNA314634</t>
  </si>
  <si>
    <t>Unknown:NC_029584.1/KP153404.1</t>
  </si>
  <si>
    <t>Lake Sarah-associated circular virus-6</t>
  </si>
  <si>
    <t>PRJNA314635</t>
  </si>
  <si>
    <t>Unknown:NC_029583.1/KP153403.1</t>
  </si>
  <si>
    <t>Lake Sarah-associated circular virus-51</t>
  </si>
  <si>
    <t>PRJNA314636</t>
  </si>
  <si>
    <t>Unknown:NC_029629.1/KP153522.1</t>
  </si>
  <si>
    <t>Lake Sarah-associated circular virus-22</t>
  </si>
  <si>
    <t>PRJNA314637</t>
  </si>
  <si>
    <t>Mycobacterium tuberculosis strain 0B169XDR</t>
  </si>
  <si>
    <t>Unknown:NC_029636.1/KP153441.1</t>
  </si>
  <si>
    <t>Lake Sarah-associated circular virus-21</t>
  </si>
  <si>
    <t>PRJNA314638</t>
  </si>
  <si>
    <t>Unknown:NC_029628.1/KP153437.1</t>
  </si>
  <si>
    <t>Lake Sarah-associated circular virus-20</t>
  </si>
  <si>
    <t>PRJNA314639</t>
  </si>
  <si>
    <t>Unknown:NC_029622.1/KP153434.1</t>
  </si>
  <si>
    <t>Lake Sarah-associated circular virus-2</t>
  </si>
  <si>
    <t>PRJNA314640</t>
  </si>
  <si>
    <t>Unknown:NC_029610.1/KP153394.1</t>
  </si>
  <si>
    <t>Lake Sarah-associated circular virus-19</t>
  </si>
  <si>
    <t>Mycobacterium tuberculosis strain 0B218DS</t>
  </si>
  <si>
    <t>PRJNA314641</t>
  </si>
  <si>
    <t>Unknown:NC_029609.1/KP153429.1</t>
  </si>
  <si>
    <t>Lake Sarah-associated circular virus-18</t>
  </si>
  <si>
    <t>PRJNA314642</t>
  </si>
  <si>
    <t>Unknown:NC_029604.1/KP153427.1</t>
  </si>
  <si>
    <t>Lake Sarah-associated circular virus-17</t>
  </si>
  <si>
    <t>PRJNA314643</t>
  </si>
  <si>
    <t>Unknown:NC_029599.1/KP153424.1</t>
  </si>
  <si>
    <t>Lake Sarah-associated circular virus-16</t>
  </si>
  <si>
    <t>PRJNA314644</t>
  </si>
  <si>
    <t>Unknown:NC_029596.1/KP153420.1</t>
  </si>
  <si>
    <t>Lake Sarah-associated circular virus-15</t>
  </si>
  <si>
    <t>PRJNA314645</t>
  </si>
  <si>
    <t>Unknown:NC_029595.1/KP153417.1</t>
  </si>
  <si>
    <t>Mycobacterium tuberculosis strain 0B222DS</t>
  </si>
  <si>
    <t>Lake Sarah-associated circular virus-14</t>
  </si>
  <si>
    <t>PRJNA314646</t>
  </si>
  <si>
    <t>Unknown:NC_029594.1/KP153414.1</t>
  </si>
  <si>
    <t>Lake Sarah-associated circular virus-13</t>
  </si>
  <si>
    <t>PRJNA314647</t>
  </si>
  <si>
    <t>Unknown:NC_029592.1/KP153412.1</t>
  </si>
  <si>
    <t>Lake Sarah-associated circular virus-12</t>
  </si>
  <si>
    <t>PRJNA314648</t>
  </si>
  <si>
    <t>Mycobacterium tuberculosis strain 0B228DS</t>
  </si>
  <si>
    <t>Unknown:NC_029590.1/KP153410.1</t>
  </si>
  <si>
    <t>Lake Sarah-associated circular virus-11</t>
  </si>
  <si>
    <t>PRJNA314649</t>
  </si>
  <si>
    <t>Unknown:NC_029612.1/KP153409.1</t>
  </si>
  <si>
    <t>Lake Sarah-associated circular virus-10</t>
  </si>
  <si>
    <t>PRJNA314650</t>
  </si>
  <si>
    <t>Unknown:NC_029589.1/KP153408.1</t>
  </si>
  <si>
    <t>Lake Sarah-associated circular virus-1</t>
  </si>
  <si>
    <t>PRJNA314651</t>
  </si>
  <si>
    <t>Mycobacterium tuberculosis strain 0B229DS</t>
  </si>
  <si>
    <t>Unknown:NC_029607.1/KP153390.1</t>
  </si>
  <si>
    <t>Lake Sarah-associated circular virus-50</t>
  </si>
  <si>
    <t>PRJNA314653</t>
  </si>
  <si>
    <t>Unknown:NC_029627.1/KP153511.1</t>
  </si>
  <si>
    <t>Lake Sarah-associated circular virus-5</t>
  </si>
  <si>
    <t>PRJNA314654</t>
  </si>
  <si>
    <t>Unknown:NC_029582.1/KP153402.1</t>
  </si>
  <si>
    <t>Lake Sarah-associated circular virus-49</t>
  </si>
  <si>
    <t>PRJNA314655</t>
  </si>
  <si>
    <t>Mycobacterium tuberculosis strain 0B235DS</t>
  </si>
  <si>
    <t>Unknown:NC_029626.1/KP153507.1</t>
  </si>
  <si>
    <t>Lake Sarah-associated circular virus-48</t>
  </si>
  <si>
    <t>PRJNA314656</t>
  </si>
  <si>
    <t>Unknown:NC_029625.1/KP153505.1</t>
  </si>
  <si>
    <t>Lake Sarah-associated circular virus-47</t>
  </si>
  <si>
    <t>PRJNA314657</t>
  </si>
  <si>
    <t>Unknown:NC_029638.1/KP153504.1</t>
  </si>
  <si>
    <t>Mycobacterium tuberculosis strain 0B259XDR</t>
  </si>
  <si>
    <t>Lake Sarah-associated circular virus-46</t>
  </si>
  <si>
    <t>PRJNA314658</t>
  </si>
  <si>
    <t>Unknown:NC_029635.1/KP153502.1</t>
  </si>
  <si>
    <t>Lake Sarah-associated circular virus-45</t>
  </si>
  <si>
    <t>PRJNA314659</t>
  </si>
  <si>
    <t>Unknown:NC_029633.1/KP153501.1</t>
  </si>
  <si>
    <t>Lake Sarah-associated circular virus-44</t>
  </si>
  <si>
    <t>PRJNA314660</t>
  </si>
  <si>
    <t>Unknown:NC_029631.1/KP153500.1</t>
  </si>
  <si>
    <t>Mycobacterium tuberculosis strain 0B329XDR</t>
  </si>
  <si>
    <t>Lake Sarah-associated circular virus-43</t>
  </si>
  <si>
    <t>PRJNA314661</t>
  </si>
  <si>
    <t>Unknown:NC_029624.1/KP153499.1</t>
  </si>
  <si>
    <t>Lake Sarah-associated circular virus-42</t>
  </si>
  <si>
    <t>PRJNA314662</t>
  </si>
  <si>
    <t>Unknown:NC_029623.1/KP153496.1</t>
  </si>
  <si>
    <t>Mycobacterium tuberculosis strain 22103</t>
  </si>
  <si>
    <t>Lake Sarah-associated circular virus-41</t>
  </si>
  <si>
    <t>PRJNA314663</t>
  </si>
  <si>
    <t>Unknown:NC_029616.1/KP153494.1</t>
  </si>
  <si>
    <t>Lake Sarah-associated circular virus-40</t>
  </si>
  <si>
    <t>PRJNA314664</t>
  </si>
  <si>
    <t>Unknown:NC_029600.1/KP153488.1</t>
  </si>
  <si>
    <t>Lake Sarah-associated circular virus-4</t>
  </si>
  <si>
    <t>Mycobacterium tuberculosis strain 22115</t>
  </si>
  <si>
    <t>PRJNA314665</t>
  </si>
  <si>
    <t>Unknown:NC_029580.1/KP153397.1</t>
  </si>
  <si>
    <t>Lake Sarah-associated circular virus-39</t>
  </si>
  <si>
    <t>PRJNA314666</t>
  </si>
  <si>
    <t>Unknown:NC_029598.1/KP153485.1</t>
  </si>
  <si>
    <t>Lake Sarah-associated circular virus-38</t>
  </si>
  <si>
    <t>PRJNA314667</t>
  </si>
  <si>
    <t>Unknown:NC_029597.1/KP153483.1</t>
  </si>
  <si>
    <t>Mycobacterium tuberculosis strain 2242</t>
  </si>
  <si>
    <t>Lake Sarah-associated circular virus-37</t>
  </si>
  <si>
    <t>PRJNA314668</t>
  </si>
  <si>
    <t>Unknown:NC_029593.1/KP153476.1</t>
  </si>
  <si>
    <t>Lake Sarah-associated circular virus-36</t>
  </si>
  <si>
    <t>PRJNA314669</t>
  </si>
  <si>
    <t>Unknown:NC_029591.1/KP153474.1</t>
  </si>
  <si>
    <t>Lake Sarah-associated circular virus-35</t>
  </si>
  <si>
    <t>PRJNA314670</t>
  </si>
  <si>
    <t>Unknown:NC_029605.1/KP153490.1</t>
  </si>
  <si>
    <t>Lake Sarah-associated circular virus-34</t>
  </si>
  <si>
    <t>PRJNA314671</t>
  </si>
  <si>
    <t>Mycobacterium tuberculosis strain 2279</t>
  </si>
  <si>
    <t>Unknown:NC_029588.1/KP153470.1</t>
  </si>
  <si>
    <t>Lake Sarah-associated circular virus-33</t>
  </si>
  <si>
    <t>PRJNA314672</t>
  </si>
  <si>
    <t>Unknown:NC_029586.1/KP153469.1</t>
  </si>
  <si>
    <t>Lake Sarah-associated circular virus-32</t>
  </si>
  <si>
    <t>PRJNA314673</t>
  </si>
  <si>
    <t>Unknown:NC_029581.1/KP153464.1</t>
  </si>
  <si>
    <t>Marine RNA virus PAL128</t>
  </si>
  <si>
    <t>PRJNA313224</t>
  </si>
  <si>
    <t>Mycobacterium tuberculosis strain 26105</t>
  </si>
  <si>
    <t>Unknown:NC_029306.1/KT727023.1</t>
  </si>
  <si>
    <t>Leporid alphaherpesvirus 4</t>
  </si>
  <si>
    <t>PRJNA313525</t>
  </si>
  <si>
    <t>Unknown:NC_029311.1/JQ596859.1</t>
  </si>
  <si>
    <t>Marine RNA virus PAL438</t>
  </si>
  <si>
    <t>PRJNA313403</t>
  </si>
  <si>
    <t>Mycobacterium tuberculosis strain 37004</t>
  </si>
  <si>
    <t>Unknown:NC_029308.1/KT727025.1</t>
  </si>
  <si>
    <t>Camponotus nipponicus virus</t>
  </si>
  <si>
    <t>PRJNA313549</t>
  </si>
  <si>
    <t>Unknown:NC_029312.1/LC101918.1</t>
  </si>
  <si>
    <t>Acidianus tailed spindle virus</t>
  </si>
  <si>
    <t>PRJNA313553</t>
  </si>
  <si>
    <t>Unknown:NC_029316.1/KU645528.1</t>
  </si>
  <si>
    <t>Mycobacterium tuberculosis strain 6A024XDR</t>
  </si>
  <si>
    <t>Marine RNA virus PAL_E4</t>
  </si>
  <si>
    <t>PRJNA313445</t>
  </si>
  <si>
    <t>Unknown:NC_029310.1/KT727027.1</t>
  </si>
  <si>
    <t>Marine RNA virus PAL156</t>
  </si>
  <si>
    <t>PRJNA313306</t>
  </si>
  <si>
    <t>Unknown:NC_029307.1/KT727024.1</t>
  </si>
  <si>
    <t>Marine RNA virus PAL473</t>
  </si>
  <si>
    <t>PRJNA313446</t>
  </si>
  <si>
    <t>Mycobacterium tuberculosis strain 96075</t>
  </si>
  <si>
    <t>Unknown:NC_029309.1/KT727026.1</t>
  </si>
  <si>
    <t>Acidianus rod-shaped virus 2</t>
  </si>
  <si>
    <t>PRJNA313551</t>
  </si>
  <si>
    <t>Unknown:NC_029314.1/KP282675.1</t>
  </si>
  <si>
    <t>Aquatic bird bornavirus 2</t>
  </si>
  <si>
    <t>PRJNA314778</t>
  </si>
  <si>
    <t>NC_030691.1/KJ756399.2</t>
  </si>
  <si>
    <t>Cotton leaf curl Shadadpur virus</t>
  </si>
  <si>
    <t>PRJNA315216</t>
  </si>
  <si>
    <t>Unknown:NC_029648.1/FN552001.1</t>
  </si>
  <si>
    <t>Theiler's encephalomyelitis virus (STRAIN GDVII)</t>
  </si>
  <si>
    <t>PRJNA15292</t>
  </si>
  <si>
    <t>Unknown:NC_001366.1/X56019.1</t>
  </si>
  <si>
    <t>Ixeridium yellow mottle virus 1</t>
  </si>
  <si>
    <t>PRJNA316117</t>
  </si>
  <si>
    <t>Unknown:NC_029691.1/KT868949.1</t>
  </si>
  <si>
    <t>Mycobacterium tuberculosis strain 96121</t>
  </si>
  <si>
    <t>Brazilian marseillevirus</t>
  </si>
  <si>
    <t>PRJNA316309</t>
  </si>
  <si>
    <t>Unknown:NC_029692.1/KT752522.1</t>
  </si>
  <si>
    <t>Grapevine leafroll-associated virus 13</t>
  </si>
  <si>
    <t>PRJNA316821</t>
  </si>
  <si>
    <t>Unknown:NC_029783.1/LC052212.1</t>
  </si>
  <si>
    <t>Phytophthora infestans RNA virus 4</t>
  </si>
  <si>
    <t>PRJNA316823</t>
  </si>
  <si>
    <t>Mycobacterium tuberculosis strain Beijing-like</t>
  </si>
  <si>
    <t>Unknown:NC_029782.1/JN400241.1</t>
  </si>
  <si>
    <t>Thermus virus P23-77</t>
  </si>
  <si>
    <t>PRJNA40235</t>
  </si>
  <si>
    <t>Unknown:NC_013197.1/GQ403789.1</t>
  </si>
  <si>
    <t>Sicinivirus A</t>
  </si>
  <si>
    <t>PRJNA242975</t>
  </si>
  <si>
    <t>Unknown:NC_023861.1/KF741227.1</t>
  </si>
  <si>
    <t>Beauveria bassiana RNA virus 1</t>
  </si>
  <si>
    <t>PRJNA288325</t>
  </si>
  <si>
    <t>Mycobacterium tuberculosis strain F1</t>
  </si>
  <si>
    <t>Unknown:NC_027428.1/LN610699.1</t>
  </si>
  <si>
    <t>Kafue Kinda chacma baboon virus</t>
  </si>
  <si>
    <t>PRJNA310651</t>
  </si>
  <si>
    <t>Unknown:NC_029053.1/KT447550.1</t>
  </si>
  <si>
    <t>Megabat bufavirus 1</t>
  </si>
  <si>
    <t>PRJNA317158</t>
  </si>
  <si>
    <t>Unknown:NC_029797.1/LC085675.1</t>
  </si>
  <si>
    <t>Mycobacterium tuberculosis strain F28</t>
  </si>
  <si>
    <t>Iris yellow spot virus</t>
  </si>
  <si>
    <t>PRJNA317362</t>
  </si>
  <si>
    <t>33.8243</t>
  </si>
  <si>
    <t>L:NC_029799.1/FJ623474.1;  M:NC_029798.1/FJ361359.1;  S:NC_029800.1/AF001387.1</t>
  </si>
  <si>
    <t>Porcine picobirnavirus</t>
  </si>
  <si>
    <t>PRJNA317364</t>
  </si>
  <si>
    <t>45.4542</t>
  </si>
  <si>
    <t>L:NC_029801.1/KF861768.1;  S:NC_029802.1/KF861773.1</t>
  </si>
  <si>
    <t>Deinbollia mosaic virus</t>
  </si>
  <si>
    <t>PRJNA317755</t>
  </si>
  <si>
    <t>Mycobacterium tuberculosis strain Korean</t>
  </si>
  <si>
    <t>40.9651</t>
  </si>
  <si>
    <t>DN  A:NC_029804.1/KT878829.1;  DN  B:NC_029803.1/KT878828.1</t>
  </si>
  <si>
    <t>Mus musculus mobilized endogenous polytropic provirus</t>
  </si>
  <si>
    <t>PRJNA318036</t>
  </si>
  <si>
    <t>Unknown:NC_029853.1/FJ544577.2</t>
  </si>
  <si>
    <t>Bovine retrovirus CH15</t>
  </si>
  <si>
    <t>PRJNA318037</t>
  </si>
  <si>
    <t>Unknown:NC_029852.1/KU720628.1</t>
  </si>
  <si>
    <t>Mycobacterium tuberculosis strain PR08</t>
  </si>
  <si>
    <t>Yak enterovirus</t>
  </si>
  <si>
    <t>PRJNA318038</t>
  </si>
  <si>
    <t>Unknown:NC_029854.1/KU955844.1</t>
  </si>
  <si>
    <t>Yogue virus</t>
  </si>
  <si>
    <t>PRJNA318562</t>
  </si>
  <si>
    <t>41.8064</t>
  </si>
  <si>
    <t>L:NC_029931.1/KR537453.1;  M:NC_029935.1/KR537454.1;  S:NC_029936.1/KR537455.1</t>
  </si>
  <si>
    <t>Bat mastadenovirus WIV9</t>
  </si>
  <si>
    <t>PRJNA318899</t>
  </si>
  <si>
    <t>Mycobacterium tuberculosis strain PR10</t>
  </si>
  <si>
    <t>Unknown:NC_029898.1/KT698853.1</t>
  </si>
  <si>
    <t>Bat mastadenovirus WIV11</t>
  </si>
  <si>
    <t>PRJNA319065</t>
  </si>
  <si>
    <t>Unknown:NC_029902.1/KT698855.1</t>
  </si>
  <si>
    <t>Bat mastadenovirus WIV10</t>
  </si>
  <si>
    <t>PRJNA319066</t>
  </si>
  <si>
    <t>Unknown:NC_029899.1/KT698854.1</t>
  </si>
  <si>
    <t>Mycobacterium tuberculosis strain SCAID 187</t>
  </si>
  <si>
    <t>Zerdali virus</t>
  </si>
  <si>
    <t>PRJNA319067</t>
  </si>
  <si>
    <t>L:NC_029901.1/KP966616.1</t>
  </si>
  <si>
    <t>Toros virus</t>
  </si>
  <si>
    <t>PRJNA319068</t>
  </si>
  <si>
    <t>L:NC_029903.1/KP966619.1</t>
  </si>
  <si>
    <t>Kasokero virus</t>
  </si>
  <si>
    <t>PRJNA319069</t>
  </si>
  <si>
    <t>44.9544</t>
  </si>
  <si>
    <t>M:NC_029933.1/KR537445.1;  S:NC_029932.1/KR537446.1</t>
  </si>
  <si>
    <t>Mycobacterium tuberculosis strain ZMC13-264</t>
  </si>
  <si>
    <t>Tilapia lake virus</t>
  </si>
  <si>
    <t>PRJNA319070</t>
  </si>
  <si>
    <t>46.5145</t>
  </si>
  <si>
    <t>1:NC_029926.1/KU751814.1;  2:NC_029921.1/KU751815.1;  3:NC_029927.1/KU751816.1;  4:NC_029922.1/KU751817.1;  5:NC_029923.1/KU751818.1;  6:NC_029928.1/KU751819.1;  7:NC_029924.1/KU751820.1;  8:NC_029929.1/KU751821.1;  9:NC_029925.1/KU751822.1;  10:NC_029930.1/KU751823.1</t>
  </si>
  <si>
    <t>Tobacco leaf curl Cuba virus</t>
  </si>
  <si>
    <t>45.0146</t>
  </si>
  <si>
    <t>DNA-A:NC_035887.1/KX011471.1;  DNA-B:NC_035888.1/KX011472.1</t>
  </si>
  <si>
    <t>Enterovirus SEV-gx</t>
  </si>
  <si>
    <t>PRJNA319114</t>
  </si>
  <si>
    <t>Mycobacterium tuberculosis strain ZMC13-88</t>
  </si>
  <si>
    <t>Unknown:NC_029905.1/KU587555.1</t>
  </si>
  <si>
    <t>Barley virus G</t>
  </si>
  <si>
    <t>PRJNA319115</t>
  </si>
  <si>
    <t>Unknown:NC_029906.1/KT962089.1</t>
  </si>
  <si>
    <t>Mahlapitsi virus</t>
  </si>
  <si>
    <t>PRJNA319116</t>
  </si>
  <si>
    <t>43.8051</t>
  </si>
  <si>
    <t>L1:NC_029917.1/KU198602.1;  L2:NC_029911.1/KU198603.1;  L3:NC_029912.1/KU198604.1;  M1:NC_029913.1/KU198605.1;  M2:NC_029918.1/KU198606.1;  M3:NC_029914.1/KU198607.1;  S1:NC_029915.1/KU198608.1;  S2:NC_029919.1/KU198609.1;  S3:NC_029916.1/KU198610.1;  S4:NC_029920.1/KU198611.1</t>
  </si>
  <si>
    <t>Mycobacterium tuberculosis TKK_02_0049</t>
  </si>
  <si>
    <t>Cucurbit yellow mosaic alphasatellite</t>
  </si>
  <si>
    <t>PRJNA319117</t>
  </si>
  <si>
    <t>Unknown:NC_029907.1/KT948075.1</t>
  </si>
  <si>
    <t>Callinectes sapidus reovirus 1</t>
  </si>
  <si>
    <t>PRJNA319118</t>
  </si>
  <si>
    <t>1:NC_029904.1/KU311708.1</t>
  </si>
  <si>
    <t>Penicillium digitatum virus 1</t>
  </si>
  <si>
    <t>Mycobacterium tuberculosis UT205</t>
  </si>
  <si>
    <t>PRJNA319527</t>
  </si>
  <si>
    <t>Unknown:NC_029989.1/KU933932.1</t>
  </si>
  <si>
    <t>Bhindi yellow vein alphasatellite</t>
  </si>
  <si>
    <t>PRJNA313552</t>
  </si>
  <si>
    <t>Unknown:NC_029313.1/KT716081.1</t>
  </si>
  <si>
    <t>Maize yellow dwarf virus-RMV2</t>
  </si>
  <si>
    <t>PRJNA319735</t>
  </si>
  <si>
    <t>Mycobacterium ulcerans Agy99</t>
  </si>
  <si>
    <t>Unknown:NC_029990.1/KT992824.1</t>
  </si>
  <si>
    <t>Alfalfa enamovirus 1</t>
  </si>
  <si>
    <t>PRJNA320120</t>
  </si>
  <si>
    <t>Unknown:NC_029993.1/KU297983.1</t>
  </si>
  <si>
    <t>Mycobacterium vaccae 95051</t>
  </si>
  <si>
    <t>Rhizoctonia oryzae-sativae mitovirus 1</t>
  </si>
  <si>
    <t>PRJNA319976</t>
  </si>
  <si>
    <t>Unknown:NC_029991.1/KU057949.1</t>
  </si>
  <si>
    <t>Free State vervet virus</t>
  </si>
  <si>
    <t>PRJNA320121</t>
  </si>
  <si>
    <t>Unknown:NC_029992.1/KR862307.1</t>
  </si>
  <si>
    <t>Mocis sp. granulovirus</t>
  </si>
  <si>
    <t>PRJNA320117</t>
  </si>
  <si>
    <t>Mycobacterium vanbaalenii PYR-1</t>
  </si>
  <si>
    <t>Unknown:NC_029996.1/KR011718.1</t>
  </si>
  <si>
    <t>Urbanus proteus nucleopolyhedrovirus</t>
  </si>
  <si>
    <t>PRJNA320122</t>
  </si>
  <si>
    <t>Unknown:NC_029997.2/KR011717.2</t>
  </si>
  <si>
    <t>Tomato yellow leaf curl Shuangbai virus - [Y4536]</t>
  </si>
  <si>
    <t>PRJNA320119</t>
  </si>
  <si>
    <t>Unknown:NC_029995.1/KT962229.1</t>
  </si>
  <si>
    <t>Mycobacterium yongonense 05-1390</t>
  </si>
  <si>
    <t>Bovine faeces associated circular DNA virus 1</t>
  </si>
  <si>
    <t>PRJNA321675</t>
  </si>
  <si>
    <t>Unknown:NC_030130.1/KT862230.1</t>
  </si>
  <si>
    <t>Sheep faeces associated smacovirus 3</t>
  </si>
  <si>
    <t>PRJNA321679</t>
  </si>
  <si>
    <t>Unknown:NC_030120.1/KT862219.1</t>
  </si>
  <si>
    <t>Bovine faeces associated smacovirus 5</t>
  </si>
  <si>
    <t>PRJNA321683</t>
  </si>
  <si>
    <t>Unknown:NC_030125.1/KT862224.1</t>
  </si>
  <si>
    <t>Mycoplasma agalactiae PG2</t>
  </si>
  <si>
    <t>Bovine faeces associated smacovirus 1</t>
  </si>
  <si>
    <t>PRJNA321687</t>
  </si>
  <si>
    <t>Unknown:NC_030124.1/KT862223.1</t>
  </si>
  <si>
    <t>Faeces associated gemycircularvirus 19</t>
  </si>
  <si>
    <t>PRJNA321691</t>
  </si>
  <si>
    <t>Unknown:NC_030145.1/KT862250.1</t>
  </si>
  <si>
    <t>Faeces associated gemycircularvirus 15</t>
  </si>
  <si>
    <t>Mycoplasma agalactiae strain 5632</t>
  </si>
  <si>
    <t>PRJNA321695</t>
  </si>
  <si>
    <t>Unknown:NC_030147.1/KT862254.1</t>
  </si>
  <si>
    <t>Marbled eel polyomavirus</t>
  </si>
  <si>
    <t>PRJNA321699</t>
  </si>
  <si>
    <t>Unknown:NC_030148.1/KU221231.1</t>
  </si>
  <si>
    <t>Porcine faeces associated circular DNA molecule-1</t>
  </si>
  <si>
    <t>PRJNA321703</t>
  </si>
  <si>
    <t>Unknown:NC_030150.1/KT862257.1</t>
  </si>
  <si>
    <t>Duck faeces associated circular DNA virus 1</t>
  </si>
  <si>
    <t>PRJNA321707</t>
  </si>
  <si>
    <t>Mycoplasma arginini strain HAZ145_1</t>
  </si>
  <si>
    <t>Unknown:NC_030131.1/KT862231.1</t>
  </si>
  <si>
    <t>Anopheles C virus</t>
  </si>
  <si>
    <t>PRJNA321432</t>
  </si>
  <si>
    <t>Unknown:NC_030115.1/KU169878.1</t>
  </si>
  <si>
    <t>Sewage associated gemycircularvirus 3</t>
  </si>
  <si>
    <t>PRJNA321678</t>
  </si>
  <si>
    <t>Unknown:NC_030139.1/KT862240.1</t>
  </si>
  <si>
    <t>Bovine faeces associated smacovirus 6</t>
  </si>
  <si>
    <t>Mycoplasma arthritidis 158L3-1</t>
  </si>
  <si>
    <t>PRJNA321682</t>
  </si>
  <si>
    <t>Unknown:NC_030129.1/KT862229.1</t>
  </si>
  <si>
    <t>Bovine faeces associated smacovirus 2</t>
  </si>
  <si>
    <t>PRJNA321686</t>
  </si>
  <si>
    <t>Unknown:NC_030119.1/KT862218.1</t>
  </si>
  <si>
    <t>Faeces associated gemycircularvirus 20</t>
  </si>
  <si>
    <t>PRJNA321690</t>
  </si>
  <si>
    <t>Mycoplasma bovis CQ-W70</t>
  </si>
  <si>
    <t>Unknown:NC_030141.1/KT862243.1</t>
  </si>
  <si>
    <t>Faeces associated gemycircularvirus 16</t>
  </si>
  <si>
    <t>PRJNA321694</t>
  </si>
  <si>
    <t>Unknown:NC_030144.1/KT862249.1</t>
  </si>
  <si>
    <t>Canid alphaherpesvirus 1</t>
  </si>
  <si>
    <t>PRJNA321698</t>
  </si>
  <si>
    <t>Mycoplasma bovis HB0801</t>
  </si>
  <si>
    <t>Unknown:NC_030117.1/KT819633.1</t>
  </si>
  <si>
    <t>Porcine stool-associated circular virus</t>
  </si>
  <si>
    <t>PRJNA321702</t>
  </si>
  <si>
    <t>Unknown:NC_030127.1/KT862226.1</t>
  </si>
  <si>
    <t>Duck faeces associated circular DNA virus 2</t>
  </si>
  <si>
    <t>PRJNA321706</t>
  </si>
  <si>
    <t>Unknown:NC_030133.1/KT862233.1</t>
  </si>
  <si>
    <t>Mycoplasma bovis Hubei-1</t>
  </si>
  <si>
    <t>Bovine faeces associated circular DNA virus 2</t>
  </si>
  <si>
    <t>PRJNA321710</t>
  </si>
  <si>
    <t>Unknown:NC_030137.1/KT862237.1</t>
  </si>
  <si>
    <t>Sclerotinia sclerotiorum mycoreovirus 4</t>
  </si>
  <si>
    <t>PRJNA321430</t>
  </si>
  <si>
    <t>48.8699</t>
  </si>
  <si>
    <t>1:NC_030158.1/KU128375.1;  2:NC_030161.1/KU128376.1;  3:NC_030162.1/KU128377.1;  4:NC_030159.1/KU128378.1;  5:NC_030163.1/KU128379.1;  6:NC_030160.1/KU128380.1;  7:NC_030152.1/KU128381.1;  8:NC_030153.1/KU128382.1;  9:NC_030154.1/KU128383.1;  10:NC_030155.1/KU128384.1;  11:NC_030156.1/KU128385.1;  12:NC_030157.1/KU128386.1</t>
  </si>
  <si>
    <t>Mycoplasma bovis PG45</t>
  </si>
  <si>
    <t>Porcine faeces associated smacovirus 1</t>
  </si>
  <si>
    <t>PRJNA321677</t>
  </si>
  <si>
    <t>Unknown:NC_030126.1/KT862225.1</t>
  </si>
  <si>
    <t>Sheep faeces associated smacovirus 1</t>
  </si>
  <si>
    <t>PRJNA321681</t>
  </si>
  <si>
    <t>Unknown:NC_030121.1/KT862220.1</t>
  </si>
  <si>
    <t>Mycoplasma bovis strain HB0801-P115</t>
  </si>
  <si>
    <t>Bovine faeces associated smacovirus 3</t>
  </si>
  <si>
    <t>PRJNA321685</t>
  </si>
  <si>
    <t>Unknown:NC_030123.1/KT862222.1</t>
  </si>
  <si>
    <t>Faeces associated gemycircularvirus 21</t>
  </si>
  <si>
    <t>PRJNA321689</t>
  </si>
  <si>
    <t>Unknown:NC_030142.1/KT862245.1</t>
  </si>
  <si>
    <t>Faeces associated gemycircularvirus 17</t>
  </si>
  <si>
    <t>PRJNA321693</t>
  </si>
  <si>
    <t>Mycoplasma bovis strain HB0801-P150</t>
  </si>
  <si>
    <t>Unknown:NC_030140.1/KT862242.1</t>
  </si>
  <si>
    <t>Tobacco mosqueado virus</t>
  </si>
  <si>
    <t>PRJNA321697</t>
  </si>
  <si>
    <t>Unknown:NC_030118.1/KT834407.1</t>
  </si>
  <si>
    <t>Duck faeces associated circular DNA virus 3</t>
  </si>
  <si>
    <t>PRJNA321705</t>
  </si>
  <si>
    <t>Unknown:NC_030134.1/KT862234.1</t>
  </si>
  <si>
    <t>Chamois faeces associated circular DNA virus 1</t>
  </si>
  <si>
    <t>PRJNA321709</t>
  </si>
  <si>
    <t>Mycoplasma bovis strain HB0801-P180</t>
  </si>
  <si>
    <t>Unknown:NC_030136.1/KT862236.1</t>
  </si>
  <si>
    <t>Bovine faeces associated circular DNA molecule 1</t>
  </si>
  <si>
    <t>PRJNA321676</t>
  </si>
  <si>
    <t>Unknown:NC_030149.1/KT862256.1</t>
  </si>
  <si>
    <t>Sheep faeces associated smacovirus 2</t>
  </si>
  <si>
    <t>Mycoplasma bovis strain NM 2012</t>
  </si>
  <si>
    <t>PRJNA321680</t>
  </si>
  <si>
    <t>Unknown:NC_030122.1/KT862221.1</t>
  </si>
  <si>
    <t>Bovine faeces associated smacovirus 4</t>
  </si>
  <si>
    <t>PRJNA321684</t>
  </si>
  <si>
    <t>Unknown:NC_030128.1/KT862228.1</t>
  </si>
  <si>
    <t>Faeces associated gemycircularvirus 22</t>
  </si>
  <si>
    <t>PRJNA321688</t>
  </si>
  <si>
    <t>Unknown:NC_030146.1/KT862253.1</t>
  </si>
  <si>
    <t>Faeces associated gemycircularvirus 18</t>
  </si>
  <si>
    <t>Mycoplasma bovoculi M165/69</t>
  </si>
  <si>
    <t>PRJNA321692</t>
  </si>
  <si>
    <t>Unknown:NC_030143.1/KT862248.1</t>
  </si>
  <si>
    <t>Faeces associated gemycircularvirus 14</t>
  </si>
  <si>
    <t>PRJNA321696</t>
  </si>
  <si>
    <t>Unknown:NC_030138.1/KT862238.1</t>
  </si>
  <si>
    <t>Cervus papillomavirus 2</t>
  </si>
  <si>
    <t>PRJNA321700</t>
  </si>
  <si>
    <t>Mycoplasma californicum HAZ160_1</t>
  </si>
  <si>
    <t>Unknown:NC_030151.1/KU350625.1</t>
  </si>
  <si>
    <t>Llama faeces associated circular DNA virus-1</t>
  </si>
  <si>
    <t>PRJNA321704</t>
  </si>
  <si>
    <t>Unknown:NC_030135.1/KT862235.1</t>
  </si>
  <si>
    <t>Deer faeces associated circular DNA virus 1</t>
  </si>
  <si>
    <t>Mycoplasma californicum strain ST-6</t>
  </si>
  <si>
    <t>PRJNA321708</t>
  </si>
  <si>
    <t>Unknown:NC_030132.1/KT862232.1</t>
  </si>
  <si>
    <t>Fusarium poae dsRNA virus 2</t>
  </si>
  <si>
    <t>PRJNA322182</t>
  </si>
  <si>
    <t>NC_030201.1/KU728180.1</t>
  </si>
  <si>
    <t>Sclerotinia sclerotiorum umbra-like virus 1</t>
  </si>
  <si>
    <t>PRJNA322486</t>
  </si>
  <si>
    <t>Mycoplasma canadense HAZ360_1</t>
  </si>
  <si>
    <t>NC_030203.1/KC601995.2</t>
  </si>
  <si>
    <t>Avian-like circovirus</t>
  </si>
  <si>
    <t>PRJNA322193</t>
  </si>
  <si>
    <t>NC_030199.1/KU230452.1</t>
  </si>
  <si>
    <t>Water chestnut soymovirus 1</t>
  </si>
  <si>
    <t>PRJNA322487</t>
  </si>
  <si>
    <t>NC_030205.1/KU365408.1</t>
  </si>
  <si>
    <t>Lonestar tick chuvirus 1</t>
  </si>
  <si>
    <t>PRJNA322485</t>
  </si>
  <si>
    <t>NC_030204.1/KU230451.1</t>
  </si>
  <si>
    <t>Mycoplasma canis strain LV</t>
  </si>
  <si>
    <t>Macaca nemestrina herpesvirus 7</t>
  </si>
  <si>
    <t>PRJNA322484</t>
  </si>
  <si>
    <t>NC_030200.1/KU351741.1</t>
  </si>
  <si>
    <t>Fusarium poae dsRNA virus 3</t>
  </si>
  <si>
    <t>PRJNA322488</t>
  </si>
  <si>
    <t>NC_030202.1/KU728181.1</t>
  </si>
  <si>
    <t>Nigrospora oryzae victorivirus 1</t>
  </si>
  <si>
    <t>PRJNA323483</t>
  </si>
  <si>
    <t>Mycoplasma capricolum subsp. capricolum ATCC 27343</t>
  </si>
  <si>
    <t>NC_030224.1/KT428155.1</t>
  </si>
  <si>
    <t>Pepo aphid-borne yellows virus</t>
  </si>
  <si>
    <t>PRJNA323867</t>
  </si>
  <si>
    <t>NC_030225.1/KU315178.1</t>
  </si>
  <si>
    <t>Sinapis alba cryptic virus 1</t>
  </si>
  <si>
    <t>PRJNA323873</t>
  </si>
  <si>
    <t>45.0108</t>
  </si>
  <si>
    <t>RNA  1:NC_030243.1/KT285020.1;  RNA  2:NC_030245.1/KT285021.1</t>
  </si>
  <si>
    <t>Catopsilia pomona nucleopolyhedrovirus</t>
  </si>
  <si>
    <t>PRJNA323868</t>
  </si>
  <si>
    <t>Mycoplasma capricolum subsp. capripneumoniae 87001</t>
  </si>
  <si>
    <t>NC_030240.1/KU565883.1</t>
  </si>
  <si>
    <t>Parthenium leaf curl alphasatellite</t>
  </si>
  <si>
    <t>PRJNA323874</t>
  </si>
  <si>
    <t>NC_030226.1/LN906596.1</t>
  </si>
  <si>
    <t>Tropical soda apple mosaic virus</t>
  </si>
  <si>
    <t>PRJNA322841</t>
  </si>
  <si>
    <t>NC_030229.1/KU659022.1</t>
  </si>
  <si>
    <t>Mycoplasma capricolum subsp. capripneumoniae strain 9231-Abomsa</t>
  </si>
  <si>
    <t>Victorian trout aquabirnavirus</t>
  </si>
  <si>
    <t>PRJNA323862</t>
  </si>
  <si>
    <t>53.7582</t>
  </si>
  <si>
    <t>A:NC_030242.1/KP268664.1;  B:NC_030244.1/KP268679.1</t>
  </si>
  <si>
    <t>Tokyovirus A1</t>
  </si>
  <si>
    <t>PRJNA323872</t>
  </si>
  <si>
    <t>NC_030230.1/AP017398.1</t>
  </si>
  <si>
    <t>Wuhan centipede virus</t>
  </si>
  <si>
    <t>PRJNA323876</t>
  </si>
  <si>
    <t>Mycoplasma capricolum subsp. capripneumoniae strain F38</t>
  </si>
  <si>
    <t>NC_030227.1/KR902737.1</t>
  </si>
  <si>
    <t>Impatiens flower break potyvirus</t>
  </si>
  <si>
    <t>PRJNA322679</t>
  </si>
  <si>
    <t>NC_030236.1/KU981084.1</t>
  </si>
  <si>
    <t>Euphorbia caput-medusae latent virus</t>
  </si>
  <si>
    <t>PRJNA323861</t>
  </si>
  <si>
    <t>Mycoplasma capricolum subsp. capripneumoniae strain ILRI181</t>
  </si>
  <si>
    <t>NC_030238.1/KT214376.1</t>
  </si>
  <si>
    <t>Xinzhou spider virus 3</t>
  </si>
  <si>
    <t>PRJNA323875</t>
  </si>
  <si>
    <t>NC_030228.1/KR902730.1</t>
  </si>
  <si>
    <t>Antarctic picorna-like virus 4</t>
  </si>
  <si>
    <t>PRJNA323863</t>
  </si>
  <si>
    <t>NC_030235.1/KM259872.1</t>
  </si>
  <si>
    <t>Mycoplasma conjunctivae strain HRC/581</t>
  </si>
  <si>
    <t>Antarctic picorna-like virus 3</t>
  </si>
  <si>
    <t>PRJNA323864</t>
  </si>
  <si>
    <t>NC_030234.1/KM259871.1</t>
  </si>
  <si>
    <t>Antarctic picorna-like virus 2</t>
  </si>
  <si>
    <t>PRJNA323865</t>
  </si>
  <si>
    <t>NC_030233.1/KM259870.1</t>
  </si>
  <si>
    <t>Antarctic picorna-like virus 1</t>
  </si>
  <si>
    <t>PRJNA323866</t>
  </si>
  <si>
    <t>Mycoplasma crocodyli MP145</t>
  </si>
  <si>
    <t>NC_030232.1/KM259869.1</t>
  </si>
  <si>
    <t>Culiseta flavivirus</t>
  </si>
  <si>
    <t>PRJNA324249</t>
  </si>
  <si>
    <t>NC_030290.1/KT599442.1</t>
  </si>
  <si>
    <t>Edge Hill virus</t>
  </si>
  <si>
    <t>PRJNA324268</t>
  </si>
  <si>
    <t>NC_030289.1/DQ859060.1</t>
  </si>
  <si>
    <t>Mycoplasma cynos C142</t>
  </si>
  <si>
    <t>Golden shiner totivirus</t>
  </si>
  <si>
    <t>PRJNA325255</t>
  </si>
  <si>
    <t>NC_030295.1/KU529284.1</t>
  </si>
  <si>
    <t>Diaphorina citri densovirus</t>
  </si>
  <si>
    <t>PRJNA325256</t>
  </si>
  <si>
    <t>NC_030296.1/KX165268.1</t>
  </si>
  <si>
    <t>Mycoplasma dispar strain ATCC 27140</t>
  </si>
  <si>
    <t>Pegivirus B</t>
  </si>
  <si>
    <t>PRJNA325257</t>
  </si>
  <si>
    <t>NC_030291.1/GU566734.1</t>
  </si>
  <si>
    <t>Ferret coronavirus</t>
  </si>
  <si>
    <t>PRJNA325258</t>
  </si>
  <si>
    <t>NC_030292.1/KM347965.1</t>
  </si>
  <si>
    <t>Negev virus</t>
  </si>
  <si>
    <t>PRJNA325259</t>
  </si>
  <si>
    <t>NC_030294.1/LC103140.1</t>
  </si>
  <si>
    <t>Mycoplasma fermentans JER</t>
  </si>
  <si>
    <t>Torque teno mini virus 18</t>
  </si>
  <si>
    <t>PRJNA325264</t>
  </si>
  <si>
    <t>NC_030297.1/KU041847.1</t>
  </si>
  <si>
    <t>Pecan mosaic-associated virus</t>
  </si>
  <si>
    <t>PRJNA325265</t>
  </si>
  <si>
    <t>NC_030293.1/KT633868.1</t>
  </si>
  <si>
    <t>Chayote yellow mosaic Benin betasatellite</t>
  </si>
  <si>
    <t>Mycoplasma fermentans M64</t>
  </si>
  <si>
    <t>PRJNA326001</t>
  </si>
  <si>
    <t>NC_030309.1/KT454828.1</t>
  </si>
  <si>
    <t>Cotton yellow mosaic virus</t>
  </si>
  <si>
    <t>PRJNA326000</t>
  </si>
  <si>
    <t>44.6523</t>
  </si>
  <si>
    <t>A:NC_030310.1/KT454834.1;  B:NC_030311.1/KT454835.1</t>
  </si>
  <si>
    <t>Phytomonas serpens narnavirus 1</t>
  </si>
  <si>
    <t>PRJNA325312</t>
  </si>
  <si>
    <t>Mycoplasma fermentans PG18</t>
  </si>
  <si>
    <t>NC_030308.1/KU882057.1</t>
  </si>
  <si>
    <t>Tospovirus kiwifruit/YXW/2014</t>
  </si>
  <si>
    <t>PRJNA326136</t>
  </si>
  <si>
    <t>35.081</t>
  </si>
  <si>
    <t>L:NC_030378.1/KX213531.1;  M:NC_030379.1/KX213532.1;  S:NC_030380.1/KX213533.1</t>
  </si>
  <si>
    <t>Telfairia mosaic virus</t>
  </si>
  <si>
    <t>PRJNA326432</t>
  </si>
  <si>
    <t>Mycoplasma flocculare ATCC 27399 Ms42</t>
  </si>
  <si>
    <t>46.1076</t>
  </si>
  <si>
    <t>A:NC_030403.1/KT454832.1;  B:NC_030404.1/KT454833.1</t>
  </si>
  <si>
    <t>Short-finned eel ranavirus</t>
  </si>
  <si>
    <t>PRJNA326525</t>
  </si>
  <si>
    <t>NC_030394.2/KX353311.2</t>
  </si>
  <si>
    <t>Sclerotinia nivalis victorivirus 1</t>
  </si>
  <si>
    <t>PRJNA326682</t>
  </si>
  <si>
    <t>NC_030392.1/KT365894.1</t>
  </si>
  <si>
    <t>Hanko virus</t>
  </si>
  <si>
    <t>PRJNA327354</t>
  </si>
  <si>
    <t>Mycoplasma gallinaceum strain B2096 8B</t>
  </si>
  <si>
    <t>NC_030401.1/JQ268258.1</t>
  </si>
  <si>
    <t>Cronartium ribicola mitovirus 3</t>
  </si>
  <si>
    <t>PRJNA327355</t>
  </si>
  <si>
    <t>NC_030396.1/KT921181.1</t>
  </si>
  <si>
    <t>Cronartium ribicola mitovirus 2</t>
  </si>
  <si>
    <t>PRJNA327356</t>
  </si>
  <si>
    <t>NC_030395.1/KT921180.1</t>
  </si>
  <si>
    <t>Cronartium ribicola mitovirus 1</t>
  </si>
  <si>
    <t>PRJNA327357</t>
  </si>
  <si>
    <t>Mycoplasma gallisepticum CA06_2006.052-5-2P</t>
  </si>
  <si>
    <t>NC_030393.1/KT921179.1</t>
  </si>
  <si>
    <t>Maize associated totivirus</t>
  </si>
  <si>
    <t>PRJNA327358</t>
  </si>
  <si>
    <t>NC_030398.1/KT722800.2</t>
  </si>
  <si>
    <t>Nakiwogo virus</t>
  </si>
  <si>
    <t>PRJNA327359</t>
  </si>
  <si>
    <t>Mycoplasma gallisepticum NC06_2006.080-5-2P</t>
  </si>
  <si>
    <t>NC_030400.1/GQ165809.2</t>
  </si>
  <si>
    <t>Ungulate bocaparvovirus 6</t>
  </si>
  <si>
    <t>PRJNA327360</t>
  </si>
  <si>
    <t>NC_030402.1/KU172421.1</t>
  </si>
  <si>
    <t>Mycoplasma gallisepticum NC08_2008.031-4-3P</t>
  </si>
  <si>
    <t>Etheostoma fonticola aquareovirus</t>
  </si>
  <si>
    <t>PRJNA327361</t>
  </si>
  <si>
    <t>56.5736</t>
  </si>
  <si>
    <t>1:NC_030405.1/KU194213.1;  2:NC_030412.1/KU194214.1;  3:NC_030413.1/KU194215.1;  4:NC_030414.2/KU194216.2;  5:NC_030415.1/KU194217.1;  6:NC_030406.1/KU194218.1;  7:NC_030407.1/KU194219.1;  8:NC_030408.1/KU194220.1;  9:NC_030409.1/KU194221.1;  10:NC_030410.1/KU194222.1;  11:NC_030411.1/KU194223.1</t>
  </si>
  <si>
    <t>Wild onion symptomless virus</t>
  </si>
  <si>
    <t>PRJNA327362</t>
  </si>
  <si>
    <t>Mycoplasma gallisepticum NC95_13295-2-2P</t>
  </si>
  <si>
    <t>NC_030391.1/LC159494.1</t>
  </si>
  <si>
    <t>Cronartium ribicola mitovirus 5</t>
  </si>
  <si>
    <t>PRJNA327364</t>
  </si>
  <si>
    <t>NC_030399.1/KT921183.1</t>
  </si>
  <si>
    <t>Cronartium ribicola mitovirus 4</t>
  </si>
  <si>
    <t>PRJNA327365</t>
  </si>
  <si>
    <t>Mycoplasma gallisepticum NC96_1596-4-2P</t>
  </si>
  <si>
    <t>NC_030397.1/KT921182.1</t>
  </si>
  <si>
    <t>unidentified circular ssDNA virus</t>
  </si>
  <si>
    <t>PRJNA327664</t>
  </si>
  <si>
    <t>NC_030449.1/KU343138.1</t>
  </si>
  <si>
    <t>Bluegill hepadnavirus</t>
  </si>
  <si>
    <t>PRJNA327401</t>
  </si>
  <si>
    <t>NC_030445.1/KX058433.1</t>
  </si>
  <si>
    <t>Mycoplasma gallisepticum NY01_2001.047-5-1P</t>
  </si>
  <si>
    <t>Gemycircularvirus HV-GcV1</t>
  </si>
  <si>
    <t>PRJNA327661</t>
  </si>
  <si>
    <t>NC_030447.1/KU343136.1</t>
  </si>
  <si>
    <t>Tibetan frog hepadnavirus</t>
  </si>
  <si>
    <t>PRJNA327662</t>
  </si>
  <si>
    <t>NC_030446.1/KX058435.1</t>
  </si>
  <si>
    <t>Mycoplasma gallisepticum str. F</t>
  </si>
  <si>
    <t>Gemycircularvirus HV-GcV2</t>
  </si>
  <si>
    <t>PRJNA327665</t>
  </si>
  <si>
    <t>NC_030448.1/KU343137.1</t>
  </si>
  <si>
    <t>Diachasmimorpha longicaudata rhabdovirus</t>
  </si>
  <si>
    <t>PRJNA270235</t>
  </si>
  <si>
    <t>NC_030451.1/KP735609.1</t>
  </si>
  <si>
    <t>Pseudogymnoascus destructans partitivirus-pa</t>
  </si>
  <si>
    <t>PRJNA327702</t>
  </si>
  <si>
    <t>Mycoplasma gallisepticum str. R</t>
  </si>
  <si>
    <t>47.4211</t>
  </si>
  <si>
    <t>1:NC_030480.1/KP128044.1;  2:NC_030479.1/KP128045.1</t>
  </si>
  <si>
    <t>Diaphorina citri flavi-like virus</t>
  </si>
  <si>
    <t>PRJNA328030</t>
  </si>
  <si>
    <t>NC_030453.1/KX267823.1</t>
  </si>
  <si>
    <t>Pelargonium leaf curl virus</t>
  </si>
  <si>
    <t>PRJNA328134</t>
  </si>
  <si>
    <t>NC_030452.1/KU187189.1</t>
  </si>
  <si>
    <t>Chimpanzee faeces associated circular DNA molecule 1</t>
  </si>
  <si>
    <t>Mycoplasma gallisepticum str. R(high)</t>
  </si>
  <si>
    <t>PRJNA328666</t>
  </si>
  <si>
    <t>NC_030461.1/KR704911.1</t>
  </si>
  <si>
    <t>Circovirus-like genome DHCV-2</t>
  </si>
  <si>
    <t>PRJNA328676</t>
  </si>
  <si>
    <t>NC_030474.1/KT149408.1</t>
  </si>
  <si>
    <t>Circovirus-like genome DCCV-7</t>
  </si>
  <si>
    <t>PRJNA328680</t>
  </si>
  <si>
    <t>Mycoplasma gallisepticum VA94_7994-1-7P</t>
  </si>
  <si>
    <t>NC_030455.1/KT149400.1</t>
  </si>
  <si>
    <t>Circovirus-like genome DCCV-3</t>
  </si>
  <si>
    <t>PRJNA328684</t>
  </si>
  <si>
    <t>NC_030467.1/KT149396.1</t>
  </si>
  <si>
    <t>Circovirus-like genome DCCV-11</t>
  </si>
  <si>
    <t>PRJNA328688</t>
  </si>
  <si>
    <t>NC_030464.1/KT149404.1</t>
  </si>
  <si>
    <t>Mycoplasma gallisepticum WI01_2001.043-13-2P</t>
  </si>
  <si>
    <t>Human enterovirus</t>
  </si>
  <si>
    <t>PRJNA328671</t>
  </si>
  <si>
    <t>NC_030454.1/KU355876.1</t>
  </si>
  <si>
    <t>Circovirus-like genome DHCV-3</t>
  </si>
  <si>
    <t>PRJNA328675</t>
  </si>
  <si>
    <t>NC_030477.1/KT149409.1</t>
  </si>
  <si>
    <t>Circovirus-like genome DCCV-8</t>
  </si>
  <si>
    <t>PRJNA328679</t>
  </si>
  <si>
    <t>Mycoplasma genitalium G37</t>
  </si>
  <si>
    <t>NC_030457.1/KT149401.1</t>
  </si>
  <si>
    <t>Circovirus-like genome DCCV-4</t>
  </si>
  <si>
    <t>PRJNA328683</t>
  </si>
  <si>
    <t>NC_030470.1/KT149397.1</t>
  </si>
  <si>
    <t>Circovirus-like genome DCCV-12</t>
  </si>
  <si>
    <t>PRJNA328687</t>
  </si>
  <si>
    <t>NC_030468.1/KT149405.1</t>
  </si>
  <si>
    <t>Mycoplasma genitalium M2288</t>
  </si>
  <si>
    <t>Chimpanzee faeces associated circular DNA virus 1</t>
  </si>
  <si>
    <t>PRJNA328667</t>
  </si>
  <si>
    <t>NC_030466.1/KR704912.1</t>
  </si>
  <si>
    <t>Circovirus-like genome DHCV-6</t>
  </si>
  <si>
    <t>PRJNA328673</t>
  </si>
  <si>
    <t>NC_030475.1/KT149412.1</t>
  </si>
  <si>
    <t>Circovirus-like genome DHCV-1</t>
  </si>
  <si>
    <t>PRJNA328677</t>
  </si>
  <si>
    <t>Mycoplasma genitalium M2321</t>
  </si>
  <si>
    <t>NC_030471.1/KT149407.1</t>
  </si>
  <si>
    <t>Circovirus-like genome DCCV-6</t>
  </si>
  <si>
    <t>PRJNA328681</t>
  </si>
  <si>
    <t>NC_030478.1/KT149399.1</t>
  </si>
  <si>
    <t>Circovirus-like genome DCCV-2</t>
  </si>
  <si>
    <t>PRJNA328685</t>
  </si>
  <si>
    <t>NC_030465.1/KT149395.1</t>
  </si>
  <si>
    <t>Circovirus-like genome DCCV-10</t>
  </si>
  <si>
    <t>PRJNA328689</t>
  </si>
  <si>
    <t>NC_030460.1/KT149403.1</t>
  </si>
  <si>
    <t>Chimpanzee faeces associated microphage 2</t>
  </si>
  <si>
    <t>PRJNA328669</t>
  </si>
  <si>
    <t>Mycoplasma genitalium M6282</t>
  </si>
  <si>
    <t>NC_030476.1/KR704914.1</t>
  </si>
  <si>
    <t>Circovirus-like genome DHCV-5</t>
  </si>
  <si>
    <t>PRJNA328674</t>
  </si>
  <si>
    <t>NC_030456.1/KT149411.1</t>
  </si>
  <si>
    <t>Circovirus-like genome DCCV-9</t>
  </si>
  <si>
    <t>PRJNA328678</t>
  </si>
  <si>
    <t>NC_030459.1/KT149402.1</t>
  </si>
  <si>
    <t>Circovirus-like genome DCCV-5</t>
  </si>
  <si>
    <t>PRJNA328682</t>
  </si>
  <si>
    <t>NC_030473.1/KT149398.1</t>
  </si>
  <si>
    <t>Mycoplasma genitalium M6320</t>
  </si>
  <si>
    <t>Circovirus-like genome DCCV-13</t>
  </si>
  <si>
    <t>PRJNA328686</t>
  </si>
  <si>
    <t>NC_030469.1/KT149406.1</t>
  </si>
  <si>
    <t>Circovirus-like genome DCCV-1</t>
  </si>
  <si>
    <t>PRJNA328690</t>
  </si>
  <si>
    <t>NC_030463.1/KT149394.1</t>
  </si>
  <si>
    <t>Chimpanzee faeces associated microphage 3</t>
  </si>
  <si>
    <t>PRJNA328668</t>
  </si>
  <si>
    <t>NC_030458.1/KR704915.1</t>
  </si>
  <si>
    <t>Chimpanzee faeces associated microphage 1</t>
  </si>
  <si>
    <t>PRJNA328670</t>
  </si>
  <si>
    <t>NC_030472.1/KR704913.1</t>
  </si>
  <si>
    <t>Carrot mottle mimic virus satellite RNA</t>
  </si>
  <si>
    <t>PRJNA328874</t>
  </si>
  <si>
    <t>Mycoplasma haemocanis str. Illinois</t>
  </si>
  <si>
    <t>NC_030648.1/EU914919.1</t>
  </si>
  <si>
    <t>Staphylococcus virus 80</t>
  </si>
  <si>
    <t>PRJNA329642</t>
  </si>
  <si>
    <t>NC_030652.1/DQ908929.1</t>
  </si>
  <si>
    <t>Nylanderia fulva virus 1</t>
  </si>
  <si>
    <t>PRJNA329635</t>
  </si>
  <si>
    <t>Mycoplasma haemofelis str. Langford 1</t>
  </si>
  <si>
    <t>NC_030651.1/KX024775.1</t>
  </si>
  <si>
    <t>Gorilla anellovirus</t>
  </si>
  <si>
    <t>PRJNA329636</t>
  </si>
  <si>
    <t>NC_030650.1/KT027939.1</t>
  </si>
  <si>
    <t>Carrot mottle virus satellite RNA</t>
  </si>
  <si>
    <t>PRJNA329637</t>
  </si>
  <si>
    <t>NC_030649.1/EU914920.1</t>
  </si>
  <si>
    <t>Yacon virus A</t>
  </si>
  <si>
    <t>Mycoplasma hominis ATCC 27545</t>
  </si>
  <si>
    <t>PRJNA331041</t>
  </si>
  <si>
    <t>NC_030657.1/KU375548.1</t>
  </si>
  <si>
    <t>Rhizoctonia solani flexivirus 1</t>
  </si>
  <si>
    <t>PRJNA331040</t>
  </si>
  <si>
    <t>NC_030655.1/KX349055.1</t>
  </si>
  <si>
    <t>Pteropox virus</t>
  </si>
  <si>
    <t>PRJNA331044</t>
  </si>
  <si>
    <t>NC_030656.1/KU980965.1</t>
  </si>
  <si>
    <t>Mycoplasma hominis strain AF1</t>
  </si>
  <si>
    <t>Atypical porcine pestivirus 1</t>
  </si>
  <si>
    <t>PRJNA330731</t>
  </si>
  <si>
    <t>NC_030653.1/KU041639.1</t>
  </si>
  <si>
    <t>Fusarium graminearum deltaflexivirus 1</t>
  </si>
  <si>
    <t>PRJNA331043</t>
  </si>
  <si>
    <t>NC_030654.1/KX015962.1</t>
  </si>
  <si>
    <t>Mycoplasma hominis strain PG21</t>
  </si>
  <si>
    <t>Grapevine Red Globe virus</t>
  </si>
  <si>
    <t>PRJNA335748</t>
  </si>
  <si>
    <t>NC_030693.1/KX171166.1</t>
  </si>
  <si>
    <t>Gordonia phage Soups</t>
  </si>
  <si>
    <t>PRJNA336042</t>
  </si>
  <si>
    <t>NC_030698.1/KU998249.1</t>
  </si>
  <si>
    <t>Gordonia phage Smoothie</t>
  </si>
  <si>
    <t>PRJNA336043</t>
  </si>
  <si>
    <t>NC_030696.1/KU998244.1</t>
  </si>
  <si>
    <t>Mycoplasma hominis strain Sprott</t>
  </si>
  <si>
    <t>Picornavirales Bu-3</t>
  </si>
  <si>
    <t>PRJNA336038</t>
  </si>
  <si>
    <t>NC_030697.1/LC131488.1</t>
  </si>
  <si>
    <t>Gordonia phage Rosalind</t>
  </si>
  <si>
    <t>PRJNA336044</t>
  </si>
  <si>
    <t>NC_030694.1/KU998250.1</t>
  </si>
  <si>
    <t>Mycoplasma hyopneumoniae 168</t>
  </si>
  <si>
    <t>Ramie mosaic Yunnan virus</t>
  </si>
  <si>
    <t>PRJNA336039</t>
  </si>
  <si>
    <t>NC_030699.1/KU522485.1</t>
  </si>
  <si>
    <t>Gordonia phage KatherineG</t>
  </si>
  <si>
    <t>PRJNA336045</t>
  </si>
  <si>
    <t>NC_030695.1/KU998251.1</t>
  </si>
  <si>
    <t>Picornavirales Bu-1</t>
  </si>
  <si>
    <t>PRJNA336275</t>
  </si>
  <si>
    <t>NC_030745.1/LC131490.1</t>
  </si>
  <si>
    <t>Mycoplasma hyopneumoniae 168-L</t>
  </si>
  <si>
    <t>Malvastrum yellow vein Honghe virus</t>
  </si>
  <si>
    <t>PRJNA339070</t>
  </si>
  <si>
    <t>DNA-A:NC_030749.1/FN552749.1</t>
  </si>
  <si>
    <t>Wuhan Insect virus 2</t>
  </si>
  <si>
    <t>PRJNA339074</t>
  </si>
  <si>
    <t>33.6488</t>
  </si>
  <si>
    <t>L:NC_030752.1/KM817692.1;  M:NC_030750.1/KM817724.2;  S:NC_030751.1/KM817753.2</t>
  </si>
  <si>
    <t>Mycoplasma hyopneumoniae 232</t>
  </si>
  <si>
    <t>Picornavirales Tottori-HG1</t>
  </si>
  <si>
    <t>PRJNA336530</t>
  </si>
  <si>
    <t>NC_030744.1/LC123275.1</t>
  </si>
  <si>
    <t>Senna leaf curl virus</t>
  </si>
  <si>
    <t>PRJNA339071</t>
  </si>
  <si>
    <t>NC_030748.1/KU852742.1</t>
  </si>
  <si>
    <t>Gompholobium virus A</t>
  </si>
  <si>
    <t>PRJNA338306</t>
  </si>
  <si>
    <t>NC_030742.1/KX184304.1</t>
  </si>
  <si>
    <t>Alternaria arborescens mitovirus 1</t>
  </si>
  <si>
    <t>PRJNA339073</t>
  </si>
  <si>
    <t>NC_030747.1/LC145036.1</t>
  </si>
  <si>
    <t>Brejeira virus</t>
  </si>
  <si>
    <t>PRJNA336557</t>
  </si>
  <si>
    <t>Mycoplasma hyopneumoniae 7422</t>
  </si>
  <si>
    <t>NC_030743.1/KM350508.1</t>
  </si>
  <si>
    <t>Senna mosaic virus</t>
  </si>
  <si>
    <t>PRJNA339072</t>
  </si>
  <si>
    <t>NC_030746.1/KX196173.2</t>
  </si>
  <si>
    <t>Murine polyomavirus strain BG</t>
  </si>
  <si>
    <t>PRJNA15489</t>
  </si>
  <si>
    <t>Unknown:NC_001515.2/AF442959.1</t>
  </si>
  <si>
    <t>Bos taurus polyomavirus 1</t>
  </si>
  <si>
    <t>PRJNA14017</t>
  </si>
  <si>
    <t>Unknown:NC_001442.1/D13942.1</t>
  </si>
  <si>
    <t>Mus musculus polyomavirus 2</t>
  </si>
  <si>
    <t>PRJNA14071</t>
  </si>
  <si>
    <t>Unknown:NC_001505.2/M55904.2</t>
  </si>
  <si>
    <t>Mycoplasma hyopneumoniae 7448</t>
  </si>
  <si>
    <t>Macaca mulatta polyomavirus 1</t>
  </si>
  <si>
    <t>PRJNA14024</t>
  </si>
  <si>
    <t>Unknown:NC_001669.1/J02400.1</t>
  </si>
  <si>
    <t>Human polyomavirus 1</t>
  </si>
  <si>
    <t>PRJNA14074</t>
  </si>
  <si>
    <t>Unknown:NC_001538.1/V01108.1</t>
  </si>
  <si>
    <t>Mesocricetus auratus polyomavirus 1</t>
  </si>
  <si>
    <t>PRJNA14461</t>
  </si>
  <si>
    <t>Unknown:NC_001663.2/JX036360.1</t>
  </si>
  <si>
    <t>Mycoplasma hyopneumoniae J</t>
  </si>
  <si>
    <t>Bovine calicivirus strain Kirklareli</t>
  </si>
  <si>
    <t>PRJNA339877</t>
  </si>
  <si>
    <t>NC_030793.1/KT119483.1</t>
  </si>
  <si>
    <t>Bos taurus papillomavirus 19</t>
  </si>
  <si>
    <t>PRJNA339881</t>
  </si>
  <si>
    <t>NC_030799.1/KU519394.1</t>
  </si>
  <si>
    <t>Bos taurus papillomavirus 13</t>
  </si>
  <si>
    <t>Mycoplasma hyorhinis DBS 1050</t>
  </si>
  <si>
    <t>PRJNA339885</t>
  </si>
  <si>
    <t>NC_030795.1/KU519390.1</t>
  </si>
  <si>
    <t>Bos taurus papillomavirus 21</t>
  </si>
  <si>
    <t>PRJNA339879</t>
  </si>
  <si>
    <t>NC_030801.1/KU519396.1</t>
  </si>
  <si>
    <t>Bos taurus papillomavirus 17</t>
  </si>
  <si>
    <t>PRJNA339883</t>
  </si>
  <si>
    <t>NC_030797.1/KU519392.1</t>
  </si>
  <si>
    <t>Mycoplasma hyorhinis GDL-1</t>
  </si>
  <si>
    <t>Equine adenovirus 1</t>
  </si>
  <si>
    <t>PRJNA339878</t>
  </si>
  <si>
    <t>NC_030792.1/JN418926.1</t>
  </si>
  <si>
    <t>Bos taurus papillomavirus 18</t>
  </si>
  <si>
    <t>PRJNA339882</t>
  </si>
  <si>
    <t>NC_030798.1/KU519393.1</t>
  </si>
  <si>
    <t>Mycoplasma hyorhinis HUB-1</t>
  </si>
  <si>
    <t>Callistephus mottle virus</t>
  </si>
  <si>
    <t>PRJNA339886</t>
  </si>
  <si>
    <t>NC_030794.1/KX013584.1</t>
  </si>
  <si>
    <t>Bos taurus papillomavirus 20</t>
  </si>
  <si>
    <t>PRJNA339880</t>
  </si>
  <si>
    <t>NC_030800.1/KU519395.1</t>
  </si>
  <si>
    <t>Bos taurus papillomavirus 16</t>
  </si>
  <si>
    <t>Mycoplasma hyorhinis MCLD</t>
  </si>
  <si>
    <t>PRJNA339884</t>
  </si>
  <si>
    <t>NC_030796.1/KU519391.1</t>
  </si>
  <si>
    <t>Sparus aurata polyomavirus 1</t>
  </si>
  <si>
    <t>PRJNA340167</t>
  </si>
  <si>
    <t>NC_030838.1/KX643371.1</t>
  </si>
  <si>
    <t>Sparus aurata papillomavirus 1</t>
  </si>
  <si>
    <t>PRJNA340441</t>
  </si>
  <si>
    <t>NC_030839.1/KX643372.1</t>
  </si>
  <si>
    <t>Egaro virus</t>
  </si>
  <si>
    <t>PRJNA340454</t>
  </si>
  <si>
    <t>Mycoplasma hyorhinis SK76</t>
  </si>
  <si>
    <t>NC_030845.1/KX580891.1</t>
  </si>
  <si>
    <t>Wabat virus</t>
  </si>
  <si>
    <t>PRJNA340458</t>
  </si>
  <si>
    <t>NC_030841.1/KX580884.1</t>
  </si>
  <si>
    <t>Brazilian weed virus Y</t>
  </si>
  <si>
    <t>PRJNA340440</t>
  </si>
  <si>
    <t>NC_030847.1/KU685505.1</t>
  </si>
  <si>
    <t>Washington bat picornavirus</t>
  </si>
  <si>
    <t>PRJNA340457</t>
  </si>
  <si>
    <t>NC_030843.1/KX580885.1</t>
  </si>
  <si>
    <t>Coccinia mottle virus</t>
  </si>
  <si>
    <t>PRJNA340439</t>
  </si>
  <si>
    <t>Mycoplasma leachii 99/014/6</t>
  </si>
  <si>
    <t>NC_030840.1/KU935732.1</t>
  </si>
  <si>
    <t>Haloarcula californiae icosahedral virus 1</t>
  </si>
  <si>
    <t>PRJNA340443</t>
  </si>
  <si>
    <t>NC_030848.1/KT809302.1</t>
  </si>
  <si>
    <t>Bat tymo-like virus</t>
  </si>
  <si>
    <t>PRJNA340456</t>
  </si>
  <si>
    <t>NC_030844.1/KX580887.1</t>
  </si>
  <si>
    <t>Sea otter parvovirus 1</t>
  </si>
  <si>
    <t>PRJNA340175</t>
  </si>
  <si>
    <t>NC_030837.1/KU561552.1</t>
  </si>
  <si>
    <t>Mycoplasma leachii PG50</t>
  </si>
  <si>
    <t>Ranavirus maximus</t>
  </si>
  <si>
    <t>PRJNA340442</t>
  </si>
  <si>
    <t>NC_030842.1/KX574343.1</t>
  </si>
  <si>
    <t>Duwamo virus</t>
  </si>
  <si>
    <t>PRJNA340455</t>
  </si>
  <si>
    <t>NC_030846.1/KX580895.1</t>
  </si>
  <si>
    <t>Fusarium poae mitovirus 4</t>
  </si>
  <si>
    <t>PRJNA342441</t>
  </si>
  <si>
    <t>NC_030864.1/LC150567.1</t>
  </si>
  <si>
    <t>Bat mastadenovirus WIV13</t>
  </si>
  <si>
    <t>PRJNA342445</t>
  </si>
  <si>
    <t>Mycoplasma mobile 163K</t>
  </si>
  <si>
    <t>NC_030874.1/KT698852.1</t>
  </si>
  <si>
    <t>Fusarium poae negative-stranded virus 1</t>
  </si>
  <si>
    <t>PRJNA342449</t>
  </si>
  <si>
    <t>NC_030871.1/LC150618.1</t>
  </si>
  <si>
    <t>Fusarium poae fusarivirus 1</t>
  </si>
  <si>
    <t>PRJNA342453</t>
  </si>
  <si>
    <t>NC_030868.1/LC150611.1</t>
  </si>
  <si>
    <t>Fusarium poae narnavirus 2</t>
  </si>
  <si>
    <t>PRJNA342457</t>
  </si>
  <si>
    <t>Mycoplasma mycoides subsp. capri LC str. 95010</t>
  </si>
  <si>
    <t>NC_030866.1/LC150605.1</t>
  </si>
  <si>
    <t>Fusarium poae mitovirus 2</t>
  </si>
  <si>
    <t>PRJNA342443</t>
  </si>
  <si>
    <t>NC_030862.1/LC150565.1</t>
  </si>
  <si>
    <t>Sophora japonica powdery mildew-associated partitivirus</t>
  </si>
  <si>
    <t>PRJNA342447</t>
  </si>
  <si>
    <t>37.3438</t>
  </si>
  <si>
    <t>1:NC_030875.1/KU720380.1;  2:NC_030876.1/KU720381.1</t>
  </si>
  <si>
    <t>Fusarium poae mycovirus 1</t>
  </si>
  <si>
    <t>PRJNA342451</t>
  </si>
  <si>
    <t>Mycoplasma mycoides subsp. capri str. GM12</t>
  </si>
  <si>
    <t>NC_030869.1/LC150616.1</t>
  </si>
  <si>
    <t>Fusarium poae virus 1-240374</t>
  </si>
  <si>
    <t>PRJNA342455</t>
  </si>
  <si>
    <t>44.2835</t>
  </si>
  <si>
    <t>1:NC_030882.1/LC150606.1;  2:NC_030877.1/LC150607.1</t>
  </si>
  <si>
    <t>Fusarium poae mitovirus 3</t>
  </si>
  <si>
    <t>PRJNA342442</t>
  </si>
  <si>
    <t>NC_030863.1/LC150566.1</t>
  </si>
  <si>
    <t>Mink bocavirus</t>
  </si>
  <si>
    <t>PRJNA342446</t>
  </si>
  <si>
    <t>Mycoplasma mycoides subsp. capri str. GM12 (Prj:39245)</t>
  </si>
  <si>
    <t>NC_030873.1/KU950356.1</t>
  </si>
  <si>
    <t>Fusarium poae mycovirus 2</t>
  </si>
  <si>
    <t>PRJNA342450</t>
  </si>
  <si>
    <t>NC_030870.1/LC150617.1</t>
  </si>
  <si>
    <t>Fusarium poae victorivirus 1</t>
  </si>
  <si>
    <t>PRJNA342454</t>
  </si>
  <si>
    <t>NC_030867.1/LC150610.1</t>
  </si>
  <si>
    <t>Fusarium poae narnavirus 1</t>
  </si>
  <si>
    <t>PRJNA342458</t>
  </si>
  <si>
    <t>NC_030865.1/LC150604.1</t>
  </si>
  <si>
    <t>Mycoplasma mycoides subsp. capri strain GM12</t>
  </si>
  <si>
    <t>Bat mastadenovirus WIV12</t>
  </si>
  <si>
    <t>PRJNA341707</t>
  </si>
  <si>
    <t>NC_030860.1/KT698856.1</t>
  </si>
  <si>
    <t>Fusarium poae mitovirus 1</t>
  </si>
  <si>
    <t>PRJNA342444</t>
  </si>
  <si>
    <t>32.2</t>
  </si>
  <si>
    <t>NC_030861.1/LC150564.1</t>
  </si>
  <si>
    <t>Fusarium poae negative-stranded virus 2</t>
  </si>
  <si>
    <t>PRJNA342448</t>
  </si>
  <si>
    <t>NC_030872.1/LC150619.1</t>
  </si>
  <si>
    <t>Fusarium poae alternavirus 1</t>
  </si>
  <si>
    <t>PRJNA342452</t>
  </si>
  <si>
    <t>51.7117</t>
  </si>
  <si>
    <t>1:NC_030883.1/LC150613.1;  2:NC_030880.1/LC150614.1;  3:NC_030881.1/LC150615.1</t>
  </si>
  <si>
    <t>Mycoplasma mycoides subsp. mycoides</t>
  </si>
  <si>
    <t>Fusarium poae partitivirus 2</t>
  </si>
  <si>
    <t>PRJNA342456</t>
  </si>
  <si>
    <t>51.0545</t>
  </si>
  <si>
    <t>1:NC_030878.1/LC150608.1;  2:NC_030879.1/LC150609.1</t>
  </si>
  <si>
    <t>Rousettus bat coronavirus</t>
  </si>
  <si>
    <t>PRJNA342647</t>
  </si>
  <si>
    <t>NC_030886.1/KU762338.1</t>
  </si>
  <si>
    <t>Common bean-associated gemycircularvirus</t>
  </si>
  <si>
    <t>PRJNA342645</t>
  </si>
  <si>
    <t>NC_030887.1/KX434768.1</t>
  </si>
  <si>
    <t>Arabidopsis halleri partitivirus 1</t>
  </si>
  <si>
    <t>PRJNA342649</t>
  </si>
  <si>
    <t>45.6736</t>
  </si>
  <si>
    <t>1:NC_030889.1/LC151461.1;  2:NC_030890.1/LC151462.1</t>
  </si>
  <si>
    <t>Sulfolobus islandicus rudivirus 3</t>
  </si>
  <si>
    <t>PRJNA342507</t>
  </si>
  <si>
    <t>NC_030884.1/KX712143.1</t>
  </si>
  <si>
    <t>Parrot bornavirus 5</t>
  </si>
  <si>
    <t>PRJNA342648</t>
  </si>
  <si>
    <t>NC_030885.1/LC120625.1</t>
  </si>
  <si>
    <t>Sclerotium hydrophilum virus 1</t>
  </si>
  <si>
    <t>PRJNA342646</t>
  </si>
  <si>
    <t>58.7201</t>
  </si>
  <si>
    <t>1:NC_030888.1/KU886558.1;  2:NC_030891.1/KU886559.1</t>
  </si>
  <si>
    <t>Shigella phage SHFML-11</t>
  </si>
  <si>
    <t>PRJNA343548</t>
  </si>
  <si>
    <t>NC_030953.1/KX130861.1</t>
  </si>
  <si>
    <t>Escherichia phage vB_EcoM-UFV13</t>
  </si>
  <si>
    <t>PRJNA344086</t>
  </si>
  <si>
    <t>NC_031103.1/KU867876.1</t>
  </si>
  <si>
    <t>Lactobacillus phage PLE2</t>
  </si>
  <si>
    <t>PRJNA344087</t>
  </si>
  <si>
    <t>NC_031036.1/KU848187.1</t>
  </si>
  <si>
    <t>Lactobacillus phage PLE3</t>
  </si>
  <si>
    <t>PRJNA344088</t>
  </si>
  <si>
    <t>NC_031125.1/KU848186.1</t>
  </si>
  <si>
    <t>Gordonia phage Remus</t>
  </si>
  <si>
    <t>PRJNA344089</t>
  </si>
  <si>
    <t>NC_031031.1/KX557283.1</t>
  </si>
  <si>
    <t>Gordonia phage Nyceirae</t>
  </si>
  <si>
    <t>PRJNA344090</t>
  </si>
  <si>
    <t>NC_031004.1/KX557282.1</t>
  </si>
  <si>
    <t>Gordonia phage Jumbo</t>
  </si>
  <si>
    <t>PRJNA344091</t>
  </si>
  <si>
    <t>NC_031109.1/KX557281.1</t>
  </si>
  <si>
    <t>Gordonia phage JSwag</t>
  </si>
  <si>
    <t>PRJNA344092</t>
  </si>
  <si>
    <t>NC_031060.1/KX557280.1</t>
  </si>
  <si>
    <t>Gordonia phage Hedwig</t>
  </si>
  <si>
    <t>PRJNA344093</t>
  </si>
  <si>
    <t>NC_031099.1/KX557279.1</t>
  </si>
  <si>
    <t>Mycoplasma mycoides subsp. mycoides izsam_mm5713</t>
  </si>
  <si>
    <t>Gordonia phage Ghobes</t>
  </si>
  <si>
    <t>PRJNA344094</t>
  </si>
  <si>
    <t>NC_031028.1/KX557278.1</t>
  </si>
  <si>
    <t>Gordonia phage Eyre</t>
  </si>
  <si>
    <t>PRJNA344095</t>
  </si>
  <si>
    <t>NC_031122.1/KX557277.1</t>
  </si>
  <si>
    <t>Gordonia phage Cucurbita</t>
  </si>
  <si>
    <t>PRJNA344096</t>
  </si>
  <si>
    <t>Mycoplasma mycoides subsp. mycoides SC str. Gladysdale</t>
  </si>
  <si>
    <t>NC_031029.1/KX557276.1</t>
  </si>
  <si>
    <t>Gordonia phage CarolAnn</t>
  </si>
  <si>
    <t>PRJNA344097</t>
  </si>
  <si>
    <t>NC_031118.1/KX557275.1</t>
  </si>
  <si>
    <t>Gordonia phage CaptainKirk2</t>
  </si>
  <si>
    <t>PRJNA344098</t>
  </si>
  <si>
    <t>NC_031072.1/KX557274.1</t>
  </si>
  <si>
    <t>Gordonia phage Bantam</t>
  </si>
  <si>
    <t>PRJNA344099</t>
  </si>
  <si>
    <t>NC_031074.1/KX557272.1</t>
  </si>
  <si>
    <t>Mycoplasma mycoides subsp. mycoides SC str. PG1</t>
  </si>
  <si>
    <t>Erwinia phage vB_EamM_Caitlin</t>
  </si>
  <si>
    <t>PRJNA344100</t>
  </si>
  <si>
    <t>NC_031120.1/KX397365.1</t>
  </si>
  <si>
    <t>Erwinia phage vB_EamM_Phobos</t>
  </si>
  <si>
    <t>PRJNA344101</t>
  </si>
  <si>
    <t>NC_031043.1/KX397372.1</t>
  </si>
  <si>
    <t>Erwinia phage vB_EamM_Kwan</t>
  </si>
  <si>
    <t>PRJNA344102</t>
  </si>
  <si>
    <t>NC_031010.1/KX397369.1</t>
  </si>
  <si>
    <t>Mycoplasma mycoides subsp. mycoides strain B237</t>
  </si>
  <si>
    <t>Erwinia phage vB_EamM_Huxley</t>
  </si>
  <si>
    <t>PRJNA344103</t>
  </si>
  <si>
    <t>NC_031127.1/KX397368.1</t>
  </si>
  <si>
    <t>Erwinia phage vB_EamM_EarlPhillipIV</t>
  </si>
  <si>
    <t>PRJNA344104</t>
  </si>
  <si>
    <t>NC_031007.1/KX397367.1</t>
  </si>
  <si>
    <t>Erwinia phage vB_EamM_ChrisDB</t>
  </si>
  <si>
    <t>PRJNA344105</t>
  </si>
  <si>
    <t>NC_031126.1/KX397366.1</t>
  </si>
  <si>
    <t>Erwinia phage vB_EamM_Asesino</t>
  </si>
  <si>
    <t>PRJNA344106</t>
  </si>
  <si>
    <t>NC_031107.1/KX397364.1</t>
  </si>
  <si>
    <t>Bacillus phage Stitch</t>
  </si>
  <si>
    <t>PRJNA344107</t>
  </si>
  <si>
    <t>Mycoplasma ovis str. Michigan</t>
  </si>
  <si>
    <t>NC_031032.1/KX349901.1</t>
  </si>
  <si>
    <t>Bacillus phage Claudi</t>
  </si>
  <si>
    <t>PRJNA344108</t>
  </si>
  <si>
    <t>NC_031015.1/KX349900.1</t>
  </si>
  <si>
    <t>Bacillus phage Aurora</t>
  </si>
  <si>
    <t>PRJNA344109</t>
  </si>
  <si>
    <t>NC_031121.1/KX349899.1</t>
  </si>
  <si>
    <t>Mycoplasma parvum str. Indiana</t>
  </si>
  <si>
    <t>Bacillus phage DirtyBetty</t>
  </si>
  <si>
    <t>PRJNA344110</t>
  </si>
  <si>
    <t>NC_031054.1/KX349903.1</t>
  </si>
  <si>
    <t>Bacillus phage Kida</t>
  </si>
  <si>
    <t>PRJNA344111</t>
  </si>
  <si>
    <t>NC_031012.1/KX349902.1</t>
  </si>
  <si>
    <t>Mycoplasma penetrans HF-2</t>
  </si>
  <si>
    <t>Escherichia phage vB_EcoM_Alf5</t>
  </si>
  <si>
    <t>PRJNA344112</t>
  </si>
  <si>
    <t>NC_031082.1/KX377933.1</t>
  </si>
  <si>
    <t>Pseudomonas phage vB_PaeM_MAG1</t>
  </si>
  <si>
    <t>PRJNA344113</t>
  </si>
  <si>
    <t>NC_031073.1/KR052143.1</t>
  </si>
  <si>
    <t>Mycoplasma pneumoniae 309</t>
  </si>
  <si>
    <t>Pseudomonas phage vB_PaeP_MAG4</t>
  </si>
  <si>
    <t>PRJNA344114</t>
  </si>
  <si>
    <t>NC_031104.1/KR052142.1</t>
  </si>
  <si>
    <t>Skunkpox virus</t>
  </si>
  <si>
    <t>PRJNA344115</t>
  </si>
  <si>
    <t>NC_031038.1/KU749310.1</t>
  </si>
  <si>
    <t>Mycoplasma pneumoniae 39443</t>
  </si>
  <si>
    <t>Staphylococcus phage BP39</t>
  </si>
  <si>
    <t>PRJNA344116</t>
  </si>
  <si>
    <t>NC_031046.1/KM366100.1</t>
  </si>
  <si>
    <t>Streptococcus virus 9874</t>
  </si>
  <si>
    <t>PRJNA344117</t>
  </si>
  <si>
    <t>NC_031023.1/KU678392.1</t>
  </si>
  <si>
    <t>Mycoplasma pneumoniae 51494</t>
  </si>
  <si>
    <t>Streptococcus virus 9872</t>
  </si>
  <si>
    <t>PRJNA344118</t>
  </si>
  <si>
    <t>NC_031094.1/KU678390.1</t>
  </si>
  <si>
    <t>Citrobacter phage SH3</t>
  </si>
  <si>
    <t>PRJNA344128</t>
  </si>
  <si>
    <t>NC_031123.1/KU687349.1</t>
  </si>
  <si>
    <t>Mycoplasma pneumoniae 54089</t>
  </si>
  <si>
    <t>Citrobacter phage SH2</t>
  </si>
  <si>
    <t>PRJNA344129</t>
  </si>
  <si>
    <t>NC_031092.1/KU687348.1</t>
  </si>
  <si>
    <t>Citrobacter phage SH1</t>
  </si>
  <si>
    <t>PRJNA344130</t>
  </si>
  <si>
    <t>NC_031066.1/KU687347.1</t>
  </si>
  <si>
    <t>Acinetobacter phage LZ35</t>
  </si>
  <si>
    <t>PRJNA344131</t>
  </si>
  <si>
    <t>Mycoplasma pneumoniae 54524</t>
  </si>
  <si>
    <t>NC_031117.1/KU510289.1</t>
  </si>
  <si>
    <t>Acinetobacter phage phiAB6</t>
  </si>
  <si>
    <t>PRJNA344132</t>
  </si>
  <si>
    <t>NC_031086.1/KT339321.1</t>
  </si>
  <si>
    <t>Klebsiella phage PKO111</t>
  </si>
  <si>
    <t>PRJNA344134</t>
  </si>
  <si>
    <t>NC_031095.1/KR269720.1</t>
  </si>
  <si>
    <t>Klebsiella phage PKP126</t>
  </si>
  <si>
    <t>PRJNA344136</t>
  </si>
  <si>
    <t>NC_031053.1/KR269719.1</t>
  </si>
  <si>
    <t>Mycoplasma pneumoniae 85084</t>
  </si>
  <si>
    <t>Escherichia phage HY03</t>
  </si>
  <si>
    <t>PRJNA344138</t>
  </si>
  <si>
    <t>NC_031047.1/KR269718.1</t>
  </si>
  <si>
    <t>Propionibacterium phage QueenBey</t>
  </si>
  <si>
    <t>PRJNA344140</t>
  </si>
  <si>
    <t>NC_031005.1/KR347355.1</t>
  </si>
  <si>
    <t>Propionibacterium phage Moyashi</t>
  </si>
  <si>
    <t>PRJNA344142</t>
  </si>
  <si>
    <t>Mycoplasma pneumoniae 85138</t>
  </si>
  <si>
    <t>NC_031003.1/KR347354.1</t>
  </si>
  <si>
    <t>Propionibacterium phage Enoki</t>
  </si>
  <si>
    <t>PRJNA344143</t>
  </si>
  <si>
    <t>NC_031119.1/KR347353.1</t>
  </si>
  <si>
    <t>Propionibacterium phage BruceLethal</t>
  </si>
  <si>
    <t>PRJNA344144</t>
  </si>
  <si>
    <t>NC_031084.1/KR347352.1</t>
  </si>
  <si>
    <t>Mycoplasma pneumoniae FH</t>
  </si>
  <si>
    <t>Salmonella phage NR01</t>
  </si>
  <si>
    <t>PRJNA344145</t>
  </si>
  <si>
    <t>NC_031042.1/KR233164.1</t>
  </si>
  <si>
    <t>Bacillus phage AR9</t>
  </si>
  <si>
    <t>PRJNA344146</t>
  </si>
  <si>
    <t>NC_031039.1/KU878088.1</t>
  </si>
  <si>
    <t>Mycobacterium phage Sneeze</t>
  </si>
  <si>
    <t>PRJNA344147</t>
  </si>
  <si>
    <t>NC_031102.1/KX534004.1</t>
  </si>
  <si>
    <t>Streptomyces phage Nanodon</t>
  </si>
  <si>
    <t>PRJNA344148</t>
  </si>
  <si>
    <t>NC_031078.1/KX344445.1</t>
  </si>
  <si>
    <t>Mycobacterium phage Gardann</t>
  </si>
  <si>
    <t>PRJNA344149</t>
  </si>
  <si>
    <t>Mycoplasma pneumoniae M1139</t>
  </si>
  <si>
    <t>NC_031124.1/KX507361.1</t>
  </si>
  <si>
    <t>Rhodovulum phage vB_RhkS_P1</t>
  </si>
  <si>
    <t>PRJNA344151</t>
  </si>
  <si>
    <t>NC_031059.1/KX077179.1</t>
  </si>
  <si>
    <t>Lactococcus phage 98201</t>
  </si>
  <si>
    <t>PRJNA344152</t>
  </si>
  <si>
    <t>Mycoplasma pneumoniae M129</t>
  </si>
  <si>
    <t>NC_031064.1/KX456213.1</t>
  </si>
  <si>
    <t>Streptococcus virus 9871</t>
  </si>
  <si>
    <t>PRJNA344119</t>
  </si>
  <si>
    <t>NC_031069.1/KU678389.1</t>
  </si>
  <si>
    <t>Bacillus phage Zuko</t>
  </si>
  <si>
    <t>PRJNA344120</t>
  </si>
  <si>
    <t>NC_031116.1/KU737348.1</t>
  </si>
  <si>
    <t>Mycoplasma pneumoniae M129-B7</t>
  </si>
  <si>
    <t>Bacillus phage SageFayge</t>
  </si>
  <si>
    <t>PRJNA344121</t>
  </si>
  <si>
    <t>NC_031027.1/KU737350.1</t>
  </si>
  <si>
    <t>Mycoplasma pneumoniae M2592</t>
  </si>
  <si>
    <t>Bacillus phage Phrodo</t>
  </si>
  <si>
    <t>PRJNA344122</t>
  </si>
  <si>
    <t>NC_031100.1/KU737347.1</t>
  </si>
  <si>
    <t>Bacillus phage NotTheCreek</t>
  </si>
  <si>
    <t>PRJNA344123</t>
  </si>
  <si>
    <t>NC_031049.1/KU737351.1</t>
  </si>
  <si>
    <t>Mycoplasma pneumoniae M29</t>
  </si>
  <si>
    <t>Bacillus phage Nigalana</t>
  </si>
  <si>
    <t>PRJNA344124</t>
  </si>
  <si>
    <t>NC_031037.1/KU737344.1</t>
  </si>
  <si>
    <t>Bacillus phage Nemo</t>
  </si>
  <si>
    <t>PRJNA344125</t>
  </si>
  <si>
    <t>NC_031070.1/KU737352.1</t>
  </si>
  <si>
    <t>Bacillus phage DIGNKC</t>
  </si>
  <si>
    <t>PRJNA344126</t>
  </si>
  <si>
    <t>Mycoplasma pneumoniae MAC</t>
  </si>
  <si>
    <t>NC_031006.1/KU737349.1</t>
  </si>
  <si>
    <t>Citrobacter phage SH4</t>
  </si>
  <si>
    <t>PRJNA344127</t>
  </si>
  <si>
    <t>NC_031018.1/KU687350.1</t>
  </si>
  <si>
    <t>Lactococcus phage 63301</t>
  </si>
  <si>
    <t>PRJNA344153</t>
  </si>
  <si>
    <t>NC_031017.1/KX456211.1</t>
  </si>
  <si>
    <t>Mycoplasma pneumoniae strain C267</t>
  </si>
  <si>
    <t>Lactococcus phage 50101</t>
  </si>
  <si>
    <t>PRJNA344155</t>
  </si>
  <si>
    <t>NC_031040.1/KX456207.1</t>
  </si>
  <si>
    <t>Citrobacter phage vB_CfrM_CfP1</t>
  </si>
  <si>
    <t>PRJNA344157</t>
  </si>
  <si>
    <t>NC_031057.1/KX245890.1</t>
  </si>
  <si>
    <t>Klebsiella phage KpV475</t>
  </si>
  <si>
    <t>PRJNA344158</t>
  </si>
  <si>
    <t>NC_031025.1/KX211991.1</t>
  </si>
  <si>
    <t>Mycoplasma pneumoniae strain M2192</t>
  </si>
  <si>
    <t>Erwinia phage vB_EamP_Frozen</t>
  </si>
  <si>
    <t>PRJNA344159</t>
  </si>
  <si>
    <t>Unknown:NC_031062.2/KX098389.2</t>
  </si>
  <si>
    <t>Acinetobacter phage vB_AbaS_TRS1</t>
  </si>
  <si>
    <t>PRJNA344160</t>
  </si>
  <si>
    <t>NC_031098.1/KX268652.1</t>
  </si>
  <si>
    <t>Morganella phage vB_MmoM_MP1</t>
  </si>
  <si>
    <t>PRJNA344161</t>
  </si>
  <si>
    <t>Mycoplasma pneumoniae strain S355</t>
  </si>
  <si>
    <t>NC_031020.1/KX078569.1</t>
  </si>
  <si>
    <t>Morganella phage vB_MmoP_MP2</t>
  </si>
  <si>
    <t>PRJNA344162</t>
  </si>
  <si>
    <t>NC_031115.1/KX078568.1</t>
  </si>
  <si>
    <t>Klebsiella phage vB_KpnM_KpV477</t>
  </si>
  <si>
    <t>PRJNA344163</t>
  </si>
  <si>
    <t>NC_031087.1/KX258185.1</t>
  </si>
  <si>
    <t>Mycoplasma pulmonis UAB CTIP</t>
  </si>
  <si>
    <t>Bacillus phage Belinda</t>
  </si>
  <si>
    <t>PRJNA344165</t>
  </si>
  <si>
    <t>NC_031024.1/KX147229.1</t>
  </si>
  <si>
    <t>Enterobacteria phage vB_EcoS_NBD2</t>
  </si>
  <si>
    <t>PRJNA344166</t>
  </si>
  <si>
    <t>NC_031050.1/KX130668.1</t>
  </si>
  <si>
    <t>Propionibacterium phage PFR2</t>
  </si>
  <si>
    <t>PRJNA344167</t>
  </si>
  <si>
    <t>Mycoplasma putrefaciens KS1</t>
  </si>
  <si>
    <t>NC_031108.1/KU984980.1</t>
  </si>
  <si>
    <t>Propionibacterium phage PFR1</t>
  </si>
  <si>
    <t>PRJNA344168</t>
  </si>
  <si>
    <t>NC_031076.1/KU984979.1</t>
  </si>
  <si>
    <t>Escherichia phage UFV-AREG1</t>
  </si>
  <si>
    <t>PRJNA344169</t>
  </si>
  <si>
    <t>NC_031030.1/KX009778.3</t>
  </si>
  <si>
    <t>Mycoplasma putrefaciens Mput9231</t>
  </si>
  <si>
    <t>Bacillus phage SalinJah</t>
  </si>
  <si>
    <t>PRJNA344170</t>
  </si>
  <si>
    <t>NC_031034.1/KX011169.1</t>
  </si>
  <si>
    <t>Gordonia phage Phinally</t>
  </si>
  <si>
    <t>PRJNA344171</t>
  </si>
  <si>
    <t>NC_031112.1/KU963253.2</t>
  </si>
  <si>
    <t>Mycoplasma sp. (ex Biomphalaria glabrata)</t>
  </si>
  <si>
    <t>Gordonia phage Nymphadora</t>
  </si>
  <si>
    <t>PRJNA344173</t>
  </si>
  <si>
    <t>NC_031061.1/KU963255.1</t>
  </si>
  <si>
    <t>Pseudomonas phage phiMK</t>
  </si>
  <si>
    <t>PRJNA344174</t>
  </si>
  <si>
    <t>NC_031110.1/KU761955.1</t>
  </si>
  <si>
    <t>Lactococcus phage PLgT-1</t>
  </si>
  <si>
    <t>PRJNA344175</t>
  </si>
  <si>
    <t>NC_031016.1/KU892558.1</t>
  </si>
  <si>
    <t>Mycoplasma suis KI3806</t>
  </si>
  <si>
    <t>Salmonella phage vB_SnwM_CGG4-1</t>
  </si>
  <si>
    <t>PRJNA344176</t>
  </si>
  <si>
    <t>NC_031065.1/KU867307.1</t>
  </si>
  <si>
    <t>Pectobacterium phage PP90</t>
  </si>
  <si>
    <t>PRJNA344177</t>
  </si>
  <si>
    <t>NC_031096.1/KX278419.1</t>
  </si>
  <si>
    <t>Pectobacterium phage PP16</t>
  </si>
  <si>
    <t>PRJNA344178</t>
  </si>
  <si>
    <t>Mycoplasma suis str. Illinois</t>
  </si>
  <si>
    <t>NC_031068.1/KX278418.1</t>
  </si>
  <si>
    <t>Pseudomonas phage Andromeda</t>
  </si>
  <si>
    <t>PRJNA344179</t>
  </si>
  <si>
    <t>NC_031014.1/KX458241.1</t>
  </si>
  <si>
    <t>Mycobacterium phage Gompeii16</t>
  </si>
  <si>
    <t>PRJNA344180</t>
  </si>
  <si>
    <t>NC_031111.1/KX522943.1</t>
  </si>
  <si>
    <t>Mycoplasma synoviae 53</t>
  </si>
  <si>
    <t>Mycobacterium phage Papez</t>
  </si>
  <si>
    <t>PRJNA344181</t>
  </si>
  <si>
    <t>NC_031041.1/KX369586.1</t>
  </si>
  <si>
    <t>Mycobacterium phage Makemake</t>
  </si>
  <si>
    <t>PRJNA344182</t>
  </si>
  <si>
    <t>NC_031067.1/KX369584.1</t>
  </si>
  <si>
    <t>Shigella phage SHSML-45</t>
  </si>
  <si>
    <t>PRJNA344183</t>
  </si>
  <si>
    <t>Mycoplasma synoviae ATCC 25204</t>
  </si>
  <si>
    <t>NC_031022.1/KX130863.1</t>
  </si>
  <si>
    <t>Shigella phage SHFML-26</t>
  </si>
  <si>
    <t>PRJNA344184</t>
  </si>
  <si>
    <t>NC_031011.1/KX130862.1</t>
  </si>
  <si>
    <t>Shigella phage SHBML-50-1</t>
  </si>
  <si>
    <t>PRJNA344185</t>
  </si>
  <si>
    <t>NC_031085.1/KX130864.1</t>
  </si>
  <si>
    <t>Mycoplasma wenyonii str. Massachusetts</t>
  </si>
  <si>
    <t>Lactococcus phage M6165</t>
  </si>
  <si>
    <t>PRJNA344186</t>
  </si>
  <si>
    <t>NC_031044.1/KX373689.1</t>
  </si>
  <si>
    <t>Lactococcus phage M6162</t>
  </si>
  <si>
    <t>PRJNA344187</t>
  </si>
  <si>
    <t>NC_031002.1/KX373688.1</t>
  </si>
  <si>
    <t>Staphylococcus phage SLPW</t>
  </si>
  <si>
    <t>Mycoplasma yeatsii GM274B</t>
  </si>
  <si>
    <t>PRJNA344196</t>
  </si>
  <si>
    <t>NC_031008.1/KU992911.1</t>
  </si>
  <si>
    <t>Polygonum ringspot virus</t>
  </si>
  <si>
    <t>PRJNA344197</t>
  </si>
  <si>
    <t>38.6692</t>
  </si>
  <si>
    <t>L:NC_031133.1/KX468764.1;  M:NC_031132.1/KX468763.1;  S:NC_031131.1/KX468762.1</t>
  </si>
  <si>
    <t>Sanxia Water Strider Virus 5</t>
  </si>
  <si>
    <t>PRJNA344198</t>
  </si>
  <si>
    <t>Myroides odoratimimus strain PR63039</t>
  </si>
  <si>
    <t>NC_031093.1/KM817634.1</t>
  </si>
  <si>
    <t>Sanxia water strider virus 4</t>
  </si>
  <si>
    <t>PRJNA344199</t>
  </si>
  <si>
    <t>NC_031088.1/KM817633.1</t>
  </si>
  <si>
    <t>Sanxia Water Strider Virus 1</t>
  </si>
  <si>
    <t>PRJNA344202</t>
  </si>
  <si>
    <t>35.3293</t>
  </si>
  <si>
    <t>Myroides profundi D25</t>
  </si>
  <si>
    <t>L:NC_031141.1/KM817674.1;  M:NC_031142.1/KM817711.1;  S:NC_031143.1/KM817737.1</t>
  </si>
  <si>
    <t>Huangpi Tick Virus 3</t>
  </si>
  <si>
    <t>PRJNA344203</t>
  </si>
  <si>
    <t>NC_031083.1/KM817630.1</t>
  </si>
  <si>
    <t>Huangpi Tick Virus 2</t>
  </si>
  <si>
    <t>PRJNA344204</t>
  </si>
  <si>
    <t>44.9359</t>
  </si>
  <si>
    <t>L:NC_031138.1/KM817668.1;  M:NC_031139.1/KM817707.1;  S:NC_031140.1/KM817735.1</t>
  </si>
  <si>
    <t>Huangpi Tick Virus 1</t>
  </si>
  <si>
    <t>PRJNA344205</t>
  </si>
  <si>
    <t>44.95</t>
  </si>
  <si>
    <t>Myroides sp. A21</t>
  </si>
  <si>
    <t>L:NC_031135.1/KM817667.1;  M:NC_031136.1/KM817706.1;  S:NC_031137.1/KM817734.1</t>
  </si>
  <si>
    <t>Bole Tick Virus 2</t>
  </si>
  <si>
    <t>PRJNA344206</t>
  </si>
  <si>
    <t>NC_031079.1/KM817629.1</t>
  </si>
  <si>
    <t>Cannabis cryptic virus</t>
  </si>
  <si>
    <t>PRJNA344207</t>
  </si>
  <si>
    <t>43.5615</t>
  </si>
  <si>
    <t>1:NC_031134.1/KX709964.1;  2:NC_031130.1/KX709965.1</t>
  </si>
  <si>
    <t>Volepox virus</t>
  </si>
  <si>
    <t>PRJNA344208</t>
  </si>
  <si>
    <t>Myxococcus fulvus 124B02</t>
  </si>
  <si>
    <t>NC_031033.1/KU749311.1</t>
  </si>
  <si>
    <t>Mycobacterium phage Gengar</t>
  </si>
  <si>
    <t>PRJNA344209</t>
  </si>
  <si>
    <t>NC_031035.1/KX636165.1</t>
  </si>
  <si>
    <t>Mycobacterium phage Tonenili</t>
  </si>
  <si>
    <t>PRJNA344210</t>
  </si>
  <si>
    <t>NC_031080.1/KX752698.1</t>
  </si>
  <si>
    <t>Gordonia phage Zirinka</t>
  </si>
  <si>
    <t>PRJNA344211</t>
  </si>
  <si>
    <t>NC_031097.1/KX557287.1</t>
  </si>
  <si>
    <t>Myxococcus fulvus HW-1</t>
  </si>
  <si>
    <t>Gordonia phage Twister6</t>
  </si>
  <si>
    <t>PRJNA344212</t>
  </si>
  <si>
    <t>NC_031052.1/KX557286.1</t>
  </si>
  <si>
    <t>Gordonia phage Terapin</t>
  </si>
  <si>
    <t>PRJNA344213</t>
  </si>
  <si>
    <t>NC_031001.1/KX557285.1</t>
  </si>
  <si>
    <t>Enterobacteria phage UAB_Phi20</t>
  </si>
  <si>
    <t>PRJNA344214</t>
  </si>
  <si>
    <t>NC_031019.1/GQ422450.1</t>
  </si>
  <si>
    <t>Rosavirus C</t>
  </si>
  <si>
    <t>PRJNA344215</t>
  </si>
  <si>
    <t>NC_031106.1/KX783425.1</t>
  </si>
  <si>
    <t>Myxococcus sp. (contaminant ex DSM 436)</t>
  </si>
  <si>
    <t>Rosavirus B</t>
  </si>
  <si>
    <t>PRJNA344216</t>
  </si>
  <si>
    <t>NC_031105.1/KX783423.1</t>
  </si>
  <si>
    <t>Ligustrum virus A</t>
  </si>
  <si>
    <t>PRJNA344217</t>
  </si>
  <si>
    <t>NC_031089.1/KX000914.1</t>
  </si>
  <si>
    <t>Escherichia phage Gluttony</t>
  </si>
  <si>
    <t>PRJNA344218</t>
  </si>
  <si>
    <t>Myxococcus stipitatus DSM 14675</t>
  </si>
  <si>
    <t>NC_031113.1/KX534336.1</t>
  </si>
  <si>
    <t>Lactococcus phage M5938</t>
  </si>
  <si>
    <t>PRJNA344188</t>
  </si>
  <si>
    <t>NC_031075.1/KX373687.1</t>
  </si>
  <si>
    <t>Lactococcus phage D4412</t>
  </si>
  <si>
    <t>PRJNA344189</t>
  </si>
  <si>
    <t>NC_031009.1/KX373686.1</t>
  </si>
  <si>
    <t>Lactococcus phage D4410</t>
  </si>
  <si>
    <t>PRJNA344190</t>
  </si>
  <si>
    <t>NC_031071.1/KX373685.1</t>
  </si>
  <si>
    <t>Pseudomonas phage NP1</t>
  </si>
  <si>
    <t>PRJNA344191</t>
  </si>
  <si>
    <t>NC_031058.1/KX129925.1</t>
  </si>
  <si>
    <t>Myxococcus xanthus DK 1622</t>
  </si>
  <si>
    <t>Weissella phage WCP30</t>
  </si>
  <si>
    <t>PRJNA344192</t>
  </si>
  <si>
    <t>NC_031101.1/KU981050.1</t>
  </si>
  <si>
    <t>Pseudomonas phage PEV2</t>
  </si>
  <si>
    <t>PRJNA344193</t>
  </si>
  <si>
    <t>NC_031063.1/KU948710.1</t>
  </si>
  <si>
    <t>Escherichia phage 64795_ec1</t>
  </si>
  <si>
    <t>PRJNA344194</t>
  </si>
  <si>
    <t>NC_031114.1/KU927499.1</t>
  </si>
  <si>
    <t>Salmonella phage phSE-2</t>
  </si>
  <si>
    <t>PRJNA344195</t>
  </si>
  <si>
    <t>NC_031026.1/KX015770.1</t>
  </si>
  <si>
    <t>Pseudomonas phage MD8</t>
  </si>
  <si>
    <t>PRJNA344223</t>
  </si>
  <si>
    <t>Nakamurella multipartita DSM 44233</t>
  </si>
  <si>
    <t>NC_031091.1/KX198612.1</t>
  </si>
  <si>
    <t>Enterobacter phage Tyrion</t>
  </si>
  <si>
    <t>PRJNA344224</t>
  </si>
  <si>
    <t>NC_031077.1/KX231829.1</t>
  </si>
  <si>
    <t>Enterobacter phage Arya</t>
  </si>
  <si>
    <t>PRJNA344225</t>
  </si>
  <si>
    <t>NC_031048.1/KX231828.1</t>
  </si>
  <si>
    <t>Shigella phage SHSML-52-1</t>
  </si>
  <si>
    <t>PRJNA344226</t>
  </si>
  <si>
    <t>Nanoarchaeota archaeon 7A</t>
  </si>
  <si>
    <t>NC_031090.1/KX130865.1</t>
  </si>
  <si>
    <t>Salmonella phage 118970_sal4</t>
  </si>
  <si>
    <t>PRJNA343487</t>
  </si>
  <si>
    <t>NC_030919.1/KU878967.1</t>
  </si>
  <si>
    <t>Rosellinia necatrix endornavirus 1</t>
  </si>
  <si>
    <t>PRJNA343491</t>
  </si>
  <si>
    <t>NC_030938.1/LC076696.1</t>
  </si>
  <si>
    <t>Gordonia phage OneUp</t>
  </si>
  <si>
    <t>PRJNA343506</t>
  </si>
  <si>
    <t>Nanoarchaeum equitans Kin4-M</t>
  </si>
  <si>
    <t>NC_030917.1/KU998245.1</t>
  </si>
  <si>
    <t>Gordonia phage Demosthenes</t>
  </si>
  <si>
    <t>PRJNA343510</t>
  </si>
  <si>
    <t>NC_030944.1/KU998242.1</t>
  </si>
  <si>
    <t>Gordonia phage Bowser</t>
  </si>
  <si>
    <t>Natranaerobius thermophilus JW/NM-WN-LF</t>
  </si>
  <si>
    <t>PRJNA343514</t>
  </si>
  <si>
    <t>NC_030930.1/KU998235.1</t>
  </si>
  <si>
    <t>Pseudomonas phage vB_PsyM_KIL1</t>
  </si>
  <si>
    <t>PRJNA343518</t>
  </si>
  <si>
    <t>NC_030934.1/KU130126.1</t>
  </si>
  <si>
    <t>Escherichia phage Envy</t>
  </si>
  <si>
    <t>PRJNA344219</t>
  </si>
  <si>
    <t>NC_031081.1/KX534335.1</t>
  </si>
  <si>
    <t>Enterococcus phage SANTOR1</t>
  </si>
  <si>
    <t>PRJNA344220</t>
  </si>
  <si>
    <t>Natrialba magadii ATCC 43099</t>
  </si>
  <si>
    <t>NC_031051.1/KX284704.1</t>
  </si>
  <si>
    <t>Salmonella phage vB_SalM_PM10</t>
  </si>
  <si>
    <t>PRJNA344221</t>
  </si>
  <si>
    <t>NC_031128.1/KX438380.2</t>
  </si>
  <si>
    <t>Bacillus phage PfEFR-5</t>
  </si>
  <si>
    <t>PRJNA344222</t>
  </si>
  <si>
    <t>NC_031055.1/KX227760.1</t>
  </si>
  <si>
    <t>Natrinema pellirubrum DSM 15624</t>
  </si>
  <si>
    <t>Pseudomonas phage JBD69</t>
  </si>
  <si>
    <t>PRJNA343522</t>
  </si>
  <si>
    <t>NC_030908.1/KU199708.1</t>
  </si>
  <si>
    <t>Streptococcus phage phiARI0923</t>
  </si>
  <si>
    <t>PRJNA343526</t>
  </si>
  <si>
    <t>NC_030946.1/KT337370.1</t>
  </si>
  <si>
    <t>Bacillus phage BalMu-1</t>
  </si>
  <si>
    <t>PRJNA343534</t>
  </si>
  <si>
    <t>NC_030945.1/KP063902.1</t>
  </si>
  <si>
    <t>Natrinema sp. J7-2</t>
  </si>
  <si>
    <t>Gordonia phage ClubL</t>
  </si>
  <si>
    <t>PRJNA343512</t>
  </si>
  <si>
    <t>NC_030901.1/KU998246.1</t>
  </si>
  <si>
    <t>Gordonia phage Bachita</t>
  </si>
  <si>
    <t>PRJNA343516</t>
  </si>
  <si>
    <t>NC_030936.1/KU998247.1</t>
  </si>
  <si>
    <t>Natronobacterium gregoryi SP2</t>
  </si>
  <si>
    <t>Pseudomonas phage YMC11/06/C171_PPU_BP</t>
  </si>
  <si>
    <t>PRJNA343520</t>
  </si>
  <si>
    <t>NC_030923.1/KU310944.1</t>
  </si>
  <si>
    <t>Bacillus phage Eldridge</t>
  </si>
  <si>
    <t>PRJNA343524</t>
  </si>
  <si>
    <t>NC_030920.1/KU253712.1</t>
  </si>
  <si>
    <t>Gordonia phage GMA6</t>
  </si>
  <si>
    <t>PRJNA343532</t>
  </si>
  <si>
    <t>Natronococcus occultus SP4</t>
  </si>
  <si>
    <t>NC_030906.1/KR063280.1</t>
  </si>
  <si>
    <t>Gordonia phage Woes</t>
  </si>
  <si>
    <t>PRJNA343536</t>
  </si>
  <si>
    <t>NC_030905.1/KU998240.1</t>
  </si>
  <si>
    <t>Pseudomonas phage phi2</t>
  </si>
  <si>
    <t>PRJNA343483</t>
  </si>
  <si>
    <t>NC_030931.1/KT887558.1</t>
  </si>
  <si>
    <t>Natronomonas moolapensis 8.8.11</t>
  </si>
  <si>
    <t>Bacillus phage Shbh1</t>
  </si>
  <si>
    <t>PRJNA343488</t>
  </si>
  <si>
    <t>NC_030925.1/KU640380.1</t>
  </si>
  <si>
    <t>Bacillus phage SPG24</t>
  </si>
  <si>
    <t>PRJNA343492</t>
  </si>
  <si>
    <t>NC_030903.1/AB930182.1</t>
  </si>
  <si>
    <t>Gordonia phage Monty</t>
  </si>
  <si>
    <t>PRJNA343507</t>
  </si>
  <si>
    <t>NC_030924.1/KU998241.1</t>
  </si>
  <si>
    <t>Gordonia phage Cozz</t>
  </si>
  <si>
    <t>PRJNA343511</t>
  </si>
  <si>
    <t>Natronomonas pharaonis DSM 2160</t>
  </si>
  <si>
    <t>NC_030941.1/KU998239.1</t>
  </si>
  <si>
    <t>Gordonia phage Blueberry</t>
  </si>
  <si>
    <t>PRJNA343515</t>
  </si>
  <si>
    <t>NC_030943.1/KU998236.1</t>
  </si>
  <si>
    <t>Pseudomonas phage YMC11/07/P54_PAE_BP</t>
  </si>
  <si>
    <t>PRJNA343519</t>
  </si>
  <si>
    <t>NC_030909.1/KU310943.1</t>
  </si>
  <si>
    <t>Pseudomonas phage JBD44</t>
  </si>
  <si>
    <t>PRJNA343523</t>
  </si>
  <si>
    <t>NC_030929.1/KU199710.1</t>
  </si>
  <si>
    <t>Nautilia profundicola AmH</t>
  </si>
  <si>
    <t>Staphylococcus phage Stau2</t>
  </si>
  <si>
    <t>PRJNA343535</t>
  </si>
  <si>
    <t>NC_030933.1/KP881332.1</t>
  </si>
  <si>
    <t>Gordonia phage Utz</t>
  </si>
  <si>
    <t>PRJNA343539</t>
  </si>
  <si>
    <t>NC_030921.1/KU998248.1</t>
  </si>
  <si>
    <t>Neisseria elongata subsp. glycolytica ATCC 29315</t>
  </si>
  <si>
    <t>Gordonia phage Kvothe</t>
  </si>
  <si>
    <t>PRJNA343509</t>
  </si>
  <si>
    <t>NC_030914.1/KU998243.1</t>
  </si>
  <si>
    <t>Gordonia phage BritBrat</t>
  </si>
  <si>
    <t>PRJNA343513</t>
  </si>
  <si>
    <t>NC_030942.1/KU998233.1</t>
  </si>
  <si>
    <t>Pseudomonas phage K5</t>
  </si>
  <si>
    <t>PRJNA343517</t>
  </si>
  <si>
    <t>NC_030910.1/KU497559.1</t>
  </si>
  <si>
    <t>Pseudomonas phage JBD93</t>
  </si>
  <si>
    <t>Neisseria gonorrhoeae FA 1090</t>
  </si>
  <si>
    <t>PRJNA343521</t>
  </si>
  <si>
    <t>NC_030918.1/KU199709.1</t>
  </si>
  <si>
    <t>Bacillus phage vB_BhaS-171</t>
  </si>
  <si>
    <t>PRJNA343525</t>
  </si>
  <si>
    <t>NC_030904.1/KU160496.1</t>
  </si>
  <si>
    <t>Gordonia phage Gsput1</t>
  </si>
  <si>
    <t>PRJNA343533</t>
  </si>
  <si>
    <t>NC_030932.1/KP790011.1</t>
  </si>
  <si>
    <t>Neisseria gonorrhoeae NCCP11945</t>
  </si>
  <si>
    <t>Gordonia phage Wizard</t>
  </si>
  <si>
    <t>PRJNA343537</t>
  </si>
  <si>
    <t>67.9</t>
  </si>
  <si>
    <t>NC_030913.1/KU998234.1</t>
  </si>
  <si>
    <t>Ralstonia phage RSP15</t>
  </si>
  <si>
    <t>PRJNA343489</t>
  </si>
  <si>
    <t>NC_030948.1/LC121084.1</t>
  </si>
  <si>
    <t>Gordonia phage Splinter</t>
  </si>
  <si>
    <t>Neisseria gonorrhoeae strain 32867</t>
  </si>
  <si>
    <t>PRJNA343504</t>
  </si>
  <si>
    <t>NC_030927.1/KU998238.1</t>
  </si>
  <si>
    <t>Gordonia phage McGonagall</t>
  </si>
  <si>
    <t>PRJNA343508</t>
  </si>
  <si>
    <t>NC_030912.1/KU998255.1</t>
  </si>
  <si>
    <t>Gordonia phage Vendetta</t>
  </si>
  <si>
    <t>PRJNA343538</t>
  </si>
  <si>
    <t>NC_030911.1/KU998237.1</t>
  </si>
  <si>
    <t>Neisseria gonorrhoeae strain 34530</t>
  </si>
  <si>
    <t>Jasmine virus C</t>
  </si>
  <si>
    <t>PRJNA343486</t>
  </si>
  <si>
    <t>NC_030926.1/KX364696.1</t>
  </si>
  <si>
    <t>Pseudomonas phage phi3</t>
  </si>
  <si>
    <t>PRJNA343490</t>
  </si>
  <si>
    <t>NC_030940.1/KT887559.1</t>
  </si>
  <si>
    <t>Gordonia phage Orchid</t>
  </si>
  <si>
    <t>PRJNA343505</t>
  </si>
  <si>
    <t>Neisseria gonorrhoeae strain 34769</t>
  </si>
  <si>
    <t>NC_030915.1/KU998253.1</t>
  </si>
  <si>
    <t>Lactococcus phage 28201</t>
  </si>
  <si>
    <t>PRJNA344156</t>
  </si>
  <si>
    <t>NC_031013.1/KX456206.1</t>
  </si>
  <si>
    <t>Shuangao Insect Virus 1</t>
  </si>
  <si>
    <t>PRJNA344319</t>
  </si>
  <si>
    <t>34.7693</t>
  </si>
  <si>
    <t>L:NC_031221.1/KM817679.1;  M:NC_031222.1/KM817714.1;  S:NC_031223.1/KM817739.1</t>
  </si>
  <si>
    <t>Shuangao Bedbug Virus 2</t>
  </si>
  <si>
    <t>PRJNA344320</t>
  </si>
  <si>
    <t>Neisseria gonorrhoeae strain 35/02</t>
  </si>
  <si>
    <t>NC_031217.1/KM817637.1</t>
  </si>
  <si>
    <t>Shayang Spider Virus 1</t>
  </si>
  <si>
    <t>PRJNA344321</t>
  </si>
  <si>
    <t>34.6019</t>
  </si>
  <si>
    <t>L:NC_031220.1/KM817676.1;  M:NC_031218.1/KM817712.1;  S:NC_031219.1/KM817738.1</t>
  </si>
  <si>
    <t>Neisseria gonorrhoeae strain FA19</t>
  </si>
  <si>
    <t>Shayang Fly Virus 3</t>
  </si>
  <si>
    <t>PRJNA344322</t>
  </si>
  <si>
    <t>NC_031216.1/KM817636.1</t>
  </si>
  <si>
    <t>Shayang Fly Virus 2</t>
  </si>
  <si>
    <t>PRJNA344323</t>
  </si>
  <si>
    <t>NC_031215.1/KM817635.1</t>
  </si>
  <si>
    <t>Shayang Fly Virus 1</t>
  </si>
  <si>
    <t>Neisseria gonorrhoeae strain FA6140</t>
  </si>
  <si>
    <t>PRJNA344324</t>
  </si>
  <si>
    <t>NC_031214.1/KM817598.1</t>
  </si>
  <si>
    <t>Aggregatibacter phage S1249</t>
  </si>
  <si>
    <t>PRJNA40107</t>
  </si>
  <si>
    <t>phage_S1249:NC_013597.1/GQ866233.1</t>
  </si>
  <si>
    <t>Salmonella phage SJ46</t>
  </si>
  <si>
    <t>PRJNA312576</t>
  </si>
  <si>
    <t>Neisseria gonorrhoeae TCDC-NG08107</t>
  </si>
  <si>
    <t>NC_031129.1/KU760857.1</t>
  </si>
  <si>
    <t>Bacillus phage Deep Blue</t>
  </si>
  <si>
    <t>PRJNA297631</t>
  </si>
  <si>
    <t>NC_031056.1/KU577463.1</t>
  </si>
  <si>
    <t>Xincheng Mosquito Virus</t>
  </si>
  <si>
    <t>PRJNA344329</t>
  </si>
  <si>
    <t>NC_031244.1/KM817661.1</t>
  </si>
  <si>
    <t>Neisseria lactamica 020-06</t>
  </si>
  <si>
    <t>Gordonia phage BaxterFox</t>
  </si>
  <si>
    <t>PRJNA344343</t>
  </si>
  <si>
    <t>NC_031226.1/KU963263.1</t>
  </si>
  <si>
    <t>Neisseria lactamica ATCC 23970</t>
  </si>
  <si>
    <t>Arthrobacter phage Mudcat</t>
  </si>
  <si>
    <t>PRJNA344344</t>
  </si>
  <si>
    <t>NC_031224.1/KU647628.1</t>
  </si>
  <si>
    <t>Wuhan Insect virus 4</t>
  </si>
  <si>
    <t>PRJNA344490</t>
  </si>
  <si>
    <t>NC_031225.1/KM817650.1</t>
  </si>
  <si>
    <t>Salmonella phage BP12A</t>
  </si>
  <si>
    <t>PRJNA344583</t>
  </si>
  <si>
    <t>NC_031258.1/KM366096.1</t>
  </si>
  <si>
    <t>Neisseria meningitidis 053442</t>
  </si>
  <si>
    <t>Cyanophage S-RIM32</t>
  </si>
  <si>
    <t>PRJNA344584</t>
  </si>
  <si>
    <t>NC_031235.1/KU594606.1</t>
  </si>
  <si>
    <t>Wuhan House Fly Virus 2</t>
  </si>
  <si>
    <t>PRJNA344586</t>
  </si>
  <si>
    <t>NC_031283.1/KM817649.1</t>
  </si>
  <si>
    <t>Wuhan House Fly Virus 1</t>
  </si>
  <si>
    <t>PRJNA344587</t>
  </si>
  <si>
    <t>NC_031282.1/KM817648.1</t>
  </si>
  <si>
    <t>Neisseria meningitidis 8013</t>
  </si>
  <si>
    <t>Wuhan Fly Virus 2</t>
  </si>
  <si>
    <t>PRJNA344588</t>
  </si>
  <si>
    <t>NC_031278.1/KM817646.1</t>
  </si>
  <si>
    <t>Wuhan Fly Virus 1</t>
  </si>
  <si>
    <t>PRJNA344589</t>
  </si>
  <si>
    <t>36.6606</t>
  </si>
  <si>
    <t>L:NC_031298.1/KM817689.1;  M:NC_031295.1/KM817722.1;  S:NC_031297.1/KM817749.1</t>
  </si>
  <si>
    <t>Wuhan Ant Virus</t>
  </si>
  <si>
    <t>PRJNA344590</t>
  </si>
  <si>
    <t>Neisseria meningitidis alpha14</t>
  </si>
  <si>
    <t>NC_031276.1/KM817645.1</t>
  </si>
  <si>
    <t>Wuchang Cockroach Virus 1</t>
  </si>
  <si>
    <t>PRJNA344591</t>
  </si>
  <si>
    <t>35.7607</t>
  </si>
  <si>
    <t>L:NC_031293.1/KM817688.1;  M:NC_031294.1/KM817721.1;  S:NC_031296.1/KM817748.1</t>
  </si>
  <si>
    <t>Wenzhou Shrimp Virus 1</t>
  </si>
  <si>
    <t>PRJNA344592</t>
  </si>
  <si>
    <t>48.4183</t>
  </si>
  <si>
    <t>L:NC_031287.1/KM817686.1;  M:NC_031292.1/KM817719.1;  S:NC_031290.1/KM817746.1</t>
  </si>
  <si>
    <t>Neisseria meningitidis alpha710</t>
  </si>
  <si>
    <t>Wenzhou Tick Virus</t>
  </si>
  <si>
    <t>PRJNA344593</t>
  </si>
  <si>
    <t>48.278</t>
  </si>
  <si>
    <t>L:NC_031291.1/KM817685.1;  M:NC_031288.1/KM817718.1;  S:NC_031289.1/KM817745.1</t>
  </si>
  <si>
    <t>Wenzhou Crab Virus 3</t>
  </si>
  <si>
    <t>PRJNA344594</t>
  </si>
  <si>
    <t>NC_031248.1/KM817603.1</t>
  </si>
  <si>
    <t>Neisseria meningitidis FAM18</t>
  </si>
  <si>
    <t>Wenzhou Crab Virus 1</t>
  </si>
  <si>
    <t>PRJNA344595</t>
  </si>
  <si>
    <t>NC_031275.1/KM817644.1</t>
  </si>
  <si>
    <t>Taishun Tick Virus</t>
  </si>
  <si>
    <t>PRJNA344596</t>
  </si>
  <si>
    <t>NC_031273.1/KM817643.1</t>
  </si>
  <si>
    <t>Tacheng Tick Virus 7</t>
  </si>
  <si>
    <t>PRJNA344597</t>
  </si>
  <si>
    <t>Neisseria meningitidis G2136</t>
  </si>
  <si>
    <t>NC_031272.1/KM817642.1</t>
  </si>
  <si>
    <t>Tacheng Tick Virus 6</t>
  </si>
  <si>
    <t>PRJNA344598</t>
  </si>
  <si>
    <t>NC_031270.1/KM817641.1</t>
  </si>
  <si>
    <t>Tacheng Tick Virus 3</t>
  </si>
  <si>
    <t>PRJNA344599</t>
  </si>
  <si>
    <t>Neisseria meningitidis H44/76</t>
  </si>
  <si>
    <t>NC_031268.1/KM817640.1</t>
  </si>
  <si>
    <t>Tacheng Tick Virus 1</t>
  </si>
  <si>
    <t>PRJNA344600</t>
  </si>
  <si>
    <t>47.8497</t>
  </si>
  <si>
    <t>L:NC_031284.1/KM817683.1;  M:NC_031285.1/KM817717.1;  S:NC_031286.1/KM817743.1</t>
  </si>
  <si>
    <t>Cyanophage S-RIM50</t>
  </si>
  <si>
    <t>PRJNA344601</t>
  </si>
  <si>
    <t>Neisseria meningitidis LNP21362</t>
  </si>
  <si>
    <t>NC_031242.1/KU594605.1</t>
  </si>
  <si>
    <t>Bacillus phage SP-15</t>
  </si>
  <si>
    <t>PRJNA344602</t>
  </si>
  <si>
    <t>NC_031245.1/KT624200.1</t>
  </si>
  <si>
    <t>Pseudomonas phage O4</t>
  </si>
  <si>
    <t>PRJNA344603</t>
  </si>
  <si>
    <t>Neisseria meningitidis M01-240149</t>
  </si>
  <si>
    <t>NC_031274.1/KU535860.1</t>
  </si>
  <si>
    <t>Mycobacterium phage Bactobuster</t>
  </si>
  <si>
    <t>PRJNA344604</t>
  </si>
  <si>
    <t>NC_031279.1/KU568494.1</t>
  </si>
  <si>
    <t>Brucella phage BiPBO1</t>
  </si>
  <si>
    <t>PRJNA344605</t>
  </si>
  <si>
    <t>NC_031264.1/KT724718.1</t>
  </si>
  <si>
    <t>Neisseria meningitidis M01-240355</t>
  </si>
  <si>
    <t>Enterococcus phage Ec-ZZ2</t>
  </si>
  <si>
    <t>PRJNA344606</t>
  </si>
  <si>
    <t>NC_031260.1/KR131750.1</t>
  </si>
  <si>
    <t>Acinetobacter phage vB_AbaM_phiAbaA1</t>
  </si>
  <si>
    <t>PRJNA344607</t>
  </si>
  <si>
    <t>NC_031280.1/KJ628499.1</t>
  </si>
  <si>
    <t>Neisseria meningitidis M04-240196</t>
  </si>
  <si>
    <t>Salmonella phage BP63</t>
  </si>
  <si>
    <t>PRJNA344608</t>
  </si>
  <si>
    <t>NC_031250.1/KM366099.1</t>
  </si>
  <si>
    <t>Salmonella phage BP12C</t>
  </si>
  <si>
    <t>PRJNA344609</t>
  </si>
  <si>
    <t>NC_031228.1/KM366098.1</t>
  </si>
  <si>
    <t>Salmonella phage BP12B</t>
  </si>
  <si>
    <t>PRJNA344610</t>
  </si>
  <si>
    <t>Neisseria meningitidis M0579</t>
  </si>
  <si>
    <t>NC_031271.1/KM366097.1</t>
  </si>
  <si>
    <t>Mycobacterium phage Shipwreck</t>
  </si>
  <si>
    <t>PRJNA344611</t>
  </si>
  <si>
    <t>NC_031261.1/KU985090.1</t>
  </si>
  <si>
    <t>Mycobacterium phage EvilGenius</t>
  </si>
  <si>
    <t>PRJNA344612</t>
  </si>
  <si>
    <t>NC_031263.1/KU985093.1</t>
  </si>
  <si>
    <t>Neisseria meningitidis M10208</t>
  </si>
  <si>
    <t>Wuhan Louse Fly Virus 5</t>
  </si>
  <si>
    <t>PRJNA344785</t>
  </si>
  <si>
    <t>NC_031301.1/KM817654.1</t>
  </si>
  <si>
    <t>Wuhan horsefly Virus</t>
  </si>
  <si>
    <t>PRJNA345025</t>
  </si>
  <si>
    <t>32.4802</t>
  </si>
  <si>
    <t>1:NC_031313.1/KM817690.1;  2:NC_031316.1/KM817723.1;  3:NC_031315.1/KM817751.1;  4:NC_031314.1/KM817750.1</t>
  </si>
  <si>
    <t>Neisseria meningitidis M7124</t>
  </si>
  <si>
    <t>Wuhan Tick Virus 1</t>
  </si>
  <si>
    <t>PRJNA345026</t>
  </si>
  <si>
    <t>NC_031304.1/KM817660.1</t>
  </si>
  <si>
    <t>Wuhan Mosquito Virus 9</t>
  </si>
  <si>
    <t>PRJNA345027</t>
  </si>
  <si>
    <t>NC_031303.1/KM817659.1</t>
  </si>
  <si>
    <t>Neisseria meningitidis MC58</t>
  </si>
  <si>
    <t>Wuhan Mosquito Virus 2</t>
  </si>
  <si>
    <t>PRJNA345028</t>
  </si>
  <si>
    <t>43.0986</t>
  </si>
  <si>
    <t>L:NC_031312.1/KM817698.1;  M:NC_031309.1/KM817727.1;  S:NC_031311.1/KM817759.1</t>
  </si>
  <si>
    <t>Wuhan Mosquito Virus 1</t>
  </si>
  <si>
    <t>PRJNA345029</t>
  </si>
  <si>
    <t>37.8098</t>
  </si>
  <si>
    <t>L:NC_031307.1/KM817697.1;  M:NC_031308.1/KM817726.1;  S:NC_031310.1/KM817758.1</t>
  </si>
  <si>
    <t>Wuhan Louse Fly Virus 9</t>
  </si>
  <si>
    <t>PRJNA345030</t>
  </si>
  <si>
    <t>NC_031302.1/KM817656.1</t>
  </si>
  <si>
    <t>Neisseria meningitidis NM3682</t>
  </si>
  <si>
    <t>Synedrella leaf curl virus</t>
  </si>
  <si>
    <t>PRJNA345031</t>
  </si>
  <si>
    <t>NC_031306.1/KU933258.1</t>
  </si>
  <si>
    <t>Yongjia Tick Virus 2</t>
  </si>
  <si>
    <t>PRJNA345032</t>
  </si>
  <si>
    <t>NC_031305.1/KM817662.1</t>
  </si>
  <si>
    <t>Neisseria meningitidis NM3683</t>
  </si>
  <si>
    <t>Yichang Insect virus</t>
  </si>
  <si>
    <t>PRJNA345033</t>
  </si>
  <si>
    <t>46.1437</t>
  </si>
  <si>
    <t>L:NC_031320.1/KM817703.1;  M:NC_031321.1/KM817730.1;  S:NC_031322.1/KM817763.1</t>
  </si>
  <si>
    <t>Wutai Mosquito Virus</t>
  </si>
  <si>
    <t>PRJNA345034</t>
  </si>
  <si>
    <t>39.919</t>
  </si>
  <si>
    <t>L:NC_031317.1/KM817700.1;  M:NC_031318.1/KM817728.1;  S:NC_031319.1/KM817761.1</t>
  </si>
  <si>
    <t>Neisseria meningitidis NM3686</t>
  </si>
  <si>
    <t>Gordonia phage Schwabeltier</t>
  </si>
  <si>
    <t>PRJNA344618</t>
  </si>
  <si>
    <t>NC_031255.1/KU963252.1</t>
  </si>
  <si>
    <t>Gordonia phage Obliviate</t>
  </si>
  <si>
    <t>PRJNA344619</t>
  </si>
  <si>
    <t>NC_031237.1/KU963254.1</t>
  </si>
  <si>
    <t>Neisseria meningitidis NZ-05/33</t>
  </si>
  <si>
    <t>Gordonia phage Lucky10</t>
  </si>
  <si>
    <t>PRJNA344620</t>
  </si>
  <si>
    <t>NC_031267.1/KU963256.1</t>
  </si>
  <si>
    <t>Gordonia phage Kita</t>
  </si>
  <si>
    <t>PRJNA344621</t>
  </si>
  <si>
    <t>NC_031233.1/KU963257.1</t>
  </si>
  <si>
    <t>Gordonia phage Hotorobo</t>
  </si>
  <si>
    <t>Neisseria meningitidis strain B6116/77</t>
  </si>
  <si>
    <t>PRJNA344622</t>
  </si>
  <si>
    <t>NC_031229.1/KU963245.1</t>
  </si>
  <si>
    <t>Gordonia phage Guacamole</t>
  </si>
  <si>
    <t>PRJNA344623</t>
  </si>
  <si>
    <t>NC_031265.1/KU963259.1</t>
  </si>
  <si>
    <t>Gordonia phage Emalyn</t>
  </si>
  <si>
    <t>PRJNA344624</t>
  </si>
  <si>
    <t>NC_031234.1/KU963260.1</t>
  </si>
  <si>
    <t>Neisseria meningitidis strain NMA510612</t>
  </si>
  <si>
    <t>Gordonia phage BetterKatz</t>
  </si>
  <si>
    <t>PRJNA344625</t>
  </si>
  <si>
    <t>NC_031247.1/KU963261.1</t>
  </si>
  <si>
    <t>Mycobacterium phage Phrann</t>
  </si>
  <si>
    <t>PRJNA344626</t>
  </si>
  <si>
    <t>NC_031266.1/KU935731.1</t>
  </si>
  <si>
    <t>Mycobacterium phage Xeno</t>
  </si>
  <si>
    <t>PRJNA344627</t>
  </si>
  <si>
    <t>Neisseria meningitidis WUE 2594</t>
  </si>
  <si>
    <t>NC_031243.1/KU935728.1</t>
  </si>
  <si>
    <t>Mycobacterium phage Panchino</t>
  </si>
  <si>
    <t>PRJNA344628</t>
  </si>
  <si>
    <t>NC_031281.1/KU935727.1</t>
  </si>
  <si>
    <t>Mycobacterium phage ArcherNM</t>
  </si>
  <si>
    <t>PRJNA344629</t>
  </si>
  <si>
    <t>NC_031277.1/KU761559.1</t>
  </si>
  <si>
    <t>Neisseria meningitidis Z2491</t>
  </si>
  <si>
    <t>Mycobacterium phage Loser</t>
  </si>
  <si>
    <t>PRJNA344630</t>
  </si>
  <si>
    <t>NC_031256.1/KU761558.1</t>
  </si>
  <si>
    <t>Mycobacterium phage Brocalys</t>
  </si>
  <si>
    <t>PRJNA344631</t>
  </si>
  <si>
    <t>NC_031262.1/KU865302.1</t>
  </si>
  <si>
    <t>Mycobacterium phage Mulciber</t>
  </si>
  <si>
    <t>Neisseria weaveri strain NCTC13585</t>
  </si>
  <si>
    <t>PRJNA344632</t>
  </si>
  <si>
    <t>NC_031257.1/KU695581.1</t>
  </si>
  <si>
    <t>Mycobacterium phage Bipper</t>
  </si>
  <si>
    <t>PRJNA344633</t>
  </si>
  <si>
    <t>NC_031253.1/KU728633.1</t>
  </si>
  <si>
    <t>Klebsiella phage KpV71</t>
  </si>
  <si>
    <t>PRJNA344634</t>
  </si>
  <si>
    <t>Neorhizobium galegae bv. officinalis bv. officinalis str. HAMBI 1141</t>
  </si>
  <si>
    <t>NC_031246.1/KU666550.1</t>
  </si>
  <si>
    <t>Arthrobacter phage Kitkat</t>
  </si>
  <si>
    <t>PRJNA344635</t>
  </si>
  <si>
    <t>NC_031254.1/KU647627.1</t>
  </si>
  <si>
    <t>Arthrobacter phage KellEzio</t>
  </si>
  <si>
    <t>PRJNA344636</t>
  </si>
  <si>
    <t>NC_031231.1/KU647626.1</t>
  </si>
  <si>
    <t>Arthrobacter phage BarretLemon</t>
  </si>
  <si>
    <t>PRJNA344637</t>
  </si>
  <si>
    <t>NC_031252.1/KU647629.1</t>
  </si>
  <si>
    <t>Neorhizobium galegae bv. orientalis str. HAMBI 540</t>
  </si>
  <si>
    <t>Mycobacterium phage Catalina</t>
  </si>
  <si>
    <t>PRJNA344638</t>
  </si>
  <si>
    <t>NC_031238.1/KU613353.1</t>
  </si>
  <si>
    <t>Lishi Spider Virus 2</t>
  </si>
  <si>
    <t>PRJNA344639</t>
  </si>
  <si>
    <t>NC_031259.1/KM817632.1</t>
  </si>
  <si>
    <t>Staphylococcus phage CNPx</t>
  </si>
  <si>
    <t>PRJNA344640</t>
  </si>
  <si>
    <t>NC_031241.1/KU598975.1</t>
  </si>
  <si>
    <t>Wuhan Louse Fly Virus 10</t>
  </si>
  <si>
    <t>PRJNA344641</t>
  </si>
  <si>
    <t>Neorickettsia helminthoeca str. Oregon</t>
  </si>
  <si>
    <t>NC_031240.1/KM817657.1</t>
  </si>
  <si>
    <t>Wuhan Insect virus 7</t>
  </si>
  <si>
    <t>PRJNA344642</t>
  </si>
  <si>
    <t>NC_031236.1/KM817653.1</t>
  </si>
  <si>
    <t>Wuhan Insect virus 6</t>
  </si>
  <si>
    <t>PRJNA344643</t>
  </si>
  <si>
    <t>NC_031232.1/KM817652.1</t>
  </si>
  <si>
    <t>Neorickettsia risticii str. Illinois</t>
  </si>
  <si>
    <t>Wuhan Insect virus 5</t>
  </si>
  <si>
    <t>PRJNA344644</t>
  </si>
  <si>
    <t>NC_031227.1/KM817651.1</t>
  </si>
  <si>
    <t>Gordonia phage Yvonnetastic</t>
  </si>
  <si>
    <t>PRJNA344613</t>
  </si>
  <si>
    <t>NC_031230.1/KU963248.1</t>
  </si>
  <si>
    <t>Gordonia phage Yeezy</t>
  </si>
  <si>
    <t>PRJNA344614</t>
  </si>
  <si>
    <t>Neorickettsia sennetsu str. Miyayama</t>
  </si>
  <si>
    <t>NC_031269.1/KU963249.1</t>
  </si>
  <si>
    <t>Gordonia phage Vivi2</t>
  </si>
  <si>
    <t>PRJNA344615</t>
  </si>
  <si>
    <t>NC_031239.1/KU963250.1</t>
  </si>
  <si>
    <t>Gordonia phage UmaThurman</t>
  </si>
  <si>
    <t>Neorickettsia sp. 179522</t>
  </si>
  <si>
    <t>PRJNA344616</t>
  </si>
  <si>
    <t>NC_031249.1/KU963251.1</t>
  </si>
  <si>
    <t>Gordonia phage SoilAssassin</t>
  </si>
  <si>
    <t>PRJNA344617</t>
  </si>
  <si>
    <t>NC_031251.1/KU963246.1</t>
  </si>
  <si>
    <t>Simian retrovirus 8</t>
  </si>
  <si>
    <t>PRJNA345346</t>
  </si>
  <si>
    <t>NC_031326.1/KU605777.1</t>
  </si>
  <si>
    <t>Niabella sp. BS26</t>
  </si>
  <si>
    <t>Anopheles flavivirus variant 1</t>
  </si>
  <si>
    <t>PRJNA345461</t>
  </si>
  <si>
    <t>NC_031327.1/KX148546.1</t>
  </si>
  <si>
    <t>Psophocarpus tetragonolobus endornavirus</t>
  </si>
  <si>
    <t>PRJNA345627</t>
  </si>
  <si>
    <t>NC_031336.1/LC144945.1</t>
  </si>
  <si>
    <t>Primate norovirus</t>
  </si>
  <si>
    <t>Niastella koreensis GR20-10</t>
  </si>
  <si>
    <t>PRJNA345050</t>
  </si>
  <si>
    <t>NC_031324.1/KX396056.1</t>
  </si>
  <si>
    <t>Privet leaf blotch-associated virus</t>
  </si>
  <si>
    <t>PRJNA348330</t>
  </si>
  <si>
    <t>42.8942</t>
  </si>
  <si>
    <t>1:NC_031341.1/LT221868.1;  2:NC_031342.1/LT221869.1</t>
  </si>
  <si>
    <t>Moku virus</t>
  </si>
  <si>
    <t>Nitratifractor salsuginis DSM 16511</t>
  </si>
  <si>
    <t>PRJNA348111</t>
  </si>
  <si>
    <t>NC_031338.1/KU645789.1</t>
  </si>
  <si>
    <t>Grapevine geminivirus A</t>
  </si>
  <si>
    <t>PRJNA348329</t>
  </si>
  <si>
    <t>NC_031340.1/KX618694.1</t>
  </si>
  <si>
    <t>Euphorbia ringspot virus</t>
  </si>
  <si>
    <t>PRJNA348328</t>
  </si>
  <si>
    <t>NC_031339.1/KX355613.1</t>
  </si>
  <si>
    <t>Macroptilium bright mosaic virus</t>
  </si>
  <si>
    <t>Nitratiruptor sp. SB155-2</t>
  </si>
  <si>
    <t>PRJNA348726</t>
  </si>
  <si>
    <t>DNA-A:NC_031452.1/KX691400.1</t>
  </si>
  <si>
    <t>Macroptilium common mosaic virus</t>
  </si>
  <si>
    <t>PRJNA348357</t>
  </si>
  <si>
    <t>39.815</t>
  </si>
  <si>
    <t>A:NC_031448.1/KX691396.1;  B:NC_031453.1/KX691412.1</t>
  </si>
  <si>
    <t>Parus major densovirus</t>
  </si>
  <si>
    <t>PRJNA348721</t>
  </si>
  <si>
    <t>Nitriliruptor alkaliphilus DSM 45188</t>
  </si>
  <si>
    <t>NC_031450.1/KU727766.1</t>
  </si>
  <si>
    <t>Wissadula yellow mosaic virus</t>
  </si>
  <si>
    <t>PRJNA348359</t>
  </si>
  <si>
    <t>DNA-A:NC_031451.1/KX691411.1</t>
  </si>
  <si>
    <t>Sida chlorotic vein virus</t>
  </si>
  <si>
    <t>PRJNA348723</t>
  </si>
  <si>
    <t>47.1475</t>
  </si>
  <si>
    <t>A:NC_031455.1/KX691402.1;  B:NC_031454.1/KX691413.1</t>
  </si>
  <si>
    <t>Ceratobasidium endornavirus D</t>
  </si>
  <si>
    <t>Nitrobacter hamburgensis X14</t>
  </si>
  <si>
    <t>PRJNA348719</t>
  </si>
  <si>
    <t>NC_031449.1/KX355144.1</t>
  </si>
  <si>
    <t>Malvastrum bright yellow mosaic virus</t>
  </si>
  <si>
    <t>PRJNA348722</t>
  </si>
  <si>
    <t>45.2502</t>
  </si>
  <si>
    <t>A:NC_031458.1/KU058856.1;  B:NC_031459.1/KU058860.1</t>
  </si>
  <si>
    <t>Sida angular mosaic virus</t>
  </si>
  <si>
    <t>PRJNA348724</t>
  </si>
  <si>
    <t>44.9105</t>
  </si>
  <si>
    <t>Nitrobacter winogradskyi Nb-255</t>
  </si>
  <si>
    <t>A:NC_031456.1/KX691407.1;  B:NC_031457.1/KX691415.1</t>
  </si>
  <si>
    <t>Ceratobasidium endornavirus B</t>
  </si>
  <si>
    <t>PRJNA349010</t>
  </si>
  <si>
    <t>NC_031463.1/KX355143.1</t>
  </si>
  <si>
    <t>Ceratobasidium endornavirus A</t>
  </si>
  <si>
    <t>PRJNA349011</t>
  </si>
  <si>
    <t>NC_031462.1/KX355142.1</t>
  </si>
  <si>
    <t>Ceratobasidium endornavirus G</t>
  </si>
  <si>
    <t>PRJNA348743</t>
  </si>
  <si>
    <t>NC_031464.1/KX355147.1</t>
  </si>
  <si>
    <t>Lisianthus enation leaf curl virus</t>
  </si>
  <si>
    <t>PRJNA349161</t>
  </si>
  <si>
    <t>Nitrosococcus halophilus Nc 4</t>
  </si>
  <si>
    <t>NC_031466.1/LC091538.1</t>
  </si>
  <si>
    <t>Bacillus phage Bp8p-C</t>
  </si>
  <si>
    <t>PRJNA310944</t>
  </si>
  <si>
    <t>Unknown:NC_029121.1/KJ010547.1</t>
  </si>
  <si>
    <t>Pigeon adenovirus 2</t>
  </si>
  <si>
    <t>PRJNA349749</t>
  </si>
  <si>
    <t>NC_031503.1/KX121164.1</t>
  </si>
  <si>
    <t>Loveridges garter snake virus 1</t>
  </si>
  <si>
    <t>PRJNA260159</t>
  </si>
  <si>
    <t>Nitrosococcus oceani ATCC 19707</t>
  </si>
  <si>
    <t>NC_024778.1/KM114265.1</t>
  </si>
  <si>
    <t>Aphis glycines virus 2</t>
  </si>
  <si>
    <t>PRJNA302026</t>
  </si>
  <si>
    <t>Unknown:NC_028381.1/KR912180.1</t>
  </si>
  <si>
    <t>Botrytis ourmia-like virus</t>
  </si>
  <si>
    <t>PRJNA304909</t>
  </si>
  <si>
    <t>Unknown:NC_028476.1/LN827955.2</t>
  </si>
  <si>
    <t>Nitrosococcus watsonii C-113</t>
  </si>
  <si>
    <t>Mink coronavirus strain WD1127</t>
  </si>
  <si>
    <t>PRJNA241029</t>
  </si>
  <si>
    <t>Unknown:NC_023760.1/HM245925.1</t>
  </si>
  <si>
    <t>Grapevine asteroid mosaic-associated virus</t>
  </si>
  <si>
    <t>PRJNA351253</t>
  </si>
  <si>
    <t>NC_031692.1/KX354202.1</t>
  </si>
  <si>
    <t>Rhinolophus sinicus bocaparvovirus</t>
  </si>
  <si>
    <t>Nitrosomonas communis strain Nm2</t>
  </si>
  <si>
    <t>PRJNA351252</t>
  </si>
  <si>
    <t>NC_031695.1/KU321655.1</t>
  </si>
  <si>
    <t>Centovirus AC</t>
  </si>
  <si>
    <t>PRJNA338014</t>
  </si>
  <si>
    <t>NC_031687.1/KX657784.1</t>
  </si>
  <si>
    <t>Corey virus</t>
  </si>
  <si>
    <t>NC_031686.1/KX657783.1</t>
  </si>
  <si>
    <t>Nitrosomonas europaea ATCC 19718</t>
  </si>
  <si>
    <t>Bradson virus</t>
  </si>
  <si>
    <t>NC_031689.1/KX657787.1</t>
  </si>
  <si>
    <t>Orgi virus</t>
  </si>
  <si>
    <t>NC_031690.1/KX852386.1</t>
  </si>
  <si>
    <t>Gata virus</t>
  </si>
  <si>
    <t>NC_031691.1/KX852388.1</t>
  </si>
  <si>
    <t>Nitrosomonas eutropha C91</t>
  </si>
  <si>
    <t>Mosquito dicistrovirus</t>
  </si>
  <si>
    <t>NC_031688.1/KX657786.1</t>
  </si>
  <si>
    <t>Mouse cyclovirus</t>
  </si>
  <si>
    <t>PRJNA352519</t>
  </si>
  <si>
    <t>NC_031755.1/KT878836.1</t>
  </si>
  <si>
    <t>Nitrosomonas sp. AL212</t>
  </si>
  <si>
    <t>White clover mottle virus</t>
  </si>
  <si>
    <t>PRJNA352391</t>
  </si>
  <si>
    <t>NC_031747.1/LC192169.1</t>
  </si>
  <si>
    <t>Botrytis cinerea endornavirus 1</t>
  </si>
  <si>
    <t>PRJNA352512</t>
  </si>
  <si>
    <t>NC_031752.1/KU923747.1</t>
  </si>
  <si>
    <t>Okra yellow vein mosaic virus TJ-2016a</t>
  </si>
  <si>
    <t>PRJNA352514</t>
  </si>
  <si>
    <t>Nitrosomonas sp. Is79A3</t>
  </si>
  <si>
    <t>DNA-A:NC_031754.1/KX698087.1</t>
  </si>
  <si>
    <t>Lodeiro virus</t>
  </si>
  <si>
    <t>PRJNA352517</t>
  </si>
  <si>
    <t>NC_031748.1/KX779451.1</t>
  </si>
  <si>
    <t>Riptortus pedestris virus-1</t>
  </si>
  <si>
    <t>PRJNA352515</t>
  </si>
  <si>
    <t>NC_031750.1/KU958718.1</t>
  </si>
  <si>
    <t>Nitrosomonas ureae strain Nm10</t>
  </si>
  <si>
    <t>Porcine circovirus 3</t>
  </si>
  <si>
    <t>PRJNA352520</t>
  </si>
  <si>
    <t>NC_031753.1/KT869077.1</t>
  </si>
  <si>
    <t>King virus</t>
  </si>
  <si>
    <t>PRJNA352516</t>
  </si>
  <si>
    <t>NC_031749.1/KX779454.1</t>
  </si>
  <si>
    <t>Equus caballus papillomavirus 8</t>
  </si>
  <si>
    <t>Nitrosopumilus maritimus SCM1</t>
  </si>
  <si>
    <t>PRJNA352513</t>
  </si>
  <si>
    <t>NC_031756.1/KU963288.1</t>
  </si>
  <si>
    <t>Zucchini lethal chlorosis virus</t>
  </si>
  <si>
    <t>PRJNA352510</t>
  </si>
  <si>
    <t>35.5743</t>
  </si>
  <si>
    <t>L:NC_031762.1/KU641378.1;  M:NC_031758.1/KU641379.1;  S:NC_031759.1/KU641380.1</t>
  </si>
  <si>
    <t>uncultured human fecal virus</t>
  </si>
  <si>
    <t>Nitrososphaera viennensis EN76</t>
  </si>
  <si>
    <t>PRJNA16209</t>
  </si>
  <si>
    <t>AAMG00000000.1</t>
  </si>
  <si>
    <t>Scaffold</t>
  </si>
  <si>
    <t>Variegated squirrel bornavirus 1</t>
  </si>
  <si>
    <t>PRJNA336046</t>
  </si>
  <si>
    <t>NC_030701.1/LN713680.1</t>
  </si>
  <si>
    <t>Nitrosospira multiformis ATCC 25196</t>
  </si>
  <si>
    <t>Dioscorea mosaic-associated virus</t>
  </si>
  <si>
    <t>PRJNA353085</t>
  </si>
  <si>
    <t>40.806</t>
  </si>
  <si>
    <t>RA11:NC_031766.1/KU215538.1;  RA22:NC_031763.1/KU215539.1</t>
  </si>
  <si>
    <t>Anticarsia gemmatalis multiple nucleopolyhedrovirus</t>
  </si>
  <si>
    <t>PRJNA353087</t>
  </si>
  <si>
    <t>NC_031761.1/KR815466.1</t>
  </si>
  <si>
    <t>Passionfruit leaf distortion virus</t>
  </si>
  <si>
    <t>PRJNA353086</t>
  </si>
  <si>
    <t>45.4557</t>
  </si>
  <si>
    <t>A:NC_031764.1/KT899302.1;  B:NC_031765.1/KT899303.1</t>
  </si>
  <si>
    <t>Nitrospira moscoviensis strain NSP M-1</t>
  </si>
  <si>
    <t>Burke-Gilman virus</t>
  </si>
  <si>
    <t>NC_031693.1/KX782311.1</t>
  </si>
  <si>
    <t>Synechococcus phage S-CAM3</t>
  </si>
  <si>
    <t>PRJNA353682</t>
  </si>
  <si>
    <t>NC_031906.1/KU686199.1</t>
  </si>
  <si>
    <t>Synechococcus phage S-CAM22</t>
  </si>
  <si>
    <t>PRJNA353683</t>
  </si>
  <si>
    <t>Nitrospira sp. ENR4</t>
  </si>
  <si>
    <t>NC_031903.1/KU686209.1</t>
  </si>
  <si>
    <t>Escherichia phage WG01</t>
  </si>
  <si>
    <t>PRJNA353684</t>
  </si>
  <si>
    <t>NC_031928.1/KU878968.1</t>
  </si>
  <si>
    <t>Escherichia phage MX01</t>
  </si>
  <si>
    <t>PRJNA353685</t>
  </si>
  <si>
    <t>Nocardia cyriacigeorgica GUH-2</t>
  </si>
  <si>
    <t>NC_031934.1/KU878969.1</t>
  </si>
  <si>
    <t>Synechococcus phage S-WAM2</t>
  </si>
  <si>
    <t>PRJNA353686</t>
  </si>
  <si>
    <t>NC_031935.1/KU686211.1</t>
  </si>
  <si>
    <t>Synechococcus phage S-WAM1</t>
  </si>
  <si>
    <t>PRJNA353687</t>
  </si>
  <si>
    <t>NC_031944.1/KU686210.1</t>
  </si>
  <si>
    <t>Nocardia farcinica IFM 10152</t>
  </si>
  <si>
    <t>Salmonella phage 118970_sal3</t>
  </si>
  <si>
    <t>PRJNA353688</t>
  </si>
  <si>
    <t>NC_031940.1/KU927493.2</t>
  </si>
  <si>
    <t>Escherichia phage vB_EcoP_GA2A</t>
  </si>
  <si>
    <t>PRJNA353689</t>
  </si>
  <si>
    <t>NC_031943.1/KT990215.1</t>
  </si>
  <si>
    <t>Streptococcus phage phiARI0746</t>
  </si>
  <si>
    <t>PRJNA353690</t>
  </si>
  <si>
    <t>Nocardia nova SH22a</t>
  </si>
  <si>
    <t>NC_031907.1/KT337365.1</t>
  </si>
  <si>
    <t>Streptococcus phage phiARI0468-4</t>
  </si>
  <si>
    <t>PRJNA353691</t>
  </si>
  <si>
    <t>NC_031915.1/KT337358.1</t>
  </si>
  <si>
    <t>Streptococcus phage phiARI0468-2</t>
  </si>
  <si>
    <t>PRJNA353692</t>
  </si>
  <si>
    <t>NC_031923.1/KT337356.1</t>
  </si>
  <si>
    <t>Nocardioides dokdonensis FR1436</t>
  </si>
  <si>
    <t>Streptococcus phage phiARI0468-1</t>
  </si>
  <si>
    <t>PRJNA353693</t>
  </si>
  <si>
    <t>NC_031929.1/KT337355.1</t>
  </si>
  <si>
    <t>Streptococcus phage phiARI0462</t>
  </si>
  <si>
    <t>PRJNA353694</t>
  </si>
  <si>
    <t>NC_031942.1/KT337354.1</t>
  </si>
  <si>
    <t>Nocardioides sp. CF8</t>
  </si>
  <si>
    <t>Streptococcus phage phiARI0460-1</t>
  </si>
  <si>
    <t>PRJNA353695</t>
  </si>
  <si>
    <t>NC_031913.1/KT337352.1</t>
  </si>
  <si>
    <t>Streptococcus phage phiARI0131-2</t>
  </si>
  <si>
    <t>PRJNA353696</t>
  </si>
  <si>
    <t>NC_031941.1/KT337342.1</t>
  </si>
  <si>
    <t>Streptococcus phage phiARI0131-1</t>
  </si>
  <si>
    <t>Nocardioides sp. JS614</t>
  </si>
  <si>
    <t>PRJNA353697</t>
  </si>
  <si>
    <t>NC_031901.1/KT337341.1</t>
  </si>
  <si>
    <t>Streptococcus phage phiARI0031</t>
  </si>
  <si>
    <t>PRJNA353698</t>
  </si>
  <si>
    <t>NC_031910.1/KT337340.1</t>
  </si>
  <si>
    <t>Streptococcus phage phiARI0004</t>
  </si>
  <si>
    <t>PRJNA353699</t>
  </si>
  <si>
    <t>NC_031920.1/KT337339.1</t>
  </si>
  <si>
    <t>Nocardiopsis alba ATCC BAA-2165</t>
  </si>
  <si>
    <t>Campylobacter phage PC14</t>
  </si>
  <si>
    <t>PRJNA353701</t>
  </si>
  <si>
    <t>NC_031909.1/KX236333.1</t>
  </si>
  <si>
    <t>Pseudoalteromonas phage PH1</t>
  </si>
  <si>
    <t>PRJNA353702</t>
  </si>
  <si>
    <t>NC_031908.1/KX365747.1</t>
  </si>
  <si>
    <t>Pseudoalteromonas phage BS5</t>
  </si>
  <si>
    <t>PRJNA353703</t>
  </si>
  <si>
    <t>Nocardiopsis dassonvillei subsp. dassonvillei DSM 43111</t>
  </si>
  <si>
    <t>NC_031917.1/KX365748.1</t>
  </si>
  <si>
    <t>Flavobacterium phage Fpv1</t>
  </si>
  <si>
    <t>PRJNA353704</t>
  </si>
  <si>
    <t>NC_031914.1/KU599877.1</t>
  </si>
  <si>
    <t>Flavobacterium phage 2A</t>
  </si>
  <si>
    <t>PRJNA353705</t>
  </si>
  <si>
    <t>NC_031926.1/KU599887.1</t>
  </si>
  <si>
    <t>Flavobacterium phage 1H</t>
  </si>
  <si>
    <t>PRJNA353706</t>
  </si>
  <si>
    <t>NC_031911.1/KU599889.1</t>
  </si>
  <si>
    <t>Nodularia spumigena CCY9414</t>
  </si>
  <si>
    <t>Pyrobaculum filamentous virus 1</t>
  </si>
  <si>
    <t>PRJNA314140</t>
  </si>
  <si>
    <t>Tristromaviridae</t>
  </si>
  <si>
    <t>NC_029548.1/KU307456.1</t>
  </si>
  <si>
    <t>Bat mastadenovirus</t>
  </si>
  <si>
    <t>PRJNA353920</t>
  </si>
  <si>
    <t>NC_031948.1/KX871230.1</t>
  </si>
  <si>
    <t>Nonlabens dokdonensis DSW-6</t>
  </si>
  <si>
    <t>Guereza hepacivirus</t>
  </si>
  <si>
    <t>PRJNA353921</t>
  </si>
  <si>
    <t>NC_031950.1/KC551802.1</t>
  </si>
  <si>
    <t>Escherichia phage LM33_P1</t>
  </si>
  <si>
    <t>PRJEB12445</t>
  </si>
  <si>
    <t>Nonlabens marinus S1-08</t>
  </si>
  <si>
    <t>I:NC_031937.1/LT594300.1</t>
  </si>
  <si>
    <t>Salmonella phage 64795_sal3</t>
  </si>
  <si>
    <t>PRJNA313147</t>
  </si>
  <si>
    <t>NC_031918.1/KX017520.1</t>
  </si>
  <si>
    <t>Salmonella phage 118970_sal2</t>
  </si>
  <si>
    <t>NC_031933.1/KX017521.1</t>
  </si>
  <si>
    <t>Nonlabens sp. MIC269</t>
  </si>
  <si>
    <t>Cherry associated luteovirus</t>
  </si>
  <si>
    <t>PRJNA353261</t>
  </si>
  <si>
    <t>NC_031800.1/KX159470.1</t>
  </si>
  <si>
    <t>Salmonella phage BPS11Q3</t>
  </si>
  <si>
    <t>PRJNA324529</t>
  </si>
  <si>
    <t>NC_031925.1/KX405002.1</t>
  </si>
  <si>
    <t>'Nostoc azollae' 0708</t>
  </si>
  <si>
    <t>Salmonella phage BPS15Q2</t>
  </si>
  <si>
    <t>PRJNA324531</t>
  </si>
  <si>
    <t>NC_031939.1/KX405003.1</t>
  </si>
  <si>
    <t>Synechococcus phage S-CAM4</t>
  </si>
  <si>
    <t>PRJNA353501</t>
  </si>
  <si>
    <t>Unknown:NC_031900.1/KU686201.1</t>
  </si>
  <si>
    <t>Salmonella phage 103203_sal5</t>
  </si>
  <si>
    <t>PRJNA353666</t>
  </si>
  <si>
    <t>NC_031946.1/KU927494.1</t>
  </si>
  <si>
    <t>Nostoc piscinale CENA21</t>
  </si>
  <si>
    <t>Flavobacterium phage Fpv10</t>
  </si>
  <si>
    <t>PRJNA353667</t>
  </si>
  <si>
    <t>NC_031932.1/KU599884.1</t>
  </si>
  <si>
    <t>Salmonella phage 100268_sal2</t>
  </si>
  <si>
    <t>PRJNA353668</t>
  </si>
  <si>
    <t>NC_031902.1/KU927497.2</t>
  </si>
  <si>
    <t>Salmonella phage 118970_sal1</t>
  </si>
  <si>
    <t>PRJNA353669</t>
  </si>
  <si>
    <t>NC_031930.1/KU927500.1</t>
  </si>
  <si>
    <t>Salmonella phage IME207</t>
  </si>
  <si>
    <t>PRJNA353670</t>
  </si>
  <si>
    <t>Nostoc punctiforme PCC 73102</t>
  </si>
  <si>
    <t>NC_031924.1/KX523699.2</t>
  </si>
  <si>
    <t>Flavobacterium phage Fpv8</t>
  </si>
  <si>
    <t>PRJNA353671</t>
  </si>
  <si>
    <t>NC_031919.1/KU599883.1</t>
  </si>
  <si>
    <t>Flavobacterium phage Fpv7</t>
  </si>
  <si>
    <t>PRJNA353672</t>
  </si>
  <si>
    <t>NC_031905.1/KU599882.1</t>
  </si>
  <si>
    <t>Flavobacterium phage Fpv6</t>
  </si>
  <si>
    <t>Nostoc sp. NIES-3756</t>
  </si>
  <si>
    <t>PRJNA353673</t>
  </si>
  <si>
    <t>NC_031938.1/KU599881.1</t>
  </si>
  <si>
    <t>Flavobacterium phage Fpv5</t>
  </si>
  <si>
    <t>PRJNA353674</t>
  </si>
  <si>
    <t>NC_031921.1/KU599880.1</t>
  </si>
  <si>
    <t>Flavobacterium phage Fpv3</t>
  </si>
  <si>
    <t>PRJNA353675</t>
  </si>
  <si>
    <t>NC_031904.1/KU599879.1</t>
  </si>
  <si>
    <t>Nostoc sp. PCC 7107</t>
  </si>
  <si>
    <t>Flavobacterium phage Fpv20</t>
  </si>
  <si>
    <t>PRJNA353676</t>
  </si>
  <si>
    <t>NC_031912.1/KU599886.1</t>
  </si>
  <si>
    <t>Flavobacterium phage Fpv2</t>
  </si>
  <si>
    <t>PRJNA353677</t>
  </si>
  <si>
    <t>NC_031931.1/KU599878.1</t>
  </si>
  <si>
    <t>Flavobacterium phage Fpv11</t>
  </si>
  <si>
    <t>PRJNA353678</t>
  </si>
  <si>
    <t>Nostoc sp. PCC 7120</t>
  </si>
  <si>
    <t>NC_031945.1/KU599885.1</t>
  </si>
  <si>
    <t>Synechococcus phage S-CAM9</t>
  </si>
  <si>
    <t>PRJNA353680</t>
  </si>
  <si>
    <t>NC_031922.1/KU686206.1</t>
  </si>
  <si>
    <t>Synechococcus phage S-CAM7</t>
  </si>
  <si>
    <t>PRJNA353681</t>
  </si>
  <si>
    <t>NC_031927.1/KU686212.1</t>
  </si>
  <si>
    <t>Nostoc sp. PCC 7524</t>
  </si>
  <si>
    <t>Lleida bat lyssavirus</t>
  </si>
  <si>
    <t>PRJNA354165</t>
  </si>
  <si>
    <t>NC_031955.1/KY006983.1</t>
  </si>
  <si>
    <t>Salmonella phage GG32</t>
  </si>
  <si>
    <t>PRJNA306400</t>
  </si>
  <si>
    <t>NC_031045.1/KX245012.1</t>
  </si>
  <si>
    <t>Novosphingobium aromaticivorans DSM 12444</t>
  </si>
  <si>
    <t>Salmonella phage MA12</t>
  </si>
  <si>
    <t>PRJNA306398</t>
  </si>
  <si>
    <t>NC_031021.1/KX245013.1</t>
  </si>
  <si>
    <t>Bat hepacivirus</t>
  </si>
  <si>
    <t>NC_031947.1/KC796090.1</t>
  </si>
  <si>
    <t>Gannoruwa bat lyssavirus</t>
  </si>
  <si>
    <t>PRJNA355039</t>
  </si>
  <si>
    <t>NC_031988.1/KU244266.2</t>
  </si>
  <si>
    <t>Only Syngen Nebraska virus 5</t>
  </si>
  <si>
    <t>PRJNA355304</t>
  </si>
  <si>
    <t>NC_032001.1/KX857749.1</t>
  </si>
  <si>
    <t>Novosphingobium pentaromativorans US6-1</t>
  </si>
  <si>
    <t>Sugarcane chlorotic streak virus</t>
  </si>
  <si>
    <t>PRJNA356067</t>
  </si>
  <si>
    <t>NC_032004.1/KX787914.1</t>
  </si>
  <si>
    <t>Tomato mottle leaf curl virus</t>
  </si>
  <si>
    <t>PRJNA356438</t>
  </si>
  <si>
    <t>DNA-A:NC_032006.1/KX896398.1</t>
  </si>
  <si>
    <t>Novosphingobium sp. PP1Y</t>
  </si>
  <si>
    <t>Rattus norvegicus polyomavirus 2</t>
  </si>
  <si>
    <t>PRJNA356437</t>
  </si>
  <si>
    <t>NC_032005.1/KX808699.1</t>
  </si>
  <si>
    <t>Simian mastadenovirus WIV19</t>
  </si>
  <si>
    <t>PRJNA357484</t>
  </si>
  <si>
    <t>NC_032105.1/KX505867.1</t>
  </si>
  <si>
    <t>Desmodus rotundus parvovirus</t>
  </si>
  <si>
    <t>Obesumbacterium proteus strain DSM 2777</t>
  </si>
  <si>
    <t>PRJNA357469</t>
  </si>
  <si>
    <t>NC_032097.1/KX907333.1</t>
  </si>
  <si>
    <t>NL63-related bat coronavirus</t>
  </si>
  <si>
    <t>PRJNA357487</t>
  </si>
  <si>
    <t>NC_032107.1/KY073744.1</t>
  </si>
  <si>
    <t>Saccharomyces kudriavzevii virus L-A1</t>
  </si>
  <si>
    <t>PRJNA357485</t>
  </si>
  <si>
    <t>NC_032106.1/KX601068.1</t>
  </si>
  <si>
    <t>Euscelidius variegatus virus 1</t>
  </si>
  <si>
    <t>PRJNA356613</t>
  </si>
  <si>
    <t>Oceanimonas sp. GK1</t>
  </si>
  <si>
    <t>NC_032087.1/KX432289.1</t>
  </si>
  <si>
    <t>Arachis pintoi virus</t>
  </si>
  <si>
    <t>PRJNA357486</t>
  </si>
  <si>
    <t>NC_032104.1/KX058345.1</t>
  </si>
  <si>
    <t>Vernonia crinkle virus</t>
  </si>
  <si>
    <t>PRJNA357630</t>
  </si>
  <si>
    <t>NC_032118.1/KX831132.1</t>
  </si>
  <si>
    <t>BeAn 58058 virus</t>
  </si>
  <si>
    <t>PRJNA357638</t>
  </si>
  <si>
    <t>NC_032111.1/KY094066.1</t>
  </si>
  <si>
    <t>Oceanithermus profundus DSM 14977</t>
  </si>
  <si>
    <t>Bivalve RNA virus G3</t>
  </si>
  <si>
    <t>PRJNA357835</t>
  </si>
  <si>
    <t>NC_032114.1/KX158873.1</t>
  </si>
  <si>
    <t>Bivalve RNA virus G5</t>
  </si>
  <si>
    <t>PRJNA357836</t>
  </si>
  <si>
    <t>NC_032115.1/KX158874.1</t>
  </si>
  <si>
    <t>Bivalve RNA virus G1</t>
  </si>
  <si>
    <t>PRJNA357837</t>
  </si>
  <si>
    <t>Oceanobacillus iheyensis HTE831</t>
  </si>
  <si>
    <t>NC_032112.1/KX158871.1</t>
  </si>
  <si>
    <t>Vernonia crinkle betasatellite</t>
  </si>
  <si>
    <t>PRJNA357838</t>
  </si>
  <si>
    <t>NC_032119.1/KX831134.1</t>
  </si>
  <si>
    <t>Leptonychotes weddellii polyomavirus 1</t>
  </si>
  <si>
    <t>PRJNA357839</t>
  </si>
  <si>
    <t>NC_032120.1/KX533457.1</t>
  </si>
  <si>
    <t>Ochrobactrum anthropi ATCC 49188</t>
  </si>
  <si>
    <t>Bivalve RNA virus G4</t>
  </si>
  <si>
    <t>PRJNA357840</t>
  </si>
  <si>
    <t>NC_032116.1/KX158875.1</t>
  </si>
  <si>
    <t>Bivalve RNA virus G2</t>
  </si>
  <si>
    <t>PRJNA357841</t>
  </si>
  <si>
    <t>NC_032113.1/KX158872.1</t>
  </si>
  <si>
    <t>Bivalve hepelivirus G</t>
  </si>
  <si>
    <t>PRJNA357842</t>
  </si>
  <si>
    <t>Ochrobactrum anthropi strain OAB</t>
  </si>
  <si>
    <t>NC_032117.1/KX158876.1</t>
  </si>
  <si>
    <t>Beihai permutotetra-like virus 2</t>
  </si>
  <si>
    <t>PRJNA358102</t>
  </si>
  <si>
    <t>NC_032122.1/KX883438.1</t>
  </si>
  <si>
    <t>Wuhan large pig roundworm virus 1</t>
  </si>
  <si>
    <t>PRJNA358546</t>
  </si>
  <si>
    <t>45.6006</t>
  </si>
  <si>
    <t>1:NC_032130.1/KX884219.1;  2:NC_032148.1/KX884220.1</t>
  </si>
  <si>
    <t>Ochrobactrum pseudogrignonense strain K8</t>
  </si>
  <si>
    <t>Beihai sphaeromadae virus 3</t>
  </si>
  <si>
    <t>PRJNA358542</t>
  </si>
  <si>
    <t>50.5413</t>
  </si>
  <si>
    <t>1:NC_032154.1/KX883039.1;  2:NC_032155.1/KX883040.1</t>
  </si>
  <si>
    <t>Shahe hepe-like virus 2</t>
  </si>
  <si>
    <t>PRJNA358550</t>
  </si>
  <si>
    <t>NC_032124.1/KX883797.1</t>
  </si>
  <si>
    <t>Hubei insect virus 2</t>
  </si>
  <si>
    <t>PRJNA358554</t>
  </si>
  <si>
    <t>Octadecabacter temperatus strain SB1</t>
  </si>
  <si>
    <t>37.8556</t>
  </si>
  <si>
    <t>1:NC_032167.1/KX884578.1;  2:NC_032161.1/KX884579.1;  3:NC_032162.1/KX884580.1;  4:NC_032168.1/KX884581.1;  5:NC_032163.1/KX884582.1;  6:NC_032164.1/KX884583.1;  7:NC_032169.1/KX884584.1;  8:NC_032165.1/KX884585.1;  9:NC_032166.1/KX884586.1;  10:NC_032170.1/KX884587.1</t>
  </si>
  <si>
    <t>Beihai barnacle virus 13</t>
  </si>
  <si>
    <t>PRJNA358541</t>
  </si>
  <si>
    <t>55.6434</t>
  </si>
  <si>
    <t>1:NC_032133.1/KX884069.1;  2:NC_032134.1/KX884070.1</t>
  </si>
  <si>
    <t>Wuhan spider virus 2</t>
  </si>
  <si>
    <t>PRJNA358545</t>
  </si>
  <si>
    <t>NC_032128.1/KX883689.1</t>
  </si>
  <si>
    <t>Odoribacter splanchnicus DSM 220712</t>
  </si>
  <si>
    <t>Shahe heteroptera virus 3</t>
  </si>
  <si>
    <t>PRJNA358549</t>
  </si>
  <si>
    <t>41.1381</t>
  </si>
  <si>
    <t>L:NC_032140.1/KX884813.1;  M:NC_032142.1/KX884814.1;  S:NC_032141.1/KX884815.1</t>
  </si>
  <si>
    <t>Hubei odonate virus 8</t>
  </si>
  <si>
    <t>PRJNA358553</t>
  </si>
  <si>
    <t>35.693</t>
  </si>
  <si>
    <t>L:NC_032151.1/KX884775.1;  M:NC_032153.1/KX884776.1;  S:NC_032152.1/KX884777.1</t>
  </si>
  <si>
    <t>Beihai mollusks virus 1</t>
  </si>
  <si>
    <t>PRJNA358557</t>
  </si>
  <si>
    <t>Oenococcus oeni PSU-1</t>
  </si>
  <si>
    <t>NC_032129.1/KX884377.1</t>
  </si>
  <si>
    <t>Beihai hepe-like virus 4</t>
  </si>
  <si>
    <t>PRJNA358540</t>
  </si>
  <si>
    <t>NC_032127.1/KX883758.1</t>
  </si>
  <si>
    <t>Xinzhou partiti-like virus 1</t>
  </si>
  <si>
    <t>PRJNA358544</t>
  </si>
  <si>
    <t>46.3252</t>
  </si>
  <si>
    <t>1:NC_032131.1/KX884238.1;  2:NC_032132.1/KX884239.1</t>
  </si>
  <si>
    <t>Oleispira antarctica RB-8</t>
  </si>
  <si>
    <t>Wenling crustacean virus 9</t>
  </si>
  <si>
    <t>PRJNA358548</t>
  </si>
  <si>
    <t>39.3892</t>
  </si>
  <si>
    <t>L:NC_032143.1/KX884856.1;  M:NC_032144.1/KX884857.1;  S:NC_032145.1/KX884858.1</t>
  </si>
  <si>
    <t>Hubei diptera virus 18</t>
  </si>
  <si>
    <t>PRJNA358556</t>
  </si>
  <si>
    <t>Oligotropha carboxidovorans OM4</t>
  </si>
  <si>
    <t>35.3944</t>
  </si>
  <si>
    <t>1:NC_032156.1/KX884150.1;  2:NC_032157.1/KX884151.1</t>
  </si>
  <si>
    <t>Hubei odonate virus 9</t>
  </si>
  <si>
    <t>PRJNA358552</t>
  </si>
  <si>
    <t>37.5106</t>
  </si>
  <si>
    <t>L:NC_032135.1/KX884786.1;  M:NC_032136.1/KX884787.1;  S:NC_032137.1/KX884788.1</t>
  </si>
  <si>
    <t>Shahe hepe-like virus 1</t>
  </si>
  <si>
    <t>PRJNA358238</t>
  </si>
  <si>
    <t>Oligotropha carboxidovorans OM5</t>
  </si>
  <si>
    <t>NC_032123.1/KX883796.1</t>
  </si>
  <si>
    <t>Livupivirus A</t>
  </si>
  <si>
    <t>PRJNA358543</t>
  </si>
  <si>
    <t>NC_032126.1/KX463670.1</t>
  </si>
  <si>
    <t>Wuhan insect virus 23</t>
  </si>
  <si>
    <t>PRJNA358547</t>
  </si>
  <si>
    <t>45.4643</t>
  </si>
  <si>
    <t>1:NC_032146.1/KX884196.1;  2:NC_032147.1/KX884197.1</t>
  </si>
  <si>
    <t>Hubei partiti-like virus 11</t>
  </si>
  <si>
    <t>PRJNA358551</t>
  </si>
  <si>
    <t>41.2305</t>
  </si>
  <si>
    <t>1:NC_032139.1/KX884126.1;  2:NC_032138.1/KX884127.1</t>
  </si>
  <si>
    <t>Hubei diptera virus 3</t>
  </si>
  <si>
    <t>PRJNA358555</t>
  </si>
  <si>
    <t>37.4443</t>
  </si>
  <si>
    <t>Oligotropha carboxidovorans OM5 (Prj:41025)</t>
  </si>
  <si>
    <t>L:NC_032158.1/KX884796.1;  M:NC_032159.1/KX884797.1;  S:NC_032160.1/KX884798.1</t>
  </si>
  <si>
    <t>Rhizoctonia solani dsRNA virus 3</t>
  </si>
  <si>
    <t>PRJNA357854</t>
  </si>
  <si>
    <t>46.7924</t>
  </si>
  <si>
    <t>1:NC_032150.2/KU565806.2;  2:KU565807.3;  2:NC_032149.1/</t>
  </si>
  <si>
    <t>Olsenella sp. oral taxon 807 strain F0089</t>
  </si>
  <si>
    <t>Hubei sobemo-like virus 15</t>
  </si>
  <si>
    <t>PRJNA358909</t>
  </si>
  <si>
    <t>NC_032208.1/KX882895.1</t>
  </si>
  <si>
    <t>Hubei sobemo-like virus 11</t>
  </si>
  <si>
    <t>PRJNA358913</t>
  </si>
  <si>
    <t>NC_032189.1/KX882868.1</t>
  </si>
  <si>
    <t>Hubei picorna-like virus 82</t>
  </si>
  <si>
    <t>PRJNA358917</t>
  </si>
  <si>
    <t>NC_032222.1/KX883688.1</t>
  </si>
  <si>
    <t>Hubei noda-like virus 17</t>
  </si>
  <si>
    <t>PRJNA358921</t>
  </si>
  <si>
    <t>NC_032241.1/KX883109.1</t>
  </si>
  <si>
    <t>Onion yellows phytoplasma OY-M</t>
  </si>
  <si>
    <t>Hubei myriapoda virus 4</t>
  </si>
  <si>
    <t>PRJNA358925</t>
  </si>
  <si>
    <t>NC_032215.1/KX884258.1</t>
  </si>
  <si>
    <t>Hubei mosquito virus 4</t>
  </si>
  <si>
    <t>PRJNA358929</t>
  </si>
  <si>
    <t>NC_032231.1/KX883008.1</t>
  </si>
  <si>
    <t>Hubei earwig virus 3</t>
  </si>
  <si>
    <t>PRJNA358933</t>
  </si>
  <si>
    <t>Opitutus terrae PB90-1</t>
  </si>
  <si>
    <t>NC_032175.1/KX883286.1</t>
  </si>
  <si>
    <t>Changjiang tombus-like virus 15</t>
  </si>
  <si>
    <t>PRJNA358937</t>
  </si>
  <si>
    <t>NC_032230.1/KX883096.1</t>
  </si>
  <si>
    <t>Fusarium langsethiae hypovirus 1</t>
  </si>
  <si>
    <t>PRJNA358941</t>
  </si>
  <si>
    <t>NC_032212.1/KY120321.1</t>
  </si>
  <si>
    <t>Orientia tsutsugamushi str. Boryong</t>
  </si>
  <si>
    <t>Hubei sobemo-like virus 7</t>
  </si>
  <si>
    <t>PRJNA358945</t>
  </si>
  <si>
    <t>NC_032196.1/KX882876.1</t>
  </si>
  <si>
    <t>Hubei sobemo-like virus 48</t>
  </si>
  <si>
    <t>PRJNA358949</t>
  </si>
  <si>
    <t>1:NC_032232.1/KX882834.1</t>
  </si>
  <si>
    <t>Hubei sobemo-like virus 44</t>
  </si>
  <si>
    <t>PRJNA358953</t>
  </si>
  <si>
    <t>Orientia tsutsugamushi str. Ikeda</t>
  </si>
  <si>
    <t>NC_032213.1/KX882901.1</t>
  </si>
  <si>
    <t>Hubei sobemo-like virus 40</t>
  </si>
  <si>
    <t>PRJNA358957</t>
  </si>
  <si>
    <t>NC_032251.1/KX882849.1</t>
  </si>
  <si>
    <t>Hubei sobemo-like virus 35</t>
  </si>
  <si>
    <t>PRJNA358961</t>
  </si>
  <si>
    <t>NC_032237.1/KX882840.1</t>
  </si>
  <si>
    <t>Ornithobacterium rhinotracheale DSM 15997</t>
  </si>
  <si>
    <t>Hubei sobemo-like virus 31</t>
  </si>
  <si>
    <t>PRJNA358965</t>
  </si>
  <si>
    <t>NC_032223.1/KX882908.1</t>
  </si>
  <si>
    <t>Hubei sobemo-like virus 28</t>
  </si>
  <si>
    <t>PRJNA358969</t>
  </si>
  <si>
    <t>NC_032246.1/KX882845.1</t>
  </si>
  <si>
    <t>Hubei sobemo-like virus 24</t>
  </si>
  <si>
    <t>PRJNA358973</t>
  </si>
  <si>
    <t>NC_032229.1/KX882912.1</t>
  </si>
  <si>
    <t>Ornithobacterium rhinotracheale ORT-UMN 88</t>
  </si>
  <si>
    <t>Hubei sobemo-like virus 2</t>
  </si>
  <si>
    <t>PRJNA358977</t>
  </si>
  <si>
    <t>NC_032214.1/KX882902.1</t>
  </si>
  <si>
    <t>Changjiang crawfish virus 4</t>
  </si>
  <si>
    <t>PRJNA358981</t>
  </si>
  <si>
    <t>NC_032198.1/KX883889.1</t>
  </si>
  <si>
    <t>Beihai sobemo-like virus 17</t>
  </si>
  <si>
    <t>PRJNA358985</t>
  </si>
  <si>
    <t>Oscillatoria acuminata PCC 6304</t>
  </si>
  <si>
    <t>NC_032219.1/KX882820.1</t>
  </si>
  <si>
    <t>Beihai picorna-like virus 53</t>
  </si>
  <si>
    <t>PRJNA358993</t>
  </si>
  <si>
    <t>NC_032192.1/KX883400.1</t>
  </si>
  <si>
    <t>Beihai picorna-like virus 103</t>
  </si>
  <si>
    <t>PRJNA358997</t>
  </si>
  <si>
    <t>NC_032201.1/KX883318.1</t>
  </si>
  <si>
    <t>Oscillatoria nigro-viridis PCC 7112</t>
  </si>
  <si>
    <t>Beihai picorna-like virus 5</t>
  </si>
  <si>
    <t>PRJNA358206</t>
  </si>
  <si>
    <t>NC_032125.1/KX883398.1</t>
  </si>
  <si>
    <t>Beihai noda-like virus 18</t>
  </si>
  <si>
    <t>PRJNA358596</t>
  </si>
  <si>
    <t>NC_032172.1/KX883282.1</t>
  </si>
  <si>
    <t>Hubei sobemo-like virus 12</t>
  </si>
  <si>
    <t>PRJNA358912</t>
  </si>
  <si>
    <t>Oscillatoriales cyanobacterium JSC-12</t>
  </si>
  <si>
    <t>NC_032182.1/KX882863.1</t>
  </si>
  <si>
    <t>Hubei polero-like virus 1</t>
  </si>
  <si>
    <t>PRJNA358916</t>
  </si>
  <si>
    <t>NC_032224.1/KX882909.1</t>
  </si>
  <si>
    <t>Hubei picorna-like virus 24</t>
  </si>
  <si>
    <t>PRJNA358920</t>
  </si>
  <si>
    <t>NC_032186.1/KX883736.1</t>
  </si>
  <si>
    <t>Ottowia sp. oral taxon 894 strain W10237</t>
  </si>
  <si>
    <t>Hubei myriapoda virus 7</t>
  </si>
  <si>
    <t>PRJNA358924</t>
  </si>
  <si>
    <t>NC_032242.1/KX884443.1</t>
  </si>
  <si>
    <t>Hubei myriapoda virus 1</t>
  </si>
  <si>
    <t>PRJNA358928</t>
  </si>
  <si>
    <t>NC_032218.1/KX884260.1</t>
  </si>
  <si>
    <t>Hubei astro-like virus</t>
  </si>
  <si>
    <t>PRJNA358936</t>
  </si>
  <si>
    <t>NC_032203.1/KX884572.1</t>
  </si>
  <si>
    <t>Owenweeksia hongkongensis DSM 17368</t>
  </si>
  <si>
    <t>Hubei leech virus 2</t>
  </si>
  <si>
    <t>PRJNA358932</t>
  </si>
  <si>
    <t>NC_032174.1/KX883726.1</t>
  </si>
  <si>
    <t>Soybean latent spherical virus</t>
  </si>
  <si>
    <t>PRJNA358940</t>
  </si>
  <si>
    <t>42.8343</t>
  </si>
  <si>
    <t>RA11:NC_032270.1/KX424571.1;  RA22:NC_032271.1/KX424572.1</t>
  </si>
  <si>
    <t>Hubei sobemo-like virus 8</t>
  </si>
  <si>
    <t>PRJNA358944</t>
  </si>
  <si>
    <t>Paenibacillus beijingensis strain DSM 24997</t>
  </si>
  <si>
    <t>NC_032236.1/KX882839.1</t>
  </si>
  <si>
    <t>Hubei sobemo-like virus 49</t>
  </si>
  <si>
    <t>PRJNA358948</t>
  </si>
  <si>
    <t>NC_032233.1/KX882836.1</t>
  </si>
  <si>
    <t>Hubei sobemo-like virus 45</t>
  </si>
  <si>
    <t>PRJNA358952</t>
  </si>
  <si>
    <t>NC_032238.1/KX882841.1</t>
  </si>
  <si>
    <t>Hubei sobemo-like virus 41</t>
  </si>
  <si>
    <t>PRJNA358956</t>
  </si>
  <si>
    <t>Paenibacillus borealis DSM 13188</t>
  </si>
  <si>
    <t>NC_032253.1/KX882766.1</t>
  </si>
  <si>
    <t>Hubei sobemo-like virus 36</t>
  </si>
  <si>
    <t>PRJNA358960</t>
  </si>
  <si>
    <t>NC_032188.1/KX882867.1</t>
  </si>
  <si>
    <t>Hubei sobemo-like virus 32</t>
  </si>
  <si>
    <t>PRJNA358964</t>
  </si>
  <si>
    <t>NC_032187.1/KX882866.1</t>
  </si>
  <si>
    <t>Hubei sobemo-like virus 29</t>
  </si>
  <si>
    <t>PRJNA358968</t>
  </si>
  <si>
    <t>Paenibacillus durus ATCC 35681</t>
  </si>
  <si>
    <t>NC_032234.1/KX882837.1</t>
  </si>
  <si>
    <t>Hubei sobemo-like virus 25</t>
  </si>
  <si>
    <t>PRJNA358972</t>
  </si>
  <si>
    <t>NC_032248.1/KX882847.1</t>
  </si>
  <si>
    <t>Hubei sobemo-like virus 20</t>
  </si>
  <si>
    <t>PRJNA358976</t>
  </si>
  <si>
    <t>NC_032210.1/KX882814.1</t>
  </si>
  <si>
    <t>Hubei sobemo-like virus 16</t>
  </si>
  <si>
    <t>PRJNA358980</t>
  </si>
  <si>
    <t>Paenibacillus durus DSM 1735</t>
  </si>
  <si>
    <t>NC_032216.1/KX882903.1</t>
  </si>
  <si>
    <t>Beihai sobemo-like virus 24</t>
  </si>
  <si>
    <t>PRJNA358984</t>
  </si>
  <si>
    <t>NC_032183.1/KX882780.1</t>
  </si>
  <si>
    <t>Beihai picorna-like virus 62</t>
  </si>
  <si>
    <t>PRJNA358992</t>
  </si>
  <si>
    <t>NC_032194.1/KX883309.1</t>
  </si>
  <si>
    <t>Beihai picorna-like virus 15</t>
  </si>
  <si>
    <t>PRJNA358996</t>
  </si>
  <si>
    <t>Paenibacillus glucanolyticus strain 5162</t>
  </si>
  <si>
    <t>NC_032226.1/KX884506.1</t>
  </si>
  <si>
    <t>Hubei sobemo-like virus 13</t>
  </si>
  <si>
    <t>PRJNA358911</t>
  </si>
  <si>
    <t>NC_032240.1/KX882928.1</t>
  </si>
  <si>
    <t>Hubei sobemo-like virus 1</t>
  </si>
  <si>
    <t>PRJNA358915</t>
  </si>
  <si>
    <t>NC_032207.1/KX882894.1</t>
  </si>
  <si>
    <t>Hubei picorna-like virus 31</t>
  </si>
  <si>
    <t>PRJNA358919</t>
  </si>
  <si>
    <t>Paenibacillus graminis DSM 15220</t>
  </si>
  <si>
    <t>NC_032221.1/KX883927.1</t>
  </si>
  <si>
    <t>Hubei myriapoda virus 8</t>
  </si>
  <si>
    <t>PRJNA358923</t>
  </si>
  <si>
    <t>NC_032245.1/KX884444.1</t>
  </si>
  <si>
    <t>Hubei myriapoda virus 2</t>
  </si>
  <si>
    <t>PRJNA358927</t>
  </si>
  <si>
    <t>NC_032211.1/KX884256.1</t>
  </si>
  <si>
    <t>Hubei lepidoptera virus 1</t>
  </si>
  <si>
    <t>PRJNA358931</t>
  </si>
  <si>
    <t>Paenibacillus larvae subsp. larvae DSM 25430</t>
  </si>
  <si>
    <t>31.1431</t>
  </si>
  <si>
    <t>L:NC_032282.1/KX884772.1;  M:NC_032257.1/KX884773.1;  S:NC_032256.1/KX884774.1</t>
  </si>
  <si>
    <t>Hubei diptera virus 4</t>
  </si>
  <si>
    <t>PRJNA358935</t>
  </si>
  <si>
    <t>40.5461</t>
  </si>
  <si>
    <t>L:NC_032280.1/KX884809.1;  M:NC_032278.1/KX884810.1;  S:NC_032279.1/KX884811.1</t>
  </si>
  <si>
    <t>Plodia interpunctella granulovirus</t>
  </si>
  <si>
    <t>PRJNA358939</t>
  </si>
  <si>
    <t>Paenibacillus mucilaginosus 3016</t>
  </si>
  <si>
    <t>NC_032255.1/KX151395.1</t>
  </si>
  <si>
    <t>Hubei sobemo-like virus 9</t>
  </si>
  <si>
    <t>PRJNA358943</t>
  </si>
  <si>
    <t>NC_032184.1/KX882865.1</t>
  </si>
  <si>
    <t>Hubei sobemo-like virus 5</t>
  </si>
  <si>
    <t>PRJNA358947</t>
  </si>
  <si>
    <t>NC_032197.1/KX882877.1</t>
  </si>
  <si>
    <t>Paenibacillus mucilaginosus K02</t>
  </si>
  <si>
    <t>Hubei sobemo-like virus 46</t>
  </si>
  <si>
    <t>PRJNA358951</t>
  </si>
  <si>
    <t>NC_032195.1/KX882875.1</t>
  </si>
  <si>
    <t>Hubei sobemo-like virus 42</t>
  </si>
  <si>
    <t>PRJNA358955</t>
  </si>
  <si>
    <t>NC_032243.1/KX882843.1</t>
  </si>
  <si>
    <t>Hubei sobemo-like virus 37</t>
  </si>
  <si>
    <t>PRJNA358959</t>
  </si>
  <si>
    <t>Paenibacillus mucilaginosus KNP414</t>
  </si>
  <si>
    <t>NC_032239.1/KX882842.1</t>
  </si>
  <si>
    <t>Hubei sobemo-like virus 33</t>
  </si>
  <si>
    <t>PRJNA358963</t>
  </si>
  <si>
    <t>NC_032227.1/KX882827.1</t>
  </si>
  <si>
    <t>Hubei sobemo-like virus 3</t>
  </si>
  <si>
    <t>PRJNA358967</t>
  </si>
  <si>
    <t>NC_032217.1/KX882904.1</t>
  </si>
  <si>
    <t>Hubei sobemo-like virus 26</t>
  </si>
  <si>
    <t>Paenibacillus naphthalenovorans strain 32O-Y</t>
  </si>
  <si>
    <t>PRJNA358971</t>
  </si>
  <si>
    <t>NC_032178.1/KX882775.1</t>
  </si>
  <si>
    <t>Hubei sobemo-like virus 22</t>
  </si>
  <si>
    <t>PRJNA358975</t>
  </si>
  <si>
    <t>NC_032254.1/KX882937.1</t>
  </si>
  <si>
    <t>Hubei sobemo-like virus 18</t>
  </si>
  <si>
    <t>PRJNA358979</t>
  </si>
  <si>
    <t>NC_032177.1/KX882772.1</t>
  </si>
  <si>
    <t>Beihai sobemo-like virus 26</t>
  </si>
  <si>
    <t>PRJNA358983</t>
  </si>
  <si>
    <t>Paenibacillus odorifer DSM 15391</t>
  </si>
  <si>
    <t>NC_032193.1/KX882789.1</t>
  </si>
  <si>
    <t>Beihai sobemo-like virus 10</t>
  </si>
  <si>
    <t>PRJNA358987</t>
  </si>
  <si>
    <t>NC_032204.1/KX882803.1</t>
  </si>
  <si>
    <t>Beihai picorna-like virus 70</t>
  </si>
  <si>
    <t>PRJNA358991</t>
  </si>
  <si>
    <t>NC_032249.1/KX883375.1</t>
  </si>
  <si>
    <t>Beihai picorna-like virus 35</t>
  </si>
  <si>
    <t>PRJNA358995</t>
  </si>
  <si>
    <t>NC_032206.1/KX884483.1</t>
  </si>
  <si>
    <t>Beihai noda-like virus 29</t>
  </si>
  <si>
    <t>PRJNA358999</t>
  </si>
  <si>
    <t>NC_032185.1/KX883049.1</t>
  </si>
  <si>
    <t>Hubei sobemo-like virus 10</t>
  </si>
  <si>
    <t>PRJNA358914</t>
  </si>
  <si>
    <t>NC_032199.1/KX882878.1</t>
  </si>
  <si>
    <t>Hubei sobemo-like virus 14</t>
  </si>
  <si>
    <t>PRJNA358910</t>
  </si>
  <si>
    <t>NC_032252.1/KX882850.1</t>
  </si>
  <si>
    <t>Hubei picorna-like virus 46</t>
  </si>
  <si>
    <t>PRJNA358918</t>
  </si>
  <si>
    <t>NC_032209.1/KX883677.1</t>
  </si>
  <si>
    <t>Paenibacillus peoriae strain HS311</t>
  </si>
  <si>
    <t>Hubei narna-like virus 18</t>
  </si>
  <si>
    <t>PRJNA358922</t>
  </si>
  <si>
    <t>NC_032225.1/KX883517.1</t>
  </si>
  <si>
    <t>Hubei myriapoda virus 3</t>
  </si>
  <si>
    <t>PRJNA358926</t>
  </si>
  <si>
    <t>NC_032180.1/KX883734.1</t>
  </si>
  <si>
    <t>Changjiang picorna-like virus 1</t>
  </si>
  <si>
    <t>PRJNA358938</t>
  </si>
  <si>
    <t>NC_032179.1/KX884546.1</t>
  </si>
  <si>
    <t>Hubei diptera virus 5</t>
  </si>
  <si>
    <t>PRJNA358934</t>
  </si>
  <si>
    <t>Paenibacillus polymyxa CR1</t>
  </si>
  <si>
    <t>33.408</t>
  </si>
  <si>
    <t>L:NC_032276.1/KX884799.1;  M:NC_032277.1/KX884800.1;  S:NC_032281.1/KX884801.1</t>
  </si>
  <si>
    <t>Hubei lepidoptera virus 3</t>
  </si>
  <si>
    <t>PRJNA358930</t>
  </si>
  <si>
    <t>35.7658</t>
  </si>
  <si>
    <t>1:NC_032264.1/KX884614.1;  2:NC_032259.1/KX884615.1;  3:NC_032258.1/KX884613.1;  4:NC_032265.1/KX884616.1;  5:NC_032260.1/KX884617.1;  6:NC_032261.1/KX884618.1;  7:NC_032266.1/KX884619.1;  8:NC_032262.1/KX884620.1;  9:NC_032267.1/KX884621.1;  10:NC_032263.1/KX884622.1</t>
  </si>
  <si>
    <t>Hubei tetragnatha maxillosa virus 6</t>
  </si>
  <si>
    <t>PRJNA358942</t>
  </si>
  <si>
    <t>45.1359</t>
  </si>
  <si>
    <t>1:NC_032268.1/KX882882.1;  2:NC_032269.1/KX882883.1</t>
  </si>
  <si>
    <t>Hubei sobemo-like virus 6</t>
  </si>
  <si>
    <t>PRJNA358946</t>
  </si>
  <si>
    <t>NC_032190.1/KX882869.1</t>
  </si>
  <si>
    <t>Hubei sobemo-like virus 47</t>
  </si>
  <si>
    <t>PRJNA358950</t>
  </si>
  <si>
    <t>NC_032191.1/KX882871.1</t>
  </si>
  <si>
    <t>Paenibacillus polymyxa E681</t>
  </si>
  <si>
    <t>Hubei sobemo-like virus 43</t>
  </si>
  <si>
    <t>PRJNA358954</t>
  </si>
  <si>
    <t>NC_032173.1/KX882769.1</t>
  </si>
  <si>
    <t>Hubei sobemo-like virus 38</t>
  </si>
  <si>
    <t>PRJNA358958</t>
  </si>
  <si>
    <t>NC_032247.1/KX882846.1</t>
  </si>
  <si>
    <t>Hubei sobemo-like virus 34</t>
  </si>
  <si>
    <t>PRJNA358962</t>
  </si>
  <si>
    <t>NC_032200.1/KX882879.1</t>
  </si>
  <si>
    <t>Hubei sobemo-like virus 30</t>
  </si>
  <si>
    <t>PRJNA358966</t>
  </si>
  <si>
    <t>Paenibacillus polymyxa M1</t>
  </si>
  <si>
    <t>NC_032235.1/KX882838.1</t>
  </si>
  <si>
    <t>Hubei sobemo-like virus 27</t>
  </si>
  <si>
    <t>PRJNA358970</t>
  </si>
  <si>
    <t>NC_032228.1/KX882911.1</t>
  </si>
  <si>
    <t>Hubei sobemo-like virus 23</t>
  </si>
  <si>
    <t>PRJNA358974</t>
  </si>
  <si>
    <t>NC_032250.1/KX882848.1</t>
  </si>
  <si>
    <t>Paenibacillus polymyxa SC2</t>
  </si>
  <si>
    <t>Hubei sobemo-like virus 19</t>
  </si>
  <si>
    <t>PRJNA358978</t>
  </si>
  <si>
    <t>NC_032176.1/KX882855.1</t>
  </si>
  <si>
    <t>Beihai tombus-like virus 4</t>
  </si>
  <si>
    <t>PRJNA358982</t>
  </si>
  <si>
    <t>NC_032202.1/KX883069.1</t>
  </si>
  <si>
    <t>Beihai sobemo-like virus 14</t>
  </si>
  <si>
    <t>Paenibacillus polymyxa SQR-21</t>
  </si>
  <si>
    <t>PRJNA358986</t>
  </si>
  <si>
    <t>NC_032220.1/KX882821.1</t>
  </si>
  <si>
    <t>Beihai picorna-like virus 73</t>
  </si>
  <si>
    <t>PRJNA358990</t>
  </si>
  <si>
    <t>NC_032205.1/KX883415.1</t>
  </si>
  <si>
    <t>Beihai picorna-like virus 43</t>
  </si>
  <si>
    <t>PRJNA358994</t>
  </si>
  <si>
    <t>NC_032181.1/KX883390.1</t>
  </si>
  <si>
    <t>Paenibacillus polymyxa strain CF05</t>
  </si>
  <si>
    <t>Beihai noda-like virus 5</t>
  </si>
  <si>
    <t>PRJNA358998</t>
  </si>
  <si>
    <t>NC_032244.1/KX883112.1</t>
  </si>
  <si>
    <t>Beihai sesarmid crab virus 4</t>
  </si>
  <si>
    <t>PRJNA358988</t>
  </si>
  <si>
    <t>46.7607</t>
  </si>
  <si>
    <t>1:NC_032272.1/KX883990.1;  2:NC_032274.1/KX883991.1</t>
  </si>
  <si>
    <t>Beihai sesarmid crab virus 3</t>
  </si>
  <si>
    <t>PRJNA358989</t>
  </si>
  <si>
    <t>37.9933</t>
  </si>
  <si>
    <t>1:NC_032273.1/KX884032.1;  2:NC_032275.1/KX884033.1</t>
  </si>
  <si>
    <t>Paenibacillus polymyxa strain Sb3-1</t>
  </si>
  <si>
    <t>Sanxia picorna-like virus 12</t>
  </si>
  <si>
    <t>PRJNA359101</t>
  </si>
  <si>
    <t>NC_032403.1/KX883723.1</t>
  </si>
  <si>
    <t>Beihai barnacle virus 15</t>
  </si>
  <si>
    <t>PRJNA359240</t>
  </si>
  <si>
    <t>NC_032413.1/KX882946.1</t>
  </si>
  <si>
    <t>Beihai astro-like virus</t>
  </si>
  <si>
    <t>PRJNA359244</t>
  </si>
  <si>
    <t>Paenibacillus riograndensis SBR5</t>
  </si>
  <si>
    <t>NC_032439.1/KX884564.1</t>
  </si>
  <si>
    <t>Bastrovirus-like_virus/VietNam/Bat/17819_21</t>
  </si>
  <si>
    <t>PRJNA359252</t>
  </si>
  <si>
    <t>NC_032426.1/KX907135.1</t>
  </si>
  <si>
    <t>Beihai narna-like virus 22</t>
  </si>
  <si>
    <t>PRJNA359215</t>
  </si>
  <si>
    <t>NC_032404.1/KX883463.1</t>
  </si>
  <si>
    <t>Beihai barnacle virus 12</t>
  </si>
  <si>
    <t>PRJNA359241</t>
  </si>
  <si>
    <t>56.3125</t>
  </si>
  <si>
    <t>1:NC_032518.1/KX884067.1;  2:NC_032519.1/KX884068.1</t>
  </si>
  <si>
    <t>Beihai anemone virus 1</t>
  </si>
  <si>
    <t>Paenibacillus sabinae T27</t>
  </si>
  <si>
    <t>PRJNA359245</t>
  </si>
  <si>
    <t>NC_032437.1/KX883744.1</t>
  </si>
  <si>
    <t>Beihai barnacle virus 2</t>
  </si>
  <si>
    <t>PRJNA359239</t>
  </si>
  <si>
    <t>NC_032442.1/KX883747.1</t>
  </si>
  <si>
    <t>Beihai barnacle virus 10</t>
  </si>
  <si>
    <t>PRJNA359243</t>
  </si>
  <si>
    <t>NC_032428.1/KX883482.1</t>
  </si>
  <si>
    <t>Beihai Nido-like virus 1</t>
  </si>
  <si>
    <t>PRJNA359247</t>
  </si>
  <si>
    <t>NC_032496.1/KX883629.1</t>
  </si>
  <si>
    <t>Bastrovirus/VietNam/Porcine/17489_85</t>
  </si>
  <si>
    <t>PRJNA359251</t>
  </si>
  <si>
    <t>Paenibacillus sp. 32O-W</t>
  </si>
  <si>
    <t>NC_032423.1/KX907134.1</t>
  </si>
  <si>
    <t>Beihai narna-like virus 13</t>
  </si>
  <si>
    <t>PRJNA359255</t>
  </si>
  <si>
    <t>NC_032448.1/KX883498.1</t>
  </si>
  <si>
    <t>Beihai narna-like virus 1</t>
  </si>
  <si>
    <t>PRJNA359259</t>
  </si>
  <si>
    <t>NC_032470.1/KX883515.1</t>
  </si>
  <si>
    <t>Beihai mantis shrimp virus 4</t>
  </si>
  <si>
    <t>PRJNA359263</t>
  </si>
  <si>
    <t>NC_032464.1/KX883434.1</t>
  </si>
  <si>
    <t>Beihai hypo-like virus 1</t>
  </si>
  <si>
    <t>PRJNA359267</t>
  </si>
  <si>
    <t>Paenibacillus sp. BD3526</t>
  </si>
  <si>
    <t>NC_032476.1/KX883006.1</t>
  </si>
  <si>
    <t>Beihai narna-like virus 12</t>
  </si>
  <si>
    <t>PRJNA359256</t>
  </si>
  <si>
    <t>NC_032454.1/KX883505.1</t>
  </si>
  <si>
    <t>Beihai mollusks virus 2</t>
  </si>
  <si>
    <t>PRJNA359260</t>
  </si>
  <si>
    <t>NC_032481.1/KX884375.1</t>
  </si>
  <si>
    <t>Paenibacillus sp. FSL H7-0357</t>
  </si>
  <si>
    <t>Beihai mantis shrimp virus 3</t>
  </si>
  <si>
    <t>PRJNA359264</t>
  </si>
  <si>
    <t>NC_032441.1/KX884471.1</t>
  </si>
  <si>
    <t>Beihai horseshoe crab virus 1</t>
  </si>
  <si>
    <t>PRJNA359268</t>
  </si>
  <si>
    <t>49.1604</t>
  </si>
  <si>
    <t>1:NC_032521.1/KX883114.1;  2:NC_032522.1/KX883115.1</t>
  </si>
  <si>
    <t>Beihai hepe-like virus 9</t>
  </si>
  <si>
    <t>PRJNA359272</t>
  </si>
  <si>
    <t>Paenibacillus sp. FSL H7-0737</t>
  </si>
  <si>
    <t>NC_032477.1/KX883769.1</t>
  </si>
  <si>
    <t>Wenling chuvirus-like virus 2</t>
  </si>
  <si>
    <t>PRJNA359276</t>
  </si>
  <si>
    <t>NC_032414.1/KX884455.1</t>
  </si>
  <si>
    <t>Beihai barnacle virus 4</t>
  </si>
  <si>
    <t>PRJNA359284</t>
  </si>
  <si>
    <t>NC_032446.1/KX883416.1</t>
  </si>
  <si>
    <t>Beihai blue swimmer crab virus 1</t>
  </si>
  <si>
    <t>PRJNA359280</t>
  </si>
  <si>
    <t>Paenibacillus sp. FSL P4-0081</t>
  </si>
  <si>
    <t>NC_032488.1/KX884384.1</t>
  </si>
  <si>
    <t>Beihai paphia shell virus 2</t>
  </si>
  <si>
    <t>PRJNA359292</t>
  </si>
  <si>
    <t>NC_032494.1/KX884389.1</t>
  </si>
  <si>
    <t>Beihai picobirna-like virus 7</t>
  </si>
  <si>
    <t>PRJNA359288</t>
  </si>
  <si>
    <t>40.6044</t>
  </si>
  <si>
    <t>1:NC_032498.1/KX884063.1;  2:NC_032502.1/KX884062.1</t>
  </si>
  <si>
    <t>Paenibacillus sp. FSL R5-0345</t>
  </si>
  <si>
    <t>Beihai noda-like virus 11</t>
  </si>
  <si>
    <t>PRJNA359296</t>
  </si>
  <si>
    <t>52.6497</t>
  </si>
  <si>
    <t>1:NC_032525.1/KX883032.1;  2:NC_032526.1/KX883033.1</t>
  </si>
  <si>
    <t>Beihai narna-like virus 4</t>
  </si>
  <si>
    <t>PRJNA359300</t>
  </si>
  <si>
    <t>NC_032460.1/KX883508.1</t>
  </si>
  <si>
    <t>Paenibacillus sp. FSL R5-0912</t>
  </si>
  <si>
    <t>Beihai narna-like virus 23</t>
  </si>
  <si>
    <t>PRJNA359304</t>
  </si>
  <si>
    <t>NC_032457.1/KX883507.1</t>
  </si>
  <si>
    <t>Beihai narna-like virus 19</t>
  </si>
  <si>
    <t>PRJNA359308</t>
  </si>
  <si>
    <t>NC_032421.1/KX883477.1</t>
  </si>
  <si>
    <t>Beihai narna-like virus 15</t>
  </si>
  <si>
    <t>PRJNA359312</t>
  </si>
  <si>
    <t>NC_032411.1/KX883468.1</t>
  </si>
  <si>
    <t>Paenibacillus sp. FSL R7-0273</t>
  </si>
  <si>
    <t>Xingshan nematode virus 1</t>
  </si>
  <si>
    <t>PRJNA359328</t>
  </si>
  <si>
    <t>NC_032483.1/KX883837.1</t>
  </si>
  <si>
    <t>Wenzhou shrimp virus 7</t>
  </si>
  <si>
    <t>PRJNA359332</t>
  </si>
  <si>
    <t>NC_032420.1/KX883298.1</t>
  </si>
  <si>
    <t>Shayang virga-like virus 1</t>
  </si>
  <si>
    <t>PRJNA359336</t>
  </si>
  <si>
    <t>Paenibacillus sp. FSL R7-0331</t>
  </si>
  <si>
    <t>NC_032438.1/KX883805.1</t>
  </si>
  <si>
    <t>Shahe arthropod virus 1</t>
  </si>
  <si>
    <t>PRJNA359340</t>
  </si>
  <si>
    <t>NC_032422.1/KX883641.1</t>
  </si>
  <si>
    <t>Paenibacillus sp. IHB B 3084</t>
  </si>
  <si>
    <t>Hubei toti-like virus 19</t>
  </si>
  <si>
    <t>PRJNA359344</t>
  </si>
  <si>
    <t>NC_032424.1/KX882957.1</t>
  </si>
  <si>
    <t>Lake Sinai virus</t>
  </si>
  <si>
    <t>PRJNA359253</t>
  </si>
  <si>
    <t>NC_032433.1/KX883223.1</t>
  </si>
  <si>
    <t>Beihai narna-like virus 11</t>
  </si>
  <si>
    <t>PRJNA359257</t>
  </si>
  <si>
    <t>Paenibacillus sp. IHBB 10380</t>
  </si>
  <si>
    <t>NC_032467.1/KX883513.1</t>
  </si>
  <si>
    <t>Beihai mantis shrimp virus 6</t>
  </si>
  <si>
    <t>PRJNA359261</t>
  </si>
  <si>
    <t>56.4276</t>
  </si>
  <si>
    <t>1:NC_032523.1/KX883056.1;  2:NC_032524.1/KX883057.1</t>
  </si>
  <si>
    <t>Beihai mantis shrimp virus 2</t>
  </si>
  <si>
    <t>PRJNA359265</t>
  </si>
  <si>
    <t>NC_032447.1/KX883752.1</t>
  </si>
  <si>
    <t>Beihai hermit crab virus 4</t>
  </si>
  <si>
    <t>PRJNA359269</t>
  </si>
  <si>
    <t>NC_032490.1/KX883627.1</t>
  </si>
  <si>
    <t>Paenibacillus sp. JDR-2</t>
  </si>
  <si>
    <t>Beihai hepe-like virus 8</t>
  </si>
  <si>
    <t>PRJNA359273</t>
  </si>
  <si>
    <t>NC_032456.1/KX883759.1</t>
  </si>
  <si>
    <t>Wenling chuvirus-like virus 1</t>
  </si>
  <si>
    <t>PRJNA359277</t>
  </si>
  <si>
    <t>NC_032409.1/KX884449.1</t>
  </si>
  <si>
    <t>Beihai barnacle virus 9</t>
  </si>
  <si>
    <t>PRJNA359281</t>
  </si>
  <si>
    <t>Paenibacillus sp. Y412MC10</t>
  </si>
  <si>
    <t>NC_032427.1/KX884409.1</t>
  </si>
  <si>
    <t>Hubei tombus-like virus 30</t>
  </si>
  <si>
    <t>PRJNA359285</t>
  </si>
  <si>
    <t>NC_032455.1/KX883166.1</t>
  </si>
  <si>
    <t>Beihai paphia shell virus 1</t>
  </si>
  <si>
    <t>PRJNA359293</t>
  </si>
  <si>
    <t>NC_032478.1/KX884512.1</t>
  </si>
  <si>
    <t>Paenibacillus stellifer DSM 14472</t>
  </si>
  <si>
    <t>Beihai partiti-like virus 2</t>
  </si>
  <si>
    <t>PRJNA359289</t>
  </si>
  <si>
    <t>41.3073</t>
  </si>
  <si>
    <t>1:NC_032500.1/KX884083.1;  2:NC_032501.1/KX884084.1</t>
  </si>
  <si>
    <t>Beihai narna-like virus 9</t>
  </si>
  <si>
    <t>PRJNA359297</t>
  </si>
  <si>
    <t>NC_032486.1/KX883534.1</t>
  </si>
  <si>
    <t>Beihai narna-like virus 3</t>
  </si>
  <si>
    <t>PRJNA359301</t>
  </si>
  <si>
    <t>NC_032408.1/KX883465.1</t>
  </si>
  <si>
    <t>Paenibacillus swuensis strain DY6</t>
  </si>
  <si>
    <t>Beihai narna-like virus 18</t>
  </si>
  <si>
    <t>PRJNA359309</t>
  </si>
  <si>
    <t>NC_032485.1/KX883533.1</t>
  </si>
  <si>
    <t>Beihai narna-like virus 21</t>
  </si>
  <si>
    <t>PRJNA359305</t>
  </si>
  <si>
    <t>NC_032406.1/KX883545.1</t>
  </si>
  <si>
    <t>Beihai narna-like virus 14</t>
  </si>
  <si>
    <t>PRJNA359313</t>
  </si>
  <si>
    <t>Paenibacillus terrae HPL-003</t>
  </si>
  <si>
    <t>NC_032416.1/KX883473.1</t>
  </si>
  <si>
    <t>Wuhan pillworm virus 1</t>
  </si>
  <si>
    <t>PRJNA359329</t>
  </si>
  <si>
    <t>37.2221</t>
  </si>
  <si>
    <t>L:NC_032514.1/KX884848.1;  M:NC_032515.1/KX884849.1;  S:NC_032516.1/KX884850.1</t>
  </si>
  <si>
    <t>Shahe picorna-like virus 8</t>
  </si>
  <si>
    <t>PRJNA359337</t>
  </si>
  <si>
    <t>NC_032436.1/KX883654.1</t>
  </si>
  <si>
    <t>Palaeococcus pacificus DY20341</t>
  </si>
  <si>
    <t>Wenzhou picorna-like virus 3</t>
  </si>
  <si>
    <t>PRJNA359333</t>
  </si>
  <si>
    <t>NC_032473.1/KX884363.1</t>
  </si>
  <si>
    <t>Hubei tombus-like virus 37</t>
  </si>
  <si>
    <t>PRJNA359345</t>
  </si>
  <si>
    <t>NC_032431.1/KX883222.1</t>
  </si>
  <si>
    <t>Sanxia water strider virus 15</t>
  </si>
  <si>
    <t>PRJNA359341</t>
  </si>
  <si>
    <t>NC_032471.1/KX883175.1</t>
  </si>
  <si>
    <t>Paludibacter propionicigenes WB4</t>
  </si>
  <si>
    <t>Beihai echinoderm virus 1</t>
  </si>
  <si>
    <t>PRJNA359275</t>
  </si>
  <si>
    <t>NC_032407.1/KX883379.1</t>
  </si>
  <si>
    <t>Beihai hermit crab virus 1</t>
  </si>
  <si>
    <t>PRJNA359271</t>
  </si>
  <si>
    <t>NC_032459.1/KX883430.1</t>
  </si>
  <si>
    <t>Beihai barnacle virus 7</t>
  </si>
  <si>
    <t>Pandoraea apista strain AU2161</t>
  </si>
  <si>
    <t>PRJNA359283</t>
  </si>
  <si>
    <t>NC_032432.1/KX884411.1</t>
  </si>
  <si>
    <t>Beihai blue swimmer crab virus 3</t>
  </si>
  <si>
    <t>PRJNA359279</t>
  </si>
  <si>
    <t>NC_032465.1/KX882997.1</t>
  </si>
  <si>
    <t>Beihai picobirna-like virus 8</t>
  </si>
  <si>
    <t>PRJNA359287</t>
  </si>
  <si>
    <t>35.9579</t>
  </si>
  <si>
    <t>1:NC_032503.1/KX884065.1;  2:NC_032499.1/KX884064.1</t>
  </si>
  <si>
    <t>Pandoraea apista strain DSM 16535</t>
  </si>
  <si>
    <t>Beihai paphia shell virus 3</t>
  </si>
  <si>
    <t>PRJNA359291</t>
  </si>
  <si>
    <t>NC_032493.1/KX884531.1</t>
  </si>
  <si>
    <t>Beihai octopus virus 1</t>
  </si>
  <si>
    <t>PRJNA359295</t>
  </si>
  <si>
    <t>NC_032469.1/KX884503.1</t>
  </si>
  <si>
    <t>Beihai narna-like virus 6</t>
  </si>
  <si>
    <t>PRJNA359299</t>
  </si>
  <si>
    <t>NC_032452.1/KX883503.1</t>
  </si>
  <si>
    <t>Pandoraea apista strain TF80G25</t>
  </si>
  <si>
    <t>Beihai narna-like virus 24</t>
  </si>
  <si>
    <t>PRJNA359303</t>
  </si>
  <si>
    <t>NC_032450.1/KX883500.1</t>
  </si>
  <si>
    <t>Beihai narna-like virus 2</t>
  </si>
  <si>
    <t>PRJNA359307</t>
  </si>
  <si>
    <t>NC_032466.1/KX883512.1</t>
  </si>
  <si>
    <t>Beihai narna-like virus 16</t>
  </si>
  <si>
    <t>PRJNA359311</t>
  </si>
  <si>
    <t>NC_032415.1/KX883472.1</t>
  </si>
  <si>
    <t>Zhejiang mosquito virus 3</t>
  </si>
  <si>
    <t>PRJNA359327</t>
  </si>
  <si>
    <t>Pandoraea apista TF81F4</t>
  </si>
  <si>
    <t>NC_032491.1/KX883538.1</t>
  </si>
  <si>
    <t>Wenzhou toti-like virus 1</t>
  </si>
  <si>
    <t>PRJNA359331</t>
  </si>
  <si>
    <t>NC_032462.1/KX882995.1</t>
  </si>
  <si>
    <t>Wenling picorna-like virus 2</t>
  </si>
  <si>
    <t>PRJNA359335</t>
  </si>
  <si>
    <t>NC_032429.1/KX884319.1</t>
  </si>
  <si>
    <t>Pandoraea faecigallinarum strain DSM 23572</t>
  </si>
  <si>
    <t>Shahe heteroptera virus 2</t>
  </si>
  <si>
    <t>PRJNA359339</t>
  </si>
  <si>
    <t>NC_032435.1/KX883987.1</t>
  </si>
  <si>
    <t>Hubei virga-like virus 18</t>
  </si>
  <si>
    <t>PRJNA359343</t>
  </si>
  <si>
    <t>NC_032472.1/KX883767.1</t>
  </si>
  <si>
    <t>Hubei tombus-like virus 32</t>
  </si>
  <si>
    <t>PRJNA359347</t>
  </si>
  <si>
    <t>NC_032419.1/KX883213.1</t>
  </si>
  <si>
    <t>Beihai barnacle virus 3</t>
  </si>
  <si>
    <t>Pandoraea norimbergensis strain DSM 11628</t>
  </si>
  <si>
    <t>PRJNA359238</t>
  </si>
  <si>
    <t>NC_032444.1/KX883749.1</t>
  </si>
  <si>
    <t>Beihai barnacle virus 11</t>
  </si>
  <si>
    <t>PRJNA359242</t>
  </si>
  <si>
    <t>53.013</t>
  </si>
  <si>
    <t>1:NC_032520.1/KX883036.1;  2:NC_032517.1/KX883037.1</t>
  </si>
  <si>
    <t>Bastrovirus/VietNam/Rat/16715_10</t>
  </si>
  <si>
    <t>PRJNA359250</t>
  </si>
  <si>
    <t>NC_032484.1/KX907129.1</t>
  </si>
  <si>
    <t>Pandoraea oxalativorans strain DSM-23570</t>
  </si>
  <si>
    <t>Beihai Nido-like virus 2</t>
  </si>
  <si>
    <t>PRJNA359246</t>
  </si>
  <si>
    <t>NC_032492.1/KX883628.1</t>
  </si>
  <si>
    <t>Bermuda grass latent virus</t>
  </si>
  <si>
    <t>PRJNA359254</t>
  </si>
  <si>
    <t>NC_032405.1/KX758441.1</t>
  </si>
  <si>
    <t>Beihai narna-like virus 10</t>
  </si>
  <si>
    <t>PRJNA359258</t>
  </si>
  <si>
    <t>Pandoraea pnomenusa 3kgm</t>
  </si>
  <si>
    <t>NC_032463.1/KX883510.1</t>
  </si>
  <si>
    <t>Beihai mantis shrimp virus 5</t>
  </si>
  <si>
    <t>PRJNA359262</t>
  </si>
  <si>
    <t>NC_032434.1/KX884465.1</t>
  </si>
  <si>
    <t>Beihai mantis shrimp virus 1</t>
  </si>
  <si>
    <t>PRJNA359266</t>
  </si>
  <si>
    <t>NC_032445.1/KX883751.1</t>
  </si>
  <si>
    <t>Beihai hermit crab virus 3</t>
  </si>
  <si>
    <t>PRJNA359270</t>
  </si>
  <si>
    <t>Pandoraea pnomenusa strain DSM-16536</t>
  </si>
  <si>
    <t>NC_032417.1/KX884404.1</t>
  </si>
  <si>
    <t>Beihai hepe-like virus 10</t>
  </si>
  <si>
    <t>PRJNA359274</t>
  </si>
  <si>
    <t>NC_032451.1/KX883757.1</t>
  </si>
  <si>
    <t>Beihai charybdis crab virus 1</t>
  </si>
  <si>
    <t>PRJNA359278</t>
  </si>
  <si>
    <t>NC_032449.1/KX883753.1</t>
  </si>
  <si>
    <t>Pandoraea pnomenusa strain MCB032</t>
  </si>
  <si>
    <t>Beihai barnacle virus 8</t>
  </si>
  <si>
    <t>PRJNA359282</t>
  </si>
  <si>
    <t>NC_032430.1/KX884410.1</t>
  </si>
  <si>
    <t>Hubei tombus-like virus 16</t>
  </si>
  <si>
    <t>PRJNA359286</t>
  </si>
  <si>
    <t>NC_032453.1/KX883165.1</t>
  </si>
  <si>
    <t>Beihai paphia shell virus 4</t>
  </si>
  <si>
    <t>PRJNA359290</t>
  </si>
  <si>
    <t>Pandoraea pnomenusa strain RB38</t>
  </si>
  <si>
    <t>NC_032495.1/KX884532.1</t>
  </si>
  <si>
    <t>Beihai octopus virus 2</t>
  </si>
  <si>
    <t>PRJNA359294</t>
  </si>
  <si>
    <t>NC_032482.1/KX884520.1</t>
  </si>
  <si>
    <t>Beihai narna-like virus 8</t>
  </si>
  <si>
    <t>PRJNA359298</t>
  </si>
  <si>
    <t>NC_032461.1/KX883509.1</t>
  </si>
  <si>
    <t>Pandoraea pulmonicola DSM 16583</t>
  </si>
  <si>
    <t>Beihai narna-like virus 20</t>
  </si>
  <si>
    <t>PRJNA359306</t>
  </si>
  <si>
    <t>NC_032468.1/KX883514.1</t>
  </si>
  <si>
    <t>Beihai narna-like virus 26</t>
  </si>
  <si>
    <t>PRJNA359302</t>
  </si>
  <si>
    <t>NC_032410.1/KX883467.1</t>
  </si>
  <si>
    <t>Beihai narna-like virus 17</t>
  </si>
  <si>
    <t>PRJNA359310</t>
  </si>
  <si>
    <t>NC_032497.1/KX883544.1</t>
  </si>
  <si>
    <t>narna-like virus 6</t>
  </si>
  <si>
    <t>PRJNA359326</t>
  </si>
  <si>
    <t>NC_032440.1/KX883577.1</t>
  </si>
  <si>
    <t>Pandoraea sputorum DSM 21091</t>
  </si>
  <si>
    <t>Wenzhou narna-like virus 4</t>
  </si>
  <si>
    <t>PRJNA359334</t>
  </si>
  <si>
    <t>NC_032487.1/KX883625.1</t>
  </si>
  <si>
    <t>Wuhan heteroptera virus 3</t>
  </si>
  <si>
    <t>PRJNA359330</t>
  </si>
  <si>
    <t>29.5522</t>
  </si>
  <si>
    <t>1:NC_032504.1/KX884721.1;  2:NC_032510.1/KX884722.1;  3:NC_032505.1/KX884723.1;  4:NC_032506.1/KX884724.1;  5:NC_032511.1/KX884725.1;  6:NC_032507.1/KX884726.1;  7:NC_032512.1/KX884727.1;  8:NC_032508.1/KX884728.1;  9:NC_032509.1/KX884729.1;  10:NC_032513.1/KX884730.1</t>
  </si>
  <si>
    <t>Shahe isopoda virus 5</t>
  </si>
  <si>
    <t>PRJNA359338</t>
  </si>
  <si>
    <t>Pandoraea thiooxydans strain DSM 25325</t>
  </si>
  <si>
    <t>NC_032443.1/KX883154.1</t>
  </si>
  <si>
    <t>Sanxia tombus-like virus 7</t>
  </si>
  <si>
    <t>PRJNA359342</t>
  </si>
  <si>
    <t>NC_032474.1/KX883177.1</t>
  </si>
  <si>
    <t>Hubei tombus-like virus 34</t>
  </si>
  <si>
    <t>PRJNA359346</t>
  </si>
  <si>
    <t>NC_032425.1/KX883218.1</t>
  </si>
  <si>
    <t>Hubei narna-like virus 24</t>
  </si>
  <si>
    <t>PRJNA357859</t>
  </si>
  <si>
    <t>Pandoraea vervacti strain NS15</t>
  </si>
  <si>
    <t>NC_032121.1/KX883547.1</t>
  </si>
  <si>
    <t>Beihai sesarmid crab virus 1</t>
  </si>
  <si>
    <t>PRJNA359809</t>
  </si>
  <si>
    <t>NC_032534.1/KX883967.1</t>
  </si>
  <si>
    <t>Beihai sea slater virus 1</t>
  </si>
  <si>
    <t>PRJNA359813</t>
  </si>
  <si>
    <t>NC_032624.1/KX883359.1</t>
  </si>
  <si>
    <t>Beihai rhabdo-like virus 2</t>
  </si>
  <si>
    <t>PRJNA359817</t>
  </si>
  <si>
    <t>Pannonibacter phragmitetus strain 31801</t>
  </si>
  <si>
    <t>NC_032558.1/KX884413.1</t>
  </si>
  <si>
    <t>Beihai picorna-like virus 87</t>
  </si>
  <si>
    <t>PRJNA359825</t>
  </si>
  <si>
    <t>NC_032644.1/KX883378.1</t>
  </si>
  <si>
    <t>Beihai picorna-like virus 93</t>
  </si>
  <si>
    <t>PRJNA359821</t>
  </si>
  <si>
    <t>NC_032588.1/KX883328.1</t>
  </si>
  <si>
    <t>Beihai picorna-like virus 82</t>
  </si>
  <si>
    <t>Pantoea agglomerans strain FDAARGOS_160</t>
  </si>
  <si>
    <t>PRJNA359829</t>
  </si>
  <si>
    <t>NC_032642.1/KX884390.1</t>
  </si>
  <si>
    <t>Beihai picorna-like virus 79</t>
  </si>
  <si>
    <t>PRJNA359833</t>
  </si>
  <si>
    <t>NC_032600.1/KX883338.1</t>
  </si>
  <si>
    <t>Beihai picorna-like virus 72</t>
  </si>
  <si>
    <t>PRJNA359837</t>
  </si>
  <si>
    <t>NC_032608.1/KX883344.1</t>
  </si>
  <si>
    <t>Pantoea ananatis AJ13355</t>
  </si>
  <si>
    <t>Beihai picorna-like virus 68</t>
  </si>
  <si>
    <t>PRJNA359841</t>
  </si>
  <si>
    <t>NC_032577.1/KX883899.1</t>
  </si>
  <si>
    <t>Beihai picorna-like virus 19</t>
  </si>
  <si>
    <t>PRJNA359849</t>
  </si>
  <si>
    <t>NC_032630.1/KX883364.1</t>
  </si>
  <si>
    <t>Beihai picorna-like virus 64</t>
  </si>
  <si>
    <t>PRJNA359845</t>
  </si>
  <si>
    <t>Pantoea ananatis LMG 20103</t>
  </si>
  <si>
    <t>NC_032530.1/KX883382.1</t>
  </si>
  <si>
    <t>Beihai picorna-like virus 14</t>
  </si>
  <si>
    <t>PRJNA359853</t>
  </si>
  <si>
    <t>NC_032612.1/KX883348.1</t>
  </si>
  <si>
    <t>Beihai picorna-like virus 122</t>
  </si>
  <si>
    <t>PRJNA359857</t>
  </si>
  <si>
    <t>NC_032631.1/KX884521.1</t>
  </si>
  <si>
    <t>Pantoea ananatis LMG 5342</t>
  </si>
  <si>
    <t>Beihai sea slater virus 3</t>
  </si>
  <si>
    <t>PRJNA359811</t>
  </si>
  <si>
    <t>NC_032536.1/KX882945.1</t>
  </si>
  <si>
    <t>Beihai sesarmid crab virus 7</t>
  </si>
  <si>
    <t>PRJNA359807</t>
  </si>
  <si>
    <t>NC_032566.1/KX882970.1</t>
  </si>
  <si>
    <t>Beihai razor shell virus 4</t>
  </si>
  <si>
    <t>PRJNA359819</t>
  </si>
  <si>
    <t>NC_032540.1/KX882949.1</t>
  </si>
  <si>
    <t>Pantoea ananatis PA13</t>
  </si>
  <si>
    <t>Beihai rhabdo-like virus 5</t>
  </si>
  <si>
    <t>PRJNA359815</t>
  </si>
  <si>
    <t>NC_032544.1/KX884407.1</t>
  </si>
  <si>
    <t>Beihai picorna-like virus 84</t>
  </si>
  <si>
    <t>PRJNA359827</t>
  </si>
  <si>
    <t>NC_032580.1/KX883413.1</t>
  </si>
  <si>
    <t>Beihai picorna-like virus 90</t>
  </si>
  <si>
    <t>PRJNA359823</t>
  </si>
  <si>
    <t>NC_032595.1/KX883424.1</t>
  </si>
  <si>
    <t>Pantoea ananatis strain R100</t>
  </si>
  <si>
    <t>Beihai picorna-like virus 80</t>
  </si>
  <si>
    <t>PRJNA359831</t>
  </si>
  <si>
    <t>NC_032582.1/KX884478.1</t>
  </si>
  <si>
    <t>Beihai picorna-like virus 7</t>
  </si>
  <si>
    <t>PRJNA359839</t>
  </si>
  <si>
    <t>NC_032552.1/KX883403.1</t>
  </si>
  <si>
    <t>Pantoea rwandensis ND04</t>
  </si>
  <si>
    <t>Beihai picorna-like virus 75</t>
  </si>
  <si>
    <t>PRJNA359835</t>
  </si>
  <si>
    <t>NC_032529.1/KX883381.1</t>
  </si>
  <si>
    <t>Beihai picorna-like virus 66</t>
  </si>
  <si>
    <t>PRJNA359843</t>
  </si>
  <si>
    <t>NC_032621.1/KX883357.1</t>
  </si>
  <si>
    <t>Beihai picorna-like virus 20</t>
  </si>
  <si>
    <t>PRJNA359847</t>
  </si>
  <si>
    <t>NC_032632.1/KX883365.1</t>
  </si>
  <si>
    <t>Pantoea sp. At-9b</t>
  </si>
  <si>
    <t>Beihai picorna-like virus 17</t>
  </si>
  <si>
    <t>PRJNA359851</t>
  </si>
  <si>
    <t>NC_032613.1/KX884505.1</t>
  </si>
  <si>
    <t>Beihai picorna-like virus 124</t>
  </si>
  <si>
    <t>PRJNA359855</t>
  </si>
  <si>
    <t>NC_032592.1/KX883331.1</t>
  </si>
  <si>
    <t>Pantoea sp. PSNIH1</t>
  </si>
  <si>
    <t>Beihai picorna-like virus 116</t>
  </si>
  <si>
    <t>PRJNA359863</t>
  </si>
  <si>
    <t>NC_032635.1/KX884385.1</t>
  </si>
  <si>
    <t>Beihai picorna-like virus 120</t>
  </si>
  <si>
    <t>PRJNA359859</t>
  </si>
  <si>
    <t>NC_032574.1/KX883411.1</t>
  </si>
  <si>
    <t>Beihai picorna-like virus 112</t>
  </si>
  <si>
    <t>PRJNA359867</t>
  </si>
  <si>
    <t>Pantoea sp. PSNIH2</t>
  </si>
  <si>
    <t>NC_032571.1/KX884473.1</t>
  </si>
  <si>
    <t>Beihai picorna-like virus 108</t>
  </si>
  <si>
    <t>PRJNA359871</t>
  </si>
  <si>
    <t>NC_032583.1/KX883414.1</t>
  </si>
  <si>
    <t>Beihai picorna-like virus 104</t>
  </si>
  <si>
    <t>PRJNA359875</t>
  </si>
  <si>
    <t>NC_032601.1/KX884494.1</t>
  </si>
  <si>
    <t>Pantoea vagans C9-1</t>
  </si>
  <si>
    <t>Beihai picorna-like virus 6</t>
  </si>
  <si>
    <t>PRJNA359879</t>
  </si>
  <si>
    <t>NC_032542.1/KX883393.1</t>
  </si>
  <si>
    <t>Beihai sea slater virus 4</t>
  </si>
  <si>
    <t>PRJNA359810</t>
  </si>
  <si>
    <t>NC_032567.1/KX883746.1</t>
  </si>
  <si>
    <t>Beihai rhabdo-like virus 6</t>
  </si>
  <si>
    <t>Parabacteroides distasonis ATCC 8503</t>
  </si>
  <si>
    <t>PRJNA359814</t>
  </si>
  <si>
    <t>NC_032541.1/KX884405.1</t>
  </si>
  <si>
    <t>Beihai rhabdo-like virus 1</t>
  </si>
  <si>
    <t>PRJNA359818</t>
  </si>
  <si>
    <t>NC_032555.1/KX884412.1</t>
  </si>
  <si>
    <t>Beihai picorna-like virus 91</t>
  </si>
  <si>
    <t>PRJNA359822</t>
  </si>
  <si>
    <t>NC_032638.1/KX883372.1</t>
  </si>
  <si>
    <t>Paraburkholderia caribensis strain Bcrs1W</t>
  </si>
  <si>
    <t>Beihai picorna-like virus 85</t>
  </si>
  <si>
    <t>PRJNA359826</t>
  </si>
  <si>
    <t>NC_032610.1/KX883346.1</t>
  </si>
  <si>
    <t>Beihai picorna-like virus 81</t>
  </si>
  <si>
    <t>PRJNA359830</t>
  </si>
  <si>
    <t>NC_032584.1/KX883904.1</t>
  </si>
  <si>
    <t>Beihai picorna-like virus 77</t>
  </si>
  <si>
    <t>PRJNA359834</t>
  </si>
  <si>
    <t>Parachlamydia acanthamoebae UV-7</t>
  </si>
  <si>
    <t>NC_032551.1/KX883310.1</t>
  </si>
  <si>
    <t>Beihai picorna-like virus 71</t>
  </si>
  <si>
    <t>PRJNA359838</t>
  </si>
  <si>
    <t>NC_032562.1/KX884469.1</t>
  </si>
  <si>
    <t>Beihai picorna-like virus 67</t>
  </si>
  <si>
    <t>PRJNA359842</t>
  </si>
  <si>
    <t>NC_032626.1/KX884516.1</t>
  </si>
  <si>
    <t>Paracoccus aminophilus JCM 7686</t>
  </si>
  <si>
    <t>Beihai picorna-like virus 63</t>
  </si>
  <si>
    <t>PRJNA359846</t>
  </si>
  <si>
    <t>NC_032590.1/KX883419.1</t>
  </si>
  <si>
    <t>Beihai picorna-like virus 18</t>
  </si>
  <si>
    <t>PRJNA359850</t>
  </si>
  <si>
    <t>NC_032569.1/KX883409.1</t>
  </si>
  <si>
    <t>Beihai picorna-like virus 125</t>
  </si>
  <si>
    <t>PRJNA359854</t>
  </si>
  <si>
    <t>NC_032611.1/KX884504.1</t>
  </si>
  <si>
    <t>Paracoccus denitrificans PD1222</t>
  </si>
  <si>
    <t>Beihai picorna-like virus 121</t>
  </si>
  <si>
    <t>PRJNA359858</t>
  </si>
  <si>
    <t>NC_032625.1/KX883360.1</t>
  </si>
  <si>
    <t>Beihai picorna-like virus 117</t>
  </si>
  <si>
    <t>PRJNA359862</t>
  </si>
  <si>
    <t>NC_032533.1/KX883384.1</t>
  </si>
  <si>
    <t>Beihai picorna-like virus 113</t>
  </si>
  <si>
    <t>PRJNA359866</t>
  </si>
  <si>
    <t>Paracoccus denitrificans SD1</t>
  </si>
  <si>
    <t>NC_032559.1/KX884468.1</t>
  </si>
  <si>
    <t>Beihai picorna-like virus 11</t>
  </si>
  <si>
    <t>PRJNA359870</t>
  </si>
  <si>
    <t>NC_032629.1/KX884519.1</t>
  </si>
  <si>
    <t>Beihai picorna-like virus 105</t>
  </si>
  <si>
    <t>PRJNA359874</t>
  </si>
  <si>
    <t>NC_032604.1/KX883341.1</t>
  </si>
  <si>
    <t>Paraglaciecola psychrophila 170</t>
  </si>
  <si>
    <t>Beihai picorna-like virus 60</t>
  </si>
  <si>
    <t>PRJNA359878</t>
  </si>
  <si>
    <t>NC_032546.1/KX883305.1</t>
  </si>
  <si>
    <t>Beihai picorna-like virus 55</t>
  </si>
  <si>
    <t>PRJNA359882</t>
  </si>
  <si>
    <t>NC_032548.1/KX883306.1</t>
  </si>
  <si>
    <t>Beihai picorna-like virus 50</t>
  </si>
  <si>
    <t>PRJNA359886</t>
  </si>
  <si>
    <t>Parascardovia denticolens DSM 10105 = JCM 12538</t>
  </si>
  <si>
    <t>NC_032591.1/KX884484.1</t>
  </si>
  <si>
    <t>Beihai razor shell virus 2</t>
  </si>
  <si>
    <t>PRJNA359891</t>
  </si>
  <si>
    <t>NC_032560.1/KX883314.1</t>
  </si>
  <si>
    <t>Beihai picorna-like virus 49</t>
  </si>
  <si>
    <t>PRJNA359895</t>
  </si>
  <si>
    <t>NC_032585.1/KX884480.1</t>
  </si>
  <si>
    <t>Beihai sesarmid crab virus 2</t>
  </si>
  <si>
    <t>PRJNA359808</t>
  </si>
  <si>
    <t>NC_032641.1/KX883959.1</t>
  </si>
  <si>
    <t>Parvibaculum lavamentivorans DS-1</t>
  </si>
  <si>
    <t>Beihai sea slater virus 2</t>
  </si>
  <si>
    <t>PRJNA359812</t>
  </si>
  <si>
    <t>NC_032622.1/KX883358.1</t>
  </si>
  <si>
    <t>Beihai rhabdo-like virus 4</t>
  </si>
  <si>
    <t>PRJNA359816</t>
  </si>
  <si>
    <t>NC_032543.1/KX884406.1</t>
  </si>
  <si>
    <t>Beihai razor shell virus 3</t>
  </si>
  <si>
    <t>Parvimonas micra KCOM 1535; ChDC B708</t>
  </si>
  <si>
    <t>PRJNA359820</t>
  </si>
  <si>
    <t>NC_032570.1/KX882798.1</t>
  </si>
  <si>
    <t>Beihai picorna-like virus 83</t>
  </si>
  <si>
    <t>PRJNA359828</t>
  </si>
  <si>
    <t>NC_032598.1/KX883427.1</t>
  </si>
  <si>
    <t>Beihai picorna-like virus 9</t>
  </si>
  <si>
    <t>PRJNA359824</t>
  </si>
  <si>
    <t>NC_032597.1/KX883336.1</t>
  </si>
  <si>
    <t>Parvularcula bermudensis HTCC2503</t>
  </si>
  <si>
    <t>Beihai picorna-like virus 8</t>
  </si>
  <si>
    <t>PRJNA359832</t>
  </si>
  <si>
    <t>NC_032549.1/KX883401.1</t>
  </si>
  <si>
    <t>Beihai picorna-like virus 69</t>
  </si>
  <si>
    <t>PRJNA359840</t>
  </si>
  <si>
    <t>NC_032578.1/KX883900.1</t>
  </si>
  <si>
    <t>Beihai picorna-like virus 74</t>
  </si>
  <si>
    <t>PRJNA359836</t>
  </si>
  <si>
    <t>NC_032614.1/KX883349.1</t>
  </si>
  <si>
    <t>Pasteurella multocida 36950</t>
  </si>
  <si>
    <t>Beihai picorna-like virus 65</t>
  </si>
  <si>
    <t>PRJNA359844</t>
  </si>
  <si>
    <t>NC_032634.1/KX884523.1</t>
  </si>
  <si>
    <t>Beihai picorna-like virus 16</t>
  </si>
  <si>
    <t>PRJNA359852</t>
  </si>
  <si>
    <t>NC_032607.1/KX883343.1</t>
  </si>
  <si>
    <t>Beihai picorna-like virus 2</t>
  </si>
  <si>
    <t>PRJNA359848</t>
  </si>
  <si>
    <t>Pasteurella multocida OH1905</t>
  </si>
  <si>
    <t>NC_032537.1/KX883387.1</t>
  </si>
  <si>
    <t>Beihai picorna-like virus 123</t>
  </si>
  <si>
    <t>PRJNA359856</t>
  </si>
  <si>
    <t>NC_032602.1/KX883340.1</t>
  </si>
  <si>
    <t>Beihai picorna-like virus 119</t>
  </si>
  <si>
    <t>PRJNA359860</t>
  </si>
  <si>
    <t>NC_032532.1/KX883383.1</t>
  </si>
  <si>
    <t>Pasteurella multocida strain ATCC 43137</t>
  </si>
  <si>
    <t>Beihai picorna-like virus 115</t>
  </si>
  <si>
    <t>PRJNA359864</t>
  </si>
  <si>
    <t>NC_032618.1/KX883353.1</t>
  </si>
  <si>
    <t>Beihai picorna-like virus 111</t>
  </si>
  <si>
    <t>PRJNA359868</t>
  </si>
  <si>
    <t>NC_032568.1/KX883317.1</t>
  </si>
  <si>
    <t>Beihai picorna-like virus 118</t>
  </si>
  <si>
    <t>PRJNA359861</t>
  </si>
  <si>
    <t>Pasteurella multocida subsp. gallicida P1059</t>
  </si>
  <si>
    <t>NC_032605.1/KX883342.1</t>
  </si>
  <si>
    <t>Beihai picorna-like virus 114</t>
  </si>
  <si>
    <t>PRJNA359865</t>
  </si>
  <si>
    <t>NC_032633.1/KX884522.1</t>
  </si>
  <si>
    <t>Beihai picorna-like virus 110</t>
  </si>
  <si>
    <t>PRJNA359869</t>
  </si>
  <si>
    <t>NC_032564.1/KX884470.1</t>
  </si>
  <si>
    <t>Pasteurella multocida subsp. gallicida X73</t>
  </si>
  <si>
    <t>Beihai picorna-like virus 61</t>
  </si>
  <si>
    <t>PRJNA359877</t>
  </si>
  <si>
    <t>NC_032556.1/KX883313.1</t>
  </si>
  <si>
    <t>Beihai picorna-like virus 106</t>
  </si>
  <si>
    <t>PRJNA359873</t>
  </si>
  <si>
    <t>NC_032627.1/KX884517.1</t>
  </si>
  <si>
    <t>Beihai picorna-like virus 56</t>
  </si>
  <si>
    <t>PRJNA359881</t>
  </si>
  <si>
    <t>Pasteurella multocida subsp. multocida HB01</t>
  </si>
  <si>
    <t>NC_032637.1/KX884529.1</t>
  </si>
  <si>
    <t>Beihai picorna-like virus 1</t>
  </si>
  <si>
    <t>PRJNA359890</t>
  </si>
  <si>
    <t>NC_032587.1/KX884481.1</t>
  </si>
  <si>
    <t>Beihai picorna-like virus 51</t>
  </si>
  <si>
    <t>PRJNA359885</t>
  </si>
  <si>
    <t>NC_032640.1/KX883958.1</t>
  </si>
  <si>
    <t>Beihai picorna-like virus 96</t>
  </si>
  <si>
    <t>Pasteurella multocida subsp. multocida OH4807</t>
  </si>
  <si>
    <t>PRJNA359894</t>
  </si>
  <si>
    <t>NC_032581.1/KX883901.1</t>
  </si>
  <si>
    <t>Beihai picorna-like virus 46</t>
  </si>
  <si>
    <t>PRJNA359898</t>
  </si>
  <si>
    <t>NC_032599.1/KX884493.1</t>
  </si>
  <si>
    <t>Beihai picorna-like virus 41</t>
  </si>
  <si>
    <t>PRJNA359902</t>
  </si>
  <si>
    <t>NC_032643.1/KX883376.1</t>
  </si>
  <si>
    <t>Pasteurella multocida subsp. multocida PMTB2.1</t>
  </si>
  <si>
    <t>Beihai picorna-like virus 33</t>
  </si>
  <si>
    <t>PRJNA359906</t>
  </si>
  <si>
    <t>NC_032639.1/KX884530.1</t>
  </si>
  <si>
    <t>Beihai picorna-like virus 27</t>
  </si>
  <si>
    <t>PRJNA359910</t>
  </si>
  <si>
    <t>NC_032547.1/KX883399.1</t>
  </si>
  <si>
    <t>Beihai sobemo-like virus 11</t>
  </si>
  <si>
    <t>PRJNA359914</t>
  </si>
  <si>
    <t>NC_032575.1/KX882800.1</t>
  </si>
  <si>
    <t>Pasteurella multocida subsp. multocida str. 3480</t>
  </si>
  <si>
    <t>Beihai sipunculid worm virus 4</t>
  </si>
  <si>
    <t>PRJNA359918</t>
  </si>
  <si>
    <t>NC_032596.1/KX884491.1</t>
  </si>
  <si>
    <t>Beihai shrimp virus 6</t>
  </si>
  <si>
    <t>PRJNA359922</t>
  </si>
  <si>
    <t>49.7087</t>
  </si>
  <si>
    <t>1:NC_032647.1/KX883022.1;  2:NC_032648.1/KX883023.1</t>
  </si>
  <si>
    <t>Beihai shrimp virus 1</t>
  </si>
  <si>
    <t>PRJNA359926</t>
  </si>
  <si>
    <t>Pasteurella multocida subsp. multocida str. HB03</t>
  </si>
  <si>
    <t>NC_032579.1/KX883324.1</t>
  </si>
  <si>
    <t>Beihai picorna-like virus 54</t>
  </si>
  <si>
    <t>PRJNA359883</t>
  </si>
  <si>
    <t>NC_032563.1/KX883407.1</t>
  </si>
  <si>
    <t>Beihai picorna-like virus 101</t>
  </si>
  <si>
    <t>PRJNA359888</t>
  </si>
  <si>
    <t>NC_032589.1/KX883329.1</t>
  </si>
  <si>
    <t>Beihai razor shell virus 1</t>
  </si>
  <si>
    <t>PRJNA359892</t>
  </si>
  <si>
    <t>Pasteurella multocida subsp. multocida str. HN06</t>
  </si>
  <si>
    <t>NC_032593.1/KX884486.1</t>
  </si>
  <si>
    <t>Beihai picorna-like virus 48</t>
  </si>
  <si>
    <t>PRJNA359896</t>
  </si>
  <si>
    <t>NC_032606.1/KX884498.1</t>
  </si>
  <si>
    <t>Beihai picorna-like virus 44</t>
  </si>
  <si>
    <t>PRJNA359900</t>
  </si>
  <si>
    <t>NC_032553.1/KX884466.1</t>
  </si>
  <si>
    <t>Beihai picorna-like virus 4</t>
  </si>
  <si>
    <t>PRJNA359904</t>
  </si>
  <si>
    <t>NC_032619.1/KX884510.1</t>
  </si>
  <si>
    <t>Beihai picorna-like virus 30</t>
  </si>
  <si>
    <t>PRJNA359908</t>
  </si>
  <si>
    <t>NC_032550.1/KX883402.1</t>
  </si>
  <si>
    <t>Beihai picorna-like virus 23</t>
  </si>
  <si>
    <t>Pasteurella multocida subsp. multocida str. Pm70</t>
  </si>
  <si>
    <t>PRJNA359912</t>
  </si>
  <si>
    <t>NC_032636.1/KX884386.1</t>
  </si>
  <si>
    <t>Beihai sipunculid worm virus 2</t>
  </si>
  <si>
    <t>PRJNA359920</t>
  </si>
  <si>
    <t>NC_032554.1/KX883404.1</t>
  </si>
  <si>
    <t>Beihai shrimp virus 4</t>
  </si>
  <si>
    <t>PRJNA359924</t>
  </si>
  <si>
    <t>NC_032561.1/KX882795.1</t>
  </si>
  <si>
    <t>Beihai sipunculid worm virus 6</t>
  </si>
  <si>
    <t>PRJNA359916</t>
  </si>
  <si>
    <t>NC_032616.1/KX883005.1</t>
  </si>
  <si>
    <t>Beihai picorna-like virus 45</t>
  </si>
  <si>
    <t>PRJNA359899</t>
  </si>
  <si>
    <t>NC_032603.1/KX884496.1</t>
  </si>
  <si>
    <t>Beihai picorna-like virus 40</t>
  </si>
  <si>
    <t>PRJNA359903</t>
  </si>
  <si>
    <t>Paucibacter sp. KCTC 42545</t>
  </si>
  <si>
    <t>NC_032535.1/KX883385.1</t>
  </si>
  <si>
    <t>Beihai picorna-like virus 32</t>
  </si>
  <si>
    <t>PRJNA359907</t>
  </si>
  <si>
    <t>NC_032545.1/KX883397.1</t>
  </si>
  <si>
    <t>Beihai picorna-like virus 24</t>
  </si>
  <si>
    <t>PRJNA359911</t>
  </si>
  <si>
    <t>NC_032615.1/KX884507.1</t>
  </si>
  <si>
    <t>Pectobacterium atrosepticum SCRI1043</t>
  </si>
  <si>
    <t>Beihai sobemo-like virus 1</t>
  </si>
  <si>
    <t>PRJNA359915</t>
  </si>
  <si>
    <t>NC_032586.1/KX882805.1</t>
  </si>
  <si>
    <t>Beihai sipunculid worm virus 3</t>
  </si>
  <si>
    <t>PRJNA359919</t>
  </si>
  <si>
    <t>NC_032609.1/KX884501.1</t>
  </si>
  <si>
    <t>Beihai picorna-like virus 107</t>
  </si>
  <si>
    <t>PRJNA359872</t>
  </si>
  <si>
    <t>NC_032617.1/KX884508.1</t>
  </si>
  <si>
    <t>Pectobacterium atrosepticum strain 21a</t>
  </si>
  <si>
    <t>Beihai shrimp virus 5</t>
  </si>
  <si>
    <t>PRJNA359923</t>
  </si>
  <si>
    <t>42.5121</t>
  </si>
  <si>
    <t>1:NC_032645.1/KX882792.1;  2:NC_032646.1/KX882793.1</t>
  </si>
  <si>
    <t>Beihai picorna-like virus 102</t>
  </si>
  <si>
    <t>PRJNA359876</t>
  </si>
  <si>
    <t>NC_032576.1/KX884475.1</t>
  </si>
  <si>
    <t>Beihai picorna-like virus 100</t>
  </si>
  <si>
    <t>Pectobacterium atrosepticum strain JG10-08</t>
  </si>
  <si>
    <t>PRJNA359889</t>
  </si>
  <si>
    <t>NC_032539.1/KX883389.1</t>
  </si>
  <si>
    <t>Beihai picorna-like virus 58</t>
  </si>
  <si>
    <t>PRJNA359880</t>
  </si>
  <si>
    <t>NC_032573.1/KX883320.1</t>
  </si>
  <si>
    <t>Beihai picorna-like virus 52</t>
  </si>
  <si>
    <t>PRJNA359884</t>
  </si>
  <si>
    <t>NC_032557.1/KX883405.1</t>
  </si>
  <si>
    <t>Pectobacterium carotovorum subsp. carotovorum PC1</t>
  </si>
  <si>
    <t>Beihai picorna-like virus 99</t>
  </si>
  <si>
    <t>PRJNA359893</t>
  </si>
  <si>
    <t>NC_032628.1/KX883362.1</t>
  </si>
  <si>
    <t>Beihai picorna-like virus 47</t>
  </si>
  <si>
    <t>PRJNA359897</t>
  </si>
  <si>
    <t>NC_032531.1/KX883965.1</t>
  </si>
  <si>
    <t>Beihai picorna-like virus 42</t>
  </si>
  <si>
    <t>PRJNA359901</t>
  </si>
  <si>
    <t>NC_032528.1/KX883963.1</t>
  </si>
  <si>
    <t>Pectobacterium carotovorum subsp. carotovorum PCC21</t>
  </si>
  <si>
    <t>Beihai picorna-like virus 39</t>
  </si>
  <si>
    <t>PRJNA359905</t>
  </si>
  <si>
    <t>NC_032572.1/KX883410.1</t>
  </si>
  <si>
    <t>Beihai picorna-like virus 28</t>
  </si>
  <si>
    <t>PRJNA359909</t>
  </si>
  <si>
    <t>NC_032620.1/KX884511.1</t>
  </si>
  <si>
    <t>Beihai sipunculid worm virus 5</t>
  </si>
  <si>
    <t>PRJNA359917</t>
  </si>
  <si>
    <t>NC_032565.1/KX883408.1</t>
  </si>
  <si>
    <t>Beihai sipunculid worm virus 1</t>
  </si>
  <si>
    <t>PRJNA359921</t>
  </si>
  <si>
    <t>NC_032538.1/KX883388.1</t>
  </si>
  <si>
    <t>Pectobacterium carotovorum subsp. odoriferum strain BC S7</t>
  </si>
  <si>
    <t>Beihai picorna-like virus 21</t>
  </si>
  <si>
    <t>PRJNA359913</t>
  </si>
  <si>
    <t>NC_032623.1/KX884515.1</t>
  </si>
  <si>
    <t>Beihai shrimp virus 2</t>
  </si>
  <si>
    <t>PRJNA359925</t>
  </si>
  <si>
    <t>NC_032594.1/KX883423.1</t>
  </si>
  <si>
    <t>Beihai picorna-like virus 26</t>
  </si>
  <si>
    <t>PRJNA359363</t>
  </si>
  <si>
    <t>NC_032527.1/KX884536.1</t>
  </si>
  <si>
    <t>Tai Forest alphavirus</t>
  </si>
  <si>
    <t>PRJNA360141</t>
  </si>
  <si>
    <t>Pectobacterium sp. SCC3193</t>
  </si>
  <si>
    <t>NC_032681.1/KY303625.1</t>
  </si>
  <si>
    <t>Indian encephalitis associated cyclovirus</t>
  </si>
  <si>
    <t>PRJNA360303</t>
  </si>
  <si>
    <t>NC_032682.1/KU053483.1</t>
  </si>
  <si>
    <t>SFTS virus HB29</t>
  </si>
  <si>
    <t>PRJNA170539</t>
  </si>
  <si>
    <t>48.8164</t>
  </si>
  <si>
    <t>L:NC_018136.1/HM745930.1;  M:NC_018138.1/HM745931.1;  S:NC_018137.1/HM745932.1</t>
  </si>
  <si>
    <t>Adana virus</t>
  </si>
  <si>
    <t>PRJNA310915</t>
  </si>
  <si>
    <t>44.7142</t>
  </si>
  <si>
    <t>L:NC_029127.1/KJ939330.1;  M:NC_029128.1/KJ939331.1;  S:NC_029129.1/KJ939332.1</t>
  </si>
  <si>
    <t>Pectobacterium wasabiae WPP163</t>
  </si>
  <si>
    <t>Peanut bud necrosis virus</t>
  </si>
  <si>
    <t>PRJNA14766</t>
  </si>
  <si>
    <t>34.2014</t>
  </si>
  <si>
    <t>L:NC_003614.1/AF025538.1;  M:NC_003620.1/U42555.1;  S:NC_003619.1/U27809.1</t>
  </si>
  <si>
    <t>Cat Que virus</t>
  </si>
  <si>
    <t>PRJNA246534</t>
  </si>
  <si>
    <t>36.0604</t>
  </si>
  <si>
    <t>L:NC_024076.1/JQ675598.2;  M:NC_024074.1/JQ675599.2;  S:NC_024075.1/JQ675600.2</t>
  </si>
  <si>
    <t>Maverick-related virus strain Spezl</t>
  </si>
  <si>
    <t>PRJNA64497</t>
  </si>
  <si>
    <t>Unknown:NC_015230.1/HQ712116.1</t>
  </si>
  <si>
    <t>Pediococcus claussenii ATCC BAA-344</t>
  </si>
  <si>
    <t>Beihai tombus-like virus 19</t>
  </si>
  <si>
    <t>PRJNA360421</t>
  </si>
  <si>
    <t>Unknown:NC_032726.1/KX883038.1</t>
  </si>
  <si>
    <t>Hubei narna-like virus 25</t>
  </si>
  <si>
    <t>PRJNA360860</t>
  </si>
  <si>
    <t>Unknown:NC_032727.1/KX883546.1</t>
  </si>
  <si>
    <t>Pediococcus damnosus strain TMW 2.1532</t>
  </si>
  <si>
    <t>Adelphocoris suturalis virus</t>
  </si>
  <si>
    <t>PRJNA360992</t>
  </si>
  <si>
    <t>Unknown:NC_032728.1/KX966285.1</t>
  </si>
  <si>
    <t>Hubei tombus-like virus 27</t>
  </si>
  <si>
    <t>PRJNA361602</t>
  </si>
  <si>
    <t>Unknown:NC_033048.1/KX883171.1</t>
  </si>
  <si>
    <t>Hubei tombus-like virus 26</t>
  </si>
  <si>
    <t>PRJNA361603</t>
  </si>
  <si>
    <t>Unknown:NC_032856.1/KX883143.1</t>
  </si>
  <si>
    <t>Hubei tombus-like virus 25</t>
  </si>
  <si>
    <t>PRJNA361604</t>
  </si>
  <si>
    <t>Unknown:NC_032789.1/KX883212.1</t>
  </si>
  <si>
    <t>Hubei tombus-like virus 24</t>
  </si>
  <si>
    <t>PRJNA361605</t>
  </si>
  <si>
    <t>Pediococcus damnosus strain TMW 2.1533</t>
  </si>
  <si>
    <t>Unknown:NC_033217.1/KX883108.1</t>
  </si>
  <si>
    <t>Hubei tombus-like virus 23</t>
  </si>
  <si>
    <t>PRJNA361606</t>
  </si>
  <si>
    <t>Unknown:NC_032901.1/KX883229.1</t>
  </si>
  <si>
    <t>Hubei tombus-like virus 21</t>
  </si>
  <si>
    <t>PRJNA361608</t>
  </si>
  <si>
    <t>Unknown:NC_032970.1/KX883160.1</t>
  </si>
  <si>
    <t>Hubei tombus-like virus 20</t>
  </si>
  <si>
    <t>PRJNA361609</t>
  </si>
  <si>
    <t>Unknown:NC_032988.1/KX883163.1</t>
  </si>
  <si>
    <t>Hubei tombus-like virus 2</t>
  </si>
  <si>
    <t>PRJNA361610</t>
  </si>
  <si>
    <t>Unknown:NC_032965.1/KX883240.1</t>
  </si>
  <si>
    <t>Pediococcus damnosus strain TMW 2.1534</t>
  </si>
  <si>
    <t>Hubei tombus-like virus 19</t>
  </si>
  <si>
    <t>PRJNA361611</t>
  </si>
  <si>
    <t>Unknown:NC_032927.1/KX883232.1</t>
  </si>
  <si>
    <t>Hubei tombus-like virus 18</t>
  </si>
  <si>
    <t>PRJNA361612</t>
  </si>
  <si>
    <t>Unknown:NC_032832.1/KX883138.1</t>
  </si>
  <si>
    <t>Hubei picorna-like virus 21</t>
  </si>
  <si>
    <t>PRJNA361613</t>
  </si>
  <si>
    <t>Unknown:NC_033069.1/KX884263.1</t>
  </si>
  <si>
    <t>Hubei picorna-like virus 20</t>
  </si>
  <si>
    <t>PRJNA361614</t>
  </si>
  <si>
    <t>Unknown:NC_033000.1/KX884254.1</t>
  </si>
  <si>
    <t>Hubei picorna-like virus 2</t>
  </si>
  <si>
    <t>PRJNA361615</t>
  </si>
  <si>
    <t>Pediococcus damnosus strain TMW 2.1535</t>
  </si>
  <si>
    <t>Unknown:NC_033080.1/KX884264.1</t>
  </si>
  <si>
    <t>Hubei picorna-like virus 18</t>
  </si>
  <si>
    <t>PRJNA361616</t>
  </si>
  <si>
    <t>Unknown:NC_033119.1/KX883935.1</t>
  </si>
  <si>
    <t>Hubei picorna-like virus 78</t>
  </si>
  <si>
    <t>PRJNA361617</t>
  </si>
  <si>
    <t>Unknown:NC_033212.1/KX884283.1</t>
  </si>
  <si>
    <t>Hubei picorna-like virus 77</t>
  </si>
  <si>
    <t>PRJNA361618</t>
  </si>
  <si>
    <t>Unknown:NC_033116.1/KX884269.1</t>
  </si>
  <si>
    <t>Hubei picorna-like virus 76</t>
  </si>
  <si>
    <t>PRJNA361619</t>
  </si>
  <si>
    <t>Unknown:NC_032812.1/KX883737.1</t>
  </si>
  <si>
    <t>Pediococcus damnosus strain TMW 2.1536</t>
  </si>
  <si>
    <t>Hubei picorna-like virus 75</t>
  </si>
  <si>
    <t>PRJNA361620</t>
  </si>
  <si>
    <t>Unknown:NC_032973.1/KX884251.1</t>
  </si>
  <si>
    <t>Hubei picorna-like virus 74</t>
  </si>
  <si>
    <t>PRJNA361621</t>
  </si>
  <si>
    <t>Unknown:NC_032986.1/KX884252.1</t>
  </si>
  <si>
    <t>Hubei picorna-like virus 73</t>
  </si>
  <si>
    <t>PRJNA361622</t>
  </si>
  <si>
    <t>Unknown:NC_032797.1/KX883735.1</t>
  </si>
  <si>
    <t>Hubei picorna-like virus 72</t>
  </si>
  <si>
    <t>PRJNA361623</t>
  </si>
  <si>
    <t>Unknown:NC_033242.1/KX884289.1</t>
  </si>
  <si>
    <t>Pediococcus pentosaceus ATCC 25745</t>
  </si>
  <si>
    <t>Hubei picorna-like virus 71</t>
  </si>
  <si>
    <t>PRJNA361624</t>
  </si>
  <si>
    <t>Unknown:NC_033053.1/KX883687.1</t>
  </si>
  <si>
    <t>Hubei picorna-like virus 70</t>
  </si>
  <si>
    <t>PRJNA361625</t>
  </si>
  <si>
    <t>Unknown:NC_032777.1/KX883733.1</t>
  </si>
  <si>
    <t>Hubei picorna-like virus 7</t>
  </si>
  <si>
    <t>PRJNA361626</t>
  </si>
  <si>
    <t>Unknown:NC_033219.1/KX884284.1</t>
  </si>
  <si>
    <t>Hubei picorna-like virus 69</t>
  </si>
  <si>
    <t>PRJNA361627</t>
  </si>
  <si>
    <t>Unknown:NC_033021.1/KX884257.1</t>
  </si>
  <si>
    <t>Hubei picorna-like virus 68</t>
  </si>
  <si>
    <t>PRJNA361628</t>
  </si>
  <si>
    <t>Unknown:NC_033256.1/KX884292.1</t>
  </si>
  <si>
    <t>Pediococcus pentosaceus SL4</t>
  </si>
  <si>
    <t>Hubei picorna-like virus 67</t>
  </si>
  <si>
    <t>PRJNA361629</t>
  </si>
  <si>
    <t>Unknown:NC_033005.1/KX884255.1</t>
  </si>
  <si>
    <t>Hubei picorna-like virus 65</t>
  </si>
  <si>
    <t>PRJNA361631</t>
  </si>
  <si>
    <t>Unknown:NC_033127.1/KX884270.1</t>
  </si>
  <si>
    <t>Hubei picorna-like virus 64</t>
  </si>
  <si>
    <t>PRJNA361632</t>
  </si>
  <si>
    <t>Unknown:NC_033145.1/KX883699.1</t>
  </si>
  <si>
    <t>Pedobacter cryoconitis strain PAMC 27485</t>
  </si>
  <si>
    <t>Hubei picorna-like virus 63</t>
  </si>
  <si>
    <t>PRJNA361633</t>
  </si>
  <si>
    <t>Unknown:NC_032990.1/KX883911.1</t>
  </si>
  <si>
    <t>Hubei picorna-like virus 62</t>
  </si>
  <si>
    <t>PRJNA361634</t>
  </si>
  <si>
    <t>Unknown:NC_033045.1/KX883686.1</t>
  </si>
  <si>
    <t>Hubei picorna-like virus 61</t>
  </si>
  <si>
    <t>PRJNA361635</t>
  </si>
  <si>
    <t>Unknown:NC_033003.1/KX883915.1</t>
  </si>
  <si>
    <t>Pedobacter heparinus DSM 2366</t>
  </si>
  <si>
    <t>Hubei picorna-like virus 60</t>
  </si>
  <si>
    <t>PRJNA361636</t>
  </si>
  <si>
    <t>Unknown:NC_033148.1/KX883939.1</t>
  </si>
  <si>
    <t>Hubei picorna-like virus 6</t>
  </si>
  <si>
    <t>PRJNA361637</t>
  </si>
  <si>
    <t>Unknown:NC_033062.1/KX884262.1</t>
  </si>
  <si>
    <t>Hubei picorna-like virus 59</t>
  </si>
  <si>
    <t>PRJNA361638</t>
  </si>
  <si>
    <t>Pedobacter saltans DSM 12145</t>
  </si>
  <si>
    <t>Unknown:NC_033019.1/KX883682.1</t>
  </si>
  <si>
    <t>Hubei picorna-like virus 58</t>
  </si>
  <si>
    <t>PRJNA361639</t>
  </si>
  <si>
    <t>Unknown:NC_033157.1/KX883701.1</t>
  </si>
  <si>
    <t>Hubei picorna-like virus 56</t>
  </si>
  <si>
    <t>PRJNA361640</t>
  </si>
  <si>
    <t>Unknown:NC_032759.1/KX883969.1</t>
  </si>
  <si>
    <t>Hubei picorna-like virus 55</t>
  </si>
  <si>
    <t>PRJNA361641</t>
  </si>
  <si>
    <t>Unknown:NC_033093.1/KX883691.1</t>
  </si>
  <si>
    <t>Pedobacter sp. PACM 27299</t>
  </si>
  <si>
    <t>Hubei picorna-like virus 54</t>
  </si>
  <si>
    <t>PRJNA361642</t>
  </si>
  <si>
    <t>Unknown:NC_032743.1/KX884396.1</t>
  </si>
  <si>
    <t>Hubei picorna-like virus 53</t>
  </si>
  <si>
    <t>PRJNA361643</t>
  </si>
  <si>
    <t>Unknown:NC_032899.1/KX883894.1</t>
  </si>
  <si>
    <t>Hubei picorna-like virus 52</t>
  </si>
  <si>
    <t>PRJNA361644</t>
  </si>
  <si>
    <t>Unknown:NC_033026.1/KX883920.1</t>
  </si>
  <si>
    <t>Hubei picorna-like virus 51</t>
  </si>
  <si>
    <t>PRJNA361645</t>
  </si>
  <si>
    <t>Unknown:NC_033226.1/KX883953.1</t>
  </si>
  <si>
    <t>Pelagibacterium halotolerans B2</t>
  </si>
  <si>
    <t>Hubei picorna-like virus 50</t>
  </si>
  <si>
    <t>PRJNA361646</t>
  </si>
  <si>
    <t>Unknown:NC_032998.1/KX883679.1</t>
  </si>
  <si>
    <t>Hubei tombus-like virus 17</t>
  </si>
  <si>
    <t>PRJNA361647</t>
  </si>
  <si>
    <t>Unknown:NC_032813.1/KX883136.1</t>
  </si>
  <si>
    <t>Hubei tombus-like virus 15</t>
  </si>
  <si>
    <t>PRJNA361648</t>
  </si>
  <si>
    <t>Unknown:NC_033009.1/KX883247.1</t>
  </si>
  <si>
    <t>Hubei tombus-like virus 14</t>
  </si>
  <si>
    <t>PRJNA361649</t>
  </si>
  <si>
    <t>Unknown:NC_032964.1/KX883159.1</t>
  </si>
  <si>
    <t>Hubei tombus-like virus 13</t>
  </si>
  <si>
    <t>Pelobacter carbinolicus DSM 2380</t>
  </si>
  <si>
    <t>PRJNA361650</t>
  </si>
  <si>
    <t>Unknown:NC_033017.1/KX883248.1</t>
  </si>
  <si>
    <t>Hubei tombus-like virus 12</t>
  </si>
  <si>
    <t>PRJNA361651</t>
  </si>
  <si>
    <t>Unknown:NC_032853.1/KX883221.1</t>
  </si>
  <si>
    <t>Hubei tombus-like virus 11</t>
  </si>
  <si>
    <t>PRJNA361652</t>
  </si>
  <si>
    <t>Unknown:NC_032960.1/KX883239.1</t>
  </si>
  <si>
    <t>Hubei tombus-like virus 10</t>
  </si>
  <si>
    <t>PRJNA361653</t>
  </si>
  <si>
    <t>Unknown:NC_032875.1/KX883224.1</t>
  </si>
  <si>
    <t>Hubei tombus-like virus 1</t>
  </si>
  <si>
    <t>Pelobacter propionicus DSM 2379</t>
  </si>
  <si>
    <t>PRJNA361654</t>
  </si>
  <si>
    <t>Unknown:NC_032992.1/KX883244.1</t>
  </si>
  <si>
    <t>Hubei tick virus 3</t>
  </si>
  <si>
    <t>PRJNA361655</t>
  </si>
  <si>
    <t>Unknown:NC_032751.1/KX883728.1</t>
  </si>
  <si>
    <t>Hubei tick virus 2</t>
  </si>
  <si>
    <t>PRJNA361656</t>
  </si>
  <si>
    <t>Unknown:NC_032758.1/KX883730.1</t>
  </si>
  <si>
    <t>Hubei tick virus 1</t>
  </si>
  <si>
    <t>PRJNA361657</t>
  </si>
  <si>
    <t>Unknown:NC_032764.1/KX883731.1</t>
  </si>
  <si>
    <t>Hubei tetragnatha maxillosa virus 8</t>
  </si>
  <si>
    <t>PRJNA361658</t>
  </si>
  <si>
    <t>Pelodictyon phaeoclathratiforme BU-1</t>
  </si>
  <si>
    <t>38.1402</t>
  </si>
  <si>
    <t>1:NC_033313.1/KX884046.1;  2:NC_033316.1/KX884047.1;  3:NC_033314.1/KX884048.1;  4:NC_033315.1/KX884049.1</t>
  </si>
  <si>
    <t>Hubei tetragnatha maxillosa virus 7</t>
  </si>
  <si>
    <t>PRJNA361659</t>
  </si>
  <si>
    <t>Unknown:NC_032735.1/KX883633.1</t>
  </si>
  <si>
    <t>Hubei tetragnatha maxillosa virus 5</t>
  </si>
  <si>
    <t>PRJNA361660</t>
  </si>
  <si>
    <t>Unknown:NC_033153.1/KX883700.1</t>
  </si>
  <si>
    <t>Hubei tetragnatha maxillosa virus 4</t>
  </si>
  <si>
    <t>PRJNA361661</t>
  </si>
  <si>
    <t>Unknown:NC_032753.1/KX883289.1</t>
  </si>
  <si>
    <t>Hubei tetragnatha maxillosa virus 3</t>
  </si>
  <si>
    <t>PRJNA361662</t>
  </si>
  <si>
    <t>Pelosinus sp. UFO1</t>
  </si>
  <si>
    <t>Unknown:NC_033122.1/KX883696.1</t>
  </si>
  <si>
    <t>Hubei tetragnatha maxillosa virus 2</t>
  </si>
  <si>
    <t>PRJNA361663</t>
  </si>
  <si>
    <t>Unknown:NC_033094.1/KX883930.1</t>
  </si>
  <si>
    <t>Hubei tetragnatha maxillosa virus 1</t>
  </si>
  <si>
    <t>PRJNA361664</t>
  </si>
  <si>
    <t>Unknown:NC_032795.1/KX883296.1</t>
  </si>
  <si>
    <t>Hubei rhabdo-like virus 9</t>
  </si>
  <si>
    <t>Pelotomaculum thermopropionicum SI</t>
  </si>
  <si>
    <t>PRJNA361665</t>
  </si>
  <si>
    <t>Unknown:NC_033267.1/KX884448.1</t>
  </si>
  <si>
    <t>Hubei rhabdo-like virus 7</t>
  </si>
  <si>
    <t>PRJNA361666</t>
  </si>
  <si>
    <t>Unknown:NC_033027.1/KX884428.1</t>
  </si>
  <si>
    <t>Hubei rhabdo-like virus 4</t>
  </si>
  <si>
    <t>PRJNA361667</t>
  </si>
  <si>
    <t>Peptoclostridium difficile 630</t>
  </si>
  <si>
    <t>Unknown:NC_032783.1/KX884403.1</t>
  </si>
  <si>
    <t>Hubei rhabdo-like virus 3</t>
  </si>
  <si>
    <t>PRJNA361668</t>
  </si>
  <si>
    <t>Unknown:NC_032929.1/KX884417.1</t>
  </si>
  <si>
    <t>Hubei rhabdo-like virus 2</t>
  </si>
  <si>
    <t>PRJNA361669</t>
  </si>
  <si>
    <t>Unknown:NC_033261.1/KX884447.1</t>
  </si>
  <si>
    <t>Hubei rhabdo-like virus 1</t>
  </si>
  <si>
    <t>PRJNA361670</t>
  </si>
  <si>
    <t>Unknown:NC_032971.1/KX884422.1</t>
  </si>
  <si>
    <t>Peptoclostridium difficile ATCC 9689 = DSM 1296</t>
  </si>
  <si>
    <t>Hubei polero-like virus 2</t>
  </si>
  <si>
    <t>PRJNA361671</t>
  </si>
  <si>
    <t>Unknown:NC_033229.1/KX882844.1</t>
  </si>
  <si>
    <t>Hubei picorna-like virus 9</t>
  </si>
  <si>
    <t>PRJNA361672</t>
  </si>
  <si>
    <t>Unknown:NC_033134.1/KX883937.1</t>
  </si>
  <si>
    <t>Hubei picorna-like virus 81</t>
  </si>
  <si>
    <t>PRJNA361673</t>
  </si>
  <si>
    <t>Unknown:NC_033152.1/KX883940.1</t>
  </si>
  <si>
    <t>Hubei picorna-like virus 80</t>
  </si>
  <si>
    <t>PRJNA361674</t>
  </si>
  <si>
    <t>Peptoclostridium difficile BI9</t>
  </si>
  <si>
    <t>Unknown:NC_033141.1/KX884272.1</t>
  </si>
  <si>
    <t>Chicken associated smacovirus</t>
  </si>
  <si>
    <t>PRJNA361675</t>
  </si>
  <si>
    <t>Unknown:NC_033275.1/KY086299.1</t>
  </si>
  <si>
    <t>Biomphalaria virus 3</t>
  </si>
  <si>
    <t>PRJNA361676</t>
  </si>
  <si>
    <t>Unknown:NC_032840.1/KY024323.1</t>
  </si>
  <si>
    <t>Peptoclostridium difficile BJ08</t>
  </si>
  <si>
    <t>Biomphalaria virus 1</t>
  </si>
  <si>
    <t>PRJNA361677</t>
  </si>
  <si>
    <t>Unknown:NC_032804.1/KY024317.1</t>
  </si>
  <si>
    <t>Isaria javanica chrysovirus 1</t>
  </si>
  <si>
    <t>PRJNA361678</t>
  </si>
  <si>
    <t>50.0312</t>
  </si>
  <si>
    <t>1:NC_033277.1/KX898416.1;  2:NC_033317.1/KX898417.1;  3:NC_033318.1/KX898418.1;  4:NC_033278.1/KX898419.1</t>
  </si>
  <si>
    <t>Peptoclostridium difficile strain 08ACD0030</t>
  </si>
  <si>
    <t>Nesidiocoris tenuis virus</t>
  </si>
  <si>
    <t>PRJNA361679</t>
  </si>
  <si>
    <t>Unknown:NC_032729.1/KX966284.1</t>
  </si>
  <si>
    <t>Chicken stool-associated circular virus</t>
  </si>
  <si>
    <t>PRJNA361680</t>
  </si>
  <si>
    <t>Unknown:NC_033272.1/KY056251.1</t>
  </si>
  <si>
    <t>Chicken stool-associated gemycircularvirus</t>
  </si>
  <si>
    <t>PRJNA361681</t>
  </si>
  <si>
    <t>Peptoclostridium difficile strain 630 delta erm</t>
  </si>
  <si>
    <t>Unknown:NC_033270.1/KY056250.1</t>
  </si>
  <si>
    <t>Wenzhou sobemo-like virus 4</t>
  </si>
  <si>
    <t>PRJNA361682</t>
  </si>
  <si>
    <t>Unknown:NC_033138.1/KX882831.1</t>
  </si>
  <si>
    <t>Wenzhou sobemo-like virus 3</t>
  </si>
  <si>
    <t>PRJNA361683</t>
  </si>
  <si>
    <t>Unknown:NC_033128.1/KX882830.1</t>
  </si>
  <si>
    <t>Wenzhou sobemo-like virus 2</t>
  </si>
  <si>
    <t>Peptoclostridium difficile strain G46</t>
  </si>
  <si>
    <t>PRJNA361684</t>
  </si>
  <si>
    <t>Unknown:NC_033120.1/KX882829.1</t>
  </si>
  <si>
    <t>Wenzhou sobemo-like virus 1</t>
  </si>
  <si>
    <t>PRJNA361685</t>
  </si>
  <si>
    <t>Unknown:NC_033239.1/KX882931.1</t>
  </si>
  <si>
    <t>Wenzhou shrimp virus 9</t>
  </si>
  <si>
    <t>PRJNA361686</t>
  </si>
  <si>
    <t>Peptoclostridium difficile strain NCTC13307</t>
  </si>
  <si>
    <t>52.0436</t>
  </si>
  <si>
    <t>1:NC_033300.1/KX882860.1;  2:NC_033295.1/KX882861.1</t>
  </si>
  <si>
    <t>Wenzhou shrimp virus 8</t>
  </si>
  <si>
    <t>PRJNA361687</t>
  </si>
  <si>
    <t>Unknown:NC_032852.1/KX883984.1</t>
  </si>
  <si>
    <t>Wenzhou shrimp virus 6</t>
  </si>
  <si>
    <t>PRJNA361688</t>
  </si>
  <si>
    <t>Unknown:NC_032996.1/KX884348.1</t>
  </si>
  <si>
    <t>Peptoclostridium difficile strain Z31</t>
  </si>
  <si>
    <t>Wenzhou shrimp virus 5</t>
  </si>
  <si>
    <t>PRJNA361689</t>
  </si>
  <si>
    <t>Unknown:NC_032825.1/KX883979.1</t>
  </si>
  <si>
    <t>Wenzhou shrimp virus 4</t>
  </si>
  <si>
    <t>PRJNA361690</t>
  </si>
  <si>
    <t>Unknown:NC_032989.1/KX884347.1</t>
  </si>
  <si>
    <t>Peptoniphilus sp. 1-1 strain ING2-D1G</t>
  </si>
  <si>
    <t>Wenzhou shrimp virus 3</t>
  </si>
  <si>
    <t>PRJNA361691</t>
  </si>
  <si>
    <t>Unknown:NC_032784.1/KX883794.1</t>
  </si>
  <si>
    <t>Wenzhou shrimp virus 10</t>
  </si>
  <si>
    <t>PRJNA361692</t>
  </si>
  <si>
    <t>Unknown:NC_033164.1/KX883617.1</t>
  </si>
  <si>
    <t>Wenzhou qinvirus-like virus 2</t>
  </si>
  <si>
    <t>PRJNA361693</t>
  </si>
  <si>
    <t>57.606</t>
  </si>
  <si>
    <t>1:NC_033296.1/KX884000.1;  2:NC_033297.1/KX884001.1</t>
  </si>
  <si>
    <t>Wenzhou qinvirus-like virus 1</t>
  </si>
  <si>
    <t>PRJNA361694</t>
  </si>
  <si>
    <t>Peregrinibacteria bacterium RIFOXYA2_FULL_PER-ii_58_14</t>
  </si>
  <si>
    <t>56.7615</t>
  </si>
  <si>
    <t>1:NC_033298.1/KX884002.1;  2:NC_033299.1/KX884003.1</t>
  </si>
  <si>
    <t>Wenzhou picorna-like virus 9</t>
  </si>
  <si>
    <t>PRJNA361695</t>
  </si>
  <si>
    <t>Unknown:NC_033067.1/KX884359.1</t>
  </si>
  <si>
    <t>Wenzhou picorna-like virus 7</t>
  </si>
  <si>
    <t>PRJNA361696</t>
  </si>
  <si>
    <t>Unknown:NC_032842.1/KX883982.1</t>
  </si>
  <si>
    <t>Persephonella marina EX-H1</t>
  </si>
  <si>
    <t>Wenzhou picorna-like virus 6</t>
  </si>
  <si>
    <t>PRJNA361697</t>
  </si>
  <si>
    <t>Unknown:NC_033110.1/KX884366.1</t>
  </si>
  <si>
    <t>Wenzhou picorna-like virus 54</t>
  </si>
  <si>
    <t>PRJNA361698</t>
  </si>
  <si>
    <t>Unknown:NC_033036.1/KX884355.1</t>
  </si>
  <si>
    <t>Persicobacter sp. JZB09</t>
  </si>
  <si>
    <t>Wenzhou picorna-like virus 53</t>
  </si>
  <si>
    <t>PRJNA361699</t>
  </si>
  <si>
    <t>Unknown:NC_033163.1/KX884373.1</t>
  </si>
  <si>
    <t>Wenzhou picorna-like virus 52</t>
  </si>
  <si>
    <t>PRJNA361700</t>
  </si>
  <si>
    <t>Unknown:NC_032814.1/KX883300.1</t>
  </si>
  <si>
    <t>Wenzhou picorna-like virus 51</t>
  </si>
  <si>
    <t>PRJNA361701</t>
  </si>
  <si>
    <t>Unknown:NC_033101.1/KX884364.1</t>
  </si>
  <si>
    <t>Petrotoga mobilis SJ95</t>
  </si>
  <si>
    <t>Wenzhou picorna-like virus 5</t>
  </si>
  <si>
    <t>PRJNA361702</t>
  </si>
  <si>
    <t>Unknown:NC_033131.1/KX884369.1</t>
  </si>
  <si>
    <t>Wenzhou picorna-like virus 49</t>
  </si>
  <si>
    <t>PRJNA361703</t>
  </si>
  <si>
    <t>Unknown:NC_032900.1/KX884330.1</t>
  </si>
  <si>
    <t>Wenzhou picorna-like virus 48</t>
  </si>
  <si>
    <t>PRJNA361704</t>
  </si>
  <si>
    <t>Unknown:NC_032820.1/KX883301.1</t>
  </si>
  <si>
    <t>Wenzhou picorna-like virus 47</t>
  </si>
  <si>
    <t>Phaeobacter gallaeciensis DSM 26640</t>
  </si>
  <si>
    <t>PRJNA361705</t>
  </si>
  <si>
    <t>Unknown:NC_033150.1/KX884273.1</t>
  </si>
  <si>
    <t>Wenzhou picorna-like virus 46</t>
  </si>
  <si>
    <t>PRJNA361706</t>
  </si>
  <si>
    <t>Phenylobacterium zucineum HLK1</t>
  </si>
  <si>
    <t>Unknown:NC_032882.1/KX884326.1</t>
  </si>
  <si>
    <t>Wenzhou picorna-like virus 45</t>
  </si>
  <si>
    <t>PRJNA361707</t>
  </si>
  <si>
    <t>Unknown:NC_033051.1/KX884357.1</t>
  </si>
  <si>
    <t>Wenzhou picorna-like virus 44</t>
  </si>
  <si>
    <t>PRJNA361708</t>
  </si>
  <si>
    <t>Unknown:NC_033198.1/KX884378.1</t>
  </si>
  <si>
    <t>Wenzhou picorna-like virus 43</t>
  </si>
  <si>
    <t>PRJNA361709</t>
  </si>
  <si>
    <t>Photobacterium gaetbulicola Gung47</t>
  </si>
  <si>
    <t>Unknown:NC_033107.1/KX884365.1</t>
  </si>
  <si>
    <t>Wenzhou picorna-like virus 42</t>
  </si>
  <si>
    <t>PRJNA361710</t>
  </si>
  <si>
    <t>Unknown:NC_032947.1/KX884339.1</t>
  </si>
  <si>
    <t>Wenzhou picorna-like virus 41</t>
  </si>
  <si>
    <t>PRJNA361711</t>
  </si>
  <si>
    <t>Unknown:NC_032933.1/KX884336.1</t>
  </si>
  <si>
    <t>Photobacterium profundum SS9</t>
  </si>
  <si>
    <t>Wenzhou picorna-like virus 40</t>
  </si>
  <si>
    <t>PRJNA361712</t>
  </si>
  <si>
    <t>Unknown:NC_032921.1/KX884334.1</t>
  </si>
  <si>
    <t>Wenzhou picorna-like virus 4</t>
  </si>
  <si>
    <t>PRJNA361713</t>
  </si>
  <si>
    <t>Unknown:NC_033151.1/KX884371.1</t>
  </si>
  <si>
    <t>Wenzhou picorna-like virus 39</t>
  </si>
  <si>
    <t>PRJNA361714</t>
  </si>
  <si>
    <t>Photorhabdus asymbiotica strain ATCC 43949</t>
  </si>
  <si>
    <t>Unknown:NC_032911.1/KX884332.1</t>
  </si>
  <si>
    <t>Wenzhou picorna-like virus 37</t>
  </si>
  <si>
    <t>PRJNA361715</t>
  </si>
  <si>
    <t>Unknown:NC_033001.1/KX884349.1</t>
  </si>
  <si>
    <t>Wenzhou picorna-like virus 36</t>
  </si>
  <si>
    <t>PRJNA361716</t>
  </si>
  <si>
    <t>Unknown:NC_032966.1/KX884343.1</t>
  </si>
  <si>
    <t>Wenzhou picorna-like virus 35</t>
  </si>
  <si>
    <t>PRJNA361717</t>
  </si>
  <si>
    <t>Photorhabdus luminescens subsp. laumondii TTO1</t>
  </si>
  <si>
    <t>Unknown:NC_032969.1/KX884344.1</t>
  </si>
  <si>
    <t>Wenzhou picorna-like virus 33</t>
  </si>
  <si>
    <t>PRJNA361718</t>
  </si>
  <si>
    <t>Unknown:NC_032939.1/KX884337.1</t>
  </si>
  <si>
    <t>Wenzhou picorna-like virus 32</t>
  </si>
  <si>
    <t>PRJNA361719</t>
  </si>
  <si>
    <t>Unknown:NC_033083.1/KX884361.1</t>
  </si>
  <si>
    <t>Wenzhou picorna-like virus 31</t>
  </si>
  <si>
    <t>Photorhabdus temperata subsp. thracensis</t>
  </si>
  <si>
    <t>PRJNA361720</t>
  </si>
  <si>
    <t>Unknown:NC_032959.1/KX884341.1</t>
  </si>
  <si>
    <t>Wenzhou picorna-like virus 29</t>
  </si>
  <si>
    <t>PRJNA361721</t>
  </si>
  <si>
    <t>Unknown:NC_032908.1/KX883319.1</t>
  </si>
  <si>
    <t>Wenzhou picorna-like virus 28</t>
  </si>
  <si>
    <t>PRJNA361722</t>
  </si>
  <si>
    <t>Unknown:NC_032975.1/KX884345.1</t>
  </si>
  <si>
    <t>Picrophilus torridus DSM 9790</t>
  </si>
  <si>
    <t>Wenzhou picorna-like virus 27</t>
  </si>
  <si>
    <t>PRJNA361723</t>
  </si>
  <si>
    <t>Unknown:NC_032837.1/KX883981.1</t>
  </si>
  <si>
    <t>Wenzhou picorna-like virus 26</t>
  </si>
  <si>
    <t>PRJNA361724</t>
  </si>
  <si>
    <t>Unknown:NC_033205.1/KX884379.1</t>
  </si>
  <si>
    <t>Wenzhou picorna-like virus 25</t>
  </si>
  <si>
    <t>PRJNA361725</t>
  </si>
  <si>
    <t>Unknown:NC_032943.1/KX884338.1</t>
  </si>
  <si>
    <t>Pimelobacter simplex VKM Ac-2033D</t>
  </si>
  <si>
    <t>Wenzhou picorna-like virus 24</t>
  </si>
  <si>
    <t>PRJNA361726</t>
  </si>
  <si>
    <t>Unknown:NC_033088.1/KX884362.1</t>
  </si>
  <si>
    <t>Wenzhou picorna-like virus 23</t>
  </si>
  <si>
    <t>PRJNA361727</t>
  </si>
  <si>
    <t>Unknown:NC_032873.1/KX884324.1</t>
  </si>
  <si>
    <t>Wenzhou picorna-like virus 22</t>
  </si>
  <si>
    <t>PRJNA361728</t>
  </si>
  <si>
    <t>Unknown:NC_032906.1/KX884331.1</t>
  </si>
  <si>
    <t>Pirellula sp. SH-Sr6A</t>
  </si>
  <si>
    <t>Wenzhou picorna-like virus 21</t>
  </si>
  <si>
    <t>PRJNA361729</t>
  </si>
  <si>
    <t>Unknown:NC_033010.1/KX884351.1</t>
  </si>
  <si>
    <t>Wenzhou picorna-like virus 20</t>
  </si>
  <si>
    <t>PRJNA361730</t>
  </si>
  <si>
    <t>Unknown:NC_033041.1/KX884356.1</t>
  </si>
  <si>
    <t>Wenzhou picorna-like virus 2</t>
  </si>
  <si>
    <t>PRJNA361731</t>
  </si>
  <si>
    <t>Pirellula staleyi DSM 6068</t>
  </si>
  <si>
    <t>Unknown:NC_032808.1/KX883299.1</t>
  </si>
  <si>
    <t>Wenzhou picorna-like virus 19</t>
  </si>
  <si>
    <t>PRJNA361732</t>
  </si>
  <si>
    <t>Unknown:NC_033215.1/KX884381.1</t>
  </si>
  <si>
    <t>Wenzhou picorna-like virus 18</t>
  </si>
  <si>
    <t>PRJNA361733</t>
  </si>
  <si>
    <t>Unknown:NC_032847.1/KX883983.1</t>
  </si>
  <si>
    <t>Wenzhou picorna-like virus 17</t>
  </si>
  <si>
    <t>PRJNA361734</t>
  </si>
  <si>
    <t>Unknown:NC_033057.1/KX884358.1</t>
  </si>
  <si>
    <t>Wenzhou picorna-like virus 16</t>
  </si>
  <si>
    <t>PRJNA361735</t>
  </si>
  <si>
    <t>Unknown:NC_032963.1/KX884342.1</t>
  </si>
  <si>
    <t>Wenzhou picorna-like virus 15</t>
  </si>
  <si>
    <t>PRJNA361736</t>
  </si>
  <si>
    <t>Unknown:NC_032886.1/KX884328.1</t>
  </si>
  <si>
    <t>Wenzhou picorna-like virus 14</t>
  </si>
  <si>
    <t>PRJNA361737</t>
  </si>
  <si>
    <t>Unknown:NC_033223.1/KX884382.1</t>
  </si>
  <si>
    <t>Wenzhou picorna-like virus 13</t>
  </si>
  <si>
    <t>PRJNA361738</t>
  </si>
  <si>
    <t>Unknown:NC_033075.1/KX884360.1</t>
  </si>
  <si>
    <t>Wenzhou picorna-like virus 12</t>
  </si>
  <si>
    <t>PRJNA361739</t>
  </si>
  <si>
    <t>Unknown:NC_032953.1/KX884340.1</t>
  </si>
  <si>
    <t>Wenzhou picorna-like virus 11</t>
  </si>
  <si>
    <t>Piscirickettsia salmonis strain CGR02</t>
  </si>
  <si>
    <t>PRJNA361740</t>
  </si>
  <si>
    <t>Unknown:NC_032917.1/KX884333.1</t>
  </si>
  <si>
    <t>Wenzhou picorna-like virus 10</t>
  </si>
  <si>
    <t>PRJNA361741</t>
  </si>
  <si>
    <t>Unknown:NC_032981.1/KX884346.1</t>
  </si>
  <si>
    <t>Wenzhou picorna-like virus 1</t>
  </si>
  <si>
    <t>PRJNA361742</t>
  </si>
  <si>
    <t>Unknown:NC_033137.1/KX884370.1</t>
  </si>
  <si>
    <t>Wenzhou narna-like virus 9</t>
  </si>
  <si>
    <t>PRJNA361743</t>
  </si>
  <si>
    <t>Unknown:NC_033177.1/KX883619.1</t>
  </si>
  <si>
    <t>Wenzhou narna-like virus 8</t>
  </si>
  <si>
    <t>PRJNA361744</t>
  </si>
  <si>
    <t>Unknown:NC_033171.1/KX883618.1</t>
  </si>
  <si>
    <t>Wenzhou narna-like virus 7</t>
  </si>
  <si>
    <t>Piscirickettsia salmonis strain PSCGR01</t>
  </si>
  <si>
    <t>PRJNA361745</t>
  </si>
  <si>
    <t>Unknown:NC_033144.1/KX883614.1</t>
  </si>
  <si>
    <t>Wenzhou narna-like virus 5</t>
  </si>
  <si>
    <t>PRJNA361746</t>
  </si>
  <si>
    <t>Unknown:NC_033109.1/KX883610.1</t>
  </si>
  <si>
    <t>Wenzhou narna-like virus 3</t>
  </si>
  <si>
    <t>PRJNA361747</t>
  </si>
  <si>
    <t>Unknown:NC_032744.1/KX883550.1</t>
  </si>
  <si>
    <t>Planctomyces brasiliensis DSM 5305</t>
  </si>
  <si>
    <t>Wenzhou narna-like virus 2</t>
  </si>
  <si>
    <t>PRJNA361748</t>
  </si>
  <si>
    <t>Unknown:NC_032742.1/KX883549.1</t>
  </si>
  <si>
    <t>Wenzhou hepe-like virus 1</t>
  </si>
  <si>
    <t>PRJNA361749</t>
  </si>
  <si>
    <t>Unknown:NC_033184.1/KX883835.1</t>
  </si>
  <si>
    <t>Wenzhou hepe-like virus 2</t>
  </si>
  <si>
    <t>PRJNA361750</t>
  </si>
  <si>
    <t>Unknown:NC_033147.1/KX883832.1</t>
  </si>
  <si>
    <t>Planctomyces limnophilus DSM 3776</t>
  </si>
  <si>
    <t>Wenzhou gastropodes virus 2</t>
  </si>
  <si>
    <t>PRJNA361751</t>
  </si>
  <si>
    <t>Unknown:NC_033172.1/KX884374.1</t>
  </si>
  <si>
    <t>Wenzhou gastropodes virus 1</t>
  </si>
  <si>
    <t>PRJNA361752</t>
  </si>
  <si>
    <t>Unknown:NC_033156.1/KX884372.1</t>
  </si>
  <si>
    <t>Wenzhou crab virus 5</t>
  </si>
  <si>
    <t>PRJNA361753</t>
  </si>
  <si>
    <t>Unknown:NC_033022.1/KX882994.1</t>
  </si>
  <si>
    <t>Planctomyces sp. SH-PL14</t>
  </si>
  <si>
    <t>Wenzhou crab virus 4</t>
  </si>
  <si>
    <t>PRJNA361754</t>
  </si>
  <si>
    <t>Unknown:NC_033240.1/KX883276.1</t>
  </si>
  <si>
    <t>Wenzhou channeled applesnail virus 3</t>
  </si>
  <si>
    <t>PRJNA361755</t>
  </si>
  <si>
    <t>Unknown:NC_032890.1/KX883316.1</t>
  </si>
  <si>
    <t>Wenzhou channeled applesnail virus 2</t>
  </si>
  <si>
    <t>PRJNA361756</t>
  </si>
  <si>
    <t>Unknown:NC_032877.1/KX884325.1</t>
  </si>
  <si>
    <t>Wenzhou channeled applesnail virus 1</t>
  </si>
  <si>
    <t>Planctomyces sp. SH-PL62</t>
  </si>
  <si>
    <t>PRJNA361757</t>
  </si>
  <si>
    <t>Unknown:NC_032892.1/KX884329.1</t>
  </si>
  <si>
    <t>Wenzhou bivalvia virus 3</t>
  </si>
  <si>
    <t>PRJNA361758</t>
  </si>
  <si>
    <t>Unknown:NC_033166.1/KX883014.1</t>
  </si>
  <si>
    <t>Wenzhou bivalvia virus 2</t>
  </si>
  <si>
    <t>PRJNA361759</t>
  </si>
  <si>
    <t>Unknown:NC_033100.1/KX884028.1</t>
  </si>
  <si>
    <t>Planktomarina temperata RCA23</t>
  </si>
  <si>
    <t>Wenzhou bivalvia virus 1</t>
  </si>
  <si>
    <t>PRJNA361760</t>
  </si>
  <si>
    <t>Unknown:NC_032827.1/KX883302.1</t>
  </si>
  <si>
    <t>Wenling zhaovirus-like virus 1</t>
  </si>
  <si>
    <t>PRJNA361761</t>
  </si>
  <si>
    <t>Unknown:NC_033197.1/KX884044.1</t>
  </si>
  <si>
    <t>Wenling toti-like virus 2</t>
  </si>
  <si>
    <t>Planktothrix agardhii NIVA-CYA 126/8</t>
  </si>
  <si>
    <t>PRJNA361762</t>
  </si>
  <si>
    <t>Unknown:NC_033012.1/KX882992.1</t>
  </si>
  <si>
    <t>Wenling tombus-like virus 5</t>
  </si>
  <si>
    <t>PRJNA361763</t>
  </si>
  <si>
    <t>Unknown:NC_033090.1/KX883257.1</t>
  </si>
  <si>
    <t>Wenling tombus-like virus 4</t>
  </si>
  <si>
    <t>PRJNA361764</t>
  </si>
  <si>
    <t>Planococcus kocurii strain ATCC 43650</t>
  </si>
  <si>
    <t>Unknown:NC_033024.1/KX883249.1</t>
  </si>
  <si>
    <t>Wenling tombus-like virus 3</t>
  </si>
  <si>
    <t>PRJNA361765</t>
  </si>
  <si>
    <t>Unknown:NC_033073.1/KX883255.1</t>
  </si>
  <si>
    <t>Wenling tombus-like virus 2</t>
  </si>
  <si>
    <t>PRJNA361766</t>
  </si>
  <si>
    <t>Unknown:NC_033059.1/KX883254.1</t>
  </si>
  <si>
    <t>Wenling tombus-like virus 1</t>
  </si>
  <si>
    <t>PRJNA361767</t>
  </si>
  <si>
    <t>Unknown:NC_033043.1/KX883252.1</t>
  </si>
  <si>
    <t>Wenling toga-like virus</t>
  </si>
  <si>
    <t>PRJNA361768</t>
  </si>
  <si>
    <t>Planococcus rifietoensis strain M8</t>
  </si>
  <si>
    <t>Unknown:NC_033079.1/KX883827.1</t>
  </si>
  <si>
    <t>Wenling sobemo-like virus 2</t>
  </si>
  <si>
    <t>PRJNA361769</t>
  </si>
  <si>
    <t>Unknown:NC_033230.1/KX882929.1</t>
  </si>
  <si>
    <t>Wenling sobemo-like virus 1</t>
  </si>
  <si>
    <t>PRJNA361770</t>
  </si>
  <si>
    <t>Unknown:NC_033236.1/KX882930.1</t>
  </si>
  <si>
    <t>Wenling picorna-like virus 9</t>
  </si>
  <si>
    <t>PRJNA361771</t>
  </si>
  <si>
    <t>Planococcus sp. PAMC 21323</t>
  </si>
  <si>
    <t>Unknown:NC_032854.1/KX884320.1</t>
  </si>
  <si>
    <t>Wenling picorna-like virus 8</t>
  </si>
  <si>
    <t>PRJNA361772</t>
  </si>
  <si>
    <t>Unknown:NC_032844.1/KX884318.1</t>
  </si>
  <si>
    <t>Wenling picorna-like virus 7</t>
  </si>
  <si>
    <t>PRJNA361773</t>
  </si>
  <si>
    <t>Unknown:NC_032818.1/KX884314.1</t>
  </si>
  <si>
    <t>Plesiomonas shigelloides strain NCTC10360</t>
  </si>
  <si>
    <t>Wenling picorna-like virus 6</t>
  </si>
  <si>
    <t>PRJNA361774</t>
  </si>
  <si>
    <t>Unknown:NC_032815.1/KX884313.1</t>
  </si>
  <si>
    <t>Wenling picorna-like virus 5</t>
  </si>
  <si>
    <t>PRJNA361775</t>
  </si>
  <si>
    <t>Unknown:NC_032834.1/KX884316.1</t>
  </si>
  <si>
    <t>Wenling picorna-like virus 4</t>
  </si>
  <si>
    <t>Pleurocapsa sp. PCC 7327</t>
  </si>
  <si>
    <t>PRJNA361776</t>
  </si>
  <si>
    <t>Unknown:NC_032799.1/KX884310.1</t>
  </si>
  <si>
    <t>Wenling picorna-like virus 3</t>
  </si>
  <si>
    <t>PRJNA361777</t>
  </si>
  <si>
    <t>Unknown:NC_032791.1/KX884309.1</t>
  </si>
  <si>
    <t>Wenling picorna-like virus 1</t>
  </si>
  <si>
    <t>PRJNA361778</t>
  </si>
  <si>
    <t>Unknown:NC_032803.1/KX884311.1</t>
  </si>
  <si>
    <t>Wenling nido-like virus 1</t>
  </si>
  <si>
    <t>PRJNA361779</t>
  </si>
  <si>
    <t>Pluralibacter gergoviae FB2</t>
  </si>
  <si>
    <t>Unknown:NC_032763.1/KX883636.1</t>
  </si>
  <si>
    <t>Wenling narna-like virus 9</t>
  </si>
  <si>
    <t>PRJNA361780</t>
  </si>
  <si>
    <t>Unknown:NC_033064.1/KX883604.1</t>
  </si>
  <si>
    <t>Wenling narna-like virus 7</t>
  </si>
  <si>
    <t>PRJNA361781</t>
  </si>
  <si>
    <t>Unknown:NC_033049.1/KX883602.1</t>
  </si>
  <si>
    <t>Polaromonas naphthalenivorans CJ2</t>
  </si>
  <si>
    <t>Wenling narna-like virus 5</t>
  </si>
  <si>
    <t>PRJNA361782</t>
  </si>
  <si>
    <t>Unknown:NC_033038.1/KX883600.1</t>
  </si>
  <si>
    <t>Wenling narna-like virus 4</t>
  </si>
  <si>
    <t>PRJNA361783</t>
  </si>
  <si>
    <t>Unknown:NC_033033.1/KX883599.1</t>
  </si>
  <si>
    <t>Polaromonas sp. JS666</t>
  </si>
  <si>
    <t>Wenling narna-like virus 3</t>
  </si>
  <si>
    <t>PRJNA361784</t>
  </si>
  <si>
    <t>Unknown:NC_033044.1/KX883601.1</t>
  </si>
  <si>
    <t>Wenling narna-like virus 2</t>
  </si>
  <si>
    <t>PRJNA361785</t>
  </si>
  <si>
    <t>Unknown:NC_033060.1/KX883603.1</t>
  </si>
  <si>
    <t>Polymorphum gilvum SL003B-26A1</t>
  </si>
  <si>
    <t>Wenling narna-like virus 1</t>
  </si>
  <si>
    <t>PRJNA361786</t>
  </si>
  <si>
    <t>Unknown:NC_033091.1/KX883607.1</t>
  </si>
  <si>
    <t>Wenling hepe-like virus 4</t>
  </si>
  <si>
    <t>PRJNA361787</t>
  </si>
  <si>
    <t>Unknown:NC_033098.1/KX883829.1</t>
  </si>
  <si>
    <t>Wenling hepe-like virus 3</t>
  </si>
  <si>
    <t>PRJNA361788</t>
  </si>
  <si>
    <t>Unknown:NC_033086.1/KX883828.1</t>
  </si>
  <si>
    <t>Wenling hepe-like virus 2</t>
  </si>
  <si>
    <t>PRJNA361789</t>
  </si>
  <si>
    <t>Unknown:NC_033130.1/KX883831.1</t>
  </si>
  <si>
    <t>Polynucleobacter necessarius subsp. asymbioticus QLW-P1DMWA-1</t>
  </si>
  <si>
    <t>Wenling hepe-like virus 1</t>
  </si>
  <si>
    <t>PRJNA361790</t>
  </si>
  <si>
    <t>Unknown:NC_033115.1/KX883830.1</t>
  </si>
  <si>
    <t>Wenling crustacean virus 6</t>
  </si>
  <si>
    <t>PRJNA361791</t>
  </si>
  <si>
    <t>Unknown:NC_032810.1/KX884312.1</t>
  </si>
  <si>
    <t>Wenling crustacean virus 5</t>
  </si>
  <si>
    <t>PRJNA361792</t>
  </si>
  <si>
    <t>Polynucleobacter necessarius subsp. asymbioticus strain MWH-MoK4</t>
  </si>
  <si>
    <t>Unknown:NC_032839.1/KX884317.1</t>
  </si>
  <si>
    <t>Wenling crustacean virus 4</t>
  </si>
  <si>
    <t>PRJNA361793</t>
  </si>
  <si>
    <t>Unknown:NC_032864.1/KX884322.1</t>
  </si>
  <si>
    <t>Wenling crustacean virus 3</t>
  </si>
  <si>
    <t>PRJNA361794</t>
  </si>
  <si>
    <t>Unknown:NC_032858.1/KX884321.1</t>
  </si>
  <si>
    <t>Polynucleobacter necessarius subsp. necessarius STIR1</t>
  </si>
  <si>
    <t>Wenling crustacean virus 2</t>
  </si>
  <si>
    <t>PRJNA361795</t>
  </si>
  <si>
    <t>Unknown:NC_032830.1/KX884315.1</t>
  </si>
  <si>
    <t>Wenling crustacean virus 15</t>
  </si>
  <si>
    <t>PRJNA361796</t>
  </si>
  <si>
    <t>Unknown:NC_032802.1/KX884458.1</t>
  </si>
  <si>
    <t>Wenling crustacean virus 14</t>
  </si>
  <si>
    <t>PRJNA361797</t>
  </si>
  <si>
    <t>47.1895</t>
  </si>
  <si>
    <t>1:NC_033291.1/KX884451.1;  2:NC_033292.1/KX884452.1</t>
  </si>
  <si>
    <t>Polynucleobacter sp. QLW-P1FAT50C-4</t>
  </si>
  <si>
    <t>Wenling crustacean virus 13</t>
  </si>
  <si>
    <t>PRJNA361798</t>
  </si>
  <si>
    <t>41.4147</t>
  </si>
  <si>
    <t>1:NC_033293.1/KX884453.1;  2:NC_033294.1/KX884454.1</t>
  </si>
  <si>
    <t>Wenling crustacean virus 12</t>
  </si>
  <si>
    <t>PRJNA361799</t>
  </si>
  <si>
    <t>Pontibacter akesuensis strain AKS 1T</t>
  </si>
  <si>
    <t>Unknown:NC_032793.1/KX884457.1</t>
  </si>
  <si>
    <t>Wenling crustacean virus 11</t>
  </si>
  <si>
    <t>PRJNA361800</t>
  </si>
  <si>
    <t>Unknown:NC_032781.1/KX884456.1</t>
  </si>
  <si>
    <t>Wenling crustacean virus 10</t>
  </si>
  <si>
    <t>PRJNA361801</t>
  </si>
  <si>
    <t>Unknown:NC_032739.1/KX884450.1</t>
  </si>
  <si>
    <t>Wenling crustacean virus 1</t>
  </si>
  <si>
    <t>PRJNA361802</t>
  </si>
  <si>
    <t>Unknown:NC_033065.1/KX883826.1</t>
  </si>
  <si>
    <t>Shuangao toti-like virus</t>
  </si>
  <si>
    <t>PRJNA361803</t>
  </si>
  <si>
    <t>Unknown:NC_032851.1/KX882960.1</t>
  </si>
  <si>
    <t>Shuangao sobemo-like virus 3</t>
  </si>
  <si>
    <t>PRJNA361804</t>
  </si>
  <si>
    <t>Unknown:NC_033072.1/KX882823.1</t>
  </si>
  <si>
    <t>Shuangao sobemo-like virus 2</t>
  </si>
  <si>
    <t>PRJNA361805</t>
  </si>
  <si>
    <t>Unknown:NC_033089.1/KX882825.1</t>
  </si>
  <si>
    <t>Shuangao sobemo-like virus 1</t>
  </si>
  <si>
    <t>PRJNA361806</t>
  </si>
  <si>
    <t>Unknown:NC_033084.1/KX882824.1</t>
  </si>
  <si>
    <t>Shuangao insect virus 9</t>
  </si>
  <si>
    <t>PRJNA361807</t>
  </si>
  <si>
    <t>Unknown:NC_033095.1/KX882826.1</t>
  </si>
  <si>
    <t>Shuangao insect virus 8</t>
  </si>
  <si>
    <t>PRJNA361808</t>
  </si>
  <si>
    <t>Unknown:NC_032978.1/KX883910.1</t>
  </si>
  <si>
    <t>Shuangao insect virus 12</t>
  </si>
  <si>
    <t>PRJNA361809</t>
  </si>
  <si>
    <t>Unknown:NC_032994.1/KX883912.1</t>
  </si>
  <si>
    <t>Pontibacter korlensis strain X14-1T</t>
  </si>
  <si>
    <t>Shuangao insect virus 11</t>
  </si>
  <si>
    <t>PRJNA361810</t>
  </si>
  <si>
    <t>Unknown:NC_033265.1/KX883119.1</t>
  </si>
  <si>
    <t>Shuangao insect virus 10</t>
  </si>
  <si>
    <t>PRJNA361811</t>
  </si>
  <si>
    <t>Unknown:NC_032732.1/KX883121.1</t>
  </si>
  <si>
    <t>Shuangao alphatetra-like virus 1</t>
  </si>
  <si>
    <t>PRJNA361812</t>
  </si>
  <si>
    <t>Porphyrobacter neustonensis strain DSM 9434</t>
  </si>
  <si>
    <t>Unknown:NC_033146.1/KX883771.1</t>
  </si>
  <si>
    <t>Shayang ascaridia galli virus 2</t>
  </si>
  <si>
    <t>PRJNA361813</t>
  </si>
  <si>
    <t>Unknown:NC_033182.1/KX884440.1</t>
  </si>
  <si>
    <t>Shahe yuevirus-like virus 1</t>
  </si>
  <si>
    <t>PRJNA361814</t>
  </si>
  <si>
    <t>Porphyromonadaceae bacterium ING2-E5B</t>
  </si>
  <si>
    <t>33.7496</t>
  </si>
  <si>
    <t>1:NC_033289.1/KX884034.1;  2:NC_033290.1/KX884035.1</t>
  </si>
  <si>
    <t>Shahe tombus-like virus 2</t>
  </si>
  <si>
    <t>PRJNA361815</t>
  </si>
  <si>
    <t>Unknown:NC_032920.1/KX883153.1</t>
  </si>
  <si>
    <t>Shahe tombus-like virus 1</t>
  </si>
  <si>
    <t>PRJNA361816</t>
  </si>
  <si>
    <t>Unknown:NC_032936.1/KX883155.1</t>
  </si>
  <si>
    <t>Shahe sobemo-like virus 1</t>
  </si>
  <si>
    <t>PRJNA361817</t>
  </si>
  <si>
    <t>Porphyromonas asaccharolytica DSM 20707</t>
  </si>
  <si>
    <t>Unknown:NC_032785.1/KX882862.1</t>
  </si>
  <si>
    <t>Shahe qinvirus-like virus 1</t>
  </si>
  <si>
    <t>PRJNA361818</t>
  </si>
  <si>
    <t>46.5347</t>
  </si>
  <si>
    <t>1:NC_033287.1/KX883994.1;  2:NC_033288.1/KX883995.1</t>
  </si>
  <si>
    <t>Shahe picorna-like virus 9</t>
  </si>
  <si>
    <t>PRJNA361819</t>
  </si>
  <si>
    <t>Unknown:NC_032863.1/KX883651.1</t>
  </si>
  <si>
    <t>Shahe picorna-like virus 7</t>
  </si>
  <si>
    <t>PRJNA361820</t>
  </si>
  <si>
    <t>Unknown:NC_032871.1/KX883652.1</t>
  </si>
  <si>
    <t>Shahe picorna-like virus 6</t>
  </si>
  <si>
    <t>PRJNA361821</t>
  </si>
  <si>
    <t>Porphyromonas gingivalis 381</t>
  </si>
  <si>
    <t>Unknown:NC_032876.1/KX883653.1</t>
  </si>
  <si>
    <t>Shahe picorna-like virus 5</t>
  </si>
  <si>
    <t>PRJNA361822</t>
  </si>
  <si>
    <t>Unknown:NC_032888.1/KX883656.1</t>
  </si>
  <si>
    <t>Shahe picorna-like virus 4</t>
  </si>
  <si>
    <t>PRJNA361823</t>
  </si>
  <si>
    <t>Unknown:NC_032904.1/KX883659.1</t>
  </si>
  <si>
    <t>Shahe picorna-like virus 3</t>
  </si>
  <si>
    <t>PRJNA361824</t>
  </si>
  <si>
    <t>Unknown:NC_032946.1/KX883667.1</t>
  </si>
  <si>
    <t>Porphyromonas gingivalis A7A1-28</t>
  </si>
  <si>
    <t>Shahe picorna-like virus 2</t>
  </si>
  <si>
    <t>PRJNA361825</t>
  </si>
  <si>
    <t>Unknown:NC_032838.1/KX883646.1</t>
  </si>
  <si>
    <t>Shahe picorna-like virus 14</t>
  </si>
  <si>
    <t>PRJNA361826</t>
  </si>
  <si>
    <t>Unknown:NC_032935.1/KX883664.1</t>
  </si>
  <si>
    <t>Shahe picorna-like virus 13</t>
  </si>
  <si>
    <t>PRJNA361827</t>
  </si>
  <si>
    <t>Porphyromonas gingivalis AJW4</t>
  </si>
  <si>
    <t>Unknown:NC_032894.1/KX883657.1</t>
  </si>
  <si>
    <t>Shahe picorna-like virus 12</t>
  </si>
  <si>
    <t>PRJNA361828</t>
  </si>
  <si>
    <t>Unknown:NC_032857.1/KX883650.1</t>
  </si>
  <si>
    <t>Shahe picorna-like virus 11</t>
  </si>
  <si>
    <t>PRJNA361829</t>
  </si>
  <si>
    <t>Unknown:NC_032928.1/KX883663.1</t>
  </si>
  <si>
    <t>Porphyromonas gingivalis ATCC 33277</t>
  </si>
  <si>
    <t>Shahe picorna-like virus 10</t>
  </si>
  <si>
    <t>PRJNA361830</t>
  </si>
  <si>
    <t>Unknown:NC_032898.1/KX883658.1</t>
  </si>
  <si>
    <t>Shahe picorna-like virus 1</t>
  </si>
  <si>
    <t>PRJNA361831</t>
  </si>
  <si>
    <t>Unknown:NC_032940.1/KX883666.1</t>
  </si>
  <si>
    <t>Shahe narna-like virus 7</t>
  </si>
  <si>
    <t>Porphyromonas gingivalis JCVI SC001</t>
  </si>
  <si>
    <t>PRJNA361832</t>
  </si>
  <si>
    <t>Unknown:NC_032796.1/KX883560.1</t>
  </si>
  <si>
    <t>Shahe narna-like virus 5</t>
  </si>
  <si>
    <t>PRJNA361833</t>
  </si>
  <si>
    <t>Unknown:NC_032762.1/KX883555.1</t>
  </si>
  <si>
    <t>Porphyromonas gingivalis strain A7436</t>
  </si>
  <si>
    <t>Shahe narna-like virus 3</t>
  </si>
  <si>
    <t>PRJNA361834</t>
  </si>
  <si>
    <t>Unknown:NC_032750.1/KX883552.1</t>
  </si>
  <si>
    <t>Shahe narna-like virus 2</t>
  </si>
  <si>
    <t>PRJNA361835</t>
  </si>
  <si>
    <t>Unknown:NC_032792.1/KX883559.1</t>
  </si>
  <si>
    <t>Porphyromonas gingivalis strain HG66</t>
  </si>
  <si>
    <t>Shahe narna-like virus 1</t>
  </si>
  <si>
    <t>PRJNA361838</t>
  </si>
  <si>
    <t>Unknown:NC_032754.1/KX883553.1</t>
  </si>
  <si>
    <t>Porphyromonas gingivalis TDC60</t>
  </si>
  <si>
    <t>Shahe isopoda virus 3</t>
  </si>
  <si>
    <t>PRJNA361839</t>
  </si>
  <si>
    <t>Unknown:NC_033106.1/KX884029.1</t>
  </si>
  <si>
    <t>Porphyromonas gingivalis W83</t>
  </si>
  <si>
    <t>Shahe isopoda virus 2</t>
  </si>
  <si>
    <t>PRJNA361840</t>
  </si>
  <si>
    <t>Unknown:NC_032822.1/KX883642.1</t>
  </si>
  <si>
    <t>Shahe isopoda virus 1</t>
  </si>
  <si>
    <t>PRJNA361841</t>
  </si>
  <si>
    <t>Pragia fontium strain 24613</t>
  </si>
  <si>
    <t>Unknown:NC_032829.1/KX883643.1</t>
  </si>
  <si>
    <t>Shahe heteroptera virus 4</t>
  </si>
  <si>
    <t>PRJNA361842</t>
  </si>
  <si>
    <t>Unknown:NC_032809.1/KX883640.1</t>
  </si>
  <si>
    <t>Shahe heteroptera virus 1</t>
  </si>
  <si>
    <t>PRJNA361843</t>
  </si>
  <si>
    <t>Prevotella dentalis DSM 3688</t>
  </si>
  <si>
    <t>Unknown:NC_032952.1/KX883668.1</t>
  </si>
  <si>
    <t>Shahe endorna-like virus 1</t>
  </si>
  <si>
    <t>PRJNA361844</t>
  </si>
  <si>
    <t>Unknown:NC_032798.1/KX883795.1</t>
  </si>
  <si>
    <t>Prevotella denticola F0289</t>
  </si>
  <si>
    <t>Sanxia water strider virus 9</t>
  </si>
  <si>
    <t>PRJNA361845</t>
  </si>
  <si>
    <t>Unknown:NC_033173.1/KX883704.1</t>
  </si>
  <si>
    <t>Sanxia water strider virus 8</t>
  </si>
  <si>
    <t>Prevotella enoeca strain F0113</t>
  </si>
  <si>
    <t>PRJNA361846</t>
  </si>
  <si>
    <t>Unknown:NC_033194.1/KX883707.1</t>
  </si>
  <si>
    <t>Sanxia water strider virus 7</t>
  </si>
  <si>
    <t>PRJNA361847</t>
  </si>
  <si>
    <t>Prevotella intermedia 17</t>
  </si>
  <si>
    <t>Unknown:NC_033180.1/KX883705.1</t>
  </si>
  <si>
    <t>Sanxia water strider virus 21</t>
  </si>
  <si>
    <t>PRJNA361848</t>
  </si>
  <si>
    <t>Unknown:NC_033189.1/KX883706.1</t>
  </si>
  <si>
    <t>Prevotella intermedia strain 17-2</t>
  </si>
  <si>
    <t>Sanxia water strider virus 20</t>
  </si>
  <si>
    <t>PRJNA361849</t>
  </si>
  <si>
    <t>Unknown:NC_032931.1/KX882976.1</t>
  </si>
  <si>
    <t>Sanxia water strider virus 19</t>
  </si>
  <si>
    <t>PRJNA361850</t>
  </si>
  <si>
    <t>Unknown:NC_033196.1/KX883451.1</t>
  </si>
  <si>
    <t>Sanxia water strider virus 17</t>
  </si>
  <si>
    <t>PRJNA361851</t>
  </si>
  <si>
    <t>Prevotella melaninogenica ATCC 25845</t>
  </si>
  <si>
    <t>Unknown:NC_033077.1/KX883174.1</t>
  </si>
  <si>
    <t>Sanxia water strider virus 16</t>
  </si>
  <si>
    <t>PRJNA361852</t>
  </si>
  <si>
    <t>Unknown:NC_033139.1/KX883181.1</t>
  </si>
  <si>
    <t>Sanxia water strider virus 14</t>
  </si>
  <si>
    <t>PRJNA361853</t>
  </si>
  <si>
    <t>Unknown:NC_033092.1/KX883176.1</t>
  </si>
  <si>
    <t>Prevotella ruminicola 23</t>
  </si>
  <si>
    <t>Sanxia water strider virus 13</t>
  </si>
  <si>
    <t>PRJNA361854</t>
  </si>
  <si>
    <t>Unknown:NC_032828.1/KX883566.1</t>
  </si>
  <si>
    <t>Sanxia water strider virus 10</t>
  </si>
  <si>
    <t>PRJNA361855</t>
  </si>
  <si>
    <t>47.1062</t>
  </si>
  <si>
    <t>1:NC_033279.1/KX882889.1;  2:NC_033286.1/KX882890.1</t>
  </si>
  <si>
    <t>Prochlorococcus marinus bv. HNLC1</t>
  </si>
  <si>
    <t>Sanxia tombus-like virus 9</t>
  </si>
  <si>
    <t>PRJNA361856</t>
  </si>
  <si>
    <t>Unknown:NC_033149.1/KX883182.1</t>
  </si>
  <si>
    <t>Sanxia tombus-like virus 8</t>
  </si>
  <si>
    <t>PRJNA361857</t>
  </si>
  <si>
    <t>Unknown:NC_033068.1/KX883173.1</t>
  </si>
  <si>
    <t>Sanxia tombus-like virus 6</t>
  </si>
  <si>
    <t>Prochlorococcus marinus bv. HNLC2</t>
  </si>
  <si>
    <t>PRJNA361858</t>
  </si>
  <si>
    <t>Unknown:NC_033117.1/KX883178.1</t>
  </si>
  <si>
    <t>Sanxia tombus-like virus 5</t>
  </si>
  <si>
    <t>PRJNA361859</t>
  </si>
  <si>
    <t>Unknown:NC_033058.1/KX883172.1</t>
  </si>
  <si>
    <t>Sanxia tombus-like virus 4</t>
  </si>
  <si>
    <t>PRJNA361860</t>
  </si>
  <si>
    <t>Prochlorococcus marinus str. AS9601</t>
  </si>
  <si>
    <t>Unknown:NC_033129.1/KX883180.1</t>
  </si>
  <si>
    <t>Sanxia tombus-like virus 3</t>
  </si>
  <si>
    <t>PRJNA361861</t>
  </si>
  <si>
    <t>Unknown:NC_033170.1/KX883184.1</t>
  </si>
  <si>
    <t>Sanxia tombus-like virus 2</t>
  </si>
  <si>
    <t>PRJNA361862</t>
  </si>
  <si>
    <t>Unknown:NC_033187.1/KX883186.1</t>
  </si>
  <si>
    <t>Prochlorococcus marinus str. MIT 9211</t>
  </si>
  <si>
    <t>Sanxia tombus-like virus 1</t>
  </si>
  <si>
    <t>PRJNA361863</t>
  </si>
  <si>
    <t>Unknown:NC_033178.1/KX883185.1</t>
  </si>
  <si>
    <t>Sanxia sobemo-like virus 5</t>
  </si>
  <si>
    <t>PRJNA361864</t>
  </si>
  <si>
    <t>Unknown:NC_032941.1/KX882888.1</t>
  </si>
  <si>
    <t>Sanxia sobemo-like virus 4</t>
  </si>
  <si>
    <t>PRJNA361865</t>
  </si>
  <si>
    <t>Unknown:NC_032918.1/KX882884.1</t>
  </si>
  <si>
    <t>Prochlorococcus marinus str. MIT 9215</t>
  </si>
  <si>
    <t>Sanxia sobemo-like virus 3</t>
  </si>
  <si>
    <t>PRJNA361866</t>
  </si>
  <si>
    <t>Unknown:NC_032937.1/KX882887.1</t>
  </si>
  <si>
    <t>Sanxia sobemo-like virus 2</t>
  </si>
  <si>
    <t>PRJNA361867</t>
  </si>
  <si>
    <t>Unknown:NC_032930.1/KX882886.1</t>
  </si>
  <si>
    <t>Sanxia sobemo-like virus 1</t>
  </si>
  <si>
    <t>PRJNA361868</t>
  </si>
  <si>
    <t>Unknown:NC_032923.1/KX882885.1</t>
  </si>
  <si>
    <t>Prochlorococcus marinus str. MIT 9301</t>
  </si>
  <si>
    <t>Sanxia picorna-like virus 9</t>
  </si>
  <si>
    <t>PRJNA361869</t>
  </si>
  <si>
    <t>Unknown:NC_033241.1/KX883717.1</t>
  </si>
  <si>
    <t>Sanxia picorna-like virus 8</t>
  </si>
  <si>
    <t>PRJNA361870</t>
  </si>
  <si>
    <t>Unknown:NC_033258.1/KX883720.1</t>
  </si>
  <si>
    <t>Sanxia picorna-like virus 5</t>
  </si>
  <si>
    <t>PRJNA361871</t>
  </si>
  <si>
    <t>Unknown:NC_033262.1/KX883721.1</t>
  </si>
  <si>
    <t>Sanxia picorna-like virus 4</t>
  </si>
  <si>
    <t>PRJNA361872</t>
  </si>
  <si>
    <t>Prochlorococcus marinus str. MIT 9303</t>
  </si>
  <si>
    <t>Unknown:NC_033209.1/KX883710.1</t>
  </si>
  <si>
    <t>Sanxia picorna-like virus 3</t>
  </si>
  <si>
    <t>PRJNA361873</t>
  </si>
  <si>
    <t>Unknown:NC_033246.1/KX883718.1</t>
  </si>
  <si>
    <t>Sanxia picorna-like virus 2</t>
  </si>
  <si>
    <t>PRJNA361874</t>
  </si>
  <si>
    <t>Unknown:NC_033203.1/KX883709.1</t>
  </si>
  <si>
    <t>Sanxia picorna-like virus 13</t>
  </si>
  <si>
    <t>Prochlorococcus marinus str. MIT 9312</t>
  </si>
  <si>
    <t>PRJNA361875</t>
  </si>
  <si>
    <t>Unknown:NC_033266.1/KX883722.1</t>
  </si>
  <si>
    <t>Sanxia picorna-like virus 11</t>
  </si>
  <si>
    <t>PRJNA361876</t>
  </si>
  <si>
    <t>Unknown:NC_033221.1/KX883712.1</t>
  </si>
  <si>
    <t>Sanxia picorna-like virus 10</t>
  </si>
  <si>
    <t>PRJNA361877</t>
  </si>
  <si>
    <t>Unknown:NC_033235.1/KX883715.1</t>
  </si>
  <si>
    <t>Sanxia picorna-like virus 1</t>
  </si>
  <si>
    <t>PRJNA361878</t>
  </si>
  <si>
    <t>Prochlorococcus marinus str. MIT 9313</t>
  </si>
  <si>
    <t>Unknown:NC_033213.1/KX883711.1</t>
  </si>
  <si>
    <t>Sanxia permutotetra-like virus 1</t>
  </si>
  <si>
    <t>PRJNA361879</t>
  </si>
  <si>
    <t>Unknown:NC_033188.1/KX883450.1</t>
  </si>
  <si>
    <t>Sanxia narna-like virus 1</t>
  </si>
  <si>
    <t>PRJNA361880</t>
  </si>
  <si>
    <t>Unknown:NC_032835.1/KX883568.1</t>
  </si>
  <si>
    <t>Sanxia atyid shrimp virus 4</t>
  </si>
  <si>
    <t>PRJNA361881</t>
  </si>
  <si>
    <t>Unknown:NC_033168.1/KX884439.1</t>
  </si>
  <si>
    <t>Sanxia atyid shrimp virus 3</t>
  </si>
  <si>
    <t>Prochlorococcus marinus str. MIT 9515</t>
  </si>
  <si>
    <t>PRJNA361882</t>
  </si>
  <si>
    <t>Unknown:NC_033228.1/KX883714.1</t>
  </si>
  <si>
    <t>Sanxia atyid shrimp virus 2</t>
  </si>
  <si>
    <t>PRJNA361883</t>
  </si>
  <si>
    <t>Unknown:NC_033185.1/KX884278.1</t>
  </si>
  <si>
    <t>Sanxia atyid shrimp virus 1</t>
  </si>
  <si>
    <t>PRJNA361884</t>
  </si>
  <si>
    <t>Prochlorococcus marinus str. NATL1A</t>
  </si>
  <si>
    <t>Unknown:NC_032869.1/KX883804.1</t>
  </si>
  <si>
    <t>Sanxia Qinvirus-like virus 1</t>
  </si>
  <si>
    <t>PRJNA361885</t>
  </si>
  <si>
    <t>47.8961</t>
  </si>
  <si>
    <t>1:NC_033284.1/KX883996.1;  2:NC_033285.1/KX883997.1</t>
  </si>
  <si>
    <t>Jingmen picorna-like virus</t>
  </si>
  <si>
    <t>PRJNA361887</t>
  </si>
  <si>
    <t>Prochlorococcus marinus str. NATL2A</t>
  </si>
  <si>
    <t>Unknown:NC_032999.1/KX883913.1</t>
  </si>
  <si>
    <t>Hubei zhaovirus-like virus 2</t>
  </si>
  <si>
    <t>PRJNA361888</t>
  </si>
  <si>
    <t>Unknown:NC_033193.1/KX884043.1</t>
  </si>
  <si>
    <t>Hubei zhaovirus-like virus 1</t>
  </si>
  <si>
    <t>PRJNA361889</t>
  </si>
  <si>
    <t>Unknown:NC_033186.1/KX884042.1</t>
  </si>
  <si>
    <t>Hubei yanvirus-like virus 1</t>
  </si>
  <si>
    <t>Prochlorococcus marinus subsp. marinus str. CCMP1375</t>
  </si>
  <si>
    <t>PRJNA361890</t>
  </si>
  <si>
    <t>Unknown:NC_033113.1/KX884030.1</t>
  </si>
  <si>
    <t>Hubei virga-like virus 9</t>
  </si>
  <si>
    <t>PRJNA361891</t>
  </si>
  <si>
    <t>Unknown:NC_032765.1/KX883792.1</t>
  </si>
  <si>
    <t>Hubei virga-like virus 7</t>
  </si>
  <si>
    <t>PRJNA361892</t>
  </si>
  <si>
    <t>Unknown:NC_033247.1/KX883783.1</t>
  </si>
  <si>
    <t>Hubei virga-like virus 23</t>
  </si>
  <si>
    <t>PRJNA361893</t>
  </si>
  <si>
    <t>Prochlorococcus marinus subsp. pastoris str. CCMP1986</t>
  </si>
  <si>
    <t>Unknown:NC_033174.1/KX883774.1</t>
  </si>
  <si>
    <t>Hubei virga-like virus 21</t>
  </si>
  <si>
    <t>PRJNA361894</t>
  </si>
  <si>
    <t>Unknown:NC_033192.1/KX883775.1</t>
  </si>
  <si>
    <t>Hubei virga-like virus 2</t>
  </si>
  <si>
    <t>PRJNA361895</t>
  </si>
  <si>
    <t>Unknown:NC_033158.1/KX883772.1</t>
  </si>
  <si>
    <t>Prochlorococcus sp. MIT 0604</t>
  </si>
  <si>
    <t>Hubei virga-like virus 17</t>
  </si>
  <si>
    <t>PRJNA361896</t>
  </si>
  <si>
    <t>Unknown:NC_033222.1/KX883779.1</t>
  </si>
  <si>
    <t>Hubei virga-like virus 16</t>
  </si>
  <si>
    <t>PRJNA361897</t>
  </si>
  <si>
    <t>Unknown:NC_032824.1/KX883739.1</t>
  </si>
  <si>
    <t>Hubei virga-like virus 15</t>
  </si>
  <si>
    <t>PRJNA361898</t>
  </si>
  <si>
    <t>Unknown:NC_033211.1/KX883778.1</t>
  </si>
  <si>
    <t>Prochlorococcus sp. MIT 0801</t>
  </si>
  <si>
    <t>Hubei virga-like virus 12</t>
  </si>
  <si>
    <t>PRJNA361899</t>
  </si>
  <si>
    <t>Unknown:NC_033269.1/KX883787.1</t>
  </si>
  <si>
    <t>Hubei virga-like virus 11</t>
  </si>
  <si>
    <t>PRJNA361900</t>
  </si>
  <si>
    <t>Unknown:NC_033082.1/KX883766.1</t>
  </si>
  <si>
    <t>Hubei virga-like virus 1</t>
  </si>
  <si>
    <t>PRJNA361901</t>
  </si>
  <si>
    <t>Unknown:NC_033165.1/KX883773.1</t>
  </si>
  <si>
    <t>Propionibacterium acidipropionici ATCC 4875</t>
  </si>
  <si>
    <t>Hubei unio douglasiae virus 3</t>
  </si>
  <si>
    <t>PRJNA361902</t>
  </si>
  <si>
    <t>Unknown:NC_032848.1/KX883220.1</t>
  </si>
  <si>
    <t>Propionibacterium acidipropionici strain ATCC 55737</t>
  </si>
  <si>
    <t>Hubei unio douglasiae virus 2</t>
  </si>
  <si>
    <t>PRJNA361903</t>
  </si>
  <si>
    <t>Unknown:NC_032811.1/KX883215.1</t>
  </si>
  <si>
    <t>Hubei unio douglasiae virus 1</t>
  </si>
  <si>
    <t>PRJNA361904</t>
  </si>
  <si>
    <t>45.7391</t>
  </si>
  <si>
    <t>1:NC_033280.1/KX883207.1;  2:NC_033281.1/KX883208.1</t>
  </si>
  <si>
    <t>Propionibacterium acidipropionici strain CGMCC 1.2230</t>
  </si>
  <si>
    <t>Hubei toti-like virus 9</t>
  </si>
  <si>
    <t>PRJNA361905</t>
  </si>
  <si>
    <t>Unknown:NC_032883.1/KX882967.1</t>
  </si>
  <si>
    <t>Hubei toti-like virus 5</t>
  </si>
  <si>
    <t>PRJNA361906</t>
  </si>
  <si>
    <t>Unknown:NC_032954.1/KX882980.1</t>
  </si>
  <si>
    <t>Hubei toti-like virus 24</t>
  </si>
  <si>
    <t>PRJNA361907</t>
  </si>
  <si>
    <t>Unknown:NC_032938.1/KX882977.1</t>
  </si>
  <si>
    <t>Hubei toti-like virus 21</t>
  </si>
  <si>
    <t>PRJNA361908</t>
  </si>
  <si>
    <t>Unknown:NC_032819.1/KX882955.1</t>
  </si>
  <si>
    <t>Hubei toti-like virus 20</t>
  </si>
  <si>
    <t>PRJNA361909</t>
  </si>
  <si>
    <t>Propionibacterium acnes 266</t>
  </si>
  <si>
    <t>Unknown:NC_032806.1/KX882952.1</t>
  </si>
  <si>
    <t>Hubei toti-like virus 2</t>
  </si>
  <si>
    <t>PRJNA361910</t>
  </si>
  <si>
    <t>Unknown:NC_032734.1/KX882939.1</t>
  </si>
  <si>
    <t>Propionibacterium acnes 6609</t>
  </si>
  <si>
    <t>Hubei toti-like virus 18</t>
  </si>
  <si>
    <t>PRJNA361911</t>
  </si>
  <si>
    <t>Unknown:NC_032948.1/KX882979.1</t>
  </si>
  <si>
    <t>Hubei toti-like virus 17</t>
  </si>
  <si>
    <t>PRJNA361912</t>
  </si>
  <si>
    <t>Propionibacterium acnes ATCC 11828</t>
  </si>
  <si>
    <t>Unknown:NC_032942.1/KX882978.1</t>
  </si>
  <si>
    <t>Hubei toti-like virus 16</t>
  </si>
  <si>
    <t>PRJNA361913</t>
  </si>
  <si>
    <t>Unknown:NC_032924.1/KX882975.1</t>
  </si>
  <si>
    <t>Hubei toti-like virus 15</t>
  </si>
  <si>
    <t>PRJNA361914</t>
  </si>
  <si>
    <t>Unknown:NC_032919.1/KX882974.1</t>
  </si>
  <si>
    <t>Hubei toti-like virus 13</t>
  </si>
  <si>
    <t>PRJNA361915</t>
  </si>
  <si>
    <t>Propionibacterium acnes C1</t>
  </si>
  <si>
    <t>Unknown:NC_032878.1/KX882966.1</t>
  </si>
  <si>
    <t>Papaya leaf curl Faisalabad virus</t>
  </si>
  <si>
    <t>PRJNA361916</t>
  </si>
  <si>
    <t>Unknown:NC_033276.1/LK028574.1</t>
  </si>
  <si>
    <t>Hibiscus leaf curl alphasatellite</t>
  </si>
  <si>
    <t>PRJNA361919</t>
  </si>
  <si>
    <t>Unknown:NC_033273.1/HG934827.1</t>
  </si>
  <si>
    <t>Ageratum yellow vein Pakistan alphasatellite</t>
  </si>
  <si>
    <t>PRJNA361920</t>
  </si>
  <si>
    <t>Propionibacterium acnes hdn-1</t>
  </si>
  <si>
    <t>Unknown:NC_033271.1/HG934822.1</t>
  </si>
  <si>
    <t>Tomato leaf curl alphasatellite</t>
  </si>
  <si>
    <t>PRJNA361921</t>
  </si>
  <si>
    <t>Unknown:NC_033274.1/LN874304.1</t>
  </si>
  <si>
    <t>Propionibacterium acnes HL096PA1</t>
  </si>
  <si>
    <t>Chicken calicivirus</t>
  </si>
  <si>
    <t>PRJNA361922</t>
  </si>
  <si>
    <t>Unknown:NC_033081.1/KY120883.1</t>
  </si>
  <si>
    <t>Propionibacterium acnes KPA171202</t>
  </si>
  <si>
    <t>Beihai tombus-like virus 11</t>
  </si>
  <si>
    <t>PRJNA361923</t>
  </si>
  <si>
    <t>Unknown:NC_033244.1/KX883029.1</t>
  </si>
  <si>
    <t>Beihai tombus-like virus 10</t>
  </si>
  <si>
    <t>PRJNA361924</t>
  </si>
  <si>
    <t>Propionibacterium acnes SK137</t>
  </si>
  <si>
    <t>Unknown:NC_032932.1/KX883070.1</t>
  </si>
  <si>
    <t>Beihai tombus-like virus 1</t>
  </si>
  <si>
    <t>PRJNA361925</t>
  </si>
  <si>
    <t>Unknown:NC_032862.1/KX883144.1</t>
  </si>
  <si>
    <t>Propionibacterium acnes strain A1-14</t>
  </si>
  <si>
    <t>Beihai tiger crab virus 1</t>
  </si>
  <si>
    <t>PRJNA361926</t>
  </si>
  <si>
    <t>Unknown:NC_033125.1/KX883770.1</t>
  </si>
  <si>
    <t>Propionibacterium acnes strain KCOM 1861 (= ChDC B594)</t>
  </si>
  <si>
    <t>Beihai sphaeromadae virus 4</t>
  </si>
  <si>
    <t>PRJNA361927</t>
  </si>
  <si>
    <t>Unknown:NC_033078.1/KX883437.1</t>
  </si>
  <si>
    <t>Beihai sphaeromadae virus 2</t>
  </si>
  <si>
    <t>PRJNA361928</t>
  </si>
  <si>
    <t>Unknown:NC_032760.1/KX883042.1</t>
  </si>
  <si>
    <t>Propionibacterium acnes strain PA_12_1_L1</t>
  </si>
  <si>
    <t>Beihai sphaeromadae virus 1</t>
  </si>
  <si>
    <t>PRJNA361929</t>
  </si>
  <si>
    <t>Unknown:NC_032977.1/KX883422.1</t>
  </si>
  <si>
    <t>Beihai sobemo-like virus 9</t>
  </si>
  <si>
    <t>PRJNA361930</t>
  </si>
  <si>
    <t>Propionibacterium acnes strain PA_12_1_R1</t>
  </si>
  <si>
    <t>Unknown:NC_032957.1/KX882806.1</t>
  </si>
  <si>
    <t>Beihai sobemo-like virus 8</t>
  </si>
  <si>
    <t>PRJNA361931</t>
  </si>
  <si>
    <t>Unknown:NC_032972.1/KX882809.1</t>
  </si>
  <si>
    <t>Beihai sobemo-like virus 7</t>
  </si>
  <si>
    <t>Propionibacterium acnes strain PA_15_1_R1</t>
  </si>
  <si>
    <t>PRJNA361932</t>
  </si>
  <si>
    <t>Unknown:NC_032945.1/KX882804.1</t>
  </si>
  <si>
    <t>Beihai sobemo-like virus 6</t>
  </si>
  <si>
    <t>PRJNA361933</t>
  </si>
  <si>
    <t>Unknown:NC_032983.1/KX882811.1</t>
  </si>
  <si>
    <t>Beihai sobemo-like virus 5</t>
  </si>
  <si>
    <t>PRJNA361934</t>
  </si>
  <si>
    <t>Unknown:NC_032934.1/KX882802.1</t>
  </si>
  <si>
    <t>Propionibacterium acnes strain PA_15_2_L1</t>
  </si>
  <si>
    <t>Beihai sobemo-like virus 4</t>
  </si>
  <si>
    <t>PRJNA361935</t>
  </si>
  <si>
    <t>Unknown:NC_032926.1/KX882801.1</t>
  </si>
  <si>
    <t>Beihai sobemo-like virus 3</t>
  </si>
  <si>
    <t>PRJNA361936</t>
  </si>
  <si>
    <t>Unknown:NC_032961.1/KX882807.1</t>
  </si>
  <si>
    <t>Beihai sobemo-like virus 27</t>
  </si>
  <si>
    <t>PRJNA361937</t>
  </si>
  <si>
    <t>Unknown:NC_032865.1/KX882791.1</t>
  </si>
  <si>
    <t>Propionibacterium acnes strain PA_21_1_L1</t>
  </si>
  <si>
    <t>Beihai sobemo-like virus 25</t>
  </si>
  <si>
    <t>PRJNA361938</t>
  </si>
  <si>
    <t>Unknown:NC_032895.1/KX882797.1</t>
  </si>
  <si>
    <t>Beihai sobemo-like virus 23</t>
  </si>
  <si>
    <t>PRJNA361939</t>
  </si>
  <si>
    <t>Unknown:NC_032967.1/KX882808.1</t>
  </si>
  <si>
    <t>Beihai sobemo-like virus 22</t>
  </si>
  <si>
    <t>PRJNA361940</t>
  </si>
  <si>
    <t>Unknown:NC_032859.1/KX882790.1</t>
  </si>
  <si>
    <t>Beihai sobemo-like virus 21</t>
  </si>
  <si>
    <t>Propionibacterium acnes strain PA_30_2_L1</t>
  </si>
  <si>
    <t>PRJNA361941</t>
  </si>
  <si>
    <t>Unknown:NC_032913.1/KX882799.1</t>
  </si>
  <si>
    <t>Beihai sobemo-like virus 20</t>
  </si>
  <si>
    <t>PRJNA361942</t>
  </si>
  <si>
    <t>Unknown:NC_032843.1/KX882787.1</t>
  </si>
  <si>
    <t>Beihai sobemo-like virus 2</t>
  </si>
  <si>
    <t>PRJNA361943</t>
  </si>
  <si>
    <t>Propionibacterium acnes TypeIA2 P.acn17</t>
  </si>
  <si>
    <t>Unknown:NC_032889.1/KX882796.1</t>
  </si>
  <si>
    <t>Beihai sobemo-like virus 19</t>
  </si>
  <si>
    <t>PRJNA361944</t>
  </si>
  <si>
    <t>Unknown:NC_032817.1/KX882783.1</t>
  </si>
  <si>
    <t>Propionibacterium acnes TypeIA2 P.acn31</t>
  </si>
  <si>
    <t>Beihai sobemo-like virus 18</t>
  </si>
  <si>
    <t>PRJNA361945</t>
  </si>
  <si>
    <t>Unknown:NC_032976.1/KX882810.1</t>
  </si>
  <si>
    <t>Beihai sobemo-like virus 16</t>
  </si>
  <si>
    <t>Propionibacterium acnes TypeIA2 P.acn33</t>
  </si>
  <si>
    <t>PRJNA361946</t>
  </si>
  <si>
    <t>Unknown:NC_032836.1/KX882786.1</t>
  </si>
  <si>
    <t>Beihai sobemo-like virus 15</t>
  </si>
  <si>
    <t>PRJNA361947</t>
  </si>
  <si>
    <t>Unknown:NC_032805.1/KX882781.1</t>
  </si>
  <si>
    <t>Propionibacterium avidum 44067</t>
  </si>
  <si>
    <t>Beihai sobemo-like virus 13</t>
  </si>
  <si>
    <t>PRJNA361948</t>
  </si>
  <si>
    <t>Unknown:NC_033252.1/KX882934.1</t>
  </si>
  <si>
    <t>Beihai sobemo-like virus 12</t>
  </si>
  <si>
    <t>Propionibacterium freudenreichii subsp. freudenreichii strain 20271T</t>
  </si>
  <si>
    <t>PRJNA361949</t>
  </si>
  <si>
    <t>Unknown:NC_033037.1/KX882819.1</t>
  </si>
  <si>
    <t>Cynomolgus cytomegalovirus</t>
  </si>
  <si>
    <t>PRJNA361950</t>
  </si>
  <si>
    <t>Unknown:NC_033176.1/KX689265.1</t>
  </si>
  <si>
    <t>Propionibacterium freudenreichii subsp. shermanii</t>
  </si>
  <si>
    <t>Rat arterivirus 1</t>
  </si>
  <si>
    <t>PRJNA361951</t>
  </si>
  <si>
    <t>Unknown:NC_032987.1/KU302440.1</t>
  </si>
  <si>
    <t>Lucheng Rn rat coronavirus</t>
  </si>
  <si>
    <t>PRJNA361952</t>
  </si>
  <si>
    <t>Propionibacterium freudenreichii subsp. shermanii CIRM-BIA1</t>
  </si>
  <si>
    <t>Unknown:NC_032730.1/KF294380.2</t>
  </si>
  <si>
    <t>Beihai weivirus-like virus 4</t>
  </si>
  <si>
    <t>PRJNA361953</t>
  </si>
  <si>
    <t>Unknown:NC_033047.1/KX884022.1</t>
  </si>
  <si>
    <t>Propionibacterium propionicum F0230a</t>
  </si>
  <si>
    <t>Beihai weivirus-like virus 3</t>
  </si>
  <si>
    <t>PRJNA361954</t>
  </si>
  <si>
    <t>Unknown:NC_032968.1/KX884010.1</t>
  </si>
  <si>
    <t>Beihai weivirus-like virus 21</t>
  </si>
  <si>
    <t>PRJNA361955</t>
  </si>
  <si>
    <t>Unknown:NC_033007.1/KX884017.1</t>
  </si>
  <si>
    <t>Beihai weivirus-like virus 20</t>
  </si>
  <si>
    <t>PRJNA361956</t>
  </si>
  <si>
    <t>Prosthecochloris aestuarii DSM 271</t>
  </si>
  <si>
    <t>Unknown:NC_033074.1/KX884025.1</t>
  </si>
  <si>
    <t>Beihai weivirus-like virus 2</t>
  </si>
  <si>
    <t>PRJNA361957</t>
  </si>
  <si>
    <t>Unknown:NC_032962.1/KX884009.1</t>
  </si>
  <si>
    <t>Beihai weivirus-like virus 18</t>
  </si>
  <si>
    <t>PRJNA361958</t>
  </si>
  <si>
    <t>Unknown:NC_033004.1/KX884016.1</t>
  </si>
  <si>
    <t>Beihai weivirus-like virus 17</t>
  </si>
  <si>
    <t>PRJNA361959</t>
  </si>
  <si>
    <t>Unknown:NC_032955.1/KX884008.1</t>
  </si>
  <si>
    <t>Beihai weivirus-like virus 16</t>
  </si>
  <si>
    <t>PRJNA361960</t>
  </si>
  <si>
    <t>Unknown:NC_032974.1/KX884011.1</t>
  </si>
  <si>
    <t>Beihai weivirus-like virus 15</t>
  </si>
  <si>
    <t>PRJNA361961</t>
  </si>
  <si>
    <t>Unknown:NC_033035.1/KX884021.1</t>
  </si>
  <si>
    <t>Proteus mirabilis BB2000</t>
  </si>
  <si>
    <t>Beihai weivirus-like virus 13</t>
  </si>
  <si>
    <t>PRJNA361962</t>
  </si>
  <si>
    <t>Unknown:NC_033020.1/KX884019.1</t>
  </si>
  <si>
    <t>Beihai weivirus-like virus 12</t>
  </si>
  <si>
    <t>PRJNA361963</t>
  </si>
  <si>
    <t>Unknown:NC_033056.1/KX884023.1</t>
  </si>
  <si>
    <t>Beihai weivirus-like virus 11</t>
  </si>
  <si>
    <t>PRJNA361964</t>
  </si>
  <si>
    <t>Proteus mirabilis HI4320</t>
  </si>
  <si>
    <t>Unknown:NC_033066.1/KX884024.1</t>
  </si>
  <si>
    <t>Beihai weivirus-like virus 1</t>
  </si>
  <si>
    <t>PRJNA361965</t>
  </si>
  <si>
    <t>Unknown:NC_033031.1/KX884020.1</t>
  </si>
  <si>
    <t>Beihai victori-like virus 1</t>
  </si>
  <si>
    <t>PRJNA361966</t>
  </si>
  <si>
    <t>Proteus mirabilis strain AOUC-001</t>
  </si>
  <si>
    <t>Unknown:NC_032786.1/KX882948.1</t>
  </si>
  <si>
    <t>Beihai uca arcuata virus 1</t>
  </si>
  <si>
    <t>PRJNA361967</t>
  </si>
  <si>
    <t>Unknown:NC_032746.1/KX882942.1</t>
  </si>
  <si>
    <t>Beihai toti-like virus 4</t>
  </si>
  <si>
    <t>PRJNA361968</t>
  </si>
  <si>
    <t>Unknown:NC_032841.1/KX882958.1</t>
  </si>
  <si>
    <t>Proteus mirabilis strain CYPM1</t>
  </si>
  <si>
    <t>Beihai tombus-like virus 9</t>
  </si>
  <si>
    <t>PRJNA361969</t>
  </si>
  <si>
    <t>Unknown:NC_032914.1/KX883068.1</t>
  </si>
  <si>
    <t>Beihai tombus-like virus 8</t>
  </si>
  <si>
    <t>PRJNA361970</t>
  </si>
  <si>
    <t>Unknown:NC_032951.1/KX883073.1</t>
  </si>
  <si>
    <t>Beihai tombus-like virus 7</t>
  </si>
  <si>
    <t>PRJNA361971</t>
  </si>
  <si>
    <t>Unknown:NC_033208.1/KX883021.1</t>
  </si>
  <si>
    <t>Proteus mirabilis strain FDAARGOS_60</t>
  </si>
  <si>
    <t>Beihai tombus-like virus 5</t>
  </si>
  <si>
    <t>PRJNA361972</t>
  </si>
  <si>
    <t>Unknown:NC_033250.1/KX883116.1</t>
  </si>
  <si>
    <t>Beihai tombus-like virus 3</t>
  </si>
  <si>
    <t>PRJNA361973</t>
  </si>
  <si>
    <t>Unknown:NC_032903.1/KX883067.1</t>
  </si>
  <si>
    <t>Beihai tombus-like virus 2</t>
  </si>
  <si>
    <t>Proteus mirabilis strain FDAARGOS_67</t>
  </si>
  <si>
    <t>PRJNA361974</t>
  </si>
  <si>
    <t>Unknown:NC_033268.1/KX883035.1</t>
  </si>
  <si>
    <t>Beihai tombus-like virus 18</t>
  </si>
  <si>
    <t>PRJNA361975</t>
  </si>
  <si>
    <t>Unknown:NC_032958.1/KX883074.1</t>
  </si>
  <si>
    <t>Proteus mirabilis strain FDAARGOS_81</t>
  </si>
  <si>
    <t>Beihai tombus-like virus 17</t>
  </si>
  <si>
    <t>PRJNA361976</t>
  </si>
  <si>
    <t>Unknown:NC_032885.1/KX883064.1</t>
  </si>
  <si>
    <t>Beihai tombus-like virus 16</t>
  </si>
  <si>
    <t>PRJNA361977</t>
  </si>
  <si>
    <t>Proteus vulgaris strain CYPV1</t>
  </si>
  <si>
    <t>Unknown:NC_032787.1/KX883047.1</t>
  </si>
  <si>
    <t>Beihai tombus-like virus 15</t>
  </si>
  <si>
    <t>PRJNA361978</t>
  </si>
  <si>
    <t>Protochlamydia naegleriophila strain KNic</t>
  </si>
  <si>
    <t>Unknown:NC_033202.1/KX883020.1</t>
  </si>
  <si>
    <t>Beihai tombus-like virus 14</t>
  </si>
  <si>
    <t>PRJNA361979</t>
  </si>
  <si>
    <t>Unknown:NC_032866.1/KX883060.1</t>
  </si>
  <si>
    <t>Providencia alcalifaciens Ban1</t>
  </si>
  <si>
    <t>Beihai tombus-like virus 13</t>
  </si>
  <si>
    <t>PRJNA361980</t>
  </si>
  <si>
    <t>Unknown:NC_032880.1/KX883063.1</t>
  </si>
  <si>
    <t>Beihai tombus-like virus 12</t>
  </si>
  <si>
    <t>PRJNA361981</t>
  </si>
  <si>
    <t>Unknown:NC_032747.1/KX883041.1</t>
  </si>
  <si>
    <t>Providencia stuartii MRSN 2154</t>
  </si>
  <si>
    <t>Changjiang picorna-like virus 3</t>
  </si>
  <si>
    <t>PRJNA361982</t>
  </si>
  <si>
    <t>Unknown:NC_032755.1/KX884542.1</t>
  </si>
  <si>
    <t>Changjiang picorna-like virus 2</t>
  </si>
  <si>
    <t>PRJNA361983</t>
  </si>
  <si>
    <t>Unknown:NC_032788.1/KX884547.1</t>
  </si>
  <si>
    <t>Changjiang picorna-like virus 16</t>
  </si>
  <si>
    <t>PRJNA361984</t>
  </si>
  <si>
    <t>Unknown:NC_032737.1/KX884538.1</t>
  </si>
  <si>
    <t>Providencia stuartii strain 33672</t>
  </si>
  <si>
    <t>Changjiang picorna-like virus 15</t>
  </si>
  <si>
    <t>PRJNA361985</t>
  </si>
  <si>
    <t>Unknown:NC_032816.1/KX884552.1</t>
  </si>
  <si>
    <t>Changjiang picorna-like virus 14</t>
  </si>
  <si>
    <t>PRJNA361986</t>
  </si>
  <si>
    <t>Unknown:NC_032773.1/KX884544.1</t>
  </si>
  <si>
    <t>Changjiang picorna-like virus 13</t>
  </si>
  <si>
    <t>Providencia stuartii strain FDAARGOS_145</t>
  </si>
  <si>
    <t>PRJNA361987</t>
  </si>
  <si>
    <t>Unknown:NC_032879.1/KX884563.1</t>
  </si>
  <si>
    <t>Changjiang picorna-like virus 12</t>
  </si>
  <si>
    <t>PRJNA361988</t>
  </si>
  <si>
    <t>Unknown:NC_032779.1/KX884545.1</t>
  </si>
  <si>
    <t>Changjiang picorna-like virus 11</t>
  </si>
  <si>
    <t>PRJNA361989</t>
  </si>
  <si>
    <t>Pseudanabaena sp. PCC 7367</t>
  </si>
  <si>
    <t>Unknown:NC_032833.1/KX884554.1</t>
  </si>
  <si>
    <t>Changjiang picorna-like virus 10</t>
  </si>
  <si>
    <t>PRJNA361990</t>
  </si>
  <si>
    <t>Unknown:NC_032823.1/KX884553.1</t>
  </si>
  <si>
    <t>Changjiang narna-like virus 4</t>
  </si>
  <si>
    <t>PRJNA361991</t>
  </si>
  <si>
    <t>Unknown:NC_033143.1/KX883524.1</t>
  </si>
  <si>
    <t>Pseudoalteromonas atlantica T6c</t>
  </si>
  <si>
    <t>Changjiang narna-like virus 3</t>
  </si>
  <si>
    <t>PRJNA361992</t>
  </si>
  <si>
    <t>Unknown:NC_033124.1/KX883522.1</t>
  </si>
  <si>
    <t>Changjiang narna-like virus 2</t>
  </si>
  <si>
    <t>PRJNA361993</t>
  </si>
  <si>
    <t>Unknown:NC_033111.1/KX883520.1</t>
  </si>
  <si>
    <t>Changjiang narna-like virus 1</t>
  </si>
  <si>
    <t>PRJNA361994</t>
  </si>
  <si>
    <t>Pseudoalteromonas haloplanktis TAC125</t>
  </si>
  <si>
    <t>Unknown:NC_033118.1/KX883521.1</t>
  </si>
  <si>
    <t>Changjiang hepe-like virus 1</t>
  </si>
  <si>
    <t>PRJNA361995</t>
  </si>
  <si>
    <t>Unknown:NC_033039.1/KX883762.1</t>
  </si>
  <si>
    <t>Pseudoalteromonas issachenkonii strain KCTC 12958</t>
  </si>
  <si>
    <t>Changjiang crawfish virus 7</t>
  </si>
  <si>
    <t>PRJNA361996</t>
  </si>
  <si>
    <t>Unknown:NC_033052.1/KX883089.1</t>
  </si>
  <si>
    <t>Changjiang crawfish virus 6</t>
  </si>
  <si>
    <t>PRJNA361997</t>
  </si>
  <si>
    <t>Unknown:NC_032801.1/KX884549.1</t>
  </si>
  <si>
    <t>Changjiang crawfish virus 5</t>
  </si>
  <si>
    <t>PRJNA361998</t>
  </si>
  <si>
    <t>Unknown:NC_032740.1/KX884539.1</t>
  </si>
  <si>
    <t>Changjiang crawfish virus 3</t>
  </si>
  <si>
    <t>PRJNA361999</t>
  </si>
  <si>
    <t>Pseudoalteromonas phenolica strain KCTC 12086</t>
  </si>
  <si>
    <t>Unknown:NC_032868.1/KX884561.1</t>
  </si>
  <si>
    <t>Changjiang crawfish virus 2</t>
  </si>
  <si>
    <t>PRJNA362000</t>
  </si>
  <si>
    <t>Unknown:NC_032850.1/KX884558.1</t>
  </si>
  <si>
    <t>Changjiang crawfish virus 1</t>
  </si>
  <si>
    <t>PRJNA362001</t>
  </si>
  <si>
    <t>Unknown:NC_032874.1/KX884562.1</t>
  </si>
  <si>
    <t>Changjiang astro-like virus</t>
  </si>
  <si>
    <t>PRJNA362002</t>
  </si>
  <si>
    <t>Pseudoalteromonas rubra strain SCSIO 6842</t>
  </si>
  <si>
    <t>Unknown:NC_032893.1/KX884566.1</t>
  </si>
  <si>
    <t>Beihai zhaovirus-like virus 5</t>
  </si>
  <si>
    <t>PRJNA362003</t>
  </si>
  <si>
    <t>Unknown:NC_033154.1/KX884036.1</t>
  </si>
  <si>
    <t>Beihai zhaovirus-like virus 4</t>
  </si>
  <si>
    <t>Pseudoalteromonas sp. OCN003</t>
  </si>
  <si>
    <t>PRJNA362004</t>
  </si>
  <si>
    <t>Unknown:NC_033175.1/KX884040.1</t>
  </si>
  <si>
    <t>Beihai zhaovirus-like virus 3</t>
  </si>
  <si>
    <t>PRJNA362005</t>
  </si>
  <si>
    <t>Unknown:NC_033167.1/KX884039.1</t>
  </si>
  <si>
    <t>Beihai zhaovirus-like virus 2</t>
  </si>
  <si>
    <t>PRJNA362006</t>
  </si>
  <si>
    <t>Pseudoalteromonas sp. SM9913</t>
  </si>
  <si>
    <t>Unknown:NC_033159.1/KX884037.1</t>
  </si>
  <si>
    <t>Beihai zhaovirus-like virus 1</t>
  </si>
  <si>
    <t>PRJNA362007</t>
  </si>
  <si>
    <t>Unknown:NC_033162.1/KX884038.1</t>
  </si>
  <si>
    <t>Beihai weivirus-like virus 9</t>
  </si>
  <si>
    <t>PRJNA362008</t>
  </si>
  <si>
    <t>Pseudoalteromonas translucida KMM 520</t>
  </si>
  <si>
    <t>Unknown:NC_033085.1/KX884026.1</t>
  </si>
  <si>
    <t>Beihai weivirus-like virus 8</t>
  </si>
  <si>
    <t>PRJNA362009</t>
  </si>
  <si>
    <t>Unknown:NC_032950.1/KX884007.1</t>
  </si>
  <si>
    <t>Beihai weivirus-like virus 7</t>
  </si>
  <si>
    <t>PRJNA362010</t>
  </si>
  <si>
    <t>Unknown:NC_032995.1/KX884014.1</t>
  </si>
  <si>
    <t>Beihai weivirus-like virus 5</t>
  </si>
  <si>
    <t>Pseudobacteroides cellulosolvens ATCC 35603 = DSM 2933</t>
  </si>
  <si>
    <t>PRJNA362011</t>
  </si>
  <si>
    <t>Unknown:NC_032980.1/KX884012.1</t>
  </si>
  <si>
    <t>Changjiang zhaovirus-like virus 1</t>
  </si>
  <si>
    <t>PRJNA362012</t>
  </si>
  <si>
    <t>Unknown:NC_033181.1/KX884041.1</t>
  </si>
  <si>
    <t>Changjiang tombus-like virus 9</t>
  </si>
  <si>
    <t>PRJNA362013</t>
  </si>
  <si>
    <t>Unknown:NC_033161.1/KX883101.1</t>
  </si>
  <si>
    <t>Pseudogulbenkiania sp. NH8B</t>
  </si>
  <si>
    <t>Changjiang tombus-like virus 8</t>
  </si>
  <si>
    <t>PRJNA362014</t>
  </si>
  <si>
    <t>Unknown:NC_033063.1/KX883090.1</t>
  </si>
  <si>
    <t>Changjiang tombus-like virus 7</t>
  </si>
  <si>
    <t>PRJNA362015</t>
  </si>
  <si>
    <t>Unknown:NC_033183.1/KX883103.1</t>
  </si>
  <si>
    <t>Changjiang tombus-like virus 6</t>
  </si>
  <si>
    <t>PRJNA362016</t>
  </si>
  <si>
    <t>Pseudohongiella spirulinae strain KCTC 32221</t>
  </si>
  <si>
    <t>Unknown:NC_033142.1/KX883099.1</t>
  </si>
  <si>
    <t>Changjiang tombus-like virus 5</t>
  </si>
  <si>
    <t>PRJNA362017</t>
  </si>
  <si>
    <t>Unknown:NC_033169.1/KX883102.1</t>
  </si>
  <si>
    <t>Changjiang tombus-like virus 4</t>
  </si>
  <si>
    <t>PRJNA362018</t>
  </si>
  <si>
    <t>Unknown:NC_033076.1/KX883091.1</t>
  </si>
  <si>
    <t>Changjiang tombus-like virus 3</t>
  </si>
  <si>
    <t>PRJNA362019</t>
  </si>
  <si>
    <t>Pseudomonadaceae bacterium B4199</t>
  </si>
  <si>
    <t>Unknown:NC_033104.1/KX883095.1</t>
  </si>
  <si>
    <t>Changjiang tombus-like virus 22</t>
  </si>
  <si>
    <t>PRJNA362020</t>
  </si>
  <si>
    <t>Unknown:NC_033199.1/KX883105.1</t>
  </si>
  <si>
    <t>Changjiang tombus-like virus 21</t>
  </si>
  <si>
    <t>PRJNA362021</t>
  </si>
  <si>
    <t>Unknown:NC_032991.1/KX883081.1</t>
  </si>
  <si>
    <t>Pseudomonadaceae bacterium C6819</t>
  </si>
  <si>
    <t>Changjiang tombus-like virus 20</t>
  </si>
  <si>
    <t>PRJNA362022</t>
  </si>
  <si>
    <t>Unknown:NC_033155.1/KX883100.1</t>
  </si>
  <si>
    <t>Changjiang tombus-like virus 2</t>
  </si>
  <si>
    <t>PRJNA362023</t>
  </si>
  <si>
    <t>Unknown:NC_033135.1/KX883098.1</t>
  </si>
  <si>
    <t>Changjiang tombus-like virus 19</t>
  </si>
  <si>
    <t>Pseudomonadaceae bacterium C6918</t>
  </si>
  <si>
    <t>PRJNA362024</t>
  </si>
  <si>
    <t>Unknown:NC_032997.1/KX883082.1</t>
  </si>
  <si>
    <t>Changjiang tombus-like virus 18</t>
  </si>
  <si>
    <t>PRJNA362025</t>
  </si>
  <si>
    <t>Unknown:NC_033002.1/KX883083.1</t>
  </si>
  <si>
    <t>Pseudomonadaceae bacterium D2441</t>
  </si>
  <si>
    <t>Changjiang tombus-like virus 17</t>
  </si>
  <si>
    <t>PRJNA362026</t>
  </si>
  <si>
    <t>Unknown:NC_033123.1/KX883097.1</t>
  </si>
  <si>
    <t>Changjiang tombus-like virus 16</t>
  </si>
  <si>
    <t>PRJNA362027</t>
  </si>
  <si>
    <t>Unknown:NC_033016.1/KX883085.1</t>
  </si>
  <si>
    <t>Pseudomonadaceae bacterium D3318</t>
  </si>
  <si>
    <t>Changjiang tombus-like virus 14</t>
  </si>
  <si>
    <t>PRJNA362028</t>
  </si>
  <si>
    <t>Unknown:NC_033096.1/KX883094.1</t>
  </si>
  <si>
    <t>Changjiang tombus-like virus 12</t>
  </si>
  <si>
    <t>PRJNA362029</t>
  </si>
  <si>
    <t>Pseudomonadaceae bacterium E1086</t>
  </si>
  <si>
    <t>Unknown:NC_033042.1/KX883088.1</t>
  </si>
  <si>
    <t>Changjiang tombus-like virus 11</t>
  </si>
  <si>
    <t>PRJNA362030</t>
  </si>
  <si>
    <t>Unknown:NC_033191.1/KX883104.1</t>
  </si>
  <si>
    <t>Changjiang tombus-like virus 10</t>
  </si>
  <si>
    <t>PRJNA362031</t>
  </si>
  <si>
    <t>Unknown:NC_033008.1/KX883084.1</t>
  </si>
  <si>
    <t>Pseudomonadaceae bacterium E1148</t>
  </si>
  <si>
    <t>Changjiang tombus-like virus 1</t>
  </si>
  <si>
    <t>PRJNA362032</t>
  </si>
  <si>
    <t>Unknown:NC_033028.1/KX883086.1</t>
  </si>
  <si>
    <t>Changjiang sobemo-like virus 2</t>
  </si>
  <si>
    <t>PRJNA362033</t>
  </si>
  <si>
    <t>Unknown:NC_033029.1/KX882818.1</t>
  </si>
  <si>
    <t>Pseudomonadaceae bacterium E5571</t>
  </si>
  <si>
    <t>Changjiang sobemo-like virus 1</t>
  </si>
  <si>
    <t>PRJNA362034</t>
  </si>
  <si>
    <t>Unknown:NC_033011.1/KX882816.1</t>
  </si>
  <si>
    <t>Changjiang polero-like virus 1</t>
  </si>
  <si>
    <t>PRJNA362035</t>
  </si>
  <si>
    <t>Unknown:NC_033018.1/KX882817.1</t>
  </si>
  <si>
    <t>Changjiang picorna-like virus 9</t>
  </si>
  <si>
    <t>PRJNA362036</t>
  </si>
  <si>
    <t>Unknown:NC_032749.1/KX884541.1</t>
  </si>
  <si>
    <t>Pseudomonas aeruginosa</t>
  </si>
  <si>
    <t>Changjiang picorna-like virus 8</t>
  </si>
  <si>
    <t>PRJNA362037</t>
  </si>
  <si>
    <t>Unknown:NC_032855.1/KX884559.1</t>
  </si>
  <si>
    <t>Changjiang picorna-like virus 7</t>
  </si>
  <si>
    <t>PRJNA362038</t>
  </si>
  <si>
    <t>Unknown:NC_032860.1/KX884560.1</t>
  </si>
  <si>
    <t>Changjiang picorna-like virus 6</t>
  </si>
  <si>
    <t>PRJNA362039</t>
  </si>
  <si>
    <t>Unknown:NC_032794.1/KX884548.1</t>
  </si>
  <si>
    <t>Changjiang picorna-like virus 5</t>
  </si>
  <si>
    <t>PRJNA362040</t>
  </si>
  <si>
    <t>Unknown:NC_032845.1/KX884557.1</t>
  </si>
  <si>
    <t>Changjiang picorna-like virus 4</t>
  </si>
  <si>
    <t>PRJNA362041</t>
  </si>
  <si>
    <t>Unknown:NC_032761.1/KX884543.1</t>
  </si>
  <si>
    <t>Hubei leech virus 1</t>
  </si>
  <si>
    <t>PRJNA362042</t>
  </si>
  <si>
    <t>Unknown:NC_032925.1/KX884571.1</t>
  </si>
  <si>
    <t>Hubei hepe-like virus 3</t>
  </si>
  <si>
    <t>PRJNA362043</t>
  </si>
  <si>
    <t>Unknown:NC_033032.1/KX883823.1</t>
  </si>
  <si>
    <t>Hubei hepe-like virus 2</t>
  </si>
  <si>
    <t>PRJNA362044</t>
  </si>
  <si>
    <t>Unknown:NC_032896.1/KX883808.1</t>
  </si>
  <si>
    <t>Hubei hepe-like virus 1</t>
  </si>
  <si>
    <t>PRJNA362045</t>
  </si>
  <si>
    <t>Unknown:NC_032909.1/KX883809.1</t>
  </si>
  <si>
    <t>Hubei endorna-like virus 1</t>
  </si>
  <si>
    <t>PRJNA362046</t>
  </si>
  <si>
    <t>Unknown:NC_033204.1/KX883776.1</t>
  </si>
  <si>
    <t>Hubei diptera virus 9</t>
  </si>
  <si>
    <t>PRJNA362047</t>
  </si>
  <si>
    <t>Unknown:NC_033034.1/KX884429.1</t>
  </si>
  <si>
    <t>Hubei diptera virus 22</t>
  </si>
  <si>
    <t>PRJNA362048</t>
  </si>
  <si>
    <t>Unknown:NC_032902.1/KX882972.1</t>
  </si>
  <si>
    <t>Hubei diptera virus 17</t>
  </si>
  <si>
    <t>PRJNA362049</t>
  </si>
  <si>
    <t>44.4419</t>
  </si>
  <si>
    <t>1:NC_033301.1/KX884145.1;  2:NC_033302.1/KX884146.1</t>
  </si>
  <si>
    <t>Hubei diptera virus 16</t>
  </si>
  <si>
    <t>PRJNA362050</t>
  </si>
  <si>
    <t>Unknown:NC_032872.1/KX883145.1</t>
  </si>
  <si>
    <t>Hubei diptera virus 15</t>
  </si>
  <si>
    <t>PRJNA362051</t>
  </si>
  <si>
    <t>Unknown:NC_032897.1/KX883150.1</t>
  </si>
  <si>
    <t>Hubei diptera virus 14</t>
  </si>
  <si>
    <t>PRJNA362052</t>
  </si>
  <si>
    <t>37.9723</t>
  </si>
  <si>
    <t>1:NC_033304.1/KX882851.1;  2:NC_033329.1/KX882852.1</t>
  </si>
  <si>
    <t>Hubei diptera virus 13</t>
  </si>
  <si>
    <t>PRJNA362053</t>
  </si>
  <si>
    <t>50.5849</t>
  </si>
  <si>
    <t>1:NC_033331.1/KX882858.1;  2:NC_033332.1/KX882859.1</t>
  </si>
  <si>
    <t>Hubei diptera virus 12</t>
  </si>
  <si>
    <t>PRJNA362054</t>
  </si>
  <si>
    <t>46.9829</t>
  </si>
  <si>
    <t>1:NC_033303.1/KX882853.1;  2:NC_033330.1/KX882854.1</t>
  </si>
  <si>
    <t>Hubei diptera virus 11</t>
  </si>
  <si>
    <t>PRJNA362055</t>
  </si>
  <si>
    <t>Unknown:NC_033055.1/KX884430.1</t>
  </si>
  <si>
    <t>Hubei diptera virus 10</t>
  </si>
  <si>
    <t>PRJNA362056</t>
  </si>
  <si>
    <t>Unknown:NC_033103.1/KX884433.1</t>
  </si>
  <si>
    <t>Hubei diptera virus 1</t>
  </si>
  <si>
    <t>PRJNA362057</t>
  </si>
  <si>
    <t>Unknown:NC_032774.1/KX883971.1</t>
  </si>
  <si>
    <t>Hubei dimarhabdovirus virus 3</t>
  </si>
  <si>
    <t>PRJNA362058</t>
  </si>
  <si>
    <t>Unknown:NC_032982.1/KX884423.1</t>
  </si>
  <si>
    <t>Hubei dimarhabdovirus virus 2</t>
  </si>
  <si>
    <t>PRJNA362059</t>
  </si>
  <si>
    <t>Unknown:NC_033006.1/KX884426.1</t>
  </si>
  <si>
    <t>Hubei dimarhabdovirus virus 1</t>
  </si>
  <si>
    <t>PRJNA362060</t>
  </si>
  <si>
    <t>Unknown:NC_033070.1/KX884431.1</t>
  </si>
  <si>
    <t>Hubei coleoptera virus 3</t>
  </si>
  <si>
    <t>PRJNA362061</t>
  </si>
  <si>
    <t>Unknown:NC_032922.1/KX884416.1</t>
  </si>
  <si>
    <t>Hubei coleoptera virus 2</t>
  </si>
  <si>
    <t>PRJNA362062</t>
  </si>
  <si>
    <t>Unknown:NC_033054.1/KX883925.1</t>
  </si>
  <si>
    <t>Hubei coleoptera virus 1</t>
  </si>
  <si>
    <t>PRJNA362063</t>
  </si>
  <si>
    <t>Unknown:NC_033030.1/KX883921.1</t>
  </si>
  <si>
    <t>Hubei chuvirus-like virus 3</t>
  </si>
  <si>
    <t>PRJNA362064</t>
  </si>
  <si>
    <t>Unknown:NC_033015.1/KX884427.1</t>
  </si>
  <si>
    <t>Hubei chuvirus-like virus 1</t>
  </si>
  <si>
    <t>PRJNA362065</t>
  </si>
  <si>
    <t>31.0578</t>
  </si>
  <si>
    <t>1:NC_033327.1/KX884424.1;  2:NC_033328.1/KX884425.1</t>
  </si>
  <si>
    <t>Hubei arthropod virus 3</t>
  </si>
  <si>
    <t>PRJNA362066</t>
  </si>
  <si>
    <t>Unknown:NC_032905.1/KX883895.1</t>
  </si>
  <si>
    <t>Hubei arthropod virus 1</t>
  </si>
  <si>
    <t>PRJNA362067</t>
  </si>
  <si>
    <t>Unknown:NC_032800.1/KX883297.1</t>
  </si>
  <si>
    <t>Hubei Wuhan insect virus 9</t>
  </si>
  <si>
    <t>PRJNA362068</t>
  </si>
  <si>
    <t>34.3462</t>
  </si>
  <si>
    <t>1:NC_033326.1/KX883782.1;  2:NC_033325.1/KX883781.1</t>
  </si>
  <si>
    <t>Hubei Poty-like virus 1</t>
  </si>
  <si>
    <t>PRJNA362069</t>
  </si>
  <si>
    <t>Pseudomonas aeruginosa B136-33</t>
  </si>
  <si>
    <t>Unknown:NC_032912.1/KX884568.1</t>
  </si>
  <si>
    <t>Changping earthworm virus 2</t>
  </si>
  <si>
    <t>PRJNA362070</t>
  </si>
  <si>
    <t>42.4377</t>
  </si>
  <si>
    <t>1:NC_033319.1/KX883849.1;  2:NC_033320.1/KX883850.1;  3:NC_033321.1/KX883851.1;  4:NC_033323.1/KX883852.1;  5:NC_033322.1/KX883853.1;  6:NC_033324.1/KX883854.1</t>
  </si>
  <si>
    <t>Changping earthworm virus 1</t>
  </si>
  <si>
    <t>PRJNA362071</t>
  </si>
  <si>
    <t>Unknown:NC_032881.1/KX883890.1</t>
  </si>
  <si>
    <t>Pseudomonas aeruginosa c7447m</t>
  </si>
  <si>
    <t>Hubei odonate virus 12</t>
  </si>
  <si>
    <t>PRJNA362072</t>
  </si>
  <si>
    <t>Unknown:NC_032846.1/KX883141.1</t>
  </si>
  <si>
    <t>Hubei odonate virus 11</t>
  </si>
  <si>
    <t>PRJNA362073</t>
  </si>
  <si>
    <t>Unknown:NC_032956.1/KX884419.1</t>
  </si>
  <si>
    <t>Pseudomonas aeruginosa DK2</t>
  </si>
  <si>
    <t>Hubei odonate virus 10</t>
  </si>
  <si>
    <t>PRJNA362074</t>
  </si>
  <si>
    <t>Unknown:NC_032944.1/KX884418.1</t>
  </si>
  <si>
    <t>Hubei odonate virus 1</t>
  </si>
  <si>
    <t>PRJNA362075</t>
  </si>
  <si>
    <t>Unknown:NC_033200.1/KX883947.1</t>
  </si>
  <si>
    <t>Pseudomonas aeruginosa DSM 50071</t>
  </si>
  <si>
    <t>Hubei noda-like virus 9</t>
  </si>
  <si>
    <t>PRJNA362076</t>
  </si>
  <si>
    <t>42.8777</t>
  </si>
  <si>
    <t>1:NC_033307.1/KX883235.1;  2:NC_033308.1/KX883236.1</t>
  </si>
  <si>
    <t>Hubei noda-like virus 8</t>
  </si>
  <si>
    <t>PRJNA362077</t>
  </si>
  <si>
    <t>42.6365</t>
  </si>
  <si>
    <t>1:NC_033309.1/KX883237.1;  2:NC_033310.1/KX883238.1</t>
  </si>
  <si>
    <t>Hubei narna-like virus 9</t>
  </si>
  <si>
    <t>PRJNA362078</t>
  </si>
  <si>
    <t>Unknown:NC_032891.1/KX883579.1</t>
  </si>
  <si>
    <t>Pseudomonas aeruginosa F22031</t>
  </si>
  <si>
    <t>Hubei narna-like virus 7</t>
  </si>
  <si>
    <t>PRJNA362079</t>
  </si>
  <si>
    <t>Unknown:NC_032910.1/KX883581.1</t>
  </si>
  <si>
    <t>Hubei narna-like virus 5</t>
  </si>
  <si>
    <t>PRJNA362080</t>
  </si>
  <si>
    <t>Unknown:NC_032821.1/KX883565.1</t>
  </si>
  <si>
    <t>Hubei narna-like virus 4</t>
  </si>
  <si>
    <t>PRJNA362081</t>
  </si>
  <si>
    <t>Pseudomonas aeruginosa FRD1</t>
  </si>
  <si>
    <t>Unknown:NC_033013.1/KX883596.1</t>
  </si>
  <si>
    <t>Hubei narna-like virus 3</t>
  </si>
  <si>
    <t>PRJNA362082</t>
  </si>
  <si>
    <t>Unknown:NC_033255.1/KX883541.1</t>
  </si>
  <si>
    <t>Hubei narna-like virus 23</t>
  </si>
  <si>
    <t>PRJNA362083</t>
  </si>
  <si>
    <t>Unknown:NC_032870.1/KX883574.1</t>
  </si>
  <si>
    <t>Pseudomonas aeruginosa LES400</t>
  </si>
  <si>
    <t>Hubei narna-like virus 22</t>
  </si>
  <si>
    <t>PRJNA362084</t>
  </si>
  <si>
    <t>Unknown:NC_032861.1/KX883572.1</t>
  </si>
  <si>
    <t>Hubei narna-like virus 21</t>
  </si>
  <si>
    <t>PRJNA362085</t>
  </si>
  <si>
    <t>Unknown:NC_033249.1/KX883539.1</t>
  </si>
  <si>
    <t>Hubei narna-like virus 2</t>
  </si>
  <si>
    <t>PRJNA362086</t>
  </si>
  <si>
    <t>Pseudomonas aeruginosa LES431</t>
  </si>
  <si>
    <t>Unknown:NC_032887.1/KX883578.1</t>
  </si>
  <si>
    <t>Hubei narna-like virus 19</t>
  </si>
  <si>
    <t>PRJNA362087</t>
  </si>
  <si>
    <t>Unknown:NC_033259.1/KX883542.1</t>
  </si>
  <si>
    <t>Hubei narna-like virus 17</t>
  </si>
  <si>
    <t>PRJNA362088</t>
  </si>
  <si>
    <t>Pseudomonas aeruginosa LESB58</t>
  </si>
  <si>
    <t>Unknown:NC_033234.1/KX883536.1</t>
  </si>
  <si>
    <t>Hubei narna-like virus 15</t>
  </si>
  <si>
    <t>PRJNA362089</t>
  </si>
  <si>
    <t>Unknown:NC_033253.1/KX883540.1</t>
  </si>
  <si>
    <t>Pseudomonas aeruginosa LESB65</t>
  </si>
  <si>
    <t>Hubei narna-like virus 13</t>
  </si>
  <si>
    <t>PRJNA362090</t>
  </si>
  <si>
    <t>Unknown:NC_033264.1/KX883543.1</t>
  </si>
  <si>
    <t>Hubei narna-like virus 12</t>
  </si>
  <si>
    <t>PRJNA362091</t>
  </si>
  <si>
    <t>Pseudomonas aeruginosa LESlike1</t>
  </si>
  <si>
    <t>Unknown:NC_032867.1/KX883573.1</t>
  </si>
  <si>
    <t>Hubei narna-like virus 11</t>
  </si>
  <si>
    <t>PRJNA362092</t>
  </si>
  <si>
    <t>Unknown:NC_032915.1/KX883582.1</t>
  </si>
  <si>
    <t>Hubei mosquito virus 3</t>
  </si>
  <si>
    <t>PRJNA362093</t>
  </si>
  <si>
    <t>Pseudomonas aeruginosa LESlike4</t>
  </si>
  <si>
    <t>Unknown:NC_033257.1/KX883460.1</t>
  </si>
  <si>
    <t>Hubei mosquito virus 2</t>
  </si>
  <si>
    <t>PRJNA362094</t>
  </si>
  <si>
    <t>47.1494</t>
  </si>
  <si>
    <t>1:NC_033305.1/KX882832.1;  2:NC_033306.1/KX882833.1</t>
  </si>
  <si>
    <t>Hubei mosquito virus 1</t>
  </si>
  <si>
    <t>PRJNA362095</t>
  </si>
  <si>
    <t>Unknown:NC_033014.1/KX883917.1</t>
  </si>
  <si>
    <t>Pseudomonas aeruginosa LESlike5</t>
  </si>
  <si>
    <t>Hubei macula-like virus 2</t>
  </si>
  <si>
    <t>PRJNA362096</t>
  </si>
  <si>
    <t>Unknown:NC_033260.1/KX883785.1</t>
  </si>
  <si>
    <t>Hubei macula-like virus 1</t>
  </si>
  <si>
    <t>PRJNA362097</t>
  </si>
  <si>
    <t>Unknown:NC_033254.1/KX883784.1</t>
  </si>
  <si>
    <t>Hubei lepidoptera virus 2</t>
  </si>
  <si>
    <t>Pseudomonas aeruginosa LESlike7</t>
  </si>
  <si>
    <t>PRJNA362098</t>
  </si>
  <si>
    <t>Unknown:NC_032907.1/KX884415.1</t>
  </si>
  <si>
    <t>Hubei leech virus 4</t>
  </si>
  <si>
    <t>PRJNA362099</t>
  </si>
  <si>
    <t>Unknown:NC_032736.1/KX883725.1</t>
  </si>
  <si>
    <t>Hubei leech virus 3</t>
  </si>
  <si>
    <t>PRJNA362100</t>
  </si>
  <si>
    <t>Pseudomonas aeruginosa M18</t>
  </si>
  <si>
    <t>Unknown:NC_032745.1/KX883727.1</t>
  </si>
  <si>
    <t>Hubei picorna-like virus 17</t>
  </si>
  <si>
    <t>PRJNA362101</t>
  </si>
  <si>
    <t>Unknown:NC_032916.1/KX883897.1</t>
  </si>
  <si>
    <t>Hubei picorna-like virus 16</t>
  </si>
  <si>
    <t>PRJNA362102</t>
  </si>
  <si>
    <t>Unknown:NC_032780.1/KX883972.1</t>
  </si>
  <si>
    <t>Pseudomonas aeruginosa MTB-1</t>
  </si>
  <si>
    <t>Hubei picorna-like virus 15</t>
  </si>
  <si>
    <t>PRJNA362103</t>
  </si>
  <si>
    <t>Unknown:NC_032757.1/KX883290.1</t>
  </si>
  <si>
    <t>Hubei picorna-like virus 14</t>
  </si>
  <si>
    <t>PRJNA362104</t>
  </si>
  <si>
    <t>Unknown:NC_033112.1/KX883934.1</t>
  </si>
  <si>
    <t>Pseudomonas aeruginosa NCGM 1900</t>
  </si>
  <si>
    <t>Hubei picorna-like virus 13</t>
  </si>
  <si>
    <t>PRJNA362105</t>
  </si>
  <si>
    <t>Unknown:NC_033126.1/KX883936.1</t>
  </si>
  <si>
    <t>Hubei picorna-like virus 12</t>
  </si>
  <si>
    <t>PRJNA362106</t>
  </si>
  <si>
    <t>Unknown:NC_032772.1/KX884305.1</t>
  </si>
  <si>
    <t>Hubei picorna-like virus 11</t>
  </si>
  <si>
    <t>PRJNA362107</t>
  </si>
  <si>
    <t>Unknown:NC_032778.1/KX884306.1</t>
  </si>
  <si>
    <t>Hubei picorna-like virus 10</t>
  </si>
  <si>
    <t>PRJNA362108</t>
  </si>
  <si>
    <t>Pseudomonas aeruginosa NCGM 1984</t>
  </si>
  <si>
    <t>Unknown:NC_033214.1/KX883950.1</t>
  </si>
  <si>
    <t>Hubei picorna-like virus 1</t>
  </si>
  <si>
    <t>PRJNA362109</t>
  </si>
  <si>
    <t>Unknown:NC_033224.1/KX884285.1</t>
  </si>
  <si>
    <t>Hubei permutotetra-like virus 9</t>
  </si>
  <si>
    <t>PRJNA362110</t>
  </si>
  <si>
    <t>Unknown:NC_033251.1/KX883459.1</t>
  </si>
  <si>
    <t>Hubei permutotetra-like virus 8</t>
  </si>
  <si>
    <t>PRJNA362111</t>
  </si>
  <si>
    <t>Pseudomonas aeruginosa NCGM2.S1</t>
  </si>
  <si>
    <t>Unknown:NC_033216.1/KX883453.1</t>
  </si>
  <si>
    <t>Hubei permutotetra-like virus 7</t>
  </si>
  <si>
    <t>PRJNA362112</t>
  </si>
  <si>
    <t>Unknown:NC_033132.1/KX883444.1</t>
  </si>
  <si>
    <t>Hubei permutotetra-like virus 6</t>
  </si>
  <si>
    <t>PRJNA362113</t>
  </si>
  <si>
    <t>Pseudomonas aeruginosa PA1</t>
  </si>
  <si>
    <t>Unknown:NC_033114.1/KX883442.1</t>
  </si>
  <si>
    <t>Hubei permutotetra-like virus 5</t>
  </si>
  <si>
    <t>PRJNA362114</t>
  </si>
  <si>
    <t>Unknown:NC_033233.1/KX883456.1</t>
  </si>
  <si>
    <t>Hubei permutotetra-like virus 4</t>
  </si>
  <si>
    <t>PRJNA362115</t>
  </si>
  <si>
    <t>Unknown:NC_033140.1/KX883445.1</t>
  </si>
  <si>
    <t>Pseudomonas aeruginosa PA1R</t>
  </si>
  <si>
    <t>Hubei permutotetra-like virus 3</t>
  </si>
  <si>
    <t>PRJNA362116</t>
  </si>
  <si>
    <t>Unknown:NC_033179.1/KX883449.1</t>
  </si>
  <si>
    <t>Hubei permutotetra-like virus 2</t>
  </si>
  <si>
    <t>PRJNA362117</t>
  </si>
  <si>
    <t>Unknown:NC_033121.1/KX883443.1</t>
  </si>
  <si>
    <t>Pseudomonas aeruginosa PA38182</t>
  </si>
  <si>
    <t>Hubei permutotetra-like virus 11</t>
  </si>
  <si>
    <t>PRJNA362118</t>
  </si>
  <si>
    <t>Unknown:NC_033097.1/KX883440.1</t>
  </si>
  <si>
    <t>Hubei permutotetra-like virus 10</t>
  </si>
  <si>
    <t>PRJNA362119</t>
  </si>
  <si>
    <t>Unknown:NC_033245.1/KX883458.1</t>
  </si>
  <si>
    <t>Hubei permutotetra-like virus 1</t>
  </si>
  <si>
    <t>PRJNA362120</t>
  </si>
  <si>
    <t>Unknown:NC_033105.1/KX883441.1</t>
  </si>
  <si>
    <t>Pseudomonas aeruginosa PA7</t>
  </si>
  <si>
    <t>Hubei orthoptera virus 5</t>
  </si>
  <si>
    <t>PRJNA362121</t>
  </si>
  <si>
    <t>Unknown:NC_032849.1/KX884463.1</t>
  </si>
  <si>
    <t>Hubei orthoptera virus 4</t>
  </si>
  <si>
    <t>PRJNA362122</t>
  </si>
  <si>
    <t>44.1862</t>
  </si>
  <si>
    <t>1:NC_033311.1/KX883283.1;  2:NC_033312.1/KX883284.1</t>
  </si>
  <si>
    <t>Hubei orthoptera virus 3</t>
  </si>
  <si>
    <t>Pseudomonas aeruginosa PA96</t>
  </si>
  <si>
    <t>PRJNA362123</t>
  </si>
  <si>
    <t>Unknown:NC_032738.1/KX884395.1</t>
  </si>
  <si>
    <t>Hubei orthoptera virus 1</t>
  </si>
  <si>
    <t>PRJNA362124</t>
  </si>
  <si>
    <t>Unknown:NC_032766.1/KX884400.1</t>
  </si>
  <si>
    <t>Hubei odonate virus 7</t>
  </si>
  <si>
    <t>PRJNA362125</t>
  </si>
  <si>
    <t>Pseudomonas aeruginosa PAO1</t>
  </si>
  <si>
    <t>Unknown:NC_033232.1/KX883954.1</t>
  </si>
  <si>
    <t>Hubei odonate virus 6</t>
  </si>
  <si>
    <t>PRJNA362126</t>
  </si>
  <si>
    <t>Unknown:NC_033071.1/KX883928.1</t>
  </si>
  <si>
    <t>Hubei odonate virus 5</t>
  </si>
  <si>
    <t>PRJNA362127</t>
  </si>
  <si>
    <t>Pseudomonas aeruginosa PAO1H2O</t>
  </si>
  <si>
    <t>Unknown:NC_033206.1/KX883948.1</t>
  </si>
  <si>
    <t>Hubei odonate virus 4</t>
  </si>
  <si>
    <t>PRJNA362128</t>
  </si>
  <si>
    <t>Unknown:NC_033243.1/KX883956.1</t>
  </si>
  <si>
    <t>Hubei odonate virus 3</t>
  </si>
  <si>
    <t>PRJNA362129</t>
  </si>
  <si>
    <t>Unknown:NC_033102.1/KX883932.1</t>
  </si>
  <si>
    <t>Pseudomonas aeruginosa PAO1-VE13</t>
  </si>
  <si>
    <t>Hubei odonate virus 2</t>
  </si>
  <si>
    <t>PRJNA362130</t>
  </si>
  <si>
    <t>Unknown:NC_033061.1/KX883926.1</t>
  </si>
  <si>
    <t>Hubei picorna-like virus 5</t>
  </si>
  <si>
    <t>PRJNA362131</t>
  </si>
  <si>
    <t>Pseudomonas aeruginosa PAO1-VE2</t>
  </si>
  <si>
    <t>Unknown:NC_033050.1/KX884261.1</t>
  </si>
  <si>
    <t>Hubei picorna-like virus 49</t>
  </si>
  <si>
    <t>PRJNA362132</t>
  </si>
  <si>
    <t>Pseudomonas aeruginosa PAO581</t>
  </si>
  <si>
    <t>Unknown:NC_032771.1/KX883732.1</t>
  </si>
  <si>
    <t>Hubei picorna-like virus 48</t>
  </si>
  <si>
    <t>PRJNA362133</t>
  </si>
  <si>
    <t>Unknown:NC_032985.1/KX883676.1</t>
  </si>
  <si>
    <t>Pseudomonas aeruginosa RP73</t>
  </si>
  <si>
    <t>Hubei picorna-like virus 47</t>
  </si>
  <si>
    <t>PRJNA362134</t>
  </si>
  <si>
    <t>Unknown:NC_032752.1/KX884302.1</t>
  </si>
  <si>
    <t>Pseudomonas aeruginosa SCV20265</t>
  </si>
  <si>
    <t>Hubei picorna-like virus 45</t>
  </si>
  <si>
    <t>PRJNA362135</t>
  </si>
  <si>
    <t>Unknown:NC_032993.1/KX883678.1</t>
  </si>
  <si>
    <t>Hubei picorna-like virus 44</t>
  </si>
  <si>
    <t>PRJNA362136</t>
  </si>
  <si>
    <t>Unknown:NC_032748.1/KX884301.1</t>
  </si>
  <si>
    <t>Pseudomonas aeruginosa strain 12-4-4(59)</t>
  </si>
  <si>
    <t>Hubei picorna-like virus 43</t>
  </si>
  <si>
    <t>PRJNA362137</t>
  </si>
  <si>
    <t>Unknown:NC_033136.1/KX883938.1</t>
  </si>
  <si>
    <t>Hubei picorna-like virus 42</t>
  </si>
  <si>
    <t>PRJNA362138</t>
  </si>
  <si>
    <t>Unknown:NC_032769.1/KX883291.1</t>
  </si>
  <si>
    <t>Hubei picorna-like virus 41</t>
  </si>
  <si>
    <t>Pseudomonas aeruginosa strain 8380</t>
  </si>
  <si>
    <t>PRJNA362139</t>
  </si>
  <si>
    <t>Unknown:NC_033238.1/KX883955.1</t>
  </si>
  <si>
    <t>Hubei picorna-like virus 40</t>
  </si>
  <si>
    <t>PRJNA362140</t>
  </si>
  <si>
    <t>Unknown:NC_032756.1/KX884303.1</t>
  </si>
  <si>
    <t>Hubei picorna-like virus 4</t>
  </si>
  <si>
    <t>PRJNA362141</t>
  </si>
  <si>
    <t>Unknown:NC_033087.1/KX884265.1</t>
  </si>
  <si>
    <t>Pseudomonas aeruginosa strain ATCC 27853</t>
  </si>
  <si>
    <t>Hubei picorna-like virus 39</t>
  </si>
  <si>
    <t>PRJNA362142</t>
  </si>
  <si>
    <t>Unknown:NC_032790.1/KX883974.1</t>
  </si>
  <si>
    <t>Hubei picorna-like virus 38</t>
  </si>
  <si>
    <t>PRJNA362143</t>
  </si>
  <si>
    <t>Unknown:NC_033025.1/KX883683.1</t>
  </si>
  <si>
    <t>Hubei picorna-like virus 37</t>
  </si>
  <si>
    <t>PRJNA362144</t>
  </si>
  <si>
    <t>Unknown:NC_033201.1/KX884281.1</t>
  </si>
  <si>
    <t>Pseudomonas aeruginosa strain BAMCPA07-48</t>
  </si>
  <si>
    <t>Hubei picorna-like virus 36</t>
  </si>
  <si>
    <t>PRJNA362145</t>
  </si>
  <si>
    <t>Unknown:NC_032770.1/KX883970.1</t>
  </si>
  <si>
    <t>Hubei picorna-like virus 35</t>
  </si>
  <si>
    <t>PRJNA362146</t>
  </si>
  <si>
    <t>Unknown:NC_033195.1/KX883946.1</t>
  </si>
  <si>
    <t>Hubei picorna-like virus 34</t>
  </si>
  <si>
    <t>PRJNA362147</t>
  </si>
  <si>
    <t>Pseudomonas aeruginosa strain BTP036</t>
  </si>
  <si>
    <t>Unknown:NC_033040.1/KX883923.1</t>
  </si>
  <si>
    <t>Hubei picorna-like virus 33</t>
  </si>
  <si>
    <t>PRJNA362148</t>
  </si>
  <si>
    <t>Unknown:NC_033210.1/KX883949.1</t>
  </si>
  <si>
    <t>Hubei picorna-like virus 32</t>
  </si>
  <si>
    <t>PRJNA362149</t>
  </si>
  <si>
    <t>Unknown:NC_033108.1/KX883933.1</t>
  </si>
  <si>
    <t>Pseudomonas aeruginosa strain Carb01 63</t>
  </si>
  <si>
    <t>Hubei picorna-like virus 30</t>
  </si>
  <si>
    <t>PRJNA362150</t>
  </si>
  <si>
    <t>Unknown:NC_033225.1/KX883952.1</t>
  </si>
  <si>
    <t>Hubei picorna-like virus 29</t>
  </si>
  <si>
    <t>PRJNA362151</t>
  </si>
  <si>
    <t>Unknown:NC_032776.1/KX883292.1</t>
  </si>
  <si>
    <t>Hubei picorna-like virus 28</t>
  </si>
  <si>
    <t>PRJNA362152</t>
  </si>
  <si>
    <t>Pseudomonas aeruginosa strain Cu1510</t>
  </si>
  <si>
    <t>Unknown:NC_033099.1/KX883931.1</t>
  </si>
  <si>
    <t>Hubei picorna-like virus 27</t>
  </si>
  <si>
    <t>PRJNA362153</t>
  </si>
  <si>
    <t>Unknown:NC_033046.1/KX883924.1</t>
  </si>
  <si>
    <t>Hubei picorna-like virus 26</t>
  </si>
  <si>
    <t>PRJNA362154</t>
  </si>
  <si>
    <t>Unknown:NC_032979.1/KX883675.1</t>
  </si>
  <si>
    <t>Pseudomonas aeruginosa strain F63912</t>
  </si>
  <si>
    <t>Hubei picorna-like virus 25</t>
  </si>
  <si>
    <t>PRJNA362155</t>
  </si>
  <si>
    <t>Unknown:NC_033190.1/KX883945.1</t>
  </si>
  <si>
    <t>Hubei picorna-like virus 22</t>
  </si>
  <si>
    <t>PRJNA362156</t>
  </si>
  <si>
    <t>Unknown:NC_033227.1/KX884286.1</t>
  </si>
  <si>
    <t>Hubei picorna-like virus 8</t>
  </si>
  <si>
    <t>Pseudomonas aeruginosa strain F9670</t>
  </si>
  <si>
    <t>PRJNA362157</t>
  </si>
  <si>
    <t>Unknown:NC_033218.1/KX883951.1</t>
  </si>
  <si>
    <t>Hubei picorna-like virus 79</t>
  </si>
  <si>
    <t>PRJNA362158</t>
  </si>
  <si>
    <t>Unknown:NC_033160.1/KX884275.1</t>
  </si>
  <si>
    <t>Hubei toti-like virus 12</t>
  </si>
  <si>
    <t>PRJNA362160</t>
  </si>
  <si>
    <t>Pseudomonas aeruginosa strain F9676</t>
  </si>
  <si>
    <t>Unknown:NC_032831.1/KX882956.1</t>
  </si>
  <si>
    <t>Hubei toti-like virus 10</t>
  </si>
  <si>
    <t>PRJNA362161</t>
  </si>
  <si>
    <t>Unknown:NC_032733.1/KX882938.1</t>
  </si>
  <si>
    <t>Hubei tombus-like virus 9</t>
  </si>
  <si>
    <t>PRJNA362162</t>
  </si>
  <si>
    <t>Unknown:NC_032768.1/KX883209.1</t>
  </si>
  <si>
    <t>Pseudomonas aeruginosa strain IOMTU 133</t>
  </si>
  <si>
    <t>Hubei tombus-like virus 8</t>
  </si>
  <si>
    <t>PRJNA362163</t>
  </si>
  <si>
    <t>Unknown:NC_032884.1/KX883226.1</t>
  </si>
  <si>
    <t>Hubei tombus-like virus 7</t>
  </si>
  <si>
    <t>PRJNA362164</t>
  </si>
  <si>
    <t>Unknown:NC_032782.1/KX883211.1</t>
  </si>
  <si>
    <t>Hubei tombus-like virus 6</t>
  </si>
  <si>
    <t>PRJNA362165</t>
  </si>
  <si>
    <t>Unknown:NC_033231.1/KX883193.1</t>
  </si>
  <si>
    <t>Pseudomonas aeruginosa strain N17-1</t>
  </si>
  <si>
    <t>Hubei tombus-like virus 5</t>
  </si>
  <si>
    <t>PRJNA362166</t>
  </si>
  <si>
    <t>Unknown:NC_033237.1/KX883194.1</t>
  </si>
  <si>
    <t>Hubei tombus-like virus 43</t>
  </si>
  <si>
    <t>PRJNA362167</t>
  </si>
  <si>
    <t>Unknown:NC_033263.1/KX883200.1</t>
  </si>
  <si>
    <t>Hubei tombus-like virus 42</t>
  </si>
  <si>
    <t>Pseudomonas aeruginosa strain NCGM257</t>
  </si>
  <si>
    <t>PRJNA362168</t>
  </si>
  <si>
    <t>Unknown:NC_033207.1/KX883106.1</t>
  </si>
  <si>
    <t>Hubei tombus-like virus 40</t>
  </si>
  <si>
    <t>PRJNA362169</t>
  </si>
  <si>
    <t>Unknown:NC_032767.1/KX883127.1</t>
  </si>
  <si>
    <t>Hubei tombus-like virus 4</t>
  </si>
  <si>
    <t>PRJNA362170</t>
  </si>
  <si>
    <t>Pseudomonas aeruginosa strain NCTC10332</t>
  </si>
  <si>
    <t>Unknown:NC_032731.1/KX883201.1</t>
  </si>
  <si>
    <t>Hubei tombus-like virus 39</t>
  </si>
  <si>
    <t>PRJNA362171</t>
  </si>
  <si>
    <t>Unknown:NC_032741.1/KX883204.1</t>
  </si>
  <si>
    <t>Hubei tombus-like virus 38</t>
  </si>
  <si>
    <t>PRJNA362172</t>
  </si>
  <si>
    <t>Unknown:NC_032984.1/KX883243.1</t>
  </si>
  <si>
    <t>Pseudomonas aeruginosa strain PA1RG</t>
  </si>
  <si>
    <t>Hubei tombus-like virus 36</t>
  </si>
  <si>
    <t>PRJNA362173</t>
  </si>
  <si>
    <t>Unknown:NC_033220.1/KX883191.1</t>
  </si>
  <si>
    <t>Hubei tombus-like virus 33</t>
  </si>
  <si>
    <t>PRJNA362174</t>
  </si>
  <si>
    <t>Pseudomonas aeruginosa strain PAG</t>
  </si>
  <si>
    <t>Unknown:NC_032775.1/KX883210.1</t>
  </si>
  <si>
    <t>Hubei tombus-like virus 31</t>
  </si>
  <si>
    <t>PRJNA362175</t>
  </si>
  <si>
    <t>Pseudomonas aeruginosa strain PAO1_Orsay</t>
  </si>
  <si>
    <t>Unknown:NC_032826.1/KX883217.1</t>
  </si>
  <si>
    <t>Pseudomonas aeruginosa strain PSE305</t>
  </si>
  <si>
    <t>Hubei tombus-like virus 3</t>
  </si>
  <si>
    <t>PRJNA362176</t>
  </si>
  <si>
    <t>Unknown:NC_033248.1/KX883196.1</t>
  </si>
  <si>
    <t>Pseudomonas aeruginosa strain S04 90</t>
  </si>
  <si>
    <t>Hubei tombus-like virus 29</t>
  </si>
  <si>
    <t>PRJNA362177</t>
  </si>
  <si>
    <t>Unknown:NC_032949.1/KX883157.1</t>
  </si>
  <si>
    <t>Hubei tombus-like virus 28</t>
  </si>
  <si>
    <t>PRJNA362178</t>
  </si>
  <si>
    <t>1:NC_033023.1/KX883168.1</t>
  </si>
  <si>
    <t>Pseudomonas aeruginosa strain USDA-ARS-USMARC-41639</t>
  </si>
  <si>
    <t>Wenzhou tombus-like virus 16</t>
  </si>
  <si>
    <t>PRJNA362902</t>
  </si>
  <si>
    <t>Unknown:NC_033426.1/KX883259.1</t>
  </si>
  <si>
    <t>Wenzhou tombus-like virus 15</t>
  </si>
  <si>
    <t>PRJNA362903</t>
  </si>
  <si>
    <t>Pseudomonas aeruginosa strain VA-134</t>
  </si>
  <si>
    <t>Unknown:NC_033438.1/KX883271.1</t>
  </si>
  <si>
    <t>Wenzhou tapeworm virus 1</t>
  </si>
  <si>
    <t>PRJNA362907</t>
  </si>
  <si>
    <t>48.512</t>
  </si>
  <si>
    <t>Pseudomonas aeruginosa strain X78812</t>
  </si>
  <si>
    <t>1:NC_033450.1/KX884436.1;  2:NC_033451.1/KX884437.1</t>
  </si>
  <si>
    <t>Wuhan arthropod virus 4</t>
  </si>
  <si>
    <t>PRJNA362912</t>
  </si>
  <si>
    <t>50.2845</t>
  </si>
  <si>
    <t>1:NC_033446.1/KX882906.1;  2:NC_033453.1/KX882907.1</t>
  </si>
  <si>
    <t>Wuhan Millipede virus 4</t>
  </si>
  <si>
    <t>PRJNA362916</t>
  </si>
  <si>
    <t>47.1832</t>
  </si>
  <si>
    <t>1:NC_033447.1/KX884093.1;  2:NC_033448.1/KX884094.1;  3:NC_033449.1/KX884096.1;  4:NC_033454.1/KX884095.1</t>
  </si>
  <si>
    <t>Pseudomonas aeruginosa UCBPP-PA14</t>
  </si>
  <si>
    <t>Wuchan romanomermis nematode virus 1</t>
  </si>
  <si>
    <t>PRJNA362920</t>
  </si>
  <si>
    <t>Unknown:NC_033419.1/KX883806.1</t>
  </si>
  <si>
    <t>Wenzhou tombus-like virus 9</t>
  </si>
  <si>
    <t>PRJNA362924</t>
  </si>
  <si>
    <t>Unknown:NC_033444.1/KX883279.1</t>
  </si>
  <si>
    <t>Pseudomonas aeruginosa YL84</t>
  </si>
  <si>
    <t>Wenzhou tombus-like virus 5</t>
  </si>
  <si>
    <t>PRJNA362928</t>
  </si>
  <si>
    <t>Unknown:NC_033439.1/KX883272.1</t>
  </si>
  <si>
    <t>Wenzhou tombus-like virus 11</t>
  </si>
  <si>
    <t>PRJNA362906</t>
  </si>
  <si>
    <t>Pseudomonas agarici strain NCPPB 2472</t>
  </si>
  <si>
    <t>Unknown:NC_033417.1/KX883126.1</t>
  </si>
  <si>
    <t>Wenzhou tombus-like virus 18</t>
  </si>
  <si>
    <t>PRJNA362933</t>
  </si>
  <si>
    <t>Unknown:NC_033431.1/KX883013.1</t>
  </si>
  <si>
    <t>Wuhan coneheads virus 1</t>
  </si>
  <si>
    <t>PRJNA362911</t>
  </si>
  <si>
    <t>Pseudomonas alcaligenes strain NEB 585</t>
  </si>
  <si>
    <t>Unknown:NC_033418.1/KX884402.1</t>
  </si>
  <si>
    <t>Wuhan arthropod virus 1</t>
  </si>
  <si>
    <t>PRJNA362915</t>
  </si>
  <si>
    <t>Unknown:NC_033421.1/KX883810.1</t>
  </si>
  <si>
    <t>Wuchan romanomermis nematode virus 2</t>
  </si>
  <si>
    <t>PRJNA362919</t>
  </si>
  <si>
    <t>Unknown:NC_033436.1/KX884441.1</t>
  </si>
  <si>
    <t>Wenzhou weivirus-like virus 1</t>
  </si>
  <si>
    <t>Pseudomonas alkylphenolia strain KL28</t>
  </si>
  <si>
    <t>PRJNA362923</t>
  </si>
  <si>
    <t>Unknown:NC_033422.1/KX884006.1</t>
  </si>
  <si>
    <t>Wenzhou tombus-like virus 6</t>
  </si>
  <si>
    <t>PRJNA362927</t>
  </si>
  <si>
    <t>Unknown:NC_033427.1/KX883261.1</t>
  </si>
  <si>
    <t>Pseudomonas antarctica strain PAMC 27494</t>
  </si>
  <si>
    <t>Wenzhou tombus-like virus 2</t>
  </si>
  <si>
    <t>PRJNA362932</t>
  </si>
  <si>
    <t>Unknown:NC_033430.1/KX883264.1</t>
  </si>
  <si>
    <t>Wenzhou tombus-like virus 14</t>
  </si>
  <si>
    <t>PRJNA362904</t>
  </si>
  <si>
    <t>Unknown:NC_033443.1/KX883275.1</t>
  </si>
  <si>
    <t>Pseudomonas azotoformans strain S4</t>
  </si>
  <si>
    <t>Wuhan arthropod virus 3</t>
  </si>
  <si>
    <t>PRJNA362913</t>
  </si>
  <si>
    <t>Unknown:NC_033425.1/KX884267.1</t>
  </si>
  <si>
    <t>Wenzhou tombus-like virus 1</t>
  </si>
  <si>
    <t>PRJNA362909</t>
  </si>
  <si>
    <t>Unknown:NC_033435.1/KX883268.1</t>
  </si>
  <si>
    <t>Wenzhou yanvirus-like virus 2</t>
  </si>
  <si>
    <t>Pseudomonas balearica DSM 6083 DSM6083 (=SP1402)</t>
  </si>
  <si>
    <t>PRJNA362921</t>
  </si>
  <si>
    <t>Unknown:NC_033424.1/KX884027.1</t>
  </si>
  <si>
    <t>Wuchang cockroach Virus 4</t>
  </si>
  <si>
    <t>PRJNA362917</t>
  </si>
  <si>
    <t>Unknown:NC_033442.1/KX883626.1</t>
  </si>
  <si>
    <t>Wenzhou tombus-like virus 4</t>
  </si>
  <si>
    <t>PRJNA362929</t>
  </si>
  <si>
    <t>Unknown:NC_033420.1/KX883152.1</t>
  </si>
  <si>
    <t>Wenzhou tombus-like virus 8</t>
  </si>
  <si>
    <t>PRJNA362925</t>
  </si>
  <si>
    <t>Pseudomonas brassicacearum strain DF41</t>
  </si>
  <si>
    <t>Unknown:NC_033434.1/KX883015.1</t>
  </si>
  <si>
    <t>Wenzhou tombus-like virus 17</t>
  </si>
  <si>
    <t>PRJNA362900</t>
  </si>
  <si>
    <t>Unknown:NC_033432.1/KX883265.1</t>
  </si>
  <si>
    <t>Wenzhou tombus-like virus 12</t>
  </si>
  <si>
    <t>PRJNA362905</t>
  </si>
  <si>
    <t>Unknown:NC_033429.1/KX883262.1</t>
  </si>
  <si>
    <t>Wenzhou tombus-like virus 10</t>
  </si>
  <si>
    <t>PRJNA362910</t>
  </si>
  <si>
    <t>Unknown:NC_033440.1/KX883273.1</t>
  </si>
  <si>
    <t>Pseudomonas brassicacearum strain LBUM300</t>
  </si>
  <si>
    <t>Wuhan arthropod virus 2</t>
  </si>
  <si>
    <t>PRJNA362914</t>
  </si>
  <si>
    <t>Unknown:NC_033437.1/KX884282.1</t>
  </si>
  <si>
    <t>Wuchan romanomermis nematode virus 3</t>
  </si>
  <si>
    <t>PRJNA362918</t>
  </si>
  <si>
    <t>51.1304</t>
  </si>
  <si>
    <t>1:NC_033452.1/KX882896.1;  2:NC_033445.1/KX882897.1</t>
  </si>
  <si>
    <t>Wenzhou yanvirus-like virus 1</t>
  </si>
  <si>
    <t>Pseudomonas brassicacearum subsp. brassicacearum NFM421</t>
  </si>
  <si>
    <t>PRJNA362922</t>
  </si>
  <si>
    <t>Unknown:NC_033428.1/KX884031.1</t>
  </si>
  <si>
    <t>Wenzhou tombus-like virus 3</t>
  </si>
  <si>
    <t>PRJNA362930</t>
  </si>
  <si>
    <t>Unknown:NC_033433.1/KX883266.1</t>
  </si>
  <si>
    <t>Wenzhou tombus-like virus 7</t>
  </si>
  <si>
    <t>PRJNA362926</t>
  </si>
  <si>
    <t>Unknown:NC_033441.1/KX883274.1</t>
  </si>
  <si>
    <t>Trichoderma atroviride mycovirus</t>
  </si>
  <si>
    <t>Pseudomonas chlororaphis O6</t>
  </si>
  <si>
    <t>PRJNA362599</t>
  </si>
  <si>
    <t>Unknown:NC_033415.1/KX821737.1</t>
  </si>
  <si>
    <t>Wuhan coneheads virus 2</t>
  </si>
  <si>
    <t>PRJNA362627</t>
  </si>
  <si>
    <t>Unknown:NC_033416.1/KX884394.1</t>
  </si>
  <si>
    <t>Wuhan insect virus 13</t>
  </si>
  <si>
    <t>Pseudomonas chlororaphis strain 189</t>
  </si>
  <si>
    <t>PRJNA362947</t>
  </si>
  <si>
    <t>Unknown:NC_033455.1/KX884537.1</t>
  </si>
  <si>
    <t>Biomphalaria virus 2</t>
  </si>
  <si>
    <t>PRJNA368708</t>
  </si>
  <si>
    <t>Unknown:NC_033456.1/KY024322.2</t>
  </si>
  <si>
    <t>Botryosphaeria dothidea virus 1</t>
  </si>
  <si>
    <t>PRJNA368924</t>
  </si>
  <si>
    <t>62.7702</t>
  </si>
  <si>
    <t>1:NC_033476.1/KP245734.1;  2:NC_033477.1/KP245735.1;  3:NC_033494.1/KP245736.1;  4:NC_033495.1/KP245737.1;  5:NC_033496.1/KP245738.1</t>
  </si>
  <si>
    <t>Pseudomonas chlororaphis strain PA23</t>
  </si>
  <si>
    <t>Petunia chlorotic mottle virus</t>
  </si>
  <si>
    <t>PRJNA368926</t>
  </si>
  <si>
    <t>42.0339</t>
  </si>
  <si>
    <t>1:NC_033492.1/KX812815.1;  2:NC_033493.1/KX812816.1</t>
  </si>
  <si>
    <t>Wuhan insect virus 31</t>
  </si>
  <si>
    <t>PRJNA368927</t>
  </si>
  <si>
    <t>Unknown:NC_033467.1/KX882989.1</t>
  </si>
  <si>
    <t>Pseudomonas chlororaphis strain PCL1606</t>
  </si>
  <si>
    <t>Wuhan insect virus 28</t>
  </si>
  <si>
    <t>PRJNA368928</t>
  </si>
  <si>
    <t>Unknown:NC_033466.1/KX882988.1</t>
  </si>
  <si>
    <t>Wuhan insect virus 27</t>
  </si>
  <si>
    <t>PRJNA368929</t>
  </si>
  <si>
    <t>Unknown:NC_033468.1/KX882990.1</t>
  </si>
  <si>
    <t>Wuhan insect virus 26</t>
  </si>
  <si>
    <t>PRJNA368930</t>
  </si>
  <si>
    <t>Unknown:NC_033465.1/KX882983.1</t>
  </si>
  <si>
    <t>Pseudomonas chlororaphis strain UFB2</t>
  </si>
  <si>
    <t>Wuhan insect virus 21</t>
  </si>
  <si>
    <t>PRJNA368931</t>
  </si>
  <si>
    <t>55.1118</t>
  </si>
  <si>
    <t>1:NC_033491.1/KX883227.1;  2:NC_033481.1/KX883228.1</t>
  </si>
  <si>
    <t>Wuhan insect virus 20</t>
  </si>
  <si>
    <t>PRJNA368932</t>
  </si>
  <si>
    <t>Unknown:NC_033463.1/KX883231.1</t>
  </si>
  <si>
    <t>Pseudomonas chlororaphis subsp. aurantiaca JD37</t>
  </si>
  <si>
    <t>Wuhan insect virus 19</t>
  </si>
  <si>
    <t>PRJNA368933</t>
  </si>
  <si>
    <t>Unknown:NC_033457.1/KX883634.1</t>
  </si>
  <si>
    <t>Wuhan insect virus 18</t>
  </si>
  <si>
    <t>PRJNA368934</t>
  </si>
  <si>
    <t>Unknown:NC_033471.1/KX883516.1</t>
  </si>
  <si>
    <t>Wuhan insect virus 17</t>
  </si>
  <si>
    <t>PRJNA368935</t>
  </si>
  <si>
    <t>Unknown:NC_033472.1/KX882910.1</t>
  </si>
  <si>
    <t>Pseudomonas cichorii JBC1</t>
  </si>
  <si>
    <t>Wuhan insect virus 15</t>
  </si>
  <si>
    <t>PRJNA368936</t>
  </si>
  <si>
    <t>52.6855</t>
  </si>
  <si>
    <t>1:NC_033490.1/KX883998.1;  2:NC_033484.1/KX883999.1</t>
  </si>
  <si>
    <t>Wuhan insect virus 14</t>
  </si>
  <si>
    <t>PRJNA368937</t>
  </si>
  <si>
    <t>Unknown:NC_033473.1/KX883007.1</t>
  </si>
  <si>
    <t>Wuhan insect virus 11</t>
  </si>
  <si>
    <t>PRJNA368938</t>
  </si>
  <si>
    <t>Unknown:NC_033460.1/KX884551.1</t>
  </si>
  <si>
    <t>Wuhan insect virus 10</t>
  </si>
  <si>
    <t>PRJNA368939</t>
  </si>
  <si>
    <t>Pseudomonas citronellolis strain P3B5</t>
  </si>
  <si>
    <t>Unknown:NC_033475.1/KX884277.1</t>
  </si>
  <si>
    <t>Wuhan house centipede virus 9</t>
  </si>
  <si>
    <t>PRJNA368940</t>
  </si>
  <si>
    <t>Unknown:NC_033470.1/KX883436.1</t>
  </si>
  <si>
    <t>Wuhan house centipede virus 6</t>
  </si>
  <si>
    <t>PRJNA368941</t>
  </si>
  <si>
    <t>43.5505</t>
  </si>
  <si>
    <t>1:NC_033482.1/KX883241.1;  2:NC_033483.1/KX883242.1</t>
  </si>
  <si>
    <t>Wuhan house centipede virus 5</t>
  </si>
  <si>
    <t>PRJNA368942</t>
  </si>
  <si>
    <t>45.9615</t>
  </si>
  <si>
    <t>1:NC_033489.1/KX882921.1;  2:NC_033479.1/KX882922.1</t>
  </si>
  <si>
    <t>Wuhan house centipede virus 4</t>
  </si>
  <si>
    <t>PRJNA368943</t>
  </si>
  <si>
    <t>Pseudomonas citronellolis strain SJTE-3</t>
  </si>
  <si>
    <t>50.5153</t>
  </si>
  <si>
    <t>1:NC_033480.1/KX882923.1;  2:NC_033488.1/KX882924.1</t>
  </si>
  <si>
    <t>Wuhan house centipede virus 3</t>
  </si>
  <si>
    <t>PRJNA368944</t>
  </si>
  <si>
    <t>Unknown:NC_033458.1/KX884300.1</t>
  </si>
  <si>
    <t>Wuhan house centipede virus 2</t>
  </si>
  <si>
    <t>PRJNA368945</t>
  </si>
  <si>
    <t>Unknown:NC_033459.1/KX883295.1</t>
  </si>
  <si>
    <t>Wuhan house centipede virus 1</t>
  </si>
  <si>
    <t>PRJNA368946</t>
  </si>
  <si>
    <t>Unknown:NC_033469.1/KX883822.1</t>
  </si>
  <si>
    <t>Wuhan horsefly Virus 3</t>
  </si>
  <si>
    <t>PRJNA368947</t>
  </si>
  <si>
    <t>Unknown:NC_033474.1/KX883528.1</t>
  </si>
  <si>
    <t>Pseudomonas cremoricolorata ND07</t>
  </si>
  <si>
    <t>Wuhan heteroptera virus 2</t>
  </si>
  <si>
    <t>PRJNA368948</t>
  </si>
  <si>
    <t>47.8003</t>
  </si>
  <si>
    <t>1:NC_033487.1/KX882767.1;  2:NC_033478.1/KX882768.1</t>
  </si>
  <si>
    <t>Wuhan heteroptera virus 1</t>
  </si>
  <si>
    <t>PRJNA368949</t>
  </si>
  <si>
    <t>Unknown:NC_033461.1/KX883741.1</t>
  </si>
  <si>
    <t>Wuhan fly virus 5</t>
  </si>
  <si>
    <t>PRJNA368950</t>
  </si>
  <si>
    <t>35.5512</t>
  </si>
  <si>
    <t>1:NC_033485.1/KX884091.1;  2:NC_033486.1/KX884092.1</t>
  </si>
  <si>
    <t>Wuhan fly virus 4</t>
  </si>
  <si>
    <t>PRJNA368951</t>
  </si>
  <si>
    <t>Pseudomonas deceptionensis strain L10.10</t>
  </si>
  <si>
    <t>Unknown:NC_033462.1/KX883891.1</t>
  </si>
  <si>
    <t>Lymphocystis disease virus Sa</t>
  </si>
  <si>
    <t>PRJNA368971</t>
  </si>
  <si>
    <t>Unknown:NC_033423.1/KX643370.1</t>
  </si>
  <si>
    <t>Golden Marseillevirus</t>
  </si>
  <si>
    <t>PRJNA349153</t>
  </si>
  <si>
    <t>NC_031465.1/KT835053.1</t>
  </si>
  <si>
    <t>Sweet potato mosaic virus</t>
  </si>
  <si>
    <t>PRJNA362372</t>
  </si>
  <si>
    <t>Unknown:NC_033334.1/KX859239.1</t>
  </si>
  <si>
    <t>Pedilanthus leaf curl virus alphasatellite</t>
  </si>
  <si>
    <t>PRJNA362371</t>
  </si>
  <si>
    <t>Pseudomonas denitrificans ATCC 13867</t>
  </si>
  <si>
    <t>Unknown:NC_033335.1/KX168428.1</t>
  </si>
  <si>
    <t>Spheniscid herpesvirus 2</t>
  </si>
  <si>
    <t>PRJEB15151</t>
  </si>
  <si>
    <t>Unknown:NC_033464.1/LT608135.1</t>
  </si>
  <si>
    <t>Pea leaf distortion virus</t>
  </si>
  <si>
    <t>PRJNA369103</t>
  </si>
  <si>
    <t>DNA-A:NC_033554.1/KY001635.1</t>
  </si>
  <si>
    <t>Kibale red colobus virus 1</t>
  </si>
  <si>
    <t>PRJNA368984</t>
  </si>
  <si>
    <t>Unknown:NC_033553.1/KC787630.1</t>
  </si>
  <si>
    <t>Ceratobasidium endornavirus C</t>
  </si>
  <si>
    <t>NC_031461.1/KX355164.1</t>
  </si>
  <si>
    <t>Subterranean clover stunt C6 alphasatellite</t>
  </si>
  <si>
    <t>Pseudomonas entomophila L48</t>
  </si>
  <si>
    <t>PRJNA242973</t>
  </si>
  <si>
    <t>chromosome component 6:NC_003818.1/U16735.1</t>
  </si>
  <si>
    <t>Phormidium phage MIS-PhV1A</t>
  </si>
  <si>
    <t>PRJNA72255</t>
  </si>
  <si>
    <t>NC_029032.1/KF437907.1</t>
  </si>
  <si>
    <t>Pea leaf distortion betasatellite</t>
  </si>
  <si>
    <t>PRJNA369555</t>
  </si>
  <si>
    <t>Unknown:NC_033618.1/KY001644.1</t>
  </si>
  <si>
    <t>Cedratvirus A11</t>
  </si>
  <si>
    <t>PRJNA357483</t>
  </si>
  <si>
    <t>Pseudomonas fluorescens A506</t>
  </si>
  <si>
    <t>NC_032108.1/LT671577.1</t>
  </si>
  <si>
    <t>Clostridium phage phiCTC2A</t>
  </si>
  <si>
    <t>PRJNA260192</t>
  </si>
  <si>
    <t>NC_030949.1/KM983333.1</t>
  </si>
  <si>
    <t>Pseudomonas fluorescens F113</t>
  </si>
  <si>
    <t>Bacillus phage phi4J1</t>
  </si>
  <si>
    <t>PRJNA277058</t>
  </si>
  <si>
    <t>NC_029008.1/KT970645.1</t>
  </si>
  <si>
    <t>Pseudomonas phage JBD25</t>
  </si>
  <si>
    <t>PRJNA73477</t>
  </si>
  <si>
    <t>NC_027992.1/JX495042.1</t>
  </si>
  <si>
    <t>Pseudomonas fluorescens NCIMB 11764</t>
  </si>
  <si>
    <t>Sewage-associated circular DNA molecule-2</t>
  </si>
  <si>
    <t>PRJNA386990</t>
  </si>
  <si>
    <t>Unknown:NC_026142.1/KJ547617.1</t>
  </si>
  <si>
    <t>Clostridium phage phiCT453B</t>
  </si>
  <si>
    <t>PRJNA260198</t>
  </si>
  <si>
    <t>NC_029004.1/KM983328.1</t>
  </si>
  <si>
    <t>Clostridium phage phiCT19406A</t>
  </si>
  <si>
    <t>NC_030950.1/KM983330.1</t>
  </si>
  <si>
    <t>Pseudomonas fluorescens Pf0-1</t>
  </si>
  <si>
    <t>Arhar cryptic virus-I</t>
  </si>
  <si>
    <t>PRJNA244664</t>
  </si>
  <si>
    <t>43.3342</t>
  </si>
  <si>
    <t>RNA 1:NC_024014.1/HG797710.1;  RNA 3:NC_024010.1/HG967638.1;  RNA 4:NC_024011.2/HG967639.2</t>
  </si>
  <si>
    <t>Bacillus phage Stahl</t>
  </si>
  <si>
    <t>NC_028856.1/KP696447.1</t>
  </si>
  <si>
    <t>Helicoverpa armigera iflavirus</t>
  </si>
  <si>
    <t>PRJNA369691</t>
  </si>
  <si>
    <t>Unknown:NC_033619.1/KX228231.1</t>
  </si>
  <si>
    <t>Pseudomonas fluorescens PICF7</t>
  </si>
  <si>
    <t>Murine roseolovirus</t>
  </si>
  <si>
    <t>PRJNA371622</t>
  </si>
  <si>
    <t>Unknown:NC_033620.1/KY355735.1</t>
  </si>
  <si>
    <t>Eidolon helvum papillomavirus 2</t>
  </si>
  <si>
    <t>PRJNA375009</t>
  </si>
  <si>
    <t>Unknown:NC_033740.1/KX276957.1</t>
  </si>
  <si>
    <t>Palm Creek virus</t>
  </si>
  <si>
    <t>PRJNA375010</t>
  </si>
  <si>
    <t>Unknown:NC_033694.1/KC505248.1</t>
  </si>
  <si>
    <t>Pseudomonas fluorescens Q8r1-96</t>
  </si>
  <si>
    <t>Solanum nodiflorum mottle virus</t>
  </si>
  <si>
    <t>PRJNA375011</t>
  </si>
  <si>
    <t>Unknown:NC_033706.1/KC577470.1</t>
  </si>
  <si>
    <t>Xingshan nematode virus 4</t>
  </si>
  <si>
    <t>PRJNA375012</t>
  </si>
  <si>
    <t>Unknown:NC_033701.1/KX884459.1</t>
  </si>
  <si>
    <t>Xingshan nematode virus 2</t>
  </si>
  <si>
    <t>PRJNA375013</t>
  </si>
  <si>
    <t>Unknown:NC_033727.1/KX883836.1</t>
  </si>
  <si>
    <t>Wuhan spirurian nematodes virus 1</t>
  </si>
  <si>
    <t>PRJNA375014</t>
  </si>
  <si>
    <t>Pseudomonas fluorescens SBW25</t>
  </si>
  <si>
    <t>Unknown:NC_033732.1/KX884291.1</t>
  </si>
  <si>
    <t>Wuhan spider virus 9</t>
  </si>
  <si>
    <t>PRJNA375015</t>
  </si>
  <si>
    <t>Unknown:NC_033709.1/KX883158.1</t>
  </si>
  <si>
    <t>Wuhan spider virus 8</t>
  </si>
  <si>
    <t>PRJNA375016</t>
  </si>
  <si>
    <t>Unknown:NC_033711.1/KX883164.1</t>
  </si>
  <si>
    <t>Wuhan spider virus 7</t>
  </si>
  <si>
    <t>PRJNA375017</t>
  </si>
  <si>
    <t>Unknown:NC_033702.1/KX883564.1</t>
  </si>
  <si>
    <t>Wuhan spider virus 6</t>
  </si>
  <si>
    <t>PRJNA375018</t>
  </si>
  <si>
    <t>Unknown:NC_033712.1/KX883680.1</t>
  </si>
  <si>
    <t>Wuhan spider virus 5</t>
  </si>
  <si>
    <t>PRJNA375019</t>
  </si>
  <si>
    <t>Pseudomonas fluorescens SS101</t>
  </si>
  <si>
    <t>Unknown:NC_033714.1/KX883681.1</t>
  </si>
  <si>
    <t>Wuhan spider virus 4</t>
  </si>
  <si>
    <t>PRJNA375020</t>
  </si>
  <si>
    <t>Unknown:NC_033717.1/KX883684.1</t>
  </si>
  <si>
    <t>Wuhan spider virus 3</t>
  </si>
  <si>
    <t>PRJNA375021</t>
  </si>
  <si>
    <t>Unknown:NC_033718.1/KX883685.1</t>
  </si>
  <si>
    <t>Wuhan poty-like virus 1</t>
  </si>
  <si>
    <t>PRJNA375022</t>
  </si>
  <si>
    <t>Unknown:NC_033708.1/KX884573.1</t>
  </si>
  <si>
    <t>Wuhan pillworm virus 3</t>
  </si>
  <si>
    <t>PRJNA375023</t>
  </si>
  <si>
    <t>41.8887</t>
  </si>
  <si>
    <t>1:NC_033751.1/KX882913.1;  2:NC_033748.1/KX882914.1</t>
  </si>
  <si>
    <t>Pseudomonas fluorescens strain FW300-N2C3</t>
  </si>
  <si>
    <t>Wuhan pillworm virus 2</t>
  </si>
  <si>
    <t>PRJNA375024</t>
  </si>
  <si>
    <t>Unknown:NC_033731.1/KX884445.1</t>
  </si>
  <si>
    <t>Wuhan nido-like virus 1</t>
  </si>
  <si>
    <t>PRJNA375025</t>
  </si>
  <si>
    <t>Unknown:NC_033735.1/KX883630.1</t>
  </si>
  <si>
    <t>Wuhan millipede virus 3</t>
  </si>
  <si>
    <t>PRJNA375026</t>
  </si>
  <si>
    <t>Unknown:NC_033733.1/KX884293.1</t>
  </si>
  <si>
    <t>Wuhan insect virus 9</t>
  </si>
  <si>
    <t>PRJNA375027</t>
  </si>
  <si>
    <t>Unknown:NC_033710.1/KX883816.1</t>
  </si>
  <si>
    <t>Pseudomonas fluorescens strain FW300-N2E2</t>
  </si>
  <si>
    <t>Wuhan insect virus 8</t>
  </si>
  <si>
    <t>PRJNA375028</t>
  </si>
  <si>
    <t>Unknown:NC_033707.1/KX883812.1</t>
  </si>
  <si>
    <t>Wuhan insect virus 35</t>
  </si>
  <si>
    <t>PRJNA375029</t>
  </si>
  <si>
    <t>44.3803</t>
  </si>
  <si>
    <t>1:NC_033749.1/KX883233.1;  2:NC_033750.1/KX883234.1</t>
  </si>
  <si>
    <t>Wuhan insect virus 34</t>
  </si>
  <si>
    <t>PRJNA375030</t>
  </si>
  <si>
    <t>Unknown:NC_033713.1/KX882815.1</t>
  </si>
  <si>
    <t>Wuhan insect virus 33</t>
  </si>
  <si>
    <t>PRJNA375031</t>
  </si>
  <si>
    <t>Pseudomonas fluorescens strain FW300-N2E3</t>
  </si>
  <si>
    <t>Unknown:NC_033722.1/KX884274.1</t>
  </si>
  <si>
    <t>Wuhan cricket virus 2</t>
  </si>
  <si>
    <t>PRJNA375032</t>
  </si>
  <si>
    <t>50.6912</t>
  </si>
  <si>
    <t>1:NC_033764.1/KX884208.1;  2:NC_033765.1/KX884209.1;  3:NC_033766.1/KX884210.1;  4:NC_033767.1/KX884211.1;  5:NC_033768.1/KX884212.1;  6:NC_033769.1/KX884213.1</t>
  </si>
  <si>
    <t>Hubei myriapoda virus 9</t>
  </si>
  <si>
    <t>PRJNA375033</t>
  </si>
  <si>
    <t>50.2366</t>
  </si>
  <si>
    <t>1:NC_033762.1/KX882770.1;  2:NC_033763.1/KX882771.1</t>
  </si>
  <si>
    <t>Hubei myriapoda virus 5</t>
  </si>
  <si>
    <t>PRJNA375034</t>
  </si>
  <si>
    <t>36.0734</t>
  </si>
  <si>
    <t>1:NC_033761.1/KX884758.1;  2:NC_033759.1/KX884759.1;  3:NC_033760.1/KX884760.1</t>
  </si>
  <si>
    <t>Pseudomonas fluorescens strain KENGFT3</t>
  </si>
  <si>
    <t>Beihai shrimp virus 3</t>
  </si>
  <si>
    <t>PRJNA375035</t>
  </si>
  <si>
    <t>48.7565</t>
  </si>
  <si>
    <t>1:NC_033756.1/KX884737.1;  2:NC_033757.1/KX884738.1;  3:NC_033758.1/KX884739.1</t>
  </si>
  <si>
    <t>Bamaga virus</t>
  </si>
  <si>
    <t>PRJNA375036</t>
  </si>
  <si>
    <t>Unknown:NC_033725.1/KU308380.1</t>
  </si>
  <si>
    <t>Phomopsis longicolla RNA virus 1</t>
  </si>
  <si>
    <t>PRJNA375037</t>
  </si>
  <si>
    <t>Unknown:NC_033729.1/KR997836.1</t>
  </si>
  <si>
    <t>Pseudomonas fluorescens strain LBUM223</t>
  </si>
  <si>
    <t>Pepper chlorotic spot virus</t>
  </si>
  <si>
    <t>PRJNA375038</t>
  </si>
  <si>
    <t>34.0436</t>
  </si>
  <si>
    <t>L:NC_033774.1/KX247379.1;  M:NC_033773.1/KX247378.1;  S:NC_033772.1/KX247377.1</t>
  </si>
  <si>
    <t>Eidolon helvum papillomavirus 3</t>
  </si>
  <si>
    <t>PRJNA375039</t>
  </si>
  <si>
    <t>Unknown:NC_033745.1/KX276956.1</t>
  </si>
  <si>
    <t>Pseudomonas fluorescens strain LBUM636</t>
  </si>
  <si>
    <t>Kadam virus</t>
  </si>
  <si>
    <t>PRJNA375040</t>
  </si>
  <si>
    <t>Unknown:NC_033724.1/DQ235146.1</t>
  </si>
  <si>
    <t>Pseudomonas fluorescens strain PCL1751</t>
  </si>
  <si>
    <t>Jugra virus</t>
  </si>
  <si>
    <t>PRJNA375041</t>
  </si>
  <si>
    <t>Unknown:NC_033699.1/DQ859066.1</t>
  </si>
  <si>
    <t>Gadgets Gully virus</t>
  </si>
  <si>
    <t>PRJNA375042</t>
  </si>
  <si>
    <t>Unknown:NC_033723.1/DQ235145.1</t>
  </si>
  <si>
    <t>Uganda S virus</t>
  </si>
  <si>
    <t>PRJNA375043</t>
  </si>
  <si>
    <t>Unknown:NC_033698.1/DQ859065.1</t>
  </si>
  <si>
    <t>Pseudomonas fluorescens strain UK4</t>
  </si>
  <si>
    <t>Bouboui virus</t>
  </si>
  <si>
    <t>PRJNA375044</t>
  </si>
  <si>
    <t>Unknown:NC_033693.1/DQ859057.1</t>
  </si>
  <si>
    <t>Potiskum virus</t>
  </si>
  <si>
    <t>PRJNA310876</t>
  </si>
  <si>
    <t>NC_029054.2/DQ859067.1</t>
  </si>
  <si>
    <t>Nounane virus</t>
  </si>
  <si>
    <t>Pseudomonas fragi strain P121</t>
  </si>
  <si>
    <t>PRJNA375046</t>
  </si>
  <si>
    <t>Unknown:NC_033715.1/EU159426.2</t>
  </si>
  <si>
    <t>Saumarez Reef virus</t>
  </si>
  <si>
    <t>PRJNA375047</t>
  </si>
  <si>
    <t>Unknown:NC_033726.1/DQ235150.1</t>
  </si>
  <si>
    <t>Meaban virus</t>
  </si>
  <si>
    <t>PRJNA375048</t>
  </si>
  <si>
    <t>Pseudomonas fulva 12-X</t>
  </si>
  <si>
    <t>Unknown:NC_033721.1/DQ235144.1</t>
  </si>
  <si>
    <t>Avon-Heathcote estuary associated bacilladnavirus</t>
  </si>
  <si>
    <t>PRJNA375049</t>
  </si>
  <si>
    <t>Unknown:NC_033744.1/KY405008.1</t>
  </si>
  <si>
    <t>Amphibola crenata associated bacilladnavirus 2</t>
  </si>
  <si>
    <t>PRJNA375050</t>
  </si>
  <si>
    <t>Pseudomonas knackmussii B13</t>
  </si>
  <si>
    <t>Unknown:NC_033741.1/KY405007.1</t>
  </si>
  <si>
    <t>Amphibola crenata associated bacilladnavirus 1</t>
  </si>
  <si>
    <t>PRJNA375051</t>
  </si>
  <si>
    <t>Unknown:NC_033746.1/KY405006.1</t>
  </si>
  <si>
    <t>Thrips-associated genomovirus 4</t>
  </si>
  <si>
    <t>PRJNA375052</t>
  </si>
  <si>
    <t>Pseudomonas koreensis strain CRS05-R5</t>
  </si>
  <si>
    <t>Unknown:NC_033747.1/KY308270.1</t>
  </si>
  <si>
    <t>Thrips-associated genomovirus 3</t>
  </si>
  <si>
    <t>PRJNA375053</t>
  </si>
  <si>
    <t>Unknown:NC_033742.1/KY308269.1</t>
  </si>
  <si>
    <t>Thrips-associated genomovirus 2</t>
  </si>
  <si>
    <t>PRJNA375054</t>
  </si>
  <si>
    <t>Unknown:NC_033743.1/KY308271.1</t>
  </si>
  <si>
    <t>Pseudomonas koreensis strain D26</t>
  </si>
  <si>
    <t>Thrips-associated genomovirus 1</t>
  </si>
  <si>
    <t>PRJNA375055</t>
  </si>
  <si>
    <t>Unknown:NC_033736.1/KY308268.1</t>
  </si>
  <si>
    <t>Cacao yellow vein-banding virus</t>
  </si>
  <si>
    <t>PRJNA375056</t>
  </si>
  <si>
    <t>Unknown:NC_033739.1/KX276641.1</t>
  </si>
  <si>
    <t>Pseudomonas mendocina NK-01</t>
  </si>
  <si>
    <t>Cacao mild mosaic virus</t>
  </si>
  <si>
    <t>PRJNA375057</t>
  </si>
  <si>
    <t>Unknown:NC_033738.1/KX276640.1</t>
  </si>
  <si>
    <t>Jingmen tombus-like virus 2</t>
  </si>
  <si>
    <t>PRJNA375058</t>
  </si>
  <si>
    <t>Unknown:NC_033696.1/KX883123.1</t>
  </si>
  <si>
    <t>Spinach cryptic virus 1</t>
  </si>
  <si>
    <t>PRJNA375059</t>
  </si>
  <si>
    <t>Pseudomonas mendocina ymp</t>
  </si>
  <si>
    <t>48.7139</t>
  </si>
  <si>
    <t>RNA1:NC_033770.1/KX784754.1;  RNA2:NC_033771.1/KX784755.1</t>
  </si>
  <si>
    <t>Enterovirus AN12</t>
  </si>
  <si>
    <t>PRJNA375060</t>
  </si>
  <si>
    <t>Unknown:NC_033695.1/LC038188.1</t>
  </si>
  <si>
    <t>Pseudomonas monteilii SB3078</t>
  </si>
  <si>
    <t>Ubei picorna-like virus 3</t>
  </si>
  <si>
    <t>PRJNA375061</t>
  </si>
  <si>
    <t>Unknown:NC_033720.1/KX884266.1</t>
  </si>
  <si>
    <t>Zhejiang mosquito virus 1</t>
  </si>
  <si>
    <t>PRJNA375062</t>
  </si>
  <si>
    <t>Unknown:NC_033716.1/KX883919.1</t>
  </si>
  <si>
    <t>Pseudomonas monteilii SB3101</t>
  </si>
  <si>
    <t>Xinzhou toro-like virus</t>
  </si>
  <si>
    <t>PRJNA375063</t>
  </si>
  <si>
    <t>Unknown:NC_033700.1/KX883638.1</t>
  </si>
  <si>
    <t>Xinzhou nematode virus 7</t>
  </si>
  <si>
    <t>PRJNA375064</t>
  </si>
  <si>
    <t>Unknown:NC_033734.1/KX883280.1</t>
  </si>
  <si>
    <t>Xinzhou nematode virus 5</t>
  </si>
  <si>
    <t>PRJNA375066</t>
  </si>
  <si>
    <t>Unknown:NC_033704.1/KX884461.1</t>
  </si>
  <si>
    <t>Pseudomonas monteilii strain USDA-ARS-USMARC-56711</t>
  </si>
  <si>
    <t>Xinzhou nematode virus 4</t>
  </si>
  <si>
    <t>PRJNA375067</t>
  </si>
  <si>
    <t>Unknown:NC_033705.1/KX884462.1</t>
  </si>
  <si>
    <t>Xinzhou nematode virus 3</t>
  </si>
  <si>
    <t>PRJNA375068</t>
  </si>
  <si>
    <t>49.1226</t>
  </si>
  <si>
    <t>1:NC_033753.1/KX884004.1;  2:NC_033754.1/KX884005.1</t>
  </si>
  <si>
    <t>Xinzhou nematode virus 2</t>
  </si>
  <si>
    <t>PRJNA375069</t>
  </si>
  <si>
    <t>Unknown:NC_033730.1/KX884383.1</t>
  </si>
  <si>
    <t>Pseudomonas moraviensis R28-S</t>
  </si>
  <si>
    <t>Xinzhou nematode virus 1</t>
  </si>
  <si>
    <t>PRJNA375070</t>
  </si>
  <si>
    <t>Unknown:NC_033728.1/KX883838.1</t>
  </si>
  <si>
    <t>Xinzhou dimarhabdovirus virus 1</t>
  </si>
  <si>
    <t>PRJNA375071</t>
  </si>
  <si>
    <t>Unknown:NC_033703.1/KX884460.1</t>
  </si>
  <si>
    <t>Xingshan nematode virus 6</t>
  </si>
  <si>
    <t>Pseudomonas oryzihabitans strain USDA-ARS-USMARC-56511</t>
  </si>
  <si>
    <t>PRJNA375072</t>
  </si>
  <si>
    <t>Unknown:NC_033719.1/KX882996.1</t>
  </si>
  <si>
    <t>Xingshan nematode virus 5</t>
  </si>
  <si>
    <t>PRJNA375073</t>
  </si>
  <si>
    <t>52.6363</t>
  </si>
  <si>
    <t>1:NC_033752.1/KX882932.1;  2:NC_033755.1/KX882933.1</t>
  </si>
  <si>
    <t>Sugarcane bacilliform Guadeloupe D virus</t>
  </si>
  <si>
    <t>PRJNA41599</t>
  </si>
  <si>
    <t>Pseudomonas parafulva strain CRS01-1</t>
  </si>
  <si>
    <t>Unknown:NC_013455.1/FJ439817.1</t>
  </si>
  <si>
    <t>Bat sapovirus</t>
  </si>
  <si>
    <t>PRJNA376036</t>
  </si>
  <si>
    <t>Unknown:NC_033776.1/KX759620.1</t>
  </si>
  <si>
    <t>Tomato leaf curl Burkina Faso virus</t>
  </si>
  <si>
    <t>PRJNA376172</t>
  </si>
  <si>
    <t>Pseudomonas plecoglossicida NyZ12</t>
  </si>
  <si>
    <t>Unknown:NC_033779.1/KX853168.1</t>
  </si>
  <si>
    <t>Mythimna unipuncta granulovirus</t>
  </si>
  <si>
    <t>PRJNA376169</t>
  </si>
  <si>
    <t>Unknown:NC_033780.1/KX855660.1</t>
  </si>
  <si>
    <t>Noumeavirus</t>
  </si>
  <si>
    <t>PRJNA376058</t>
  </si>
  <si>
    <t>Pseudomonas poae RE*1-1-14</t>
  </si>
  <si>
    <t>Unknown:NC_033775.1/KX066233.1</t>
  </si>
  <si>
    <t>Clematis chlorotic mottle virus</t>
  </si>
  <si>
    <t>PRJNA376173</t>
  </si>
  <si>
    <t>Unknown:NC_033777.1/KX712140.1</t>
  </si>
  <si>
    <t>Leptopilina boulardi filamentous virus</t>
  </si>
  <si>
    <t>PRJNA376027</t>
  </si>
  <si>
    <t>Unknown:NC_033778.1/KY009685.1</t>
  </si>
  <si>
    <t>Orbivirus SX-2017a</t>
  </si>
  <si>
    <t>Pseudomonas protegens Cab57</t>
  </si>
  <si>
    <t>PRJNA376171</t>
  </si>
  <si>
    <t>42.3885</t>
  </si>
  <si>
    <t>1:NC_033782.1/KX455487.1;  2:NC_033783.1/KX455488.1;  3:NC_033784.1/KX455489.1;  4:NC_033785.1/KX455490.1;  5:NC_033786.1/KX455491.1;  6:NC_033787.1/KX455492.1;  7:NC_033788.1/KX455493.1;  8:NC_033789.1/KX455494.1;  9:NC_033790.1/KX455495.1;  10:NC_033791.1/KX455496.1</t>
  </si>
  <si>
    <t>Human papillomavirus type 156</t>
  </si>
  <si>
    <t>PRJNA376170</t>
  </si>
  <si>
    <t>Unknown:NC_033781.1/JX429973.1</t>
  </si>
  <si>
    <t>Pseudomonas protegens CHA0</t>
  </si>
  <si>
    <t>Agrotis segetum nucleopolyhedrovirus A</t>
  </si>
  <si>
    <t>PRJNA16661</t>
  </si>
  <si>
    <t>Unknown:NC_007921.1/DQ123841.1</t>
  </si>
  <si>
    <t>Equus asinus papillomavirus 1</t>
  </si>
  <si>
    <t>PRJNA243496</t>
  </si>
  <si>
    <t>Unknown:NC_023882.1/KF741371.1</t>
  </si>
  <si>
    <t>Qinghai Himalayan marmot astrovirus 1</t>
  </si>
  <si>
    <t>PRJNA376197</t>
  </si>
  <si>
    <t>Unknown:NC_033792.1/KY024237.1</t>
  </si>
  <si>
    <t>Goose megrivirus</t>
  </si>
  <si>
    <t>PRJNA376528</t>
  </si>
  <si>
    <t>Pseudomonas protegens Pf-5</t>
  </si>
  <si>
    <t>Unknown:NC_033793.1/KY369300.1</t>
  </si>
  <si>
    <t>Bat dicibavirus</t>
  </si>
  <si>
    <t>PRJNA376914</t>
  </si>
  <si>
    <t>Unknown:NC_033824.1/KX644944.1</t>
  </si>
  <si>
    <t>Bat iflavirus</t>
  </si>
  <si>
    <t>PRJNA376915</t>
  </si>
  <si>
    <t>Unknown:NC_033823.1/KX644939.1</t>
  </si>
  <si>
    <t>Pseudomonas pseudoalcaligenes strain CECT 5344</t>
  </si>
  <si>
    <t>Bat sapelovirus</t>
  </si>
  <si>
    <t>PRJNA376916</t>
  </si>
  <si>
    <t>Unknown:NC_033820.1/KX644938.1</t>
  </si>
  <si>
    <t>Bat crohivirus</t>
  </si>
  <si>
    <t>PRJNA376917</t>
  </si>
  <si>
    <t>Unknown:NC_033819.1/KX644937.1</t>
  </si>
  <si>
    <t>Bat kunsagivirus</t>
  </si>
  <si>
    <t>PRJNA376918</t>
  </si>
  <si>
    <t>Unknown:NC_033818.1/KX644936.1</t>
  </si>
  <si>
    <t>Pseudomonas putida BIRD-1</t>
  </si>
  <si>
    <t>Peach virus D</t>
  </si>
  <si>
    <t>PRJNA376919</t>
  </si>
  <si>
    <t>Unknown:NC_033828.1/KY084481.1</t>
  </si>
  <si>
    <t>Munguba virus</t>
  </si>
  <si>
    <t>PRJNA376920</t>
  </si>
  <si>
    <t>41.5828</t>
  </si>
  <si>
    <t>L:NC_033830.1/HM566164.1;  M:NC_033847.1/HM566165.1;  S:NC_033831.1/HM566166.1</t>
  </si>
  <si>
    <t>Urucuri virus</t>
  </si>
  <si>
    <t>Pseudomonas putida DOT-T1E</t>
  </si>
  <si>
    <t>PRJNA376921</t>
  </si>
  <si>
    <t>41.4627</t>
  </si>
  <si>
    <t>L:NC_033841.1/KX611403.1;  M:NC_033842.1/KX611404.1;  S:NC_033843.1/KX611405.1</t>
  </si>
  <si>
    <t>Tapara virus</t>
  </si>
  <si>
    <t>PRJNA376922</t>
  </si>
  <si>
    <t>42.7834</t>
  </si>
  <si>
    <t>L:NC_033848.1/KX611397.1;  M:NC_033838.1/KX611398.1;  S:NC_033839.1/KX611399.1</t>
  </si>
  <si>
    <t>Ambe virus</t>
  </si>
  <si>
    <t>Pseudomonas putida F1</t>
  </si>
  <si>
    <t>PRJNA376923</t>
  </si>
  <si>
    <t>42.1711</t>
  </si>
  <si>
    <t>L:NC_033844.1/KX611382.1;  M:NC_033835.1/KX611383.1;  S:NC_033845.1/KX611384.1</t>
  </si>
  <si>
    <t>Wuhan insect virus 22</t>
  </si>
  <si>
    <t>PRJNA376924</t>
  </si>
  <si>
    <t>Pseudomonas putida GB-1</t>
  </si>
  <si>
    <t>42.9259</t>
  </si>
  <si>
    <t>1:NC_033851.1/KX884050.1;  2:NC_033852.1/KX884051.1</t>
  </si>
  <si>
    <t>Wuhan insect virus 12</t>
  </si>
  <si>
    <t>PRJNA376925</t>
  </si>
  <si>
    <t>Unknown:NC_033816.1/KX883288.1</t>
  </si>
  <si>
    <t>Pseudomonas putida H8234</t>
  </si>
  <si>
    <t>Jingmen tombus-like virus 1</t>
  </si>
  <si>
    <t>PRJNA376926</t>
  </si>
  <si>
    <t>Unknown:NC_033815.1/KX883122.1</t>
  </si>
  <si>
    <t>Pseudomonas putida HB3267</t>
  </si>
  <si>
    <t>Beihai picorna-like virus 59</t>
  </si>
  <si>
    <t>PRJNA376927</t>
  </si>
  <si>
    <t>Unknown:NC_033822.1/KX883321.1</t>
  </si>
  <si>
    <t>Pseudomonas putida KT2440</t>
  </si>
  <si>
    <t>Beihai picorna-like virus 57</t>
  </si>
  <si>
    <t>PRJNA376928</t>
  </si>
  <si>
    <t>Unknown:NC_033827.1/KX883356.1</t>
  </si>
  <si>
    <t>Kallithea virus</t>
  </si>
  <si>
    <t>Pseudomonas putida NBRC 14164</t>
  </si>
  <si>
    <t>PRJNA376929</t>
  </si>
  <si>
    <t>Unknown:NC_033829.1/KX130344.1</t>
  </si>
  <si>
    <t>Uriurana virus</t>
  </si>
  <si>
    <t>PRJNA376930</t>
  </si>
  <si>
    <t>39.8718</t>
  </si>
  <si>
    <t>L:NC_033849.1/KX611400.1;  M:NC_033840.1/KX611401.1;  S:NC_033850.1/KX611402.1</t>
  </si>
  <si>
    <t>Pseudomonas putida ND6</t>
  </si>
  <si>
    <t>Anhanga virus</t>
  </si>
  <si>
    <t>PRJNA376931</t>
  </si>
  <si>
    <t>40.029</t>
  </si>
  <si>
    <t>L:NC_033836.1/KX611385.1;  M:NC_033846.1/KX611386.1;  S:NC_033837.1/KX611387.1</t>
  </si>
  <si>
    <t>Melon severe mosaic tospovirus</t>
  </si>
  <si>
    <t>Pseudomonas putida S12</t>
  </si>
  <si>
    <t>PRJNA376932</t>
  </si>
  <si>
    <t>35.5159</t>
  </si>
  <si>
    <t>L:NC_033834.1/KX698424.1;  M:NC_033833.1/KX698423.1;  S:NC_033832.1/KX698422.1</t>
  </si>
  <si>
    <t>Qinghai Himalayan marmot astrovirus 2</t>
  </si>
  <si>
    <t>PRJNA376933</t>
  </si>
  <si>
    <t>Pseudomonas putida S16</t>
  </si>
  <si>
    <t>Unknown:NC_033821.1/KY024238.1</t>
  </si>
  <si>
    <t>Cassava satellite virus</t>
  </si>
  <si>
    <t>PRJNA376934</t>
  </si>
  <si>
    <t>Pseudomonas putida strain DLL-E4</t>
  </si>
  <si>
    <t>Unknown:NC_033817.1/KY607769.1</t>
  </si>
  <si>
    <t>Bat badicivirus 2</t>
  </si>
  <si>
    <t>PRJNA376935</t>
  </si>
  <si>
    <t>Unknown:NC_033826.1/KX644946.1</t>
  </si>
  <si>
    <t>Bat badicivirus 1</t>
  </si>
  <si>
    <t>PRJNA376936</t>
  </si>
  <si>
    <t>Pseudomonas putida strain PC2</t>
  </si>
  <si>
    <t>Unknown:NC_033825.1/KX644945.1</t>
  </si>
  <si>
    <t>Phaseolus vulgaris alphaendornavirus 1</t>
  </si>
  <si>
    <t>PRJNA240322</t>
  </si>
  <si>
    <t>Unknown:NC_023678.1/AB719397.1</t>
  </si>
  <si>
    <t>Orthohepevirus D</t>
  </si>
  <si>
    <t>PRJNA172460</t>
  </si>
  <si>
    <t>Unknown:NC_018382.1/JQ001749.1</t>
  </si>
  <si>
    <t>Pseudomonas putida W619</t>
  </si>
  <si>
    <t>uncultured marine virus</t>
  </si>
  <si>
    <t>PRJDB4437</t>
  </si>
  <si>
    <t>BCRW00000000.1</t>
  </si>
  <si>
    <t>Cordoba virus</t>
  </si>
  <si>
    <t>PRJNA378393</t>
  </si>
  <si>
    <t>Pseudomonas resinovorans NBRC 106553</t>
  </si>
  <si>
    <t>Unknown:NC_034156.1/KX518771.1</t>
  </si>
  <si>
    <t>Piura virus</t>
  </si>
  <si>
    <t>PRJNA378395</t>
  </si>
  <si>
    <t>Unknown:NC_034155.1/KX518786.1</t>
  </si>
  <si>
    <t>Loreto virus</t>
  </si>
  <si>
    <t>PRJNA378396</t>
  </si>
  <si>
    <t>Unknown:NC_034158.1/KX518775.1</t>
  </si>
  <si>
    <t>Pepper cryptic virus 2</t>
  </si>
  <si>
    <t>PRJNA378397</t>
  </si>
  <si>
    <t>Pseudomonas rhizosphaerae DSM 16299</t>
  </si>
  <si>
    <t>41.4085</t>
  </si>
  <si>
    <t>RNA 1:NC_034159.1/JN117278.1;  RNA 2:NC_034167.1/JN117279.1</t>
  </si>
  <si>
    <t>San Bernardo virus</t>
  </si>
  <si>
    <t>PRJNA378398</t>
  </si>
  <si>
    <t>Unknown:NC_034154.1/KX518761.1</t>
  </si>
  <si>
    <t>Fort Crockett virus</t>
  </si>
  <si>
    <t>PRJNA378399</t>
  </si>
  <si>
    <t>Unknown:NC_034157.1/KX518774.1</t>
  </si>
  <si>
    <t>Pseudomonas simiae strain WCS417</t>
  </si>
  <si>
    <t>Biratnagar virus</t>
  </si>
  <si>
    <t>PRJNA378400</t>
  </si>
  <si>
    <t>Unknown:NC_034153.1/KX518757.1</t>
  </si>
  <si>
    <t>Big Cypress virus</t>
  </si>
  <si>
    <t>PRJNA378401</t>
  </si>
  <si>
    <t>Unknown:NC_034152.1/KX518750.1</t>
  </si>
  <si>
    <t>Menghai flavivirus</t>
  </si>
  <si>
    <t>PRJNA378771</t>
  </si>
  <si>
    <t>Pseudomonas sp. 20_BN</t>
  </si>
  <si>
    <t>Unknown:NC_034204.1/KX907452.1</t>
  </si>
  <si>
    <t>African eggplant yellowing virus</t>
  </si>
  <si>
    <t>PRJNA379130</t>
  </si>
  <si>
    <t>Unknown:NC_034207.1/KX856972.1</t>
  </si>
  <si>
    <t>Phomopsis longicolla circular virus 1</t>
  </si>
  <si>
    <t>PRJNA379131</t>
  </si>
  <si>
    <t>Pseudomonas sp. CCOS 191</t>
  </si>
  <si>
    <t>Unknown:NC_034209.1/KR106588.1</t>
  </si>
  <si>
    <t>Peach rosette mosaic virus</t>
  </si>
  <si>
    <t>PRJNA379132</t>
  </si>
  <si>
    <t>44.3426</t>
  </si>
  <si>
    <t>1:NC_034214.1/KY646466.1;  2:NC_034215.1/KJ572573.2</t>
  </si>
  <si>
    <t>Tucunduba virus</t>
  </si>
  <si>
    <t>PRJNA379134</t>
  </si>
  <si>
    <t>31.8532</t>
  </si>
  <si>
    <t>Pseudomonas sp. DR 5-09</t>
  </si>
  <si>
    <t>L:NC_034212.1/KX579496.1;  M:NC_034213.1/KX579497.1;  S:NC_034211.1/KX579498.1</t>
  </si>
  <si>
    <t>Grapevine rupestris vein feathering virus</t>
  </si>
  <si>
    <t>PRJNA379135</t>
  </si>
  <si>
    <t>Unknown:NC_034205.1/KY513701.1</t>
  </si>
  <si>
    <t>Bakunsa virus</t>
  </si>
  <si>
    <t>PRJNA379136</t>
  </si>
  <si>
    <t>Unknown:NC_034206.1/KY670597.1</t>
  </si>
  <si>
    <t>Sunflower ring blotch virus</t>
  </si>
  <si>
    <t>PRJNA379138</t>
  </si>
  <si>
    <t>Unknown:NC_034208.1/KX856009.1</t>
  </si>
  <si>
    <t>Mogiana tick virus</t>
  </si>
  <si>
    <t>PRJNA379598</t>
  </si>
  <si>
    <t>53.8244</t>
  </si>
  <si>
    <t>1:NC_034222.1/JX390986.2;  2:NC_034225.1/KY523073.1;  3:NC_034223.1/JX390985.2;  4:NC_034224.1/KY523074.1</t>
  </si>
  <si>
    <t>Pseudomonas sp. FGI182</t>
  </si>
  <si>
    <t>Lagenaria siceraria endornavirus-Hubei</t>
  </si>
  <si>
    <t>PRJNA379461</t>
  </si>
  <si>
    <t>Unknown:NC_034216.1/KX377970.1</t>
  </si>
  <si>
    <t>Pityohyphantes rubrofasciatus iflavirus</t>
  </si>
  <si>
    <t>PRJNA379589</t>
  </si>
  <si>
    <t>Unknown:NC_034217.1/KX452237.1</t>
  </si>
  <si>
    <t>Rousettus aegyptiacus polyomavirus 1</t>
  </si>
  <si>
    <t>PRJNA379591</t>
  </si>
  <si>
    <t>Pseudomonas sp. JY-Q</t>
  </si>
  <si>
    <t>Unknown:NC_034219.1/LC185218.1</t>
  </si>
  <si>
    <t>Rhinolophus hildebrandtii polyomavirus 1</t>
  </si>
  <si>
    <t>PRJNA379592</t>
  </si>
  <si>
    <t>Unknown:NC_034218.1/LC185217.1</t>
  </si>
  <si>
    <t>Miniopterus schreibersii polyomavirus 2</t>
  </si>
  <si>
    <t>PRJNA379593</t>
  </si>
  <si>
    <t>Pseudomonas sp. MRSN12121</t>
  </si>
  <si>
    <t>Unknown:NC_034221.1/LC185216.1</t>
  </si>
  <si>
    <t>Miniopterus schreibersii polyomavirus 1</t>
  </si>
  <si>
    <t>PRJNA379594</t>
  </si>
  <si>
    <t>Unknown:NC_034220.1/LC185213.1</t>
  </si>
  <si>
    <t>Yaounde virus</t>
  </si>
  <si>
    <t>PRJNA378002</t>
  </si>
  <si>
    <t>Pseudomonas sp. MS586</t>
  </si>
  <si>
    <t>Unknown:NC_034018.1/EU082199.2</t>
  </si>
  <si>
    <t>Phnom Penh bat virus</t>
  </si>
  <si>
    <t>PRJNA377304</t>
  </si>
  <si>
    <t>Unknown:NC_034007.1/KJ469372.1</t>
  </si>
  <si>
    <t>Xishuangbanna aedes flavivirus</t>
  </si>
  <si>
    <t>PRJNA378003</t>
  </si>
  <si>
    <t>Unknown:NC_034017.1/KU201526.1</t>
  </si>
  <si>
    <t>Pseudomonas sp. MT-1</t>
  </si>
  <si>
    <t>Kaumoebavirus</t>
  </si>
  <si>
    <t>PRJNA325154</t>
  </si>
  <si>
    <t>Unknown:NC_034249.1/KX552040.1</t>
  </si>
  <si>
    <t>Tobacco virus 2</t>
  </si>
  <si>
    <t>PRJNA382351</t>
  </si>
  <si>
    <t>Unknown:NC_034265.1/KY038943.1</t>
  </si>
  <si>
    <t>Human parainfluenza virus 4a</t>
  </si>
  <si>
    <t>PRJNA214365</t>
  </si>
  <si>
    <t>Unknown:NC_021928.1/AB543336.1</t>
  </si>
  <si>
    <t>Pseudomonas sp. Os17</t>
  </si>
  <si>
    <t>Mirabilis leaf curl virus</t>
  </si>
  <si>
    <t>PRJNA255801</t>
  </si>
  <si>
    <t>Unknown:NC_024491.1/LK054801.1</t>
  </si>
  <si>
    <t>Tomato yellow mottle-associated virus</t>
  </si>
  <si>
    <t>PRJNA380421</t>
  </si>
  <si>
    <t>Unknown:NC_034240.1/KY075646.1</t>
  </si>
  <si>
    <t>Pseudomonas sp. St29</t>
  </si>
  <si>
    <t>Diabrotica virgifera virgifera virus 2</t>
  </si>
  <si>
    <t>PRJNA380827</t>
  </si>
  <si>
    <t>Unknown:NC_034241.1/KY070327.1</t>
  </si>
  <si>
    <t>Ixeridium yellow mottle virus 2</t>
  </si>
  <si>
    <t>PRJNA380967</t>
  </si>
  <si>
    <t>Unknown:NC_034243.1/KT946712.1</t>
  </si>
  <si>
    <t>Pseudomonas sp. StFLB209</t>
  </si>
  <si>
    <t>Ochlerotatus caspius flavivirus</t>
  </si>
  <si>
    <t>PRJNA381080</t>
  </si>
  <si>
    <t>Unknown:NC_034242.1/KY345399.1</t>
  </si>
  <si>
    <t>LI polyomavirus</t>
  </si>
  <si>
    <t>PRJNA381649</t>
  </si>
  <si>
    <t>Unknown:NC_034253.1/KY404016.1</t>
  </si>
  <si>
    <t>Pseudomonas sp. TKP</t>
  </si>
  <si>
    <t>Diabrotica virgifera virgifera virus 3</t>
  </si>
  <si>
    <t>PRJNA381650</t>
  </si>
  <si>
    <t>Unknown:NC_034244.1/KY200663.1</t>
  </si>
  <si>
    <t>Cowpea polerovirus 2</t>
  </si>
  <si>
    <t>PRJNA381651</t>
  </si>
  <si>
    <t>Pseudomonas sp. URMO17WK12:I11</t>
  </si>
  <si>
    <t>Unknown:NC_034247.1/KY364847.1</t>
  </si>
  <si>
    <t>Cowpea polerovirus 1</t>
  </si>
  <si>
    <t>PRJNA381652</t>
  </si>
  <si>
    <t>Unknown:NC_034246.1/KY364846.1</t>
  </si>
  <si>
    <t>Beauveria bassiana polymycovirus 1</t>
  </si>
  <si>
    <t>PRJNA381653</t>
  </si>
  <si>
    <t>60.2967</t>
  </si>
  <si>
    <t>ORF1:NC_034260.1/LN896307.1;  ORF2:NC_034257.1/LN896308.1;  ORF3:NC_034258.1/LN896309.1;  ORF4:NC_034259.1/LN896310.1</t>
  </si>
  <si>
    <t>Tomato leaf curl Pakistan betasatellite</t>
  </si>
  <si>
    <t>PRJNA381654</t>
  </si>
  <si>
    <t>Unknown:NC_034250.1/LN811051.1</t>
  </si>
  <si>
    <t>Bovine rhinovirus 1</t>
  </si>
  <si>
    <t>PRJNA381655</t>
  </si>
  <si>
    <t>Unknown:NC_034245.1/KJ608370.1</t>
  </si>
  <si>
    <t>Pseudomonas sp. UW4</t>
  </si>
  <si>
    <t>Dhori virus</t>
  </si>
  <si>
    <t>PRJNA381656</t>
  </si>
  <si>
    <t>45.8313</t>
  </si>
  <si>
    <t>1:NC_034261.1/GU969308.1;  2:NC_034254.1/GU969309.1;  3:NC_034255.1/GU969310.1;  4:NC_034262.1/GU969311.1;  5:NC_034256.1/GU969312.1;  6:NC_034263.1/GU969313.1</t>
  </si>
  <si>
    <t>Wisteria badnavirus 1</t>
  </si>
  <si>
    <t>PRJNA381657</t>
  </si>
  <si>
    <t>Pseudomonas sp. VLB120</t>
  </si>
  <si>
    <t>Unknown:NC_034252.1/KX168422.1</t>
  </si>
  <si>
    <t>Alpaca polyomavirus</t>
  </si>
  <si>
    <t>PRJNA381658</t>
  </si>
  <si>
    <t>Unknown:NC_034251.1/KU879245.1</t>
  </si>
  <si>
    <t>Rhizobium phage RHEph10</t>
  </si>
  <si>
    <t>PRJNA381660</t>
  </si>
  <si>
    <t>Pseudomonas sp. WCS374</t>
  </si>
  <si>
    <t>Unknown:NC_034248.1/JX483881.1</t>
  </si>
  <si>
    <t>Columbid alphaherpesvirus 1</t>
  </si>
  <si>
    <t>PRJNA382397</t>
  </si>
  <si>
    <t>Unknown:NC_034266.1/KX589235.1</t>
  </si>
  <si>
    <t>Enterovirus goat/JL14</t>
  </si>
  <si>
    <t>Pseudomonas stutzeri A1501</t>
  </si>
  <si>
    <t>PRJNA382548</t>
  </si>
  <si>
    <t>Unknown:NC_034267.1/KU297674.1</t>
  </si>
  <si>
    <t>Arracacha virus V</t>
  </si>
  <si>
    <t>PRJNA382140</t>
  </si>
  <si>
    <t>Unknown:NC_034264.1/KY392781.1</t>
  </si>
  <si>
    <t>Pseudomonas stutzeri ATCC 17588 = LMG 11199</t>
  </si>
  <si>
    <t>Botryosphaeria dothidea chrysovirus 1</t>
  </si>
  <si>
    <t>PRJNA382570</t>
  </si>
  <si>
    <t>57.4998</t>
  </si>
  <si>
    <t>1:NC_034268.1/KY111916.1;  2:NC_034271.1/KY111917.1;  3:NC_034269.1/KY111918.1;  4:NC_034270.1/KY111919.1</t>
  </si>
  <si>
    <t>Erve virus</t>
  </si>
  <si>
    <t>PRJNA318525</t>
  </si>
  <si>
    <t>38.5681</t>
  </si>
  <si>
    <t>L:NC_029909.1/JF911697.1;  M:NC_029934.1/JF911698.1;  S:NC_029910.1/JF911699.1</t>
  </si>
  <si>
    <t>Pseudomonas stutzeri CCUG 29243</t>
  </si>
  <si>
    <t>Endive necrotic mosaic virus</t>
  </si>
  <si>
    <t>PRJNA382966</t>
  </si>
  <si>
    <t>Unknown:NC_034273.1/KU941946.1</t>
  </si>
  <si>
    <t>Edwardsiella phage PEi21</t>
  </si>
  <si>
    <t>PRJNA230645</t>
  </si>
  <si>
    <t>Unknown:NC_021342.2/AP013057.1</t>
  </si>
  <si>
    <t>Sinorhizobium phage phiM12</t>
  </si>
  <si>
    <t>PRJNA286159</t>
  </si>
  <si>
    <t>Pseudomonas stutzeri DSM 10701</t>
  </si>
  <si>
    <t>Unknown:NC_027204.1/KF381361.1</t>
  </si>
  <si>
    <t>Cassava virus X</t>
  </si>
  <si>
    <t>PRJNA383740</t>
  </si>
  <si>
    <t>Unknown:NC_034375.1/KY288487.1</t>
  </si>
  <si>
    <t>Raccoon-associated polyomavirus 2</t>
  </si>
  <si>
    <t>PRJNA383799</t>
  </si>
  <si>
    <t>Pseudomonas stutzeri DSM 4166</t>
  </si>
  <si>
    <t>Unknown:NC_034378.1/KY549442.1</t>
  </si>
  <si>
    <t>Watermelon virus A</t>
  </si>
  <si>
    <t>PRJNA383800</t>
  </si>
  <si>
    <t>Unknown:NC_034377.1/KY363796.1</t>
  </si>
  <si>
    <t>Pepper virus A</t>
  </si>
  <si>
    <t>PRJNA383801</t>
  </si>
  <si>
    <t>Unknown:NC_034376.1/KU726694.1</t>
  </si>
  <si>
    <t>Pseudomonas stutzeri RCH2</t>
  </si>
  <si>
    <t>Edwardsiella phage eiAU-183</t>
  </si>
  <si>
    <t>PRJNA240025</t>
  </si>
  <si>
    <t>Unknown:NC_023555.1/KF772234.1</t>
  </si>
  <si>
    <t>Propionibacterium phage PHL199M00</t>
  </si>
  <si>
    <t>PRJNA287584</t>
  </si>
  <si>
    <t>Unknown:NC_027295.1/KJ578790.1</t>
  </si>
  <si>
    <t>Pseudomonas stutzeri strain 19SMN4</t>
  </si>
  <si>
    <t>Propionibacterium phage PHL171M01</t>
  </si>
  <si>
    <t>PRJNA288005</t>
  </si>
  <si>
    <t>Unknown:NC_027346.1/KJ578787.1</t>
  </si>
  <si>
    <t>Propionibacterium phage PHL141N00</t>
  </si>
  <si>
    <t>PRJNA288009</t>
  </si>
  <si>
    <t>Unknown:NC_027389.1/KJ578781.1</t>
  </si>
  <si>
    <t>Propionibacterium phage PHL009M11</t>
  </si>
  <si>
    <t>PRJNA288025</t>
  </si>
  <si>
    <t>Pseudomonas stutzeri strain 273</t>
  </si>
  <si>
    <t>Unknown:NC_027336.1/KJ578758.1</t>
  </si>
  <si>
    <t>Propionibacterium phage PHL301M00</t>
  </si>
  <si>
    <t>PRJNA288002</t>
  </si>
  <si>
    <t>Unknown:NC_027354.1/KJ578791.1</t>
  </si>
  <si>
    <t>Pseudomonas stutzeri strain 28a24</t>
  </si>
  <si>
    <t>Propionibacterium phage PHL132N00</t>
  </si>
  <si>
    <t>PRJNA288010</t>
  </si>
  <si>
    <t>Unknown:NC_027367.1/KJ578780.1</t>
  </si>
  <si>
    <t>Pseudomonas stutzeri strain SLG510A3-8</t>
  </si>
  <si>
    <t>Propionibacterium phage PHL095N00</t>
  </si>
  <si>
    <t>PRJNA288014</t>
  </si>
  <si>
    <t>Unknown:NC_027401.1/KJ578774.1</t>
  </si>
  <si>
    <t>Propionibacterium phage PHL070N00</t>
  </si>
  <si>
    <t>PRJNA288018</t>
  </si>
  <si>
    <t>Pseudomonas synxantha BG33R</t>
  </si>
  <si>
    <t>Unknown:NC_027333.1/KJ578767.1</t>
  </si>
  <si>
    <t>Propionibacterium phage PHL041M10</t>
  </si>
  <si>
    <t>PRJNA288022</t>
  </si>
  <si>
    <t>Unknown:NC_027391.1/KJ578761.1</t>
  </si>
  <si>
    <t>Pseudomonas syringae pv. actinidiae ICMP 18884</t>
  </si>
  <si>
    <t>Propionibacterium phage PHL152M00</t>
  </si>
  <si>
    <t>PRJNA288007</t>
  </si>
  <si>
    <t>Unknown:NC_027386.1/KJ578785.1</t>
  </si>
  <si>
    <t>Propionibacterium phage PHL092M00</t>
  </si>
  <si>
    <t>PRJNA288015</t>
  </si>
  <si>
    <t>Pseudomonas syringae pv. actinidiae ICMP 9617</t>
  </si>
  <si>
    <t>Unknown:NC_027385.1/KJ578773.1</t>
  </si>
  <si>
    <t>Propionibacterium phage PHL179M00</t>
  </si>
  <si>
    <t>PRJNA288004</t>
  </si>
  <si>
    <t>Unknown:NC_027370.1/KJ578788.1</t>
  </si>
  <si>
    <t>Propionibacterium phage PHL116M00</t>
  </si>
  <si>
    <t>PRJNA288012</t>
  </si>
  <si>
    <t>Unknown:NC_027362.1/KJ578776.1</t>
  </si>
  <si>
    <t>Pseudomonas syringae pv. lapsa</t>
  </si>
  <si>
    <t>Propionibacterium phage PHL025M00</t>
  </si>
  <si>
    <t>PRJNA288024</t>
  </si>
  <si>
    <t>Unknown:NC_027357.1/KJ578759.1</t>
  </si>
  <si>
    <t>Pseudomonas syringae pv. phaseolicola 1448A</t>
  </si>
  <si>
    <t>T'Ho virus</t>
  </si>
  <si>
    <t>PRJNA378251</t>
  </si>
  <si>
    <t>Unknown:NC_034151.1/EU879061.2</t>
  </si>
  <si>
    <t>Pseudomonas syringae pv. syringae B301D</t>
  </si>
  <si>
    <t>Diamondback moth iflavirus</t>
  </si>
  <si>
    <t>PRJNA384459</t>
  </si>
  <si>
    <t>Unknown:NC_034384.1/KY435608.1</t>
  </si>
  <si>
    <t>Black currant leaf chlorosis associated virus</t>
  </si>
  <si>
    <t>Pseudomonas syringae pv. syringae B728a</t>
  </si>
  <si>
    <t>PRJNA384966</t>
  </si>
  <si>
    <t>42.2752</t>
  </si>
  <si>
    <t>1:NC_034408.1/KY399998.1;  2:NC_034390.1/KY399999.1</t>
  </si>
  <si>
    <t>Nairobi sheep disease virus</t>
  </si>
  <si>
    <t>PRJNA384967</t>
  </si>
  <si>
    <t>44.2028</t>
  </si>
  <si>
    <t>Pseudomonas syringae pv. syringae HS191</t>
  </si>
  <si>
    <t>L:NC_034387.1/KM464726.1;  M:NC_034391.1/KM464725.1;  S:NC_034386.1/KM464724.1</t>
  </si>
  <si>
    <t>Keterrah virus</t>
  </si>
  <si>
    <t>PRJNA384968</t>
  </si>
  <si>
    <t>38.4143</t>
  </si>
  <si>
    <t>L:NC_034392.1/KR537447.1;  M:NC_034388.1/KR537448.1;  S:NC_034389.1/KR537449.1</t>
  </si>
  <si>
    <t>Pseudomonas syringae pv. syringae SM</t>
  </si>
  <si>
    <t>Quezon virus</t>
  </si>
  <si>
    <t>PRJNA384969</t>
  </si>
  <si>
    <t>37.6119</t>
  </si>
  <si>
    <t>L:NC_034401.1/KU950715.1;  M:NC_034393.1/KU950714.1;  S:NC_034400.1/KU950713.1</t>
  </si>
  <si>
    <t>Pseudomonas syringae pv. tomato str. DC3000</t>
  </si>
  <si>
    <t>Montano orthohantavirus</t>
  </si>
  <si>
    <t>PRJNA384970</t>
  </si>
  <si>
    <t>36.2821</t>
  </si>
  <si>
    <t>L:NC_034403.1/AB620102.1;  M:NC_034397.1/AB620101.1;  S:NC_034396.1/AB620100.1</t>
  </si>
  <si>
    <t>Jeju virus</t>
  </si>
  <si>
    <t>PRJNA384971</t>
  </si>
  <si>
    <t>36.1725</t>
  </si>
  <si>
    <t>L:NC_034399.1/HQ834697.1;  M:NC_034404.1/HQ834696.1;  S:NC_034398.1/HQ834695.1</t>
  </si>
  <si>
    <t>Bruges virus</t>
  </si>
  <si>
    <t>PRJNA384972</t>
  </si>
  <si>
    <t>Pseudomonas syringae UMAF0158</t>
  </si>
  <si>
    <t>39.0054</t>
  </si>
  <si>
    <t>L:NC_034402.1/KX551962.1;  M:NC_034395.1/KX551961.1;  S:NC_034394.1/KX551960.1</t>
  </si>
  <si>
    <t>Bowe virus</t>
  </si>
  <si>
    <t>PRJNA384973</t>
  </si>
  <si>
    <t>36.1908</t>
  </si>
  <si>
    <t>L:NC_034407.1/KC631784.1;  M:NC_034406.1/KC631783.1;  S:NC_034405.1/KC631782.1</t>
  </si>
  <si>
    <t>Picobirnavirus green monkey/KNA/2015</t>
  </si>
  <si>
    <t>PRJNA385622</t>
  </si>
  <si>
    <t>Pseudomonas trivialis strain IHBB745</t>
  </si>
  <si>
    <t>2:NC_034452.1/KY053141.1</t>
  </si>
  <si>
    <t>Skunk amdoparvovirus</t>
  </si>
  <si>
    <t>PRJNA385623</t>
  </si>
  <si>
    <t>Unknown:NC_034445.1/KX981923.1</t>
  </si>
  <si>
    <t>Hom-1 vesivirus</t>
  </si>
  <si>
    <t>PRJNA385624</t>
  </si>
  <si>
    <t>Pseudonocardia dioxanivorans CB1190</t>
  </si>
  <si>
    <t>Unknown:NC_034444.1/KY114613.1</t>
  </si>
  <si>
    <t>Kibale red colobus virus 2</t>
  </si>
  <si>
    <t>PRJNA385625</t>
  </si>
  <si>
    <t>Unknown:NC_034455.1/KC787658.1</t>
  </si>
  <si>
    <t>Oriboca virus</t>
  </si>
  <si>
    <t>PRJNA385626</t>
  </si>
  <si>
    <t>35.3876</t>
  </si>
  <si>
    <t>L:NC_034475.1/KF254773.1;  M:NC_034488.1/KF254774.1;  S:NC_034476.1/KF254775.1</t>
  </si>
  <si>
    <t>Pseudonocardia sp. AL041005-10</t>
  </si>
  <si>
    <t>Marituba virus</t>
  </si>
  <si>
    <t>PRJNA385627</t>
  </si>
  <si>
    <t>34.8702</t>
  </si>
  <si>
    <t>L:NC_034495.1/KF254770.1;  M:NC_034504.1/KF254771.1;  S:NC_034496.1/KF254772.1</t>
  </si>
  <si>
    <t>Nyando virus</t>
  </si>
  <si>
    <t>PRJNA385628</t>
  </si>
  <si>
    <t>36.1796</t>
  </si>
  <si>
    <t>L:NC_034492.1/KJ867190.1;  M:NC_034491.1/KJ867189.1;  S:NC_034481.1/KJ867188.1</t>
  </si>
  <si>
    <t>Madrid virus</t>
  </si>
  <si>
    <t>Pseudonocardia sp. EC080610-09</t>
  </si>
  <si>
    <t>PRJNA385629</t>
  </si>
  <si>
    <t>34.2612</t>
  </si>
  <si>
    <t>L:NC_034497.1/KF254779.1;  M:NC_034505.1/KF254780.1;  S:NC_034498.1/KF254781.1</t>
  </si>
  <si>
    <t>Caraparu virus</t>
  </si>
  <si>
    <t>PRJNA385630</t>
  </si>
  <si>
    <t>35.0144</t>
  </si>
  <si>
    <t>L:NC_034489.1/KF254776.1;  M:NC_034477.1/KF254777.1;  S:NC_034478.1/KF254778.1</t>
  </si>
  <si>
    <t>Kaeng Khoi virus</t>
  </si>
  <si>
    <t>PRJNA385631</t>
  </si>
  <si>
    <t>Pseudonocardia sp. EC080619-01</t>
  </si>
  <si>
    <t>31.0866</t>
  </si>
  <si>
    <t>L:NC_034499.1/KJ867205.1;  M:NC_034500.1/KJ867204.1;  S:NC_034501.1/KJ867203.1</t>
  </si>
  <si>
    <t>Guaroa virus</t>
  </si>
  <si>
    <t>PRJNA385632</t>
  </si>
  <si>
    <t>34.0986</t>
  </si>
  <si>
    <t>L:NC_034487.1/KM245524.1;  M:NC_034506.1/KM245523.1;  S:NC_034486.1/KM245522.1</t>
  </si>
  <si>
    <t>Capim virus</t>
  </si>
  <si>
    <t>PRJNA385633</t>
  </si>
  <si>
    <t>Pseudonocardia sp. EC080625-04</t>
  </si>
  <si>
    <t>35.7375</t>
  </si>
  <si>
    <t>L:NC_034482.1/KT160026.1;  M:NC_034493.1/KT160027.1;  S:NC_034483.1/KT160028.1</t>
  </si>
  <si>
    <t>Porcine pegivirus</t>
  </si>
  <si>
    <t>PRJNA385634</t>
  </si>
  <si>
    <t>Unknown:NC_034442.1/KU351669.1</t>
  </si>
  <si>
    <t>Bat coronavirus</t>
  </si>
  <si>
    <t>PRJNA385635</t>
  </si>
  <si>
    <t>Pseudonocardia sp. HH130629-09</t>
  </si>
  <si>
    <t>Unknown:NC_034440.1/KX574227.1</t>
  </si>
  <si>
    <t>Ferret parechovirus</t>
  </si>
  <si>
    <t>PRJNA385637</t>
  </si>
  <si>
    <t>Pseudothermotoga hypogea DSM 11164 = NBRC 106472</t>
  </si>
  <si>
    <t>Unknown:NC_034453.1/KF006989.1</t>
  </si>
  <si>
    <t>Bahig virus</t>
  </si>
  <si>
    <t>PRJNA385638</t>
  </si>
  <si>
    <t>36.4378</t>
  </si>
  <si>
    <t>L:NC_034472.1/KP792654.1;  M:NC_034507.1/KP792653.1;  S:NC_034471.1/KP057224.1</t>
  </si>
  <si>
    <t>Bwamba orthobunyavirus</t>
  </si>
  <si>
    <t>PRJNA385639</t>
  </si>
  <si>
    <t>31.3468</t>
  </si>
  <si>
    <t>L:NC_034479.1/KJ867184.1;  M:NC_034490.1/KJ867183.1;  S:NC_034480.1/KJ867182.1</t>
  </si>
  <si>
    <t>Ateline alphaherpesvirus 1</t>
  </si>
  <si>
    <t>PRJNA385640</t>
  </si>
  <si>
    <t>Pseudovibrio sp. FO-BEG1</t>
  </si>
  <si>
    <t>75.5</t>
  </si>
  <si>
    <t>Unknown:NC_034446.1/KY385637.1</t>
  </si>
  <si>
    <t>Salmovirus WFRC1</t>
  </si>
  <si>
    <t>PRJNA385641</t>
  </si>
  <si>
    <t>Unknown:NC_034441.1/KY575960.1</t>
  </si>
  <si>
    <t>Canis familiaris polyomavirus 1</t>
  </si>
  <si>
    <t>PRJNA385642</t>
  </si>
  <si>
    <t>Unknown:NC_034456.1/KY341899.1</t>
  </si>
  <si>
    <t>Pseudoxanthomonas spadix BD-a59</t>
  </si>
  <si>
    <t>Tai virus</t>
  </si>
  <si>
    <t>PRJNA385643</t>
  </si>
  <si>
    <t>31.7744</t>
  </si>
  <si>
    <t>L:NC_034459.1/KF590574.1;  M:NC_034461.1/KF590573.1;  S:NC_034457.1/KF590572.1</t>
  </si>
  <si>
    <t>Kibale virus</t>
  </si>
  <si>
    <t>PRJNA385644</t>
  </si>
  <si>
    <t>32.7679</t>
  </si>
  <si>
    <t>L:NC_034460.1/KF590577.1;  M:NC_034468.1/KF590576.1;  S:NC_034458.1/KF590575.1</t>
  </si>
  <si>
    <t>Farallon virus</t>
  </si>
  <si>
    <t>PRJNA385645</t>
  </si>
  <si>
    <t>Pseudoxanthomonas suwonensis 11-1</t>
  </si>
  <si>
    <t>38.0802</t>
  </si>
  <si>
    <t>L:NC_034502.1/KU343154.1;  M:NC_034494.1/KU343155.1;  S:NC_034503.1/KU343156.1</t>
  </si>
  <si>
    <t>Nova virus</t>
  </si>
  <si>
    <t>PRJNA385646</t>
  </si>
  <si>
    <t>35.9202</t>
  </si>
  <si>
    <t>L:NC_034465.1/KR072623.1;  M:NC_034470.1/KR072622.1;  S:NC_034464.1/KR072621.1</t>
  </si>
  <si>
    <t>Eothenomys eleusis hantavirus FUGV</t>
  </si>
  <si>
    <t>PRJNA385647</t>
  </si>
  <si>
    <t>36.9421</t>
  </si>
  <si>
    <t>L:NC_034467.1/KT899703.1;  M:NC_034466.1/KT899702.1;  S:NC_034473.1/KT899701.1</t>
  </si>
  <si>
    <t>Cao Bang orthohantavirus</t>
  </si>
  <si>
    <t>PRJNA385648</t>
  </si>
  <si>
    <t>36.6308</t>
  </si>
  <si>
    <t>Pseudoxanthomonas suwonensis strain J1</t>
  </si>
  <si>
    <t>L:NC_034485.1/EF543525.2;  M:NC_034474.1/EF543526.1;  S:NC_034484.1/EF543524.1</t>
  </si>
  <si>
    <t>Le Dantec virus</t>
  </si>
  <si>
    <t>PRJNA385649</t>
  </si>
  <si>
    <t>Unknown:NC_034443.1/KM205006.1</t>
  </si>
  <si>
    <t>Kern Canyon virus</t>
  </si>
  <si>
    <t>PRJNA385650</t>
  </si>
  <si>
    <t>Psychrobacter alimentarius strain PAMC 27889</t>
  </si>
  <si>
    <t>Unknown:NC_034451.1/KM204992.1</t>
  </si>
  <si>
    <t>Fukuoka virus</t>
  </si>
  <si>
    <t>PRJNA385651</t>
  </si>
  <si>
    <t>Unknown:NC_034454.1/KM205001.1</t>
  </si>
  <si>
    <t>Parry Creek virus</t>
  </si>
  <si>
    <t>PRJNA385652</t>
  </si>
  <si>
    <t>Unknown:NC_034449.1/KM204988.1</t>
  </si>
  <si>
    <t>Mosqueiro virus</t>
  </si>
  <si>
    <t>PRJNA385653</t>
  </si>
  <si>
    <t>Psychrobacter arcticus 273-4</t>
  </si>
  <si>
    <t>Unknown:NC_034448.1/KM205014.1</t>
  </si>
  <si>
    <t>Kamese virus</t>
  </si>
  <si>
    <t>PRJNA385654</t>
  </si>
  <si>
    <t>Unknown:NC_034450.1/KM204989.1</t>
  </si>
  <si>
    <t>Hart Park virus</t>
  </si>
  <si>
    <t>PRJNA385655</t>
  </si>
  <si>
    <t>Psychrobacter cryohalolentis K5</t>
  </si>
  <si>
    <t>Unknown:NC_034447.1/KM205011.1</t>
  </si>
  <si>
    <t>Mycobacterium phage Suffolk</t>
  </si>
  <si>
    <t>PRJNA240049</t>
  </si>
  <si>
    <t>Unknown:NC_023563.1/KF713485.1</t>
  </si>
  <si>
    <t>Enterobacteria phage 933W</t>
  </si>
  <si>
    <t>PRJNA14043</t>
  </si>
  <si>
    <t>Psychrobacter sp. G</t>
  </si>
  <si>
    <t>Unknown:NC_000924.1/AF125520.1</t>
  </si>
  <si>
    <t>Miniopterus schreibersii picornavirus 1</t>
  </si>
  <si>
    <t>PRJNA384384</t>
  </si>
  <si>
    <t>Unknown:NC_034381.1/JQ814851.1</t>
  </si>
  <si>
    <t>Cynomolgus adenovirus 1</t>
  </si>
  <si>
    <t>PRJNA384385</t>
  </si>
  <si>
    <t>Unknown:NC_034382.1/KT013209.1</t>
  </si>
  <si>
    <t>Psychrobacter sp. P11F6</t>
  </si>
  <si>
    <t>Pacmanvirus A23</t>
  </si>
  <si>
    <t>PRJEB18775</t>
  </si>
  <si>
    <t>Unknown:NC_034383.1/LT706986.1</t>
  </si>
  <si>
    <t>Hoya chlorotic spot virus</t>
  </si>
  <si>
    <t>PRJNA386294</t>
  </si>
  <si>
    <t>Unknown:NC_034509.1/KX434725.1</t>
  </si>
  <si>
    <t>Morreton vesiculovirus</t>
  </si>
  <si>
    <t>Psychrobacter sp. P11G3</t>
  </si>
  <si>
    <t>PRJNA386295</t>
  </si>
  <si>
    <t>Unknown:NC_034508.1/KM205007.1</t>
  </si>
  <si>
    <t>Bipolaris maydis partitivirus 1</t>
  </si>
  <si>
    <t>PRJNA386296</t>
  </si>
  <si>
    <t>44.1699</t>
  </si>
  <si>
    <t>RNA1:NC_034514.1/KY315811.1;  RNA2:NC_034524.1/KY352275.1</t>
  </si>
  <si>
    <t>Carnation cryptic virus 3</t>
  </si>
  <si>
    <t>PRJNA386297</t>
  </si>
  <si>
    <t>45.6432</t>
  </si>
  <si>
    <t>RNA1:NC_034513.1/KX826917.1;  RNA2:NC_034523.1/KX826918.1</t>
  </si>
  <si>
    <t>Psychrobacter sp. P11G5</t>
  </si>
  <si>
    <t>Qalyub orthonairovirus</t>
  </si>
  <si>
    <t>PRJNA386298</t>
  </si>
  <si>
    <t>40.3914</t>
  </si>
  <si>
    <t>L:NC_034511.1/KU343160.1;  M:NC_034522.1/KU343161.1;  S:NC_034512.1/KU343162.1</t>
  </si>
  <si>
    <t>Dera Ghazi Khan orthonairovirus</t>
  </si>
  <si>
    <t>PRJNA386299</t>
  </si>
  <si>
    <t>39.5259</t>
  </si>
  <si>
    <t>L:NC_034520.1/KU343151.1;  M:NC_034510.1/KU343152.1;  S:NC_034521.1/KU343153.1</t>
  </si>
  <si>
    <t>Psychrobacter sp. P2G3</t>
  </si>
  <si>
    <t>Sangassou orthohantavirus</t>
  </si>
  <si>
    <t>PRJNA386300</t>
  </si>
  <si>
    <t>38.7705</t>
  </si>
  <si>
    <t>L:NC_034517.1/JQ082302.1;  M:NC_034516.1/JQ082301.1;  S:NC_034526.1/JQ082300.1</t>
  </si>
  <si>
    <t>Khabarovsk orthohantavirus</t>
  </si>
  <si>
    <t>PRJNA386301</t>
  </si>
  <si>
    <t>38.1942</t>
  </si>
  <si>
    <t>L:NC_034519.1/KJ857321.1;  M:NC_034518.1/KJ857338.1;  S:NC_034527.1/KJ857342.1</t>
  </si>
  <si>
    <t>Psychrobacter sp. PRwf-1</t>
  </si>
  <si>
    <t>Cano Delgadito orthohantavirus</t>
  </si>
  <si>
    <t>PRJNA386302</t>
  </si>
  <si>
    <t>37.6068</t>
  </si>
  <si>
    <t>L:NC_034515.1/GQ200821.1;  M:NC_034525.1/DQ284451.1;  S:NC_034528.1/DQ285566.1</t>
  </si>
  <si>
    <t>Marco virus</t>
  </si>
  <si>
    <t>PRJNA386338</t>
  </si>
  <si>
    <t>Unknown:NC_034530.1/KM205005.1</t>
  </si>
  <si>
    <t>Psychrobacter urativorans strain R310.10B</t>
  </si>
  <si>
    <t>Manitoba virus</t>
  </si>
  <si>
    <t>PRJNA386339</t>
  </si>
  <si>
    <t>Unknown:NC_034531.1/KM205008.1</t>
  </si>
  <si>
    <t>Landjia virus</t>
  </si>
  <si>
    <t>PRJNA386340</t>
  </si>
  <si>
    <t>Unknown:NC_034533.1/KM205010.1</t>
  </si>
  <si>
    <t>La Joya virus</t>
  </si>
  <si>
    <t>PRJNA386341</t>
  </si>
  <si>
    <t>Psychromonas ingrahamii 37</t>
  </si>
  <si>
    <t>Unknown:NC_034537.1/KM204986.1</t>
  </si>
  <si>
    <t>Joinjakaka virus</t>
  </si>
  <si>
    <t>PRJNA386342</t>
  </si>
  <si>
    <t>Unknown:NC_034538.1/KM205016.1</t>
  </si>
  <si>
    <t>Gray Lodge virus</t>
  </si>
  <si>
    <t>PRJNA386343</t>
  </si>
  <si>
    <t>Unknown:NC_034541.1/KM205022.1</t>
  </si>
  <si>
    <t>Pusillimonas sp. T7-7</t>
  </si>
  <si>
    <t>Klamath virus</t>
  </si>
  <si>
    <t>PRJNA386344</t>
  </si>
  <si>
    <t>Unknown:NC_034549.1/KM204999.1</t>
  </si>
  <si>
    <t>Clo Mor virus</t>
  </si>
  <si>
    <t>PRJNA386345</t>
  </si>
  <si>
    <t>42.2549</t>
  </si>
  <si>
    <t>L:NC_034561.1/KU343139.1;  M:NC_034554.1/KU343140.1;  S:NC_034562.1/KU343141.1</t>
  </si>
  <si>
    <t>Anjozorobe hantavirus</t>
  </si>
  <si>
    <t>PRJNA386346</t>
  </si>
  <si>
    <t>Pyrobaculum aerophilum str. IM2</t>
  </si>
  <si>
    <t>37.879</t>
  </si>
  <si>
    <t>L:NC_034556.1/KC490922.1;  M:NC_034563.1/KC490919.1;  S:NC_034555.1/KC490918.1</t>
  </si>
  <si>
    <t>Bat cyclovirus GF-4c</t>
  </si>
  <si>
    <t>PRJNA386348</t>
  </si>
  <si>
    <t>Unknown:NC_034547.1/HM228874.1</t>
  </si>
  <si>
    <t>Sripur virus</t>
  </si>
  <si>
    <t>PRJNA386349</t>
  </si>
  <si>
    <t>Pyrobaculum arsenaticum DSM 13514</t>
  </si>
  <si>
    <t>Unknown:NC_034542.1/KM205023.1</t>
  </si>
  <si>
    <t>Sena Madureira virus</t>
  </si>
  <si>
    <t>PRJNA386350</t>
  </si>
  <si>
    <t>Unknown:NC_034529.1/KM205004.1</t>
  </si>
  <si>
    <t>Chaco virus</t>
  </si>
  <si>
    <t>PRJNA386351</t>
  </si>
  <si>
    <t>Unknown:NC_034550.1/KM205000.1</t>
  </si>
  <si>
    <t>Rochambeau virus</t>
  </si>
  <si>
    <t>PRJNA386352</t>
  </si>
  <si>
    <t>Unknown:NC_034534.1/KM205012.1</t>
  </si>
  <si>
    <t>Pyrobaculum calidifontis JCM 11548</t>
  </si>
  <si>
    <t>Itacaiunas virus</t>
  </si>
  <si>
    <t>PRJNA386353</t>
  </si>
  <si>
    <t>Unknown:NC_034536.1/KM204984.1</t>
  </si>
  <si>
    <t>Iriri virus</t>
  </si>
  <si>
    <t>PRJNA386354</t>
  </si>
  <si>
    <t>Unknown:NC_034544.1/KM204995.1</t>
  </si>
  <si>
    <t>Maporal virus</t>
  </si>
  <si>
    <t>PRJNA386355</t>
  </si>
  <si>
    <t>Pyrobaculum islandicum DSM 4184</t>
  </si>
  <si>
    <t>38.5094</t>
  </si>
  <si>
    <t>L:NC_034553.1/EU788002.1;  M:NC_034552.1/AY363179.1;  S:NC_034566.1/AY267347.1</t>
  </si>
  <si>
    <t>Kenkeme virus</t>
  </si>
  <si>
    <t>PRJNA386356</t>
  </si>
  <si>
    <t>37.7431</t>
  </si>
  <si>
    <t>L:NC_034560.1/KJ857320.1;  M:NC_034565.1/KJ857337.1;  S:NC_034559.1/KJ857341.1</t>
  </si>
  <si>
    <t>Imjin virus</t>
  </si>
  <si>
    <t>PRJNA386357</t>
  </si>
  <si>
    <t>36.4769</t>
  </si>
  <si>
    <t>Pyrobaculum neutrophilum V24Sta</t>
  </si>
  <si>
    <t>L:NC_034564.1/KJ420567.1;  M:NC_034557.1/KJ420541.1;  S:NC_034558.1/KJ420559.1</t>
  </si>
  <si>
    <t>Dysaphis plantaginea densovirus</t>
  </si>
  <si>
    <t>PRJNA386358</t>
  </si>
  <si>
    <t>Unknown:NC_034532.1/FJ040397.1</t>
  </si>
  <si>
    <t>Oita virus</t>
  </si>
  <si>
    <t>PRJNA386359</t>
  </si>
  <si>
    <t>Pyrobaculum oguniense TE7</t>
  </si>
  <si>
    <t>Unknown:NC_034548.1/KM204998.1</t>
  </si>
  <si>
    <t>Mount Elgon bat virus</t>
  </si>
  <si>
    <t>PRJNA386360</t>
  </si>
  <si>
    <t>Unknown:NC_034545.1/KM205026.1</t>
  </si>
  <si>
    <t>Pyrobaculum sp. 1860</t>
  </si>
  <si>
    <t>Keuraliba virus</t>
  </si>
  <si>
    <t>PRJNA386361</t>
  </si>
  <si>
    <t>Unknown:NC_034540.1/KM205021.1</t>
  </si>
  <si>
    <t>Barur virus</t>
  </si>
  <si>
    <t>PRJNA386362</t>
  </si>
  <si>
    <t>Pyrobaculum sp. WP30</t>
  </si>
  <si>
    <t>Unknown:NC_034535.1/KM204983.1</t>
  </si>
  <si>
    <t>Nkolbisson virus</t>
  </si>
  <si>
    <t>PRJNA386363</t>
  </si>
  <si>
    <t>Pyrococcus abyssi GE5</t>
  </si>
  <si>
    <t>Unknown:NC_034539.1/KM205017.1</t>
  </si>
  <si>
    <t>Colocasia bobone disease-associated virus</t>
  </si>
  <si>
    <t>PRJNA386364</t>
  </si>
  <si>
    <t>Unknown:NC_034551.1/KT381973.1</t>
  </si>
  <si>
    <t>Pyrococcus furiosus COM1</t>
  </si>
  <si>
    <t>Ord River virus</t>
  </si>
  <si>
    <t>PRJNA386365</t>
  </si>
  <si>
    <t>Unknown:NC_034543.1/KM205025.1</t>
  </si>
  <si>
    <t>Pyrococcus furiosus DSM 3638</t>
  </si>
  <si>
    <t>Sweetwater Branch virus</t>
  </si>
  <si>
    <t>PRJNA386393</t>
  </si>
  <si>
    <t>Unknown:NC_034546.1/KM204997.1</t>
  </si>
  <si>
    <t>Picorna-like virus AWando15</t>
  </si>
  <si>
    <t>PRJNA386683</t>
  </si>
  <si>
    <t>Pyrococcus horikoshii OT3</t>
  </si>
  <si>
    <t>Unknown:NC_034568.1/KY933456.1</t>
  </si>
  <si>
    <t>Goose astrovirus</t>
  </si>
  <si>
    <t>PRJNA386684</t>
  </si>
  <si>
    <t>Pyrococcus sp. NA2</t>
  </si>
  <si>
    <t>Unknown:NC_034567.1/KY271027.1</t>
  </si>
  <si>
    <t>Barley yellow dwarf virus-kerII</t>
  </si>
  <si>
    <t>PRJNA208540</t>
  </si>
  <si>
    <t>Unknown:NC_021481.1/KC571999.1</t>
  </si>
  <si>
    <t>Pyrococcus sp. NCB100</t>
  </si>
  <si>
    <t>Clostera anastomosis granulovirus Henan</t>
  </si>
  <si>
    <t>PRJNA226250</t>
  </si>
  <si>
    <t>Unknown:NC_022646.1/KC179784.1</t>
  </si>
  <si>
    <t>Swagivirus HG</t>
  </si>
  <si>
    <t>PRJNA387019</t>
  </si>
  <si>
    <t>Unknown:NC_032475.1/KY316059.1</t>
  </si>
  <si>
    <t>Pyrococcus sp. ST04</t>
  </si>
  <si>
    <t>Castlerea virus</t>
  </si>
  <si>
    <t>PRJNA387046</t>
  </si>
  <si>
    <t>Unknown:NC_034569.1/KX903301.1</t>
  </si>
  <si>
    <t>Andes orthohantavirus</t>
  </si>
  <si>
    <t>PRJNA14746</t>
  </si>
  <si>
    <t>Pyrococcus yayanosii CH1</t>
  </si>
  <si>
    <t>38.5428</t>
  </si>
  <si>
    <t>L:NC_003468.2/AF291704.5;  M:NC_003467.2/AF291703.2;  S:NC_003466.1/AF291702.1</t>
  </si>
  <si>
    <t>Dugbe orthonairovirus</t>
  </si>
  <si>
    <t>Pyrodictium delaneyi strain Su06</t>
  </si>
  <si>
    <t>PRJNA14851</t>
  </si>
  <si>
    <t>40.1742</t>
  </si>
  <si>
    <t>L:NC_004159.1/U15018.1;  M:NC_004158.1/M94133.1;  S:NC_004157.1/AF434161.1</t>
  </si>
  <si>
    <t>Puumala orthohantavirus</t>
  </si>
  <si>
    <t>PRJNA14930</t>
  </si>
  <si>
    <t>Pyrolobus fumarii 1A</t>
  </si>
  <si>
    <t>36.9773</t>
  </si>
  <si>
    <t>L:NC_005225.1/Z66548.1;  M:NC_005223.1/X61034.1;  S:NC_005224.1/X61035.1</t>
  </si>
  <si>
    <t>Sin Nombre orthohantavirus</t>
  </si>
  <si>
    <t>PRJNA15005</t>
  </si>
  <si>
    <t>38.3975</t>
  </si>
  <si>
    <t>segment L:NC_005217.1/L37901.1;  segment M:NC_005215.1/L25783.1;  segment S:NC_005216.1/L25784.1</t>
  </si>
  <si>
    <t>Rahnella aquatilis CIP 78.65 = ATCC 33071</t>
  </si>
  <si>
    <t>Mammalian rubulavirus 5</t>
  </si>
  <si>
    <t>PRJNA15014</t>
  </si>
  <si>
    <t>Unknown:NC_006430.1/AF052755.1</t>
  </si>
  <si>
    <t>Tula orthohantavirus</t>
  </si>
  <si>
    <t>PRJNA14936</t>
  </si>
  <si>
    <t>38.0407</t>
  </si>
  <si>
    <t>segment L:NC_005226.1/AJ005637.1;  segment M:NC_005228.1/Z69993.1;  segment S:NC_005227.2/Z49915.1</t>
  </si>
  <si>
    <t>Seoul orthohantavirus</t>
  </si>
  <si>
    <t>PRJNA15027</t>
  </si>
  <si>
    <t>38.9753</t>
  </si>
  <si>
    <t>L:NC_005238.1/X56492.1;  M:NC_005237.1/S47716.1;  S:NC_005236.1/AY273791.1</t>
  </si>
  <si>
    <t>Mumps rubulavirus</t>
  </si>
  <si>
    <t>Rahnella aquatilis HX2</t>
  </si>
  <si>
    <t>PRJNA15059</t>
  </si>
  <si>
    <t>Unknown:NC_002200.1/AB040874.1</t>
  </si>
  <si>
    <t>Simian rubulavirus</t>
  </si>
  <si>
    <t>PRJNA15220</t>
  </si>
  <si>
    <t>Rahnella sp. Y9602</t>
  </si>
  <si>
    <t>Unknown:NC_006428.1/X64275.1</t>
  </si>
  <si>
    <t>Human rubulavirus 2</t>
  </si>
  <si>
    <t>PRJNA15421</t>
  </si>
  <si>
    <t>Ralstonia eutropha H16</t>
  </si>
  <si>
    <t>Unknown:NC_003443.1/X57559.1</t>
  </si>
  <si>
    <t>Mapuera rubulavirus</t>
  </si>
  <si>
    <t>PRJNA19651</t>
  </si>
  <si>
    <t>Unknown:NC_009489.1/EF095490.1</t>
  </si>
  <si>
    <t>Ralstonia eutropha JMP134</t>
  </si>
  <si>
    <t>Thottapalayam orthohantavirus</t>
  </si>
  <si>
    <t>PRJNA29841</t>
  </si>
  <si>
    <t>37.5454</t>
  </si>
  <si>
    <t>segment L:NC_010707.1/DQ825770.1;  segment M:NC_010708.1/DQ825771.1;  segment S:NC_010704.1/AY526097.1</t>
  </si>
  <si>
    <t>Ralstonia insidiosa strain ATCC 49129</t>
  </si>
  <si>
    <t>Wongabel hapavirus</t>
  </si>
  <si>
    <t>PRJNA33129</t>
  </si>
  <si>
    <t>Unknown:NC_011639.1/EF612701.1</t>
  </si>
  <si>
    <t>European mountain ash ringspot-associated emaravirus</t>
  </si>
  <si>
    <t>Ralstonia insidiosa strain FC1138</t>
  </si>
  <si>
    <t>PRJNA39973</t>
  </si>
  <si>
    <t>Fimoviridae</t>
  </si>
  <si>
    <t>32.2195</t>
  </si>
  <si>
    <t>RNA 1:NC_013105.1/AY563040.2;  RNA 2:NC_013106.1/AY563041.2;  RNA 3:NC_013108.1/DQ831831.1;  RNA 4:NC_013107.1/DQ831828.1</t>
  </si>
  <si>
    <t>Ngaingan hapavirus</t>
  </si>
  <si>
    <t>PRJNA46715</t>
  </si>
  <si>
    <t>Unknown:NC_013955.1/FJ715959.1</t>
  </si>
  <si>
    <t>Ralstonia mannitolilytica strain SN82F48</t>
  </si>
  <si>
    <t>Flanders hapavirus</t>
  </si>
  <si>
    <t>PRJNA301028</t>
  </si>
  <si>
    <t>Unknown:NC_028235.1/KJ958896.1</t>
  </si>
  <si>
    <t>Ralstonia mannitolilytica strain SN83A39</t>
  </si>
  <si>
    <t>Raspberry leaf blotch emaravirus</t>
  </si>
  <si>
    <t>PRJNA314255</t>
  </si>
  <si>
    <t>29.1413</t>
  </si>
  <si>
    <t>1:NC_029567.1/FR823299.1;  2:NC_029558.1/FR823300.1;  3:NC_029559.1/FR823301.1;  4:NC_029560.1/FR823302.1;  5:NC_029561.1/FR823303.1;  6:NC_029571.1/KP970121.1;  7:NC_029572.1/KP970122.1;  8:NC_029573.1/KP970123.1</t>
  </si>
  <si>
    <t>Fig mosaic emaravirus</t>
  </si>
  <si>
    <t>PRJNA314256</t>
  </si>
  <si>
    <t>Ralstonia pickettii 12D</t>
  </si>
  <si>
    <t>31.6323</t>
  </si>
  <si>
    <t>1:NC_029562.1/AM941711.6;  2:NC_029565.1/FM864225.2;  3:NC_029563.1/FM991954.1;  4:NC_029564.1/FM992851.1;  5:NC_029566.1/HE803826.2;  6:NC_029568.1/HE803827.1</t>
  </si>
  <si>
    <t>Zostera marina amalgavirus 1</t>
  </si>
  <si>
    <t>PRJNA387177</t>
  </si>
  <si>
    <t>Ralstonia pickettii 12J</t>
  </si>
  <si>
    <t>Unknown:NC_034614.1/KY783316.1</t>
  </si>
  <si>
    <t>Zostera marina amalgavirus 2</t>
  </si>
  <si>
    <t>PRJNA387244</t>
  </si>
  <si>
    <t>Ralstonia pickettii DTP0602</t>
  </si>
  <si>
    <t>Unknown:NC_034615.1/KY783317.1</t>
  </si>
  <si>
    <t>Human papillomavirus type 85</t>
  </si>
  <si>
    <t>PRJNA387245</t>
  </si>
  <si>
    <t>Ralstonia pickettii strain ATCC 27511</t>
  </si>
  <si>
    <t>Unknown:NC_034616.1/KX514426.1</t>
  </si>
  <si>
    <t>Chlamydia virus Chp1</t>
  </si>
  <si>
    <t>PRJNA14064</t>
  </si>
  <si>
    <t>Unknown:NC_001741.1/D00624.1</t>
  </si>
  <si>
    <t>Ralstonia solanacearum</t>
  </si>
  <si>
    <t>Tomato leaf curl deltasatellite</t>
  </si>
  <si>
    <t>PRJNA14428</t>
  </si>
  <si>
    <t>Unknown:NC_002743.1/U74627.1</t>
  </si>
  <si>
    <t>Escherichia virus T1</t>
  </si>
  <si>
    <t>PRJNA14496</t>
  </si>
  <si>
    <t>Unknown:NC_005833.1/AY216660.1</t>
  </si>
  <si>
    <t>Fusarium solani virus 1</t>
  </si>
  <si>
    <t>PRJNA14829</t>
  </si>
  <si>
    <t>52.4706</t>
  </si>
  <si>
    <t>RNA 1:NC_003885.1/D55668.1;  RNA 2:NC_003886.1/D55669.1</t>
  </si>
  <si>
    <t>Crimean-Congo hemorrhagic fever orthonairovirus</t>
  </si>
  <si>
    <t>PRJNA15026</t>
  </si>
  <si>
    <t>42.2463</t>
  </si>
  <si>
    <t>L:NC_005301.3/AY389361.2;  M:NC_005300.2/AF467768.2;  S:NC_005302.1/U88410.1</t>
  </si>
  <si>
    <t>Hantaan orthohantavirus</t>
  </si>
  <si>
    <t>PRJNA14929</t>
  </si>
  <si>
    <t>38.5469</t>
  </si>
  <si>
    <t>L:NC_005222.1/X55901.1;  M:NC_005219.1/M14627.1;  S:NC_005218.1/M14626.1</t>
  </si>
  <si>
    <t>Ralstonia solanacearum CFBP2957</t>
  </si>
  <si>
    <t>Dobrava-Belgrade orthohantavirus</t>
  </si>
  <si>
    <t>PRJNA15319</t>
  </si>
  <si>
    <t>39.2026</t>
  </si>
  <si>
    <t>L:NC_005235.1/AJ410617.1;  M:NC_005234.1/AJ410616.1;  S:NC_005233.1/AJ410615.1</t>
  </si>
  <si>
    <t>Ralstonia phage phiRSL1</t>
  </si>
  <si>
    <t>Ralstonia solanacearum CMR15</t>
  </si>
  <si>
    <t>PRJNA30059</t>
  </si>
  <si>
    <t>Unknown:NC_010811.2/AB366653.2</t>
  </si>
  <si>
    <t>Rose rosette emaravirus</t>
  </si>
  <si>
    <t>PRJNA64937</t>
  </si>
  <si>
    <t>Ralstonia solanacearum FQY_4</t>
  </si>
  <si>
    <t>31.2496</t>
  </si>
  <si>
    <t>RNA 1:NC_015298.1/HQ871942.1;  RNA 2:NC_015299.1/HQ871943.1;  RNA 3:NC_015300.1/HQ871944.1;  RNA 4:NC_015301.1/HQ871945.1;  RNA 5:NC_034979.1/KM007081.1;  RNA 6:NC_034980.1/KM007082.1;  RNA 7:NC_034981.1/KM007083.1</t>
  </si>
  <si>
    <t>Botrytis porri botybirnavirus 1</t>
  </si>
  <si>
    <t>PRJNA167870</t>
  </si>
  <si>
    <t>Ralstonia solanacearum GMI1000</t>
  </si>
  <si>
    <t>50.4056</t>
  </si>
  <si>
    <t>RNA 1:NC_017990.1/JF716350.1;  RNA 2:NC_017991.1/JF716351.1</t>
  </si>
  <si>
    <t>Gentian ovary ringspot virus</t>
  </si>
  <si>
    <t>PRJNA256090</t>
  </si>
  <si>
    <t>Ralstonia solanacearum MolK2</t>
  </si>
  <si>
    <t>40.3412</t>
  </si>
  <si>
    <t>1:NC_024501.1/AB976029.1;  2:NC_024502.1/AB976030.1</t>
  </si>
  <si>
    <t>Ball python nidovirus 1</t>
  </si>
  <si>
    <t>PRJNA259246</t>
  </si>
  <si>
    <t>Ralstonia solanacearum Po82</t>
  </si>
  <si>
    <t>Unknown:NC_024709.1/KJ541759.1</t>
  </si>
  <si>
    <t>Yug Bogdanovac vesiculovirus</t>
  </si>
  <si>
    <t>PRJNA264922</t>
  </si>
  <si>
    <t>Unknown:NC_025378.1/JF911700.1</t>
  </si>
  <si>
    <t>Ralstonia solanacearum PSI07</t>
  </si>
  <si>
    <t>Jurona vesiculovirus</t>
  </si>
  <si>
    <t>PRJNA265901</t>
  </si>
  <si>
    <t>Unknown:NC_025392.1/HM566194.1</t>
  </si>
  <si>
    <t>Ralstonia solanacearum strain IBSBF1503</t>
  </si>
  <si>
    <t>Perinet vesiculovirus</t>
  </si>
  <si>
    <t>PRJNA265909</t>
  </si>
  <si>
    <t>Unknown:NC_025394.1/HM566195.1</t>
  </si>
  <si>
    <t>Ralstonia solanacearum strain KACC 10722</t>
  </si>
  <si>
    <t>Malpais Spring vesiculovirus</t>
  </si>
  <si>
    <t>PRJNA264930</t>
  </si>
  <si>
    <t>Unknown:NC_025364.1/KC412247.1</t>
  </si>
  <si>
    <t>Subterranean clover stunt C2 alphasatellite</t>
  </si>
  <si>
    <t>PRJNA14180</t>
  </si>
  <si>
    <t>Ralstonia solanacearum strain UW163</t>
  </si>
  <si>
    <t>component 2:NC_003814.1/U16731.1</t>
  </si>
  <si>
    <t>Klebsiella phage Matisse</t>
  </si>
  <si>
    <t>Unknown:NC_028750.1/KT001918.1</t>
  </si>
  <si>
    <t>Escherichia phage Seurat</t>
  </si>
  <si>
    <t>Ralstonia solanacearum strain UY031</t>
  </si>
  <si>
    <t>NC_027378.1/KM236243.1</t>
  </si>
  <si>
    <t>Bacillus phage Pascal</t>
  </si>
  <si>
    <t>NC_027372.1/KM236247.1</t>
  </si>
  <si>
    <t>Ralstonia solanacearum strain YC40-M</t>
  </si>
  <si>
    <t>Enterobacteria phage RB27</t>
  </si>
  <si>
    <t>PRJNA261534</t>
  </si>
  <si>
    <t>NC_025448.1/KM607000.1</t>
  </si>
  <si>
    <t>Citrobacter phage Merlin</t>
  </si>
  <si>
    <t>Unknown:NC_028857.1/KT001915.1</t>
  </si>
  <si>
    <t>Ralstonia solanacearum strain YC45</t>
  </si>
  <si>
    <t>Citrobacter phage Margaery</t>
  </si>
  <si>
    <t>NC_028755.1/KT381880.1</t>
  </si>
  <si>
    <t>Bacillus phage Mater</t>
  </si>
  <si>
    <t>NC_027366.1/KM236245.1</t>
  </si>
  <si>
    <t>Caulobacter phage Percy</t>
  </si>
  <si>
    <t>NC_029092.1/KT381879.1</t>
  </si>
  <si>
    <t>Bacillus phage Stills</t>
  </si>
  <si>
    <t>Ramlibacter tataouinensis strain 5-10</t>
  </si>
  <si>
    <t>NC_028777.1/KP696448.1</t>
  </si>
  <si>
    <t>Salmonella virus Stitch</t>
  </si>
  <si>
    <t>Unknown:NC_027297.1/KM236244.1</t>
  </si>
  <si>
    <t>Bacillus phage Pookie</t>
  </si>
  <si>
    <t>NC_027394.1/KM236248.1</t>
  </si>
  <si>
    <t>Citrobacter phage Michonne</t>
  </si>
  <si>
    <t>Ramlibacter tataouinensis TTB310</t>
  </si>
  <si>
    <t>Unknown:NC_028247.1/KT001916.1</t>
  </si>
  <si>
    <t>Citrobacter phage Moogle</t>
  </si>
  <si>
    <t>Unknown:NC_027293.1/KM236239.1</t>
  </si>
  <si>
    <t>Escherichia phage RB3</t>
  </si>
  <si>
    <t>NC_025419.1/KM606994.1</t>
  </si>
  <si>
    <t>Raoultella ornithinolytica B6</t>
  </si>
  <si>
    <t>Bacillus phage Moonbeam</t>
  </si>
  <si>
    <t>NC_027374.1/KM236246.1</t>
  </si>
  <si>
    <t>Phormidium phage MIS-PhV1B</t>
  </si>
  <si>
    <t>Raoultella ornithinolytica strain S12</t>
  </si>
  <si>
    <t>NC_028998.1/KF437908.1</t>
  </si>
  <si>
    <t>Clostridium phage phiCT19406B</t>
  </si>
  <si>
    <t>NC_030947.1/KM983331.1</t>
  </si>
  <si>
    <t>Pseudomonas phage JBD18</t>
  </si>
  <si>
    <t>Raoultella ornithinolytica strain Yangling I2</t>
  </si>
  <si>
    <t>NC_027986.1/JX495041.1</t>
  </si>
  <si>
    <t>Bacillus phage phi4B1</t>
  </si>
  <si>
    <t>NC_028886.1/KT626446.1</t>
  </si>
  <si>
    <t>Clostridium phage phiCT453A</t>
  </si>
  <si>
    <t>NC_028991.1/KM983327.1</t>
  </si>
  <si>
    <t>Rathayibacter toxicus strain 70137</t>
  </si>
  <si>
    <t>Clostridium phage phiCTC2B</t>
  </si>
  <si>
    <t>NC_030951.1/KM983334.1</t>
  </si>
  <si>
    <t>Chlamydia virus CPAR39</t>
  </si>
  <si>
    <t>PRJNA247</t>
  </si>
  <si>
    <t>chromosome:NC_002180.1/AE002163.1</t>
  </si>
  <si>
    <t>Harrier picornavirus 1</t>
  </si>
  <si>
    <t>PRJNA387617</t>
  </si>
  <si>
    <t>Rathayibacter toxicus strain WAC3373</t>
  </si>
  <si>
    <t>Unknown:NC_034617.1/KY488458.1</t>
  </si>
  <si>
    <t>Sulfolobus islandicus rod-shaped virus 10</t>
  </si>
  <si>
    <t>PRJNA387737</t>
  </si>
  <si>
    <t>Unknown:NC_034625.1/KY744230.1</t>
  </si>
  <si>
    <t>Wolkberg virus</t>
  </si>
  <si>
    <t>PRJNA387738</t>
  </si>
  <si>
    <t>Rathayibacter tritici strain NCPPB 1953</t>
  </si>
  <si>
    <t>32.6523</t>
  </si>
  <si>
    <t>L:NC_034633.1/KX470551.1;  M:NC_034631.1/KX470552.1;  S:NC_034632.1/KX470553.1</t>
  </si>
  <si>
    <t>Pepper yellow dwarf virus - Mexico</t>
  </si>
  <si>
    <t>PRJNA387739</t>
  </si>
  <si>
    <t>Unknown:NC_034629.1/KX529650.1</t>
  </si>
  <si>
    <t>Sweetpotato symptomless mastrevirus 1</t>
  </si>
  <si>
    <t>PRJNA387740</t>
  </si>
  <si>
    <t>Unknown:NC_034630.1/KY565237.1</t>
  </si>
  <si>
    <t>Renibacterium salmoninarum ATCC 33209</t>
  </si>
  <si>
    <t>Ranid herpesvirus 3</t>
  </si>
  <si>
    <t>PRJNA387741</t>
  </si>
  <si>
    <t>Unknown:NC_034618.1/KX832224.1</t>
  </si>
  <si>
    <t>Bat mastadenovirus WIV17</t>
  </si>
  <si>
    <t>PRJNA387742</t>
  </si>
  <si>
    <t>Unknown:NC_034626.1/KX961095.1</t>
  </si>
  <si>
    <t>Alfalfa virus S</t>
  </si>
  <si>
    <t>PRJNA387743</t>
  </si>
  <si>
    <t>Rheinheimera sp. F8</t>
  </si>
  <si>
    <t>Unknown:NC_034622.1/KY696659.1</t>
  </si>
  <si>
    <t>Sulfolobus islandicus rod-shaped virus 9</t>
  </si>
  <si>
    <t>PRJNA387744</t>
  </si>
  <si>
    <t>Unknown:NC_034620.1/KY744228.1</t>
  </si>
  <si>
    <t>Sulfolobus islandicus rod-shaped virus 8</t>
  </si>
  <si>
    <t>PRJNA387745</t>
  </si>
  <si>
    <t>Unknown:NC_034623.1/KY744229.1</t>
  </si>
  <si>
    <t>Rhizobium etli bv. mimosae str. IE4771</t>
  </si>
  <si>
    <t>Sulfolobus islandicus rod-shaped virus 7</t>
  </si>
  <si>
    <t>PRJNA387746</t>
  </si>
  <si>
    <t>Unknown:NC_034619.1/KY744232.1</t>
  </si>
  <si>
    <t>Sulfolobus islandicus rod-shaped virus 6</t>
  </si>
  <si>
    <t>PRJNA387747</t>
  </si>
  <si>
    <t>Unknown:NC_034627.1/KY744235.1</t>
  </si>
  <si>
    <t>Rhizobium etli bv. mimosae str. Mim1</t>
  </si>
  <si>
    <t>Sulfolobus islandicus rod-shaped virus 5</t>
  </si>
  <si>
    <t>PRJNA387748</t>
  </si>
  <si>
    <t>Unknown:NC_034621.1/KY744233.1</t>
  </si>
  <si>
    <t>Sulfolobus islandicus rod-shaped virus 4</t>
  </si>
  <si>
    <t>PRJNA387749</t>
  </si>
  <si>
    <t>Unknown:NC_034628.1/KY744231.1</t>
  </si>
  <si>
    <t>Sulfolobus islandicus rod-shaped virus 11</t>
  </si>
  <si>
    <t>PRJNA387750</t>
  </si>
  <si>
    <t>Rhizobium etli bv. phaseoli str. IE4803</t>
  </si>
  <si>
    <t>Unknown:NC_034624.1/KY744234.1</t>
  </si>
  <si>
    <t>Human cosavirus D1</t>
  </si>
  <si>
    <t>PRJNA38501</t>
  </si>
  <si>
    <t>Unknown:NC_012802.1/FJ438908.1</t>
  </si>
  <si>
    <t>Choristoneura murinana nucleopolyhedrovirus</t>
  </si>
  <si>
    <t>PRJNA232841</t>
  </si>
  <si>
    <t>Unknown:NC_023177.1/KF894742.1</t>
  </si>
  <si>
    <t>Rhizobium etli CFN 42</t>
  </si>
  <si>
    <t>Bat associated circovirus 2</t>
  </si>
  <si>
    <t>PRJNA202887</t>
  </si>
  <si>
    <t>Unknown:NC_021206.1/KC339249.1</t>
  </si>
  <si>
    <t>Human cosavirus E1</t>
  </si>
  <si>
    <t>PRJNA38493</t>
  </si>
  <si>
    <t>Unknown:NC_012798.1/FJ555055.1</t>
  </si>
  <si>
    <t>Agave tequilana leaf virus</t>
  </si>
  <si>
    <t>PRJNA388402</t>
  </si>
  <si>
    <t>Rhizobium etli CIAT 652</t>
  </si>
  <si>
    <t>Unknown:NC_034833.1/KY190215.1</t>
  </si>
  <si>
    <t>Longan witches broom-associated virus</t>
  </si>
  <si>
    <t>PRJNA388458</t>
  </si>
  <si>
    <t>Unknown:NC_034835.1/KY649478.1</t>
  </si>
  <si>
    <t>Cervid adenovirus 1</t>
  </si>
  <si>
    <t>PRJNA388459</t>
  </si>
  <si>
    <t>Unknown:NC_034834.1/KY306667.1</t>
  </si>
  <si>
    <t>African pouched rat arterivirus</t>
  </si>
  <si>
    <t>PRJNA274797</t>
  </si>
  <si>
    <t>Rhizobium etli strain N561</t>
  </si>
  <si>
    <t>Unknown:NC_026439.1/KP026921.1</t>
  </si>
  <si>
    <t>African bat icavirus PREDICT-06105</t>
  </si>
  <si>
    <t>PRJNA275611</t>
  </si>
  <si>
    <t>Unknown:NC_026470.1/KP100644.1</t>
  </si>
  <si>
    <t>DeBrazza's monkey arterivirus</t>
  </si>
  <si>
    <t>PRJNA276255</t>
  </si>
  <si>
    <t>Unknown:NC_026509.1/KP126831.1</t>
  </si>
  <si>
    <t>Hubei qinvirus-like virus 1</t>
  </si>
  <si>
    <t>Rhizobium gallicum bv. gallicum R602</t>
  </si>
  <si>
    <t>PRJNA361886</t>
  </si>
  <si>
    <t>51.9089</t>
  </si>
  <si>
    <t>1:NC_033282.1/KX883992.1;  2:NC_033283.1/KX883993.1</t>
  </si>
  <si>
    <t>Cosavirus F</t>
  </si>
  <si>
    <t>PRJNA384965</t>
  </si>
  <si>
    <t>Unknown:NC_034385.1/JN867758.1</t>
  </si>
  <si>
    <t>Grapevine enamovirus-1</t>
  </si>
  <si>
    <t>PRJNA388490</t>
  </si>
  <si>
    <t>Rhizobium leguminosarum bv. trifolii CB782</t>
  </si>
  <si>
    <t>Unknown:NC_034836.1/KY820716.1</t>
  </si>
  <si>
    <t>Avian paramyxovirus 15</t>
  </si>
  <si>
    <t>PRJNA389284</t>
  </si>
  <si>
    <t>Unknown:NC_034968.1/KX932454.2</t>
  </si>
  <si>
    <t>Spinach amalgavirus 1</t>
  </si>
  <si>
    <t>PRJNA390421</t>
  </si>
  <si>
    <t>Unknown:NC_035070.1/KY695011.1</t>
  </si>
  <si>
    <t>Apis flavivirus</t>
  </si>
  <si>
    <t>PRJNA390540</t>
  </si>
  <si>
    <t>Rhizobium leguminosarum bv. trifolii WSM1325</t>
  </si>
  <si>
    <t>Unknown:NC_035071.1/KY354238.1</t>
  </si>
  <si>
    <t>Chili leaf curl betasatellite</t>
  </si>
  <si>
    <t>PRJNA14441</t>
  </si>
  <si>
    <t>Unknown:NC_005048.1/AJ316032.1</t>
  </si>
  <si>
    <t>Tomato leaf curl Laguna betasatellite</t>
  </si>
  <si>
    <t>PRJNA19865</t>
  </si>
  <si>
    <t>Unknown:NC_009570.1/AB308071.1</t>
  </si>
  <si>
    <t>Rhizobium leguminosarum bv. trifolii WSM1689</t>
  </si>
  <si>
    <t>Coronavirus AcCoV-JC34</t>
  </si>
  <si>
    <t>PRJNA390412</t>
  </si>
  <si>
    <t>Unknown:NC_034972.1/KX964649.1</t>
  </si>
  <si>
    <t>Goat torovirus</t>
  </si>
  <si>
    <t>PRJNA390413</t>
  </si>
  <si>
    <t>Unknown:NC_034976.1/KR527150.1</t>
  </si>
  <si>
    <t>Canine kobuvirus</t>
  </si>
  <si>
    <t>PRJNA390414</t>
  </si>
  <si>
    <t>Rhizobium leguminosarum bv. trifolii WSM2304</t>
  </si>
  <si>
    <t>Unknown:NC_034971.1/MF062158.1</t>
  </si>
  <si>
    <t>California sea lion astrovirus 2</t>
  </si>
  <si>
    <t>PRJNA390415</t>
  </si>
  <si>
    <t>Unknown:NC_034975.1/FJ890352.1</t>
  </si>
  <si>
    <t>Torque teno indri virus 1</t>
  </si>
  <si>
    <t>PRJNA390417</t>
  </si>
  <si>
    <t>Rhizobium leguminosarum bv. viciae 3841</t>
  </si>
  <si>
    <t>Unknown:NC_034978.1/MF187212.1</t>
  </si>
  <si>
    <t>Duck associated cyclovirus 1</t>
  </si>
  <si>
    <t>PRJNA390418</t>
  </si>
  <si>
    <t>Unknown:NC_034977.1/KY851116.1</t>
  </si>
  <si>
    <t>Peach associated luteovirus</t>
  </si>
  <si>
    <t>PRJNA390419</t>
  </si>
  <si>
    <t>Unknown:NC_034970.1/KY635988.1</t>
  </si>
  <si>
    <t>Aphis glycines virus 3</t>
  </si>
  <si>
    <t>Rhizobium phaseoli strain N161</t>
  </si>
  <si>
    <t>PRJNA390420</t>
  </si>
  <si>
    <t>Unknown:NC_034973.1/KX588249.1</t>
  </si>
  <si>
    <t>Cassava associated gemycircularvirus 1</t>
  </si>
  <si>
    <t>PRJNA242943</t>
  </si>
  <si>
    <t>Unknown:NC_023844.1/JQ412056.1</t>
  </si>
  <si>
    <t>Lake Sinai Virus SA1</t>
  </si>
  <si>
    <t>PRJNA391198</t>
  </si>
  <si>
    <t>Rhizobium phaseoli strain N261</t>
  </si>
  <si>
    <t>Unknown:NC_035111.1/KY354243.1</t>
  </si>
  <si>
    <t>Fur seal picorna-like virus</t>
  </si>
  <si>
    <t>PRJNA391710</t>
  </si>
  <si>
    <t>Unknown:NC_035110.1/KY926885.1</t>
  </si>
  <si>
    <t>Torque teno Leptonychotes weddellii virus-1</t>
  </si>
  <si>
    <t>PRJNA392128</t>
  </si>
  <si>
    <t>Rhizobium phaseoli strain N671</t>
  </si>
  <si>
    <t>Unknown:NC_035136.1/KY246540.1</t>
  </si>
  <si>
    <t>Bemisia-associated genomovirus AdDF</t>
  </si>
  <si>
    <t>PRJNA392129</t>
  </si>
  <si>
    <t>Unknown:NC_035137.1/KY230613.1</t>
  </si>
  <si>
    <t>Neofusicoccum luteum mitovirus 1</t>
  </si>
  <si>
    <t>PRJNA392130</t>
  </si>
  <si>
    <t>Rhizobium phaseoli strain N771</t>
  </si>
  <si>
    <t>Unknown:NC_035114.1/KY230654.1</t>
  </si>
  <si>
    <t>Apis dicistrovirus</t>
  </si>
  <si>
    <t>PRJNA392131</t>
  </si>
  <si>
    <t>Unknown:NC_035115.1/KY354239.1</t>
  </si>
  <si>
    <t>Lake Sinai Virus TO</t>
  </si>
  <si>
    <t>PRJNA392132</t>
  </si>
  <si>
    <t>Rhizobium phaseoli strain N831</t>
  </si>
  <si>
    <t>Unknown:NC_035116.1/KY354241.1</t>
  </si>
  <si>
    <t>Lake Sinai Virus SA2</t>
  </si>
  <si>
    <t>PRJNA392133</t>
  </si>
  <si>
    <t>Unknown:NC_035112.1/KY354244.1</t>
  </si>
  <si>
    <t>Lake Sinai Virus NE</t>
  </si>
  <si>
    <t>PRJNA392135</t>
  </si>
  <si>
    <t>Rhizobium phaseoli strain N841</t>
  </si>
  <si>
    <t>Unknown:NC_035113.1/KY354242.1</t>
  </si>
  <si>
    <t>Karumba virus</t>
  </si>
  <si>
    <t>PRJNA392137</t>
  </si>
  <si>
    <t>Unknown:NC_035118.1/KY460522.1</t>
  </si>
  <si>
    <t>Torque teno Leptonychotes weddellii virus-2</t>
  </si>
  <si>
    <t>PRJNA392138</t>
  </si>
  <si>
    <t>Rhizobium phaseoli strain N931</t>
  </si>
  <si>
    <t>Unknown:NC_035135.1/KY246547.1</t>
  </si>
  <si>
    <t>Olivier's shrew virus 1</t>
  </si>
  <si>
    <t>PRJNA392139</t>
  </si>
  <si>
    <t>Unknown:NC_035127.1/MF324848.1</t>
  </si>
  <si>
    <t>Wilkie partiti-like virus 2</t>
  </si>
  <si>
    <t>PRJNA392140</t>
  </si>
  <si>
    <t>Unknown:NC_035119.1/MF176346.1</t>
  </si>
  <si>
    <t>Rhizobium phaseoli strain R611</t>
  </si>
  <si>
    <t>Wilkie partiti-like virus 1</t>
  </si>
  <si>
    <t>PRJNA392141</t>
  </si>
  <si>
    <t>Unknown:NC_035122.1/MF176345.1</t>
  </si>
  <si>
    <t>Wilkie narna-like virus 2</t>
  </si>
  <si>
    <t>PRJNA392142</t>
  </si>
  <si>
    <t>Unknown:NC_035120.1/MF176348.1</t>
  </si>
  <si>
    <t>Wilkie narna-like virus 1</t>
  </si>
  <si>
    <t>PRJNA392143</t>
  </si>
  <si>
    <t>Unknown:NC_035126.1/MF176347.1</t>
  </si>
  <si>
    <t>Rhizobium phaseoli strain R620</t>
  </si>
  <si>
    <t>Point-Douro narna-like virus</t>
  </si>
  <si>
    <t>PRJNA392144</t>
  </si>
  <si>
    <t>Unknown:NC_035121.1/MF176258.1</t>
  </si>
  <si>
    <t>Leshenault partiti-like virus</t>
  </si>
  <si>
    <t>PRJNA392145</t>
  </si>
  <si>
    <t>Unknown:NC_035125.1/MF176288.1</t>
  </si>
  <si>
    <t>Culex rhabdo-like virus</t>
  </si>
  <si>
    <t>PRJNA392146</t>
  </si>
  <si>
    <t>Unknown:NC_035132.1/MF176333.1</t>
  </si>
  <si>
    <t>Culex negev-like virus 3</t>
  </si>
  <si>
    <t>PRJNA392147</t>
  </si>
  <si>
    <t>Unknown:NC_035129.1/MF176277.1</t>
  </si>
  <si>
    <t>Rhizobium phaseoli strain R630</t>
  </si>
  <si>
    <t>Culex negev-like virus 2</t>
  </si>
  <si>
    <t>PRJNA392148</t>
  </si>
  <si>
    <t>Unknown:NC_035123.1/MF176276.1</t>
  </si>
  <si>
    <t>Culex negev-like virus 1</t>
  </si>
  <si>
    <t>PRJNA392149</t>
  </si>
  <si>
    <t>Unknown:NC_035124.1/MF176384.1</t>
  </si>
  <si>
    <t>Rhizobium phaseoli strain R650</t>
  </si>
  <si>
    <t>Culex mononega-like virus 2</t>
  </si>
  <si>
    <t>PRJNA392150</t>
  </si>
  <si>
    <t>Unknown:NC_035133.1/MF176298.1</t>
  </si>
  <si>
    <t>Aedes camptorhynchus negev-like virus</t>
  </si>
  <si>
    <t>PRJNA392151</t>
  </si>
  <si>
    <t>Unknown:NC_035128.1/MF176291.1</t>
  </si>
  <si>
    <t>Rhizobium phaseoli strain R723</t>
  </si>
  <si>
    <t>Aedes camptorhynchus toti-like virus 1</t>
  </si>
  <si>
    <t>PRJNA392152</t>
  </si>
  <si>
    <t>Unknown:NC_035131.1/MF176241.1</t>
  </si>
  <si>
    <t>Aedes alboannulatus toti-like virus 1</t>
  </si>
  <si>
    <t>PRJNA392153</t>
  </si>
  <si>
    <t>Unknown:NC_035130.1/MF176352.1</t>
  </si>
  <si>
    <t>Cucurbit vein banding virus</t>
  </si>
  <si>
    <t>PRJNA392154</t>
  </si>
  <si>
    <t>Rhizobium phaseoli strain R744</t>
  </si>
  <si>
    <t>Unknown:NC_035134.1/KY657266.1</t>
  </si>
  <si>
    <t>Bemisia-associated genomovirus NfO</t>
  </si>
  <si>
    <t>PRJNA392155</t>
  </si>
  <si>
    <t>Unknown:NC_035139.1/KY230625.1</t>
  </si>
  <si>
    <t>Bemisia-associated genomovirus AdO</t>
  </si>
  <si>
    <t>PRJNA392156</t>
  </si>
  <si>
    <t>Rhizobium sp. IRBG74</t>
  </si>
  <si>
    <t>Unknown:NC_035138.1/KY230614.1</t>
  </si>
  <si>
    <t>Linda virus</t>
  </si>
  <si>
    <t>PRJNA395073</t>
  </si>
  <si>
    <t>Unknown:NC_035432.1/KY436034.1</t>
  </si>
  <si>
    <t>Pigeonpea sterility mosaic emaravirus 2</t>
  </si>
  <si>
    <t>PRJNA331042</t>
  </si>
  <si>
    <t>31.8913</t>
  </si>
  <si>
    <t>RNA 1:NC_030660.1/HF912243.1;  RNA 2:NC_030662.1/HF912244.1;  RNA 3:NC_030661.1/HF912245.3;  RNA 4:NC_030663.1/HF912246.1;  RNA 5:NC_030658.1/HG939489.1;  RNA 6:NC_030659.1/HG939490.1</t>
  </si>
  <si>
    <t>Escherichia virus phiX174</t>
  </si>
  <si>
    <t>PRJNA14015</t>
  </si>
  <si>
    <t>Rhizobium sp. LPU83</t>
  </si>
  <si>
    <t>Unknown:NC_001422.1/J02482.1</t>
  </si>
  <si>
    <t>Listeria phage PSA</t>
  </si>
  <si>
    <t>PRJNA14142</t>
  </si>
  <si>
    <t>Unknown:NC_003291.2/AJ312240.2</t>
  </si>
  <si>
    <t>Toscana virus</t>
  </si>
  <si>
    <t>Rhizobium sp. N113</t>
  </si>
  <si>
    <t>PRJNA15053</t>
  </si>
  <si>
    <t>44.5977</t>
  </si>
  <si>
    <t>segment L:NC_006319.1/X68414.1;  segment M:NC_006320.1/X89628.1;  segment S:NC_006318.1/X53794.1</t>
  </si>
  <si>
    <t>Enterobacteria phage ID18</t>
  </si>
  <si>
    <t>PRJNA16628</t>
  </si>
  <si>
    <t>Unknown:NC_007856.1/DQ079908.1</t>
  </si>
  <si>
    <t>Tinamou hepatitis B virus</t>
  </si>
  <si>
    <t>PRJNA394286</t>
  </si>
  <si>
    <t>Unknown:NC_035210.1/KY977507.1</t>
  </si>
  <si>
    <t>Human fecal virus Jorvi4</t>
  </si>
  <si>
    <t>PRJNA394287</t>
  </si>
  <si>
    <t>Unknown:NC_035211.1/MF118169.1</t>
  </si>
  <si>
    <t>Human fecal virus Jorvi3</t>
  </si>
  <si>
    <t>Rhizobium sp. N1314</t>
  </si>
  <si>
    <t>PRJNA394288</t>
  </si>
  <si>
    <t>Unknown:NC_035213.1/MF118168.1</t>
  </si>
  <si>
    <t>Human fecal virus Jorvi2</t>
  </si>
  <si>
    <t>PRJNA394289</t>
  </si>
  <si>
    <t>Unknown:NC_035212.1/MF118167.1</t>
  </si>
  <si>
    <t>Pansavirus 2</t>
  </si>
  <si>
    <t>PRJNA394290</t>
  </si>
  <si>
    <t>Unknown:NC_035182.1/MF327579.1</t>
  </si>
  <si>
    <t>Pansavirus 1</t>
  </si>
  <si>
    <t>Rhizobium sp. N1341</t>
  </si>
  <si>
    <t>PRJNA394291</t>
  </si>
  <si>
    <t>Unknown:NC_035183.1/MF327578.1</t>
  </si>
  <si>
    <t>Giant panda polyomavirus</t>
  </si>
  <si>
    <t>PRJNA394292</t>
  </si>
  <si>
    <t>Unknown:NC_035181.1/KY612371.1</t>
  </si>
  <si>
    <t>Giant panda associated gemycircularvirus</t>
  </si>
  <si>
    <t>PRJNA394293</t>
  </si>
  <si>
    <t>Unknown:NC_035197.1/MF327561.1</t>
  </si>
  <si>
    <t>Rhizobium sp. N324</t>
  </si>
  <si>
    <t>Giant panda anellovirus</t>
  </si>
  <si>
    <t>PRJNA394294</t>
  </si>
  <si>
    <t>Unknown:NC_035192.1/MF327541.1</t>
  </si>
  <si>
    <t>Giant panda circovirus 4</t>
  </si>
  <si>
    <t>PRJNA394295</t>
  </si>
  <si>
    <t>Unknown:NC_035196.1/MF327576.1</t>
  </si>
  <si>
    <t>Giant panda circovirus 3</t>
  </si>
  <si>
    <t>PRJNA394296</t>
  </si>
  <si>
    <t>Unknown:NC_035194.1/MF327575.1</t>
  </si>
  <si>
    <t>Giant panda circovirus 2</t>
  </si>
  <si>
    <t>PRJNA394297</t>
  </si>
  <si>
    <t>Rhizobium sp. N541</t>
  </si>
  <si>
    <t>Unknown:NC_035195.1/MF327574.1</t>
  </si>
  <si>
    <t>Giant panda circovirus 1</t>
  </si>
  <si>
    <t>PRJNA394298</t>
  </si>
  <si>
    <t>Unknown:NC_035200.1/MF327573.1</t>
  </si>
  <si>
    <t>Ailuropoda melanoleuca papillomavirus 2</t>
  </si>
  <si>
    <t>PRJNA394299</t>
  </si>
  <si>
    <t>Unknown:NC_035199.1/MF327536.1</t>
  </si>
  <si>
    <t>Ailuropoda melanoleuca papillomavirus 1</t>
  </si>
  <si>
    <t>PRJNA394300</t>
  </si>
  <si>
    <t>Rhizobium sp. N621</t>
  </si>
  <si>
    <t>Unknown:NC_035201.1/MF327535.1</t>
  </si>
  <si>
    <t>Ailuropoda melanoleuca papillomavirus 4</t>
  </si>
  <si>
    <t>PRJNA394301</t>
  </si>
  <si>
    <t>Unknown:NC_035193.1/MF327538.1</t>
  </si>
  <si>
    <t>Aimelvirus 2</t>
  </si>
  <si>
    <t>PRJNA394302</t>
  </si>
  <si>
    <t>Unknown:NC_035198.1/MF327530.1</t>
  </si>
  <si>
    <t>Vanilla virus X</t>
  </si>
  <si>
    <t>PRJNA394303</t>
  </si>
  <si>
    <t>Rhizobium sp. N6212</t>
  </si>
  <si>
    <t>Unknown:NC_035205.1/MF150240.1</t>
  </si>
  <si>
    <t>Vanilla latent virus</t>
  </si>
  <si>
    <t>PRJNA394304</t>
  </si>
  <si>
    <t>Unknown:NC_035204.1/MF150239.1</t>
  </si>
  <si>
    <t>Grapevine virus T</t>
  </si>
  <si>
    <t>PRJNA394305</t>
  </si>
  <si>
    <t>Rhizobium sp. N731</t>
  </si>
  <si>
    <t>Unknown:NC_035203.1/MF095096.1</t>
  </si>
  <si>
    <t>Grapevine virus K</t>
  </si>
  <si>
    <t>PRJNA394306</t>
  </si>
  <si>
    <t>Unknown:NC_035202.1/MF072319.1</t>
  </si>
  <si>
    <t>Dromedary camel bocaparvovirus 1</t>
  </si>
  <si>
    <t>PRJNA394307</t>
  </si>
  <si>
    <t>Unknown:NC_035186.1/KY640421.1</t>
  </si>
  <si>
    <t>Rhizobium sp. N741</t>
  </si>
  <si>
    <t>Euonymus yellow vein virus</t>
  </si>
  <si>
    <t>PRJNA394308</t>
  </si>
  <si>
    <t>Unknown:NC_035190.1/MF078061.1</t>
  </si>
  <si>
    <t>Aedes camptorhynchus reo-like virus</t>
  </si>
  <si>
    <t>PRJNA394309</t>
  </si>
  <si>
    <t>37.6317</t>
  </si>
  <si>
    <t>1:NC_035222.1/MF176284.1;  2:NC_035216.1/MF176285.1;  3:NC_035223.1/MF176286.1;  4:NC_035217.1/MF176287.1</t>
  </si>
  <si>
    <t>Garrulus glandarius associated circular virus 1</t>
  </si>
  <si>
    <t>PRJNA394310</t>
  </si>
  <si>
    <t>Unknown:NC_035209.1/KY884302.1</t>
  </si>
  <si>
    <t>Mac Peak virus</t>
  </si>
  <si>
    <t>PRJNA394311</t>
  </si>
  <si>
    <t>Unknown:NC_035187.1/MF352616.1</t>
  </si>
  <si>
    <t>Squirrel adenovirus 1</t>
  </si>
  <si>
    <t>PRJNA394312</t>
  </si>
  <si>
    <t>Unknown:NC_035207.1/KY427939.1</t>
  </si>
  <si>
    <t>Picobirnavirus dog/KNA/2015</t>
  </si>
  <si>
    <t>Rhizobium sp. N871</t>
  </si>
  <si>
    <t>PRJNA394313</t>
  </si>
  <si>
    <t>2:NC_035206.1/KY399057.1</t>
  </si>
  <si>
    <t>Seal parapoxvirus</t>
  </si>
  <si>
    <t>PRJNA394314</t>
  </si>
  <si>
    <t>Rhizobium sp. N941</t>
  </si>
  <si>
    <t>Unknown:NC_035188.1/KY382358.2</t>
  </si>
  <si>
    <t>Antonospora locustae virus 1</t>
  </si>
  <si>
    <t>PRJNA394315</t>
  </si>
  <si>
    <t>Unknown:NC_035189.1/KX525322.1</t>
  </si>
  <si>
    <t>Squash chlorotic leaf spot virus</t>
  </si>
  <si>
    <t>PRJNA394316</t>
  </si>
  <si>
    <t>46.0795</t>
  </si>
  <si>
    <t>Rhizobium sp. strain NT-26</t>
  </si>
  <si>
    <t>RNA 1:NC_035221.1/KU052530.1;  RNA 2:NC_035215.1/KU052531.1</t>
  </si>
  <si>
    <t>Motherwort yellow mottle virus</t>
  </si>
  <si>
    <t>PRJNA394318</t>
  </si>
  <si>
    <t>43.33</t>
  </si>
  <si>
    <t>RNA 1:NC_035218.1/KM229700.1;  RNA 2:NC_035220.1/KM229701.1</t>
  </si>
  <si>
    <t>Ungulate tetraparvovirus 3</t>
  </si>
  <si>
    <t>PRJNA394319</t>
  </si>
  <si>
    <t>Unknown:NC_035180.1/KX517759.1</t>
  </si>
  <si>
    <t>Wencheng Sm shrew coronavirus</t>
  </si>
  <si>
    <t>PRJNA394320</t>
  </si>
  <si>
    <t>Unknown:NC_035191.1/KY967717.1</t>
  </si>
  <si>
    <t>Rhizobium tropici CIAT 899</t>
  </si>
  <si>
    <t>Lettuce necrotic leaf curl virus</t>
  </si>
  <si>
    <t>PRJNA394321</t>
  </si>
  <si>
    <t>45.4468</t>
  </si>
  <si>
    <t>RNA 1:NC_035214.1/KC855266.1;  RNA 2:NC_035219.1/KC855267.1</t>
  </si>
  <si>
    <t>Bovine papillomavirus</t>
  </si>
  <si>
    <t>PRJNA394322</t>
  </si>
  <si>
    <t>Unknown:NC_035208.1/KY705374.1</t>
  </si>
  <si>
    <t>Rhodobacter capsulatus SB 1003</t>
  </si>
  <si>
    <t>Big Sioux River virus</t>
  </si>
  <si>
    <t>PRJNA394323</t>
  </si>
  <si>
    <t>Unknown:NC_035184.1/KY826434.1</t>
  </si>
  <si>
    <t>Dromedary camel bocaparvovirus 2</t>
  </si>
  <si>
    <t>PRJNA392668</t>
  </si>
  <si>
    <t>Unknown:NC_035185.1/KY640438.1</t>
  </si>
  <si>
    <t>Sugarcane striate virus</t>
  </si>
  <si>
    <t>PRJNA393198</t>
  </si>
  <si>
    <t>Unknown:NC_035179.1/KX352043.1</t>
  </si>
  <si>
    <t>Penguin siadenovirus A</t>
  </si>
  <si>
    <t>Rhodobacter sphaeroides 2.4.1</t>
  </si>
  <si>
    <t>PRJNA321701</t>
  </si>
  <si>
    <t>Unknown:NC_030116.1/KP144329.1</t>
  </si>
  <si>
    <t>Human cosavirus B1</t>
  </si>
  <si>
    <t>PRJNA38499</t>
  </si>
  <si>
    <t>Unknown:NC_012801.1/FJ438907.1</t>
  </si>
  <si>
    <t>Hepacivirus E</t>
  </si>
  <si>
    <t>PRJNA198869</t>
  </si>
  <si>
    <t>Unknown:NC_021153.1/KC815310.1</t>
  </si>
  <si>
    <t>Hepacivirus H</t>
  </si>
  <si>
    <t>PRJNA267779</t>
  </si>
  <si>
    <t>Unknown:NC_025673.1/KJ950939.1</t>
  </si>
  <si>
    <t>Hepacivirus G</t>
  </si>
  <si>
    <t>PRJNA267736</t>
  </si>
  <si>
    <t>Unknown:NC_025672.1/KJ950938.1</t>
  </si>
  <si>
    <t>Fall chinook aquareovirus</t>
  </si>
  <si>
    <t>Rhodobacter sphaeroides ATCC 17025</t>
  </si>
  <si>
    <t>54.2399</t>
  </si>
  <si>
    <t>1:NC_034168.1/KX891216.1;  2:NC_034169.1/KX891217.1;  3:NC_034170.1/KX891218.1;  4:NC_034171.1/KX891219.1;  5:NC_034172.1/KX891220.1;  6:NC_034173.1/KX891221.1;  7:NC_034162.1/KX891222.1;  8:NC_034163.1/KX891223.1;  9:NC_034164.1/KX891224.1;  10:NC_034165.1/KX891225.1;  11:NC_034166.1/KX891226.1</t>
  </si>
  <si>
    <t>Kigluaik phantom orthophasmavirus</t>
  </si>
  <si>
    <t>PRJNA385636</t>
  </si>
  <si>
    <t>Phasmaviridae</t>
  </si>
  <si>
    <t>33.2475</t>
  </si>
  <si>
    <t>L:NC_034462.1/KJ434182.1;  M:NC_034469.1/KJ434183.1;  S:NC_034463.1/KJ434184.1</t>
  </si>
  <si>
    <t>Common bottlenose dolphin gammaherpesvirus 1 strain Sarasota</t>
  </si>
  <si>
    <t>PRJNA392136</t>
  </si>
  <si>
    <t>Unknown:NC_035117.1/KY965444.1</t>
  </si>
  <si>
    <t>Rhodobacter sphaeroides ATCC 17029</t>
  </si>
  <si>
    <t>Abisko virus</t>
  </si>
  <si>
    <t>PRJNA399942</t>
  </si>
  <si>
    <t>Unknown:NC_035470.1/KY662294.1</t>
  </si>
  <si>
    <t>Bastrovirus/VietNam/Bat/16715_78</t>
  </si>
  <si>
    <t>PRJNA399943</t>
  </si>
  <si>
    <t>Unknown:NC_035471.1/KX907133.1</t>
  </si>
  <si>
    <t>NY_014 poxvirus</t>
  </si>
  <si>
    <t>PRJNA399944</t>
  </si>
  <si>
    <t>Unknown:NC_035469.1/MF001305.1</t>
  </si>
  <si>
    <t>Rhodobacter sphaeroides KD131</t>
  </si>
  <si>
    <t>Murmansk poxvirus</t>
  </si>
  <si>
    <t>PRJNA399945</t>
  </si>
  <si>
    <t>Unknown:NC_035468.1/MF001304.1</t>
  </si>
  <si>
    <t>Wild vitis virus 1</t>
  </si>
  <si>
    <t>PRJNA399946</t>
  </si>
  <si>
    <t>Unknown:NC_035480.1/MF185009.1</t>
  </si>
  <si>
    <t>Rhodobacter sphaeroides strain MBTLJ-8</t>
  </si>
  <si>
    <t>Felis catus papillomavirus type 5</t>
  </si>
  <si>
    <t>PRJNA399947</t>
  </si>
  <si>
    <t>Unknown:NC_035479.1/KY853656.1</t>
  </si>
  <si>
    <t>Sus scrofa papillomavirus 2</t>
  </si>
  <si>
    <t>PRJNA399948</t>
  </si>
  <si>
    <t>Unknown:NC_035478.1/KY817993.1</t>
  </si>
  <si>
    <t>Rhodococcus aetherivorans strain BCP1</t>
  </si>
  <si>
    <t>Actinidia virus 1</t>
  </si>
  <si>
    <t>PRJNA399949</t>
  </si>
  <si>
    <t>Unknown:NC_035453.1/KX857665.1</t>
  </si>
  <si>
    <t>Citrus concave gum-associated virus</t>
  </si>
  <si>
    <t>PRJNA399950</t>
  </si>
  <si>
    <t>36.8304</t>
  </si>
  <si>
    <t>RNA 1:NC_035759.1/KX960112.1;  RNA2:NC_035454.1/KX960111.1</t>
  </si>
  <si>
    <t>Rhodococcus aetherivorans strain IcdP1</t>
  </si>
  <si>
    <t>Metallosphaera turreted icosahedral virus</t>
  </si>
  <si>
    <t>PRJNA399951</t>
  </si>
  <si>
    <t>Unknown:NC_035464.1/MF443783.1</t>
  </si>
  <si>
    <t>Tomato leaf curl purple vein virus</t>
  </si>
  <si>
    <t>PRJNA399953</t>
  </si>
  <si>
    <t>Unknown:NC_035481.1/KY196216.1</t>
  </si>
  <si>
    <t>Rhodococcus equi 103S</t>
  </si>
  <si>
    <t>Macroptilium golden yellow mosaic virus</t>
  </si>
  <si>
    <t>41.8715</t>
  </si>
  <si>
    <t>DNA A:NC_035487.1/KY196219.1;  DNA B:NC_035488.1/KY196220.1</t>
  </si>
  <si>
    <t>Rhodococcus erythropolis CCM2595</t>
  </si>
  <si>
    <t>Rice virus A</t>
  </si>
  <si>
    <t>PRJNA399955</t>
  </si>
  <si>
    <t>Unknown:NC_035452.1/KY696677.1</t>
  </si>
  <si>
    <t>Jujube mosaic-associated virus</t>
  </si>
  <si>
    <t>PRJNA399956</t>
  </si>
  <si>
    <t>Unknown:NC_035472.1/KX852476.1</t>
  </si>
  <si>
    <t>Emilia sonchifolia yellow vein Thailand virus</t>
  </si>
  <si>
    <t>PRJNA399957</t>
  </si>
  <si>
    <t>Rhodococcus erythropolis PR4</t>
  </si>
  <si>
    <t>DNA-A:NC_035473.1/KY373213.1</t>
  </si>
  <si>
    <t>Ocimum basilicum mitovirus 1</t>
  </si>
  <si>
    <t>PRJNA399958</t>
  </si>
  <si>
    <t>Unknown:NC_035463.1/MF196914.1</t>
  </si>
  <si>
    <t>Ocimum basilicum divavirus 1</t>
  </si>
  <si>
    <t>PRJNA399959</t>
  </si>
  <si>
    <t>Unknown:NC_035462.1/MF196913.1</t>
  </si>
  <si>
    <t>Rhodococcus erythropolis R138</t>
  </si>
  <si>
    <t>Wheat leaf yellowing-associated virus</t>
  </si>
  <si>
    <t>PRJNA399960</t>
  </si>
  <si>
    <t>Unknown:NC_035451.1/KY605226.1</t>
  </si>
  <si>
    <t>Lasius niger virus 1</t>
  </si>
  <si>
    <t>PRJNA399961</t>
  </si>
  <si>
    <t>Unknown:NC_035456.1/MF041812.1</t>
  </si>
  <si>
    <t>Myrmica scabrinodis virus 1</t>
  </si>
  <si>
    <t>PRJNA399962</t>
  </si>
  <si>
    <t>Rhodococcus erythropolis strain BG43</t>
  </si>
  <si>
    <t>Unknown:NC_035457.1/MF041810.1</t>
  </si>
  <si>
    <t>Solenopsis invicta virus 4</t>
  </si>
  <si>
    <t>PRJNA399963</t>
  </si>
  <si>
    <t>Unknown:NC_035455.1/MF041808.1</t>
  </si>
  <si>
    <t>Wild melon vein banding virus</t>
  </si>
  <si>
    <t>PRJNA399964</t>
  </si>
  <si>
    <t>Unknown:NC_035458.1/KY623506.1</t>
  </si>
  <si>
    <t>Sudan watermelon mosaic virus</t>
  </si>
  <si>
    <t>PRJNA399965</t>
  </si>
  <si>
    <t>Unknown:NC_035459.1/KY623505.1</t>
  </si>
  <si>
    <t>Porcine stool-associated circular virus/BEL/15V010</t>
  </si>
  <si>
    <t>PRJNA399966</t>
  </si>
  <si>
    <t>Unknown:NC_035476.1/KY214434.1</t>
  </si>
  <si>
    <t>Rhodococcus fascians D188</t>
  </si>
  <si>
    <t>Porcine feces-associated gemycircularvirus</t>
  </si>
  <si>
    <t>PRJNA399967</t>
  </si>
  <si>
    <t>Unknown:NC_035477.1/KY214433.1</t>
  </si>
  <si>
    <t>Morelia viridis nidovirus</t>
  </si>
  <si>
    <t>PRJNA399968</t>
  </si>
  <si>
    <t>Unknown:NC_035465.1/MF351889.1</t>
  </si>
  <si>
    <t>Rhodococcus jostii RHA1</t>
  </si>
  <si>
    <t>Reed chlorotic stripe virus</t>
  </si>
  <si>
    <t>PRJNA399969</t>
  </si>
  <si>
    <t>Unknown:NC_035461.1/KY612317.1</t>
  </si>
  <si>
    <t>Tomato chlorotic spot virus</t>
  </si>
  <si>
    <t>PRJNA399970</t>
  </si>
  <si>
    <t>34.7121</t>
  </si>
  <si>
    <t>L:NC_035483.1/KX463272.1;  M:NC_035482.1/KX463273.1;  S:NC_035484.1/KX463274.1</t>
  </si>
  <si>
    <t>Human feces smacovirus 3</t>
  </si>
  <si>
    <t>PRJNA399971</t>
  </si>
  <si>
    <t>Rhodococcus opacus B4</t>
  </si>
  <si>
    <t>Unknown:NC_035474.1/MF347417.1</t>
  </si>
  <si>
    <t>Heterobasidion partitivirus 7</t>
  </si>
  <si>
    <t>47.965</t>
  </si>
  <si>
    <t>RNA 1:NC_035485.1/JN606091.1;  RNA 2:NC_035486.1/JN606090.1</t>
  </si>
  <si>
    <t>Lake Sinai virus 2</t>
  </si>
  <si>
    <t>PRJNA399973</t>
  </si>
  <si>
    <t>Rhodococcus opacus PD630</t>
  </si>
  <si>
    <t>Unknown:NC_035467.1/KY465710.1</t>
  </si>
  <si>
    <t>Lake Sinai virus 1</t>
  </si>
  <si>
    <t>PRJNA399974</t>
  </si>
  <si>
    <t>Unknown:NC_035466.1/KY465703.1</t>
  </si>
  <si>
    <t>Eptesipox virus</t>
  </si>
  <si>
    <t>PRJNA395094</t>
  </si>
  <si>
    <t>Rhodococcus opacus strain R7</t>
  </si>
  <si>
    <t>Unknown:NC_035460.1/KY747497.1</t>
  </si>
  <si>
    <t>Lasius neglectus virus 1</t>
  </si>
  <si>
    <t>PRJNA395565</t>
  </si>
  <si>
    <t>Unknown:NC_035450.1/MF041809.1</t>
  </si>
  <si>
    <t>Lychee viroid-like RNA</t>
  </si>
  <si>
    <t>PRJNA400090</t>
  </si>
  <si>
    <t>Unknown:NC_035620.1/MF156698.1</t>
  </si>
  <si>
    <t>Rhodococcus pyridinivorans SB3094</t>
  </si>
  <si>
    <t>Odocoileus adenovirus 1</t>
  </si>
  <si>
    <t>PRJNA400165</t>
  </si>
  <si>
    <t>Unknown:NC_035619.1/KY748210.1</t>
  </si>
  <si>
    <t>Fathead minnow calicivirus</t>
  </si>
  <si>
    <t>PRJNA400925</t>
  </si>
  <si>
    <t>Unknown:NC_035675.1/KX371097.1</t>
  </si>
  <si>
    <t>Rhodococcus sp. B7740</t>
  </si>
  <si>
    <t>Bastrovirus 7</t>
  </si>
  <si>
    <t>PRJNA401021</t>
  </si>
  <si>
    <t>Unknown:NC_035758.1/KU318321.1</t>
  </si>
  <si>
    <t>Tomato associated geminivirus 1</t>
  </si>
  <si>
    <t>PRJNA400924</t>
  </si>
  <si>
    <t>Unknown:NC_035676.1/MF072688.1</t>
  </si>
  <si>
    <t>Australian Anopheles totivirus</t>
  </si>
  <si>
    <t>PRJNA400636</t>
  </si>
  <si>
    <t>Rhodococcus sp. PBTS1</t>
  </si>
  <si>
    <t>Unknown:NC_035674.1/MF073200.1</t>
  </si>
  <si>
    <t>Pineapple bacilliform CO virus</t>
  </si>
  <si>
    <t>PRJNA60049</t>
  </si>
  <si>
    <t>Unknown:NC_014648.1/GU121676.1</t>
  </si>
  <si>
    <t>Hirame novirhabdovirus</t>
  </si>
  <si>
    <t>PRJNA15132</t>
  </si>
  <si>
    <t>Rhodococcus sp. PBTS2</t>
  </si>
  <si>
    <t>Unknown:NC_005093.1/AF104985.2</t>
  </si>
  <si>
    <t>Heterocapsa circularisquama RNA virus 01</t>
  </si>
  <si>
    <t>PRJNA16157</t>
  </si>
  <si>
    <t>Alvernaviridae</t>
  </si>
  <si>
    <t>Unknown:NC_007518.1/AB218608.1</t>
  </si>
  <si>
    <t>Lettuce big-vein associated varicosavirus</t>
  </si>
  <si>
    <t>PRJNA32725</t>
  </si>
  <si>
    <t>Rhodocyclaceae bacterium PG1-Ca6</t>
  </si>
  <si>
    <t>45.4639</t>
  </si>
  <si>
    <t>RNA 1:NC_011558.1/AB075039.1;  RNA 2:NC_011568.1/AB114138.1</t>
  </si>
  <si>
    <t>Sweet potato pakakuy virus</t>
  </si>
  <si>
    <t>PRJNA68017</t>
  </si>
  <si>
    <t>Unknown:NC_015655.1/FJ560943.2</t>
  </si>
  <si>
    <t>Escherichia virus CBA120</t>
  </si>
  <si>
    <t>PRJNA81001</t>
  </si>
  <si>
    <t>Rhodoferax ferrireducens T118</t>
  </si>
  <si>
    <t>Unknown:NC_016570.1/JN593240.1</t>
  </si>
  <si>
    <t>Equus caballus polyomavirus 1</t>
  </si>
  <si>
    <t>PRJNA167666</t>
  </si>
  <si>
    <t>Unknown:NC_017982.1/JQ412134.1</t>
  </si>
  <si>
    <t>Escherichia virus M13</t>
  </si>
  <si>
    <t>PRJNA14549</t>
  </si>
  <si>
    <t>Rhodomicrobium vannielii ATCC 17100</t>
  </si>
  <si>
    <t>Unknown:NC_003287.2/V00604.2</t>
  </si>
  <si>
    <t>Tomato spotted wilt orthotospovirus</t>
  </si>
  <si>
    <t>PRJNA14997</t>
  </si>
  <si>
    <t>34.5242</t>
  </si>
  <si>
    <t>L:NC_002052.1/D10066.1;  M:NC_002050.1/S48091.1;  S:NC_002051.1/D00645.1</t>
  </si>
  <si>
    <t>Watermelon silver mottle orthotospovirus</t>
  </si>
  <si>
    <t>PRJNA15176</t>
  </si>
  <si>
    <t>34.0194</t>
  </si>
  <si>
    <t>L:NC_003832.1/AF133128.1;  M:NC_003841.1/U75379.1;  S:NC_003843.1/U78734.1</t>
  </si>
  <si>
    <t>Rhodopirellula baltica SH 1</t>
  </si>
  <si>
    <t>Pyrrhula pyrrhula polyomavirus 1</t>
  </si>
  <si>
    <t>PRJNA16655</t>
  </si>
  <si>
    <t>Unknown:NC_007923.1/DQ192571.1</t>
  </si>
  <si>
    <t>Corvus monedula polyomavirus 1</t>
  </si>
  <si>
    <t>PRJNA16654</t>
  </si>
  <si>
    <t>Unknown:NC_007922.1/DQ192570.1</t>
  </si>
  <si>
    <t>Rhodoplanes sp. Z2-YC6860</t>
  </si>
  <si>
    <t>KI polyomavirus Stockholm 60</t>
  </si>
  <si>
    <t>PRJNA19155</t>
  </si>
  <si>
    <t>Unknown:NC_009238.1/EF127906.1</t>
  </si>
  <si>
    <t>Tioga picorna-like virus 1</t>
  </si>
  <si>
    <t>PRJNA406965</t>
  </si>
  <si>
    <t>Unknown:NC_035798.1/MF669547.1</t>
  </si>
  <si>
    <t>Squirrelpox virus Berlin_2015</t>
  </si>
  <si>
    <t>PRJNA406966</t>
  </si>
  <si>
    <t>Unknown:NC_035797.1/MF503315.1</t>
  </si>
  <si>
    <t>Northern cereal mosaic cytorhabdovirus</t>
  </si>
  <si>
    <t>PRJNA14984</t>
  </si>
  <si>
    <t>Unknown:NC_002251.1/AB030277.1</t>
  </si>
  <si>
    <t>Rhodopseudomonas palustris BisA53</t>
  </si>
  <si>
    <t>Chlorocebus pygerythrus polyomavirus 1</t>
  </si>
  <si>
    <t>PRJNA183709</t>
  </si>
  <si>
    <t>Unknown:NC_019844.1/AB767298.1</t>
  </si>
  <si>
    <t>Chlorocebus pygerythrus polyomavirus 3</t>
  </si>
  <si>
    <t>PRJNA270087</t>
  </si>
  <si>
    <t>Unknown:NC_025898.1/AB767297.1</t>
  </si>
  <si>
    <t>Chlorocebus pygerythrus polyomavirus 2</t>
  </si>
  <si>
    <t>PRJNA270091</t>
  </si>
  <si>
    <t>Rhodopseudomonas palustris BisB18</t>
  </si>
  <si>
    <t>Unknown:NC_025896.1/AB767299.2</t>
  </si>
  <si>
    <t>Mastomys natalensis polyomavirus 1</t>
  </si>
  <si>
    <t>PRJNA270092</t>
  </si>
  <si>
    <t>Unknown:NC_025895.1/AB588640.1</t>
  </si>
  <si>
    <t>Dioscorea bacilliform SN virus</t>
  </si>
  <si>
    <t>PRJNA18829</t>
  </si>
  <si>
    <t>Unknown:NC_009010.1/DQ822073.1</t>
  </si>
  <si>
    <t>Rhodopseudomonas palustris BisB5</t>
  </si>
  <si>
    <t>Common bean severe mosaic virus</t>
  </si>
  <si>
    <t>PRJNA354192</t>
  </si>
  <si>
    <t>DNA-A:NC_031961.1/KX011475.1</t>
  </si>
  <si>
    <t>Nigrospora oryzae fusarivirus 1</t>
  </si>
  <si>
    <t>PRJNA354193</t>
  </si>
  <si>
    <t>Unknown:NC_031960.1/KU980909.1</t>
  </si>
  <si>
    <t>Bosavirus MS-2016a</t>
  </si>
  <si>
    <t>Rhodopseudomonas palustris CGA009</t>
  </si>
  <si>
    <t>PRJNA354195</t>
  </si>
  <si>
    <t>Unknown:NC_031959.1/KY019139.1</t>
  </si>
  <si>
    <t>Rio Chico virus</t>
  </si>
  <si>
    <t>PRJNA354196</t>
  </si>
  <si>
    <t>Unknown:NC_031958.1/KX228197.1</t>
  </si>
  <si>
    <t>Hubei tombus-like virus 22</t>
  </si>
  <si>
    <t>PRJNA361607</t>
  </si>
  <si>
    <t>Rhodopseudomonas palustris DX-1</t>
  </si>
  <si>
    <t>Unknown:NC_032807.1/KX883135.1</t>
  </si>
  <si>
    <t>Hubei picorna-like virus 66</t>
  </si>
  <si>
    <t>PRJNA361630</t>
  </si>
  <si>
    <t>Unknown:NC_033133.1/KX883698.1</t>
  </si>
  <si>
    <t>Otarine picobirnavirus</t>
  </si>
  <si>
    <t>PRJNA378394</t>
  </si>
  <si>
    <t>44.7662</t>
  </si>
  <si>
    <t>1:NC_034160.1/JQ776551.1;  2:NC_034161.1/JQ776552.1</t>
  </si>
  <si>
    <t>Rhodopseudomonas palustris HaA2</t>
  </si>
  <si>
    <t>Bat mastadenovirus WIV18</t>
  </si>
  <si>
    <t>PRJNA390621</t>
  </si>
  <si>
    <t>Unknown:NC_035072.1/KX961096.1</t>
  </si>
  <si>
    <t>Black medic leaf roll virus</t>
  </si>
  <si>
    <t>PRJNA233603</t>
  </si>
  <si>
    <t>37.5162</t>
  </si>
  <si>
    <t>DNA- M:NC_023305.1/KC978961.1;  DNA-C:NC_023300.1/KC978960.1;  DNA-N:NC_023301.1/KC978962.1;  DNA-R:NC_023299.1/KC978958.1;  DNA-S:NC_023304.1/KC978959.1;  DNA-U1:NC_023306.1/KC978963.1;  DNA-U2:NC_023307.1/KC978964.1;  DNA-U4:NC_023302.1/KC978965.1</t>
  </si>
  <si>
    <t>Rhodopseudomonas palustris TIE-1</t>
  </si>
  <si>
    <t>Falcon picornavirus</t>
  </si>
  <si>
    <t>PRJNA401187</t>
  </si>
  <si>
    <t>Unknown:NC_035779.1/KY645497.1</t>
  </si>
  <si>
    <t>Yambean mosaic virus</t>
  </si>
  <si>
    <t>PRJNA78927</t>
  </si>
  <si>
    <t>Unknown:NC_016441.1/JN190431.1</t>
  </si>
  <si>
    <t>Barley yellow striate mosaic cytorhabdovirus</t>
  </si>
  <si>
    <t>PRJNA301026</t>
  </si>
  <si>
    <t>Unknown:NC_028244.1/KM213865.1</t>
  </si>
  <si>
    <t>Escherichia virus KP26</t>
  </si>
  <si>
    <t>PRJNA15569</t>
  </si>
  <si>
    <t>Rhodospirillum centenum SW</t>
  </si>
  <si>
    <t>Unknown:NC_007291.1/DQ121662.1</t>
  </si>
  <si>
    <t>Tetraparvovirus sp.</t>
  </si>
  <si>
    <t>NC_031670.1/KT878837.1</t>
  </si>
  <si>
    <t>Polyomavirus sp.</t>
  </si>
  <si>
    <t>NC_031757.1/KT878838.1</t>
  </si>
  <si>
    <t>Rhodospirillum photometricum DSM 122</t>
  </si>
  <si>
    <t>Amdoparvovirus sp.</t>
  </si>
  <si>
    <t>NC_031751.1/KT878839.1</t>
  </si>
  <si>
    <t>Circovirus sp.</t>
  </si>
  <si>
    <t>NC_034210.1/KX943551.1</t>
  </si>
  <si>
    <t>Hepacivirus L</t>
  </si>
  <si>
    <t>NC_031916.1/KC796077.1</t>
  </si>
  <si>
    <t>High Plains wheat mosaic emaravirus</t>
  </si>
  <si>
    <t>Rhodospirillum rubrum ATCC 11170</t>
  </si>
  <si>
    <t>30.9757</t>
  </si>
  <si>
    <t>3:NC_029550.1/KJ939626.1;  RNA 1:NC_029570.1/KJ939623.1;  RNA 2:NC_029549.1/KJ939624.1;  RNA 4:NC_029551.1/KJ939627.1;  RNA 5:NC_029552.1/KJ939628.1;  RNA 6:NC_029553.1/KJ939629.1;  RNA 7:NC_029554.1/KJ939630.1;  RNA 8:NC_029555.1/KJ939631.1</t>
  </si>
  <si>
    <t>Pomona leaf-nosed bat associated polyomavirus</t>
  </si>
  <si>
    <t>NC_033737.1/LT605004.1</t>
  </si>
  <si>
    <t>Bhendi yellow vein mosaic betasatellite</t>
  </si>
  <si>
    <t>PRJNA14445</t>
  </si>
  <si>
    <t>Rhodospirillum rubrum F11</t>
  </si>
  <si>
    <t>Unknown:NC_003405.1/AJ308425.1</t>
  </si>
  <si>
    <t>Canna yellow mottle-associated virus</t>
  </si>
  <si>
    <t>PRJNA328672</t>
  </si>
  <si>
    <t>NC_030462.1/KX066020.1</t>
  </si>
  <si>
    <t>Mycobacterium virus Acadian</t>
  </si>
  <si>
    <t>PRJNA240774</t>
  </si>
  <si>
    <t>Unknown:NC_023701.1/JN699007.1</t>
  </si>
  <si>
    <t>Rhodothermus marinus DSM 4252</t>
  </si>
  <si>
    <t>Pigeonpea sterility mosaic emaravirus 1</t>
  </si>
  <si>
    <t>PRJNA314257</t>
  </si>
  <si>
    <t>32.1386</t>
  </si>
  <si>
    <t>1:NC_029575.1/HF568801.1;  2:NC_029556.1/HF568802.3;  3:NC_029574.1/HF568803.1;  4:NC_029557.1/HF568804.1;  5:NC_029569.1/HF945448.2</t>
  </si>
  <si>
    <t>uncultured Mediterranean phage uvMED</t>
  </si>
  <si>
    <t>AP013362.1</t>
  </si>
  <si>
    <t>Rhodothermus marinus SG0.5JP17-172</t>
  </si>
  <si>
    <t>Gokushovirus WZ-2015a</t>
  </si>
  <si>
    <t>KT264826.1</t>
  </si>
  <si>
    <t>Streptococcus phage Spn1</t>
  </si>
  <si>
    <t>KJ417497.1</t>
  </si>
  <si>
    <t>Synechococcus phage S-EIVl</t>
  </si>
  <si>
    <t>Rhodovulum sulfidophilum DSM 1374</t>
  </si>
  <si>
    <t>KJ410740.1</t>
  </si>
  <si>
    <t>Mycobacterium phage Gattaca</t>
  </si>
  <si>
    <t>KX159477.1</t>
  </si>
  <si>
    <t>Vibrio phage Vc1</t>
  </si>
  <si>
    <t>KJ502657.1</t>
  </si>
  <si>
    <t>Klebsiella phage Kpn112</t>
  </si>
  <si>
    <t>KJ021043.1</t>
  </si>
  <si>
    <t>Mycobacterium phage Emerson</t>
  </si>
  <si>
    <t>KJ567045.1</t>
  </si>
  <si>
    <t>Cronobacter phage vB_CsaP_Ss1</t>
  </si>
  <si>
    <t>KM058087.1</t>
  </si>
  <si>
    <t>Mycobacterium phage YungJamal</t>
  </si>
  <si>
    <t>Rhodovulum sulfidophilum strain DSM 2351</t>
  </si>
  <si>
    <t>KJ829260.1</t>
  </si>
  <si>
    <t>Escherichia coli O157 typing phage 10</t>
  </si>
  <si>
    <t>KP869108.1</t>
  </si>
  <si>
    <t>Escherichia coli O157 typing phage 11</t>
  </si>
  <si>
    <t>KP869109.1</t>
  </si>
  <si>
    <t>Escherichia coli O157 typing phage 12</t>
  </si>
  <si>
    <t>KP869110.1</t>
  </si>
  <si>
    <t>Rhodovulum sulfidophilum strain TUT</t>
  </si>
  <si>
    <t>Escherichia coli O157 typing phage 3</t>
  </si>
  <si>
    <t>KP869101.1</t>
  </si>
  <si>
    <t>Escherichia coli O157 typing phage 5</t>
  </si>
  <si>
    <t>KP869103.1</t>
  </si>
  <si>
    <t>Escherichia coli O157 typing phage 6</t>
  </si>
  <si>
    <t>Rickettsia africae ESF-5</t>
  </si>
  <si>
    <t>KP869104.1</t>
  </si>
  <si>
    <t>Rickettsia akari str. Hartford</t>
  </si>
  <si>
    <t>Vibrio phage VPp1</t>
  </si>
  <si>
    <t>KJ936628.1</t>
  </si>
  <si>
    <t>Mycobacterium phage Farber</t>
  </si>
  <si>
    <t>KM233455.1</t>
  </si>
  <si>
    <t>Rickettsia australis str. Cutlack</t>
  </si>
  <si>
    <t>Campylobacter phage PC5</t>
  </si>
  <si>
    <t>KX229736.1</t>
  </si>
  <si>
    <t>Pseudomonas phage JBD68</t>
  </si>
  <si>
    <t>KY707339.1</t>
  </si>
  <si>
    <t>Rickettsia bellii OSU 85-389</t>
  </si>
  <si>
    <t>Mycobacterium phage QuinnKiro</t>
  </si>
  <si>
    <t>KM592966.1</t>
  </si>
  <si>
    <t>Mycobacterium phage Power</t>
  </si>
  <si>
    <t>KM463009.1</t>
  </si>
  <si>
    <t>Klebsiella phage phiBO1E</t>
  </si>
  <si>
    <t>KM576124.1</t>
  </si>
  <si>
    <t>Rickettsia bellii RML369-C</t>
  </si>
  <si>
    <t>Mycobacterium phage RonRayGun</t>
  </si>
  <si>
    <t>KM591905.1</t>
  </si>
  <si>
    <t>Enterobacteria phage DT571/2</t>
  </si>
  <si>
    <t>KM979355.1</t>
  </si>
  <si>
    <t>Mycobacterium phage Phoxy</t>
  </si>
  <si>
    <t>KP017310.1</t>
  </si>
  <si>
    <t>Mycobacterium phage Spike509</t>
  </si>
  <si>
    <t>Rickettsia bellii str. RML An4</t>
  </si>
  <si>
    <t>KP017311.1</t>
  </si>
  <si>
    <t>Mycobacterium phage Chandler</t>
  </si>
  <si>
    <t>KP027207.1</t>
  </si>
  <si>
    <t>Mycobacterium phage Cosmo</t>
  </si>
  <si>
    <t>KP027195.1</t>
  </si>
  <si>
    <t>Mycobacterium phage Gadost</t>
  </si>
  <si>
    <t>Rickettsia canadensis str. CA410</t>
  </si>
  <si>
    <t>KP027198.1</t>
  </si>
  <si>
    <t>Mycobacterium phage Thor</t>
  </si>
  <si>
    <t>KP027204.1</t>
  </si>
  <si>
    <t>Mycobacterium phage Treddle</t>
  </si>
  <si>
    <t>KP027203.1</t>
  </si>
  <si>
    <t>Mycobacterium phage HamSlice</t>
  </si>
  <si>
    <t>KP057620.1</t>
  </si>
  <si>
    <t>Mannheimia phage vB_MhS_3927AP1</t>
  </si>
  <si>
    <t>KP137439.1</t>
  </si>
  <si>
    <t>Streptococcus phage phi1207.3</t>
  </si>
  <si>
    <t>Rickettsia canadensis str. McKiel</t>
  </si>
  <si>
    <t>AY657002.1</t>
  </si>
  <si>
    <t>Bacteriophage Redbud</t>
  </si>
  <si>
    <t>KP296794.1</t>
  </si>
  <si>
    <t>Ralstonia phage phiITL-1</t>
  </si>
  <si>
    <t>KP343639.1</t>
  </si>
  <si>
    <t>Rickettsia conorii str. Malish 7</t>
  </si>
  <si>
    <t>Pseudomonas phage phiKT28</t>
  </si>
  <si>
    <t>KP340287.1</t>
  </si>
  <si>
    <t>Pseudomonas phage phiKTN6</t>
  </si>
  <si>
    <t>KP340288.1</t>
  </si>
  <si>
    <t>Mycobacterium phage Gomashi</t>
  </si>
  <si>
    <t>KM923970.1</t>
  </si>
  <si>
    <t>Pseudomonas phage ZC01</t>
  </si>
  <si>
    <t>Rickettsia felis str. Pedreira</t>
  </si>
  <si>
    <t>KU356689.1</t>
  </si>
  <si>
    <t>Pseudomonas phage ZC03</t>
  </si>
  <si>
    <t>KU356690.1</t>
  </si>
  <si>
    <t>Pseudomonas phage ZC08</t>
  </si>
  <si>
    <t>KU356691.1</t>
  </si>
  <si>
    <t>Rickettsia felis URRWXCal2</t>
  </si>
  <si>
    <t>Acinetobacter phage YMC11/11/R3177</t>
  </si>
  <si>
    <t>KP861230.1</t>
  </si>
  <si>
    <t>Acinetobacter phage YMC11/12/R1215</t>
  </si>
  <si>
    <t>Rickettsia heilongjiangensis 054</t>
  </si>
  <si>
    <t>KP861231.1</t>
  </si>
  <si>
    <t>Listeria phage LWP01</t>
  </si>
  <si>
    <t>CP011103.1</t>
  </si>
  <si>
    <t>Burkholderia phage vB_BceM_AP3</t>
  </si>
  <si>
    <t>Rickettsia japonica YH</t>
  </si>
  <si>
    <t>KP966108.1</t>
  </si>
  <si>
    <t>Paenibacillus phage Willow</t>
  </si>
  <si>
    <t>KT361650.1</t>
  </si>
  <si>
    <t>Paenibacillus phage Paisley</t>
  </si>
  <si>
    <t>KT361653.1</t>
  </si>
  <si>
    <t>Rickettsia massiliae MTU5</t>
  </si>
  <si>
    <t>Enterobacter phage E-4</t>
  </si>
  <si>
    <t>KP791807.1</t>
  </si>
  <si>
    <t>Skermania phage SPI1</t>
  </si>
  <si>
    <t>KR011061.1</t>
  </si>
  <si>
    <t>Fusobacterium phage Funu1</t>
  </si>
  <si>
    <t>KR131710.1</t>
  </si>
  <si>
    <t>Rickettsia massiliae str. AZT80</t>
  </si>
  <si>
    <t>Bacillus phage phiS58</t>
  </si>
  <si>
    <t>KT970646.1</t>
  </si>
  <si>
    <t>Paracoccus phage Shpa</t>
  </si>
  <si>
    <t>KR072689.1</t>
  </si>
  <si>
    <t>Gordonia phage GMA2</t>
  </si>
  <si>
    <t>Rickettsia montanensis str. OSU 85-930</t>
  </si>
  <si>
    <t>KR063281.1</t>
  </si>
  <si>
    <t>Mycobacterium phage AlanGrant</t>
  </si>
  <si>
    <t>KR080200.1</t>
  </si>
  <si>
    <t>Mycobacterium phage OrangeOswald</t>
  </si>
  <si>
    <t>KR080203.1</t>
  </si>
  <si>
    <t>Rickettsia parkeri str. AT#24</t>
  </si>
  <si>
    <t>Mycobacterium phage Corofin</t>
  </si>
  <si>
    <t>KR080205.1</t>
  </si>
  <si>
    <t>Salmonella phage 18-India</t>
  </si>
  <si>
    <t>KR091942.1</t>
  </si>
  <si>
    <t>Moraxella phage Mcat1</t>
  </si>
  <si>
    <t>KR093625.1</t>
  </si>
  <si>
    <t>Moraxella phage Mcat10</t>
  </si>
  <si>
    <t>Rickettsia parkeri str. Grand Bay</t>
  </si>
  <si>
    <t>KR093634.1</t>
  </si>
  <si>
    <t>Moraxella phage Mcat11</t>
  </si>
  <si>
    <t>KR093635.1</t>
  </si>
  <si>
    <t>Moraxella phage Mcat12</t>
  </si>
  <si>
    <t>KR093636.1</t>
  </si>
  <si>
    <t>Moraxella phage Mcat13</t>
  </si>
  <si>
    <t>Rickettsia parkeri str. Portsmouth</t>
  </si>
  <si>
    <t>KR093637.1</t>
  </si>
  <si>
    <t>Moraxella phage Mcat14</t>
  </si>
  <si>
    <t>KR093638.1</t>
  </si>
  <si>
    <t>Moraxella phage Mcat15</t>
  </si>
  <si>
    <t>KR093639.1</t>
  </si>
  <si>
    <t>Rickettsia parkeri str. Tate's Hell</t>
  </si>
  <si>
    <t>Moraxella phage Mcat16</t>
  </si>
  <si>
    <t>KR093640.1</t>
  </si>
  <si>
    <t>Moraxella phage Mcat17</t>
  </si>
  <si>
    <t>KR093641.1</t>
  </si>
  <si>
    <t>Moraxella phage Mcat18</t>
  </si>
  <si>
    <t>KR093642.1</t>
  </si>
  <si>
    <t>Rickettsia peacockii str. Rustic</t>
  </si>
  <si>
    <t>Moraxella phage Mcat19</t>
  </si>
  <si>
    <t>KR093643.1</t>
  </si>
  <si>
    <t>Moraxella phage Mcat2</t>
  </si>
  <si>
    <t>KR093626.1</t>
  </si>
  <si>
    <t>Moraxella phage Mcat20</t>
  </si>
  <si>
    <t>KR093644.1</t>
  </si>
  <si>
    <t>Moraxella phage Mcat21</t>
  </si>
  <si>
    <t>Rickettsia philipii str. 364D</t>
  </si>
  <si>
    <t>KR093645.1</t>
  </si>
  <si>
    <t>Moraxella phage Mcat22</t>
  </si>
  <si>
    <t>KR093646.1</t>
  </si>
  <si>
    <t>Moraxella phage Mcat23</t>
  </si>
  <si>
    <t>KR093647.1</t>
  </si>
  <si>
    <t>Moraxella phage Mcat24</t>
  </si>
  <si>
    <t>Rickettsia prowazekii str. Breinl</t>
  </si>
  <si>
    <t>KR093648.1</t>
  </si>
  <si>
    <t>Moraxella phage Mcat25</t>
  </si>
  <si>
    <t>KR093649.1</t>
  </si>
  <si>
    <t>Moraxella phage Mcat26</t>
  </si>
  <si>
    <t>KR093650.1</t>
  </si>
  <si>
    <t>Rickettsia prowazekii str. BuV67-CWPP</t>
  </si>
  <si>
    <t>Moraxella phage Mcat27</t>
  </si>
  <si>
    <t>KR093651.1</t>
  </si>
  <si>
    <t>Moraxella phage Mcat28</t>
  </si>
  <si>
    <t>KR093652.1</t>
  </si>
  <si>
    <t>Rickettsia prowazekii str. Chernikova</t>
  </si>
  <si>
    <t>Moraxella phage Mcat29</t>
  </si>
  <si>
    <t>KR093653.1</t>
  </si>
  <si>
    <t>Moraxella phage Mcat3</t>
  </si>
  <si>
    <t>KR093627.1</t>
  </si>
  <si>
    <t>Moraxella phage Mcat30</t>
  </si>
  <si>
    <t>Rickettsia prowazekii str. Dachau</t>
  </si>
  <si>
    <t>KR093654.1</t>
  </si>
  <si>
    <t>Moraxella phage Mcat31</t>
  </si>
  <si>
    <t>Rickettsia prowazekii str. GvV257</t>
  </si>
  <si>
    <t>KR093655.1</t>
  </si>
  <si>
    <t>Moraxella phage Mcat32</t>
  </si>
  <si>
    <t>KR093656.1</t>
  </si>
  <si>
    <t>Moraxella phage Mcat4</t>
  </si>
  <si>
    <t>Rickettsia prowazekii str. Katsinyian</t>
  </si>
  <si>
    <t>KR093628.1</t>
  </si>
  <si>
    <t>Moraxella phage Mcat5</t>
  </si>
  <si>
    <t>KR093629.1</t>
  </si>
  <si>
    <t>Moraxella phage Mcat6</t>
  </si>
  <si>
    <t>KR093630.1</t>
  </si>
  <si>
    <t>Moraxella phage Mcat7</t>
  </si>
  <si>
    <t>Rickettsia prowazekii str. Madrid E</t>
  </si>
  <si>
    <t>KR093631.1</t>
  </si>
  <si>
    <t>Moraxella phage Mcat8</t>
  </si>
  <si>
    <t>KR093632.1</t>
  </si>
  <si>
    <t>Moraxella phage Mcat9</t>
  </si>
  <si>
    <t>KR093633.1</t>
  </si>
  <si>
    <t>Stenotrophomonas phage vB_SmaS-DLP_6</t>
  </si>
  <si>
    <t>Rickettsia prowazekii str. NMRC Madrid E</t>
  </si>
  <si>
    <t>KU682439.2</t>
  </si>
  <si>
    <t>Stenotrophomonas phage IME-SM1</t>
  </si>
  <si>
    <t>KR560069.1</t>
  </si>
  <si>
    <t>Salmonella phage 39</t>
  </si>
  <si>
    <t>KR296693.1</t>
  </si>
  <si>
    <t>Salmonella phage 40</t>
  </si>
  <si>
    <t>KR296694.1</t>
  </si>
  <si>
    <t>Salmonella phage 41</t>
  </si>
  <si>
    <t>Rickettsia prowazekii str. Rp22</t>
  </si>
  <si>
    <t>KR296695.1</t>
  </si>
  <si>
    <t>Escherichia phage APCEc03</t>
  </si>
  <si>
    <t>KR422353.1</t>
  </si>
  <si>
    <t>Escherichia phage APCEc02</t>
  </si>
  <si>
    <t>KR698074.1</t>
  </si>
  <si>
    <t>Escherichia phage PA8</t>
  </si>
  <si>
    <t>KP682374.1</t>
  </si>
  <si>
    <t>Rickettsia prowazekii str. RpGvF24</t>
  </si>
  <si>
    <t>Thermobifida phage P1312</t>
  </si>
  <si>
    <t>KT021004.1</t>
  </si>
  <si>
    <t>Yersinia phage phiYe-F10</t>
  </si>
  <si>
    <t>KT008108.1</t>
  </si>
  <si>
    <t>Burkholderia phage Bp-AMP3</t>
  </si>
  <si>
    <t>HG796220.1</t>
  </si>
  <si>
    <t>Bacillus phage PBC6</t>
  </si>
  <si>
    <t>KT187252.1</t>
  </si>
  <si>
    <t>Mycobacterium phage NoSleep</t>
  </si>
  <si>
    <t>Rickettsia prowazekii strain Naples-1</t>
  </si>
  <si>
    <t>KT020852.1</t>
  </si>
  <si>
    <t>Vibrio phage H188</t>
  </si>
  <si>
    <t>KT160311.1</t>
  </si>
  <si>
    <t>Pseudomonas phage vB_PaeM_CEB_DP1</t>
  </si>
  <si>
    <t>KR869157.1</t>
  </si>
  <si>
    <t>Bacillus phage PBC4</t>
  </si>
  <si>
    <t>KT070866.1</t>
  </si>
  <si>
    <t>Bacillus phage PBC2</t>
  </si>
  <si>
    <t>Rickettsia raoultii strain Khabarovsk</t>
  </si>
  <si>
    <t>KT070867.1</t>
  </si>
  <si>
    <t>Bacillus phage PBC5</t>
  </si>
  <si>
    <t>KT070868.1</t>
  </si>
  <si>
    <t>Bacillus phage Silence</t>
  </si>
  <si>
    <t>KT001912.1</t>
  </si>
  <si>
    <t>Rickettsia rhipicephali str. 3-7-female6-CWPP</t>
  </si>
  <si>
    <t>Caulobacter phage Sansa</t>
  </si>
  <si>
    <t>KT001913.1</t>
  </si>
  <si>
    <t>Caulobacter phage Seuss</t>
  </si>
  <si>
    <t>KT001914.1</t>
  </si>
  <si>
    <t>Rickettsia rhipicephali str. Ect</t>
  </si>
  <si>
    <t>Escherichia phage Murica</t>
  </si>
  <si>
    <t>KT001917.1</t>
  </si>
  <si>
    <t>Pectobacterium phage PPWS1</t>
  </si>
  <si>
    <t>LC063634.2</t>
  </si>
  <si>
    <t>Ralstonia phage RSS-TH1</t>
  </si>
  <si>
    <t>LC066596.1</t>
  </si>
  <si>
    <t>Vibrio phage vB_VorS-PVo5</t>
  </si>
  <si>
    <t>KT345706.1</t>
  </si>
  <si>
    <t>Rickettsia rhipicephali strain HJ#5</t>
  </si>
  <si>
    <t>Brevibacillus phage SecTim467</t>
  </si>
  <si>
    <t>KT151957.1</t>
  </si>
  <si>
    <t>Brevibacillus phage Powder</t>
  </si>
  <si>
    <t>KT151958.1</t>
  </si>
  <si>
    <t>Mycobacterium phage Texage</t>
  </si>
  <si>
    <t>Rickettsia rickettsii str. Arizona</t>
  </si>
  <si>
    <t>KT326767.1</t>
  </si>
  <si>
    <t>Thiobacimonas phage vB_ThpS-P1</t>
  </si>
  <si>
    <t>KT381864.1</t>
  </si>
  <si>
    <t>Dickeya phage BF25/12</t>
  </si>
  <si>
    <t>KT240186.1</t>
  </si>
  <si>
    <t>Rickettsia rickettsii str. Brazil</t>
  </si>
  <si>
    <t>Streptococcus phage phiNJ3</t>
  </si>
  <si>
    <t>KT336320.1</t>
  </si>
  <si>
    <t>Streptococcus phage phiSC070807</t>
  </si>
  <si>
    <t>Rickettsia rickettsii str. Colombia</t>
  </si>
  <si>
    <t>KT336321.1</t>
  </si>
  <si>
    <t>Mycobacterium phage Maverick</t>
  </si>
  <si>
    <t>KT365397.1</t>
  </si>
  <si>
    <t>Mycobacterium phage Annihilator</t>
  </si>
  <si>
    <t>KT365399.1</t>
  </si>
  <si>
    <t>Rickettsia rickettsii str. Hauke</t>
  </si>
  <si>
    <t>Klebsiella phage vB_Kp3</t>
  </si>
  <si>
    <t>KT367887.1</t>
  </si>
  <si>
    <t>Bacillus phage vB_BtS_BMBtp16</t>
  </si>
  <si>
    <t>KT372714.1</t>
  </si>
  <si>
    <t>Streptococcus phage 73</t>
  </si>
  <si>
    <t>Rickettsia rickettsii str. Hino</t>
  </si>
  <si>
    <t>KT717083.1</t>
  </si>
  <si>
    <t>Streptococcus phage 53</t>
  </si>
  <si>
    <t>KT717084.1</t>
  </si>
  <si>
    <t>Streptococcus phage 128</t>
  </si>
  <si>
    <t>KT717085.1</t>
  </si>
  <si>
    <t>Rickettsia rickettsii str. Hlp#2</t>
  </si>
  <si>
    <t>Pseudomonas phage POR1</t>
  </si>
  <si>
    <t>KT716399.1</t>
  </si>
  <si>
    <t>Acinetobacter phage Ab105-1phi</t>
  </si>
  <si>
    <t>KT588074.1</t>
  </si>
  <si>
    <t>Rickettsia rickettsii str. Iowa</t>
  </si>
  <si>
    <t>Acinetobacter phage Ab105-2phi</t>
  </si>
  <si>
    <t>KT588075.2</t>
  </si>
  <si>
    <t>Bacillus phage BMBtp1</t>
  </si>
  <si>
    <t>KT852578.1</t>
  </si>
  <si>
    <t>Roseobacter phage DSS3P8</t>
  </si>
  <si>
    <t>Rickettsia rickettsii str. Morgan</t>
  </si>
  <si>
    <t>KT870145.1</t>
  </si>
  <si>
    <t>Staphylococcus phage P282</t>
  </si>
  <si>
    <t>KT809368.1</t>
  </si>
  <si>
    <t>Staphylococcus phage P630</t>
  </si>
  <si>
    <t>Rickettsia rickettsii str. R</t>
  </si>
  <si>
    <t>KT809369.1</t>
  </si>
  <si>
    <t>Bacillus phage vB_BpuM-BpSp</t>
  </si>
  <si>
    <t>KT895374.1</t>
  </si>
  <si>
    <t>Dishui lake virophage 1</t>
  </si>
  <si>
    <t>KT894027.1</t>
  </si>
  <si>
    <t>Rickettsia rickettsii str. 'Sheila Smith'</t>
  </si>
  <si>
    <t>Flavobacterium phage FpV21</t>
  </si>
  <si>
    <t>KT876726.1</t>
  </si>
  <si>
    <t>Flavobacterium phage FpV4</t>
  </si>
  <si>
    <t>KT876724.1</t>
  </si>
  <si>
    <t>Rickettsia slovaca 13-B</t>
  </si>
  <si>
    <t>Flavobacterium phage FpV9</t>
  </si>
  <si>
    <t>KT876725.1</t>
  </si>
  <si>
    <t>Enterococcus phage vB_EfaP_IME199</t>
  </si>
  <si>
    <t>KT945995.1</t>
  </si>
  <si>
    <t>Rickettsia slovaca str. D-CWPP</t>
  </si>
  <si>
    <t>Aeromonas phage phiARM81ld</t>
  </si>
  <si>
    <t>KT898133.1</t>
  </si>
  <si>
    <t>Pseudomonas phage S12-1</t>
  </si>
  <si>
    <t>LC102730.1</t>
  </si>
  <si>
    <t>Aeromonas phage phiARM81mr</t>
  </si>
  <si>
    <t>KT898134.1</t>
  </si>
  <si>
    <t>Pseudomonas phage phi1</t>
  </si>
  <si>
    <t>Rickettsia typhi str. B9991CWPP</t>
  </si>
  <si>
    <t>KT887557.1</t>
  </si>
  <si>
    <t>Clostridium phage CDSH1</t>
  </si>
  <si>
    <t>KU057941.1</t>
  </si>
  <si>
    <t>Lactobacillus phage SA-C12</t>
  </si>
  <si>
    <t>KU052488.1</t>
  </si>
  <si>
    <t>Rickettsia typhi str. TH1527</t>
  </si>
  <si>
    <t>Escherichia phage Rac-SA53</t>
  </si>
  <si>
    <t>KU052037.1</t>
  </si>
  <si>
    <t>Klebsiella phage vB_KpnP_IME205</t>
  </si>
  <si>
    <t>KU183006.1</t>
  </si>
  <si>
    <t>Rickettsia typhi str. Wilmington</t>
  </si>
  <si>
    <t>Escherichia phage JMPW2</t>
  </si>
  <si>
    <t>KU194205.1</t>
  </si>
  <si>
    <t>Escherichia phage JMPW1</t>
  </si>
  <si>
    <t>KU194206.1</t>
  </si>
  <si>
    <t>Pseudomonas phage KPP22</t>
  </si>
  <si>
    <t>LC105987.1</t>
  </si>
  <si>
    <t>Rickettsiales bacterium Ac37b</t>
  </si>
  <si>
    <t>Pseudomonas phage KPP22M1</t>
  </si>
  <si>
    <t>LC105988.1</t>
  </si>
  <si>
    <t>Pseudomonas phage KPP22M2</t>
  </si>
  <si>
    <t>LC105989.1</t>
  </si>
  <si>
    <t>Pseudomonas phage KPP22M3</t>
  </si>
  <si>
    <t>Riemerella anatipestifer ATCC 11845 = DSM 15868</t>
  </si>
  <si>
    <t>LC105990.1</t>
  </si>
  <si>
    <t>Arthrobacter phage Anansi</t>
  </si>
  <si>
    <t>KU160639.1</t>
  </si>
  <si>
    <t>Arthrobacter phage Gorgeous</t>
  </si>
  <si>
    <t>KU160647.1</t>
  </si>
  <si>
    <t>Arthrobacter phage Immaculata</t>
  </si>
  <si>
    <t>KU160649.1</t>
  </si>
  <si>
    <t>Arthrobacter phage Jasmine</t>
  </si>
  <si>
    <t>KU160650.1</t>
  </si>
  <si>
    <t>Arthrobacter phage Muttlie</t>
  </si>
  <si>
    <t>KU160658.1</t>
  </si>
  <si>
    <t>Arthrobacter phage RAP15</t>
  </si>
  <si>
    <t>KU160662.1</t>
  </si>
  <si>
    <t>Arthrobacter phage Rings</t>
  </si>
  <si>
    <t>KU160663.1</t>
  </si>
  <si>
    <t>Riemerella anatipestifer CH3</t>
  </si>
  <si>
    <t>Arthrobacter phage Salgado</t>
  </si>
  <si>
    <t>KU160664.1</t>
  </si>
  <si>
    <t>Arthrobacter phage SorJuana</t>
  </si>
  <si>
    <t>KU160666.1</t>
  </si>
  <si>
    <t>Arthrobacter phage TaeYoung</t>
  </si>
  <si>
    <t>KU160668.1</t>
  </si>
  <si>
    <t>Riemerella anatipestifer RA-CH-1</t>
  </si>
  <si>
    <t>Arthrobacter phage Vulture</t>
  </si>
  <si>
    <t>KU160671.1</t>
  </si>
  <si>
    <t>Arthrobacter phage Wilde</t>
  </si>
  <si>
    <t>Riemerella anatipestifer RA-CH-2</t>
  </si>
  <si>
    <t>KU160673.1</t>
  </si>
  <si>
    <t>Arthrobacter phage Galaxy</t>
  </si>
  <si>
    <t>KU160644.1</t>
  </si>
  <si>
    <t>Pseudomonas phage SM1</t>
  </si>
  <si>
    <t>Riemerella anatipestifer RA-GD</t>
  </si>
  <si>
    <t>KU245542.1</t>
  </si>
  <si>
    <t>Exiguobacterium phage vB_EauS-123</t>
  </si>
  <si>
    <t>KU160495.1</t>
  </si>
  <si>
    <t>Vibrio phage vB_VmeM-32</t>
  </si>
  <si>
    <t>Riemerella anatipestifer strain RA153</t>
  </si>
  <si>
    <t>KU160494.1</t>
  </si>
  <si>
    <t>Pseudomonas phage AAT-1</t>
  </si>
  <si>
    <t>KU204984.2</t>
  </si>
  <si>
    <t>Xanthomonas phage XAJ2</t>
  </si>
  <si>
    <t>Riemerella anatipestifer strain RA17</t>
  </si>
  <si>
    <t>KU197014.1</t>
  </si>
  <si>
    <t>Xanthomonas phage XAJ24</t>
  </si>
  <si>
    <t>KU197013.1</t>
  </si>
  <si>
    <t>Nostoc phage N1</t>
  </si>
  <si>
    <t>KU234532.1</t>
  </si>
  <si>
    <t>Riemerella anatipestifer Yb2</t>
  </si>
  <si>
    <t>Nostoc phage A1</t>
  </si>
  <si>
    <t>KU234533.1</t>
  </si>
  <si>
    <t>Streptomyces phage Maih</t>
  </si>
  <si>
    <t>69.3</t>
  </si>
  <si>
    <t>KU189325.1</t>
  </si>
  <si>
    <t>Vibrio phage 919TP</t>
  </si>
  <si>
    <t>Rikenellaceae bacterium M3</t>
  </si>
  <si>
    <t>KU504502.1</t>
  </si>
  <si>
    <t>Mycobacterium phage JenCasNa</t>
  </si>
  <si>
    <t>KU255188.1</t>
  </si>
  <si>
    <t>Escherichia phage phiE142</t>
  </si>
  <si>
    <t>KU255730.1</t>
  </si>
  <si>
    <t>Rivularia sp. PCC 7116</t>
  </si>
  <si>
    <t>Mycobacterium phage MkaliMitinis3</t>
  </si>
  <si>
    <t>KU234099.1</t>
  </si>
  <si>
    <t>Gordonia phage Howe</t>
  </si>
  <si>
    <t>KU252585.1</t>
  </si>
  <si>
    <t>Mycobacterium phage NaSiaTalie</t>
  </si>
  <si>
    <t>KU297783.1</t>
  </si>
  <si>
    <t>Robiginitalea biformata HTCC2501</t>
  </si>
  <si>
    <t>Escherichia phage phiON-2011</t>
  </si>
  <si>
    <t>KU298437.1</t>
  </si>
  <si>
    <t>Bacteriophage vB_NpeS-2AV2</t>
  </si>
  <si>
    <t>KU230356.1</t>
  </si>
  <si>
    <t>Roseateles depolymerans strain KCTC 42856</t>
  </si>
  <si>
    <t>Clostridium phage HM T</t>
  </si>
  <si>
    <t>KU517658.1</t>
  </si>
  <si>
    <t>Mycobacterium phage Weiss13</t>
  </si>
  <si>
    <t>KT591076.1</t>
  </si>
  <si>
    <t>Mycobacterium phage Glass</t>
  </si>
  <si>
    <t>KT880194.1</t>
  </si>
  <si>
    <t>Streptomyces phage Xkcd426</t>
  </si>
  <si>
    <t>Roseburia hominis A2-183</t>
  </si>
  <si>
    <t>KU530220.1</t>
  </si>
  <si>
    <t>Enterobacteria phage ECGD1</t>
  </si>
  <si>
    <t>KU522583.1</t>
  </si>
  <si>
    <t>Xanthomonas phage f29-Xaj</t>
  </si>
  <si>
    <t>KU595434.1</t>
  </si>
  <si>
    <t>Roseburia intestinalis M50/1</t>
  </si>
  <si>
    <t>Mycobacterium phage Dynamix</t>
  </si>
  <si>
    <t>KT626047.1</t>
  </si>
  <si>
    <t>Pectobacterium phage CBB</t>
  </si>
  <si>
    <t>KU574722.1</t>
  </si>
  <si>
    <t>Stx converting phage vB_EcoS_P22</t>
  </si>
  <si>
    <t>Roseburia intestinalis XB6B4</t>
  </si>
  <si>
    <t>KU238069.1</t>
  </si>
  <si>
    <t>Stx converting phage vB_EcoS_P27</t>
  </si>
  <si>
    <t>KU238067.1</t>
  </si>
  <si>
    <t>Stx converting phage vB_EcoS_P32</t>
  </si>
  <si>
    <t>KU238068.1</t>
  </si>
  <si>
    <t>Roseibacterium elongatum DSM 19469</t>
  </si>
  <si>
    <t>Stx converting phage vB_EcoS_ST2-8624</t>
  </si>
  <si>
    <t>KU238070.1</t>
  </si>
  <si>
    <t>Bacillus phage Mgbh1</t>
  </si>
  <si>
    <t>KU665491.1</t>
  </si>
  <si>
    <t>Pseudomonas phage phiAH14a</t>
  </si>
  <si>
    <t>KU708004.1</t>
  </si>
  <si>
    <t>Roseiflexus castenholzii DSM 13941</t>
  </si>
  <si>
    <t>Pseudomonas phage phiAH14b</t>
  </si>
  <si>
    <t>KU708005.1</t>
  </si>
  <si>
    <t>Bacillus phage Crookii</t>
  </si>
  <si>
    <t>KU847400.1</t>
  </si>
  <si>
    <t>Pseudomonas phage phiPMW</t>
  </si>
  <si>
    <t>KU862660.1</t>
  </si>
  <si>
    <t>Roseiflexus sp. RS-1</t>
  </si>
  <si>
    <t>Pseudomonas phage pf16</t>
  </si>
  <si>
    <t>KU873925.1</t>
  </si>
  <si>
    <t>Bacillus phage Leo2</t>
  </si>
  <si>
    <t>KU836751.1</t>
  </si>
  <si>
    <t>Mycobacterium phage SkinnyPete</t>
  </si>
  <si>
    <t>Roseobacter denitrificans OCh 114</t>
  </si>
  <si>
    <t>KU935729.1</t>
  </si>
  <si>
    <t>Streptomyces phage Chymera</t>
  </si>
  <si>
    <t>71.4</t>
  </si>
  <si>
    <t>KU958700.1</t>
  </si>
  <si>
    <t>Saccharomonospora phage PIS 136</t>
  </si>
  <si>
    <t>JX006077.1</t>
  </si>
  <si>
    <t>Rothia dentocariosa ATCC 17931</t>
  </si>
  <si>
    <t>Staphylococcus phage pSco-10</t>
  </si>
  <si>
    <t>KX011028.1</t>
  </si>
  <si>
    <t>Escherichia phage PE37</t>
  </si>
  <si>
    <t>KU925172.1</t>
  </si>
  <si>
    <t>Acinetobacter phage vB_AbaM_ME3</t>
  </si>
  <si>
    <t>KU935715.1</t>
  </si>
  <si>
    <t>Rothia mucilaginosa DY-18</t>
  </si>
  <si>
    <t>Gordonia phage Benczkowski14</t>
  </si>
  <si>
    <t>KU963262.1</t>
  </si>
  <si>
    <t>Freshwater phage uvFW-CGR-AMD-COM-C203</t>
  </si>
  <si>
    <t>KU886268.1</t>
  </si>
  <si>
    <t>Rothia mucilaginosa strain NUM-Rm6536</t>
  </si>
  <si>
    <t>Freshwater phage uvFW-CGR-AMD-COM-C403</t>
  </si>
  <si>
    <t>KU886269.1</t>
  </si>
  <si>
    <t>Freshwater phage uvFW-CGR-AMD-COM-C429</t>
  </si>
  <si>
    <t>KU886270.1</t>
  </si>
  <si>
    <t>Freshwater phage uvFW-CGR-AMD-COM-C440</t>
  </si>
  <si>
    <t>KU886271.1</t>
  </si>
  <si>
    <t>Rubrivivax gelatinosus IL144</t>
  </si>
  <si>
    <t>Freshwater phage uvFW-CGR-AMD-COM-C449</t>
  </si>
  <si>
    <t>KU886272.1</t>
  </si>
  <si>
    <t>Freshwater phage uvFW-CGR-AMD-COM-C455</t>
  </si>
  <si>
    <t>KU886273.1</t>
  </si>
  <si>
    <t>Freshwater phage uvFW-CGR-AMD-COM-C493</t>
  </si>
  <si>
    <t>Rubrobacter radiotolerans strain RSPS-4</t>
  </si>
  <si>
    <t>KU886274.1</t>
  </si>
  <si>
    <t>Freshwater phage uvFW-CGR-AMDFOS-S50-C341</t>
  </si>
  <si>
    <t>KU886275.1</t>
  </si>
  <si>
    <t>Staphylococcus phage P1105</t>
  </si>
  <si>
    <t>KT878766.1</t>
  </si>
  <si>
    <t>Rubrobacter xylanophilus DSM 9941</t>
  </si>
  <si>
    <t>Lactobacillus phage P1</t>
  </si>
  <si>
    <t>KX223815.1</t>
  </si>
  <si>
    <t>Ruegeria phage 45A6</t>
  </si>
  <si>
    <t>KT820175.1</t>
  </si>
  <si>
    <t>Pseudomonas phage VSW-3</t>
  </si>
  <si>
    <t>KX066068.1</t>
  </si>
  <si>
    <t>Staphylococcus phage vB_SauS_IMEP5</t>
  </si>
  <si>
    <t>Ruegeria pomeroyi DSS-3</t>
  </si>
  <si>
    <t>KX156762.1</t>
  </si>
  <si>
    <t>Xanthomonas phage Xf109</t>
  </si>
  <si>
    <t>KX181651.1</t>
  </si>
  <si>
    <t>Ralstonia phage Rs551</t>
  </si>
  <si>
    <t>KX179905.1</t>
  </si>
  <si>
    <t>Ruegeria sp. TM1040</t>
  </si>
  <si>
    <t>Shewanella phage SFCi1</t>
  </si>
  <si>
    <t>KX196154.1</t>
  </si>
  <si>
    <t>Xanthomonas phage Xoo-sp2</t>
  </si>
  <si>
    <t>KX241618.1</t>
  </si>
  <si>
    <t>Pseudoalteromonas phage vB_PspS-H6/1</t>
  </si>
  <si>
    <t>KX257490.1</t>
  </si>
  <si>
    <t>Escherichia phage ECA2</t>
  </si>
  <si>
    <t>KX130726.1</t>
  </si>
  <si>
    <t>Helicobacter phage DeM53M</t>
  </si>
  <si>
    <t>Rufibacter sp. DG15C</t>
  </si>
  <si>
    <t>KX119205.1</t>
  </si>
  <si>
    <t>Helicobacter phage FrANT170U</t>
  </si>
  <si>
    <t>KX119201.1</t>
  </si>
  <si>
    <t>Helicobacter phage FrB41M</t>
  </si>
  <si>
    <t>KX119188.1</t>
  </si>
  <si>
    <t>Rufibacter sp. DG31D</t>
  </si>
  <si>
    <t>Helicobacter phage FrB58M</t>
  </si>
  <si>
    <t>KX119193.1</t>
  </si>
  <si>
    <t>Helicobacter phage FrG12G</t>
  </si>
  <si>
    <t>KX119194.1</t>
  </si>
  <si>
    <t>Helicobacter phage FrGC43A</t>
  </si>
  <si>
    <t>Rufibacter tibetensis strain strain 1351</t>
  </si>
  <si>
    <t>KX119195.1</t>
  </si>
  <si>
    <t>Helicobacter phage FrMEG235U</t>
  </si>
  <si>
    <t>KX119200.1</t>
  </si>
  <si>
    <t>Helicobacter phage Pt1293U</t>
  </si>
  <si>
    <t>KX119202.1</t>
  </si>
  <si>
    <t>Helicobacter phage Pt1846U</t>
  </si>
  <si>
    <t>KX119176.1</t>
  </si>
  <si>
    <t>Helicobacter phage Pt1918U</t>
  </si>
  <si>
    <t>KX119192.1</t>
  </si>
  <si>
    <t>Ruminococcus albus 7</t>
  </si>
  <si>
    <t>Helicobacter phage Pt21299RU</t>
  </si>
  <si>
    <t>KX119189.1</t>
  </si>
  <si>
    <t>Helicobacter phage Pt22899G</t>
  </si>
  <si>
    <t>KX119175.1</t>
  </si>
  <si>
    <t>Helicobacter phage Pt4472G</t>
  </si>
  <si>
    <t>Ruminococcus bicirculans strain 80/3</t>
  </si>
  <si>
    <t>KX119190.1</t>
  </si>
  <si>
    <t>Helicobacter phage Pt4481G</t>
  </si>
  <si>
    <t>KX119196.1</t>
  </si>
  <si>
    <t>Helicobacter phage Pt4497U</t>
  </si>
  <si>
    <t>KX119191.1</t>
  </si>
  <si>
    <t>Ruminococcus bromii L2-63</t>
  </si>
  <si>
    <t>Helicobacter phage Pt5322G</t>
  </si>
  <si>
    <t>KX119198.1</t>
  </si>
  <si>
    <t>Helicobacter phage Pt5771G</t>
  </si>
  <si>
    <t>Ruminococcus champanellensis 18P13</t>
  </si>
  <si>
    <t>KX119199.1</t>
  </si>
  <si>
    <t>Helicobacter phage PtB89G</t>
  </si>
  <si>
    <t>KX119203.1</t>
  </si>
  <si>
    <t>Helicobacter phage PtB92G</t>
  </si>
  <si>
    <t>Ruminococcus obeum A2-162</t>
  </si>
  <si>
    <t>KX119197.1</t>
  </si>
  <si>
    <t>Helicobacter phage Sw577G</t>
  </si>
  <si>
    <t>KX119204.1</t>
  </si>
  <si>
    <t>Helicobacter phage SwA626G</t>
  </si>
  <si>
    <t>KX119177.1</t>
  </si>
  <si>
    <t>Helicobacter phage UKEN31U</t>
  </si>
  <si>
    <t>Ruminococcus sp. SR1/5</t>
  </si>
  <si>
    <t>KX119174.1</t>
  </si>
  <si>
    <t>Helicobacter phage UKEN32U</t>
  </si>
  <si>
    <t>KX119206.1</t>
  </si>
  <si>
    <t>Pseudoalteromonas phage vB_PspS-H40/1</t>
  </si>
  <si>
    <t>KU747973.1</t>
  </si>
  <si>
    <t>Ruminococcus torques L2-14</t>
  </si>
  <si>
    <t>Streptococcus phage phiLP081102</t>
  </si>
  <si>
    <t>KX077890.1</t>
  </si>
  <si>
    <t>Streptococcus phage phiJH1301-1</t>
  </si>
  <si>
    <t>KX077891.1</t>
  </si>
  <si>
    <t>Rummeliibacillus stabekisii strain PP9</t>
  </si>
  <si>
    <t>Streptococcus phage phiJH1301-3</t>
  </si>
  <si>
    <t>KX077892.1</t>
  </si>
  <si>
    <t>Streptococcus phage phiZJ20091101-2</t>
  </si>
  <si>
    <t>KX077893.1</t>
  </si>
  <si>
    <t>Runella slithyformis DSM 19594</t>
  </si>
  <si>
    <t>Streptococcus phage phiZJ20091101-3</t>
  </si>
  <si>
    <t>KX077894.1</t>
  </si>
  <si>
    <t>Streptococcus phage phiZJ20091101-4</t>
  </si>
  <si>
    <t>KX077895.1</t>
  </si>
  <si>
    <t>Streptococcus phage phiJH1301-2</t>
  </si>
  <si>
    <t>KX077896.1</t>
  </si>
  <si>
    <t>Saccharomonospora viridis DSM 43017</t>
  </si>
  <si>
    <t>Streptococcus phage phiZJ20091101-1</t>
  </si>
  <si>
    <t>KX077889.1</t>
  </si>
  <si>
    <t>Clostridium phage CDKM9</t>
  </si>
  <si>
    <t>KX228399.1</t>
  </si>
  <si>
    <t>Clostridium phage CDKM15</t>
  </si>
  <si>
    <t>KX228400.1</t>
  </si>
  <si>
    <t>Saccharophagus degradans 2-40</t>
  </si>
  <si>
    <t>Pseudomonas phage AN14</t>
  </si>
  <si>
    <t>KX198613.1</t>
  </si>
  <si>
    <t>Bacillus phage PfIS075</t>
  </si>
  <si>
    <t>KX227759.1</t>
  </si>
  <si>
    <t>Bacillus phage PfNC7401</t>
  </si>
  <si>
    <t>Saccharopolyspora erythraea NRRL 2338</t>
  </si>
  <si>
    <t>KX227758.1</t>
  </si>
  <si>
    <t>Bacillus phage BMBtpLA3</t>
  </si>
  <si>
    <t>KX190834.1</t>
  </si>
  <si>
    <t>Bacillus phage vB_BtS_BMBtp13</t>
  </si>
  <si>
    <t>KX190832.1</t>
  </si>
  <si>
    <t>Saccharothrix espanaensis DSM 44229</t>
  </si>
  <si>
    <t>Bacillus phage vB_BtS_BMBtp14</t>
  </si>
  <si>
    <t>KX190833.1</t>
  </si>
  <si>
    <t>Bacillus phage vB_BtS_BMBtp15</t>
  </si>
  <si>
    <t>KX190835.1</t>
  </si>
  <si>
    <t>Pseudomonas phage vB_Pae436M-8</t>
  </si>
  <si>
    <t>KX171208.1</t>
  </si>
  <si>
    <t>Pseudomonas phage vB_Pae575P-3</t>
  </si>
  <si>
    <t>KX171209.1</t>
  </si>
  <si>
    <t>Salinarchaeum sp. Harcht-Bsk1</t>
  </si>
  <si>
    <t>Pseudomonas phage vB_Pae1396P-5</t>
  </si>
  <si>
    <t>KX171210.1</t>
  </si>
  <si>
    <t>Salmonella phage vB_SenM-2</t>
  </si>
  <si>
    <t>KX171211.1</t>
  </si>
  <si>
    <t>Staphylococcus phage vB_SscM-1</t>
  </si>
  <si>
    <t>Salinibacter ruber DSM 13855</t>
  </si>
  <si>
    <t>KX171212.1</t>
  </si>
  <si>
    <t>Staphylococcus phage vB_SscM-2</t>
  </si>
  <si>
    <t>KX171213.1</t>
  </si>
  <si>
    <t>Lactococcus phage 38502</t>
  </si>
  <si>
    <t>KX160204.1</t>
  </si>
  <si>
    <t>Salinibacter ruber M8</t>
  </si>
  <si>
    <t>Lactococcus phage 49801</t>
  </si>
  <si>
    <t>KX160205.1</t>
  </si>
  <si>
    <t>Lactococcus phage 50902</t>
  </si>
  <si>
    <t>KX160206.1</t>
  </si>
  <si>
    <t>Salinicoccus halodurans strain H3B36</t>
  </si>
  <si>
    <t>Lactococcus phage 53801</t>
  </si>
  <si>
    <t>KX160207.1</t>
  </si>
  <si>
    <t>Lactococcus phage 53802</t>
  </si>
  <si>
    <t>KX160208.1</t>
  </si>
  <si>
    <t>Lactococcus phage 58502</t>
  </si>
  <si>
    <t>Salinispora arenicola CNS-205</t>
  </si>
  <si>
    <t>KX160209.1</t>
  </si>
  <si>
    <t>Lactococcus phage 62502</t>
  </si>
  <si>
    <t>KX160210.1</t>
  </si>
  <si>
    <t>Salinispora tropica CNB-440</t>
  </si>
  <si>
    <t>Lactococcus phage 62503</t>
  </si>
  <si>
    <t>KX160211.1</t>
  </si>
  <si>
    <t>Lactococcus phage 98101</t>
  </si>
  <si>
    <t>KX160212.1</t>
  </si>
  <si>
    <t>Salmonella bongori N268-08</t>
  </si>
  <si>
    <t>Lactococcus phage 98102</t>
  </si>
  <si>
    <t>KX160213.1</t>
  </si>
  <si>
    <t>Lactococcus phage 98103</t>
  </si>
  <si>
    <t>KX160214.1</t>
  </si>
  <si>
    <t>Salmonella bongori NCTC 12419</t>
  </si>
  <si>
    <t>Lactococcus phage 98104</t>
  </si>
  <si>
    <t>KX160215.1</t>
  </si>
  <si>
    <t>Lactococcus phage 98202</t>
  </si>
  <si>
    <t>Salmonella bongori serovar 48:z41:-- str. RKS3044</t>
  </si>
  <si>
    <t>KX160216.1</t>
  </si>
  <si>
    <t>Lactococcus phage 98203</t>
  </si>
  <si>
    <t>KX160217.1</t>
  </si>
  <si>
    <t>Salmonella enterica strain C629</t>
  </si>
  <si>
    <t>Lactococcus phage 98204</t>
  </si>
  <si>
    <t>KX160218.1</t>
  </si>
  <si>
    <t>Lactococcus phage C41431</t>
  </si>
  <si>
    <t>Salmonella enterica strain LT2</t>
  </si>
  <si>
    <t>KX160219.1</t>
  </si>
  <si>
    <t>Lactococcus phage Dub35A</t>
  </si>
  <si>
    <t>KX160220.1</t>
  </si>
  <si>
    <t>Phage MedPE-SWcel-C56</t>
  </si>
  <si>
    <t>KX397280.1</t>
  </si>
  <si>
    <t>Bacillus phage Deep-Purple</t>
  </si>
  <si>
    <t>Salmonella enterica subsp. arizonae serovar 62:z36:- str. RKS2983</t>
  </si>
  <si>
    <t>MF176161.1</t>
  </si>
  <si>
    <t>Escherichia virus AAPEc6</t>
  </si>
  <si>
    <t>KX279892.2</t>
  </si>
  <si>
    <t>Bacillus phage PK16</t>
  </si>
  <si>
    <t>KX495186.1</t>
  </si>
  <si>
    <t>Vibrio phage 2E1</t>
  </si>
  <si>
    <t>KX507045.1</t>
  </si>
  <si>
    <t>Salmonella enterica subsp. arizonae serovar 62:z4,z23:-</t>
  </si>
  <si>
    <t>Vibrio phage S4-7</t>
  </si>
  <si>
    <t>KX507046.1</t>
  </si>
  <si>
    <t>Cronobacter phage vB_CsaM_leE</t>
  </si>
  <si>
    <t>KX443552.1</t>
  </si>
  <si>
    <t>Streptomyces phage Brataylor</t>
  </si>
  <si>
    <t>KX507345.1</t>
  </si>
  <si>
    <t>Streptomyces phage Godpower</t>
  </si>
  <si>
    <t>Salmonella enterica subsp. diarizonae</t>
  </si>
  <si>
    <t>KX507344.1</t>
  </si>
  <si>
    <t>Streptomyces phage Lorelei</t>
  </si>
  <si>
    <t>KX507343.1</t>
  </si>
  <si>
    <t>Vibrio phage 1</t>
  </si>
  <si>
    <t>JF713456.1</t>
  </si>
  <si>
    <t>Tenacibaculum phage pT24</t>
  </si>
  <si>
    <t>LC168164.1</t>
  </si>
  <si>
    <t>Escherichia phage ESCO13</t>
  </si>
  <si>
    <t>KX552041.2</t>
  </si>
  <si>
    <t>Mycobacterium phage LittleGuy</t>
  </si>
  <si>
    <t>KX550441.1</t>
  </si>
  <si>
    <t>Salmonella enterica subsp. enterica serovar Agona str. 24249</t>
  </si>
  <si>
    <t>Mycobacterium phage Badger</t>
  </si>
  <si>
    <t>KX550442.1</t>
  </si>
  <si>
    <t>Mycobacterium phage Magnito</t>
  </si>
  <si>
    <t>KX550443.1</t>
  </si>
  <si>
    <t>Salmonella enterica subsp. enterica serovar Agona str. SL483</t>
  </si>
  <si>
    <t>Klebsiella phage vB_KpnP_KpV763</t>
  </si>
  <si>
    <t>KX591654.1</t>
  </si>
  <si>
    <t>Mycobacterium phage Fortunato</t>
  </si>
  <si>
    <t>KX589269.1</t>
  </si>
  <si>
    <t>Mycobacterium phage Jane</t>
  </si>
  <si>
    <t>KX588251.1</t>
  </si>
  <si>
    <t>Salmonella enterica subsp. enterica serovar Anatum str. CDC 06-0532 strain USDA-ARS-USMARC-1764</t>
  </si>
  <si>
    <t>Cronobacter phage vB_CsaM_leB</t>
  </si>
  <si>
    <t>KX431559.1</t>
  </si>
  <si>
    <t>Cronobacter phage vB_CsaM_leN</t>
  </si>
  <si>
    <t>KX431560.1</t>
  </si>
  <si>
    <t>Rhodococcus phage ChewyVIII</t>
  </si>
  <si>
    <t>KX557288.1</t>
  </si>
  <si>
    <t>Mycobacterium phage TBond007</t>
  </si>
  <si>
    <t>KX683428.1</t>
  </si>
  <si>
    <t>Mycobacterium phage Bigfoot</t>
  </si>
  <si>
    <t>KX702320.1</t>
  </si>
  <si>
    <t>Arthrobacter phage Greenhouse</t>
  </si>
  <si>
    <t>KX688103.1</t>
  </si>
  <si>
    <t>Salmonella enterica subsp. enterica serovar Anatum str. USDA-ARS-USMARC-1175</t>
  </si>
  <si>
    <t>Arthrobacter phage Oxynfrius</t>
  </si>
  <si>
    <t>KX688102.1</t>
  </si>
  <si>
    <t>Klebsiella phage vB_KpnP_KpV767</t>
  </si>
  <si>
    <t>KX712070.1</t>
  </si>
  <si>
    <t>Klebsiella phage vB_KpnP_KpV766</t>
  </si>
  <si>
    <t>Salmonella enterica subsp. enterica serovar Anatum str. USDA-ARS-USMARC-1676</t>
  </si>
  <si>
    <t>KX712071.1</t>
  </si>
  <si>
    <t>Mycobacterium phage Erdmann</t>
  </si>
  <si>
    <t>KX721256.1</t>
  </si>
  <si>
    <t>Mycobacterium phage Yucca</t>
  </si>
  <si>
    <t>Salmonella enterica subsp. enterica serovar Anatum str. USDA-ARS-USMARC-1677</t>
  </si>
  <si>
    <t>KX721255.1</t>
  </si>
  <si>
    <t>Serratia phage SM9-3Y</t>
  </si>
  <si>
    <t>KX778611.2</t>
  </si>
  <si>
    <t>Mycobacterium phage Gabriel</t>
  </si>
  <si>
    <t>Salmonella enterica subsp. enterica serovar Anatum str. USDA-ARS-USMARC-1727</t>
  </si>
  <si>
    <t>KX781992.1</t>
  </si>
  <si>
    <t>Salinivibrio phage SMHB1</t>
  </si>
  <si>
    <t>KX774374.1</t>
  </si>
  <si>
    <t>Rhodococcus phage Weasels2</t>
  </si>
  <si>
    <t>KX774321.1</t>
  </si>
  <si>
    <t>Mycobacterium phage PhancyPhin</t>
  </si>
  <si>
    <t>Salmonella enterica subsp. enterica serovar Anatum str. USDA-ARS-USMARC-1728</t>
  </si>
  <si>
    <t>KX756439.1</t>
  </si>
  <si>
    <t>Mycobacterium phage Jaan</t>
  </si>
  <si>
    <t>KX758539.1</t>
  </si>
  <si>
    <t>Mycobacterium phage Kerberos</t>
  </si>
  <si>
    <t>KX758538.1</t>
  </si>
  <si>
    <t>Rhodococcus phage Partridge</t>
  </si>
  <si>
    <t>KX712237.1</t>
  </si>
  <si>
    <t>Salmonella enterica subsp. enterica serovar Anatum str. USDA-ARS-USMARC-1735</t>
  </si>
  <si>
    <t>Rhodococcus phage Yogi</t>
  </si>
  <si>
    <t>KX712236.1</t>
  </si>
  <si>
    <t>Escherichia phage JSS1</t>
  </si>
  <si>
    <t>KX689784.2</t>
  </si>
  <si>
    <t>Mycobacterium phage Marcoliusprime</t>
  </si>
  <si>
    <t>KX688047.1</t>
  </si>
  <si>
    <t>Mycobacterium phage Baehexic</t>
  </si>
  <si>
    <t>KX683875.1</t>
  </si>
  <si>
    <t>Salmonella enterica subsp. enterica serovar Anatum str. USDA-ARS-USMARC-1736</t>
  </si>
  <si>
    <t>Mycobacterium phage CactusRose</t>
  </si>
  <si>
    <t>KX683876.1</t>
  </si>
  <si>
    <t>Mycobacterium phage Florean</t>
  </si>
  <si>
    <t>KX557234.1</t>
  </si>
  <si>
    <t>Mycobacterium phage Qobbit</t>
  </si>
  <si>
    <t>KX685355.1</t>
  </si>
  <si>
    <t>Salmonella enterica subsp. enterica serovar Anatum str. USDA-ARS-USMARC-1765</t>
  </si>
  <si>
    <t>Mycobacterium phage BabyRay</t>
  </si>
  <si>
    <t>KX683423.1</t>
  </si>
  <si>
    <t>Mycobacterium phage Phaeder</t>
  </si>
  <si>
    <t>Salmonella enterica subsp. enterica serovar Anatum str. USDA-ARS-USMARC-1766</t>
  </si>
  <si>
    <t>KX664447.1</t>
  </si>
  <si>
    <t>Mycobacterium phage Watson</t>
  </si>
  <si>
    <t>KX664448.1</t>
  </si>
  <si>
    <t>Mycobacterium phage Todacoro</t>
  </si>
  <si>
    <t>Salmonella enterica subsp. enterica serovar Anatum str. USDA-ARS-USMARC-1781</t>
  </si>
  <si>
    <t>KX670828.1</t>
  </si>
  <si>
    <t>Escherichia phage ESCO5</t>
  </si>
  <si>
    <t>KX664695.2</t>
  </si>
  <si>
    <t>Mycobacterium phage Margo</t>
  </si>
  <si>
    <t>Salmonella enterica subsp. enterica serovar Anatum str. USDA-ARS-USMARC-1783</t>
  </si>
  <si>
    <t>KX640831.1</t>
  </si>
  <si>
    <t>Mycobacterium phage Tortellini</t>
  </si>
  <si>
    <t>KX648391.1</t>
  </si>
  <si>
    <t>Mycobacterium phage Zombie</t>
  </si>
  <si>
    <t>Salmonella enterica subsp. enterica serovar Anatum strain GT-01</t>
  </si>
  <si>
    <t>KX664455.1</t>
  </si>
  <si>
    <t>Mycobacterium phage Cocoaberry</t>
  </si>
  <si>
    <t>KX648373.1</t>
  </si>
  <si>
    <t>Salmonella enterica subsp. enterica serovar Anatum strain GT-38</t>
  </si>
  <si>
    <t>Mycobacterium phage Taquito</t>
  </si>
  <si>
    <t>KX621007.1</t>
  </si>
  <si>
    <t>Mycobacterium phage Kersh</t>
  </si>
  <si>
    <t>KX610764.1</t>
  </si>
  <si>
    <t>Salmonella enterica subsp. enterica serovar Bareilly str. CFSAN000189</t>
  </si>
  <si>
    <t>Arthrobacter phage Prospero</t>
  </si>
  <si>
    <t>KX610765.1</t>
  </si>
  <si>
    <t>Mycobacterium phage Jerm</t>
  </si>
  <si>
    <t>KX619650.1</t>
  </si>
  <si>
    <t>Mycobacterium phage Roosevelt</t>
  </si>
  <si>
    <t>Salmonella enterica subsp. enterica serovar Bovismorbificans str. 3114</t>
  </si>
  <si>
    <t>KX619651.1</t>
  </si>
  <si>
    <t>Mycobacterium phage Pharsalus</t>
  </si>
  <si>
    <t>KX611831.1</t>
  </si>
  <si>
    <t>Mycobacterium phage Zakai</t>
  </si>
  <si>
    <t>Salmonella enterica subsp. enterica serovar Choleraesuis str. SC-B67</t>
  </si>
  <si>
    <t>KX580961.1</t>
  </si>
  <si>
    <t>Mycobacterium phage Wilder</t>
  </si>
  <si>
    <t>KX580962.1</t>
  </si>
  <si>
    <t>Mycobacterium phage HedwigODU</t>
  </si>
  <si>
    <t>Salmonella enterica subsp. enterica serovar Choleraesuis strain C500</t>
  </si>
  <si>
    <t>KX585253.1</t>
  </si>
  <si>
    <t>Mycobacterium phage HortumSL17</t>
  </si>
  <si>
    <t>KX585252.1</t>
  </si>
  <si>
    <t>Mycobacterium phage Waterfoul</t>
  </si>
  <si>
    <t>KX585251.1</t>
  </si>
  <si>
    <t>Mycobacterium phage Louie6</t>
  </si>
  <si>
    <t>KX670788.1</t>
  </si>
  <si>
    <t>Salmonella enterica subsp. enterica serovar Cubana str. CFSAN002050</t>
  </si>
  <si>
    <t>Streptomyces phage OlympicHelado</t>
  </si>
  <si>
    <t>KX670789.1</t>
  </si>
  <si>
    <t>Streptomyces phage Rima</t>
  </si>
  <si>
    <t>KX670790.1</t>
  </si>
  <si>
    <t>Salmonella enterica subsp. enterica serovar Dublin</t>
  </si>
  <si>
    <t>Arthrobacter phage Chocolat</t>
  </si>
  <si>
    <t>KX670787.1</t>
  </si>
  <si>
    <t>Arthrobacter phage Chubster</t>
  </si>
  <si>
    <t>Salmonella enterica subsp. enterica serovar Dublin str. CT_02021853</t>
  </si>
  <si>
    <t>KX670786.1</t>
  </si>
  <si>
    <t>Propionibacterium phage Anatole</t>
  </si>
  <si>
    <t>KX620748.1</t>
  </si>
  <si>
    <t>Salmonella enterica subsp. enterica serovar Enteritidis</t>
  </si>
  <si>
    <t>Propionibacterium phage B22</t>
  </si>
  <si>
    <t>KX620750.1</t>
  </si>
  <si>
    <t>Propionibacterium phage B3</t>
  </si>
  <si>
    <t>KX620749.1</t>
  </si>
  <si>
    <t>Propionibacterium phage Doucette</t>
  </si>
  <si>
    <t>KX620751.1</t>
  </si>
  <si>
    <t>Propionibacterium phage E1</t>
  </si>
  <si>
    <t>KX620752.1</t>
  </si>
  <si>
    <t>Propionibacterium phage E6</t>
  </si>
  <si>
    <t>KX620753.1</t>
  </si>
  <si>
    <t>Propionibacterium phage G4</t>
  </si>
  <si>
    <t>KX620754.1</t>
  </si>
  <si>
    <t>Leuconostoc phage LDG</t>
  </si>
  <si>
    <t>KX555527.1</t>
  </si>
  <si>
    <t>Mycobacterium phage Mundrea</t>
  </si>
  <si>
    <t>KX579975.1</t>
  </si>
  <si>
    <t>Rhodococcus phage Natosaleda</t>
  </si>
  <si>
    <t>KX550082.1</t>
  </si>
  <si>
    <t>Mycobacterium phage PacerPaul</t>
  </si>
  <si>
    <t>KX574454.1</t>
  </si>
  <si>
    <t>Mycobacterium phage Pomar16</t>
  </si>
  <si>
    <t>KX574455.1</t>
  </si>
  <si>
    <t>Mycobacterium phage Isiphiwo</t>
  </si>
  <si>
    <t>KX641261.1</t>
  </si>
  <si>
    <t>Mycobacterium phage Kalpine</t>
  </si>
  <si>
    <t>KX641263.1</t>
  </si>
  <si>
    <t>Mycobacterium phage LindNT</t>
  </si>
  <si>
    <t>KX641264.1</t>
  </si>
  <si>
    <t>Mycobacterium phage Nazo</t>
  </si>
  <si>
    <t>KX641262.1</t>
  </si>
  <si>
    <t>Mycobacterium phage Stasia</t>
  </si>
  <si>
    <t>KX641260.1</t>
  </si>
  <si>
    <t>Mycobacterium phage Taheera</t>
  </si>
  <si>
    <t>KX641265.1</t>
  </si>
  <si>
    <t>Mycobacterium phage Terror</t>
  </si>
  <si>
    <t>KX641266.1</t>
  </si>
  <si>
    <t>Rhodococcus phage Harlequin</t>
  </si>
  <si>
    <t>KX611788.1</t>
  </si>
  <si>
    <t>Arthrobacter phage Suppi</t>
  </si>
  <si>
    <t>KX621004.1</t>
  </si>
  <si>
    <t>Arthrobacter phage Vallejo</t>
  </si>
  <si>
    <t>KX621005.1</t>
  </si>
  <si>
    <t>Streptococcus phage SpGS-1</t>
  </si>
  <si>
    <t>KX550065.1</t>
  </si>
  <si>
    <t>Ochrobactrum phage POA1180</t>
  </si>
  <si>
    <t>KX669658.1</t>
  </si>
  <si>
    <t>Escherichia phage ZG49</t>
  </si>
  <si>
    <t>KX669227.4</t>
  </si>
  <si>
    <t>Leuconostoc phage Ln-7</t>
  </si>
  <si>
    <t>KX578042.1</t>
  </si>
  <si>
    <t>Leuconostoc phage CHB</t>
  </si>
  <si>
    <t>KX578043.1</t>
  </si>
  <si>
    <t>Leuconostoc phage CHA</t>
  </si>
  <si>
    <t>KX578044.1</t>
  </si>
  <si>
    <t>Salmonella enterica subsp. enterica serovar Enteritidis str. EC20090135</t>
  </si>
  <si>
    <t>Pectobacterium phage PP2</t>
  </si>
  <si>
    <t>KX756572.1</t>
  </si>
  <si>
    <t>Vibrio phage Cla</t>
  </si>
  <si>
    <t>KX581091.3</t>
  </si>
  <si>
    <t>Vibrio phage Her</t>
  </si>
  <si>
    <t>KX581090.3</t>
  </si>
  <si>
    <t>Vibrio phage Len</t>
  </si>
  <si>
    <t>KX581092.2</t>
  </si>
  <si>
    <t>Salmonella enterica subsp. enterica serovar Enteritidis str. EC20090193</t>
  </si>
  <si>
    <t>Vibrio phage Pel</t>
  </si>
  <si>
    <t>KX581093.3</t>
  </si>
  <si>
    <t>Vibrio phage Strym</t>
  </si>
  <si>
    <t>KX581099.3</t>
  </si>
  <si>
    <t>Vibrio phage VaK</t>
  </si>
  <si>
    <t>KX581098.3</t>
  </si>
  <si>
    <t>Salmonella enterica subsp. enterica serovar Enteritidis str. EC20090195</t>
  </si>
  <si>
    <t>Vibrio phage pVa-1</t>
  </si>
  <si>
    <t>KX581095.3</t>
  </si>
  <si>
    <t>Vibrio phage pVa-2</t>
  </si>
  <si>
    <t>KX581094.3</t>
  </si>
  <si>
    <t>Vibrio phage pVa-5</t>
  </si>
  <si>
    <t>KX581096.3</t>
  </si>
  <si>
    <t>Vibrio phage pVa-6</t>
  </si>
  <si>
    <t>Salmonella enterica subsp. enterica serovar Enteritidis str. EC20090332</t>
  </si>
  <si>
    <t>KX581097.3</t>
  </si>
  <si>
    <t>Vibrio phage pVa-7</t>
  </si>
  <si>
    <t>KX581100.3</t>
  </si>
  <si>
    <t>Arthrobacter phage Lucy</t>
  </si>
  <si>
    <t>KX576641.1</t>
  </si>
  <si>
    <t>Arthrobacter phage Massimo</t>
  </si>
  <si>
    <t>KX576642.1</t>
  </si>
  <si>
    <t>Arthrobacter phage RcigaStruga</t>
  </si>
  <si>
    <t>Salmonella enterica subsp. enterica serovar Enteritidis str. EC20090530</t>
  </si>
  <si>
    <t>KX576640.1</t>
  </si>
  <si>
    <t>Mycobacterium phage DudeLittle</t>
  </si>
  <si>
    <t>KX576639.1</t>
  </si>
  <si>
    <t>Mycobacterium phage WillSterrel</t>
  </si>
  <si>
    <t>KX576644.1</t>
  </si>
  <si>
    <t>Mycobacterium phage Gruunaga</t>
  </si>
  <si>
    <t>KX576638.1</t>
  </si>
  <si>
    <t>Salmonella enterica subsp. enterica serovar Enteritidis str. EC20090531</t>
  </si>
  <si>
    <t>Acidianus two-tailed virus 2</t>
  </si>
  <si>
    <t>KX607101.1</t>
  </si>
  <si>
    <t>Acidianus two-tailed virus variant 1</t>
  </si>
  <si>
    <t>KX607102.1</t>
  </si>
  <si>
    <t>Liberibacter phage HHCA1-2</t>
  </si>
  <si>
    <t>Salmonella enterica subsp. enterica serovar Enteritidis str. EC20090641</t>
  </si>
  <si>
    <t>KX879602.1</t>
  </si>
  <si>
    <t>Campylobacter phage vB_CjeM_Los1</t>
  </si>
  <si>
    <t>KX879627.1</t>
  </si>
  <si>
    <t>Klebsiella phage KP-Rio/2015</t>
  </si>
  <si>
    <t>KX856662.1</t>
  </si>
  <si>
    <t>Leptospira phage Lin_34</t>
  </si>
  <si>
    <t>Salmonella enterica subsp. enterica serovar Enteritidis str. EC20090698</t>
  </si>
  <si>
    <t>KX656785.1</t>
  </si>
  <si>
    <t>Mycobacterium phage Goldilocks</t>
  </si>
  <si>
    <t>KX834009.1</t>
  </si>
  <si>
    <t>Klebsiella phage vB_KpnP_PRA33</t>
  </si>
  <si>
    <t>KY652723.1</t>
  </si>
  <si>
    <t>Klebsiella phage vB_KpnP_BIS33</t>
  </si>
  <si>
    <t>KY652725.1</t>
  </si>
  <si>
    <t>Salmonella enterica subsp. enterica serovar Enteritidis str. EC20090884</t>
  </si>
  <si>
    <t>Klebsiella phage vB_KpnP_IL33</t>
  </si>
  <si>
    <t>KY652724.1</t>
  </si>
  <si>
    <t>Klebsiella phage vB_KpnM_BIS47</t>
  </si>
  <si>
    <t>KY652726.1</t>
  </si>
  <si>
    <t>Salmonella phage STP07</t>
  </si>
  <si>
    <t>KY000003.1</t>
  </si>
  <si>
    <t>Bacillus phage QCM11</t>
  </si>
  <si>
    <t>Salmonella enterica subsp. enterica serovar Enteritidis str. EC20100088</t>
  </si>
  <si>
    <t>KX961631.1</t>
  </si>
  <si>
    <t>Bacillus phage SBP8a</t>
  </si>
  <si>
    <t>KX961632.1</t>
  </si>
  <si>
    <t>Bacillus phage BJ4</t>
  </si>
  <si>
    <t>Salmonella enterica subsp. enterica serovar Enteritidis str. EC20100089</t>
  </si>
  <si>
    <t>KX961629.1</t>
  </si>
  <si>
    <t>Bacillus phage QCM8</t>
  </si>
  <si>
    <t>KX961630.1</t>
  </si>
  <si>
    <t>Rathayibacter phage NCPPB3778</t>
  </si>
  <si>
    <t>KX911187.2</t>
  </si>
  <si>
    <t>Escherichia phage ID52</t>
  </si>
  <si>
    <t>Salmonella enterica subsp. enterica serovar Enteritidis str. EC20100100</t>
  </si>
  <si>
    <t>DQ079877.1</t>
  </si>
  <si>
    <t>Escherichia phage K1ind1</t>
  </si>
  <si>
    <t>GU196279.1</t>
  </si>
  <si>
    <t>Escherichia phage K1-ind(2)</t>
  </si>
  <si>
    <t>GU196280.1</t>
  </si>
  <si>
    <t>Salmonella enterica subsp. enterica serovar Enteritidis str. EC20100101</t>
  </si>
  <si>
    <t>Klebsiella phage vB_Kpn_IME260</t>
  </si>
  <si>
    <t>KX845404.2</t>
  </si>
  <si>
    <t>Klebsiella phage vB_KpnP_KpV48</t>
  </si>
  <si>
    <t>KX237514.1</t>
  </si>
  <si>
    <t>Salmonella enterica subsp. enterica serovar Enteritidis str. EC20100103</t>
  </si>
  <si>
    <t>Klebsiella phage vB_KpnS_KpV522</t>
  </si>
  <si>
    <t>KX237515.1</t>
  </si>
  <si>
    <t>Klebsiella phage vB_KpnM_KpV52</t>
  </si>
  <si>
    <t>KX237516.1</t>
  </si>
  <si>
    <t>Mycobacterium phage DarthPhader</t>
  </si>
  <si>
    <t>Salmonella enterica subsp. enterica serovar Enteritidis str. EC20100130</t>
  </si>
  <si>
    <t>KX657793.1</t>
  </si>
  <si>
    <t>Mycobacterium phage DrHayes</t>
  </si>
  <si>
    <t>KX657795.1</t>
  </si>
  <si>
    <t>Mycobacterium phage SamuelLPlaqson</t>
  </si>
  <si>
    <t>KX657794.1</t>
  </si>
  <si>
    <t>Mycobacterium phage Urkel</t>
  </si>
  <si>
    <t>Salmonella enterica subsp. enterica serovar Enteritidis str. EC20100131</t>
  </si>
  <si>
    <t>KX657796.1</t>
  </si>
  <si>
    <t>Streptomyces phage Joe</t>
  </si>
  <si>
    <t>KX815338.1</t>
  </si>
  <si>
    <t>Mycobacterium phage Amelie</t>
  </si>
  <si>
    <t>Salmonella enterica subsp. enterica serovar Enteritidis str. EC20100134</t>
  </si>
  <si>
    <t>KX808132.1</t>
  </si>
  <si>
    <t>Mycobacterium phage Broseidon</t>
  </si>
  <si>
    <t>KX808130.1</t>
  </si>
  <si>
    <t>Mycobacterium phage Sabinator</t>
  </si>
  <si>
    <t>Salmonella enterica subsp. enterica serovar Enteritidis str. EC20100325</t>
  </si>
  <si>
    <t>KX808129.1</t>
  </si>
  <si>
    <t>Mycobacterium phage SuperGrey</t>
  </si>
  <si>
    <t>KX808131.1</t>
  </si>
  <si>
    <t>Salmonella phage S8</t>
  </si>
  <si>
    <t>Salmonella enterica subsp. enterica serovar Enteritidis str. EC20110221</t>
  </si>
  <si>
    <t>KY630163.1</t>
  </si>
  <si>
    <t>Mycobacterium phage Albee</t>
  </si>
  <si>
    <t>KX817175.1</t>
  </si>
  <si>
    <t>Mycobacterium phage LittleB</t>
  </si>
  <si>
    <t>Salmonella enterica subsp. enterica serovar Enteritidis str. EC20110222</t>
  </si>
  <si>
    <t>KX817174.1</t>
  </si>
  <si>
    <t>Mycobacterium phage Tuco</t>
  </si>
  <si>
    <t>KX817173.1</t>
  </si>
  <si>
    <t>Salmonella enterica subsp. enterica serovar Enteritidis str. EC20110223</t>
  </si>
  <si>
    <t>Mycobacterium phage Lukilu</t>
  </si>
  <si>
    <t>KX831080.1</t>
  </si>
  <si>
    <t>Pseudoalteromonas phage PH357</t>
  </si>
  <si>
    <t>KX822733.1</t>
  </si>
  <si>
    <t>Salmonella enterica subsp. enterica serovar Enteritidis str. EC20110353</t>
  </si>
  <si>
    <t>Salmonella phage UPF_BP2</t>
  </si>
  <si>
    <t>KX826077.1</t>
  </si>
  <si>
    <t>Shigella phage SH6</t>
  </si>
  <si>
    <t>Salmonella enterica subsp. enterica serovar Enteritidis str. EC20110354</t>
  </si>
  <si>
    <t>KX828710.1</t>
  </si>
  <si>
    <t>Shigella phage SH7</t>
  </si>
  <si>
    <t>KX828711.1</t>
  </si>
  <si>
    <t>Arthrobacter phage EdgarPoe</t>
  </si>
  <si>
    <t>KX855961.1</t>
  </si>
  <si>
    <t>Salmonella enterica subsp. enterica serovar Enteritidis str. EC20110355</t>
  </si>
  <si>
    <t>Arthrobacter phage HumptyDumpty</t>
  </si>
  <si>
    <t>KX855962.1</t>
  </si>
  <si>
    <t>Streptococcus phage CHPC577</t>
  </si>
  <si>
    <t>Salmonella enterica subsp. enterica serovar Enteritidis str. EC20110356</t>
  </si>
  <si>
    <t>KX879641.1</t>
  </si>
  <si>
    <t>Streptococcus phage CHPC926</t>
  </si>
  <si>
    <t>Salmonella enterica subsp. enterica serovar Enteritidis str. EC20110357</t>
  </si>
  <si>
    <t>KX879642.1</t>
  </si>
  <si>
    <t>Streptococcus phage CHPC1151</t>
  </si>
  <si>
    <t>KX879643.1</t>
  </si>
  <si>
    <t>Halomonas phage QHHSV-1</t>
  </si>
  <si>
    <t>Salmonella enterica subsp. enterica serovar Enteritidis str. EC20110358</t>
  </si>
  <si>
    <t>KX879752.1</t>
  </si>
  <si>
    <t>Vibrio phage vB_VspP_pVa5</t>
  </si>
  <si>
    <t>KX889068.2</t>
  </si>
  <si>
    <t>Mycobacterium phage StarStuff</t>
  </si>
  <si>
    <t>Salmonella enterica subsp. enterica serovar Enteritidis str. EC20110359</t>
  </si>
  <si>
    <t>KX897981.1</t>
  </si>
  <si>
    <t>Pseudoalteromonas phage PHS3</t>
  </si>
  <si>
    <t>KX912252.1</t>
  </si>
  <si>
    <t>Aeribacillus phage AP45</t>
  </si>
  <si>
    <t>Salmonella enterica subsp. enterica serovar Enteritidis str. EC20110360</t>
  </si>
  <si>
    <t>KX965989.1</t>
  </si>
  <si>
    <t>Alteromonas phage PB15</t>
  </si>
  <si>
    <t>KX982260.1</t>
  </si>
  <si>
    <t>Salmonella enterica subsp. enterica serovar Enteritidis str. EC20110361</t>
  </si>
  <si>
    <t>Salmonella phage vB_SenS_Sasha</t>
  </si>
  <si>
    <t>KX987158.1</t>
  </si>
  <si>
    <t>Salmonella phage vB_SenS_Sergei</t>
  </si>
  <si>
    <t>KY002061.1</t>
  </si>
  <si>
    <t>Mycobacterium phage Empress</t>
  </si>
  <si>
    <t>Salmonella enterica subsp. enterica serovar Enteritidis str. EC20111095</t>
  </si>
  <si>
    <t>KY012363.1</t>
  </si>
  <si>
    <t>Erythrobacter phage vB_EliS_R6L</t>
  </si>
  <si>
    <t>KY006853.1</t>
  </si>
  <si>
    <t>Salmonella enterica subsp. enterica serovar Enteritidis str. EC20111174</t>
  </si>
  <si>
    <t>Lactococcus phage PLg-TB25</t>
  </si>
  <si>
    <t>KX833905.1</t>
  </si>
  <si>
    <t>Staphylococcus phage SpT152</t>
  </si>
  <si>
    <t>KX827369.1</t>
  </si>
  <si>
    <t>Staphylococcus phage SpT252</t>
  </si>
  <si>
    <t>KX827370.1</t>
  </si>
  <si>
    <t>Staphylococcus phage SpT5</t>
  </si>
  <si>
    <t>Salmonella enterica subsp. enterica serovar Enteritidis str. EC20111175</t>
  </si>
  <si>
    <t>KX827368.1</t>
  </si>
  <si>
    <t>Staphylococcus phage SpT99F3</t>
  </si>
  <si>
    <t>KX827371.1</t>
  </si>
  <si>
    <t>Pseudomonas phage PA5</t>
  </si>
  <si>
    <t>KY000082.1</t>
  </si>
  <si>
    <t>Acinetobacter phage AM24</t>
  </si>
  <si>
    <t>Salmonella enterica subsp. enterica serovar Enteritidis str. EC20111510</t>
  </si>
  <si>
    <t>KY000079.1</t>
  </si>
  <si>
    <t>Klebsiella phage KPV15</t>
  </si>
  <si>
    <t>KY000080.1</t>
  </si>
  <si>
    <t>Klebsiella phage KPV811</t>
  </si>
  <si>
    <t>KY000081.1</t>
  </si>
  <si>
    <t>Pseudomonas phage PA10</t>
  </si>
  <si>
    <t>KY000083.1</t>
  </si>
  <si>
    <t>Salmonella enterica subsp. enterica serovar Enteritidis str. EC20111514</t>
  </si>
  <si>
    <t>Staphylococcus phage SCH1</t>
  </si>
  <si>
    <t>KY000084.1</t>
  </si>
  <si>
    <t>Staphylococcus phage SCH111</t>
  </si>
  <si>
    <t>KY000085.1</t>
  </si>
  <si>
    <t>Streptomyces phage BRock</t>
  </si>
  <si>
    <t>KX925554.1</t>
  </si>
  <si>
    <t>Staphylococcus phage StAP1</t>
  </si>
  <si>
    <t>KX532239.1</t>
  </si>
  <si>
    <t>Salmonella enterica subsp. enterica serovar Enteritidis str. EC20111515</t>
  </si>
  <si>
    <t>Salmonella phage STP03</t>
  </si>
  <si>
    <t>KY176369.1</t>
  </si>
  <si>
    <t>Escherichia phage Utah</t>
  </si>
  <si>
    <t>KY014601.1</t>
  </si>
  <si>
    <t>Pseudomonas phage Zigelbrucke</t>
  </si>
  <si>
    <t>KY073228.1</t>
  </si>
  <si>
    <t>Pectobacterium phage PP74</t>
  </si>
  <si>
    <t>Salmonella enterica subsp. enterica serovar Enteritidis str. EC20111554</t>
  </si>
  <si>
    <t>KY084243.1</t>
  </si>
  <si>
    <t>Staphylococcus phage MRSA107</t>
  </si>
  <si>
    <t>KY038360.1</t>
  </si>
  <si>
    <t>Pseudoalteromonas phage C5a</t>
  </si>
  <si>
    <t>Salmonella enterica subsp. enterica serovar Enteritidis str. EC20111561</t>
  </si>
  <si>
    <t>KY045851.1</t>
  </si>
  <si>
    <t>Vibrio phage JSF4</t>
  </si>
  <si>
    <t>KY065147.1</t>
  </si>
  <si>
    <t>Vibrio phage JSF3</t>
  </si>
  <si>
    <t>KY065148.1</t>
  </si>
  <si>
    <t>Salmonella enterica subsp. enterica serovar Enteritidis str. EC20111576</t>
  </si>
  <si>
    <t>Mycobacterium phage Abdiel</t>
  </si>
  <si>
    <t>KY083058.1</t>
  </si>
  <si>
    <t>Mycobacterium phage Achebe</t>
  </si>
  <si>
    <t>KY083059.1</t>
  </si>
  <si>
    <t>Mycobacterium phage Bruiser</t>
  </si>
  <si>
    <t>KY083060.1</t>
  </si>
  <si>
    <t>Mycobacterium phage Eris</t>
  </si>
  <si>
    <t>KY083063.1</t>
  </si>
  <si>
    <t>Salmonella enterica subsp. enterica serovar Enteritidis str. EC20120002</t>
  </si>
  <si>
    <t>Mycobacterium phage Millski</t>
  </si>
  <si>
    <t>KY083062.1</t>
  </si>
  <si>
    <t>Mycobacterium phage Palestino</t>
  </si>
  <si>
    <t>KY083061.1</t>
  </si>
  <si>
    <t>Mycobacterium phage LeoAvram</t>
  </si>
  <si>
    <t>KY006473.1</t>
  </si>
  <si>
    <t>Mycobacterium phage Prann</t>
  </si>
  <si>
    <t>Salmonella enterica subsp. enterica serovar Enteritidis str. EC20120003</t>
  </si>
  <si>
    <t>KY006474.1</t>
  </si>
  <si>
    <t>Acinetobacter phage SH-Ab 15519</t>
  </si>
  <si>
    <t>KY082667.1</t>
  </si>
  <si>
    <t>Streptococcus phage IPP10</t>
  </si>
  <si>
    <t>KY065452.1</t>
  </si>
  <si>
    <t>Streptococcus phage IPP11</t>
  </si>
  <si>
    <t>Salmonella enterica subsp. enterica serovar Enteritidis str. EC20120005</t>
  </si>
  <si>
    <t>KY065453.1</t>
  </si>
  <si>
    <t>Streptococcus phage IPP12</t>
  </si>
  <si>
    <t>KY065454.1</t>
  </si>
  <si>
    <t>Streptococcus phage IPP14</t>
  </si>
  <si>
    <t>KY065455.1</t>
  </si>
  <si>
    <t>Streptococcus phage IPP15</t>
  </si>
  <si>
    <t>KY065456.1</t>
  </si>
  <si>
    <t>Salmonella enterica subsp. enterica serovar Enteritidis str. EC20120007</t>
  </si>
  <si>
    <t>Streptococcus phage IPP16</t>
  </si>
  <si>
    <t>KY065457.1</t>
  </si>
  <si>
    <t>Streptococcus phage IPP17</t>
  </si>
  <si>
    <t>KY065458.1</t>
  </si>
  <si>
    <t>Streptococcus phage IPP18</t>
  </si>
  <si>
    <t>KY065459.1</t>
  </si>
  <si>
    <t>Streptococcus phage IPP19</t>
  </si>
  <si>
    <t>Salmonella enterica subsp. enterica serovar Enteritidis str. EC20120008</t>
  </si>
  <si>
    <t>KY065460.1</t>
  </si>
  <si>
    <t>Streptococcus phage IPP20</t>
  </si>
  <si>
    <t>KY065461.1</t>
  </si>
  <si>
    <t>Streptococcus phage IPP21</t>
  </si>
  <si>
    <t>KY065462.1</t>
  </si>
  <si>
    <t>Streptococcus phage IPP22</t>
  </si>
  <si>
    <t>Salmonella enterica subsp. enterica serovar Enteritidis str. EC20120009</t>
  </si>
  <si>
    <t>KY065463.1</t>
  </si>
  <si>
    <t>Streptococcus phage IPP23</t>
  </si>
  <si>
    <t>KY065464.1</t>
  </si>
  <si>
    <t>Streptococcus phage IPP24</t>
  </si>
  <si>
    <t>KY065465.1</t>
  </si>
  <si>
    <t>Streptococcus phage IPP25</t>
  </si>
  <si>
    <t>KY065466.1</t>
  </si>
  <si>
    <t>Streptococcus phage IPP26</t>
  </si>
  <si>
    <t>KY065467.1</t>
  </si>
  <si>
    <t>Salmonella enterica subsp. enterica serovar Enteritidis str. EC20120051</t>
  </si>
  <si>
    <t>Streptococcus phage IPP27</t>
  </si>
  <si>
    <t>KY065468.1</t>
  </si>
  <si>
    <t>Streptococcus phage IPP28</t>
  </si>
  <si>
    <t>KY065469.1</t>
  </si>
  <si>
    <t>Streptococcus phage IPP29</t>
  </si>
  <si>
    <t>KY065470.1</t>
  </si>
  <si>
    <t>Salmonella enterica subsp. enterica serovar Enteritidis str. EC20120200</t>
  </si>
  <si>
    <t>Streptococcus phage IPP30</t>
  </si>
  <si>
    <t>KY065471.1</t>
  </si>
  <si>
    <t>Streptococcus phage IPP31</t>
  </si>
  <si>
    <t>KY065472.1</t>
  </si>
  <si>
    <t>Streptococcus phage IPP32</t>
  </si>
  <si>
    <t>KY065473.1</t>
  </si>
  <si>
    <t>Streptococcus phage IPP34</t>
  </si>
  <si>
    <t>Salmonella enterica subsp. enterica serovar Enteritidis str. EC20120213</t>
  </si>
  <si>
    <t>KY065474.1</t>
  </si>
  <si>
    <t>Streptococcus phage IPP35</t>
  </si>
  <si>
    <t>KY065475.1</t>
  </si>
  <si>
    <t>Streptococcus phage IPP36</t>
  </si>
  <si>
    <t>KY065476.1</t>
  </si>
  <si>
    <t>Streptococcus phage IPP38</t>
  </si>
  <si>
    <t>Salmonella enterica subsp. enterica serovar Enteritidis str. EC20120219</t>
  </si>
  <si>
    <t>KY065478.1</t>
  </si>
  <si>
    <t>Streptococcus phage IPP39</t>
  </si>
  <si>
    <t>KY065479.1</t>
  </si>
  <si>
    <t>Streptococcus phage IPP40</t>
  </si>
  <si>
    <t>KY065480.1</t>
  </si>
  <si>
    <t>Streptococcus phage IPP41</t>
  </si>
  <si>
    <t>KY065481.1</t>
  </si>
  <si>
    <t>Salmonella enterica subsp. enterica serovar Enteritidis str. EC20120229</t>
  </si>
  <si>
    <t>Streptococcus phage IPP42</t>
  </si>
  <si>
    <t>KY065482.1</t>
  </si>
  <si>
    <t>Streptococcus phage IPP43</t>
  </si>
  <si>
    <t>KY065483.1</t>
  </si>
  <si>
    <t>Streptococcus phage IPP44</t>
  </si>
  <si>
    <t>KY065484.1</t>
  </si>
  <si>
    <t>Salmonella enterica subsp. enterica serovar Enteritidis str. EC20120240</t>
  </si>
  <si>
    <t>Streptococcus phage IPP45</t>
  </si>
  <si>
    <t>KY065485.1</t>
  </si>
  <si>
    <t>Streptococcus phage IPP46</t>
  </si>
  <si>
    <t>KY065486.1</t>
  </si>
  <si>
    <t>Streptococcus phage IPP48</t>
  </si>
  <si>
    <t>KY065487.1</t>
  </si>
  <si>
    <t>Salmonella enterica subsp. enterica serovar Enteritidis str. EC20120356</t>
  </si>
  <si>
    <t>Streptococcus phage IPP5</t>
  </si>
  <si>
    <t>KY065449.1</t>
  </si>
  <si>
    <t>Streptococcus phage IPP50</t>
  </si>
  <si>
    <t>KY065488.1</t>
  </si>
  <si>
    <t>Streptococcus phage IPP51</t>
  </si>
  <si>
    <t>KY065489.1</t>
  </si>
  <si>
    <t>Streptococcus phage IPP52</t>
  </si>
  <si>
    <t>Salmonella enterica subsp. enterica serovar Enteritidis str. EC20120469</t>
  </si>
  <si>
    <t>KY065490.1</t>
  </si>
  <si>
    <t>Streptococcus phage IPP53</t>
  </si>
  <si>
    <t>KY065491.1</t>
  </si>
  <si>
    <t>Streptococcus phage IPP54</t>
  </si>
  <si>
    <t>KY065492.1</t>
  </si>
  <si>
    <t>Streptococcus phage IPP55</t>
  </si>
  <si>
    <t>KY065493.1</t>
  </si>
  <si>
    <t>Streptococcus phage IPP57</t>
  </si>
  <si>
    <t>KY065494.1</t>
  </si>
  <si>
    <t>Streptococcus phage IPP58</t>
  </si>
  <si>
    <t>Salmonella enterica subsp. enterica serovar Enteritidis str. EC20120496</t>
  </si>
  <si>
    <t>KY065495.1</t>
  </si>
  <si>
    <t>Streptococcus phage IPP60</t>
  </si>
  <si>
    <t>KY065496.1</t>
  </si>
  <si>
    <t>Streptococcus phage IPP61</t>
  </si>
  <si>
    <t>KY065497.1</t>
  </si>
  <si>
    <t>Streptococcus phage IPP62</t>
  </si>
  <si>
    <t>Salmonella enterica subsp. enterica serovar Enteritidis str. EC20120497</t>
  </si>
  <si>
    <t>KY065498.1</t>
  </si>
  <si>
    <t>Streptococcus phage IPP63</t>
  </si>
  <si>
    <t>KY065499.1</t>
  </si>
  <si>
    <t>Streptococcus phage IPP64</t>
  </si>
  <si>
    <t>KY065500.1</t>
  </si>
  <si>
    <t>Streptococcus phage IPP65</t>
  </si>
  <si>
    <t>KY065501.1</t>
  </si>
  <si>
    <t>Salmonella enterica subsp. enterica serovar Enteritidis str. EC20120498</t>
  </si>
  <si>
    <t>Streptococcus phage IPP66</t>
  </si>
  <si>
    <t>KY065502.1</t>
  </si>
  <si>
    <t>Streptococcus phage IPP67</t>
  </si>
  <si>
    <t>KY065503.1</t>
  </si>
  <si>
    <t>Streptococcus phage IPP68</t>
  </si>
  <si>
    <t>KY065504.1</t>
  </si>
  <si>
    <t>Salmonella enterica subsp. enterica serovar Enteritidis str. EC20120505</t>
  </si>
  <si>
    <t>Streptococcus phage IPP69</t>
  </si>
  <si>
    <t>KY065505.1</t>
  </si>
  <si>
    <t>Streptococcus phage IPP8</t>
  </si>
  <si>
    <t>KY065450.1</t>
  </si>
  <si>
    <t>Streptococcus phage IPP9</t>
  </si>
  <si>
    <t>KY065451.1</t>
  </si>
  <si>
    <t>Pectobacterium phage PP101</t>
  </si>
  <si>
    <t>KY087898.1</t>
  </si>
  <si>
    <t>Mycobacterium phage Mitti</t>
  </si>
  <si>
    <t>Salmonella enterica subsp. enterica serovar Enteritidis str. EC20120528</t>
  </si>
  <si>
    <t>KY087992.1</t>
  </si>
  <si>
    <t>Mycobacterium phage Hammy</t>
  </si>
  <si>
    <t>KY087993.1</t>
  </si>
  <si>
    <t>Mycobacterium phage Taptic</t>
  </si>
  <si>
    <t>Salmonella enterica subsp. enterica serovar Enteritidis str. EC20120544</t>
  </si>
  <si>
    <t>KY130461.1</t>
  </si>
  <si>
    <t>Streptomyces phage Bioscum</t>
  </si>
  <si>
    <t>72.3</t>
  </si>
  <si>
    <t>KY092483.1</t>
  </si>
  <si>
    <t>Streptomyces phage Ididsumtinwong</t>
  </si>
  <si>
    <t>KY092479.1</t>
  </si>
  <si>
    <t>Streptomyces phage Mojorita</t>
  </si>
  <si>
    <t>Salmonella enterica subsp. enterica serovar Enteritidis str. EC20120548</t>
  </si>
  <si>
    <t>72.5</t>
  </si>
  <si>
    <t>KY092482.1</t>
  </si>
  <si>
    <t>Streptomyces phage PapayaSalad</t>
  </si>
  <si>
    <t>72.6</t>
  </si>
  <si>
    <t>KY092481.1</t>
  </si>
  <si>
    <t>Streptomyces phage Picard</t>
  </si>
  <si>
    <t>KY092480.1</t>
  </si>
  <si>
    <t>Streptomyces phage Raleigh</t>
  </si>
  <si>
    <t>71.8</t>
  </si>
  <si>
    <t>KY092484.1</t>
  </si>
  <si>
    <t>Brucella phage Iz</t>
  </si>
  <si>
    <t>Salmonella enterica subsp. enterica serovar Enteritidis str. EC20120555</t>
  </si>
  <si>
    <t>KY056619.1</t>
  </si>
  <si>
    <t>Staphylococcus phage P240</t>
  </si>
  <si>
    <t>KY056620.1</t>
  </si>
  <si>
    <t>Escherichia phage EC1-UPM</t>
  </si>
  <si>
    <t>KC206276.2</t>
  </si>
  <si>
    <t>Salmonella enterica subsp. enterica serovar Enteritidis str. EC20120580</t>
  </si>
  <si>
    <t>Pseudomonas phage PA26</t>
  </si>
  <si>
    <t>JX194238.1</t>
  </si>
  <si>
    <t>Rhizobium phage RHEph04</t>
  </si>
  <si>
    <t>JX483876.1</t>
  </si>
  <si>
    <t>Paenibacillus phage Shelly</t>
  </si>
  <si>
    <t>KP296795.1</t>
  </si>
  <si>
    <t>Salmonella enterica subsp. enterica serovar Enteritidis str. EC20120581</t>
  </si>
  <si>
    <t>Vibrio phage SSP002</t>
  </si>
  <si>
    <t>JQ692107.1</t>
  </si>
  <si>
    <t>Ralstonia phage RP12</t>
  </si>
  <si>
    <t>AP017924.1</t>
  </si>
  <si>
    <t>Ralstonia phage RP31</t>
  </si>
  <si>
    <t>AP017925.1</t>
  </si>
  <si>
    <t>Enterococcus phage EFP01</t>
  </si>
  <si>
    <t>Salmonella enterica subsp. enterica serovar Enteritidis str. EC20120590</t>
  </si>
  <si>
    <t>KY549443.1</t>
  </si>
  <si>
    <t>Aquamicrobium phage P14</t>
  </si>
  <si>
    <t>KX660669.1</t>
  </si>
  <si>
    <t>Pectobacterium phage PP81</t>
  </si>
  <si>
    <t>KY124276.1</t>
  </si>
  <si>
    <t>Pasteurella phage PMP-GADVASU-IND</t>
  </si>
  <si>
    <t>KY203335.1</t>
  </si>
  <si>
    <t>Salmonella enterica subsp. enterica serovar Enteritidis str. EC20120597</t>
  </si>
  <si>
    <t>Clostridium phage Clo-PEP-1</t>
  </si>
  <si>
    <t>KY206887.1</t>
  </si>
  <si>
    <t>Mycobacterium phage Petruchio</t>
  </si>
  <si>
    <t>KY213952.1</t>
  </si>
  <si>
    <t>Mycobacterium phage Blue</t>
  </si>
  <si>
    <t>KY224001.1</t>
  </si>
  <si>
    <t>Salmonella enterica subsp. enterica serovar Enteritidis str. EC20120677</t>
  </si>
  <si>
    <t>Mycobacterium phage MrMagoo</t>
  </si>
  <si>
    <t>KY223999.1</t>
  </si>
  <si>
    <t>Mycobacterium phage Rich</t>
  </si>
  <si>
    <t>KY224000.1</t>
  </si>
  <si>
    <t>Corynebacterium phage phi16</t>
  </si>
  <si>
    <t>KY250482.1</t>
  </si>
  <si>
    <t>Salmonella enterica subsp. enterica serovar Enteritidis str. EC20120685</t>
  </si>
  <si>
    <t>Mycobacterium phage BubbleTrouble</t>
  </si>
  <si>
    <t>KY204244.1</t>
  </si>
  <si>
    <t>Mycobacterium phage Camperdownii</t>
  </si>
  <si>
    <t>KY204245.1</t>
  </si>
  <si>
    <t>Mycobacterium phage Clarenza</t>
  </si>
  <si>
    <t>KY204246.1</t>
  </si>
  <si>
    <t>Mycobacterium phage Funston</t>
  </si>
  <si>
    <t>Salmonella enterica subsp. enterica serovar Enteritidis str. EC20120686</t>
  </si>
  <si>
    <t>KY204247.1</t>
  </si>
  <si>
    <t>Mycobacterium phage JoongJeon</t>
  </si>
  <si>
    <t>KY204248.1</t>
  </si>
  <si>
    <t>Mycobacterium phage KFPoly</t>
  </si>
  <si>
    <t>KY204249.1</t>
  </si>
  <si>
    <t>Mycobacterium phage Kratark</t>
  </si>
  <si>
    <t>KY204250.1</t>
  </si>
  <si>
    <t>Salmonella enterica subsp. enterica serovar Enteritidis str. EC20120687</t>
  </si>
  <si>
    <t>Mycobacterium phage Thanksgivukkah</t>
  </si>
  <si>
    <t>KY204251.1</t>
  </si>
  <si>
    <t>Salmonella phage LPSE1</t>
  </si>
  <si>
    <t>KY379853.1</t>
  </si>
  <si>
    <t>Mycobacterium phage Zephyr</t>
  </si>
  <si>
    <t>Salmonella enterica subsp. enterica serovar Enteritidis str. EC20120697</t>
  </si>
  <si>
    <t>KX712238.1</t>
  </si>
  <si>
    <t>Providencia phage vB_PreS_PR1</t>
  </si>
  <si>
    <t>KY363465.1</t>
  </si>
  <si>
    <t>Ochrobactrum phage POI1126</t>
  </si>
  <si>
    <t>KY417925.1</t>
  </si>
  <si>
    <t>Salmonella enterica subsp. enterica serovar Enteritidis str. EC20120722</t>
  </si>
  <si>
    <t>Bacillus phage BM10</t>
  </si>
  <si>
    <t>KT995480.1</t>
  </si>
  <si>
    <t>Klebsiella phage K5-2</t>
  </si>
  <si>
    <t>KY389315.1</t>
  </si>
  <si>
    <t>Klebsiella phage K5-4</t>
  </si>
  <si>
    <t>KY389316.1</t>
  </si>
  <si>
    <t>Salmonella enterica subsp. enterica serovar Enteritidis str. EC20120734</t>
  </si>
  <si>
    <t>Mycobacterium phage CREW</t>
  </si>
  <si>
    <t>KY380102.1</t>
  </si>
  <si>
    <t>Ralstonia virus phiAp1</t>
  </si>
  <si>
    <t>KY117485.1</t>
  </si>
  <si>
    <t>Pectobacterium phage PP47</t>
  </si>
  <si>
    <t>KY250035.1</t>
  </si>
  <si>
    <t>Salmonella enterica subsp. enterica serovar Enteritidis str. EC20120738</t>
  </si>
  <si>
    <t>Pectobacterium phage PP99</t>
  </si>
  <si>
    <t>KY250034.1</t>
  </si>
  <si>
    <t>Acinetobacter phage vB_AbaP_AS12</t>
  </si>
  <si>
    <t>KY268295.1</t>
  </si>
  <si>
    <t>Acinetobacter phage vB_AbaP_AS11</t>
  </si>
  <si>
    <t>KY268296.1</t>
  </si>
  <si>
    <t>Salmonella enterica subsp. enterica serovar Enteritidis str. EC20120765</t>
  </si>
  <si>
    <t>Escherichia phage YUEEL01</t>
  </si>
  <si>
    <t>KY290975.2</t>
  </si>
  <si>
    <t>Vibrio phage Vp670</t>
  </si>
  <si>
    <t>KY290756.1</t>
  </si>
  <si>
    <t>Enterococcus phage EF-P29</t>
  </si>
  <si>
    <t>KY303907.1</t>
  </si>
  <si>
    <t>Salmonella enterica subsp. enterica serovar Enteritidis str. EC20120773</t>
  </si>
  <si>
    <t>Ralstonia phage RS-PII-1</t>
  </si>
  <si>
    <t>KY316062.1</t>
  </si>
  <si>
    <t>Yersinia phage fHe-Yen3-01</t>
  </si>
  <si>
    <t>KY318515.1</t>
  </si>
  <si>
    <t>Mycobacterium phage CrystalP</t>
  </si>
  <si>
    <t>KY319168.1</t>
  </si>
  <si>
    <t>Mycobacterium phage Bubbles123</t>
  </si>
  <si>
    <t>Salmonella enterica subsp. enterica serovar Enteritidis str. EC20120774</t>
  </si>
  <si>
    <t>KY348865.1</t>
  </si>
  <si>
    <t>Aeromonas phage 65.2</t>
  </si>
  <si>
    <t>KY290955.1</t>
  </si>
  <si>
    <t>Aeromonas phage 3</t>
  </si>
  <si>
    <t>KY290947.1</t>
  </si>
  <si>
    <t>Aeromonas phage 31.2</t>
  </si>
  <si>
    <t>Salmonella enterica subsp. enterica serovar Enteritidis str. EC20120775</t>
  </si>
  <si>
    <t>KY290951.1</t>
  </si>
  <si>
    <t>Aeromonas phage 32</t>
  </si>
  <si>
    <t>KY290952.1</t>
  </si>
  <si>
    <t>Aeromonas phage 44RR2.8t.2</t>
  </si>
  <si>
    <t>KY290948.1</t>
  </si>
  <si>
    <t>Aeromonas phage 51</t>
  </si>
  <si>
    <t>KY290953.1</t>
  </si>
  <si>
    <t>Salmonella enterica subsp. enterica serovar Enteritidis str. EC20120776</t>
  </si>
  <si>
    <t>Aeromonas phage 56</t>
  </si>
  <si>
    <t>KY290954.1</t>
  </si>
  <si>
    <t>Aeromonas phage 59.1</t>
  </si>
  <si>
    <t>KY290950.1</t>
  </si>
  <si>
    <t>Aeromonas phage Asp37</t>
  </si>
  <si>
    <t>KY290949.1</t>
  </si>
  <si>
    <t>Salmonella enterica subsp. enterica serovar Enteritidis str. EC20120916</t>
  </si>
  <si>
    <t>Aeromonas phage L9-6</t>
  </si>
  <si>
    <t>KY290956.1</t>
  </si>
  <si>
    <t>Aeromonas phage Riv-10</t>
  </si>
  <si>
    <t>KY290957.1</t>
  </si>
  <si>
    <t>Aeromonas phage SW69-9</t>
  </si>
  <si>
    <t>KY290958.1</t>
  </si>
  <si>
    <t>Bacillus phage vB_BsuM-Goe2</t>
  </si>
  <si>
    <t>KY368639.1</t>
  </si>
  <si>
    <t>Bacillus phage vB_BsuM-Goe3</t>
  </si>
  <si>
    <t>Salmonella enterica subsp. enterica serovar Enteritidis str. EC20120917</t>
  </si>
  <si>
    <t>KY368640.1</t>
  </si>
  <si>
    <t>Proteus phage vB_PvuS_Pm34</t>
  </si>
  <si>
    <t>KY420199.1</t>
  </si>
  <si>
    <t>Xenohaliotis phage pCXc-HC2016</t>
  </si>
  <si>
    <t>KY296500.1</t>
  </si>
  <si>
    <t>Salmonella enterica subsp. enterica serovar Enteritidis str. EC20120918</t>
  </si>
  <si>
    <t>Xenohaliotis phage pCXc-HR2015</t>
  </si>
  <si>
    <t>KY296501.1</t>
  </si>
  <si>
    <t>Escherichia phage vB_EcoP_B</t>
  </si>
  <si>
    <t>KY295891.1</t>
  </si>
  <si>
    <t>Escherichia phage vB_EcoP_C</t>
  </si>
  <si>
    <t>KY295892.1</t>
  </si>
  <si>
    <t>Escherichia phage vB_EcoP_D</t>
  </si>
  <si>
    <t>Salmonella enterica subsp. enterica serovar Enteritidis str. EC20120925</t>
  </si>
  <si>
    <t>KY295893.1</t>
  </si>
  <si>
    <t>Escherichia phage vB_EcoP_F</t>
  </si>
  <si>
    <t>KY295894.1</t>
  </si>
  <si>
    <t>Salmonella enterica subsp. enterica serovar Enteritidis str. EC20120927</t>
  </si>
  <si>
    <t>Escherichia phage vB_EcoP_K</t>
  </si>
  <si>
    <t>KY295897.1</t>
  </si>
  <si>
    <t>Escherichia phage vB_EcoP_R</t>
  </si>
  <si>
    <t>KY295899.1</t>
  </si>
  <si>
    <t>Escherichia phage G AB-2017</t>
  </si>
  <si>
    <t>KY295895.1</t>
  </si>
  <si>
    <t>Escherichia phage L AB-2017</t>
  </si>
  <si>
    <t>KY295896.1</t>
  </si>
  <si>
    <t>Salmonella enterica subsp. enterica serovar Enteritidis str. EC20120929</t>
  </si>
  <si>
    <t>Escherichia phage P AB-2017</t>
  </si>
  <si>
    <t>KY295898.1</t>
  </si>
  <si>
    <t>Escherichia phage vB_EcoS-IME253</t>
  </si>
  <si>
    <t>KX130960.1</t>
  </si>
  <si>
    <t>Streptomyces phage BabyGotBac</t>
  </si>
  <si>
    <t>KY365739.1</t>
  </si>
  <si>
    <t>Streptococcus phage Str03</t>
  </si>
  <si>
    <t>Salmonella enterica subsp. enterica serovar Enteritidis str. EC20120963</t>
  </si>
  <si>
    <t>KY363359.1</t>
  </si>
  <si>
    <t>Streptococcus phage Str01</t>
  </si>
  <si>
    <t>KY349816.1</t>
  </si>
  <si>
    <t>Arthrobacter phage Chestnut</t>
  </si>
  <si>
    <t>KY434670.1</t>
  </si>
  <si>
    <t>Salmonella enterica subsp. enterica serovar Enteritidis str. EC20120968</t>
  </si>
  <si>
    <t>Klebsiella phage vB_KpnP_KpV74</t>
  </si>
  <si>
    <t>KY385423.1</t>
  </si>
  <si>
    <t>Escherichia phage vB_Ecos_CEB_EC3a</t>
  </si>
  <si>
    <t>Salmonella enterica subsp. enterica serovar Enteritidis str. EC20120969</t>
  </si>
  <si>
    <t>KY398841.1</t>
  </si>
  <si>
    <t>Staphylococcus phage 3 AJ-2017</t>
  </si>
  <si>
    <t>KX232515.1</t>
  </si>
  <si>
    <t>Vibrio phage pTD1</t>
  </si>
  <si>
    <t>AP017972.1</t>
  </si>
  <si>
    <t>Escherichia phage WA45</t>
  </si>
  <si>
    <t>Salmonella enterica subsp. enterica serovar Enteritidis str. EC20120970</t>
  </si>
  <si>
    <t>DQ079874.1</t>
  </si>
  <si>
    <t>Escherichia phage NC35</t>
  </si>
  <si>
    <t>DQ079872.1</t>
  </si>
  <si>
    <t>Escherichia phage ID21</t>
  </si>
  <si>
    <t>DQ079870.1</t>
  </si>
  <si>
    <t>Escherichia phage NC28</t>
  </si>
  <si>
    <t>DQ079875.1</t>
  </si>
  <si>
    <t>Salmonella enterica subsp. enterica serovar Enteritidis str. EC20120994</t>
  </si>
  <si>
    <t>Escherichia phage NC29</t>
  </si>
  <si>
    <t>DQ079879.1</t>
  </si>
  <si>
    <t>Escherichia phage ID32</t>
  </si>
  <si>
    <t>DQ079871.1</t>
  </si>
  <si>
    <t>Escherichia phage ID62</t>
  </si>
  <si>
    <t>DQ079876.1</t>
  </si>
  <si>
    <t>Staphylococcus phage phi575</t>
  </si>
  <si>
    <t>Salmonella enterica subsp. enterica serovar Enteritidis str. EC20121004</t>
  </si>
  <si>
    <t>KY389063.1</t>
  </si>
  <si>
    <t>Staphylococcus phage phi879</t>
  </si>
  <si>
    <t>KY389064.1</t>
  </si>
  <si>
    <t>Pseudoalteromonas phage PHS21</t>
  </si>
  <si>
    <t>KY379511.2</t>
  </si>
  <si>
    <t>Klebsiella phage 48ST307</t>
  </si>
  <si>
    <t>Salmonella enterica subsp. enterica serovar Enteritidis str. EC20121175</t>
  </si>
  <si>
    <t>KY271402.1</t>
  </si>
  <si>
    <t>Mycobacterium phage Maxxinista</t>
  </si>
  <si>
    <t>KY549152.1</t>
  </si>
  <si>
    <t>Mycobacterium phage Tinybot</t>
  </si>
  <si>
    <t>KY549155.1</t>
  </si>
  <si>
    <t>Rhodococcus phage Angryorchard</t>
  </si>
  <si>
    <t>KY549153.1</t>
  </si>
  <si>
    <t>Rhodococcus phage BobbyDazzler</t>
  </si>
  <si>
    <t>KY549154.1</t>
  </si>
  <si>
    <t>Salmonella enterica subsp. enterica serovar Enteritidis str. EC20121176</t>
  </si>
  <si>
    <t>Mycobacterium phage Idleandcovert</t>
  </si>
  <si>
    <t>KY464936.1</t>
  </si>
  <si>
    <t>Staphylococcus phage Andhra</t>
  </si>
  <si>
    <t>KY442063.1</t>
  </si>
  <si>
    <t>Gordonia phage DinoDaryn</t>
  </si>
  <si>
    <t>KY471269.1</t>
  </si>
  <si>
    <t>Gordonia phage Huffy</t>
  </si>
  <si>
    <t>Salmonella enterica subsp. enterica serovar Enteritidis str. EC20121177</t>
  </si>
  <si>
    <t>KY471268.1</t>
  </si>
  <si>
    <t>Mycobacterium phage SassyB</t>
  </si>
  <si>
    <t>KY471267.1</t>
  </si>
  <si>
    <t>Mycobacterium phage TinaFeyge</t>
  </si>
  <si>
    <t>KY471266.1</t>
  </si>
  <si>
    <t>Enterococcus phage EF-P10</t>
  </si>
  <si>
    <t>KY472224.1</t>
  </si>
  <si>
    <t>Vibrio phage pVa-21</t>
  </si>
  <si>
    <t>KY499642.1</t>
  </si>
  <si>
    <t>Salmonella enterica subsp. enterica serovar Enteritidis str. EC20121178</t>
  </si>
  <si>
    <t>Staphylococcus phage St 134</t>
  </si>
  <si>
    <t>KY471386.1</t>
  </si>
  <si>
    <t>Erwinia phage vB_EamM_Yoloswag</t>
  </si>
  <si>
    <t>KY448244.1</t>
  </si>
  <si>
    <t>Ralstonia phage RS-PI-1</t>
  </si>
  <si>
    <t>KY464836.1</t>
  </si>
  <si>
    <t>Sulfolobus spindle-shaped virus Lassen</t>
  </si>
  <si>
    <t>Salmonella enterica subsp. enterica serovar Enteritidis str. EC20121179</t>
  </si>
  <si>
    <t>KY563228.1</t>
  </si>
  <si>
    <t>Sulfolobus spindle-shaped virus 3</t>
  </si>
  <si>
    <t>KY579375.1</t>
  </si>
  <si>
    <t>Mycobacterium phage Jabith</t>
  </si>
  <si>
    <t>KY471460.1</t>
  </si>
  <si>
    <t>Caulobacter phage Ccr10</t>
  </si>
  <si>
    <t>KY555142.1</t>
  </si>
  <si>
    <t>Salmonella enterica subsp. enterica serovar Enteritidis str. EC20121180</t>
  </si>
  <si>
    <t>Caulobacter phage Ccr2</t>
  </si>
  <si>
    <t>KY555143.1</t>
  </si>
  <si>
    <t>Caulobacter phage Ccr29</t>
  </si>
  <si>
    <t>KY555145.1</t>
  </si>
  <si>
    <t>Caulobacter phage Ccr32</t>
  </si>
  <si>
    <t>KY555146.1</t>
  </si>
  <si>
    <t>Caulobacter phage Ccr34</t>
  </si>
  <si>
    <t>Salmonella enterica subsp. enterica serovar Enteritidis str. EC20121541</t>
  </si>
  <si>
    <t>KY555147.1</t>
  </si>
  <si>
    <t>Caulobacter phage Ccr5</t>
  </si>
  <si>
    <t>KY555144.1</t>
  </si>
  <si>
    <t>Klebsiella phage 1 LV-2017</t>
  </si>
  <si>
    <t>KY271401.1</t>
  </si>
  <si>
    <t>Klebsiella phage 2 LV-2017</t>
  </si>
  <si>
    <t>KY271396.1</t>
  </si>
  <si>
    <t>Klebsiella phage 2b LV-2017</t>
  </si>
  <si>
    <t>KY271395.1</t>
  </si>
  <si>
    <t>Salmonella enterica subsp. enterica serovar Enteritidis str. EC20121542</t>
  </si>
  <si>
    <t>Klebsiella phage 3 LV-2017</t>
  </si>
  <si>
    <t>KY271397.1</t>
  </si>
  <si>
    <t>Klebsiella phage 4 LV-2017</t>
  </si>
  <si>
    <t>KY271398.1</t>
  </si>
  <si>
    <t>Klebsiella phage 5 LV-2017</t>
  </si>
  <si>
    <t>KY271399.1</t>
  </si>
  <si>
    <t>Salmonella enterica subsp. enterica serovar Enteritidis str. EC20121671</t>
  </si>
  <si>
    <t>Klebsiella phage 6 LV-2017</t>
  </si>
  <si>
    <t>KY271400.1</t>
  </si>
  <si>
    <t>Staphylococcus phage pSa-3</t>
  </si>
  <si>
    <t>KY581279.1</t>
  </si>
  <si>
    <t>Pectobacterium phage PPWS4</t>
  </si>
  <si>
    <t>LC216347.1</t>
  </si>
  <si>
    <t>Serratia phage BF</t>
  </si>
  <si>
    <t>Salmonella enterica subsp. enterica serovar Enteritidis str. EC20121672</t>
  </si>
  <si>
    <t>KY630187.1</t>
  </si>
  <si>
    <t>Streptococcus virus MS1</t>
  </si>
  <si>
    <t>KY629621.2</t>
  </si>
  <si>
    <t>Escherichia phage vB_EcoS_ESCO41</t>
  </si>
  <si>
    <t>KY619305.1</t>
  </si>
  <si>
    <t>Synechococcus virus S-ESS1</t>
  </si>
  <si>
    <t>KY249644.1</t>
  </si>
  <si>
    <t>Salmonella enterica subsp. enterica serovar Enteritidis str. EC20121689</t>
  </si>
  <si>
    <t>Corynebacterium phage LGCM-VI</t>
  </si>
  <si>
    <t>KY566218.1</t>
  </si>
  <si>
    <t>Geobacillus phage TP-84</t>
  </si>
  <si>
    <t>KY565347.1</t>
  </si>
  <si>
    <t>Yersinia phage fHe-Yen9-01</t>
  </si>
  <si>
    <t>KY593455.1</t>
  </si>
  <si>
    <t>Escherichia phage CF2</t>
  </si>
  <si>
    <t>KY608967.1</t>
  </si>
  <si>
    <t>Salmonella enterica subsp. enterica serovar Enteritidis str. EC20121744</t>
  </si>
  <si>
    <t>Escherichia phage phiEC1</t>
  </si>
  <si>
    <t>KY608966.1</t>
  </si>
  <si>
    <t>Escherichia phage HP3</t>
  </si>
  <si>
    <t>KY608965.1</t>
  </si>
  <si>
    <t>Dinoroseobacter phage vB_DshS-R5C</t>
  </si>
  <si>
    <t>KY606587.1</t>
  </si>
  <si>
    <t>Marinomonas phage CPG1g</t>
  </si>
  <si>
    <t>KY626177.1</t>
  </si>
  <si>
    <t>Salmonella enterica subsp. enterica serovar Enteritidis str. EC20121746</t>
  </si>
  <si>
    <t>Marinomonas phage CPP1m</t>
  </si>
  <si>
    <t>KY626176.1</t>
  </si>
  <si>
    <t>Shewanella phage SppYZU01</t>
  </si>
  <si>
    <t>KY622015.1</t>
  </si>
  <si>
    <t>Salmonella phage Si3</t>
  </si>
  <si>
    <t>KY626162.1</t>
  </si>
  <si>
    <t>Salmonella phage SE40</t>
  </si>
  <si>
    <t>Salmonella enterica subsp. enterica serovar Enteritidis str. EC20121747</t>
  </si>
  <si>
    <t>KY626163.1</t>
  </si>
  <si>
    <t>Salmonella phage Mushroom</t>
  </si>
  <si>
    <t>KP143762.1</t>
  </si>
  <si>
    <t>Salmonella phage alphaalpha</t>
  </si>
  <si>
    <t>KY653237.1</t>
  </si>
  <si>
    <t>Streptomyces phage ToastyFinz</t>
  </si>
  <si>
    <t>KY676784.1</t>
  </si>
  <si>
    <t>Acinetobacter phage WCHABP12</t>
  </si>
  <si>
    <t>Salmonella enterica subsp. enterica serovar Enteritidis str. EC20121748</t>
  </si>
  <si>
    <t>KY670595.1</t>
  </si>
  <si>
    <t>Liberibacter phage P-JXGC-3</t>
  </si>
  <si>
    <t>KY661963.1</t>
  </si>
  <si>
    <t>Citrobacter phage Mijalis</t>
  </si>
  <si>
    <t>KY654690.2</t>
  </si>
  <si>
    <t>Vibrio phage H20</t>
  </si>
  <si>
    <t>KY658675.3</t>
  </si>
  <si>
    <t>Salmonella enterica subsp. enterica serovar Enteritidis str. EC20121750</t>
  </si>
  <si>
    <t>Vibrio phage H8</t>
  </si>
  <si>
    <t>KY658674.3</t>
  </si>
  <si>
    <t>Vibrio phage P2</t>
  </si>
  <si>
    <t>KY658676.3</t>
  </si>
  <si>
    <t>Vibrio phage P3</t>
  </si>
  <si>
    <t>KY658677.3</t>
  </si>
  <si>
    <t>Vibrio phage pVa-3</t>
  </si>
  <si>
    <t>KY658678.3</t>
  </si>
  <si>
    <t>Salmonella enterica subsp. enterica serovar Enteritidis str. EC20121751</t>
  </si>
  <si>
    <t>Vibrio phage pVa-4</t>
  </si>
  <si>
    <t>KY658679.3</t>
  </si>
  <si>
    <t>Vibrio phage pVa-8</t>
  </si>
  <si>
    <t>KY658680.3</t>
  </si>
  <si>
    <t>Salmonella phage GJL01</t>
  </si>
  <si>
    <t>KY657202.1</t>
  </si>
  <si>
    <t>Escherichia phage phiLLS</t>
  </si>
  <si>
    <t>KY677846.1</t>
  </si>
  <si>
    <t>Salmonella enterica subsp. enterica serovar Enteritidis str. EC20121753</t>
  </si>
  <si>
    <t>Lactococcus phage AM1</t>
  </si>
  <si>
    <t>KY554768.1</t>
  </si>
  <si>
    <t>Lactococcus phage AM11</t>
  </si>
  <si>
    <t>KY554775.1</t>
  </si>
  <si>
    <t>Salmonella enterica subsp. enterica serovar Enteritidis str. EC20121765</t>
  </si>
  <si>
    <t>Lactococcus phage AM12</t>
  </si>
  <si>
    <t>KY554776.1</t>
  </si>
  <si>
    <t>Lactococcus phage AM2</t>
  </si>
  <si>
    <t>KY554769.1</t>
  </si>
  <si>
    <t>Lactococcus phage AM3</t>
  </si>
  <si>
    <t>KY554770.1</t>
  </si>
  <si>
    <t>Lactococcus phage AM4</t>
  </si>
  <si>
    <t>KY554771.1</t>
  </si>
  <si>
    <t>Salmonella enterica subsp. enterica serovar Enteritidis str. EC20121812</t>
  </si>
  <si>
    <t>Lactococcus phage AM5</t>
  </si>
  <si>
    <t>KY554772.1</t>
  </si>
  <si>
    <t>Lactococcus phage AM6</t>
  </si>
  <si>
    <t>KY554766.1</t>
  </si>
  <si>
    <t>Lactococcus phage AM7</t>
  </si>
  <si>
    <t>KY554767.1</t>
  </si>
  <si>
    <t>Lactococcus phage AM8</t>
  </si>
  <si>
    <t>Salmonella enterica subsp. enterica serovar Enteritidis str. EC20121825</t>
  </si>
  <si>
    <t>KY554773.1</t>
  </si>
  <si>
    <t>Lactococcus phage AM9</t>
  </si>
  <si>
    <t>KY554774.1</t>
  </si>
  <si>
    <t>Lactococcus phage LW31</t>
  </si>
  <si>
    <t>KY554762.1</t>
  </si>
  <si>
    <t>Lactococcus phage LW32</t>
  </si>
  <si>
    <t>KY554763.1</t>
  </si>
  <si>
    <t>Salmonella enterica subsp. enterica serovar Enteritidis str. EC20121826</t>
  </si>
  <si>
    <t>Lactococcus phage LW33</t>
  </si>
  <si>
    <t>KY554764.1</t>
  </si>
  <si>
    <t>Lactococcus phage LW4</t>
  </si>
  <si>
    <t>KY554765.1</t>
  </si>
  <si>
    <t>Lactococcus phage LW81</t>
  </si>
  <si>
    <t>KY554777.1</t>
  </si>
  <si>
    <t>Lactococcus phage R3.4</t>
  </si>
  <si>
    <t>Salmonella enterica subsp. enterica serovar Enteritidis str. EC20121969</t>
  </si>
  <si>
    <t>KY554760.1</t>
  </si>
  <si>
    <t>Lactococcus phage R31</t>
  </si>
  <si>
    <t>KY554761.1</t>
  </si>
  <si>
    <t>Vibrio phage pVco-5</t>
  </si>
  <si>
    <t>KY612839.1</t>
  </si>
  <si>
    <t>Staphylococcus phage IME1318_01</t>
  </si>
  <si>
    <t>KY653116.1</t>
  </si>
  <si>
    <t>Staphylococcus phage IME1323_01</t>
  </si>
  <si>
    <t>Salmonella enterica subsp. enterica serovar Enteritidis str. EC20121970</t>
  </si>
  <si>
    <t>KY653117.1</t>
  </si>
  <si>
    <t>Morganella phage IME1369_02</t>
  </si>
  <si>
    <t>KY653119.1</t>
  </si>
  <si>
    <t>Staphylococcus phage IME1348_01</t>
  </si>
  <si>
    <t>KY653120.1</t>
  </si>
  <si>
    <t>Staphylococcus phage IME1361_01</t>
  </si>
  <si>
    <t>KY653123.1</t>
  </si>
  <si>
    <t>Salmonella enterica subsp. enterica serovar Enteritidis str. EC20121976</t>
  </si>
  <si>
    <t>Staphylococcus phage IME1367_01</t>
  </si>
  <si>
    <t>KY653124.1</t>
  </si>
  <si>
    <t>Staphylococcus phage IME1346_01</t>
  </si>
  <si>
    <t>KY653125.1</t>
  </si>
  <si>
    <t>Staphylococcus phage IME1354_01</t>
  </si>
  <si>
    <t>KY653126.1</t>
  </si>
  <si>
    <t>Salmonella enterica subsp. enterica serovar Enteritidis str. EC20121986</t>
  </si>
  <si>
    <t>Staphylococcus phage IME1365_01</t>
  </si>
  <si>
    <t>KY653129.1</t>
  </si>
  <si>
    <t>Morganella phage IME1369_01</t>
  </si>
  <si>
    <t>KY653118.1</t>
  </si>
  <si>
    <t>Staphylococcus phage IME1367_02</t>
  </si>
  <si>
    <t>KY653121.1</t>
  </si>
  <si>
    <t>Morganella phage IME1369_03</t>
  </si>
  <si>
    <t>Salmonella enterica subsp. enterica serovar Enteritidis str. EC20121989</t>
  </si>
  <si>
    <t>KY653122.1</t>
  </si>
  <si>
    <t>Corynebacterium phage IME1320_01</t>
  </si>
  <si>
    <t>KY653127.1</t>
  </si>
  <si>
    <t>Staphylococcus phage IME1364_01</t>
  </si>
  <si>
    <t>KY653128.1</t>
  </si>
  <si>
    <t>Thermus phage phiOH3</t>
  </si>
  <si>
    <t>LC035386.1</t>
  </si>
  <si>
    <t>Thermus phage phiOH16</t>
  </si>
  <si>
    <t>Salmonella enterica subsp. enterica serovar Enteritidis str. EC20121990</t>
  </si>
  <si>
    <t>LC210520.1</t>
  </si>
  <si>
    <t>Staphylococcus phage SA7</t>
  </si>
  <si>
    <t>KY695153.1</t>
  </si>
  <si>
    <t>Proteus phage vB_PmiS-TH</t>
  </si>
  <si>
    <t>KY742649.2</t>
  </si>
  <si>
    <t>Staphylococcus phage qdsa001</t>
  </si>
  <si>
    <t>Salmonella enterica subsp. enterica serovar Enteritidis str. EC20122022</t>
  </si>
  <si>
    <t>KY779848.1</t>
  </si>
  <si>
    <t>Staphylococcus phage qdsa002</t>
  </si>
  <si>
    <t>KY779849.1</t>
  </si>
  <si>
    <t>Salmonella phage 29485</t>
  </si>
  <si>
    <t>KY709687.1</t>
  </si>
  <si>
    <t>Citrobacter phage CF1</t>
  </si>
  <si>
    <t>Salmonella enterica subsp. enterica serovar Enteritidis str. EC20122026</t>
  </si>
  <si>
    <t>KY694971.1</t>
  </si>
  <si>
    <t>Escherichia phage phiC120</t>
  </si>
  <si>
    <t>KY703222.1</t>
  </si>
  <si>
    <t>Mycobacterium phage GardenSalsa</t>
  </si>
  <si>
    <t>KY783914.1</t>
  </si>
  <si>
    <t>Mycobacterium phage Kingsley</t>
  </si>
  <si>
    <t>KY702574.1</t>
  </si>
  <si>
    <t>Salmonella enterica subsp. enterica serovar Enteritidis str. EC20122031</t>
  </si>
  <si>
    <t>Shewanella phage SppYZU05</t>
  </si>
  <si>
    <t>KY709296.1</t>
  </si>
  <si>
    <t>Escherichia phage vB_EcoM_ECOO78</t>
  </si>
  <si>
    <t>KY705409.1</t>
  </si>
  <si>
    <t>Klebsiella phage KOX1</t>
  </si>
  <si>
    <t>KY780482.1</t>
  </si>
  <si>
    <t>Clostridioides phage phiSemix9P1</t>
  </si>
  <si>
    <t>KX905163.1</t>
  </si>
  <si>
    <t>Salmonella enterica subsp. enterica serovar Enteritidis str. EC20122033</t>
  </si>
  <si>
    <t>Streptococcus phage P0091</t>
  </si>
  <si>
    <t>KY705251.1</t>
  </si>
  <si>
    <t>Streptococcus phage P0092</t>
  </si>
  <si>
    <t>KY705252.1</t>
  </si>
  <si>
    <t>Streptococcus phage P0093</t>
  </si>
  <si>
    <t>KY705253.1</t>
  </si>
  <si>
    <t>Salmonella enterica subsp. enterica serovar Enteritidis str. EC20122045</t>
  </si>
  <si>
    <t>Streptococcus phage P0094</t>
  </si>
  <si>
    <t>KY705254.1</t>
  </si>
  <si>
    <t>Streptococcus phage P0095</t>
  </si>
  <si>
    <t>KY705255.1</t>
  </si>
  <si>
    <t>Streptococcus phage P3681</t>
  </si>
  <si>
    <t>KY705256.1</t>
  </si>
  <si>
    <t>Streptococcus phage P3684</t>
  </si>
  <si>
    <t>Salmonella enterica subsp. enterica serovar Enteritidis str. EC20130345</t>
  </si>
  <si>
    <t>KY705257.1</t>
  </si>
  <si>
    <t>Streptococcus phage P4761</t>
  </si>
  <si>
    <t>KY705258.1</t>
  </si>
  <si>
    <t>Streptococcus phage P5641</t>
  </si>
  <si>
    <t>KY705259.1</t>
  </si>
  <si>
    <t>Streptococcus phage P5651</t>
  </si>
  <si>
    <t>KY705260.1</t>
  </si>
  <si>
    <t>Streptococcus phage P5652</t>
  </si>
  <si>
    <t>Salmonella enterica subsp. enterica serovar Enteritidis str. EC20130346</t>
  </si>
  <si>
    <t>KY705261.1</t>
  </si>
  <si>
    <t>Streptococcus phage P7132</t>
  </si>
  <si>
    <t>KY705262.1</t>
  </si>
  <si>
    <t>Streptococcus phage P7133</t>
  </si>
  <si>
    <t>KY705263.1</t>
  </si>
  <si>
    <t>Streptococcus phage P7134</t>
  </si>
  <si>
    <t>KY705264.1</t>
  </si>
  <si>
    <t>Salmonella enterica subsp. enterica serovar Enteritidis str. EC20130347</t>
  </si>
  <si>
    <t>Streptococcus phage P7151</t>
  </si>
  <si>
    <t>KY705265.1</t>
  </si>
  <si>
    <t>Streptococcus phage P7152</t>
  </si>
  <si>
    <t>KY705266.1</t>
  </si>
  <si>
    <t>Streptococcus phage P7154</t>
  </si>
  <si>
    <t>KY705267.1</t>
  </si>
  <si>
    <t>Salmonella enterica subsp. enterica serovar Enteritidis str. EC20130348</t>
  </si>
  <si>
    <t>Streptococcus phage P7571</t>
  </si>
  <si>
    <t>KY705268.1</t>
  </si>
  <si>
    <t>Streptococcus phage P7572</t>
  </si>
  <si>
    <t>KY705269.1</t>
  </si>
  <si>
    <t>Streptococcus phage P7573</t>
  </si>
  <si>
    <t>KY705270.1</t>
  </si>
  <si>
    <t>Streptococcus phage P7574</t>
  </si>
  <si>
    <t>KY705271.1</t>
  </si>
  <si>
    <t>Streptococcus phage P7601</t>
  </si>
  <si>
    <t>Salmonella enterica subsp. enterica serovar Enteritidis str. P125109</t>
  </si>
  <si>
    <t>KY705272.1</t>
  </si>
  <si>
    <t>Streptococcus phage P7602</t>
  </si>
  <si>
    <t>KY705273.1</t>
  </si>
  <si>
    <t>Streptococcus phage P7631</t>
  </si>
  <si>
    <t>KY705274.1</t>
  </si>
  <si>
    <t>Streptococcus phage P7632</t>
  </si>
  <si>
    <t>KY705275.1</t>
  </si>
  <si>
    <t>Salmonella enterica subsp. enterica serovar Enteritidis str. SA19930684</t>
  </si>
  <si>
    <t>Streptococcus phage P7633</t>
  </si>
  <si>
    <t>KY705276.1</t>
  </si>
  <si>
    <t>Streptococcus phage P7951</t>
  </si>
  <si>
    <t>KY705277.1</t>
  </si>
  <si>
    <t>Streptococcus phage P7952</t>
  </si>
  <si>
    <t>KY705278.1</t>
  </si>
  <si>
    <t>Streptococcus phage P7953</t>
  </si>
  <si>
    <t>Salmonella enterica subsp. enterica serovar Enteritidis str. SA19940857</t>
  </si>
  <si>
    <t>KY705279.1</t>
  </si>
  <si>
    <t>Streptococcus phage P7954</t>
  </si>
  <si>
    <t>KY705280.1</t>
  </si>
  <si>
    <t>Streptococcus phage P7955</t>
  </si>
  <si>
    <t>KY705281.1</t>
  </si>
  <si>
    <t>Streptococcus phage P8921</t>
  </si>
  <si>
    <t>Salmonella enterica subsp. enterica serovar Enteritidis str. SA19942384</t>
  </si>
  <si>
    <t>KY705282.1</t>
  </si>
  <si>
    <t>Streptococcus phage P8922</t>
  </si>
  <si>
    <t>KY705283.1</t>
  </si>
  <si>
    <t>Streptococcus phage P9851</t>
  </si>
  <si>
    <t>KY705284.1</t>
  </si>
  <si>
    <t>Salmonella enterica subsp. enterica serovar Enteritidis str. SA19943269</t>
  </si>
  <si>
    <t>Streptococcus phage P9852</t>
  </si>
  <si>
    <t>KY705285.1</t>
  </si>
  <si>
    <t>Streptococcus phage P9853</t>
  </si>
  <si>
    <t>KY705286.1</t>
  </si>
  <si>
    <t>Streptococcus phage P9854</t>
  </si>
  <si>
    <t>KY705287.1</t>
  </si>
  <si>
    <t>Streptococcus phage P9901</t>
  </si>
  <si>
    <t>KY705288.1</t>
  </si>
  <si>
    <t>Streptococcus phage P9902</t>
  </si>
  <si>
    <t>KY705289.1</t>
  </si>
  <si>
    <t>Salmonella enterica subsp. enterica serovar Enteritidis str. SA19960848</t>
  </si>
  <si>
    <t>Streptococcus phage P9903</t>
  </si>
  <si>
    <t>KY705290.1</t>
  </si>
  <si>
    <t>Corynebacterium phage LGCM-V2</t>
  </si>
  <si>
    <t>KY613597.1</t>
  </si>
  <si>
    <t>Corynebacterium phage LGCM-V3</t>
  </si>
  <si>
    <t>KY624610.1</t>
  </si>
  <si>
    <t>Corynebacterium phage LGCM-V4</t>
  </si>
  <si>
    <t>Salmonella enterica subsp. enterica serovar Enteritidis str. SA19961622</t>
  </si>
  <si>
    <t>KY624611.1</t>
  </si>
  <si>
    <t>Corynebacterium phage LGCM-V5</t>
  </si>
  <si>
    <t>KY624613.1</t>
  </si>
  <si>
    <t>Corynebacterium phage LGCM-V6</t>
  </si>
  <si>
    <t>KY624612.1</t>
  </si>
  <si>
    <t>Corynebacterium phage LGCM-V7</t>
  </si>
  <si>
    <t>Salmonella enterica subsp. enterica serovar Enteritidis str. SA19970510</t>
  </si>
  <si>
    <t>KY624614.1</t>
  </si>
  <si>
    <t>Corynebacterium phage LGCM-V8</t>
  </si>
  <si>
    <t>KY624615.1</t>
  </si>
  <si>
    <t>Corynebacterium phage LGCM-V9</t>
  </si>
  <si>
    <t>KY624616.1</t>
  </si>
  <si>
    <t>Salmonella phage LPST10</t>
  </si>
  <si>
    <t>KY860935.1</t>
  </si>
  <si>
    <t>Salmonella enterica subsp. enterica serovar Enteritidis str. SA19970769</t>
  </si>
  <si>
    <t>Rhodococcus phage Toil</t>
  </si>
  <si>
    <t>KY817360.1</t>
  </si>
  <si>
    <t>Aeromonas phage phiA8-29</t>
  </si>
  <si>
    <t>KY914485.1</t>
  </si>
  <si>
    <t>Xanthomonas phage Xf409</t>
  </si>
  <si>
    <t>KY853667.1</t>
  </si>
  <si>
    <t>Sphingobium phage Lacusarx</t>
  </si>
  <si>
    <t>KY629563.1</t>
  </si>
  <si>
    <t>Salmonella enterica subsp. enterica serovar Enteritidis str. SA19971331</t>
  </si>
  <si>
    <t>Staphylococcus phage phiIBB-SEP1</t>
  </si>
  <si>
    <t>KF021268.1</t>
  </si>
  <si>
    <t>Sinorhizobium phage phiM7</t>
  </si>
  <si>
    <t>KR052480.1</t>
  </si>
  <si>
    <t>Arthrobacter phage Brent</t>
  </si>
  <si>
    <t>KT365401.1</t>
  </si>
  <si>
    <t>Salmonella enterica subsp. enterica serovar Enteritidis str. SA19980677</t>
  </si>
  <si>
    <t>Arthrobacter phage Jawnski</t>
  </si>
  <si>
    <t>KU160651.1</t>
  </si>
  <si>
    <t>Arthrobacter phage Martha</t>
  </si>
  <si>
    <t>KU160656.1</t>
  </si>
  <si>
    <t>Arthrobacter phage Sonny</t>
  </si>
  <si>
    <t>KU160665.1</t>
  </si>
  <si>
    <t>Pseudomonas phage LKO4</t>
  </si>
  <si>
    <t>KC758116.1</t>
  </si>
  <si>
    <t>Salmonella enterica subsp. enterica serovar Enteritidis str. SA19981522</t>
  </si>
  <si>
    <t>Escherichia phage PA28</t>
  </si>
  <si>
    <t>KP682381.1</t>
  </si>
  <si>
    <t>Escherichia phage ECD7</t>
  </si>
  <si>
    <t>KY683735.1</t>
  </si>
  <si>
    <t>Escherichia phage V18</t>
  </si>
  <si>
    <t>KY683736.1</t>
  </si>
  <si>
    <t>Salmonella enterica subsp. enterica serovar Enteritidis str. SA19981857</t>
  </si>
  <si>
    <t>Staphylococcus phage vB_Sau_CG</t>
  </si>
  <si>
    <t>KY794641.1</t>
  </si>
  <si>
    <t>Staphylococcus phage vB_Sau_Clo6</t>
  </si>
  <si>
    <t>KY794642.1</t>
  </si>
  <si>
    <t>Staphylococcus phage vB_Sau_S24</t>
  </si>
  <si>
    <t>KY794643.1</t>
  </si>
  <si>
    <t>Bacillus phage Harambe</t>
  </si>
  <si>
    <t>Salmonella enterica subsp. enterica serovar Enteritidis str. SA19982831</t>
  </si>
  <si>
    <t>KY821088.1</t>
  </si>
  <si>
    <t>Pseudomonas virus WRT</t>
  </si>
  <si>
    <t>KY798120.1</t>
  </si>
  <si>
    <t>Pseudomonas virus KNP</t>
  </si>
  <si>
    <t>KY798121.1</t>
  </si>
  <si>
    <t>Arthrobacter phage Bennie</t>
  </si>
  <si>
    <t>Salmonella enterica subsp. enterica serovar Enteritidis str. SA19983126</t>
  </si>
  <si>
    <t>KU160640.2</t>
  </si>
  <si>
    <t>Arthrobacter phage DrRobert</t>
  </si>
  <si>
    <t>KU160643.1</t>
  </si>
  <si>
    <t>Arthrobacter phage Glenn</t>
  </si>
  <si>
    <t>KU160645.1</t>
  </si>
  <si>
    <t>Arthrobacter phage HunterDalle</t>
  </si>
  <si>
    <t>Salmonella enterica subsp. enterica serovar Enteritidis str. SA19992322</t>
  </si>
  <si>
    <t>KU160648.1</t>
  </si>
  <si>
    <t>Arthrobacter phage Joann</t>
  </si>
  <si>
    <t>KU160652.1</t>
  </si>
  <si>
    <t>Arthrobacter phage Korra</t>
  </si>
  <si>
    <t>KU160653.2</t>
  </si>
  <si>
    <t>Arthrobacter phage Preamble</t>
  </si>
  <si>
    <t>KU160659.1</t>
  </si>
  <si>
    <t>Arthrobacter phage Pumancara</t>
  </si>
  <si>
    <t>Salmonella enterica subsp. enterica serovar Enteritidis str. SA19994216</t>
  </si>
  <si>
    <t>KU160661.1</t>
  </si>
  <si>
    <t>Arthrobacter phage Wayne</t>
  </si>
  <si>
    <t>KU160672.2</t>
  </si>
  <si>
    <t>Arthrobacter phage Laroye</t>
  </si>
  <si>
    <t>KU160654.1</t>
  </si>
  <si>
    <t>Arthrobacter phage Circum</t>
  </si>
  <si>
    <t>Salmonella enterica subsp. enterica serovar Enteritidis str. SA20082034</t>
  </si>
  <si>
    <t>KU160642.1</t>
  </si>
  <si>
    <t>Arthrobacter phage Amigo</t>
  </si>
  <si>
    <t>KU160638.1</t>
  </si>
  <si>
    <t>Salmonella enterica subsp. enterica serovar Enteritidis str. SA20083456</t>
  </si>
  <si>
    <t>Gordonia phage Katyusha</t>
  </si>
  <si>
    <t>KU963258.1</t>
  </si>
  <si>
    <t>Arthrobacter phage CaptnMurica</t>
  </si>
  <si>
    <t>KU160641.1</t>
  </si>
  <si>
    <t>Arthrobacter phage Gordon</t>
  </si>
  <si>
    <t>KU160646.1</t>
  </si>
  <si>
    <t>Pseudomonas phage PaMx25</t>
  </si>
  <si>
    <t>Salmonella enterica subsp. enterica serovar Enteritidis str. SA20083636</t>
  </si>
  <si>
    <t>JQ067084.3</t>
  </si>
  <si>
    <t>Propionibacterium phage Keiki</t>
  </si>
  <si>
    <t>KR337649.1</t>
  </si>
  <si>
    <t>Propionibacterium phage PHL067M01</t>
  </si>
  <si>
    <t>KJ578765.1</t>
  </si>
  <si>
    <t>Propionibacterium phage PHL082M03</t>
  </si>
  <si>
    <t>KJ578770.1</t>
  </si>
  <si>
    <t>Salmonella enterica subsp. enterica serovar Enteritidis str. SA20084384</t>
  </si>
  <si>
    <t>Propionibacterium phage PHL117M00</t>
  </si>
  <si>
    <t>KJ578778.1</t>
  </si>
  <si>
    <t>Propionibacterium phage PHL117M01</t>
  </si>
  <si>
    <t>KJ578779.1</t>
  </si>
  <si>
    <t>Propionibacterium phage PHL151M00</t>
  </si>
  <si>
    <t>KJ578783.1</t>
  </si>
  <si>
    <t>Propionibacterium phage PHL151N00</t>
  </si>
  <si>
    <t>Salmonella enterica subsp. enterica serovar Enteritidis str. SA20084644</t>
  </si>
  <si>
    <t>KJ578784.1</t>
  </si>
  <si>
    <t>Propionibacterium phage PHL163M00</t>
  </si>
  <si>
    <t>KJ578786.1</t>
  </si>
  <si>
    <t>Propionibacterium phage PHL194M00</t>
  </si>
  <si>
    <t>KJ578789.1</t>
  </si>
  <si>
    <t>Propionibacterium phage PHL308M00</t>
  </si>
  <si>
    <t>KJ578792.1</t>
  </si>
  <si>
    <t>Roseobacter phage RDJL Phi 2</t>
  </si>
  <si>
    <t>Salmonella enterica subsp. enterica serovar Enteritidis str. SA20084824</t>
  </si>
  <si>
    <t>KT266805.1</t>
  </si>
  <si>
    <t>Enterococcus phage IMEEF1</t>
  </si>
  <si>
    <t>KF192053.1</t>
  </si>
  <si>
    <t>Enterococcus phage SAP6</t>
  </si>
  <si>
    <t>JF731128.1</t>
  </si>
  <si>
    <t>Arthrobacter phage Tank</t>
  </si>
  <si>
    <t>KU160669.1</t>
  </si>
  <si>
    <t>Salmonella enterica subsp. enterica serovar Enteritidis str. SA20085285</t>
  </si>
  <si>
    <t>Tsukamurella phage TIN4</t>
  </si>
  <si>
    <t>KR011064.1</t>
  </si>
  <si>
    <t>Rhodobacter phage RcSpartan</t>
  </si>
  <si>
    <t>KR935215.1</t>
  </si>
  <si>
    <t>Pseudomonas phage phiR18</t>
  </si>
  <si>
    <t>LC102729.1</t>
  </si>
  <si>
    <t>Sulfolobus polyhedral virus 1</t>
  </si>
  <si>
    <t>KY780159.1</t>
  </si>
  <si>
    <t>Mycobacterium phage Ares</t>
  </si>
  <si>
    <t>JN699004.1</t>
  </si>
  <si>
    <t>Salmonella enterica subsp. enterica serovar Enteritidis str. SA20090419</t>
  </si>
  <si>
    <t>Mycobacterium phage Athena</t>
  </si>
  <si>
    <t>JN699003.1</t>
  </si>
  <si>
    <t>Mycobacterium phage Journey13</t>
  </si>
  <si>
    <t>KY798216.1</t>
  </si>
  <si>
    <t>Acinetobacter phage WCHABP1</t>
  </si>
  <si>
    <t>KY829116.2</t>
  </si>
  <si>
    <t>Salmonella enterica subsp. enterica serovar Enteritidis str. SA20090435</t>
  </si>
  <si>
    <t>Bacillus phage SerPounce</t>
  </si>
  <si>
    <t>KY947509.1</t>
  </si>
  <si>
    <t>Mycobacterium phage Shandong1</t>
  </si>
  <si>
    <t>KY945355.1</t>
  </si>
  <si>
    <t>Bradyrhizobium phage BDU-MI-1</t>
  </si>
  <si>
    <t>KY940711.1</t>
  </si>
  <si>
    <t>Salmonella enterica subsp. enterica serovar Enteritidis str. SA20090877</t>
  </si>
  <si>
    <t>Bacillus phage BeachBum</t>
  </si>
  <si>
    <t>KY921761.1</t>
  </si>
  <si>
    <t>Bacillus phage Flapjack</t>
  </si>
  <si>
    <t>KY888882.1</t>
  </si>
  <si>
    <t>Acinetobacter phage WCHABP5</t>
  </si>
  <si>
    <t>KY888680.2</t>
  </si>
  <si>
    <t>Salmonella enterica subsp. enterica serovar Enteritidis str. SA20091739</t>
  </si>
  <si>
    <t>Pseudomonas phage vB_PaeM_G1</t>
  </si>
  <si>
    <t>KY994101.1</t>
  </si>
  <si>
    <t>Flavobacterium phage V175</t>
  </si>
  <si>
    <t>KY992519.1</t>
  </si>
  <si>
    <t>Flavobacterium phage V181</t>
  </si>
  <si>
    <t>KY992520.1</t>
  </si>
  <si>
    <t>Escherichia phage vB_EcoS_SH2</t>
  </si>
  <si>
    <t>KY985004.1</t>
  </si>
  <si>
    <t>Salmonella enterica subsp. enterica serovar Enteritidis str. SA20092320</t>
  </si>
  <si>
    <t>Synechococcus phage S-H35</t>
  </si>
  <si>
    <t>KY945241.1</t>
  </si>
  <si>
    <t>Mycobacterium phage Zenon</t>
  </si>
  <si>
    <t>KY969628.1</t>
  </si>
  <si>
    <t>Mycobacterium phage BlackStallion</t>
  </si>
  <si>
    <t>KY965066.1</t>
  </si>
  <si>
    <t>Mycobacterium phage Heffalump</t>
  </si>
  <si>
    <t>Salmonella enterica subsp. enterica serovar Enteritidis str. SA20093266</t>
  </si>
  <si>
    <t>KY965065.1</t>
  </si>
  <si>
    <t>Mycobacterium phage Pippy</t>
  </si>
  <si>
    <t>KY965064.1</t>
  </si>
  <si>
    <t>Mycobacterium phage PurpleHaze</t>
  </si>
  <si>
    <t>KY965063.1</t>
  </si>
  <si>
    <t>Bacillus phage Carmel_SA</t>
  </si>
  <si>
    <t>KY963371.1</t>
  </si>
  <si>
    <t>Salmonella enterica subsp. enterica serovar Enteritidis str. SA20093421</t>
  </si>
  <si>
    <t>Bacillus phage Negev_SA</t>
  </si>
  <si>
    <t>KY963370.1</t>
  </si>
  <si>
    <t>Bacillus phage SNalpha300</t>
  </si>
  <si>
    <t>KY963372.1</t>
  </si>
  <si>
    <t>Bacillus phage Tavor_SA</t>
  </si>
  <si>
    <t>KY963369.1</t>
  </si>
  <si>
    <t>Salmonella enterica subsp. enterica serovar Enteritidis str. SA20093430</t>
  </si>
  <si>
    <t>Flavobacterium phage FCV-11</t>
  </si>
  <si>
    <t>KY951964.1</t>
  </si>
  <si>
    <t>Flavobacterium phage FCV-3</t>
  </si>
  <si>
    <t>KY951963.1</t>
  </si>
  <si>
    <t>Propionibacterium phage PacnesP1</t>
  </si>
  <si>
    <t>KY926792.1</t>
  </si>
  <si>
    <t>Propionibacterium phage PacnesP2</t>
  </si>
  <si>
    <t>Salmonella enterica subsp. enterica serovar Enteritidis str. SA20093538</t>
  </si>
  <si>
    <t>KY926793.1</t>
  </si>
  <si>
    <t>Dickeya phage JA15</t>
  </si>
  <si>
    <t>KY942056.1</t>
  </si>
  <si>
    <t>Dickeya phage XF4</t>
  </si>
  <si>
    <t>KY942057.1</t>
  </si>
  <si>
    <t>Mycobacterium phage Jebeks</t>
  </si>
  <si>
    <t>JN572061.1</t>
  </si>
  <si>
    <t>Mycobacterium phage Bongo</t>
  </si>
  <si>
    <t>Salmonella enterica subsp. enterica serovar Enteritidis str. SA20093543</t>
  </si>
  <si>
    <t>JN699628.1</t>
  </si>
  <si>
    <t>Mycobacterium phage Rey</t>
  </si>
  <si>
    <t>JF937105.1</t>
  </si>
  <si>
    <t>Escherichia phage ST31</t>
  </si>
  <si>
    <t>KY962008.1</t>
  </si>
  <si>
    <t>Flavobacterium phage FCV-10</t>
  </si>
  <si>
    <t>KY979236.1</t>
  </si>
  <si>
    <t>Salmonella enterica subsp. enterica serovar Enteritidis str. SA20093784</t>
  </si>
  <si>
    <t>Flavobacterium phage FCV-16</t>
  </si>
  <si>
    <t>KY979237.1</t>
  </si>
  <si>
    <t>Flavobacterium phage V156</t>
  </si>
  <si>
    <t>KY979239.1</t>
  </si>
  <si>
    <t>Flavobacterium phage V157</t>
  </si>
  <si>
    <t>KY979240.1</t>
  </si>
  <si>
    <t>Flavobacterium phage V165</t>
  </si>
  <si>
    <t>Salmonella enterica subsp. enterica serovar Enteritidis str. SA20093788</t>
  </si>
  <si>
    <t>KY979241.1</t>
  </si>
  <si>
    <t>Flavobacterium phage V182</t>
  </si>
  <si>
    <t>KY979242.1</t>
  </si>
  <si>
    <t>Flavobacterium phage VK20</t>
  </si>
  <si>
    <t>KY979243.1</t>
  </si>
  <si>
    <t>Flavobacterium phage VK42</t>
  </si>
  <si>
    <t>KY979244.1</t>
  </si>
  <si>
    <t>Salmonella enterica subsp. enterica serovar Enteritidis str. SA20093950</t>
  </si>
  <si>
    <t>Flavobacterium phage VK48</t>
  </si>
  <si>
    <t>KY979245.1</t>
  </si>
  <si>
    <t>Flavobacterium phage VK52</t>
  </si>
  <si>
    <t>KY979246.1</t>
  </si>
  <si>
    <t>Flavobacterium phage VK58</t>
  </si>
  <si>
    <t>KY979247.1</t>
  </si>
  <si>
    <t>Salmonella enterica subsp. enterica serovar Enteritidis str. SA20093977</t>
  </si>
  <si>
    <t>Flavoibacterium phage FCV-20</t>
  </si>
  <si>
    <t>KY979238.1</t>
  </si>
  <si>
    <t>Erwinia phage vB_EamM_Deimos-Minion</t>
  </si>
  <si>
    <t>KU886225.1</t>
  </si>
  <si>
    <t>Erwinia phage vB_EamM_RAY</t>
  </si>
  <si>
    <t>KU886224.1</t>
  </si>
  <si>
    <t>Erwinia phage vB_EamM_Simmy50</t>
  </si>
  <si>
    <t>KU886223.1</t>
  </si>
  <si>
    <t>Erwinia phage vB_EamM_Special G</t>
  </si>
  <si>
    <t>KU886222.1</t>
  </si>
  <si>
    <t>Salmonella enterica subsp. enterica serovar Enteritidis str. SA20094079</t>
  </si>
  <si>
    <t>Brevibacillus phage Jimmer2</t>
  </si>
  <si>
    <t>KC595514.1</t>
  </si>
  <si>
    <t>Citrobacter phage Mordin</t>
  </si>
  <si>
    <t>KT363872.2</t>
  </si>
  <si>
    <t>Erwinia phage vB_Eam-MM7</t>
  </si>
  <si>
    <t>HQ728263.1</t>
  </si>
  <si>
    <t>Escherichia coli O157 typing phage 1</t>
  </si>
  <si>
    <t>KP869100.1</t>
  </si>
  <si>
    <t>Enterobacter phage phiEap-3</t>
  </si>
  <si>
    <t>KT321315.1</t>
  </si>
  <si>
    <t>Salmonella enterica subsp. enterica serovar Enteritidis str. SA20094177</t>
  </si>
  <si>
    <t>Klebsiella phage Miro</t>
  </si>
  <si>
    <t>KT001919.1</t>
  </si>
  <si>
    <t>Xanthomonas phage f20-Xaj</t>
  </si>
  <si>
    <t>KU595432.1</t>
  </si>
  <si>
    <t>Xanthomonas phage f30-Xaj</t>
  </si>
  <si>
    <t>KU595433.1</t>
  </si>
  <si>
    <t>Human gokushovirus</t>
  </si>
  <si>
    <t>KX513864.1</t>
  </si>
  <si>
    <t>Human gut microviridae SH-CHD12</t>
  </si>
  <si>
    <t>KX513875.1</t>
  </si>
  <si>
    <t>Salmonella enterica subsp. enterica serovar Enteritidis str. SA20094301</t>
  </si>
  <si>
    <t>Human gut microviridae SH-CHD8</t>
  </si>
  <si>
    <t>KX513871.1</t>
  </si>
  <si>
    <t>Mycobacterium phage Twister</t>
  </si>
  <si>
    <t>JQ512844.1</t>
  </si>
  <si>
    <t>Mycobacterium phage Timshel</t>
  </si>
  <si>
    <t>JF957060.1</t>
  </si>
  <si>
    <t>Mycobacterium phage Tiger</t>
  </si>
  <si>
    <t>JQ684677.1</t>
  </si>
  <si>
    <t>Mycobacterium virus Ta17a</t>
  </si>
  <si>
    <t>KF024722.1</t>
  </si>
  <si>
    <t>Mycobacterium phage Switzer</t>
  </si>
  <si>
    <t>Salmonella enterica subsp. enterica serovar Enteritidis str. SA20094350</t>
  </si>
  <si>
    <t>JF937108.1</t>
  </si>
  <si>
    <t>Mycobacterium phage Spartacus</t>
  </si>
  <si>
    <t>JQ300538.1</t>
  </si>
  <si>
    <t>Mycobacterium phage SirDuracell</t>
  </si>
  <si>
    <t>JF937106.1</t>
  </si>
  <si>
    <t>Mycobacterium phage ShiLan</t>
  </si>
  <si>
    <t>JN020143.1</t>
  </si>
  <si>
    <t>Mycobacterium phage Shauna1</t>
  </si>
  <si>
    <t>JN020141.1</t>
  </si>
  <si>
    <t>Escherichia phage ST0</t>
  </si>
  <si>
    <t>MF044457.1</t>
  </si>
  <si>
    <t>Salmonella enterica subsp. enterica serovar Enteritidis str. SA20094352</t>
  </si>
  <si>
    <t>Escherichia phage ST32</t>
  </si>
  <si>
    <t>MF044458.1</t>
  </si>
  <si>
    <t>Pasteurella phage PHB02</t>
  </si>
  <si>
    <t>MF034659.1</t>
  </si>
  <si>
    <t>Salmonella phage vB_SenS_AG11</t>
  </si>
  <si>
    <t>JX297445.1</t>
  </si>
  <si>
    <t>Salmonella phage wksl3</t>
  </si>
  <si>
    <t>JX202565.1</t>
  </si>
  <si>
    <t>Sinorhizobium phage phiM5</t>
  </si>
  <si>
    <t>MF074189.1</t>
  </si>
  <si>
    <t>Mycobacterium phage Sebata</t>
  </si>
  <si>
    <t>JN204348.1</t>
  </si>
  <si>
    <t>Salmonella enterica subsp. enterica serovar Enteritidis str. SA20094383</t>
  </si>
  <si>
    <t>Pseudomonas phage Phabio</t>
  </si>
  <si>
    <t>MF042360.1</t>
  </si>
  <si>
    <t>Pseudomonas phage Skulduggery</t>
  </si>
  <si>
    <t>MF042361.1</t>
  </si>
  <si>
    <t>Pseudomonas phage Noxifer</t>
  </si>
  <si>
    <t>MF063068.1</t>
  </si>
  <si>
    <t>Shigella phage vB_SsoS-ISF002</t>
  </si>
  <si>
    <t>MF093736.1</t>
  </si>
  <si>
    <t>Mycobacterium phage Porcelain</t>
  </si>
  <si>
    <t>MF072690.1</t>
  </si>
  <si>
    <t>Salmonella enterica subsp. enterica serovar Enteritidis str. SA20094389</t>
  </si>
  <si>
    <t>Escherichia phage ST2</t>
  </si>
  <si>
    <t>MF153391.1</t>
  </si>
  <si>
    <t>Mycobacterium phage ZenTime222</t>
  </si>
  <si>
    <t>MF155936.1</t>
  </si>
  <si>
    <t>Streptococcus phage D4276</t>
  </si>
  <si>
    <t>MF161328.1</t>
  </si>
  <si>
    <t>Pasteurella phage PHB01</t>
  </si>
  <si>
    <t>MF166859.1</t>
  </si>
  <si>
    <t>Serratia phage CBH8</t>
  </si>
  <si>
    <t>MF036691.1</t>
  </si>
  <si>
    <t>Serratia phage CHI14</t>
  </si>
  <si>
    <t>MF036690.1</t>
  </si>
  <si>
    <t>Serratia phage X20</t>
  </si>
  <si>
    <t>MF036692.1</t>
  </si>
  <si>
    <t>Salmonella enterica subsp. enterica serovar Enteritidis str. SA20094521</t>
  </si>
  <si>
    <t>Acidovorax phage ACP17</t>
  </si>
  <si>
    <t>KY979132.2</t>
  </si>
  <si>
    <t>Stenotrophomonas phage phiSMA6</t>
  </si>
  <si>
    <t>HG315669.1</t>
  </si>
  <si>
    <t>Arthrobacter phage Niktson</t>
  </si>
  <si>
    <t>MF038790.1</t>
  </si>
  <si>
    <t>Arthrobacter phage ElephantMan</t>
  </si>
  <si>
    <t>MF038791.1</t>
  </si>
  <si>
    <t>Mycobacterium phage Lucky2013</t>
  </si>
  <si>
    <t>MF133445.1</t>
  </si>
  <si>
    <t>Mycobacterium phage Bogie</t>
  </si>
  <si>
    <t>MF133446.1</t>
  </si>
  <si>
    <t>Salmonella enterica subsp. enterica serovar Enteritidis str. SA20094642</t>
  </si>
  <si>
    <t>Escherichia phage D6</t>
  </si>
  <si>
    <t>MF356679.1</t>
  </si>
  <si>
    <t>Erwinia phage EtG</t>
  </si>
  <si>
    <t>MF276773.1</t>
  </si>
  <si>
    <t>Acinetobacter phage AbP2</t>
  </si>
  <si>
    <t>MF346584.1</t>
  </si>
  <si>
    <t>Streptomyces phage Warpy</t>
  </si>
  <si>
    <t>MF358541.1</t>
  </si>
  <si>
    <t>Streptomyces phage Sushi23</t>
  </si>
  <si>
    <t>MF358542.1</t>
  </si>
  <si>
    <t>Escherichia phage ECP1</t>
  </si>
  <si>
    <t>Salmonella enterica subsp. enterica serovar Enteritidis str. SA20094682</t>
  </si>
  <si>
    <t>KY979108.1</t>
  </si>
  <si>
    <t>Salmonella phage SHP1</t>
  </si>
  <si>
    <t>KY979109.1</t>
  </si>
  <si>
    <t>Mycobacterium phage Fred313</t>
  </si>
  <si>
    <t>MF373840.1</t>
  </si>
  <si>
    <t>Mycobacterium phage Hurricane</t>
  </si>
  <si>
    <t>MF373841.1</t>
  </si>
  <si>
    <t>Mycobacterium phage StevieRay</t>
  </si>
  <si>
    <t>MF373843.1</t>
  </si>
  <si>
    <t>Rhodococcus phage Jester</t>
  </si>
  <si>
    <t>MF373842.1</t>
  </si>
  <si>
    <t>Salmonella enterica subsp. enterica serovar Enteritidis str. SA20094803</t>
  </si>
  <si>
    <t>Salicola phage SCTP-2</t>
  </si>
  <si>
    <t>MF360958.1</t>
  </si>
  <si>
    <t>Arthrobacter phage Beans</t>
  </si>
  <si>
    <t>MF324907.1</t>
  </si>
  <si>
    <t>Arthrobacter phage Cheesy</t>
  </si>
  <si>
    <t>MF324906.1</t>
  </si>
  <si>
    <t>Mycobacterium phage Amgine</t>
  </si>
  <si>
    <t>MF324915.1</t>
  </si>
  <si>
    <t>Mycobacterium phage Cain</t>
  </si>
  <si>
    <t>Salmonella enterica subsp. enterica serovar Enteritidis str. SA20095309</t>
  </si>
  <si>
    <t>MF324913.1</t>
  </si>
  <si>
    <t>Mycobacterium phage GuuelaD</t>
  </si>
  <si>
    <t>MF324910.1</t>
  </si>
  <si>
    <t>Mycobacterium phage Krueger</t>
  </si>
  <si>
    <t>MF324914.1</t>
  </si>
  <si>
    <t>Mycobacterium phage Lokk</t>
  </si>
  <si>
    <t>MF324899.1</t>
  </si>
  <si>
    <t>Mycobacterium phage PhelpsODU</t>
  </si>
  <si>
    <t>Salmonella enterica subsp. enterica serovar Enteritidis str. SA20095440</t>
  </si>
  <si>
    <t>MF324909.1</t>
  </si>
  <si>
    <t>Mycobacterium phage Phrank</t>
  </si>
  <si>
    <t>MF324912.1</t>
  </si>
  <si>
    <t>Mycobacterium phage SirPhilip</t>
  </si>
  <si>
    <t>MF324911.1</t>
  </si>
  <si>
    <t>Mycobacterium phage Unicorn</t>
  </si>
  <si>
    <t>Salmonella enterica subsp. enterica serovar Enteritidis str. SA20100239</t>
  </si>
  <si>
    <t>MF324908.1</t>
  </si>
  <si>
    <t>Rhodococcus phage Alatin</t>
  </si>
  <si>
    <t>MF324905.1</t>
  </si>
  <si>
    <t>Rhodococcus phage AppleCloud</t>
  </si>
  <si>
    <t>MF324903.1</t>
  </si>
  <si>
    <t>Rhodococcus phage Hiro</t>
  </si>
  <si>
    <t>MF324898.1</t>
  </si>
  <si>
    <t>Salmonella enterica subsp. enterica serovar Enteritidis str. SA20100349</t>
  </si>
  <si>
    <t>Rhodococcus phage Krishelle</t>
  </si>
  <si>
    <t>MF324902.1</t>
  </si>
  <si>
    <t>Rhodococcus phage Naiad</t>
  </si>
  <si>
    <t>MF324901.1</t>
  </si>
  <si>
    <t>Rhodococcus phage RexFury</t>
  </si>
  <si>
    <t>Salmonella enterica subsp. enterica serovar Enteritidis str. SA20121703</t>
  </si>
  <si>
    <t>MF324904.1</t>
  </si>
  <si>
    <t>Rhodococcus phage StCroix</t>
  </si>
  <si>
    <t>MF324900.1</t>
  </si>
  <si>
    <t>Mycobacterium phage Ksquared</t>
  </si>
  <si>
    <t>MF281061.1</t>
  </si>
  <si>
    <t>Arthrobacter phage Colucci</t>
  </si>
  <si>
    <t>MF185718.1</t>
  </si>
  <si>
    <t>Arthrobacter phage Kabreeze</t>
  </si>
  <si>
    <t>MF185721.1</t>
  </si>
  <si>
    <t>Arthrobacter phage RosiePosie</t>
  </si>
  <si>
    <t>Salmonella enterica subsp. enterica serovar Enteritidis str. SA20123395</t>
  </si>
  <si>
    <t>MF185723.1</t>
  </si>
  <si>
    <t>Arthrobacter phage Scavito</t>
  </si>
  <si>
    <t>MF185724.1</t>
  </si>
  <si>
    <t>Arthrobacter phage Tophat</t>
  </si>
  <si>
    <t>MF185725.1</t>
  </si>
  <si>
    <t>Salmonella enterica subsp. enterica serovar Enteritidis strain Durban</t>
  </si>
  <si>
    <t>Arthrobacter phage Molivia</t>
  </si>
  <si>
    <t>MF185731.1</t>
  </si>
  <si>
    <t>Mycobacterium phage AlleyCat</t>
  </si>
  <si>
    <t>MF185717.1</t>
  </si>
  <si>
    <t>Mycobacterium phage Appletree2</t>
  </si>
  <si>
    <t>MF185726.1</t>
  </si>
  <si>
    <t>Mycobacterium phage BobSwaget</t>
  </si>
  <si>
    <t>Salmonella enterica subsp. enterica serovar Enteritidis strain FORC_007</t>
  </si>
  <si>
    <t>MF185727.1</t>
  </si>
  <si>
    <t>Mycobacterium phage Edugator</t>
  </si>
  <si>
    <t>MF185719.1</t>
  </si>
  <si>
    <t>Mycobacterium phage Guillsminger</t>
  </si>
  <si>
    <t>MF185720.1</t>
  </si>
  <si>
    <t>Mycobacterium phage KADY</t>
  </si>
  <si>
    <t>MF185729.1</t>
  </si>
  <si>
    <t>Salmonella enterica subsp. enterica serovar Enteritidis strain OLF-SE2-98984-6</t>
  </si>
  <si>
    <t>Mycobacterium phage Miley16</t>
  </si>
  <si>
    <t>MF185730.1</t>
  </si>
  <si>
    <t>Mycobacterium phage Peanam</t>
  </si>
  <si>
    <t>MF185722.1</t>
  </si>
  <si>
    <t>Mycobacterium phage Stagni</t>
  </si>
  <si>
    <t>MF185732.1</t>
  </si>
  <si>
    <t>Mycobacterium phage StepMih</t>
  </si>
  <si>
    <t>MF185733.1</t>
  </si>
  <si>
    <t>Corynebacterium phage Poushou</t>
  </si>
  <si>
    <t>Salmonella enterica subsp. enterica serovar Enteritidis strain OLF-SE3-98983-4</t>
  </si>
  <si>
    <t>MF197383.1</t>
  </si>
  <si>
    <t>Arthrobacter phage Abidatro</t>
  </si>
  <si>
    <t>MF140397.1</t>
  </si>
  <si>
    <t>Arthrobacter phage Canowicakte</t>
  </si>
  <si>
    <t>MF140400.1</t>
  </si>
  <si>
    <t>Arthrobacter phage Caterpillar</t>
  </si>
  <si>
    <t>MF140401.1</t>
  </si>
  <si>
    <t>Salmonella enterica subsp. enterica serovar Enteritidis strain SEE1</t>
  </si>
  <si>
    <t>Arthrobacter phage Christian</t>
  </si>
  <si>
    <t>MF140404.1</t>
  </si>
  <si>
    <t>Arthrobacter phage Dino</t>
  </si>
  <si>
    <t>Salmonella enterica subsp. enterica serovar Enteritidis strain SEE2</t>
  </si>
  <si>
    <t>MF140407.1</t>
  </si>
  <si>
    <t>Salmonella enterica subsp. enterica serovar Enteritidis strain SEJ</t>
  </si>
  <si>
    <t>Arthrobacter phage Elkhorn</t>
  </si>
  <si>
    <t>MF140409.1</t>
  </si>
  <si>
    <t>Arthrobacter phage KylieMac</t>
  </si>
  <si>
    <t>MF140415.1</t>
  </si>
  <si>
    <t>Arthrobacter phage LiSara</t>
  </si>
  <si>
    <t>MF140418.1</t>
  </si>
  <si>
    <t>Arthrobacter phage Link</t>
  </si>
  <si>
    <t>Salmonella enterica subsp. enterica serovar Gallinarum str. 287/91</t>
  </si>
  <si>
    <t>MF140417.1</t>
  </si>
  <si>
    <t>Arthrobacter phage Lore</t>
  </si>
  <si>
    <t>MF140419.1</t>
  </si>
  <si>
    <t>Arthrobacter phage Mariposa</t>
  </si>
  <si>
    <t>Salmonella enterica subsp. enterica serovar Gallinarum/pullorum str. CDC1983-67</t>
  </si>
  <si>
    <t>MF140420.1</t>
  </si>
  <si>
    <t>Arthrobacter phage Nightmare</t>
  </si>
  <si>
    <t>MF140423.1</t>
  </si>
  <si>
    <t>Arthrobacter phage Nubia</t>
  </si>
  <si>
    <t>MF140424.1</t>
  </si>
  <si>
    <t>Arthrobacter phage PitaDog</t>
  </si>
  <si>
    <t>Salmonella enterica subsp. enterica serovar Gallinarum/pullorum str. RKS5078</t>
  </si>
  <si>
    <t>MF140425.1</t>
  </si>
  <si>
    <t>Arthrobacter phage Seume</t>
  </si>
  <si>
    <t>MF140426.1</t>
  </si>
  <si>
    <t>Arthrobacter phage Shrooms</t>
  </si>
  <si>
    <t>MF140427.1</t>
  </si>
  <si>
    <t>Arthrobacter phage Swenson</t>
  </si>
  <si>
    <t>MF140429.1</t>
  </si>
  <si>
    <t>Arthrobacter phage Taj14</t>
  </si>
  <si>
    <t>Salmonella enterica subsp. enterica serovar Heidelberg str. 41578</t>
  </si>
  <si>
    <t>MF140431.1</t>
  </si>
  <si>
    <t>Arthrobacter phage Teacup</t>
  </si>
  <si>
    <t>MF140432.1</t>
  </si>
  <si>
    <t>Arthrobacter phage TinoCrisci</t>
  </si>
  <si>
    <t>MF140433.1</t>
  </si>
  <si>
    <t>Arthrobacter phage Wheelbite</t>
  </si>
  <si>
    <t>Salmonella enterica subsp. enterica serovar Heidelberg str. B182</t>
  </si>
  <si>
    <t>MF140434.1</t>
  </si>
  <si>
    <t>Mycobacterium phage Amohnition</t>
  </si>
  <si>
    <t>MF140398.1</t>
  </si>
  <si>
    <t>Mycobacterium phage Bartholomew</t>
  </si>
  <si>
    <t>MF140399.1</t>
  </si>
  <si>
    <t>Mycobacterium phage Chancellor</t>
  </si>
  <si>
    <t>MF140402.1</t>
  </si>
  <si>
    <t>Salmonella enterica subsp. enterica serovar Heidelberg str. CFSAN002064</t>
  </si>
  <si>
    <t>Mycobacterium phage Changeling</t>
  </si>
  <si>
    <t>MF140403.1</t>
  </si>
  <si>
    <t>Mycobacterium phage Clautastrophe</t>
  </si>
  <si>
    <t>MF140405.1</t>
  </si>
  <si>
    <t>Mycobacterium phage DarthP</t>
  </si>
  <si>
    <t>MF140406.1</t>
  </si>
  <si>
    <t>Mycobacterium phage DismalFunk</t>
  </si>
  <si>
    <t>Salmonella enterica subsp. enterica serovar Heidelberg str. CFSAN002069</t>
  </si>
  <si>
    <t>MF140408.1</t>
  </si>
  <si>
    <t>Mycobacterium phage Et2Brutus</t>
  </si>
  <si>
    <t>MF140410.1</t>
  </si>
  <si>
    <t>Mycobacterium phage Findley</t>
  </si>
  <si>
    <t>MF140411.1</t>
  </si>
  <si>
    <t>Mycobacterium phage Jeckyll</t>
  </si>
  <si>
    <t>MF140412.1</t>
  </si>
  <si>
    <t>Mycobacterium phage Kingsolomon</t>
  </si>
  <si>
    <t>Salmonella enterica subsp. enterica serovar Heidelberg str. SL476</t>
  </si>
  <si>
    <t>MF140413.1</t>
  </si>
  <si>
    <t>Mycobacterium phage Krypton555</t>
  </si>
  <si>
    <t>MF140414.1</t>
  </si>
  <si>
    <t>Mycobacterium phage LastHope</t>
  </si>
  <si>
    <t>MF140416.1</t>
  </si>
  <si>
    <t>Mycobacterium phage Nicholas</t>
  </si>
  <si>
    <t>Salmonella enterica subsp. enterica serovar Heidelberg strain 12-4374</t>
  </si>
  <si>
    <t>MF140421.1</t>
  </si>
  <si>
    <t>Mycobacterium phage Nicholasp3</t>
  </si>
  <si>
    <t>MF140422.1</t>
  </si>
  <si>
    <t>Mycobacterium phage Slimphazie</t>
  </si>
  <si>
    <t>MF140428.1</t>
  </si>
  <si>
    <t>Mycobacterium phage Tachez</t>
  </si>
  <si>
    <t>MF140430.1</t>
  </si>
  <si>
    <t>Mycobacterium phage Wintermute</t>
  </si>
  <si>
    <t>MF140435.1</t>
  </si>
  <si>
    <t>Alteromonas virus vB_AspP-H4/4</t>
  </si>
  <si>
    <t>MF278336.1</t>
  </si>
  <si>
    <t>Acinetobacter phage vB_AbaP_B1</t>
  </si>
  <si>
    <t>Salmonella enterica subsp. enterica serovar Heidelberg strain N13-01290</t>
  </si>
  <si>
    <t>MF033347.1</t>
  </si>
  <si>
    <t>Acinetobacter phage vB_AbaP_B3</t>
  </si>
  <si>
    <t>MF033348.1</t>
  </si>
  <si>
    <t>Acinetobacter phage vB_AbaP_B5</t>
  </si>
  <si>
    <t>MF033349.1</t>
  </si>
  <si>
    <t>Acinetobacter phage vB_ApiP_P1</t>
  </si>
  <si>
    <t>MF033350.1</t>
  </si>
  <si>
    <t>Salmonella enterica subsp. enterica serovar Heidelberg strain SA02DT10168701</t>
  </si>
  <si>
    <t>Acinetobacter phage vB_ApiP_P2</t>
  </si>
  <si>
    <t>MF033351.1</t>
  </si>
  <si>
    <t>Salmonella phage vB_SalP_PM43</t>
  </si>
  <si>
    <t>MF188997.1</t>
  </si>
  <si>
    <t>Escherichia phage OSYSP</t>
  </si>
  <si>
    <t>MF402939.1</t>
  </si>
  <si>
    <t>Ralstonia phage DU_RP_II</t>
  </si>
  <si>
    <t>MF150911.1</t>
  </si>
  <si>
    <t>Salmonella enterica subsp. enterica serovar Infantis strain 1326/28</t>
  </si>
  <si>
    <t>Bacillus phage vB_BveP-Goe6</t>
  </si>
  <si>
    <t>MF407276.1</t>
  </si>
  <si>
    <t>Marinomonas phage CB5A</t>
  </si>
  <si>
    <t>MF481197.1</t>
  </si>
  <si>
    <t>Salmonella enterica subsp. enterica serovar Java</t>
  </si>
  <si>
    <t>Flavobacterium phage FLiP</t>
  </si>
  <si>
    <t>MF361639.1</t>
  </si>
  <si>
    <t>Bacillus phage Juan</t>
  </si>
  <si>
    <t>MF156577.1</t>
  </si>
  <si>
    <t>Salmonella enterica subsp. enterica serovar Javiana str. CFSAN001992</t>
  </si>
  <si>
    <t>Bacillus phage KonjoTrouble</t>
  </si>
  <si>
    <t>MF156578.1</t>
  </si>
  <si>
    <t>Bacillus phage RadRaab</t>
  </si>
  <si>
    <t>MF156580.1</t>
  </si>
  <si>
    <t>Mycobacterium phage Spoonbill</t>
  </si>
  <si>
    <t>MF190168.1</t>
  </si>
  <si>
    <t>Salmonella enterica subsp. enterica serovar Montevideo str. USDA-ARS-USMARC-1903</t>
  </si>
  <si>
    <t>Mycobacterium phage LemonSlice</t>
  </si>
  <si>
    <t>MF155947.1</t>
  </si>
  <si>
    <t>Streptomyces phage Mildred21</t>
  </si>
  <si>
    <t>MF155946.1</t>
  </si>
  <si>
    <t>Salmonella phage ST11</t>
  </si>
  <si>
    <t>MF370225.1</t>
  </si>
  <si>
    <t>Streptomyces phage NootNoot</t>
  </si>
  <si>
    <t>Salmonella enterica subsp. enterica serovar Montevideo str. USDA-ARS-USMARC-1921</t>
  </si>
  <si>
    <t>MF347636.1</t>
  </si>
  <si>
    <t>Streptomyces phage Paradiddles</t>
  </si>
  <si>
    <t>MF347637.1</t>
  </si>
  <si>
    <t>Streptomyces phage Peebs</t>
  </si>
  <si>
    <t>MF347638.1</t>
  </si>
  <si>
    <t>Streptomyces phage Samisti12</t>
  </si>
  <si>
    <t>MF347639.1</t>
  </si>
  <si>
    <t>Salmonella enterica subsp. enterica serovar Newport str. CDC 2010K-2159</t>
  </si>
  <si>
    <t>Synechococcus phage Bellamy</t>
  </si>
  <si>
    <t>MF351863.1</t>
  </si>
  <si>
    <t>Pseudoalteromonas phage SL20</t>
  </si>
  <si>
    <t>MF370964.1</t>
  </si>
  <si>
    <t>Pseudoalteromonas phage SL25</t>
  </si>
  <si>
    <t>MF370965.1</t>
  </si>
  <si>
    <t>Salmonella enterica subsp. enterica serovar Newport str. SL254</t>
  </si>
  <si>
    <t>Mycobacterium phage Bella96</t>
  </si>
  <si>
    <t>MF377440.1</t>
  </si>
  <si>
    <t>Arthrobacter phage Timinator</t>
  </si>
  <si>
    <t>MF377441.1</t>
  </si>
  <si>
    <t>Arthrobacter phage Franzy</t>
  </si>
  <si>
    <t>MF377442.1</t>
  </si>
  <si>
    <t>Salmonella enterica subsp. enterica serovar Newport str. USDA-ARS-USMARC-1927</t>
  </si>
  <si>
    <t>Mycobacterium phage GenevaB15</t>
  </si>
  <si>
    <t>MF319184.1</t>
  </si>
  <si>
    <t>Aeromonas phage AS-zj</t>
  </si>
  <si>
    <t>MF448340.1</t>
  </si>
  <si>
    <t>Staphylococcus phage SN10</t>
  </si>
  <si>
    <t>Salmonella enterica subsp. enterica serovar Newport str. USMARC-S3124.1</t>
  </si>
  <si>
    <t>MF428480.1</t>
  </si>
  <si>
    <t>Staphylococcus phage SN11</t>
  </si>
  <si>
    <t>MF428479.1</t>
  </si>
  <si>
    <t>Staphylococcus phage SN13</t>
  </si>
  <si>
    <t>MF428478.1</t>
  </si>
  <si>
    <t>Staphylococcus phage SN8</t>
  </si>
  <si>
    <t>MF428481.1</t>
  </si>
  <si>
    <t>Salmonella phage vB_SenS_PVP-SE2</t>
  </si>
  <si>
    <t>Salmonella enterica subsp. enterica serovar Ouakam</t>
  </si>
  <si>
    <t>MF431252.1</t>
  </si>
  <si>
    <t>Vibrio phage vB_ValP_IME271</t>
  </si>
  <si>
    <t>MF431726.1</t>
  </si>
  <si>
    <t>Bacillus phage AaronPhadgers</t>
  </si>
  <si>
    <t>MF288919.1</t>
  </si>
  <si>
    <t>Bacillus phage Bubs</t>
  </si>
  <si>
    <t>Salmonella enterica subsp. enterica serovar Paratyphi A CMCC 50503</t>
  </si>
  <si>
    <t>MF288918.1</t>
  </si>
  <si>
    <t>Bacillus phage Janet</t>
  </si>
  <si>
    <t>MF288922.1</t>
  </si>
  <si>
    <t>Bacillus phage OTooleKemple52</t>
  </si>
  <si>
    <t>MF288921.1</t>
  </si>
  <si>
    <t>Bacillus phage PPIsBest</t>
  </si>
  <si>
    <t>MF288917.1</t>
  </si>
  <si>
    <t>Bacillus phage Zainny</t>
  </si>
  <si>
    <t>MF288920.1</t>
  </si>
  <si>
    <t>Xanthomonas phage phi Xc10</t>
  </si>
  <si>
    <t>MF375456.1</t>
  </si>
  <si>
    <t>Salmonella enterica subsp. enterica serovar Paratyphi A CMCC 50973</t>
  </si>
  <si>
    <t>Klebsiella phage KPN N137</t>
  </si>
  <si>
    <t>MF415410.1</t>
  </si>
  <si>
    <t>Klebsiella phage KPN N141</t>
  </si>
  <si>
    <t>MF415412.1</t>
  </si>
  <si>
    <t>Klebsiella phage KPN N54</t>
  </si>
  <si>
    <t>MF415413.1</t>
  </si>
  <si>
    <t>Klebsiella phage KPN U2874</t>
  </si>
  <si>
    <t>Salmonella enterica subsp. enterica serovar Paratyphi A str. AKU_12601</t>
  </si>
  <si>
    <t>MF415411.1</t>
  </si>
  <si>
    <t>Klebsiella phage 2044-307w</t>
  </si>
  <si>
    <t>MF285615.1</t>
  </si>
  <si>
    <t>Leclercia phage 10164-302</t>
  </si>
  <si>
    <t>MF285616.1</t>
  </si>
  <si>
    <t>Leclercia phage 10164RH</t>
  </si>
  <si>
    <t>Salmonella enterica subsp. enterica serovar Paratyphi A str. ATCC 9150</t>
  </si>
  <si>
    <t>MF285617.1</t>
  </si>
  <si>
    <t>Serratia phage 2050H1</t>
  </si>
  <si>
    <t>MF285619.1</t>
  </si>
  <si>
    <t>Serratia phage 2050H2</t>
  </si>
  <si>
    <t>MF285620.1</t>
  </si>
  <si>
    <t>Serratia phage 2050HW</t>
  </si>
  <si>
    <t>MF285618.1</t>
  </si>
  <si>
    <t>Bacillus phage Anthony</t>
  </si>
  <si>
    <t>Salmonella enterica subsp. enterica serovar Paratyphi A strain 01 1852</t>
  </si>
  <si>
    <t>MF498901.1</t>
  </si>
  <si>
    <t>Rhodococcus phage Bonanza</t>
  </si>
  <si>
    <t>MF537628.1</t>
  </si>
  <si>
    <t>Agrobacterium phage Atu_ph02</t>
  </si>
  <si>
    <t>MF403005.1</t>
  </si>
  <si>
    <t>Agrobacterium phage Atu_ph03</t>
  </si>
  <si>
    <t>MF403006.1</t>
  </si>
  <si>
    <t>Agrobacterium phage Atu_ph04</t>
  </si>
  <si>
    <t>MF403007.1</t>
  </si>
  <si>
    <t>Agrobacterium phage Atu_ph07</t>
  </si>
  <si>
    <t>Salmonella enterica subsp. enterica serovar Paratyphi A strain 01 5766</t>
  </si>
  <si>
    <t>MF403008.1</t>
  </si>
  <si>
    <t>Agrobacterium phage Atu_ph08</t>
  </si>
  <si>
    <t>MF403009.1</t>
  </si>
  <si>
    <t>Arthrobacter phage Arcadia</t>
  </si>
  <si>
    <t>MF189170.1</t>
  </si>
  <si>
    <t>Arthrobacter phage Correa</t>
  </si>
  <si>
    <t>MF189171.1</t>
  </si>
  <si>
    <t>Salmonella enterica subsp. enterica serovar Paratyphi A strain 02 4282</t>
  </si>
  <si>
    <t>Arthrobacter phage Elsa</t>
  </si>
  <si>
    <t>MF189172.1</t>
  </si>
  <si>
    <t>Arthrobacter phage Heisenberger</t>
  </si>
  <si>
    <t>MF189173.1</t>
  </si>
  <si>
    <t>Arthrobacter phage Nason</t>
  </si>
  <si>
    <t>MF189174.1</t>
  </si>
  <si>
    <t>Arthrobacter phage Tribby</t>
  </si>
  <si>
    <t>MF189175.1</t>
  </si>
  <si>
    <t>Salmonella enterica subsp. enterica serovar Paratyphi A strain 03 7001</t>
  </si>
  <si>
    <t>Rhodococcus phage Yoncess</t>
  </si>
  <si>
    <t>MF189179.1</t>
  </si>
  <si>
    <t>Arthrobacter phage Jordan</t>
  </si>
  <si>
    <t>MF189176.1</t>
  </si>
  <si>
    <t>Arthrobacter phage Piccoletto</t>
  </si>
  <si>
    <t>MF189177.1</t>
  </si>
  <si>
    <t>Arthrobacter phage Shade</t>
  </si>
  <si>
    <t>MF189178.1</t>
  </si>
  <si>
    <t>Streptomyces phage DrGrey</t>
  </si>
  <si>
    <t>MF467948.1</t>
  </si>
  <si>
    <t>Streptomyces phage Spectropatronm</t>
  </si>
  <si>
    <t>MF467949.1</t>
  </si>
  <si>
    <t>Streptomyces phage BeardedLady</t>
  </si>
  <si>
    <t>MF541403.1</t>
  </si>
  <si>
    <t>Salmonella enterica subsp. enterica serovar Paratyphi A strain 04 0406</t>
  </si>
  <si>
    <t>Streptomyces phage BryanRecycles</t>
  </si>
  <si>
    <t>MF541404.1</t>
  </si>
  <si>
    <t>Streptomyces phage Celeste</t>
  </si>
  <si>
    <t>MF541405.1</t>
  </si>
  <si>
    <t>Streptomyces phage Dattran</t>
  </si>
  <si>
    <t>MF541406.1</t>
  </si>
  <si>
    <t>Streptomyces phage Esperer</t>
  </si>
  <si>
    <t>MF541407.1</t>
  </si>
  <si>
    <t>Streptomyces phage Jash</t>
  </si>
  <si>
    <t>MF541408.1</t>
  </si>
  <si>
    <t>Streptomyces phage Oliynyk</t>
  </si>
  <si>
    <t>MF541409.1</t>
  </si>
  <si>
    <t>Streptomyces phage Ozzie</t>
  </si>
  <si>
    <t>Salmonella enterica subsp. enterica serovar Paratyphi A strain 04 6031</t>
  </si>
  <si>
    <t>MF541410.1</t>
  </si>
  <si>
    <t>Mycobacterium phage JoshKayV</t>
  </si>
  <si>
    <t>MF472896.1</t>
  </si>
  <si>
    <t>Mycobacterium phage Kimona</t>
  </si>
  <si>
    <t>MF472895.1</t>
  </si>
  <si>
    <t>Mycobacterium phage Majeke</t>
  </si>
  <si>
    <t>MF472894.1</t>
  </si>
  <si>
    <t>Salmonella enterica subsp. enterica serovar Paratyphi A strain 04 6500</t>
  </si>
  <si>
    <t>Mycobacterium phage MissWhite</t>
  </si>
  <si>
    <t>MF472893.1</t>
  </si>
  <si>
    <t>Mycobacterium phage TreyKay</t>
  </si>
  <si>
    <t>MF472892.1</t>
  </si>
  <si>
    <t>Mycobacterium phage Avocado</t>
  </si>
  <si>
    <t>68.7</t>
  </si>
  <si>
    <t>MF141540.1</t>
  </si>
  <si>
    <t>Mycobacterium phage MyraDee</t>
  </si>
  <si>
    <t>MF141539.1</t>
  </si>
  <si>
    <t>Salmonella phage St161</t>
  </si>
  <si>
    <t>Salmonella enterica subsp. enterica serovar Paratyphi A strain 05 6792</t>
  </si>
  <si>
    <t>MF158036.1</t>
  </si>
  <si>
    <t>Salmonella phage St162</t>
  </si>
  <si>
    <t>MF158037.1</t>
  </si>
  <si>
    <t>Shigella phage Sd1</t>
  </si>
  <si>
    <t>MF158042.1</t>
  </si>
  <si>
    <t>Shigella phage Sf11</t>
  </si>
  <si>
    <t>MF158038.1</t>
  </si>
  <si>
    <t>Shigella phage Sf12</t>
  </si>
  <si>
    <t>Salmonella enterica subsp. enterica serovar Paratyphi A strain 06 2633</t>
  </si>
  <si>
    <t>MF158039.1</t>
  </si>
  <si>
    <t>Shigella phage Sf13</t>
  </si>
  <si>
    <t>MF158040.1</t>
  </si>
  <si>
    <t>Shigella phage Sf15</t>
  </si>
  <si>
    <t>MF158041.1</t>
  </si>
  <si>
    <t>Shigella phage Sf16</t>
  </si>
  <si>
    <t>MF158043.1</t>
  </si>
  <si>
    <t>Shigella phage Sf18</t>
  </si>
  <si>
    <t>Salmonella enterica subsp. enterica serovar Paratyphi A strain 06 5568</t>
  </si>
  <si>
    <t>MF158044.1</t>
  </si>
  <si>
    <t>Shigella phage Sf23</t>
  </si>
  <si>
    <t>MF158046.1</t>
  </si>
  <si>
    <t>Staphylococcus phage vB_SauM-fRuSau02</t>
  </si>
  <si>
    <t>MF398190.1</t>
  </si>
  <si>
    <t>Erwinia phage vB_EamM_RisingSun</t>
  </si>
  <si>
    <t>MF459646.1</t>
  </si>
  <si>
    <t>Erwinia phage vB_EamM_Joad</t>
  </si>
  <si>
    <t>Salmonella enterica subsp. enterica serovar Paratyphi A strain 06 7153</t>
  </si>
  <si>
    <t>MF459647.1</t>
  </si>
  <si>
    <t>Aeromonas phage AS-gz</t>
  </si>
  <si>
    <t>MF479730.1</t>
  </si>
  <si>
    <t>Klebsiella phage YMC15/11/N53_KPN_BP</t>
  </si>
  <si>
    <t>MF476924.1</t>
  </si>
  <si>
    <t>Klebsiella phage YMC16/01/N133_KPN_BP</t>
  </si>
  <si>
    <t>MF476925.1</t>
  </si>
  <si>
    <t>Klebsiella phage AltoGao</t>
  </si>
  <si>
    <t>Salmonella enterica subsp. enterica serovar Paratyphi A strain 138-69</t>
  </si>
  <si>
    <t>MF612071.1</t>
  </si>
  <si>
    <t>Klebsiella phage SopranoGao</t>
  </si>
  <si>
    <t>MF612073.1</t>
  </si>
  <si>
    <t>Klebsiella phage MezzoGao</t>
  </si>
  <si>
    <t>MF612072.1</t>
  </si>
  <si>
    <t>Arthrobacter phage Adat</t>
  </si>
  <si>
    <t>MF668266.1</t>
  </si>
  <si>
    <t>Salmonella enterica subsp. enterica serovar Paratyphi A strain 1K</t>
  </si>
  <si>
    <t>Arthrobacter phage GurgleFerb</t>
  </si>
  <si>
    <t>MF668273.1</t>
  </si>
  <si>
    <t>Arthrobacter phage JayCookie</t>
  </si>
  <si>
    <t>MF668274.1</t>
  </si>
  <si>
    <t>Arthrobacter phage Nellie</t>
  </si>
  <si>
    <t>MF668279.1</t>
  </si>
  <si>
    <t>Arthrobacter phage Temper16</t>
  </si>
  <si>
    <t>MF668285.1</t>
  </si>
  <si>
    <t>Brevibacterium phage LuckyBarnes</t>
  </si>
  <si>
    <t>MF668275.1</t>
  </si>
  <si>
    <t>Salmonella enterica subsp. enterica serovar Paratyphi A strain 40</t>
  </si>
  <si>
    <t>Gordonia phage ShayRa</t>
  </si>
  <si>
    <t>MF668282.1</t>
  </si>
  <si>
    <t>Mycobacterium phage Apocalypse</t>
  </si>
  <si>
    <t>MF668267.1</t>
  </si>
  <si>
    <t>Mycobacterium phage Aroostook</t>
  </si>
  <si>
    <t>MF668268.1</t>
  </si>
  <si>
    <t>Mycobacterium phage Drake55</t>
  </si>
  <si>
    <t>MF668269.1</t>
  </si>
  <si>
    <t>Mycobacterium phage Emma</t>
  </si>
  <si>
    <t>Salmonella enterica subsp. enterica serovar Paratyphi A strain 6-60</t>
  </si>
  <si>
    <t>MF668270.1</t>
  </si>
  <si>
    <t>Mycobacterium phage Geralt</t>
  </si>
  <si>
    <t>MF668271.1</t>
  </si>
  <si>
    <t>Mycobacterium phage Gideon</t>
  </si>
  <si>
    <t>MF668272.1</t>
  </si>
  <si>
    <t>Mycobacterium phage Lulumae</t>
  </si>
  <si>
    <t>MF668276.1</t>
  </si>
  <si>
    <t>Salmonella enterica subsp. enterica serovar Paratyphi A strain 68-178</t>
  </si>
  <si>
    <t>Mycobacterium phage MadamMonkfish</t>
  </si>
  <si>
    <t>MF668277.1</t>
  </si>
  <si>
    <t>Mycobacterium phage Morpher26</t>
  </si>
  <si>
    <t>MF668278.1</t>
  </si>
  <si>
    <t>Mycobacterium phage Phabba</t>
  </si>
  <si>
    <t>Salmonella enterica subsp. enterica serovar Paratyphi A strain 83</t>
  </si>
  <si>
    <t>MF668280.1</t>
  </si>
  <si>
    <t>Mycobacterium phage RitaG</t>
  </si>
  <si>
    <t>MF668281.1</t>
  </si>
  <si>
    <t>Mycobacterium phage Smairt</t>
  </si>
  <si>
    <t>MF668283.1</t>
  </si>
  <si>
    <t>Mycobacterium phage Squint</t>
  </si>
  <si>
    <t>MF668284.1</t>
  </si>
  <si>
    <t>Salmonella enterica subsp. enterica serovar Paratyphi A strain 9-65</t>
  </si>
  <si>
    <t>Mycobacterium phage Wachhund</t>
  </si>
  <si>
    <t>MF668287.1</t>
  </si>
  <si>
    <t>Mycobacterium phage Wiks</t>
  </si>
  <si>
    <t>MF668288.1</t>
  </si>
  <si>
    <t>Sinorhizobium phage phi2LM21</t>
  </si>
  <si>
    <t>MF614627.1</t>
  </si>
  <si>
    <t>Sinorhizobium phage phi3LM21</t>
  </si>
  <si>
    <t>Salmonella enterica subsp. enterica serovar Paratyphi A strain 97 1822</t>
  </si>
  <si>
    <t>MF614628.1</t>
  </si>
  <si>
    <t>Bacillus phage Taffo16</t>
  </si>
  <si>
    <t>MF765814.1</t>
  </si>
  <si>
    <t>Enterococcus phage phiSHEF2</t>
  </si>
  <si>
    <t>MF678788.1</t>
  </si>
  <si>
    <t>Enterococcus phage phiSHEF4</t>
  </si>
  <si>
    <t>MF678789.1</t>
  </si>
  <si>
    <t>Enterococcus phage phiSHEF5</t>
  </si>
  <si>
    <t>Salmonella enterica subsp. enterica serovar Paratyphi A strain 98 9652</t>
  </si>
  <si>
    <t>MF678790.1</t>
  </si>
  <si>
    <t>Klebsiella phage KPP5665-2</t>
  </si>
  <si>
    <t>MF695815.1</t>
  </si>
  <si>
    <t>Caldibacillus phage CBP1</t>
  </si>
  <si>
    <t>MF595878.1</t>
  </si>
  <si>
    <t>Escherichia phage Ayreon</t>
  </si>
  <si>
    <t>MF807953.1</t>
  </si>
  <si>
    <t>Salmonella enterica subsp. enterica serovar Paratyphi A strain 99 10258</t>
  </si>
  <si>
    <t>Mycobacterium phage OKCentral2016</t>
  </si>
  <si>
    <t>MF773750.1</t>
  </si>
  <si>
    <t>Pseudomonas phage phiNFS</t>
  </si>
  <si>
    <t>KU743887.1</t>
  </si>
  <si>
    <t>Lactococcus virus P2</t>
  </si>
  <si>
    <t>GQ979703.1</t>
  </si>
  <si>
    <t>Ralstonia phage RSMSuper</t>
  </si>
  <si>
    <t>Salmonella enterica subsp. enterica serovar Paratyphi A strain 99 7863</t>
  </si>
  <si>
    <t>AB981170.1</t>
  </si>
  <si>
    <t>Enterobacteria phage CUS-3</t>
  </si>
  <si>
    <t>chromosome:CP000711.1</t>
  </si>
  <si>
    <t>Pseudomonas phage NP3</t>
  </si>
  <si>
    <t>KU198331.1</t>
  </si>
  <si>
    <t>Mycobacterium virus Pumpkin</t>
  </si>
  <si>
    <t>GQ303265.1</t>
  </si>
  <si>
    <t>Salmonella enterica subsp. enterica serovar Paratyphi A strain A103(ParaA)</t>
  </si>
  <si>
    <t>Lactococcus virus CB20</t>
  </si>
  <si>
    <t>FJ848885.1</t>
  </si>
  <si>
    <t>Enterococcus phage phiFL2B</t>
  </si>
  <si>
    <t>GQ478085.1</t>
  </si>
  <si>
    <t>Enterococcus phage phiFL3B</t>
  </si>
  <si>
    <t>GQ478087.1</t>
  </si>
  <si>
    <t>Escherichia phage K1-ind(3)</t>
  </si>
  <si>
    <t>Salmonella enterica subsp. enterica serovar Paratyphi A strain A1338</t>
  </si>
  <si>
    <t>GU196281.1</t>
  </si>
  <si>
    <t>Spiroplasma phage SVGII3</t>
  </si>
  <si>
    <t>AJ969242.1</t>
  </si>
  <si>
    <t>Vibriophage phi-pp2</t>
  </si>
  <si>
    <t>JN849462.1</t>
  </si>
  <si>
    <t>Salmonella enterica subsp. enterica serovar Paratyphi A strain A1345</t>
  </si>
  <si>
    <t>Salmonella phage FO1a</t>
  </si>
  <si>
    <t>JF461087.1</t>
  </si>
  <si>
    <t>Acinetobacter phage AB1</t>
  </si>
  <si>
    <t>Salmonella enterica subsp. enterica serovar Paratyphi A strain A5291</t>
  </si>
  <si>
    <t>HM368260.1</t>
  </si>
  <si>
    <t>Flavobacterium phage FL-1</t>
  </si>
  <si>
    <t>KY421186.2</t>
  </si>
  <si>
    <t>Organic Lake virophage</t>
  </si>
  <si>
    <t>HQ704801.1</t>
  </si>
  <si>
    <t>Salmonella enterica subsp. enterica serovar Paratyphi A strain A61-139</t>
  </si>
  <si>
    <t>Cronobacter phage ESSI-2</t>
  </si>
  <si>
    <t>HQ110083.1</t>
  </si>
  <si>
    <t>Pseudomonas phage P3_CHA</t>
  </si>
  <si>
    <t>KC862296.1</t>
  </si>
  <si>
    <t>Tobacco necrosis virus P</t>
  </si>
  <si>
    <t>PRJNA318651</t>
  </si>
  <si>
    <t>Salmonella enterica subsp. enterica serovar Paratyphi A strain A61-149</t>
  </si>
  <si>
    <t>Unknown:NC_029900.1/KP901095.1</t>
  </si>
  <si>
    <t>Stx2-converting phage Stx2a_F403</t>
  </si>
  <si>
    <t>AP012529.1</t>
  </si>
  <si>
    <t>Brucella phage Wb</t>
  </si>
  <si>
    <t>HF569092.1</t>
  </si>
  <si>
    <t>Cyanophage S-RIM12</t>
  </si>
  <si>
    <t>KX349307.1</t>
  </si>
  <si>
    <t>Salmonella enterica subsp. enterica serovar Paratyphi A strain A61-81</t>
  </si>
  <si>
    <t>Pseudomonas phage PaMx13</t>
  </si>
  <si>
    <t>JQ067083.1</t>
  </si>
  <si>
    <t>Mycobacterium phage Ghost</t>
  </si>
  <si>
    <t>JF704096.1</t>
  </si>
  <si>
    <t>Salmonella enterica subsp. enterica serovar Paratyphi A strain A63-72</t>
  </si>
  <si>
    <t>Arthrobacter phage Courtney3</t>
  </si>
  <si>
    <t>KX443695.1</t>
  </si>
  <si>
    <t>Cyanophage S-RIM14</t>
  </si>
  <si>
    <t>KX349298.1</t>
  </si>
  <si>
    <t>Salmonella enterica subsp. enterica serovar Paratyphi A strain A63-73</t>
  </si>
  <si>
    <t>Mycobacterium virus BBPiebs31</t>
  </si>
  <si>
    <t>JF957057.1</t>
  </si>
  <si>
    <t>Mycobacterium virus Heldan</t>
  </si>
  <si>
    <t>Salmonella enterica subsp. enterica serovar Paratyphi A strain A73-2</t>
  </si>
  <si>
    <t>JF957058.1</t>
  </si>
  <si>
    <t>Mycobacterium virus Optimus</t>
  </si>
  <si>
    <t>JF957059.1</t>
  </si>
  <si>
    <t>Salmonella enterica subsp. enterica serovar Paratyphi A strain Balt8</t>
  </si>
  <si>
    <t>Flavobacterium phage FCV-1</t>
  </si>
  <si>
    <t>KY979235.1</t>
  </si>
  <si>
    <t>Mycobacterium virus Baka</t>
  </si>
  <si>
    <t>JF937090.1</t>
  </si>
  <si>
    <t>Salmonella enterica subsp. enterica serovar Paratyphi A strain Banker Type4</t>
  </si>
  <si>
    <t>Mycobacterium virus Bask21</t>
  </si>
  <si>
    <t>JF937091.1</t>
  </si>
  <si>
    <t>Mycobacterium virus Dlane</t>
  </si>
  <si>
    <t>JF937093.1</t>
  </si>
  <si>
    <t>Mycobacterium phage DaVinci</t>
  </si>
  <si>
    <t>Salmonella enterica subsp. enterica serovar Paratyphi A strain C4672</t>
  </si>
  <si>
    <t>JF937092.1</t>
  </si>
  <si>
    <t>Mycobacterium virus Hammer</t>
  </si>
  <si>
    <t>JF937094.1</t>
  </si>
  <si>
    <t>Mycobacterium virus Ibhubesi</t>
  </si>
  <si>
    <t>JF937098.1</t>
  </si>
  <si>
    <t>Salmonella enterica subsp. enterica serovar Paratyphi A strain CMCC50093</t>
  </si>
  <si>
    <t>Mycobacterium virus JC27</t>
  </si>
  <si>
    <t>JF937099.1</t>
  </si>
  <si>
    <t>Mycobacterium virus Kssjeb</t>
  </si>
  <si>
    <t>JF937110.1</t>
  </si>
  <si>
    <t>Mycobacterium virus Lesedi</t>
  </si>
  <si>
    <t>JF937100.1</t>
  </si>
  <si>
    <t>Salmonella enterica subsp. enterica serovar Paratyphi A strain Reil90</t>
  </si>
  <si>
    <t>Mycobacterium virus Littlee</t>
  </si>
  <si>
    <t>JF937101.1</t>
  </si>
  <si>
    <t>Mycobacterium virus Mozy</t>
  </si>
  <si>
    <t>JF937102.1</t>
  </si>
  <si>
    <t>Salmonella enterica subsp. enterica serovar Paratyphi B str. SPB7</t>
  </si>
  <si>
    <t>Mycobacterium virus Museum</t>
  </si>
  <si>
    <t>JF937103.1</t>
  </si>
  <si>
    <t>Mycobacterium virus Pixie</t>
  </si>
  <si>
    <t>JF937104.1</t>
  </si>
  <si>
    <t>Salmonella enterica subsp. enterica serovar Paratyphi C strain RKS4594</t>
  </si>
  <si>
    <t>Mycobacterium phage SirHarley</t>
  </si>
  <si>
    <t>JF937107.1</t>
  </si>
  <si>
    <t>Mycobacterium phage Rakim</t>
  </si>
  <si>
    <t>JN006062.1</t>
  </si>
  <si>
    <t>Salmonella enterica subsp. enterica serovar Pullorum</t>
  </si>
  <si>
    <t>Mycobacterium phage Henry</t>
  </si>
  <si>
    <t>JF937096.1</t>
  </si>
  <si>
    <t>Mycobacterium virus Mrgordo</t>
  </si>
  <si>
    <t>JN020140.1</t>
  </si>
  <si>
    <t>Mycobacterium virus Mutaforma13</t>
  </si>
  <si>
    <t>JN020142.1</t>
  </si>
  <si>
    <t>Salmonella enterica subsp. enterica serovar Pullorum str. S06004</t>
  </si>
  <si>
    <t>Mycobacterium virus Ericb</t>
  </si>
  <si>
    <t>JN049605.1</t>
  </si>
  <si>
    <t>Mycobacterium virus Benedict</t>
  </si>
  <si>
    <t>JN083852.1</t>
  </si>
  <si>
    <t>Salmonella enterica subsp. enterica serovar Schwarzengrund str. CVM19633</t>
  </si>
  <si>
    <t>Mycobacterium phage Airmid</t>
  </si>
  <si>
    <t>JN083853.1</t>
  </si>
  <si>
    <t>Mycobacterium virus Jaws</t>
  </si>
  <si>
    <t>JN185608.1</t>
  </si>
  <si>
    <t>Salmonella enterica subsp. enterica serovar Senftenberg</t>
  </si>
  <si>
    <t>Mycobacterium phage Zonia</t>
  </si>
  <si>
    <t>KM363597.1</t>
  </si>
  <si>
    <t>Bacillus virus PBS1</t>
  </si>
  <si>
    <t>MF360957.1</t>
  </si>
  <si>
    <t>Mycobacterium phage Elph10</t>
  </si>
  <si>
    <t>Salmonella enterica subsp. enterica serovar Thompson str. RM6836</t>
  </si>
  <si>
    <t>JN391441.1</t>
  </si>
  <si>
    <t>Mycobacterium virus Cuco</t>
  </si>
  <si>
    <t>JN408459.1</t>
  </si>
  <si>
    <t>Bacillus phage phi3T</t>
  </si>
  <si>
    <t>KY030782.1</t>
  </si>
  <si>
    <t>Salmonella enterica subsp. enterica serovar Thompson strain RM1984</t>
  </si>
  <si>
    <t>Cronobacter phage ES2</t>
  </si>
  <si>
    <t>JF314845.1</t>
  </si>
  <si>
    <t>Mycobacterium virus Eureka</t>
  </si>
  <si>
    <t>Salmonella enterica subsp. enterica serovar Thompson strain RM1986</t>
  </si>
  <si>
    <t>JN412590.1</t>
  </si>
  <si>
    <t>Mycobacterium phage Madruga</t>
  </si>
  <si>
    <t>KR997933.1</t>
  </si>
  <si>
    <t>Salmonella enterica subsp. enterica serovar Typhi str. CT18</t>
  </si>
  <si>
    <t>Streptococcus phage SOCP</t>
  </si>
  <si>
    <t>KJ617393.1</t>
  </si>
  <si>
    <t>Mycobacterium phage Arbiter</t>
  </si>
  <si>
    <t>JN618996.1</t>
  </si>
  <si>
    <t>Salmonella enterica subsp. enterica serovar Typhi str. P-stx-12</t>
  </si>
  <si>
    <t>Mycobacterium phage Avrafan</t>
  </si>
  <si>
    <t>JN699002.1</t>
  </si>
  <si>
    <t>Mycobacterium virus Jeffabunny</t>
  </si>
  <si>
    <t>Salmonella enterica subsp. enterica serovar Typhi str. Ty2</t>
  </si>
  <si>
    <t>JN699019.1</t>
  </si>
  <si>
    <t>Mycobacterium phage Kamiyu</t>
  </si>
  <si>
    <t>JN699018.1</t>
  </si>
  <si>
    <t>Enterobacteria phage SEGD1</t>
  </si>
  <si>
    <t>Salmonella enterica subsp. enterica serovar Typhi str. Ty21a</t>
  </si>
  <si>
    <t>KU726251.1</t>
  </si>
  <si>
    <t>Pseudomonas virus FHA0480</t>
  </si>
  <si>
    <t>JN808773.1</t>
  </si>
  <si>
    <t>Pseudomonas phage JBD26</t>
  </si>
  <si>
    <t>Salmonella enterica subsp. enterica serovar Typhi strain B/SF/13/03/195</t>
  </si>
  <si>
    <t>JN811560.1</t>
  </si>
  <si>
    <t>Mycobacterium virus Dotproduct</t>
  </si>
  <si>
    <t>JN859129.1</t>
  </si>
  <si>
    <t>Mycobacterium virus Saintus</t>
  </si>
  <si>
    <t>Salmonella enterica subsp. enterica serovar Typhi strain PM016/13</t>
  </si>
  <si>
    <t>JN831654.1</t>
  </si>
  <si>
    <t>Escherichia phage 1720a-02</t>
  </si>
  <si>
    <t>KF030445.1</t>
  </si>
  <si>
    <t>Wolbachia phage WO</t>
  </si>
  <si>
    <t>KX522565.1</t>
  </si>
  <si>
    <t>Bacillus phage BCU4</t>
  </si>
  <si>
    <t>Salmonella enterica subsp. enterica serovar Typhimurium</t>
  </si>
  <si>
    <t>JN797798.1</t>
  </si>
  <si>
    <t>Mycobacterium phage Fezzik</t>
  </si>
  <si>
    <t>JN600672.1</t>
  </si>
  <si>
    <t>Bacillus phage B5S</t>
  </si>
  <si>
    <t>JN797796.1</t>
  </si>
  <si>
    <t>Pseudomonas phage vB_Pae_PS9N</t>
  </si>
  <si>
    <t>KM434185.1</t>
  </si>
  <si>
    <t>Salmonella phage SPN9TCW</t>
  </si>
  <si>
    <t>JQ691610.1</t>
  </si>
  <si>
    <t>Lactococcus virus ASCC273</t>
  </si>
  <si>
    <t>JQ740788.1</t>
  </si>
  <si>
    <t>Lactococcus virus ASCC281</t>
  </si>
  <si>
    <t>JQ740789.1</t>
  </si>
  <si>
    <t>Lactococcus virus ASCC465</t>
  </si>
  <si>
    <t>JQ740804.1</t>
  </si>
  <si>
    <t>Lactococcus virus ASCC532</t>
  </si>
  <si>
    <t>JQ740813.1</t>
  </si>
  <si>
    <t>Mycobacterium phage ICleared</t>
  </si>
  <si>
    <t>JQ896627.1</t>
  </si>
  <si>
    <t>Pseudomonas phage YMC/01/01/P52_PAE_BP</t>
  </si>
  <si>
    <t>JX403939.1</t>
  </si>
  <si>
    <t>Mycobacterium virus Nepal</t>
  </si>
  <si>
    <t>JQ698665.1</t>
  </si>
  <si>
    <t>Mycobacteriophage ElTiger69</t>
  </si>
  <si>
    <t>JX042578.1</t>
  </si>
  <si>
    <t>Mycobacterium virus Macncheese</t>
  </si>
  <si>
    <t>JX042579.1</t>
  </si>
  <si>
    <t>Mycobacterium virus Arturo</t>
  </si>
  <si>
    <t>JX307702.1</t>
  </si>
  <si>
    <t>Mycobacterium virus Goose</t>
  </si>
  <si>
    <t>JX307704.1</t>
  </si>
  <si>
    <t>Mycobacterium virus Marcell</t>
  </si>
  <si>
    <t>JX307705.1</t>
  </si>
  <si>
    <t>Staphylococcus phage SP5</t>
  </si>
  <si>
    <t>JX274646.1</t>
  </si>
  <si>
    <t>Staphylococcus phage SP6</t>
  </si>
  <si>
    <t>JX274647.1</t>
  </si>
  <si>
    <t>Pectobacterium phage PhiM1</t>
  </si>
  <si>
    <t>JX290549.1</t>
  </si>
  <si>
    <t>Lactobacillus phage ATCC 8014-B2</t>
  </si>
  <si>
    <t>JX486088.1</t>
  </si>
  <si>
    <t>Streptococcus phage LYGO9</t>
  </si>
  <si>
    <t>Salmonella enterica subsp. enterica serovar Typhimurium str. 14028S</t>
  </si>
  <si>
    <t>JX409894.1</t>
  </si>
  <si>
    <t>Streptococcus phage JX01</t>
  </si>
  <si>
    <t>JX409895.1</t>
  </si>
  <si>
    <t>Mycobacterium virus Dorothy</t>
  </si>
  <si>
    <t>JX411620.1</t>
  </si>
  <si>
    <t>Mycobacterium virus Rebeuca</t>
  </si>
  <si>
    <t>JX411619.1</t>
  </si>
  <si>
    <t>Salmonella enterica subsp. enterica serovar Typhimurium str. 798</t>
  </si>
  <si>
    <t>Stx2-converting phage Stx2a_F349</t>
  </si>
  <si>
    <t>AP012530.1</t>
  </si>
  <si>
    <t>Stx2-converting phage Stx2a_F451</t>
  </si>
  <si>
    <t>AP012532.1</t>
  </si>
  <si>
    <t>Stx2-converting phage Stx2a_F723</t>
  </si>
  <si>
    <t>AP012533.1</t>
  </si>
  <si>
    <t>Stx2-converting phage Stx2a_F765</t>
  </si>
  <si>
    <t>Salmonella enterica subsp. enterica serovar Typhimurium str. CDC 2009K-2059</t>
  </si>
  <si>
    <t>AP012534.1</t>
  </si>
  <si>
    <t>Stx2-converting phage Stx2a_WGPS9</t>
  </si>
  <si>
    <t>AP012535.1</t>
  </si>
  <si>
    <t>Stx2-converting phage Stx2a_1447</t>
  </si>
  <si>
    <t>AP012536.1</t>
  </si>
  <si>
    <t>Stx2-converting phage Stx2a_WGPS2</t>
  </si>
  <si>
    <t>Salmonella enterica subsp. enterica serovar Typhimurium str. CDC 2011K-0870</t>
  </si>
  <si>
    <t>AP012537.1</t>
  </si>
  <si>
    <t>Stx2-converting phage Stx2a_WGPS4</t>
  </si>
  <si>
    <t>AP012538.1</t>
  </si>
  <si>
    <t>Stx2-converting phage Stx2a_WGPS6</t>
  </si>
  <si>
    <t>AP012539.1</t>
  </si>
  <si>
    <t>Stx2-converting phage Stx2a_WGPS8</t>
  </si>
  <si>
    <t>Salmonella enterica subsp. enterica serovar Typhimurium str. D23580</t>
  </si>
  <si>
    <t>AP012540.1</t>
  </si>
  <si>
    <t>Acidithiobacillus phage AcaML1</t>
  </si>
  <si>
    <t>JX507079.1</t>
  </si>
  <si>
    <t>Nitratiruptor phage NrS-1</t>
  </si>
  <si>
    <t>AB746912.1</t>
  </si>
  <si>
    <t>Propionibacterium phage PHL114N00</t>
  </si>
  <si>
    <t>KJ578775.1</t>
  </si>
  <si>
    <t>Salmonella enterica subsp. enterica serovar Typhimurium str. DT104</t>
  </si>
  <si>
    <t>Streptomyces phage phiCAM</t>
  </si>
  <si>
    <t>JX889246.1</t>
  </si>
  <si>
    <t>Edwardsiella phage IW-1</t>
  </si>
  <si>
    <t>AB757801.1</t>
  </si>
  <si>
    <t>Enterobacteria phage phiJLA23</t>
  </si>
  <si>
    <t>KC333879.1</t>
  </si>
  <si>
    <t>Salmonella enterica subsp. enterica serovar Typhimurium str. DT2</t>
  </si>
  <si>
    <t>Pseudomonas virus H66</t>
  </si>
  <si>
    <t>KC262634.1</t>
  </si>
  <si>
    <t>Bacillus virus Taylor</t>
  </si>
  <si>
    <t>KC330682.1</t>
  </si>
  <si>
    <t>Streptococcus phage phiSS12</t>
  </si>
  <si>
    <t>KC413987.1</t>
  </si>
  <si>
    <t>Salmonella enterica subsp. enterica serovar Typhimurium str. L-3553</t>
  </si>
  <si>
    <t>Streptococcus phage phiST1</t>
  </si>
  <si>
    <t>KC413988.1</t>
  </si>
  <si>
    <t>Streptococcus phage phi20c</t>
  </si>
  <si>
    <t>KC348598.1</t>
  </si>
  <si>
    <t>Streptococcus phage phi30c</t>
  </si>
  <si>
    <t>KC348599.1</t>
  </si>
  <si>
    <t>Salmonella enterica subsp. enterica serovar Typhimurium str. LT2</t>
  </si>
  <si>
    <t>Streptococcus phage phi5218</t>
  </si>
  <si>
    <t>KC348600.1</t>
  </si>
  <si>
    <t>Streptococcus phage phi7917</t>
  </si>
  <si>
    <t>KC348601.1</t>
  </si>
  <si>
    <t>Streptococcus phage phi891591</t>
  </si>
  <si>
    <t>KC348602.1</t>
  </si>
  <si>
    <t>Streptococcus phage phiS10</t>
  </si>
  <si>
    <t>KC348604.1</t>
  </si>
  <si>
    <t>Salmonella enterica subsp. enterica serovar Typhimurium str. SL1344</t>
  </si>
  <si>
    <t>Vibrio phage JSF7</t>
  </si>
  <si>
    <t>KY065149.1</t>
  </si>
  <si>
    <t>Staphylococcus phage LH1</t>
  </si>
  <si>
    <t>JX174275.1</t>
  </si>
  <si>
    <t>Bacillus phage Basilisk</t>
  </si>
  <si>
    <t>KC595511.2</t>
  </si>
  <si>
    <t>Brevibacillus phage Emery</t>
  </si>
  <si>
    <t>Salmonella enterica subsp. enterica serovar Typhimurium str. ST4/74</t>
  </si>
  <si>
    <t>KC595516.1</t>
  </si>
  <si>
    <t>Pseudomonas phage LKA5</t>
  </si>
  <si>
    <t>KC900378.1</t>
  </si>
  <si>
    <t>Cellulophaga phage phi17:2_18</t>
  </si>
  <si>
    <t>KT962247.1</t>
  </si>
  <si>
    <t>Cellulophaga phage phi12:3</t>
  </si>
  <si>
    <t>Salmonella enterica subsp. enterica serovar Typhimurium str. T000240</t>
  </si>
  <si>
    <t>KC821615.1</t>
  </si>
  <si>
    <t>Cellulophaga phage phi18:2</t>
  </si>
  <si>
    <t>KC821627.1</t>
  </si>
  <si>
    <t>Leptospira phage vB_LalZ_80412-LE1</t>
  </si>
  <si>
    <t>KF114876.1</t>
  </si>
  <si>
    <t>Leptospira phage vB_LnoZ_CZ214-LE1</t>
  </si>
  <si>
    <t>KF114877.1</t>
  </si>
  <si>
    <t>Leptospira phage vb_LkmZ_Bejolso9-LE1</t>
  </si>
  <si>
    <t>KF114878.1</t>
  </si>
  <si>
    <t>Salmonella enterica subsp. enterica serovar Typhimurium str. U288</t>
  </si>
  <si>
    <t>Leptospira phage vB_LbrZ_5399-LE1</t>
  </si>
  <si>
    <t>KF114879.1</t>
  </si>
  <si>
    <t>Leptospira phage vB_LinZ_10-LE1</t>
  </si>
  <si>
    <t>KF114880.1</t>
  </si>
  <si>
    <t>Mycobacterium phage Odin</t>
  </si>
  <si>
    <t>KF017927.1</t>
  </si>
  <si>
    <t>Pseudoalteromonas phage HM1</t>
  </si>
  <si>
    <t>Salmonella enterica subsp. enterica serovar Typhimurium str. UK-1</t>
  </si>
  <si>
    <t>KF302034.1</t>
  </si>
  <si>
    <t>Pseudoalteromonas phage HP1</t>
  </si>
  <si>
    <t>KF302037.1</t>
  </si>
  <si>
    <t>Pseudoalteromonas phage HS1</t>
  </si>
  <si>
    <t>KF302033.1</t>
  </si>
  <si>
    <t>Salmonella enterica subsp. enterica serovar Typhimurium str. USDA-ARS-USMARC-1808</t>
  </si>
  <si>
    <t>Pseudoalteromonas phage HS2</t>
  </si>
  <si>
    <t>KF302036.1</t>
  </si>
  <si>
    <t>Pseudoalteromonas phage HS5</t>
  </si>
  <si>
    <t>KF302032.1</t>
  </si>
  <si>
    <t>Pseudoalteromonas phage HS6</t>
  </si>
  <si>
    <t>KF302035.1</t>
  </si>
  <si>
    <t>Bacillus phage proCM3</t>
  </si>
  <si>
    <t>Salmonella enterica subsp. enterica serovar Typhimurium str. USDA-ARS-USMARC-1810</t>
  </si>
  <si>
    <t>KF296717.1</t>
  </si>
  <si>
    <t>Pseudoalteromonas phage TW1</t>
  </si>
  <si>
    <t>KC542353.1</t>
  </si>
  <si>
    <t>Bacillus phage Juglone</t>
  </si>
  <si>
    <t>KU737345.1</t>
  </si>
  <si>
    <t>Thermus phage G20c</t>
  </si>
  <si>
    <t>KX987127.1</t>
  </si>
  <si>
    <t>Salmonella enterica subsp. enterica serovar Typhimurium str. USDA-ARS-USMARC-1878</t>
  </si>
  <si>
    <t>Bacillus phage poppyseed</t>
  </si>
  <si>
    <t>KF669657.1</t>
  </si>
  <si>
    <t>Enterobacteria phage IME_EC2</t>
  </si>
  <si>
    <t>KF591601.1</t>
  </si>
  <si>
    <t>Xylella phage Salvo</t>
  </si>
  <si>
    <t>KF626668.1</t>
  </si>
  <si>
    <t>Salmonella enterica subsp. enterica serovar Typhimurium str. USDA-ARS-USMARC-1880</t>
  </si>
  <si>
    <t>Xylella phage Sano</t>
  </si>
  <si>
    <t>KF626665.1</t>
  </si>
  <si>
    <t>Escherichia phage bV_EcoS_AHP24</t>
  </si>
  <si>
    <t>KF771236.1</t>
  </si>
  <si>
    <t>Burkholderia phage Bp-AMP1</t>
  </si>
  <si>
    <t>HG793132.1</t>
  </si>
  <si>
    <t>Salmonella enterica subsp. enterica serovar Typhimurium str. USDA-ARS-USMARC-1896</t>
  </si>
  <si>
    <t>Burkholderia phage Bp-AMP2</t>
  </si>
  <si>
    <t>HG796219.1</t>
  </si>
  <si>
    <t>Burkholderia phage Bp-AMP4</t>
  </si>
  <si>
    <t>HG796221.1</t>
  </si>
  <si>
    <t>Escherichia phage P13363</t>
  </si>
  <si>
    <t>HG803182.1</t>
  </si>
  <si>
    <t>Salmonella enterica subsp. enterica serovar Typhimurium str. USDA-ARS-USMARC-1898</t>
  </si>
  <si>
    <t>Listeria phage LP-064</t>
  </si>
  <si>
    <t>KJ094029.1</t>
  </si>
  <si>
    <t>Mycobacterium phage Adephagia</t>
  </si>
  <si>
    <t>JF704105.1</t>
  </si>
  <si>
    <t>Mycobacterium virus Backyardigan</t>
  </si>
  <si>
    <t>JF704093.1</t>
  </si>
  <si>
    <t>Mycobacterium phage Daisy</t>
  </si>
  <si>
    <t>Salmonella enterica subsp. enterica serovar Typhimurium str. USDA-ARS-USMARC-1899</t>
  </si>
  <si>
    <t>JF704095.1</t>
  </si>
  <si>
    <t>Mycobacterium virus George</t>
  </si>
  <si>
    <t>JF704107.1</t>
  </si>
  <si>
    <t>Mycobacterium virus Gladiator</t>
  </si>
  <si>
    <t>JF704097.1</t>
  </si>
  <si>
    <t>Mycobacterium virus Joedirt</t>
  </si>
  <si>
    <t>Salmonella enterica subsp. enterica serovar Typhimurium str. USDA-ARS-USMARC-1906</t>
  </si>
  <si>
    <t>JF704108.1</t>
  </si>
  <si>
    <t>Mycobacterium virus Packman</t>
  </si>
  <si>
    <t>JF704110.1</t>
  </si>
  <si>
    <t>Mycobacterium virus Rockyhorror</t>
  </si>
  <si>
    <t>JF704117.1</t>
  </si>
  <si>
    <t>Mycobacterium phage UPIE</t>
  </si>
  <si>
    <t>Salmonella enterica subsp. enterica serovar Typhimurium str. USDA-ARS-USMARC-1908</t>
  </si>
  <si>
    <t>JF704113.1</t>
  </si>
  <si>
    <t>Mycobacterium virus Yoshi</t>
  </si>
  <si>
    <t>JF704115.1</t>
  </si>
  <si>
    <t>Mycobacterium virus Anaya</t>
  </si>
  <si>
    <t>JF704106.1</t>
  </si>
  <si>
    <t>Escherichia phage JLK-2012</t>
  </si>
  <si>
    <t>Salmonella enterica subsp. enterica serovar Typhimurium str. USDA-ARS-USMARC-1910</t>
  </si>
  <si>
    <t>JQ347801.1</t>
  </si>
  <si>
    <t>Brucella phage Bk2</t>
  </si>
  <si>
    <t>HF569088.1</t>
  </si>
  <si>
    <t>Brucella phage Fi</t>
  </si>
  <si>
    <t>HF569089.1</t>
  </si>
  <si>
    <t>Salmonella enterica subsp. enterica serovar Typhimurium strain 138736</t>
  </si>
  <si>
    <t>Pseudomonas phage KPP23</t>
  </si>
  <si>
    <t>AB910392.1</t>
  </si>
  <si>
    <t>Edwardsiella phage PEi26</t>
  </si>
  <si>
    <t>AP014715.1</t>
  </si>
  <si>
    <t>Salmonella enterica subsp. enterica serovar Typhimurium strain 33676</t>
  </si>
  <si>
    <t>Vibrio phage RYC</t>
  </si>
  <si>
    <t>AP014858.1</t>
  </si>
  <si>
    <t>Vibrio phage CKB-S1</t>
  </si>
  <si>
    <t>AP014887.1</t>
  </si>
  <si>
    <t>Vibrio phage CKB-S2</t>
  </si>
  <si>
    <t>Salmonella enterica subsp. enterica serovar Typhimurium strain ATCC 13311</t>
  </si>
  <si>
    <t>AP014888.1</t>
  </si>
  <si>
    <t>Vibrio phage K04M1_VK04M1</t>
  </si>
  <si>
    <t>chromosome:CP017895.1</t>
  </si>
  <si>
    <t>Vibrio phage K05K4_VK05K4_1</t>
  </si>
  <si>
    <t>chromosome:CP017905.1</t>
  </si>
  <si>
    <t>Salmonella enterica subsp. enterica serovar Typhimurium strain FORC_015</t>
  </si>
  <si>
    <t>Vibrio phage K05K4_VK05K4_2</t>
  </si>
  <si>
    <t>chromosome:CP017906.1</t>
  </si>
  <si>
    <t>Azobacteroides phage ProJPt-Bp1</t>
  </si>
  <si>
    <t>AP017903.1</t>
  </si>
  <si>
    <t>Salmonella enterica subsp. enterica serovar Typhimurium strain VNP20009</t>
  </si>
  <si>
    <t>Mycobacterium phage Marvin</t>
  </si>
  <si>
    <t>JF704100.1</t>
  </si>
  <si>
    <t>Mycobacterium phage Send513</t>
  </si>
  <si>
    <t>JF704112.1</t>
  </si>
  <si>
    <t>Salmonella enterica subsp. enterica serovar Typhimurium var. 5- str. CFSAN001921</t>
  </si>
  <si>
    <t>Mycobacterium phage ChrisnMich</t>
  </si>
  <si>
    <t>JF704094.1</t>
  </si>
  <si>
    <t>Mycobacterium phage Zemanar</t>
  </si>
  <si>
    <t>Salmonella enterica subsp. enterica serovar Weltevreden</t>
  </si>
  <si>
    <t>JF704104.1</t>
  </si>
  <si>
    <t>Mycobacterium phage Rockstar</t>
  </si>
  <si>
    <t>JF704111.1</t>
  </si>
  <si>
    <t>Lactococcus phage TP712</t>
  </si>
  <si>
    <t>AY766464.1</t>
  </si>
  <si>
    <t>Bifidobacterium phage Bbif-1</t>
  </si>
  <si>
    <t>Salmonella enterica subsp. enterica serovar Weltevreden str. 1655</t>
  </si>
  <si>
    <t>GQ141189.1</t>
  </si>
  <si>
    <t>Streptococcus phage phi-SsUD.1</t>
  </si>
  <si>
    <t>FN997652.1</t>
  </si>
  <si>
    <t>Staphylococcus phage TEM126</t>
  </si>
  <si>
    <t>Salmonella enterica subsp. enterica serovar Weltevreden str. 2007-60-3289-1</t>
  </si>
  <si>
    <t>HQ127381.1</t>
  </si>
  <si>
    <t>Wolbachia endosymbiont wVitA of Nasonia vitripennis phage WOVitA1</t>
  </si>
  <si>
    <t>HQ906662.1</t>
  </si>
  <si>
    <t>Wolbachia endosymbiont wVitA of Nasonia vitripennis phage WOVitA2</t>
  </si>
  <si>
    <t>HQ906663.1</t>
  </si>
  <si>
    <t>Wolbachia endosymbiont wVitA of Nasonia vitripennis phage WOVitA4</t>
  </si>
  <si>
    <t>Salmonella enterica subsp. enterica serovar Weltevreden strain 9811262</t>
  </si>
  <si>
    <t>HQ906664.1</t>
  </si>
  <si>
    <t>Mycobacterium phage Hedgerow</t>
  </si>
  <si>
    <t>JN698991.1</t>
  </si>
  <si>
    <t>Mycobacterium phage Potter</t>
  </si>
  <si>
    <t>KU867907.1</t>
  </si>
  <si>
    <t>Mycobacterium phage Serpentine</t>
  </si>
  <si>
    <t>JX649096.1</t>
  </si>
  <si>
    <t>Salmonella enterica subsp. enterica serovar Weltevreden strain 99 3134</t>
  </si>
  <si>
    <t>Ljungan virus 87-012</t>
  </si>
  <si>
    <t>PRJNA15401</t>
  </si>
  <si>
    <t>Unknown:NC_003976.2/AF327920.2</t>
  </si>
  <si>
    <t>Human parechovirus 2</t>
  </si>
  <si>
    <t>PRJNA15357</t>
  </si>
  <si>
    <t>Unknown:NC_001897.1/AJ005695.1</t>
  </si>
  <si>
    <t>Salmonella enterica subsp. enterica strain FCC0146</t>
  </si>
  <si>
    <t>Enterobacteria phage T4T</t>
  </si>
  <si>
    <t>HM137666.1</t>
  </si>
  <si>
    <t>French bean leaf curl virus</t>
  </si>
  <si>
    <t>PRJNA169555</t>
  </si>
  <si>
    <t>Salmonella enterica subsp. enterica strain YU39</t>
  </si>
  <si>
    <t>DNA-A:NC_018090.1/JQ866297.1</t>
  </si>
  <si>
    <t>Long-fingered bat hepatitis B virus</t>
  </si>
  <si>
    <t>PRJNA195535</t>
  </si>
  <si>
    <t>Unknown:NC_020881.1/JX941466.1</t>
  </si>
  <si>
    <t>Bat polyomanvirus 5b-1</t>
  </si>
  <si>
    <t>PRJNA280292</t>
  </si>
  <si>
    <t>Unknown:NC_026767.1/AB972944.1</t>
  </si>
  <si>
    <t>Hibiscus green spot virus 2</t>
  </si>
  <si>
    <t>PRJNA76343</t>
  </si>
  <si>
    <t>Sanguibacter keddieii DSM 10542</t>
  </si>
  <si>
    <t>44.1975</t>
  </si>
  <si>
    <t>RNA 1:NC_016141.1/HQ852052.1;  RNA 2:NC_016143.1/HQ852053.1;  RNA 3:NC_016142.1/HQ852054.1</t>
  </si>
  <si>
    <t>Cockroach associated cyclovirus 1</t>
  </si>
  <si>
    <t>PRJNA188548</t>
  </si>
  <si>
    <t>Unknown:NC_020206.1/JX569794.1</t>
  </si>
  <si>
    <t>Saprospira grandis str. Lewin</t>
  </si>
  <si>
    <t>Shrew hepatovirus KS121232Sorara2012</t>
  </si>
  <si>
    <t>PRJNA302023</t>
  </si>
  <si>
    <t>Unknown:NC_028364.1/KT452658.1</t>
  </si>
  <si>
    <t>Rodent hepatovirus RMU101637Micarv2010</t>
  </si>
  <si>
    <t>PRJNA302024</t>
  </si>
  <si>
    <t>Unknown:NC_028363.1/KT452637.1</t>
  </si>
  <si>
    <t>Scardovia inopinata JCM 12537</t>
  </si>
  <si>
    <t>Hedgehog hepatovirus Igel8Erieur2014</t>
  </si>
  <si>
    <t>PRJNA302022</t>
  </si>
  <si>
    <t>Unknown:NC_028365.1/KT452691.1</t>
  </si>
  <si>
    <t>Mycobacterium virus JHC117</t>
  </si>
  <si>
    <t>Sebaldella termitidis ATCC 33386</t>
  </si>
  <si>
    <t>JF704098.1</t>
  </si>
  <si>
    <t>Escherichia phage KPN1</t>
  </si>
  <si>
    <t>KX452694.1</t>
  </si>
  <si>
    <t>secondary endosymbiont of Ctenarytaina eucalypti</t>
  </si>
  <si>
    <t>Enterobacter phage KPN3</t>
  </si>
  <si>
    <t>KX452696.1</t>
  </si>
  <si>
    <t>Serratia phage KPN4</t>
  </si>
  <si>
    <t>secondary endosymbiont of Heteropsylla cubana</t>
  </si>
  <si>
    <t>KX452697.1</t>
  </si>
  <si>
    <t>Shigella phage KPN5</t>
  </si>
  <si>
    <t>KX452698.1</t>
  </si>
  <si>
    <t>Sedimenticola sp. SIP-G1</t>
  </si>
  <si>
    <t>Sediminicola sp. YIK13</t>
  </si>
  <si>
    <t>Klebsiella phage KPN2</t>
  </si>
  <si>
    <t>KX452695.1</t>
  </si>
  <si>
    <t>Klebsiella phage phiKpS2</t>
  </si>
  <si>
    <t>KX587949.1</t>
  </si>
  <si>
    <t>Proteobacteria phage MWH-Nonnen-W8red 2</t>
  </si>
  <si>
    <t>Segniliparus rotundus DSM 44985</t>
  </si>
  <si>
    <t>chromosome:CP017837.1</t>
  </si>
  <si>
    <t>Proteobacteria phage MWH-Nonnen-W8red 1</t>
  </si>
  <si>
    <t>chromosome:CP017838.1</t>
  </si>
  <si>
    <t>Vibrio phage J14</t>
  </si>
  <si>
    <t>KY022433.1</t>
  </si>
  <si>
    <t>Pseudomonas phage DVM-2008</t>
  </si>
  <si>
    <t>EU982300.1</t>
  </si>
  <si>
    <t>Selenomonas ruminantium subsp. lactilytica TAM6421</t>
  </si>
  <si>
    <t>Avian paramyxovirus goose/Shimane/67/2000</t>
  </si>
  <si>
    <t>PRJNA323871</t>
  </si>
  <si>
    <t>NC_030231.1/LC041132.1</t>
  </si>
  <si>
    <t>Escherichia phage PEC04</t>
  </si>
  <si>
    <t>KR233165.1</t>
  </si>
  <si>
    <t>Selenomonas sp. oral taxon 136</t>
  </si>
  <si>
    <t>Otomops polyomavirus KY157</t>
  </si>
  <si>
    <t>PRJNA185192</t>
  </si>
  <si>
    <t>Unknown:NC_020071.1/JX520664.1</t>
  </si>
  <si>
    <t>Otomops polyomavirus KY156</t>
  </si>
  <si>
    <t>PRJNA185193</t>
  </si>
  <si>
    <t>Unknown:NC_020066.1/JX520658.1</t>
  </si>
  <si>
    <t>Human associated cyclovirus 10</t>
  </si>
  <si>
    <t>PRJNA243497</t>
  </si>
  <si>
    <t>Unknown:NC_023874.2/KF726984.2</t>
  </si>
  <si>
    <t>Selenomonas sp. oral taxon 478 strain F0592</t>
  </si>
  <si>
    <t>Enterobacteria phage RB5</t>
  </si>
  <si>
    <t>KM606995.1</t>
  </si>
  <si>
    <t>Mycobacterium phage DmpstrDiver</t>
  </si>
  <si>
    <t>MF919504.1</t>
  </si>
  <si>
    <t>Selenomonas sputigena ATCC 35185 (Prj:66335)</t>
  </si>
  <si>
    <t>Mycobacterium phage Virapocalypse</t>
  </si>
  <si>
    <t>MF919539.1</t>
  </si>
  <si>
    <t>Pseudomonas phage MR299-2</t>
  </si>
  <si>
    <t>JN254801.1</t>
  </si>
  <si>
    <t>Salmonella phage SPC32H</t>
  </si>
  <si>
    <t>Serratia fonticola RB-25</t>
  </si>
  <si>
    <t>KC911856.1</t>
  </si>
  <si>
    <t>Cellulophaga phage phi19:2</t>
  </si>
  <si>
    <t>Serratia fonticola strain DSM 4576</t>
  </si>
  <si>
    <t>KC821621.1</t>
  </si>
  <si>
    <t>Campylobacter phage CP8</t>
  </si>
  <si>
    <t>KF148616.1</t>
  </si>
  <si>
    <t>Enterobacteria phage FL68 Tallahassee/FL/2012</t>
  </si>
  <si>
    <t>Serratia fonticola strain GS2</t>
  </si>
  <si>
    <t>KF044309.1</t>
  </si>
  <si>
    <t>Campylobacter phage CJIE4-1</t>
  </si>
  <si>
    <t>Serratia liquefaciens ATCC 27592</t>
  </si>
  <si>
    <t>KF751793.1</t>
  </si>
  <si>
    <t>Campylobacter phage CJIE4-3</t>
  </si>
  <si>
    <t>KF751795.1</t>
  </si>
  <si>
    <t>Mycobacterium phage HH92</t>
  </si>
  <si>
    <t>Serratia liquefaciens strain FDAARGOS_125</t>
  </si>
  <si>
    <t>KJ538722.1</t>
  </si>
  <si>
    <t>Pseudomonas phage RWG</t>
  </si>
  <si>
    <t>Serratia liquefaciens strain HUMV-21</t>
  </si>
  <si>
    <t>KM411958.1</t>
  </si>
  <si>
    <t>Paenibacillus phage Diane</t>
  </si>
  <si>
    <t>KT361657.1</t>
  </si>
  <si>
    <t>Serratia marcescens FGI94</t>
  </si>
  <si>
    <t>Salmonella phage fSE4S</t>
  </si>
  <si>
    <t>KT881477.1</t>
  </si>
  <si>
    <t>Serratia marcescens SM39</t>
  </si>
  <si>
    <t>Rhodobacter phage RcCronus</t>
  </si>
  <si>
    <t>KR935217.1</t>
  </si>
  <si>
    <t>Mycobacterium phage DaHudson</t>
  </si>
  <si>
    <t>Serratia marcescens strain B3R3</t>
  </si>
  <si>
    <t>KT359365.1</t>
  </si>
  <si>
    <t>Cellulophaga phage phi4:1_13</t>
  </si>
  <si>
    <t>KT962245.1</t>
  </si>
  <si>
    <t>Arthrobacter phage PrincessTrina</t>
  </si>
  <si>
    <t>KU160660.1</t>
  </si>
  <si>
    <t>Pseudomonas phage UNO-SLW1</t>
  </si>
  <si>
    <t>KX431888.1</t>
  </si>
  <si>
    <t>Serratia marcescens strain CAV1492</t>
  </si>
  <si>
    <t>Erwinia phage vB_EamP_Rexella</t>
  </si>
  <si>
    <t>KX098390.2</t>
  </si>
  <si>
    <t>Enterococcus phage phiFL1B</t>
  </si>
  <si>
    <t>Serratia marcescens strain FDAARGOS_65</t>
  </si>
  <si>
    <t>GQ478082.1</t>
  </si>
  <si>
    <t>Enterococcus phage phiFL1C</t>
  </si>
  <si>
    <t>GQ478083.1</t>
  </si>
  <si>
    <t>Erwinia phage vB_EamP_Gutmeister</t>
  </si>
  <si>
    <t>Serratia marcescens strain RSC-14 (KNU-AP07, KCTC 12887BP)</t>
  </si>
  <si>
    <t>KX098391.1</t>
  </si>
  <si>
    <t>Pseudomonas phage UNO-SLW2</t>
  </si>
  <si>
    <t>KX449361.1</t>
  </si>
  <si>
    <t>Serratia marcescens strain SmUNAM836</t>
  </si>
  <si>
    <t>Arthrobacter phage Conboy</t>
  </si>
  <si>
    <t>KX522650.1</t>
  </si>
  <si>
    <t>Cellulophaga phage phi4:1_18</t>
  </si>
  <si>
    <t>Serratia marcescens strain U36365</t>
  </si>
  <si>
    <t>KT962246.1</t>
  </si>
  <si>
    <t>Mycobacterium phage Wooldri</t>
  </si>
  <si>
    <t>KT381277.1</t>
  </si>
  <si>
    <t>Serratia marcescens strain UCI88</t>
  </si>
  <si>
    <t>Rhodobacter phage RcSaxon</t>
  </si>
  <si>
    <t>KT253150.1</t>
  </si>
  <si>
    <t>Serratia marcescens subsp. marcescens Db11</t>
  </si>
  <si>
    <t>Salmonella phage fSE1C</t>
  </si>
  <si>
    <t>KT962832.1</t>
  </si>
  <si>
    <t>Paenibacillus phage Vadim</t>
  </si>
  <si>
    <t>Serratia marcescens WW4</t>
  </si>
  <si>
    <t>KT361656.1</t>
  </si>
  <si>
    <t>Pseudomonas phage phi176</t>
  </si>
  <si>
    <t>KM411960.1</t>
  </si>
  <si>
    <t>Serratia plymuthica 4Rx13</t>
  </si>
  <si>
    <t>Mycobacterium phage Kinbote</t>
  </si>
  <si>
    <t>KT222940.1</t>
  </si>
  <si>
    <t>Campylobacter phage CJIE4-4</t>
  </si>
  <si>
    <t>Serratia plymuthica AS9</t>
  </si>
  <si>
    <t>KF751796.1</t>
  </si>
  <si>
    <t>Campylobacter phage CJIE4-2</t>
  </si>
  <si>
    <t>Serratia plymuthica RVH1</t>
  </si>
  <si>
    <t>KF751794.1</t>
  </si>
  <si>
    <t>Enterobacteria phage FL76 Tallahassee/FL/2012</t>
  </si>
  <si>
    <t>KF044310.1</t>
  </si>
  <si>
    <t>Serratia plymuthica S13</t>
  </si>
  <si>
    <t>Cellulophaga phage phi13:1</t>
  </si>
  <si>
    <t>Serratia plymuthica strain 3Re4-18</t>
  </si>
  <si>
    <t>KC821625.1</t>
  </si>
  <si>
    <t>Salmonella phage SPC32N</t>
  </si>
  <si>
    <t>Serratia plymuthica strain 3Rp8</t>
  </si>
  <si>
    <t>KC911857.1</t>
  </si>
  <si>
    <t>Brucella phage Bk</t>
  </si>
  <si>
    <t>KC556893.1</t>
  </si>
  <si>
    <t>Serratia plymuthica strain V4</t>
  </si>
  <si>
    <t>Enterobacteria phage RB10</t>
  </si>
  <si>
    <t>KM606999.1</t>
  </si>
  <si>
    <t>Enterobacteria phage RB55</t>
  </si>
  <si>
    <t>Serratia proteamaculans 568</t>
  </si>
  <si>
    <t>KM607002.1</t>
  </si>
  <si>
    <t>Mycobacterium phage Piglet</t>
  </si>
  <si>
    <t>Serratia rubidaea strain 1122</t>
  </si>
  <si>
    <t>JX649097.1</t>
  </si>
  <si>
    <t>Mycobacterium phage Puhltonio</t>
  </si>
  <si>
    <t>GQ303264.1</t>
  </si>
  <si>
    <t>Mycobacterium phage LizLemon</t>
  </si>
  <si>
    <t>KM101117.1</t>
  </si>
  <si>
    <t>Listeria phage LP-124</t>
  </si>
  <si>
    <t>Serratia sp. AS12</t>
  </si>
  <si>
    <t>KJ094031.2</t>
  </si>
  <si>
    <t>Mycobacterium phage PDRPv</t>
  </si>
  <si>
    <t>KR029086.1</t>
  </si>
  <si>
    <t>Serratia sp. AS13</t>
  </si>
  <si>
    <t>KX349299.1</t>
  </si>
  <si>
    <t>Serratia sp. ATCC 39006</t>
  </si>
  <si>
    <t>Arthrobacter phage Jessica</t>
  </si>
  <si>
    <t>KT355473.1</t>
  </si>
  <si>
    <t>Mycobacterium phage Drazdys</t>
  </si>
  <si>
    <t>Serratia sp. FS14</t>
  </si>
  <si>
    <t>JF704116.1</t>
  </si>
  <si>
    <t>Pseudomonas phage DL52</t>
  </si>
  <si>
    <t>Serratia sp. SCBI</t>
  </si>
  <si>
    <t>KR054028.1</t>
  </si>
  <si>
    <t>Serratia symbiotica str. 'Cinara cedri'</t>
  </si>
  <si>
    <t>KX349308.1</t>
  </si>
  <si>
    <t>Brucella phage F1</t>
  </si>
  <si>
    <t>HG428758.1</t>
  </si>
  <si>
    <t>Serratia symbiotica strain STs</t>
  </si>
  <si>
    <t>Mycobacterium phage Godines</t>
  </si>
  <si>
    <t>KR997932.1</t>
  </si>
  <si>
    <t>Serratia ureilytica strain Lr5/4</t>
  </si>
  <si>
    <t>KT264761.1</t>
  </si>
  <si>
    <t>AP013370.1</t>
  </si>
  <si>
    <t>Shewanella amazonensis SB2B</t>
  </si>
  <si>
    <t>Enterobacteria phage ID11</t>
  </si>
  <si>
    <t>KX266637.1</t>
  </si>
  <si>
    <t>Shewanella baltica OS117</t>
  </si>
  <si>
    <t>HM775307.1</t>
  </si>
  <si>
    <t>Stx2 converting phage I</t>
  </si>
  <si>
    <t>Shewanella baltica OS155</t>
  </si>
  <si>
    <t>AP004402.1</t>
  </si>
  <si>
    <t>Mycobacterium phage Nacho</t>
  </si>
  <si>
    <t>JX649098.1</t>
  </si>
  <si>
    <t>Shewanella baltica OS185</t>
  </si>
  <si>
    <t>BCRX00000000.1</t>
  </si>
  <si>
    <t>Shewanella baltica OS195</t>
  </si>
  <si>
    <t>Unknown:KX513953.1</t>
  </si>
  <si>
    <t>Saboya virus</t>
  </si>
  <si>
    <t>PRJNA375045</t>
  </si>
  <si>
    <t>Shewanella baltica OS223</t>
  </si>
  <si>
    <t>Unknown:NC_033697.1/DQ859062.1</t>
  </si>
  <si>
    <t>KU686213.1</t>
  </si>
  <si>
    <t>Shewanella baltica OS678</t>
  </si>
  <si>
    <t>PRJEB14065</t>
  </si>
  <si>
    <t>Unknown:NC_031949.1/LT594381.1</t>
  </si>
  <si>
    <t>Shewanella denitrificans OS217</t>
  </si>
  <si>
    <t>47.95</t>
  </si>
  <si>
    <t>AAMH00000000.1</t>
  </si>
  <si>
    <t>Gordonia phage Attis</t>
  </si>
  <si>
    <t>Shewanella frigidimarina NCIMB 400</t>
  </si>
  <si>
    <t>KU963247.1</t>
  </si>
  <si>
    <t>Mycobacterium phage Myxus</t>
  </si>
  <si>
    <t>KU716095.1</t>
  </si>
  <si>
    <t>Shewanella halifaxensis HAW-EB4</t>
  </si>
  <si>
    <t>Mycobacterium phage ChipMunk</t>
  </si>
  <si>
    <t>KU985095.1</t>
  </si>
  <si>
    <t>Shewanella loihica PV-4</t>
  </si>
  <si>
    <t>Lactococcus phage 50901</t>
  </si>
  <si>
    <t>KX456208.1</t>
  </si>
  <si>
    <t>Gordonia phage Kampe</t>
  </si>
  <si>
    <t>Shewanella oneidensis MR-1</t>
  </si>
  <si>
    <t>KU998254.1</t>
  </si>
  <si>
    <t>Gordonia phage Jeanie</t>
  </si>
  <si>
    <t>KU998256.1</t>
  </si>
  <si>
    <t>Shewanella pealeana ATCC 700345</t>
  </si>
  <si>
    <t>KP063903.1</t>
  </si>
  <si>
    <t>Bacillus phage PfEFR-4</t>
  </si>
  <si>
    <t>Shewanella piezotolerans WP3</t>
  </si>
  <si>
    <t>KX227757.1</t>
  </si>
  <si>
    <t>Pseudomonas phage vB_PsyM_KIL2</t>
  </si>
  <si>
    <t>Shewanella putrefaciens 200</t>
  </si>
  <si>
    <t>KU130127.1</t>
  </si>
  <si>
    <t>Salmonella phage 101962B_sal5</t>
  </si>
  <si>
    <t>KU927496.1</t>
  </si>
  <si>
    <t>Shewanella putrefaciens CN-32</t>
  </si>
  <si>
    <t>Salmonella phage phSE-5</t>
  </si>
  <si>
    <t>KX015771.1</t>
  </si>
  <si>
    <t>Shewanella sediminis HAW-EB3</t>
  </si>
  <si>
    <t>Escherichia phage Lust</t>
  </si>
  <si>
    <t>KX534338.1</t>
  </si>
  <si>
    <t>Lactococcus phage M6202</t>
  </si>
  <si>
    <t>KX373690.1</t>
  </si>
  <si>
    <t>Mycobacterium phage Bircsak</t>
  </si>
  <si>
    <t>Shewanella sp. ANA-3</t>
  </si>
  <si>
    <t>KX522649.1</t>
  </si>
  <si>
    <t>Gordonia phage BatStarr</t>
  </si>
  <si>
    <t>KX557273.1</t>
  </si>
  <si>
    <t>Shewanella sp. MR-4</t>
  </si>
  <si>
    <t>Lactococcus phage 86501</t>
  </si>
  <si>
    <t>KX456212.1</t>
  </si>
  <si>
    <t>Shewanella sp. MR-7</t>
  </si>
  <si>
    <t>Citrobacter phage SH5</t>
  </si>
  <si>
    <t>KU687351.1</t>
  </si>
  <si>
    <t>Lactococcus phage 56701</t>
  </si>
  <si>
    <t>Shewanella sp. W3-18-1</t>
  </si>
  <si>
    <t>KX456209.1</t>
  </si>
  <si>
    <t>Streptococcus virus 9873</t>
  </si>
  <si>
    <t>Shewanella violacea DSS12</t>
  </si>
  <si>
    <t>KU678391.1</t>
  </si>
  <si>
    <t>Bacillus phage Smudge</t>
  </si>
  <si>
    <t>Shewanella woodyi ATCC 51908</t>
  </si>
  <si>
    <t>KX156152.1</t>
  </si>
  <si>
    <t>Erwinia phage vB_EamM_Machina</t>
  </si>
  <si>
    <t>KX397370.1</t>
  </si>
  <si>
    <t>Gordonia phage Strosahl</t>
  </si>
  <si>
    <t>KX557284.1</t>
  </si>
  <si>
    <t>Shigella boydii CDC 3083-94</t>
  </si>
  <si>
    <t>PRJNA340453</t>
  </si>
  <si>
    <t>NC_030849.1/KX580898.1</t>
  </si>
  <si>
    <t>Shigella boydii Sb227</t>
  </si>
  <si>
    <t>Saffold virus</t>
  </si>
  <si>
    <t>PRJNA19577</t>
  </si>
  <si>
    <t>Unknown:NC_009448.2/EF165067.2</t>
  </si>
  <si>
    <t>Aquatic bird bornavirus 1</t>
  </si>
  <si>
    <t>Shigella boydii strain ATCC 9210</t>
  </si>
  <si>
    <t>Unknown:NC_029642.1/KF578398.1</t>
  </si>
  <si>
    <t>Mycobacterium phage ABCat</t>
  </si>
  <si>
    <t>KF188414.1</t>
  </si>
  <si>
    <t>Mycobacterium phage McFly</t>
  </si>
  <si>
    <t>KU695582.1</t>
  </si>
  <si>
    <t>Shigella dysenteriae 1617</t>
  </si>
  <si>
    <t>Peptoclostridium phage phiCDIF1296T</t>
  </si>
  <si>
    <t>CP011970.1</t>
  </si>
  <si>
    <t>Staphylococcus phage phiNM4-gamma4</t>
  </si>
  <si>
    <t>KP209285.1</t>
  </si>
  <si>
    <t>Shigella dysenteriae Sd197</t>
  </si>
  <si>
    <t>Mycobacterium phage Xerxes</t>
  </si>
  <si>
    <t>KU935726.1</t>
  </si>
  <si>
    <t>Mannheimia phage vB_MhM_1127AP1</t>
  </si>
  <si>
    <t>Shigella flexneri 1a</t>
  </si>
  <si>
    <t>KP137436.1</t>
  </si>
  <si>
    <t>Mycobacterium phage TallGRassMM</t>
  </si>
  <si>
    <t>JN699010.1</t>
  </si>
  <si>
    <t>Mycobacterium phage Slarp</t>
  </si>
  <si>
    <t>KT361920.1</t>
  </si>
  <si>
    <t>Shigella flexneri 2002017</t>
  </si>
  <si>
    <t>Mycobacterium virus Astro</t>
  </si>
  <si>
    <t>JX015524.1</t>
  </si>
  <si>
    <t>Salmonella phage SEN8</t>
  </si>
  <si>
    <t>KT630647.2</t>
  </si>
  <si>
    <t>Mycobacterium phage Marie</t>
  </si>
  <si>
    <t>KU578077.1</t>
  </si>
  <si>
    <t>Shigella flexneri 2003036</t>
  </si>
  <si>
    <t>Propionibacterium phage PAC2</t>
  </si>
  <si>
    <t>KR902979.1</t>
  </si>
  <si>
    <t>Streptomyces phage Verse</t>
  </si>
  <si>
    <t>KT186229.1</t>
  </si>
  <si>
    <t>Shigella flexneri 2a</t>
  </si>
  <si>
    <t>Streptomyces phage Aaronocolus</t>
  </si>
  <si>
    <t>KT124227.1</t>
  </si>
  <si>
    <t>Mycobacterium phage Girafales</t>
  </si>
  <si>
    <t>KR997931.1</t>
  </si>
  <si>
    <t>Mycobacterium phage Lumos</t>
  </si>
  <si>
    <t>Shigella flexneri 2a str. 2457T</t>
  </si>
  <si>
    <t>KT372003.1</t>
  </si>
  <si>
    <t>Stenotrophomonas phage vB_SmaS-DLP_1</t>
  </si>
  <si>
    <t>KR537872.1</t>
  </si>
  <si>
    <t>Shigella flexneri 2a str. 301</t>
  </si>
  <si>
    <t>Escherichia virus FI</t>
  </si>
  <si>
    <t>PRJNA307769</t>
  </si>
  <si>
    <t>Unknown:NC_028902.1/EF068134.1</t>
  </si>
  <si>
    <t>Mycobacterium phage Penny1</t>
  </si>
  <si>
    <t>KX458237.1</t>
  </si>
  <si>
    <t>Rhodococcus phage Rhodalysa</t>
  </si>
  <si>
    <t>Shigella flexneri 4c</t>
  </si>
  <si>
    <t>KT375356.1</t>
  </si>
  <si>
    <t>Borna disease virus 1</t>
  </si>
  <si>
    <t>Unknown:NC_001607.1/U04608.1</t>
  </si>
  <si>
    <t>Parrot bornavirus 7</t>
  </si>
  <si>
    <t>Shigella flexneri 5 str. 8401</t>
  </si>
  <si>
    <t>Unknown:NC_030689.1/JX065210.2</t>
  </si>
  <si>
    <t>Canary bornavirus 1</t>
  </si>
  <si>
    <t>PRJNA296131</t>
  </si>
  <si>
    <t>NC_030690.1/KC464471.1</t>
  </si>
  <si>
    <t>Aiptasia sp. sea anemone associated circular virus</t>
  </si>
  <si>
    <t>PRJNA293720</t>
  </si>
  <si>
    <t>Unknown:NC_027781.1/KR528544.1</t>
  </si>
  <si>
    <t>Shigella flexneri 5a str. M90T</t>
  </si>
  <si>
    <t>Microviridae Fen51_42</t>
  </si>
  <si>
    <t>KM589507.1</t>
  </si>
  <si>
    <t>Propionibacterium phage PHL064M02</t>
  </si>
  <si>
    <t>KJ578764.1</t>
  </si>
  <si>
    <t>Shigella flexneri G1663</t>
  </si>
  <si>
    <t>Propionibacterium phage PHL082M02</t>
  </si>
  <si>
    <t>KJ578769.1</t>
  </si>
  <si>
    <t>Rhizobium phage RHEph01</t>
  </si>
  <si>
    <t>JX483873.1</t>
  </si>
  <si>
    <t>Propionibacterium phage PHL085M01</t>
  </si>
  <si>
    <t>JX570707.1</t>
  </si>
  <si>
    <t>Vibrio phage H2</t>
  </si>
  <si>
    <t>KY658673.3</t>
  </si>
  <si>
    <t>Shigella flexneri Shi06HN006</t>
  </si>
  <si>
    <t>KJ019040.1</t>
  </si>
  <si>
    <t>KJ019089.1</t>
  </si>
  <si>
    <t>Shigella flexneri strain NCTC1</t>
  </si>
  <si>
    <t>Shigella sonnei 53G</t>
  </si>
  <si>
    <t>KJ019037.1</t>
  </si>
  <si>
    <t>Shigella sonnei Ss046</t>
  </si>
  <si>
    <t>KJ019030.1</t>
  </si>
  <si>
    <t>Shigella sonnei strain FDAARGOS_90</t>
  </si>
  <si>
    <t>KJ019029.1</t>
  </si>
  <si>
    <t>Lactococcus phage SK1833</t>
  </si>
  <si>
    <t>KF676640.1</t>
  </si>
  <si>
    <t>PRJNA292100</t>
  </si>
  <si>
    <t>Shigella sonnei strain FORC_011</t>
  </si>
  <si>
    <t>Unknown:NC_027701.1/KM268108.1</t>
  </si>
  <si>
    <t>PRJNA369104</t>
  </si>
  <si>
    <t>Unknown:NC_033555.1/KY001650.1</t>
  </si>
  <si>
    <t>Human bocavirus 4 NI</t>
  </si>
  <si>
    <t>Shigella sp. PAMC 28760</t>
  </si>
  <si>
    <t>PRJNA38243</t>
  </si>
  <si>
    <t>Unknown:NC_012729.2/FJ973561.2</t>
  </si>
  <si>
    <t>Shimwellia blattae DSM 4481 = NBRC 105725</t>
  </si>
  <si>
    <t>KJ094032.2</t>
  </si>
  <si>
    <t>Penaeus monodon hepandensovirus 4</t>
  </si>
  <si>
    <t>PRJNA32695</t>
  </si>
  <si>
    <t>Unknown:NC_011545.2/FJ410797.2</t>
  </si>
  <si>
    <t>Vibrio phage AS51</t>
  </si>
  <si>
    <t>KF800937.1</t>
  </si>
  <si>
    <t>Shinella sp. HZN7</t>
  </si>
  <si>
    <t>Shewanella sp. phage 3/49</t>
  </si>
  <si>
    <t>PRJNA266779</t>
  </si>
  <si>
    <t>Unknown:NC_025466.1/KJ018214.1</t>
  </si>
  <si>
    <t>JX094499.1</t>
  </si>
  <si>
    <t>Vibrio phage phi 2</t>
  </si>
  <si>
    <t>KJ545483.2</t>
  </si>
  <si>
    <t>Dinoroseobacter phage vBDshPR2C</t>
  </si>
  <si>
    <t>KJ803031.1</t>
  </si>
  <si>
    <t>Siansivirga zeaxanthinifaciens CC-SAMT-1</t>
  </si>
  <si>
    <t>Pseudomonas phage phiPsa17</t>
  </si>
  <si>
    <t>KR091952.1</t>
  </si>
  <si>
    <t>Listeria phage LMTA-34</t>
  </si>
  <si>
    <t>KJ586794.1</t>
  </si>
  <si>
    <t>Sweet potato leaf curl Henan4 virus</t>
  </si>
  <si>
    <t>PRJNA225011</t>
  </si>
  <si>
    <t>Unknown:NC_022586.1/KF156759.1</t>
  </si>
  <si>
    <t>Sideroxydans lithotrophicus ES-1</t>
  </si>
  <si>
    <t>Bacillus phage Vinny</t>
  </si>
  <si>
    <t>KU737346.1</t>
  </si>
  <si>
    <t>Mycobacterium phage Audrey</t>
  </si>
  <si>
    <t>KJ194581.1</t>
  </si>
  <si>
    <t>Mycobacterium virus LHTSCC</t>
  </si>
  <si>
    <t>JN699015.1</t>
  </si>
  <si>
    <t>PRJNA42941</t>
  </si>
  <si>
    <t>Unknown:NC_013695.1/AF414373.2</t>
  </si>
  <si>
    <t>Simiduia agarivorans SA1 = DSM 21679</t>
  </si>
  <si>
    <t>PRJNA36399</t>
  </si>
  <si>
    <t>Unknown:NC_012437.1/FJ434664.1</t>
  </si>
  <si>
    <t>Mycobacterium phage Eidsmoe</t>
  </si>
  <si>
    <t>KU716094.1</t>
  </si>
  <si>
    <t>Pseudomonas phage YMC11/11/R1836</t>
  </si>
  <si>
    <t>KT968832.1</t>
  </si>
  <si>
    <t>Mycobacterium phage ADLER F1725</t>
  </si>
  <si>
    <t>KF981876.1</t>
  </si>
  <si>
    <t>Achromobacter phage JWDelta</t>
  </si>
  <si>
    <t>KF787094.1</t>
  </si>
  <si>
    <t>Simkania negevensis Z</t>
  </si>
  <si>
    <t>Mycobacterium phage Medusa</t>
  </si>
  <si>
    <t>KF024733.1</t>
  </si>
  <si>
    <t>Mycobacterium phage 40BC</t>
  </si>
  <si>
    <t>KJ433975.1</t>
  </si>
  <si>
    <t>Vibrio phage phi-Grn1</t>
  </si>
  <si>
    <t>KT919972.1</t>
  </si>
  <si>
    <t>Mycobacterium phage ToneTone</t>
  </si>
  <si>
    <t>Sinomonas atrocyanea strain KCTC 3377</t>
  </si>
  <si>
    <t>KX375815.1</t>
  </si>
  <si>
    <t>Mycobacterium phage Zakhe101</t>
  </si>
  <si>
    <t>KT281796.1</t>
  </si>
  <si>
    <t>Propionibacterium phage PHL066M04</t>
  </si>
  <si>
    <t>JX570711.1</t>
  </si>
  <si>
    <t>Mycobacterium phage Mosby</t>
  </si>
  <si>
    <t>Sinorhizobium fredii HH103</t>
  </si>
  <si>
    <t>KF493883.1</t>
  </si>
  <si>
    <t>Mycobacterium phage Zapner</t>
  </si>
  <si>
    <t>KJ567041.1</t>
  </si>
  <si>
    <t>Cellulophaga phage phi40:1</t>
  </si>
  <si>
    <t>KC821612.1</t>
  </si>
  <si>
    <t>Sinorhizobium fredii NGR234</t>
  </si>
  <si>
    <t>Flavobacterium phage 23T</t>
  </si>
  <si>
    <t>KU599888.1</t>
  </si>
  <si>
    <t>Cellulophaga phage phi18:4</t>
  </si>
  <si>
    <t>KC821628.1</t>
  </si>
  <si>
    <t>Sinorhizobium fredii USDA 257</t>
  </si>
  <si>
    <t>Salmonella phage FSL SP-039</t>
  </si>
  <si>
    <t>KC139514.1</t>
  </si>
  <si>
    <t>Salmonella phage FSL SP-124</t>
  </si>
  <si>
    <t>KC139515.1</t>
  </si>
  <si>
    <t>Sinorhizobium medicae WSM419</t>
  </si>
  <si>
    <t>Mycobacterium phage Bo4</t>
  </si>
  <si>
    <t>KC787107.1</t>
  </si>
  <si>
    <t>Vibrio phage VCO139</t>
  </si>
  <si>
    <t>KC438283.1</t>
  </si>
  <si>
    <t>Mycobacterium phage Bricole</t>
  </si>
  <si>
    <t>KT591491.1</t>
  </si>
  <si>
    <t>Streptomyces phage Danzina</t>
  </si>
  <si>
    <t>KT124228.1</t>
  </si>
  <si>
    <t>Sinorhizobium meliloti 1021</t>
  </si>
  <si>
    <t>Mycobacterium phage Ukulele</t>
  </si>
  <si>
    <t>KT373978.1</t>
  </si>
  <si>
    <t>Alteromonas phage vB_AmaP_AD45-P2</t>
  </si>
  <si>
    <t>KF005320.1</t>
  </si>
  <si>
    <t>PRJNA193982</t>
  </si>
  <si>
    <t>Unknown:NC_020498.1/JX134044.1</t>
  </si>
  <si>
    <t>Sinorhizobium meliloti 2011</t>
  </si>
  <si>
    <t>Bacillus phage Gemini</t>
  </si>
  <si>
    <t>KC330681.1</t>
  </si>
  <si>
    <t>Dickeya phage phiD3</t>
  </si>
  <si>
    <t>KM209228.1</t>
  </si>
  <si>
    <t>Staphylococcus phage phi7247PVL</t>
  </si>
  <si>
    <t>Sinorhizobium meliloti GR4</t>
  </si>
  <si>
    <t>AP011956.1</t>
  </si>
  <si>
    <t>Erwinia phage vB_EamM_Stratton</t>
  </si>
  <si>
    <t>KX397373.1</t>
  </si>
  <si>
    <t>Sinorhizobium meliloti Rm41</t>
  </si>
  <si>
    <t>Liberibacter phage FP2</t>
  </si>
  <si>
    <t>JF773396.1</t>
  </si>
  <si>
    <t>Ralstonia phage RS611</t>
  </si>
  <si>
    <t>Sinorhizobium meliloti RU11/001</t>
  </si>
  <si>
    <t>AB931172.1</t>
  </si>
  <si>
    <t>Clostridium phage phiCP9O</t>
  </si>
  <si>
    <t>Sinorhizobium meliloti SM11</t>
  </si>
  <si>
    <t>JF767210.1</t>
  </si>
  <si>
    <t>JN600960.1</t>
  </si>
  <si>
    <t>Sinorhizobium meliloti strain RMO17</t>
  </si>
  <si>
    <t>HF569091.1</t>
  </si>
  <si>
    <t>Synechococcus phage S-MbCM25</t>
  </si>
  <si>
    <t>KF156339.1</t>
  </si>
  <si>
    <t>Vibrio phage 24</t>
  </si>
  <si>
    <t>Slackia heliotrinireducens DSM 20476</t>
  </si>
  <si>
    <t>KJ572844.2</t>
  </si>
  <si>
    <t>Streptomyces phage phiELB20</t>
  </si>
  <si>
    <t>JX262376.1</t>
  </si>
  <si>
    <t>Snodgrassella alvi wkB2</t>
  </si>
  <si>
    <t>JX163858.1</t>
  </si>
  <si>
    <t>Bacillus phage phi4I1</t>
  </si>
  <si>
    <t>KT967075.1</t>
  </si>
  <si>
    <t>Sodalis glossinidius str. 'morsitans'</t>
  </si>
  <si>
    <t>KX711710.1</t>
  </si>
  <si>
    <t>Staphylococcus phage S13'</t>
  </si>
  <si>
    <t>AB626963.1</t>
  </si>
  <si>
    <t>Sodalis sp. HS1</t>
  </si>
  <si>
    <t>AP011616.1</t>
  </si>
  <si>
    <t>PRJNA70005</t>
  </si>
  <si>
    <t>Unknown:NC_015783.1/FR751463.1</t>
  </si>
  <si>
    <t>Solibacillus silvestris StLB046</t>
  </si>
  <si>
    <t>Enterococcus phage phiEF24C-P2</t>
  </si>
  <si>
    <t>AB609718.1</t>
  </si>
  <si>
    <t>Human papillomavirus type 101</t>
  </si>
  <si>
    <t>PRJNA17121</t>
  </si>
  <si>
    <t>Solibacillus silvestris strain DSM 12223</t>
  </si>
  <si>
    <t>Unknown:NC_008189.1/DQ080081.1</t>
  </si>
  <si>
    <t>Synechococcus phage S-RIM8</t>
  </si>
  <si>
    <t>KX349285.1</t>
  </si>
  <si>
    <t>Synechococcus phage S-RIM2 R21_2007</t>
  </si>
  <si>
    <t>HQ317290.1</t>
  </si>
  <si>
    <t>Sorangium cellulosum So ce56</t>
  </si>
  <si>
    <t>KU686203.1</t>
  </si>
  <si>
    <t>Yersinia phage YpP-G</t>
  </si>
  <si>
    <t>JQ965702.1</t>
  </si>
  <si>
    <t>Cyanophage S-RIM44</t>
  </si>
  <si>
    <t>KU594607.1</t>
  </si>
  <si>
    <t>Sorangium cellulosum So0157-2</t>
  </si>
  <si>
    <t>Mus musculus papillomavirus type 1</t>
  </si>
  <si>
    <t>PRJNA50561</t>
  </si>
  <si>
    <t>Unknown:NC_014326.1/GU808564.1</t>
  </si>
  <si>
    <t>Malvastrum leaf curl virus-associated defective DNA beta</t>
  </si>
  <si>
    <t>PRJNA16320</t>
  </si>
  <si>
    <t>Unknown:NC_007725.1/AJ971264.1</t>
  </si>
  <si>
    <t>Human T-lymphotropic virus 1</t>
  </si>
  <si>
    <t>PRJNA15434</t>
  </si>
  <si>
    <t>Unknown:NC_001436.1/AF033817.1</t>
  </si>
  <si>
    <t>Sphaerobacter thermophilus DSM 20745</t>
  </si>
  <si>
    <t>Human adenovirus B3</t>
  </si>
  <si>
    <t>PRJNA31177</t>
  </si>
  <si>
    <t>Unknown:NC_011203.1/DQ086466.1</t>
  </si>
  <si>
    <t>Hepatitis C virus QC69</t>
  </si>
  <si>
    <t>PRJNA339556</t>
  </si>
  <si>
    <t>NC_030791.1/EF108306.2</t>
  </si>
  <si>
    <t>Sleeping disease virus</t>
  </si>
  <si>
    <t>PRJNA15395</t>
  </si>
  <si>
    <t>Sphaerochaeta coccoides DSM 17374</t>
  </si>
  <si>
    <t>Unknown:NC_003433.1/AJ316246.1</t>
  </si>
  <si>
    <t>PRJNA30293</t>
  </si>
  <si>
    <t>Unknown:NC_009942.1/DQ211652.1</t>
  </si>
  <si>
    <t>Turkey coronavirus</t>
  </si>
  <si>
    <t>PRJNA30039</t>
  </si>
  <si>
    <t>Sphaerochaeta globosa str. Buddy</t>
  </si>
  <si>
    <t>Unknown:NC_010800.1/EU095850.1</t>
  </si>
  <si>
    <t>Dengue virus 1</t>
  </si>
  <si>
    <t>PRJNA15306</t>
  </si>
  <si>
    <t>Unknown:NC_001477.1/U88536.1</t>
  </si>
  <si>
    <t>Small anellovirus 2</t>
  </si>
  <si>
    <t>Sphaerochaeta pleomorpha str. Grapes</t>
  </si>
  <si>
    <t>PRJNA15253</t>
  </si>
  <si>
    <t>Unknown:NC_007014.1/AY622909.1</t>
  </si>
  <si>
    <t>Rat coronavirus Parker</t>
  </si>
  <si>
    <t>PRJNA39313</t>
  </si>
  <si>
    <t>Unknown:NC_012936.1/FJ938068.1</t>
  </si>
  <si>
    <t>Friend murine leukemia virus</t>
  </si>
  <si>
    <t>Sphingobacterium sp. 21</t>
  </si>
  <si>
    <t>PRJNA15200</t>
  </si>
  <si>
    <t>Unknown:NC_001362.1/Z11128.1</t>
  </si>
  <si>
    <t>GU071092.1</t>
  </si>
  <si>
    <t>Influenza A virus (A/Korea/426/1968(H2N2))</t>
  </si>
  <si>
    <t>Sphingobacterium sp. ML3W</t>
  </si>
  <si>
    <t>PRJNA15620</t>
  </si>
  <si>
    <t>43.3652</t>
  </si>
  <si>
    <t>segment 1:NC_007378.1/M73524.1;  segment 2:NC_007375.1/M25935.1;  segment 3:NC_007376.1/M26079.1;  segment 4:NC_007374.1/L11133.1;  segment 5:NC_007381.1/AY210103.1;  segment 6:NC_007382.1/AY209932.1;  segment 7:NC_007377.1/M63531.1;  segment 8:NC_007380.1/AY210191.1</t>
  </si>
  <si>
    <t>Simian immunodeficiency virus SIV-mnd 2</t>
  </si>
  <si>
    <t>PRJNA14872</t>
  </si>
  <si>
    <t>Unknown:NC_004455.1/AF367411.2</t>
  </si>
  <si>
    <t>Newbury agent 1</t>
  </si>
  <si>
    <t>Sphingobium baderi strain DE-13</t>
  </si>
  <si>
    <t>PRJNA16653</t>
  </si>
  <si>
    <t>Unknown:NC_007916.1/DQ013304.1</t>
  </si>
  <si>
    <t>Simian T-lymphotropic virus 2</t>
  </si>
  <si>
    <t>PRJNA15221</t>
  </si>
  <si>
    <t>Unknown:NC_001815.1/Y14570.1</t>
  </si>
  <si>
    <t>Sphingobium japonicum UT26S</t>
  </si>
  <si>
    <t>Sapovirus Mc10</t>
  </si>
  <si>
    <t>PRJNA14952</t>
  </si>
  <si>
    <t>Unknown:NC_010624.1/AY237420.2</t>
  </si>
  <si>
    <t>Avian leukemia virus</t>
  </si>
  <si>
    <t>PRJNA62661</t>
  </si>
  <si>
    <t>Unknown:NC_015116.1/HQ425636.1</t>
  </si>
  <si>
    <t>Sphingobium sp. MI1205</t>
  </si>
  <si>
    <t>Human mastadenovirus E</t>
  </si>
  <si>
    <t>PRJNA15152</t>
  </si>
  <si>
    <t>Unknown:NC_003266.2/AY487947.1</t>
  </si>
  <si>
    <t>PRJNA15112</t>
  </si>
  <si>
    <t>Sphingobium sp. SYK-6</t>
  </si>
  <si>
    <t>Unknown:AC_000016.1/</t>
  </si>
  <si>
    <t>Human adenovirus 17</t>
  </si>
  <si>
    <t>PRJNA15105</t>
  </si>
  <si>
    <t>Unknown:AC_000006.1/</t>
  </si>
  <si>
    <t>Sphingobium sp. TKS</t>
  </si>
  <si>
    <t>PRJNA40321</t>
  </si>
  <si>
    <t>Unknown:AC_000013.1/</t>
  </si>
  <si>
    <t>PRJNA40323</t>
  </si>
  <si>
    <t>Unknown:AC_000014.1/</t>
  </si>
  <si>
    <t>Sphingobium sp. YBL2</t>
  </si>
  <si>
    <t>PRJNA40317</t>
  </si>
  <si>
    <t>Unknown:AC_000009.1/</t>
  </si>
  <si>
    <t>PRJNA40313</t>
  </si>
  <si>
    <t>Unknown:AC_000004.1/</t>
  </si>
  <si>
    <t>Sphingomonas sanxanigenens DSM 19645 = NX02</t>
  </si>
  <si>
    <t>PRJNA40319</t>
  </si>
  <si>
    <t>Unknown:AC_000012.1/</t>
  </si>
  <si>
    <t>Human adenovirus 5</t>
  </si>
  <si>
    <t>PRJNA15107</t>
  </si>
  <si>
    <t>Unknown:AC_000008.1/</t>
  </si>
  <si>
    <t>PRJNA40315</t>
  </si>
  <si>
    <t>Sphingomonas sp. MM-1</t>
  </si>
  <si>
    <t>Unknown:AC_000005.1/</t>
  </si>
  <si>
    <t>PRJNA40311</t>
  </si>
  <si>
    <t>Unknown:AC_000002.1/</t>
  </si>
  <si>
    <t>Canine adenovirus 2</t>
  </si>
  <si>
    <t>PRJNA15102</t>
  </si>
  <si>
    <t>Unknown:AC_000020.1/</t>
  </si>
  <si>
    <t>Sphingomonas sp. NIC1</t>
  </si>
  <si>
    <t>PRJNA40309</t>
  </si>
  <si>
    <t>Unknown:AC_000001.1/</t>
  </si>
  <si>
    <t>Lactobacillus phage Lc-Nu</t>
  </si>
  <si>
    <t>PRJNA16114</t>
  </si>
  <si>
    <t>Unknown:NC_007501.1/AY131267.2</t>
  </si>
  <si>
    <t>Sphingomonas sp. WHSC-8</t>
  </si>
  <si>
    <t>PRJNA14413</t>
  </si>
  <si>
    <t>EBV:NC_007605.1/AJ507799.2</t>
  </si>
  <si>
    <t>Sphingomonas taxi ATCC 55669</t>
  </si>
  <si>
    <t>Turnip crinkle virus virulent satellite RNA C</t>
  </si>
  <si>
    <t>PRJNA14506</t>
  </si>
  <si>
    <t>Unknown:NC_006451.1/X12750.1</t>
  </si>
  <si>
    <t>Sphingomonas wittichii RW1</t>
  </si>
  <si>
    <t>GU071091.1</t>
  </si>
  <si>
    <t>Ross's goose hepatitis B virus</t>
  </si>
  <si>
    <t>PRJNA14380</t>
  </si>
  <si>
    <t>Unknown:NC_005888.1/M95589.1</t>
  </si>
  <si>
    <t>Lactococcus phage ASCC473</t>
  </si>
  <si>
    <t>Sphingopyxis alaskensis RB2256</t>
  </si>
  <si>
    <t>JQ740805.1</t>
  </si>
  <si>
    <t>Stx1 converting phage AU5Stx1</t>
  </si>
  <si>
    <t>KU977419.1</t>
  </si>
  <si>
    <t>Sphingopyxis granuli strain TFA</t>
  </si>
  <si>
    <t>Mycobacterium phage Winky</t>
  </si>
  <si>
    <t>KC661276.1</t>
  </si>
  <si>
    <t>Papio ursinus cytomegalovirus</t>
  </si>
  <si>
    <t>PRJNA284015</t>
  </si>
  <si>
    <t>Unknown:NC_027016.1/KR351281.1</t>
  </si>
  <si>
    <t>Mycobacterium phage Phreak</t>
  </si>
  <si>
    <t>Sphingopyxis macrogoltabida strain 203</t>
  </si>
  <si>
    <t>KT347314.1</t>
  </si>
  <si>
    <t>Enterobacteria phage RB68</t>
  </si>
  <si>
    <t>NC_027979.1/KM607004.1</t>
  </si>
  <si>
    <t>Vibrio phage ND1-fs1</t>
  </si>
  <si>
    <t>Sphingopyxis macrogoltabida strain 203N</t>
  </si>
  <si>
    <t>AB572858.1</t>
  </si>
  <si>
    <t>PRJNA411812</t>
  </si>
  <si>
    <t>Unknown:NC_035889.1/KU527068.1</t>
  </si>
  <si>
    <t>KY926791.1</t>
  </si>
  <si>
    <t>Mycobacterium phage island3</t>
  </si>
  <si>
    <t>HM152765.1</t>
  </si>
  <si>
    <t>Sphingopyxis macrogoltabida strain EY-1</t>
  </si>
  <si>
    <t>Pseudomonas phage MBL</t>
  </si>
  <si>
    <t>KC969441.1</t>
  </si>
  <si>
    <t>PRJNA29397</t>
  </si>
  <si>
    <t>Unknown:NC_010620.1/EU589450.1</t>
  </si>
  <si>
    <t>Enterobacteria phage NC3</t>
  </si>
  <si>
    <t>DQ079878.1</t>
  </si>
  <si>
    <t>AM084414.1</t>
  </si>
  <si>
    <t>Sphingopyxis sp. 113P3</t>
  </si>
  <si>
    <t>Staphylococcus phage PSa3</t>
  </si>
  <si>
    <t>HF937074.1</t>
  </si>
  <si>
    <t>Vibrio phage VP3</t>
  </si>
  <si>
    <t>JQ780163.1</t>
  </si>
  <si>
    <t>Bacillus phage PZA</t>
  </si>
  <si>
    <t>M11813.1</t>
  </si>
  <si>
    <t>Kokobera virus</t>
  </si>
  <si>
    <t>Sphingopyxis sp. Kp5.2</t>
  </si>
  <si>
    <t>Unknown:NC_009029.2/AY632541.4</t>
  </si>
  <si>
    <t>Enterobacteria phage RB33</t>
  </si>
  <si>
    <t>KM607001.1</t>
  </si>
  <si>
    <t>PRJNA28979</t>
  </si>
  <si>
    <t>Unknown:NC_010416.1/AB304848.1</t>
  </si>
  <si>
    <t>Rotavirus G8</t>
  </si>
  <si>
    <t>34.2825</t>
  </si>
  <si>
    <t>1:FJ425144.1;  2:FJ425152.1;  3:FJ425160.1;  4:FJ425168.1;  5:FJ425104.1;  6:FJ425176.1;  7:FJ425120.1;  8:FJ425112.1;  9:EF218678.1;  10:FJ425128.1;  11:FJ425136.1</t>
  </si>
  <si>
    <t>Mannheimia phage vB_MhM_2256AP1</t>
  </si>
  <si>
    <t>KP137438.1</t>
  </si>
  <si>
    <t>Sphingopyxis terrae NBRC 15098</t>
  </si>
  <si>
    <t>Bacillus phage Gamma isolate d'Herelle</t>
  </si>
  <si>
    <t>DQ289556.1</t>
  </si>
  <si>
    <t>Escherichia virus Qbeta</t>
  </si>
  <si>
    <t>FJ483840.1</t>
  </si>
  <si>
    <t>DQ785801.1</t>
  </si>
  <si>
    <t>Norovirus GIII</t>
  </si>
  <si>
    <t>PRJNA315135</t>
  </si>
  <si>
    <t>Unknown:NC_029645.1/JX145650.1</t>
  </si>
  <si>
    <t>Mamastrovirus 1</t>
  </si>
  <si>
    <t>PRJNA343484</t>
  </si>
  <si>
    <t>Sphingorhabdus sp. M41</t>
  </si>
  <si>
    <t>NC_030922.1/AB308374.1</t>
  </si>
  <si>
    <t>Staphylococcus phage 55-2</t>
  </si>
  <si>
    <t>KR709302.1</t>
  </si>
  <si>
    <t>Staphylococcus phage ISP</t>
  </si>
  <si>
    <t>FR852584.1</t>
  </si>
  <si>
    <t>Burkholderia phage phiX216</t>
  </si>
  <si>
    <t>JX681814.1</t>
  </si>
  <si>
    <t>Spiribacter salinus M19-40</t>
  </si>
  <si>
    <t>AJ245616.1</t>
  </si>
  <si>
    <t>PRJNA284016</t>
  </si>
  <si>
    <t>A:NC_027040.1/KJ744212.1</t>
  </si>
  <si>
    <t>Spiribacter sp. UAH-SP71</t>
  </si>
  <si>
    <t>DQ085810.2</t>
  </si>
  <si>
    <t>Sulfolobus islandicus rudivirus 1 variant XX</t>
  </si>
  <si>
    <t>AJ748296.1</t>
  </si>
  <si>
    <t>Spirochaeta africana DSM 8902</t>
  </si>
  <si>
    <t>JQ966307.1</t>
  </si>
  <si>
    <t>Enterobacteria phage KU1</t>
  </si>
  <si>
    <t>Spirochaeta smaragdinae DSM 11293</t>
  </si>
  <si>
    <t>AF227250.1</t>
  </si>
  <si>
    <t>Streptococcus phage MM1 1998</t>
  </si>
  <si>
    <t>DQ113772.1</t>
  </si>
  <si>
    <t>Spirochaeta sp. L21-RPul-D2</t>
  </si>
  <si>
    <t>Pseudomonas phage PaMx73</t>
  </si>
  <si>
    <t>Spirochaeta thermophila DSM 6192</t>
  </si>
  <si>
    <t>JQ067085.2</t>
  </si>
  <si>
    <t>Yersinia phage Y</t>
  </si>
  <si>
    <t>JQ957925.1</t>
  </si>
  <si>
    <t>Vibrio phage ICP2_2011_A</t>
  </si>
  <si>
    <t>Spiroplasma apis B31</t>
  </si>
  <si>
    <t>KM224878.1</t>
  </si>
  <si>
    <t>Lactococcus phage ul36.k1</t>
  </si>
  <si>
    <t>DQ394806.1</t>
  </si>
  <si>
    <t>Lactococcus phage P335</t>
  </si>
  <si>
    <t>DQ838728.1</t>
  </si>
  <si>
    <t>Spiroplasma atrichopogonis strain GNAT3597</t>
  </si>
  <si>
    <t>AY370673.1</t>
  </si>
  <si>
    <t>Ravn virus - Ravn, Kenya, 1987</t>
  </si>
  <si>
    <t>PRJNA276005</t>
  </si>
  <si>
    <t>Spiroplasma cantharicola strain CC-1</t>
  </si>
  <si>
    <t>Unknown:NC_024781.1/DQ447649.1</t>
  </si>
  <si>
    <t>Caprine parainfluenza virus 3</t>
  </si>
  <si>
    <t>PRJNA301458</t>
  </si>
  <si>
    <t>Unknown:NC_028362.1/KT215610.1</t>
  </si>
  <si>
    <t>Spiroplasma chrysopicola DF-1</t>
  </si>
  <si>
    <t>AB362338.2</t>
  </si>
  <si>
    <t>Y13918.1</t>
  </si>
  <si>
    <t>Pseudomonas phage PaMx33</t>
  </si>
  <si>
    <t>Spiroplasma culicicola AES-1</t>
  </si>
  <si>
    <t>KU884561.1</t>
  </si>
  <si>
    <t>Xanthomonas phage XacF1</t>
  </si>
  <si>
    <t>AB910602.1</t>
  </si>
  <si>
    <t>Mycobacterium phage Methuselah</t>
  </si>
  <si>
    <t>KC661272.1</t>
  </si>
  <si>
    <t>Pseudomonas phage KTN4</t>
  </si>
  <si>
    <t>Spiroplasma diminutum CUAS-1</t>
  </si>
  <si>
    <t>KU521356.1</t>
  </si>
  <si>
    <t>Vibrio phage VSKK</t>
  </si>
  <si>
    <t>AF452449.2</t>
  </si>
  <si>
    <t>Bacillus phage vB_BsuP-Goe1</t>
  </si>
  <si>
    <t>KU831549.1</t>
  </si>
  <si>
    <t>Spiroplasma eriocheiris CCTCC M 207170 strain DSM 21848</t>
  </si>
  <si>
    <t>Vibrio phage VcP032</t>
  </si>
  <si>
    <t>KX058879.1</t>
  </si>
  <si>
    <t>Enterobacteria phage PR772</t>
  </si>
  <si>
    <t>AY441783.1</t>
  </si>
  <si>
    <t>Vibrio phage ICP3_2007_A</t>
  </si>
  <si>
    <t>HQ641344.1</t>
  </si>
  <si>
    <t>Sulfolobus islandicus filamentous virus 2</t>
  </si>
  <si>
    <t>KX467643.1</t>
  </si>
  <si>
    <t>M19377.1</t>
  </si>
  <si>
    <t>Spiroplasma kunkelii CR2-3x</t>
  </si>
  <si>
    <t>KJ477684.1</t>
  </si>
  <si>
    <t>KC618326.1</t>
  </si>
  <si>
    <t>Mycobacterium phage Romney</t>
  </si>
  <si>
    <t>KU867906.1</t>
  </si>
  <si>
    <t>M14428.1</t>
  </si>
  <si>
    <t>Vibrio phage ICP1_2006_D</t>
  </si>
  <si>
    <t>Spiroplasma litorale strain TN-1</t>
  </si>
  <si>
    <t>HQ641348.1</t>
  </si>
  <si>
    <t>Cellulophaga phage phi3ST:2</t>
  </si>
  <si>
    <t>KC821610.1</t>
  </si>
  <si>
    <t>PRJNA336037</t>
  </si>
  <si>
    <t>Spiroplasma mirum ATCC 29335</t>
  </si>
  <si>
    <t>NC_030700.1/KU992909.1</t>
  </si>
  <si>
    <t>Husavirus sp.</t>
  </si>
  <si>
    <t>KX673221.1</t>
  </si>
  <si>
    <t>Rasavirus sp.</t>
  </si>
  <si>
    <t>NC_032479.1/KX673232.1</t>
  </si>
  <si>
    <t>Spiroplasma sabaudiense Ar-1343</t>
  </si>
  <si>
    <t>KC821616.1</t>
  </si>
  <si>
    <t>Vibrio phage ICP1_2006_C</t>
  </si>
  <si>
    <t>HQ641349.1</t>
  </si>
  <si>
    <t>Enterobacteria phage MED1</t>
  </si>
  <si>
    <t>KJ997912.1</t>
  </si>
  <si>
    <t>Spiroplasma syrphidicola EA-1</t>
  </si>
  <si>
    <t>Mycobacterium phage Holli</t>
  </si>
  <si>
    <t>KU985092.1</t>
  </si>
  <si>
    <t>KJ477685.1</t>
  </si>
  <si>
    <t>Spiroplasma taiwanense CT-1</t>
  </si>
  <si>
    <t>Enterobacteria phage DE3</t>
  </si>
  <si>
    <t>EU078592.1</t>
  </si>
  <si>
    <t>Vibrio phage ICP3_2008_A</t>
  </si>
  <si>
    <t>HQ641343.1</t>
  </si>
  <si>
    <t>Enterobacteria phage L17</t>
  </si>
  <si>
    <t>Spiroplasma turonicum strain TAB4c</t>
  </si>
  <si>
    <t>AY848684.1</t>
  </si>
  <si>
    <t>Bacillus phage Nf</t>
  </si>
  <si>
    <t>EU622808.1</t>
  </si>
  <si>
    <t>Mycobacterium phage BuzzBuzz</t>
  </si>
  <si>
    <t>KX523125.1</t>
  </si>
  <si>
    <t>Pseudomonas phage PaMx35</t>
  </si>
  <si>
    <t>Spiroplasma turonicum strain Tab4c</t>
  </si>
  <si>
    <t>KU884562.1</t>
  </si>
  <si>
    <t>AB426868.1</t>
  </si>
  <si>
    <t>Lactococcus phage Q33</t>
  </si>
  <si>
    <t>Spirosoma linguale DSM 74</t>
  </si>
  <si>
    <t>JX564242.1</t>
  </si>
  <si>
    <t>Lactococcus phage ul36.k1t1</t>
  </si>
  <si>
    <t>DQ394807.1</t>
  </si>
  <si>
    <t>Vibrio phage ICP2_2006_A</t>
  </si>
  <si>
    <t>HQ641346.1</t>
  </si>
  <si>
    <t>Yersinia phage R</t>
  </si>
  <si>
    <t>Spirosoma radiotolerans strain DG5A</t>
  </si>
  <si>
    <t>JX000007.1</t>
  </si>
  <si>
    <t>Enterobacteria phage T7M</t>
  </si>
  <si>
    <t>JX421753.1</t>
  </si>
  <si>
    <t>Enterobacteria phage P7</t>
  </si>
  <si>
    <t>AF503408.1</t>
  </si>
  <si>
    <t>Burkholderia phage BEK</t>
  </si>
  <si>
    <t>chromosome:CP008753.1</t>
  </si>
  <si>
    <t>Staphylococcus phage SA5</t>
  </si>
  <si>
    <t>JX875065.1</t>
  </si>
  <si>
    <t>Spongiibacter sp. IMCC21906</t>
  </si>
  <si>
    <t>Staphylococcus phage 55-3</t>
  </si>
  <si>
    <t>KR709303.1</t>
  </si>
  <si>
    <t>Norwalk-like virus</t>
  </si>
  <si>
    <t>PRJNA315113</t>
  </si>
  <si>
    <t>Unknown:NC_029646.1/AB044366.2</t>
  </si>
  <si>
    <t>FJ483841.1</t>
  </si>
  <si>
    <t>Mannheimia phage phiMhaA1-BAA410</t>
  </si>
  <si>
    <t>Sporosarcina psychrophila strain DSM 6497</t>
  </si>
  <si>
    <t>DQ426905.1</t>
  </si>
  <si>
    <t>Bovine rotavirus A</t>
  </si>
  <si>
    <t>35.8385</t>
  </si>
  <si>
    <t>1:GU384192.1;  2:GU384191.1;  3:GU384193.1;  4:GU181281.1;  5:GU384195.1;  6:GU384194.1;  7:GU384197.1;  8:GU384196.1;  9:GU144587.1;  10:GU181282.1;  11:GU384198.1</t>
  </si>
  <si>
    <t>Mycobacterium phage Cedasite</t>
  </si>
  <si>
    <t>KT355472.1</t>
  </si>
  <si>
    <t>Mycobacterium phage Loadrie</t>
  </si>
  <si>
    <t>KU997639.1</t>
  </si>
  <si>
    <t>Stx1 converting phage AU6Stx1</t>
  </si>
  <si>
    <t>KU977420.1</t>
  </si>
  <si>
    <t>Lactococcus phage ASCC489</t>
  </si>
  <si>
    <t>Stackebrandtia nassauensis DSM 44728</t>
  </si>
  <si>
    <t>JQ740807.1</t>
  </si>
  <si>
    <t>AY264774.1</t>
  </si>
  <si>
    <t>PRJNA15101</t>
  </si>
  <si>
    <t>Unknown:AC_000003.1/</t>
  </si>
  <si>
    <t>Human adenovirus 1</t>
  </si>
  <si>
    <t>PRJNA15113</t>
  </si>
  <si>
    <t>Unknown:AC_000017.1/</t>
  </si>
  <si>
    <t>Stanieria cyanosphaera PCC 7437</t>
  </si>
  <si>
    <t>Simian adenovirus 21</t>
  </si>
  <si>
    <t>PRJNA14607</t>
  </si>
  <si>
    <t>Unknown:AC_000010.1/</t>
  </si>
  <si>
    <t>Human adenovirus 54</t>
  </si>
  <si>
    <t>PRJNA39353</t>
  </si>
  <si>
    <t>Unknown:NC_012959.1/AB333801.2</t>
  </si>
  <si>
    <t>Chimpanzee adenovirus Y25</t>
  </si>
  <si>
    <t>PRJNA162489</t>
  </si>
  <si>
    <t>Staphylococcus agnetis strain 908</t>
  </si>
  <si>
    <t>Unknown:NC_017825.1/JN254802.1</t>
  </si>
  <si>
    <t>Sapovirus Hu/Dresden/pJG-Sap01/DE</t>
  </si>
  <si>
    <t>PRJNA15048</t>
  </si>
  <si>
    <t>Unknown:NC_006269.1/AY694184.2</t>
  </si>
  <si>
    <t>Influenza A virus (A/Shanghai/02/2013(H7N9))</t>
  </si>
  <si>
    <t>PRJNA274585</t>
  </si>
  <si>
    <t>44.3369</t>
  </si>
  <si>
    <t>1:NC_026422.1/KF021594.1;  2:NC_026423.1/KF021595.1;  3:NC_026424.1/KF021596.1;  4:NC_026425.1/KF021597.1;  5:NC_026426.1/KF021598.1;  6:NC_026429.1/KF021599.1;  7:NC_026427.1/KF021600.1;  8:NC_026428.1/KF021601.1</t>
  </si>
  <si>
    <t>Murine type C retrovirus</t>
  </si>
  <si>
    <t>Staphylococcus argenteus strain MSHR1132</t>
  </si>
  <si>
    <t>PRJNA15204</t>
  </si>
  <si>
    <t>Unknown:NC_001702.1/X94150.1</t>
  </si>
  <si>
    <t>Dengue virus 4</t>
  </si>
  <si>
    <t>PRJNA15599</t>
  </si>
  <si>
    <t>Unknown:NC_002640.1/AF326825.1</t>
  </si>
  <si>
    <t>Hepatitis C virus subtype 2a</t>
  </si>
  <si>
    <t>Staphylococcus aureus 04-02981</t>
  </si>
  <si>
    <t>PRJNA20937</t>
  </si>
  <si>
    <t>Unknown:NC_009823.1/AF177036.1</t>
  </si>
  <si>
    <t>KX349291.1</t>
  </si>
  <si>
    <t>Synechococcus phage S-RIM2</t>
  </si>
  <si>
    <t>Staphylococcus aureus 08BA02176</t>
  </si>
  <si>
    <t>KX349226.1</t>
  </si>
  <si>
    <t>KX349286.1</t>
  </si>
  <si>
    <t>Human papillomavirus type 108</t>
  </si>
  <si>
    <t>PRJNA34847</t>
  </si>
  <si>
    <t>Staphylococcus aureus 25b_MRSA</t>
  </si>
  <si>
    <t>Unknown:NC_012213.1/FM212639.1</t>
  </si>
  <si>
    <t>KC556897.1</t>
  </si>
  <si>
    <t>Alteromonas phage vB_AmaP_AD45-P3</t>
  </si>
  <si>
    <t>Staphylococcus aureus 26b_MRSA</t>
  </si>
  <si>
    <t>KF005318.1</t>
  </si>
  <si>
    <t>Mycobacterium phage Guo1</t>
  </si>
  <si>
    <t>KJ725374.1</t>
  </si>
  <si>
    <t>Cellulophaga phage phi48:1</t>
  </si>
  <si>
    <t>Staphylococcus aureus 27b_MRSA</t>
  </si>
  <si>
    <t>KC821631.1</t>
  </si>
  <si>
    <t>Propionibacterium phage PHL073M02</t>
  </si>
  <si>
    <t>JX570703.1</t>
  </si>
  <si>
    <t>Vibrio phage phi-ST2</t>
  </si>
  <si>
    <t>KT919973.1</t>
  </si>
  <si>
    <t>Staphylococcus aureus 29b_MRSA</t>
  </si>
  <si>
    <t>Mycobacterium phage Melvin</t>
  </si>
  <si>
    <t>KF841476.1</t>
  </si>
  <si>
    <t>Mycobacterium phage Heathcliff</t>
  </si>
  <si>
    <t>KJ194584.1</t>
  </si>
  <si>
    <t>PRJNA248099</t>
  </si>
  <si>
    <t>Unknown:NC_024117.1/KJ476507.1</t>
  </si>
  <si>
    <t>Staphylococcus aureus 31b_MRSA</t>
  </si>
  <si>
    <t>Listeria phage LMTA-57</t>
  </si>
  <si>
    <t>KJ591605.1</t>
  </si>
  <si>
    <t>Shewanella sp. phage 1/41</t>
  </si>
  <si>
    <t>PRJNA266781</t>
  </si>
  <si>
    <t>Unknown:NC_025458.1/KJ018212.1</t>
  </si>
  <si>
    <t>Staphylococcus aureus 33b</t>
  </si>
  <si>
    <t>KJ019028.1</t>
  </si>
  <si>
    <t>Staphylococcus aureus Bmb9393</t>
  </si>
  <si>
    <t>KJ019033.1</t>
  </si>
  <si>
    <t>KJ019045.1</t>
  </si>
  <si>
    <t>Staphylococcus aureus CA-347</t>
  </si>
  <si>
    <t>KJ019041.1</t>
  </si>
  <si>
    <t>Staphylococcus aureus M1</t>
  </si>
  <si>
    <t>Vibrio phage CJY</t>
  </si>
  <si>
    <t>KM612260.1</t>
  </si>
  <si>
    <t>Propionibacterium phage PHL115M02</t>
  </si>
  <si>
    <t>JX570708.1</t>
  </si>
  <si>
    <t>Staphylococcus aureus RF122</t>
  </si>
  <si>
    <t>Rhizobium phage RHEph02</t>
  </si>
  <si>
    <t>JX483874.1</t>
  </si>
  <si>
    <t>Propionibacterium phage PHL082M04</t>
  </si>
  <si>
    <t>KJ578771.1</t>
  </si>
  <si>
    <t>Staphylococcus aureus ST228/10388</t>
  </si>
  <si>
    <t>Littorina sp. associated circular virus</t>
  </si>
  <si>
    <t>PRJNA293706</t>
  </si>
  <si>
    <t>Unknown:NC_027783.1/KR528548.1</t>
  </si>
  <si>
    <t>Canary bornavirus 2</t>
  </si>
  <si>
    <t>Unknown:NC_027892.1/KC464478.1</t>
  </si>
  <si>
    <t>Staphylococcus aureus ST228/10497</t>
  </si>
  <si>
    <t>Parrot bornavirus 1</t>
  </si>
  <si>
    <t>Unknown:NC_030687.1/JX065207.1</t>
  </si>
  <si>
    <t>Rhodococcus phage TWAMP</t>
  </si>
  <si>
    <t>KT959213.1</t>
  </si>
  <si>
    <t>Staphylococcus aureus ST228/15532</t>
  </si>
  <si>
    <t>Streptomyces phage Hydra</t>
  </si>
  <si>
    <t>KT124229.1</t>
  </si>
  <si>
    <t>Propionibacterium phage PAC3</t>
  </si>
  <si>
    <t>KR902980.1</t>
  </si>
  <si>
    <t>Staphylococcus aureus ST228/16035</t>
  </si>
  <si>
    <t>Mycobacterium phage Malinsilva</t>
  </si>
  <si>
    <t>KU984914.1</t>
  </si>
  <si>
    <t>Enterobacteria phage NL95</t>
  </si>
  <si>
    <t>AF059243.1</t>
  </si>
  <si>
    <t>Mycobacterium phage Pipsqueaks</t>
  </si>
  <si>
    <t>Staphylococcus aureus ST228/18412</t>
  </si>
  <si>
    <t>KU935730.1</t>
  </si>
  <si>
    <t>Mycobacterium phage Kazan</t>
  </si>
  <si>
    <t>KU985096.1</t>
  </si>
  <si>
    <t>Mycobacterium phage TeardropMSU</t>
  </si>
  <si>
    <t>KU865303.1</t>
  </si>
  <si>
    <t>Human TMEV-like cardiovirus</t>
  </si>
  <si>
    <t>PRJNA30053</t>
  </si>
  <si>
    <t>Unknown:NC_010810.1/EU376394.1</t>
  </si>
  <si>
    <t>Erwinia phage vB_EamM_Parshik</t>
  </si>
  <si>
    <t>KX397371.1</t>
  </si>
  <si>
    <t>Lactococcus phage M6653</t>
  </si>
  <si>
    <t>Staphylococcus aureus strain 08-02119</t>
  </si>
  <si>
    <t>KX373691.1</t>
  </si>
  <si>
    <t>Escherichia phage Pride</t>
  </si>
  <si>
    <t>KX534341.1</t>
  </si>
  <si>
    <t>Salmonella phage 146851_sal5</t>
  </si>
  <si>
    <t>KU927491.1</t>
  </si>
  <si>
    <t>Pseudomonas phage vB_PsyM_KIL3</t>
  </si>
  <si>
    <t>KU130128.1</t>
  </si>
  <si>
    <t>Gordonia phage PatrickStar</t>
  </si>
  <si>
    <t>KU998252.1</t>
  </si>
  <si>
    <t>Staphylococcus aureus strain 08-02300</t>
  </si>
  <si>
    <t>Lactococcus phage 62501</t>
  </si>
  <si>
    <t>KX456210.1</t>
  </si>
  <si>
    <t>48.65</t>
  </si>
  <si>
    <t>AAMI00000000.1</t>
  </si>
  <si>
    <t>BCRY00000000.1</t>
  </si>
  <si>
    <t>Mycobacterium phage Numberten</t>
  </si>
  <si>
    <t>Staphylococcus aureus strain 2395 USA500</t>
  </si>
  <si>
    <t>KJ194583.1</t>
  </si>
  <si>
    <t>Stx2-converting phage Stx2a_F422</t>
  </si>
  <si>
    <t>AP012531.1</t>
  </si>
  <si>
    <t>HM753661.1</t>
  </si>
  <si>
    <t>AY751298.1</t>
  </si>
  <si>
    <t>AP013380.1</t>
  </si>
  <si>
    <t>Staphylococcus aureus strain 502A</t>
  </si>
  <si>
    <t>KT264765.1</t>
  </si>
  <si>
    <t>Mycobacterium phage Laurie</t>
  </si>
  <si>
    <t>KX443696.1</t>
  </si>
  <si>
    <t>KC556898.1</t>
  </si>
  <si>
    <t>Staphylococcus aureus strain BB155</t>
  </si>
  <si>
    <t>KX349309.1</t>
  </si>
  <si>
    <t>Pbunalikevirus phiVader</t>
  </si>
  <si>
    <t>KT254130.1</t>
  </si>
  <si>
    <t>Mycobacterium phage Wally</t>
  </si>
  <si>
    <t>JN699625.1</t>
  </si>
  <si>
    <t>Arthrobacter phage Sandman</t>
  </si>
  <si>
    <t>KT355475.1</t>
  </si>
  <si>
    <t>KX349300.1</t>
  </si>
  <si>
    <t>Mycobacterium phage PDRPxv</t>
  </si>
  <si>
    <t>Staphylococcus aureus strain CA12</t>
  </si>
  <si>
    <t>KR029087.1</t>
  </si>
  <si>
    <t>Listeria virus P100</t>
  </si>
  <si>
    <t>DQ004855.1</t>
  </si>
  <si>
    <t>Mycobacterium phage Tres</t>
  </si>
  <si>
    <t>KT365402.1</t>
  </si>
  <si>
    <t>Mycobacterium phage Morgushi</t>
  </si>
  <si>
    <t>JN638753.1</t>
  </si>
  <si>
    <t>Mycobacterium phage Alex</t>
  </si>
  <si>
    <t>Staphylococcus aureus strain CA15</t>
  </si>
  <si>
    <t>JX649100.1</t>
  </si>
  <si>
    <t>Enterobacteria phage RB59</t>
  </si>
  <si>
    <t>KM607003.1</t>
  </si>
  <si>
    <t>Enterobacteria phage RB6</t>
  </si>
  <si>
    <t>KM606996.1</t>
  </si>
  <si>
    <t>Brucella phage S708</t>
  </si>
  <si>
    <t>KC556896.1</t>
  </si>
  <si>
    <t>Staphylococcus aureus strain FCFHV36</t>
  </si>
  <si>
    <t>Campylobacter phage CJIE4-5</t>
  </si>
  <si>
    <t>KF751797.1</t>
  </si>
  <si>
    <t>Mycobacterium phage OBUpride</t>
  </si>
  <si>
    <t>KT246485.1</t>
  </si>
  <si>
    <t>Paenibacillus phage Hayley</t>
  </si>
  <si>
    <t>KT361655.1</t>
  </si>
  <si>
    <t>Staphylococcus aureus strain FDA209P</t>
  </si>
  <si>
    <t>Salmonella phage f2SE</t>
  </si>
  <si>
    <t>KU951146.1</t>
  </si>
  <si>
    <t>Mycobacterium virus Wonder</t>
  </si>
  <si>
    <t>HM755814.1</t>
  </si>
  <si>
    <t>Pseudomonas phage UNO-SLW4</t>
  </si>
  <si>
    <t>KX449363.1</t>
  </si>
  <si>
    <t>Pseudomonas phage UNO-SLW3</t>
  </si>
  <si>
    <t>Staphylococcus aureus strain FDAARGOS_159</t>
  </si>
  <si>
    <t>KX449362.1</t>
  </si>
  <si>
    <t>Salmonella phage f3SE</t>
  </si>
  <si>
    <t>KU951147.1</t>
  </si>
  <si>
    <t>Mycobacterium phage Evanesce</t>
  </si>
  <si>
    <t>KT454972.1</t>
  </si>
  <si>
    <t>Enterobacteria phage RB9</t>
  </si>
  <si>
    <t>KM606998.1</t>
  </si>
  <si>
    <t>Mycobacterium phage IsaacEli</t>
  </si>
  <si>
    <t>Staphylococcus aureus strain FORC_012</t>
  </si>
  <si>
    <t>JN698990.1</t>
  </si>
  <si>
    <t>Mycobacterium phage Lasso</t>
  </si>
  <si>
    <t>KM408320.1</t>
  </si>
  <si>
    <t>Mycobacterium phage Pinkman</t>
  </si>
  <si>
    <t>KX702319.1</t>
  </si>
  <si>
    <t>KX349301.1</t>
  </si>
  <si>
    <t>Arthrobacter phage TymAbreu</t>
  </si>
  <si>
    <t>KT783672.1</t>
  </si>
  <si>
    <t>Staphylococcus aureus strain HOU1444-VR</t>
  </si>
  <si>
    <t>Mycobacterium phage Pio</t>
  </si>
  <si>
    <t>JN699013.1</t>
  </si>
  <si>
    <t>Pbunalikevirus phiMoody</t>
  </si>
  <si>
    <t>KT254131.1</t>
  </si>
  <si>
    <t>KX349310.1</t>
  </si>
  <si>
    <t>Brucella phage 02_19</t>
  </si>
  <si>
    <t>KJ133688.1</t>
  </si>
  <si>
    <t>KT264780.1</t>
  </si>
  <si>
    <t>AP013388.1</t>
  </si>
  <si>
    <t>Staphylococcus aureus strain HUV05</t>
  </si>
  <si>
    <t>KX266300.1</t>
  </si>
  <si>
    <t>EF380014.1</t>
  </si>
  <si>
    <t>Mycobacterium phage EmpTee</t>
  </si>
  <si>
    <t>KJ567044.1</t>
  </si>
  <si>
    <t>BCRZ00000000.1</t>
  </si>
  <si>
    <t>Pseudomonas phage vB_PsyM_KIL3b</t>
  </si>
  <si>
    <t>Staphylococcus aureus strain ILRI_Eymole1/1</t>
  </si>
  <si>
    <t>KU130131.1</t>
  </si>
  <si>
    <t>Salmonella phage 146851_sal4</t>
  </si>
  <si>
    <t>KU927492.1</t>
  </si>
  <si>
    <t>Lactococcus phage M6654</t>
  </si>
  <si>
    <t>KX373692.1</t>
  </si>
  <si>
    <t>Mycobacterium phage Hercules11</t>
  </si>
  <si>
    <t>KU985091.1</t>
  </si>
  <si>
    <t>Propionibacterium phage PAC4</t>
  </si>
  <si>
    <t>Staphylococcus aureus strain M121</t>
  </si>
  <si>
    <t>KR902981.1</t>
  </si>
  <si>
    <t>Rhodococcus phage Lillie</t>
  </si>
  <si>
    <t>KT990218.1</t>
  </si>
  <si>
    <t>Parrot bornavirus 2</t>
  </si>
  <si>
    <t>Unknown:NC_028106.1/EU781967.1</t>
  </si>
  <si>
    <t>Calanoida sp. copepod associated circular virus</t>
  </si>
  <si>
    <t>PRJNA293718</t>
  </si>
  <si>
    <t>Staphylococcus aureus strain MCRF184</t>
  </si>
  <si>
    <t>Unknown:NC_027795.1/KR528563.1</t>
  </si>
  <si>
    <t>Rhizobium phage RHEph03</t>
  </si>
  <si>
    <t>JX483875.1</t>
  </si>
  <si>
    <t>Vibrio phage H1</t>
  </si>
  <si>
    <t>KM612261.1</t>
  </si>
  <si>
    <t>KJ019042.1</t>
  </si>
  <si>
    <t>Staphylococcus aureus strain MI</t>
  </si>
  <si>
    <t>KJ019052.1</t>
  </si>
  <si>
    <t>KJ019038.1</t>
  </si>
  <si>
    <t>KJ019031.1</t>
  </si>
  <si>
    <t>Shewanella sp. phage 1/40</t>
  </si>
  <si>
    <t>PRJNA266988</t>
  </si>
  <si>
    <t>Unknown:NC_025470.1/KJ018211.1</t>
  </si>
  <si>
    <t>Listeria phage LMTA-94</t>
  </si>
  <si>
    <t>Staphylococcus aureus strain MS4</t>
  </si>
  <si>
    <t>KJ586795.1</t>
  </si>
  <si>
    <t>Mycobacterium phage Eagle</t>
  </si>
  <si>
    <t>HM152766.1</t>
  </si>
  <si>
    <t>Alteromonas phage vB_AmaP_AD45-P4</t>
  </si>
  <si>
    <t>KF005319.1</t>
  </si>
  <si>
    <t>Staphylococcus aureus strain Mw2</t>
  </si>
  <si>
    <t>KX349287.1</t>
  </si>
  <si>
    <t>KX349227.1</t>
  </si>
  <si>
    <t>KX349292.1</t>
  </si>
  <si>
    <t>Hepatitis C virus (isolate Th580)</t>
  </si>
  <si>
    <t>PRJNA20939</t>
  </si>
  <si>
    <t>Unknown:NC_009827.1/D84262.2</t>
  </si>
  <si>
    <t>Dengue virus 3</t>
  </si>
  <si>
    <t>PRJNA15598</t>
  </si>
  <si>
    <t>Unknown:NC_001475.2/AY099336.1</t>
  </si>
  <si>
    <t>Staphylococcus aureus strain NCCP14558</t>
  </si>
  <si>
    <t>Influenza A virus (A/California/07/2009(H1N1))</t>
  </si>
  <si>
    <t>PRJNA37813</t>
  </si>
  <si>
    <t>43.6638</t>
  </si>
  <si>
    <t>1:NC_026438.1/FJ984387.1;  2:NC_026435.1/GQ323558.1;  3:NC_026437.1/FJ969539.1;  4:NC_026433.1/FJ969540.1;  5:NC_026436.1/FJ969536.1;  6:NC_026434.1/FJ984386.1;  7:NC_026431.1/FJ969537.1;  8:NC_026432.1/FJ969538.1</t>
  </si>
  <si>
    <t>Human adenovirus 35</t>
  </si>
  <si>
    <t>PRJNA15115</t>
  </si>
  <si>
    <t>Unknown:AC_000019.1/</t>
  </si>
  <si>
    <t>Sapovirus C12</t>
  </si>
  <si>
    <t>PRJNA15040</t>
  </si>
  <si>
    <t>Unknown:NC_006554.1/AY603425.1</t>
  </si>
  <si>
    <t>Staphylococcus aureus strain NCCP14562</t>
  </si>
  <si>
    <t>PRJNA15106</t>
  </si>
  <si>
    <t>Unknown:AC_000007.1/</t>
  </si>
  <si>
    <t>AY264775.1</t>
  </si>
  <si>
    <t>Lactococcus phage ASCC284</t>
  </si>
  <si>
    <t>JQ740790.1</t>
  </si>
  <si>
    <t>Enterobacteria phage 2851</t>
  </si>
  <si>
    <t>Staphylococcus aureus strain NCTC13435</t>
  </si>
  <si>
    <t>FM180578.1</t>
  </si>
  <si>
    <t>Mycobacterium phage Frosty24</t>
  </si>
  <si>
    <t>KT355474.1</t>
  </si>
  <si>
    <t>Rotavirus A 1290xUK reassortant (UKg91290)</t>
  </si>
  <si>
    <t>35.2695</t>
  </si>
  <si>
    <t>1:GQ496269.1;  2:GQ496270.1;  3:GQ496271.1;  4:GQ496272.1;  5:GQ496273.1;  6:GQ496274.1;  7:GQ496276.1;  8:GQ496275.1;  9:GQ496277.1;  10:GQ496278.1;  11:GQ496279.1</t>
  </si>
  <si>
    <t>FJ483842.1</t>
  </si>
  <si>
    <t>Norovirus Hu/GIV.1/LakeMacquarie/NSW268O/2010/AU</t>
  </si>
  <si>
    <t>PRJNA315150</t>
  </si>
  <si>
    <t>Unknown:NC_029647.1/JQ613567.1</t>
  </si>
  <si>
    <t>Staphylococcus phage Staph1N</t>
  </si>
  <si>
    <t>Staphylococcus aureus strain NCTC8532</t>
  </si>
  <si>
    <t>JX080300.2</t>
  </si>
  <si>
    <t>Lactococcus phage ul36.t1</t>
  </si>
  <si>
    <t>DQ394808.1</t>
  </si>
  <si>
    <t>Salmonella phage P22-pbi</t>
  </si>
  <si>
    <t>AF527608.1</t>
  </si>
  <si>
    <t>Pseudomonas phage PaMx41</t>
  </si>
  <si>
    <t>KU884563.1</t>
  </si>
  <si>
    <t>Enterobacteria phage PR3</t>
  </si>
  <si>
    <t>Staphylococcus aureus strain NRS1</t>
  </si>
  <si>
    <t>AY848685.1</t>
  </si>
  <si>
    <t>Vibrio phage ICP3_2009_B</t>
  </si>
  <si>
    <t>HQ641341.1</t>
  </si>
  <si>
    <t>KJ477686.1</t>
  </si>
  <si>
    <t>Mycobacterium phage Burger</t>
  </si>
  <si>
    <t>KU985094.1</t>
  </si>
  <si>
    <t>Enterobacteria phage ID1</t>
  </si>
  <si>
    <t>Staphylococcus aureus strain NRS100</t>
  </si>
  <si>
    <t>DQ079880.1</t>
  </si>
  <si>
    <t>Vibrio phage ICP1_2006_B</t>
  </si>
  <si>
    <t>HQ641350.1</t>
  </si>
  <si>
    <t>Cellulophaga phage phi38:2</t>
  </si>
  <si>
    <t>KC821629.1</t>
  </si>
  <si>
    <t>Basavirus sp.</t>
  </si>
  <si>
    <t>NC_032458.1/KX673228.1</t>
  </si>
  <si>
    <t>Hudisavirus sp.</t>
  </si>
  <si>
    <t>Staphylococcus aureus strain NRS105</t>
  </si>
  <si>
    <t>NC_035475.1/MF351515.1</t>
  </si>
  <si>
    <t>Vibrio phage ICP1_2006_A</t>
  </si>
  <si>
    <t>HQ641351.1</t>
  </si>
  <si>
    <t>Enterobacteria phage ID22</t>
  </si>
  <si>
    <t>DQ079881.1</t>
  </si>
  <si>
    <t>Mycobacterium phage Wilbur</t>
  </si>
  <si>
    <t>KX458236.1</t>
  </si>
  <si>
    <t>Enterobacteria phage PR4</t>
  </si>
  <si>
    <t>AY848686.1</t>
  </si>
  <si>
    <t>Pseudomonas phage PaMx43</t>
  </si>
  <si>
    <t>Staphylococcus aureus strain NRS120</t>
  </si>
  <si>
    <t>KU884564.1</t>
  </si>
  <si>
    <t>Salmonella phage 35</t>
  </si>
  <si>
    <t>KR296689.1</t>
  </si>
  <si>
    <t>Lactococcus phage ul36.t1k1</t>
  </si>
  <si>
    <t>DQ394809.1</t>
  </si>
  <si>
    <t>Staphylococcus phage A3R</t>
  </si>
  <si>
    <t>JX080301.2</t>
  </si>
  <si>
    <t>Staphylococcus aureus strain NRS133</t>
  </si>
  <si>
    <t>FJ483843.1</t>
  </si>
  <si>
    <t>33.8388</t>
  </si>
  <si>
    <t>1:KJ870900.1;  2:KJ870901.1;  3:KJ870902.1;  4:KJ870903.1;  5:KJ870906.1;  6:KJ870904.1;  7:KJ870908.1;  8:KJ870907.1;  9:KJ870905.1;  10:KJ870909.1;  11:KJ870910.1</t>
  </si>
  <si>
    <t>Mycobacterium phage BruceB</t>
  </si>
  <si>
    <t>KX443326.1</t>
  </si>
  <si>
    <t>Escherichia Stx1-converting recombinant phage HUN/2013</t>
  </si>
  <si>
    <t>KJ909655.1</t>
  </si>
  <si>
    <t>Lactococcus phage ASCC287</t>
  </si>
  <si>
    <t>JQ740791.1</t>
  </si>
  <si>
    <t>Staphylococcus aureus strain NRS143</t>
  </si>
  <si>
    <t>AY264776.1</t>
  </si>
  <si>
    <t>Human adenovirus 7</t>
  </si>
  <si>
    <t>PRJNA15114</t>
  </si>
  <si>
    <t>Unknown:AC_000018.1/</t>
  </si>
  <si>
    <t>Influenza A virus (A/Hong Kong/1073/99(H9N2))</t>
  </si>
  <si>
    <t>PRJNA14892</t>
  </si>
  <si>
    <t>segment 1:NC_004910.1/AJ404630.1;  segment 2:NC_004911.1/AJ404634.1;  segment 3:NC_004912.1/AJ404637.1;  segment 4:NC_004908.1/AJ404626.1;  segment 5:NC_004905.2/AJ289871.1;  segment 6:NC_004909.1/AJ404629.1;  segment 7:NC_004907.1/AJ278646.1;  segment 8:NC_004906.1/AJ278649.1</t>
  </si>
  <si>
    <t>Sapovirus Hu/Nagoya/NGY-1/2012/JPN</t>
  </si>
  <si>
    <t>PRJNA284012</t>
  </si>
  <si>
    <t>Staphylococcus aureus strain NRS146</t>
  </si>
  <si>
    <t>Unknown:NC_027026.1/AB775659.2</t>
  </si>
  <si>
    <t>Hepatitis C virus (isolate EUH1480)</t>
  </si>
  <si>
    <t>PRJNA20935</t>
  </si>
  <si>
    <t>Unknown:NC_009826.1/Y13184.1</t>
  </si>
  <si>
    <t>KX349293.1</t>
  </si>
  <si>
    <t>KX349228.1</t>
  </si>
  <si>
    <t>Staphylococcus aureus strain NRS149</t>
  </si>
  <si>
    <t>KX349288.1</t>
  </si>
  <si>
    <t>Shewanella sp. phage 1/44</t>
  </si>
  <si>
    <t>PRJNA266780</t>
  </si>
  <si>
    <t>Unknown:NC_025463.1/KJ018213.1</t>
  </si>
  <si>
    <t>KJ019035.1</t>
  </si>
  <si>
    <t>KJ019039.1</t>
  </si>
  <si>
    <t>Staphylococcus aureus strain NRS153</t>
  </si>
  <si>
    <t>KJ019053.1</t>
  </si>
  <si>
    <t>KJ019043.1</t>
  </si>
  <si>
    <t>KM612262.1</t>
  </si>
  <si>
    <t>Rhizobium phage RHEph05</t>
  </si>
  <si>
    <t>Staphylococcus aureus strain NRS484</t>
  </si>
  <si>
    <t>JX483877.1</t>
  </si>
  <si>
    <t>Didemnum sp. Sea Squirt associated virus</t>
  </si>
  <si>
    <t>PRJNA293715</t>
  </si>
  <si>
    <t>Unknown:NC_027782.1/KR528546.1</t>
  </si>
  <si>
    <t>Propionibacterium phage PAC5</t>
  </si>
  <si>
    <t>KR902982.1</t>
  </si>
  <si>
    <t>Mycobacterium phage Aglet</t>
  </si>
  <si>
    <t>Staphylococcus aureus strain NRS70</t>
  </si>
  <si>
    <t>KX507362.1</t>
  </si>
  <si>
    <t>Salmonella phage 64795_sal4</t>
  </si>
  <si>
    <t>KU927498.1</t>
  </si>
  <si>
    <t>Pseudomonas phage vB_PsyM_KIL4</t>
  </si>
  <si>
    <t>KU130129.1</t>
  </si>
  <si>
    <t>BCSA00000000.1</t>
  </si>
  <si>
    <t>Mycobacterium phage Hetaeria</t>
  </si>
  <si>
    <t>KT364588.1</t>
  </si>
  <si>
    <t>EF380030.1</t>
  </si>
  <si>
    <t>KX266301.1</t>
  </si>
  <si>
    <t>Staphylococcus aureus strain NZAK3</t>
  </si>
  <si>
    <t>AP013406.1</t>
  </si>
  <si>
    <t>KT264795.1</t>
  </si>
  <si>
    <t>Brucella phage 02_141</t>
  </si>
  <si>
    <t>KJ133689.1</t>
  </si>
  <si>
    <t>KX349311.1</t>
  </si>
  <si>
    <t>Pbunalikevirus phiHabibi</t>
  </si>
  <si>
    <t>Staphylococcus aureus strain RIVM1295</t>
  </si>
  <si>
    <t>KT254132.1</t>
  </si>
  <si>
    <t>Mycobacterium phage Ava3</t>
  </si>
  <si>
    <t>JQ911768.1</t>
  </si>
  <si>
    <t>Arthrobacter phage Maggie</t>
  </si>
  <si>
    <t>KU160655.1</t>
  </si>
  <si>
    <t>KX349302.1</t>
  </si>
  <si>
    <t>Staphylococcus aureus strain RIVM1607</t>
  </si>
  <si>
    <t>Mycobacterium phage CharlieGBrown</t>
  </si>
  <si>
    <t>KX576647.1</t>
  </si>
  <si>
    <t>Mycobacterium phage Squid</t>
  </si>
  <si>
    <t>KT599441.1</t>
  </si>
  <si>
    <t>Mycobacterium phage PhatCats2014</t>
  </si>
  <si>
    <t>KX369585.1</t>
  </si>
  <si>
    <t>Enterobacteria phage RB7</t>
  </si>
  <si>
    <t>Staphylococcus aureus strain RIVM3897</t>
  </si>
  <si>
    <t>KM606997.1</t>
  </si>
  <si>
    <t>Mycobacterium phage Hertubise</t>
  </si>
  <si>
    <t>JF937097.1</t>
  </si>
  <si>
    <t>Mycobacterium phage Gyarad</t>
  </si>
  <si>
    <t>JX649099.1</t>
  </si>
  <si>
    <t>Mycobacterium phage Derpp</t>
  </si>
  <si>
    <t>KX576645.1</t>
  </si>
  <si>
    <t>Staphylococcus aureus strain RIVM6519</t>
  </si>
  <si>
    <t>KX349303.1</t>
  </si>
  <si>
    <t>Arthrobacter phage Moloch</t>
  </si>
  <si>
    <t>KU160657.1</t>
  </si>
  <si>
    <t>Mycobacterium phage Shrimp</t>
  </si>
  <si>
    <t>KF024734.1</t>
  </si>
  <si>
    <t>Pbunalikevirus phiFenriz</t>
  </si>
  <si>
    <t>KT254133.1</t>
  </si>
  <si>
    <t>Staphylococcus aureus strain RKI4</t>
  </si>
  <si>
    <t>KX349312.1</t>
  </si>
  <si>
    <t>Brucella phage 11sa_19</t>
  </si>
  <si>
    <t>KJ133690.1</t>
  </si>
  <si>
    <t>KT264809.1</t>
  </si>
  <si>
    <t>Staphylococcus aureus strain SA564</t>
  </si>
  <si>
    <t>AP013415.1</t>
  </si>
  <si>
    <t>KX266302.1</t>
  </si>
  <si>
    <t>EF380023.1</t>
  </si>
  <si>
    <t>BCSB00000000.1</t>
  </si>
  <si>
    <t>Pseudomonas phage vB_PsyM_KIL5</t>
  </si>
  <si>
    <t>Staphylococcus aureus strain ST20130938</t>
  </si>
  <si>
    <t>KU130130.1</t>
  </si>
  <si>
    <t>Salmonella phage 103203_sal4</t>
  </si>
  <si>
    <t>KU927495.1</t>
  </si>
  <si>
    <t>Mycobacterium phage Vix</t>
  </si>
  <si>
    <t>JF704114.1</t>
  </si>
  <si>
    <t>Propionibacterium phage PAC6</t>
  </si>
  <si>
    <t>KR902983.1</t>
  </si>
  <si>
    <t>Staphylococcus aureus strain ST20130939</t>
  </si>
  <si>
    <t>Mytilus sp. clam associated circular virus</t>
  </si>
  <si>
    <t>PRJNA293732</t>
  </si>
  <si>
    <t>Unknown:NC_027794.1/KR528562.1</t>
  </si>
  <si>
    <t>Rhizobium phage RHEph08</t>
  </si>
  <si>
    <t>JX483879.1</t>
  </si>
  <si>
    <t>Staphylococcus aureus strain ST20130940</t>
  </si>
  <si>
    <t>Vibrio phage H3</t>
  </si>
  <si>
    <t>KM612263.1</t>
  </si>
  <si>
    <t>KJ019044.1</t>
  </si>
  <si>
    <t>KJ019058.1</t>
  </si>
  <si>
    <t>KJ019055.1</t>
  </si>
  <si>
    <t>Staphylococcus aureus strain ST20130941</t>
  </si>
  <si>
    <t>KJ019036.1</t>
  </si>
  <si>
    <t>Flavobacterium sp. phage 1/32</t>
  </si>
  <si>
    <t>KJ018210.1</t>
  </si>
  <si>
    <t>KX349289.1</t>
  </si>
  <si>
    <t>Staphylococcus aureus strain ST20130942</t>
  </si>
  <si>
    <t>KX349229.1</t>
  </si>
  <si>
    <t>KX349294.1</t>
  </si>
  <si>
    <t>Hepatitis C virus ED43</t>
  </si>
  <si>
    <t>PRJNA20933</t>
  </si>
  <si>
    <t>Unknown:NC_009825.1/Y11604.1</t>
  </si>
  <si>
    <t>Influenza A virus (A/goose/Guangdong/1/1996(H5N1))</t>
  </si>
  <si>
    <t>Staphylococcus aureus strain ST20130943</t>
  </si>
  <si>
    <t>PRJNA15617</t>
  </si>
  <si>
    <t>44.1255</t>
  </si>
  <si>
    <t>segment 1:NC_007357.1/AF144300.1;  segment 2:NC_007358.1/AF144301.1;  segment 3:NC_007359.1/AF144302.1;  segment 4:NC_007362.1/AF144305.1;  segment 5:NC_007360.1/AF144303.1;  segment 6:NC_007361.1/AF144304.1;  segment 7:NC_007363.1/AF144306.1;  segment 8:NC_007364.1/AF144307.1</t>
  </si>
  <si>
    <t>AY264777.1</t>
  </si>
  <si>
    <t>Lactococcus phage ASCC310</t>
  </si>
  <si>
    <t>JQ740792.1</t>
  </si>
  <si>
    <t>Escherichia phage PA4</t>
  </si>
  <si>
    <t>KP682372.1</t>
  </si>
  <si>
    <t>Staphylococcus aureus strain Staphylococcous aureus</t>
  </si>
  <si>
    <t>Mycobacterium phage Hope</t>
  </si>
  <si>
    <t>GQ303261.1</t>
  </si>
  <si>
    <t>32.484</t>
  </si>
  <si>
    <t>1:KJ870922.1;  2:KJ870923.1;  3:KJ870924.1;  4:KJ870925.1;  5:KJ870928.1;  6:KJ870926.1;  7:KJ870930.1;  8:KJ870929.1;  9:KJ870927.1;  10:KJ870931.1;  11:KJ870932.1</t>
  </si>
  <si>
    <t>FJ483844.1</t>
  </si>
  <si>
    <t>Staphylococcus phage 676Z</t>
  </si>
  <si>
    <t>JX080302.2</t>
  </si>
  <si>
    <t>Lactococcus phage phismq86</t>
  </si>
  <si>
    <t>DQ394810.1</t>
  </si>
  <si>
    <t>Salmonella phage 34</t>
  </si>
  <si>
    <t>KR296688.1</t>
  </si>
  <si>
    <t>Pseudomonas phage PaMx46</t>
  </si>
  <si>
    <t>KU884565.1</t>
  </si>
  <si>
    <t>Enterobacteria phage PR5</t>
  </si>
  <si>
    <t>AY848687.1</t>
  </si>
  <si>
    <t>Mycobacterium phage Shaka</t>
  </si>
  <si>
    <t>JF792674.1</t>
  </si>
  <si>
    <t>Enterobacteria phage ID34</t>
  </si>
  <si>
    <t>DQ079882.1</t>
  </si>
  <si>
    <t>Vibrio phage ICP1_2005_A</t>
  </si>
  <si>
    <t>HQ641352.1</t>
  </si>
  <si>
    <t>Vibrio phage ICP1_2001_A</t>
  </si>
  <si>
    <t>HQ641353.1</t>
  </si>
  <si>
    <t>Enterobacteria phage ID45</t>
  </si>
  <si>
    <t>DQ079883.1</t>
  </si>
  <si>
    <t>Mycobacterium phage MeeZee</t>
  </si>
  <si>
    <t>JN243856.1</t>
  </si>
  <si>
    <t>AY848688.1</t>
  </si>
  <si>
    <t>Salmonella phage 25</t>
  </si>
  <si>
    <t>KR296687.1</t>
  </si>
  <si>
    <t>Staphylococcus phage Fi200W</t>
  </si>
  <si>
    <t>JX080303.2</t>
  </si>
  <si>
    <t>AB971354.1</t>
  </si>
  <si>
    <t>32.622</t>
  </si>
  <si>
    <t>1:KJ870911.1;  2:KJ870912.1;  3:KJ870913.1;  4:KJ870914.1;  5:KJ870917.1;  6:KJ870915.1;  7:KJ870919.1;  8:KJ870918.1;  9:KJ870916.1;  10:KJ870920.1;  11:KJ870921.1</t>
  </si>
  <si>
    <t>Escherichia phage PA5</t>
  </si>
  <si>
    <t>KP682373.1</t>
  </si>
  <si>
    <t>Lactococcus phage ASCC324</t>
  </si>
  <si>
    <t>JQ740793.1</t>
  </si>
  <si>
    <t>AY264778.1</t>
  </si>
  <si>
    <t>Influenza A virus (A/Puerto Rico/8/1934(H1N1))</t>
  </si>
  <si>
    <t>PRJNA15521</t>
  </si>
  <si>
    <t>43.381</t>
  </si>
  <si>
    <t>segment 1:NC_002023.1/V00603.1;  segment 2:NC_002021.1/J02151.1;  segment 3:NC_002022.1/V01106.1;  segment 4:NC_002017.1/V01088.1;  segment 5:NC_002019.1/J02147.1;  segment 6:NC_002018.1/J02146.1;  segment 7:NC_002016.1/V01099.1;  segment 8:NC_002020.1/J02150.1</t>
  </si>
  <si>
    <t>Hepatitis C virus (isolate NZL1)</t>
  </si>
  <si>
    <t>PRJNA20941</t>
  </si>
  <si>
    <t>Unknown:NC_009824.1/D17763.1</t>
  </si>
  <si>
    <t>Staphylococcus aureus strain TCH 959</t>
  </si>
  <si>
    <t>KX349295.1</t>
  </si>
  <si>
    <t>KX349230.1</t>
  </si>
  <si>
    <t>KX349290.1</t>
  </si>
  <si>
    <t>Staphylococcus aureus strain UA-S391_USA300</t>
  </si>
  <si>
    <t>KJ019047.1</t>
  </si>
  <si>
    <t>KJ019065.1</t>
  </si>
  <si>
    <t>Staphylococcus aureus strain UTSW MRSA 55</t>
  </si>
  <si>
    <t>KJ019066.1</t>
  </si>
  <si>
    <t>KJ019049.1</t>
  </si>
  <si>
    <t>Staphylococcus aureus strain V2200</t>
  </si>
  <si>
    <t>Vibrio phage J3</t>
  </si>
  <si>
    <t>KM612265.1</t>
  </si>
  <si>
    <t>Rhizobium phage RHEph09</t>
  </si>
  <si>
    <t>JX483880.1</t>
  </si>
  <si>
    <t>Staphylococcus aureus strain V521</t>
  </si>
  <si>
    <t>Palaemonetes sp. common grass shrimp associated circular virus</t>
  </si>
  <si>
    <t>PRJNA293729</t>
  </si>
  <si>
    <t>Unknown:NC_027800.1/KR528568.1</t>
  </si>
  <si>
    <t>Propionibacterium phage PAC7</t>
  </si>
  <si>
    <t>KR902984.1</t>
  </si>
  <si>
    <t>Mycobacterium phage Taurus</t>
  </si>
  <si>
    <t>Staphylococcus aureus strain V605</t>
  </si>
  <si>
    <t>KP027202.1</t>
  </si>
  <si>
    <t>BCSC00000000.1</t>
  </si>
  <si>
    <t>EF380025.1</t>
  </si>
  <si>
    <t>Staphylococcus aureus strain XN108</t>
  </si>
  <si>
    <t>KX266303.1</t>
  </si>
  <si>
    <t>AP013425.1</t>
  </si>
  <si>
    <t>KT264825.1</t>
  </si>
  <si>
    <t>Brucella phage 11sa_141</t>
  </si>
  <si>
    <t>Staphylococcus aureus strain XQ</t>
  </si>
  <si>
    <t>KJ133691.1</t>
  </si>
  <si>
    <t>KX349313.1</t>
  </si>
  <si>
    <t>Pseudomonas phage Gallinipper</t>
  </si>
  <si>
    <t>KT372690.1</t>
  </si>
  <si>
    <t>Mycobacterium phage Willis</t>
  </si>
  <si>
    <t>KJ595575.1</t>
  </si>
  <si>
    <t>Arthrobacter phage Stratus</t>
  </si>
  <si>
    <t>KU160667.1</t>
  </si>
  <si>
    <t>Staphylococcus aureus strain ZJ5499</t>
  </si>
  <si>
    <t>KX349304.1</t>
  </si>
  <si>
    <t>Mycobacterium phage TyrionL</t>
  </si>
  <si>
    <t>KX576646.1</t>
  </si>
  <si>
    <t>Mycobacterium phage Thora</t>
  </si>
  <si>
    <t>Staphylococcus aureus subsp. aureus</t>
  </si>
  <si>
    <t>JF957056.1</t>
  </si>
  <si>
    <t>Mycobacterium phage Serendipity</t>
  </si>
  <si>
    <t>JN006063.1</t>
  </si>
  <si>
    <t>Mycobacterium phage ThreeOh3D2</t>
  </si>
  <si>
    <t>JN699009.1</t>
  </si>
  <si>
    <t>Mycobacterium phage Pipsqueak</t>
  </si>
  <si>
    <t>KP027208.1</t>
  </si>
  <si>
    <t>Mycobacterium phage Ashraf</t>
  </si>
  <si>
    <t>KY385380.1</t>
  </si>
  <si>
    <t>KX349305.1</t>
  </si>
  <si>
    <t>Arthrobacter phage Toulouse</t>
  </si>
  <si>
    <t>KU160670.1</t>
  </si>
  <si>
    <t>Mycobacterium phage ZygoTaiga</t>
  </si>
  <si>
    <t>KM881426.1</t>
  </si>
  <si>
    <t>Pseudomonas phage Jollyroger</t>
  </si>
  <si>
    <t>KT372691.1</t>
  </si>
  <si>
    <t>KX349314.1</t>
  </si>
  <si>
    <t>Brucella phage 110_19</t>
  </si>
  <si>
    <t>KJ133692.1</t>
  </si>
  <si>
    <t>KT264756.1</t>
  </si>
  <si>
    <t>AP013435.1</t>
  </si>
  <si>
    <t>KX266304.1</t>
  </si>
  <si>
    <t>EF380009.1</t>
  </si>
  <si>
    <t>BCSD00000000.1</t>
  </si>
  <si>
    <t>Propionibacterium phage PAC8</t>
  </si>
  <si>
    <t>KR902985.1</t>
  </si>
  <si>
    <t>KJ019051.1</t>
  </si>
  <si>
    <t>Staphylococcus aureus subsp. aureus 11819-97</t>
  </si>
  <si>
    <t>KJ019085.1</t>
  </si>
  <si>
    <t>KJ019067.1</t>
  </si>
  <si>
    <t>KJ019048.1</t>
  </si>
  <si>
    <t>Synechococcus phage S-RIM8 A.HR5</t>
  </si>
  <si>
    <t>Staphylococcus aureus subsp. aureus 6850</t>
  </si>
  <si>
    <t>HQ317385.1</t>
  </si>
  <si>
    <t>KX349231.1</t>
  </si>
  <si>
    <t>KX349296.1</t>
  </si>
  <si>
    <t>Lactococcus phage ASCC337</t>
  </si>
  <si>
    <t>Staphylococcus aureus subsp. aureus 71193</t>
  </si>
  <si>
    <t>JQ740794.1</t>
  </si>
  <si>
    <t>Escherichia phage PA11</t>
  </si>
  <si>
    <t>KP682375.1</t>
  </si>
  <si>
    <t>33.4494</t>
  </si>
  <si>
    <t>1:KJ870889.1;  2:KJ870890.1;  3:KJ870891.1;  4:KJ870892.1;  5:KJ870895.1;  6:KJ870893.1;  7:KJ870897.1;  8:KJ870896.1;  9:KJ870894.1;  10:KJ870898.1;  11:KJ870899.1</t>
  </si>
  <si>
    <t>Staphylococcus phage MSA6</t>
  </si>
  <si>
    <t>JX080304.2</t>
  </si>
  <si>
    <t>Staphylococcus aureus subsp. aureus CN1</t>
  </si>
  <si>
    <t>Salmonella phage 22</t>
  </si>
  <si>
    <t>KR296686.1</t>
  </si>
  <si>
    <t>Mycobacterium phage TiroTheta9</t>
  </si>
  <si>
    <t>Staphylococcus aureus subsp. aureus COL</t>
  </si>
  <si>
    <t>JN561150.1</t>
  </si>
  <si>
    <t>Enterobacteria phage NC1</t>
  </si>
  <si>
    <t>DQ079884.1</t>
  </si>
  <si>
    <t>Vibrio phage ICP1_2004_A</t>
  </si>
  <si>
    <t>HQ641354.1</t>
  </si>
  <si>
    <t>Enterobacteria phage NC5</t>
  </si>
  <si>
    <t>Staphylococcus aureus subsp. aureus DSM 20231</t>
  </si>
  <si>
    <t>DQ079885.1</t>
  </si>
  <si>
    <t>Mycobacterium phage Flux</t>
  </si>
  <si>
    <t>JQ809701.1</t>
  </si>
  <si>
    <t>AF217253.1</t>
  </si>
  <si>
    <t>Staphylococcus phage P4W</t>
  </si>
  <si>
    <t>Staphylococcus aureus subsp. aureus ECT-R 2</t>
  </si>
  <si>
    <t>JX080305.2</t>
  </si>
  <si>
    <t>33.4448</t>
  </si>
  <si>
    <t>1:KJ870878.1;  2:KJ870879.1;  3:KJ870880.1;  4:KJ870881.1;  5:KJ870884.1;  6:KJ870882.1;  7:KJ870886.1;  8:KJ870885.1;  9:KJ870883.1;  10:KJ870887.1;  11:KJ870888.1</t>
  </si>
  <si>
    <t>Escherichia phage PA16</t>
  </si>
  <si>
    <t>KP682377.1</t>
  </si>
  <si>
    <t>Staphylococcus aureus subsp. aureus ED133</t>
  </si>
  <si>
    <t>Lactococcus phage ASCC356</t>
  </si>
  <si>
    <t>JQ740795.1</t>
  </si>
  <si>
    <t>KX349297.1</t>
  </si>
  <si>
    <t>Staphylococcus aureus subsp. aureus ED98</t>
  </si>
  <si>
    <t>KX349232.1</t>
  </si>
  <si>
    <t>Synechococcus phage S-RIM8 A.HR3</t>
  </si>
  <si>
    <t>JF974289.1</t>
  </si>
  <si>
    <t>KJ019062.1</t>
  </si>
  <si>
    <t>Staphylococcus aureus subsp. aureus FORC_001</t>
  </si>
  <si>
    <t>KJ019068.1</t>
  </si>
  <si>
    <t>KJ019086.1</t>
  </si>
  <si>
    <t>Staphylococcus aureus subsp. aureus Gv69</t>
  </si>
  <si>
    <t>KJ019060.1</t>
  </si>
  <si>
    <t>Propionibacterium phage PAC9</t>
  </si>
  <si>
    <t>KR902986.1</t>
  </si>
  <si>
    <t>BCSE00000000.1</t>
  </si>
  <si>
    <t>Staphylococcus aureus subsp. aureus HO 5096 0412</t>
  </si>
  <si>
    <t>GQ153915.1</t>
  </si>
  <si>
    <t>KX266305.1</t>
  </si>
  <si>
    <t>AP013443.1</t>
  </si>
  <si>
    <t>KT264770.1</t>
  </si>
  <si>
    <t>Brucella phage 110_141</t>
  </si>
  <si>
    <t>KJ133693.1</t>
  </si>
  <si>
    <t>Staphylococcus aureus subsp. aureus JH1</t>
  </si>
  <si>
    <t>KX349315.1</t>
  </si>
  <si>
    <t>Pseudomonas phage Kraken</t>
  </si>
  <si>
    <t>KT372692.1</t>
  </si>
  <si>
    <t>Mycobacterium phage Momo</t>
  </si>
  <si>
    <t>Staphylococcus aureus subsp. aureus JH9</t>
  </si>
  <si>
    <t>KR080196.1</t>
  </si>
  <si>
    <t>Arthrobacter phage Yank</t>
  </si>
  <si>
    <t>KU160674.1</t>
  </si>
  <si>
    <t>KX349306.1</t>
  </si>
  <si>
    <t>Staphylococcus aureus subsp. aureus JKD6159</t>
  </si>
  <si>
    <t>Mycobacterium phage Maskar</t>
  </si>
  <si>
    <t>KY385383.1</t>
  </si>
  <si>
    <t>Mycobacterium phage Murdoc</t>
  </si>
  <si>
    <t>JN638752.1</t>
  </si>
  <si>
    <t>Staphylococcus aureus subsp. aureus LGA251</t>
  </si>
  <si>
    <t>Mycobacterium phage Sigman</t>
  </si>
  <si>
    <t>KP027209.1</t>
  </si>
  <si>
    <t>Mycobacterium phage Scoot17C</t>
  </si>
  <si>
    <t>GU247134.1</t>
  </si>
  <si>
    <t>Mycobacterium phage Harvey</t>
  </si>
  <si>
    <t>JF937095.1</t>
  </si>
  <si>
    <t>Staphylococcus aureus subsp. aureus M013</t>
  </si>
  <si>
    <t>Mycobacterium phage ImtiyazSitla</t>
  </si>
  <si>
    <t>KY385382.1</t>
  </si>
  <si>
    <t>Mycobacterium phage Zeenon</t>
  </si>
  <si>
    <t>KT321476.1</t>
  </si>
  <si>
    <t>Pseudomonas phage Kula</t>
  </si>
  <si>
    <t>Staphylococcus aureus subsp. aureus MRSA252</t>
  </si>
  <si>
    <t>KT372693.1</t>
  </si>
  <si>
    <t>KX349316.1</t>
  </si>
  <si>
    <t>Staphylococcus aureus subsp. aureus MSSA476</t>
  </si>
  <si>
    <t>Brucella phage 141_19</t>
  </si>
  <si>
    <t>KJ133694.1</t>
  </si>
  <si>
    <t>Staphylococcus aureus subsp. aureus Mu3</t>
  </si>
  <si>
    <t>KT264772.1</t>
  </si>
  <si>
    <t>AP013454.1</t>
  </si>
  <si>
    <t>Staphylococcus aureus subsp. aureus Mu50</t>
  </si>
  <si>
    <t>KX266306.1</t>
  </si>
  <si>
    <t>AF176034.1</t>
  </si>
  <si>
    <t>Staphylococcus aureus subsp. aureus MW2</t>
  </si>
  <si>
    <t>BCSF00000000.1</t>
  </si>
  <si>
    <t>Propionibacterium phage PAC10</t>
  </si>
  <si>
    <t>KR902987.1</t>
  </si>
  <si>
    <t>Staphylococcus aureus subsp. aureus N315</t>
  </si>
  <si>
    <t>KJ019061.1</t>
  </si>
  <si>
    <t>Staphylococcus aureus subsp. aureus NCTC 8325</t>
  </si>
  <si>
    <t>KJ019090.1</t>
  </si>
  <si>
    <t>KJ019076.1</t>
  </si>
  <si>
    <t>Staphylococcus aureus subsp. aureus SA268</t>
  </si>
  <si>
    <t>KJ019072.1</t>
  </si>
  <si>
    <t>Staphylococcus aureus subsp. aureus SA40</t>
  </si>
  <si>
    <t>KX349233.1</t>
  </si>
  <si>
    <t>Lactococcus phage ASCC358</t>
  </si>
  <si>
    <t>Staphylococcus aureus subsp. aureus SA957</t>
  </si>
  <si>
    <t>JQ740796.1</t>
  </si>
  <si>
    <t>Escherichia phage PA18</t>
  </si>
  <si>
    <t>KP682378.1</t>
  </si>
  <si>
    <t>Staphylococcus aureus subsp. aureus ST228</t>
  </si>
  <si>
    <t>32.5098</t>
  </si>
  <si>
    <t>1:JQ988899.1;  2:JQ988900.1;  3:JQ988901.1;  4:JQ988902.1;  5:JQ988894.1;  6:JQ988903.1;  7:JQ988896.1;  8:JQ988895.1;  9:JQ988904.1;  10:JQ988897.1;  11:JQ988898.1</t>
  </si>
  <si>
    <t>Staphylococcus phage A5W</t>
  </si>
  <si>
    <t>EU418428.2</t>
  </si>
  <si>
    <t>Mycobacterium phage Sabertooth</t>
  </si>
  <si>
    <t>JX307703.1</t>
  </si>
  <si>
    <t>Enterobacteria phage NC7</t>
  </si>
  <si>
    <t>Staphylococcus aureus subsp. aureus ST398</t>
  </si>
  <si>
    <t>DQ079886.1</t>
  </si>
  <si>
    <t>Enterobacteria phage NC11</t>
  </si>
  <si>
    <t>DQ079887.1</t>
  </si>
  <si>
    <t>Staphylococcus aureus subsp. aureus ST772-MRSA-V strain DAR4145</t>
  </si>
  <si>
    <t>Mycobacterium phage Dhanush</t>
  </si>
  <si>
    <t>KC661271.1</t>
  </si>
  <si>
    <t>Staphylococcus phage IME-SA1</t>
  </si>
  <si>
    <t>Staphylococcus aureus subsp. aureus str. JKD6008</t>
  </si>
  <si>
    <t>KP687431.1</t>
  </si>
  <si>
    <t>32.1102</t>
  </si>
  <si>
    <t>1:GU199478.1;  2:GU199479.1;  3:GU199480.1;  4:DQ482725.1;  5:GU199482.1;  6:GU199481.1;  7:GU199484.1;  8:GU199483.1;  9:DQ482712.1;  10:GU199485.1;  11:GU199486.1</t>
  </si>
  <si>
    <t>Staphylococcus aureus subsp. aureus str. Newman</t>
  </si>
  <si>
    <t>Escherichia phage PA21</t>
  </si>
  <si>
    <t>KP682379.1</t>
  </si>
  <si>
    <t>Lactococcus phage ASCC365</t>
  </si>
  <si>
    <t>Staphylococcus aureus subsp. aureus strain ATCC 25923</t>
  </si>
  <si>
    <t>Staphylococcus aureus subsp. aureus strain GR2</t>
  </si>
  <si>
    <t>Staphylococcus aureus subsp. aureus strain H-EMRSA-15</t>
  </si>
  <si>
    <t>Staphylococcus aureus subsp. aureus strain JS395</t>
  </si>
  <si>
    <t>Staphylococcus aureus subsp. aureus strain USA300_2014.C01</t>
  </si>
  <si>
    <t>Staphylococcus aureus subsp. aureus strain USA300_2014.C02</t>
  </si>
  <si>
    <t>Staphylococcus aureus subsp. aureus T0131</t>
  </si>
  <si>
    <t>Staphylococcus aureus subsp. aureus TCH60</t>
  </si>
  <si>
    <t>Staphylococcus aureus subsp. aureus TW20</t>
  </si>
  <si>
    <t>Staphylococcus aureus subsp. aureus USA300_FPR3757</t>
  </si>
  <si>
    <t>Staphylococcus aureus subsp. aureus USA300_TCH1516</t>
  </si>
  <si>
    <t>Staphylococcus aureus subsp. aureus VC40</t>
  </si>
  <si>
    <t>Staphylococcus aureus subsp. aureus Z172</t>
  </si>
  <si>
    <t>Staphylococcus aureus USA300-ISMMS1</t>
  </si>
  <si>
    <t>Staphylococcus capitis strain CR03</t>
  </si>
  <si>
    <t>Staphylococcus capitis subsp. capitis strain AYP1020</t>
  </si>
  <si>
    <t>Staphylococcus carnosus subsp. carnosus TM300</t>
  </si>
  <si>
    <t>Staphylococcus condimenti strain DSM 11674</t>
  </si>
  <si>
    <t>Staphylococcus epidermidis ATCC 12228</t>
  </si>
  <si>
    <t>Staphylococcus epidermidis PM221</t>
  </si>
  <si>
    <t>Staphylococcus epidermidis RP62A</t>
  </si>
  <si>
    <t>Staphylococcus epidermidis SEI</t>
  </si>
  <si>
    <t>Staphylococcus epidermidis strain BPH0662</t>
  </si>
  <si>
    <t>Staphylococcus epidermidis strain Staphylococcous epidermidis</t>
  </si>
  <si>
    <t>Staphylococcus equorum strain KS1039</t>
  </si>
  <si>
    <t>Staphylococcus haemolyticus JCSC1435</t>
  </si>
  <si>
    <t>Staphylococcus haemolyticus strain S167</t>
  </si>
  <si>
    <t>Staphylococcus haemolyticus strain Sh29/312/L2</t>
  </si>
  <si>
    <t>Staphylococcus hyicus ATCC 11249</t>
  </si>
  <si>
    <t>Staphylococcus lugdunensis HKU09-01</t>
  </si>
  <si>
    <t>Staphylococcus lugdunensis N920143</t>
  </si>
  <si>
    <t>Staphylococcus lugdunensis strain FDAARGOS_141</t>
  </si>
  <si>
    <t>Staphylococcus lugdunensis strain FDAARGOS_143</t>
  </si>
  <si>
    <t>Staphylococcus pasteuri SP1</t>
  </si>
  <si>
    <t>Staphylococcus pseudintermedius E140</t>
  </si>
  <si>
    <t>Staphylococcus pseudintermedius ED99</t>
  </si>
  <si>
    <t>Staphylococcus pseudintermedius HKU10-03</t>
  </si>
  <si>
    <t>Staphylococcus saprophyticus strain FDAARGOS_137</t>
  </si>
  <si>
    <t>Staphylococcus saprophyticus strain FDAARGOS_168</t>
  </si>
  <si>
    <t>Staphylococcus saprophyticus subsp. saprophyticus ATCC 15305</t>
  </si>
  <si>
    <t>Staphylococcus schleiferi strain 1360-13</t>
  </si>
  <si>
    <t>Staphylococcus schleiferi strain 2142-05</t>
  </si>
  <si>
    <t>Staphylococcus schleiferi strain 2317-03</t>
  </si>
  <si>
    <t>Staphylococcus schleiferi strain 5909-02</t>
  </si>
  <si>
    <t>Staphylococcus schleiferi strain TSCC54</t>
  </si>
  <si>
    <t>Staphylococcus simulans strain FDAARGOS_124</t>
  </si>
  <si>
    <t>Staphylococcus sp. AntiMn-1</t>
  </si>
  <si>
    <t>Staphylococcus warneri SG1</t>
  </si>
  <si>
    <t>Staphylococcus xylosus strain C2a</t>
  </si>
  <si>
    <t>Staphylococcus xylosus strain HKUOPL8</t>
  </si>
  <si>
    <t>Staphylococcus xylosus strain SMQ121</t>
  </si>
  <si>
    <t>Staphylothermus hellenicus DSM 12710</t>
  </si>
  <si>
    <t>Staphylothermus marinus F1</t>
  </si>
  <si>
    <t>Starkeya novella DSM 506</t>
  </si>
  <si>
    <t>Stenotrophomonas acidaminiphila strain ZAC14D2_NAIMI4_2</t>
  </si>
  <si>
    <t>Stenotrophomonas maltophilia D457</t>
  </si>
  <si>
    <t>Stenotrophomonas maltophilia JV3</t>
  </si>
  <si>
    <t>Stenotrophomonas maltophilia K279a</t>
  </si>
  <si>
    <t>Stenotrophomonas maltophilia R551-3</t>
  </si>
  <si>
    <t>Stenotrophomonas maltophilia strain 13637</t>
  </si>
  <si>
    <t>Stenotrophomonas maltophilia strain ISMMS2R</t>
  </si>
  <si>
    <t>Stenotrophomonas maltophilia strain ISMMS3</t>
  </si>
  <si>
    <t>Stenotrophomonas rhizophila strain DSM 14405</t>
  </si>
  <si>
    <t>Stenotrophomonas sp. YM1</t>
  </si>
  <si>
    <t>Steroidobacter denitrificans strain DSM 18526</t>
  </si>
  <si>
    <t>Stigmatella aurantiaca DW4/3-1 (Prj:54333)</t>
  </si>
  <si>
    <t>Strawberry lethal yellows phytoplasma (CPA) str. NZSb11</t>
  </si>
  <si>
    <t>Streptobacillus moniliformis DSM 12112</t>
  </si>
  <si>
    <t>Streptococcus agalactiae 09mas018883</t>
  </si>
  <si>
    <t>Streptococcus agalactiae 138</t>
  </si>
  <si>
    <t>Streptococcus agalactiae 2603V/R</t>
  </si>
  <si>
    <t>Streptococcus agalactiae A909</t>
  </si>
  <si>
    <t>Streptococcus agalactiae CNCTC 10/84</t>
  </si>
  <si>
    <t>Streptococcus agalactiae COH1</t>
  </si>
  <si>
    <t>Streptococcus agalactiae GD201008-001</t>
  </si>
  <si>
    <t>Streptococcus agalactiae ILRI005</t>
  </si>
  <si>
    <t>Streptococcus agalactiae ILRI112</t>
  </si>
  <si>
    <t>Streptococcus agalactiae NEM316</t>
  </si>
  <si>
    <t>Streptococcus agalactiae strain 138spar</t>
  </si>
  <si>
    <t>Streptococcus agalactiae strain 22-Feb</t>
  </si>
  <si>
    <t>Streptococcus agalactiae strain CU_GBS_08</t>
  </si>
  <si>
    <t>Streptococcus agalactiae strain CU_GBS_98</t>
  </si>
  <si>
    <t>Streptococcus agalactiae strain GBS ST-1</t>
  </si>
  <si>
    <t>Streptococcus agalactiae strain GBS1-NY</t>
  </si>
  <si>
    <t>Streptococcus agalactiae strain GBS2-NM</t>
  </si>
  <si>
    <t>Streptococcus agalactiae strain GBS6</t>
  </si>
  <si>
    <t>Streptococcus agalactiae strain GBS85147</t>
  </si>
  <si>
    <t>Streptococcus agalactiae strain GX026</t>
  </si>
  <si>
    <t>Streptococcus agalactiae strain GX064</t>
  </si>
  <si>
    <t>Streptococcus agalactiae strain H002</t>
  </si>
  <si>
    <t>Streptococcus agalactiae strain HN016</t>
  </si>
  <si>
    <t>Streptococcus agalactiae strain NGBS061</t>
  </si>
  <si>
    <t>Streptococcus agalactiae strain NGBS128</t>
  </si>
  <si>
    <t>Streptococcus agalactiae strain NGBS572</t>
  </si>
  <si>
    <t>Streptococcus agalactiae strain S25</t>
  </si>
  <si>
    <t>Streptococcus agalactiae strain SG-M1</t>
  </si>
  <si>
    <t>Streptococcus agalactiae strain SS1</t>
  </si>
  <si>
    <t>Streptococcus agalactiae strain YM001</t>
  </si>
  <si>
    <t>Streptococcus anginosus C1051</t>
  </si>
  <si>
    <t>Streptococcus anginosus C238</t>
  </si>
  <si>
    <t>Streptococcus anginosus SA1</t>
  </si>
  <si>
    <t>Streptococcus anginosus strain J4211</t>
  </si>
  <si>
    <t>Streptococcus anginosus subsp. whileyi MAS624</t>
  </si>
  <si>
    <t>Streptococcus constellatus subsp. pharyngis C1050</t>
  </si>
  <si>
    <t>Streptococcus constellatus subsp. pharyngis C232</t>
  </si>
  <si>
    <t>Streptococcus constellatus subsp. pharyngis C818</t>
  </si>
  <si>
    <t>Streptococcus dysgalactiae subsp. equisimilis 167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</si>
  <si>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</si>
  <si>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</si>
  <si>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</si>
  <si>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</si>
  <si>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equi subsp. equi 4047</t>
  </si>
  <si>
    <t>Streptococcus equi subsp. zooepidemicus</t>
  </si>
  <si>
    <t>Streptococcus equi subsp. zooepidemicus ATCC 35246</t>
  </si>
  <si>
    <t>Streptococcus equi subsp. zooepidemicus CY</t>
  </si>
  <si>
    <t>Streptococcus equi subsp. zooepidemicus MGCS10565</t>
  </si>
  <si>
    <t>Streptococcus equinus strain AG46</t>
  </si>
  <si>
    <t>Streptococcus gallolyticus strain ICDDRB-NRC-S1</t>
  </si>
  <si>
    <t>Streptococcus gallolyticus subsp. gallolyticus ATCC 43143</t>
  </si>
  <si>
    <t>Streptococcus gallolyticus subsp. gallolyticus ATCC BAA-2069</t>
  </si>
  <si>
    <t>Streptococcus gallolyticus UCN34</t>
  </si>
  <si>
    <t>Streptococcus gordonii str. Challis substr. CH1</t>
  </si>
  <si>
    <t>Streptococcus gordonii strain KCOM 1506 (= ChDC B679)</t>
  </si>
  <si>
    <t>Streptococcus infantarius strain ICDDRB-NRC-S5</t>
  </si>
  <si>
    <t>Streptococcus infantarius subsp. infantarius CJ18</t>
  </si>
  <si>
    <t>Streptococcus iniae SF1</t>
  </si>
  <si>
    <t>Streptococcus iniae strain ISET0901</t>
  </si>
  <si>
    <t>Streptococcus iniae strain ISNO</t>
  </si>
  <si>
    <t>Streptococcus iniae strain YSFST01-82</t>
  </si>
  <si>
    <t>Streptococcus intermedius B196</t>
  </si>
  <si>
    <t>Streptococcus intermedius C270</t>
  </si>
  <si>
    <t>Streptococcus intermedius JTH08</t>
  </si>
  <si>
    <t>Streptococcus intermedius strain KCOM 1545 (= ChDC B718)</t>
  </si>
  <si>
    <t>Streptococcus lutetiensis 033</t>
  </si>
  <si>
    <t>Streptococcus macedonicus ACA-DC 198</t>
  </si>
  <si>
    <t>Streptococcus mitis B6</t>
  </si>
  <si>
    <t>Streptococcus mitis strain KCOM 1350 (=ChDC B183)</t>
  </si>
  <si>
    <t>Streptococcus mitis strain SVGS_061</t>
  </si>
  <si>
    <t>Streptococcus mutans GS-5</t>
  </si>
  <si>
    <t>Streptococcus mutans LJ23</t>
  </si>
  <si>
    <t>Streptococcus mutans NN2025</t>
  </si>
  <si>
    <t>Streptococcus mutans strain NG8</t>
  </si>
  <si>
    <t>Streptococcus mutans UA159</t>
  </si>
  <si>
    <t>Streptococcus mutans UA159-FR</t>
  </si>
  <si>
    <t>Streptococcus oligofermentans AS 1.3089</t>
  </si>
  <si>
    <t>Streptococcus oralis Uo5</t>
  </si>
  <si>
    <t>Streptococcus parasanguinis FW213</t>
  </si>
  <si>
    <t>Streptococcus parauberis KCTC 11537</t>
  </si>
  <si>
    <t>Streptococcus pasteurianus ATCC 43144</t>
  </si>
  <si>
    <t>Streptococcus pneumoniae 670-6B</t>
  </si>
  <si>
    <t>Streptococcus pneumoniae 70585</t>
  </si>
  <si>
    <t>Streptococcus pneumoniae A026</t>
  </si>
  <si>
    <t>Streptococcus pneumoniae AP200</t>
  </si>
  <si>
    <t>Streptococcus pneumoniae ATCC 700669</t>
  </si>
  <si>
    <t>Streptococcus pneumoniae CGSP14</t>
  </si>
  <si>
    <t>Streptococcus pneumoniae D39</t>
  </si>
  <si>
    <t>Streptococcus pneumoniae G54</t>
  </si>
  <si>
    <t>Streptococcus pneumoniae gamPNI0373</t>
  </si>
  <si>
    <t>Streptococcus pneumoniae Hungary19A-6</t>
  </si>
  <si>
    <t>Streptococcus pneumoniae INV104</t>
  </si>
  <si>
    <t>Streptococcus pneumoniae INV200</t>
  </si>
  <si>
    <t>Streptococcus pneumoniae JJA</t>
  </si>
  <si>
    <t>Streptococcus pneumoniae NT_110_58</t>
  </si>
  <si>
    <t>Streptococcus pneumoniae OXC141</t>
  </si>
  <si>
    <t>Streptococcus pneumoniae P1031</t>
  </si>
  <si>
    <t>Streptococcus pneumoniae R6</t>
  </si>
  <si>
    <t>Streptococcus pneumoniae SPN032672</t>
  </si>
  <si>
    <t>Streptococcus pneumoniae SPN033038</t>
  </si>
  <si>
    <t>Streptococcus pneumoniae SPN034156</t>
  </si>
  <si>
    <t>Streptococcus pneumoniae SPN034183</t>
  </si>
  <si>
    <t>Streptococcus pneumoniae SPN994038</t>
  </si>
  <si>
    <t>Streptococcus pneumoniae SPN994039</t>
  </si>
  <si>
    <t>Streptococcus pneumoniae ST556</t>
  </si>
  <si>
    <t>Streptococcus pneumoniae strain A66</t>
  </si>
  <si>
    <t>Streptococcus pneumoniae strain NCTC7465</t>
  </si>
  <si>
    <t>Streptococcus pneumoniae Taiwan19F-14</t>
  </si>
  <si>
    <t>Streptococcus pneumoniae TCH8431/19A</t>
  </si>
  <si>
    <t>Streptococcus pneumoniae TIGR4</t>
  </si>
  <si>
    <t>Streptococcus pseudopneumoniae IS7493</t>
  </si>
  <si>
    <t>Streptococcus pyogenes 1E1</t>
  </si>
  <si>
    <t>Streptococcus pyogenes 7F7</t>
  </si>
  <si>
    <t>Streptococcus pyogenes A20</t>
  </si>
  <si>
    <t>Streptococcus pyogenes Alab49</t>
  </si>
  <si>
    <t>Streptococcus pyogenes HKU QMH11M0907901</t>
  </si>
  <si>
    <t>Streptococcus pyogenes HKU360</t>
  </si>
  <si>
    <t>Streptococcus pyogenes HSC5</t>
  </si>
  <si>
    <t>Streptococcus pyogenes JRS4</t>
  </si>
  <si>
    <t>Streptococcus pyogenes M1 476</t>
  </si>
  <si>
    <t>Streptococcus pyogenes M1 GAS</t>
  </si>
  <si>
    <t>Streptococcus pyogenes M23ND</t>
  </si>
  <si>
    <t>Streptococcus pyogenes MGAS10270</t>
  </si>
  <si>
    <t>Streptococcus pyogenes MGAS10394</t>
  </si>
  <si>
    <t>Streptococcus pyogenes MGAS10750</t>
  </si>
  <si>
    <t>Streptococcus pyogenes MGAS15252</t>
  </si>
  <si>
    <t>Streptococcus pyogenes MGAS1882</t>
  </si>
  <si>
    <t>Streptococcus pyogenes MGAS2096</t>
  </si>
  <si>
    <t>Streptococcus pyogenes MGAS315</t>
  </si>
  <si>
    <t>Streptococcus pyogenes MGAS5005</t>
  </si>
  <si>
    <t>Streptococcus pyogenes MGAS6180</t>
  </si>
  <si>
    <t>Streptococcus pyogenes MGAS8232</t>
  </si>
  <si>
    <t>Streptococcus pyogenes MGAS9429</t>
  </si>
  <si>
    <t>Streptococcus pyogenes NZ131</t>
  </si>
  <si>
    <t>Streptococcus pyogenes SSI-1</t>
  </si>
  <si>
    <t>Streptococcus pyogenes STAB1102</t>
  </si>
  <si>
    <t>Streptococcus pyogenes STAB901</t>
  </si>
  <si>
    <t>Streptococcus pyogenes STAB902</t>
  </si>
  <si>
    <t>Streptococcus pyogenes str. Manfredo</t>
  </si>
  <si>
    <t>Streptococcus pyogenes strain 19615</t>
  </si>
  <si>
    <t>Streptococcus pyogenes strain 5448</t>
  </si>
  <si>
    <t>Streptococcus pyogenes strain AP1</t>
  </si>
  <si>
    <t>Streptococcus pyogenes strain AP53</t>
  </si>
  <si>
    <t>Streptococcus pyogenes strain D471</t>
  </si>
  <si>
    <t>Streptococcus pyogenes strain FDAARGOS_149</t>
  </si>
  <si>
    <t>Streptococcus pyogenes strain H293</t>
  </si>
  <si>
    <t>Streptococcus pyogenes strain HKU488</t>
  </si>
  <si>
    <t>Streptococcus pyogenes strain M28PF1</t>
  </si>
  <si>
    <t>Streptococcus pyogenes strain MEW123</t>
  </si>
  <si>
    <t>Streptococcus pyogenes strain MEW427</t>
  </si>
  <si>
    <t>Streptococcus pyogenes strain MGAS11027</t>
  </si>
  <si>
    <t>Streptococcus pyogenes strain MGAS23530</t>
  </si>
  <si>
    <t>Streptococcus pyogenes strain MGAS27061</t>
  </si>
  <si>
    <t>Streptococcus pyogenes strain MTB313</t>
  </si>
  <si>
    <t>Streptococcus pyogenes strain MTB314</t>
  </si>
  <si>
    <t>Streptococcus pyogenes strain NGAS322</t>
  </si>
  <si>
    <t>Streptococcus pyogenes strain NGAS327</t>
  </si>
  <si>
    <t>Streptococcus pyogenes strain NGAS596</t>
  </si>
  <si>
    <t>Streptococcus pyogenes strain NGAS638</t>
  </si>
  <si>
    <t>Streptococcus pyogenes strain NGAS743</t>
  </si>
  <si>
    <t>Streptococcus pyogenes strain NS53</t>
  </si>
  <si>
    <t>Streptococcus pyogenes strain STAB10015</t>
  </si>
  <si>
    <t>Streptococcus pyogenes strain STAB13021</t>
  </si>
  <si>
    <t>Streptococcus salivarius 57.I</t>
  </si>
  <si>
    <t>Streptococcus salivarius CCHSS3</t>
  </si>
  <si>
    <t>Streptococcus salivarius JIM8777</t>
  </si>
  <si>
    <t>Streptococcus salivarius strain JF</t>
  </si>
  <si>
    <t>Streptococcus salivarius strain NCTC 8618</t>
  </si>
  <si>
    <t>Streptococcus sanguinis SK36</t>
  </si>
  <si>
    <t>Streptococcus sanguinis strain 2908</t>
  </si>
  <si>
    <t>Streptococcus sp. A12</t>
  </si>
  <si>
    <t>Streptococcus sp. FDAARGOS_146</t>
  </si>
  <si>
    <t>Streptococcus sp. HSISB1</t>
  </si>
  <si>
    <t>Streptococcus sp. HSISM1</t>
  </si>
  <si>
    <t>Streptococcus sp. HSISS1</t>
  </si>
  <si>
    <t>Streptococcus sp. HSISS2</t>
  </si>
  <si>
    <t>Streptococcus sp. HSISS3</t>
  </si>
  <si>
    <t>Streptococcus sp. HTS5</t>
  </si>
  <si>
    <t>Streptococcus sp. HTS9</t>
  </si>
  <si>
    <t>Streptococcus sp. I-G2</t>
  </si>
  <si>
    <t>Streptococcus sp. I-P16</t>
  </si>
  <si>
    <t>Streptococcus sp. oral taxon 431</t>
  </si>
  <si>
    <t>Streptococcus sp. TA 26</t>
  </si>
  <si>
    <t>Streptococcus sp. VT 162</t>
  </si>
  <si>
    <t>Streptococcus suis 05ZYH33</t>
  </si>
  <si>
    <t>Streptococcus suis 6407</t>
  </si>
  <si>
    <t>Streptococcus suis 98HAH33</t>
  </si>
  <si>
    <t>Streptococcus suis A7</t>
  </si>
  <si>
    <t>Streptococcus suis BM407</t>
  </si>
  <si>
    <t>Streptococcus suis D12</t>
  </si>
  <si>
    <t>Streptococcus suis D9</t>
  </si>
  <si>
    <t>Streptococcus suis GZ1</t>
  </si>
  <si>
    <t>Streptococcus suis JS14</t>
  </si>
  <si>
    <t>Streptococcus suis P1/7</t>
  </si>
  <si>
    <t>Streptococcus suis S735</t>
  </si>
  <si>
    <t>Streptococcus suis SC070731</t>
  </si>
  <si>
    <t>Streptococcus suis SC84</t>
  </si>
  <si>
    <t>Streptococcus suis SS12</t>
  </si>
  <si>
    <t>Streptococcus suis ST1</t>
  </si>
  <si>
    <t>Streptococcus suis ST3</t>
  </si>
  <si>
    <t>Streptococcus suis strain 90-1330</t>
  </si>
  <si>
    <t>Streptococcus suis strain DN13</t>
  </si>
  <si>
    <t>Streptococcus suis strain NSUI002</t>
  </si>
  <si>
    <t>Streptococcus suis strain NSUI060</t>
  </si>
  <si>
    <t>Streptococcus suis strain ZY05719</t>
  </si>
  <si>
    <t>Streptococcus suis T15</t>
  </si>
  <si>
    <t>Streptococcus suis TL13</t>
  </si>
  <si>
    <t>Streptococcus suis YB51</t>
  </si>
  <si>
    <t>Streptococcus thermophilus ASCC 1275</t>
  </si>
  <si>
    <t>Streptococcus thermophilus CNRZ1066</t>
  </si>
  <si>
    <t>Streptococcus thermophilus JIM 8232</t>
  </si>
  <si>
    <t>Streptococcus thermophilus LMD-9</t>
  </si>
  <si>
    <t>Streptococcus thermophilus LMG 18311</t>
  </si>
  <si>
    <t>Streptococcus thermophilus MN-ZLW-002</t>
  </si>
  <si>
    <t>Streptococcus thermophilus ND03</t>
  </si>
  <si>
    <t>Streptococcus thermophilus strain KLDS SM</t>
  </si>
  <si>
    <t>Streptococcus thermophilus strain MN-BM-A01</t>
  </si>
  <si>
    <t>Streptococcus thermophilus strain MN-BM-A02</t>
  </si>
  <si>
    <t>Streptococcus thermophilus strain S9</t>
  </si>
  <si>
    <t>Streptococcus thermophilus strain SMQ-301</t>
  </si>
  <si>
    <t>Streptococcus uberis 0140J</t>
  </si>
  <si>
    <t>Streptomyces albulus strain NK660</t>
  </si>
  <si>
    <t>Streptomyces albulus ZPM</t>
  </si>
  <si>
    <t>Streptomyces albus DSM 41398</t>
  </si>
  <si>
    <t>Streptomyces albus J1074</t>
  </si>
  <si>
    <t>Streptomyces albus strain SM254</t>
  </si>
  <si>
    <t>Streptomyces ambofaciens ATCC 23877</t>
  </si>
  <si>
    <t>Streptomyces ambofaciens strain DSM 40697</t>
  </si>
  <si>
    <t>Streptomyces anulatus strain ATCC 11523</t>
  </si>
  <si>
    <t>Streptomyces avermitilis MA-4680</t>
  </si>
  <si>
    <t>Streptomyces bingchenggensis BCW-1</t>
  </si>
  <si>
    <t>Streptomyces bottropensis ATCC 25435</t>
  </si>
  <si>
    <t>Streptomyces cattleya NRRL 8057 = DSM 46488</t>
  </si>
  <si>
    <t>Streptomyces coelicolor A3(2)</t>
  </si>
  <si>
    <t>Streptomyces collinus Tu 365</t>
  </si>
  <si>
    <t>Streptomyces cyaneogriseus subsp. noncyanogenus strain NMWT 1</t>
  </si>
  <si>
    <t>Streptomyces davawensis JCM 4913</t>
  </si>
  <si>
    <t>Streptomyces flavogriseus ATCC 33331</t>
  </si>
  <si>
    <t>Streptomyces fulvissimus DSM 40593</t>
  </si>
  <si>
    <t>Streptomyces glaucescens GLA.O</t>
  </si>
  <si>
    <t>Streptomyces griseus subsp. griseus NBRC 13350</t>
  </si>
  <si>
    <t>Streptomyces hygroscopicus subsp. jinggangensis TL01</t>
  </si>
  <si>
    <t>Streptomyces hygroscopicus subsp. limoneus strain KCTC 1717</t>
  </si>
  <si>
    <t>Streptomyces incarnatus strain NRRL8089</t>
  </si>
  <si>
    <t>Streptomyces leeuwenhoekii strain type strain (C34 = DSM 42122 = NRRL B-24963)</t>
  </si>
  <si>
    <t>Streptomyces lividans TK24</t>
  </si>
  <si>
    <t>Streptomyces lydicus A02</t>
  </si>
  <si>
    <t>Streptomyces niveus NCIMB 11891</t>
  </si>
  <si>
    <t>Streptomyces nodosus ATCC 14899</t>
  </si>
  <si>
    <t>Streptomyces parvulus strain 2297</t>
  </si>
  <si>
    <t>Streptomyces pristinaespiralis strain HCCB 10218</t>
  </si>
  <si>
    <t>Streptomyces rapamycinicus NRRL 5491</t>
  </si>
  <si>
    <t>Streptomyces reticuli</t>
  </si>
  <si>
    <t>Streptomyces roseochromogenus subsp. oscitans DS 12.976</t>
  </si>
  <si>
    <t>Streptomyces scabiei 87.22</t>
  </si>
  <si>
    <t>Streptomyces sp. 4F</t>
  </si>
  <si>
    <t>Streptomyces sp. 769</t>
  </si>
  <si>
    <t>Streptomyces sp. CCM_MD2014</t>
  </si>
  <si>
    <t>Streptomyces sp. CdTB01</t>
  </si>
  <si>
    <t>Streptomyces sp. CFMR 7</t>
  </si>
  <si>
    <t>Streptomyces sp. CNQ-509</t>
  </si>
  <si>
    <t>Streptomyces sp. FR-008</t>
  </si>
  <si>
    <t>Streptomyces sp. GBA 94-10</t>
  </si>
  <si>
    <t>Streptomyces sp. Mg1</t>
  </si>
  <si>
    <t>Streptomyces sp. PAMC26508</t>
  </si>
  <si>
    <t>Streptomyces sp. PBH53</t>
  </si>
  <si>
    <t>Streptomyces sp. PVA 94-07</t>
  </si>
  <si>
    <t>Streptomyces sp. S10(2016)</t>
  </si>
  <si>
    <t>Streptomyces sp. SirexAA-E</t>
  </si>
  <si>
    <t>Streptomyces venezuelae</t>
  </si>
  <si>
    <t>Streptomyces venezuelae ATCC 10712</t>
  </si>
  <si>
    <t>Streptomyces venezuelae strain ATCC 15439</t>
  </si>
  <si>
    <t>Streptomyces vietnamensis GIM4.0001</t>
  </si>
  <si>
    <t>Streptomyces xiamenensis strain MCCC 1A01550</t>
  </si>
  <si>
    <t>Streptosporangium roseum DSM 43021</t>
  </si>
  <si>
    <t>Sulfobacillus acidophilus DSM 10332</t>
  </si>
  <si>
    <t>Sulfobacillus acidophilus TPY</t>
  </si>
  <si>
    <t>Sulfolobus acidocaldarius DSM 639</t>
  </si>
  <si>
    <t>Sulfolobus acidocaldarius N8</t>
  </si>
  <si>
    <t>Sulfolobus acidocaldarius Ron12/I</t>
  </si>
  <si>
    <t>Sulfolobus acidocaldarius strain GG12-C01-09</t>
  </si>
  <si>
    <t>Sulfolobus acidocaldarius strain NG05B_CO5_07</t>
  </si>
  <si>
    <t>Sulfolobus acidocaldarius SUSAZ</t>
  </si>
  <si>
    <t>Sulfolobus islandicus HVE10/4</t>
  </si>
  <si>
    <t>Sulfolobus islandicus L.D.8.5</t>
  </si>
  <si>
    <t>Sulfolobus islandicus L.S.2.15</t>
  </si>
  <si>
    <t>Sulfolobus islandicus LAL14/1</t>
  </si>
  <si>
    <t>Sulfolobus islandicus M.14.25</t>
  </si>
  <si>
    <t>Sulfolobus islandicus M.16.2</t>
  </si>
  <si>
    <t>Sulfolobus islandicus M.16.23</t>
  </si>
  <si>
    <t>Sulfolobus islandicus M.16.27</t>
  </si>
  <si>
    <t>Sulfolobus islandicus M.16.4</t>
  </si>
  <si>
    <t>Sulfolobus islandicus M.16.40</t>
  </si>
  <si>
    <t>Sulfolobus islandicus M.16.43</t>
  </si>
  <si>
    <t>Sulfolobus islandicus M.16.47</t>
  </si>
  <si>
    <t>Sulfolobus islandicus REY15A</t>
  </si>
  <si>
    <t>Sulfolobus islandicus Y.G.57.14</t>
  </si>
  <si>
    <t>Sulfolobus islandicus Y.N.15.51</t>
  </si>
  <si>
    <t>Sulfolobus solfataricus 98/2</t>
  </si>
  <si>
    <t>Sulfolobus solfataricus P2</t>
  </si>
  <si>
    <t>Sulfolobus solfataricus strain 98/2 SULC</t>
  </si>
  <si>
    <t>Sulfolobus solfataricus strain P1</t>
  </si>
  <si>
    <t>Sulfolobus solfataricus strain SULA</t>
  </si>
  <si>
    <t>Sulfolobus solfataricus strain SULB</t>
  </si>
  <si>
    <t>Sulfolobus tokodaii str. 7</t>
  </si>
  <si>
    <t>Sulfuricurvum kujiense DSM 16994</t>
  </si>
  <si>
    <t>Sulfurihydrogenibium azorense Az-Fu1</t>
  </si>
  <si>
    <t>Sulfurihydrogenibium sp. YO3AOP1</t>
  </si>
  <si>
    <t>Sulfurimonas autotrophica DSM 16294</t>
  </si>
  <si>
    <t>Sulfurimonas denitrificans DSM 1251</t>
  </si>
  <si>
    <t>Sulfuritalea hydrogenivorans sk43H DSM22779</t>
  </si>
  <si>
    <t>Sulfurospirillum barnesii SES-3</t>
  </si>
  <si>
    <t>Sulfurospirillum cavolei strain UCH003</t>
  </si>
  <si>
    <t>Sulfurospirillum deleyianum DSM 6946</t>
  </si>
  <si>
    <t>Sulfurospirillum multivorans DSM 12446</t>
  </si>
  <si>
    <t>Sulfurospirillum sp. UCH001</t>
  </si>
  <si>
    <t>Sulfurovum lithotrophicum strain ATCC BAA-797</t>
  </si>
  <si>
    <t>Sulfurovum sp. NBC37-1</t>
  </si>
  <si>
    <t>Symbiobacterium thermophilum IAM 14863</t>
  </si>
  <si>
    <t>symbiont bacterium UwTKB of Urostylis westwoodii</t>
  </si>
  <si>
    <t>Synechococcus elongatus PCC 6301</t>
  </si>
  <si>
    <t>Synechococcus elongatus PCC 7942</t>
  </si>
  <si>
    <t>Synechococcus sp. CC9311</t>
  </si>
  <si>
    <t>Synechococcus sp. CC9605</t>
  </si>
  <si>
    <t>Synechococcus sp. CC9902</t>
  </si>
  <si>
    <t>Synechococcus sp. JA-2-3B'a(2-13)</t>
  </si>
  <si>
    <t>Synechococcus sp. JA-3-3Ab</t>
  </si>
  <si>
    <t>Synechococcus sp. KORDI-100</t>
  </si>
  <si>
    <t>Synechococcus sp. KORDI-49</t>
  </si>
  <si>
    <t>Synechococcus sp. KORDI-52</t>
  </si>
  <si>
    <t>Synechococcus sp. PCC 6312</t>
  </si>
  <si>
    <t>Synechococcus sp. PCC 7002</t>
  </si>
  <si>
    <t>Synechococcus sp. PCC 73109</t>
  </si>
  <si>
    <t>Synechococcus sp. PCC 7502</t>
  </si>
  <si>
    <t>Synechococcus sp. RCC307</t>
  </si>
  <si>
    <t>Synechococcus sp. UTEX 2973</t>
  </si>
  <si>
    <t>Synechococcus sp. WH 7803</t>
  </si>
  <si>
    <t>Synechococcus sp. WH 8020</t>
  </si>
  <si>
    <t>Synechococcus sp. WH 8102</t>
  </si>
  <si>
    <t>Synechococcus sp. WH 8103</t>
  </si>
  <si>
    <t>Synechocystis sp. PCC 6803</t>
  </si>
  <si>
    <t>Synechocystis sp. PCC 6803 strain GT-S</t>
  </si>
  <si>
    <t>Synechocystis sp. PCC 6803 substr. GT-I</t>
  </si>
  <si>
    <t>Synechocystis sp. PCC 6803 substr. PCC-N</t>
  </si>
  <si>
    <t>Synechocystis sp. PCC 6803 substr. PCC-P</t>
  </si>
  <si>
    <t>Synergistetes bacterium SGP1</t>
  </si>
  <si>
    <t>synthetic Escherichia coli C321.deltaA</t>
  </si>
  <si>
    <t>Syntrophobacter fumaroxidans MPOB</t>
  </si>
  <si>
    <t>Syntrophobotulus glycolicus DSM 8271</t>
  </si>
  <si>
    <t>Syntrophomonas wolfei subsp. wolfei str. Goettingen</t>
  </si>
  <si>
    <t>Syntrophothermus lipocalidus DSM 12680</t>
  </si>
  <si>
    <t>Syntrophus aciditrophicus SB</t>
  </si>
  <si>
    <t>Tannerella forsythia 3313</t>
  </si>
  <si>
    <t>Tannerella forsythia ATCC 43037</t>
  </si>
  <si>
    <t>Tannerella forsythia KS16</t>
  </si>
  <si>
    <t>Tatlockia micdadei strain ATCC33218</t>
  </si>
  <si>
    <t>Taylorella asinigenitalis 14/45</t>
  </si>
  <si>
    <t>Taylorella asinigenitalis MCE3</t>
  </si>
  <si>
    <t>Taylorella equigenitalis 14/56</t>
  </si>
  <si>
    <t>Taylorella equigenitalis ATCC 35865</t>
  </si>
  <si>
    <t>Taylorella equigenitalis MCE9</t>
  </si>
  <si>
    <t>Tenacibaculum dicentrarchi strain AY7486TD</t>
  </si>
  <si>
    <t>Tepidanaerobacter acetatoxydans Re1</t>
  </si>
  <si>
    <t>Tepidanaerobacter acetatoxydans strain Re1</t>
  </si>
  <si>
    <t>Teredinibacter sp. 1162T.S.0a.05</t>
  </si>
  <si>
    <t>Teredinibacter turnerae T7901</t>
  </si>
  <si>
    <t>Terribacillus aidingensis strain MP602</t>
  </si>
  <si>
    <t>Terriglobus roseus DSM 18391</t>
  </si>
  <si>
    <t>Terriglobus saanensis SP1PR4</t>
  </si>
  <si>
    <t>Tetragenococcus halophilus NBRC 12172</t>
  </si>
  <si>
    <t>Tetrasphaera australiensis Ben110</t>
  </si>
  <si>
    <t>Tetrasphaera japonica T1-X7</t>
  </si>
  <si>
    <t>Tetrasphaera jenkinsii Ben 74</t>
  </si>
  <si>
    <t>Thalassolituus oleivorans MIL-1</t>
  </si>
  <si>
    <t>Thalassolituus oleivorans R6-15</t>
  </si>
  <si>
    <t>Thauera sp. MZ1T</t>
  </si>
  <si>
    <t>Thaumarchaeota archaeon SAT1</t>
  </si>
  <si>
    <t>Thermacetogenium phaeum DSM 12270</t>
  </si>
  <si>
    <t>Thermaerobacter marianensis DSM 12885</t>
  </si>
  <si>
    <t>Thermanaerovibrio acidaminovorans DSM 6589</t>
  </si>
  <si>
    <t>Thermincola potens JR</t>
  </si>
  <si>
    <t>Thermoanaerobacter brockii subsp. finnii Ako-1</t>
  </si>
  <si>
    <t>Thermoanaerobacter italicus Ab9</t>
  </si>
  <si>
    <t>Thermoanaerobacter kivui DSM 2030</t>
  </si>
  <si>
    <t>Thermoanaerobacter mathranii subsp. mathranii str. A3</t>
  </si>
  <si>
    <t>Thermoanaerobacter pseudethanolicus ATCC 33223</t>
  </si>
  <si>
    <t>Thermoanaerobacter siderophilus SR4</t>
  </si>
  <si>
    <t>Thermoanaerobacter sp. X513</t>
  </si>
  <si>
    <t>Thermoanaerobacter sp. X514</t>
  </si>
  <si>
    <t>Thermoanaerobacter tengcongensis MB4</t>
  </si>
  <si>
    <t>Thermoanaerobacterium saccharolyticum JW/SL-YS485</t>
  </si>
  <si>
    <t>Thermoanaerobacterium thermosaccharolyticum DSM 571</t>
  </si>
  <si>
    <t>Thermoanaerobacterium thermosaccharolyticum M0795</t>
  </si>
  <si>
    <t>Thermobaculum terrenum ATCC BAA-798</t>
  </si>
  <si>
    <t>Thermobifida fusca YX</t>
  </si>
  <si>
    <t>Thermobispora bispora DSM 43833</t>
  </si>
  <si>
    <t>Thermococcus barophilus MP</t>
  </si>
  <si>
    <t>Thermococcus barophilus strain CH5</t>
  </si>
  <si>
    <t>Thermococcus eurythermalis A501</t>
  </si>
  <si>
    <t>Thermococcus gammatolerans EJ3</t>
  </si>
  <si>
    <t>Thermococcus guaymasensis DSM 11113</t>
  </si>
  <si>
    <t>Thermococcus kodakarensis KOD1</t>
  </si>
  <si>
    <t>Thermococcus litoralis DSM 5473</t>
  </si>
  <si>
    <t>Thermococcus nautili strain 30-1</t>
  </si>
  <si>
    <t>Thermococcus onnurineus NA1</t>
  </si>
  <si>
    <t>Thermococcus peptonophilus strain OG-1</t>
  </si>
  <si>
    <t>Thermococcus sibiricus MM 739</t>
  </si>
  <si>
    <t>Thermococcus sp. 2319x1</t>
  </si>
  <si>
    <t>Thermococcus sp. 4557</t>
  </si>
  <si>
    <t>Thermococcus sp. AM4</t>
  </si>
  <si>
    <t>Thermococcus sp. CDGS</t>
  </si>
  <si>
    <t>Thermococcus sp. CL1</t>
  </si>
  <si>
    <t>Thermococcus sp. ES1</t>
  </si>
  <si>
    <t>Thermocrinis albus DSM 14484</t>
  </si>
  <si>
    <t>Thermocrinis ruber strain DSM 23557</t>
  </si>
  <si>
    <t>Thermodesulfatator indicus DSM 15286</t>
  </si>
  <si>
    <t>Thermodesulfobacteriaceae bacterium TF1</t>
  </si>
  <si>
    <t>Thermodesulfobacterium commune DSM 2178</t>
  </si>
  <si>
    <t>Thermodesulfobacterium geofontis OPF15</t>
  </si>
  <si>
    <t>Thermodesulfobium narugense DSM 14796</t>
  </si>
  <si>
    <t>Thermodesulfovibrio yellowstonii DSM 11347</t>
  </si>
  <si>
    <t>Thermofilum carboxyditrophus 1505</t>
  </si>
  <si>
    <t>Thermofilum pendens Hrk 5</t>
  </si>
  <si>
    <t>Thermofilum sp. 1807-2</t>
  </si>
  <si>
    <t>Thermofilum sp. 1910b</t>
  </si>
  <si>
    <t>Thermogladius cellulolyticus 1633</t>
  </si>
  <si>
    <t>Thermomicrobium roseum DSM 5159</t>
  </si>
  <si>
    <t>Thermomonospora curvata DSM 43183</t>
  </si>
  <si>
    <t>Thermoplasma acidophilum DSM 1728</t>
  </si>
  <si>
    <t>Thermoplasma volcanium GSS1</t>
  </si>
  <si>
    <t>Thermoplasmatales archaeon BRNA1</t>
  </si>
  <si>
    <t>Thermoproteus tenax Kra 1</t>
  </si>
  <si>
    <t>Thermoproteus uzoniensis 768-20</t>
  </si>
  <si>
    <t>Thermosediminibacter oceani DSM 16646</t>
  </si>
  <si>
    <t>Thermosipho africanus TCF52B</t>
  </si>
  <si>
    <t>Thermosipho melanesiensis BI429</t>
  </si>
  <si>
    <t>Thermosphaera aggregans DSM 11486</t>
  </si>
  <si>
    <t>Thermosulfidibacter takaii ABI70S6</t>
  </si>
  <si>
    <t>Thermosynechococcus elongatus BP-1</t>
  </si>
  <si>
    <t>Thermosynechococcus sp. NK55</t>
  </si>
  <si>
    <t>Thermotoga caldifontis AZM44c09</t>
  </si>
  <si>
    <t>Thermotoga lettingae TMO</t>
  </si>
  <si>
    <t>Thermotoga maritima MSB8</t>
  </si>
  <si>
    <t>Thermotoga maritima strain Tma100</t>
  </si>
  <si>
    <t>Thermotoga maritima strain Tma200</t>
  </si>
  <si>
    <t>Thermotoga naphthophila RKU-10</t>
  </si>
  <si>
    <t>Thermotoga neapolitana DSM 4359</t>
  </si>
  <si>
    <t>Thermotoga petrophila RKU-1</t>
  </si>
  <si>
    <t>Thermotoga profunda AZM34c06</t>
  </si>
  <si>
    <t>Thermotoga sp. 2812B</t>
  </si>
  <si>
    <t>Thermotoga sp. Cell2</t>
  </si>
  <si>
    <t>Thermotoga sp. RQ2</t>
  </si>
  <si>
    <t>Thermotoga sp. RQ7</t>
  </si>
  <si>
    <t>Thermotoga thermarum DSM 5069</t>
  </si>
  <si>
    <t>Thermovibrio ammonificans HB-1</t>
  </si>
  <si>
    <t>Thermovirga lienii DSM 17291</t>
  </si>
  <si>
    <t>Thermus oshimai JL-2</t>
  </si>
  <si>
    <t>Thermus parvatiensis strain RL</t>
  </si>
  <si>
    <t>Thermus scotoductus SA-01</t>
  </si>
  <si>
    <t>Thermus sp. CCB_US3_UF1</t>
  </si>
  <si>
    <t>Thermus thermophilus HB27</t>
  </si>
  <si>
    <t>Thermus thermophilus HB8</t>
  </si>
  <si>
    <t>Thermus thermophilus JL-18</t>
  </si>
  <si>
    <t>Thermus thermophilus SG0.5JP17-16</t>
  </si>
  <si>
    <t>Thioalkalimicrobium cyclicum ALM1</t>
  </si>
  <si>
    <t>Thioalkalivibrio nitratireducens DSM 14787</t>
  </si>
  <si>
    <t>Thioalkalivibrio sp. K90mix</t>
  </si>
  <si>
    <t>Thioalkalivibrio sulfidophilus HL-EbGr7</t>
  </si>
  <si>
    <t>Thioalkalivibrio versutus strain D301</t>
  </si>
  <si>
    <t>Thiobacillus denitrificans ATCC 25259</t>
  </si>
  <si>
    <t>Thioflavicoccus mobilis 8321</t>
  </si>
  <si>
    <t>Thiolapillus brandeum Hiromi 1</t>
  </si>
  <si>
    <t>Thiomicrospira crunogena XCL-2</t>
  </si>
  <si>
    <t>Thiomonas arsenitoxydans strain 3As</t>
  </si>
  <si>
    <t>Thiomonas intermedia K12</t>
  </si>
  <si>
    <t>Thioploca ingrica</t>
  </si>
  <si>
    <t>Tistrella mobilis KA081020-065</t>
  </si>
  <si>
    <t>Tolumonas auensis DSM 9187</t>
  </si>
  <si>
    <t>Treponema azotonutricium ZAS-9</t>
  </si>
  <si>
    <t>Treponema brennaborense DSM 12168</t>
  </si>
  <si>
    <t>Treponema caldaria DSM 7334</t>
  </si>
  <si>
    <t>Treponema denticola AL-2</t>
  </si>
  <si>
    <t>Treponema denticola ATCC 35405</t>
  </si>
  <si>
    <t>Treponema denticola H-22</t>
  </si>
  <si>
    <t>Treponema pallidum str. Fribourg-Blanc</t>
  </si>
  <si>
    <t>Treponema pallidum subsp. endemicum str. Bosnia A</t>
  </si>
  <si>
    <t>Treponema pallidum subsp. pallidum</t>
  </si>
  <si>
    <t>Treponema pallidum subsp. pallidum DAL-1</t>
  </si>
  <si>
    <t>Treponema pallidum subsp. pallidum SS14</t>
  </si>
  <si>
    <t>Treponema pallidum subsp. pallidum str. Chicago</t>
  </si>
  <si>
    <t>Treponema pallidum subsp. pallidum str. Mexico A</t>
  </si>
  <si>
    <t>Treponema pallidum subsp. pallidum str. Nichols</t>
  </si>
  <si>
    <t>Treponema pallidum subsp. pallidum str. Sea 81-4</t>
  </si>
  <si>
    <t>Treponema pallidum subsp. pertenue str. CDC2</t>
  </si>
  <si>
    <t>Treponema pallidum subsp. pertenue str. Gauthier</t>
  </si>
  <si>
    <t>Treponema pallidum subsp. pertenue str. SamoaD</t>
  </si>
  <si>
    <t>Treponema paraluiscuniculi Cuniculi A</t>
  </si>
  <si>
    <t>Treponema pedis str. T A4</t>
  </si>
  <si>
    <t>Treponema primitia ZAS-2</t>
  </si>
  <si>
    <t>Treponema putidum strain OMZ 758 (ATCC 700334)</t>
  </si>
  <si>
    <t>Treponema sp. OMZ 838</t>
  </si>
  <si>
    <t>Treponema succinifaciens DSM 2489</t>
  </si>
  <si>
    <t>Trichodesmium erythraeum IMS101</t>
  </si>
  <si>
    <t>Tropheryma whipplei str. Twist</t>
  </si>
  <si>
    <t>Tropheryma whipplei TW08/27</t>
  </si>
  <si>
    <t>Truepera radiovictrix DSM 17093</t>
  </si>
  <si>
    <t>Trueperella pyogenes strain 2012CQ-ZSH</t>
  </si>
  <si>
    <t>Trueperella pyogenes strain TP6375</t>
  </si>
  <si>
    <t>Trueperella pyogenes TP8</t>
  </si>
  <si>
    <t>Tsukamurella paurometabola DSM 20162</t>
  </si>
  <si>
    <t>Turicibacter sp. H121</t>
  </si>
  <si>
    <t>Turneriella parva DSM 21527</t>
  </si>
  <si>
    <t>Ureaplasma diversum strain ATCC 49782</t>
  </si>
  <si>
    <t>Ureaplasma parvum serovar 3 str. ATCC 27815</t>
  </si>
  <si>
    <t>Ureaplasma parvum serovar 3 str. ATCC 700970</t>
  </si>
  <si>
    <t>Ureaplasma parvum serovar 3 SV3F4</t>
  </si>
  <si>
    <t>Ureaplasma urealyticum serovar 10 str. ATCC 33699</t>
  </si>
  <si>
    <t>Variovorax paradoxus B4</t>
  </si>
  <si>
    <t>Variovorax paradoxus EPS</t>
  </si>
  <si>
    <t>Variovorax paradoxus S110</t>
  </si>
  <si>
    <t>Variovorax sp. PAMC 28711</t>
  </si>
  <si>
    <t>Veillonella parvula DSM 2008</t>
  </si>
  <si>
    <t>Veillonella parvula HSIVP1</t>
  </si>
  <si>
    <t>Verminephrobacter eiseniae EF01-2</t>
  </si>
  <si>
    <t>Verrucomicrobia bacterium IMCC26134</t>
  </si>
  <si>
    <t>Verrucomicrobia bacterium L21-Fru-AB</t>
  </si>
  <si>
    <t>Verrucosispora maris AB-18-032</t>
  </si>
  <si>
    <t>Vibrio alginolyticus strain ATCC 33787</t>
  </si>
  <si>
    <t>Vibrio anguillarum 775</t>
  </si>
  <si>
    <t>Vibrio anguillarum NB10</t>
  </si>
  <si>
    <t>Vibrio anguillarum strain 90-11-286</t>
  </si>
  <si>
    <t>Vibrio campbellii ATCC BAA-1116</t>
  </si>
  <si>
    <t>Vibrio cholerae 2012EL-2176</t>
  </si>
  <si>
    <t>Vibrio cholerae Ban5</t>
  </si>
  <si>
    <t>Vibrio cholerae H1</t>
  </si>
  <si>
    <t>Vibrio cholerae IEC224</t>
  </si>
  <si>
    <t>Vibrio cholerae Ind4</t>
  </si>
  <si>
    <t>Vibrio cholerae Ind5</t>
  </si>
  <si>
    <t>Vibrio cholerae LMA3984-4</t>
  </si>
  <si>
    <t>Vibrio cholerae M66-2</t>
  </si>
  <si>
    <t>Vibrio cholerae Mex1</t>
  </si>
  <si>
    <t>Vibrio cholerae MJ-1236</t>
  </si>
  <si>
    <t>Vibrio cholerae MS6</t>
  </si>
  <si>
    <t>Vibrio cholerae O1 biovar El Tor str. N16961</t>
  </si>
  <si>
    <t>Vibrio cholerae O1 biovar El Tor strain FJ147</t>
  </si>
  <si>
    <t>Vibrio cholerae O1 biovar El Tor strain I-1471</t>
  </si>
  <si>
    <t>Vibrio cholerae O1 str. Inaba G4222</t>
  </si>
  <si>
    <t>Vibrio cholerae O1 str. KW3</t>
  </si>
  <si>
    <t>Vibrio cholerae O395</t>
  </si>
  <si>
    <t>Vibrio cholerae O395 (Prj:32853)</t>
  </si>
  <si>
    <t>Vibrio cholerae strain 10432-62</t>
  </si>
  <si>
    <t>Vibrio cholerae strain 1154-74</t>
  </si>
  <si>
    <t>Vibrio cholerae strain I-1300</t>
  </si>
  <si>
    <t>Vibrio cholerae strain InDRE 3140</t>
  </si>
  <si>
    <t>Vibrio cholerae strain InDRE 3683</t>
  </si>
  <si>
    <t>Vibrio cholerae strain InDRE 4262</t>
  </si>
  <si>
    <t>Vibrio cholerae strain InDRE 4354</t>
  </si>
  <si>
    <t>Vibrio cholerae strain TSY216</t>
  </si>
  <si>
    <t>Vibrio cholerae strain YN2011004</t>
  </si>
  <si>
    <t>Vibrio cholerae strain YN89004</t>
  </si>
  <si>
    <t>Vibrio cholerae strain YN97083</t>
  </si>
  <si>
    <t>Vibrio cholerae strain YN98296</t>
  </si>
  <si>
    <t>Vibrio coralliilyticus OCN014</t>
  </si>
  <si>
    <t>Vibrio coralliilyticus RE98</t>
  </si>
  <si>
    <t>Vibrio fischeri ES114</t>
  </si>
  <si>
    <t>Vibrio fischeri MJ11</t>
  </si>
  <si>
    <t>Vibrio fluvialis Ind1</t>
  </si>
  <si>
    <t>Vibrio fluvialis strain ATCC 33809</t>
  </si>
  <si>
    <t>Vibrio furnissii NCTC 11218</t>
  </si>
  <si>
    <t>Vibrio harveyi ATCC BAA-1116</t>
  </si>
  <si>
    <t>Vibrio harveyi strain ATCC 43516</t>
  </si>
  <si>
    <t>Vibrio mimicus strain ATCC 33654</t>
  </si>
  <si>
    <t>Vibrio nigripulchritudo strain SnF1</t>
  </si>
  <si>
    <t>Vibrio parahaemolyticus BB22OP</t>
  </si>
  <si>
    <t>Vibrio parahaemolyticus O1:K33 str. CDC_K4557</t>
  </si>
  <si>
    <t>Vibrio parahaemolyticus O1:Kuk str. FDA_R31</t>
  </si>
  <si>
    <t>Vibrio parahaemolyticus RIMD 2210633</t>
  </si>
  <si>
    <t>Vibrio parahaemolyticus strain ATCC 17802</t>
  </si>
  <si>
    <t>Vibrio parahaemolyticus strain FORC_004</t>
  </si>
  <si>
    <t>Vibrio parahaemolyticus strain FORC_006</t>
  </si>
  <si>
    <t>Vibrio parahaemolyticus strain FORC_008</t>
  </si>
  <si>
    <t>Vibrio parahaemolyticus strain FORC_014</t>
  </si>
  <si>
    <t>Vibrio parahaemolyticus UCM-V493</t>
  </si>
  <si>
    <t>Vibrio sp. EJY3</t>
  </si>
  <si>
    <t>Vibrio sp. Ex25 (Prj:41601)</t>
  </si>
  <si>
    <t>Vibrio splendidus LGP32</t>
  </si>
  <si>
    <t>Vibrio tritonius strain JCM 16456</t>
  </si>
  <si>
    <t>Vibrio tubiashii ATCC 19109</t>
  </si>
  <si>
    <t>Vibrio vulnificus CMCP6</t>
  </si>
  <si>
    <t>Vibrio vulnificus MO6-24/O</t>
  </si>
  <si>
    <t>Vibrio vulnificus strain 93U204</t>
  </si>
  <si>
    <t>Vibrio vulnificus strain ATL 6-1306</t>
  </si>
  <si>
    <t>Vibrio vulnificus strain FORC_009</t>
  </si>
  <si>
    <t>Vibrio vulnificus strain FORC_016</t>
  </si>
  <si>
    <t>Vibrio vulnificus strain FORC_017</t>
  </si>
  <si>
    <t>Vibrio vulnificus YJ016</t>
  </si>
  <si>
    <t>Virgibacillus sp. SK37</t>
  </si>
  <si>
    <t>Vulcanisaeta distributa DSM 14429</t>
  </si>
  <si>
    <t>Vulcanisaeta moutnovskia 768-28</t>
  </si>
  <si>
    <t>Vulgatibacter incomptus strain DSM 27710</t>
  </si>
  <si>
    <t>Waddlia chondrophila WSU 86-1044</t>
  </si>
  <si>
    <t>Weeksella virosa DSM 16922</t>
  </si>
  <si>
    <t>Weissella ceti strain WS08</t>
  </si>
  <si>
    <t>Weissella ceti strain WS105</t>
  </si>
  <si>
    <t>Weissella ceti strain WS74</t>
  </si>
  <si>
    <t>Weissella cibaria strain CH2</t>
  </si>
  <si>
    <t>Weissella koreensis KACC 15510</t>
  </si>
  <si>
    <t>Wenzhouxiangella marina strain KCTC 42284</t>
  </si>
  <si>
    <t>Wigglesworthia glossinidia endosymbiont of Glossina brevipalpis</t>
  </si>
  <si>
    <t>Wigglesworthia glossinidia endosymbiont of Glossina morsitans</t>
  </si>
  <si>
    <t>Winogradskyella sp. PG-2</t>
  </si>
  <si>
    <t>Wolbachia endosymbiont of Cimex lectularius wCle</t>
  </si>
  <si>
    <t>Wolbachia endosymbiont of Culex quinquefasciatus Pel</t>
  </si>
  <si>
    <t>Wolbachia endosymbiont of Drosophila melanogaster</t>
  </si>
  <si>
    <t>Wolbachia endosymbiont of Drosophila simulans wHa</t>
  </si>
  <si>
    <t>Wolbachia endosymbiont of Drosophila simulans wNo</t>
  </si>
  <si>
    <t>Wolbachia endosymbiont of Onchocerca ochengi</t>
  </si>
  <si>
    <t>Wolbachia endosymbiont of Onchocerca volvulus str. Cameroon</t>
  </si>
  <si>
    <t>Wolbachia endosymbiont of Trichogramma pretiosum</t>
  </si>
  <si>
    <t>Wolbachia endosymbiont strain TRS of Brugia malayi</t>
  </si>
  <si>
    <t>Wolbachia endosymbiont wPip_Mol of Culex molestus</t>
  </si>
  <si>
    <t>Wolbachia sp. wRi</t>
  </si>
  <si>
    <t>Wolbachia strain wAu</t>
  </si>
  <si>
    <t>Wolinella succinogenes DSM 1740</t>
  </si>
  <si>
    <t>Xanthobacter autotrophicus Py2</t>
  </si>
  <si>
    <t>Xanthomonas albilineans strain FIJ080</t>
  </si>
  <si>
    <t>Xanthomonas albilineans strain GPE PC73</t>
  </si>
  <si>
    <t>Xanthomonas albilineans strain HVO082</t>
  </si>
  <si>
    <t>Xanthomonas arboricola pv. juglandis strain Xaj 417</t>
  </si>
  <si>
    <t>Xanthomonas axonopodis pv. allii CFBP6369</t>
  </si>
  <si>
    <t>Xanthomonas axonopodis pv. citri str. 306</t>
  </si>
  <si>
    <t>Xanthomonas axonopodis pv. citrumelo F1</t>
  </si>
  <si>
    <t>Xanthomonas axonopodis pv. dieffenbachiae LMG 695</t>
  </si>
  <si>
    <t>Xanthomonas axonopodis pv. glycines CFBP 2526</t>
  </si>
  <si>
    <t>Xanthomonas axonopodis pv. glycines CFBP 7119</t>
  </si>
  <si>
    <t>Xanthomonas axonopodis Xac29-1</t>
  </si>
  <si>
    <t>Xanthomonas campestris pv. campestris str. 8004</t>
  </si>
  <si>
    <t>Xanthomonas campestris pv. campestris str. ATCC 33913</t>
  </si>
  <si>
    <t>Xanthomonas campestris pv. campestris str. B100</t>
  </si>
  <si>
    <t>Xanthomonas campestris pv. campestris strain 17</t>
  </si>
  <si>
    <t>Xanthomonas campestris pv. campestris strain ICMP 21080</t>
  </si>
  <si>
    <t>Xanthomonas campestris pv. campestris strain ICMP 4013</t>
  </si>
  <si>
    <t>Xanthomonas campestris pv. raphani 756C</t>
  </si>
  <si>
    <t>Xanthomonas campestris pv. vesicatoria str. 85-10</t>
  </si>
  <si>
    <t>Xanthomonas campestris strain 17</t>
  </si>
  <si>
    <t>Xanthomonas cassavae CFBP 4642</t>
  </si>
  <si>
    <t>Xanthomonas citri pv. citri</t>
  </si>
  <si>
    <t>Xanthomonas citri pv. citri strain jx-6</t>
  </si>
  <si>
    <t>Xanthomonas citri pv. malvacearum X18</t>
  </si>
  <si>
    <t>Xanthomonas citri pv. malvacearum X20</t>
  </si>
  <si>
    <t>Xanthomonas citri subsp. citri A306</t>
  </si>
  <si>
    <t>Xanthomonas citri subsp. citri Aw12879</t>
  </si>
  <si>
    <t>Xanthomonas citri subsp. citri strain 5208</t>
  </si>
  <si>
    <t>Xanthomonas citri subsp. citri strain AW13</t>
  </si>
  <si>
    <t>Xanthomonas citri subsp. citri strain AW14</t>
  </si>
  <si>
    <t>Xanthomonas citri subsp. citri strain AW15</t>
  </si>
  <si>
    <t>Xanthomonas citri subsp. citri strain AW16</t>
  </si>
  <si>
    <t>Xanthomonas citri subsp. citri strain BL18</t>
  </si>
  <si>
    <t>Xanthomonas citri subsp. citri strain FB19</t>
  </si>
  <si>
    <t>Xanthomonas citri subsp. citri strain GD2</t>
  </si>
  <si>
    <t>Xanthomonas citri subsp. citri strain GD3</t>
  </si>
  <si>
    <t>Xanthomonas citri subsp. citri strain JX4</t>
  </si>
  <si>
    <t>Xanthomonas citri subsp. citri strain JX5</t>
  </si>
  <si>
    <t>Xanthomonas citri subsp. citri strain MF20</t>
  </si>
  <si>
    <t>Xanthomonas citri subsp. citri strain MN10</t>
  </si>
  <si>
    <t>Xanthomonas citri subsp. citri strain MN11</t>
  </si>
  <si>
    <t>Xanthomonas citri subsp. citri strain MN12</t>
  </si>
  <si>
    <t>Xanthomonas citri subsp. citri strain NT17</t>
  </si>
  <si>
    <t>Xanthomonas citri subsp. citri strain UI7</t>
  </si>
  <si>
    <t>Xanthomonas citri subsp. citri UI6</t>
  </si>
  <si>
    <t>Xanthomonas fuscans subsp. fuscans strain 4834-R</t>
  </si>
  <si>
    <t>Xanthomonas hortorum pv. carotae str. M081</t>
  </si>
  <si>
    <t>Xanthomonas oryzae pv. oryzae</t>
  </si>
  <si>
    <t>Xanthomonas oryzae pv. oryzae KACC 10331</t>
  </si>
  <si>
    <t>Xanthomonas oryzae pv. oryzae MAFF 311018</t>
  </si>
  <si>
    <t>Xanthomonas oryzae pv. oryzae PXO86</t>
  </si>
  <si>
    <t>Xanthomonas oryzae pv. oryzae PXO99A</t>
  </si>
  <si>
    <t>Xanthomonas oryzae pv. oryzicola strain B8-12</t>
  </si>
  <si>
    <t>Xanthomonas oryzae pv. oryzicola strain BLS279</t>
  </si>
  <si>
    <t>Xanthomonas oryzae pv. oryzicola strain BXOR1</t>
  </si>
  <si>
    <t>Xanthomonas oryzae pv. oryzicola strain CFBP2286</t>
  </si>
  <si>
    <t>Xanthomonas oryzae pv. oryzicola strain CFBP7331</t>
  </si>
  <si>
    <t>Xanthomonas oryzae pv. oryzicola strain CFBP7341</t>
  </si>
  <si>
    <t>Xanthomonas oryzae pv. oryzicola strain CFBP7342</t>
  </si>
  <si>
    <t>Xanthomonas oryzae pv. oryzicola strain L8</t>
  </si>
  <si>
    <t>Xanthomonas oryzae pv. oryzicola strain RS105</t>
  </si>
  <si>
    <t>Xanthomonas oryzae pv. oryzicola strain YM15</t>
  </si>
  <si>
    <t>Xanthomonas sacchari R1</t>
  </si>
  <si>
    <t>Xanthomonas translucens pv. undulosa strain Xtu 4699</t>
  </si>
  <si>
    <t>Xenorhabdus bovienii SS-2004</t>
  </si>
  <si>
    <t>Xenorhabdus bovienii strain CS03</t>
  </si>
  <si>
    <t>Xenorhabdus doucetiae strain FRM16 = DSM 17909</t>
  </si>
  <si>
    <t>Xenorhabdus nematophila AN6/1</t>
  </si>
  <si>
    <t>Xenorhabdus nematophila ATCC 19061</t>
  </si>
  <si>
    <t>Xenorhabdus poinarii G6</t>
  </si>
  <si>
    <t>Xylanimonas cellulosilytica DSM 15894</t>
  </si>
  <si>
    <t>Xylella fastidiosa 9a5c</t>
  </si>
  <si>
    <t>Xylella fastidiosa M12</t>
  </si>
  <si>
    <t>Xylella fastidiosa M23</t>
  </si>
  <si>
    <t>Xylella fastidiosa MUL0034</t>
  </si>
  <si>
    <t>Xylella fastidiosa subsp. fastidiosa GB514</t>
  </si>
  <si>
    <t>Xylella fastidiosa subsp. sandyi Ann-1</t>
  </si>
  <si>
    <t>Xylella fastidiosa Temecula1</t>
  </si>
  <si>
    <t>Yersinia aldovae 670-83</t>
  </si>
  <si>
    <t>Yersinia aleksiciae strain 159</t>
  </si>
  <si>
    <t>Yersinia enterocolitica (type O:2) str. YE3094/96</t>
  </si>
  <si>
    <t>Yersinia enterocolitica (type O:3) str. YE12/03</t>
  </si>
  <si>
    <t>Yersinia enterocolitica (type O:5) str. YE53/03</t>
  </si>
  <si>
    <t>Yersinia enterocolitica (type O:5,27) str. YE149/02</t>
  </si>
  <si>
    <t>Yersinia enterocolitica (type O:9) str. YE212/02</t>
  </si>
  <si>
    <t>Yersinia enterocolitica (type O:9) str. YE56/03</t>
  </si>
  <si>
    <t>Yersinia enterocolitica 2516-87</t>
  </si>
  <si>
    <t>Yersinia enterocolitica 8081</t>
  </si>
  <si>
    <t>Yersinia enterocolitica LC20</t>
  </si>
  <si>
    <t>Yersinia enterocolitica strain ATCC 9610</t>
  </si>
  <si>
    <t>Yersinia enterocolitica strain FORC_002</t>
  </si>
  <si>
    <t>Yersinia enterocolitica strain FORC-002</t>
  </si>
  <si>
    <t>Yersinia enterocolitica strain KNG22703</t>
  </si>
  <si>
    <t>Yersinia enterocolitica subsp. enterocolitica 8081</t>
  </si>
  <si>
    <t>Yersinia enterocolitica subsp. palearctica 105.5R(r)</t>
  </si>
  <si>
    <t>Yersinia enterocolitica subsp. palearctica Y11</t>
  </si>
  <si>
    <t>Yersinia enterocolitica WA</t>
  </si>
  <si>
    <t>Yersinia entomophaga strain MH96</t>
  </si>
  <si>
    <t>Yersinia frederiksenii Y225</t>
  </si>
  <si>
    <t>Yersinia intermedia Y228</t>
  </si>
  <si>
    <t>Yersinia kristensenii strain ATCC 33639</t>
  </si>
  <si>
    <t>Yersinia kristensenii strain Y231</t>
  </si>
  <si>
    <t>Yersinia pestis 1045</t>
  </si>
  <si>
    <t>Yersinia pestis 1412</t>
  </si>
  <si>
    <t>Yersinia pestis 1413</t>
  </si>
  <si>
    <t>Yersinia pestis 1522</t>
  </si>
  <si>
    <t>Yersinia pestis 2944</t>
  </si>
  <si>
    <t>Yersinia pestis 3067</t>
  </si>
  <si>
    <t>Yersinia pestis 3770</t>
  </si>
  <si>
    <t>Yersinia pestis 790</t>
  </si>
  <si>
    <t>Yersinia pestis 8787</t>
  </si>
  <si>
    <t>Yersinia pestis A1122</t>
  </si>
  <si>
    <t>Yersinia pestis Angola</t>
  </si>
  <si>
    <t>Yersinia pestis Antiqua</t>
  </si>
  <si>
    <t>Yersinia pestis biovar Medievalis str. Harbin 35</t>
  </si>
  <si>
    <t>Yersinia pestis biovar Microtus str. 91001</t>
  </si>
  <si>
    <t>Yersinia pestis CO92</t>
  </si>
  <si>
    <t>Yersinia pestis D106004</t>
  </si>
  <si>
    <t>Yersinia pestis D182038</t>
  </si>
  <si>
    <t>Yersinia pestis Dodson</t>
  </si>
  <si>
    <t>Yersinia pestis El Dorado</t>
  </si>
  <si>
    <t>Yersinia pestis Harbin35</t>
  </si>
  <si>
    <t>Yersinia pestis Java9</t>
  </si>
  <si>
    <t>Yersinia pestis KIM10+</t>
  </si>
  <si>
    <t>Yersinia pestis Nairobi</t>
  </si>
  <si>
    <t>Yersinia pestis Nepal516</t>
  </si>
  <si>
    <t>Yersinia pestis Nicholisk 41</t>
  </si>
  <si>
    <t>Yersinia pestis PBM19</t>
  </si>
  <si>
    <t>Yersinia pestis Pestoides F</t>
  </si>
  <si>
    <t>Yersinia pestis Pestoides G</t>
  </si>
  <si>
    <t>Yersinia pestis Shasta</t>
  </si>
  <si>
    <t>Yersinia pestis str. Pestoides B</t>
  </si>
  <si>
    <t>Yersinia pestis strain KIM5</t>
  </si>
  <si>
    <t>Yersinia pestis Z176003</t>
  </si>
  <si>
    <t>Yersinia pseudotuberculosis 1</t>
  </si>
  <si>
    <t>Yersinia pseudotuberculosis EP2/+</t>
  </si>
  <si>
    <t>Yersinia pseudotuberculosis IP 31758</t>
  </si>
  <si>
    <t>Yersinia pseudotuberculosis IP 32953</t>
  </si>
  <si>
    <t>Yersinia pseudotuberculosis MD67</t>
  </si>
  <si>
    <t>Yersinia pseudotuberculosis PB1/+</t>
  </si>
  <si>
    <t>Yersinia pseudotuberculosis str. PA3606 Pa3606</t>
  </si>
  <si>
    <t>Yersinia pseudotuberculosis strain 6904</t>
  </si>
  <si>
    <t>Yersinia pseudotuberculosis YPIII</t>
  </si>
  <si>
    <t>Yersinia rohdei YRA</t>
  </si>
  <si>
    <t>Yersinia ruckeri strain Big Creek 74</t>
  </si>
  <si>
    <t>Yersinia ruckeri YRB</t>
  </si>
  <si>
    <t>Yersinia similis strain 228</t>
  </si>
  <si>
    <t>Zhongshania aliphaticivorans strain SM2</t>
  </si>
  <si>
    <t>Zobellia galactanivorans strain Dsij</t>
  </si>
  <si>
    <t>Zunongwangia profunda SM-A87</t>
  </si>
  <si>
    <t>Zymomonas mobilis subsp. mobilis ATCC 29191</t>
  </si>
  <si>
    <t>Zymomonas mobilis subsp. mobilis NCIMB 11163</t>
  </si>
  <si>
    <t>Zymomonas mobilis subsp. mobilis NRRL B-12526</t>
  </si>
  <si>
    <t>Zymomonas mobilis subsp. mobilis str. CP4 = NRRL B-14023</t>
  </si>
  <si>
    <t>Zymomonas mobilis subsp. mobilis ZM4 = ATCC 31821</t>
  </si>
  <si>
    <t>Zymomonas mobilis subsp. pomaceae ATCC 29192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</si>
</sst>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6">
    <numFmt numFmtId="164" formatCode="yyyy-mm"/>
    <numFmt numFmtId="165" formatCode="yyyy-m"/>
    <numFmt numFmtId="166" formatCode="dd/mm/yyyy"/>
    <numFmt numFmtId="167" formatCode="m.yyyy"/>
    <numFmt numFmtId="168" formatCode="0.0"/>
    <numFmt numFmtId="169" formatCode="0.000"/>
    <numFmt numFmtId="170" formatCode="d-m"/>
    <numFmt numFmtId="171" formatCode="d/m"/>
    <numFmt numFmtId="172" formatCode="mm-yyyy"/>
    <numFmt numFmtId="173" formatCode="yyyy/mm/dd"/>
    <numFmt numFmtId="174" formatCode="yyyy/m/d"/>
    <numFmt numFmtId="175" formatCode="d.m"/>
    <numFmt numFmtId="176" formatCode="d.m.yyyy"/>
    <numFmt numFmtId="177" formatCode="d.m.yy"/>
    <numFmt numFmtId="178" formatCode="dd-mm"/>
    <numFmt numFmtId="179" formatCode="m-yyyy"/>
  </numFmts>
  <fonts count="14">
    <font>
      <sz val="11.0"/>
      <color rgb="FF000000"/>
      <name val="Calibri"/>
    </font>
    <font>
      <b/>
    </font>
    <font>
      <b/>
      <sz val="12.0"/>
      <name val="Calibri"/>
    </font>
    <font>
      <sz val="12.0"/>
      <name val="Calibri"/>
    </font>
    <font>
      <sz val="12.0"/>
    </font>
    <font/>
    <font>
      <sz val="11.0"/>
      <color rgb="FF000000"/>
      <name val="Arial"/>
    </font>
    <font>
      <b/>
      <sz val="12.0"/>
      <color rgb="FF000000"/>
      <name val="Calibri"/>
    </font>
    <font>
      <b/>
      <sz val="12.0"/>
    </font>
    <font>
      <sz val="12.0"/>
      <color rgb="FF000000"/>
      <name val="Calibri"/>
    </font>
    <font>
      <color rgb="FF000000"/>
    </font>
    <font>
      <sz val="11.0"/>
      <color rgb="FF000000"/>
      <name val="Inconsolata"/>
    </font>
    <font>
      <sz val="11.0"/>
      <name val="Calibri"/>
    </font>
    <font>
      <b/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5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shrinkToFit="0" wrapText="1"/>
    </xf>
    <xf borderId="0" fillId="0" fontId="2" numFmtId="0" xfId="0" applyAlignment="1" applyFont="1">
      <alignment readingOrder="0" shrinkToFit="0" wrapText="1"/>
    </xf>
    <xf borderId="0" fillId="0" fontId="1" numFmtId="0" xfId="0" applyFont="1"/>
    <xf borderId="0" fillId="0" fontId="3" numFmtId="0" xfId="0" applyAlignment="1" applyFont="1">
      <alignment shrinkToFit="0" wrapText="1"/>
    </xf>
    <xf borderId="0" fillId="0" fontId="4" numFmtId="0" xfId="0" applyAlignment="1" applyFont="1">
      <alignment readingOrder="0"/>
    </xf>
    <xf borderId="0" fillId="0" fontId="5" numFmtId="4" xfId="0" applyFont="1" applyNumberFormat="1"/>
    <xf borderId="0" fillId="0" fontId="5" numFmtId="49" xfId="0" applyAlignment="1" applyFont="1" applyNumberFormat="1">
      <alignment readingOrder="0"/>
    </xf>
    <xf borderId="0" fillId="0" fontId="5" numFmtId="4" xfId="0" applyAlignment="1" applyFont="1" applyNumberFormat="1">
      <alignment readingOrder="0"/>
    </xf>
    <xf borderId="0" fillId="2" fontId="6" numFmtId="0" xfId="0" applyAlignment="1" applyFill="1" applyFont="1">
      <alignment readingOrder="0"/>
    </xf>
    <xf borderId="0" fillId="0" fontId="5" numFmtId="164" xfId="0" applyFont="1" applyNumberFormat="1"/>
    <xf borderId="0" fillId="0" fontId="5" numFmtId="165" xfId="0" applyFont="1" applyNumberFormat="1"/>
    <xf borderId="0" fillId="0" fontId="5" numFmtId="166" xfId="0" applyFont="1" applyNumberFormat="1"/>
    <xf borderId="0" fillId="0" fontId="5" numFmtId="167" xfId="0" applyFont="1" applyNumberFormat="1"/>
    <xf borderId="0" fillId="0" fontId="5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7" numFmtId="168" xfId="0" applyAlignment="1" applyFont="1" applyNumberFormat="1">
      <alignment readingOrder="0"/>
    </xf>
    <xf borderId="0" fillId="0" fontId="8" numFmtId="0" xfId="0" applyFont="1"/>
    <xf borderId="0" fillId="0" fontId="9" numFmtId="168" xfId="0" applyAlignment="1" applyFont="1" applyNumberFormat="1">
      <alignment readingOrder="0" vertical="bottom"/>
    </xf>
    <xf borderId="0" fillId="0" fontId="4" numFmtId="169" xfId="0" applyFont="1" applyNumberFormat="1"/>
    <xf borderId="0" fillId="0" fontId="4" numFmtId="0" xfId="0" applyFont="1"/>
    <xf borderId="0" fillId="0" fontId="9" numFmtId="168" xfId="0" applyAlignment="1" applyFont="1" applyNumberFormat="1">
      <alignment vertical="bottom"/>
    </xf>
    <xf borderId="0" fillId="0" fontId="9" numFmtId="0" xfId="0" applyAlignment="1" applyFont="1">
      <alignment readingOrder="0"/>
    </xf>
    <xf borderId="0" fillId="0" fontId="7" numFmtId="168" xfId="0" applyAlignment="1" applyFont="1" applyNumberFormat="1">
      <alignment vertical="bottom"/>
    </xf>
    <xf borderId="0" fillId="0" fontId="5" numFmtId="170" xfId="0" applyFont="1" applyNumberFormat="1"/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3" numFmtId="0" xfId="0" applyAlignment="1" applyFont="1">
      <alignment horizontal="right" vertical="bottom"/>
    </xf>
    <xf borderId="0" fillId="0" fontId="3" numFmtId="0" xfId="0" applyFont="1"/>
    <xf borderId="0" fillId="0" fontId="3" numFmtId="0" xfId="0" applyAlignment="1" applyFont="1">
      <alignment horizontal="right" readingOrder="0" vertical="bottom"/>
    </xf>
    <xf borderId="0" fillId="0" fontId="2" numFmtId="0" xfId="0" applyAlignment="1" applyFont="1">
      <alignment horizontal="right" readingOrder="0" vertical="bottom"/>
    </xf>
    <xf borderId="0" fillId="0" fontId="10" numFmtId="0" xfId="0" applyAlignment="1" applyFont="1">
      <alignment readingOrder="0" shrinkToFit="0" wrapText="1"/>
    </xf>
    <xf borderId="0" fillId="2" fontId="11" numFmtId="0" xfId="0" applyAlignment="1" applyFont="1">
      <alignment readingOrder="0"/>
    </xf>
    <xf borderId="0" fillId="0" fontId="5" numFmtId="11" xfId="0" applyFont="1" applyNumberFormat="1"/>
    <xf borderId="0" fillId="0" fontId="5" numFmtId="171" xfId="0" applyFont="1" applyNumberFormat="1"/>
    <xf borderId="0" fillId="0" fontId="5" numFmtId="172" xfId="0" applyFont="1" applyNumberFormat="1"/>
    <xf borderId="0" fillId="2" fontId="9" numFmtId="0" xfId="0" applyAlignment="1" applyFont="1">
      <alignment horizontal="right" vertical="bottom"/>
    </xf>
    <xf borderId="0" fillId="0" fontId="3" numFmtId="0" xfId="0" applyAlignment="1" applyFont="1">
      <alignment readingOrder="0" shrinkToFit="0" wrapText="1"/>
    </xf>
    <xf borderId="0" fillId="0" fontId="5" numFmtId="173" xfId="0" applyAlignment="1" applyFont="1" applyNumberFormat="1">
      <alignment readingOrder="0"/>
    </xf>
    <xf borderId="0" fillId="0" fontId="5" numFmtId="174" xfId="0" applyAlignment="1" applyFont="1" applyNumberFormat="1">
      <alignment readingOrder="0"/>
    </xf>
    <xf borderId="0" fillId="0" fontId="5" numFmtId="175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12" numFmtId="0" xfId="0" applyAlignment="1" applyFont="1">
      <alignment vertical="bottom"/>
    </xf>
    <xf borderId="0" fillId="0" fontId="13" numFmtId="168" xfId="0" applyAlignment="1" applyFont="1" applyNumberFormat="1">
      <alignment vertical="bottom"/>
    </xf>
    <xf borderId="0" fillId="0" fontId="0" numFmtId="168" xfId="0" applyAlignment="1" applyFont="1" applyNumberFormat="1">
      <alignment horizontal="right" vertical="bottom"/>
    </xf>
    <xf borderId="0" fillId="0" fontId="12" numFmtId="0" xfId="0" applyAlignment="1" applyFont="1">
      <alignment horizontal="right" vertical="bottom"/>
    </xf>
    <xf borderId="0" fillId="0" fontId="7" numFmtId="0" xfId="0" applyAlignment="1" applyFont="1">
      <alignment horizontal="center" textRotation="90"/>
    </xf>
    <xf borderId="0" fillId="0" fontId="9" numFmtId="0" xfId="0" applyAlignment="1" applyFont="1">
      <alignment vertical="top"/>
    </xf>
    <xf borderId="0" fillId="0" fontId="9" numFmtId="0" xfId="0" applyAlignment="1" applyFont="1">
      <alignment readingOrder="0" vertical="top"/>
    </xf>
    <xf borderId="0" fillId="0" fontId="5" numFmtId="176" xfId="0" applyFont="1" applyNumberFormat="1"/>
    <xf borderId="0" fillId="0" fontId="5" numFmtId="177" xfId="0" applyFont="1" applyNumberFormat="1"/>
    <xf borderId="0" fillId="0" fontId="5" numFmtId="178" xfId="0" applyFont="1" applyNumberFormat="1"/>
    <xf borderId="0" fillId="0" fontId="5" numFmtId="179" xfId="0" applyFont="1" applyNumberForma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'1c'!$A$2:$A$102</c:f>
            </c:strRef>
          </c:cat>
          <c:val>
            <c:numRef>
              <c:f>'1c'!$B$2:$B$102</c:f>
            </c:numRef>
          </c:val>
          <c:smooth val="1"/>
        </c:ser>
        <c:axId val="1532320848"/>
        <c:axId val="1211102709"/>
      </c:lineChart>
      <c:catAx>
        <c:axId val="1532320848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211102709"/>
      </c:catAx>
      <c:valAx>
        <c:axId val="12111027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532320848"/>
      </c:valAx>
    </c:plotArea>
    <c:legend>
      <c:legendPos val="r"/>
      <c:overlay val="0"/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2</xdr:col>
      <xdr:colOff>533400</xdr:colOff>
      <xdr:row>2</xdr:row>
      <xdr:rowOff>180975</xdr:rowOff>
    </xdr:from>
    <xdr:ext cx="5715000" cy="3533775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1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57"/>
    <col customWidth="1" min="2" max="2" width="15.86"/>
    <col customWidth="1" min="3" max="6" width="8.57"/>
    <col customWidth="1" min="7" max="26" width="8.71"/>
  </cols>
  <sheetData>
    <row r="1">
      <c r="A1" s="2" t="s">
        <v>254</v>
      </c>
      <c r="B1" s="4" t="s">
        <v>255</v>
      </c>
      <c r="D1" s="2" t="s">
        <v>257</v>
      </c>
      <c r="E1" s="2" t="s">
        <v>258</v>
      </c>
      <c r="F1" s="2" t="s">
        <v>259</v>
      </c>
    </row>
    <row r="2">
      <c r="A2">
        <v>0.0</v>
      </c>
      <c r="B2">
        <f t="shared" ref="B2:B102" si="1">$D$2*COS(2*PI()*$E$2*A2 + $F$2)</f>
        <v>1</v>
      </c>
      <c r="D2" s="15">
        <v>1.0</v>
      </c>
      <c r="E2" s="15">
        <v>1.0</v>
      </c>
      <c r="F2">
        <v>0.0</v>
      </c>
    </row>
    <row r="3">
      <c r="A3">
        <v>0.1</v>
      </c>
      <c r="B3">
        <f t="shared" si="1"/>
        <v>0.8090169944</v>
      </c>
    </row>
    <row r="4">
      <c r="A4">
        <v>0.2</v>
      </c>
      <c r="B4">
        <f t="shared" si="1"/>
        <v>0.3090169944</v>
      </c>
    </row>
    <row r="5">
      <c r="A5">
        <v>0.3</v>
      </c>
      <c r="B5">
        <f t="shared" si="1"/>
        <v>-0.3090169944</v>
      </c>
    </row>
    <row r="6">
      <c r="A6">
        <v>0.4</v>
      </c>
      <c r="B6">
        <f t="shared" si="1"/>
        <v>-0.8090169944</v>
      </c>
    </row>
    <row r="7">
      <c r="A7">
        <v>0.5</v>
      </c>
      <c r="B7">
        <f t="shared" si="1"/>
        <v>-1</v>
      </c>
    </row>
    <row r="8">
      <c r="A8">
        <v>0.6</v>
      </c>
      <c r="B8">
        <f t="shared" si="1"/>
        <v>-0.8090169944</v>
      </c>
    </row>
    <row r="9">
      <c r="A9">
        <v>0.7</v>
      </c>
      <c r="B9">
        <f t="shared" si="1"/>
        <v>-0.3090169944</v>
      </c>
    </row>
    <row r="10">
      <c r="A10">
        <v>0.8</v>
      </c>
      <c r="B10">
        <f t="shared" si="1"/>
        <v>0.3090169944</v>
      </c>
    </row>
    <row r="11">
      <c r="A11">
        <v>0.9</v>
      </c>
      <c r="B11">
        <f t="shared" si="1"/>
        <v>0.8090169944</v>
      </c>
    </row>
    <row r="12">
      <c r="A12">
        <v>1.0</v>
      </c>
      <c r="B12">
        <f t="shared" si="1"/>
        <v>1</v>
      </c>
    </row>
    <row r="13">
      <c r="A13">
        <v>1.1</v>
      </c>
      <c r="B13">
        <f t="shared" si="1"/>
        <v>0.8090169944</v>
      </c>
    </row>
    <row r="14">
      <c r="A14">
        <v>1.2</v>
      </c>
      <c r="B14">
        <f t="shared" si="1"/>
        <v>0.3090169944</v>
      </c>
    </row>
    <row r="15">
      <c r="A15">
        <v>1.3</v>
      </c>
      <c r="B15">
        <f t="shared" si="1"/>
        <v>-0.3090169944</v>
      </c>
    </row>
    <row r="16">
      <c r="A16">
        <v>1.4</v>
      </c>
      <c r="B16">
        <f t="shared" si="1"/>
        <v>-0.8090169944</v>
      </c>
    </row>
    <row r="17">
      <c r="A17">
        <v>1.5</v>
      </c>
      <c r="B17">
        <f t="shared" si="1"/>
        <v>-1</v>
      </c>
    </row>
    <row r="18">
      <c r="A18">
        <v>1.6</v>
      </c>
      <c r="B18">
        <f t="shared" si="1"/>
        <v>-0.8090169944</v>
      </c>
    </row>
    <row r="19">
      <c r="A19">
        <v>1.7</v>
      </c>
      <c r="B19">
        <f t="shared" si="1"/>
        <v>-0.3090169944</v>
      </c>
    </row>
    <row r="20">
      <c r="A20">
        <v>1.8</v>
      </c>
      <c r="B20">
        <f t="shared" si="1"/>
        <v>0.3090169944</v>
      </c>
    </row>
    <row r="21" ht="15.75" customHeight="1">
      <c r="A21">
        <v>1.9</v>
      </c>
      <c r="B21">
        <f t="shared" si="1"/>
        <v>0.8090169944</v>
      </c>
    </row>
    <row r="22" ht="15.75" customHeight="1">
      <c r="A22">
        <v>2.0</v>
      </c>
      <c r="B22">
        <f t="shared" si="1"/>
        <v>1</v>
      </c>
    </row>
    <row r="23" ht="15.75" customHeight="1">
      <c r="A23">
        <v>2.1</v>
      </c>
      <c r="B23">
        <f t="shared" si="1"/>
        <v>0.8090169944</v>
      </c>
    </row>
    <row r="24" ht="15.75" customHeight="1">
      <c r="A24">
        <v>2.2</v>
      </c>
      <c r="B24">
        <f t="shared" si="1"/>
        <v>0.3090169944</v>
      </c>
    </row>
    <row r="25" ht="15.75" customHeight="1">
      <c r="A25">
        <v>2.3</v>
      </c>
      <c r="B25">
        <f t="shared" si="1"/>
        <v>-0.3090169944</v>
      </c>
    </row>
    <row r="26" ht="15.75" customHeight="1">
      <c r="A26">
        <v>2.4</v>
      </c>
      <c r="B26">
        <f t="shared" si="1"/>
        <v>-0.8090169944</v>
      </c>
    </row>
    <row r="27" ht="15.75" customHeight="1">
      <c r="A27">
        <v>2.5</v>
      </c>
      <c r="B27">
        <f t="shared" si="1"/>
        <v>-1</v>
      </c>
    </row>
    <row r="28" ht="15.75" customHeight="1">
      <c r="A28">
        <v>2.6</v>
      </c>
      <c r="B28">
        <f t="shared" si="1"/>
        <v>-0.8090169944</v>
      </c>
    </row>
    <row r="29" ht="15.75" customHeight="1">
      <c r="A29">
        <v>2.7</v>
      </c>
      <c r="B29">
        <f t="shared" si="1"/>
        <v>-0.3090169944</v>
      </c>
    </row>
    <row r="30" ht="15.75" customHeight="1">
      <c r="A30">
        <v>2.8</v>
      </c>
      <c r="B30">
        <f t="shared" si="1"/>
        <v>0.3090169944</v>
      </c>
    </row>
    <row r="31" ht="15.75" customHeight="1">
      <c r="A31">
        <v>2.9</v>
      </c>
      <c r="B31">
        <f t="shared" si="1"/>
        <v>0.8090169944</v>
      </c>
    </row>
    <row r="32" ht="15.75" customHeight="1">
      <c r="A32">
        <v>3.0</v>
      </c>
      <c r="B32">
        <f t="shared" si="1"/>
        <v>1</v>
      </c>
    </row>
    <row r="33" ht="15.75" customHeight="1">
      <c r="A33">
        <v>3.1</v>
      </c>
      <c r="B33">
        <f t="shared" si="1"/>
        <v>0.8090169944</v>
      </c>
    </row>
    <row r="34" ht="15.75" customHeight="1">
      <c r="A34">
        <v>3.2</v>
      </c>
      <c r="B34">
        <f t="shared" si="1"/>
        <v>0.3090169944</v>
      </c>
    </row>
    <row r="35" ht="15.75" customHeight="1">
      <c r="A35">
        <v>3.3</v>
      </c>
      <c r="B35">
        <f t="shared" si="1"/>
        <v>-0.3090169944</v>
      </c>
    </row>
    <row r="36" ht="15.75" customHeight="1">
      <c r="A36">
        <v>3.4</v>
      </c>
      <c r="B36">
        <f t="shared" si="1"/>
        <v>-0.8090169944</v>
      </c>
    </row>
    <row r="37" ht="15.75" customHeight="1">
      <c r="A37">
        <v>3.5</v>
      </c>
      <c r="B37">
        <f t="shared" si="1"/>
        <v>-1</v>
      </c>
    </row>
    <row r="38" ht="15.75" customHeight="1">
      <c r="A38">
        <v>3.6</v>
      </c>
      <c r="B38">
        <f t="shared" si="1"/>
        <v>-0.8090169944</v>
      </c>
    </row>
    <row r="39" ht="15.75" customHeight="1">
      <c r="A39">
        <v>3.7</v>
      </c>
      <c r="B39">
        <f t="shared" si="1"/>
        <v>-0.3090169944</v>
      </c>
    </row>
    <row r="40" ht="15.75" customHeight="1">
      <c r="A40">
        <v>3.8</v>
      </c>
      <c r="B40">
        <f t="shared" si="1"/>
        <v>0.3090169944</v>
      </c>
    </row>
    <row r="41" ht="15.75" customHeight="1">
      <c r="A41">
        <v>3.9</v>
      </c>
      <c r="B41">
        <f t="shared" si="1"/>
        <v>0.8090169944</v>
      </c>
    </row>
    <row r="42" ht="15.75" customHeight="1">
      <c r="A42">
        <v>4.0</v>
      </c>
      <c r="B42">
        <f t="shared" si="1"/>
        <v>1</v>
      </c>
    </row>
    <row r="43" ht="15.75" customHeight="1">
      <c r="A43">
        <v>4.1</v>
      </c>
      <c r="B43">
        <f t="shared" si="1"/>
        <v>0.8090169944</v>
      </c>
    </row>
    <row r="44" ht="15.75" customHeight="1">
      <c r="A44">
        <v>4.2</v>
      </c>
      <c r="B44">
        <f t="shared" si="1"/>
        <v>0.3090169944</v>
      </c>
    </row>
    <row r="45" ht="15.75" customHeight="1">
      <c r="A45">
        <v>4.3</v>
      </c>
      <c r="B45">
        <f t="shared" si="1"/>
        <v>-0.3090169944</v>
      </c>
    </row>
    <row r="46" ht="15.75" customHeight="1">
      <c r="A46">
        <v>4.4</v>
      </c>
      <c r="B46">
        <f t="shared" si="1"/>
        <v>-0.8090169944</v>
      </c>
    </row>
    <row r="47" ht="15.75" customHeight="1">
      <c r="A47">
        <v>4.5</v>
      </c>
      <c r="B47">
        <f t="shared" si="1"/>
        <v>-1</v>
      </c>
    </row>
    <row r="48" ht="15.75" customHeight="1">
      <c r="A48">
        <v>4.6</v>
      </c>
      <c r="B48">
        <f t="shared" si="1"/>
        <v>-0.8090169944</v>
      </c>
    </row>
    <row r="49" ht="15.75" customHeight="1">
      <c r="A49">
        <v>4.7</v>
      </c>
      <c r="B49">
        <f t="shared" si="1"/>
        <v>-0.3090169944</v>
      </c>
    </row>
    <row r="50" ht="15.75" customHeight="1">
      <c r="A50">
        <v>4.8</v>
      </c>
      <c r="B50">
        <f t="shared" si="1"/>
        <v>0.3090169944</v>
      </c>
    </row>
    <row r="51" ht="15.75" customHeight="1">
      <c r="A51">
        <v>4.9</v>
      </c>
      <c r="B51">
        <f t="shared" si="1"/>
        <v>0.8090169944</v>
      </c>
    </row>
    <row r="52" ht="15.75" customHeight="1">
      <c r="A52">
        <v>5.0</v>
      </c>
      <c r="B52">
        <f t="shared" si="1"/>
        <v>1</v>
      </c>
    </row>
    <row r="53" ht="15.75" customHeight="1">
      <c r="A53">
        <v>5.1</v>
      </c>
      <c r="B53">
        <f t="shared" si="1"/>
        <v>0.8090169944</v>
      </c>
    </row>
    <row r="54" ht="15.75" customHeight="1">
      <c r="A54">
        <v>5.2</v>
      </c>
      <c r="B54">
        <f t="shared" si="1"/>
        <v>0.3090169944</v>
      </c>
    </row>
    <row r="55" ht="15.75" customHeight="1">
      <c r="A55">
        <v>5.3</v>
      </c>
      <c r="B55">
        <f t="shared" si="1"/>
        <v>-0.3090169944</v>
      </c>
    </row>
    <row r="56" ht="15.75" customHeight="1">
      <c r="A56">
        <v>5.4</v>
      </c>
      <c r="B56">
        <f t="shared" si="1"/>
        <v>-0.8090169944</v>
      </c>
    </row>
    <row r="57" ht="15.75" customHeight="1">
      <c r="A57">
        <v>5.5</v>
      </c>
      <c r="B57">
        <f t="shared" si="1"/>
        <v>-1</v>
      </c>
    </row>
    <row r="58" ht="15.75" customHeight="1">
      <c r="A58">
        <v>5.6</v>
      </c>
      <c r="B58">
        <f t="shared" si="1"/>
        <v>-0.8090169944</v>
      </c>
    </row>
    <row r="59" ht="15.75" customHeight="1">
      <c r="A59">
        <v>5.7</v>
      </c>
      <c r="B59">
        <f t="shared" si="1"/>
        <v>-0.3090169944</v>
      </c>
    </row>
    <row r="60" ht="15.75" customHeight="1">
      <c r="A60">
        <v>5.8</v>
      </c>
      <c r="B60">
        <f t="shared" si="1"/>
        <v>0.3090169944</v>
      </c>
    </row>
    <row r="61" ht="15.75" customHeight="1">
      <c r="A61">
        <v>5.9</v>
      </c>
      <c r="B61">
        <f t="shared" si="1"/>
        <v>0.8090169944</v>
      </c>
    </row>
    <row r="62" ht="15.75" customHeight="1">
      <c r="A62">
        <v>6.0</v>
      </c>
      <c r="B62">
        <f t="shared" si="1"/>
        <v>1</v>
      </c>
    </row>
    <row r="63" ht="15.75" customHeight="1">
      <c r="A63">
        <v>6.1</v>
      </c>
      <c r="B63">
        <f t="shared" si="1"/>
        <v>0.8090169944</v>
      </c>
    </row>
    <row r="64" ht="15.75" customHeight="1">
      <c r="A64">
        <v>6.2</v>
      </c>
      <c r="B64">
        <f t="shared" si="1"/>
        <v>0.3090169944</v>
      </c>
    </row>
    <row r="65" ht="15.75" customHeight="1">
      <c r="A65">
        <v>6.3</v>
      </c>
      <c r="B65">
        <f t="shared" si="1"/>
        <v>-0.3090169944</v>
      </c>
    </row>
    <row r="66" ht="15.75" customHeight="1">
      <c r="A66">
        <v>6.4</v>
      </c>
      <c r="B66">
        <f t="shared" si="1"/>
        <v>-0.8090169944</v>
      </c>
    </row>
    <row r="67" ht="15.75" customHeight="1">
      <c r="A67">
        <v>6.5</v>
      </c>
      <c r="B67">
        <f t="shared" si="1"/>
        <v>-1</v>
      </c>
    </row>
    <row r="68" ht="15.75" customHeight="1">
      <c r="A68">
        <v>6.6</v>
      </c>
      <c r="B68">
        <f t="shared" si="1"/>
        <v>-0.8090169944</v>
      </c>
    </row>
    <row r="69" ht="15.75" customHeight="1">
      <c r="A69">
        <v>6.7</v>
      </c>
      <c r="B69">
        <f t="shared" si="1"/>
        <v>-0.3090169944</v>
      </c>
    </row>
    <row r="70" ht="15.75" customHeight="1">
      <c r="A70">
        <v>6.8</v>
      </c>
      <c r="B70">
        <f t="shared" si="1"/>
        <v>0.3090169944</v>
      </c>
    </row>
    <row r="71" ht="15.75" customHeight="1">
      <c r="A71">
        <v>6.9</v>
      </c>
      <c r="B71">
        <f t="shared" si="1"/>
        <v>0.8090169944</v>
      </c>
    </row>
    <row r="72" ht="15.75" customHeight="1">
      <c r="A72">
        <v>7.0</v>
      </c>
      <c r="B72">
        <f t="shared" si="1"/>
        <v>1</v>
      </c>
    </row>
    <row r="73" ht="15.75" customHeight="1">
      <c r="A73">
        <v>7.1</v>
      </c>
      <c r="B73">
        <f t="shared" si="1"/>
        <v>0.8090169944</v>
      </c>
    </row>
    <row r="74" ht="15.75" customHeight="1">
      <c r="A74">
        <v>7.2</v>
      </c>
      <c r="B74">
        <f t="shared" si="1"/>
        <v>0.3090169944</v>
      </c>
    </row>
    <row r="75" ht="15.75" customHeight="1">
      <c r="A75">
        <v>7.3</v>
      </c>
      <c r="B75">
        <f t="shared" si="1"/>
        <v>-0.3090169944</v>
      </c>
    </row>
    <row r="76" ht="15.75" customHeight="1">
      <c r="A76">
        <v>7.4</v>
      </c>
      <c r="B76">
        <f t="shared" si="1"/>
        <v>-0.8090169944</v>
      </c>
    </row>
    <row r="77" ht="15.75" customHeight="1">
      <c r="A77">
        <v>7.5</v>
      </c>
      <c r="B77">
        <f t="shared" si="1"/>
        <v>-1</v>
      </c>
    </row>
    <row r="78" ht="15.75" customHeight="1">
      <c r="A78">
        <v>7.6</v>
      </c>
      <c r="B78">
        <f t="shared" si="1"/>
        <v>-0.8090169944</v>
      </c>
    </row>
    <row r="79" ht="15.75" customHeight="1">
      <c r="A79">
        <v>7.7</v>
      </c>
      <c r="B79">
        <f t="shared" si="1"/>
        <v>-0.3090169944</v>
      </c>
    </row>
    <row r="80" ht="15.75" customHeight="1">
      <c r="A80">
        <v>7.8</v>
      </c>
      <c r="B80">
        <f t="shared" si="1"/>
        <v>0.3090169944</v>
      </c>
    </row>
    <row r="81" ht="15.75" customHeight="1">
      <c r="A81">
        <v>7.9</v>
      </c>
      <c r="B81">
        <f t="shared" si="1"/>
        <v>0.8090169944</v>
      </c>
    </row>
    <row r="82" ht="15.75" customHeight="1">
      <c r="A82">
        <v>8.0</v>
      </c>
      <c r="B82">
        <f t="shared" si="1"/>
        <v>1</v>
      </c>
    </row>
    <row r="83" ht="15.75" customHeight="1">
      <c r="A83">
        <v>8.1</v>
      </c>
      <c r="B83">
        <f t="shared" si="1"/>
        <v>0.8090169944</v>
      </c>
    </row>
    <row r="84" ht="15.75" customHeight="1">
      <c r="A84">
        <v>8.2</v>
      </c>
      <c r="B84">
        <f t="shared" si="1"/>
        <v>0.3090169944</v>
      </c>
    </row>
    <row r="85" ht="15.75" customHeight="1">
      <c r="A85">
        <v>8.3</v>
      </c>
      <c r="B85">
        <f t="shared" si="1"/>
        <v>-0.3090169944</v>
      </c>
    </row>
    <row r="86" ht="15.75" customHeight="1">
      <c r="A86">
        <v>8.4</v>
      </c>
      <c r="B86">
        <f t="shared" si="1"/>
        <v>-0.8090169944</v>
      </c>
    </row>
    <row r="87" ht="15.75" customHeight="1">
      <c r="A87">
        <v>8.5</v>
      </c>
      <c r="B87">
        <f t="shared" si="1"/>
        <v>-1</v>
      </c>
    </row>
    <row r="88" ht="15.75" customHeight="1">
      <c r="A88">
        <v>8.6</v>
      </c>
      <c r="B88">
        <f t="shared" si="1"/>
        <v>-0.8090169944</v>
      </c>
    </row>
    <row r="89" ht="15.75" customHeight="1">
      <c r="A89">
        <v>8.7</v>
      </c>
      <c r="B89">
        <f t="shared" si="1"/>
        <v>-0.3090169944</v>
      </c>
    </row>
    <row r="90" ht="15.75" customHeight="1">
      <c r="A90">
        <v>8.8</v>
      </c>
      <c r="B90">
        <f t="shared" si="1"/>
        <v>0.3090169944</v>
      </c>
    </row>
    <row r="91" ht="15.75" customHeight="1">
      <c r="A91">
        <v>8.9</v>
      </c>
      <c r="B91">
        <f t="shared" si="1"/>
        <v>0.8090169944</v>
      </c>
    </row>
    <row r="92" ht="15.75" customHeight="1">
      <c r="A92">
        <v>9.0</v>
      </c>
      <c r="B92">
        <f t="shared" si="1"/>
        <v>1</v>
      </c>
    </row>
    <row r="93" ht="15.75" customHeight="1">
      <c r="A93">
        <v>9.1</v>
      </c>
      <c r="B93">
        <f t="shared" si="1"/>
        <v>0.8090169944</v>
      </c>
    </row>
    <row r="94" ht="15.75" customHeight="1">
      <c r="A94">
        <v>9.2</v>
      </c>
      <c r="B94">
        <f t="shared" si="1"/>
        <v>0.3090169944</v>
      </c>
    </row>
    <row r="95" ht="15.75" customHeight="1">
      <c r="A95">
        <v>9.3</v>
      </c>
      <c r="B95">
        <f t="shared" si="1"/>
        <v>-0.3090169944</v>
      </c>
    </row>
    <row r="96" ht="15.75" customHeight="1">
      <c r="A96">
        <v>9.4</v>
      </c>
      <c r="B96">
        <f t="shared" si="1"/>
        <v>-0.8090169944</v>
      </c>
    </row>
    <row r="97" ht="15.75" customHeight="1">
      <c r="A97">
        <v>9.5</v>
      </c>
      <c r="B97">
        <f t="shared" si="1"/>
        <v>-1</v>
      </c>
    </row>
    <row r="98" ht="15.75" customHeight="1">
      <c r="A98">
        <v>9.6</v>
      </c>
      <c r="B98">
        <f t="shared" si="1"/>
        <v>-0.8090169944</v>
      </c>
    </row>
    <row r="99" ht="15.75" customHeight="1">
      <c r="A99">
        <v>9.7</v>
      </c>
      <c r="B99">
        <f t="shared" si="1"/>
        <v>-0.3090169944</v>
      </c>
    </row>
    <row r="100" ht="15.75" customHeight="1">
      <c r="A100">
        <v>9.8</v>
      </c>
      <c r="B100">
        <f t="shared" si="1"/>
        <v>0.3090169944</v>
      </c>
    </row>
    <row r="101" ht="15.75" customHeight="1">
      <c r="A101">
        <v>9.9</v>
      </c>
      <c r="B101">
        <f t="shared" si="1"/>
        <v>0.8090169944</v>
      </c>
    </row>
    <row r="102" ht="15.75" customHeight="1">
      <c r="A102">
        <v>10.0</v>
      </c>
      <c r="B102">
        <f t="shared" si="1"/>
        <v>1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7.71"/>
    <col customWidth="1" min="2" max="2" width="45.14"/>
    <col customWidth="1" min="3" max="6" width="8.57"/>
    <col customWidth="1" min="7" max="26" width="8.71"/>
  </cols>
  <sheetData>
    <row r="1">
      <c r="A1" s="1" t="s">
        <v>0</v>
      </c>
      <c r="B1" s="2" t="s">
        <v>1</v>
      </c>
      <c r="C1" s="3"/>
      <c r="D1" s="2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t="str">
        <f t="shared" ref="A2:A6144" si="1">CONCATENATE(LEFT(C2), ".", D2)</f>
        <v>A.marina</v>
      </c>
      <c r="B2" s="5" t="s">
        <v>2</v>
      </c>
      <c r="C2" s="6" t="str">
        <f>IFERROR(__xludf.DUMMYFUNCTION("SPLIT('2. c'!B2, "" "", True, True)"),"Acaryochloris")</f>
        <v>Acaryochloris</v>
      </c>
      <c r="D2" s="5" t="str">
        <f>IFERROR(__xludf.DUMMYFUNCTION("""COMPUTED_VALUE"""),"marina")</f>
        <v>marina</v>
      </c>
      <c r="E2" t="str">
        <f>IFERROR(__xludf.DUMMYFUNCTION("""COMPUTED_VALUE"""),"MBIC11017")</f>
        <v>MBIC11017</v>
      </c>
    </row>
    <row r="3">
      <c r="A3" t="str">
        <f t="shared" si="1"/>
        <v>A.ghanensis</v>
      </c>
      <c r="B3" s="5" t="s">
        <v>18</v>
      </c>
      <c r="C3" s="6" t="str">
        <f>IFERROR(__xludf.DUMMYFUNCTION("SPLIT('2. c'!B3, "" "", True, True)"),"Acetobacter")</f>
        <v>Acetobacter</v>
      </c>
      <c r="D3" t="str">
        <f>IFERROR(__xludf.DUMMYFUNCTION("""COMPUTED_VALUE"""),"ghanensis")</f>
        <v>ghanensis</v>
      </c>
      <c r="E3" t="str">
        <f>IFERROR(__xludf.DUMMYFUNCTION("""COMPUTED_VALUE"""),"strain")</f>
        <v>strain</v>
      </c>
      <c r="F3" t="str">
        <f>IFERROR(__xludf.DUMMYFUNCTION("""COMPUTED_VALUE"""),"LMG")</f>
        <v>LMG</v>
      </c>
      <c r="G3" t="str">
        <f>IFERROR(__xludf.DUMMYFUNCTION("""COMPUTED_VALUE"""),"23848T")</f>
        <v>23848T</v>
      </c>
    </row>
    <row r="4">
      <c r="A4" t="str">
        <f t="shared" si="1"/>
        <v>A.pasteurianus</v>
      </c>
      <c r="B4" s="5" t="s">
        <v>19</v>
      </c>
      <c r="C4" s="6" t="str">
        <f>IFERROR(__xludf.DUMMYFUNCTION("SPLIT('2. c'!B4, "" "", True, True)"),"Acetobacter")</f>
        <v>Acetobacter</v>
      </c>
      <c r="D4" t="str">
        <f>IFERROR(__xludf.DUMMYFUNCTION("""COMPUTED_VALUE"""),"pasteurianus")</f>
        <v>pasteurianus</v>
      </c>
      <c r="E4" t="str">
        <f>IFERROR(__xludf.DUMMYFUNCTION("""COMPUTED_VALUE"""),"386B")</f>
        <v>386B</v>
      </c>
    </row>
    <row r="5">
      <c r="A5" t="str">
        <f t="shared" si="1"/>
        <v>A.pasteurianus</v>
      </c>
      <c r="B5" s="5" t="s">
        <v>20</v>
      </c>
      <c r="C5" s="6" t="str">
        <f>IFERROR(__xludf.DUMMYFUNCTION("SPLIT('2. c'!B5, "" "", True, True)"),"Acetobacter")</f>
        <v>Acetobacter</v>
      </c>
      <c r="D5" t="str">
        <f>IFERROR(__xludf.DUMMYFUNCTION("""COMPUTED_VALUE"""),"pasteurianus")</f>
        <v>pasteurianus</v>
      </c>
      <c r="E5" t="str">
        <f>IFERROR(__xludf.DUMMYFUNCTION("""COMPUTED_VALUE"""),"IFO")</f>
        <v>IFO</v>
      </c>
      <c r="F5" s="11">
        <f>IFERROR(__xludf.DUMMYFUNCTION("""COMPUTED_VALUE"""),505133.0)</f>
        <v>505133</v>
      </c>
    </row>
    <row r="6">
      <c r="A6" t="str">
        <f t="shared" si="1"/>
        <v>A.pasteurianus</v>
      </c>
      <c r="B6" s="5" t="s">
        <v>21</v>
      </c>
      <c r="C6" s="6" t="str">
        <f>IFERROR(__xludf.DUMMYFUNCTION("SPLIT('2. c'!B6, "" "", True, True)"),"Acetobacter")</f>
        <v>Acetobacter</v>
      </c>
      <c r="D6" t="str">
        <f>IFERROR(__xludf.DUMMYFUNCTION("""COMPUTED_VALUE"""),"pasteurianus")</f>
        <v>pasteurianus</v>
      </c>
      <c r="E6" t="str">
        <f>IFERROR(__xludf.DUMMYFUNCTION("""COMPUTED_VALUE"""),"IFO")</f>
        <v>IFO</v>
      </c>
      <c r="F6" t="str">
        <f>IFERROR(__xludf.DUMMYFUNCTION("""COMPUTED_VALUE"""),"3283-01-42C")</f>
        <v>3283-01-42C</v>
      </c>
    </row>
    <row r="7">
      <c r="A7" t="str">
        <f t="shared" si="1"/>
        <v>A.pasteurianus</v>
      </c>
      <c r="B7" s="5" t="s">
        <v>22</v>
      </c>
      <c r="C7" s="6" t="str">
        <f>IFERROR(__xludf.DUMMYFUNCTION("SPLIT('2. c'!B7, "" "", True, True)"),"Acetobacter")</f>
        <v>Acetobacter</v>
      </c>
      <c r="D7" t="str">
        <f>IFERROR(__xludf.DUMMYFUNCTION("""COMPUTED_VALUE"""),"pasteurianus")</f>
        <v>pasteurianus</v>
      </c>
      <c r="E7" t="str">
        <f>IFERROR(__xludf.DUMMYFUNCTION("""COMPUTED_VALUE"""),"IFO")</f>
        <v>IFO</v>
      </c>
      <c r="F7" s="11">
        <f>IFERROR(__xludf.DUMMYFUNCTION("""COMPUTED_VALUE"""),505192.0)</f>
        <v>505192</v>
      </c>
    </row>
    <row r="8">
      <c r="A8" t="str">
        <f t="shared" si="1"/>
        <v>A.pasteurianus</v>
      </c>
      <c r="B8" s="5" t="s">
        <v>23</v>
      </c>
      <c r="C8" s="6" t="str">
        <f>IFERROR(__xludf.DUMMYFUNCTION("SPLIT('2. c'!B8, "" "", True, True)"),"Acetobacter")</f>
        <v>Acetobacter</v>
      </c>
      <c r="D8" t="str">
        <f>IFERROR(__xludf.DUMMYFUNCTION("""COMPUTED_VALUE"""),"pasteurianus")</f>
        <v>pasteurianus</v>
      </c>
      <c r="E8" t="str">
        <f>IFERROR(__xludf.DUMMYFUNCTION("""COMPUTED_VALUE"""),"IFO")</f>
        <v>IFO</v>
      </c>
      <c r="F8" s="11">
        <f>IFERROR(__xludf.DUMMYFUNCTION("""COMPUTED_VALUE"""),505314.0)</f>
        <v>505314</v>
      </c>
    </row>
    <row r="9">
      <c r="A9" t="str">
        <f t="shared" si="1"/>
        <v>A.pasteurianus</v>
      </c>
      <c r="B9" s="5" t="s">
        <v>24</v>
      </c>
      <c r="C9" s="6" t="str">
        <f>IFERROR(__xludf.DUMMYFUNCTION("SPLIT('2. c'!B9, "" "", True, True)"),"Acetobacter")</f>
        <v>Acetobacter</v>
      </c>
      <c r="D9" t="str">
        <f>IFERROR(__xludf.DUMMYFUNCTION("""COMPUTED_VALUE"""),"pasteurianus")</f>
        <v>pasteurianus</v>
      </c>
      <c r="E9" t="str">
        <f>IFERROR(__xludf.DUMMYFUNCTION("""COMPUTED_VALUE"""),"IFO")</f>
        <v>IFO</v>
      </c>
      <c r="F9" s="12">
        <f>IFERROR(__xludf.DUMMYFUNCTION("""COMPUTED_VALUE"""),505467.0)</f>
        <v>505467</v>
      </c>
    </row>
    <row r="10">
      <c r="A10" t="str">
        <f t="shared" si="1"/>
        <v>A.pasteurianus</v>
      </c>
      <c r="B10" s="5" t="s">
        <v>25</v>
      </c>
      <c r="C10" s="6" t="str">
        <f>IFERROR(__xludf.DUMMYFUNCTION("SPLIT('2. c'!B10, "" "", True, True)"),"Acetobacter")</f>
        <v>Acetobacter</v>
      </c>
      <c r="D10" t="str">
        <f>IFERROR(__xludf.DUMMYFUNCTION("""COMPUTED_VALUE"""),"pasteurianus")</f>
        <v>pasteurianus</v>
      </c>
      <c r="E10" t="str">
        <f>IFERROR(__xludf.DUMMYFUNCTION("""COMPUTED_VALUE"""),"IFO")</f>
        <v>IFO</v>
      </c>
      <c r="F10" t="str">
        <f>IFERROR(__xludf.DUMMYFUNCTION("""COMPUTED_VALUE"""),"3283-22")</f>
        <v>3283-22</v>
      </c>
    </row>
    <row r="11">
      <c r="A11" t="str">
        <f t="shared" si="1"/>
        <v>A.pasteurianus</v>
      </c>
      <c r="B11" s="5" t="s">
        <v>26</v>
      </c>
      <c r="C11" s="6" t="str">
        <f>IFERROR(__xludf.DUMMYFUNCTION("SPLIT('2. c'!B11, "" "", True, True)"),"Acetobacter")</f>
        <v>Acetobacter</v>
      </c>
      <c r="D11" t="str">
        <f>IFERROR(__xludf.DUMMYFUNCTION("""COMPUTED_VALUE"""),"pasteurianus")</f>
        <v>pasteurianus</v>
      </c>
      <c r="E11" t="str">
        <f>IFERROR(__xludf.DUMMYFUNCTION("""COMPUTED_VALUE"""),"IFO")</f>
        <v>IFO</v>
      </c>
      <c r="F11" t="str">
        <f>IFERROR(__xludf.DUMMYFUNCTION("""COMPUTED_VALUE"""),"3283-26")</f>
        <v>3283-26</v>
      </c>
    </row>
    <row r="12">
      <c r="A12" t="str">
        <f t="shared" si="1"/>
        <v>A.pasteurianus</v>
      </c>
      <c r="B12" s="5" t="s">
        <v>27</v>
      </c>
      <c r="C12" s="6" t="str">
        <f>IFERROR(__xludf.DUMMYFUNCTION("SPLIT('2. c'!B12, "" "", True, True)"),"Acetobacter")</f>
        <v>Acetobacter</v>
      </c>
      <c r="D12" t="str">
        <f>IFERROR(__xludf.DUMMYFUNCTION("""COMPUTED_VALUE"""),"pasteurianus")</f>
        <v>pasteurianus</v>
      </c>
      <c r="E12" t="str">
        <f>IFERROR(__xludf.DUMMYFUNCTION("""COMPUTED_VALUE"""),"IFO")</f>
        <v>IFO</v>
      </c>
      <c r="F12" t="str">
        <f>IFERROR(__xludf.DUMMYFUNCTION("""COMPUTED_VALUE"""),"3283-32")</f>
        <v>3283-32</v>
      </c>
    </row>
    <row r="13">
      <c r="A13" t="str">
        <f t="shared" si="1"/>
        <v>A.pasteurianus</v>
      </c>
      <c r="B13" s="5" t="s">
        <v>28</v>
      </c>
      <c r="C13" s="6" t="str">
        <f>IFERROR(__xludf.DUMMYFUNCTION("SPLIT('2. c'!B13, "" "", True, True)"),"Acetobacter")</f>
        <v>Acetobacter</v>
      </c>
      <c r="D13" t="str">
        <f>IFERROR(__xludf.DUMMYFUNCTION("""COMPUTED_VALUE"""),"pasteurianus")</f>
        <v>pasteurianus</v>
      </c>
      <c r="E13" t="str">
        <f>IFERROR(__xludf.DUMMYFUNCTION("""COMPUTED_VALUE"""),"strain")</f>
        <v>strain</v>
      </c>
      <c r="F13" t="str">
        <f>IFERROR(__xludf.DUMMYFUNCTION("""COMPUTED_VALUE"""),"Ab3")</f>
        <v>Ab3</v>
      </c>
    </row>
    <row r="14">
      <c r="A14" t="str">
        <f t="shared" si="1"/>
        <v>A.senegalensis</v>
      </c>
      <c r="B14" s="5" t="s">
        <v>29</v>
      </c>
      <c r="C14" s="6" t="str">
        <f>IFERROR(__xludf.DUMMYFUNCTION("SPLIT('2. c'!B14, "" "", True, True)"),"Acetobacter")</f>
        <v>Acetobacter</v>
      </c>
      <c r="D14" t="str">
        <f>IFERROR(__xludf.DUMMYFUNCTION("""COMPUTED_VALUE"""),"senegalensis")</f>
        <v>senegalensis</v>
      </c>
      <c r="E14" t="str">
        <f>IFERROR(__xludf.DUMMYFUNCTION("""COMPUTED_VALUE"""),"strain")</f>
        <v>strain</v>
      </c>
      <c r="F14" t="str">
        <f>IFERROR(__xludf.DUMMYFUNCTION("""COMPUTED_VALUE"""),"108B")</f>
        <v>108B</v>
      </c>
    </row>
    <row r="15">
      <c r="A15" t="str">
        <f t="shared" si="1"/>
        <v>A.sp.</v>
      </c>
      <c r="B15" s="5" t="s">
        <v>30</v>
      </c>
      <c r="C15" s="6" t="str">
        <f>IFERROR(__xludf.DUMMYFUNCTION("SPLIT('2. c'!B15, "" "", True, True)"),"Acetobacter")</f>
        <v>Acetobacter</v>
      </c>
      <c r="D15" t="str">
        <f>IFERROR(__xludf.DUMMYFUNCTION("""COMPUTED_VALUE"""),"sp.")</f>
        <v>sp.</v>
      </c>
      <c r="E15" t="str">
        <f>IFERROR(__xludf.DUMMYFUNCTION("""COMPUTED_VALUE"""),"SLV-7")</f>
        <v>SLV-7</v>
      </c>
    </row>
    <row r="16">
      <c r="A16" t="str">
        <f t="shared" si="1"/>
        <v>A.woodii</v>
      </c>
      <c r="B16" s="5" t="s">
        <v>31</v>
      </c>
      <c r="C16" s="6" t="str">
        <f>IFERROR(__xludf.DUMMYFUNCTION("SPLIT('2. c'!B16, "" "", True, True)"),"Acetobacterium")</f>
        <v>Acetobacterium</v>
      </c>
      <c r="D16" t="str">
        <f>IFERROR(__xludf.DUMMYFUNCTION("""COMPUTED_VALUE"""),"woodii")</f>
        <v>woodii</v>
      </c>
      <c r="E16" t="str">
        <f>IFERROR(__xludf.DUMMYFUNCTION("""COMPUTED_VALUE"""),"DSM")</f>
        <v>DSM</v>
      </c>
      <c r="F16">
        <f>IFERROR(__xludf.DUMMYFUNCTION("""COMPUTED_VALUE"""),1030.0)</f>
        <v>1030</v>
      </c>
    </row>
    <row r="17">
      <c r="A17" t="str">
        <f t="shared" si="1"/>
        <v>A.arabaticum</v>
      </c>
      <c r="B17" s="5" t="s">
        <v>32</v>
      </c>
      <c r="C17" s="6" t="str">
        <f>IFERROR(__xludf.DUMMYFUNCTION("SPLIT('2. c'!B17, "" "", True, True)"),"Acetohalobium")</f>
        <v>Acetohalobium</v>
      </c>
      <c r="D17" t="str">
        <f>IFERROR(__xludf.DUMMYFUNCTION("""COMPUTED_VALUE"""),"arabaticum")</f>
        <v>arabaticum</v>
      </c>
      <c r="E17" t="str">
        <f>IFERROR(__xludf.DUMMYFUNCTION("""COMPUTED_VALUE"""),"DSM")</f>
        <v>DSM</v>
      </c>
      <c r="F17">
        <f>IFERROR(__xludf.DUMMYFUNCTION("""COMPUTED_VALUE"""),5501.0)</f>
        <v>5501</v>
      </c>
    </row>
    <row r="18">
      <c r="A18" t="str">
        <f t="shared" si="1"/>
        <v>A.brassicae</v>
      </c>
      <c r="B18" s="5" t="s">
        <v>33</v>
      </c>
      <c r="C18" s="6" t="str">
        <f>IFERROR(__xludf.DUMMYFUNCTION("SPLIT('2. c'!B18, "" "", True, True)"),"Acholeplasma")</f>
        <v>Acholeplasma</v>
      </c>
      <c r="D18" t="str">
        <f>IFERROR(__xludf.DUMMYFUNCTION("""COMPUTED_VALUE"""),"brassicae")</f>
        <v>brassicae</v>
      </c>
      <c r="E18" t="str">
        <f>IFERROR(__xludf.DUMMYFUNCTION("""COMPUTED_VALUE"""),"strain")</f>
        <v>strain</v>
      </c>
      <c r="F18">
        <f>IFERROR(__xludf.DUMMYFUNCTION("""COMPUTED_VALUE"""),502.0)</f>
        <v>502</v>
      </c>
    </row>
    <row r="19">
      <c r="A19" t="str">
        <f t="shared" si="1"/>
        <v>A.laidlawii</v>
      </c>
      <c r="B19" s="5" t="s">
        <v>34</v>
      </c>
      <c r="C19" s="6" t="str">
        <f>IFERROR(__xludf.DUMMYFUNCTION("SPLIT('2. c'!B19, "" "", True, True)"),"Acholeplasma")</f>
        <v>Acholeplasma</v>
      </c>
      <c r="D19" t="str">
        <f>IFERROR(__xludf.DUMMYFUNCTION("""COMPUTED_VALUE"""),"laidlawii")</f>
        <v>laidlawii</v>
      </c>
      <c r="E19" t="str">
        <f>IFERROR(__xludf.DUMMYFUNCTION("""COMPUTED_VALUE"""),"PG-8A")</f>
        <v>PG-8A</v>
      </c>
    </row>
    <row r="20">
      <c r="A20" t="str">
        <f t="shared" si="1"/>
        <v>A.oculi</v>
      </c>
      <c r="B20" s="5" t="s">
        <v>35</v>
      </c>
      <c r="C20" s="6" t="str">
        <f>IFERROR(__xludf.DUMMYFUNCTION("SPLIT('2. c'!B20, "" "", True, True)"),"Acholeplasma")</f>
        <v>Acholeplasma</v>
      </c>
      <c r="D20" t="str">
        <f>IFERROR(__xludf.DUMMYFUNCTION("""COMPUTED_VALUE"""),"oculi")</f>
        <v>oculi</v>
      </c>
    </row>
    <row r="21" ht="15.75" customHeight="1">
      <c r="A21" t="str">
        <f t="shared" si="1"/>
        <v>A.palmae</v>
      </c>
      <c r="B21" s="5" t="s">
        <v>36</v>
      </c>
      <c r="C21" s="6" t="str">
        <f>IFERROR(__xludf.DUMMYFUNCTION("SPLIT('2. c'!B21, "" "", True, True)"),"Acholeplasma")</f>
        <v>Acholeplasma</v>
      </c>
      <c r="D21" t="str">
        <f>IFERROR(__xludf.DUMMYFUNCTION("""COMPUTED_VALUE"""),"palmae")</f>
        <v>palmae</v>
      </c>
      <c r="E21" t="str">
        <f>IFERROR(__xludf.DUMMYFUNCTION("""COMPUTED_VALUE"""),"J233")</f>
        <v>J233</v>
      </c>
    </row>
    <row r="22" ht="15.75" customHeight="1">
      <c r="A22" t="str">
        <f t="shared" si="1"/>
        <v>A.denitrificans</v>
      </c>
      <c r="B22" s="5" t="s">
        <v>37</v>
      </c>
      <c r="C22" s="6" t="str">
        <f>IFERROR(__xludf.DUMMYFUNCTION("SPLIT('2. c'!B22, "" "", True, True)"),"Achromobacter")</f>
        <v>Achromobacter</v>
      </c>
      <c r="D22" t="str">
        <f>IFERROR(__xludf.DUMMYFUNCTION("""COMPUTED_VALUE"""),"denitrificans")</f>
        <v>denitrificans</v>
      </c>
      <c r="E22" t="str">
        <f>IFERROR(__xludf.DUMMYFUNCTION("""COMPUTED_VALUE"""),"strain")</f>
        <v>strain</v>
      </c>
      <c r="F22" t="str">
        <f>IFERROR(__xludf.DUMMYFUNCTION("""COMPUTED_VALUE"""),"USDA-ARS-USMARC-56712")</f>
        <v>USDA-ARS-USMARC-56712</v>
      </c>
    </row>
    <row r="23" ht="15.75" customHeight="1">
      <c r="A23" t="str">
        <f t="shared" si="1"/>
        <v>A.xylosoxidans</v>
      </c>
      <c r="B23" s="5" t="s">
        <v>38</v>
      </c>
      <c r="C23" s="6" t="str">
        <f>IFERROR(__xludf.DUMMYFUNCTION("SPLIT('2. c'!B23, "" "", True, True)"),"Achromobacter")</f>
        <v>Achromobacter</v>
      </c>
      <c r="D23" t="str">
        <f>IFERROR(__xludf.DUMMYFUNCTION("""COMPUTED_VALUE"""),"xylosoxidans")</f>
        <v>xylosoxidans</v>
      </c>
      <c r="E23" t="str">
        <f>IFERROR(__xludf.DUMMYFUNCTION("""COMPUTED_VALUE"""),"A8")</f>
        <v>A8</v>
      </c>
    </row>
    <row r="24" ht="15.75" customHeight="1">
      <c r="A24" t="str">
        <f t="shared" si="1"/>
        <v>A.xylosoxidans</v>
      </c>
      <c r="B24" s="5" t="s">
        <v>39</v>
      </c>
      <c r="C24" s="6" t="str">
        <f>IFERROR(__xludf.DUMMYFUNCTION("SPLIT('2. c'!B24, "" "", True, True)"),"Achromobacter")</f>
        <v>Achromobacter</v>
      </c>
      <c r="D24" t="str">
        <f>IFERROR(__xludf.DUMMYFUNCTION("""COMPUTED_VALUE"""),"xylosoxidans")</f>
        <v>xylosoxidans</v>
      </c>
      <c r="E24" t="str">
        <f>IFERROR(__xludf.DUMMYFUNCTION("""COMPUTED_VALUE"""),"C54")</f>
        <v>C54</v>
      </c>
    </row>
    <row r="25" ht="15.75" customHeight="1">
      <c r="A25" t="str">
        <f t="shared" si="1"/>
        <v>A.xylosoxidans</v>
      </c>
      <c r="B25" s="5" t="s">
        <v>40</v>
      </c>
      <c r="C25" s="6" t="str">
        <f>IFERROR(__xludf.DUMMYFUNCTION("SPLIT('2. c'!B25, "" "", True, True)"),"Achromobacter")</f>
        <v>Achromobacter</v>
      </c>
      <c r="D25" t="str">
        <f>IFERROR(__xludf.DUMMYFUNCTION("""COMPUTED_VALUE"""),"xylosoxidans")</f>
        <v>xylosoxidans</v>
      </c>
      <c r="E25" t="str">
        <f>IFERROR(__xludf.DUMMYFUNCTION("""COMPUTED_VALUE"""),"NBRC")</f>
        <v>NBRC</v>
      </c>
      <c r="F25">
        <f>IFERROR(__xludf.DUMMYFUNCTION("""COMPUTED_VALUE"""),15126.0)</f>
        <v>15126</v>
      </c>
      <c r="G25" t="str">
        <f>IFERROR(__xludf.DUMMYFUNCTION("""COMPUTED_VALUE"""),"=")</f>
        <v>=</v>
      </c>
      <c r="H25" t="str">
        <f>IFERROR(__xludf.DUMMYFUNCTION("""COMPUTED_VALUE"""),"ATCC")</f>
        <v>ATCC</v>
      </c>
      <c r="I25">
        <f>IFERROR(__xludf.DUMMYFUNCTION("""COMPUTED_VALUE"""),27061.0)</f>
        <v>27061</v>
      </c>
    </row>
    <row r="26" ht="15.75" customHeight="1">
      <c r="A26" t="str">
        <f t="shared" si="1"/>
        <v>A.xylosoxidans</v>
      </c>
      <c r="B26" s="5" t="s">
        <v>41</v>
      </c>
      <c r="C26" s="6" t="str">
        <f>IFERROR(__xludf.DUMMYFUNCTION("SPLIT('2. c'!B26, "" "", True, True)"),"Achromobacter")</f>
        <v>Achromobacter</v>
      </c>
      <c r="D26" t="str">
        <f>IFERROR(__xludf.DUMMYFUNCTION("""COMPUTED_VALUE"""),"xylosoxidans")</f>
        <v>xylosoxidans</v>
      </c>
      <c r="E26" t="str">
        <f>IFERROR(__xludf.DUMMYFUNCTION("""COMPUTED_VALUE"""),"NH44784-1996")</f>
        <v>NH44784-1996</v>
      </c>
    </row>
    <row r="27" ht="15.75" customHeight="1">
      <c r="A27" t="str">
        <f t="shared" si="1"/>
        <v>A.xylosoxidans</v>
      </c>
      <c r="B27" s="5" t="s">
        <v>42</v>
      </c>
      <c r="C27" s="6" t="str">
        <f>IFERROR(__xludf.DUMMYFUNCTION("SPLIT('2. c'!B27, "" "", True, True)"),"Achromobacter")</f>
        <v>Achromobacter</v>
      </c>
      <c r="D27" t="str">
        <f>IFERROR(__xludf.DUMMYFUNCTION("""COMPUTED_VALUE"""),"xylosoxidans")</f>
        <v>xylosoxidans</v>
      </c>
      <c r="E27" t="str">
        <f>IFERROR(__xludf.DUMMYFUNCTION("""COMPUTED_VALUE"""),"strain")</f>
        <v>strain</v>
      </c>
      <c r="F27" t="str">
        <f>IFERROR(__xludf.DUMMYFUNCTION("""COMPUTED_VALUE"""),"FDAARGOS_147")</f>
        <v>FDAARGOS_147</v>
      </c>
    </row>
    <row r="28" ht="15.75" customHeight="1">
      <c r="A28" t="str">
        <f t="shared" si="1"/>
        <v>A.xylosoxidans</v>
      </c>
      <c r="B28" s="5" t="s">
        <v>43</v>
      </c>
      <c r="C28" s="6" t="str">
        <f>IFERROR(__xludf.DUMMYFUNCTION("SPLIT('2. c'!B28, "" "", True, True)"),"Achromobacter")</f>
        <v>Achromobacter</v>
      </c>
      <c r="D28" t="str">
        <f>IFERROR(__xludf.DUMMYFUNCTION("""COMPUTED_VALUE"""),"xylosoxidans")</f>
        <v>xylosoxidans</v>
      </c>
      <c r="E28" t="str">
        <f>IFERROR(__xludf.DUMMYFUNCTION("""COMPUTED_VALUE"""),"strain")</f>
        <v>strain</v>
      </c>
      <c r="F28" t="str">
        <f>IFERROR(__xludf.DUMMYFUNCTION("""COMPUTED_VALUE"""),"FDAARGOS_150")</f>
        <v>FDAARGOS_150</v>
      </c>
    </row>
    <row r="29" ht="15.75" customHeight="1">
      <c r="A29" t="str">
        <f t="shared" si="1"/>
        <v>A.xylosoxidans</v>
      </c>
      <c r="B29" s="5" t="s">
        <v>44</v>
      </c>
      <c r="C29" s="6" t="str">
        <f>IFERROR(__xludf.DUMMYFUNCTION("SPLIT('2. c'!B29, "" "", True, True)"),"Achromobacter")</f>
        <v>Achromobacter</v>
      </c>
      <c r="D29" t="str">
        <f>IFERROR(__xludf.DUMMYFUNCTION("""COMPUTED_VALUE"""),"xylosoxidans")</f>
        <v>xylosoxidans</v>
      </c>
      <c r="E29" t="str">
        <f>IFERROR(__xludf.DUMMYFUNCTION("""COMPUTED_VALUE"""),"strain")</f>
        <v>strain</v>
      </c>
      <c r="F29" t="str">
        <f>IFERROR(__xludf.DUMMYFUNCTION("""COMPUTED_VALUE"""),"FDAARGOS_162")</f>
        <v>FDAARGOS_162</v>
      </c>
    </row>
    <row r="30" ht="15.75" customHeight="1">
      <c r="A30" t="str">
        <f t="shared" si="1"/>
        <v>A.xylosoxidans</v>
      </c>
      <c r="B30" s="5" t="s">
        <v>45</v>
      </c>
      <c r="C30" s="6" t="str">
        <f>IFERROR(__xludf.DUMMYFUNCTION("SPLIT('2. c'!B30, "" "", True, True)"),"Achromobacter")</f>
        <v>Achromobacter</v>
      </c>
      <c r="D30" t="str">
        <f>IFERROR(__xludf.DUMMYFUNCTION("""COMPUTED_VALUE"""),"xylosoxidans")</f>
        <v>xylosoxidans</v>
      </c>
      <c r="E30" t="str">
        <f>IFERROR(__xludf.DUMMYFUNCTION("""COMPUTED_VALUE"""),"strain")</f>
        <v>strain</v>
      </c>
      <c r="F30" t="str">
        <f>IFERROR(__xludf.DUMMYFUNCTION("""COMPUTED_VALUE"""),"MN001")</f>
        <v>MN001</v>
      </c>
    </row>
    <row r="31" ht="15.75" customHeight="1">
      <c r="A31" t="str">
        <f t="shared" si="1"/>
        <v>A.xylosoxidans</v>
      </c>
      <c r="B31" s="5" t="s">
        <v>46</v>
      </c>
      <c r="C31" s="6" t="str">
        <f>IFERROR(__xludf.DUMMYFUNCTION("SPLIT('2. c'!B31, "" "", True, True)"),"Achromobacter")</f>
        <v>Achromobacter</v>
      </c>
      <c r="D31" t="str">
        <f>IFERROR(__xludf.DUMMYFUNCTION("""COMPUTED_VALUE"""),"xylosoxidans")</f>
        <v>xylosoxidans</v>
      </c>
      <c r="E31" t="str">
        <f>IFERROR(__xludf.DUMMYFUNCTION("""COMPUTED_VALUE"""),"strain")</f>
        <v>strain</v>
      </c>
      <c r="F31" t="str">
        <f>IFERROR(__xludf.DUMMYFUNCTION("""COMPUTED_VALUE"""),"NCTC10807")</f>
        <v>NCTC10807</v>
      </c>
    </row>
    <row r="32" ht="15.75" customHeight="1">
      <c r="A32" t="str">
        <f t="shared" si="1"/>
        <v>A.fermentans</v>
      </c>
      <c r="B32" s="5" t="s">
        <v>47</v>
      </c>
      <c r="C32" s="6" t="str">
        <f>IFERROR(__xludf.DUMMYFUNCTION("SPLIT('2. c'!B32, "" "", True, True)"),"Acidaminococcus")</f>
        <v>Acidaminococcus</v>
      </c>
      <c r="D32" t="str">
        <f>IFERROR(__xludf.DUMMYFUNCTION("""COMPUTED_VALUE"""),"fermentans")</f>
        <v>fermentans</v>
      </c>
      <c r="E32" t="str">
        <f>IFERROR(__xludf.DUMMYFUNCTION("""COMPUTED_VALUE"""),"DSM")</f>
        <v>DSM</v>
      </c>
      <c r="F32">
        <f>IFERROR(__xludf.DUMMYFUNCTION("""COMPUTED_VALUE"""),20731.0)</f>
        <v>20731</v>
      </c>
    </row>
    <row r="33" ht="15.75" customHeight="1">
      <c r="A33" t="str">
        <f t="shared" si="1"/>
        <v>A.intestini</v>
      </c>
      <c r="B33" s="5" t="s">
        <v>48</v>
      </c>
      <c r="C33" s="6" t="str">
        <f>IFERROR(__xludf.DUMMYFUNCTION("SPLIT('2. c'!B33, "" "", True, True)"),"Acidaminococcus")</f>
        <v>Acidaminococcus</v>
      </c>
      <c r="D33" t="str">
        <f>IFERROR(__xludf.DUMMYFUNCTION("""COMPUTED_VALUE"""),"intestini")</f>
        <v>intestini</v>
      </c>
      <c r="E33" t="str">
        <f>IFERROR(__xludf.DUMMYFUNCTION("""COMPUTED_VALUE"""),"RyC-MR95")</f>
        <v>RyC-MR95</v>
      </c>
    </row>
    <row r="34" ht="15.75" customHeight="1">
      <c r="A34" t="str">
        <f t="shared" si="1"/>
        <v>A.hospitalis</v>
      </c>
      <c r="B34" s="5" t="s">
        <v>49</v>
      </c>
      <c r="C34" s="6" t="str">
        <f>IFERROR(__xludf.DUMMYFUNCTION("SPLIT('2. c'!B34, "" "", True, True)"),"Acidianus")</f>
        <v>Acidianus</v>
      </c>
      <c r="D34" t="str">
        <f>IFERROR(__xludf.DUMMYFUNCTION("""COMPUTED_VALUE"""),"hospitalis")</f>
        <v>hospitalis</v>
      </c>
      <c r="E34" t="str">
        <f>IFERROR(__xludf.DUMMYFUNCTION("""COMPUTED_VALUE"""),"W1")</f>
        <v>W1</v>
      </c>
    </row>
    <row r="35" ht="15.75" customHeight="1">
      <c r="A35" t="str">
        <f t="shared" si="1"/>
        <v>A.saccharovorans</v>
      </c>
      <c r="B35" s="5" t="s">
        <v>50</v>
      </c>
      <c r="C35" s="6" t="str">
        <f>IFERROR(__xludf.DUMMYFUNCTION("SPLIT('2. c'!B35, "" "", True, True)"),"Acidilobus")</f>
        <v>Acidilobus</v>
      </c>
      <c r="D35" t="str">
        <f>IFERROR(__xludf.DUMMYFUNCTION("""COMPUTED_VALUE"""),"saccharovorans")</f>
        <v>saccharovorans</v>
      </c>
      <c r="E35" t="str">
        <f>IFERROR(__xludf.DUMMYFUNCTION("""COMPUTED_VALUE"""),"345-15")</f>
        <v>345-15</v>
      </c>
    </row>
    <row r="36" ht="15.75" customHeight="1">
      <c r="A36" t="str">
        <f t="shared" si="1"/>
        <v>A.ferrooxidans</v>
      </c>
      <c r="B36" s="5" t="s">
        <v>51</v>
      </c>
      <c r="C36" s="6" t="str">
        <f>IFERROR(__xludf.DUMMYFUNCTION("SPLIT('2. c'!B36, "" "", True, True)"),"Acidimicrobium")</f>
        <v>Acidimicrobium</v>
      </c>
      <c r="D36" t="str">
        <f>IFERROR(__xludf.DUMMYFUNCTION("""COMPUTED_VALUE"""),"ferrooxidans")</f>
        <v>ferrooxidans</v>
      </c>
      <c r="E36" t="str">
        <f>IFERROR(__xludf.DUMMYFUNCTION("""COMPUTED_VALUE"""),"DSM")</f>
        <v>DSM</v>
      </c>
      <c r="F36">
        <f>IFERROR(__xludf.DUMMYFUNCTION("""COMPUTED_VALUE"""),10331.0)</f>
        <v>10331</v>
      </c>
    </row>
    <row r="37" ht="15.75" customHeight="1">
      <c r="A37" t="str">
        <f t="shared" si="1"/>
        <v>A.cryptum</v>
      </c>
      <c r="B37" s="5" t="s">
        <v>52</v>
      </c>
      <c r="C37" s="6" t="str">
        <f>IFERROR(__xludf.DUMMYFUNCTION("SPLIT('2. c'!B37, "" "", True, True)"),"Acidiphilium")</f>
        <v>Acidiphilium</v>
      </c>
      <c r="D37" t="str">
        <f>IFERROR(__xludf.DUMMYFUNCTION("""COMPUTED_VALUE"""),"cryptum")</f>
        <v>cryptum</v>
      </c>
      <c r="E37" t="str">
        <f>IFERROR(__xludf.DUMMYFUNCTION("""COMPUTED_VALUE"""),"JF-5")</f>
        <v>JF-5</v>
      </c>
    </row>
    <row r="38" ht="15.75" customHeight="1">
      <c r="A38" t="str">
        <f t="shared" si="1"/>
        <v>A.multivorum</v>
      </c>
      <c r="B38" s="5" t="s">
        <v>53</v>
      </c>
      <c r="C38" s="6" t="str">
        <f>IFERROR(__xludf.DUMMYFUNCTION("SPLIT('2. c'!B38, "" "", True, True)"),"Acidiphilium")</f>
        <v>Acidiphilium</v>
      </c>
      <c r="D38" t="str">
        <f>IFERROR(__xludf.DUMMYFUNCTION("""COMPUTED_VALUE"""),"multivorum")</f>
        <v>multivorum</v>
      </c>
      <c r="E38" t="str">
        <f>IFERROR(__xludf.DUMMYFUNCTION("""COMPUTED_VALUE"""),"AIU301")</f>
        <v>AIU301</v>
      </c>
    </row>
    <row r="39" ht="15.75" customHeight="1">
      <c r="A39" t="str">
        <f t="shared" si="1"/>
        <v>A.caldus</v>
      </c>
      <c r="B39" s="5" t="s">
        <v>54</v>
      </c>
      <c r="C39" s="6" t="str">
        <f>IFERROR(__xludf.DUMMYFUNCTION("SPLIT('2. c'!B39, "" "", True, True)"),"Acidithiobacillus")</f>
        <v>Acidithiobacillus</v>
      </c>
      <c r="D39" t="str">
        <f>IFERROR(__xludf.DUMMYFUNCTION("""COMPUTED_VALUE"""),"caldus")</f>
        <v>caldus</v>
      </c>
      <c r="E39" t="str">
        <f>IFERROR(__xludf.DUMMYFUNCTION("""COMPUTED_VALUE"""),"SM-1")</f>
        <v>SM-1</v>
      </c>
    </row>
    <row r="40" ht="15.75" customHeight="1">
      <c r="A40" t="str">
        <f t="shared" si="1"/>
        <v>A.ferrooxidans</v>
      </c>
      <c r="B40" s="5" t="s">
        <v>55</v>
      </c>
      <c r="C40" s="6" t="str">
        <f>IFERROR(__xludf.DUMMYFUNCTION("SPLIT('2. c'!B40, "" "", True, True)"),"Acidithiobacillus")</f>
        <v>Acidithiobacillus</v>
      </c>
      <c r="D40" t="str">
        <f>IFERROR(__xludf.DUMMYFUNCTION("""COMPUTED_VALUE"""),"ferrooxidans")</f>
        <v>ferrooxidans</v>
      </c>
      <c r="E40" t="str">
        <f>IFERROR(__xludf.DUMMYFUNCTION("""COMPUTED_VALUE"""),"ATCC")</f>
        <v>ATCC</v>
      </c>
      <c r="F40">
        <f>IFERROR(__xludf.DUMMYFUNCTION("""COMPUTED_VALUE"""),23270.0)</f>
        <v>23270</v>
      </c>
    </row>
    <row r="41" ht="15.75" customHeight="1">
      <c r="A41" t="str">
        <f t="shared" si="1"/>
        <v>A.ferrooxidans</v>
      </c>
      <c r="B41" s="5" t="s">
        <v>56</v>
      </c>
      <c r="C41" s="6" t="str">
        <f>IFERROR(__xludf.DUMMYFUNCTION("SPLIT('2. c'!B41, "" "", True, True)"),"Acidithiobacillus")</f>
        <v>Acidithiobacillus</v>
      </c>
      <c r="D41" t="str">
        <f>IFERROR(__xludf.DUMMYFUNCTION("""COMPUTED_VALUE"""),"ferrooxidans")</f>
        <v>ferrooxidans</v>
      </c>
      <c r="E41" t="str">
        <f>IFERROR(__xludf.DUMMYFUNCTION("""COMPUTED_VALUE"""),"ATCC")</f>
        <v>ATCC</v>
      </c>
      <c r="F41">
        <f>IFERROR(__xludf.DUMMYFUNCTION("""COMPUTED_VALUE"""),53993.0)</f>
        <v>53993</v>
      </c>
    </row>
    <row r="42" ht="15.75" customHeight="1">
      <c r="A42" t="str">
        <f t="shared" si="1"/>
        <v>A.bacterium</v>
      </c>
      <c r="B42" s="5" t="s">
        <v>57</v>
      </c>
      <c r="C42" s="6" t="str">
        <f>IFERROR(__xludf.DUMMYFUNCTION("SPLIT('2. c'!B42, "" "", True, True)"),"Acidobacteria")</f>
        <v>Acidobacteria</v>
      </c>
      <c r="D42" t="str">
        <f>IFERROR(__xludf.DUMMYFUNCTION("""COMPUTED_VALUE"""),"bacterium")</f>
        <v>bacterium</v>
      </c>
      <c r="E42" t="str">
        <f>IFERROR(__xludf.DUMMYFUNCTION("""COMPUTED_VALUE"""),"DSM")</f>
        <v>DSM</v>
      </c>
      <c r="F42">
        <f>IFERROR(__xludf.DUMMYFUNCTION("""COMPUTED_VALUE"""),100886.0)</f>
        <v>100886</v>
      </c>
    </row>
    <row r="43" ht="15.75" customHeight="1">
      <c r="A43" t="str">
        <f t="shared" si="1"/>
        <v>A.bacterium</v>
      </c>
      <c r="B43" s="5" t="s">
        <v>58</v>
      </c>
      <c r="C43" s="6" t="str">
        <f>IFERROR(__xludf.DUMMYFUNCTION("SPLIT('2. c'!B43, "" "", True, True)"),"Acidobacteria")</f>
        <v>Acidobacteria</v>
      </c>
      <c r="D43" t="str">
        <f>IFERROR(__xludf.DUMMYFUNCTION("""COMPUTED_VALUE"""),"bacterium")</f>
        <v>bacterium</v>
      </c>
      <c r="E43" t="str">
        <f>IFERROR(__xludf.DUMMYFUNCTION("""COMPUTED_VALUE"""),"Mor1")</f>
        <v>Mor1</v>
      </c>
    </row>
    <row r="44" ht="15.75" customHeight="1">
      <c r="A44" t="str">
        <f t="shared" si="1"/>
        <v>A.capsulatum</v>
      </c>
      <c r="B44" s="5" t="s">
        <v>59</v>
      </c>
      <c r="C44" s="6" t="str">
        <f>IFERROR(__xludf.DUMMYFUNCTION("SPLIT('2. c'!B44, "" "", True, True)"),"Acidobacterium")</f>
        <v>Acidobacterium</v>
      </c>
      <c r="D44" t="str">
        <f>IFERROR(__xludf.DUMMYFUNCTION("""COMPUTED_VALUE"""),"capsulatum")</f>
        <v>capsulatum</v>
      </c>
      <c r="E44" t="str">
        <f>IFERROR(__xludf.DUMMYFUNCTION("""COMPUTED_VALUE"""),"ATCC")</f>
        <v>ATCC</v>
      </c>
      <c r="F44">
        <f>IFERROR(__xludf.DUMMYFUNCTION("""COMPUTED_VALUE"""),51196.0)</f>
        <v>51196</v>
      </c>
    </row>
    <row r="45" ht="15.75" customHeight="1">
      <c r="A45" t="str">
        <f t="shared" si="1"/>
        <v>A.cellulolyticus</v>
      </c>
      <c r="B45" s="5" t="s">
        <v>60</v>
      </c>
      <c r="C45" s="6" t="str">
        <f>IFERROR(__xludf.DUMMYFUNCTION("SPLIT('2. c'!B45, "" "", True, True)"),"Acidothermus")</f>
        <v>Acidothermus</v>
      </c>
      <c r="D45" t="str">
        <f>IFERROR(__xludf.DUMMYFUNCTION("""COMPUTED_VALUE"""),"cellulolyticus")</f>
        <v>cellulolyticus</v>
      </c>
      <c r="E45" t="str">
        <f>IFERROR(__xludf.DUMMYFUNCTION("""COMPUTED_VALUE"""),"11B")</f>
        <v>11B</v>
      </c>
    </row>
    <row r="46" ht="15.75" customHeight="1">
      <c r="A46" t="str">
        <f t="shared" si="1"/>
        <v>A.avenae</v>
      </c>
      <c r="B46" s="5" t="s">
        <v>61</v>
      </c>
      <c r="C46" s="6" t="str">
        <f>IFERROR(__xludf.DUMMYFUNCTION("SPLIT('2. c'!B46, "" "", True, True)"),"Acidovorax")</f>
        <v>Acidovorax</v>
      </c>
      <c r="D46" t="str">
        <f>IFERROR(__xludf.DUMMYFUNCTION("""COMPUTED_VALUE"""),"avenae")</f>
        <v>avenae</v>
      </c>
      <c r="E46" t="str">
        <f>IFERROR(__xludf.DUMMYFUNCTION("""COMPUTED_VALUE"""),"subsp.")</f>
        <v>subsp.</v>
      </c>
      <c r="F46" t="str">
        <f>IFERROR(__xludf.DUMMYFUNCTION("""COMPUTED_VALUE"""),"avenae")</f>
        <v>avenae</v>
      </c>
      <c r="G46" t="str">
        <f>IFERROR(__xludf.DUMMYFUNCTION("""COMPUTED_VALUE"""),"ATCC")</f>
        <v>ATCC</v>
      </c>
      <c r="H46">
        <f>IFERROR(__xludf.DUMMYFUNCTION("""COMPUTED_VALUE"""),19860.0)</f>
        <v>19860</v>
      </c>
    </row>
    <row r="47" ht="15.75" customHeight="1">
      <c r="A47" t="str">
        <f t="shared" si="1"/>
        <v>A.citrulli</v>
      </c>
      <c r="B47" s="5" t="s">
        <v>62</v>
      </c>
      <c r="C47" s="6" t="str">
        <f>IFERROR(__xludf.DUMMYFUNCTION("SPLIT('2. c'!B47, "" "", True, True)"),"Acidovorax")</f>
        <v>Acidovorax</v>
      </c>
      <c r="D47" t="str">
        <f>IFERROR(__xludf.DUMMYFUNCTION("""COMPUTED_VALUE"""),"citrulli")</f>
        <v>citrulli</v>
      </c>
      <c r="E47" t="str">
        <f>IFERROR(__xludf.DUMMYFUNCTION("""COMPUTED_VALUE"""),"AAC00-1")</f>
        <v>AAC00-1</v>
      </c>
    </row>
    <row r="48" ht="15.75" customHeight="1">
      <c r="A48" t="str">
        <f t="shared" si="1"/>
        <v>A.ebreus</v>
      </c>
      <c r="B48" s="5" t="s">
        <v>63</v>
      </c>
      <c r="C48" s="6" t="str">
        <f>IFERROR(__xludf.DUMMYFUNCTION("SPLIT('2. c'!B48, "" "", True, True)"),"Acidovorax")</f>
        <v>Acidovorax</v>
      </c>
      <c r="D48" t="str">
        <f>IFERROR(__xludf.DUMMYFUNCTION("""COMPUTED_VALUE"""),"ebreus")</f>
        <v>ebreus</v>
      </c>
      <c r="E48" t="str">
        <f>IFERROR(__xludf.DUMMYFUNCTION("""COMPUTED_VALUE"""),"TPSY")</f>
        <v>TPSY</v>
      </c>
    </row>
    <row r="49" ht="15.75" customHeight="1">
      <c r="A49" t="str">
        <f t="shared" si="1"/>
        <v>A.sp.</v>
      </c>
      <c r="B49" s="5" t="s">
        <v>64</v>
      </c>
      <c r="C49" s="6" t="str">
        <f>IFERROR(__xludf.DUMMYFUNCTION("SPLIT('2. c'!B49, "" "", True, True)"),"Acidovorax")</f>
        <v>Acidovorax</v>
      </c>
      <c r="D49" t="str">
        <f>IFERROR(__xludf.DUMMYFUNCTION("""COMPUTED_VALUE"""),"sp.")</f>
        <v>sp.</v>
      </c>
      <c r="E49" t="str">
        <f>IFERROR(__xludf.DUMMYFUNCTION("""COMPUTED_VALUE"""),"JS42")</f>
        <v>JS42</v>
      </c>
    </row>
    <row r="50" ht="15.75" customHeight="1">
      <c r="A50" t="str">
        <f t="shared" si="1"/>
        <v>A.sp.</v>
      </c>
      <c r="B50" s="5" t="s">
        <v>65</v>
      </c>
      <c r="C50" s="6" t="str">
        <f>IFERROR(__xludf.DUMMYFUNCTION("SPLIT('2. c'!B50, "" "", True, True)"),"Acidovorax")</f>
        <v>Acidovorax</v>
      </c>
      <c r="D50" t="str">
        <f>IFERROR(__xludf.DUMMYFUNCTION("""COMPUTED_VALUE"""),"sp.")</f>
        <v>sp.</v>
      </c>
      <c r="E50" t="str">
        <f>IFERROR(__xludf.DUMMYFUNCTION("""COMPUTED_VALUE"""),"KKS102")</f>
        <v>KKS102</v>
      </c>
    </row>
    <row r="51" ht="15.75" customHeight="1">
      <c r="A51" t="str">
        <f t="shared" si="1"/>
        <v>A.boonei</v>
      </c>
      <c r="B51" s="5" t="s">
        <v>66</v>
      </c>
      <c r="C51" s="6" t="str">
        <f>IFERROR(__xludf.DUMMYFUNCTION("SPLIT('2. c'!B51, "" "", True, True)"),"Aciduliprofundum")</f>
        <v>Aciduliprofundum</v>
      </c>
      <c r="D51" t="str">
        <f>IFERROR(__xludf.DUMMYFUNCTION("""COMPUTED_VALUE"""),"boonei")</f>
        <v>boonei</v>
      </c>
      <c r="E51" t="str">
        <f>IFERROR(__xludf.DUMMYFUNCTION("""COMPUTED_VALUE"""),"T469")</f>
        <v>T469</v>
      </c>
    </row>
    <row r="52" ht="15.75" customHeight="1">
      <c r="A52" t="str">
        <f t="shared" si="1"/>
        <v>A.sp.</v>
      </c>
      <c r="B52" s="5" t="s">
        <v>67</v>
      </c>
      <c r="C52" s="6" t="str">
        <f>IFERROR(__xludf.DUMMYFUNCTION("SPLIT('2. c'!B52, "" "", True, True)"),"Aciduliprofundum")</f>
        <v>Aciduliprofundum</v>
      </c>
      <c r="D52" t="str">
        <f>IFERROR(__xludf.DUMMYFUNCTION("""COMPUTED_VALUE"""),"sp.")</f>
        <v>sp.</v>
      </c>
      <c r="E52" t="str">
        <f>IFERROR(__xludf.DUMMYFUNCTION("""COMPUTED_VALUE"""),"MAR08-339")</f>
        <v>MAR08-339</v>
      </c>
    </row>
    <row r="53" ht="15.75" customHeight="1">
      <c r="A53" t="str">
        <f t="shared" si="1"/>
        <v>A.baumannii</v>
      </c>
      <c r="B53" s="5" t="s">
        <v>68</v>
      </c>
      <c r="C53" s="6" t="str">
        <f>IFERROR(__xludf.DUMMYFUNCTION("SPLIT('2. c'!B53, "" "", True, True)"),"Acinetobacter")</f>
        <v>Acinetobacter</v>
      </c>
      <c r="D53" t="str">
        <f>IFERROR(__xludf.DUMMYFUNCTION("""COMPUTED_VALUE"""),"baumannii")</f>
        <v>baumannii</v>
      </c>
    </row>
    <row r="54" ht="15.75" customHeight="1">
      <c r="A54" t="str">
        <f t="shared" si="1"/>
        <v>A.baumannii</v>
      </c>
      <c r="B54" s="5" t="s">
        <v>68</v>
      </c>
      <c r="C54" s="6" t="str">
        <f>IFERROR(__xludf.DUMMYFUNCTION("SPLIT('2. c'!B54, "" "", True, True)"),"Acinetobacter")</f>
        <v>Acinetobacter</v>
      </c>
      <c r="D54" t="str">
        <f>IFERROR(__xludf.DUMMYFUNCTION("""COMPUTED_VALUE"""),"baumannii")</f>
        <v>baumannii</v>
      </c>
    </row>
    <row r="55" ht="15.75" customHeight="1">
      <c r="A55" t="str">
        <f t="shared" si="1"/>
        <v>A.baumannii</v>
      </c>
      <c r="B55" s="5" t="s">
        <v>68</v>
      </c>
      <c r="C55" s="6" t="str">
        <f>IFERROR(__xludf.DUMMYFUNCTION("SPLIT('2. c'!B55, "" "", True, True)"),"Acinetobacter")</f>
        <v>Acinetobacter</v>
      </c>
      <c r="D55" t="str">
        <f>IFERROR(__xludf.DUMMYFUNCTION("""COMPUTED_VALUE"""),"baumannii")</f>
        <v>baumannii</v>
      </c>
    </row>
    <row r="56" ht="15.75" customHeight="1">
      <c r="A56" t="str">
        <f t="shared" si="1"/>
        <v>A.baumannii</v>
      </c>
      <c r="B56" s="5" t="s">
        <v>69</v>
      </c>
      <c r="C56" s="6" t="str">
        <f>IFERROR(__xludf.DUMMYFUNCTION("SPLIT('2. c'!B56, "" "", True, True)"),"Acinetobacter")</f>
        <v>Acinetobacter</v>
      </c>
      <c r="D56" t="str">
        <f>IFERROR(__xludf.DUMMYFUNCTION("""COMPUTED_VALUE"""),"baumannii")</f>
        <v>baumannii</v>
      </c>
      <c r="E56" s="12">
        <f>IFERROR(__xludf.DUMMYFUNCTION("""COMPUTED_VALUE"""),-89086.0)</f>
        <v>-89086</v>
      </c>
    </row>
    <row r="57" ht="15.75" customHeight="1">
      <c r="A57" t="str">
        <f t="shared" si="1"/>
        <v>A.baumannii</v>
      </c>
      <c r="B57" s="5" t="s">
        <v>70</v>
      </c>
      <c r="C57" s="6" t="str">
        <f>IFERROR(__xludf.DUMMYFUNCTION("SPLIT('2. c'!B57, "" "", True, True)"),"Acinetobacter")</f>
        <v>Acinetobacter</v>
      </c>
      <c r="D57" t="str">
        <f>IFERROR(__xludf.DUMMYFUNCTION("""COMPUTED_VALUE"""),"baumannii")</f>
        <v>baumannii</v>
      </c>
      <c r="E57">
        <f>IFERROR(__xludf.DUMMYFUNCTION("""COMPUTED_VALUE"""),6200.0)</f>
        <v>6200</v>
      </c>
    </row>
    <row r="58" ht="15.75" customHeight="1">
      <c r="A58" t="str">
        <f t="shared" si="1"/>
        <v>A.baumannii</v>
      </c>
      <c r="B58" s="5" t="s">
        <v>71</v>
      </c>
      <c r="C58" s="6" t="str">
        <f>IFERROR(__xludf.DUMMYFUNCTION("SPLIT('2. c'!B58, "" "", True, True)"),"Acinetobacter")</f>
        <v>Acinetobacter</v>
      </c>
      <c r="D58" t="str">
        <f>IFERROR(__xludf.DUMMYFUNCTION("""COMPUTED_VALUE"""),"baumannii")</f>
        <v>baumannii</v>
      </c>
      <c r="E58">
        <f>IFERROR(__xludf.DUMMYFUNCTION("""COMPUTED_VALUE"""),6411.0)</f>
        <v>6411</v>
      </c>
    </row>
    <row r="59" ht="15.75" customHeight="1">
      <c r="A59" t="str">
        <f t="shared" si="1"/>
        <v>A.baumannii</v>
      </c>
      <c r="B59" s="5" t="s">
        <v>72</v>
      </c>
      <c r="C59" s="6" t="str">
        <f>IFERROR(__xludf.DUMMYFUNCTION("SPLIT('2. c'!B59, "" "", True, True)"),"Acinetobacter")</f>
        <v>Acinetobacter</v>
      </c>
      <c r="D59" t="str">
        <f>IFERROR(__xludf.DUMMYFUNCTION("""COMPUTED_VALUE"""),"baumannii")</f>
        <v>baumannii</v>
      </c>
      <c r="E59" t="str">
        <f>IFERROR(__xludf.DUMMYFUNCTION("""COMPUTED_VALUE"""),"A1")</f>
        <v>A1</v>
      </c>
    </row>
    <row r="60" ht="15.75" customHeight="1">
      <c r="A60" t="str">
        <f t="shared" si="1"/>
        <v>A.baumannii</v>
      </c>
      <c r="B60" s="5" t="s">
        <v>73</v>
      </c>
      <c r="C60" s="6" t="str">
        <f>IFERROR(__xludf.DUMMYFUNCTION("SPLIT('2. c'!B60, "" "", True, True)"),"Acinetobacter")</f>
        <v>Acinetobacter</v>
      </c>
      <c r="D60" t="str">
        <f>IFERROR(__xludf.DUMMYFUNCTION("""COMPUTED_VALUE"""),"baumannii")</f>
        <v>baumannii</v>
      </c>
      <c r="E60" t="str">
        <f>IFERROR(__xludf.DUMMYFUNCTION("""COMPUTED_VALUE"""),"AB0057")</f>
        <v>AB0057</v>
      </c>
    </row>
    <row r="61" ht="15.75" customHeight="1">
      <c r="A61" t="str">
        <f t="shared" si="1"/>
        <v>A.baumannii</v>
      </c>
      <c r="B61" s="5" t="s">
        <v>74</v>
      </c>
      <c r="C61" s="6" t="str">
        <f>IFERROR(__xludf.DUMMYFUNCTION("SPLIT('2. c'!B61, "" "", True, True)"),"Acinetobacter")</f>
        <v>Acinetobacter</v>
      </c>
      <c r="D61" t="str">
        <f>IFERROR(__xludf.DUMMYFUNCTION("""COMPUTED_VALUE"""),"baumannii")</f>
        <v>baumannii</v>
      </c>
      <c r="E61" t="str">
        <f>IFERROR(__xludf.DUMMYFUNCTION("""COMPUTED_VALUE"""),"AB07")</f>
        <v>AB07</v>
      </c>
    </row>
    <row r="62" ht="15.75" customHeight="1">
      <c r="A62" t="str">
        <f t="shared" si="1"/>
        <v>A.baumannii</v>
      </c>
      <c r="B62" s="5" t="s">
        <v>75</v>
      </c>
      <c r="C62" s="6" t="str">
        <f>IFERROR(__xludf.DUMMYFUNCTION("SPLIT('2. c'!B62, "" "", True, True)"),"Acinetobacter")</f>
        <v>Acinetobacter</v>
      </c>
      <c r="D62" t="str">
        <f>IFERROR(__xludf.DUMMYFUNCTION("""COMPUTED_VALUE"""),"baumannii")</f>
        <v>baumannii</v>
      </c>
      <c r="E62" t="str">
        <f>IFERROR(__xludf.DUMMYFUNCTION("""COMPUTED_VALUE"""),"AB307-0294")</f>
        <v>AB307-0294</v>
      </c>
    </row>
    <row r="63" ht="15.75" customHeight="1">
      <c r="A63" t="str">
        <f t="shared" si="1"/>
        <v>A.baumannii</v>
      </c>
      <c r="B63" s="5" t="s">
        <v>76</v>
      </c>
      <c r="C63" s="6" t="str">
        <f>IFERROR(__xludf.DUMMYFUNCTION("SPLIT('2. c'!B63, "" "", True, True)"),"Acinetobacter")</f>
        <v>Acinetobacter</v>
      </c>
      <c r="D63" t="str">
        <f>IFERROR(__xludf.DUMMYFUNCTION("""COMPUTED_VALUE"""),"baumannii")</f>
        <v>baumannii</v>
      </c>
      <c r="E63" t="str">
        <f>IFERROR(__xludf.DUMMYFUNCTION("""COMPUTED_VALUE"""),"AbH12O-A2")</f>
        <v>AbH12O-A2</v>
      </c>
    </row>
    <row r="64" ht="15.75" customHeight="1">
      <c r="A64" t="str">
        <f t="shared" si="1"/>
        <v>A.baumannii</v>
      </c>
      <c r="B64" s="5" t="s">
        <v>77</v>
      </c>
      <c r="C64" s="6" t="str">
        <f>IFERROR(__xludf.DUMMYFUNCTION("SPLIT('2. c'!B64, "" "", True, True)"),"Acinetobacter")</f>
        <v>Acinetobacter</v>
      </c>
      <c r="D64" t="str">
        <f>IFERROR(__xludf.DUMMYFUNCTION("""COMPUTED_VALUE"""),"baumannii")</f>
        <v>baumannii</v>
      </c>
      <c r="E64" t="str">
        <f>IFERROR(__xludf.DUMMYFUNCTION("""COMPUTED_VALUE"""),"ACICU")</f>
        <v>ACICU</v>
      </c>
    </row>
    <row r="65" ht="15.75" customHeight="1">
      <c r="A65" t="str">
        <f t="shared" si="1"/>
        <v>A.baumannii</v>
      </c>
      <c r="B65" s="5" t="s">
        <v>78</v>
      </c>
      <c r="C65" s="6" t="str">
        <f>IFERROR(__xludf.DUMMYFUNCTION("SPLIT('2. c'!B65, "" "", True, True)"),"Acinetobacter")</f>
        <v>Acinetobacter</v>
      </c>
      <c r="D65" t="str">
        <f>IFERROR(__xludf.DUMMYFUNCTION("""COMPUTED_VALUE"""),"baumannii")</f>
        <v>baumannii</v>
      </c>
      <c r="E65" t="str">
        <f>IFERROR(__xludf.DUMMYFUNCTION("""COMPUTED_VALUE"""),"ATCC")</f>
        <v>ATCC</v>
      </c>
      <c r="F65">
        <f>IFERROR(__xludf.DUMMYFUNCTION("""COMPUTED_VALUE"""),17978.0)</f>
        <v>17978</v>
      </c>
    </row>
    <row r="66" ht="15.75" customHeight="1">
      <c r="A66" t="str">
        <f t="shared" si="1"/>
        <v>A.baumannii</v>
      </c>
      <c r="B66" s="5" t="s">
        <v>79</v>
      </c>
      <c r="C66" s="6" t="str">
        <f>IFERROR(__xludf.DUMMYFUNCTION("SPLIT('2. c'!B66, "" "", True, True)"),"Acinetobacter")</f>
        <v>Acinetobacter</v>
      </c>
      <c r="D66" t="str">
        <f>IFERROR(__xludf.DUMMYFUNCTION("""COMPUTED_VALUE"""),"baumannii")</f>
        <v>baumannii</v>
      </c>
      <c r="E66" t="str">
        <f>IFERROR(__xludf.DUMMYFUNCTION("""COMPUTED_VALUE"""),"AYE")</f>
        <v>AYE</v>
      </c>
    </row>
    <row r="67" ht="15.75" customHeight="1">
      <c r="A67" t="str">
        <f t="shared" si="1"/>
        <v>A.baumannii</v>
      </c>
      <c r="B67" s="5" t="s">
        <v>80</v>
      </c>
      <c r="C67" s="6" t="str">
        <f>IFERROR(__xludf.DUMMYFUNCTION("SPLIT('2. c'!B67, "" "", True, True)"),"Acinetobacter")</f>
        <v>Acinetobacter</v>
      </c>
      <c r="D67" t="str">
        <f>IFERROR(__xludf.DUMMYFUNCTION("""COMPUTED_VALUE"""),"baumannii")</f>
        <v>baumannii</v>
      </c>
      <c r="E67" t="str">
        <f>IFERROR(__xludf.DUMMYFUNCTION("""COMPUTED_VALUE"""),"BJAB07104")</f>
        <v>BJAB07104</v>
      </c>
    </row>
    <row r="68" ht="15.75" customHeight="1">
      <c r="A68" t="str">
        <f t="shared" si="1"/>
        <v>A.baumannii</v>
      </c>
      <c r="B68" s="5" t="s">
        <v>81</v>
      </c>
      <c r="C68" s="6" t="str">
        <f>IFERROR(__xludf.DUMMYFUNCTION("SPLIT('2. c'!B68, "" "", True, True)"),"Acinetobacter")</f>
        <v>Acinetobacter</v>
      </c>
      <c r="D68" t="str">
        <f>IFERROR(__xludf.DUMMYFUNCTION("""COMPUTED_VALUE"""),"baumannii")</f>
        <v>baumannii</v>
      </c>
      <c r="E68" t="str">
        <f>IFERROR(__xludf.DUMMYFUNCTION("""COMPUTED_VALUE"""),"BJAB0715")</f>
        <v>BJAB0715</v>
      </c>
    </row>
    <row r="69" ht="15.75" customHeight="1">
      <c r="A69" t="str">
        <f t="shared" si="1"/>
        <v>A.baumannii</v>
      </c>
      <c r="B69" s="5" t="s">
        <v>82</v>
      </c>
      <c r="C69" s="6" t="str">
        <f>IFERROR(__xludf.DUMMYFUNCTION("SPLIT('2. c'!B69, "" "", True, True)"),"Acinetobacter")</f>
        <v>Acinetobacter</v>
      </c>
      <c r="D69" t="str">
        <f>IFERROR(__xludf.DUMMYFUNCTION("""COMPUTED_VALUE"""),"baumannii")</f>
        <v>baumannii</v>
      </c>
      <c r="E69" t="str">
        <f>IFERROR(__xludf.DUMMYFUNCTION("""COMPUTED_VALUE"""),"BJAB0868")</f>
        <v>BJAB0868</v>
      </c>
    </row>
    <row r="70" ht="15.75" customHeight="1">
      <c r="A70" t="str">
        <f t="shared" si="1"/>
        <v>A.baumannii</v>
      </c>
      <c r="B70" s="5" t="s">
        <v>83</v>
      </c>
      <c r="C70" s="6" t="str">
        <f>IFERROR(__xludf.DUMMYFUNCTION("SPLIT('2. c'!B70, "" "", True, True)"),"Acinetobacter")</f>
        <v>Acinetobacter</v>
      </c>
      <c r="D70" t="str">
        <f>IFERROR(__xludf.DUMMYFUNCTION("""COMPUTED_VALUE"""),"baumannii")</f>
        <v>baumannii</v>
      </c>
      <c r="E70" t="str">
        <f>IFERROR(__xludf.DUMMYFUNCTION("""COMPUTED_VALUE"""),"IOMTU")</f>
        <v>IOMTU</v>
      </c>
      <c r="F70">
        <f>IFERROR(__xludf.DUMMYFUNCTION("""COMPUTED_VALUE"""),433.0)</f>
        <v>433</v>
      </c>
    </row>
    <row r="71" ht="15.75" customHeight="1">
      <c r="A71" t="str">
        <f t="shared" si="1"/>
        <v>A.baumannii</v>
      </c>
      <c r="B71" s="5" t="s">
        <v>84</v>
      </c>
      <c r="C71" s="6" t="str">
        <f>IFERROR(__xludf.DUMMYFUNCTION("SPLIT('2. c'!B71, "" "", True, True)"),"Acinetobacter")</f>
        <v>Acinetobacter</v>
      </c>
      <c r="D71" t="str">
        <f>IFERROR(__xludf.DUMMYFUNCTION("""COMPUTED_VALUE"""),"baumannii")</f>
        <v>baumannii</v>
      </c>
      <c r="E71" t="str">
        <f>IFERROR(__xludf.DUMMYFUNCTION("""COMPUTED_VALUE"""),"LAC-4")</f>
        <v>LAC-4</v>
      </c>
    </row>
    <row r="72" ht="15.75" customHeight="1">
      <c r="A72" t="str">
        <f t="shared" si="1"/>
        <v>A.baumannii</v>
      </c>
      <c r="B72" s="5" t="s">
        <v>85</v>
      </c>
      <c r="C72" s="6" t="str">
        <f>IFERROR(__xludf.DUMMYFUNCTION("SPLIT('2. c'!B72, "" "", True, True)"),"Acinetobacter")</f>
        <v>Acinetobacter</v>
      </c>
      <c r="D72" t="str">
        <f>IFERROR(__xludf.DUMMYFUNCTION("""COMPUTED_VALUE"""),"baumannii")</f>
        <v>baumannii</v>
      </c>
      <c r="E72" t="str">
        <f>IFERROR(__xludf.DUMMYFUNCTION("""COMPUTED_VALUE"""),"MDR-ZJ06")</f>
        <v>MDR-ZJ06</v>
      </c>
    </row>
    <row r="73" ht="15.75" customHeight="1">
      <c r="A73" t="str">
        <f t="shared" si="1"/>
        <v>A.baumannii</v>
      </c>
      <c r="B73" s="5" t="s">
        <v>86</v>
      </c>
      <c r="C73" s="6" t="str">
        <f>IFERROR(__xludf.DUMMYFUNCTION("SPLIT('2. c'!B73, "" "", True, True)"),"Acinetobacter")</f>
        <v>Acinetobacter</v>
      </c>
      <c r="D73" t="str">
        <f>IFERROR(__xludf.DUMMYFUNCTION("""COMPUTED_VALUE"""),"baumannii")</f>
        <v>baumannii</v>
      </c>
      <c r="E73" t="str">
        <f>IFERROR(__xludf.DUMMYFUNCTION("""COMPUTED_VALUE"""),"NCGM")</f>
        <v>NCGM</v>
      </c>
      <c r="F73">
        <f>IFERROR(__xludf.DUMMYFUNCTION("""COMPUTED_VALUE"""),237.0)</f>
        <v>237</v>
      </c>
    </row>
    <row r="74" ht="15.75" customHeight="1">
      <c r="A74" t="str">
        <f t="shared" si="1"/>
        <v>A.baumannii</v>
      </c>
      <c r="B74" s="5" t="s">
        <v>87</v>
      </c>
      <c r="C74" s="6" t="str">
        <f>IFERROR(__xludf.DUMMYFUNCTION("SPLIT('2. c'!B74, "" "", True, True)"),"Acinetobacter")</f>
        <v>Acinetobacter</v>
      </c>
      <c r="D74" t="str">
        <f>IFERROR(__xludf.DUMMYFUNCTION("""COMPUTED_VALUE"""),"baumannii")</f>
        <v>baumannii</v>
      </c>
      <c r="E74" t="str">
        <f>IFERROR(__xludf.DUMMYFUNCTION("""COMPUTED_VALUE"""),"SDF")</f>
        <v>SDF</v>
      </c>
    </row>
    <row r="75" ht="15.75" customHeight="1">
      <c r="A75" t="str">
        <f t="shared" si="1"/>
        <v>A.baumannii</v>
      </c>
      <c r="B75" s="5" t="s">
        <v>88</v>
      </c>
      <c r="C75" s="6" t="str">
        <f>IFERROR(__xludf.DUMMYFUNCTION("SPLIT('2. c'!B75, "" "", True, True)"),"Acinetobacter")</f>
        <v>Acinetobacter</v>
      </c>
      <c r="D75" t="str">
        <f>IFERROR(__xludf.DUMMYFUNCTION("""COMPUTED_VALUE"""),"baumannii")</f>
        <v>baumannii</v>
      </c>
      <c r="E75" t="str">
        <f>IFERROR(__xludf.DUMMYFUNCTION("""COMPUTED_VALUE"""),"strain")</f>
        <v>strain</v>
      </c>
      <c r="F75" t="str">
        <f>IFERROR(__xludf.DUMMYFUNCTION("""COMPUTED_VALUE"""),"3027STDY5784958")</f>
        <v>3027STDY5784958</v>
      </c>
    </row>
    <row r="76" ht="15.75" customHeight="1">
      <c r="A76" t="str">
        <f t="shared" si="1"/>
        <v>A.baumannii</v>
      </c>
      <c r="B76" s="5" t="s">
        <v>89</v>
      </c>
      <c r="C76" s="6" t="str">
        <f>IFERROR(__xludf.DUMMYFUNCTION("SPLIT('2. c'!B76, "" "", True, True)"),"Acinetobacter")</f>
        <v>Acinetobacter</v>
      </c>
      <c r="D76" t="str">
        <f>IFERROR(__xludf.DUMMYFUNCTION("""COMPUTED_VALUE"""),"baumannii")</f>
        <v>baumannii</v>
      </c>
      <c r="E76" t="str">
        <f>IFERROR(__xludf.DUMMYFUNCTION("""COMPUTED_VALUE"""),"strain")</f>
        <v>strain</v>
      </c>
      <c r="F76">
        <f>IFERROR(__xludf.DUMMYFUNCTION("""COMPUTED_VALUE"""),3207.0)</f>
        <v>3207</v>
      </c>
    </row>
    <row r="77" ht="15.75" customHeight="1">
      <c r="A77" t="str">
        <f t="shared" si="1"/>
        <v>A.baumannii</v>
      </c>
      <c r="B77" s="5" t="s">
        <v>90</v>
      </c>
      <c r="C77" s="6" t="str">
        <f>IFERROR(__xludf.DUMMYFUNCTION("SPLIT('2. c'!B77, "" "", True, True)"),"Acinetobacter")</f>
        <v>Acinetobacter</v>
      </c>
      <c r="D77" t="str">
        <f>IFERROR(__xludf.DUMMYFUNCTION("""COMPUTED_VALUE"""),"baumannii")</f>
        <v>baumannii</v>
      </c>
      <c r="E77" t="str">
        <f>IFERROR(__xludf.DUMMYFUNCTION("""COMPUTED_VALUE"""),"strain")</f>
        <v>strain</v>
      </c>
      <c r="F77" t="str">
        <f>IFERROR(__xludf.DUMMYFUNCTION("""COMPUTED_VALUE"""),"Ab04-mff")</f>
        <v>Ab04-mff</v>
      </c>
    </row>
    <row r="78" ht="15.75" customHeight="1">
      <c r="A78" t="str">
        <f t="shared" si="1"/>
        <v>A.baumannii</v>
      </c>
      <c r="B78" s="5" t="s">
        <v>91</v>
      </c>
      <c r="C78" s="6" t="str">
        <f>IFERROR(__xludf.DUMMYFUNCTION("SPLIT('2. c'!B78, "" "", True, True)"),"Acinetobacter")</f>
        <v>Acinetobacter</v>
      </c>
      <c r="D78" t="str">
        <f>IFERROR(__xludf.DUMMYFUNCTION("""COMPUTED_VALUE"""),"baumannii")</f>
        <v>baumannii</v>
      </c>
      <c r="E78" t="str">
        <f>IFERROR(__xludf.DUMMYFUNCTION("""COMPUTED_VALUE"""),"strain")</f>
        <v>strain</v>
      </c>
      <c r="F78" t="str">
        <f>IFERROR(__xludf.DUMMYFUNCTION("""COMPUTED_VALUE"""),"AB30")</f>
        <v>AB30</v>
      </c>
    </row>
    <row r="79" ht="15.75" customHeight="1">
      <c r="A79" t="str">
        <f t="shared" si="1"/>
        <v>A.baumannii</v>
      </c>
      <c r="B79" s="5" t="s">
        <v>92</v>
      </c>
      <c r="C79" s="6" t="str">
        <f>IFERROR(__xludf.DUMMYFUNCTION("SPLIT('2. c'!B79, "" "", True, True)"),"Acinetobacter")</f>
        <v>Acinetobacter</v>
      </c>
      <c r="D79" t="str">
        <f>IFERROR(__xludf.DUMMYFUNCTION("""COMPUTED_VALUE"""),"baumannii")</f>
        <v>baumannii</v>
      </c>
      <c r="E79" t="str">
        <f>IFERROR(__xludf.DUMMYFUNCTION("""COMPUTED_VALUE"""),"strain")</f>
        <v>strain</v>
      </c>
      <c r="F79" t="str">
        <f>IFERROR(__xludf.DUMMYFUNCTION("""COMPUTED_VALUE"""),"AB31")</f>
        <v>AB31</v>
      </c>
    </row>
    <row r="80" ht="15.75" customHeight="1">
      <c r="A80" t="str">
        <f t="shared" si="1"/>
        <v>A.baumannii</v>
      </c>
      <c r="B80" s="5" t="s">
        <v>93</v>
      </c>
      <c r="C80" s="6" t="str">
        <f>IFERROR(__xludf.DUMMYFUNCTION("SPLIT('2. c'!B80, "" "", True, True)"),"Acinetobacter")</f>
        <v>Acinetobacter</v>
      </c>
      <c r="D80" t="str">
        <f>IFERROR(__xludf.DUMMYFUNCTION("""COMPUTED_VALUE"""),"baumannii")</f>
        <v>baumannii</v>
      </c>
      <c r="E80" t="str">
        <f>IFERROR(__xludf.DUMMYFUNCTION("""COMPUTED_VALUE"""),"strain")</f>
        <v>strain</v>
      </c>
      <c r="F80" t="str">
        <f>IFERROR(__xludf.DUMMYFUNCTION("""COMPUTED_VALUE"""),"Ab421_GEIH-2010")</f>
        <v>Ab421_GEIH-2010</v>
      </c>
    </row>
    <row r="81" ht="15.75" customHeight="1">
      <c r="A81" t="str">
        <f t="shared" si="1"/>
        <v>A.baumannii</v>
      </c>
      <c r="B81" s="5" t="s">
        <v>94</v>
      </c>
      <c r="C81" s="6" t="str">
        <f>IFERROR(__xludf.DUMMYFUNCTION("SPLIT('2. c'!B81, "" "", True, True)"),"Acinetobacter")</f>
        <v>Acinetobacter</v>
      </c>
      <c r="D81" t="str">
        <f>IFERROR(__xludf.DUMMYFUNCTION("""COMPUTED_VALUE"""),"baumannii")</f>
        <v>baumannii</v>
      </c>
      <c r="E81" t="str">
        <f>IFERROR(__xludf.DUMMYFUNCTION("""COMPUTED_VALUE"""),"strain")</f>
        <v>strain</v>
      </c>
      <c r="F81" t="str">
        <f>IFERROR(__xludf.DUMMYFUNCTION("""COMPUTED_VALUE"""),"AB5075-UW")</f>
        <v>AB5075-UW</v>
      </c>
    </row>
    <row r="82" ht="15.75" customHeight="1">
      <c r="A82" t="str">
        <f t="shared" si="1"/>
        <v>A.baumannii</v>
      </c>
      <c r="B82" s="5" t="s">
        <v>95</v>
      </c>
      <c r="C82" s="6" t="str">
        <f>IFERROR(__xludf.DUMMYFUNCTION("SPLIT('2. c'!B82, "" "", True, True)"),"Acinetobacter")</f>
        <v>Acinetobacter</v>
      </c>
      <c r="D82" t="str">
        <f>IFERROR(__xludf.DUMMYFUNCTION("""COMPUTED_VALUE"""),"baumannii")</f>
        <v>baumannii</v>
      </c>
      <c r="E82" t="str">
        <f>IFERROR(__xludf.DUMMYFUNCTION("""COMPUTED_VALUE"""),"strain")</f>
        <v>strain</v>
      </c>
      <c r="F82" t="str">
        <f>IFERROR(__xludf.DUMMYFUNCTION("""COMPUTED_VALUE"""),"AC29")</f>
        <v>AC29</v>
      </c>
    </row>
    <row r="83" ht="15.75" customHeight="1">
      <c r="A83" t="str">
        <f t="shared" si="1"/>
        <v>A.baumannii</v>
      </c>
      <c r="B83" s="5" t="s">
        <v>96</v>
      </c>
      <c r="C83" s="6" t="str">
        <f>IFERROR(__xludf.DUMMYFUNCTION("SPLIT('2. c'!B83, "" "", True, True)"),"Acinetobacter")</f>
        <v>Acinetobacter</v>
      </c>
      <c r="D83" t="str">
        <f>IFERROR(__xludf.DUMMYFUNCTION("""COMPUTED_VALUE"""),"baumannii")</f>
        <v>baumannii</v>
      </c>
      <c r="E83" t="str">
        <f>IFERROR(__xludf.DUMMYFUNCTION("""COMPUTED_VALUE"""),"strain")</f>
        <v>strain</v>
      </c>
      <c r="F83" t="str">
        <f>IFERROR(__xludf.DUMMYFUNCTION("""COMPUTED_VALUE"""),"ATCC")</f>
        <v>ATCC</v>
      </c>
      <c r="G83" t="str">
        <f>IFERROR(__xludf.DUMMYFUNCTION("""COMPUTED_VALUE"""),"17978-mff")</f>
        <v>17978-mff</v>
      </c>
    </row>
    <row r="84" ht="15.75" customHeight="1">
      <c r="A84" t="str">
        <f t="shared" si="1"/>
        <v>A.baumannii</v>
      </c>
      <c r="B84" s="5" t="s">
        <v>97</v>
      </c>
      <c r="C84" s="6" t="str">
        <f>IFERROR(__xludf.DUMMYFUNCTION("SPLIT('2. c'!B84, "" "", True, True)"),"Acinetobacter")</f>
        <v>Acinetobacter</v>
      </c>
      <c r="D84" t="str">
        <f>IFERROR(__xludf.DUMMYFUNCTION("""COMPUTED_VALUE"""),"baumannii")</f>
        <v>baumannii</v>
      </c>
      <c r="E84" t="str">
        <f>IFERROR(__xludf.DUMMYFUNCTION("""COMPUTED_VALUE"""),"strain")</f>
        <v>strain</v>
      </c>
      <c r="F84" t="str">
        <f>IFERROR(__xludf.DUMMYFUNCTION("""COMPUTED_VALUE"""),"B8300")</f>
        <v>B8300</v>
      </c>
    </row>
    <row r="85" ht="15.75" customHeight="1">
      <c r="A85" t="str">
        <f t="shared" si="1"/>
        <v>A.baumannii</v>
      </c>
      <c r="B85" s="5" t="s">
        <v>98</v>
      </c>
      <c r="C85" s="6" t="str">
        <f>IFERROR(__xludf.DUMMYFUNCTION("SPLIT('2. c'!B85, "" "", True, True)"),"Acinetobacter")</f>
        <v>Acinetobacter</v>
      </c>
      <c r="D85" t="str">
        <f>IFERROR(__xludf.DUMMYFUNCTION("""COMPUTED_VALUE"""),"baumannii")</f>
        <v>baumannii</v>
      </c>
      <c r="E85" t="str">
        <f>IFERROR(__xludf.DUMMYFUNCTION("""COMPUTED_VALUE"""),"strain")</f>
        <v>strain</v>
      </c>
      <c r="F85" t="str">
        <f>IFERROR(__xludf.DUMMYFUNCTION("""COMPUTED_VALUE"""),"B8342")</f>
        <v>B8342</v>
      </c>
    </row>
    <row r="86" ht="15.75" customHeight="1">
      <c r="A86" t="str">
        <f t="shared" si="1"/>
        <v>A.baumannii</v>
      </c>
      <c r="B86" s="5" t="s">
        <v>99</v>
      </c>
      <c r="C86" s="6" t="str">
        <f>IFERROR(__xludf.DUMMYFUNCTION("SPLIT('2. c'!B86, "" "", True, True)"),"Acinetobacter")</f>
        <v>Acinetobacter</v>
      </c>
      <c r="D86" t="str">
        <f>IFERROR(__xludf.DUMMYFUNCTION("""COMPUTED_VALUE"""),"baumannii")</f>
        <v>baumannii</v>
      </c>
      <c r="E86" t="str">
        <f>IFERROR(__xludf.DUMMYFUNCTION("""COMPUTED_VALUE"""),"strain")</f>
        <v>strain</v>
      </c>
      <c r="F86" t="str">
        <f>IFERROR(__xludf.DUMMYFUNCTION("""COMPUTED_VALUE"""),"CR17")</f>
        <v>CR17</v>
      </c>
    </row>
    <row r="87" ht="15.75" customHeight="1">
      <c r="A87" t="str">
        <f t="shared" si="1"/>
        <v>A.baumannii</v>
      </c>
      <c r="B87" s="5" t="s">
        <v>100</v>
      </c>
      <c r="C87" s="6" t="str">
        <f>IFERROR(__xludf.DUMMYFUNCTION("SPLIT('2. c'!B87, "" "", True, True)"),"Acinetobacter")</f>
        <v>Acinetobacter</v>
      </c>
      <c r="D87" t="str">
        <f>IFERROR(__xludf.DUMMYFUNCTION("""COMPUTED_VALUE"""),"baumannii")</f>
        <v>baumannii</v>
      </c>
      <c r="E87" t="str">
        <f>IFERROR(__xludf.DUMMYFUNCTION("""COMPUTED_VALUE"""),"strain")</f>
        <v>strain</v>
      </c>
      <c r="F87" t="str">
        <f>IFERROR(__xludf.DUMMYFUNCTION("""COMPUTED_VALUE"""),"CSO1")</f>
        <v>CSO1</v>
      </c>
    </row>
    <row r="88" ht="15.75" customHeight="1">
      <c r="A88" t="str">
        <f t="shared" si="1"/>
        <v>A.baumannii</v>
      </c>
      <c r="B88" s="5" t="s">
        <v>101</v>
      </c>
      <c r="C88" s="6" t="str">
        <f>IFERROR(__xludf.DUMMYFUNCTION("SPLIT('2. c'!B88, "" "", True, True)"),"Acinetobacter")</f>
        <v>Acinetobacter</v>
      </c>
      <c r="D88" t="str">
        <f>IFERROR(__xludf.DUMMYFUNCTION("""COMPUTED_VALUE"""),"baumannii")</f>
        <v>baumannii</v>
      </c>
      <c r="E88" t="str">
        <f>IFERROR(__xludf.DUMMYFUNCTION("""COMPUTED_VALUE"""),"strain")</f>
        <v>strain</v>
      </c>
      <c r="F88" t="str">
        <f>IFERROR(__xludf.DUMMYFUNCTION("""COMPUTED_VALUE"""),"D36")</f>
        <v>D36</v>
      </c>
    </row>
    <row r="89" ht="15.75" customHeight="1">
      <c r="A89" t="str">
        <f t="shared" si="1"/>
        <v>A.baumannii</v>
      </c>
      <c r="B89" s="5" t="s">
        <v>102</v>
      </c>
      <c r="C89" s="6" t="str">
        <f>IFERROR(__xludf.DUMMYFUNCTION("SPLIT('2. c'!B89, "" "", True, True)"),"Acinetobacter")</f>
        <v>Acinetobacter</v>
      </c>
      <c r="D89" t="str">
        <f>IFERROR(__xludf.DUMMYFUNCTION("""COMPUTED_VALUE"""),"baumannii")</f>
        <v>baumannii</v>
      </c>
      <c r="E89" t="str">
        <f>IFERROR(__xludf.DUMMYFUNCTION("""COMPUTED_VALUE"""),"strain")</f>
        <v>strain</v>
      </c>
      <c r="F89" t="str">
        <f>IFERROR(__xludf.DUMMYFUNCTION("""COMPUTED_VALUE"""),"KBN10P02143")</f>
        <v>KBN10P02143</v>
      </c>
    </row>
    <row r="90" ht="15.75" customHeight="1">
      <c r="A90" t="str">
        <f t="shared" si="1"/>
        <v>A.baumannii</v>
      </c>
      <c r="B90" s="5" t="s">
        <v>103</v>
      </c>
      <c r="C90" s="6" t="str">
        <f>IFERROR(__xludf.DUMMYFUNCTION("SPLIT('2. c'!B90, "" "", True, True)"),"Acinetobacter")</f>
        <v>Acinetobacter</v>
      </c>
      <c r="D90" t="str">
        <f>IFERROR(__xludf.DUMMYFUNCTION("""COMPUTED_VALUE"""),"baumannii")</f>
        <v>baumannii</v>
      </c>
      <c r="E90" t="str">
        <f>IFERROR(__xludf.DUMMYFUNCTION("""COMPUTED_VALUE"""),"strain")</f>
        <v>strain</v>
      </c>
      <c r="F90" t="str">
        <f>IFERROR(__xludf.DUMMYFUNCTION("""COMPUTED_VALUE"""),"XH386")</f>
        <v>XH386</v>
      </c>
    </row>
    <row r="91" ht="15.75" customHeight="1">
      <c r="A91" t="str">
        <f t="shared" si="1"/>
        <v>A.baumannii</v>
      </c>
      <c r="B91" s="5" t="s">
        <v>104</v>
      </c>
      <c r="C91" s="6" t="str">
        <f>IFERROR(__xludf.DUMMYFUNCTION("SPLIT('2. c'!B91, "" "", True, True)"),"Acinetobacter")</f>
        <v>Acinetobacter</v>
      </c>
      <c r="D91" t="str">
        <f>IFERROR(__xludf.DUMMYFUNCTION("""COMPUTED_VALUE"""),"baumannii")</f>
        <v>baumannii</v>
      </c>
      <c r="E91" t="str">
        <f>IFERROR(__xludf.DUMMYFUNCTION("""COMPUTED_VALUE"""),"strain")</f>
        <v>strain</v>
      </c>
      <c r="F91" t="str">
        <f>IFERROR(__xludf.DUMMYFUNCTION("""COMPUTED_VALUE"""),"XH856")</f>
        <v>XH856</v>
      </c>
    </row>
    <row r="92" ht="15.75" customHeight="1">
      <c r="A92" t="str">
        <f t="shared" si="1"/>
        <v>A.baumannii</v>
      </c>
      <c r="B92" s="5" t="s">
        <v>105</v>
      </c>
      <c r="C92" s="6" t="str">
        <f>IFERROR(__xludf.DUMMYFUNCTION("SPLIT('2. c'!B92, "" "", True, True)"),"Acinetobacter")</f>
        <v>Acinetobacter</v>
      </c>
      <c r="D92" t="str">
        <f>IFERROR(__xludf.DUMMYFUNCTION("""COMPUTED_VALUE"""),"baumannii")</f>
        <v>baumannii</v>
      </c>
      <c r="E92" t="str">
        <f>IFERROR(__xludf.DUMMYFUNCTION("""COMPUTED_VALUE"""),"strain")</f>
        <v>strain</v>
      </c>
      <c r="F92" t="str">
        <f>IFERROR(__xludf.DUMMYFUNCTION("""COMPUTED_VALUE"""),"XH857")</f>
        <v>XH857</v>
      </c>
    </row>
    <row r="93" ht="15.75" customHeight="1">
      <c r="A93" t="str">
        <f t="shared" si="1"/>
        <v>A.baumannii</v>
      </c>
      <c r="B93" s="5" t="s">
        <v>106</v>
      </c>
      <c r="C93" s="6" t="str">
        <f>IFERROR(__xludf.DUMMYFUNCTION("SPLIT('2. c'!B93, "" "", True, True)"),"Acinetobacter")</f>
        <v>Acinetobacter</v>
      </c>
      <c r="D93" t="str">
        <f>IFERROR(__xludf.DUMMYFUNCTION("""COMPUTED_VALUE"""),"baumannii")</f>
        <v>baumannii</v>
      </c>
      <c r="E93" t="str">
        <f>IFERROR(__xludf.DUMMYFUNCTION("""COMPUTED_VALUE"""),"strain")</f>
        <v>strain</v>
      </c>
      <c r="F93" t="str">
        <f>IFERROR(__xludf.DUMMYFUNCTION("""COMPUTED_VALUE"""),"XH858")</f>
        <v>XH858</v>
      </c>
    </row>
    <row r="94" ht="15.75" customHeight="1">
      <c r="A94" t="str">
        <f t="shared" si="1"/>
        <v>A.baumannii</v>
      </c>
      <c r="B94" s="5" t="s">
        <v>107</v>
      </c>
      <c r="C94" s="6" t="str">
        <f>IFERROR(__xludf.DUMMYFUNCTION("SPLIT('2. c'!B94, "" "", True, True)"),"Acinetobacter")</f>
        <v>Acinetobacter</v>
      </c>
      <c r="D94" t="str">
        <f>IFERROR(__xludf.DUMMYFUNCTION("""COMPUTED_VALUE"""),"baumannii")</f>
        <v>baumannii</v>
      </c>
      <c r="E94" t="str">
        <f>IFERROR(__xludf.DUMMYFUNCTION("""COMPUTED_VALUE"""),"strain")</f>
        <v>strain</v>
      </c>
      <c r="F94" t="str">
        <f>IFERROR(__xludf.DUMMYFUNCTION("""COMPUTED_VALUE"""),"XH859")</f>
        <v>XH859</v>
      </c>
    </row>
    <row r="95" ht="15.75" customHeight="1">
      <c r="A95" t="str">
        <f t="shared" si="1"/>
        <v>A.baumannii</v>
      </c>
      <c r="B95" s="5" t="s">
        <v>108</v>
      </c>
      <c r="C95" s="6" t="str">
        <f>IFERROR(__xludf.DUMMYFUNCTION("SPLIT('2. c'!B95, "" "", True, True)"),"Acinetobacter")</f>
        <v>Acinetobacter</v>
      </c>
      <c r="D95" t="str">
        <f>IFERROR(__xludf.DUMMYFUNCTION("""COMPUTED_VALUE"""),"baumannii")</f>
        <v>baumannii</v>
      </c>
      <c r="E95" t="str">
        <f>IFERROR(__xludf.DUMMYFUNCTION("""COMPUTED_VALUE"""),"strain")</f>
        <v>strain</v>
      </c>
      <c r="F95" t="str">
        <f>IFERROR(__xludf.DUMMYFUNCTION("""COMPUTED_VALUE"""),"XH860")</f>
        <v>XH860</v>
      </c>
    </row>
    <row r="96" ht="15.75" customHeight="1">
      <c r="A96" t="str">
        <f t="shared" si="1"/>
        <v>A.baumannii</v>
      </c>
      <c r="B96" s="5" t="s">
        <v>109</v>
      </c>
      <c r="C96" s="6" t="str">
        <f>IFERROR(__xludf.DUMMYFUNCTION("SPLIT('2. c'!B96, "" "", True, True)"),"Acinetobacter")</f>
        <v>Acinetobacter</v>
      </c>
      <c r="D96" t="str">
        <f>IFERROR(__xludf.DUMMYFUNCTION("""COMPUTED_VALUE"""),"baumannii")</f>
        <v>baumannii</v>
      </c>
      <c r="E96" t="str">
        <f>IFERROR(__xludf.DUMMYFUNCTION("""COMPUTED_VALUE"""),"strain")</f>
        <v>strain</v>
      </c>
      <c r="F96" t="str">
        <f>IFERROR(__xludf.DUMMYFUNCTION("""COMPUTED_VALUE"""),"YU-R612")</f>
        <v>YU-R612</v>
      </c>
    </row>
    <row r="97" ht="15.75" customHeight="1">
      <c r="A97" t="str">
        <f t="shared" si="1"/>
        <v>A.baumannii</v>
      </c>
      <c r="B97" s="5" t="s">
        <v>110</v>
      </c>
      <c r="C97" s="6" t="str">
        <f>IFERROR(__xludf.DUMMYFUNCTION("SPLIT('2. c'!B97, "" "", True, True)"),"Acinetobacter")</f>
        <v>Acinetobacter</v>
      </c>
      <c r="D97" t="str">
        <f>IFERROR(__xludf.DUMMYFUNCTION("""COMPUTED_VALUE"""),"baumannii")</f>
        <v>baumannii</v>
      </c>
      <c r="E97" t="str">
        <f>IFERROR(__xludf.DUMMYFUNCTION("""COMPUTED_VALUE"""),"TCDC-AB0715")</f>
        <v>TCDC-AB0715</v>
      </c>
    </row>
    <row r="98" ht="15.75" customHeight="1">
      <c r="A98" t="str">
        <f t="shared" si="1"/>
        <v>A.baumannii</v>
      </c>
      <c r="B98" s="5" t="s">
        <v>111</v>
      </c>
      <c r="C98" s="6" t="str">
        <f>IFERROR(__xludf.DUMMYFUNCTION("SPLIT('2. c'!B98, "" "", True, True)"),"Acinetobacter")</f>
        <v>Acinetobacter</v>
      </c>
      <c r="D98" t="str">
        <f>IFERROR(__xludf.DUMMYFUNCTION("""COMPUTED_VALUE"""),"baumannii")</f>
        <v>baumannii</v>
      </c>
      <c r="E98" t="str">
        <f>IFERROR(__xludf.DUMMYFUNCTION("""COMPUTED_VALUE"""),"TYTH-1")</f>
        <v>TYTH-1</v>
      </c>
    </row>
    <row r="99" ht="15.75" customHeight="1">
      <c r="A99" t="str">
        <f t="shared" si="1"/>
        <v>A.baumannii</v>
      </c>
      <c r="B99" s="5" t="s">
        <v>112</v>
      </c>
      <c r="C99" s="6" t="str">
        <f>IFERROR(__xludf.DUMMYFUNCTION("SPLIT('2. c'!B99, "" "", True, True)"),"Acinetobacter")</f>
        <v>Acinetobacter</v>
      </c>
      <c r="D99" t="str">
        <f>IFERROR(__xludf.DUMMYFUNCTION("""COMPUTED_VALUE"""),"baumannii")</f>
        <v>baumannii</v>
      </c>
      <c r="E99" t="str">
        <f>IFERROR(__xludf.DUMMYFUNCTION("""COMPUTED_VALUE"""),"ZW85-1")</f>
        <v>ZW85-1</v>
      </c>
    </row>
    <row r="100" ht="15.75" customHeight="1">
      <c r="A100" t="str">
        <f t="shared" si="1"/>
        <v>A.calcoaceticus</v>
      </c>
      <c r="B100" s="5" t="s">
        <v>113</v>
      </c>
      <c r="C100" s="6" t="str">
        <f>IFERROR(__xludf.DUMMYFUNCTION("SPLIT('2. c'!B100, "" "", True, True)"),"Acinetobacter")</f>
        <v>Acinetobacter</v>
      </c>
      <c r="D100" t="str">
        <f>IFERROR(__xludf.DUMMYFUNCTION("""COMPUTED_VALUE"""),"calcoaceticus")</f>
        <v>calcoaceticus</v>
      </c>
      <c r="E100" t="str">
        <f>IFERROR(__xludf.DUMMYFUNCTION("""COMPUTED_VALUE"""),"PHEA-2")</f>
        <v>PHEA-2</v>
      </c>
    </row>
    <row r="101" ht="15.75" customHeight="1">
      <c r="A101" t="str">
        <f t="shared" si="1"/>
        <v>A.johnsonii</v>
      </c>
      <c r="B101" s="5" t="s">
        <v>114</v>
      </c>
      <c r="C101" s="6" t="str">
        <f>IFERROR(__xludf.DUMMYFUNCTION("SPLIT('2. c'!B101, "" "", True, True)"),"Acinetobacter")</f>
        <v>Acinetobacter</v>
      </c>
      <c r="D101" t="str">
        <f>IFERROR(__xludf.DUMMYFUNCTION("""COMPUTED_VALUE"""),"johnsonii")</f>
        <v>johnsonii</v>
      </c>
      <c r="E101" t="str">
        <f>IFERROR(__xludf.DUMMYFUNCTION("""COMPUTED_VALUE"""),"XBB1")</f>
        <v>XBB1</v>
      </c>
    </row>
    <row r="102" ht="15.75" customHeight="1">
      <c r="A102" t="str">
        <f t="shared" si="1"/>
        <v>A.nosocomialis</v>
      </c>
      <c r="B102" s="5" t="s">
        <v>115</v>
      </c>
      <c r="C102" s="6" t="str">
        <f>IFERROR(__xludf.DUMMYFUNCTION("SPLIT('2. c'!B102, "" "", True, True)"),"Acinetobacter")</f>
        <v>Acinetobacter</v>
      </c>
      <c r="D102" t="str">
        <f>IFERROR(__xludf.DUMMYFUNCTION("""COMPUTED_VALUE"""),"nosocomialis")</f>
        <v>nosocomialis</v>
      </c>
      <c r="E102" t="str">
        <f>IFERROR(__xludf.DUMMYFUNCTION("""COMPUTED_VALUE"""),"strain")</f>
        <v>strain</v>
      </c>
      <c r="F102">
        <f>IFERROR(__xludf.DUMMYFUNCTION("""COMPUTED_VALUE"""),6411.0)</f>
        <v>6411</v>
      </c>
    </row>
    <row r="103" ht="15.75" customHeight="1">
      <c r="A103" t="str">
        <f t="shared" si="1"/>
        <v>A.oleivorans</v>
      </c>
      <c r="B103" s="5" t="s">
        <v>116</v>
      </c>
      <c r="C103" s="6" t="str">
        <f>IFERROR(__xludf.DUMMYFUNCTION("SPLIT('2. c'!B103, "" "", True, True)"),"Acinetobacter")</f>
        <v>Acinetobacter</v>
      </c>
      <c r="D103" t="str">
        <f>IFERROR(__xludf.DUMMYFUNCTION("""COMPUTED_VALUE"""),"oleivorans")</f>
        <v>oleivorans</v>
      </c>
      <c r="E103" t="str">
        <f>IFERROR(__xludf.DUMMYFUNCTION("""COMPUTED_VALUE"""),"DR1")</f>
        <v>DR1</v>
      </c>
    </row>
    <row r="104" ht="15.75" customHeight="1">
      <c r="A104" t="str">
        <f t="shared" si="1"/>
        <v>A.pittii</v>
      </c>
      <c r="B104" s="5" t="s">
        <v>117</v>
      </c>
      <c r="C104" s="6" t="str">
        <f>IFERROR(__xludf.DUMMYFUNCTION("SPLIT('2. c'!B104, "" "", True, True)"),"Acinetobacter")</f>
        <v>Acinetobacter</v>
      </c>
      <c r="D104" t="str">
        <f>IFERROR(__xludf.DUMMYFUNCTION("""COMPUTED_VALUE"""),"pittii")</f>
        <v>pittii</v>
      </c>
      <c r="E104" t="str">
        <f>IFERROR(__xludf.DUMMYFUNCTION("""COMPUTED_VALUE"""),"strain")</f>
        <v>strain</v>
      </c>
      <c r="F104" t="str">
        <f>IFERROR(__xludf.DUMMYFUNCTION("""COMPUTED_VALUE"""),"AP_882")</f>
        <v>AP_882</v>
      </c>
    </row>
    <row r="105" ht="15.75" customHeight="1">
      <c r="A105" t="str">
        <f t="shared" si="1"/>
        <v>A.pittii</v>
      </c>
      <c r="B105" s="5" t="s">
        <v>118</v>
      </c>
      <c r="C105" s="6" t="str">
        <f>IFERROR(__xludf.DUMMYFUNCTION("SPLIT('2. c'!B105, "" "", True, True)"),"Acinetobacter")</f>
        <v>Acinetobacter</v>
      </c>
      <c r="D105" t="str">
        <f>IFERROR(__xludf.DUMMYFUNCTION("""COMPUTED_VALUE"""),"pittii")</f>
        <v>pittii</v>
      </c>
      <c r="E105" t="str">
        <f>IFERROR(__xludf.DUMMYFUNCTION("""COMPUTED_VALUE"""),"strain")</f>
        <v>strain</v>
      </c>
      <c r="F105" t="str">
        <f>IFERROR(__xludf.DUMMYFUNCTION("""COMPUTED_VALUE"""),"IEC338SC")</f>
        <v>IEC338SC</v>
      </c>
    </row>
    <row r="106" ht="15.75" customHeight="1">
      <c r="A106" t="str">
        <f t="shared" si="1"/>
        <v>A.sp.</v>
      </c>
      <c r="B106" s="5" t="s">
        <v>119</v>
      </c>
      <c r="C106" s="6" t="str">
        <f>IFERROR(__xludf.DUMMYFUNCTION("SPLIT('2. c'!B106, "" "", True, True)"),"Acinetobacter")</f>
        <v>Acinetobacter</v>
      </c>
      <c r="D106" t="str">
        <f>IFERROR(__xludf.DUMMYFUNCTION("""COMPUTED_VALUE"""),"sp.")</f>
        <v>sp.</v>
      </c>
      <c r="E106">
        <f>IFERROR(__xludf.DUMMYFUNCTION("""COMPUTED_VALUE"""),114.0)</f>
        <v>114</v>
      </c>
    </row>
    <row r="107" ht="15.75" customHeight="1">
      <c r="A107" t="str">
        <f t="shared" si="1"/>
        <v>A.sp.</v>
      </c>
      <c r="B107" s="5" t="s">
        <v>120</v>
      </c>
      <c r="C107" s="6" t="str">
        <f>IFERROR(__xludf.DUMMYFUNCTION("SPLIT('2. c'!B107, "" "", True, True)"),"Acinetobacter")</f>
        <v>Acinetobacter</v>
      </c>
      <c r="D107" t="str">
        <f>IFERROR(__xludf.DUMMYFUNCTION("""COMPUTED_VALUE"""),"sp.")</f>
        <v>sp.</v>
      </c>
      <c r="E107" t="str">
        <f>IFERROR(__xludf.DUMMYFUNCTION("""COMPUTED_VALUE"""),"ADP1")</f>
        <v>ADP1</v>
      </c>
    </row>
    <row r="108" ht="15.75" customHeight="1">
      <c r="A108" t="str">
        <f t="shared" si="1"/>
        <v>A.sp.</v>
      </c>
      <c r="B108" s="5" t="s">
        <v>121</v>
      </c>
      <c r="C108" s="6" t="str">
        <f>IFERROR(__xludf.DUMMYFUNCTION("SPLIT('2. c'!B108, "" "", True, True)"),"Acinetobacter")</f>
        <v>Acinetobacter</v>
      </c>
      <c r="D108" t="str">
        <f>IFERROR(__xludf.DUMMYFUNCTION("""COMPUTED_VALUE"""),"sp.")</f>
        <v>sp.</v>
      </c>
      <c r="E108" t="str">
        <f>IFERROR(__xludf.DUMMYFUNCTION("""COMPUTED_VALUE"""),"DUT-2")</f>
        <v>DUT-2</v>
      </c>
    </row>
    <row r="109" ht="15.75" customHeight="1">
      <c r="A109" t="str">
        <f t="shared" si="1"/>
        <v>A.sp.</v>
      </c>
      <c r="B109" s="5" t="s">
        <v>122</v>
      </c>
      <c r="C109" s="6" t="str">
        <f>IFERROR(__xludf.DUMMYFUNCTION("SPLIT('2. c'!B109, "" "", True, True)"),"Acinetobacter")</f>
        <v>Acinetobacter</v>
      </c>
      <c r="D109" t="str">
        <f>IFERROR(__xludf.DUMMYFUNCTION("""COMPUTED_VALUE"""),"sp.")</f>
        <v>sp.</v>
      </c>
      <c r="E109" t="str">
        <f>IFERROR(__xludf.DUMMYFUNCTION("""COMPUTED_VALUE"""),"NCu2D-2")</f>
        <v>NCu2D-2</v>
      </c>
    </row>
    <row r="110" ht="15.75" customHeight="1">
      <c r="A110" t="str">
        <f t="shared" si="1"/>
        <v>A.sp.</v>
      </c>
      <c r="B110" s="5" t="s">
        <v>123</v>
      </c>
      <c r="C110" s="6" t="str">
        <f>IFERROR(__xludf.DUMMYFUNCTION("SPLIT('2. c'!B110, "" "", True, True)"),"Acinetobacter")</f>
        <v>Acinetobacter</v>
      </c>
      <c r="D110" t="str">
        <f>IFERROR(__xludf.DUMMYFUNCTION("""COMPUTED_VALUE"""),"sp.")</f>
        <v>sp.</v>
      </c>
      <c r="E110" t="str">
        <f>IFERROR(__xludf.DUMMYFUNCTION("""COMPUTED_VALUE"""),"TGL-Y2")</f>
        <v>TGL-Y2</v>
      </c>
    </row>
    <row r="111" ht="15.75" customHeight="1">
      <c r="A111" t="str">
        <f t="shared" si="1"/>
        <v>A.sp.</v>
      </c>
      <c r="B111" s="5" t="s">
        <v>124</v>
      </c>
      <c r="C111" s="6" t="str">
        <f>IFERROR(__xludf.DUMMYFUNCTION("SPLIT('2. c'!B111, "" "", True, True)"),"Acinetobacter")</f>
        <v>Acinetobacter</v>
      </c>
      <c r="D111" t="str">
        <f>IFERROR(__xludf.DUMMYFUNCTION("""COMPUTED_VALUE"""),"sp.")</f>
        <v>sp.</v>
      </c>
      <c r="E111" t="str">
        <f>IFERROR(__xludf.DUMMYFUNCTION("""COMPUTED_VALUE"""),"TTH0-4")</f>
        <v>TTH0-4</v>
      </c>
    </row>
    <row r="112" ht="15.75" customHeight="1">
      <c r="A112" t="str">
        <f t="shared" si="1"/>
        <v>A.venetianus</v>
      </c>
      <c r="B112" s="5" t="s">
        <v>125</v>
      </c>
      <c r="C112" s="6" t="str">
        <f>IFERROR(__xludf.DUMMYFUNCTION("SPLIT('2. c'!B112, "" "", True, True)"),"Acinetobacter")</f>
        <v>Acinetobacter</v>
      </c>
      <c r="D112" t="str">
        <f>IFERROR(__xludf.DUMMYFUNCTION("""COMPUTED_VALUE"""),"venetianus")</f>
        <v>venetianus</v>
      </c>
      <c r="E112" t="str">
        <f>IFERROR(__xludf.DUMMYFUNCTION("""COMPUTED_VALUE"""),"VE-C3")</f>
        <v>VE-C3</v>
      </c>
    </row>
    <row r="113" ht="15.75" customHeight="1">
      <c r="A113" t="str">
        <f t="shared" si="1"/>
        <v>A.equuli</v>
      </c>
      <c r="B113" s="5" t="s">
        <v>126</v>
      </c>
      <c r="C113" s="6" t="str">
        <f>IFERROR(__xludf.DUMMYFUNCTION("SPLIT('2. c'!B113, "" "", True, True)"),"Actinobacillus")</f>
        <v>Actinobacillus</v>
      </c>
      <c r="D113" t="str">
        <f>IFERROR(__xludf.DUMMYFUNCTION("""COMPUTED_VALUE"""),"equuli")</f>
        <v>equuli</v>
      </c>
      <c r="E113" t="str">
        <f>IFERROR(__xludf.DUMMYFUNCTION("""COMPUTED_VALUE"""),"subsp.")</f>
        <v>subsp.</v>
      </c>
      <c r="F113" t="str">
        <f>IFERROR(__xludf.DUMMYFUNCTION("""COMPUTED_VALUE"""),"equuli")</f>
        <v>equuli</v>
      </c>
      <c r="G113">
        <f>IFERROR(__xludf.DUMMYFUNCTION("""COMPUTED_VALUE"""),19392.0)</f>
        <v>19392</v>
      </c>
    </row>
    <row r="114" ht="15.75" customHeight="1">
      <c r="A114" t="str">
        <f t="shared" si="1"/>
        <v>A.pleuropneumoniae</v>
      </c>
      <c r="B114" s="5" t="s">
        <v>127</v>
      </c>
      <c r="C114" s="6" t="str">
        <f>IFERROR(__xludf.DUMMYFUNCTION("SPLIT('2. c'!B114, "" "", True, True)"),"Actinobacillus")</f>
        <v>Actinobacillus</v>
      </c>
      <c r="D114" t="str">
        <f>IFERROR(__xludf.DUMMYFUNCTION("""COMPUTED_VALUE"""),"pleuropneumoniae")</f>
        <v>pleuropneumoniae</v>
      </c>
      <c r="E114" t="str">
        <f>IFERROR(__xludf.DUMMYFUNCTION("""COMPUTED_VALUE"""),"serovar")</f>
        <v>serovar</v>
      </c>
      <c r="F114">
        <f>IFERROR(__xludf.DUMMYFUNCTION("""COMPUTED_VALUE"""),3.0)</f>
        <v>3</v>
      </c>
      <c r="G114" t="str">
        <f>IFERROR(__xludf.DUMMYFUNCTION("""COMPUTED_VALUE"""),"str.")</f>
        <v>str.</v>
      </c>
      <c r="H114" t="str">
        <f>IFERROR(__xludf.DUMMYFUNCTION("""COMPUTED_VALUE"""),"JL03")</f>
        <v>JL03</v>
      </c>
    </row>
    <row r="115" ht="15.75" customHeight="1">
      <c r="A115" t="str">
        <f t="shared" si="1"/>
        <v>A.pleuropneumoniae</v>
      </c>
      <c r="B115" s="5" t="s">
        <v>128</v>
      </c>
      <c r="C115" s="6" t="str">
        <f>IFERROR(__xludf.DUMMYFUNCTION("SPLIT('2. c'!B115, "" "", True, True)"),"Actinobacillus")</f>
        <v>Actinobacillus</v>
      </c>
      <c r="D115" t="str">
        <f>IFERROR(__xludf.DUMMYFUNCTION("""COMPUTED_VALUE"""),"pleuropneumoniae")</f>
        <v>pleuropneumoniae</v>
      </c>
      <c r="E115" t="str">
        <f>IFERROR(__xludf.DUMMYFUNCTION("""COMPUTED_VALUE"""),"serovar")</f>
        <v>serovar</v>
      </c>
      <c r="F115" t="str">
        <f>IFERROR(__xludf.DUMMYFUNCTION("""COMPUTED_VALUE"""),"5b")</f>
        <v>5b</v>
      </c>
      <c r="G115" t="str">
        <f>IFERROR(__xludf.DUMMYFUNCTION("""COMPUTED_VALUE"""),"str.")</f>
        <v>str.</v>
      </c>
      <c r="H115" t="str">
        <f>IFERROR(__xludf.DUMMYFUNCTION("""COMPUTED_VALUE"""),"L20")</f>
        <v>L20</v>
      </c>
    </row>
    <row r="116" ht="15.75" customHeight="1">
      <c r="A116" t="str">
        <f t="shared" si="1"/>
        <v>A.pleuropneumoniae</v>
      </c>
      <c r="B116" s="5" t="s">
        <v>129</v>
      </c>
      <c r="C116" s="6" t="str">
        <f>IFERROR(__xludf.DUMMYFUNCTION("SPLIT('2. c'!B116, "" "", True, True)"),"Actinobacillus")</f>
        <v>Actinobacillus</v>
      </c>
      <c r="D116" t="str">
        <f>IFERROR(__xludf.DUMMYFUNCTION("""COMPUTED_VALUE"""),"pleuropneumoniae")</f>
        <v>pleuropneumoniae</v>
      </c>
      <c r="E116" t="str">
        <f>IFERROR(__xludf.DUMMYFUNCTION("""COMPUTED_VALUE"""),"serovar")</f>
        <v>serovar</v>
      </c>
      <c r="F116">
        <f>IFERROR(__xludf.DUMMYFUNCTION("""COMPUTED_VALUE"""),7.0)</f>
        <v>7</v>
      </c>
      <c r="G116" t="str">
        <f>IFERROR(__xludf.DUMMYFUNCTION("""COMPUTED_VALUE"""),"str.")</f>
        <v>str.</v>
      </c>
      <c r="H116" t="str">
        <f>IFERROR(__xludf.DUMMYFUNCTION("""COMPUTED_VALUE"""),"AP76")</f>
        <v>AP76</v>
      </c>
    </row>
    <row r="117" ht="15.75" customHeight="1">
      <c r="A117" t="str">
        <f t="shared" si="1"/>
        <v>A.pleuropneumoniae</v>
      </c>
      <c r="B117" s="5" t="s">
        <v>130</v>
      </c>
      <c r="C117" s="6" t="str">
        <f>IFERROR(__xludf.DUMMYFUNCTION("SPLIT('2. c'!B117, "" "", True, True)"),"Actinobacillus")</f>
        <v>Actinobacillus</v>
      </c>
      <c r="D117" t="str">
        <f>IFERROR(__xludf.DUMMYFUNCTION("""COMPUTED_VALUE"""),"pleuropneumoniae")</f>
        <v>pleuropneumoniae</v>
      </c>
      <c r="E117" t="str">
        <f>IFERROR(__xludf.DUMMYFUNCTION("""COMPUTED_VALUE"""),"serovar")</f>
        <v>serovar</v>
      </c>
      <c r="F117">
        <f>IFERROR(__xludf.DUMMYFUNCTION("""COMPUTED_VALUE"""),8.0)</f>
        <v>8</v>
      </c>
    </row>
    <row r="118" ht="15.75" customHeight="1">
      <c r="A118" t="str">
        <f t="shared" si="1"/>
        <v>A.succinogenes</v>
      </c>
      <c r="B118" s="5" t="s">
        <v>131</v>
      </c>
      <c r="C118" s="6" t="str">
        <f>IFERROR(__xludf.DUMMYFUNCTION("SPLIT('2. c'!B118, "" "", True, True)"),"Actinobacillus")</f>
        <v>Actinobacillus</v>
      </c>
      <c r="D118" t="str">
        <f>IFERROR(__xludf.DUMMYFUNCTION("""COMPUTED_VALUE"""),"succinogenes")</f>
        <v>succinogenes</v>
      </c>
      <c r="E118" t="str">
        <f>IFERROR(__xludf.DUMMYFUNCTION("""COMPUTED_VALUE"""),"130Z")</f>
        <v>130Z</v>
      </c>
    </row>
    <row r="119" ht="15.75" customHeight="1">
      <c r="A119" t="str">
        <f t="shared" si="1"/>
        <v>A.suis</v>
      </c>
      <c r="B119" s="5" t="s">
        <v>132</v>
      </c>
      <c r="C119" s="6" t="str">
        <f>IFERROR(__xludf.DUMMYFUNCTION("SPLIT('2. c'!B119, "" "", True, True)"),"Actinobacillus")</f>
        <v>Actinobacillus</v>
      </c>
      <c r="D119" t="str">
        <f>IFERROR(__xludf.DUMMYFUNCTION("""COMPUTED_VALUE"""),"suis")</f>
        <v>suis</v>
      </c>
      <c r="E119" t="str">
        <f>IFERROR(__xludf.DUMMYFUNCTION("""COMPUTED_VALUE"""),"ATCC")</f>
        <v>ATCC</v>
      </c>
      <c r="F119">
        <f>IFERROR(__xludf.DUMMYFUNCTION("""COMPUTED_VALUE"""),33415.0)</f>
        <v>33415</v>
      </c>
    </row>
    <row r="120" ht="15.75" customHeight="1">
      <c r="A120" t="str">
        <f t="shared" si="1"/>
        <v>A.suis</v>
      </c>
      <c r="B120" s="5" t="s">
        <v>133</v>
      </c>
      <c r="C120" s="6" t="str">
        <f>IFERROR(__xludf.DUMMYFUNCTION("SPLIT('2. c'!B120, "" "", True, True)"),"Actinobacillus")</f>
        <v>Actinobacillus</v>
      </c>
      <c r="D120" t="str">
        <f>IFERROR(__xludf.DUMMYFUNCTION("""COMPUTED_VALUE"""),"suis")</f>
        <v>suis</v>
      </c>
      <c r="E120" t="str">
        <f>IFERROR(__xludf.DUMMYFUNCTION("""COMPUTED_VALUE"""),"H91-0380")</f>
        <v>H91-0380</v>
      </c>
    </row>
    <row r="121" ht="15.75" customHeight="1">
      <c r="A121" t="str">
        <f t="shared" si="1"/>
        <v>A.bacterium</v>
      </c>
      <c r="B121" s="5" t="s">
        <v>134</v>
      </c>
      <c r="C121" s="6" t="str">
        <f>IFERROR(__xludf.DUMMYFUNCTION("SPLIT('2. c'!B121, "" "", True, True)"),"Actinobacteria")</f>
        <v>Actinobacteria</v>
      </c>
      <c r="D121" t="str">
        <f>IFERROR(__xludf.DUMMYFUNCTION("""COMPUTED_VALUE"""),"bacterium")</f>
        <v>bacterium</v>
      </c>
      <c r="E121" t="str">
        <f>IFERROR(__xludf.DUMMYFUNCTION("""COMPUTED_VALUE"""),"IMCC26256")</f>
        <v>IMCC26256</v>
      </c>
    </row>
    <row r="122" ht="15.75" customHeight="1">
      <c r="A122" t="str">
        <f t="shared" si="1"/>
        <v>A.schaalii</v>
      </c>
      <c r="B122" s="5" t="s">
        <v>135</v>
      </c>
      <c r="C122" s="6" t="str">
        <f>IFERROR(__xludf.DUMMYFUNCTION("SPLIT('2. c'!B122, "" "", True, True)"),"Actinobaculum")</f>
        <v>Actinobaculum</v>
      </c>
      <c r="D122" t="str">
        <f>IFERROR(__xludf.DUMMYFUNCTION("""COMPUTED_VALUE"""),"schaalii")</f>
        <v>schaalii</v>
      </c>
      <c r="E122" t="str">
        <f>IFERROR(__xludf.DUMMYFUNCTION("""COMPUTED_VALUE"""),"strain")</f>
        <v>strain</v>
      </c>
      <c r="F122" t="str">
        <f>IFERROR(__xludf.DUMMYFUNCTION("""COMPUTED_VALUE"""),"CCUG")</f>
        <v>CCUG</v>
      </c>
      <c r="G122">
        <f>IFERROR(__xludf.DUMMYFUNCTION("""COMPUTED_VALUE"""),27420.0)</f>
        <v>27420</v>
      </c>
    </row>
    <row r="123" ht="15.75" customHeight="1">
      <c r="A123" t="str">
        <f t="shared" si="1"/>
        <v>A.meyeri</v>
      </c>
      <c r="B123" s="5" t="s">
        <v>136</v>
      </c>
      <c r="C123" s="6" t="str">
        <f>IFERROR(__xludf.DUMMYFUNCTION("SPLIT('2. c'!B123, "" "", True, True)"),"Actinomyces")</f>
        <v>Actinomyces</v>
      </c>
      <c r="D123" t="str">
        <f>IFERROR(__xludf.DUMMYFUNCTION("""COMPUTED_VALUE"""),"meyeri")</f>
        <v>meyeri</v>
      </c>
      <c r="E123" t="str">
        <f>IFERROR(__xludf.DUMMYFUNCTION("""COMPUTED_VALUE"""),"strain")</f>
        <v>strain</v>
      </c>
      <c r="F123" t="str">
        <f>IFERROR(__xludf.DUMMYFUNCTION("""COMPUTED_VALUE"""),"W712")</f>
        <v>W712</v>
      </c>
    </row>
    <row r="124" ht="15.75" customHeight="1">
      <c r="A124" t="str">
        <f t="shared" si="1"/>
        <v>A.oris</v>
      </c>
      <c r="B124" s="5" t="s">
        <v>137</v>
      </c>
      <c r="C124" s="6" t="str">
        <f>IFERROR(__xludf.DUMMYFUNCTION("SPLIT('2. c'!B124, "" "", True, True)"),"Actinomyces")</f>
        <v>Actinomyces</v>
      </c>
      <c r="D124" t="str">
        <f>IFERROR(__xludf.DUMMYFUNCTION("""COMPUTED_VALUE"""),"oris")</f>
        <v>oris</v>
      </c>
      <c r="E124" t="str">
        <f>IFERROR(__xludf.DUMMYFUNCTION("""COMPUTED_VALUE"""),"strain")</f>
        <v>strain</v>
      </c>
      <c r="F124" t="str">
        <f>IFERROR(__xludf.DUMMYFUNCTION("""COMPUTED_VALUE"""),"T14V")</f>
        <v>T14V</v>
      </c>
    </row>
    <row r="125" ht="15.75" customHeight="1">
      <c r="A125" t="str">
        <f t="shared" si="1"/>
        <v>A.radicidentis</v>
      </c>
      <c r="B125" s="5" t="s">
        <v>138</v>
      </c>
      <c r="C125" s="6" t="str">
        <f>IFERROR(__xludf.DUMMYFUNCTION("SPLIT('2. c'!B125, "" "", True, True)"),"Actinomyces")</f>
        <v>Actinomyces</v>
      </c>
      <c r="D125" t="str">
        <f>IFERROR(__xludf.DUMMYFUNCTION("""COMPUTED_VALUE"""),"radicidentis")</f>
        <v>radicidentis</v>
      </c>
      <c r="E125" t="str">
        <f>IFERROR(__xludf.DUMMYFUNCTION("""COMPUTED_VALUE"""),"strain")</f>
        <v>strain</v>
      </c>
      <c r="F125" t="str">
        <f>IFERROR(__xludf.DUMMYFUNCTION("""COMPUTED_VALUE"""),"CCUG")</f>
        <v>CCUG</v>
      </c>
      <c r="G125">
        <f>IFERROR(__xludf.DUMMYFUNCTION("""COMPUTED_VALUE"""),36733.0)</f>
        <v>36733</v>
      </c>
    </row>
    <row r="126" ht="15.75" customHeight="1">
      <c r="A126" t="str">
        <f t="shared" si="1"/>
        <v>A.sp.</v>
      </c>
      <c r="B126" s="5" t="s">
        <v>139</v>
      </c>
      <c r="C126" s="6" t="str">
        <f>IFERROR(__xludf.DUMMYFUNCTION("SPLIT('2. c'!B126, "" "", True, True)"),"Actinomyces")</f>
        <v>Actinomyces</v>
      </c>
      <c r="D126" t="str">
        <f>IFERROR(__xludf.DUMMYFUNCTION("""COMPUTED_VALUE"""),"sp.")</f>
        <v>sp.</v>
      </c>
      <c r="E126" t="str">
        <f>IFERROR(__xludf.DUMMYFUNCTION("""COMPUTED_VALUE"""),"oral")</f>
        <v>oral</v>
      </c>
      <c r="F126" t="str">
        <f>IFERROR(__xludf.DUMMYFUNCTION("""COMPUTED_VALUE"""),"taxon")</f>
        <v>taxon</v>
      </c>
      <c r="G126">
        <f>IFERROR(__xludf.DUMMYFUNCTION("""COMPUTED_VALUE"""),414.0)</f>
        <v>414</v>
      </c>
      <c r="H126" t="str">
        <f>IFERROR(__xludf.DUMMYFUNCTION("""COMPUTED_VALUE"""),"strain")</f>
        <v>strain</v>
      </c>
      <c r="I126" t="str">
        <f>IFERROR(__xludf.DUMMYFUNCTION("""COMPUTED_VALUE"""),"F0588")</f>
        <v>F0588</v>
      </c>
    </row>
    <row r="127" ht="15.75" customHeight="1">
      <c r="A127" t="str">
        <f t="shared" si="1"/>
        <v>A.friuliensis</v>
      </c>
      <c r="B127" s="5" t="s">
        <v>140</v>
      </c>
      <c r="C127" s="6" t="str">
        <f>IFERROR(__xludf.DUMMYFUNCTION("SPLIT('2. c'!B127, "" "", True, True)"),"Actinoplanes")</f>
        <v>Actinoplanes</v>
      </c>
      <c r="D127" t="str">
        <f>IFERROR(__xludf.DUMMYFUNCTION("""COMPUTED_VALUE"""),"friuliensis")</f>
        <v>friuliensis</v>
      </c>
      <c r="E127" t="str">
        <f>IFERROR(__xludf.DUMMYFUNCTION("""COMPUTED_VALUE"""),"DSM")</f>
        <v>DSM</v>
      </c>
      <c r="F127">
        <f>IFERROR(__xludf.DUMMYFUNCTION("""COMPUTED_VALUE"""),7358.0)</f>
        <v>7358</v>
      </c>
    </row>
    <row r="128" ht="15.75" customHeight="1">
      <c r="A128" t="str">
        <f t="shared" si="1"/>
        <v>A.missouriensis</v>
      </c>
      <c r="B128" s="5" t="s">
        <v>141</v>
      </c>
      <c r="C128" s="6" t="str">
        <f>IFERROR(__xludf.DUMMYFUNCTION("SPLIT('2. c'!B128, "" "", True, True)"),"Actinoplanes")</f>
        <v>Actinoplanes</v>
      </c>
      <c r="D128" t="str">
        <f>IFERROR(__xludf.DUMMYFUNCTION("""COMPUTED_VALUE"""),"missouriensis")</f>
        <v>missouriensis</v>
      </c>
      <c r="E128">
        <f>IFERROR(__xludf.DUMMYFUNCTION("""COMPUTED_VALUE"""),431.0)</f>
        <v>431</v>
      </c>
    </row>
    <row r="129" ht="15.75" customHeight="1">
      <c r="A129" t="str">
        <f t="shared" si="1"/>
        <v>A.sp.</v>
      </c>
      <c r="B129" s="5" t="s">
        <v>142</v>
      </c>
      <c r="C129" s="6" t="str">
        <f>IFERROR(__xludf.DUMMYFUNCTION("SPLIT('2. c'!B129, "" "", True, True)"),"Actinoplanes")</f>
        <v>Actinoplanes</v>
      </c>
      <c r="D129" t="str">
        <f>IFERROR(__xludf.DUMMYFUNCTION("""COMPUTED_VALUE"""),"sp.")</f>
        <v>sp.</v>
      </c>
      <c r="E129" t="str">
        <f>IFERROR(__xludf.DUMMYFUNCTION("""COMPUTED_VALUE"""),"N902-109")</f>
        <v>N902-109</v>
      </c>
    </row>
    <row r="130" ht="15.75" customHeight="1">
      <c r="A130" t="str">
        <f t="shared" si="1"/>
        <v>A.sp.</v>
      </c>
      <c r="B130" s="5" t="s">
        <v>143</v>
      </c>
      <c r="C130" s="6" t="str">
        <f>IFERROR(__xludf.DUMMYFUNCTION("SPLIT('2. c'!B130, "" "", True, True)"),"Actinoplanes")</f>
        <v>Actinoplanes</v>
      </c>
      <c r="D130" t="str">
        <f>IFERROR(__xludf.DUMMYFUNCTION("""COMPUTED_VALUE"""),"sp.")</f>
        <v>sp.</v>
      </c>
      <c r="E130" t="str">
        <f>IFERROR(__xludf.DUMMYFUNCTION("""COMPUTED_VALUE"""),"SE50/110")</f>
        <v>SE50/110</v>
      </c>
    </row>
    <row r="131" ht="15.75" customHeight="1">
      <c r="A131" t="str">
        <f t="shared" si="1"/>
        <v>A.mirum</v>
      </c>
      <c r="B131" s="5" t="s">
        <v>144</v>
      </c>
      <c r="C131" s="6" t="str">
        <f>IFERROR(__xludf.DUMMYFUNCTION("SPLIT('2. c'!B131, "" "", True, True)"),"Actinosynnema")</f>
        <v>Actinosynnema</v>
      </c>
      <c r="D131" t="str">
        <f>IFERROR(__xludf.DUMMYFUNCTION("""COMPUTED_VALUE"""),"mirum")</f>
        <v>mirum</v>
      </c>
      <c r="E131" t="str">
        <f>IFERROR(__xludf.DUMMYFUNCTION("""COMPUTED_VALUE"""),"DSM")</f>
        <v>DSM</v>
      </c>
      <c r="F131">
        <f>IFERROR(__xludf.DUMMYFUNCTION("""COMPUTED_VALUE"""),43827.0)</f>
        <v>43827</v>
      </c>
    </row>
    <row r="132" ht="15.75" customHeight="1">
      <c r="A132" t="str">
        <f t="shared" si="1"/>
        <v>A.equolifaciens</v>
      </c>
      <c r="B132" s="5" t="s">
        <v>145</v>
      </c>
      <c r="C132" s="6" t="str">
        <f>IFERROR(__xludf.DUMMYFUNCTION("SPLIT('2. c'!B132, "" "", True, True)"),"Adlercreutzia")</f>
        <v>Adlercreutzia</v>
      </c>
      <c r="D132" t="str">
        <f>IFERROR(__xludf.DUMMYFUNCTION("""COMPUTED_VALUE"""),"equolifaciens")</f>
        <v>equolifaciens</v>
      </c>
      <c r="E132" t="str">
        <f>IFERROR(__xludf.DUMMYFUNCTION("""COMPUTED_VALUE"""),"DSM")</f>
        <v>DSM</v>
      </c>
      <c r="F132">
        <f>IFERROR(__xludf.DUMMYFUNCTION("""COMPUTED_VALUE"""),19450.0)</f>
        <v>19450</v>
      </c>
    </row>
    <row r="133" ht="15.75" customHeight="1">
      <c r="A133" t="str">
        <f t="shared" si="1"/>
        <v>A.mimigardefordensis</v>
      </c>
      <c r="B133" s="5" t="s">
        <v>146</v>
      </c>
      <c r="C133" s="6" t="str">
        <f>IFERROR(__xludf.DUMMYFUNCTION("SPLIT('2. c'!B133, "" "", True, True)"),"Advenella")</f>
        <v>Advenella</v>
      </c>
      <c r="D133" t="str">
        <f>IFERROR(__xludf.DUMMYFUNCTION("""COMPUTED_VALUE"""),"mimigardefordensis")</f>
        <v>mimigardefordensis</v>
      </c>
      <c r="E133" t="str">
        <f>IFERROR(__xludf.DUMMYFUNCTION("""COMPUTED_VALUE"""),"DPN7")</f>
        <v>DPN7</v>
      </c>
    </row>
    <row r="134" ht="15.75" customHeight="1">
      <c r="A134" t="str">
        <f t="shared" si="1"/>
        <v>A.sublithincola</v>
      </c>
      <c r="B134" s="5" t="s">
        <v>147</v>
      </c>
      <c r="C134" s="6" t="str">
        <f>IFERROR(__xludf.DUMMYFUNCTION("SPLIT('2. c'!B134, "" "", True, True)"),"Aequorivita")</f>
        <v>Aequorivita</v>
      </c>
      <c r="D134" t="str">
        <f>IFERROR(__xludf.DUMMYFUNCTION("""COMPUTED_VALUE"""),"sublithincola")</f>
        <v>sublithincola</v>
      </c>
      <c r="E134" t="str">
        <f>IFERROR(__xludf.DUMMYFUNCTION("""COMPUTED_VALUE"""),"DSM")</f>
        <v>DSM</v>
      </c>
      <c r="F134">
        <f>IFERROR(__xludf.DUMMYFUNCTION("""COMPUTED_VALUE"""),14238.0)</f>
        <v>14238</v>
      </c>
    </row>
    <row r="135" ht="15.75" customHeight="1">
      <c r="A135" t="str">
        <f t="shared" si="1"/>
        <v>A.christensenii</v>
      </c>
      <c r="B135" s="5" t="s">
        <v>148</v>
      </c>
      <c r="C135" s="6" t="str">
        <f>IFERROR(__xludf.DUMMYFUNCTION("SPLIT('2. c'!B135, "" "", True, True)"),"Aerococcus")</f>
        <v>Aerococcus</v>
      </c>
      <c r="D135" t="str">
        <f>IFERROR(__xludf.DUMMYFUNCTION("""COMPUTED_VALUE"""),"christensenii")</f>
        <v>christensenii</v>
      </c>
      <c r="E135" t="str">
        <f>IFERROR(__xludf.DUMMYFUNCTION("""COMPUTED_VALUE"""),"strain")</f>
        <v>strain</v>
      </c>
      <c r="F135" t="str">
        <f>IFERROR(__xludf.DUMMYFUNCTION("""COMPUTED_VALUE"""),"CCUG28831")</f>
        <v>CCUG28831</v>
      </c>
    </row>
    <row r="136" ht="15.75" customHeight="1">
      <c r="A136" t="str">
        <f t="shared" si="1"/>
        <v>A.sanguinicola</v>
      </c>
      <c r="B136" s="5" t="s">
        <v>149</v>
      </c>
      <c r="C136" s="6" t="str">
        <f>IFERROR(__xludf.DUMMYFUNCTION("SPLIT('2. c'!B136, "" "", True, True)"),"Aerococcus")</f>
        <v>Aerococcus</v>
      </c>
      <c r="D136" t="str">
        <f>IFERROR(__xludf.DUMMYFUNCTION("""COMPUTED_VALUE"""),"sanguinicola")</f>
        <v>sanguinicola</v>
      </c>
      <c r="E136" t="str">
        <f>IFERROR(__xludf.DUMMYFUNCTION("""COMPUTED_VALUE"""),"strain")</f>
        <v>strain</v>
      </c>
      <c r="F136" t="str">
        <f>IFERROR(__xludf.DUMMYFUNCTION("""COMPUTED_VALUE"""),"CCUG43001")</f>
        <v>CCUG43001</v>
      </c>
    </row>
    <row r="137" ht="15.75" customHeight="1">
      <c r="A137" t="str">
        <f t="shared" si="1"/>
        <v>A.urinae</v>
      </c>
      <c r="B137" s="5" t="s">
        <v>150</v>
      </c>
      <c r="C137" s="6" t="str">
        <f>IFERROR(__xludf.DUMMYFUNCTION("SPLIT('2. c'!B137, "" "", True, True)"),"Aerococcus")</f>
        <v>Aerococcus</v>
      </c>
      <c r="D137" t="str">
        <f>IFERROR(__xludf.DUMMYFUNCTION("""COMPUTED_VALUE"""),"urinae")</f>
        <v>urinae</v>
      </c>
      <c r="E137" t="str">
        <f>IFERROR(__xludf.DUMMYFUNCTION("""COMPUTED_VALUE"""),"ACS-120-V-Col10a")</f>
        <v>ACS-120-V-Col10a</v>
      </c>
    </row>
    <row r="138" ht="15.75" customHeight="1">
      <c r="A138" t="str">
        <f t="shared" si="1"/>
        <v>A.urinae</v>
      </c>
      <c r="B138" s="5" t="s">
        <v>151</v>
      </c>
      <c r="C138" s="6" t="str">
        <f>IFERROR(__xludf.DUMMYFUNCTION("SPLIT('2. c'!B138, "" "", True, True)"),"Aerococcus")</f>
        <v>Aerococcus</v>
      </c>
      <c r="D138" t="str">
        <f>IFERROR(__xludf.DUMMYFUNCTION("""COMPUTED_VALUE"""),"urinae")</f>
        <v>urinae</v>
      </c>
      <c r="E138" t="str">
        <f>IFERROR(__xludf.DUMMYFUNCTION("""COMPUTED_VALUE"""),"strain")</f>
        <v>strain</v>
      </c>
      <c r="F138" t="str">
        <f>IFERROR(__xludf.DUMMYFUNCTION("""COMPUTED_VALUE"""),"CCUG36881")</f>
        <v>CCUG36881</v>
      </c>
    </row>
    <row r="139" ht="15.75" customHeight="1">
      <c r="A139" t="str">
        <f t="shared" si="1"/>
        <v>A.urinaeequi</v>
      </c>
      <c r="B139" s="5" t="s">
        <v>152</v>
      </c>
      <c r="C139" s="6" t="str">
        <f>IFERROR(__xludf.DUMMYFUNCTION("SPLIT('2. c'!B139, "" "", True, True)"),"Aerococcus")</f>
        <v>Aerococcus</v>
      </c>
      <c r="D139" t="str">
        <f>IFERROR(__xludf.DUMMYFUNCTION("""COMPUTED_VALUE"""),"urinaeequi")</f>
        <v>urinaeequi</v>
      </c>
      <c r="E139" t="str">
        <f>IFERROR(__xludf.DUMMYFUNCTION("""COMPUTED_VALUE"""),"strain")</f>
        <v>strain</v>
      </c>
      <c r="F139" t="str">
        <f>IFERROR(__xludf.DUMMYFUNCTION("""COMPUTED_VALUE"""),"CCUG28094")</f>
        <v>CCUG28094</v>
      </c>
    </row>
    <row r="140" ht="15.75" customHeight="1">
      <c r="A140" t="str">
        <f t="shared" si="1"/>
        <v>A.urinaeequi</v>
      </c>
      <c r="B140" s="5" t="s">
        <v>153</v>
      </c>
      <c r="C140" s="6" t="str">
        <f>IFERROR(__xludf.DUMMYFUNCTION("SPLIT('2. c'!B140, "" "", True, True)"),"Aerococcus")</f>
        <v>Aerococcus</v>
      </c>
      <c r="D140" t="str">
        <f>IFERROR(__xludf.DUMMYFUNCTION("""COMPUTED_VALUE"""),"urinaeequi")</f>
        <v>urinaeequi</v>
      </c>
      <c r="E140" t="str">
        <f>IFERROR(__xludf.DUMMYFUNCTION("""COMPUTED_VALUE"""),"strain")</f>
        <v>strain</v>
      </c>
      <c r="F140" t="str">
        <f>IFERROR(__xludf.DUMMYFUNCTION("""COMPUTED_VALUE"""),"USDA-ARS-USMARC-56713")</f>
        <v>USDA-ARS-USMARC-56713</v>
      </c>
    </row>
    <row r="141" ht="15.75" customHeight="1">
      <c r="A141" t="str">
        <f t="shared" si="1"/>
        <v>A.urinaehominis</v>
      </c>
      <c r="B141" s="5" t="s">
        <v>154</v>
      </c>
      <c r="C141" s="6" t="str">
        <f>IFERROR(__xludf.DUMMYFUNCTION("SPLIT('2. c'!B141, "" "", True, True)"),"Aerococcus")</f>
        <v>Aerococcus</v>
      </c>
      <c r="D141" t="str">
        <f>IFERROR(__xludf.DUMMYFUNCTION("""COMPUTED_VALUE"""),"urinaehominis")</f>
        <v>urinaehominis</v>
      </c>
      <c r="E141" t="str">
        <f>IFERROR(__xludf.DUMMYFUNCTION("""COMPUTED_VALUE"""),"strain")</f>
        <v>strain</v>
      </c>
      <c r="F141" t="str">
        <f>IFERROR(__xludf.DUMMYFUNCTION("""COMPUTED_VALUE"""),"CCUG42038B")</f>
        <v>CCUG42038B</v>
      </c>
    </row>
    <row r="142" ht="15.75" customHeight="1">
      <c r="A142" t="str">
        <f t="shared" si="1"/>
        <v>A.viridans</v>
      </c>
      <c r="B142" s="5" t="s">
        <v>155</v>
      </c>
      <c r="C142" s="6" t="str">
        <f>IFERROR(__xludf.DUMMYFUNCTION("SPLIT('2. c'!B142, "" "", True, True)"),"Aerococcus")</f>
        <v>Aerococcus</v>
      </c>
      <c r="D142" t="str">
        <f>IFERROR(__xludf.DUMMYFUNCTION("""COMPUTED_VALUE"""),"viridans")</f>
        <v>viridans</v>
      </c>
      <c r="E142" t="str">
        <f>IFERROR(__xludf.DUMMYFUNCTION("""COMPUTED_VALUE"""),"strain")</f>
        <v>strain</v>
      </c>
      <c r="F142" t="str">
        <f>IFERROR(__xludf.DUMMYFUNCTION("""COMPUTED_VALUE"""),"CCUG4311")</f>
        <v>CCUG4311</v>
      </c>
    </row>
    <row r="143" ht="15.75" customHeight="1">
      <c r="A143" t="str">
        <f t="shared" si="1"/>
        <v>A.erythreum</v>
      </c>
      <c r="B143" s="5" t="s">
        <v>156</v>
      </c>
      <c r="C143" s="6" t="str">
        <f>IFERROR(__xludf.DUMMYFUNCTION("SPLIT('2. c'!B143, "" "", True, True)"),"Aeromicrobium")</f>
        <v>Aeromicrobium</v>
      </c>
      <c r="D143" t="str">
        <f>IFERROR(__xludf.DUMMYFUNCTION("""COMPUTED_VALUE"""),"erythreum")</f>
        <v>erythreum</v>
      </c>
      <c r="E143" t="str">
        <f>IFERROR(__xludf.DUMMYFUNCTION("""COMPUTED_VALUE"""),"strain")</f>
        <v>strain</v>
      </c>
      <c r="F143" t="str">
        <f>IFERROR(__xludf.DUMMYFUNCTION("""COMPUTED_VALUE"""),"AR18")</f>
        <v>AR18</v>
      </c>
    </row>
    <row r="144" ht="15.75" customHeight="1">
      <c r="A144" t="str">
        <f t="shared" si="1"/>
        <v>A.sp.</v>
      </c>
      <c r="B144" s="5" t="s">
        <v>157</v>
      </c>
      <c r="C144" s="6" t="str">
        <f>IFERROR(__xludf.DUMMYFUNCTION("SPLIT('2. c'!B144, "" "", True, True)"),"Aeromicrobium")</f>
        <v>Aeromicrobium</v>
      </c>
      <c r="D144" t="str">
        <f>IFERROR(__xludf.DUMMYFUNCTION("""COMPUTED_VALUE"""),"sp.")</f>
        <v>sp.</v>
      </c>
      <c r="E144" t="str">
        <f>IFERROR(__xludf.DUMMYFUNCTION("""COMPUTED_VALUE"""),"Root236")</f>
        <v>Root236</v>
      </c>
    </row>
    <row r="145" ht="15.75" customHeight="1">
      <c r="A145" t="str">
        <f t="shared" si="1"/>
        <v>A.sp.</v>
      </c>
      <c r="B145" s="5" t="s">
        <v>158</v>
      </c>
      <c r="C145" s="6" t="str">
        <f>IFERROR(__xludf.DUMMYFUNCTION("SPLIT('2. c'!B145, "" "", True, True)"),"Aeromicrobium")</f>
        <v>Aeromicrobium</v>
      </c>
      <c r="D145" t="str">
        <f>IFERROR(__xludf.DUMMYFUNCTION("""COMPUTED_VALUE"""),"sp.")</f>
        <v>sp.</v>
      </c>
      <c r="E145" t="str">
        <f>IFERROR(__xludf.DUMMYFUNCTION("""COMPUTED_VALUE"""),"Root344")</f>
        <v>Root344</v>
      </c>
    </row>
    <row r="146" ht="15.75" customHeight="1">
      <c r="A146" t="str">
        <f t="shared" si="1"/>
        <v>A.caviae</v>
      </c>
      <c r="B146" s="5" t="s">
        <v>159</v>
      </c>
      <c r="C146" s="6" t="str">
        <f>IFERROR(__xludf.DUMMYFUNCTION("SPLIT('2. c'!B146, "" "", True, True)"),"Aeromonas")</f>
        <v>Aeromonas</v>
      </c>
      <c r="D146" t="str">
        <f>IFERROR(__xludf.DUMMYFUNCTION("""COMPUTED_VALUE"""),"caviae")</f>
        <v>caviae</v>
      </c>
      <c r="E146" t="str">
        <f>IFERROR(__xludf.DUMMYFUNCTION("""COMPUTED_VALUE"""),"strain")</f>
        <v>strain</v>
      </c>
      <c r="F146" t="str">
        <f>IFERROR(__xludf.DUMMYFUNCTION("""COMPUTED_VALUE"""),"FDAARGOS_72")</f>
        <v>FDAARGOS_72</v>
      </c>
    </row>
    <row r="147" ht="15.75" customHeight="1">
      <c r="A147" t="str">
        <f t="shared" si="1"/>
        <v>A.caviae</v>
      </c>
      <c r="B147" s="5" t="s">
        <v>160</v>
      </c>
      <c r="C147" s="6" t="str">
        <f>IFERROR(__xludf.DUMMYFUNCTION("SPLIT('2. c'!B147, "" "", True, True)"),"Aeromonas")</f>
        <v>Aeromonas</v>
      </c>
      <c r="D147" t="str">
        <f>IFERROR(__xludf.DUMMYFUNCTION("""COMPUTED_VALUE"""),"caviae")</f>
        <v>caviae</v>
      </c>
      <c r="E147" t="str">
        <f>IFERROR(__xludf.DUMMYFUNCTION("""COMPUTED_VALUE"""),"strain")</f>
        <v>strain</v>
      </c>
      <c r="F147" t="str">
        <f>IFERROR(__xludf.DUMMYFUNCTION("""COMPUTED_VALUE"""),"FDAARGOS_75")</f>
        <v>FDAARGOS_75</v>
      </c>
    </row>
    <row r="148" ht="15.75" customHeight="1">
      <c r="A148" t="str">
        <f t="shared" si="1"/>
        <v>A.hydrophila</v>
      </c>
      <c r="B148" s="5" t="s">
        <v>161</v>
      </c>
      <c r="C148" s="6" t="str">
        <f>IFERROR(__xludf.DUMMYFUNCTION("SPLIT('2. c'!B148, "" "", True, True)"),"Aeromonas")</f>
        <v>Aeromonas</v>
      </c>
      <c r="D148" t="str">
        <f>IFERROR(__xludf.DUMMYFUNCTION("""COMPUTED_VALUE"""),"hydrophila")</f>
        <v>hydrophila</v>
      </c>
      <c r="E148" t="str">
        <f>IFERROR(__xludf.DUMMYFUNCTION("""COMPUTED_VALUE"""),"4AK4")</f>
        <v>4AK4</v>
      </c>
    </row>
    <row r="149" ht="15.75" customHeight="1">
      <c r="A149" t="str">
        <f t="shared" si="1"/>
        <v>A.hydrophila</v>
      </c>
      <c r="B149" s="5" t="s">
        <v>162</v>
      </c>
      <c r="C149" s="6" t="str">
        <f>IFERROR(__xludf.DUMMYFUNCTION("SPLIT('2. c'!B149, "" "", True, True)"),"Aeromonas")</f>
        <v>Aeromonas</v>
      </c>
      <c r="D149" t="str">
        <f>IFERROR(__xludf.DUMMYFUNCTION("""COMPUTED_VALUE"""),"hydrophila")</f>
        <v>hydrophila</v>
      </c>
      <c r="E149" t="str">
        <f>IFERROR(__xludf.DUMMYFUNCTION("""COMPUTED_VALUE"""),"AL09-71")</f>
        <v>AL09-71</v>
      </c>
    </row>
    <row r="150" ht="15.75" customHeight="1">
      <c r="A150" t="str">
        <f t="shared" si="1"/>
        <v>A.hydrophila</v>
      </c>
      <c r="B150" s="5" t="s">
        <v>163</v>
      </c>
      <c r="C150" s="6" t="str">
        <f>IFERROR(__xludf.DUMMYFUNCTION("SPLIT('2. c'!B150, "" "", True, True)"),"Aeromonas")</f>
        <v>Aeromonas</v>
      </c>
      <c r="D150" t="str">
        <f>IFERROR(__xludf.DUMMYFUNCTION("""COMPUTED_VALUE"""),"hydrophila")</f>
        <v>hydrophila</v>
      </c>
      <c r="E150" t="str">
        <f>IFERROR(__xludf.DUMMYFUNCTION("""COMPUTED_VALUE"""),"J-1")</f>
        <v>J-1</v>
      </c>
    </row>
    <row r="151" ht="15.75" customHeight="1">
      <c r="A151" t="str">
        <f t="shared" si="1"/>
        <v>A.hydrophila</v>
      </c>
      <c r="B151" s="5" t="s">
        <v>164</v>
      </c>
      <c r="C151" s="6" t="str">
        <f>IFERROR(__xludf.DUMMYFUNCTION("SPLIT('2. c'!B151, "" "", True, True)"),"Aeromonas")</f>
        <v>Aeromonas</v>
      </c>
      <c r="D151" t="str">
        <f>IFERROR(__xludf.DUMMYFUNCTION("""COMPUTED_VALUE"""),"hydrophila")</f>
        <v>hydrophila</v>
      </c>
      <c r="E151" t="str">
        <f>IFERROR(__xludf.DUMMYFUNCTION("""COMPUTED_VALUE"""),"ML09-119")</f>
        <v>ML09-119</v>
      </c>
    </row>
    <row r="152" ht="15.75" customHeight="1">
      <c r="A152" t="str">
        <f t="shared" si="1"/>
        <v>A.hydrophila</v>
      </c>
      <c r="B152" s="5" t="s">
        <v>165</v>
      </c>
      <c r="C152" s="6" t="str">
        <f>IFERROR(__xludf.DUMMYFUNCTION("SPLIT('2. c'!B152, "" "", True, True)"),"Aeromonas")</f>
        <v>Aeromonas</v>
      </c>
      <c r="D152" t="str">
        <f>IFERROR(__xludf.DUMMYFUNCTION("""COMPUTED_VALUE"""),"hydrophila")</f>
        <v>hydrophila</v>
      </c>
      <c r="E152" t="str">
        <f>IFERROR(__xludf.DUMMYFUNCTION("""COMPUTED_VALUE"""),"NJ-35")</f>
        <v>NJ-35</v>
      </c>
    </row>
    <row r="153" ht="15.75" customHeight="1">
      <c r="A153" t="str">
        <f t="shared" si="1"/>
        <v>A.hydrophila</v>
      </c>
      <c r="B153" s="5" t="s">
        <v>166</v>
      </c>
      <c r="C153" s="6" t="str">
        <f>IFERROR(__xludf.DUMMYFUNCTION("SPLIT('2. c'!B153, "" "", True, True)"),"Aeromonas")</f>
        <v>Aeromonas</v>
      </c>
      <c r="D153" t="str">
        <f>IFERROR(__xludf.DUMMYFUNCTION("""COMPUTED_VALUE"""),"hydrophila")</f>
        <v>hydrophila</v>
      </c>
      <c r="E153" t="str">
        <f>IFERROR(__xludf.DUMMYFUNCTION("""COMPUTED_VALUE"""),"pc104A")</f>
        <v>pc104A</v>
      </c>
    </row>
    <row r="154" ht="15.75" customHeight="1">
      <c r="A154" t="str">
        <f t="shared" si="1"/>
        <v>A.hydrophila</v>
      </c>
      <c r="B154" s="5" t="s">
        <v>167</v>
      </c>
      <c r="C154" s="6" t="str">
        <f>IFERROR(__xludf.DUMMYFUNCTION("SPLIT('2. c'!B154, "" "", True, True)"),"Aeromonas")</f>
        <v>Aeromonas</v>
      </c>
      <c r="D154" t="str">
        <f>IFERROR(__xludf.DUMMYFUNCTION("""COMPUTED_VALUE"""),"hydrophila")</f>
        <v>hydrophila</v>
      </c>
      <c r="E154" t="str">
        <f>IFERROR(__xludf.DUMMYFUNCTION("""COMPUTED_VALUE"""),"strain")</f>
        <v>strain</v>
      </c>
      <c r="F154" t="str">
        <f>IFERROR(__xludf.DUMMYFUNCTION("""COMPUTED_VALUE"""),"AH10")</f>
        <v>AH10</v>
      </c>
    </row>
    <row r="155" ht="15.75" customHeight="1">
      <c r="A155" t="str">
        <f t="shared" si="1"/>
        <v>A.hydrophila</v>
      </c>
      <c r="B155" s="5" t="s">
        <v>168</v>
      </c>
      <c r="C155" s="6" t="str">
        <f>IFERROR(__xludf.DUMMYFUNCTION("SPLIT('2. c'!B155, "" "", True, True)"),"Aeromonas")</f>
        <v>Aeromonas</v>
      </c>
      <c r="D155" t="str">
        <f>IFERROR(__xludf.DUMMYFUNCTION("""COMPUTED_VALUE"""),"hydrophila")</f>
        <v>hydrophila</v>
      </c>
      <c r="E155" t="str">
        <f>IFERROR(__xludf.DUMMYFUNCTION("""COMPUTED_VALUE"""),"strain")</f>
        <v>strain</v>
      </c>
      <c r="F155" t="str">
        <f>IFERROR(__xludf.DUMMYFUNCTION("""COMPUTED_VALUE"""),"AL06-06")</f>
        <v>AL06-06</v>
      </c>
    </row>
    <row r="156" ht="15.75" customHeight="1">
      <c r="A156" t="str">
        <f t="shared" si="1"/>
        <v>A.hydrophila</v>
      </c>
      <c r="B156" s="5" t="s">
        <v>169</v>
      </c>
      <c r="C156" s="6" t="str">
        <f>IFERROR(__xludf.DUMMYFUNCTION("SPLIT('2. c'!B156, "" "", True, True)"),"Aeromonas")</f>
        <v>Aeromonas</v>
      </c>
      <c r="D156" t="str">
        <f>IFERROR(__xludf.DUMMYFUNCTION("""COMPUTED_VALUE"""),"hydrophila")</f>
        <v>hydrophila</v>
      </c>
      <c r="E156" t="str">
        <f>IFERROR(__xludf.DUMMYFUNCTION("""COMPUTED_VALUE"""),"strain")</f>
        <v>strain</v>
      </c>
      <c r="F156" t="str">
        <f>IFERROR(__xludf.DUMMYFUNCTION("""COMPUTED_VALUE"""),"D4")</f>
        <v>D4</v>
      </c>
    </row>
    <row r="157" ht="15.75" customHeight="1">
      <c r="A157" t="str">
        <f t="shared" si="1"/>
        <v>A.hydrophila</v>
      </c>
      <c r="B157" s="5" t="s">
        <v>170</v>
      </c>
      <c r="C157" s="6" t="str">
        <f>IFERROR(__xludf.DUMMYFUNCTION("SPLIT('2. c'!B157, "" "", True, True)"),"Aeromonas")</f>
        <v>Aeromonas</v>
      </c>
      <c r="D157" t="str">
        <f>IFERROR(__xludf.DUMMYFUNCTION("""COMPUTED_VALUE"""),"hydrophila")</f>
        <v>hydrophila</v>
      </c>
      <c r="E157" t="str">
        <f>IFERROR(__xludf.DUMMYFUNCTION("""COMPUTED_VALUE"""),"strain")</f>
        <v>strain</v>
      </c>
      <c r="F157" t="str">
        <f>IFERROR(__xludf.DUMMYFUNCTION("""COMPUTED_VALUE"""),"JBN2301")</f>
        <v>JBN2301</v>
      </c>
    </row>
    <row r="158" ht="15.75" customHeight="1">
      <c r="A158" t="str">
        <f t="shared" si="1"/>
        <v>A.hydrophila</v>
      </c>
      <c r="B158" s="5" t="s">
        <v>171</v>
      </c>
      <c r="C158" s="6" t="str">
        <f>IFERROR(__xludf.DUMMYFUNCTION("SPLIT('2. c'!B158, "" "", True, True)"),"Aeromonas")</f>
        <v>Aeromonas</v>
      </c>
      <c r="D158" t="str">
        <f>IFERROR(__xludf.DUMMYFUNCTION("""COMPUTED_VALUE"""),"hydrophila")</f>
        <v>hydrophila</v>
      </c>
      <c r="E158" t="str">
        <f>IFERROR(__xludf.DUMMYFUNCTION("""COMPUTED_VALUE"""),"subsp.")</f>
        <v>subsp.</v>
      </c>
      <c r="F158" t="str">
        <f>IFERROR(__xludf.DUMMYFUNCTION("""COMPUTED_VALUE"""),"hydrophila")</f>
        <v>hydrophila</v>
      </c>
      <c r="G158" t="str">
        <f>IFERROR(__xludf.DUMMYFUNCTION("""COMPUTED_VALUE"""),"ATCC")</f>
        <v>ATCC</v>
      </c>
      <c r="H158">
        <f>IFERROR(__xludf.DUMMYFUNCTION("""COMPUTED_VALUE"""),7966.0)</f>
        <v>7966</v>
      </c>
    </row>
    <row r="159" ht="15.75" customHeight="1">
      <c r="A159" t="str">
        <f t="shared" si="1"/>
        <v>A.hydrophila</v>
      </c>
      <c r="B159" s="5" t="s">
        <v>172</v>
      </c>
      <c r="C159" s="6" t="str">
        <f>IFERROR(__xludf.DUMMYFUNCTION("SPLIT('2. c'!B159, "" "", True, True)"),"Aeromonas")</f>
        <v>Aeromonas</v>
      </c>
      <c r="D159" t="str">
        <f>IFERROR(__xludf.DUMMYFUNCTION("""COMPUTED_VALUE"""),"hydrophila")</f>
        <v>hydrophila</v>
      </c>
      <c r="E159" t="str">
        <f>IFERROR(__xludf.DUMMYFUNCTION("""COMPUTED_VALUE"""),"YL17")</f>
        <v>YL17</v>
      </c>
    </row>
    <row r="160" ht="15.75" customHeight="1">
      <c r="A160" t="str">
        <f t="shared" si="1"/>
        <v>A.salmonicida</v>
      </c>
      <c r="B160" s="5" t="s">
        <v>173</v>
      </c>
      <c r="C160" s="6" t="str">
        <f>IFERROR(__xludf.DUMMYFUNCTION("SPLIT('2. c'!B160, "" "", True, True)"),"Aeromonas")</f>
        <v>Aeromonas</v>
      </c>
      <c r="D160" t="str">
        <f>IFERROR(__xludf.DUMMYFUNCTION("""COMPUTED_VALUE"""),"salmonicida")</f>
        <v>salmonicida</v>
      </c>
      <c r="E160" t="str">
        <f>IFERROR(__xludf.DUMMYFUNCTION("""COMPUTED_VALUE"""),"subsp.")</f>
        <v>subsp.</v>
      </c>
      <c r="F160" t="str">
        <f>IFERROR(__xludf.DUMMYFUNCTION("""COMPUTED_VALUE"""),"salmonicida")</f>
        <v>salmonicida</v>
      </c>
      <c r="G160" t="str">
        <f>IFERROR(__xludf.DUMMYFUNCTION("""COMPUTED_VALUE"""),"A449")</f>
        <v>A449</v>
      </c>
    </row>
    <row r="161" ht="15.75" customHeight="1">
      <c r="A161" t="str">
        <f t="shared" si="1"/>
        <v>A.schubertii</v>
      </c>
      <c r="B161" s="5" t="s">
        <v>174</v>
      </c>
      <c r="C161" s="6" t="str">
        <f>IFERROR(__xludf.DUMMYFUNCTION("SPLIT('2. c'!B161, "" "", True, True)"),"Aeromonas")</f>
        <v>Aeromonas</v>
      </c>
      <c r="D161" t="str">
        <f>IFERROR(__xludf.DUMMYFUNCTION("""COMPUTED_VALUE"""),"schubertii")</f>
        <v>schubertii</v>
      </c>
      <c r="E161" t="str">
        <f>IFERROR(__xludf.DUMMYFUNCTION("""COMPUTED_VALUE"""),"strain")</f>
        <v>strain</v>
      </c>
      <c r="F161" t="str">
        <f>IFERROR(__xludf.DUMMYFUNCTION("""COMPUTED_VALUE"""),"WL1483")</f>
        <v>WL1483</v>
      </c>
    </row>
    <row r="162" ht="15.75" customHeight="1">
      <c r="A162" t="str">
        <f t="shared" si="1"/>
        <v>A.veronii</v>
      </c>
      <c r="B162" s="5" t="s">
        <v>175</v>
      </c>
      <c r="C162" s="6" t="str">
        <f>IFERROR(__xludf.DUMMYFUNCTION("SPLIT('2. c'!B162, "" "", True, True)"),"Aeromonas")</f>
        <v>Aeromonas</v>
      </c>
      <c r="D162" t="str">
        <f>IFERROR(__xludf.DUMMYFUNCTION("""COMPUTED_VALUE"""),"veronii")</f>
        <v>veronii</v>
      </c>
      <c r="E162" t="str">
        <f>IFERROR(__xludf.DUMMYFUNCTION("""COMPUTED_VALUE"""),"B565")</f>
        <v>B565</v>
      </c>
    </row>
    <row r="163" ht="15.75" customHeight="1">
      <c r="A163" t="str">
        <f t="shared" si="1"/>
        <v>A.veronii</v>
      </c>
      <c r="B163" s="5" t="s">
        <v>176</v>
      </c>
      <c r="C163" s="6" t="str">
        <f>IFERROR(__xludf.DUMMYFUNCTION("SPLIT('2. c'!B163, "" "", True, True)"),"Aeromonas")</f>
        <v>Aeromonas</v>
      </c>
      <c r="D163" t="str">
        <f>IFERROR(__xludf.DUMMYFUNCTION("""COMPUTED_VALUE"""),"veronii")</f>
        <v>veronii</v>
      </c>
      <c r="E163" t="str">
        <f>IFERROR(__xludf.DUMMYFUNCTION("""COMPUTED_VALUE"""),"strain")</f>
        <v>strain</v>
      </c>
      <c r="F163" t="str">
        <f>IFERROR(__xludf.DUMMYFUNCTION("""COMPUTED_VALUE"""),"AVNIH1")</f>
        <v>AVNIH1</v>
      </c>
    </row>
    <row r="164" ht="15.75" customHeight="1">
      <c r="A164" t="str">
        <f t="shared" si="1"/>
        <v>A.veronii</v>
      </c>
      <c r="B164" s="5" t="s">
        <v>177</v>
      </c>
      <c r="C164" s="6" t="str">
        <f>IFERROR(__xludf.DUMMYFUNCTION("SPLIT('2. c'!B164, "" "", True, True)"),"Aeromonas")</f>
        <v>Aeromonas</v>
      </c>
      <c r="D164" t="str">
        <f>IFERROR(__xludf.DUMMYFUNCTION("""COMPUTED_VALUE"""),"veronii")</f>
        <v>veronii</v>
      </c>
      <c r="E164" t="str">
        <f>IFERROR(__xludf.DUMMYFUNCTION("""COMPUTED_VALUE"""),"strain")</f>
        <v>strain</v>
      </c>
      <c r="F164" t="str">
        <f>IFERROR(__xludf.DUMMYFUNCTION("""COMPUTED_VALUE"""),"CB51")</f>
        <v>CB51</v>
      </c>
    </row>
    <row r="165" ht="15.75" customHeight="1">
      <c r="A165" t="str">
        <f t="shared" si="1"/>
        <v>A.veronii</v>
      </c>
      <c r="B165" s="5" t="s">
        <v>178</v>
      </c>
      <c r="C165" s="6" t="str">
        <f>IFERROR(__xludf.DUMMYFUNCTION("SPLIT('2. c'!B165, "" "", True, True)"),"Aeromonas")</f>
        <v>Aeromonas</v>
      </c>
      <c r="D165" t="str">
        <f>IFERROR(__xludf.DUMMYFUNCTION("""COMPUTED_VALUE"""),"veronii")</f>
        <v>veronii</v>
      </c>
      <c r="E165" t="str">
        <f>IFERROR(__xludf.DUMMYFUNCTION("""COMPUTED_VALUE"""),"strain")</f>
        <v>strain</v>
      </c>
      <c r="F165" t="str">
        <f>IFERROR(__xludf.DUMMYFUNCTION("""COMPUTED_VALUE"""),"TH0426")</f>
        <v>TH0426</v>
      </c>
    </row>
    <row r="166" ht="15.75" customHeight="1">
      <c r="A166" t="str">
        <f t="shared" si="1"/>
        <v>A.camini</v>
      </c>
      <c r="B166" s="5" t="s">
        <v>179</v>
      </c>
      <c r="C166" s="6" t="str">
        <f>IFERROR(__xludf.DUMMYFUNCTION("SPLIT('2. c'!B166, "" "", True, True)"),"Aeropyrum")</f>
        <v>Aeropyrum</v>
      </c>
      <c r="D166" t="str">
        <f>IFERROR(__xludf.DUMMYFUNCTION("""COMPUTED_VALUE"""),"camini")</f>
        <v>camini</v>
      </c>
      <c r="E166" t="str">
        <f>IFERROR(__xludf.DUMMYFUNCTION("""COMPUTED_VALUE"""),"SY1")</f>
        <v>SY1</v>
      </c>
      <c r="F166" t="str">
        <f>IFERROR(__xludf.DUMMYFUNCTION("""COMPUTED_VALUE"""),"=")</f>
        <v>=</v>
      </c>
      <c r="G166" t="str">
        <f>IFERROR(__xludf.DUMMYFUNCTION("""COMPUTED_VALUE"""),"JCM")</f>
        <v>JCM</v>
      </c>
      <c r="H166">
        <f>IFERROR(__xludf.DUMMYFUNCTION("""COMPUTED_VALUE"""),12091.0)</f>
        <v>12091</v>
      </c>
    </row>
    <row r="167" ht="15.75" customHeight="1">
      <c r="A167" t="str">
        <f t="shared" si="1"/>
        <v>A.pernix</v>
      </c>
      <c r="B167" s="5" t="s">
        <v>180</v>
      </c>
      <c r="C167" s="6" t="str">
        <f>IFERROR(__xludf.DUMMYFUNCTION("SPLIT('2. c'!B167, "" "", True, True)"),"Aeropyrum")</f>
        <v>Aeropyrum</v>
      </c>
      <c r="D167" t="str">
        <f>IFERROR(__xludf.DUMMYFUNCTION("""COMPUTED_VALUE"""),"pernix")</f>
        <v>pernix</v>
      </c>
      <c r="E167" t="str">
        <f>IFERROR(__xludf.DUMMYFUNCTION("""COMPUTED_VALUE"""),"K1")</f>
        <v>K1</v>
      </c>
    </row>
    <row r="168" ht="15.75" customHeight="1">
      <c r="A168" t="str">
        <f t="shared" si="1"/>
        <v>A.gilvus</v>
      </c>
      <c r="B168" s="5" t="s">
        <v>181</v>
      </c>
      <c r="C168" s="6" t="str">
        <f>IFERROR(__xludf.DUMMYFUNCTION("SPLIT('2. c'!B168, "" "", True, True)"),"Agarivorans")</f>
        <v>Agarivorans</v>
      </c>
      <c r="D168" t="str">
        <f>IFERROR(__xludf.DUMMYFUNCTION("""COMPUTED_VALUE"""),"gilvus")</f>
        <v>gilvus</v>
      </c>
      <c r="E168" t="str">
        <f>IFERROR(__xludf.DUMMYFUNCTION("""COMPUTED_VALUE"""),"strain")</f>
        <v>strain</v>
      </c>
      <c r="F168" t="str">
        <f>IFERROR(__xludf.DUMMYFUNCTION("""COMPUTED_VALUE"""),"WH0801")</f>
        <v>WH0801</v>
      </c>
    </row>
    <row r="169" ht="15.75" customHeight="1">
      <c r="A169" t="str">
        <f t="shared" si="1"/>
        <v>A.actinomycetemcomitans</v>
      </c>
      <c r="B169" s="5" t="s">
        <v>182</v>
      </c>
      <c r="C169" s="6" t="str">
        <f>IFERROR(__xludf.DUMMYFUNCTION("SPLIT('2. c'!B169, "" "", True, True)"),"Aggregatibacter")</f>
        <v>Aggregatibacter</v>
      </c>
      <c r="D169" t="str">
        <f>IFERROR(__xludf.DUMMYFUNCTION("""COMPUTED_VALUE"""),"actinomycetemcomitans")</f>
        <v>actinomycetemcomitans</v>
      </c>
      <c r="E169" t="str">
        <f>IFERROR(__xludf.DUMMYFUNCTION("""COMPUTED_VALUE"""),"ANH9381")</f>
        <v>ANH9381</v>
      </c>
    </row>
    <row r="170" ht="15.75" customHeight="1">
      <c r="A170" t="str">
        <f t="shared" si="1"/>
        <v>A.actinomycetemcomitans</v>
      </c>
      <c r="B170" s="5" t="s">
        <v>183</v>
      </c>
      <c r="C170" s="6" t="str">
        <f>IFERROR(__xludf.DUMMYFUNCTION("SPLIT('2. c'!B170, "" "", True, True)"),"Aggregatibacter")</f>
        <v>Aggregatibacter</v>
      </c>
      <c r="D170" t="str">
        <f>IFERROR(__xludf.DUMMYFUNCTION("""COMPUTED_VALUE"""),"actinomycetemcomitans")</f>
        <v>actinomycetemcomitans</v>
      </c>
      <c r="E170" t="str">
        <f>IFERROR(__xludf.DUMMYFUNCTION("""COMPUTED_VALUE"""),"D11S-1")</f>
        <v>D11S-1</v>
      </c>
    </row>
    <row r="171" ht="15.75" customHeight="1">
      <c r="A171" t="str">
        <f t="shared" si="1"/>
        <v>A.actinomycetemcomitans</v>
      </c>
      <c r="B171" s="5" t="s">
        <v>184</v>
      </c>
      <c r="C171" s="6" t="str">
        <f>IFERROR(__xludf.DUMMYFUNCTION("SPLIT('2. c'!B171, "" "", True, True)"),"Aggregatibacter")</f>
        <v>Aggregatibacter</v>
      </c>
      <c r="D171" t="str">
        <f>IFERROR(__xludf.DUMMYFUNCTION("""COMPUTED_VALUE"""),"actinomycetemcomitans")</f>
        <v>actinomycetemcomitans</v>
      </c>
      <c r="E171" t="str">
        <f>IFERROR(__xludf.DUMMYFUNCTION("""COMPUTED_VALUE"""),"HK1651")</f>
        <v>HK1651</v>
      </c>
    </row>
    <row r="172" ht="15.75" customHeight="1">
      <c r="A172" t="str">
        <f t="shared" si="1"/>
        <v>A.actinomycetemcomitans</v>
      </c>
      <c r="B172" s="5" t="s">
        <v>184</v>
      </c>
      <c r="C172" s="6" t="str">
        <f>IFERROR(__xludf.DUMMYFUNCTION("SPLIT('2. c'!B172, "" "", True, True)"),"Aggregatibacter")</f>
        <v>Aggregatibacter</v>
      </c>
      <c r="D172" t="str">
        <f>IFERROR(__xludf.DUMMYFUNCTION("""COMPUTED_VALUE"""),"actinomycetemcomitans")</f>
        <v>actinomycetemcomitans</v>
      </c>
      <c r="E172" t="str">
        <f>IFERROR(__xludf.DUMMYFUNCTION("""COMPUTED_VALUE"""),"HK1651")</f>
        <v>HK1651</v>
      </c>
    </row>
    <row r="173" ht="15.75" customHeight="1">
      <c r="A173" t="str">
        <f t="shared" si="1"/>
        <v>A.actinomycetemcomitans</v>
      </c>
      <c r="B173" s="5" t="s">
        <v>185</v>
      </c>
      <c r="C173" s="6" t="str">
        <f>IFERROR(__xludf.DUMMYFUNCTION("SPLIT('2. c'!B173, "" "", True, True)"),"Aggregatibacter")</f>
        <v>Aggregatibacter</v>
      </c>
      <c r="D173" t="str">
        <f>IFERROR(__xludf.DUMMYFUNCTION("""COMPUTED_VALUE"""),"actinomycetemcomitans")</f>
        <v>actinomycetemcomitans</v>
      </c>
      <c r="E173" t="str">
        <f>IFERROR(__xludf.DUMMYFUNCTION("""COMPUTED_VALUE"""),"NUM4039")</f>
        <v>NUM4039</v>
      </c>
    </row>
    <row r="174" ht="15.75" customHeight="1">
      <c r="A174" t="str">
        <f t="shared" si="1"/>
        <v>A.actinomycetemcomitans</v>
      </c>
      <c r="B174" s="5" t="s">
        <v>186</v>
      </c>
      <c r="C174" s="6" t="str">
        <f>IFERROR(__xludf.DUMMYFUNCTION("SPLIT('2. c'!B174, "" "", True, True)"),"Aggregatibacter")</f>
        <v>Aggregatibacter</v>
      </c>
      <c r="D174" t="str">
        <f>IFERROR(__xludf.DUMMYFUNCTION("""COMPUTED_VALUE"""),"actinomycetemcomitans")</f>
        <v>actinomycetemcomitans</v>
      </c>
      <c r="E174" t="str">
        <f>IFERROR(__xludf.DUMMYFUNCTION("""COMPUTED_VALUE"""),"strain")</f>
        <v>strain</v>
      </c>
      <c r="F174">
        <f>IFERROR(__xludf.DUMMYFUNCTION("""COMPUTED_VALUE"""),624.0)</f>
        <v>624</v>
      </c>
    </row>
    <row r="175" ht="15.75" customHeight="1">
      <c r="A175" t="str">
        <f t="shared" si="1"/>
        <v>A.actinomycetemcomitans</v>
      </c>
      <c r="B175" s="5" t="s">
        <v>187</v>
      </c>
      <c r="C175" s="6" t="str">
        <f>IFERROR(__xludf.DUMMYFUNCTION("SPLIT('2. c'!B175, "" "", True, True)"),"Aggregatibacter")</f>
        <v>Aggregatibacter</v>
      </c>
      <c r="D175" t="str">
        <f>IFERROR(__xludf.DUMMYFUNCTION("""COMPUTED_VALUE"""),"actinomycetemcomitans")</f>
        <v>actinomycetemcomitans</v>
      </c>
      <c r="E175" t="str">
        <f>IFERROR(__xludf.DUMMYFUNCTION("""COMPUTED_VALUE"""),"strain")</f>
        <v>strain</v>
      </c>
      <c r="F175" t="str">
        <f>IFERROR(__xludf.DUMMYFUNCTION("""COMPUTED_VALUE"""),"VT1169")</f>
        <v>VT1169</v>
      </c>
    </row>
    <row r="176" ht="15.75" customHeight="1">
      <c r="A176" t="str">
        <f t="shared" si="1"/>
        <v>A.aphrophilus</v>
      </c>
      <c r="B176" s="5" t="s">
        <v>188</v>
      </c>
      <c r="C176" s="6" t="str">
        <f>IFERROR(__xludf.DUMMYFUNCTION("SPLIT('2. c'!B176, "" "", True, True)"),"Aggregatibacter")</f>
        <v>Aggregatibacter</v>
      </c>
      <c r="D176" t="str">
        <f>IFERROR(__xludf.DUMMYFUNCTION("""COMPUTED_VALUE"""),"aphrophilus")</f>
        <v>aphrophilus</v>
      </c>
      <c r="E176" t="str">
        <f>IFERROR(__xludf.DUMMYFUNCTION("""COMPUTED_VALUE"""),"NJ8700")</f>
        <v>NJ8700</v>
      </c>
    </row>
    <row r="177" ht="15.75" customHeight="1">
      <c r="A177" t="str">
        <f t="shared" si="1"/>
        <v>A.aphrophilus</v>
      </c>
      <c r="B177" s="5" t="s">
        <v>188</v>
      </c>
      <c r="C177" s="6" t="str">
        <f>IFERROR(__xludf.DUMMYFUNCTION("SPLIT('2. c'!B177, "" "", True, True)"),"Aggregatibacter")</f>
        <v>Aggregatibacter</v>
      </c>
      <c r="D177" t="str">
        <f>IFERROR(__xludf.DUMMYFUNCTION("""COMPUTED_VALUE"""),"aphrophilus")</f>
        <v>aphrophilus</v>
      </c>
      <c r="E177" t="str">
        <f>IFERROR(__xludf.DUMMYFUNCTION("""COMPUTED_VALUE"""),"NJ8700")</f>
        <v>NJ8700</v>
      </c>
    </row>
    <row r="178" ht="15.75" customHeight="1">
      <c r="A178" t="str">
        <f t="shared" si="1"/>
        <v>A.aphrophilus</v>
      </c>
      <c r="B178" s="5" t="s">
        <v>189</v>
      </c>
      <c r="C178" s="6" t="str">
        <f>IFERROR(__xludf.DUMMYFUNCTION("SPLIT('2. c'!B178, "" "", True, True)"),"Aggregatibacter")</f>
        <v>Aggregatibacter</v>
      </c>
      <c r="D178" t="str">
        <f>IFERROR(__xludf.DUMMYFUNCTION("""COMPUTED_VALUE"""),"aphrophilus")</f>
        <v>aphrophilus</v>
      </c>
      <c r="E178" t="str">
        <f>IFERROR(__xludf.DUMMYFUNCTION("""COMPUTED_VALUE"""),"strain")</f>
        <v>strain</v>
      </c>
      <c r="F178" t="str">
        <f>IFERROR(__xludf.DUMMYFUNCTION("""COMPUTED_VALUE"""),"W10433")</f>
        <v>W10433</v>
      </c>
    </row>
    <row r="179" ht="15.75" customHeight="1">
      <c r="A179" t="str">
        <f t="shared" si="1"/>
        <v>A.fabrum</v>
      </c>
      <c r="B179" s="5" t="s">
        <v>190</v>
      </c>
      <c r="C179" s="6" t="str">
        <f>IFERROR(__xludf.DUMMYFUNCTION("SPLIT('2. c'!B179, "" "", True, True)"),"Agrobacterium")</f>
        <v>Agrobacterium</v>
      </c>
      <c r="D179" t="str">
        <f>IFERROR(__xludf.DUMMYFUNCTION("""COMPUTED_VALUE"""),"fabrum")</f>
        <v>fabrum</v>
      </c>
      <c r="E179" t="str">
        <f>IFERROR(__xludf.DUMMYFUNCTION("""COMPUTED_VALUE"""),"str.")</f>
        <v>str.</v>
      </c>
      <c r="F179" t="str">
        <f>IFERROR(__xludf.DUMMYFUNCTION("""COMPUTED_VALUE"""),"C58")</f>
        <v>C58</v>
      </c>
    </row>
    <row r="180" ht="15.75" customHeight="1">
      <c r="A180" t="str">
        <f t="shared" si="1"/>
        <v>A.radiobacter</v>
      </c>
      <c r="B180" s="5" t="s">
        <v>191</v>
      </c>
      <c r="C180" s="6" t="str">
        <f>IFERROR(__xludf.DUMMYFUNCTION("SPLIT('2. c'!B180, "" "", True, True)"),"Agrobacterium")</f>
        <v>Agrobacterium</v>
      </c>
      <c r="D180" t="str">
        <f>IFERROR(__xludf.DUMMYFUNCTION("""COMPUTED_VALUE"""),"radiobacter")</f>
        <v>radiobacter</v>
      </c>
      <c r="E180" t="str">
        <f>IFERROR(__xludf.DUMMYFUNCTION("""COMPUTED_VALUE"""),"K84")</f>
        <v>K84</v>
      </c>
    </row>
    <row r="181" ht="15.75" customHeight="1">
      <c r="A181" t="str">
        <f t="shared" si="1"/>
        <v>A.sp.</v>
      </c>
      <c r="B181" s="5" t="s">
        <v>192</v>
      </c>
      <c r="C181" s="6" t="str">
        <f>IFERROR(__xludf.DUMMYFUNCTION("SPLIT('2. c'!B181, "" "", True, True)"),"Agrobacterium")</f>
        <v>Agrobacterium</v>
      </c>
      <c r="D181" t="str">
        <f>IFERROR(__xludf.DUMMYFUNCTION("""COMPUTED_VALUE"""),"sp.")</f>
        <v>sp.</v>
      </c>
      <c r="E181" t="str">
        <f>IFERROR(__xludf.DUMMYFUNCTION("""COMPUTED_VALUE"""),"H13-3")</f>
        <v>H13-3</v>
      </c>
    </row>
    <row r="182" ht="15.75" customHeight="1">
      <c r="A182" t="str">
        <f t="shared" si="1"/>
        <v>A.tumefaciens</v>
      </c>
      <c r="B182" s="5" t="s">
        <v>193</v>
      </c>
      <c r="C182" s="6" t="str">
        <f>IFERROR(__xludf.DUMMYFUNCTION("SPLIT('2. c'!B182, "" "", True, True)"),"Agrobacterium")</f>
        <v>Agrobacterium</v>
      </c>
      <c r="D182" t="str">
        <f>IFERROR(__xludf.DUMMYFUNCTION("""COMPUTED_VALUE"""),"tumefaciens")</f>
        <v>tumefaciens</v>
      </c>
      <c r="E182" t="str">
        <f>IFERROR(__xludf.DUMMYFUNCTION("""COMPUTED_VALUE"""),"LBA4213")</f>
        <v>LBA4213</v>
      </c>
      <c r="F182" t="str">
        <f>IFERROR(__xludf.DUMMYFUNCTION("""COMPUTED_VALUE"""),"(Ach5)")</f>
        <v>(Ach5)</v>
      </c>
    </row>
    <row r="183" ht="15.75" customHeight="1">
      <c r="A183" t="str">
        <f t="shared" si="1"/>
        <v>A.tumefaciens</v>
      </c>
      <c r="B183" s="5" t="s">
        <v>194</v>
      </c>
      <c r="C183" s="6" t="str">
        <f>IFERROR(__xludf.DUMMYFUNCTION("SPLIT('2. c'!B183, "" "", True, True)"),"Agrobacterium")</f>
        <v>Agrobacterium</v>
      </c>
      <c r="D183" t="str">
        <f>IFERROR(__xludf.DUMMYFUNCTION("""COMPUTED_VALUE"""),"tumefaciens")</f>
        <v>tumefaciens</v>
      </c>
      <c r="E183" t="str">
        <f>IFERROR(__xludf.DUMMYFUNCTION("""COMPUTED_VALUE"""),"P4")</f>
        <v>P4</v>
      </c>
    </row>
    <row r="184" ht="15.75" customHeight="1">
      <c r="A184" t="str">
        <f t="shared" si="1"/>
        <v>A.tumefaciens</v>
      </c>
      <c r="B184" s="5" t="s">
        <v>195</v>
      </c>
      <c r="C184" s="6" t="str">
        <f>IFERROR(__xludf.DUMMYFUNCTION("SPLIT('2. c'!B184, "" "", True, True)"),"Agrobacterium")</f>
        <v>Agrobacterium</v>
      </c>
      <c r="D184" t="str">
        <f>IFERROR(__xludf.DUMMYFUNCTION("""COMPUTED_VALUE"""),"tumefaciens")</f>
        <v>tumefaciens</v>
      </c>
      <c r="E184" t="str">
        <f>IFERROR(__xludf.DUMMYFUNCTION("""COMPUTED_VALUE"""),"strain")</f>
        <v>strain</v>
      </c>
      <c r="F184" t="str">
        <f>IFERROR(__xludf.DUMMYFUNCTION("""COMPUTED_VALUE"""),"Ach5")</f>
        <v>Ach5</v>
      </c>
    </row>
    <row r="185" ht="15.75" customHeight="1">
      <c r="A185" t="str">
        <f t="shared" si="1"/>
        <v>A.tumefaciens</v>
      </c>
      <c r="B185" s="5" t="s">
        <v>196</v>
      </c>
      <c r="C185" s="6" t="str">
        <f>IFERROR(__xludf.DUMMYFUNCTION("SPLIT('2. c'!B185, "" "", True, True)"),"Agrobacterium")</f>
        <v>Agrobacterium</v>
      </c>
      <c r="D185" t="str">
        <f>IFERROR(__xludf.DUMMYFUNCTION("""COMPUTED_VALUE"""),"tumefaciens")</f>
        <v>tumefaciens</v>
      </c>
      <c r="E185" t="str">
        <f>IFERROR(__xludf.DUMMYFUNCTION("""COMPUTED_VALUE"""),"strain")</f>
        <v>strain</v>
      </c>
      <c r="F185" t="str">
        <f>IFERROR(__xludf.DUMMYFUNCTION("""COMPUTED_VALUE"""),"S33")</f>
        <v>S33</v>
      </c>
    </row>
    <row r="186" ht="15.75" customHeight="1">
      <c r="A186" t="str">
        <f t="shared" si="1"/>
        <v>A.vitis</v>
      </c>
      <c r="B186" s="5" t="s">
        <v>197</v>
      </c>
      <c r="C186" s="6" t="str">
        <f>IFERROR(__xludf.DUMMYFUNCTION("SPLIT('2. c'!B186, "" "", True, True)"),"Agrobacterium")</f>
        <v>Agrobacterium</v>
      </c>
      <c r="D186" t="str">
        <f>IFERROR(__xludf.DUMMYFUNCTION("""COMPUTED_VALUE"""),"vitis")</f>
        <v>vitis</v>
      </c>
      <c r="E186" t="str">
        <f>IFERROR(__xludf.DUMMYFUNCTION("""COMPUTED_VALUE"""),"S4")</f>
        <v>S4</v>
      </c>
    </row>
    <row r="187" ht="15.75" customHeight="1">
      <c r="A187" t="str">
        <f t="shared" si="1"/>
        <v>A.sp.</v>
      </c>
      <c r="B187" s="5" t="s">
        <v>198</v>
      </c>
      <c r="C187" s="6" t="str">
        <f>IFERROR(__xludf.DUMMYFUNCTION("SPLIT('2. c'!B187, "" "", True, True)"),"Agromyces")</f>
        <v>Agromyces</v>
      </c>
      <c r="D187" t="str">
        <f>IFERROR(__xludf.DUMMYFUNCTION("""COMPUTED_VALUE"""),"sp.")</f>
        <v>sp.</v>
      </c>
      <c r="E187" t="str">
        <f>IFERROR(__xludf.DUMMYFUNCTION("""COMPUTED_VALUE"""),"AR33")</f>
        <v>AR33</v>
      </c>
    </row>
    <row r="188" ht="15.75" customHeight="1">
      <c r="A188" t="str">
        <f t="shared" si="1"/>
        <v>A.muciniphila</v>
      </c>
      <c r="B188" s="5" t="s">
        <v>199</v>
      </c>
      <c r="C188" s="6" t="str">
        <f>IFERROR(__xludf.DUMMYFUNCTION("SPLIT('2. c'!B188, "" "", True, True)"),"Akkermansia")</f>
        <v>Akkermansia</v>
      </c>
      <c r="D188" t="str">
        <f>IFERROR(__xludf.DUMMYFUNCTION("""COMPUTED_VALUE"""),"muciniphila")</f>
        <v>muciniphila</v>
      </c>
      <c r="E188" t="str">
        <f>IFERROR(__xludf.DUMMYFUNCTION("""COMPUTED_VALUE"""),"ATCC")</f>
        <v>ATCC</v>
      </c>
      <c r="F188" t="str">
        <f>IFERROR(__xludf.DUMMYFUNCTION("""COMPUTED_VALUE"""),"BAA-835")</f>
        <v>BAA-835</v>
      </c>
    </row>
    <row r="189" ht="15.75" customHeight="1">
      <c r="A189" t="str">
        <f t="shared" si="1"/>
        <v>A.borkumensis</v>
      </c>
      <c r="B189" s="5" t="s">
        <v>200</v>
      </c>
      <c r="C189" s="6" t="str">
        <f>IFERROR(__xludf.DUMMYFUNCTION("SPLIT('2. c'!B189, "" "", True, True)"),"Alcanivorax")</f>
        <v>Alcanivorax</v>
      </c>
      <c r="D189" t="str">
        <f>IFERROR(__xludf.DUMMYFUNCTION("""COMPUTED_VALUE"""),"borkumensis")</f>
        <v>borkumensis</v>
      </c>
      <c r="E189" t="str">
        <f>IFERROR(__xludf.DUMMYFUNCTION("""COMPUTED_VALUE"""),"SK2")</f>
        <v>SK2</v>
      </c>
    </row>
    <row r="190" ht="15.75" customHeight="1">
      <c r="A190" t="str">
        <f t="shared" si="1"/>
        <v>A.dieselolei</v>
      </c>
      <c r="B190" s="5" t="s">
        <v>201</v>
      </c>
      <c r="C190" s="6" t="str">
        <f>IFERROR(__xludf.DUMMYFUNCTION("SPLIT('2. c'!B190, "" "", True, True)"),"Alcanivorax")</f>
        <v>Alcanivorax</v>
      </c>
      <c r="D190" t="str">
        <f>IFERROR(__xludf.DUMMYFUNCTION("""COMPUTED_VALUE"""),"dieselolei")</f>
        <v>dieselolei</v>
      </c>
      <c r="E190" t="str">
        <f>IFERROR(__xludf.DUMMYFUNCTION("""COMPUTED_VALUE"""),"B5")</f>
        <v>B5</v>
      </c>
    </row>
    <row r="191" ht="15.75" customHeight="1">
      <c r="A191" t="str">
        <f t="shared" si="1"/>
        <v>A.sp.</v>
      </c>
      <c r="B191" s="5" t="s">
        <v>202</v>
      </c>
      <c r="C191" s="6" t="str">
        <f>IFERROR(__xludf.DUMMYFUNCTION("SPLIT('2. c'!B191, "" "", True, True)"),"Alcanivorax")</f>
        <v>Alcanivorax</v>
      </c>
      <c r="D191" t="str">
        <f>IFERROR(__xludf.DUMMYFUNCTION("""COMPUTED_VALUE"""),"sp.")</f>
        <v>sp.</v>
      </c>
      <c r="E191" t="str">
        <f>IFERROR(__xludf.DUMMYFUNCTION("""COMPUTED_VALUE"""),"NBRC")</f>
        <v>NBRC</v>
      </c>
      <c r="F191">
        <f>IFERROR(__xludf.DUMMYFUNCTION("""COMPUTED_VALUE"""),101098.0)</f>
        <v>101098</v>
      </c>
    </row>
    <row r="192" ht="15.75" customHeight="1">
      <c r="A192" t="str">
        <f t="shared" si="1"/>
        <v>A.sp.</v>
      </c>
      <c r="B192" s="5" t="s">
        <v>203</v>
      </c>
      <c r="C192" s="6" t="str">
        <f>IFERROR(__xludf.DUMMYFUNCTION("SPLIT('2. c'!B192, "" "", True, True)"),"Algibacter")</f>
        <v>Algibacter</v>
      </c>
      <c r="D192" t="str">
        <f>IFERROR(__xludf.DUMMYFUNCTION("""COMPUTED_VALUE"""),"sp.")</f>
        <v>sp.</v>
      </c>
      <c r="E192" t="str">
        <f>IFERROR(__xludf.DUMMYFUNCTION("""COMPUTED_VALUE"""),"HZ22")</f>
        <v>HZ22</v>
      </c>
    </row>
    <row r="193" ht="15.75" customHeight="1">
      <c r="A193" t="str">
        <f t="shared" si="1"/>
        <v>A.sp.</v>
      </c>
      <c r="B193" s="5" t="s">
        <v>204</v>
      </c>
      <c r="C193" s="6" t="str">
        <f>IFERROR(__xludf.DUMMYFUNCTION("SPLIT('2. c'!B193, "" "", True, True)"),"Algoriphagus")</f>
        <v>Algoriphagus</v>
      </c>
      <c r="D193" t="str">
        <f>IFERROR(__xludf.DUMMYFUNCTION("""COMPUTED_VALUE"""),"sp.")</f>
        <v>sp.</v>
      </c>
      <c r="E193" t="str">
        <f>IFERROR(__xludf.DUMMYFUNCTION("""COMPUTED_VALUE"""),"M8-2")</f>
        <v>M8-2</v>
      </c>
    </row>
    <row r="194" ht="15.75" customHeight="1">
      <c r="A194" t="str">
        <f t="shared" si="1"/>
        <v>A.denitrificans</v>
      </c>
      <c r="B194" s="5" t="s">
        <v>205</v>
      </c>
      <c r="C194" s="6" t="str">
        <f>IFERROR(__xludf.DUMMYFUNCTION("SPLIT('2. c'!B194, "" "", True, True)"),"Alicycliphilus")</f>
        <v>Alicycliphilus</v>
      </c>
      <c r="D194" t="str">
        <f>IFERROR(__xludf.DUMMYFUNCTION("""COMPUTED_VALUE"""),"denitrificans")</f>
        <v>denitrificans</v>
      </c>
      <c r="E194" t="str">
        <f>IFERROR(__xludf.DUMMYFUNCTION("""COMPUTED_VALUE"""),"BC")</f>
        <v>BC</v>
      </c>
    </row>
    <row r="195" ht="15.75" customHeight="1">
      <c r="A195" t="str">
        <f t="shared" si="1"/>
        <v>A.denitrificans</v>
      </c>
      <c r="B195" s="5" t="s">
        <v>206</v>
      </c>
      <c r="C195" s="6" t="str">
        <f>IFERROR(__xludf.DUMMYFUNCTION("SPLIT('2. c'!B195, "" "", True, True)"),"Alicycliphilus")</f>
        <v>Alicycliphilus</v>
      </c>
      <c r="D195" t="str">
        <f>IFERROR(__xludf.DUMMYFUNCTION("""COMPUTED_VALUE"""),"denitrificans")</f>
        <v>denitrificans</v>
      </c>
      <c r="E195" t="str">
        <f>IFERROR(__xludf.DUMMYFUNCTION("""COMPUTED_VALUE"""),"K601")</f>
        <v>K601</v>
      </c>
    </row>
    <row r="196" ht="15.75" customHeight="1">
      <c r="A196" t="str">
        <f t="shared" si="1"/>
        <v>A.acidocaldarius</v>
      </c>
      <c r="B196" s="5" t="s">
        <v>207</v>
      </c>
      <c r="C196" s="6" t="str">
        <f>IFERROR(__xludf.DUMMYFUNCTION("SPLIT('2. c'!B196, "" "", True, True)"),"Alicyclobacillus")</f>
        <v>Alicyclobacillus</v>
      </c>
      <c r="D196" t="str">
        <f>IFERROR(__xludf.DUMMYFUNCTION("""COMPUTED_VALUE"""),"acidocaldarius")</f>
        <v>acidocaldarius</v>
      </c>
      <c r="E196" t="str">
        <f>IFERROR(__xludf.DUMMYFUNCTION("""COMPUTED_VALUE"""),"subsp.")</f>
        <v>subsp.</v>
      </c>
      <c r="F196" t="str">
        <f>IFERROR(__xludf.DUMMYFUNCTION("""COMPUTED_VALUE"""),"acidocaldarius")</f>
        <v>acidocaldarius</v>
      </c>
      <c r="G196" t="str">
        <f>IFERROR(__xludf.DUMMYFUNCTION("""COMPUTED_VALUE"""),"DSM")</f>
        <v>DSM</v>
      </c>
      <c r="H196">
        <f>IFERROR(__xludf.DUMMYFUNCTION("""COMPUTED_VALUE"""),446.0)</f>
        <v>446</v>
      </c>
    </row>
    <row r="197" ht="15.75" customHeight="1">
      <c r="A197" t="str">
        <f t="shared" si="1"/>
        <v>A.acidocaldarius</v>
      </c>
      <c r="B197" s="5" t="s">
        <v>208</v>
      </c>
      <c r="C197" s="6" t="str">
        <f>IFERROR(__xludf.DUMMYFUNCTION("SPLIT('2. c'!B197, "" "", True, True)"),"Alicyclobacillus")</f>
        <v>Alicyclobacillus</v>
      </c>
      <c r="D197" t="str">
        <f>IFERROR(__xludf.DUMMYFUNCTION("""COMPUTED_VALUE"""),"acidocaldarius")</f>
        <v>acidocaldarius</v>
      </c>
      <c r="E197" t="str">
        <f>IFERROR(__xludf.DUMMYFUNCTION("""COMPUTED_VALUE"""),"subsp.")</f>
        <v>subsp.</v>
      </c>
      <c r="F197" t="str">
        <f>IFERROR(__xludf.DUMMYFUNCTION("""COMPUTED_VALUE"""),"acidocaldarius")</f>
        <v>acidocaldarius</v>
      </c>
      <c r="G197" t="str">
        <f>IFERROR(__xludf.DUMMYFUNCTION("""COMPUTED_VALUE"""),"Tc-4-1")</f>
        <v>Tc-4-1</v>
      </c>
    </row>
    <row r="198" ht="15.75" customHeight="1">
      <c r="A198" t="str">
        <f t="shared" si="1"/>
        <v>A.salmonicida</v>
      </c>
      <c r="B198" s="5" t="s">
        <v>209</v>
      </c>
      <c r="C198" s="6" t="str">
        <f>IFERROR(__xludf.DUMMYFUNCTION("SPLIT('2. c'!B198, "" "", True, True)"),"Aliivibrio")</f>
        <v>Aliivibrio</v>
      </c>
      <c r="D198" t="str">
        <f>IFERROR(__xludf.DUMMYFUNCTION("""COMPUTED_VALUE"""),"salmonicida")</f>
        <v>salmonicida</v>
      </c>
      <c r="E198" t="str">
        <f>IFERROR(__xludf.DUMMYFUNCTION("""COMPUTED_VALUE"""),"LFI1238")</f>
        <v>LFI1238</v>
      </c>
    </row>
    <row r="199" ht="15.75" customHeight="1">
      <c r="A199" t="str">
        <f t="shared" si="1"/>
        <v>A.wodanis</v>
      </c>
      <c r="B199" s="5" t="s">
        <v>210</v>
      </c>
      <c r="C199" s="6" t="str">
        <f>IFERROR(__xludf.DUMMYFUNCTION("SPLIT('2. c'!B199, "" "", True, True)"),"Aliivibrio")</f>
        <v>Aliivibrio</v>
      </c>
      <c r="D199" t="str">
        <f>IFERROR(__xludf.DUMMYFUNCTION("""COMPUTED_VALUE"""),"wodanis")</f>
        <v>wodanis</v>
      </c>
      <c r="E199" t="str">
        <f>IFERROR(__xludf.DUMMYFUNCTION("""COMPUTED_VALUE"""),"strain")</f>
        <v>strain</v>
      </c>
      <c r="F199" s="13">
        <f>IFERROR(__xludf.DUMMYFUNCTION("""COMPUTED_VALUE"""),-642942.0)</f>
        <v>-642942</v>
      </c>
    </row>
    <row r="200" ht="15.75" customHeight="1">
      <c r="A200" t="str">
        <f t="shared" si="1"/>
        <v>A.finegoldii</v>
      </c>
      <c r="B200" s="5" t="s">
        <v>211</v>
      </c>
      <c r="C200" s="6" t="str">
        <f>IFERROR(__xludf.DUMMYFUNCTION("SPLIT('2. c'!B200, "" "", True, True)"),"Alistipes")</f>
        <v>Alistipes</v>
      </c>
      <c r="D200" t="str">
        <f>IFERROR(__xludf.DUMMYFUNCTION("""COMPUTED_VALUE"""),"finegoldii")</f>
        <v>finegoldii</v>
      </c>
      <c r="E200" t="str">
        <f>IFERROR(__xludf.DUMMYFUNCTION("""COMPUTED_VALUE"""),"DSM")</f>
        <v>DSM</v>
      </c>
      <c r="F200">
        <f>IFERROR(__xludf.DUMMYFUNCTION("""COMPUTED_VALUE"""),17242.0)</f>
        <v>17242</v>
      </c>
    </row>
    <row r="201" ht="15.75" customHeight="1">
      <c r="A201" t="str">
        <f t="shared" si="1"/>
        <v>A.shahii</v>
      </c>
      <c r="B201" s="5" t="s">
        <v>212</v>
      </c>
      <c r="C201" s="6" t="str">
        <f>IFERROR(__xludf.DUMMYFUNCTION("SPLIT('2. c'!B201, "" "", True, True)"),"Alistipes")</f>
        <v>Alistipes</v>
      </c>
      <c r="D201" t="str">
        <f>IFERROR(__xludf.DUMMYFUNCTION("""COMPUTED_VALUE"""),"shahii")</f>
        <v>shahii</v>
      </c>
      <c r="E201" t="str">
        <f>IFERROR(__xludf.DUMMYFUNCTION("""COMPUTED_VALUE"""),"WAL")</f>
        <v>WAL</v>
      </c>
      <c r="F201">
        <f>IFERROR(__xludf.DUMMYFUNCTION("""COMPUTED_VALUE"""),8301.0)</f>
        <v>8301</v>
      </c>
    </row>
    <row r="202" ht="15.75" customHeight="1">
      <c r="A202" t="str">
        <f t="shared" si="1"/>
        <v>A.ehrlichii</v>
      </c>
      <c r="B202" s="5" t="s">
        <v>213</v>
      </c>
      <c r="C202" s="6" t="str">
        <f>IFERROR(__xludf.DUMMYFUNCTION("SPLIT('2. c'!B202, "" "", True, True)"),"Alkalilimnicola")</f>
        <v>Alkalilimnicola</v>
      </c>
      <c r="D202" t="str">
        <f>IFERROR(__xludf.DUMMYFUNCTION("""COMPUTED_VALUE"""),"ehrlichii")</f>
        <v>ehrlichii</v>
      </c>
      <c r="E202" t="str">
        <f>IFERROR(__xludf.DUMMYFUNCTION("""COMPUTED_VALUE"""),"MLHE-1")</f>
        <v>MLHE-1</v>
      </c>
    </row>
    <row r="203" ht="15.75" customHeight="1">
      <c r="A203" t="str">
        <f t="shared" si="1"/>
        <v>A.metalliredigens</v>
      </c>
      <c r="B203" s="5" t="s">
        <v>214</v>
      </c>
      <c r="C203" s="6" t="str">
        <f>IFERROR(__xludf.DUMMYFUNCTION("SPLIT('2. c'!B203, "" "", True, True)"),"Alkaliphilus")</f>
        <v>Alkaliphilus</v>
      </c>
      <c r="D203" t="str">
        <f>IFERROR(__xludf.DUMMYFUNCTION("""COMPUTED_VALUE"""),"metalliredigens")</f>
        <v>metalliredigens</v>
      </c>
      <c r="E203" t="str">
        <f>IFERROR(__xludf.DUMMYFUNCTION("""COMPUTED_VALUE"""),"QYMF")</f>
        <v>QYMF</v>
      </c>
    </row>
    <row r="204" ht="15.75" customHeight="1">
      <c r="A204" t="str">
        <f t="shared" si="1"/>
        <v>A.oremlandii</v>
      </c>
      <c r="B204" s="5" t="s">
        <v>215</v>
      </c>
      <c r="C204" s="6" t="str">
        <f>IFERROR(__xludf.DUMMYFUNCTION("SPLIT('2. c'!B204, "" "", True, True)"),"Alkaliphilus")</f>
        <v>Alkaliphilus</v>
      </c>
      <c r="D204" t="str">
        <f>IFERROR(__xludf.DUMMYFUNCTION("""COMPUTED_VALUE"""),"oremlandii")</f>
        <v>oremlandii</v>
      </c>
      <c r="E204" t="str">
        <f>IFERROR(__xludf.DUMMYFUNCTION("""COMPUTED_VALUE"""),"OhILAs")</f>
        <v>OhILAs</v>
      </c>
    </row>
    <row r="205" ht="15.75" customHeight="1">
      <c r="A205" t="str">
        <f t="shared" si="1"/>
        <v>A.sp.</v>
      </c>
      <c r="B205" s="5" t="s">
        <v>216</v>
      </c>
      <c r="C205" s="6" t="str">
        <f>IFERROR(__xludf.DUMMYFUNCTION("SPLIT('2. c'!B205, "" "", True, True)"),"Alloactinosynnema")</f>
        <v>Alloactinosynnema</v>
      </c>
      <c r="D205" t="str">
        <f>IFERROR(__xludf.DUMMYFUNCTION("""COMPUTED_VALUE"""),"sp.")</f>
        <v>sp.</v>
      </c>
      <c r="E205" t="str">
        <f>IFERROR(__xludf.DUMMYFUNCTION("""COMPUTED_VALUE"""),"L-07")</f>
        <v>L-07</v>
      </c>
    </row>
    <row r="206" ht="15.75" customHeight="1">
      <c r="A206" t="str">
        <f t="shared" si="1"/>
        <v>A.vinosum</v>
      </c>
      <c r="B206" s="5" t="s">
        <v>217</v>
      </c>
      <c r="C206" s="6" t="str">
        <f>IFERROR(__xludf.DUMMYFUNCTION("SPLIT('2. c'!B206, "" "", True, True)"),"Allochromatium")</f>
        <v>Allochromatium</v>
      </c>
      <c r="D206" t="str">
        <f>IFERROR(__xludf.DUMMYFUNCTION("""COMPUTED_VALUE"""),"vinosum")</f>
        <v>vinosum</v>
      </c>
      <c r="E206" t="str">
        <f>IFERROR(__xludf.DUMMYFUNCTION("""COMPUTED_VALUE"""),"DSM")</f>
        <v>DSM</v>
      </c>
      <c r="F206">
        <f>IFERROR(__xludf.DUMMYFUNCTION("""COMPUTED_VALUE"""),180.0)</f>
        <v>180</v>
      </c>
    </row>
    <row r="207" ht="15.75" customHeight="1">
      <c r="A207" t="str">
        <f t="shared" si="1"/>
        <v>a.proteobacterium</v>
      </c>
      <c r="B207" s="5" t="s">
        <v>218</v>
      </c>
      <c r="C207" s="6" t="str">
        <f>IFERROR(__xludf.DUMMYFUNCTION("SPLIT('2. c'!B207, "" "", True, True)"),"alpha")</f>
        <v>alpha</v>
      </c>
      <c r="D207" t="str">
        <f>IFERROR(__xludf.DUMMYFUNCTION("""COMPUTED_VALUE"""),"proteobacterium")</f>
        <v>proteobacterium</v>
      </c>
      <c r="E207" t="str">
        <f>IFERROR(__xludf.DUMMYFUNCTION("""COMPUTED_VALUE"""),"HIMB5")</f>
        <v>HIMB5</v>
      </c>
    </row>
    <row r="208" ht="15.75" customHeight="1">
      <c r="A208" t="str">
        <f t="shared" si="1"/>
        <v>a.proteobacterium</v>
      </c>
      <c r="B208" s="5" t="s">
        <v>219</v>
      </c>
      <c r="C208" s="6" t="str">
        <f>IFERROR(__xludf.DUMMYFUNCTION("SPLIT('2. c'!B208, "" "", True, True)"),"alpha")</f>
        <v>alpha</v>
      </c>
      <c r="D208" t="str">
        <f>IFERROR(__xludf.DUMMYFUNCTION("""COMPUTED_VALUE"""),"proteobacterium")</f>
        <v>proteobacterium</v>
      </c>
      <c r="E208" t="str">
        <f>IFERROR(__xludf.DUMMYFUNCTION("""COMPUTED_VALUE"""),"HIMB59")</f>
        <v>HIMB59</v>
      </c>
    </row>
    <row r="209" ht="15.75" customHeight="1">
      <c r="A209" t="str">
        <f t="shared" si="1"/>
        <v>A.atlanticus</v>
      </c>
      <c r="B209" s="5" t="s">
        <v>220</v>
      </c>
      <c r="C209" s="6" t="str">
        <f>IFERROR(__xludf.DUMMYFUNCTION("SPLIT('2. c'!B209, "" "", True, True)"),"Altererythrobacter")</f>
        <v>Altererythrobacter</v>
      </c>
      <c r="D209" t="str">
        <f>IFERROR(__xludf.DUMMYFUNCTION("""COMPUTED_VALUE"""),"atlanticus")</f>
        <v>atlanticus</v>
      </c>
      <c r="E209" t="str">
        <f>IFERROR(__xludf.DUMMYFUNCTION("""COMPUTED_VALUE"""),"strain")</f>
        <v>strain</v>
      </c>
      <c r="F209" t="str">
        <f>IFERROR(__xludf.DUMMYFUNCTION("""COMPUTED_VALUE"""),"26DY36")</f>
        <v>26DY36</v>
      </c>
    </row>
    <row r="210" ht="15.75" customHeight="1">
      <c r="A210" t="str">
        <f t="shared" si="1"/>
        <v>A.epoxidivorans</v>
      </c>
      <c r="B210" s="5" t="s">
        <v>221</v>
      </c>
      <c r="C210" s="6" t="str">
        <f>IFERROR(__xludf.DUMMYFUNCTION("SPLIT('2. c'!B210, "" "", True, True)"),"Altererythrobacter")</f>
        <v>Altererythrobacter</v>
      </c>
      <c r="D210" t="str">
        <f>IFERROR(__xludf.DUMMYFUNCTION("""COMPUTED_VALUE"""),"epoxidivorans")</f>
        <v>epoxidivorans</v>
      </c>
      <c r="E210" t="str">
        <f>IFERROR(__xludf.DUMMYFUNCTION("""COMPUTED_VALUE"""),"strain")</f>
        <v>strain</v>
      </c>
      <c r="F210" t="str">
        <f>IFERROR(__xludf.DUMMYFUNCTION("""COMPUTED_VALUE"""),"CGMCC")</f>
        <v>CGMCC</v>
      </c>
      <c r="G210" s="14">
        <f>IFERROR(__xludf.DUMMYFUNCTION("""COMPUTED_VALUE"""),2129731.0)</f>
        <v>2129731</v>
      </c>
    </row>
    <row r="211" ht="15.75" customHeight="1">
      <c r="A211" t="str">
        <f t="shared" si="1"/>
        <v>A.ishigakiensis</v>
      </c>
      <c r="B211" s="5" t="s">
        <v>222</v>
      </c>
      <c r="C211" s="6" t="str">
        <f>IFERROR(__xludf.DUMMYFUNCTION("SPLIT('2. c'!B211, "" "", True, True)"),"Altererythrobacter")</f>
        <v>Altererythrobacter</v>
      </c>
      <c r="D211" t="str">
        <f>IFERROR(__xludf.DUMMYFUNCTION("""COMPUTED_VALUE"""),"ishigakiensis")</f>
        <v>ishigakiensis</v>
      </c>
      <c r="E211" t="str">
        <f>IFERROR(__xludf.DUMMYFUNCTION("""COMPUTED_VALUE"""),"strain")</f>
        <v>strain</v>
      </c>
      <c r="F211" t="str">
        <f>IFERROR(__xludf.DUMMYFUNCTION("""COMPUTED_VALUE"""),"NBRC")</f>
        <v>NBRC</v>
      </c>
      <c r="G211">
        <f>IFERROR(__xludf.DUMMYFUNCTION("""COMPUTED_VALUE"""),107699.0)</f>
        <v>107699</v>
      </c>
    </row>
    <row r="212" ht="15.75" customHeight="1">
      <c r="A212" t="str">
        <f t="shared" si="1"/>
        <v>A.marensis</v>
      </c>
      <c r="B212" s="5" t="s">
        <v>223</v>
      </c>
      <c r="C212" s="6" t="str">
        <f>IFERROR(__xludf.DUMMYFUNCTION("SPLIT('2. c'!B212, "" "", True, True)"),"Altererythrobacter")</f>
        <v>Altererythrobacter</v>
      </c>
      <c r="D212" t="str">
        <f>IFERROR(__xludf.DUMMYFUNCTION("""COMPUTED_VALUE"""),"marensis")</f>
        <v>marensis</v>
      </c>
      <c r="E212" t="str">
        <f>IFERROR(__xludf.DUMMYFUNCTION("""COMPUTED_VALUE"""),"strain")</f>
        <v>strain</v>
      </c>
      <c r="F212" t="str">
        <f>IFERROR(__xludf.DUMMYFUNCTION("""COMPUTED_VALUE"""),"KCTC")</f>
        <v>KCTC</v>
      </c>
      <c r="G212">
        <f>IFERROR(__xludf.DUMMYFUNCTION("""COMPUTED_VALUE"""),22370.0)</f>
        <v>22370</v>
      </c>
    </row>
    <row r="213" ht="15.75" customHeight="1">
      <c r="A213" t="str">
        <f t="shared" si="1"/>
        <v>A.addita</v>
      </c>
      <c r="B213" s="5" t="s">
        <v>224</v>
      </c>
      <c r="C213" s="6" t="str">
        <f>IFERROR(__xludf.DUMMYFUNCTION("SPLIT('2. c'!B213, "" "", True, True)"),"Alteromonas")</f>
        <v>Alteromonas</v>
      </c>
      <c r="D213" t="str">
        <f>IFERROR(__xludf.DUMMYFUNCTION("""COMPUTED_VALUE"""),"addita")</f>
        <v>addita</v>
      </c>
      <c r="E213" t="str">
        <f>IFERROR(__xludf.DUMMYFUNCTION("""COMPUTED_VALUE"""),"strain")</f>
        <v>strain</v>
      </c>
      <c r="F213" t="str">
        <f>IFERROR(__xludf.DUMMYFUNCTION("""COMPUTED_VALUE"""),"R10SW13")</f>
        <v>R10SW13</v>
      </c>
    </row>
    <row r="214" ht="15.75" customHeight="1">
      <c r="A214" t="str">
        <f t="shared" si="1"/>
        <v>A.australica</v>
      </c>
      <c r="B214" s="5" t="s">
        <v>225</v>
      </c>
      <c r="C214" s="6" t="str">
        <f>IFERROR(__xludf.DUMMYFUNCTION("SPLIT('2. c'!B214, "" "", True, True)"),"Alteromonas")</f>
        <v>Alteromonas</v>
      </c>
      <c r="D214" t="str">
        <f>IFERROR(__xludf.DUMMYFUNCTION("""COMPUTED_VALUE"""),"australica")</f>
        <v>australica</v>
      </c>
      <c r="E214" t="str">
        <f>IFERROR(__xludf.DUMMYFUNCTION("""COMPUTED_VALUE"""),"strain")</f>
        <v>strain</v>
      </c>
      <c r="F214" t="str">
        <f>IFERROR(__xludf.DUMMYFUNCTION("""COMPUTED_VALUE"""),"DE170")</f>
        <v>DE170</v>
      </c>
    </row>
    <row r="215" ht="15.75" customHeight="1">
      <c r="A215" t="str">
        <f t="shared" si="1"/>
        <v>A.australica</v>
      </c>
      <c r="B215" s="5" t="s">
        <v>226</v>
      </c>
      <c r="C215" s="6" t="str">
        <f>IFERROR(__xludf.DUMMYFUNCTION("SPLIT('2. c'!B215, "" "", True, True)"),"Alteromonas")</f>
        <v>Alteromonas</v>
      </c>
      <c r="D215" t="str">
        <f>IFERROR(__xludf.DUMMYFUNCTION("""COMPUTED_VALUE"""),"australica")</f>
        <v>australica</v>
      </c>
      <c r="E215" t="str">
        <f>IFERROR(__xludf.DUMMYFUNCTION("""COMPUTED_VALUE"""),"strain")</f>
        <v>strain</v>
      </c>
      <c r="F215" t="str">
        <f>IFERROR(__xludf.DUMMYFUNCTION("""COMPUTED_VALUE"""),"H17")</f>
        <v>H17</v>
      </c>
    </row>
    <row r="216" ht="15.75" customHeight="1">
      <c r="A216" t="str">
        <f t="shared" si="1"/>
        <v>A.macleodii</v>
      </c>
      <c r="B216" s="5" t="s">
        <v>227</v>
      </c>
      <c r="C216" s="6" t="str">
        <f>IFERROR(__xludf.DUMMYFUNCTION("SPLIT('2. c'!B216, "" "", True, True)"),"Alteromonas")</f>
        <v>Alteromonas</v>
      </c>
      <c r="D216" t="str">
        <f>IFERROR(__xludf.DUMMYFUNCTION("""COMPUTED_VALUE"""),"macleodii")</f>
        <v>macleodii</v>
      </c>
      <c r="E216" t="str">
        <f>IFERROR(__xludf.DUMMYFUNCTION("""COMPUTED_VALUE"""),"AltDE1")</f>
        <v>AltDE1</v>
      </c>
    </row>
    <row r="217" ht="15.75" customHeight="1">
      <c r="A217" t="str">
        <f t="shared" si="1"/>
        <v>A.macleodii</v>
      </c>
      <c r="B217" s="5" t="s">
        <v>228</v>
      </c>
      <c r="C217" s="6" t="str">
        <f>IFERROR(__xludf.DUMMYFUNCTION("SPLIT('2. c'!B217, "" "", True, True)"),"Alteromonas")</f>
        <v>Alteromonas</v>
      </c>
      <c r="D217" t="str">
        <f>IFERROR(__xludf.DUMMYFUNCTION("""COMPUTED_VALUE"""),"macleodii")</f>
        <v>macleodii</v>
      </c>
      <c r="E217" t="str">
        <f>IFERROR(__xludf.DUMMYFUNCTION("""COMPUTED_VALUE"""),"ATCC")</f>
        <v>ATCC</v>
      </c>
      <c r="F217">
        <f>IFERROR(__xludf.DUMMYFUNCTION("""COMPUTED_VALUE"""),27126.0)</f>
        <v>27126</v>
      </c>
    </row>
    <row r="218" ht="15.75" customHeight="1">
      <c r="A218" t="str">
        <f t="shared" si="1"/>
        <v>A.macleodii</v>
      </c>
      <c r="B218" s="5" t="s">
        <v>229</v>
      </c>
      <c r="C218" s="6" t="str">
        <f>IFERROR(__xludf.DUMMYFUNCTION("SPLIT('2. c'!B218, "" "", True, True)"),"Alteromonas")</f>
        <v>Alteromonas</v>
      </c>
      <c r="D218" t="str">
        <f>IFERROR(__xludf.DUMMYFUNCTION("""COMPUTED_VALUE"""),"macleodii")</f>
        <v>macleodii</v>
      </c>
      <c r="E218" t="str">
        <f>IFERROR(__xludf.DUMMYFUNCTION("""COMPUTED_VALUE"""),"str.")</f>
        <v>str.</v>
      </c>
      <c r="F218" t="str">
        <f>IFERROR(__xludf.DUMMYFUNCTION("""COMPUTED_VALUE"""),"Aegean")</f>
        <v>Aegean</v>
      </c>
      <c r="G218" t="str">
        <f>IFERROR(__xludf.DUMMYFUNCTION("""COMPUTED_VALUE"""),"Sea")</f>
        <v>Sea</v>
      </c>
      <c r="H218" t="str">
        <f>IFERROR(__xludf.DUMMYFUNCTION("""COMPUTED_VALUE"""),"MED64'")</f>
        <v>MED64'</v>
      </c>
    </row>
    <row r="219" ht="15.75" customHeight="1">
      <c r="A219" t="str">
        <f t="shared" si="1"/>
        <v>A.macleodii</v>
      </c>
      <c r="B219" s="5" t="s">
        <v>230</v>
      </c>
      <c r="C219" s="6" t="str">
        <f>IFERROR(__xludf.DUMMYFUNCTION("SPLIT('2. c'!B219, "" "", True, True)"),"Alteromonas")</f>
        <v>Alteromonas</v>
      </c>
      <c r="D219" t="str">
        <f>IFERROR(__xludf.DUMMYFUNCTION("""COMPUTED_VALUE"""),"macleodii")</f>
        <v>macleodii</v>
      </c>
      <c r="E219" t="str">
        <f>IFERROR(__xludf.DUMMYFUNCTION("""COMPUTED_VALUE"""),"str.")</f>
        <v>str.</v>
      </c>
      <c r="F219" t="str">
        <f>IFERROR(__xludf.DUMMYFUNCTION("""COMPUTED_VALUE"""),"Balearic")</f>
        <v>Balearic</v>
      </c>
      <c r="G219" t="str">
        <f>IFERROR(__xludf.DUMMYFUNCTION("""COMPUTED_VALUE"""),"Sea")</f>
        <v>Sea</v>
      </c>
      <c r="H219" t="str">
        <f>IFERROR(__xludf.DUMMYFUNCTION("""COMPUTED_VALUE"""),"AD45'")</f>
        <v>AD45'</v>
      </c>
    </row>
    <row r="220" ht="15.75" customHeight="1">
      <c r="A220" t="str">
        <f t="shared" si="1"/>
        <v>A.macleodii</v>
      </c>
      <c r="B220" s="5" t="s">
        <v>231</v>
      </c>
      <c r="C220" s="6" t="str">
        <f>IFERROR(__xludf.DUMMYFUNCTION("SPLIT('2. c'!B220, "" "", True, True)"),"Alteromonas")</f>
        <v>Alteromonas</v>
      </c>
      <c r="D220" t="str">
        <f>IFERROR(__xludf.DUMMYFUNCTION("""COMPUTED_VALUE"""),"macleodii")</f>
        <v>macleodii</v>
      </c>
      <c r="E220" t="str">
        <f>IFERROR(__xludf.DUMMYFUNCTION("""COMPUTED_VALUE"""),"str.")</f>
        <v>str.</v>
      </c>
      <c r="F220" t="str">
        <f>IFERROR(__xludf.DUMMYFUNCTION("""COMPUTED_VALUE"""),"Black")</f>
        <v>Black</v>
      </c>
      <c r="G220" t="str">
        <f>IFERROR(__xludf.DUMMYFUNCTION("""COMPUTED_VALUE"""),"Sea")</f>
        <v>Sea</v>
      </c>
      <c r="H220" t="str">
        <f>IFERROR(__xludf.DUMMYFUNCTION("""COMPUTED_VALUE"""),"11'")</f>
        <v>11'</v>
      </c>
    </row>
    <row r="221" ht="15.75" customHeight="1">
      <c r="A221" t="str">
        <f t="shared" si="1"/>
        <v>A.macleodii</v>
      </c>
      <c r="B221" s="5" t="s">
        <v>232</v>
      </c>
      <c r="C221" s="6" t="str">
        <f>IFERROR(__xludf.DUMMYFUNCTION("SPLIT('2. c'!B221, "" "", True, True)"),"Alteromonas")</f>
        <v>Alteromonas</v>
      </c>
      <c r="D221" t="str">
        <f>IFERROR(__xludf.DUMMYFUNCTION("""COMPUTED_VALUE"""),"macleodii")</f>
        <v>macleodii</v>
      </c>
      <c r="E221" t="str">
        <f>IFERROR(__xludf.DUMMYFUNCTION("""COMPUTED_VALUE"""),"str.")</f>
        <v>str.</v>
      </c>
      <c r="F221" t="str">
        <f>IFERROR(__xludf.DUMMYFUNCTION("""COMPUTED_VALUE"""),"Deep")</f>
        <v>Deep</v>
      </c>
      <c r="G221" t="str">
        <f>IFERROR(__xludf.DUMMYFUNCTION("""COMPUTED_VALUE"""),"ecotype'")</f>
        <v>ecotype'</v>
      </c>
    </row>
    <row r="222" ht="15.75" customHeight="1">
      <c r="A222" t="str">
        <f t="shared" si="1"/>
        <v>A.macleodii</v>
      </c>
      <c r="B222" s="5" t="s">
        <v>233</v>
      </c>
      <c r="C222" s="6" t="str">
        <f>IFERROR(__xludf.DUMMYFUNCTION("SPLIT('2. c'!B222, "" "", True, True)"),"Alteromonas")</f>
        <v>Alteromonas</v>
      </c>
      <c r="D222" t="str">
        <f>IFERROR(__xludf.DUMMYFUNCTION("""COMPUTED_VALUE"""),"macleodii")</f>
        <v>macleodii</v>
      </c>
      <c r="E222" t="str">
        <f>IFERROR(__xludf.DUMMYFUNCTION("""COMPUTED_VALUE"""),"str.")</f>
        <v>str.</v>
      </c>
      <c r="F222" t="str">
        <f>IFERROR(__xludf.DUMMYFUNCTION("""COMPUTED_VALUE"""),"English")</f>
        <v>English</v>
      </c>
      <c r="G222" t="str">
        <f>IFERROR(__xludf.DUMMYFUNCTION("""COMPUTED_VALUE"""),"Channel")</f>
        <v>Channel</v>
      </c>
      <c r="H222" t="str">
        <f>IFERROR(__xludf.DUMMYFUNCTION("""COMPUTED_VALUE"""),"615'")</f>
        <v>615'</v>
      </c>
    </row>
    <row r="223" ht="15.75" customHeight="1">
      <c r="A223" t="str">
        <f t="shared" si="1"/>
        <v>A.macleodii</v>
      </c>
      <c r="B223" s="5" t="s">
        <v>234</v>
      </c>
      <c r="C223" s="6" t="str">
        <f>IFERROR(__xludf.DUMMYFUNCTION("SPLIT('2. c'!B223, "" "", True, True)"),"Alteromonas")</f>
        <v>Alteromonas</v>
      </c>
      <c r="D223" t="str">
        <f>IFERROR(__xludf.DUMMYFUNCTION("""COMPUTED_VALUE"""),"macleodii")</f>
        <v>macleodii</v>
      </c>
      <c r="E223" t="str">
        <f>IFERROR(__xludf.DUMMYFUNCTION("""COMPUTED_VALUE"""),"str.")</f>
        <v>str.</v>
      </c>
      <c r="F223" t="str">
        <f>IFERROR(__xludf.DUMMYFUNCTION("""COMPUTED_VALUE"""),"English")</f>
        <v>English</v>
      </c>
      <c r="G223" t="str">
        <f>IFERROR(__xludf.DUMMYFUNCTION("""COMPUTED_VALUE"""),"Channel")</f>
        <v>Channel</v>
      </c>
      <c r="H223" t="str">
        <f>IFERROR(__xludf.DUMMYFUNCTION("""COMPUTED_VALUE"""),"673'")</f>
        <v>673'</v>
      </c>
    </row>
    <row r="224" ht="15.75" customHeight="1">
      <c r="A224" t="str">
        <f t="shared" si="1"/>
        <v>A.macleodii</v>
      </c>
      <c r="B224" s="5" t="s">
        <v>235</v>
      </c>
      <c r="C224" s="6" t="str">
        <f>IFERROR(__xludf.DUMMYFUNCTION("SPLIT('2. c'!B224, "" "", True, True)"),"Alteromonas")</f>
        <v>Alteromonas</v>
      </c>
      <c r="D224" t="str">
        <f>IFERROR(__xludf.DUMMYFUNCTION("""COMPUTED_VALUE"""),"macleodii")</f>
        <v>macleodii</v>
      </c>
      <c r="E224" t="str">
        <f>IFERROR(__xludf.DUMMYFUNCTION("""COMPUTED_VALUE"""),"str.")</f>
        <v>str.</v>
      </c>
      <c r="F224" t="str">
        <f>IFERROR(__xludf.DUMMYFUNCTION("""COMPUTED_VALUE"""),"Ionian")</f>
        <v>Ionian</v>
      </c>
      <c r="G224" t="str">
        <f>IFERROR(__xludf.DUMMYFUNCTION("""COMPUTED_VALUE"""),"Sea")</f>
        <v>Sea</v>
      </c>
      <c r="H224" t="str">
        <f>IFERROR(__xludf.DUMMYFUNCTION("""COMPUTED_VALUE"""),"U4'")</f>
        <v>U4'</v>
      </c>
    </row>
    <row r="225" ht="15.75" customHeight="1">
      <c r="A225" t="str">
        <f t="shared" si="1"/>
        <v>A.macleodii</v>
      </c>
      <c r="B225" s="5" t="s">
        <v>236</v>
      </c>
      <c r="C225" s="6" t="str">
        <f>IFERROR(__xludf.DUMMYFUNCTION("SPLIT('2. c'!B225, "" "", True, True)"),"Alteromonas")</f>
        <v>Alteromonas</v>
      </c>
      <c r="D225" t="str">
        <f>IFERROR(__xludf.DUMMYFUNCTION("""COMPUTED_VALUE"""),"macleodii")</f>
        <v>macleodii</v>
      </c>
      <c r="E225" t="str">
        <f>IFERROR(__xludf.DUMMYFUNCTION("""COMPUTED_VALUE"""),"str.")</f>
        <v>str.</v>
      </c>
      <c r="F225" t="str">
        <f>IFERROR(__xludf.DUMMYFUNCTION("""COMPUTED_VALUE"""),"Ionian")</f>
        <v>Ionian</v>
      </c>
      <c r="G225" t="str">
        <f>IFERROR(__xludf.DUMMYFUNCTION("""COMPUTED_VALUE"""),"Sea")</f>
        <v>Sea</v>
      </c>
      <c r="H225" t="str">
        <f>IFERROR(__xludf.DUMMYFUNCTION("""COMPUTED_VALUE"""),"U7'")</f>
        <v>U7'</v>
      </c>
    </row>
    <row r="226" ht="15.75" customHeight="1">
      <c r="A226" t="str">
        <f t="shared" si="1"/>
        <v>A.macleodii</v>
      </c>
      <c r="B226" s="5" t="s">
        <v>237</v>
      </c>
      <c r="C226" s="6" t="str">
        <f>IFERROR(__xludf.DUMMYFUNCTION("SPLIT('2. c'!B226, "" "", True, True)"),"Alteromonas")</f>
        <v>Alteromonas</v>
      </c>
      <c r="D226" t="str">
        <f>IFERROR(__xludf.DUMMYFUNCTION("""COMPUTED_VALUE"""),"macleodii")</f>
        <v>macleodii</v>
      </c>
      <c r="E226" t="str">
        <f>IFERROR(__xludf.DUMMYFUNCTION("""COMPUTED_VALUE"""),"str.")</f>
        <v>str.</v>
      </c>
      <c r="F226" t="str">
        <f>IFERROR(__xludf.DUMMYFUNCTION("""COMPUTED_VALUE"""),"Ionian")</f>
        <v>Ionian</v>
      </c>
      <c r="G226" t="str">
        <f>IFERROR(__xludf.DUMMYFUNCTION("""COMPUTED_VALUE"""),"Sea")</f>
        <v>Sea</v>
      </c>
      <c r="H226" t="str">
        <f>IFERROR(__xludf.DUMMYFUNCTION("""COMPUTED_VALUE"""),"U8'")</f>
        <v>U8'</v>
      </c>
    </row>
    <row r="227" ht="15.75" customHeight="1">
      <c r="A227" t="str">
        <f t="shared" si="1"/>
        <v>A.macleodii</v>
      </c>
      <c r="B227" s="5" t="s">
        <v>238</v>
      </c>
      <c r="C227" s="6" t="str">
        <f>IFERROR(__xludf.DUMMYFUNCTION("SPLIT('2. c'!B227, "" "", True, True)"),"Alteromonas")</f>
        <v>Alteromonas</v>
      </c>
      <c r="D227" t="str">
        <f>IFERROR(__xludf.DUMMYFUNCTION("""COMPUTED_VALUE"""),"macleodii")</f>
        <v>macleodii</v>
      </c>
      <c r="E227" t="str">
        <f>IFERROR(__xludf.DUMMYFUNCTION("""COMPUTED_VALUE"""),"str.")</f>
        <v>str.</v>
      </c>
      <c r="F227" t="str">
        <f>IFERROR(__xludf.DUMMYFUNCTION("""COMPUTED_VALUE"""),"Ionian")</f>
        <v>Ionian</v>
      </c>
      <c r="G227" t="str">
        <f>IFERROR(__xludf.DUMMYFUNCTION("""COMPUTED_VALUE"""),"Sea")</f>
        <v>Sea</v>
      </c>
      <c r="H227" t="str">
        <f>IFERROR(__xludf.DUMMYFUNCTION("""COMPUTED_VALUE"""),"UM4b'")</f>
        <v>UM4b'</v>
      </c>
    </row>
    <row r="228" ht="15.75" customHeight="1">
      <c r="A228" t="str">
        <f t="shared" si="1"/>
        <v>A.macleodii</v>
      </c>
      <c r="B228" s="5" t="s">
        <v>239</v>
      </c>
      <c r="C228" s="6" t="str">
        <f>IFERROR(__xludf.DUMMYFUNCTION("SPLIT('2. c'!B228, "" "", True, True)"),"Alteromonas")</f>
        <v>Alteromonas</v>
      </c>
      <c r="D228" t="str">
        <f>IFERROR(__xludf.DUMMYFUNCTION("""COMPUTED_VALUE"""),"macleodii")</f>
        <v>macleodii</v>
      </c>
      <c r="E228" t="str">
        <f>IFERROR(__xludf.DUMMYFUNCTION("""COMPUTED_VALUE"""),"str.")</f>
        <v>str.</v>
      </c>
      <c r="F228" t="str">
        <f>IFERROR(__xludf.DUMMYFUNCTION("""COMPUTED_VALUE"""),"Ionian")</f>
        <v>Ionian</v>
      </c>
      <c r="G228" t="str">
        <f>IFERROR(__xludf.DUMMYFUNCTION("""COMPUTED_VALUE"""),"Sea")</f>
        <v>Sea</v>
      </c>
      <c r="H228" t="str">
        <f>IFERROR(__xludf.DUMMYFUNCTION("""COMPUTED_VALUE"""),"UM7'")</f>
        <v>UM7'</v>
      </c>
    </row>
    <row r="229" ht="15.75" customHeight="1">
      <c r="A229" t="str">
        <f t="shared" si="1"/>
        <v>A.macleodii</v>
      </c>
      <c r="B229" s="5" t="s">
        <v>240</v>
      </c>
      <c r="C229" s="6" t="str">
        <f>IFERROR(__xludf.DUMMYFUNCTION("SPLIT('2. c'!B229, "" "", True, True)"),"Alteromonas")</f>
        <v>Alteromonas</v>
      </c>
      <c r="D229" t="str">
        <f>IFERROR(__xludf.DUMMYFUNCTION("""COMPUTED_VALUE"""),"macleodii")</f>
        <v>macleodii</v>
      </c>
      <c r="E229" t="str">
        <f>IFERROR(__xludf.DUMMYFUNCTION("""COMPUTED_VALUE"""),"strain")</f>
        <v>strain</v>
      </c>
      <c r="F229" t="str">
        <f>IFERROR(__xludf.DUMMYFUNCTION("""COMPUTED_VALUE"""),"D7")</f>
        <v>D7</v>
      </c>
    </row>
    <row r="230" ht="15.75" customHeight="1">
      <c r="A230" t="str">
        <f t="shared" si="1"/>
        <v>A.macleodii</v>
      </c>
      <c r="B230" s="5" t="s">
        <v>241</v>
      </c>
      <c r="C230" s="6" t="str">
        <f>IFERROR(__xludf.DUMMYFUNCTION("SPLIT('2. c'!B230, "" "", True, True)"),"Alteromonas")</f>
        <v>Alteromonas</v>
      </c>
      <c r="D230" t="str">
        <f>IFERROR(__xludf.DUMMYFUNCTION("""COMPUTED_VALUE"""),"macleodii")</f>
        <v>macleodii</v>
      </c>
      <c r="E230" t="str">
        <f>IFERROR(__xludf.DUMMYFUNCTION("""COMPUTED_VALUE"""),"strain")</f>
        <v>strain</v>
      </c>
      <c r="F230" t="str">
        <f>IFERROR(__xludf.DUMMYFUNCTION("""COMPUTED_VALUE"""),"HOT1A3")</f>
        <v>HOT1A3</v>
      </c>
    </row>
    <row r="231" ht="15.75" customHeight="1">
      <c r="A231" t="str">
        <f t="shared" si="1"/>
        <v>A.mediterranea</v>
      </c>
      <c r="B231" s="5" t="s">
        <v>242</v>
      </c>
      <c r="C231" s="6" t="str">
        <f>IFERROR(__xludf.DUMMYFUNCTION("SPLIT('2. c'!B231, "" "", True, True)"),"Alteromonas")</f>
        <v>Alteromonas</v>
      </c>
      <c r="D231" t="str">
        <f>IFERROR(__xludf.DUMMYFUNCTION("""COMPUTED_VALUE"""),"mediterranea")</f>
        <v>mediterranea</v>
      </c>
      <c r="E231" t="str">
        <f>IFERROR(__xludf.DUMMYFUNCTION("""COMPUTED_VALUE"""),"strain")</f>
        <v>strain</v>
      </c>
      <c r="F231" t="str">
        <f>IFERROR(__xludf.DUMMYFUNCTION("""COMPUTED_VALUE"""),"U10")</f>
        <v>U10</v>
      </c>
    </row>
    <row r="232" ht="15.75" customHeight="1">
      <c r="A232" t="str">
        <f t="shared" si="1"/>
        <v>A.mediterranea</v>
      </c>
      <c r="B232" s="5" t="s">
        <v>243</v>
      </c>
      <c r="C232" s="6" t="str">
        <f>IFERROR(__xludf.DUMMYFUNCTION("SPLIT('2. c'!B232, "" "", True, True)"),"Alteromonas")</f>
        <v>Alteromonas</v>
      </c>
      <c r="D232" t="str">
        <f>IFERROR(__xludf.DUMMYFUNCTION("""COMPUTED_VALUE"""),"mediterranea")</f>
        <v>mediterranea</v>
      </c>
      <c r="E232" t="str">
        <f>IFERROR(__xludf.DUMMYFUNCTION("""COMPUTED_VALUE"""),"strain")</f>
        <v>strain</v>
      </c>
      <c r="F232" t="str">
        <f>IFERROR(__xludf.DUMMYFUNCTION("""COMPUTED_VALUE"""),"UM8")</f>
        <v>UM8</v>
      </c>
    </row>
    <row r="233" ht="15.75" customHeight="1">
      <c r="A233" t="str">
        <f t="shared" si="1"/>
        <v>A.sp.</v>
      </c>
      <c r="B233" s="5" t="s">
        <v>244</v>
      </c>
      <c r="C233" s="6" t="str">
        <f>IFERROR(__xludf.DUMMYFUNCTION("SPLIT('2. c'!B233, "" "", True, True)"),"Alteromonas")</f>
        <v>Alteromonas</v>
      </c>
      <c r="D233" t="str">
        <f>IFERROR(__xludf.DUMMYFUNCTION("""COMPUTED_VALUE"""),"sp.")</f>
        <v>sp.</v>
      </c>
      <c r="E233" t="str">
        <f>IFERROR(__xludf.DUMMYFUNCTION("""COMPUTED_VALUE"""),"Mac1")</f>
        <v>Mac1</v>
      </c>
    </row>
    <row r="234" ht="15.75" customHeight="1">
      <c r="A234" t="str">
        <f t="shared" si="1"/>
        <v>A.sp.</v>
      </c>
      <c r="B234" s="5" t="s">
        <v>245</v>
      </c>
      <c r="C234" s="6" t="str">
        <f>IFERROR(__xludf.DUMMYFUNCTION("SPLIT('2. c'!B234, "" "", True, True)"),"Alteromonas")</f>
        <v>Alteromonas</v>
      </c>
      <c r="D234" t="str">
        <f>IFERROR(__xludf.DUMMYFUNCTION("""COMPUTED_VALUE"""),"sp.")</f>
        <v>sp.</v>
      </c>
      <c r="E234" t="str">
        <f>IFERROR(__xludf.DUMMYFUNCTION("""COMPUTED_VALUE"""),"Mac2")</f>
        <v>Mac2</v>
      </c>
    </row>
    <row r="235" ht="15.75" customHeight="1">
      <c r="A235" t="str">
        <f t="shared" si="1"/>
        <v>A.sp.</v>
      </c>
      <c r="B235" s="5" t="s">
        <v>246</v>
      </c>
      <c r="C235" s="6" t="str">
        <f>IFERROR(__xludf.DUMMYFUNCTION("SPLIT('2. c'!B235, "" "", True, True)"),"Alteromonas")</f>
        <v>Alteromonas</v>
      </c>
      <c r="D235" t="str">
        <f>IFERROR(__xludf.DUMMYFUNCTION("""COMPUTED_VALUE"""),"sp.")</f>
        <v>sp.</v>
      </c>
      <c r="E235" t="str">
        <f>IFERROR(__xludf.DUMMYFUNCTION("""COMPUTED_VALUE"""),"SN2")</f>
        <v>SN2</v>
      </c>
    </row>
    <row r="236" ht="15.75" customHeight="1">
      <c r="A236" t="str">
        <f t="shared" si="1"/>
        <v>A.stellipolaris</v>
      </c>
      <c r="B236" s="5" t="s">
        <v>247</v>
      </c>
      <c r="C236" s="6" t="str">
        <f>IFERROR(__xludf.DUMMYFUNCTION("SPLIT('2. c'!B236, "" "", True, True)"),"Alteromonas")</f>
        <v>Alteromonas</v>
      </c>
      <c r="D236" t="str">
        <f>IFERROR(__xludf.DUMMYFUNCTION("""COMPUTED_VALUE"""),"stellipolaris")</f>
        <v>stellipolaris</v>
      </c>
      <c r="E236" t="str">
        <f>IFERROR(__xludf.DUMMYFUNCTION("""COMPUTED_VALUE"""),"LMG")</f>
        <v>LMG</v>
      </c>
      <c r="F236">
        <f>IFERROR(__xludf.DUMMYFUNCTION("""COMPUTED_VALUE"""),21856.0)</f>
        <v>21856</v>
      </c>
    </row>
    <row r="237" ht="15.75" customHeight="1">
      <c r="A237" t="str">
        <f t="shared" si="1"/>
        <v>A.stellipolaris</v>
      </c>
      <c r="B237" s="5" t="s">
        <v>248</v>
      </c>
      <c r="C237" s="6" t="str">
        <f>IFERROR(__xludf.DUMMYFUNCTION("SPLIT('2. c'!B237, "" "", True, True)"),"Alteromonas")</f>
        <v>Alteromonas</v>
      </c>
      <c r="D237" t="str">
        <f>IFERROR(__xludf.DUMMYFUNCTION("""COMPUTED_VALUE"""),"stellipolaris")</f>
        <v>stellipolaris</v>
      </c>
      <c r="E237" t="str">
        <f>IFERROR(__xludf.DUMMYFUNCTION("""COMPUTED_VALUE"""),"strain")</f>
        <v>strain</v>
      </c>
      <c r="F237" t="str">
        <f>IFERROR(__xludf.DUMMYFUNCTION("""COMPUTED_VALUE"""),"LMG")</f>
        <v>LMG</v>
      </c>
      <c r="G237">
        <f>IFERROR(__xludf.DUMMYFUNCTION("""COMPUTED_VALUE"""),21861.0)</f>
        <v>21861</v>
      </c>
    </row>
    <row r="238" ht="15.75" customHeight="1">
      <c r="A238" t="str">
        <f t="shared" si="1"/>
        <v>A.stellipolaris</v>
      </c>
      <c r="B238" s="5" t="s">
        <v>249</v>
      </c>
      <c r="C238" s="6" t="str">
        <f>IFERROR(__xludf.DUMMYFUNCTION("SPLIT('2. c'!B238, "" "", True, True)"),"Alteromonas")</f>
        <v>Alteromonas</v>
      </c>
      <c r="D238" t="str">
        <f>IFERROR(__xludf.DUMMYFUNCTION("""COMPUTED_VALUE"""),"stellipolaris")</f>
        <v>stellipolaris</v>
      </c>
      <c r="E238" t="str">
        <f>IFERROR(__xludf.DUMMYFUNCTION("""COMPUTED_VALUE"""),"strain")</f>
        <v>strain</v>
      </c>
      <c r="F238" t="str">
        <f>IFERROR(__xludf.DUMMYFUNCTION("""COMPUTED_VALUE"""),"PQQ-42")</f>
        <v>PQQ-42</v>
      </c>
    </row>
    <row r="239" ht="15.75" customHeight="1">
      <c r="A239" t="str">
        <f t="shared" si="1"/>
        <v>A.stellipolaris</v>
      </c>
      <c r="B239" s="5" t="s">
        <v>250</v>
      </c>
      <c r="C239" s="6" t="str">
        <f>IFERROR(__xludf.DUMMYFUNCTION("SPLIT('2. c'!B239, "" "", True, True)"),"Alteromonas")</f>
        <v>Alteromonas</v>
      </c>
      <c r="D239" t="str">
        <f>IFERROR(__xludf.DUMMYFUNCTION("""COMPUTED_VALUE"""),"stellipolaris")</f>
        <v>stellipolaris</v>
      </c>
      <c r="E239" t="str">
        <f>IFERROR(__xludf.DUMMYFUNCTION("""COMPUTED_VALUE"""),"strain")</f>
        <v>strain</v>
      </c>
      <c r="F239" t="str">
        <f>IFERROR(__xludf.DUMMYFUNCTION("""COMPUTED_VALUE"""),"PQQ-44")</f>
        <v>PQQ-44</v>
      </c>
    </row>
    <row r="240" ht="15.75" customHeight="1">
      <c r="A240" t="str">
        <f t="shared" si="1"/>
        <v>A.aminovorans</v>
      </c>
      <c r="B240" s="5" t="s">
        <v>251</v>
      </c>
      <c r="C240" s="6" t="str">
        <f>IFERROR(__xludf.DUMMYFUNCTION("SPLIT('2. c'!B240, "" "", True, True)"),"Aminobacter")</f>
        <v>Aminobacter</v>
      </c>
      <c r="D240" t="str">
        <f>IFERROR(__xludf.DUMMYFUNCTION("""COMPUTED_VALUE"""),"aminovorans")</f>
        <v>aminovorans</v>
      </c>
      <c r="E240" t="str">
        <f>IFERROR(__xludf.DUMMYFUNCTION("""COMPUTED_VALUE"""),"strain")</f>
        <v>strain</v>
      </c>
      <c r="F240" t="str">
        <f>IFERROR(__xludf.DUMMYFUNCTION("""COMPUTED_VALUE"""),"KCTC")</f>
        <v>KCTC</v>
      </c>
      <c r="G240">
        <f>IFERROR(__xludf.DUMMYFUNCTION("""COMPUTED_VALUE"""),2477.0)</f>
        <v>2477</v>
      </c>
    </row>
    <row r="241" ht="15.75" customHeight="1">
      <c r="A241" t="str">
        <f t="shared" si="1"/>
        <v>A.colombiense</v>
      </c>
      <c r="B241" s="5" t="s">
        <v>252</v>
      </c>
      <c r="C241" s="6" t="str">
        <f>IFERROR(__xludf.DUMMYFUNCTION("SPLIT('2. c'!B241, "" "", True, True)"),"Aminobacterium")</f>
        <v>Aminobacterium</v>
      </c>
      <c r="D241" t="str">
        <f>IFERROR(__xludf.DUMMYFUNCTION("""COMPUTED_VALUE"""),"colombiense")</f>
        <v>colombiense</v>
      </c>
      <c r="E241" t="str">
        <f>IFERROR(__xludf.DUMMYFUNCTION("""COMPUTED_VALUE"""),"DSM")</f>
        <v>DSM</v>
      </c>
      <c r="F241">
        <f>IFERROR(__xludf.DUMMYFUNCTION("""COMPUTED_VALUE"""),12261.0)</f>
        <v>12261</v>
      </c>
    </row>
    <row r="242" ht="15.75" customHeight="1">
      <c r="A242" t="str">
        <f t="shared" si="1"/>
        <v>A.degensii</v>
      </c>
      <c r="B242" s="5" t="s">
        <v>253</v>
      </c>
      <c r="C242" s="6" t="str">
        <f>IFERROR(__xludf.DUMMYFUNCTION("SPLIT('2. c'!B242, "" "", True, True)"),"Ammonifex")</f>
        <v>Ammonifex</v>
      </c>
      <c r="D242" t="str">
        <f>IFERROR(__xludf.DUMMYFUNCTION("""COMPUTED_VALUE"""),"degensii")</f>
        <v>degensii</v>
      </c>
      <c r="E242" t="str">
        <f>IFERROR(__xludf.DUMMYFUNCTION("""COMPUTED_VALUE"""),"KC4")</f>
        <v>KC4</v>
      </c>
    </row>
    <row r="243" ht="15.75" customHeight="1">
      <c r="A243" t="str">
        <f t="shared" si="1"/>
        <v>A.xylanus</v>
      </c>
      <c r="B243" s="5" t="s">
        <v>256</v>
      </c>
      <c r="C243" s="6" t="str">
        <f>IFERROR(__xludf.DUMMYFUNCTION("SPLIT('2. c'!B243, "" "", True, True)"),"Amphibacillus")</f>
        <v>Amphibacillus</v>
      </c>
      <c r="D243" t="str">
        <f>IFERROR(__xludf.DUMMYFUNCTION("""COMPUTED_VALUE"""),"xylanus")</f>
        <v>xylanus</v>
      </c>
      <c r="E243" t="str">
        <f>IFERROR(__xludf.DUMMYFUNCTION("""COMPUTED_VALUE"""),"NBRC")</f>
        <v>NBRC</v>
      </c>
      <c r="F243">
        <f>IFERROR(__xludf.DUMMYFUNCTION("""COMPUTED_VALUE"""),15112.0)</f>
        <v>15112</v>
      </c>
    </row>
    <row r="244" ht="15.75" customHeight="1">
      <c r="A244" t="str">
        <f t="shared" si="1"/>
        <v>A.japonica</v>
      </c>
      <c r="B244" s="5" t="s">
        <v>260</v>
      </c>
      <c r="C244" s="6" t="str">
        <f>IFERROR(__xludf.DUMMYFUNCTION("SPLIT('2. c'!B244, "" "", True, True)"),"Amycolatopsis")</f>
        <v>Amycolatopsis</v>
      </c>
      <c r="D244" t="str">
        <f>IFERROR(__xludf.DUMMYFUNCTION("""COMPUTED_VALUE"""),"japonica")</f>
        <v>japonica</v>
      </c>
      <c r="E244" t="str">
        <f>IFERROR(__xludf.DUMMYFUNCTION("""COMPUTED_VALUE"""),"strain")</f>
        <v>strain</v>
      </c>
      <c r="F244" t="str">
        <f>IFERROR(__xludf.DUMMYFUNCTION("""COMPUTED_VALUE"""),"MG417-CF17")</f>
        <v>MG417-CF17</v>
      </c>
      <c r="G244" t="str">
        <f>IFERROR(__xludf.DUMMYFUNCTION("""COMPUTED_VALUE"""),"(=DSM")</f>
        <v>(=DSM</v>
      </c>
      <c r="H244" t="str">
        <f>IFERROR(__xludf.DUMMYFUNCTION("""COMPUTED_VALUE"""),"44213)")</f>
        <v>44213)</v>
      </c>
    </row>
    <row r="245" ht="15.75" customHeight="1">
      <c r="A245" t="str">
        <f t="shared" si="1"/>
        <v>A.mediterranei</v>
      </c>
      <c r="B245" s="5" t="s">
        <v>261</v>
      </c>
      <c r="C245" s="6" t="str">
        <f>IFERROR(__xludf.DUMMYFUNCTION("SPLIT('2. c'!B245, "" "", True, True)"),"Amycolatopsis")</f>
        <v>Amycolatopsis</v>
      </c>
      <c r="D245" t="str">
        <f>IFERROR(__xludf.DUMMYFUNCTION("""COMPUTED_VALUE"""),"mediterranei")</f>
        <v>mediterranei</v>
      </c>
      <c r="E245" t="str">
        <f>IFERROR(__xludf.DUMMYFUNCTION("""COMPUTED_VALUE"""),"RB")</f>
        <v>RB</v>
      </c>
    </row>
    <row r="246" ht="15.75" customHeight="1">
      <c r="A246" t="str">
        <f t="shared" si="1"/>
        <v>A.mediterranei</v>
      </c>
      <c r="B246" s="5" t="s">
        <v>262</v>
      </c>
      <c r="C246" s="6" t="str">
        <f>IFERROR(__xludf.DUMMYFUNCTION("SPLIT('2. c'!B246, "" "", True, True)"),"Amycolatopsis")</f>
        <v>Amycolatopsis</v>
      </c>
      <c r="D246" t="str">
        <f>IFERROR(__xludf.DUMMYFUNCTION("""COMPUTED_VALUE"""),"mediterranei")</f>
        <v>mediterranei</v>
      </c>
      <c r="E246" t="str">
        <f>IFERROR(__xludf.DUMMYFUNCTION("""COMPUTED_VALUE"""),"S699")</f>
        <v>S699</v>
      </c>
    </row>
    <row r="247" ht="15.75" customHeight="1">
      <c r="A247" t="str">
        <f t="shared" si="1"/>
        <v>A.mediterranei</v>
      </c>
      <c r="B247" s="5" t="s">
        <v>262</v>
      </c>
      <c r="C247" s="6" t="str">
        <f>IFERROR(__xludf.DUMMYFUNCTION("SPLIT('2. c'!B247, "" "", True, True)"),"Amycolatopsis")</f>
        <v>Amycolatopsis</v>
      </c>
      <c r="D247" t="str">
        <f>IFERROR(__xludf.DUMMYFUNCTION("""COMPUTED_VALUE"""),"mediterranei")</f>
        <v>mediterranei</v>
      </c>
      <c r="E247" t="str">
        <f>IFERROR(__xludf.DUMMYFUNCTION("""COMPUTED_VALUE"""),"S699")</f>
        <v>S699</v>
      </c>
    </row>
    <row r="248" ht="15.75" customHeight="1">
      <c r="A248" t="str">
        <f t="shared" si="1"/>
        <v>A.mediterranei</v>
      </c>
      <c r="B248" s="5" t="s">
        <v>263</v>
      </c>
      <c r="C248" s="6" t="str">
        <f>IFERROR(__xludf.DUMMYFUNCTION("SPLIT('2. c'!B248, "" "", True, True)"),"Amycolatopsis")</f>
        <v>Amycolatopsis</v>
      </c>
      <c r="D248" t="str">
        <f>IFERROR(__xludf.DUMMYFUNCTION("""COMPUTED_VALUE"""),"mediterranei")</f>
        <v>mediterranei</v>
      </c>
      <c r="E248" t="str">
        <f>IFERROR(__xludf.DUMMYFUNCTION("""COMPUTED_VALUE"""),"U32")</f>
        <v>U32</v>
      </c>
    </row>
    <row r="249" ht="15.75" customHeight="1">
      <c r="A249" t="str">
        <f t="shared" si="1"/>
        <v>A.methanolica</v>
      </c>
      <c r="B249" s="5" t="s">
        <v>264</v>
      </c>
      <c r="C249" s="6" t="str">
        <f>IFERROR(__xludf.DUMMYFUNCTION("SPLIT('2. c'!B249, "" "", True, True)"),"Amycolatopsis")</f>
        <v>Amycolatopsis</v>
      </c>
      <c r="D249" t="str">
        <f>IFERROR(__xludf.DUMMYFUNCTION("""COMPUTED_VALUE"""),"methanolica")</f>
        <v>methanolica</v>
      </c>
      <c r="E249">
        <f>IFERROR(__xludf.DUMMYFUNCTION("""COMPUTED_VALUE"""),239.0)</f>
        <v>239</v>
      </c>
    </row>
    <row r="250" ht="15.75" customHeight="1">
      <c r="A250" t="str">
        <f t="shared" si="1"/>
        <v>A.orientalis</v>
      </c>
      <c r="B250" s="5" t="s">
        <v>265</v>
      </c>
      <c r="C250" s="6" t="str">
        <f>IFERROR(__xludf.DUMMYFUNCTION("SPLIT('2. c'!B250, "" "", True, True)"),"Amycolatopsis")</f>
        <v>Amycolatopsis</v>
      </c>
      <c r="D250" t="str">
        <f>IFERROR(__xludf.DUMMYFUNCTION("""COMPUTED_VALUE"""),"orientalis")</f>
        <v>orientalis</v>
      </c>
      <c r="E250" t="str">
        <f>IFERROR(__xludf.DUMMYFUNCTION("""COMPUTED_VALUE"""),"HCCB10007")</f>
        <v>HCCB10007</v>
      </c>
    </row>
    <row r="251" ht="15.75" customHeight="1">
      <c r="A251" t="str">
        <f t="shared" si="1"/>
        <v>A.subflavus</v>
      </c>
      <c r="B251" s="5" t="s">
        <v>266</v>
      </c>
      <c r="C251" s="6" t="str">
        <f>IFERROR(__xludf.DUMMYFUNCTION("SPLIT('2. c'!B251, "" "", True, True)"),"Amycolicicoccus")</f>
        <v>Amycolicicoccus</v>
      </c>
      <c r="D251" t="str">
        <f>IFERROR(__xludf.DUMMYFUNCTION("""COMPUTED_VALUE"""),"subflavus")</f>
        <v>subflavus</v>
      </c>
      <c r="E251" t="str">
        <f>IFERROR(__xludf.DUMMYFUNCTION("""COMPUTED_VALUE"""),"DQS3-9A1")</f>
        <v>DQS3-9A1</v>
      </c>
    </row>
    <row r="252" ht="15.75" customHeight="1">
      <c r="A252" t="str">
        <f t="shared" si="1"/>
        <v>A.cylindrica</v>
      </c>
      <c r="B252" s="5" t="s">
        <v>267</v>
      </c>
      <c r="C252" s="6" t="str">
        <f>IFERROR(__xludf.DUMMYFUNCTION("SPLIT('2. c'!B252, "" "", True, True)"),"Anabaena")</f>
        <v>Anabaena</v>
      </c>
      <c r="D252" t="str">
        <f>IFERROR(__xludf.DUMMYFUNCTION("""COMPUTED_VALUE"""),"cylindrica")</f>
        <v>cylindrica</v>
      </c>
      <c r="E252" t="str">
        <f>IFERROR(__xludf.DUMMYFUNCTION("""COMPUTED_VALUE"""),"PCC")</f>
        <v>PCC</v>
      </c>
      <c r="F252">
        <f>IFERROR(__xludf.DUMMYFUNCTION("""COMPUTED_VALUE"""),7122.0)</f>
        <v>7122</v>
      </c>
    </row>
    <row r="253" ht="15.75" customHeight="1">
      <c r="A253" t="str">
        <f t="shared" si="1"/>
        <v>A.sp.</v>
      </c>
      <c r="B253" s="5" t="s">
        <v>268</v>
      </c>
      <c r="C253" s="6" t="str">
        <f>IFERROR(__xludf.DUMMYFUNCTION("SPLIT('2. c'!B253, "" "", True, True)"),"Anabaena")</f>
        <v>Anabaena</v>
      </c>
      <c r="D253" t="str">
        <f>IFERROR(__xludf.DUMMYFUNCTION("""COMPUTED_VALUE"""),"sp.")</f>
        <v>sp.</v>
      </c>
      <c r="E253">
        <f>IFERROR(__xludf.DUMMYFUNCTION("""COMPUTED_VALUE"""),90.0)</f>
        <v>90</v>
      </c>
    </row>
    <row r="254" ht="15.75" customHeight="1">
      <c r="A254" t="str">
        <f t="shared" si="1"/>
        <v>A.sp.</v>
      </c>
      <c r="B254" s="5" t="s">
        <v>269</v>
      </c>
      <c r="C254" s="6" t="str">
        <f>IFERROR(__xludf.DUMMYFUNCTION("SPLIT('2. c'!B254, "" "", True, True)"),"Anabaena")</f>
        <v>Anabaena</v>
      </c>
      <c r="D254" t="str">
        <f>IFERROR(__xludf.DUMMYFUNCTION("""COMPUTED_VALUE"""),"sp.")</f>
        <v>sp.</v>
      </c>
      <c r="E254" t="str">
        <f>IFERROR(__xludf.DUMMYFUNCTION("""COMPUTED_VALUE"""),"wa102")</f>
        <v>wa102</v>
      </c>
    </row>
    <row r="255" ht="15.75" customHeight="1">
      <c r="A255" t="str">
        <f t="shared" si="1"/>
        <v>A.variabilis</v>
      </c>
      <c r="B255" s="5" t="s">
        <v>270</v>
      </c>
      <c r="C255" s="6" t="str">
        <f>IFERROR(__xludf.DUMMYFUNCTION("SPLIT('2. c'!B255, "" "", True, True)"),"Anabaena")</f>
        <v>Anabaena</v>
      </c>
      <c r="D255" t="str">
        <f>IFERROR(__xludf.DUMMYFUNCTION("""COMPUTED_VALUE"""),"variabilis")</f>
        <v>variabilis</v>
      </c>
      <c r="E255" t="str">
        <f>IFERROR(__xludf.DUMMYFUNCTION("""COMPUTED_VALUE"""),"ATCC")</f>
        <v>ATCC</v>
      </c>
      <c r="F255">
        <f>IFERROR(__xludf.DUMMYFUNCTION("""COMPUTED_VALUE"""),29413.0)</f>
        <v>29413</v>
      </c>
    </row>
    <row r="256" ht="15.75" customHeight="1">
      <c r="A256" t="str">
        <f t="shared" si="1"/>
        <v>A.mobile</v>
      </c>
      <c r="B256" s="5" t="s">
        <v>271</v>
      </c>
      <c r="C256" s="6" t="str">
        <f>IFERROR(__xludf.DUMMYFUNCTION("SPLIT('2. c'!B256, "" "", True, True)"),"Anaerobaculum")</f>
        <v>Anaerobaculum</v>
      </c>
      <c r="D256" t="str">
        <f>IFERROR(__xludf.DUMMYFUNCTION("""COMPUTED_VALUE"""),"mobile")</f>
        <v>mobile</v>
      </c>
      <c r="E256" t="str">
        <f>IFERROR(__xludf.DUMMYFUNCTION("""COMPUTED_VALUE"""),"DSM")</f>
        <v>DSM</v>
      </c>
      <c r="F256">
        <f>IFERROR(__xludf.DUMMYFUNCTION("""COMPUTED_VALUE"""),13181.0)</f>
        <v>13181</v>
      </c>
    </row>
    <row r="257" ht="15.75" customHeight="1">
      <c r="A257" t="str">
        <f t="shared" si="1"/>
        <v>A.prevotii</v>
      </c>
      <c r="B257" s="5" t="s">
        <v>272</v>
      </c>
      <c r="C257" s="6" t="str">
        <f>IFERROR(__xludf.DUMMYFUNCTION("SPLIT('2. c'!B257, "" "", True, True)"),"Anaerococcus")</f>
        <v>Anaerococcus</v>
      </c>
      <c r="D257" t="str">
        <f>IFERROR(__xludf.DUMMYFUNCTION("""COMPUTED_VALUE"""),"prevotii")</f>
        <v>prevotii</v>
      </c>
      <c r="E257" t="str">
        <f>IFERROR(__xludf.DUMMYFUNCTION("""COMPUTED_VALUE"""),"DSM")</f>
        <v>DSM</v>
      </c>
      <c r="F257">
        <f>IFERROR(__xludf.DUMMYFUNCTION("""COMPUTED_VALUE"""),20548.0)</f>
        <v>20548</v>
      </c>
    </row>
    <row r="258" ht="15.75" customHeight="1">
      <c r="A258" t="str">
        <f t="shared" si="1"/>
        <v>A.thermophila</v>
      </c>
      <c r="B258" s="5" t="s">
        <v>273</v>
      </c>
      <c r="C258" s="6" t="str">
        <f>IFERROR(__xludf.DUMMYFUNCTION("SPLIT('2. c'!B258, "" "", True, True)"),"Anaerolinea")</f>
        <v>Anaerolinea</v>
      </c>
      <c r="D258" t="str">
        <f>IFERROR(__xludf.DUMMYFUNCTION("""COMPUTED_VALUE"""),"thermophila")</f>
        <v>thermophila</v>
      </c>
      <c r="E258" t="str">
        <f>IFERROR(__xludf.DUMMYFUNCTION("""COMPUTED_VALUE"""),"UNI-1")</f>
        <v>UNI-1</v>
      </c>
    </row>
    <row r="259" ht="15.75" customHeight="1">
      <c r="A259" t="str">
        <f t="shared" si="1"/>
        <v>A.dehalogenans</v>
      </c>
      <c r="B259" s="5" t="s">
        <v>274</v>
      </c>
      <c r="C259" s="6" t="str">
        <f>IFERROR(__xludf.DUMMYFUNCTION("SPLIT('2. c'!B259, "" "", True, True)"),"Anaeromyxobacter")</f>
        <v>Anaeromyxobacter</v>
      </c>
      <c r="D259" t="str">
        <f>IFERROR(__xludf.DUMMYFUNCTION("""COMPUTED_VALUE"""),"dehalogenans")</f>
        <v>dehalogenans</v>
      </c>
      <c r="E259" t="str">
        <f>IFERROR(__xludf.DUMMYFUNCTION("""COMPUTED_VALUE"""),"2CP-1")</f>
        <v>2CP-1</v>
      </c>
    </row>
    <row r="260" ht="15.75" customHeight="1">
      <c r="A260" t="str">
        <f t="shared" si="1"/>
        <v>A.dehalogenans</v>
      </c>
      <c r="B260" s="5" t="s">
        <v>275</v>
      </c>
      <c r="C260" s="6" t="str">
        <f>IFERROR(__xludf.DUMMYFUNCTION("SPLIT('2. c'!B260, "" "", True, True)"),"Anaeromyxobacter")</f>
        <v>Anaeromyxobacter</v>
      </c>
      <c r="D260" t="str">
        <f>IFERROR(__xludf.DUMMYFUNCTION("""COMPUTED_VALUE"""),"dehalogenans")</f>
        <v>dehalogenans</v>
      </c>
      <c r="E260" t="str">
        <f>IFERROR(__xludf.DUMMYFUNCTION("""COMPUTED_VALUE"""),"2CP-C")</f>
        <v>2CP-C</v>
      </c>
    </row>
    <row r="261" ht="15.75" customHeight="1">
      <c r="A261" t="str">
        <f t="shared" si="1"/>
        <v>A.sp.</v>
      </c>
      <c r="B261" s="5" t="s">
        <v>276</v>
      </c>
      <c r="C261" s="6" t="str">
        <f>IFERROR(__xludf.DUMMYFUNCTION("SPLIT('2. c'!B261, "" "", True, True)"),"Anaeromyxobacter")</f>
        <v>Anaeromyxobacter</v>
      </c>
      <c r="D261" t="str">
        <f>IFERROR(__xludf.DUMMYFUNCTION("""COMPUTED_VALUE"""),"sp.")</f>
        <v>sp.</v>
      </c>
      <c r="E261" t="str">
        <f>IFERROR(__xludf.DUMMYFUNCTION("""COMPUTED_VALUE"""),"Fw109-5")</f>
        <v>Fw109-5</v>
      </c>
    </row>
    <row r="262" ht="15.75" customHeight="1">
      <c r="A262" t="str">
        <f t="shared" si="1"/>
        <v>A.sp.</v>
      </c>
      <c r="B262" s="5" t="s">
        <v>277</v>
      </c>
      <c r="C262" s="6" t="str">
        <f>IFERROR(__xludf.DUMMYFUNCTION("SPLIT('2. c'!B262, "" "", True, True)"),"Anaeromyxobacter")</f>
        <v>Anaeromyxobacter</v>
      </c>
      <c r="D262" t="str">
        <f>IFERROR(__xludf.DUMMYFUNCTION("""COMPUTED_VALUE"""),"sp.")</f>
        <v>sp.</v>
      </c>
      <c r="E262" t="str">
        <f>IFERROR(__xludf.DUMMYFUNCTION("""COMPUTED_VALUE"""),"K")</f>
        <v>K</v>
      </c>
    </row>
    <row r="263" ht="15.75" customHeight="1">
      <c r="A263" t="str">
        <f t="shared" si="1"/>
        <v>A.centrale</v>
      </c>
      <c r="B263" s="5" t="s">
        <v>278</v>
      </c>
      <c r="C263" s="6" t="str">
        <f>IFERROR(__xludf.DUMMYFUNCTION("SPLIT('2. c'!B263, "" "", True, True)"),"Anaplasma")</f>
        <v>Anaplasma</v>
      </c>
      <c r="D263" t="str">
        <f>IFERROR(__xludf.DUMMYFUNCTION("""COMPUTED_VALUE"""),"centrale")</f>
        <v>centrale</v>
      </c>
      <c r="E263" t="str">
        <f>IFERROR(__xludf.DUMMYFUNCTION("""COMPUTED_VALUE"""),"str.")</f>
        <v>str.</v>
      </c>
      <c r="F263" t="str">
        <f>IFERROR(__xludf.DUMMYFUNCTION("""COMPUTED_VALUE"""),"Israel")</f>
        <v>Israel</v>
      </c>
    </row>
    <row r="264" ht="15.75" customHeight="1">
      <c r="A264" t="str">
        <f t="shared" si="1"/>
        <v>A.marginale</v>
      </c>
      <c r="B264" s="5" t="s">
        <v>279</v>
      </c>
      <c r="C264" s="6" t="str">
        <f>IFERROR(__xludf.DUMMYFUNCTION("SPLIT('2. c'!B264, "" "", True, True)"),"Anaplasma")</f>
        <v>Anaplasma</v>
      </c>
      <c r="D264" t="str">
        <f>IFERROR(__xludf.DUMMYFUNCTION("""COMPUTED_VALUE"""),"marginale")</f>
        <v>marginale</v>
      </c>
      <c r="E264" t="str">
        <f>IFERROR(__xludf.DUMMYFUNCTION("""COMPUTED_VALUE"""),"str.")</f>
        <v>str.</v>
      </c>
      <c r="F264" t="str">
        <f>IFERROR(__xludf.DUMMYFUNCTION("""COMPUTED_VALUE"""),"Dawn")</f>
        <v>Dawn</v>
      </c>
    </row>
    <row r="265" ht="15.75" customHeight="1">
      <c r="A265" t="str">
        <f t="shared" si="1"/>
        <v>A.marginale</v>
      </c>
      <c r="B265" s="5" t="s">
        <v>280</v>
      </c>
      <c r="C265" s="6" t="str">
        <f>IFERROR(__xludf.DUMMYFUNCTION("SPLIT('2. c'!B265, "" "", True, True)"),"Anaplasma")</f>
        <v>Anaplasma</v>
      </c>
      <c r="D265" t="str">
        <f>IFERROR(__xludf.DUMMYFUNCTION("""COMPUTED_VALUE"""),"marginale")</f>
        <v>marginale</v>
      </c>
      <c r="E265" t="str">
        <f>IFERROR(__xludf.DUMMYFUNCTION("""COMPUTED_VALUE"""),"str.")</f>
        <v>str.</v>
      </c>
      <c r="F265" t="str">
        <f>IFERROR(__xludf.DUMMYFUNCTION("""COMPUTED_VALUE"""),"Florida")</f>
        <v>Florida</v>
      </c>
    </row>
    <row r="266" ht="15.75" customHeight="1">
      <c r="A266" t="str">
        <f t="shared" si="1"/>
        <v>A.marginale</v>
      </c>
      <c r="B266" s="5" t="s">
        <v>281</v>
      </c>
      <c r="C266" s="6" t="str">
        <f>IFERROR(__xludf.DUMMYFUNCTION("SPLIT('2. c'!B266, "" "", True, True)"),"Anaplasma")</f>
        <v>Anaplasma</v>
      </c>
      <c r="D266" t="str">
        <f>IFERROR(__xludf.DUMMYFUNCTION("""COMPUTED_VALUE"""),"marginale")</f>
        <v>marginale</v>
      </c>
      <c r="E266" t="str">
        <f>IFERROR(__xludf.DUMMYFUNCTION("""COMPUTED_VALUE"""),"str.")</f>
        <v>str.</v>
      </c>
      <c r="F266" t="str">
        <f>IFERROR(__xludf.DUMMYFUNCTION("""COMPUTED_VALUE"""),"Gypsy")</f>
        <v>Gypsy</v>
      </c>
      <c r="G266" t="str">
        <f>IFERROR(__xludf.DUMMYFUNCTION("""COMPUTED_VALUE"""),"Plains")</f>
        <v>Plains</v>
      </c>
    </row>
    <row r="267" ht="15.75" customHeight="1">
      <c r="A267" t="str">
        <f t="shared" si="1"/>
        <v>A.marginale</v>
      </c>
      <c r="B267" s="5" t="s">
        <v>282</v>
      </c>
      <c r="C267" s="6" t="str">
        <f>IFERROR(__xludf.DUMMYFUNCTION("SPLIT('2. c'!B267, "" "", True, True)"),"Anaplasma")</f>
        <v>Anaplasma</v>
      </c>
      <c r="D267" t="str">
        <f>IFERROR(__xludf.DUMMYFUNCTION("""COMPUTED_VALUE"""),"marginale")</f>
        <v>marginale</v>
      </c>
      <c r="E267" t="str">
        <f>IFERROR(__xludf.DUMMYFUNCTION("""COMPUTED_VALUE"""),"str.")</f>
        <v>str.</v>
      </c>
      <c r="F267" t="str">
        <f>IFERROR(__xludf.DUMMYFUNCTION("""COMPUTED_VALUE"""),"St.")</f>
        <v>St.</v>
      </c>
      <c r="G267" t="str">
        <f>IFERROR(__xludf.DUMMYFUNCTION("""COMPUTED_VALUE"""),"Maries")</f>
        <v>Maries</v>
      </c>
    </row>
    <row r="268" ht="15.75" customHeight="1">
      <c r="A268" t="str">
        <f t="shared" si="1"/>
        <v>A.phagocytophilum</v>
      </c>
      <c r="B268" s="5" t="s">
        <v>283</v>
      </c>
      <c r="C268" s="6" t="str">
        <f>IFERROR(__xludf.DUMMYFUNCTION("SPLIT('2. c'!B268, "" "", True, True)"),"Anaplasma")</f>
        <v>Anaplasma</v>
      </c>
      <c r="D268" t="str">
        <f>IFERROR(__xludf.DUMMYFUNCTION("""COMPUTED_VALUE"""),"phagocytophilum")</f>
        <v>phagocytophilum</v>
      </c>
      <c r="E268" t="str">
        <f>IFERROR(__xludf.DUMMYFUNCTION("""COMPUTED_VALUE"""),"Dog2")</f>
        <v>Dog2</v>
      </c>
    </row>
    <row r="269" ht="15.75" customHeight="1">
      <c r="A269" t="str">
        <f t="shared" si="1"/>
        <v>A.phagocytophilum</v>
      </c>
      <c r="B269" s="5" t="s">
        <v>284</v>
      </c>
      <c r="C269" s="6" t="str">
        <f>IFERROR(__xludf.DUMMYFUNCTION("SPLIT('2. c'!B269, "" "", True, True)"),"Anaplasma")</f>
        <v>Anaplasma</v>
      </c>
      <c r="D269" t="str">
        <f>IFERROR(__xludf.DUMMYFUNCTION("""COMPUTED_VALUE"""),"phagocytophilum")</f>
        <v>phagocytophilum</v>
      </c>
      <c r="E269" t="str">
        <f>IFERROR(__xludf.DUMMYFUNCTION("""COMPUTED_VALUE"""),"HZ")</f>
        <v>HZ</v>
      </c>
    </row>
    <row r="270" ht="15.75" customHeight="1">
      <c r="A270" t="str">
        <f t="shared" si="1"/>
        <v>A.phagocytophilum</v>
      </c>
      <c r="B270" s="5" t="s">
        <v>285</v>
      </c>
      <c r="C270" s="6" t="str">
        <f>IFERROR(__xludf.DUMMYFUNCTION("SPLIT('2. c'!B270, "" "", True, True)"),"Anaplasma")</f>
        <v>Anaplasma</v>
      </c>
      <c r="D270" t="str">
        <f>IFERROR(__xludf.DUMMYFUNCTION("""COMPUTED_VALUE"""),"phagocytophilum")</f>
        <v>phagocytophilum</v>
      </c>
      <c r="E270" t="str">
        <f>IFERROR(__xludf.DUMMYFUNCTION("""COMPUTED_VALUE"""),"HZ2")</f>
        <v>HZ2</v>
      </c>
    </row>
    <row r="271" ht="15.75" customHeight="1">
      <c r="A271" t="str">
        <f t="shared" si="1"/>
        <v>A.phagocytophilum</v>
      </c>
      <c r="B271" s="5" t="s">
        <v>286</v>
      </c>
      <c r="C271" s="6" t="str">
        <f>IFERROR(__xludf.DUMMYFUNCTION("SPLIT('2. c'!B271, "" "", True, True)"),"Anaplasma")</f>
        <v>Anaplasma</v>
      </c>
      <c r="D271" t="str">
        <f>IFERROR(__xludf.DUMMYFUNCTION("""COMPUTED_VALUE"""),"phagocytophilum")</f>
        <v>phagocytophilum</v>
      </c>
      <c r="E271" t="str">
        <f>IFERROR(__xludf.DUMMYFUNCTION("""COMPUTED_VALUE"""),"JM")</f>
        <v>JM</v>
      </c>
    </row>
    <row r="272" ht="15.75" customHeight="1">
      <c r="A272" t="str">
        <f t="shared" si="1"/>
        <v>A.phagocytophilum</v>
      </c>
      <c r="B272" s="5" t="s">
        <v>287</v>
      </c>
      <c r="C272" s="6" t="str">
        <f>IFERROR(__xludf.DUMMYFUNCTION("SPLIT('2. c'!B272, "" "", True, True)"),"Anaplasma")</f>
        <v>Anaplasma</v>
      </c>
      <c r="D272" t="str">
        <f>IFERROR(__xludf.DUMMYFUNCTION("""COMPUTED_VALUE"""),"phagocytophilum")</f>
        <v>phagocytophilum</v>
      </c>
      <c r="E272" t="str">
        <f>IFERROR(__xludf.DUMMYFUNCTION("""COMPUTED_VALUE"""),"str.")</f>
        <v>str.</v>
      </c>
      <c r="F272" t="str">
        <f>IFERROR(__xludf.DUMMYFUNCTION("""COMPUTED_VALUE"""),"ApMUC09")</f>
        <v>ApMUC09</v>
      </c>
    </row>
    <row r="273" ht="15.75" customHeight="1">
      <c r="A273" t="str">
        <f t="shared" si="1"/>
        <v>A.phagocytophilum</v>
      </c>
      <c r="B273" s="5" t="s">
        <v>288</v>
      </c>
      <c r="C273" s="6" t="str">
        <f>IFERROR(__xludf.DUMMYFUNCTION("SPLIT('2. c'!B273, "" "", True, True)"),"Anaplasma")</f>
        <v>Anaplasma</v>
      </c>
      <c r="D273" t="str">
        <f>IFERROR(__xludf.DUMMYFUNCTION("""COMPUTED_VALUE"""),"phagocytophilum")</f>
        <v>phagocytophilum</v>
      </c>
      <c r="E273" t="str">
        <f>IFERROR(__xludf.DUMMYFUNCTION("""COMPUTED_VALUE"""),"str.")</f>
        <v>str.</v>
      </c>
      <c r="F273" t="str">
        <f>IFERROR(__xludf.DUMMYFUNCTION("""COMPUTED_VALUE"""),"ApNP")</f>
        <v>ApNP</v>
      </c>
    </row>
    <row r="274" ht="15.75" customHeight="1">
      <c r="A274" t="str">
        <f t="shared" si="1"/>
        <v>A.phagocytophilum</v>
      </c>
      <c r="B274" s="5" t="s">
        <v>289</v>
      </c>
      <c r="C274" s="6" t="str">
        <f>IFERROR(__xludf.DUMMYFUNCTION("SPLIT('2. c'!B274, "" "", True, True)"),"Anaplasma")</f>
        <v>Anaplasma</v>
      </c>
      <c r="D274" t="str">
        <f>IFERROR(__xludf.DUMMYFUNCTION("""COMPUTED_VALUE"""),"phagocytophilum")</f>
        <v>phagocytophilum</v>
      </c>
      <c r="E274" t="str">
        <f>IFERROR(__xludf.DUMMYFUNCTION("""COMPUTED_VALUE"""),"str.")</f>
        <v>str.</v>
      </c>
      <c r="F274" t="str">
        <f>IFERROR(__xludf.DUMMYFUNCTION("""COMPUTED_VALUE"""),"ApWI1")</f>
        <v>ApWI1</v>
      </c>
    </row>
    <row r="275" ht="15.75" customHeight="1">
      <c r="A275" t="str">
        <f t="shared" si="1"/>
        <v>A.phagocytophilum</v>
      </c>
      <c r="B275" s="5" t="s">
        <v>290</v>
      </c>
      <c r="C275" s="6" t="str">
        <f>IFERROR(__xludf.DUMMYFUNCTION("SPLIT('2. c'!B275, "" "", True, True)"),"Anaplasma")</f>
        <v>Anaplasma</v>
      </c>
      <c r="D275" t="str">
        <f>IFERROR(__xludf.DUMMYFUNCTION("""COMPUTED_VALUE"""),"phagocytophilum")</f>
        <v>phagocytophilum</v>
      </c>
      <c r="E275" t="str">
        <f>IFERROR(__xludf.DUMMYFUNCTION("""COMPUTED_VALUE"""),"str.")</f>
        <v>str.</v>
      </c>
      <c r="F275" t="str">
        <f>IFERROR(__xludf.DUMMYFUNCTION("""COMPUTED_VALUE"""),"HGE2")</f>
        <v>HGE2</v>
      </c>
    </row>
    <row r="276" ht="15.75" customHeight="1">
      <c r="A276" t="str">
        <f t="shared" si="1"/>
        <v>A.phagocytophilum</v>
      </c>
      <c r="B276" s="5" t="s">
        <v>291</v>
      </c>
      <c r="C276" s="6" t="str">
        <f>IFERROR(__xludf.DUMMYFUNCTION("SPLIT('2. c'!B276, "" "", True, True)"),"Anaplasma")</f>
        <v>Anaplasma</v>
      </c>
      <c r="D276" t="str">
        <f>IFERROR(__xludf.DUMMYFUNCTION("""COMPUTED_VALUE"""),"phagocytophilum")</f>
        <v>phagocytophilum</v>
      </c>
      <c r="E276" t="str">
        <f>IFERROR(__xludf.DUMMYFUNCTION("""COMPUTED_VALUE"""),"str.")</f>
        <v>str.</v>
      </c>
      <c r="F276" t="str">
        <f>IFERROR(__xludf.DUMMYFUNCTION("""COMPUTED_VALUE"""),"Webster")</f>
        <v>Webster</v>
      </c>
    </row>
    <row r="277" ht="15.75" customHeight="1">
      <c r="A277" t="str">
        <f t="shared" si="1"/>
        <v>A.flavithermus</v>
      </c>
      <c r="B277" s="5" t="s">
        <v>292</v>
      </c>
      <c r="C277" s="6" t="str">
        <f>IFERROR(__xludf.DUMMYFUNCTION("SPLIT('2. c'!B277, "" "", True, True)"),"Anoxybacillus")</f>
        <v>Anoxybacillus</v>
      </c>
      <c r="D277" t="str">
        <f>IFERROR(__xludf.DUMMYFUNCTION("""COMPUTED_VALUE"""),"flavithermus")</f>
        <v>flavithermus</v>
      </c>
      <c r="E277" t="str">
        <f>IFERROR(__xludf.DUMMYFUNCTION("""COMPUTED_VALUE"""),"WK1")</f>
        <v>WK1</v>
      </c>
    </row>
    <row r="278" ht="15.75" customHeight="1">
      <c r="A278" t="str">
        <f t="shared" si="1"/>
        <v>A.sp.</v>
      </c>
      <c r="B278" s="5" t="s">
        <v>293</v>
      </c>
      <c r="C278" s="6" t="str">
        <f>IFERROR(__xludf.DUMMYFUNCTION("SPLIT('2. c'!B278, "" "", True, True)"),"Anoxybacillus")</f>
        <v>Anoxybacillus</v>
      </c>
      <c r="D278" t="str">
        <f>IFERROR(__xludf.DUMMYFUNCTION("""COMPUTED_VALUE"""),"sp.")</f>
        <v>sp.</v>
      </c>
      <c r="E278" t="str">
        <f>IFERROR(__xludf.DUMMYFUNCTION("""COMPUTED_VALUE"""),"B2M1")</f>
        <v>B2M1</v>
      </c>
    </row>
    <row r="279" ht="15.75" customHeight="1">
      <c r="A279" t="str">
        <f t="shared" si="1"/>
        <v>A.aeolicus</v>
      </c>
      <c r="B279" s="5" t="s">
        <v>294</v>
      </c>
      <c r="C279" s="6" t="str">
        <f>IFERROR(__xludf.DUMMYFUNCTION("SPLIT('2. c'!B279, "" "", True, True)"),"Aquifex")</f>
        <v>Aquifex</v>
      </c>
      <c r="D279" t="str">
        <f>IFERROR(__xludf.DUMMYFUNCTION("""COMPUTED_VALUE"""),"aeolicus")</f>
        <v>aeolicus</v>
      </c>
      <c r="E279" t="str">
        <f>IFERROR(__xludf.DUMMYFUNCTION("""COMPUTED_VALUE"""),"VF5")</f>
        <v>VF5</v>
      </c>
    </row>
    <row r="280" ht="15.75" customHeight="1">
      <c r="A280" t="str">
        <f t="shared" si="1"/>
        <v>A.haemolyticum</v>
      </c>
      <c r="B280" s="5" t="s">
        <v>295</v>
      </c>
      <c r="C280" s="6" t="str">
        <f>IFERROR(__xludf.DUMMYFUNCTION("SPLIT('2. c'!B280, "" "", True, True)"),"Arcanobacterium")</f>
        <v>Arcanobacterium</v>
      </c>
      <c r="D280" t="str">
        <f>IFERROR(__xludf.DUMMYFUNCTION("""COMPUTED_VALUE"""),"haemolyticum")</f>
        <v>haemolyticum</v>
      </c>
      <c r="E280" t="str">
        <f>IFERROR(__xludf.DUMMYFUNCTION("""COMPUTED_VALUE"""),"DSM")</f>
        <v>DSM</v>
      </c>
      <c r="F280">
        <f>IFERROR(__xludf.DUMMYFUNCTION("""COMPUTED_VALUE"""),20595.0)</f>
        <v>20595</v>
      </c>
    </row>
    <row r="281" ht="15.75" customHeight="1">
      <c r="A281" t="str">
        <f t="shared" si="1"/>
        <v>A.fulgidus</v>
      </c>
      <c r="B281" s="5" t="s">
        <v>296</v>
      </c>
      <c r="C281" s="6" t="str">
        <f>IFERROR(__xludf.DUMMYFUNCTION("SPLIT('2. c'!B281, "" "", True, True)"),"Archaeoglobus")</f>
        <v>Archaeoglobus</v>
      </c>
      <c r="D281" t="str">
        <f>IFERROR(__xludf.DUMMYFUNCTION("""COMPUTED_VALUE"""),"fulgidus")</f>
        <v>fulgidus</v>
      </c>
      <c r="E281" t="str">
        <f>IFERROR(__xludf.DUMMYFUNCTION("""COMPUTED_VALUE"""),"DSM")</f>
        <v>DSM</v>
      </c>
      <c r="F281">
        <f>IFERROR(__xludf.DUMMYFUNCTION("""COMPUTED_VALUE"""),4304.0)</f>
        <v>4304</v>
      </c>
    </row>
    <row r="282" ht="15.75" customHeight="1">
      <c r="A282" t="str">
        <f t="shared" si="1"/>
        <v>A.fulgidus</v>
      </c>
      <c r="B282" s="5" t="s">
        <v>297</v>
      </c>
      <c r="C282" s="6" t="str">
        <f>IFERROR(__xludf.DUMMYFUNCTION("SPLIT('2. c'!B282, "" "", True, True)"),"Archaeoglobus")</f>
        <v>Archaeoglobus</v>
      </c>
      <c r="D282" t="str">
        <f>IFERROR(__xludf.DUMMYFUNCTION("""COMPUTED_VALUE"""),"fulgidus")</f>
        <v>fulgidus</v>
      </c>
      <c r="E282" t="str">
        <f>IFERROR(__xludf.DUMMYFUNCTION("""COMPUTED_VALUE"""),"DSM")</f>
        <v>DSM</v>
      </c>
      <c r="F282">
        <f>IFERROR(__xludf.DUMMYFUNCTION("""COMPUTED_VALUE"""),8774.0)</f>
        <v>8774</v>
      </c>
    </row>
    <row r="283" ht="15.75" customHeight="1">
      <c r="A283" t="str">
        <f t="shared" si="1"/>
        <v>A.profundus</v>
      </c>
      <c r="B283" s="5" t="s">
        <v>299</v>
      </c>
      <c r="C283" s="6" t="str">
        <f>IFERROR(__xludf.DUMMYFUNCTION("SPLIT('2. c'!B283, "" "", True, True)"),"Archaeoglobus")</f>
        <v>Archaeoglobus</v>
      </c>
      <c r="D283" t="str">
        <f>IFERROR(__xludf.DUMMYFUNCTION("""COMPUTED_VALUE"""),"profundus")</f>
        <v>profundus</v>
      </c>
      <c r="E283" t="str">
        <f>IFERROR(__xludf.DUMMYFUNCTION("""COMPUTED_VALUE"""),"DSM")</f>
        <v>DSM</v>
      </c>
      <c r="F283">
        <f>IFERROR(__xludf.DUMMYFUNCTION("""COMPUTED_VALUE"""),5631.0)</f>
        <v>5631</v>
      </c>
    </row>
    <row r="284" ht="15.75" customHeight="1">
      <c r="A284" t="str">
        <f t="shared" si="1"/>
        <v>A.sulfaticallidus</v>
      </c>
      <c r="B284" s="5" t="s">
        <v>300</v>
      </c>
      <c r="C284" s="6" t="str">
        <f>IFERROR(__xludf.DUMMYFUNCTION("SPLIT('2. c'!B284, "" "", True, True)"),"Archaeoglobus")</f>
        <v>Archaeoglobus</v>
      </c>
      <c r="D284" t="str">
        <f>IFERROR(__xludf.DUMMYFUNCTION("""COMPUTED_VALUE"""),"sulfaticallidus")</f>
        <v>sulfaticallidus</v>
      </c>
      <c r="E284" t="str">
        <f>IFERROR(__xludf.DUMMYFUNCTION("""COMPUTED_VALUE"""),"PM70-1")</f>
        <v>PM70-1</v>
      </c>
    </row>
    <row r="285" ht="15.75" customHeight="1">
      <c r="A285" t="str">
        <f t="shared" si="1"/>
        <v>A.veneficus</v>
      </c>
      <c r="B285" s="5" t="s">
        <v>301</v>
      </c>
      <c r="C285" s="6" t="str">
        <f>IFERROR(__xludf.DUMMYFUNCTION("SPLIT('2. c'!B285, "" "", True, True)"),"Archaeoglobus")</f>
        <v>Archaeoglobus</v>
      </c>
      <c r="D285" t="str">
        <f>IFERROR(__xludf.DUMMYFUNCTION("""COMPUTED_VALUE"""),"veneficus")</f>
        <v>veneficus</v>
      </c>
      <c r="E285" t="str">
        <f>IFERROR(__xludf.DUMMYFUNCTION("""COMPUTED_VALUE"""),"SNP6")</f>
        <v>SNP6</v>
      </c>
    </row>
    <row r="286" ht="15.75" customHeight="1">
      <c r="A286" t="str">
        <f t="shared" si="1"/>
        <v>A.gephyra</v>
      </c>
      <c r="B286" s="5" t="s">
        <v>302</v>
      </c>
      <c r="C286" s="6" t="str">
        <f>IFERROR(__xludf.DUMMYFUNCTION("SPLIT('2. c'!B286, "" "", True, True)"),"Archangium")</f>
        <v>Archangium</v>
      </c>
      <c r="D286" t="str">
        <f>IFERROR(__xludf.DUMMYFUNCTION("""COMPUTED_VALUE"""),"gephyra")</f>
        <v>gephyra</v>
      </c>
      <c r="E286" t="str">
        <f>IFERROR(__xludf.DUMMYFUNCTION("""COMPUTED_VALUE"""),"strain")</f>
        <v>strain</v>
      </c>
      <c r="F286" t="str">
        <f>IFERROR(__xludf.DUMMYFUNCTION("""COMPUTED_VALUE"""),"DSM")</f>
        <v>DSM</v>
      </c>
      <c r="G286">
        <f>IFERROR(__xludf.DUMMYFUNCTION("""COMPUTED_VALUE"""),2261.0)</f>
        <v>2261</v>
      </c>
    </row>
    <row r="287" ht="15.75" customHeight="1">
      <c r="A287" t="str">
        <f t="shared" si="1"/>
        <v>A.butzleri</v>
      </c>
      <c r="B287" s="5" t="s">
        <v>303</v>
      </c>
      <c r="C287" s="6" t="str">
        <f>IFERROR(__xludf.DUMMYFUNCTION("SPLIT('2. c'!B287, "" "", True, True)"),"Arcobacter")</f>
        <v>Arcobacter</v>
      </c>
      <c r="D287" t="str">
        <f>IFERROR(__xludf.DUMMYFUNCTION("""COMPUTED_VALUE"""),"butzleri")</f>
        <v>butzleri</v>
      </c>
      <c r="E287" t="str">
        <f>IFERROR(__xludf.DUMMYFUNCTION("""COMPUTED_VALUE"""),"ED-1")</f>
        <v>ED-1</v>
      </c>
    </row>
    <row r="288" ht="15.75" customHeight="1">
      <c r="A288" t="str">
        <f t="shared" si="1"/>
        <v>A.butzleri</v>
      </c>
      <c r="B288" s="5" t="s">
        <v>305</v>
      </c>
      <c r="C288" s="6" t="str">
        <f>IFERROR(__xludf.DUMMYFUNCTION("SPLIT('2. c'!B288, "" "", True, True)"),"Arcobacter")</f>
        <v>Arcobacter</v>
      </c>
      <c r="D288" t="str">
        <f>IFERROR(__xludf.DUMMYFUNCTION("""COMPUTED_VALUE"""),"butzleri")</f>
        <v>butzleri</v>
      </c>
      <c r="E288" t="str">
        <f>IFERROR(__xludf.DUMMYFUNCTION("""COMPUTED_VALUE"""),"RM4018")</f>
        <v>RM4018</v>
      </c>
    </row>
    <row r="289" ht="15.75" customHeight="1">
      <c r="A289" t="str">
        <f t="shared" si="1"/>
        <v>A.nitrofigilis</v>
      </c>
      <c r="B289" s="5" t="s">
        <v>306</v>
      </c>
      <c r="C289" s="6" t="str">
        <f>IFERROR(__xludf.DUMMYFUNCTION("SPLIT('2. c'!B289, "" "", True, True)"),"Arcobacter")</f>
        <v>Arcobacter</v>
      </c>
      <c r="D289" t="str">
        <f>IFERROR(__xludf.DUMMYFUNCTION("""COMPUTED_VALUE"""),"nitrofigilis")</f>
        <v>nitrofigilis</v>
      </c>
      <c r="E289" t="str">
        <f>IFERROR(__xludf.DUMMYFUNCTION("""COMPUTED_VALUE"""),"DSM")</f>
        <v>DSM</v>
      </c>
      <c r="F289">
        <f>IFERROR(__xludf.DUMMYFUNCTION("""COMPUTED_VALUE"""),7299.0)</f>
        <v>7299</v>
      </c>
    </row>
    <row r="290" ht="15.75" customHeight="1">
      <c r="A290" t="str">
        <f t="shared" si="1"/>
        <v>A.sp.</v>
      </c>
      <c r="B290" s="5" t="s">
        <v>307</v>
      </c>
      <c r="C290" s="6" t="str">
        <f>IFERROR(__xludf.DUMMYFUNCTION("SPLIT('2. c'!B290, "" "", True, True)"),"Arcobacter")</f>
        <v>Arcobacter</v>
      </c>
      <c r="D290" t="str">
        <f>IFERROR(__xludf.DUMMYFUNCTION("""COMPUTED_VALUE"""),"sp.")</f>
        <v>sp.</v>
      </c>
      <c r="E290" t="str">
        <f>IFERROR(__xludf.DUMMYFUNCTION("""COMPUTED_VALUE"""),"L")</f>
        <v>L</v>
      </c>
    </row>
    <row r="291" ht="15.75" customHeight="1">
      <c r="A291" t="str">
        <f t="shared" si="1"/>
        <v>A.aromaticum</v>
      </c>
      <c r="B291" s="5" t="s">
        <v>308</v>
      </c>
      <c r="C291" s="6" t="str">
        <f>IFERROR(__xludf.DUMMYFUNCTION("SPLIT('2. c'!B291, "" "", True, True)"),"Aromatoleum")</f>
        <v>Aromatoleum</v>
      </c>
      <c r="D291" t="str">
        <f>IFERROR(__xludf.DUMMYFUNCTION("""COMPUTED_VALUE"""),"aromaticum")</f>
        <v>aromaticum</v>
      </c>
      <c r="E291" t="str">
        <f>IFERROR(__xludf.DUMMYFUNCTION("""COMPUTED_VALUE"""),"EbN1")</f>
        <v>EbN1</v>
      </c>
    </row>
    <row r="292" ht="15.75" customHeight="1">
      <c r="A292" t="str">
        <f t="shared" si="1"/>
        <v>A.sp.</v>
      </c>
      <c r="B292" s="5" t="s">
        <v>309</v>
      </c>
      <c r="C292" s="6" t="str">
        <f>IFERROR(__xludf.DUMMYFUNCTION("SPLIT('2. c'!B292, "" "", True, True)"),"Arsenicicoccus")</f>
        <v>Arsenicicoccus</v>
      </c>
      <c r="D292" t="str">
        <f>IFERROR(__xludf.DUMMYFUNCTION("""COMPUTED_VALUE"""),"sp.")</f>
        <v>sp.</v>
      </c>
      <c r="E292" t="str">
        <f>IFERROR(__xludf.DUMMYFUNCTION("""COMPUTED_VALUE"""),"oral")</f>
        <v>oral</v>
      </c>
      <c r="F292" t="str">
        <f>IFERROR(__xludf.DUMMYFUNCTION("""COMPUTED_VALUE"""),"taxon")</f>
        <v>taxon</v>
      </c>
      <c r="G292">
        <f>IFERROR(__xludf.DUMMYFUNCTION("""COMPUTED_VALUE"""),190.0)</f>
        <v>190</v>
      </c>
      <c r="H292" t="str">
        <f>IFERROR(__xludf.DUMMYFUNCTION("""COMPUTED_VALUE"""),"strain")</f>
        <v>strain</v>
      </c>
      <c r="I292" t="str">
        <f>IFERROR(__xludf.DUMMYFUNCTION("""COMPUTED_VALUE"""),"F0371")</f>
        <v>F0371</v>
      </c>
    </row>
    <row r="293" ht="15.75" customHeight="1">
      <c r="A293" t="str">
        <f t="shared" si="1"/>
        <v>A.symbiont</v>
      </c>
      <c r="B293" s="5" t="s">
        <v>310</v>
      </c>
      <c r="C293" s="6" t="str">
        <f>IFERROR(__xludf.DUMMYFUNCTION("SPLIT('2. c'!B293, "" "", True, True)"),"Arsenophonus")</f>
        <v>Arsenophonus</v>
      </c>
      <c r="D293" t="str">
        <f>IFERROR(__xludf.DUMMYFUNCTION("""COMPUTED_VALUE"""),"symbiont")</f>
        <v>symbiont</v>
      </c>
      <c r="E293" t="str">
        <f>IFERROR(__xludf.DUMMYFUNCTION("""COMPUTED_VALUE"""),"of")</f>
        <v>of</v>
      </c>
      <c r="F293" t="str">
        <f>IFERROR(__xludf.DUMMYFUNCTION("""COMPUTED_VALUE"""),"Lipoptena")</f>
        <v>Lipoptena</v>
      </c>
      <c r="G293" t="str">
        <f>IFERROR(__xludf.DUMMYFUNCTION("""COMPUTED_VALUE"""),"fortisetosa")</f>
        <v>fortisetosa</v>
      </c>
    </row>
    <row r="294" ht="15.75" customHeight="1">
      <c r="A294" t="str">
        <f t="shared" si="1"/>
        <v>A.alpinus</v>
      </c>
      <c r="B294" s="5" t="s">
        <v>311</v>
      </c>
      <c r="C294" s="6" t="str">
        <f>IFERROR(__xludf.DUMMYFUNCTION("SPLIT('2. c'!B294, "" "", True, True)"),"Arthrobacter")</f>
        <v>Arthrobacter</v>
      </c>
      <c r="D294" t="str">
        <f>IFERROR(__xludf.DUMMYFUNCTION("""COMPUTED_VALUE"""),"alpinus")</f>
        <v>alpinus</v>
      </c>
      <c r="E294" t="str">
        <f>IFERROR(__xludf.DUMMYFUNCTION("""COMPUTED_VALUE"""),"strain")</f>
        <v>strain</v>
      </c>
      <c r="F294" t="str">
        <f>IFERROR(__xludf.DUMMYFUNCTION("""COMPUTED_VALUE"""),"ERGS4:06")</f>
        <v>ERGS4:06</v>
      </c>
    </row>
    <row r="295" ht="15.75" customHeight="1">
      <c r="A295" t="str">
        <f t="shared" si="1"/>
        <v>A.alpinus</v>
      </c>
      <c r="B295" s="5" t="s">
        <v>312</v>
      </c>
      <c r="C295" s="6" t="str">
        <f>IFERROR(__xludf.DUMMYFUNCTION("SPLIT('2. c'!B295, "" "", True, True)"),"Arthrobacter")</f>
        <v>Arthrobacter</v>
      </c>
      <c r="D295" t="str">
        <f>IFERROR(__xludf.DUMMYFUNCTION("""COMPUTED_VALUE"""),"alpinus")</f>
        <v>alpinus</v>
      </c>
      <c r="E295" t="str">
        <f>IFERROR(__xludf.DUMMYFUNCTION("""COMPUTED_VALUE"""),"strain")</f>
        <v>strain</v>
      </c>
      <c r="F295" t="str">
        <f>IFERROR(__xludf.DUMMYFUNCTION("""COMPUTED_VALUE"""),"R3.8")</f>
        <v>R3.8</v>
      </c>
    </row>
    <row r="296" ht="15.75" customHeight="1">
      <c r="A296" t="str">
        <f t="shared" si="1"/>
        <v>A.arilaitensis</v>
      </c>
      <c r="B296" s="5" t="s">
        <v>314</v>
      </c>
      <c r="C296" s="6" t="str">
        <f>IFERROR(__xludf.DUMMYFUNCTION("SPLIT('2. c'!B296, "" "", True, True)"),"Arthrobacter")</f>
        <v>Arthrobacter</v>
      </c>
      <c r="D296" t="str">
        <f>IFERROR(__xludf.DUMMYFUNCTION("""COMPUTED_VALUE"""),"arilaitensis")</f>
        <v>arilaitensis</v>
      </c>
      <c r="E296" t="str">
        <f>IFERROR(__xludf.DUMMYFUNCTION("""COMPUTED_VALUE"""),"Re117")</f>
        <v>Re117</v>
      </c>
    </row>
    <row r="297" ht="15.75" customHeight="1">
      <c r="A297" t="str">
        <f t="shared" si="1"/>
        <v>A.arilaitensis</v>
      </c>
      <c r="B297" s="5" t="s">
        <v>315</v>
      </c>
      <c r="C297" s="6" t="str">
        <f>IFERROR(__xludf.DUMMYFUNCTION("SPLIT('2. c'!B297, "" "", True, True)"),"Arthrobacter")</f>
        <v>Arthrobacter</v>
      </c>
      <c r="D297" t="str">
        <f>IFERROR(__xludf.DUMMYFUNCTION("""COMPUTED_VALUE"""),"arilaitensis")</f>
        <v>arilaitensis</v>
      </c>
      <c r="E297" t="str">
        <f>IFERROR(__xludf.DUMMYFUNCTION("""COMPUTED_VALUE"""),"strain")</f>
        <v>strain</v>
      </c>
      <c r="F297" t="str">
        <f>IFERROR(__xludf.DUMMYFUNCTION("""COMPUTED_VALUE"""),"KLBMP5180")</f>
        <v>KLBMP5180</v>
      </c>
    </row>
    <row r="298" ht="15.75" customHeight="1">
      <c r="A298" t="str">
        <f t="shared" si="1"/>
        <v>A.aurescens</v>
      </c>
      <c r="B298" s="5" t="s">
        <v>316</v>
      </c>
      <c r="C298" s="6" t="str">
        <f>IFERROR(__xludf.DUMMYFUNCTION("SPLIT('2. c'!B298, "" "", True, True)"),"Arthrobacter")</f>
        <v>Arthrobacter</v>
      </c>
      <c r="D298" t="str">
        <f>IFERROR(__xludf.DUMMYFUNCTION("""COMPUTED_VALUE"""),"aurescens")</f>
        <v>aurescens</v>
      </c>
      <c r="E298" t="str">
        <f>IFERROR(__xludf.DUMMYFUNCTION("""COMPUTED_VALUE"""),"TC1")</f>
        <v>TC1</v>
      </c>
    </row>
    <row r="299" ht="15.75" customHeight="1">
      <c r="A299" t="str">
        <f t="shared" si="1"/>
        <v>A.chlorophenolicus</v>
      </c>
      <c r="B299" s="5" t="s">
        <v>317</v>
      </c>
      <c r="C299" s="6" t="str">
        <f>IFERROR(__xludf.DUMMYFUNCTION("SPLIT('2. c'!B299, "" "", True, True)"),"Arthrobacter")</f>
        <v>Arthrobacter</v>
      </c>
      <c r="D299" t="str">
        <f>IFERROR(__xludf.DUMMYFUNCTION("""COMPUTED_VALUE"""),"chlorophenolicus")</f>
        <v>chlorophenolicus</v>
      </c>
      <c r="E299" t="str">
        <f>IFERROR(__xludf.DUMMYFUNCTION("""COMPUTED_VALUE"""),"A6")</f>
        <v>A6</v>
      </c>
    </row>
    <row r="300" ht="15.75" customHeight="1">
      <c r="A300" t="str">
        <f t="shared" si="1"/>
        <v>A.phenanthrenivorans</v>
      </c>
      <c r="B300" s="5" t="s">
        <v>318</v>
      </c>
      <c r="C300" s="6" t="str">
        <f>IFERROR(__xludf.DUMMYFUNCTION("SPLIT('2. c'!B300, "" "", True, True)"),"Arthrobacter")</f>
        <v>Arthrobacter</v>
      </c>
      <c r="D300" t="str">
        <f>IFERROR(__xludf.DUMMYFUNCTION("""COMPUTED_VALUE"""),"phenanthrenivorans")</f>
        <v>phenanthrenivorans</v>
      </c>
      <c r="E300" t="str">
        <f>IFERROR(__xludf.DUMMYFUNCTION("""COMPUTED_VALUE"""),"Sphe3")</f>
        <v>Sphe3</v>
      </c>
    </row>
    <row r="301" ht="15.75" customHeight="1">
      <c r="A301" t="str">
        <f t="shared" si="1"/>
        <v>A.sp.</v>
      </c>
      <c r="B301" s="5" t="s">
        <v>319</v>
      </c>
      <c r="C301" s="6" t="str">
        <f>IFERROR(__xludf.DUMMYFUNCTION("SPLIT('2. c'!B301, "" "", True, True)"),"Arthrobacter")</f>
        <v>Arthrobacter</v>
      </c>
      <c r="D301" t="str">
        <f>IFERROR(__xludf.DUMMYFUNCTION("""COMPUTED_VALUE"""),"sp.")</f>
        <v>sp.</v>
      </c>
      <c r="E301" t="str">
        <f>IFERROR(__xludf.DUMMYFUNCTION("""COMPUTED_VALUE"""),"ATCC")</f>
        <v>ATCC</v>
      </c>
      <c r="F301">
        <f>IFERROR(__xludf.DUMMYFUNCTION("""COMPUTED_VALUE"""),21022.0)</f>
        <v>21022</v>
      </c>
    </row>
    <row r="302" ht="15.75" customHeight="1">
      <c r="A302" t="str">
        <f t="shared" si="1"/>
        <v>A.sp.</v>
      </c>
      <c r="B302" s="5" t="s">
        <v>320</v>
      </c>
      <c r="C302" s="6" t="str">
        <f>IFERROR(__xludf.DUMMYFUNCTION("SPLIT('2. c'!B302, "" "", True, True)"),"Arthrobacter")</f>
        <v>Arthrobacter</v>
      </c>
      <c r="D302" t="str">
        <f>IFERROR(__xludf.DUMMYFUNCTION("""COMPUTED_VALUE"""),"sp.")</f>
        <v>sp.</v>
      </c>
      <c r="E302" t="str">
        <f>IFERROR(__xludf.DUMMYFUNCTION("""COMPUTED_VALUE"""),"ERGS1:01")</f>
        <v>ERGS1:01</v>
      </c>
    </row>
    <row r="303" ht="15.75" customHeight="1">
      <c r="A303" t="str">
        <f t="shared" si="1"/>
        <v>A.sp.</v>
      </c>
      <c r="B303" s="5" t="s">
        <v>321</v>
      </c>
      <c r="C303" s="6" t="str">
        <f>IFERROR(__xludf.DUMMYFUNCTION("SPLIT('2. c'!B303, "" "", True, True)"),"Arthrobacter")</f>
        <v>Arthrobacter</v>
      </c>
      <c r="D303" t="str">
        <f>IFERROR(__xludf.DUMMYFUNCTION("""COMPUTED_VALUE"""),"sp.")</f>
        <v>sp.</v>
      </c>
      <c r="E303" t="str">
        <f>IFERROR(__xludf.DUMMYFUNCTION("""COMPUTED_VALUE"""),"FB24")</f>
        <v>FB24</v>
      </c>
    </row>
    <row r="304" ht="15.75" customHeight="1">
      <c r="A304" t="str">
        <f t="shared" si="1"/>
        <v>A.sp.</v>
      </c>
      <c r="B304" s="5" t="s">
        <v>322</v>
      </c>
      <c r="C304" s="6" t="str">
        <f>IFERROR(__xludf.DUMMYFUNCTION("SPLIT('2. c'!B304, "" "", True, True)"),"Arthrobacter")</f>
        <v>Arthrobacter</v>
      </c>
      <c r="D304" t="str">
        <f>IFERROR(__xludf.DUMMYFUNCTION("""COMPUTED_VALUE"""),"sp.")</f>
        <v>sp.</v>
      </c>
      <c r="E304" t="str">
        <f>IFERROR(__xludf.DUMMYFUNCTION("""COMPUTED_VALUE"""),"Hiyo8")</f>
        <v>Hiyo8</v>
      </c>
    </row>
    <row r="305" ht="15.75" customHeight="1">
      <c r="A305" t="str">
        <f t="shared" si="1"/>
        <v>A.sp.</v>
      </c>
      <c r="B305" s="5" t="s">
        <v>323</v>
      </c>
      <c r="C305" s="6" t="str">
        <f>IFERROR(__xludf.DUMMYFUNCTION("SPLIT('2. c'!B305, "" "", True, True)"),"Arthrobacter")</f>
        <v>Arthrobacter</v>
      </c>
      <c r="D305" t="str">
        <f>IFERROR(__xludf.DUMMYFUNCTION("""COMPUTED_VALUE"""),"sp.")</f>
        <v>sp.</v>
      </c>
      <c r="E305" t="str">
        <f>IFERROR(__xludf.DUMMYFUNCTION("""COMPUTED_VALUE"""),"IHBB")</f>
        <v>IHBB</v>
      </c>
      <c r="F305">
        <f>IFERROR(__xludf.DUMMYFUNCTION("""COMPUTED_VALUE"""),11108.0)</f>
        <v>11108</v>
      </c>
    </row>
    <row r="306" ht="15.75" customHeight="1">
      <c r="A306" t="str">
        <f t="shared" si="1"/>
        <v>A.sp.</v>
      </c>
      <c r="B306" s="5" t="s">
        <v>324</v>
      </c>
      <c r="C306" s="6" t="str">
        <f>IFERROR(__xludf.DUMMYFUNCTION("SPLIT('2. c'!B306, "" "", True, True)"),"Arthrobacter")</f>
        <v>Arthrobacter</v>
      </c>
      <c r="D306" t="str">
        <f>IFERROR(__xludf.DUMMYFUNCTION("""COMPUTED_VALUE"""),"sp.")</f>
        <v>sp.</v>
      </c>
      <c r="E306" t="str">
        <f>IFERROR(__xludf.DUMMYFUNCTION("""COMPUTED_VALUE"""),"LS16")</f>
        <v>LS16</v>
      </c>
    </row>
    <row r="307" ht="15.75" customHeight="1">
      <c r="A307" t="str">
        <f t="shared" si="1"/>
        <v>A.sp.</v>
      </c>
      <c r="B307" s="5" t="s">
        <v>325</v>
      </c>
      <c r="C307" s="6" t="str">
        <f>IFERROR(__xludf.DUMMYFUNCTION("SPLIT('2. c'!B307, "" "", True, True)"),"Arthrobacter")</f>
        <v>Arthrobacter</v>
      </c>
      <c r="D307" t="str">
        <f>IFERROR(__xludf.DUMMYFUNCTION("""COMPUTED_VALUE"""),"sp.")</f>
        <v>sp.</v>
      </c>
      <c r="E307" t="str">
        <f>IFERROR(__xludf.DUMMYFUNCTION("""COMPUTED_VALUE"""),"PAMC25486")</f>
        <v>PAMC25486</v>
      </c>
    </row>
    <row r="308" ht="15.75" customHeight="1">
      <c r="A308" t="str">
        <f t="shared" si="1"/>
        <v>A.sp.</v>
      </c>
      <c r="B308" s="5" t="s">
        <v>326</v>
      </c>
      <c r="C308" s="6" t="str">
        <f>IFERROR(__xludf.DUMMYFUNCTION("SPLIT('2. c'!B308, "" "", True, True)"),"Arthrobacter")</f>
        <v>Arthrobacter</v>
      </c>
      <c r="D308" t="str">
        <f>IFERROR(__xludf.DUMMYFUNCTION("""COMPUTED_VALUE"""),"sp.")</f>
        <v>sp.</v>
      </c>
      <c r="E308" t="str">
        <f>IFERROR(__xludf.DUMMYFUNCTION("""COMPUTED_VALUE"""),"Rue61a")</f>
        <v>Rue61a</v>
      </c>
    </row>
    <row r="309" ht="15.75" customHeight="1">
      <c r="A309" t="str">
        <f t="shared" si="1"/>
        <v>A.sp.</v>
      </c>
      <c r="B309" s="5" t="s">
        <v>327</v>
      </c>
      <c r="C309" s="6" t="str">
        <f>IFERROR(__xludf.DUMMYFUNCTION("SPLIT('2. c'!B309, "" "", True, True)"),"Arthrobacter")</f>
        <v>Arthrobacter</v>
      </c>
      <c r="D309" t="str">
        <f>IFERROR(__xludf.DUMMYFUNCTION("""COMPUTED_VALUE"""),"sp.")</f>
        <v>sp.</v>
      </c>
      <c r="E309" t="str">
        <f>IFERROR(__xludf.DUMMYFUNCTION("""COMPUTED_VALUE"""),"YC-RL1")</f>
        <v>YC-RL1</v>
      </c>
    </row>
    <row r="310" ht="15.75" customHeight="1">
      <c r="A310" t="str">
        <f t="shared" si="1"/>
        <v>A.sulfonivorans</v>
      </c>
      <c r="B310" s="5" t="s">
        <v>328</v>
      </c>
      <c r="C310" s="6" t="str">
        <f>IFERROR(__xludf.DUMMYFUNCTION("SPLIT('2. c'!B310, "" "", True, True)"),"Arthrobacter")</f>
        <v>Arthrobacter</v>
      </c>
      <c r="D310" t="str">
        <f>IFERROR(__xludf.DUMMYFUNCTION("""COMPUTED_VALUE"""),"sulfonivorans")</f>
        <v>sulfonivorans</v>
      </c>
      <c r="E310" t="str">
        <f>IFERROR(__xludf.DUMMYFUNCTION("""COMPUTED_VALUE"""),"strain")</f>
        <v>strain</v>
      </c>
      <c r="F310" t="str">
        <f>IFERROR(__xludf.DUMMYFUNCTION("""COMPUTED_VALUE"""),"Ar51")</f>
        <v>Ar51</v>
      </c>
    </row>
    <row r="311" ht="15.75" customHeight="1">
      <c r="A311" t="str">
        <f t="shared" si="1"/>
        <v>A.platensis</v>
      </c>
      <c r="B311" s="5" t="s">
        <v>329</v>
      </c>
      <c r="C311" s="6" t="str">
        <f>IFERROR(__xludf.DUMMYFUNCTION("SPLIT('2. c'!B311, "" "", True, True)"),"Arthrospira")</f>
        <v>Arthrospira</v>
      </c>
      <c r="D311" t="str">
        <f>IFERROR(__xludf.DUMMYFUNCTION("""COMPUTED_VALUE"""),"platensis")</f>
        <v>platensis</v>
      </c>
      <c r="E311" t="str">
        <f>IFERROR(__xludf.DUMMYFUNCTION("""COMPUTED_VALUE"""),"C1")</f>
        <v>C1</v>
      </c>
    </row>
    <row r="312" ht="15.75" customHeight="1">
      <c r="A312" t="str">
        <f t="shared" si="1"/>
        <v>A.platensis</v>
      </c>
      <c r="B312" s="5" t="s">
        <v>330</v>
      </c>
      <c r="C312" s="6" t="str">
        <f>IFERROR(__xludf.DUMMYFUNCTION("SPLIT('2. c'!B312, "" "", True, True)"),"Arthrospira")</f>
        <v>Arthrospira</v>
      </c>
      <c r="D312" t="str">
        <f>IFERROR(__xludf.DUMMYFUNCTION("""COMPUTED_VALUE"""),"platensis")</f>
        <v>platensis</v>
      </c>
      <c r="E312" t="str">
        <f>IFERROR(__xludf.DUMMYFUNCTION("""COMPUTED_VALUE"""),"NIES-39")</f>
        <v>NIES-39</v>
      </c>
    </row>
    <row r="313" ht="15.75" customHeight="1">
      <c r="A313" t="str">
        <f t="shared" si="1"/>
        <v>A.platensis</v>
      </c>
      <c r="B313" s="5" t="s">
        <v>331</v>
      </c>
      <c r="C313" s="6" t="str">
        <f>IFERROR(__xludf.DUMMYFUNCTION("SPLIT('2. c'!B313, "" "", True, True)"),"Arthrospira")</f>
        <v>Arthrospira</v>
      </c>
      <c r="D313" t="str">
        <f>IFERROR(__xludf.DUMMYFUNCTION("""COMPUTED_VALUE"""),"platensis")</f>
        <v>platensis</v>
      </c>
      <c r="E313" t="str">
        <f>IFERROR(__xludf.DUMMYFUNCTION("""COMPUTED_VALUE"""),"YZ")</f>
        <v>YZ</v>
      </c>
    </row>
    <row r="314" ht="15.75" customHeight="1">
      <c r="A314" t="str">
        <f t="shared" si="1"/>
        <v>A.sp.</v>
      </c>
      <c r="B314" s="5" t="s">
        <v>332</v>
      </c>
      <c r="C314" s="6" t="str">
        <f>IFERROR(__xludf.DUMMYFUNCTION("SPLIT('2. c'!B314, "" "", True, True)"),"Arthrospira")</f>
        <v>Arthrospira</v>
      </c>
      <c r="D314" t="str">
        <f>IFERROR(__xludf.DUMMYFUNCTION("""COMPUTED_VALUE"""),"sp.")</f>
        <v>sp.</v>
      </c>
      <c r="E314" t="str">
        <f>IFERROR(__xludf.DUMMYFUNCTION("""COMPUTED_VALUE"""),"PCC")</f>
        <v>PCC</v>
      </c>
      <c r="F314">
        <f>IFERROR(__xludf.DUMMYFUNCTION("""COMPUTED_VALUE"""),8005.0)</f>
        <v>8005</v>
      </c>
    </row>
    <row r="315" ht="15.75" customHeight="1">
      <c r="A315" t="str">
        <f t="shared" si="1"/>
        <v>A.bogorensis</v>
      </c>
      <c r="B315" s="5" t="s">
        <v>333</v>
      </c>
      <c r="C315" s="6" t="str">
        <f>IFERROR(__xludf.DUMMYFUNCTION("SPLIT('2. c'!B315, "" "", True, True)"),"Asaia")</f>
        <v>Asaia</v>
      </c>
      <c r="D315" t="str">
        <f>IFERROR(__xludf.DUMMYFUNCTION("""COMPUTED_VALUE"""),"bogorensis")</f>
        <v>bogorensis</v>
      </c>
      <c r="E315" t="str">
        <f>IFERROR(__xludf.DUMMYFUNCTION("""COMPUTED_VALUE"""),"NBRC")</f>
        <v>NBRC</v>
      </c>
      <c r="F315">
        <f>IFERROR(__xludf.DUMMYFUNCTION("""COMPUTED_VALUE"""),16594.0)</f>
        <v>16594</v>
      </c>
    </row>
    <row r="316" ht="15.75" customHeight="1">
      <c r="A316" t="str">
        <f t="shared" si="1"/>
        <v>A.yellows</v>
      </c>
      <c r="B316" s="5" t="s">
        <v>334</v>
      </c>
      <c r="C316" s="6" t="str">
        <f>IFERROR(__xludf.DUMMYFUNCTION("SPLIT('2. c'!B316, "" "", True, True)"),"Aster")</f>
        <v>Aster</v>
      </c>
      <c r="D316" t="str">
        <f>IFERROR(__xludf.DUMMYFUNCTION("""COMPUTED_VALUE"""),"yellows")</f>
        <v>yellows</v>
      </c>
      <c r="E316" t="str">
        <f>IFERROR(__xludf.DUMMYFUNCTION("""COMPUTED_VALUE"""),"witches'-broom")</f>
        <v>witches'-broom</v>
      </c>
      <c r="F316" t="str">
        <f>IFERROR(__xludf.DUMMYFUNCTION("""COMPUTED_VALUE"""),"phytoplasma")</f>
        <v>phytoplasma</v>
      </c>
      <c r="G316" t="str">
        <f>IFERROR(__xludf.DUMMYFUNCTION("""COMPUTED_VALUE"""),"AYWB")</f>
        <v>AYWB</v>
      </c>
    </row>
    <row r="317" ht="15.75" customHeight="1">
      <c r="A317" t="str">
        <f t="shared" si="1"/>
        <v>A.excentricus</v>
      </c>
      <c r="B317" s="5" t="s">
        <v>335</v>
      </c>
      <c r="C317" s="6" t="str">
        <f>IFERROR(__xludf.DUMMYFUNCTION("SPLIT('2. c'!B317, "" "", True, True)"),"Asticcacaulis")</f>
        <v>Asticcacaulis</v>
      </c>
      <c r="D317" t="str">
        <f>IFERROR(__xludf.DUMMYFUNCTION("""COMPUTED_VALUE"""),"excentricus")</f>
        <v>excentricus</v>
      </c>
      <c r="E317" t="str">
        <f>IFERROR(__xludf.DUMMYFUNCTION("""COMPUTED_VALUE"""),"CB")</f>
        <v>CB</v>
      </c>
      <c r="F317">
        <f>IFERROR(__xludf.DUMMYFUNCTION("""COMPUTED_VALUE"""),48.0)</f>
        <v>48</v>
      </c>
    </row>
    <row r="318" ht="15.75" customHeight="1">
      <c r="A318" t="str">
        <f t="shared" si="1"/>
        <v>A.parvulum</v>
      </c>
      <c r="B318" s="5" t="s">
        <v>336</v>
      </c>
      <c r="C318" s="6" t="str">
        <f>IFERROR(__xludf.DUMMYFUNCTION("SPLIT('2. c'!B318, "" "", True, True)"),"Atopobium")</f>
        <v>Atopobium</v>
      </c>
      <c r="D318" t="str">
        <f>IFERROR(__xludf.DUMMYFUNCTION("""COMPUTED_VALUE"""),"parvulum")</f>
        <v>parvulum</v>
      </c>
      <c r="E318" t="str">
        <f>IFERROR(__xludf.DUMMYFUNCTION("""COMPUTED_VALUE"""),"DSM")</f>
        <v>DSM</v>
      </c>
      <c r="F318">
        <f>IFERROR(__xludf.DUMMYFUNCTION("""COMPUTED_VALUE"""),20469.0)</f>
        <v>20469</v>
      </c>
    </row>
    <row r="319" ht="15.75" customHeight="1">
      <c r="A319" t="str">
        <f t="shared" si="1"/>
        <v>A.sp.</v>
      </c>
      <c r="B319" s="5" t="s">
        <v>337</v>
      </c>
      <c r="C319" s="6" t="str">
        <f>IFERROR(__xludf.DUMMYFUNCTION("SPLIT('2. c'!B319, "" "", True, True)"),"Aureimonas")</f>
        <v>Aureimonas</v>
      </c>
      <c r="D319" t="str">
        <f>IFERROR(__xludf.DUMMYFUNCTION("""COMPUTED_VALUE"""),"sp.")</f>
        <v>sp.</v>
      </c>
      <c r="E319" t="str">
        <f>IFERROR(__xludf.DUMMYFUNCTION("""COMPUTED_VALUE"""),"AU20")</f>
        <v>AU20</v>
      </c>
    </row>
    <row r="320" ht="15.75" customHeight="1">
      <c r="A320" t="str">
        <f t="shared" si="1"/>
        <v>A.sp.</v>
      </c>
      <c r="B320" s="5" t="s">
        <v>338</v>
      </c>
      <c r="C320" s="6" t="str">
        <f>IFERROR(__xludf.DUMMYFUNCTION("SPLIT('2. c'!B320, "" "", True, True)"),"Azoarcus")</f>
        <v>Azoarcus</v>
      </c>
      <c r="D320" t="str">
        <f>IFERROR(__xludf.DUMMYFUNCTION("""COMPUTED_VALUE"""),"sp.")</f>
        <v>sp.</v>
      </c>
      <c r="E320" t="str">
        <f>IFERROR(__xludf.DUMMYFUNCTION("""COMPUTED_VALUE"""),"BH72")</f>
        <v>BH72</v>
      </c>
    </row>
    <row r="321" ht="15.75" customHeight="1">
      <c r="A321" t="str">
        <f t="shared" si="1"/>
        <v>A.sp.</v>
      </c>
      <c r="B321" s="5" t="s">
        <v>339</v>
      </c>
      <c r="C321" s="6" t="str">
        <f>IFERROR(__xludf.DUMMYFUNCTION("SPLIT('2. c'!B321, "" "", True, True)"),"Azoarcus")</f>
        <v>Azoarcus</v>
      </c>
      <c r="D321" t="str">
        <f>IFERROR(__xludf.DUMMYFUNCTION("""COMPUTED_VALUE"""),"sp.")</f>
        <v>sp.</v>
      </c>
      <c r="E321" t="str">
        <f>IFERROR(__xludf.DUMMYFUNCTION("""COMPUTED_VALUE"""),"CIB")</f>
        <v>CIB</v>
      </c>
    </row>
    <row r="322" ht="15.75" customHeight="1">
      <c r="A322" t="str">
        <f t="shared" si="1"/>
        <v>A.sp.</v>
      </c>
      <c r="B322" s="5" t="s">
        <v>340</v>
      </c>
      <c r="C322" s="6" t="str">
        <f>IFERROR(__xludf.DUMMYFUNCTION("SPLIT('2. c'!B322, "" "", True, True)"),"Azoarcus")</f>
        <v>Azoarcus</v>
      </c>
      <c r="D322" t="str">
        <f>IFERROR(__xludf.DUMMYFUNCTION("""COMPUTED_VALUE"""),"sp.")</f>
        <v>sp.</v>
      </c>
      <c r="E322" t="str">
        <f>IFERROR(__xludf.DUMMYFUNCTION("""COMPUTED_VALUE"""),"KH32C")</f>
        <v>KH32C</v>
      </c>
    </row>
    <row r="323" ht="15.75" customHeight="1">
      <c r="A323" t="str">
        <f t="shared" si="1"/>
        <v>A.caulinodans</v>
      </c>
      <c r="B323" s="5" t="s">
        <v>341</v>
      </c>
      <c r="C323" s="6" t="str">
        <f>IFERROR(__xludf.DUMMYFUNCTION("SPLIT('2. c'!B323, "" "", True, True)"),"Azorhizobium")</f>
        <v>Azorhizobium</v>
      </c>
      <c r="D323" t="str">
        <f>IFERROR(__xludf.DUMMYFUNCTION("""COMPUTED_VALUE"""),"caulinodans")</f>
        <v>caulinodans</v>
      </c>
      <c r="E323" t="str">
        <f>IFERROR(__xludf.DUMMYFUNCTION("""COMPUTED_VALUE"""),"ORS")</f>
        <v>ORS</v>
      </c>
      <c r="F323">
        <f>IFERROR(__xludf.DUMMYFUNCTION("""COMPUTED_VALUE"""),571.0)</f>
        <v>571</v>
      </c>
    </row>
    <row r="324" ht="15.75" customHeight="1">
      <c r="A324" t="str">
        <f t="shared" si="1"/>
        <v>A.brasilense</v>
      </c>
      <c r="B324" s="5" t="s">
        <v>342</v>
      </c>
      <c r="C324" s="6" t="str">
        <f>IFERROR(__xludf.DUMMYFUNCTION("SPLIT('2. c'!B324, "" "", True, True)"),"Azospirillum")</f>
        <v>Azospirillum</v>
      </c>
      <c r="D324" t="str">
        <f>IFERROR(__xludf.DUMMYFUNCTION("""COMPUTED_VALUE"""),"brasilense")</f>
        <v>brasilense</v>
      </c>
      <c r="E324" t="str">
        <f>IFERROR(__xludf.DUMMYFUNCTION("""COMPUTED_VALUE"""),"Sp245")</f>
        <v>Sp245</v>
      </c>
    </row>
    <row r="325" ht="15.75" customHeight="1">
      <c r="A325" t="str">
        <f t="shared" si="1"/>
        <v>A.brasilense</v>
      </c>
      <c r="B325" s="5" t="s">
        <v>343</v>
      </c>
      <c r="C325" s="6" t="str">
        <f>IFERROR(__xludf.DUMMYFUNCTION("SPLIT('2. c'!B325, "" "", True, True)"),"Azospirillum")</f>
        <v>Azospirillum</v>
      </c>
      <c r="D325" t="str">
        <f>IFERROR(__xludf.DUMMYFUNCTION("""COMPUTED_VALUE"""),"brasilense")</f>
        <v>brasilense</v>
      </c>
      <c r="E325" t="str">
        <f>IFERROR(__xludf.DUMMYFUNCTION("""COMPUTED_VALUE"""),"strain")</f>
        <v>strain</v>
      </c>
      <c r="F325" t="str">
        <f>IFERROR(__xludf.DUMMYFUNCTION("""COMPUTED_VALUE"""),"Az39")</f>
        <v>Az39</v>
      </c>
    </row>
    <row r="326" ht="15.75" customHeight="1">
      <c r="A326" t="str">
        <f t="shared" si="1"/>
        <v>A.brasilense</v>
      </c>
      <c r="B326" s="5" t="s">
        <v>344</v>
      </c>
      <c r="C326" s="6" t="str">
        <f>IFERROR(__xludf.DUMMYFUNCTION("SPLIT('2. c'!B326, "" "", True, True)"),"Azospirillum")</f>
        <v>Azospirillum</v>
      </c>
      <c r="D326" t="str">
        <f>IFERROR(__xludf.DUMMYFUNCTION("""COMPUTED_VALUE"""),"brasilense")</f>
        <v>brasilense</v>
      </c>
      <c r="E326" t="str">
        <f>IFERROR(__xludf.DUMMYFUNCTION("""COMPUTED_VALUE"""),"strain")</f>
        <v>strain</v>
      </c>
      <c r="F326" t="str">
        <f>IFERROR(__xludf.DUMMYFUNCTION("""COMPUTED_VALUE"""),"Sp7")</f>
        <v>Sp7</v>
      </c>
    </row>
    <row r="327" ht="15.75" customHeight="1">
      <c r="A327" t="str">
        <f t="shared" si="1"/>
        <v>A.humicireducens</v>
      </c>
      <c r="B327" s="5" t="s">
        <v>345</v>
      </c>
      <c r="C327" s="6" t="str">
        <f>IFERROR(__xludf.DUMMYFUNCTION("SPLIT('2. c'!B327, "" "", True, True)"),"Azospirillum")</f>
        <v>Azospirillum</v>
      </c>
      <c r="D327" t="str">
        <f>IFERROR(__xludf.DUMMYFUNCTION("""COMPUTED_VALUE"""),"humicireducens")</f>
        <v>humicireducens</v>
      </c>
      <c r="E327" t="str">
        <f>IFERROR(__xludf.DUMMYFUNCTION("""COMPUTED_VALUE"""),"strain")</f>
        <v>strain</v>
      </c>
      <c r="F327" t="str">
        <f>IFERROR(__xludf.DUMMYFUNCTION("""COMPUTED_VALUE"""),"SgZ-5")</f>
        <v>SgZ-5</v>
      </c>
    </row>
    <row r="328" ht="15.75" customHeight="1">
      <c r="A328" t="str">
        <f t="shared" si="1"/>
        <v>A.lipoferum</v>
      </c>
      <c r="B328" s="5" t="s">
        <v>346</v>
      </c>
      <c r="C328" s="6" t="str">
        <f>IFERROR(__xludf.DUMMYFUNCTION("SPLIT('2. c'!B328, "" "", True, True)"),"Azospirillum")</f>
        <v>Azospirillum</v>
      </c>
      <c r="D328" t="str">
        <f>IFERROR(__xludf.DUMMYFUNCTION("""COMPUTED_VALUE"""),"lipoferum")</f>
        <v>lipoferum</v>
      </c>
      <c r="E328" t="str">
        <f>IFERROR(__xludf.DUMMYFUNCTION("""COMPUTED_VALUE"""),"4B")</f>
        <v>4B</v>
      </c>
    </row>
    <row r="329" ht="15.75" customHeight="1">
      <c r="A329" t="str">
        <f t="shared" si="1"/>
        <v>A.sp.</v>
      </c>
      <c r="B329" s="5" t="s">
        <v>347</v>
      </c>
      <c r="C329" s="6" t="str">
        <f>IFERROR(__xludf.DUMMYFUNCTION("SPLIT('2. c'!B329, "" "", True, True)"),"Azospirillum")</f>
        <v>Azospirillum</v>
      </c>
      <c r="D329" t="str">
        <f>IFERROR(__xludf.DUMMYFUNCTION("""COMPUTED_VALUE"""),"sp.")</f>
        <v>sp.</v>
      </c>
      <c r="E329" t="str">
        <f>IFERROR(__xludf.DUMMYFUNCTION("""COMPUTED_VALUE"""),"B510")</f>
        <v>B510</v>
      </c>
    </row>
    <row r="330" ht="15.75" customHeight="1">
      <c r="A330" t="str">
        <f t="shared" si="1"/>
        <v>A.thiophilum</v>
      </c>
      <c r="B330" s="5" t="s">
        <v>348</v>
      </c>
      <c r="C330" s="6" t="str">
        <f>IFERROR(__xludf.DUMMYFUNCTION("SPLIT('2. c'!B330, "" "", True, True)"),"Azospirillum")</f>
        <v>Azospirillum</v>
      </c>
      <c r="D330" t="str">
        <f>IFERROR(__xludf.DUMMYFUNCTION("""COMPUTED_VALUE"""),"thiophilum")</f>
        <v>thiophilum</v>
      </c>
      <c r="E330" t="str">
        <f>IFERROR(__xludf.DUMMYFUNCTION("""COMPUTED_VALUE"""),"strain")</f>
        <v>strain</v>
      </c>
      <c r="F330" t="str">
        <f>IFERROR(__xludf.DUMMYFUNCTION("""COMPUTED_VALUE"""),"BV-S")</f>
        <v>BV-S</v>
      </c>
    </row>
    <row r="331" ht="15.75" customHeight="1">
      <c r="A331" t="str">
        <f t="shared" si="1"/>
        <v>A.chroococcum</v>
      </c>
      <c r="B331" s="5" t="s">
        <v>349</v>
      </c>
      <c r="C331" s="6" t="str">
        <f>IFERROR(__xludf.DUMMYFUNCTION("SPLIT('2. c'!B331, "" "", True, True)"),"Azotobacter")</f>
        <v>Azotobacter</v>
      </c>
      <c r="D331" t="str">
        <f>IFERROR(__xludf.DUMMYFUNCTION("""COMPUTED_VALUE"""),"chroococcum")</f>
        <v>chroococcum</v>
      </c>
      <c r="E331" t="str">
        <f>IFERROR(__xludf.DUMMYFUNCTION("""COMPUTED_VALUE"""),"NCIMB")</f>
        <v>NCIMB</v>
      </c>
      <c r="F331">
        <f>IFERROR(__xludf.DUMMYFUNCTION("""COMPUTED_VALUE"""),8003.0)</f>
        <v>8003</v>
      </c>
    </row>
    <row r="332" ht="15.75" customHeight="1">
      <c r="A332" t="str">
        <f t="shared" si="1"/>
        <v>A.vinelandii</v>
      </c>
      <c r="B332" s="5" t="s">
        <v>350</v>
      </c>
      <c r="C332" s="6" t="str">
        <f>IFERROR(__xludf.DUMMYFUNCTION("SPLIT('2. c'!B332, "" "", True, True)"),"Azotobacter")</f>
        <v>Azotobacter</v>
      </c>
      <c r="D332" t="str">
        <f>IFERROR(__xludf.DUMMYFUNCTION("""COMPUTED_VALUE"""),"vinelandii")</f>
        <v>vinelandii</v>
      </c>
      <c r="E332" t="str">
        <f>IFERROR(__xludf.DUMMYFUNCTION("""COMPUTED_VALUE"""),"CA")</f>
        <v>CA</v>
      </c>
    </row>
    <row r="333" ht="15.75" customHeight="1">
      <c r="A333" t="str">
        <f t="shared" si="1"/>
        <v>A.vinelandii</v>
      </c>
      <c r="B333" s="5" t="s">
        <v>351</v>
      </c>
      <c r="C333" s="6" t="str">
        <f>IFERROR(__xludf.DUMMYFUNCTION("SPLIT('2. c'!B333, "" "", True, True)"),"Azotobacter")</f>
        <v>Azotobacter</v>
      </c>
      <c r="D333" t="str">
        <f>IFERROR(__xludf.DUMMYFUNCTION("""COMPUTED_VALUE"""),"vinelandii")</f>
        <v>vinelandii</v>
      </c>
      <c r="E333" t="str">
        <f>IFERROR(__xludf.DUMMYFUNCTION("""COMPUTED_VALUE"""),"CA6")</f>
        <v>CA6</v>
      </c>
    </row>
    <row r="334" ht="15.75" customHeight="1">
      <c r="A334" t="str">
        <f t="shared" si="1"/>
        <v>A.vinelandii</v>
      </c>
      <c r="B334" s="5" t="s">
        <v>352</v>
      </c>
      <c r="C334" s="6" t="str">
        <f>IFERROR(__xludf.DUMMYFUNCTION("SPLIT('2. c'!B334, "" "", True, True)"),"Azotobacter")</f>
        <v>Azotobacter</v>
      </c>
      <c r="D334" t="str">
        <f>IFERROR(__xludf.DUMMYFUNCTION("""COMPUTED_VALUE"""),"vinelandii")</f>
        <v>vinelandii</v>
      </c>
      <c r="E334" t="str">
        <f>IFERROR(__xludf.DUMMYFUNCTION("""COMPUTED_VALUE"""),"DJ")</f>
        <v>DJ</v>
      </c>
    </row>
    <row r="335" ht="15.75" customHeight="1">
      <c r="A335" t="str">
        <f t="shared" si="1"/>
        <v>B.amyloliquefaciens</v>
      </c>
      <c r="B335" s="5" t="s">
        <v>353</v>
      </c>
      <c r="C335" s="6" t="str">
        <f>IFERROR(__xludf.DUMMYFUNCTION("SPLIT('2. c'!B335, "" "", True, True)"),"Bacillus")</f>
        <v>Bacillus</v>
      </c>
      <c r="D335" t="str">
        <f>IFERROR(__xludf.DUMMYFUNCTION("""COMPUTED_VALUE"""),"amyloliquefaciens")</f>
        <v>amyloliquefaciens</v>
      </c>
      <c r="E335" t="str">
        <f>IFERROR(__xludf.DUMMYFUNCTION("""COMPUTED_VALUE"""),"CC178")</f>
        <v>CC178</v>
      </c>
    </row>
    <row r="336" ht="15.75" customHeight="1">
      <c r="A336" t="str">
        <f t="shared" si="1"/>
        <v>B.amyloliquefaciens</v>
      </c>
      <c r="B336" s="5" t="s">
        <v>354</v>
      </c>
      <c r="C336" s="6" t="str">
        <f>IFERROR(__xludf.DUMMYFUNCTION("SPLIT('2. c'!B336, "" "", True, True)"),"Bacillus")</f>
        <v>Bacillus</v>
      </c>
      <c r="D336" t="str">
        <f>IFERROR(__xludf.DUMMYFUNCTION("""COMPUTED_VALUE"""),"amyloliquefaciens")</f>
        <v>amyloliquefaciens</v>
      </c>
      <c r="E336" t="str">
        <f>IFERROR(__xludf.DUMMYFUNCTION("""COMPUTED_VALUE"""),"DSM")</f>
        <v>DSM</v>
      </c>
      <c r="F336">
        <f>IFERROR(__xludf.DUMMYFUNCTION("""COMPUTED_VALUE"""),7.0)</f>
        <v>7</v>
      </c>
    </row>
    <row r="337" ht="15.75" customHeight="1">
      <c r="A337" t="str">
        <f t="shared" si="1"/>
        <v>B.amyloliquefaciens</v>
      </c>
      <c r="B337" s="5" t="s">
        <v>355</v>
      </c>
      <c r="C337" s="6" t="str">
        <f>IFERROR(__xludf.DUMMYFUNCTION("SPLIT('2. c'!B337, "" "", True, True)"),"Bacillus")</f>
        <v>Bacillus</v>
      </c>
      <c r="D337" t="str">
        <f>IFERROR(__xludf.DUMMYFUNCTION("""COMPUTED_VALUE"""),"amyloliquefaciens")</f>
        <v>amyloliquefaciens</v>
      </c>
      <c r="E337" t="str">
        <f>IFERROR(__xludf.DUMMYFUNCTION("""COMPUTED_VALUE"""),"FZB42")</f>
        <v>FZB42</v>
      </c>
    </row>
    <row r="338" ht="15.75" customHeight="1">
      <c r="A338" t="str">
        <f t="shared" si="1"/>
        <v>B.amyloliquefaciens</v>
      </c>
      <c r="B338" s="5" t="s">
        <v>356</v>
      </c>
      <c r="C338" s="6" t="str">
        <f>IFERROR(__xludf.DUMMYFUNCTION("SPLIT('2. c'!B338, "" "", True, True)"),"Bacillus")</f>
        <v>Bacillus</v>
      </c>
      <c r="D338" t="str">
        <f>IFERROR(__xludf.DUMMYFUNCTION("""COMPUTED_VALUE"""),"amyloliquefaciens")</f>
        <v>amyloliquefaciens</v>
      </c>
      <c r="E338" t="str">
        <f>IFERROR(__xludf.DUMMYFUNCTION("""COMPUTED_VALUE"""),"LFB112")</f>
        <v>LFB112</v>
      </c>
    </row>
    <row r="339" ht="15.75" customHeight="1">
      <c r="A339" t="str">
        <f t="shared" si="1"/>
        <v>B.amyloliquefaciens</v>
      </c>
      <c r="B339" s="5" t="s">
        <v>357</v>
      </c>
      <c r="C339" s="6" t="str">
        <f>IFERROR(__xludf.DUMMYFUNCTION("SPLIT('2. c'!B339, "" "", True, True)"),"Bacillus")</f>
        <v>Bacillus</v>
      </c>
      <c r="D339" t="str">
        <f>IFERROR(__xludf.DUMMYFUNCTION("""COMPUTED_VALUE"""),"amyloliquefaciens")</f>
        <v>amyloliquefaciens</v>
      </c>
      <c r="E339" t="str">
        <f>IFERROR(__xludf.DUMMYFUNCTION("""COMPUTED_VALUE"""),"L-H15")</f>
        <v>L-H15</v>
      </c>
    </row>
    <row r="340" ht="15.75" customHeight="1">
      <c r="A340" t="str">
        <f t="shared" si="1"/>
        <v>B.amyloliquefaciens</v>
      </c>
      <c r="B340" s="5" t="s">
        <v>358</v>
      </c>
      <c r="C340" s="6" t="str">
        <f>IFERROR(__xludf.DUMMYFUNCTION("SPLIT('2. c'!B340, "" "", True, True)"),"Bacillus")</f>
        <v>Bacillus</v>
      </c>
      <c r="D340" t="str">
        <f>IFERROR(__xludf.DUMMYFUNCTION("""COMPUTED_VALUE"""),"amyloliquefaciens")</f>
        <v>amyloliquefaciens</v>
      </c>
      <c r="E340" t="str">
        <f>IFERROR(__xludf.DUMMYFUNCTION("""COMPUTED_VALUE"""),"LL3")</f>
        <v>LL3</v>
      </c>
    </row>
    <row r="341" ht="15.75" customHeight="1">
      <c r="A341" t="str">
        <f t="shared" si="1"/>
        <v>B.amyloliquefaciens</v>
      </c>
      <c r="B341" s="5" t="s">
        <v>359</v>
      </c>
      <c r="C341" s="6" t="str">
        <f>IFERROR(__xludf.DUMMYFUNCTION("SPLIT('2. c'!B341, "" "", True, True)"),"Bacillus")</f>
        <v>Bacillus</v>
      </c>
      <c r="D341" t="str">
        <f>IFERROR(__xludf.DUMMYFUNCTION("""COMPUTED_VALUE"""),"amyloliquefaciens")</f>
        <v>amyloliquefaciens</v>
      </c>
      <c r="E341" t="str">
        <f>IFERROR(__xludf.DUMMYFUNCTION("""COMPUTED_VALUE"""),"SQR9")</f>
        <v>SQR9</v>
      </c>
    </row>
    <row r="342" ht="15.75" customHeight="1">
      <c r="A342" t="str">
        <f t="shared" si="1"/>
        <v>B.amyloliquefaciens</v>
      </c>
      <c r="B342" s="5" t="s">
        <v>360</v>
      </c>
      <c r="C342" s="6" t="str">
        <f>IFERROR(__xludf.DUMMYFUNCTION("SPLIT('2. c'!B342, "" "", True, True)"),"Bacillus")</f>
        <v>Bacillus</v>
      </c>
      <c r="D342" t="str">
        <f>IFERROR(__xludf.DUMMYFUNCTION("""COMPUTED_VALUE"""),"amyloliquefaciens")</f>
        <v>amyloliquefaciens</v>
      </c>
      <c r="E342" t="str">
        <f>IFERROR(__xludf.DUMMYFUNCTION("""COMPUTED_VALUE"""),"strain")</f>
        <v>strain</v>
      </c>
      <c r="F342" t="str">
        <f>IFERROR(__xludf.DUMMYFUNCTION("""COMPUTED_VALUE"""),"B15")</f>
        <v>B15</v>
      </c>
    </row>
    <row r="343" ht="15.75" customHeight="1">
      <c r="A343" t="str">
        <f t="shared" si="1"/>
        <v>B.amyloliquefaciens</v>
      </c>
      <c r="B343" s="5" t="s">
        <v>361</v>
      </c>
      <c r="C343" s="6" t="str">
        <f>IFERROR(__xludf.DUMMYFUNCTION("SPLIT('2. c'!B343, "" "", True, True)"),"Bacillus")</f>
        <v>Bacillus</v>
      </c>
      <c r="D343" t="str">
        <f>IFERROR(__xludf.DUMMYFUNCTION("""COMPUTED_VALUE"""),"amyloliquefaciens")</f>
        <v>amyloliquefaciens</v>
      </c>
      <c r="E343" t="str">
        <f>IFERROR(__xludf.DUMMYFUNCTION("""COMPUTED_VALUE"""),"strain")</f>
        <v>strain</v>
      </c>
      <c r="F343" t="str">
        <f>IFERROR(__xludf.DUMMYFUNCTION("""COMPUTED_VALUE"""),"G341")</f>
        <v>G341</v>
      </c>
    </row>
    <row r="344" ht="15.75" customHeight="1">
      <c r="A344" t="str">
        <f t="shared" si="1"/>
        <v>B.amyloliquefaciens</v>
      </c>
      <c r="B344" s="5" t="s">
        <v>362</v>
      </c>
      <c r="C344" s="6" t="str">
        <f>IFERROR(__xludf.DUMMYFUNCTION("SPLIT('2. c'!B344, "" "", True, True)"),"Bacillus")</f>
        <v>Bacillus</v>
      </c>
      <c r="D344" t="str">
        <f>IFERROR(__xludf.DUMMYFUNCTION("""COMPUTED_VALUE"""),"amyloliquefaciens")</f>
        <v>amyloliquefaciens</v>
      </c>
      <c r="E344" t="str">
        <f>IFERROR(__xludf.DUMMYFUNCTION("""COMPUTED_VALUE"""),"strain")</f>
        <v>strain</v>
      </c>
      <c r="F344" t="str">
        <f>IFERROR(__xludf.DUMMYFUNCTION("""COMPUTED_VALUE"""),"L-S60")</f>
        <v>L-S60</v>
      </c>
    </row>
    <row r="345" ht="15.75" customHeight="1">
      <c r="A345" t="str">
        <f t="shared" si="1"/>
        <v>B.amyloliquefaciens</v>
      </c>
      <c r="B345" s="5" t="s">
        <v>363</v>
      </c>
      <c r="C345" s="6" t="str">
        <f>IFERROR(__xludf.DUMMYFUNCTION("SPLIT('2. c'!B345, "" "", True, True)"),"Bacillus")</f>
        <v>Bacillus</v>
      </c>
      <c r="D345" t="str">
        <f>IFERROR(__xludf.DUMMYFUNCTION("""COMPUTED_VALUE"""),"amyloliquefaciens")</f>
        <v>amyloliquefaciens</v>
      </c>
      <c r="E345" t="str">
        <f>IFERROR(__xludf.DUMMYFUNCTION("""COMPUTED_VALUE"""),"strain")</f>
        <v>strain</v>
      </c>
      <c r="F345" t="str">
        <f>IFERROR(__xludf.DUMMYFUNCTION("""COMPUTED_VALUE"""),"MBE1283")</f>
        <v>MBE1283</v>
      </c>
    </row>
    <row r="346" ht="15.75" customHeight="1">
      <c r="A346" t="str">
        <f t="shared" si="1"/>
        <v>B.amyloliquefaciens</v>
      </c>
      <c r="B346" s="5" t="s">
        <v>364</v>
      </c>
      <c r="C346" s="6" t="str">
        <f>IFERROR(__xludf.DUMMYFUNCTION("SPLIT('2. c'!B346, "" "", True, True)"),"Bacillus")</f>
        <v>Bacillus</v>
      </c>
      <c r="D346" t="str">
        <f>IFERROR(__xludf.DUMMYFUNCTION("""COMPUTED_VALUE"""),"amyloliquefaciens")</f>
        <v>amyloliquefaciens</v>
      </c>
      <c r="E346" t="str">
        <f>IFERROR(__xludf.DUMMYFUNCTION("""COMPUTED_VALUE"""),"strain")</f>
        <v>strain</v>
      </c>
      <c r="F346" t="str">
        <f>IFERROR(__xludf.DUMMYFUNCTION("""COMPUTED_VALUE"""),"S499")</f>
        <v>S499</v>
      </c>
    </row>
    <row r="347" ht="15.75" customHeight="1">
      <c r="A347" t="str">
        <f t="shared" si="1"/>
        <v>B.amyloliquefaciens</v>
      </c>
      <c r="B347" s="5" t="s">
        <v>365</v>
      </c>
      <c r="C347" s="6" t="str">
        <f>IFERROR(__xludf.DUMMYFUNCTION("SPLIT('2. c'!B347, "" "", True, True)"),"Bacillus")</f>
        <v>Bacillus</v>
      </c>
      <c r="D347" t="str">
        <f>IFERROR(__xludf.DUMMYFUNCTION("""COMPUTED_VALUE"""),"amyloliquefaciens")</f>
        <v>amyloliquefaciens</v>
      </c>
      <c r="E347" t="str">
        <f>IFERROR(__xludf.DUMMYFUNCTION("""COMPUTED_VALUE"""),"subsp.")</f>
        <v>subsp.</v>
      </c>
      <c r="F347" t="str">
        <f>IFERROR(__xludf.DUMMYFUNCTION("""COMPUTED_VALUE"""),"amyloliquefaciens")</f>
        <v>amyloliquefaciens</v>
      </c>
      <c r="G347" t="str">
        <f>IFERROR(__xludf.DUMMYFUNCTION("""COMPUTED_VALUE"""),"KHG19")</f>
        <v>KHG19</v>
      </c>
    </row>
    <row r="348" ht="15.75" customHeight="1">
      <c r="A348" t="str">
        <f t="shared" si="1"/>
        <v>B.amyloliquefaciens</v>
      </c>
      <c r="B348" s="5" t="s">
        <v>366</v>
      </c>
      <c r="C348" s="6" t="str">
        <f>IFERROR(__xludf.DUMMYFUNCTION("SPLIT('2. c'!B348, "" "", True, True)"),"Bacillus")</f>
        <v>Bacillus</v>
      </c>
      <c r="D348" t="str">
        <f>IFERROR(__xludf.DUMMYFUNCTION("""COMPUTED_VALUE"""),"amyloliquefaciens")</f>
        <v>amyloliquefaciens</v>
      </c>
      <c r="E348" t="str">
        <f>IFERROR(__xludf.DUMMYFUNCTION("""COMPUTED_VALUE"""),"subsp.")</f>
        <v>subsp.</v>
      </c>
      <c r="F348" t="str">
        <f>IFERROR(__xludf.DUMMYFUNCTION("""COMPUTED_VALUE"""),"plantarum")</f>
        <v>plantarum</v>
      </c>
      <c r="G348" t="str">
        <f>IFERROR(__xludf.DUMMYFUNCTION("""COMPUTED_VALUE"""),"AS43.3")</f>
        <v>AS43.3</v>
      </c>
    </row>
    <row r="349" ht="15.75" customHeight="1">
      <c r="A349" t="str">
        <f t="shared" si="1"/>
        <v>B.amyloliquefaciens</v>
      </c>
      <c r="B349" s="5" t="s">
        <v>367</v>
      </c>
      <c r="C349" s="6" t="str">
        <f>IFERROR(__xludf.DUMMYFUNCTION("SPLIT('2. c'!B349, "" "", True, True)"),"Bacillus")</f>
        <v>Bacillus</v>
      </c>
      <c r="D349" t="str">
        <f>IFERROR(__xludf.DUMMYFUNCTION("""COMPUTED_VALUE"""),"amyloliquefaciens")</f>
        <v>amyloliquefaciens</v>
      </c>
      <c r="E349" t="str">
        <f>IFERROR(__xludf.DUMMYFUNCTION("""COMPUTED_VALUE"""),"subsp.")</f>
        <v>subsp.</v>
      </c>
      <c r="F349" t="str">
        <f>IFERROR(__xludf.DUMMYFUNCTION("""COMPUTED_VALUE"""),"plantarum")</f>
        <v>plantarum</v>
      </c>
      <c r="G349" t="str">
        <f>IFERROR(__xludf.DUMMYFUNCTION("""COMPUTED_VALUE"""),"CAU")</f>
        <v>CAU</v>
      </c>
      <c r="H349" t="str">
        <f>IFERROR(__xludf.DUMMYFUNCTION("""COMPUTED_VALUE"""),"B946")</f>
        <v>B946</v>
      </c>
    </row>
    <row r="350" ht="15.75" customHeight="1">
      <c r="A350" t="str">
        <f t="shared" si="1"/>
        <v>B.amyloliquefaciens</v>
      </c>
      <c r="B350" s="5" t="s">
        <v>368</v>
      </c>
      <c r="C350" s="6" t="str">
        <f>IFERROR(__xludf.DUMMYFUNCTION("SPLIT('2. c'!B350, "" "", True, True)"),"Bacillus")</f>
        <v>Bacillus</v>
      </c>
      <c r="D350" t="str">
        <f>IFERROR(__xludf.DUMMYFUNCTION("""COMPUTED_VALUE"""),"amyloliquefaciens")</f>
        <v>amyloliquefaciens</v>
      </c>
      <c r="E350" t="str">
        <f>IFERROR(__xludf.DUMMYFUNCTION("""COMPUTED_VALUE"""),"subsp.")</f>
        <v>subsp.</v>
      </c>
      <c r="F350" t="str">
        <f>IFERROR(__xludf.DUMMYFUNCTION("""COMPUTED_VALUE"""),"plantarum")</f>
        <v>plantarum</v>
      </c>
      <c r="G350" t="str">
        <f>IFERROR(__xludf.DUMMYFUNCTION("""COMPUTED_VALUE"""),"NAU-B3")</f>
        <v>NAU-B3</v>
      </c>
    </row>
    <row r="351" ht="15.75" customHeight="1">
      <c r="A351" t="str">
        <f t="shared" si="1"/>
        <v>B.amyloliquefaciens</v>
      </c>
      <c r="B351" s="5" t="s">
        <v>369</v>
      </c>
      <c r="C351" s="6" t="str">
        <f>IFERROR(__xludf.DUMMYFUNCTION("SPLIT('2. c'!B351, "" "", True, True)"),"Bacillus")</f>
        <v>Bacillus</v>
      </c>
      <c r="D351" t="str">
        <f>IFERROR(__xludf.DUMMYFUNCTION("""COMPUTED_VALUE"""),"amyloliquefaciens")</f>
        <v>amyloliquefaciens</v>
      </c>
      <c r="E351" t="str">
        <f>IFERROR(__xludf.DUMMYFUNCTION("""COMPUTED_VALUE"""),"subsp.")</f>
        <v>subsp.</v>
      </c>
      <c r="F351" t="str">
        <f>IFERROR(__xludf.DUMMYFUNCTION("""COMPUTED_VALUE"""),"plantarum")</f>
        <v>plantarum</v>
      </c>
      <c r="G351" t="str">
        <f>IFERROR(__xludf.DUMMYFUNCTION("""COMPUTED_VALUE"""),"NJN6")</f>
        <v>NJN6</v>
      </c>
    </row>
    <row r="352" ht="15.75" customHeight="1">
      <c r="A352" t="str">
        <f t="shared" si="1"/>
        <v>B.amyloliquefaciens</v>
      </c>
      <c r="B352" s="5" t="s">
        <v>370</v>
      </c>
      <c r="C352" s="6" t="str">
        <f>IFERROR(__xludf.DUMMYFUNCTION("SPLIT('2. c'!B352, "" "", True, True)"),"Bacillus")</f>
        <v>Bacillus</v>
      </c>
      <c r="D352" t="str">
        <f>IFERROR(__xludf.DUMMYFUNCTION("""COMPUTED_VALUE"""),"amyloliquefaciens")</f>
        <v>amyloliquefaciens</v>
      </c>
      <c r="E352" t="str">
        <f>IFERROR(__xludf.DUMMYFUNCTION("""COMPUTED_VALUE"""),"subsp.")</f>
        <v>subsp.</v>
      </c>
      <c r="F352" t="str">
        <f>IFERROR(__xludf.DUMMYFUNCTION("""COMPUTED_VALUE"""),"plantarum")</f>
        <v>plantarum</v>
      </c>
      <c r="G352" t="str">
        <f>IFERROR(__xludf.DUMMYFUNCTION("""COMPUTED_VALUE"""),"TrigoCor1448")</f>
        <v>TrigoCor1448</v>
      </c>
    </row>
    <row r="353" ht="15.75" customHeight="1">
      <c r="A353" t="str">
        <f t="shared" si="1"/>
        <v>B.amyloliquefaciens</v>
      </c>
      <c r="B353" s="5" t="s">
        <v>371</v>
      </c>
      <c r="C353" s="6" t="str">
        <f>IFERROR(__xludf.DUMMYFUNCTION("SPLIT('2. c'!B353, "" "", True, True)"),"Bacillus")</f>
        <v>Bacillus</v>
      </c>
      <c r="D353" t="str">
        <f>IFERROR(__xludf.DUMMYFUNCTION("""COMPUTED_VALUE"""),"amyloliquefaciens")</f>
        <v>amyloliquefaciens</v>
      </c>
      <c r="E353" t="str">
        <f>IFERROR(__xludf.DUMMYFUNCTION("""COMPUTED_VALUE"""),"subsp.")</f>
        <v>subsp.</v>
      </c>
      <c r="F353" t="str">
        <f>IFERROR(__xludf.DUMMYFUNCTION("""COMPUTED_VALUE"""),"plantarum")</f>
        <v>plantarum</v>
      </c>
      <c r="G353" t="str">
        <f>IFERROR(__xludf.DUMMYFUNCTION("""COMPUTED_VALUE"""),"UCMB5033")</f>
        <v>UCMB5033</v>
      </c>
    </row>
    <row r="354" ht="15.75" customHeight="1">
      <c r="A354" t="str">
        <f t="shared" si="1"/>
        <v>B.amyloliquefaciens</v>
      </c>
      <c r="B354" s="5" t="s">
        <v>372</v>
      </c>
      <c r="C354" s="6" t="str">
        <f>IFERROR(__xludf.DUMMYFUNCTION("SPLIT('2. c'!B354, "" "", True, True)"),"Bacillus")</f>
        <v>Bacillus</v>
      </c>
      <c r="D354" t="str">
        <f>IFERROR(__xludf.DUMMYFUNCTION("""COMPUTED_VALUE"""),"amyloliquefaciens")</f>
        <v>amyloliquefaciens</v>
      </c>
      <c r="E354" t="str">
        <f>IFERROR(__xludf.DUMMYFUNCTION("""COMPUTED_VALUE"""),"subsp.")</f>
        <v>subsp.</v>
      </c>
      <c r="F354" t="str">
        <f>IFERROR(__xludf.DUMMYFUNCTION("""COMPUTED_VALUE"""),"plantarum")</f>
        <v>plantarum</v>
      </c>
      <c r="G354" t="str">
        <f>IFERROR(__xludf.DUMMYFUNCTION("""COMPUTED_VALUE"""),"UCMB5036")</f>
        <v>UCMB5036</v>
      </c>
    </row>
    <row r="355" ht="15.75" customHeight="1">
      <c r="A355" t="str">
        <f t="shared" si="1"/>
        <v>B.amyloliquefaciens</v>
      </c>
      <c r="B355" s="5" t="s">
        <v>373</v>
      </c>
      <c r="C355" s="6" t="str">
        <f>IFERROR(__xludf.DUMMYFUNCTION("SPLIT('2. c'!B355, "" "", True, True)"),"Bacillus")</f>
        <v>Bacillus</v>
      </c>
      <c r="D355" t="str">
        <f>IFERROR(__xludf.DUMMYFUNCTION("""COMPUTED_VALUE"""),"amyloliquefaciens")</f>
        <v>amyloliquefaciens</v>
      </c>
      <c r="E355" t="str">
        <f>IFERROR(__xludf.DUMMYFUNCTION("""COMPUTED_VALUE"""),"subsp.")</f>
        <v>subsp.</v>
      </c>
      <c r="F355" t="str">
        <f>IFERROR(__xludf.DUMMYFUNCTION("""COMPUTED_VALUE"""),"plantarum")</f>
        <v>plantarum</v>
      </c>
      <c r="G355" t="str">
        <f>IFERROR(__xludf.DUMMYFUNCTION("""COMPUTED_VALUE"""),"UCMB5113")</f>
        <v>UCMB5113</v>
      </c>
    </row>
    <row r="356" ht="15.75" customHeight="1">
      <c r="A356" t="str">
        <f t="shared" si="1"/>
        <v>B.amyloliquefaciens</v>
      </c>
      <c r="B356" s="5" t="s">
        <v>374</v>
      </c>
      <c r="C356" s="6" t="str">
        <f>IFERROR(__xludf.DUMMYFUNCTION("SPLIT('2. c'!B356, "" "", True, True)"),"Bacillus")</f>
        <v>Bacillus</v>
      </c>
      <c r="D356" t="str">
        <f>IFERROR(__xludf.DUMMYFUNCTION("""COMPUTED_VALUE"""),"amyloliquefaciens")</f>
        <v>amyloliquefaciens</v>
      </c>
      <c r="E356" t="str">
        <f>IFERROR(__xludf.DUMMYFUNCTION("""COMPUTED_VALUE"""),"subsp.")</f>
        <v>subsp.</v>
      </c>
      <c r="F356" t="str">
        <f>IFERROR(__xludf.DUMMYFUNCTION("""COMPUTED_VALUE"""),"plantarum")</f>
        <v>plantarum</v>
      </c>
      <c r="G356" t="str">
        <f>IFERROR(__xludf.DUMMYFUNCTION("""COMPUTED_VALUE"""),"YAU")</f>
        <v>YAU</v>
      </c>
      <c r="H356" t="str">
        <f>IFERROR(__xludf.DUMMYFUNCTION("""COMPUTED_VALUE"""),"B9601-Y2")</f>
        <v>B9601-Y2</v>
      </c>
    </row>
    <row r="357" ht="15.75" customHeight="1">
      <c r="A357" t="str">
        <f t="shared" si="1"/>
        <v>B.amyloliquefaciens</v>
      </c>
      <c r="B357" s="5" t="s">
        <v>375</v>
      </c>
      <c r="C357" s="6" t="str">
        <f>IFERROR(__xludf.DUMMYFUNCTION("SPLIT('2. c'!B357, "" "", True, True)"),"Bacillus")</f>
        <v>Bacillus</v>
      </c>
      <c r="D357" t="str">
        <f>IFERROR(__xludf.DUMMYFUNCTION("""COMPUTED_VALUE"""),"amyloliquefaciens")</f>
        <v>amyloliquefaciens</v>
      </c>
      <c r="E357" t="str">
        <f>IFERROR(__xludf.DUMMYFUNCTION("""COMPUTED_VALUE"""),"TA208")</f>
        <v>TA208</v>
      </c>
    </row>
    <row r="358" ht="15.75" customHeight="1">
      <c r="A358" t="str">
        <f t="shared" si="1"/>
        <v>B.amyloliquefaciens</v>
      </c>
      <c r="B358" s="5" t="s">
        <v>376</v>
      </c>
      <c r="C358" s="6" t="str">
        <f>IFERROR(__xludf.DUMMYFUNCTION("SPLIT('2. c'!B358, "" "", True, True)"),"Bacillus")</f>
        <v>Bacillus</v>
      </c>
      <c r="D358" t="str">
        <f>IFERROR(__xludf.DUMMYFUNCTION("""COMPUTED_VALUE"""),"amyloliquefaciens")</f>
        <v>amyloliquefaciens</v>
      </c>
      <c r="E358" t="str">
        <f>IFERROR(__xludf.DUMMYFUNCTION("""COMPUTED_VALUE"""),"UMAF6614")</f>
        <v>UMAF6614</v>
      </c>
    </row>
    <row r="359" ht="15.75" customHeight="1">
      <c r="A359" t="str">
        <f t="shared" si="1"/>
        <v>B.amyloliquefaciens</v>
      </c>
      <c r="B359" s="5" t="s">
        <v>377</v>
      </c>
      <c r="C359" s="6" t="str">
        <f>IFERROR(__xludf.DUMMYFUNCTION("SPLIT('2. c'!B359, "" "", True, True)"),"Bacillus")</f>
        <v>Bacillus</v>
      </c>
      <c r="D359" t="str">
        <f>IFERROR(__xludf.DUMMYFUNCTION("""COMPUTED_VALUE"""),"amyloliquefaciens")</f>
        <v>amyloliquefaciens</v>
      </c>
      <c r="E359" t="str">
        <f>IFERROR(__xludf.DUMMYFUNCTION("""COMPUTED_VALUE"""),"UMAF6639")</f>
        <v>UMAF6639</v>
      </c>
    </row>
    <row r="360" ht="15.75" customHeight="1">
      <c r="A360" t="str">
        <f t="shared" si="1"/>
        <v>B.amyloliquefaciens</v>
      </c>
      <c r="B360" s="5" t="s">
        <v>378</v>
      </c>
      <c r="C360" s="6" t="str">
        <f>IFERROR(__xludf.DUMMYFUNCTION("SPLIT('2. c'!B360, "" "", True, True)"),"Bacillus")</f>
        <v>Bacillus</v>
      </c>
      <c r="D360" t="str">
        <f>IFERROR(__xludf.DUMMYFUNCTION("""COMPUTED_VALUE"""),"amyloliquefaciens")</f>
        <v>amyloliquefaciens</v>
      </c>
      <c r="E360" t="str">
        <f>IFERROR(__xludf.DUMMYFUNCTION("""COMPUTED_VALUE"""),"XH7")</f>
        <v>XH7</v>
      </c>
    </row>
    <row r="361" ht="15.75" customHeight="1">
      <c r="A361" t="str">
        <f t="shared" si="1"/>
        <v>B.amyloliquefaciens</v>
      </c>
      <c r="B361" s="5" t="s">
        <v>379</v>
      </c>
      <c r="C361" s="6" t="str">
        <f>IFERROR(__xludf.DUMMYFUNCTION("SPLIT('2. c'!B361, "" "", True, True)"),"Bacillus")</f>
        <v>Bacillus</v>
      </c>
      <c r="D361" t="str">
        <f>IFERROR(__xludf.DUMMYFUNCTION("""COMPUTED_VALUE"""),"amyloliquefaciens")</f>
        <v>amyloliquefaciens</v>
      </c>
      <c r="E361" t="str">
        <f>IFERROR(__xludf.DUMMYFUNCTION("""COMPUTED_VALUE"""),"Y2")</f>
        <v>Y2</v>
      </c>
    </row>
    <row r="362" ht="15.75" customHeight="1">
      <c r="A362" t="str">
        <f t="shared" si="1"/>
        <v>B.anthracis</v>
      </c>
      <c r="B362" s="5" t="s">
        <v>380</v>
      </c>
      <c r="C362" s="6" t="str">
        <f>IFERROR(__xludf.DUMMYFUNCTION("SPLIT('2. c'!B362, "" "", True, True)"),"Bacillus")</f>
        <v>Bacillus</v>
      </c>
      <c r="D362" t="str">
        <f>IFERROR(__xludf.DUMMYFUNCTION("""COMPUTED_VALUE"""),"anthracis")</f>
        <v>anthracis</v>
      </c>
      <c r="E362">
        <f>IFERROR(__xludf.DUMMYFUNCTION("""COMPUTED_VALUE"""),2.002013094E9)</f>
        <v>2002013094</v>
      </c>
    </row>
    <row r="363" ht="15.75" customHeight="1">
      <c r="A363" t="str">
        <f t="shared" si="1"/>
        <v>B.anthracis</v>
      </c>
      <c r="B363" s="5" t="s">
        <v>381</v>
      </c>
      <c r="C363" s="6" t="str">
        <f>IFERROR(__xludf.DUMMYFUNCTION("SPLIT('2. c'!B363, "" "", True, True)"),"Bacillus")</f>
        <v>Bacillus</v>
      </c>
      <c r="D363" t="str">
        <f>IFERROR(__xludf.DUMMYFUNCTION("""COMPUTED_VALUE"""),"anthracis")</f>
        <v>anthracis</v>
      </c>
      <c r="E363" t="str">
        <f>IFERROR(__xludf.DUMMYFUNCTION("""COMPUTED_VALUE"""),"52-G")</f>
        <v>52-G</v>
      </c>
    </row>
    <row r="364" ht="15.75" customHeight="1">
      <c r="A364" t="str">
        <f t="shared" si="1"/>
        <v>B.anthracis</v>
      </c>
      <c r="B364" s="5" t="s">
        <v>382</v>
      </c>
      <c r="C364" s="6" t="str">
        <f>IFERROR(__xludf.DUMMYFUNCTION("SPLIT('2. c'!B364, "" "", True, True)"),"Bacillus")</f>
        <v>Bacillus</v>
      </c>
      <c r="D364" t="str">
        <f>IFERROR(__xludf.DUMMYFUNCTION("""COMPUTED_VALUE"""),"anthracis")</f>
        <v>anthracis</v>
      </c>
      <c r="E364" t="str">
        <f>IFERROR(__xludf.DUMMYFUNCTION("""COMPUTED_VALUE"""),"8903-G")</f>
        <v>8903-G</v>
      </c>
    </row>
    <row r="365" ht="15.75" customHeight="1">
      <c r="A365" t="str">
        <f t="shared" si="1"/>
        <v>B.anthracis</v>
      </c>
      <c r="B365" s="5" t="s">
        <v>383</v>
      </c>
      <c r="C365" s="6" t="str">
        <f>IFERROR(__xludf.DUMMYFUNCTION("SPLIT('2. c'!B365, "" "", True, True)"),"Bacillus")</f>
        <v>Bacillus</v>
      </c>
      <c r="D365" t="str">
        <f>IFERROR(__xludf.DUMMYFUNCTION("""COMPUTED_VALUE"""),"anthracis")</f>
        <v>anthracis</v>
      </c>
      <c r="E365" t="str">
        <f>IFERROR(__xludf.DUMMYFUNCTION("""COMPUTED_VALUE"""),"9080-G")</f>
        <v>9080-G</v>
      </c>
    </row>
    <row r="366" ht="15.75" customHeight="1">
      <c r="A366" t="str">
        <f t="shared" si="1"/>
        <v>B.anthracis</v>
      </c>
      <c r="B366" s="5" t="s">
        <v>384</v>
      </c>
      <c r="C366" s="6" t="str">
        <f>IFERROR(__xludf.DUMMYFUNCTION("SPLIT('2. c'!B366, "" "", True, True)"),"Bacillus")</f>
        <v>Bacillus</v>
      </c>
      <c r="D366" t="str">
        <f>IFERROR(__xludf.DUMMYFUNCTION("""COMPUTED_VALUE"""),"anthracis")</f>
        <v>anthracis</v>
      </c>
      <c r="E366" t="str">
        <f>IFERROR(__xludf.DUMMYFUNCTION("""COMPUTED_VALUE"""),"A0157")</f>
        <v>A0157</v>
      </c>
    </row>
    <row r="367" ht="15.75" customHeight="1">
      <c r="A367" t="str">
        <f t="shared" si="1"/>
        <v>B.anthracis</v>
      </c>
      <c r="B367" s="5" t="s">
        <v>385</v>
      </c>
      <c r="C367" s="6" t="str">
        <f>IFERROR(__xludf.DUMMYFUNCTION("SPLIT('2. c'!B367, "" "", True, True)"),"Bacillus")</f>
        <v>Bacillus</v>
      </c>
      <c r="D367" t="str">
        <f>IFERROR(__xludf.DUMMYFUNCTION("""COMPUTED_VALUE"""),"anthracis")</f>
        <v>anthracis</v>
      </c>
      <c r="E367" t="str">
        <f>IFERROR(__xludf.DUMMYFUNCTION("""COMPUTED_VALUE"""),"Ames")</f>
        <v>Ames</v>
      </c>
      <c r="F367" t="str">
        <f>IFERROR(__xludf.DUMMYFUNCTION("""COMPUTED_VALUE"""),"A0462")</f>
        <v>A0462</v>
      </c>
    </row>
    <row r="368" ht="15.75" customHeight="1">
      <c r="A368" t="str">
        <f t="shared" si="1"/>
        <v>B.anthracis</v>
      </c>
      <c r="B368" s="5" t="s">
        <v>386</v>
      </c>
      <c r="C368" s="6" t="str">
        <f>IFERROR(__xludf.DUMMYFUNCTION("SPLIT('2. c'!B368, "" "", True, True)"),"Bacillus")</f>
        <v>Bacillus</v>
      </c>
      <c r="D368" t="str">
        <f>IFERROR(__xludf.DUMMYFUNCTION("""COMPUTED_VALUE"""),"anthracis")</f>
        <v>anthracis</v>
      </c>
      <c r="E368" t="str">
        <f>IFERROR(__xludf.DUMMYFUNCTION("""COMPUTED_VALUE"""),"Ames_BA1004")</f>
        <v>Ames_BA1004</v>
      </c>
    </row>
    <row r="369" ht="15.75" customHeight="1">
      <c r="A369" t="str">
        <f t="shared" si="1"/>
        <v>B.anthracis</v>
      </c>
      <c r="B369" s="5" t="s">
        <v>387</v>
      </c>
      <c r="C369" s="6" t="str">
        <f>IFERROR(__xludf.DUMMYFUNCTION("SPLIT('2. c'!B369, "" "", True, True)"),"Bacillus")</f>
        <v>Bacillus</v>
      </c>
      <c r="D369" t="str">
        <f>IFERROR(__xludf.DUMMYFUNCTION("""COMPUTED_VALUE"""),"anthracis")</f>
        <v>anthracis</v>
      </c>
      <c r="E369" t="str">
        <f>IFERROR(__xludf.DUMMYFUNCTION("""COMPUTED_VALUE"""),"BA1015")</f>
        <v>BA1015</v>
      </c>
    </row>
    <row r="370" ht="15.75" customHeight="1">
      <c r="A370" t="str">
        <f t="shared" si="1"/>
        <v>B.anthracis</v>
      </c>
      <c r="B370" s="5" t="s">
        <v>388</v>
      </c>
      <c r="C370" s="6" t="str">
        <f>IFERROR(__xludf.DUMMYFUNCTION("SPLIT('2. c'!B370, "" "", True, True)"),"Bacillus")</f>
        <v>Bacillus</v>
      </c>
      <c r="D370" t="str">
        <f>IFERROR(__xludf.DUMMYFUNCTION("""COMPUTED_VALUE"""),"anthracis")</f>
        <v>anthracis</v>
      </c>
      <c r="E370" t="str">
        <f>IFERROR(__xludf.DUMMYFUNCTION("""COMPUTED_VALUE"""),"BA1035")</f>
        <v>BA1035</v>
      </c>
    </row>
    <row r="371" ht="15.75" customHeight="1">
      <c r="A371" t="str">
        <f t="shared" si="1"/>
        <v>B.anthracis</v>
      </c>
      <c r="B371" s="5" t="s">
        <v>389</v>
      </c>
      <c r="C371" s="6" t="str">
        <f>IFERROR(__xludf.DUMMYFUNCTION("SPLIT('2. c'!B371, "" "", True, True)"),"Bacillus")</f>
        <v>Bacillus</v>
      </c>
      <c r="D371" t="str">
        <f>IFERROR(__xludf.DUMMYFUNCTION("""COMPUTED_VALUE"""),"anthracis")</f>
        <v>anthracis</v>
      </c>
      <c r="E371" t="str">
        <f>IFERROR(__xludf.DUMMYFUNCTION("""COMPUTED_VALUE"""),"Canadian_bison")</f>
        <v>Canadian_bison</v>
      </c>
    </row>
    <row r="372" ht="15.75" customHeight="1">
      <c r="A372" t="str">
        <f t="shared" si="1"/>
        <v>B.anthracis</v>
      </c>
      <c r="B372" s="5" t="s">
        <v>390</v>
      </c>
      <c r="C372" s="6" t="str">
        <f>IFERROR(__xludf.DUMMYFUNCTION("SPLIT('2. c'!B372, "" "", True, True)"),"Bacillus")</f>
        <v>Bacillus</v>
      </c>
      <c r="D372" t="str">
        <f>IFERROR(__xludf.DUMMYFUNCTION("""COMPUTED_VALUE"""),"anthracis")</f>
        <v>anthracis</v>
      </c>
      <c r="E372" t="str">
        <f>IFERROR(__xludf.DUMMYFUNCTION("""COMPUTED_VALUE"""),"K3")</f>
        <v>K3</v>
      </c>
    </row>
    <row r="373" ht="15.75" customHeight="1">
      <c r="A373" t="str">
        <f t="shared" si="1"/>
        <v>B.anthracis</v>
      </c>
      <c r="B373" s="5" t="s">
        <v>391</v>
      </c>
      <c r="C373" s="6" t="str">
        <f>IFERROR(__xludf.DUMMYFUNCTION("SPLIT('2. c'!B373, "" "", True, True)"),"Bacillus")</f>
        <v>Bacillus</v>
      </c>
      <c r="D373" t="str">
        <f>IFERROR(__xludf.DUMMYFUNCTION("""COMPUTED_VALUE"""),"anthracis")</f>
        <v>anthracis</v>
      </c>
      <c r="E373" t="str">
        <f>IFERROR(__xludf.DUMMYFUNCTION("""COMPUTED_VALUE"""),"Ohio")</f>
        <v>Ohio</v>
      </c>
      <c r="F373" t="str">
        <f>IFERROR(__xludf.DUMMYFUNCTION("""COMPUTED_VALUE"""),"ACB")</f>
        <v>ACB</v>
      </c>
    </row>
    <row r="374" ht="15.75" customHeight="1">
      <c r="A374" t="str">
        <f t="shared" si="1"/>
        <v>B.anthracis</v>
      </c>
      <c r="B374" s="5" t="s">
        <v>392</v>
      </c>
      <c r="C374" s="6" t="str">
        <f>IFERROR(__xludf.DUMMYFUNCTION("SPLIT('2. c'!B374, "" "", True, True)"),"Bacillus")</f>
        <v>Bacillus</v>
      </c>
      <c r="D374" t="str">
        <f>IFERROR(__xludf.DUMMYFUNCTION("""COMPUTED_VALUE"""),"anthracis")</f>
        <v>anthracis</v>
      </c>
      <c r="E374" t="str">
        <f>IFERROR(__xludf.DUMMYFUNCTION("""COMPUTED_VALUE"""),"PAK-1")</f>
        <v>PAK-1</v>
      </c>
    </row>
    <row r="375" ht="15.75" customHeight="1">
      <c r="A375" t="str">
        <f t="shared" si="1"/>
        <v>B.anthracis</v>
      </c>
      <c r="B375" s="5" t="s">
        <v>393</v>
      </c>
      <c r="C375" s="6" t="str">
        <f>IFERROR(__xludf.DUMMYFUNCTION("SPLIT('2. c'!B375, "" "", True, True)"),"Bacillus")</f>
        <v>Bacillus</v>
      </c>
      <c r="D375" t="str">
        <f>IFERROR(__xludf.DUMMYFUNCTION("""COMPUTED_VALUE"""),"anthracis")</f>
        <v>anthracis</v>
      </c>
      <c r="E375" t="str">
        <f>IFERROR(__xludf.DUMMYFUNCTION("""COMPUTED_VALUE"""),"Pasteur")</f>
        <v>Pasteur</v>
      </c>
    </row>
    <row r="376" ht="15.75" customHeight="1">
      <c r="A376" t="str">
        <f t="shared" si="1"/>
        <v>B.anthracis</v>
      </c>
      <c r="B376" s="5" t="s">
        <v>394</v>
      </c>
      <c r="C376" s="6" t="str">
        <f>IFERROR(__xludf.DUMMYFUNCTION("SPLIT('2. c'!B376, "" "", True, True)"),"Bacillus")</f>
        <v>Bacillus</v>
      </c>
      <c r="D376" t="str">
        <f>IFERROR(__xludf.DUMMYFUNCTION("""COMPUTED_VALUE"""),"anthracis")</f>
        <v>anthracis</v>
      </c>
      <c r="E376" t="str">
        <f>IFERROR(__xludf.DUMMYFUNCTION("""COMPUTED_VALUE"""),"Pollino")</f>
        <v>Pollino</v>
      </c>
    </row>
    <row r="377" ht="15.75" customHeight="1">
      <c r="A377" t="str">
        <f t="shared" si="1"/>
        <v>B.anthracis</v>
      </c>
      <c r="B377" s="5" t="s">
        <v>395</v>
      </c>
      <c r="C377" s="6" t="str">
        <f>IFERROR(__xludf.DUMMYFUNCTION("SPLIT('2. c'!B377, "" "", True, True)"),"Bacillus")</f>
        <v>Bacillus</v>
      </c>
      <c r="D377" t="str">
        <f>IFERROR(__xludf.DUMMYFUNCTION("""COMPUTED_VALUE"""),"anthracis")</f>
        <v>anthracis</v>
      </c>
      <c r="E377" t="str">
        <f>IFERROR(__xludf.DUMMYFUNCTION("""COMPUTED_VALUE"""),"RA3")</f>
        <v>RA3</v>
      </c>
    </row>
    <row r="378" ht="15.75" customHeight="1">
      <c r="A378" t="str">
        <f t="shared" si="1"/>
        <v>B.anthracis</v>
      </c>
      <c r="B378" s="5" t="s">
        <v>396</v>
      </c>
      <c r="C378" s="6" t="str">
        <f>IFERROR(__xludf.DUMMYFUNCTION("SPLIT('2. c'!B378, "" "", True, True)"),"Bacillus")</f>
        <v>Bacillus</v>
      </c>
      <c r="D378" t="str">
        <f>IFERROR(__xludf.DUMMYFUNCTION("""COMPUTED_VALUE"""),"anthracis")</f>
        <v>anthracis</v>
      </c>
      <c r="E378" t="str">
        <f>IFERROR(__xludf.DUMMYFUNCTION("""COMPUTED_VALUE"""),"SK-102")</f>
        <v>SK-102</v>
      </c>
    </row>
    <row r="379" ht="15.75" customHeight="1">
      <c r="A379" t="str">
        <f t="shared" si="1"/>
        <v>B.anthracis</v>
      </c>
      <c r="B379" s="5" t="s">
        <v>397</v>
      </c>
      <c r="C379" s="6" t="str">
        <f>IFERROR(__xludf.DUMMYFUNCTION("SPLIT('2. c'!B379, "" "", True, True)"),"Bacillus")</f>
        <v>Bacillus</v>
      </c>
      <c r="D379" t="str">
        <f>IFERROR(__xludf.DUMMYFUNCTION("""COMPUTED_VALUE"""),"anthracis")</f>
        <v>anthracis</v>
      </c>
      <c r="E379" t="str">
        <f>IFERROR(__xludf.DUMMYFUNCTION("""COMPUTED_VALUE"""),"str.")</f>
        <v>str.</v>
      </c>
      <c r="F379" t="str">
        <f>IFERROR(__xludf.DUMMYFUNCTION("""COMPUTED_VALUE"""),"A0248")</f>
        <v>A0248</v>
      </c>
    </row>
    <row r="380" ht="15.75" customHeight="1">
      <c r="A380" t="str">
        <f t="shared" si="1"/>
        <v>B.anthracis</v>
      </c>
      <c r="B380" s="5" t="s">
        <v>398</v>
      </c>
      <c r="C380" s="6" t="str">
        <f>IFERROR(__xludf.DUMMYFUNCTION("SPLIT('2. c'!B380, "" "", True, True)"),"Bacillus")</f>
        <v>Bacillus</v>
      </c>
      <c r="D380" t="str">
        <f>IFERROR(__xludf.DUMMYFUNCTION("""COMPUTED_VALUE"""),"anthracis")</f>
        <v>anthracis</v>
      </c>
      <c r="E380" t="str">
        <f>IFERROR(__xludf.DUMMYFUNCTION("""COMPUTED_VALUE"""),"str.")</f>
        <v>str.</v>
      </c>
      <c r="F380" t="str">
        <f>IFERROR(__xludf.DUMMYFUNCTION("""COMPUTED_VALUE"""),"A16")</f>
        <v>A16</v>
      </c>
    </row>
    <row r="381" ht="15.75" customHeight="1">
      <c r="A381" t="str">
        <f t="shared" si="1"/>
        <v>B.anthracis</v>
      </c>
      <c r="B381" s="5" t="s">
        <v>399</v>
      </c>
      <c r="C381" s="6" t="str">
        <f>IFERROR(__xludf.DUMMYFUNCTION("SPLIT('2. c'!B381, "" "", True, True)"),"Bacillus")</f>
        <v>Bacillus</v>
      </c>
      <c r="D381" t="str">
        <f>IFERROR(__xludf.DUMMYFUNCTION("""COMPUTED_VALUE"""),"anthracis")</f>
        <v>anthracis</v>
      </c>
      <c r="E381" t="str">
        <f>IFERROR(__xludf.DUMMYFUNCTION("""COMPUTED_VALUE"""),"str.")</f>
        <v>str.</v>
      </c>
      <c r="F381" t="str">
        <f>IFERROR(__xludf.DUMMYFUNCTION("""COMPUTED_VALUE"""),"A16R")</f>
        <v>A16R</v>
      </c>
    </row>
    <row r="382" ht="15.75" customHeight="1">
      <c r="A382" t="str">
        <f t="shared" si="1"/>
        <v>B.anthracis</v>
      </c>
      <c r="B382" s="5" t="s">
        <v>400</v>
      </c>
      <c r="C382" s="6" t="str">
        <f>IFERROR(__xludf.DUMMYFUNCTION("SPLIT('2. c'!B382, "" "", True, True)"),"Bacillus")</f>
        <v>Bacillus</v>
      </c>
      <c r="D382" t="str">
        <f>IFERROR(__xludf.DUMMYFUNCTION("""COMPUTED_VALUE"""),"anthracis")</f>
        <v>anthracis</v>
      </c>
      <c r="E382" t="str">
        <f>IFERROR(__xludf.DUMMYFUNCTION("""COMPUTED_VALUE"""),"str.")</f>
        <v>str.</v>
      </c>
      <c r="F382" t="str">
        <f>IFERROR(__xludf.DUMMYFUNCTION("""COMPUTED_VALUE"""),"Ames")</f>
        <v>Ames</v>
      </c>
    </row>
    <row r="383" ht="15.75" customHeight="1">
      <c r="A383" t="str">
        <f t="shared" si="1"/>
        <v>B.anthracis</v>
      </c>
      <c r="B383" s="5" t="s">
        <v>401</v>
      </c>
      <c r="C383" s="6" t="str">
        <f>IFERROR(__xludf.DUMMYFUNCTION("SPLIT('2. c'!B383, "" "", True, True)"),"Bacillus")</f>
        <v>Bacillus</v>
      </c>
      <c r="D383" t="str">
        <f>IFERROR(__xludf.DUMMYFUNCTION("""COMPUTED_VALUE"""),"anthracis")</f>
        <v>anthracis</v>
      </c>
      <c r="E383" t="str">
        <f>IFERROR(__xludf.DUMMYFUNCTION("""COMPUTED_VALUE"""),"str.")</f>
        <v>str.</v>
      </c>
      <c r="F383" t="str">
        <f>IFERROR(__xludf.DUMMYFUNCTION("""COMPUTED_VALUE"""),"Ames")</f>
        <v>Ames</v>
      </c>
      <c r="G383" t="str">
        <f>IFERROR(__xludf.DUMMYFUNCTION("""COMPUTED_VALUE"""),"Ancestor'")</f>
        <v>Ancestor'</v>
      </c>
    </row>
    <row r="384" ht="15.75" customHeight="1">
      <c r="A384" t="str">
        <f t="shared" si="1"/>
        <v>B.anthracis</v>
      </c>
      <c r="B384" s="5" t="s">
        <v>402</v>
      </c>
      <c r="C384" s="6" t="str">
        <f>IFERROR(__xludf.DUMMYFUNCTION("SPLIT('2. c'!B384, "" "", True, True)"),"Bacillus")</f>
        <v>Bacillus</v>
      </c>
      <c r="D384" t="str">
        <f>IFERROR(__xludf.DUMMYFUNCTION("""COMPUTED_VALUE"""),"anthracis")</f>
        <v>anthracis</v>
      </c>
      <c r="E384" t="str">
        <f>IFERROR(__xludf.DUMMYFUNCTION("""COMPUTED_VALUE"""),"str.")</f>
        <v>str.</v>
      </c>
      <c r="F384" t="str">
        <f>IFERROR(__xludf.DUMMYFUNCTION("""COMPUTED_VALUE"""),"CDC")</f>
        <v>CDC</v>
      </c>
      <c r="G384">
        <f>IFERROR(__xludf.DUMMYFUNCTION("""COMPUTED_VALUE"""),684.0)</f>
        <v>684</v>
      </c>
    </row>
    <row r="385" ht="15.75" customHeight="1">
      <c r="A385" t="str">
        <f t="shared" si="1"/>
        <v>B.anthracis</v>
      </c>
      <c r="B385" s="5" t="s">
        <v>403</v>
      </c>
      <c r="C385" s="6" t="str">
        <f>IFERROR(__xludf.DUMMYFUNCTION("SPLIT('2. c'!B385, "" "", True, True)"),"Bacillus")</f>
        <v>Bacillus</v>
      </c>
      <c r="D385" t="str">
        <f>IFERROR(__xludf.DUMMYFUNCTION("""COMPUTED_VALUE"""),"anthracis")</f>
        <v>anthracis</v>
      </c>
      <c r="E385" t="str">
        <f>IFERROR(__xludf.DUMMYFUNCTION("""COMPUTED_VALUE"""),"str.")</f>
        <v>str.</v>
      </c>
      <c r="F385" t="str">
        <f>IFERROR(__xludf.DUMMYFUNCTION("""COMPUTED_VALUE"""),"H9401")</f>
        <v>H9401</v>
      </c>
    </row>
    <row r="386" ht="15.75" customHeight="1">
      <c r="A386" t="str">
        <f t="shared" si="1"/>
        <v>B.anthracis</v>
      </c>
      <c r="B386" s="5" t="s">
        <v>404</v>
      </c>
      <c r="C386" s="6" t="str">
        <f>IFERROR(__xludf.DUMMYFUNCTION("SPLIT('2. c'!B386, "" "", True, True)"),"Bacillus")</f>
        <v>Bacillus</v>
      </c>
      <c r="D386" t="str">
        <f>IFERROR(__xludf.DUMMYFUNCTION("""COMPUTED_VALUE"""),"anthracis")</f>
        <v>anthracis</v>
      </c>
      <c r="E386" t="str">
        <f>IFERROR(__xludf.DUMMYFUNCTION("""COMPUTED_VALUE"""),"str.")</f>
        <v>str.</v>
      </c>
      <c r="F386" t="str">
        <f>IFERROR(__xludf.DUMMYFUNCTION("""COMPUTED_VALUE"""),"Sterne")</f>
        <v>Sterne</v>
      </c>
    </row>
    <row r="387" ht="15.75" customHeight="1">
      <c r="A387" t="str">
        <f t="shared" si="1"/>
        <v>B.anthracis</v>
      </c>
      <c r="B387" s="5" t="s">
        <v>404</v>
      </c>
      <c r="C387" s="6" t="str">
        <f>IFERROR(__xludf.DUMMYFUNCTION("SPLIT('2. c'!B387, "" "", True, True)"),"Bacillus")</f>
        <v>Bacillus</v>
      </c>
      <c r="D387" t="str">
        <f>IFERROR(__xludf.DUMMYFUNCTION("""COMPUTED_VALUE"""),"anthracis")</f>
        <v>anthracis</v>
      </c>
      <c r="E387" t="str">
        <f>IFERROR(__xludf.DUMMYFUNCTION("""COMPUTED_VALUE"""),"str.")</f>
        <v>str.</v>
      </c>
      <c r="F387" t="str">
        <f>IFERROR(__xludf.DUMMYFUNCTION("""COMPUTED_VALUE"""),"Sterne")</f>
        <v>Sterne</v>
      </c>
    </row>
    <row r="388" ht="15.75" customHeight="1">
      <c r="A388" t="str">
        <f t="shared" si="1"/>
        <v>B.anthracis</v>
      </c>
      <c r="B388" s="5" t="s">
        <v>405</v>
      </c>
      <c r="C388" s="6" t="str">
        <f>IFERROR(__xludf.DUMMYFUNCTION("SPLIT('2. c'!B388, "" "", True, True)"),"Bacillus")</f>
        <v>Bacillus</v>
      </c>
      <c r="D388" t="str">
        <f>IFERROR(__xludf.DUMMYFUNCTION("""COMPUTED_VALUE"""),"anthracis")</f>
        <v>anthracis</v>
      </c>
      <c r="E388" t="str">
        <f>IFERROR(__xludf.DUMMYFUNCTION("""COMPUTED_VALUE"""),"str.")</f>
        <v>str.</v>
      </c>
      <c r="F388" t="str">
        <f>IFERROR(__xludf.DUMMYFUNCTION("""COMPUTED_VALUE"""),"SVA11")</f>
        <v>SVA11</v>
      </c>
    </row>
    <row r="389" ht="15.75" customHeight="1">
      <c r="A389" t="str">
        <f t="shared" si="1"/>
        <v>B.anthracis</v>
      </c>
      <c r="B389" s="5" t="s">
        <v>406</v>
      </c>
      <c r="C389" s="6" t="str">
        <f>IFERROR(__xludf.DUMMYFUNCTION("SPLIT('2. c'!B389, "" "", True, True)"),"Bacillus")</f>
        <v>Bacillus</v>
      </c>
      <c r="D389" t="str">
        <f>IFERROR(__xludf.DUMMYFUNCTION("""COMPUTED_VALUE"""),"anthracis")</f>
        <v>anthracis</v>
      </c>
      <c r="E389" t="str">
        <f>IFERROR(__xludf.DUMMYFUNCTION("""COMPUTED_VALUE"""),"str.")</f>
        <v>str.</v>
      </c>
      <c r="F389" t="str">
        <f>IFERROR(__xludf.DUMMYFUNCTION("""COMPUTED_VALUE"""),"Turkey32")</f>
        <v>Turkey32</v>
      </c>
    </row>
    <row r="390" ht="15.75" customHeight="1">
      <c r="A390" t="str">
        <f t="shared" si="1"/>
        <v>B.anthracis</v>
      </c>
      <c r="B390" s="5" t="s">
        <v>407</v>
      </c>
      <c r="C390" s="6" t="str">
        <f>IFERROR(__xludf.DUMMYFUNCTION("SPLIT('2. c'!B390, "" "", True, True)"),"Bacillus")</f>
        <v>Bacillus</v>
      </c>
      <c r="D390" t="str">
        <f>IFERROR(__xludf.DUMMYFUNCTION("""COMPUTED_VALUE"""),"anthracis")</f>
        <v>anthracis</v>
      </c>
      <c r="E390" t="str">
        <f>IFERROR(__xludf.DUMMYFUNCTION("""COMPUTED_VALUE"""),"str.")</f>
        <v>str.</v>
      </c>
      <c r="F390" t="str">
        <f>IFERROR(__xludf.DUMMYFUNCTION("""COMPUTED_VALUE"""),"V770-NP-1R")</f>
        <v>V770-NP-1R</v>
      </c>
    </row>
    <row r="391" ht="15.75" customHeight="1">
      <c r="A391" t="str">
        <f t="shared" si="1"/>
        <v>B.anthracis</v>
      </c>
      <c r="B391" s="5" t="s">
        <v>408</v>
      </c>
      <c r="C391" s="6" t="str">
        <f>IFERROR(__xludf.DUMMYFUNCTION("SPLIT('2. c'!B391, "" "", True, True)"),"Bacillus")</f>
        <v>Bacillus</v>
      </c>
      <c r="D391" t="str">
        <f>IFERROR(__xludf.DUMMYFUNCTION("""COMPUTED_VALUE"""),"anthracis")</f>
        <v>anthracis</v>
      </c>
      <c r="E391" t="str">
        <f>IFERROR(__xludf.DUMMYFUNCTION("""COMPUTED_VALUE"""),"str.")</f>
        <v>str.</v>
      </c>
      <c r="F391" t="str">
        <f>IFERROR(__xludf.DUMMYFUNCTION("""COMPUTED_VALUE"""),"Vollum")</f>
        <v>Vollum</v>
      </c>
    </row>
    <row r="392" ht="15.75" customHeight="1">
      <c r="A392" t="str">
        <f t="shared" si="1"/>
        <v>B.anthracis</v>
      </c>
      <c r="B392" s="5" t="s">
        <v>409</v>
      </c>
      <c r="C392" s="6" t="str">
        <f>IFERROR(__xludf.DUMMYFUNCTION("SPLIT('2. c'!B392, "" "", True, True)"),"Bacillus")</f>
        <v>Bacillus</v>
      </c>
      <c r="D392" t="str">
        <f>IFERROR(__xludf.DUMMYFUNCTION("""COMPUTED_VALUE"""),"anthracis")</f>
        <v>anthracis</v>
      </c>
      <c r="E392" t="str">
        <f>IFERROR(__xludf.DUMMYFUNCTION("""COMPUTED_VALUE"""),"strain")</f>
        <v>strain</v>
      </c>
      <c r="F392">
        <f>IFERROR(__xludf.DUMMYFUNCTION("""COMPUTED_VALUE"""),2.000031021E9)</f>
        <v>2000031021</v>
      </c>
    </row>
    <row r="393" ht="15.75" customHeight="1">
      <c r="A393" t="str">
        <f t="shared" si="1"/>
        <v>B.anthracis</v>
      </c>
      <c r="B393" s="5" t="s">
        <v>410</v>
      </c>
      <c r="C393" s="6" t="str">
        <f>IFERROR(__xludf.DUMMYFUNCTION("SPLIT('2. c'!B393, "" "", True, True)"),"Bacillus")</f>
        <v>Bacillus</v>
      </c>
      <c r="D393" t="str">
        <f>IFERROR(__xludf.DUMMYFUNCTION("""COMPUTED_VALUE"""),"anthracis")</f>
        <v>anthracis</v>
      </c>
      <c r="E393" t="str">
        <f>IFERROR(__xludf.DUMMYFUNCTION("""COMPUTED_VALUE"""),"strain")</f>
        <v>strain</v>
      </c>
      <c r="F393" t="str">
        <f>IFERROR(__xludf.DUMMYFUNCTION("""COMPUTED_VALUE"""),"A1144")</f>
        <v>A1144</v>
      </c>
    </row>
    <row r="394" ht="15.75" customHeight="1">
      <c r="A394" t="str">
        <f t="shared" si="1"/>
        <v>B.anthracis</v>
      </c>
      <c r="B394" s="5" t="s">
        <v>411</v>
      </c>
      <c r="C394" s="6" t="str">
        <f>IFERROR(__xludf.DUMMYFUNCTION("SPLIT('2. c'!B394, "" "", True, True)"),"Bacillus")</f>
        <v>Bacillus</v>
      </c>
      <c r="D394" t="str">
        <f>IFERROR(__xludf.DUMMYFUNCTION("""COMPUTED_VALUE"""),"anthracis")</f>
        <v>anthracis</v>
      </c>
      <c r="E394" t="str">
        <f>IFERROR(__xludf.DUMMYFUNCTION("""COMPUTED_VALUE"""),"strain")</f>
        <v>strain</v>
      </c>
      <c r="F394" t="str">
        <f>IFERROR(__xludf.DUMMYFUNCTION("""COMPUTED_VALUE"""),"BFV")</f>
        <v>BFV</v>
      </c>
    </row>
    <row r="395" ht="15.75" customHeight="1">
      <c r="A395" t="str">
        <f t="shared" si="1"/>
        <v>B.anthracis</v>
      </c>
      <c r="B395" s="5" t="s">
        <v>412</v>
      </c>
      <c r="C395" s="6" t="str">
        <f>IFERROR(__xludf.DUMMYFUNCTION("SPLIT('2. c'!B395, "" "", True, True)"),"Bacillus")</f>
        <v>Bacillus</v>
      </c>
      <c r="D395" t="str">
        <f>IFERROR(__xludf.DUMMYFUNCTION("""COMPUTED_VALUE"""),"anthracis")</f>
        <v>anthracis</v>
      </c>
      <c r="E395" t="str">
        <f>IFERROR(__xludf.DUMMYFUNCTION("""COMPUTED_VALUE"""),"strain")</f>
        <v>strain</v>
      </c>
      <c r="F395" t="str">
        <f>IFERROR(__xludf.DUMMYFUNCTION("""COMPUTED_VALUE"""),"Cvac02")</f>
        <v>Cvac02</v>
      </c>
    </row>
    <row r="396" ht="15.75" customHeight="1">
      <c r="A396" t="str">
        <f t="shared" si="1"/>
        <v>B.anthracis</v>
      </c>
      <c r="B396" s="5" t="s">
        <v>413</v>
      </c>
      <c r="C396" s="6" t="str">
        <f>IFERROR(__xludf.DUMMYFUNCTION("SPLIT('2. c'!B396, "" "", True, True)"),"Bacillus")</f>
        <v>Bacillus</v>
      </c>
      <c r="D396" t="str">
        <f>IFERROR(__xludf.DUMMYFUNCTION("""COMPUTED_VALUE"""),"anthracis")</f>
        <v>anthracis</v>
      </c>
      <c r="E396" t="str">
        <f>IFERROR(__xludf.DUMMYFUNCTION("""COMPUTED_VALUE"""),"strain")</f>
        <v>strain</v>
      </c>
      <c r="F396" t="str">
        <f>IFERROR(__xludf.DUMMYFUNCTION("""COMPUTED_VALUE"""),"delta")</f>
        <v>delta</v>
      </c>
      <c r="G396" t="str">
        <f>IFERROR(__xludf.DUMMYFUNCTION("""COMPUTED_VALUE"""),"Sterne")</f>
        <v>Sterne</v>
      </c>
    </row>
    <row r="397" ht="15.75" customHeight="1">
      <c r="A397" t="str">
        <f t="shared" si="1"/>
        <v>B.anthracis</v>
      </c>
      <c r="B397" s="5" t="s">
        <v>414</v>
      </c>
      <c r="C397" s="6" t="str">
        <f>IFERROR(__xludf.DUMMYFUNCTION("SPLIT('2. c'!B397, "" "", True, True)"),"Bacillus")</f>
        <v>Bacillus</v>
      </c>
      <c r="D397" t="str">
        <f>IFERROR(__xludf.DUMMYFUNCTION("""COMPUTED_VALUE"""),"anthracis")</f>
        <v>anthracis</v>
      </c>
      <c r="E397" t="str">
        <f>IFERROR(__xludf.DUMMYFUNCTION("""COMPUTED_VALUE"""),"strain")</f>
        <v>strain</v>
      </c>
      <c r="F397" t="str">
        <f>IFERROR(__xludf.DUMMYFUNCTION("""COMPUTED_VALUE"""),"Han")</f>
        <v>Han</v>
      </c>
    </row>
    <row r="398" ht="15.75" customHeight="1">
      <c r="A398" t="str">
        <f t="shared" si="1"/>
        <v>B.anthracis</v>
      </c>
      <c r="B398" s="5" t="s">
        <v>415</v>
      </c>
      <c r="C398" s="6" t="str">
        <f>IFERROR(__xludf.DUMMYFUNCTION("SPLIT('2. c'!B398, "" "", True, True)"),"Bacillus")</f>
        <v>Bacillus</v>
      </c>
      <c r="D398" t="str">
        <f>IFERROR(__xludf.DUMMYFUNCTION("""COMPUTED_VALUE"""),"anthracis")</f>
        <v>anthracis</v>
      </c>
      <c r="E398" t="str">
        <f>IFERROR(__xludf.DUMMYFUNCTION("""COMPUTED_VALUE"""),"strain")</f>
        <v>strain</v>
      </c>
      <c r="F398" t="str">
        <f>IFERROR(__xludf.DUMMYFUNCTION("""COMPUTED_VALUE"""),"HYU01")</f>
        <v>HYU01</v>
      </c>
    </row>
    <row r="399" ht="15.75" customHeight="1">
      <c r="A399" t="str">
        <f t="shared" si="1"/>
        <v>B.anthracis</v>
      </c>
      <c r="B399" s="5" t="s">
        <v>416</v>
      </c>
      <c r="C399" s="6" t="str">
        <f>IFERROR(__xludf.DUMMYFUNCTION("SPLIT('2. c'!B399, "" "", True, True)"),"Bacillus")</f>
        <v>Bacillus</v>
      </c>
      <c r="D399" t="str">
        <f>IFERROR(__xludf.DUMMYFUNCTION("""COMPUTED_VALUE"""),"anthracis")</f>
        <v>anthracis</v>
      </c>
      <c r="E399" t="str">
        <f>IFERROR(__xludf.DUMMYFUNCTION("""COMPUTED_VALUE"""),"strain")</f>
        <v>strain</v>
      </c>
      <c r="F399" t="str">
        <f>IFERROR(__xludf.DUMMYFUNCTION("""COMPUTED_VALUE"""),"Larissa")</f>
        <v>Larissa</v>
      </c>
    </row>
    <row r="400" ht="15.75" customHeight="1">
      <c r="A400" t="str">
        <f t="shared" si="1"/>
        <v>B.anthracis</v>
      </c>
      <c r="B400" s="5" t="s">
        <v>417</v>
      </c>
      <c r="C400" s="6" t="str">
        <f>IFERROR(__xludf.DUMMYFUNCTION("SPLIT('2. c'!B400, "" "", True, True)"),"Bacillus")</f>
        <v>Bacillus</v>
      </c>
      <c r="D400" t="str">
        <f>IFERROR(__xludf.DUMMYFUNCTION("""COMPUTED_VALUE"""),"anthracis")</f>
        <v>anthracis</v>
      </c>
      <c r="E400" t="str">
        <f>IFERROR(__xludf.DUMMYFUNCTION("""COMPUTED_VALUE"""),"strain")</f>
        <v>strain</v>
      </c>
      <c r="F400" t="str">
        <f>IFERROR(__xludf.DUMMYFUNCTION("""COMPUTED_VALUE"""),"Smith")</f>
        <v>Smith</v>
      </c>
      <c r="G400">
        <f>IFERROR(__xludf.DUMMYFUNCTION("""COMPUTED_VALUE"""),1013.0)</f>
        <v>1013</v>
      </c>
    </row>
    <row r="401" ht="15.75" customHeight="1">
      <c r="A401" t="str">
        <f t="shared" si="1"/>
        <v>B.anthracis</v>
      </c>
      <c r="B401" s="5" t="s">
        <v>418</v>
      </c>
      <c r="C401" s="6" t="str">
        <f>IFERROR(__xludf.DUMMYFUNCTION("SPLIT('2. c'!B401, "" "", True, True)"),"Bacillus")</f>
        <v>Bacillus</v>
      </c>
      <c r="D401" t="str">
        <f>IFERROR(__xludf.DUMMYFUNCTION("""COMPUTED_VALUE"""),"anthracis")</f>
        <v>anthracis</v>
      </c>
      <c r="E401" t="str">
        <f>IFERROR(__xludf.DUMMYFUNCTION("""COMPUTED_VALUE"""),"strain")</f>
        <v>strain</v>
      </c>
      <c r="F401" t="str">
        <f>IFERROR(__xludf.DUMMYFUNCTION("""COMPUTED_VALUE"""),"Stendal")</f>
        <v>Stendal</v>
      </c>
    </row>
    <row r="402" ht="15.75" customHeight="1">
      <c r="A402" t="str">
        <f t="shared" si="1"/>
        <v>B.anthracis</v>
      </c>
      <c r="B402" s="5" t="s">
        <v>419</v>
      </c>
      <c r="C402" s="6" t="str">
        <f>IFERROR(__xludf.DUMMYFUNCTION("SPLIT('2. c'!B402, "" "", True, True)"),"Bacillus")</f>
        <v>Bacillus</v>
      </c>
      <c r="D402" t="str">
        <f>IFERROR(__xludf.DUMMYFUNCTION("""COMPUTED_VALUE"""),"anthracis")</f>
        <v>anthracis</v>
      </c>
      <c r="E402" t="str">
        <f>IFERROR(__xludf.DUMMYFUNCTION("""COMPUTED_VALUE"""),"strain")</f>
        <v>strain</v>
      </c>
      <c r="F402" t="str">
        <f>IFERROR(__xludf.DUMMYFUNCTION("""COMPUTED_VALUE"""),"Tangail-1")</f>
        <v>Tangail-1</v>
      </c>
    </row>
    <row r="403" ht="15.75" customHeight="1">
      <c r="A403" t="str">
        <f t="shared" si="1"/>
        <v>B.anthracis</v>
      </c>
      <c r="B403" s="5" t="s">
        <v>420</v>
      </c>
      <c r="C403" s="6" t="str">
        <f>IFERROR(__xludf.DUMMYFUNCTION("SPLIT('2. c'!B403, "" "", True, True)"),"Bacillus")</f>
        <v>Bacillus</v>
      </c>
      <c r="D403" t="str">
        <f>IFERROR(__xludf.DUMMYFUNCTION("""COMPUTED_VALUE"""),"anthracis")</f>
        <v>anthracis</v>
      </c>
      <c r="E403" t="str">
        <f>IFERROR(__xludf.DUMMYFUNCTION("""COMPUTED_VALUE"""),"Vollum")</f>
        <v>Vollum</v>
      </c>
      <c r="F403" t="str">
        <f>IFERROR(__xludf.DUMMYFUNCTION("""COMPUTED_VALUE"""),"1B")</f>
        <v>1B</v>
      </c>
    </row>
    <row r="404" ht="15.75" customHeight="1">
      <c r="A404" t="str">
        <f t="shared" si="1"/>
        <v>B.atrophaeus</v>
      </c>
      <c r="B404" s="5" t="s">
        <v>421</v>
      </c>
      <c r="C404" s="6" t="str">
        <f>IFERROR(__xludf.DUMMYFUNCTION("SPLIT('2. c'!B404, "" "", True, True)"),"Bacillus")</f>
        <v>Bacillus</v>
      </c>
      <c r="D404" t="str">
        <f>IFERROR(__xludf.DUMMYFUNCTION("""COMPUTED_VALUE"""),"atrophaeus")</f>
        <v>atrophaeus</v>
      </c>
      <c r="E404">
        <f>IFERROR(__xludf.DUMMYFUNCTION("""COMPUTED_VALUE"""),1942.0)</f>
        <v>1942</v>
      </c>
    </row>
    <row r="405" ht="15.75" customHeight="1">
      <c r="A405" t="str">
        <f t="shared" si="1"/>
        <v>B.atrophaeus</v>
      </c>
      <c r="B405" s="5" t="s">
        <v>422</v>
      </c>
      <c r="C405" s="6" t="str">
        <f>IFERROR(__xludf.DUMMYFUNCTION("SPLIT('2. c'!B405, "" "", True, True)"),"Bacillus")</f>
        <v>Bacillus</v>
      </c>
      <c r="D405" t="str">
        <f>IFERROR(__xludf.DUMMYFUNCTION("""COMPUTED_VALUE"""),"atrophaeus")</f>
        <v>atrophaeus</v>
      </c>
      <c r="E405" t="str">
        <f>IFERROR(__xludf.DUMMYFUNCTION("""COMPUTED_VALUE"""),"NRS")</f>
        <v>NRS</v>
      </c>
      <c r="F405" t="str">
        <f>IFERROR(__xludf.DUMMYFUNCTION("""COMPUTED_VALUE"""),"1221A")</f>
        <v>1221A</v>
      </c>
    </row>
    <row r="406" ht="15.75" customHeight="1">
      <c r="A406" t="str">
        <f t="shared" si="1"/>
        <v>B.atrophaeus</v>
      </c>
      <c r="B406" s="5" t="s">
        <v>423</v>
      </c>
      <c r="C406" s="6" t="str">
        <f>IFERROR(__xludf.DUMMYFUNCTION("SPLIT('2. c'!B406, "" "", True, True)"),"Bacillus")</f>
        <v>Bacillus</v>
      </c>
      <c r="D406" t="str">
        <f>IFERROR(__xludf.DUMMYFUNCTION("""COMPUTED_VALUE"""),"atrophaeus")</f>
        <v>atrophaeus</v>
      </c>
      <c r="E406" t="str">
        <f>IFERROR(__xludf.DUMMYFUNCTION("""COMPUTED_VALUE"""),"subsp.")</f>
        <v>subsp.</v>
      </c>
      <c r="F406" t="str">
        <f>IFERROR(__xludf.DUMMYFUNCTION("""COMPUTED_VALUE"""),"globigii")</f>
        <v>globigii</v>
      </c>
    </row>
    <row r="407" ht="15.75" customHeight="1">
      <c r="A407" t="str">
        <f t="shared" si="1"/>
        <v>B.bombysepticus</v>
      </c>
      <c r="B407" s="5" t="s">
        <v>424</v>
      </c>
      <c r="C407" s="6" t="str">
        <f>IFERROR(__xludf.DUMMYFUNCTION("SPLIT('2. c'!B407, "" "", True, True)"),"Bacillus")</f>
        <v>Bacillus</v>
      </c>
      <c r="D407" t="str">
        <f>IFERROR(__xludf.DUMMYFUNCTION("""COMPUTED_VALUE"""),"bombysepticus")</f>
        <v>bombysepticus</v>
      </c>
      <c r="E407" t="str">
        <f>IFERROR(__xludf.DUMMYFUNCTION("""COMPUTED_VALUE"""),"str.")</f>
        <v>str.</v>
      </c>
      <c r="F407" t="str">
        <f>IFERROR(__xludf.DUMMYFUNCTION("""COMPUTED_VALUE"""),"Wang")</f>
        <v>Wang</v>
      </c>
    </row>
    <row r="408" ht="15.75" customHeight="1">
      <c r="A408" t="str">
        <f t="shared" si="1"/>
        <v>B.cellulosilyticus</v>
      </c>
      <c r="B408" s="5" t="s">
        <v>425</v>
      </c>
      <c r="C408" s="6" t="str">
        <f>IFERROR(__xludf.DUMMYFUNCTION("SPLIT('2. c'!B408, "" "", True, True)"),"Bacillus")</f>
        <v>Bacillus</v>
      </c>
      <c r="D408" t="str">
        <f>IFERROR(__xludf.DUMMYFUNCTION("""COMPUTED_VALUE"""),"cellulosilyticus")</f>
        <v>cellulosilyticus</v>
      </c>
      <c r="E408" t="str">
        <f>IFERROR(__xludf.DUMMYFUNCTION("""COMPUTED_VALUE"""),"DSM")</f>
        <v>DSM</v>
      </c>
      <c r="F408">
        <f>IFERROR(__xludf.DUMMYFUNCTION("""COMPUTED_VALUE"""),2522.0)</f>
        <v>2522</v>
      </c>
    </row>
    <row r="409" ht="15.75" customHeight="1">
      <c r="A409" t="str">
        <f t="shared" si="1"/>
        <v>B.cereus</v>
      </c>
      <c r="B409" s="5" t="s">
        <v>426</v>
      </c>
      <c r="C409" s="6" t="str">
        <f>IFERROR(__xludf.DUMMYFUNCTION("SPLIT('2. c'!B409, "" "", True, True)"),"Bacillus")</f>
        <v>Bacillus</v>
      </c>
      <c r="D409" t="str">
        <f>IFERROR(__xludf.DUMMYFUNCTION("""COMPUTED_VALUE"""),"cereus")</f>
        <v>cereus</v>
      </c>
      <c r="E409" t="str">
        <f>IFERROR(__xludf.DUMMYFUNCTION("""COMPUTED_VALUE"""),"03BB102")</f>
        <v>03BB102</v>
      </c>
    </row>
    <row r="410" ht="15.75" customHeight="1">
      <c r="A410" t="str">
        <f t="shared" si="1"/>
        <v>B.cereus</v>
      </c>
      <c r="B410" s="5" t="s">
        <v>426</v>
      </c>
      <c r="C410" s="6" t="str">
        <f>IFERROR(__xludf.DUMMYFUNCTION("SPLIT('2. c'!B410, "" "", True, True)"),"Bacillus")</f>
        <v>Bacillus</v>
      </c>
      <c r="D410" t="str">
        <f>IFERROR(__xludf.DUMMYFUNCTION("""COMPUTED_VALUE"""),"cereus")</f>
        <v>cereus</v>
      </c>
      <c r="E410" t="str">
        <f>IFERROR(__xludf.DUMMYFUNCTION("""COMPUTED_VALUE"""),"03BB102")</f>
        <v>03BB102</v>
      </c>
    </row>
    <row r="411" ht="15.75" customHeight="1">
      <c r="A411" t="str">
        <f t="shared" si="1"/>
        <v>B.cereus</v>
      </c>
      <c r="B411" s="5" t="s">
        <v>427</v>
      </c>
      <c r="C411" s="6" t="str">
        <f>IFERROR(__xludf.DUMMYFUNCTION("SPLIT('2. c'!B411, "" "", True, True)"),"Bacillus")</f>
        <v>Bacillus</v>
      </c>
      <c r="D411" t="str">
        <f>IFERROR(__xludf.DUMMYFUNCTION("""COMPUTED_VALUE"""),"cereus")</f>
        <v>cereus</v>
      </c>
      <c r="E411" t="str">
        <f>IFERROR(__xludf.DUMMYFUNCTION("""COMPUTED_VALUE"""),"03BB108")</f>
        <v>03BB108</v>
      </c>
    </row>
    <row r="412" ht="15.75" customHeight="1">
      <c r="A412" t="str">
        <f t="shared" si="1"/>
        <v>B.cereus</v>
      </c>
      <c r="B412" s="5" t="s">
        <v>428</v>
      </c>
      <c r="C412" s="6" t="str">
        <f>IFERROR(__xludf.DUMMYFUNCTION("SPLIT('2. c'!B412, "" "", True, True)"),"Bacillus")</f>
        <v>Bacillus</v>
      </c>
      <c r="D412" t="str">
        <f>IFERROR(__xludf.DUMMYFUNCTION("""COMPUTED_VALUE"""),"cereus")</f>
        <v>cereus</v>
      </c>
      <c r="E412" t="str">
        <f>IFERROR(__xludf.DUMMYFUNCTION("""COMPUTED_VALUE"""),"03BB87")</f>
        <v>03BB87</v>
      </c>
    </row>
    <row r="413" ht="15.75" customHeight="1">
      <c r="A413" t="str">
        <f t="shared" si="1"/>
        <v>B.cereus</v>
      </c>
      <c r="B413" s="5" t="s">
        <v>429</v>
      </c>
      <c r="C413" s="6" t="str">
        <f>IFERROR(__xludf.DUMMYFUNCTION("SPLIT('2. c'!B413, "" "", True, True)"),"Bacillus")</f>
        <v>Bacillus</v>
      </c>
      <c r="D413" t="str">
        <f>IFERROR(__xludf.DUMMYFUNCTION("""COMPUTED_VALUE"""),"cereus")</f>
        <v>cereus</v>
      </c>
      <c r="E413" t="str">
        <f>IFERROR(__xludf.DUMMYFUNCTION("""COMPUTED_VALUE"""),"3a")</f>
        <v>3a</v>
      </c>
    </row>
    <row r="414" ht="15.75" customHeight="1">
      <c r="A414" t="str">
        <f t="shared" si="1"/>
        <v>B.cereus</v>
      </c>
      <c r="B414" s="5" t="s">
        <v>430</v>
      </c>
      <c r="C414" s="6" t="str">
        <f>IFERROR(__xludf.DUMMYFUNCTION("SPLIT('2. c'!B414, "" "", True, True)"),"Bacillus")</f>
        <v>Bacillus</v>
      </c>
      <c r="D414" t="str">
        <f>IFERROR(__xludf.DUMMYFUNCTION("""COMPUTED_VALUE"""),"cereus")</f>
        <v>cereus</v>
      </c>
      <c r="E414" t="str">
        <f>IFERROR(__xludf.DUMMYFUNCTION("""COMPUTED_VALUE"""),"AH187")</f>
        <v>AH187</v>
      </c>
    </row>
    <row r="415" ht="15.75" customHeight="1">
      <c r="A415" t="str">
        <f t="shared" si="1"/>
        <v>B.cereus</v>
      </c>
      <c r="B415" s="5" t="s">
        <v>431</v>
      </c>
      <c r="C415" s="6" t="str">
        <f>IFERROR(__xludf.DUMMYFUNCTION("SPLIT('2. c'!B415, "" "", True, True)"),"Bacillus")</f>
        <v>Bacillus</v>
      </c>
      <c r="D415" t="str">
        <f>IFERROR(__xludf.DUMMYFUNCTION("""COMPUTED_VALUE"""),"cereus")</f>
        <v>cereus</v>
      </c>
      <c r="E415" t="str">
        <f>IFERROR(__xludf.DUMMYFUNCTION("""COMPUTED_VALUE"""),"AH820")</f>
        <v>AH820</v>
      </c>
    </row>
    <row r="416" ht="15.75" customHeight="1">
      <c r="A416" t="str">
        <f t="shared" si="1"/>
        <v>B.cereus</v>
      </c>
      <c r="B416" s="5" t="s">
        <v>432</v>
      </c>
      <c r="C416" s="6" t="str">
        <f>IFERROR(__xludf.DUMMYFUNCTION("SPLIT('2. c'!B416, "" "", True, True)"),"Bacillus")</f>
        <v>Bacillus</v>
      </c>
      <c r="D416" t="str">
        <f>IFERROR(__xludf.DUMMYFUNCTION("""COMPUTED_VALUE"""),"cereus")</f>
        <v>cereus</v>
      </c>
      <c r="E416" t="str">
        <f>IFERROR(__xludf.DUMMYFUNCTION("""COMPUTED_VALUE"""),"Al")</f>
        <v>Al</v>
      </c>
      <c r="F416" t="str">
        <f>IFERROR(__xludf.DUMMYFUNCTION("""COMPUTED_VALUE"""),"Hakam")</f>
        <v>Hakam</v>
      </c>
    </row>
    <row r="417" ht="15.75" customHeight="1">
      <c r="A417" t="str">
        <f t="shared" si="1"/>
        <v>B.cereus</v>
      </c>
      <c r="B417" s="5" t="s">
        <v>433</v>
      </c>
      <c r="C417" s="6" t="str">
        <f>IFERROR(__xludf.DUMMYFUNCTION("SPLIT('2. c'!B417, "" "", True, True)"),"Bacillus")</f>
        <v>Bacillus</v>
      </c>
      <c r="D417" t="str">
        <f>IFERROR(__xludf.DUMMYFUNCTION("""COMPUTED_VALUE"""),"cereus")</f>
        <v>cereus</v>
      </c>
      <c r="E417" t="str">
        <f>IFERROR(__xludf.DUMMYFUNCTION("""COMPUTED_VALUE"""),"ATCC")</f>
        <v>ATCC</v>
      </c>
      <c r="F417">
        <f>IFERROR(__xludf.DUMMYFUNCTION("""COMPUTED_VALUE"""),10987.0)</f>
        <v>10987</v>
      </c>
    </row>
    <row r="418" ht="15.75" customHeight="1">
      <c r="A418" t="str">
        <f t="shared" si="1"/>
        <v>B.cereus</v>
      </c>
      <c r="B418" s="5" t="s">
        <v>434</v>
      </c>
      <c r="C418" s="6" t="str">
        <f>IFERROR(__xludf.DUMMYFUNCTION("SPLIT('2. c'!B418, "" "", True, True)"),"Bacillus")</f>
        <v>Bacillus</v>
      </c>
      <c r="D418" t="str">
        <f>IFERROR(__xludf.DUMMYFUNCTION("""COMPUTED_VALUE"""),"cereus")</f>
        <v>cereus</v>
      </c>
      <c r="E418" t="str">
        <f>IFERROR(__xludf.DUMMYFUNCTION("""COMPUTED_VALUE"""),"ATCC")</f>
        <v>ATCC</v>
      </c>
      <c r="F418">
        <f>IFERROR(__xludf.DUMMYFUNCTION("""COMPUTED_VALUE"""),14579.0)</f>
        <v>14579</v>
      </c>
    </row>
    <row r="419" ht="15.75" customHeight="1">
      <c r="A419" t="str">
        <f t="shared" si="1"/>
        <v>B.cereus</v>
      </c>
      <c r="B419" s="5" t="s">
        <v>435</v>
      </c>
      <c r="C419" s="6" t="str">
        <f>IFERROR(__xludf.DUMMYFUNCTION("SPLIT('2. c'!B419, "" "", True, True)"),"Bacillus")</f>
        <v>Bacillus</v>
      </c>
      <c r="D419" t="str">
        <f>IFERROR(__xludf.DUMMYFUNCTION("""COMPUTED_VALUE"""),"cereus")</f>
        <v>cereus</v>
      </c>
      <c r="E419" t="str">
        <f>IFERROR(__xludf.DUMMYFUNCTION("""COMPUTED_VALUE"""),"ATCC")</f>
        <v>ATCC</v>
      </c>
      <c r="F419">
        <f>IFERROR(__xludf.DUMMYFUNCTION("""COMPUTED_VALUE"""),4342.0)</f>
        <v>4342</v>
      </c>
    </row>
    <row r="420" ht="15.75" customHeight="1">
      <c r="A420" t="str">
        <f t="shared" si="1"/>
        <v>B.cereus</v>
      </c>
      <c r="B420" s="5" t="s">
        <v>436</v>
      </c>
      <c r="C420" s="6" t="str">
        <f>IFERROR(__xludf.DUMMYFUNCTION("SPLIT('2. c'!B420, "" "", True, True)"),"Bacillus")</f>
        <v>Bacillus</v>
      </c>
      <c r="D420" t="str">
        <f>IFERROR(__xludf.DUMMYFUNCTION("""COMPUTED_VALUE"""),"cereus")</f>
        <v>cereus</v>
      </c>
      <c r="E420" t="str">
        <f>IFERROR(__xludf.DUMMYFUNCTION("""COMPUTED_VALUE"""),"B4264")</f>
        <v>B4264</v>
      </c>
    </row>
    <row r="421" ht="15.75" customHeight="1">
      <c r="A421" t="str">
        <f t="shared" si="1"/>
        <v>B.cereus</v>
      </c>
      <c r="B421" s="5" t="s">
        <v>437</v>
      </c>
      <c r="C421" s="6" t="str">
        <f>IFERROR(__xludf.DUMMYFUNCTION("SPLIT('2. c'!B421, "" "", True, True)"),"Bacillus")</f>
        <v>Bacillus</v>
      </c>
      <c r="D421" t="str">
        <f>IFERROR(__xludf.DUMMYFUNCTION("""COMPUTED_VALUE"""),"cereus")</f>
        <v>cereus</v>
      </c>
      <c r="E421" t="str">
        <f>IFERROR(__xludf.DUMMYFUNCTION("""COMPUTED_VALUE"""),"biovar")</f>
        <v>biovar</v>
      </c>
      <c r="F421" t="str">
        <f>IFERROR(__xludf.DUMMYFUNCTION("""COMPUTED_VALUE"""),"anthracis")</f>
        <v>anthracis</v>
      </c>
      <c r="G421" t="str">
        <f>IFERROR(__xludf.DUMMYFUNCTION("""COMPUTED_VALUE"""),"str.")</f>
        <v>str.</v>
      </c>
      <c r="H421" t="str">
        <f>IFERROR(__xludf.DUMMYFUNCTION("""COMPUTED_VALUE"""),"CI")</f>
        <v>CI</v>
      </c>
    </row>
    <row r="422" ht="15.75" customHeight="1">
      <c r="A422" t="str">
        <f t="shared" si="1"/>
        <v>B.cereus</v>
      </c>
      <c r="B422" s="5" t="s">
        <v>438</v>
      </c>
      <c r="C422" s="6" t="str">
        <f>IFERROR(__xludf.DUMMYFUNCTION("SPLIT('2. c'!B422, "" "", True, True)"),"Bacillus")</f>
        <v>Bacillus</v>
      </c>
      <c r="D422" t="str">
        <f>IFERROR(__xludf.DUMMYFUNCTION("""COMPUTED_VALUE"""),"cereus")</f>
        <v>cereus</v>
      </c>
      <c r="E422" t="str">
        <f>IFERROR(__xludf.DUMMYFUNCTION("""COMPUTED_VALUE"""),"D17")</f>
        <v>D17</v>
      </c>
    </row>
    <row r="423" ht="15.75" customHeight="1">
      <c r="A423" t="str">
        <f t="shared" si="1"/>
        <v>B.cereus</v>
      </c>
      <c r="B423" s="5" t="s">
        <v>439</v>
      </c>
      <c r="C423" s="6" t="str">
        <f>IFERROR(__xludf.DUMMYFUNCTION("SPLIT('2. c'!B423, "" "", True, True)"),"Bacillus")</f>
        <v>Bacillus</v>
      </c>
      <c r="D423" t="str">
        <f>IFERROR(__xludf.DUMMYFUNCTION("""COMPUTED_VALUE"""),"cereus")</f>
        <v>cereus</v>
      </c>
      <c r="E423" t="str">
        <f>IFERROR(__xludf.DUMMYFUNCTION("""COMPUTED_VALUE"""),"E33L")</f>
        <v>E33L</v>
      </c>
    </row>
    <row r="424" ht="15.75" customHeight="1">
      <c r="A424" t="str">
        <f t="shared" si="1"/>
        <v>B.cereus</v>
      </c>
      <c r="B424" s="5" t="s">
        <v>439</v>
      </c>
      <c r="C424" s="6" t="str">
        <f>IFERROR(__xludf.DUMMYFUNCTION("SPLIT('2. c'!B424, "" "", True, True)"),"Bacillus")</f>
        <v>Bacillus</v>
      </c>
      <c r="D424" t="str">
        <f>IFERROR(__xludf.DUMMYFUNCTION("""COMPUTED_VALUE"""),"cereus")</f>
        <v>cereus</v>
      </c>
      <c r="E424" t="str">
        <f>IFERROR(__xludf.DUMMYFUNCTION("""COMPUTED_VALUE"""),"E33L")</f>
        <v>E33L</v>
      </c>
    </row>
    <row r="425" ht="15.75" customHeight="1">
      <c r="A425" t="str">
        <f t="shared" si="1"/>
        <v>B.cereus</v>
      </c>
      <c r="B425" s="5" t="s">
        <v>440</v>
      </c>
      <c r="C425" s="6" t="str">
        <f>IFERROR(__xludf.DUMMYFUNCTION("SPLIT('2. c'!B425, "" "", True, True)"),"Bacillus")</f>
        <v>Bacillus</v>
      </c>
      <c r="D425" t="str">
        <f>IFERROR(__xludf.DUMMYFUNCTION("""COMPUTED_VALUE"""),"cereus")</f>
        <v>cereus</v>
      </c>
      <c r="E425" t="str">
        <f>IFERROR(__xludf.DUMMYFUNCTION("""COMPUTED_VALUE"""),"F837/76")</f>
        <v>F837/76</v>
      </c>
    </row>
    <row r="426" ht="15.75" customHeight="1">
      <c r="A426" t="str">
        <f t="shared" si="1"/>
        <v>B.cereus</v>
      </c>
      <c r="B426" s="5" t="s">
        <v>441</v>
      </c>
      <c r="C426" s="6" t="str">
        <f>IFERROR(__xludf.DUMMYFUNCTION("SPLIT('2. c'!B426, "" "", True, True)"),"Bacillus")</f>
        <v>Bacillus</v>
      </c>
      <c r="D426" t="str">
        <f>IFERROR(__xludf.DUMMYFUNCTION("""COMPUTED_VALUE"""),"cereus")</f>
        <v>cereus</v>
      </c>
      <c r="E426" t="str">
        <f>IFERROR(__xludf.DUMMYFUNCTION("""COMPUTED_VALUE"""),"FM1")</f>
        <v>FM1</v>
      </c>
    </row>
    <row r="427" ht="15.75" customHeight="1">
      <c r="A427" t="str">
        <f t="shared" si="1"/>
        <v>B.cereus</v>
      </c>
      <c r="B427" s="5" t="s">
        <v>442</v>
      </c>
      <c r="C427" s="6" t="str">
        <f>IFERROR(__xludf.DUMMYFUNCTION("SPLIT('2. c'!B427, "" "", True, True)"),"Bacillus")</f>
        <v>Bacillus</v>
      </c>
      <c r="D427" t="str">
        <f>IFERROR(__xludf.DUMMYFUNCTION("""COMPUTED_VALUE"""),"cereus")</f>
        <v>cereus</v>
      </c>
      <c r="E427" t="str">
        <f>IFERROR(__xludf.DUMMYFUNCTION("""COMPUTED_VALUE"""),"FRI-35")</f>
        <v>FRI-35</v>
      </c>
    </row>
    <row r="428" ht="15.75" customHeight="1">
      <c r="A428" t="str">
        <f t="shared" si="1"/>
        <v>B.cereus</v>
      </c>
      <c r="B428" s="5" t="s">
        <v>443</v>
      </c>
      <c r="C428" s="6" t="str">
        <f>IFERROR(__xludf.DUMMYFUNCTION("SPLIT('2. c'!B428, "" "", True, True)"),"Bacillus")</f>
        <v>Bacillus</v>
      </c>
      <c r="D428" t="str">
        <f>IFERROR(__xludf.DUMMYFUNCTION("""COMPUTED_VALUE"""),"cereus")</f>
        <v>cereus</v>
      </c>
      <c r="E428" t="str">
        <f>IFERROR(__xludf.DUMMYFUNCTION("""COMPUTED_VALUE"""),"G9241")</f>
        <v>G9241</v>
      </c>
    </row>
    <row r="429" ht="15.75" customHeight="1">
      <c r="A429" t="str">
        <f t="shared" si="1"/>
        <v>B.cereus</v>
      </c>
      <c r="B429" s="5" t="s">
        <v>444</v>
      </c>
      <c r="C429" s="6" t="str">
        <f>IFERROR(__xludf.DUMMYFUNCTION("SPLIT('2. c'!B429, "" "", True, True)"),"Bacillus")</f>
        <v>Bacillus</v>
      </c>
      <c r="D429" t="str">
        <f>IFERROR(__xludf.DUMMYFUNCTION("""COMPUTED_VALUE"""),"cereus")</f>
        <v>cereus</v>
      </c>
      <c r="E429" t="str">
        <f>IFERROR(__xludf.DUMMYFUNCTION("""COMPUTED_VALUE"""),"G9842")</f>
        <v>G9842</v>
      </c>
    </row>
    <row r="430" ht="15.75" customHeight="1">
      <c r="A430" t="str">
        <f t="shared" si="1"/>
        <v>B.cereus</v>
      </c>
      <c r="B430" s="5" t="s">
        <v>445</v>
      </c>
      <c r="C430" s="6" t="str">
        <f>IFERROR(__xludf.DUMMYFUNCTION("SPLIT('2. c'!B430, "" "", True, True)"),"Bacillus")</f>
        <v>Bacillus</v>
      </c>
      <c r="D430" t="str">
        <f>IFERROR(__xludf.DUMMYFUNCTION("""COMPUTED_VALUE"""),"cereus")</f>
        <v>cereus</v>
      </c>
      <c r="E430" t="str">
        <f>IFERROR(__xludf.DUMMYFUNCTION("""COMPUTED_VALUE"""),"NC7401")</f>
        <v>NC7401</v>
      </c>
    </row>
    <row r="431" ht="15.75" customHeight="1">
      <c r="A431" t="str">
        <f t="shared" si="1"/>
        <v>B.cereus</v>
      </c>
      <c r="B431" s="5" t="s">
        <v>446</v>
      </c>
      <c r="C431" s="6" t="str">
        <f>IFERROR(__xludf.DUMMYFUNCTION("SPLIT('2. c'!B431, "" "", True, True)"),"Bacillus")</f>
        <v>Bacillus</v>
      </c>
      <c r="D431" t="str">
        <f>IFERROR(__xludf.DUMMYFUNCTION("""COMPUTED_VALUE"""),"cereus")</f>
        <v>cereus</v>
      </c>
      <c r="E431" t="str">
        <f>IFERROR(__xludf.DUMMYFUNCTION("""COMPUTED_VALUE"""),"Q1")</f>
        <v>Q1</v>
      </c>
    </row>
    <row r="432" ht="15.75" customHeight="1">
      <c r="A432" t="str">
        <f t="shared" si="1"/>
        <v>B.cereus</v>
      </c>
      <c r="B432" s="5" t="s">
        <v>447</v>
      </c>
      <c r="C432" s="6" t="str">
        <f>IFERROR(__xludf.DUMMYFUNCTION("SPLIT('2. c'!B432, "" "", True, True)"),"Bacillus")</f>
        <v>Bacillus</v>
      </c>
      <c r="D432" t="str">
        <f>IFERROR(__xludf.DUMMYFUNCTION("""COMPUTED_VALUE"""),"cereus")</f>
        <v>cereus</v>
      </c>
      <c r="E432" t="str">
        <f>IFERROR(__xludf.DUMMYFUNCTION("""COMPUTED_VALUE"""),"S2-8")</f>
        <v>S2-8</v>
      </c>
    </row>
    <row r="433" ht="15.75" customHeight="1">
      <c r="A433" t="str">
        <f t="shared" si="1"/>
        <v>B.cereus</v>
      </c>
      <c r="B433" s="5" t="s">
        <v>448</v>
      </c>
      <c r="C433" s="6" t="str">
        <f>IFERROR(__xludf.DUMMYFUNCTION("SPLIT('2. c'!B433, "" "", True, True)"),"Bacillus")</f>
        <v>Bacillus</v>
      </c>
      <c r="D433" t="str">
        <f>IFERROR(__xludf.DUMMYFUNCTION("""COMPUTED_VALUE"""),"cereus")</f>
        <v>cereus</v>
      </c>
      <c r="E433" t="str">
        <f>IFERROR(__xludf.DUMMYFUNCTION("""COMPUTED_VALUE"""),"strain")</f>
        <v>strain</v>
      </c>
      <c r="F433" t="str">
        <f>IFERROR(__xludf.DUMMYFUNCTION("""COMPUTED_VALUE"""),"CMCC")</f>
        <v>CMCC</v>
      </c>
      <c r="G433" t="str">
        <f>IFERROR(__xludf.DUMMYFUNCTION("""COMPUTED_VALUE"""),"P0011")</f>
        <v>P0011</v>
      </c>
    </row>
    <row r="434" ht="15.75" customHeight="1">
      <c r="A434" t="str">
        <f t="shared" si="1"/>
        <v>B.cereus</v>
      </c>
      <c r="B434" s="5" t="s">
        <v>449</v>
      </c>
      <c r="C434" s="6" t="str">
        <f>IFERROR(__xludf.DUMMYFUNCTION("SPLIT('2. c'!B434, "" "", True, True)"),"Bacillus")</f>
        <v>Bacillus</v>
      </c>
      <c r="D434" t="str">
        <f>IFERROR(__xludf.DUMMYFUNCTION("""COMPUTED_VALUE"""),"cereus")</f>
        <v>cereus</v>
      </c>
      <c r="E434" t="str">
        <f>IFERROR(__xludf.DUMMYFUNCTION("""COMPUTED_VALUE"""),"strain")</f>
        <v>strain</v>
      </c>
      <c r="F434" t="str">
        <f>IFERROR(__xludf.DUMMYFUNCTION("""COMPUTED_VALUE"""),"CMCC")</f>
        <v>CMCC</v>
      </c>
      <c r="G434" t="str">
        <f>IFERROR(__xludf.DUMMYFUNCTION("""COMPUTED_VALUE"""),"P0021")</f>
        <v>P0021</v>
      </c>
    </row>
    <row r="435" ht="15.75" customHeight="1">
      <c r="A435" t="str">
        <f t="shared" si="1"/>
        <v>B.cereus</v>
      </c>
      <c r="B435" s="5" t="s">
        <v>450</v>
      </c>
      <c r="C435" s="6" t="str">
        <f>IFERROR(__xludf.DUMMYFUNCTION("SPLIT('2. c'!B435, "" "", True, True)"),"Bacillus")</f>
        <v>Bacillus</v>
      </c>
      <c r="D435" t="str">
        <f>IFERROR(__xludf.DUMMYFUNCTION("""COMPUTED_VALUE"""),"cereus")</f>
        <v>cereus</v>
      </c>
      <c r="E435" t="str">
        <f>IFERROR(__xludf.DUMMYFUNCTION("""COMPUTED_VALUE"""),"strain")</f>
        <v>strain</v>
      </c>
      <c r="F435" t="str">
        <f>IFERROR(__xludf.DUMMYFUNCTION("""COMPUTED_VALUE"""),"FORC_005")</f>
        <v>FORC_005</v>
      </c>
    </row>
    <row r="436" ht="15.75" customHeight="1">
      <c r="A436" t="str">
        <f t="shared" si="1"/>
        <v>B.cereus</v>
      </c>
      <c r="B436" s="5" t="s">
        <v>451</v>
      </c>
      <c r="C436" s="6" t="str">
        <f>IFERROR(__xludf.DUMMYFUNCTION("SPLIT('2. c'!B436, "" "", True, True)"),"Bacillus")</f>
        <v>Bacillus</v>
      </c>
      <c r="D436" t="str">
        <f>IFERROR(__xludf.DUMMYFUNCTION("""COMPUTED_VALUE"""),"cereus")</f>
        <v>cereus</v>
      </c>
      <c r="E436" t="str">
        <f>IFERROR(__xludf.DUMMYFUNCTION("""COMPUTED_VALUE"""),"strain")</f>
        <v>strain</v>
      </c>
      <c r="F436" t="str">
        <f>IFERROR(__xludf.DUMMYFUNCTION("""COMPUTED_VALUE"""),"FORC_013")</f>
        <v>FORC_013</v>
      </c>
    </row>
    <row r="437" ht="15.75" customHeight="1">
      <c r="A437" t="str">
        <f t="shared" si="1"/>
        <v>B.cereus</v>
      </c>
      <c r="B437" s="5" t="s">
        <v>452</v>
      </c>
      <c r="C437" s="6" t="str">
        <f>IFERROR(__xludf.DUMMYFUNCTION("SPLIT('2. c'!B437, "" "", True, True)"),"Bacillus")</f>
        <v>Bacillus</v>
      </c>
      <c r="D437" t="str">
        <f>IFERROR(__xludf.DUMMYFUNCTION("""COMPUTED_VALUE"""),"cereus")</f>
        <v>cereus</v>
      </c>
      <c r="E437" t="str">
        <f>IFERROR(__xludf.DUMMYFUNCTION("""COMPUTED_VALUE"""),"strain")</f>
        <v>strain</v>
      </c>
      <c r="F437" t="str">
        <f>IFERROR(__xludf.DUMMYFUNCTION("""COMPUTED_VALUE"""),"FT9")</f>
        <v>FT9</v>
      </c>
    </row>
    <row r="438" ht="15.75" customHeight="1">
      <c r="A438" t="str">
        <f t="shared" si="1"/>
        <v>B.cereus</v>
      </c>
      <c r="B438" s="5" t="s">
        <v>453</v>
      </c>
      <c r="C438" s="6" t="str">
        <f>IFERROR(__xludf.DUMMYFUNCTION("SPLIT('2. c'!B438, "" "", True, True)"),"Bacillus")</f>
        <v>Bacillus</v>
      </c>
      <c r="D438" t="str">
        <f>IFERROR(__xludf.DUMMYFUNCTION("""COMPUTED_VALUE"""),"cereus")</f>
        <v>cereus</v>
      </c>
      <c r="E438" t="str">
        <f>IFERROR(__xludf.DUMMYFUNCTION("""COMPUTED_VALUE"""),"strain")</f>
        <v>strain</v>
      </c>
      <c r="F438" t="str">
        <f>IFERROR(__xludf.DUMMYFUNCTION("""COMPUTED_VALUE"""),"HN001")</f>
        <v>HN001</v>
      </c>
    </row>
    <row r="439" ht="15.75" customHeight="1">
      <c r="A439" t="str">
        <f t="shared" si="1"/>
        <v>B.cereus</v>
      </c>
      <c r="B439" s="5" t="s">
        <v>454</v>
      </c>
      <c r="C439" s="6" t="str">
        <f>IFERROR(__xludf.DUMMYFUNCTION("SPLIT('2. c'!B439, "" "", True, True)"),"Bacillus")</f>
        <v>Bacillus</v>
      </c>
      <c r="D439" t="str">
        <f>IFERROR(__xludf.DUMMYFUNCTION("""COMPUTED_VALUE"""),"cereus")</f>
        <v>cereus</v>
      </c>
      <c r="E439" t="str">
        <f>IFERROR(__xludf.DUMMYFUNCTION("""COMPUTED_VALUE"""),"strain")</f>
        <v>strain</v>
      </c>
      <c r="F439" t="str">
        <f>IFERROR(__xludf.DUMMYFUNCTION("""COMPUTED_VALUE"""),"NJ-W")</f>
        <v>NJ-W</v>
      </c>
    </row>
    <row r="440" ht="15.75" customHeight="1">
      <c r="A440" t="str">
        <f t="shared" si="1"/>
        <v>B.clausii</v>
      </c>
      <c r="B440" s="5" t="s">
        <v>455</v>
      </c>
      <c r="C440" s="6" t="str">
        <f>IFERROR(__xludf.DUMMYFUNCTION("SPLIT('2. c'!B440, "" "", True, True)"),"Bacillus")</f>
        <v>Bacillus</v>
      </c>
      <c r="D440" t="str">
        <f>IFERROR(__xludf.DUMMYFUNCTION("""COMPUTED_VALUE"""),"clausii")</f>
        <v>clausii</v>
      </c>
      <c r="E440" t="str">
        <f>IFERROR(__xludf.DUMMYFUNCTION("""COMPUTED_VALUE"""),"KSM-K16")</f>
        <v>KSM-K16</v>
      </c>
    </row>
    <row r="441" ht="15.75" customHeight="1">
      <c r="A441" t="str">
        <f t="shared" si="1"/>
        <v>B.coagulans</v>
      </c>
      <c r="B441" s="5" t="s">
        <v>456</v>
      </c>
      <c r="C441" s="6" t="str">
        <f>IFERROR(__xludf.DUMMYFUNCTION("SPLIT('2. c'!B441, "" "", True, True)"),"Bacillus")</f>
        <v>Bacillus</v>
      </c>
      <c r="D441" t="str">
        <f>IFERROR(__xludf.DUMMYFUNCTION("""COMPUTED_VALUE"""),"coagulans")</f>
        <v>coagulans</v>
      </c>
      <c r="E441" s="25">
        <f>IFERROR(__xludf.DUMMYFUNCTION("""COMPUTED_VALUE"""),43253.0)</f>
        <v>43253</v>
      </c>
    </row>
    <row r="442" ht="15.75" customHeight="1">
      <c r="A442" t="str">
        <f t="shared" si="1"/>
        <v>B.coagulans</v>
      </c>
      <c r="B442" s="5" t="s">
        <v>457</v>
      </c>
      <c r="C442" s="6" t="str">
        <f>IFERROR(__xludf.DUMMYFUNCTION("SPLIT('2. c'!B442, "" "", True, True)"),"Bacillus")</f>
        <v>Bacillus</v>
      </c>
      <c r="D442" t="str">
        <f>IFERROR(__xludf.DUMMYFUNCTION("""COMPUTED_VALUE"""),"coagulans")</f>
        <v>coagulans</v>
      </c>
      <c r="E442" t="str">
        <f>IFERROR(__xludf.DUMMYFUNCTION("""COMPUTED_VALUE"""),"DSM")</f>
        <v>DSM</v>
      </c>
      <c r="F442">
        <f>IFERROR(__xludf.DUMMYFUNCTION("""COMPUTED_VALUE"""),1.0)</f>
        <v>1</v>
      </c>
      <c r="G442" t="str">
        <f>IFERROR(__xludf.DUMMYFUNCTION("""COMPUTED_VALUE"""),"=")</f>
        <v>=</v>
      </c>
      <c r="H442" t="str">
        <f>IFERROR(__xludf.DUMMYFUNCTION("""COMPUTED_VALUE"""),"ATCC")</f>
        <v>ATCC</v>
      </c>
      <c r="I442">
        <f>IFERROR(__xludf.DUMMYFUNCTION("""COMPUTED_VALUE"""),7050.0)</f>
        <v>7050</v>
      </c>
    </row>
    <row r="443" ht="15.75" customHeight="1">
      <c r="A443" t="str">
        <f t="shared" si="1"/>
        <v>B.coagulans</v>
      </c>
      <c r="B443" s="5" t="s">
        <v>458</v>
      </c>
      <c r="C443" s="6" t="str">
        <f>IFERROR(__xludf.DUMMYFUNCTION("SPLIT('2. c'!B443, "" "", True, True)"),"Bacillus")</f>
        <v>Bacillus</v>
      </c>
      <c r="D443" t="str">
        <f>IFERROR(__xludf.DUMMYFUNCTION("""COMPUTED_VALUE"""),"coagulans")</f>
        <v>coagulans</v>
      </c>
      <c r="E443" t="str">
        <f>IFERROR(__xludf.DUMMYFUNCTION("""COMPUTED_VALUE"""),"strain")</f>
        <v>strain</v>
      </c>
      <c r="F443" t="str">
        <f>IFERROR(__xludf.DUMMYFUNCTION("""COMPUTED_VALUE"""),"HM-08")</f>
        <v>HM-08</v>
      </c>
    </row>
    <row r="444" ht="15.75" customHeight="1">
      <c r="A444" t="str">
        <f t="shared" si="1"/>
        <v>B.coagulans</v>
      </c>
      <c r="B444" s="5" t="s">
        <v>459</v>
      </c>
      <c r="C444" s="6" t="str">
        <f>IFERROR(__xludf.DUMMYFUNCTION("SPLIT('2. c'!B444, "" "", True, True)"),"Bacillus")</f>
        <v>Bacillus</v>
      </c>
      <c r="D444" t="str">
        <f>IFERROR(__xludf.DUMMYFUNCTION("""COMPUTED_VALUE"""),"coagulans")</f>
        <v>coagulans</v>
      </c>
      <c r="E444" t="str">
        <f>IFERROR(__xludf.DUMMYFUNCTION("""COMPUTED_VALUE"""),"strain")</f>
        <v>strain</v>
      </c>
      <c r="F444" t="str">
        <f>IFERROR(__xludf.DUMMYFUNCTION("""COMPUTED_VALUE"""),"S-lac")</f>
        <v>S-lac</v>
      </c>
    </row>
    <row r="445" ht="15.75" customHeight="1">
      <c r="A445" t="str">
        <f t="shared" si="1"/>
        <v>B.cytotoxicus</v>
      </c>
      <c r="B445" s="5" t="s">
        <v>460</v>
      </c>
      <c r="C445" s="6" t="str">
        <f>IFERROR(__xludf.DUMMYFUNCTION("SPLIT('2. c'!B445, "" "", True, True)"),"Bacillus")</f>
        <v>Bacillus</v>
      </c>
      <c r="D445" t="str">
        <f>IFERROR(__xludf.DUMMYFUNCTION("""COMPUTED_VALUE"""),"cytotoxicus")</f>
        <v>cytotoxicus</v>
      </c>
      <c r="E445" t="str">
        <f>IFERROR(__xludf.DUMMYFUNCTION("""COMPUTED_VALUE"""),"NVH")</f>
        <v>NVH</v>
      </c>
      <c r="F445" t="str">
        <f>IFERROR(__xludf.DUMMYFUNCTION("""COMPUTED_VALUE"""),"391-98")</f>
        <v>391-98</v>
      </c>
    </row>
    <row r="446" ht="15.75" customHeight="1">
      <c r="A446" t="str">
        <f t="shared" si="1"/>
        <v>B.endophyticus</v>
      </c>
      <c r="B446" s="5" t="s">
        <v>461</v>
      </c>
      <c r="C446" s="6" t="str">
        <f>IFERROR(__xludf.DUMMYFUNCTION("SPLIT('2. c'!B446, "" "", True, True)"),"Bacillus")</f>
        <v>Bacillus</v>
      </c>
      <c r="D446" t="str">
        <f>IFERROR(__xludf.DUMMYFUNCTION("""COMPUTED_VALUE"""),"endophyticus")</f>
        <v>endophyticus</v>
      </c>
      <c r="E446" t="str">
        <f>IFERROR(__xludf.DUMMYFUNCTION("""COMPUTED_VALUE"""),"strain")</f>
        <v>strain</v>
      </c>
      <c r="F446" t="str">
        <f>IFERROR(__xludf.DUMMYFUNCTION("""COMPUTED_VALUE"""),"Hbe603")</f>
        <v>Hbe603</v>
      </c>
    </row>
    <row r="447" ht="15.75" customHeight="1">
      <c r="A447" t="str">
        <f t="shared" si="1"/>
        <v>B.halodurans</v>
      </c>
      <c r="B447" s="5" t="s">
        <v>462</v>
      </c>
      <c r="C447" s="6" t="str">
        <f>IFERROR(__xludf.DUMMYFUNCTION("SPLIT('2. c'!B447, "" "", True, True)"),"Bacillus")</f>
        <v>Bacillus</v>
      </c>
      <c r="D447" t="str">
        <f>IFERROR(__xludf.DUMMYFUNCTION("""COMPUTED_VALUE"""),"halodurans")</f>
        <v>halodurans</v>
      </c>
      <c r="E447" t="str">
        <f>IFERROR(__xludf.DUMMYFUNCTION("""COMPUTED_VALUE"""),"C-125")</f>
        <v>C-125</v>
      </c>
    </row>
    <row r="448" ht="15.75" customHeight="1">
      <c r="A448" t="str">
        <f t="shared" si="1"/>
        <v>B.infantis</v>
      </c>
      <c r="B448" s="5" t="s">
        <v>463</v>
      </c>
      <c r="C448" s="6" t="str">
        <f>IFERROR(__xludf.DUMMYFUNCTION("SPLIT('2. c'!B448, "" "", True, True)"),"Bacillus")</f>
        <v>Bacillus</v>
      </c>
      <c r="D448" t="str">
        <f>IFERROR(__xludf.DUMMYFUNCTION("""COMPUTED_VALUE"""),"infantis")</f>
        <v>infantis</v>
      </c>
      <c r="E448" t="str">
        <f>IFERROR(__xludf.DUMMYFUNCTION("""COMPUTED_VALUE"""),"NRRL")</f>
        <v>NRRL</v>
      </c>
      <c r="F448" t="str">
        <f>IFERROR(__xludf.DUMMYFUNCTION("""COMPUTED_VALUE"""),"B-14911")</f>
        <v>B-14911</v>
      </c>
    </row>
    <row r="449" ht="15.75" customHeight="1">
      <c r="A449" t="str">
        <f t="shared" si="1"/>
        <v>B.lehensis</v>
      </c>
      <c r="B449" s="5" t="s">
        <v>464</v>
      </c>
      <c r="C449" s="6" t="str">
        <f>IFERROR(__xludf.DUMMYFUNCTION("SPLIT('2. c'!B449, "" "", True, True)"),"Bacillus")</f>
        <v>Bacillus</v>
      </c>
      <c r="D449" t="str">
        <f>IFERROR(__xludf.DUMMYFUNCTION("""COMPUTED_VALUE"""),"lehensis")</f>
        <v>lehensis</v>
      </c>
      <c r="E449" t="str">
        <f>IFERROR(__xludf.DUMMYFUNCTION("""COMPUTED_VALUE"""),"G1")</f>
        <v>G1</v>
      </c>
    </row>
    <row r="450" ht="15.75" customHeight="1">
      <c r="A450" t="str">
        <f t="shared" si="1"/>
        <v>B.licheniformis</v>
      </c>
      <c r="B450" s="5" t="s">
        <v>465</v>
      </c>
      <c r="C450" s="6" t="str">
        <f>IFERROR(__xludf.DUMMYFUNCTION("SPLIT('2. c'!B450, "" "", True, True)"),"Bacillus")</f>
        <v>Bacillus</v>
      </c>
      <c r="D450" t="str">
        <f>IFERROR(__xludf.DUMMYFUNCTION("""COMPUTED_VALUE"""),"licheniformis")</f>
        <v>licheniformis</v>
      </c>
      <c r="E450" t="str">
        <f>IFERROR(__xludf.DUMMYFUNCTION("""COMPUTED_VALUE"""),"9945A")</f>
        <v>9945A</v>
      </c>
    </row>
    <row r="451" ht="15.75" customHeight="1">
      <c r="A451" t="str">
        <f t="shared" si="1"/>
        <v>B.licheniformis</v>
      </c>
      <c r="B451" s="5" t="s">
        <v>466</v>
      </c>
      <c r="C451" s="6" t="str">
        <f>IFERROR(__xludf.DUMMYFUNCTION("SPLIT('2. c'!B451, "" "", True, True)"),"Bacillus")</f>
        <v>Bacillus</v>
      </c>
      <c r="D451" t="str">
        <f>IFERROR(__xludf.DUMMYFUNCTION("""COMPUTED_VALUE"""),"licheniformis")</f>
        <v>licheniformis</v>
      </c>
      <c r="E451" t="str">
        <f>IFERROR(__xludf.DUMMYFUNCTION("""COMPUTED_VALUE"""),"ATCC")</f>
        <v>ATCC</v>
      </c>
      <c r="F451">
        <f>IFERROR(__xludf.DUMMYFUNCTION("""COMPUTED_VALUE"""),14580.0)</f>
        <v>14580</v>
      </c>
      <c r="G451" t="str">
        <f>IFERROR(__xludf.DUMMYFUNCTION("""COMPUTED_VALUE"""),"(Prj:13082)")</f>
        <v>(Prj:13082)</v>
      </c>
    </row>
    <row r="452" ht="15.75" customHeight="1">
      <c r="A452" t="str">
        <f t="shared" si="1"/>
        <v>B.licheniformis</v>
      </c>
      <c r="B452" s="5" t="s">
        <v>467</v>
      </c>
      <c r="C452" s="6" t="str">
        <f>IFERROR(__xludf.DUMMYFUNCTION("SPLIT('2. c'!B452, "" "", True, True)"),"Bacillus")</f>
        <v>Bacillus</v>
      </c>
      <c r="D452" t="str">
        <f>IFERROR(__xludf.DUMMYFUNCTION("""COMPUTED_VALUE"""),"licheniformis")</f>
        <v>licheniformis</v>
      </c>
      <c r="E452" t="str">
        <f>IFERROR(__xludf.DUMMYFUNCTION("""COMPUTED_VALUE"""),"DSM")</f>
        <v>DSM</v>
      </c>
      <c r="F452">
        <f>IFERROR(__xludf.DUMMYFUNCTION("""COMPUTED_VALUE"""),13.0)</f>
        <v>13</v>
      </c>
      <c r="G452" t="str">
        <f>IFERROR(__xludf.DUMMYFUNCTION("""COMPUTED_VALUE"""),"=")</f>
        <v>=</v>
      </c>
      <c r="H452" t="str">
        <f>IFERROR(__xludf.DUMMYFUNCTION("""COMPUTED_VALUE"""),"ATCC")</f>
        <v>ATCC</v>
      </c>
      <c r="I452">
        <f>IFERROR(__xludf.DUMMYFUNCTION("""COMPUTED_VALUE"""),14580.0)</f>
        <v>14580</v>
      </c>
    </row>
    <row r="453" ht="15.75" customHeight="1">
      <c r="A453" t="str">
        <f t="shared" si="1"/>
        <v>B.licheniformis</v>
      </c>
      <c r="B453" s="5" t="s">
        <v>468</v>
      </c>
      <c r="C453" s="6" t="str">
        <f>IFERROR(__xludf.DUMMYFUNCTION("SPLIT('2. c'!B453, "" "", True, True)"),"Bacillus")</f>
        <v>Bacillus</v>
      </c>
      <c r="D453" t="str">
        <f>IFERROR(__xludf.DUMMYFUNCTION("""COMPUTED_VALUE"""),"licheniformis")</f>
        <v>licheniformis</v>
      </c>
      <c r="E453" t="str">
        <f>IFERROR(__xludf.DUMMYFUNCTION("""COMPUTED_VALUE"""),"strain")</f>
        <v>strain</v>
      </c>
      <c r="F453" t="str">
        <f>IFERROR(__xludf.DUMMYFUNCTION("""COMPUTED_VALUE"""),"HRBL-15TDI7")</f>
        <v>HRBL-15TDI7</v>
      </c>
    </row>
    <row r="454" ht="15.75" customHeight="1">
      <c r="A454" t="str">
        <f t="shared" si="1"/>
        <v>B.megaterium</v>
      </c>
      <c r="B454" s="5" t="s">
        <v>469</v>
      </c>
      <c r="C454" s="6" t="str">
        <f>IFERROR(__xludf.DUMMYFUNCTION("SPLIT('2. c'!B454, "" "", True, True)"),"Bacillus")</f>
        <v>Bacillus</v>
      </c>
      <c r="D454" t="str">
        <f>IFERROR(__xludf.DUMMYFUNCTION("""COMPUTED_VALUE"""),"megaterium")</f>
        <v>megaterium</v>
      </c>
      <c r="E454" t="str">
        <f>IFERROR(__xludf.DUMMYFUNCTION("""COMPUTED_VALUE"""),"DSM")</f>
        <v>DSM</v>
      </c>
      <c r="F454">
        <f>IFERROR(__xludf.DUMMYFUNCTION("""COMPUTED_VALUE"""),319.0)</f>
        <v>319</v>
      </c>
    </row>
    <row r="455" ht="15.75" customHeight="1">
      <c r="A455" t="str">
        <f t="shared" si="1"/>
        <v>B.megaterium</v>
      </c>
      <c r="B455" s="5" t="s">
        <v>470</v>
      </c>
      <c r="C455" s="6" t="str">
        <f>IFERROR(__xludf.DUMMYFUNCTION("SPLIT('2. c'!B455, "" "", True, True)"),"Bacillus")</f>
        <v>Bacillus</v>
      </c>
      <c r="D455" t="str">
        <f>IFERROR(__xludf.DUMMYFUNCTION("""COMPUTED_VALUE"""),"megaterium")</f>
        <v>megaterium</v>
      </c>
      <c r="E455" t="str">
        <f>IFERROR(__xludf.DUMMYFUNCTION("""COMPUTED_VALUE"""),"NBRC")</f>
        <v>NBRC</v>
      </c>
      <c r="F455">
        <f>IFERROR(__xludf.DUMMYFUNCTION("""COMPUTED_VALUE"""),15308.0)</f>
        <v>15308</v>
      </c>
      <c r="G455" t="str">
        <f>IFERROR(__xludf.DUMMYFUNCTION("""COMPUTED_VALUE"""),"=")</f>
        <v>=</v>
      </c>
      <c r="H455" t="str">
        <f>IFERROR(__xludf.DUMMYFUNCTION("""COMPUTED_VALUE"""),"ATCC")</f>
        <v>ATCC</v>
      </c>
      <c r="I455">
        <f>IFERROR(__xludf.DUMMYFUNCTION("""COMPUTED_VALUE"""),14581.0)</f>
        <v>14581</v>
      </c>
    </row>
    <row r="456" ht="15.75" customHeight="1">
      <c r="A456" t="str">
        <f t="shared" si="1"/>
        <v>B.megaterium</v>
      </c>
      <c r="B456" s="5" t="s">
        <v>471</v>
      </c>
      <c r="C456" s="6" t="str">
        <f>IFERROR(__xludf.DUMMYFUNCTION("SPLIT('2. c'!B456, "" "", True, True)"),"Bacillus")</f>
        <v>Bacillus</v>
      </c>
      <c r="D456" t="str">
        <f>IFERROR(__xludf.DUMMYFUNCTION("""COMPUTED_VALUE"""),"megaterium")</f>
        <v>megaterium</v>
      </c>
      <c r="E456" t="str">
        <f>IFERROR(__xludf.DUMMYFUNCTION("""COMPUTED_VALUE"""),"Q3")</f>
        <v>Q3</v>
      </c>
    </row>
    <row r="457" ht="15.75" customHeight="1">
      <c r="A457" t="str">
        <f t="shared" si="1"/>
        <v>B.megaterium</v>
      </c>
      <c r="B457" s="5" t="s">
        <v>472</v>
      </c>
      <c r="C457" s="6" t="str">
        <f>IFERROR(__xludf.DUMMYFUNCTION("SPLIT('2. c'!B457, "" "", True, True)"),"Bacillus")</f>
        <v>Bacillus</v>
      </c>
      <c r="D457" t="str">
        <f>IFERROR(__xludf.DUMMYFUNCTION("""COMPUTED_VALUE"""),"megaterium")</f>
        <v>megaterium</v>
      </c>
      <c r="E457" t="str">
        <f>IFERROR(__xludf.DUMMYFUNCTION("""COMPUTED_VALUE"""),"QM")</f>
        <v>QM</v>
      </c>
      <c r="F457" t="str">
        <f>IFERROR(__xludf.DUMMYFUNCTION("""COMPUTED_VALUE"""),"B1551")</f>
        <v>B1551</v>
      </c>
    </row>
    <row r="458" ht="15.75" customHeight="1">
      <c r="A458" t="str">
        <f t="shared" si="1"/>
        <v>B.megaterium</v>
      </c>
      <c r="B458" s="5" t="s">
        <v>473</v>
      </c>
      <c r="C458" s="6" t="str">
        <f>IFERROR(__xludf.DUMMYFUNCTION("SPLIT('2. c'!B458, "" "", True, True)"),"Bacillus")</f>
        <v>Bacillus</v>
      </c>
      <c r="D458" t="str">
        <f>IFERROR(__xludf.DUMMYFUNCTION("""COMPUTED_VALUE"""),"megaterium")</f>
        <v>megaterium</v>
      </c>
      <c r="E458" t="str">
        <f>IFERROR(__xludf.DUMMYFUNCTION("""COMPUTED_VALUE"""),"WSH-002")</f>
        <v>WSH-002</v>
      </c>
    </row>
    <row r="459" ht="15.75" customHeight="1">
      <c r="A459" t="str">
        <f t="shared" si="1"/>
        <v>B.methanolicus</v>
      </c>
      <c r="B459" s="5" t="s">
        <v>474</v>
      </c>
      <c r="C459" s="6" t="str">
        <f>IFERROR(__xludf.DUMMYFUNCTION("SPLIT('2. c'!B459, "" "", True, True)"),"Bacillus")</f>
        <v>Bacillus</v>
      </c>
      <c r="D459" t="str">
        <f>IFERROR(__xludf.DUMMYFUNCTION("""COMPUTED_VALUE"""),"methanolicus")</f>
        <v>methanolicus</v>
      </c>
      <c r="E459" t="str">
        <f>IFERROR(__xludf.DUMMYFUNCTION("""COMPUTED_VALUE"""),"MGA3")</f>
        <v>MGA3</v>
      </c>
    </row>
    <row r="460" ht="15.75" customHeight="1">
      <c r="A460" t="str">
        <f t="shared" si="1"/>
        <v>B.methylotrophicus</v>
      </c>
      <c r="B460" s="5" t="s">
        <v>475</v>
      </c>
      <c r="C460" s="6" t="str">
        <f>IFERROR(__xludf.DUMMYFUNCTION("SPLIT('2. c'!B460, "" "", True, True)"),"Bacillus")</f>
        <v>Bacillus</v>
      </c>
      <c r="D460" t="str">
        <f>IFERROR(__xludf.DUMMYFUNCTION("""COMPUTED_VALUE"""),"methylotrophicus")</f>
        <v>methylotrophicus</v>
      </c>
    </row>
    <row r="461" ht="15.75" customHeight="1">
      <c r="A461" t="str">
        <f t="shared" si="1"/>
        <v>B.methylotrophicus</v>
      </c>
      <c r="B461" s="5" t="s">
        <v>476</v>
      </c>
      <c r="C461" s="6" t="str">
        <f>IFERROR(__xludf.DUMMYFUNCTION("SPLIT('2. c'!B461, "" "", True, True)"),"Bacillus")</f>
        <v>Bacillus</v>
      </c>
      <c r="D461" t="str">
        <f>IFERROR(__xludf.DUMMYFUNCTION("""COMPUTED_VALUE"""),"methylotrophicus")</f>
        <v>methylotrophicus</v>
      </c>
      <c r="E461" t="str">
        <f>IFERROR(__xludf.DUMMYFUNCTION("""COMPUTED_VALUE"""),"JS25R")</f>
        <v>JS25R</v>
      </c>
    </row>
    <row r="462" ht="15.75" customHeight="1">
      <c r="A462" t="str">
        <f t="shared" si="1"/>
        <v>B.methylotrophicus</v>
      </c>
      <c r="B462" s="5" t="s">
        <v>477</v>
      </c>
      <c r="C462" s="6" t="str">
        <f>IFERROR(__xludf.DUMMYFUNCTION("SPLIT('2. c'!B462, "" "", True, True)"),"Bacillus")</f>
        <v>Bacillus</v>
      </c>
      <c r="D462" t="str">
        <f>IFERROR(__xludf.DUMMYFUNCTION("""COMPUTED_VALUE"""),"methylotrophicus")</f>
        <v>methylotrophicus</v>
      </c>
      <c r="E462" t="str">
        <f>IFERROR(__xludf.DUMMYFUNCTION("""COMPUTED_VALUE"""),"strain")</f>
        <v>strain</v>
      </c>
      <c r="F462" t="str">
        <f>IFERROR(__xludf.DUMMYFUNCTION("""COMPUTED_VALUE"""),"JJ-D34")</f>
        <v>JJ-D34</v>
      </c>
    </row>
    <row r="463" ht="15.75" customHeight="1">
      <c r="A463" t="str">
        <f t="shared" si="1"/>
        <v>B.methylotrophicus</v>
      </c>
      <c r="B463" s="5" t="s">
        <v>478</v>
      </c>
      <c r="C463" s="6" t="str">
        <f>IFERROR(__xludf.DUMMYFUNCTION("SPLIT('2. c'!B463, "" "", True, True)"),"Bacillus")</f>
        <v>Bacillus</v>
      </c>
      <c r="D463" t="str">
        <f>IFERROR(__xludf.DUMMYFUNCTION("""COMPUTED_VALUE"""),"methylotrophicus")</f>
        <v>methylotrophicus</v>
      </c>
      <c r="E463" t="str">
        <f>IFERROR(__xludf.DUMMYFUNCTION("""COMPUTED_VALUE"""),"strain")</f>
        <v>strain</v>
      </c>
      <c r="F463" t="str">
        <f>IFERROR(__xludf.DUMMYFUNCTION("""COMPUTED_VALUE"""),"YJ11-1-4")</f>
        <v>YJ11-1-4</v>
      </c>
    </row>
    <row r="464" ht="15.75" customHeight="1">
      <c r="A464" t="str">
        <f t="shared" si="1"/>
        <v>B.mycoides</v>
      </c>
      <c r="B464" s="5" t="s">
        <v>479</v>
      </c>
      <c r="C464" s="6" t="str">
        <f>IFERROR(__xludf.DUMMYFUNCTION("SPLIT('2. c'!B464, "" "", True, True)"),"Bacillus")</f>
        <v>Bacillus</v>
      </c>
      <c r="D464" t="str">
        <f>IFERROR(__xludf.DUMMYFUNCTION("""COMPUTED_VALUE"""),"mycoides")</f>
        <v>mycoides</v>
      </c>
      <c r="E464" t="str">
        <f>IFERROR(__xludf.DUMMYFUNCTION("""COMPUTED_VALUE"""),"ATCC")</f>
        <v>ATCC</v>
      </c>
      <c r="F464">
        <f>IFERROR(__xludf.DUMMYFUNCTION("""COMPUTED_VALUE"""),6462.0)</f>
        <v>6462</v>
      </c>
    </row>
    <row r="465" ht="15.75" customHeight="1">
      <c r="A465" t="str">
        <f t="shared" si="1"/>
        <v>B.mycoides</v>
      </c>
      <c r="B465" s="5" t="s">
        <v>480</v>
      </c>
      <c r="C465" s="6" t="str">
        <f>IFERROR(__xludf.DUMMYFUNCTION("SPLIT('2. c'!B465, "" "", True, True)"),"Bacillus")</f>
        <v>Bacillus</v>
      </c>
      <c r="D465" t="str">
        <f>IFERROR(__xludf.DUMMYFUNCTION("""COMPUTED_VALUE"""),"mycoides")</f>
        <v>mycoides</v>
      </c>
      <c r="E465" t="str">
        <f>IFERROR(__xludf.DUMMYFUNCTION("""COMPUTED_VALUE"""),"strain")</f>
        <v>strain</v>
      </c>
      <c r="F465">
        <f>IFERROR(__xludf.DUMMYFUNCTION("""COMPUTED_VALUE"""),219298.0)</f>
        <v>219298</v>
      </c>
    </row>
    <row r="466" ht="15.75" customHeight="1">
      <c r="A466" t="str">
        <f t="shared" si="1"/>
        <v>B.paralicheniformis</v>
      </c>
      <c r="B466" s="5" t="s">
        <v>481</v>
      </c>
      <c r="C466" s="6" t="str">
        <f>IFERROR(__xludf.DUMMYFUNCTION("SPLIT('2. c'!B466, "" "", True, True)"),"Bacillus")</f>
        <v>Bacillus</v>
      </c>
      <c r="D466" t="str">
        <f>IFERROR(__xludf.DUMMYFUNCTION("""COMPUTED_VALUE"""),"paralicheniformis")</f>
        <v>paralicheniformis</v>
      </c>
      <c r="E466" t="str">
        <f>IFERROR(__xludf.DUMMYFUNCTION("""COMPUTED_VALUE"""),"strain")</f>
        <v>strain</v>
      </c>
      <c r="F466" t="str">
        <f>IFERROR(__xludf.DUMMYFUNCTION("""COMPUTED_VALUE"""),"ATCC")</f>
        <v>ATCC</v>
      </c>
      <c r="G466">
        <f>IFERROR(__xludf.DUMMYFUNCTION("""COMPUTED_VALUE"""),12759.0)</f>
        <v>12759</v>
      </c>
    </row>
    <row r="467" ht="15.75" customHeight="1">
      <c r="A467" t="str">
        <f t="shared" si="1"/>
        <v>B.paralicheniformis</v>
      </c>
      <c r="B467" s="5" t="s">
        <v>482</v>
      </c>
      <c r="C467" s="6" t="str">
        <f>IFERROR(__xludf.DUMMYFUNCTION("SPLIT('2. c'!B467, "" "", True, True)"),"Bacillus")</f>
        <v>Bacillus</v>
      </c>
      <c r="D467" t="str">
        <f>IFERROR(__xludf.DUMMYFUNCTION("""COMPUTED_VALUE"""),"paralicheniformis")</f>
        <v>paralicheniformis</v>
      </c>
      <c r="E467" t="str">
        <f>IFERROR(__xludf.DUMMYFUNCTION("""COMPUTED_VALUE"""),"strain")</f>
        <v>strain</v>
      </c>
      <c r="F467" t="str">
        <f>IFERROR(__xludf.DUMMYFUNCTION("""COMPUTED_VALUE"""),"BL-09")</f>
        <v>BL-09</v>
      </c>
    </row>
    <row r="468" ht="15.75" customHeight="1">
      <c r="A468" t="str">
        <f t="shared" si="1"/>
        <v>B.pseudofirmus</v>
      </c>
      <c r="B468" s="5" t="s">
        <v>483</v>
      </c>
      <c r="C468" s="6" t="str">
        <f>IFERROR(__xludf.DUMMYFUNCTION("SPLIT('2. c'!B468, "" "", True, True)"),"Bacillus")</f>
        <v>Bacillus</v>
      </c>
      <c r="D468" t="str">
        <f>IFERROR(__xludf.DUMMYFUNCTION("""COMPUTED_VALUE"""),"pseudofirmus")</f>
        <v>pseudofirmus</v>
      </c>
      <c r="E468" t="str">
        <f>IFERROR(__xludf.DUMMYFUNCTION("""COMPUTED_VALUE"""),"OF4")</f>
        <v>OF4</v>
      </c>
    </row>
    <row r="469" ht="15.75" customHeight="1">
      <c r="A469" t="str">
        <f t="shared" si="1"/>
        <v>B.pumilus</v>
      </c>
      <c r="B469" s="5" t="s">
        <v>484</v>
      </c>
      <c r="C469" s="6" t="str">
        <f>IFERROR(__xludf.DUMMYFUNCTION("SPLIT('2. c'!B469, "" "", True, True)"),"Bacillus")</f>
        <v>Bacillus</v>
      </c>
      <c r="D469" t="str">
        <f>IFERROR(__xludf.DUMMYFUNCTION("""COMPUTED_VALUE"""),"pumilus")</f>
        <v>pumilus</v>
      </c>
      <c r="E469" t="str">
        <f>IFERROR(__xludf.DUMMYFUNCTION("""COMPUTED_VALUE"""),"SAFR-032")</f>
        <v>SAFR-032</v>
      </c>
    </row>
    <row r="470" ht="15.75" customHeight="1">
      <c r="A470" t="str">
        <f t="shared" si="1"/>
        <v>B.pumilus</v>
      </c>
      <c r="B470" s="5" t="s">
        <v>485</v>
      </c>
      <c r="C470" s="6" t="str">
        <f>IFERROR(__xludf.DUMMYFUNCTION("SPLIT('2. c'!B470, "" "", True, True)"),"Bacillus")</f>
        <v>Bacillus</v>
      </c>
      <c r="D470" t="str">
        <f>IFERROR(__xludf.DUMMYFUNCTION("""COMPUTED_VALUE"""),"pumilus")</f>
        <v>pumilus</v>
      </c>
      <c r="E470" t="str">
        <f>IFERROR(__xludf.DUMMYFUNCTION("""COMPUTED_VALUE"""),"strain")</f>
        <v>strain</v>
      </c>
      <c r="F470" t="str">
        <f>IFERROR(__xludf.DUMMYFUNCTION("""COMPUTED_VALUE"""),"GR-8")</f>
        <v>GR-8</v>
      </c>
    </row>
    <row r="471" ht="15.75" customHeight="1">
      <c r="A471" t="str">
        <f t="shared" si="1"/>
        <v>B.pumilus</v>
      </c>
      <c r="B471" s="5" t="s">
        <v>486</v>
      </c>
      <c r="C471" s="6" t="str">
        <f>IFERROR(__xludf.DUMMYFUNCTION("SPLIT('2. c'!B471, "" "", True, True)"),"Bacillus")</f>
        <v>Bacillus</v>
      </c>
      <c r="D471" t="str">
        <f>IFERROR(__xludf.DUMMYFUNCTION("""COMPUTED_VALUE"""),"pumilus")</f>
        <v>pumilus</v>
      </c>
      <c r="E471" t="str">
        <f>IFERROR(__xludf.DUMMYFUNCTION("""COMPUTED_VALUE"""),"strain")</f>
        <v>strain</v>
      </c>
      <c r="F471" t="str">
        <f>IFERROR(__xludf.DUMMYFUNCTION("""COMPUTED_VALUE"""),"ku-bf1")</f>
        <v>ku-bf1</v>
      </c>
    </row>
    <row r="472" ht="15.75" customHeight="1">
      <c r="A472" t="str">
        <f t="shared" si="1"/>
        <v>B.pumilus</v>
      </c>
      <c r="B472" s="5" t="s">
        <v>487</v>
      </c>
      <c r="C472" s="6" t="str">
        <f>IFERROR(__xludf.DUMMYFUNCTION("SPLIT('2. c'!B472, "" "", True, True)"),"Bacillus")</f>
        <v>Bacillus</v>
      </c>
      <c r="D472" t="str">
        <f>IFERROR(__xludf.DUMMYFUNCTION("""COMPUTED_VALUE"""),"pumilus")</f>
        <v>pumilus</v>
      </c>
      <c r="E472" t="str">
        <f>IFERROR(__xludf.DUMMYFUNCTION("""COMPUTED_VALUE"""),"strain")</f>
        <v>strain</v>
      </c>
      <c r="F472" t="str">
        <f>IFERROR(__xludf.DUMMYFUNCTION("""COMPUTED_VALUE"""),"MTCC")</f>
        <v>MTCC</v>
      </c>
      <c r="G472" t="str">
        <f>IFERROR(__xludf.DUMMYFUNCTION("""COMPUTED_VALUE"""),"B6033")</f>
        <v>B6033</v>
      </c>
    </row>
    <row r="473" ht="15.75" customHeight="1">
      <c r="A473" t="str">
        <f t="shared" si="1"/>
        <v>B.pumilus</v>
      </c>
      <c r="B473" s="5" t="s">
        <v>488</v>
      </c>
      <c r="C473" s="6" t="str">
        <f>IFERROR(__xludf.DUMMYFUNCTION("SPLIT('2. c'!B473, "" "", True, True)"),"Bacillus")</f>
        <v>Bacillus</v>
      </c>
      <c r="D473" t="str">
        <f>IFERROR(__xludf.DUMMYFUNCTION("""COMPUTED_VALUE"""),"pumilus")</f>
        <v>pumilus</v>
      </c>
      <c r="E473" t="str">
        <f>IFERROR(__xludf.DUMMYFUNCTION("""COMPUTED_VALUE"""),"strain")</f>
        <v>strain</v>
      </c>
      <c r="F473" t="str">
        <f>IFERROR(__xludf.DUMMYFUNCTION("""COMPUTED_VALUE"""),"NJ-M2")</f>
        <v>NJ-M2</v>
      </c>
    </row>
    <row r="474" ht="15.75" customHeight="1">
      <c r="A474" t="str">
        <f t="shared" si="1"/>
        <v>B.pumilus</v>
      </c>
      <c r="B474" s="5" t="s">
        <v>489</v>
      </c>
      <c r="C474" s="6" t="str">
        <f>IFERROR(__xludf.DUMMYFUNCTION("SPLIT('2. c'!B474, "" "", True, True)"),"Bacillus")</f>
        <v>Bacillus</v>
      </c>
      <c r="D474" t="str">
        <f>IFERROR(__xludf.DUMMYFUNCTION("""COMPUTED_VALUE"""),"pumilus")</f>
        <v>pumilus</v>
      </c>
      <c r="E474" t="str">
        <f>IFERROR(__xludf.DUMMYFUNCTION("""COMPUTED_VALUE"""),"strain")</f>
        <v>strain</v>
      </c>
      <c r="F474" t="str">
        <f>IFERROR(__xludf.DUMMYFUNCTION("""COMPUTED_VALUE"""),"NJ-V2")</f>
        <v>NJ-V2</v>
      </c>
    </row>
    <row r="475" ht="15.75" customHeight="1">
      <c r="A475" t="str">
        <f t="shared" si="1"/>
        <v>B.pumilus</v>
      </c>
      <c r="B475" s="5" t="s">
        <v>490</v>
      </c>
      <c r="C475" s="6" t="str">
        <f>IFERROR(__xludf.DUMMYFUNCTION("SPLIT('2. c'!B475, "" "", True, True)"),"Bacillus")</f>
        <v>Bacillus</v>
      </c>
      <c r="D475" t="str">
        <f>IFERROR(__xludf.DUMMYFUNCTION("""COMPUTED_VALUE"""),"pumilus")</f>
        <v>pumilus</v>
      </c>
      <c r="E475" t="str">
        <f>IFERROR(__xludf.DUMMYFUNCTION("""COMPUTED_VALUE"""),"strain")</f>
        <v>strain</v>
      </c>
      <c r="F475" t="str">
        <f>IFERROR(__xludf.DUMMYFUNCTION("""COMPUTED_VALUE"""),"SH-B11")</f>
        <v>SH-B11</v>
      </c>
    </row>
    <row r="476" ht="15.75" customHeight="1">
      <c r="A476" t="str">
        <f t="shared" si="1"/>
        <v>B.pumilus</v>
      </c>
      <c r="B476" s="5" t="s">
        <v>491</v>
      </c>
      <c r="C476" s="6" t="str">
        <f>IFERROR(__xludf.DUMMYFUNCTION("SPLIT('2. c'!B476, "" "", True, True)"),"Bacillus")</f>
        <v>Bacillus</v>
      </c>
      <c r="D476" t="str">
        <f>IFERROR(__xludf.DUMMYFUNCTION("""COMPUTED_VALUE"""),"pumilus")</f>
        <v>pumilus</v>
      </c>
      <c r="E476" t="str">
        <f>IFERROR(__xludf.DUMMYFUNCTION("""COMPUTED_VALUE"""),"strain")</f>
        <v>strain</v>
      </c>
      <c r="F476" t="str">
        <f>IFERROR(__xludf.DUMMYFUNCTION("""COMPUTED_VALUE"""),"SH-B9")</f>
        <v>SH-B9</v>
      </c>
    </row>
    <row r="477" ht="15.75" customHeight="1">
      <c r="A477" t="str">
        <f t="shared" si="1"/>
        <v>B.pumilus</v>
      </c>
      <c r="B477" s="5" t="s">
        <v>492</v>
      </c>
      <c r="C477" s="6" t="str">
        <f>IFERROR(__xludf.DUMMYFUNCTION("SPLIT('2. c'!B477, "" "", True, True)"),"Bacillus")</f>
        <v>Bacillus</v>
      </c>
      <c r="D477" t="str">
        <f>IFERROR(__xludf.DUMMYFUNCTION("""COMPUTED_VALUE"""),"pumilus")</f>
        <v>pumilus</v>
      </c>
      <c r="E477" t="str">
        <f>IFERROR(__xludf.DUMMYFUNCTION("""COMPUTED_VALUE"""),"strain")</f>
        <v>strain</v>
      </c>
      <c r="F477" t="str">
        <f>IFERROR(__xludf.DUMMYFUNCTION("""COMPUTED_VALUE"""),"TUAT1")</f>
        <v>TUAT1</v>
      </c>
    </row>
    <row r="478" ht="15.75" customHeight="1">
      <c r="A478" t="str">
        <f t="shared" si="1"/>
        <v>B.pumilus</v>
      </c>
      <c r="B478" s="5" t="s">
        <v>493</v>
      </c>
      <c r="C478" s="6" t="str">
        <f>IFERROR(__xludf.DUMMYFUNCTION("SPLIT('2. c'!B478, "" "", True, True)"),"Bacillus")</f>
        <v>Bacillus</v>
      </c>
      <c r="D478" t="str">
        <f>IFERROR(__xludf.DUMMYFUNCTION("""COMPUTED_VALUE"""),"pumilus")</f>
        <v>pumilus</v>
      </c>
      <c r="E478" t="str">
        <f>IFERROR(__xludf.DUMMYFUNCTION("""COMPUTED_VALUE"""),"strain")</f>
        <v>strain</v>
      </c>
      <c r="F478" t="str">
        <f>IFERROR(__xludf.DUMMYFUNCTION("""COMPUTED_VALUE"""),"W3")</f>
        <v>W3</v>
      </c>
    </row>
    <row r="479" ht="15.75" customHeight="1">
      <c r="A479" t="str">
        <f t="shared" si="1"/>
        <v>B.selenitireducens</v>
      </c>
      <c r="B479" s="5" t="s">
        <v>494</v>
      </c>
      <c r="C479" s="6" t="str">
        <f>IFERROR(__xludf.DUMMYFUNCTION("SPLIT('2. c'!B479, "" "", True, True)"),"Bacillus")</f>
        <v>Bacillus</v>
      </c>
      <c r="D479" t="str">
        <f>IFERROR(__xludf.DUMMYFUNCTION("""COMPUTED_VALUE"""),"selenitireducens")</f>
        <v>selenitireducens</v>
      </c>
      <c r="E479" t="str">
        <f>IFERROR(__xludf.DUMMYFUNCTION("""COMPUTED_VALUE"""),"MLS10")</f>
        <v>MLS10</v>
      </c>
    </row>
    <row r="480" ht="15.75" customHeight="1">
      <c r="A480" t="str">
        <f t="shared" si="1"/>
        <v>B.simplex</v>
      </c>
      <c r="B480" s="5" t="s">
        <v>495</v>
      </c>
      <c r="C480" s="6" t="str">
        <f>IFERROR(__xludf.DUMMYFUNCTION("SPLIT('2. c'!B480, "" "", True, True)"),"Bacillus")</f>
        <v>Bacillus</v>
      </c>
      <c r="D480" t="str">
        <f>IFERROR(__xludf.DUMMYFUNCTION("""COMPUTED_VALUE"""),"simplex")</f>
        <v>simplex</v>
      </c>
      <c r="E480" t="str">
        <f>IFERROR(__xludf.DUMMYFUNCTION("""COMPUTED_VALUE"""),"strain")</f>
        <v>strain</v>
      </c>
      <c r="F480" t="str">
        <f>IFERROR(__xludf.DUMMYFUNCTION("""COMPUTED_VALUE"""),"SH-B26")</f>
        <v>SH-B26</v>
      </c>
    </row>
    <row r="481" ht="15.75" customHeight="1">
      <c r="A481" t="str">
        <f t="shared" si="1"/>
        <v>B.smithii</v>
      </c>
      <c r="B481" s="5" t="s">
        <v>496</v>
      </c>
      <c r="C481" s="6" t="str">
        <f>IFERROR(__xludf.DUMMYFUNCTION("SPLIT('2. c'!B481, "" "", True, True)"),"Bacillus")</f>
        <v>Bacillus</v>
      </c>
      <c r="D481" t="str">
        <f>IFERROR(__xludf.DUMMYFUNCTION("""COMPUTED_VALUE"""),"smithii")</f>
        <v>smithii</v>
      </c>
      <c r="E481" t="str">
        <f>IFERROR(__xludf.DUMMYFUNCTION("""COMPUTED_VALUE"""),"strain")</f>
        <v>strain</v>
      </c>
      <c r="F481" t="str">
        <f>IFERROR(__xludf.DUMMYFUNCTION("""COMPUTED_VALUE"""),"DSM")</f>
        <v>DSM</v>
      </c>
      <c r="G481">
        <f>IFERROR(__xludf.DUMMYFUNCTION("""COMPUTED_VALUE"""),4216.0)</f>
        <v>4216</v>
      </c>
    </row>
    <row r="482" ht="15.75" customHeight="1">
      <c r="A482" t="str">
        <f t="shared" si="1"/>
        <v>B.sp.</v>
      </c>
      <c r="B482" s="5" t="s">
        <v>497</v>
      </c>
      <c r="C482" s="6" t="str">
        <f>IFERROR(__xludf.DUMMYFUNCTION("SPLIT('2. c'!B482, "" "", True, True)"),"Bacillus")</f>
        <v>Bacillus</v>
      </c>
      <c r="D482" t="str">
        <f>IFERROR(__xludf.DUMMYFUNCTION("""COMPUTED_VALUE"""),"sp.")</f>
        <v>sp.</v>
      </c>
      <c r="E482" t="str">
        <f>IFERROR(__xludf.DUMMYFUNCTION("""COMPUTED_VALUE"""),"BH072")</f>
        <v>BH072</v>
      </c>
    </row>
    <row r="483" ht="15.75" customHeight="1">
      <c r="A483" t="str">
        <f t="shared" si="1"/>
        <v>B.sp.</v>
      </c>
      <c r="B483" s="5" t="s">
        <v>498</v>
      </c>
      <c r="C483" s="6" t="str">
        <f>IFERROR(__xludf.DUMMYFUNCTION("SPLIT('2. c'!B483, "" "", True, True)"),"Bacillus")</f>
        <v>Bacillus</v>
      </c>
      <c r="D483" t="str">
        <f>IFERROR(__xludf.DUMMYFUNCTION("""COMPUTED_VALUE"""),"sp.")</f>
        <v>sp.</v>
      </c>
      <c r="E483" t="str">
        <f>IFERROR(__xludf.DUMMYFUNCTION("""COMPUTED_VALUE"""),"FJAT-18017")</f>
        <v>FJAT-18017</v>
      </c>
    </row>
    <row r="484" ht="15.75" customHeight="1">
      <c r="A484" t="str">
        <f t="shared" si="1"/>
        <v>B.sp.</v>
      </c>
      <c r="B484" s="5" t="s">
        <v>499</v>
      </c>
      <c r="C484" s="6" t="str">
        <f>IFERROR(__xludf.DUMMYFUNCTION("SPLIT('2. c'!B484, "" "", True, True)"),"Bacillus")</f>
        <v>Bacillus</v>
      </c>
      <c r="D484" t="str">
        <f>IFERROR(__xludf.DUMMYFUNCTION("""COMPUTED_VALUE"""),"sp.")</f>
        <v>sp.</v>
      </c>
      <c r="E484" t="str">
        <f>IFERROR(__xludf.DUMMYFUNCTION("""COMPUTED_VALUE"""),"FJAT-22090")</f>
        <v>FJAT-22090</v>
      </c>
    </row>
    <row r="485" ht="15.75" customHeight="1">
      <c r="A485" t="str">
        <f t="shared" si="1"/>
        <v>B.sp.</v>
      </c>
      <c r="B485" s="5" t="s">
        <v>500</v>
      </c>
      <c r="C485" s="6" t="str">
        <f>IFERROR(__xludf.DUMMYFUNCTION("SPLIT('2. c'!B485, "" "", True, True)"),"Bacillus")</f>
        <v>Bacillus</v>
      </c>
      <c r="D485" t="str">
        <f>IFERROR(__xludf.DUMMYFUNCTION("""COMPUTED_VALUE"""),"sp.")</f>
        <v>sp.</v>
      </c>
      <c r="E485" t="str">
        <f>IFERROR(__xludf.DUMMYFUNCTION("""COMPUTED_VALUE"""),"FJAT-27238")</f>
        <v>FJAT-27238</v>
      </c>
    </row>
    <row r="486" ht="15.75" customHeight="1">
      <c r="A486" t="str">
        <f t="shared" si="1"/>
        <v>B.sp.</v>
      </c>
      <c r="B486" s="5" t="s">
        <v>501</v>
      </c>
      <c r="C486" s="6" t="str">
        <f>IFERROR(__xludf.DUMMYFUNCTION("SPLIT('2. c'!B486, "" "", True, True)"),"Bacillus")</f>
        <v>Bacillus</v>
      </c>
      <c r="D486" t="str">
        <f>IFERROR(__xludf.DUMMYFUNCTION("""COMPUTED_VALUE"""),"sp.")</f>
        <v>sp.</v>
      </c>
      <c r="E486" t="str">
        <f>IFERROR(__xludf.DUMMYFUNCTION("""COMPUTED_VALUE"""),"FJAT-4402")</f>
        <v>FJAT-4402</v>
      </c>
    </row>
    <row r="487" ht="15.75" customHeight="1">
      <c r="A487" t="str">
        <f t="shared" si="1"/>
        <v>B.sp.</v>
      </c>
      <c r="B487" s="5" t="s">
        <v>502</v>
      </c>
      <c r="C487" s="6" t="str">
        <f>IFERROR(__xludf.DUMMYFUNCTION("SPLIT('2. c'!B487, "" "", True, True)"),"Bacillus")</f>
        <v>Bacillus</v>
      </c>
      <c r="D487" t="str">
        <f>IFERROR(__xludf.DUMMYFUNCTION("""COMPUTED_VALUE"""),"sp.")</f>
        <v>sp.</v>
      </c>
      <c r="E487" t="str">
        <f>IFERROR(__xludf.DUMMYFUNCTION("""COMPUTED_VALUE"""),"IHB")</f>
        <v>IHB</v>
      </c>
      <c r="F487" t="str">
        <f>IFERROR(__xludf.DUMMYFUNCTION("""COMPUTED_VALUE"""),"B")</f>
        <v>B</v>
      </c>
      <c r="G487">
        <f>IFERROR(__xludf.DUMMYFUNCTION("""COMPUTED_VALUE"""),7164.0)</f>
        <v>7164</v>
      </c>
    </row>
    <row r="488" ht="15.75" customHeight="1">
      <c r="A488" t="str">
        <f t="shared" si="1"/>
        <v>B.sp.</v>
      </c>
      <c r="B488" s="5" t="s">
        <v>503</v>
      </c>
      <c r="C488" s="6" t="str">
        <f>IFERROR(__xludf.DUMMYFUNCTION("SPLIT('2. c'!B488, "" "", True, True)"),"Bacillus")</f>
        <v>Bacillus</v>
      </c>
      <c r="D488" t="str">
        <f>IFERROR(__xludf.DUMMYFUNCTION("""COMPUTED_VALUE"""),"sp.")</f>
        <v>sp.</v>
      </c>
      <c r="E488" t="str">
        <f>IFERROR(__xludf.DUMMYFUNCTION("""COMPUTED_VALUE"""),"JS")</f>
        <v>JS</v>
      </c>
    </row>
    <row r="489" ht="15.75" customHeight="1">
      <c r="A489" t="str">
        <f t="shared" si="1"/>
        <v>B.sp.</v>
      </c>
      <c r="B489" s="5" t="s">
        <v>504</v>
      </c>
      <c r="C489" s="6" t="str">
        <f>IFERROR(__xludf.DUMMYFUNCTION("SPLIT('2. c'!B489, "" "", True, True)"),"Bacillus")</f>
        <v>Bacillus</v>
      </c>
      <c r="D489" t="str">
        <f>IFERROR(__xludf.DUMMYFUNCTION("""COMPUTED_VALUE"""),"sp.")</f>
        <v>sp.</v>
      </c>
      <c r="E489" t="str">
        <f>IFERROR(__xludf.DUMMYFUNCTION("""COMPUTED_VALUE"""),"LM")</f>
        <v>LM</v>
      </c>
      <c r="F489" s="25">
        <f>IFERROR(__xludf.DUMMYFUNCTION("""COMPUTED_VALUE"""),43135.0)</f>
        <v>43135</v>
      </c>
    </row>
    <row r="490" ht="15.75" customHeight="1">
      <c r="A490" t="str">
        <f t="shared" si="1"/>
        <v>B.sp.</v>
      </c>
      <c r="B490" s="5" t="s">
        <v>505</v>
      </c>
      <c r="C490" s="6" t="str">
        <f>IFERROR(__xludf.DUMMYFUNCTION("SPLIT('2. c'!B490, "" "", True, True)"),"Bacillus")</f>
        <v>Bacillus</v>
      </c>
      <c r="D490" t="str">
        <f>IFERROR(__xludf.DUMMYFUNCTION("""COMPUTED_VALUE"""),"sp.")</f>
        <v>sp.</v>
      </c>
      <c r="E490" t="str">
        <f>IFERROR(__xludf.DUMMYFUNCTION("""COMPUTED_VALUE"""),"OxB-1")</f>
        <v>OxB-1</v>
      </c>
    </row>
    <row r="491" ht="15.75" customHeight="1">
      <c r="A491" t="str">
        <f t="shared" si="1"/>
        <v>B.sp.</v>
      </c>
      <c r="B491" s="5" t="s">
        <v>506</v>
      </c>
      <c r="C491" s="6" t="str">
        <f>IFERROR(__xludf.DUMMYFUNCTION("SPLIT('2. c'!B491, "" "", True, True)"),"Bacillus")</f>
        <v>Bacillus</v>
      </c>
      <c r="D491" t="str">
        <f>IFERROR(__xludf.DUMMYFUNCTION("""COMPUTED_VALUE"""),"sp.")</f>
        <v>sp.</v>
      </c>
      <c r="E491" t="str">
        <f>IFERROR(__xludf.DUMMYFUNCTION("""COMPUTED_VALUE"""),"Pc3")</f>
        <v>Pc3</v>
      </c>
    </row>
    <row r="492" ht="15.75" customHeight="1">
      <c r="A492" t="str">
        <f t="shared" si="1"/>
        <v>B.sp.</v>
      </c>
      <c r="B492" s="5" t="s">
        <v>507</v>
      </c>
      <c r="C492" s="6" t="str">
        <f>IFERROR(__xludf.DUMMYFUNCTION("SPLIT('2. c'!B492, "" "", True, True)"),"Bacillus")</f>
        <v>Bacillus</v>
      </c>
      <c r="D492" t="str">
        <f>IFERROR(__xludf.DUMMYFUNCTION("""COMPUTED_VALUE"""),"sp.")</f>
        <v>sp.</v>
      </c>
      <c r="E492" t="str">
        <f>IFERROR(__xludf.DUMMYFUNCTION("""COMPUTED_VALUE"""),"SDLI1")</f>
        <v>SDLI1</v>
      </c>
    </row>
    <row r="493" ht="15.75" customHeight="1">
      <c r="A493" t="str">
        <f t="shared" si="1"/>
        <v>B.sp.</v>
      </c>
      <c r="B493" s="5" t="s">
        <v>508</v>
      </c>
      <c r="C493" s="6" t="str">
        <f>IFERROR(__xludf.DUMMYFUNCTION("SPLIT('2. c'!B493, "" "", True, True)"),"Bacillus")</f>
        <v>Bacillus</v>
      </c>
      <c r="D493" t="str">
        <f>IFERROR(__xludf.DUMMYFUNCTION("""COMPUTED_VALUE"""),"sp.")</f>
        <v>sp.</v>
      </c>
      <c r="E493" t="str">
        <f>IFERROR(__xludf.DUMMYFUNCTION("""COMPUTED_VALUE"""),"strain")</f>
        <v>strain</v>
      </c>
      <c r="F493" t="str">
        <f>IFERROR(__xludf.DUMMYFUNCTION("""COMPUTED_VALUE"""),"BS34A")</f>
        <v>BS34A</v>
      </c>
    </row>
    <row r="494" ht="15.75" customHeight="1">
      <c r="A494" t="str">
        <f t="shared" si="1"/>
        <v>B.sp.</v>
      </c>
      <c r="B494" s="5" t="s">
        <v>509</v>
      </c>
      <c r="C494" s="6" t="str">
        <f>IFERROR(__xludf.DUMMYFUNCTION("SPLIT('2. c'!B494, "" "", True, True)"),"Bacillus")</f>
        <v>Bacillus</v>
      </c>
      <c r="D494" t="str">
        <f>IFERROR(__xludf.DUMMYFUNCTION("""COMPUTED_VALUE"""),"sp.")</f>
        <v>sp.</v>
      </c>
      <c r="E494" t="str">
        <f>IFERROR(__xludf.DUMMYFUNCTION("""COMPUTED_VALUE"""),"strain")</f>
        <v>strain</v>
      </c>
      <c r="F494" t="str">
        <f>IFERROR(__xludf.DUMMYFUNCTION("""COMPUTED_VALUE"""),"Co1-6")</f>
        <v>Co1-6</v>
      </c>
    </row>
    <row r="495" ht="15.75" customHeight="1">
      <c r="A495" t="str">
        <f t="shared" si="1"/>
        <v>B.sp.</v>
      </c>
      <c r="B495" s="5" t="s">
        <v>510</v>
      </c>
      <c r="C495" s="6" t="str">
        <f>IFERROR(__xludf.DUMMYFUNCTION("SPLIT('2. c'!B495, "" "", True, True)"),"Bacillus")</f>
        <v>Bacillus</v>
      </c>
      <c r="D495" t="str">
        <f>IFERROR(__xludf.DUMMYFUNCTION("""COMPUTED_VALUE"""),"sp.")</f>
        <v>sp.</v>
      </c>
      <c r="E495" t="str">
        <f>IFERROR(__xludf.DUMMYFUNCTION("""COMPUTED_VALUE"""),"WP8")</f>
        <v>WP8</v>
      </c>
    </row>
    <row r="496" ht="15.75" customHeight="1">
      <c r="A496" t="str">
        <f t="shared" si="1"/>
        <v>B.sp.</v>
      </c>
      <c r="B496" s="5" t="s">
        <v>511</v>
      </c>
      <c r="C496" s="6" t="str">
        <f>IFERROR(__xludf.DUMMYFUNCTION("SPLIT('2. c'!B496, "" "", True, True)"),"Bacillus")</f>
        <v>Bacillus</v>
      </c>
      <c r="D496" t="str">
        <f>IFERROR(__xludf.DUMMYFUNCTION("""COMPUTED_VALUE"""),"sp.")</f>
        <v>sp.</v>
      </c>
      <c r="E496" t="str">
        <f>IFERROR(__xludf.DUMMYFUNCTION("""COMPUTED_VALUE"""),"X1(2014)")</f>
        <v>X1(2014)</v>
      </c>
    </row>
    <row r="497" ht="15.75" customHeight="1">
      <c r="A497" t="str">
        <f t="shared" si="1"/>
        <v>B.sp.</v>
      </c>
      <c r="B497" s="5" t="s">
        <v>512</v>
      </c>
      <c r="C497" s="6" t="str">
        <f>IFERROR(__xludf.DUMMYFUNCTION("SPLIT('2. c'!B497, "" "", True, True)"),"Bacillus")</f>
        <v>Bacillus</v>
      </c>
      <c r="D497" t="str">
        <f>IFERROR(__xludf.DUMMYFUNCTION("""COMPUTED_VALUE"""),"sp.")</f>
        <v>sp.</v>
      </c>
      <c r="E497" t="str">
        <f>IFERROR(__xludf.DUMMYFUNCTION("""COMPUTED_VALUE"""),"YP1")</f>
        <v>YP1</v>
      </c>
    </row>
    <row r="498" ht="15.75" customHeight="1">
      <c r="A498" t="str">
        <f t="shared" si="1"/>
        <v>B.subtilis</v>
      </c>
      <c r="B498" s="5" t="s">
        <v>513</v>
      </c>
      <c r="C498" s="6" t="str">
        <f>IFERROR(__xludf.DUMMYFUNCTION("SPLIT('2. c'!B498, "" "", True, True)"),"Bacillus")</f>
        <v>Bacillus</v>
      </c>
      <c r="D498" t="str">
        <f>IFERROR(__xludf.DUMMYFUNCTION("""COMPUTED_VALUE"""),"subtilis")</f>
        <v>subtilis</v>
      </c>
    </row>
    <row r="499" ht="15.75" customHeight="1">
      <c r="A499" t="str">
        <f t="shared" si="1"/>
        <v>B.subtilis</v>
      </c>
      <c r="B499" s="5" t="s">
        <v>514</v>
      </c>
      <c r="C499" s="6" t="str">
        <f>IFERROR(__xludf.DUMMYFUNCTION("SPLIT('2. c'!B499, "" "", True, True)"),"Bacillus")</f>
        <v>Bacillus</v>
      </c>
      <c r="D499" t="str">
        <f>IFERROR(__xludf.DUMMYFUNCTION("""COMPUTED_VALUE"""),"subtilis")</f>
        <v>subtilis</v>
      </c>
      <c r="E499" t="str">
        <f>IFERROR(__xludf.DUMMYFUNCTION("""COMPUTED_VALUE"""),"ATCC")</f>
        <v>ATCC</v>
      </c>
      <c r="F499">
        <f>IFERROR(__xludf.DUMMYFUNCTION("""COMPUTED_VALUE"""),13952.0)</f>
        <v>13952</v>
      </c>
    </row>
    <row r="500" ht="15.75" customHeight="1">
      <c r="A500" t="str">
        <f t="shared" si="1"/>
        <v>B.subtilis</v>
      </c>
      <c r="B500" s="5" t="s">
        <v>515</v>
      </c>
      <c r="C500" s="6" t="str">
        <f>IFERROR(__xludf.DUMMYFUNCTION("SPLIT('2. c'!B500, "" "", True, True)"),"Bacillus")</f>
        <v>Bacillus</v>
      </c>
      <c r="D500" t="str">
        <f>IFERROR(__xludf.DUMMYFUNCTION("""COMPUTED_VALUE"""),"subtilis")</f>
        <v>subtilis</v>
      </c>
      <c r="E500" t="str">
        <f>IFERROR(__xludf.DUMMYFUNCTION("""COMPUTED_VALUE"""),"ATCC")</f>
        <v>ATCC</v>
      </c>
      <c r="F500">
        <f>IFERROR(__xludf.DUMMYFUNCTION("""COMPUTED_VALUE"""),19217.0)</f>
        <v>19217</v>
      </c>
    </row>
    <row r="501" ht="15.75" customHeight="1">
      <c r="A501" t="str">
        <f t="shared" si="1"/>
        <v>B.subtilis</v>
      </c>
      <c r="B501" s="5" t="s">
        <v>516</v>
      </c>
      <c r="C501" s="6" t="str">
        <f>IFERROR(__xludf.DUMMYFUNCTION("SPLIT('2. c'!B501, "" "", True, True)"),"Bacillus")</f>
        <v>Bacillus</v>
      </c>
      <c r="D501" t="str">
        <f>IFERROR(__xludf.DUMMYFUNCTION("""COMPUTED_VALUE"""),"subtilis")</f>
        <v>subtilis</v>
      </c>
      <c r="E501" t="str">
        <f>IFERROR(__xludf.DUMMYFUNCTION("""COMPUTED_VALUE"""),"B-1")</f>
        <v>B-1</v>
      </c>
    </row>
    <row r="502" ht="15.75" customHeight="1">
      <c r="A502" t="str">
        <f t="shared" si="1"/>
        <v>B.subtilis</v>
      </c>
      <c r="B502" s="5" t="s">
        <v>517</v>
      </c>
      <c r="C502" s="6" t="str">
        <f>IFERROR(__xludf.DUMMYFUNCTION("SPLIT('2. c'!B502, "" "", True, True)"),"Bacillus")</f>
        <v>Bacillus</v>
      </c>
      <c r="D502" t="str">
        <f>IFERROR(__xludf.DUMMYFUNCTION("""COMPUTED_VALUE"""),"subtilis")</f>
        <v>subtilis</v>
      </c>
      <c r="E502" t="str">
        <f>IFERROR(__xludf.DUMMYFUNCTION("""COMPUTED_VALUE"""),"BEST7003")</f>
        <v>BEST7003</v>
      </c>
    </row>
    <row r="503" ht="15.75" customHeight="1">
      <c r="A503" t="str">
        <f t="shared" si="1"/>
        <v>B.subtilis</v>
      </c>
      <c r="B503" s="5" t="s">
        <v>518</v>
      </c>
      <c r="C503" s="6" t="str">
        <f>IFERROR(__xludf.DUMMYFUNCTION("SPLIT('2. c'!B503, "" "", True, True)"),"Bacillus")</f>
        <v>Bacillus</v>
      </c>
      <c r="D503" t="str">
        <f>IFERROR(__xludf.DUMMYFUNCTION("""COMPUTED_VALUE"""),"subtilis")</f>
        <v>subtilis</v>
      </c>
      <c r="E503" t="str">
        <f>IFERROR(__xludf.DUMMYFUNCTION("""COMPUTED_VALUE"""),"BEST7613")</f>
        <v>BEST7613</v>
      </c>
    </row>
    <row r="504" ht="15.75" customHeight="1">
      <c r="A504" t="str">
        <f t="shared" si="1"/>
        <v>B.subtilis</v>
      </c>
      <c r="B504" s="5" t="s">
        <v>519</v>
      </c>
      <c r="C504" s="6" t="str">
        <f>IFERROR(__xludf.DUMMYFUNCTION("SPLIT('2. c'!B504, "" "", True, True)"),"Bacillus")</f>
        <v>Bacillus</v>
      </c>
      <c r="D504" t="str">
        <f>IFERROR(__xludf.DUMMYFUNCTION("""COMPUTED_VALUE"""),"subtilis")</f>
        <v>subtilis</v>
      </c>
      <c r="E504" t="str">
        <f>IFERROR(__xludf.DUMMYFUNCTION("""COMPUTED_VALUE"""),"Bs-916")</f>
        <v>Bs-916</v>
      </c>
    </row>
    <row r="505" ht="15.75" customHeight="1">
      <c r="A505" t="str">
        <f t="shared" si="1"/>
        <v>B.subtilis</v>
      </c>
      <c r="B505" s="5" t="s">
        <v>520</v>
      </c>
      <c r="C505" s="6" t="str">
        <f>IFERROR(__xludf.DUMMYFUNCTION("SPLIT('2. c'!B505, "" "", True, True)"),"Bacillus")</f>
        <v>Bacillus</v>
      </c>
      <c r="D505" t="str">
        <f>IFERROR(__xludf.DUMMYFUNCTION("""COMPUTED_VALUE"""),"subtilis")</f>
        <v>subtilis</v>
      </c>
      <c r="E505" t="str">
        <f>IFERROR(__xludf.DUMMYFUNCTION("""COMPUTED_VALUE"""),"BSn5")</f>
        <v>BSn5</v>
      </c>
    </row>
    <row r="506" ht="15.75" customHeight="1">
      <c r="A506" t="str">
        <f t="shared" si="1"/>
        <v>B.subtilis</v>
      </c>
      <c r="B506" s="5" t="s">
        <v>521</v>
      </c>
      <c r="C506" s="6" t="str">
        <f>IFERROR(__xludf.DUMMYFUNCTION("SPLIT('2. c'!B506, "" "", True, True)"),"Bacillus")</f>
        <v>Bacillus</v>
      </c>
      <c r="D506" t="str">
        <f>IFERROR(__xludf.DUMMYFUNCTION("""COMPUTED_VALUE"""),"subtilis")</f>
        <v>subtilis</v>
      </c>
      <c r="E506" t="str">
        <f>IFERROR(__xludf.DUMMYFUNCTION("""COMPUTED_VALUE"""),"HJ5")</f>
        <v>HJ5</v>
      </c>
    </row>
    <row r="507" ht="15.75" customHeight="1">
      <c r="A507" t="str">
        <f t="shared" si="1"/>
        <v>B.subtilis</v>
      </c>
      <c r="B507" s="5" t="s">
        <v>522</v>
      </c>
      <c r="C507" s="6" t="str">
        <f>IFERROR(__xludf.DUMMYFUNCTION("SPLIT('2. c'!B507, "" "", True, True)"),"Bacillus")</f>
        <v>Bacillus</v>
      </c>
      <c r="D507" t="str">
        <f>IFERROR(__xludf.DUMMYFUNCTION("""COMPUTED_VALUE"""),"subtilis")</f>
        <v>subtilis</v>
      </c>
      <c r="E507" t="str">
        <f>IFERROR(__xludf.DUMMYFUNCTION("""COMPUTED_VALUE"""),"KCTC")</f>
        <v>KCTC</v>
      </c>
      <c r="F507">
        <f>IFERROR(__xludf.DUMMYFUNCTION("""COMPUTED_VALUE"""),1028.0)</f>
        <v>1028</v>
      </c>
    </row>
    <row r="508" ht="15.75" customHeight="1">
      <c r="A508" t="str">
        <f t="shared" si="1"/>
        <v>B.subtilis</v>
      </c>
      <c r="B508" s="5" t="s">
        <v>523</v>
      </c>
      <c r="C508" s="6" t="str">
        <f>IFERROR(__xludf.DUMMYFUNCTION("SPLIT('2. c'!B508, "" "", True, True)"),"Bacillus")</f>
        <v>Bacillus</v>
      </c>
      <c r="D508" t="str">
        <f>IFERROR(__xludf.DUMMYFUNCTION("""COMPUTED_VALUE"""),"subtilis")</f>
        <v>subtilis</v>
      </c>
      <c r="E508" t="str">
        <f>IFERROR(__xludf.DUMMYFUNCTION("""COMPUTED_VALUE"""),"PS832")</f>
        <v>PS832</v>
      </c>
    </row>
    <row r="509" ht="15.75" customHeight="1">
      <c r="A509" t="str">
        <f t="shared" si="1"/>
        <v>B.subtilis</v>
      </c>
      <c r="B509" s="5" t="s">
        <v>524</v>
      </c>
      <c r="C509" s="6" t="str">
        <f>IFERROR(__xludf.DUMMYFUNCTION("SPLIT('2. c'!B509, "" "", True, True)"),"Bacillus")</f>
        <v>Bacillus</v>
      </c>
      <c r="D509" t="str">
        <f>IFERROR(__xludf.DUMMYFUNCTION("""COMPUTED_VALUE"""),"subtilis")</f>
        <v>subtilis</v>
      </c>
      <c r="E509" t="str">
        <f>IFERROR(__xludf.DUMMYFUNCTION("""COMPUTED_VALUE"""),"PY79")</f>
        <v>PY79</v>
      </c>
    </row>
    <row r="510" ht="15.75" customHeight="1">
      <c r="A510" t="str">
        <f t="shared" si="1"/>
        <v>B.subtilis</v>
      </c>
      <c r="B510" s="5" t="s">
        <v>525</v>
      </c>
      <c r="C510" s="6" t="str">
        <f>IFERROR(__xludf.DUMMYFUNCTION("SPLIT('2. c'!B510, "" "", True, True)"),"Bacillus")</f>
        <v>Bacillus</v>
      </c>
      <c r="D510" t="str">
        <f>IFERROR(__xludf.DUMMYFUNCTION("""COMPUTED_VALUE"""),"subtilis")</f>
        <v>subtilis</v>
      </c>
      <c r="E510" t="str">
        <f>IFERROR(__xludf.DUMMYFUNCTION("""COMPUTED_VALUE"""),"QB928")</f>
        <v>QB928</v>
      </c>
    </row>
    <row r="511" ht="15.75" customHeight="1">
      <c r="A511" t="str">
        <f t="shared" si="1"/>
        <v>B.subtilis</v>
      </c>
      <c r="B511" s="5" t="s">
        <v>526</v>
      </c>
      <c r="C511" s="6" t="str">
        <f>IFERROR(__xludf.DUMMYFUNCTION("SPLIT('2. c'!B511, "" "", True, True)"),"Bacillus")</f>
        <v>Bacillus</v>
      </c>
      <c r="D511" t="str">
        <f>IFERROR(__xludf.DUMMYFUNCTION("""COMPUTED_VALUE"""),"subtilis")</f>
        <v>subtilis</v>
      </c>
      <c r="E511" t="str">
        <f>IFERROR(__xludf.DUMMYFUNCTION("""COMPUTED_VALUE"""),"SG6")</f>
        <v>SG6</v>
      </c>
    </row>
    <row r="512" ht="15.75" customHeight="1">
      <c r="A512" t="str">
        <f t="shared" si="1"/>
        <v>B.subtilis</v>
      </c>
      <c r="B512" s="5" t="s">
        <v>527</v>
      </c>
      <c r="C512" s="6" t="str">
        <f>IFERROR(__xludf.DUMMYFUNCTION("SPLIT('2. c'!B512, "" "", True, True)"),"Bacillus")</f>
        <v>Bacillus</v>
      </c>
      <c r="D512" t="str">
        <f>IFERROR(__xludf.DUMMYFUNCTION("""COMPUTED_VALUE"""),"subtilis")</f>
        <v>subtilis</v>
      </c>
      <c r="E512" t="str">
        <f>IFERROR(__xludf.DUMMYFUNCTION("""COMPUTED_VALUE"""),"strain")</f>
        <v>strain</v>
      </c>
      <c r="F512" t="str">
        <f>IFERROR(__xludf.DUMMYFUNCTION("""COMPUTED_VALUE"""),"BST")</f>
        <v>BST</v>
      </c>
    </row>
    <row r="513" ht="15.75" customHeight="1">
      <c r="A513" t="str">
        <f t="shared" si="1"/>
        <v>B.subtilis</v>
      </c>
      <c r="B513" s="5" t="s">
        <v>528</v>
      </c>
      <c r="C513" s="6" t="str">
        <f>IFERROR(__xludf.DUMMYFUNCTION("SPLIT('2. c'!B513, "" "", True, True)"),"Bacillus")</f>
        <v>Bacillus</v>
      </c>
      <c r="D513" t="str">
        <f>IFERROR(__xludf.DUMMYFUNCTION("""COMPUTED_VALUE"""),"subtilis")</f>
        <v>subtilis</v>
      </c>
      <c r="E513" t="str">
        <f>IFERROR(__xludf.DUMMYFUNCTION("""COMPUTED_VALUE"""),"strain")</f>
        <v>strain</v>
      </c>
      <c r="F513" t="str">
        <f>IFERROR(__xludf.DUMMYFUNCTION("""COMPUTED_VALUE"""),"SZMC")</f>
        <v>SZMC</v>
      </c>
      <c r="G513" t="str">
        <f>IFERROR(__xludf.DUMMYFUNCTION("""COMPUTED_VALUE"""),"6179J")</f>
        <v>6179J</v>
      </c>
    </row>
    <row r="514" ht="15.75" customHeight="1">
      <c r="A514" t="str">
        <f t="shared" si="1"/>
        <v>B.subtilis</v>
      </c>
      <c r="B514" s="5" t="s">
        <v>529</v>
      </c>
      <c r="C514" s="6" t="str">
        <f>IFERROR(__xludf.DUMMYFUNCTION("SPLIT('2. c'!B514, "" "", True, True)"),"Bacillus")</f>
        <v>Bacillus</v>
      </c>
      <c r="D514" t="str">
        <f>IFERROR(__xludf.DUMMYFUNCTION("""COMPUTED_VALUE"""),"subtilis")</f>
        <v>subtilis</v>
      </c>
      <c r="E514" t="str">
        <f>IFERROR(__xludf.DUMMYFUNCTION("""COMPUTED_VALUE"""),"strain")</f>
        <v>strain</v>
      </c>
      <c r="F514" t="str">
        <f>IFERROR(__xludf.DUMMYFUNCTION("""COMPUTED_VALUE"""),"T30")</f>
        <v>T30</v>
      </c>
    </row>
    <row r="515" ht="15.75" customHeight="1">
      <c r="A515" t="str">
        <f t="shared" si="1"/>
        <v>B.subtilis</v>
      </c>
      <c r="B515" s="5" t="s">
        <v>530</v>
      </c>
      <c r="C515" s="6" t="str">
        <f>IFERROR(__xludf.DUMMYFUNCTION("SPLIT('2. c'!B515, "" "", True, True)"),"Bacillus")</f>
        <v>Bacillus</v>
      </c>
      <c r="D515" t="str">
        <f>IFERROR(__xludf.DUMMYFUNCTION("""COMPUTED_VALUE"""),"subtilis")</f>
        <v>subtilis</v>
      </c>
      <c r="E515" t="str">
        <f>IFERROR(__xludf.DUMMYFUNCTION("""COMPUTED_VALUE"""),"strain")</f>
        <v>strain</v>
      </c>
      <c r="F515" t="str">
        <f>IFERROR(__xludf.DUMMYFUNCTION("""COMPUTED_VALUE"""),"TO-A")</f>
        <v>TO-A</v>
      </c>
      <c r="G515" t="str">
        <f>IFERROR(__xludf.DUMMYFUNCTION("""COMPUTED_VALUE"""),"JPC")</f>
        <v>JPC</v>
      </c>
    </row>
    <row r="516" ht="15.75" customHeight="1">
      <c r="A516" t="str">
        <f t="shared" si="1"/>
        <v>B.subtilis</v>
      </c>
      <c r="B516" s="5" t="s">
        <v>531</v>
      </c>
      <c r="C516" s="6" t="str">
        <f>IFERROR(__xludf.DUMMYFUNCTION("SPLIT('2. c'!B516, "" "", True, True)"),"Bacillus")</f>
        <v>Bacillus</v>
      </c>
      <c r="D516" t="str">
        <f>IFERROR(__xludf.DUMMYFUNCTION("""COMPUTED_VALUE"""),"subtilis")</f>
        <v>subtilis</v>
      </c>
      <c r="E516" t="str">
        <f>IFERROR(__xludf.DUMMYFUNCTION("""COMPUTED_VALUE"""),"strain")</f>
        <v>strain</v>
      </c>
      <c r="F516" t="str">
        <f>IFERROR(__xludf.DUMMYFUNCTION("""COMPUTED_VALUE"""),"UD1022")</f>
        <v>UD1022</v>
      </c>
    </row>
    <row r="517" ht="15.75" customHeight="1">
      <c r="A517" t="str">
        <f t="shared" si="1"/>
        <v>B.subtilis</v>
      </c>
      <c r="B517" s="5" t="s">
        <v>532</v>
      </c>
      <c r="C517" s="6" t="str">
        <f>IFERROR(__xludf.DUMMYFUNCTION("SPLIT('2. c'!B517, "" "", True, True)"),"Bacillus")</f>
        <v>Bacillus</v>
      </c>
      <c r="D517" t="str">
        <f>IFERROR(__xludf.DUMMYFUNCTION("""COMPUTED_VALUE"""),"subtilis")</f>
        <v>subtilis</v>
      </c>
      <c r="E517" t="str">
        <f>IFERROR(__xludf.DUMMYFUNCTION("""COMPUTED_VALUE"""),"subsp.")</f>
        <v>subsp.</v>
      </c>
      <c r="F517" t="str">
        <f>IFERROR(__xludf.DUMMYFUNCTION("""COMPUTED_VALUE"""),"globigii")</f>
        <v>globigii</v>
      </c>
    </row>
    <row r="518" ht="15.75" customHeight="1">
      <c r="A518" t="str">
        <f t="shared" si="1"/>
        <v>B.subtilis</v>
      </c>
      <c r="B518" s="5" t="s">
        <v>533</v>
      </c>
      <c r="C518" s="6" t="str">
        <f>IFERROR(__xludf.DUMMYFUNCTION("SPLIT('2. c'!B518, "" "", True, True)"),"Bacillus")</f>
        <v>Bacillus</v>
      </c>
      <c r="D518" t="str">
        <f>IFERROR(__xludf.DUMMYFUNCTION("""COMPUTED_VALUE"""),"subtilis")</f>
        <v>subtilis</v>
      </c>
      <c r="E518" t="str">
        <f>IFERROR(__xludf.DUMMYFUNCTION("""COMPUTED_VALUE"""),"subsp.")</f>
        <v>subsp.</v>
      </c>
      <c r="F518" t="str">
        <f>IFERROR(__xludf.DUMMYFUNCTION("""COMPUTED_VALUE"""),"inaquosorum")</f>
        <v>inaquosorum</v>
      </c>
    </row>
    <row r="519" ht="15.75" customHeight="1">
      <c r="A519" t="str">
        <f t="shared" si="1"/>
        <v>B.subtilis</v>
      </c>
      <c r="B519" s="5" t="s">
        <v>534</v>
      </c>
      <c r="C519" s="6" t="str">
        <f>IFERROR(__xludf.DUMMYFUNCTION("SPLIT('2. c'!B519, "" "", True, True)"),"Bacillus")</f>
        <v>Bacillus</v>
      </c>
      <c r="D519" t="str">
        <f>IFERROR(__xludf.DUMMYFUNCTION("""COMPUTED_VALUE"""),"subtilis")</f>
        <v>subtilis</v>
      </c>
      <c r="E519" t="str">
        <f>IFERROR(__xludf.DUMMYFUNCTION("""COMPUTED_VALUE"""),"subsp.")</f>
        <v>subsp.</v>
      </c>
      <c r="F519" t="str">
        <f>IFERROR(__xludf.DUMMYFUNCTION("""COMPUTED_VALUE"""),"natto")</f>
        <v>natto</v>
      </c>
    </row>
    <row r="520" ht="15.75" customHeight="1">
      <c r="A520" t="str">
        <f t="shared" si="1"/>
        <v>B.subtilis</v>
      </c>
      <c r="B520" s="5" t="s">
        <v>535</v>
      </c>
      <c r="C520" s="6" t="str">
        <f>IFERROR(__xludf.DUMMYFUNCTION("SPLIT('2. c'!B520, "" "", True, True)"),"Bacillus")</f>
        <v>Bacillus</v>
      </c>
      <c r="D520" t="str">
        <f>IFERROR(__xludf.DUMMYFUNCTION("""COMPUTED_VALUE"""),"subtilis")</f>
        <v>subtilis</v>
      </c>
      <c r="E520" t="str">
        <f>IFERROR(__xludf.DUMMYFUNCTION("""COMPUTED_VALUE"""),"subsp.")</f>
        <v>subsp.</v>
      </c>
      <c r="F520" t="str">
        <f>IFERROR(__xludf.DUMMYFUNCTION("""COMPUTED_VALUE"""),"natto")</f>
        <v>natto</v>
      </c>
      <c r="G520" t="str">
        <f>IFERROR(__xludf.DUMMYFUNCTION("""COMPUTED_VALUE"""),"BEST195")</f>
        <v>BEST195</v>
      </c>
    </row>
    <row r="521" ht="15.75" customHeight="1">
      <c r="A521" t="str">
        <f t="shared" si="1"/>
        <v>B.subtilis</v>
      </c>
      <c r="B521" s="5" t="s">
        <v>536</v>
      </c>
      <c r="C521" s="6" t="str">
        <f>IFERROR(__xludf.DUMMYFUNCTION("SPLIT('2. c'!B521, "" "", True, True)"),"Bacillus")</f>
        <v>Bacillus</v>
      </c>
      <c r="D521" t="str">
        <f>IFERROR(__xludf.DUMMYFUNCTION("""COMPUTED_VALUE"""),"subtilis")</f>
        <v>subtilis</v>
      </c>
      <c r="E521" t="str">
        <f>IFERROR(__xludf.DUMMYFUNCTION("""COMPUTED_VALUE"""),"subsp.")</f>
        <v>subsp.</v>
      </c>
      <c r="F521" t="str">
        <f>IFERROR(__xludf.DUMMYFUNCTION("""COMPUTED_VALUE"""),"spizizenii")</f>
        <v>spizizenii</v>
      </c>
      <c r="G521" t="str">
        <f>IFERROR(__xludf.DUMMYFUNCTION("""COMPUTED_VALUE"""),"NRS")</f>
        <v>NRS</v>
      </c>
      <c r="H521">
        <f>IFERROR(__xludf.DUMMYFUNCTION("""COMPUTED_VALUE"""),231.0)</f>
        <v>231</v>
      </c>
    </row>
    <row r="522" ht="15.75" customHeight="1">
      <c r="A522" t="str">
        <f t="shared" si="1"/>
        <v>B.subtilis</v>
      </c>
      <c r="B522" s="5" t="s">
        <v>537</v>
      </c>
      <c r="C522" s="6" t="str">
        <f>IFERROR(__xludf.DUMMYFUNCTION("SPLIT('2. c'!B522, "" "", True, True)"),"Bacillus")</f>
        <v>Bacillus</v>
      </c>
      <c r="D522" t="str">
        <f>IFERROR(__xludf.DUMMYFUNCTION("""COMPUTED_VALUE"""),"subtilis")</f>
        <v>subtilis</v>
      </c>
      <c r="E522" t="str">
        <f>IFERROR(__xludf.DUMMYFUNCTION("""COMPUTED_VALUE"""),"subsp.")</f>
        <v>subsp.</v>
      </c>
      <c r="F522" t="str">
        <f>IFERROR(__xludf.DUMMYFUNCTION("""COMPUTED_VALUE"""),"spizizenii")</f>
        <v>spizizenii</v>
      </c>
      <c r="G522" t="str">
        <f>IFERROR(__xludf.DUMMYFUNCTION("""COMPUTED_VALUE"""),"str.")</f>
        <v>str.</v>
      </c>
      <c r="H522" t="str">
        <f>IFERROR(__xludf.DUMMYFUNCTION("""COMPUTED_VALUE"""),"W23")</f>
        <v>W23</v>
      </c>
    </row>
    <row r="523" ht="15.75" customHeight="1">
      <c r="A523" t="str">
        <f t="shared" si="1"/>
        <v>B.subtilis</v>
      </c>
      <c r="B523" s="5" t="s">
        <v>538</v>
      </c>
      <c r="C523" s="6" t="str">
        <f>IFERROR(__xludf.DUMMYFUNCTION("SPLIT('2. c'!B523, "" "", True, True)"),"Bacillus")</f>
        <v>Bacillus</v>
      </c>
      <c r="D523" t="str">
        <f>IFERROR(__xludf.DUMMYFUNCTION("""COMPUTED_VALUE"""),"subtilis")</f>
        <v>subtilis</v>
      </c>
      <c r="E523" t="str">
        <f>IFERROR(__xludf.DUMMYFUNCTION("""COMPUTED_VALUE"""),"subsp.")</f>
        <v>subsp.</v>
      </c>
      <c r="F523" t="str">
        <f>IFERROR(__xludf.DUMMYFUNCTION("""COMPUTED_VALUE"""),"spizizenii")</f>
        <v>spizizenii</v>
      </c>
      <c r="G523" t="str">
        <f>IFERROR(__xludf.DUMMYFUNCTION("""COMPUTED_VALUE"""),"TU-B-10")</f>
        <v>TU-B-10</v>
      </c>
    </row>
    <row r="524" ht="15.75" customHeight="1">
      <c r="A524" t="str">
        <f t="shared" si="1"/>
        <v>B.subtilis</v>
      </c>
      <c r="B524" s="5" t="s">
        <v>539</v>
      </c>
      <c r="C524" s="6" t="str">
        <f>IFERROR(__xludf.DUMMYFUNCTION("SPLIT('2. c'!B524, "" "", True, True)"),"Bacillus")</f>
        <v>Bacillus</v>
      </c>
      <c r="D524" t="str">
        <f>IFERROR(__xludf.DUMMYFUNCTION("""COMPUTED_VALUE"""),"subtilis")</f>
        <v>subtilis</v>
      </c>
      <c r="E524" t="str">
        <f>IFERROR(__xludf.DUMMYFUNCTION("""COMPUTED_VALUE"""),"subsp.")</f>
        <v>subsp.</v>
      </c>
      <c r="F524" t="str">
        <f>IFERROR(__xludf.DUMMYFUNCTION("""COMPUTED_VALUE"""),"subtilis")</f>
        <v>subtilis</v>
      </c>
    </row>
    <row r="525" ht="15.75" customHeight="1">
      <c r="A525" t="str">
        <f t="shared" si="1"/>
        <v>B.subtilis</v>
      </c>
      <c r="B525" s="5" t="s">
        <v>539</v>
      </c>
      <c r="C525" s="6" t="str">
        <f>IFERROR(__xludf.DUMMYFUNCTION("SPLIT('2. c'!B525, "" "", True, True)"),"Bacillus")</f>
        <v>Bacillus</v>
      </c>
      <c r="D525" t="str">
        <f>IFERROR(__xludf.DUMMYFUNCTION("""COMPUTED_VALUE"""),"subtilis")</f>
        <v>subtilis</v>
      </c>
      <c r="E525" t="str">
        <f>IFERROR(__xludf.DUMMYFUNCTION("""COMPUTED_VALUE"""),"subsp.")</f>
        <v>subsp.</v>
      </c>
      <c r="F525" t="str">
        <f>IFERROR(__xludf.DUMMYFUNCTION("""COMPUTED_VALUE"""),"subtilis")</f>
        <v>subtilis</v>
      </c>
    </row>
    <row r="526" ht="15.75" customHeight="1">
      <c r="A526" t="str">
        <f t="shared" si="1"/>
        <v>B.subtilis</v>
      </c>
      <c r="B526" s="5" t="s">
        <v>539</v>
      </c>
      <c r="C526" s="6" t="str">
        <f>IFERROR(__xludf.DUMMYFUNCTION("SPLIT('2. c'!B526, "" "", True, True)"),"Bacillus")</f>
        <v>Bacillus</v>
      </c>
      <c r="D526" t="str">
        <f>IFERROR(__xludf.DUMMYFUNCTION("""COMPUTED_VALUE"""),"subtilis")</f>
        <v>subtilis</v>
      </c>
      <c r="E526" t="str">
        <f>IFERROR(__xludf.DUMMYFUNCTION("""COMPUTED_VALUE"""),"subsp.")</f>
        <v>subsp.</v>
      </c>
      <c r="F526" t="str">
        <f>IFERROR(__xludf.DUMMYFUNCTION("""COMPUTED_VALUE"""),"subtilis")</f>
        <v>subtilis</v>
      </c>
    </row>
    <row r="527" ht="15.75" customHeight="1">
      <c r="A527" t="str">
        <f t="shared" si="1"/>
        <v>B.subtilis</v>
      </c>
      <c r="B527" s="5" t="s">
        <v>539</v>
      </c>
      <c r="C527" s="6" t="str">
        <f>IFERROR(__xludf.DUMMYFUNCTION("SPLIT('2. c'!B527, "" "", True, True)"),"Bacillus")</f>
        <v>Bacillus</v>
      </c>
      <c r="D527" t="str">
        <f>IFERROR(__xludf.DUMMYFUNCTION("""COMPUTED_VALUE"""),"subtilis")</f>
        <v>subtilis</v>
      </c>
      <c r="E527" t="str">
        <f>IFERROR(__xludf.DUMMYFUNCTION("""COMPUTED_VALUE"""),"subsp.")</f>
        <v>subsp.</v>
      </c>
      <c r="F527" t="str">
        <f>IFERROR(__xludf.DUMMYFUNCTION("""COMPUTED_VALUE"""),"subtilis")</f>
        <v>subtilis</v>
      </c>
    </row>
    <row r="528" ht="15.75" customHeight="1">
      <c r="A528" t="str">
        <f t="shared" si="1"/>
        <v>B.subtilis</v>
      </c>
      <c r="B528" s="5" t="s">
        <v>540</v>
      </c>
      <c r="C528" s="6" t="str">
        <f>IFERROR(__xludf.DUMMYFUNCTION("SPLIT('2. c'!B528, "" "", True, True)"),"Bacillus")</f>
        <v>Bacillus</v>
      </c>
      <c r="D528" t="str">
        <f>IFERROR(__xludf.DUMMYFUNCTION("""COMPUTED_VALUE"""),"subtilis")</f>
        <v>subtilis</v>
      </c>
      <c r="E528" t="str">
        <f>IFERROR(__xludf.DUMMYFUNCTION("""COMPUTED_VALUE"""),"subsp.")</f>
        <v>subsp.</v>
      </c>
      <c r="F528" t="str">
        <f>IFERROR(__xludf.DUMMYFUNCTION("""COMPUTED_VALUE"""),"subtilis")</f>
        <v>subtilis</v>
      </c>
      <c r="G528" t="str">
        <f>IFERROR(__xludf.DUMMYFUNCTION("""COMPUTED_VALUE"""),"6051-HGW")</f>
        <v>6051-HGW</v>
      </c>
    </row>
    <row r="529" ht="15.75" customHeight="1">
      <c r="A529" t="str">
        <f t="shared" si="1"/>
        <v>B.subtilis</v>
      </c>
      <c r="B529" s="5" t="s">
        <v>541</v>
      </c>
      <c r="C529" s="6" t="str">
        <f>IFERROR(__xludf.DUMMYFUNCTION("SPLIT('2. c'!B529, "" "", True, True)"),"Bacillus")</f>
        <v>Bacillus</v>
      </c>
      <c r="D529" t="str">
        <f>IFERROR(__xludf.DUMMYFUNCTION("""COMPUTED_VALUE"""),"subtilis")</f>
        <v>subtilis</v>
      </c>
      <c r="E529" t="str">
        <f>IFERROR(__xludf.DUMMYFUNCTION("""COMPUTED_VALUE"""),"subsp.")</f>
        <v>subsp.</v>
      </c>
      <c r="F529" t="str">
        <f>IFERROR(__xludf.DUMMYFUNCTION("""COMPUTED_VALUE"""),"subtilis")</f>
        <v>subtilis</v>
      </c>
      <c r="G529" t="str">
        <f>IFERROR(__xludf.DUMMYFUNCTION("""COMPUTED_VALUE"""),"str.")</f>
        <v>str.</v>
      </c>
      <c r="H529">
        <f>IFERROR(__xludf.DUMMYFUNCTION("""COMPUTED_VALUE"""),168.0)</f>
        <v>168</v>
      </c>
    </row>
    <row r="530" ht="15.75" customHeight="1">
      <c r="A530" t="str">
        <f t="shared" si="1"/>
        <v>B.subtilis</v>
      </c>
      <c r="B530" s="5" t="s">
        <v>541</v>
      </c>
      <c r="C530" s="6" t="str">
        <f>IFERROR(__xludf.DUMMYFUNCTION("SPLIT('2. c'!B530, "" "", True, True)"),"Bacillus")</f>
        <v>Bacillus</v>
      </c>
      <c r="D530" t="str">
        <f>IFERROR(__xludf.DUMMYFUNCTION("""COMPUTED_VALUE"""),"subtilis")</f>
        <v>subtilis</v>
      </c>
      <c r="E530" t="str">
        <f>IFERROR(__xludf.DUMMYFUNCTION("""COMPUTED_VALUE"""),"subsp.")</f>
        <v>subsp.</v>
      </c>
      <c r="F530" t="str">
        <f>IFERROR(__xludf.DUMMYFUNCTION("""COMPUTED_VALUE"""),"subtilis")</f>
        <v>subtilis</v>
      </c>
      <c r="G530" t="str">
        <f>IFERROR(__xludf.DUMMYFUNCTION("""COMPUTED_VALUE"""),"str.")</f>
        <v>str.</v>
      </c>
      <c r="H530">
        <f>IFERROR(__xludf.DUMMYFUNCTION("""COMPUTED_VALUE"""),168.0)</f>
        <v>168</v>
      </c>
    </row>
    <row r="531" ht="15.75" customHeight="1">
      <c r="A531" t="str">
        <f t="shared" si="1"/>
        <v>B.subtilis</v>
      </c>
      <c r="B531" s="5" t="s">
        <v>542</v>
      </c>
      <c r="C531" s="6" t="str">
        <f>IFERROR(__xludf.DUMMYFUNCTION("SPLIT('2. c'!B531, "" "", True, True)"),"Bacillus")</f>
        <v>Bacillus</v>
      </c>
      <c r="D531" t="str">
        <f>IFERROR(__xludf.DUMMYFUNCTION("""COMPUTED_VALUE"""),"subtilis")</f>
        <v>subtilis</v>
      </c>
      <c r="E531" t="str">
        <f>IFERROR(__xludf.DUMMYFUNCTION("""COMPUTED_VALUE"""),"subsp.")</f>
        <v>subsp.</v>
      </c>
      <c r="F531" t="str">
        <f>IFERROR(__xludf.DUMMYFUNCTION("""COMPUTED_VALUE"""),"subtilis")</f>
        <v>subtilis</v>
      </c>
      <c r="G531" t="str">
        <f>IFERROR(__xludf.DUMMYFUNCTION("""COMPUTED_VALUE"""),"str.")</f>
        <v>str.</v>
      </c>
      <c r="H531" t="str">
        <f>IFERROR(__xludf.DUMMYFUNCTION("""COMPUTED_VALUE"""),"AG1839")</f>
        <v>AG1839</v>
      </c>
    </row>
    <row r="532" ht="15.75" customHeight="1">
      <c r="A532" t="str">
        <f t="shared" si="1"/>
        <v>B.subtilis</v>
      </c>
      <c r="B532" s="5" t="s">
        <v>543</v>
      </c>
      <c r="C532" s="6" t="str">
        <f>IFERROR(__xludf.DUMMYFUNCTION("SPLIT('2. c'!B532, "" "", True, True)"),"Bacillus")</f>
        <v>Bacillus</v>
      </c>
      <c r="D532" t="str">
        <f>IFERROR(__xludf.DUMMYFUNCTION("""COMPUTED_VALUE"""),"subtilis")</f>
        <v>subtilis</v>
      </c>
      <c r="E532" t="str">
        <f>IFERROR(__xludf.DUMMYFUNCTION("""COMPUTED_VALUE"""),"subsp.")</f>
        <v>subsp.</v>
      </c>
      <c r="F532" t="str">
        <f>IFERROR(__xludf.DUMMYFUNCTION("""COMPUTED_VALUE"""),"subtilis")</f>
        <v>subtilis</v>
      </c>
      <c r="G532" t="str">
        <f>IFERROR(__xludf.DUMMYFUNCTION("""COMPUTED_VALUE"""),"str.")</f>
        <v>str.</v>
      </c>
      <c r="H532" t="str">
        <f>IFERROR(__xludf.DUMMYFUNCTION("""COMPUTED_VALUE"""),"BAB-1")</f>
        <v>BAB-1</v>
      </c>
    </row>
    <row r="533" ht="15.75" customHeight="1">
      <c r="A533" t="str">
        <f t="shared" si="1"/>
        <v>B.subtilis</v>
      </c>
      <c r="B533" s="5" t="s">
        <v>544</v>
      </c>
      <c r="C533" s="6" t="str">
        <f>IFERROR(__xludf.DUMMYFUNCTION("SPLIT('2. c'!B533, "" "", True, True)"),"Bacillus")</f>
        <v>Bacillus</v>
      </c>
      <c r="D533" t="str">
        <f>IFERROR(__xludf.DUMMYFUNCTION("""COMPUTED_VALUE"""),"subtilis")</f>
        <v>subtilis</v>
      </c>
      <c r="E533" t="str">
        <f>IFERROR(__xludf.DUMMYFUNCTION("""COMPUTED_VALUE"""),"subsp.")</f>
        <v>subsp.</v>
      </c>
      <c r="F533" t="str">
        <f>IFERROR(__xludf.DUMMYFUNCTION("""COMPUTED_VALUE"""),"subtilis")</f>
        <v>subtilis</v>
      </c>
      <c r="G533" t="str">
        <f>IFERROR(__xludf.DUMMYFUNCTION("""COMPUTED_VALUE"""),"str.")</f>
        <v>str.</v>
      </c>
      <c r="H533" t="str">
        <f>IFERROR(__xludf.DUMMYFUNCTION("""COMPUTED_VALUE"""),"BSP1")</f>
        <v>BSP1</v>
      </c>
    </row>
    <row r="534" ht="15.75" customHeight="1">
      <c r="A534" t="str">
        <f t="shared" si="1"/>
        <v>B.subtilis</v>
      </c>
      <c r="B534" s="5" t="s">
        <v>545</v>
      </c>
      <c r="C534" s="6" t="str">
        <f>IFERROR(__xludf.DUMMYFUNCTION("SPLIT('2. c'!B534, "" "", True, True)"),"Bacillus")</f>
        <v>Bacillus</v>
      </c>
      <c r="D534" t="str">
        <f>IFERROR(__xludf.DUMMYFUNCTION("""COMPUTED_VALUE"""),"subtilis")</f>
        <v>subtilis</v>
      </c>
      <c r="E534" t="str">
        <f>IFERROR(__xludf.DUMMYFUNCTION("""COMPUTED_VALUE"""),"subsp.")</f>
        <v>subsp.</v>
      </c>
      <c r="F534" t="str">
        <f>IFERROR(__xludf.DUMMYFUNCTION("""COMPUTED_VALUE"""),"subtilis")</f>
        <v>subtilis</v>
      </c>
      <c r="G534" t="str">
        <f>IFERROR(__xludf.DUMMYFUNCTION("""COMPUTED_VALUE"""),"str.")</f>
        <v>str.</v>
      </c>
      <c r="H534" t="str">
        <f>IFERROR(__xludf.DUMMYFUNCTION("""COMPUTED_VALUE"""),"JH642")</f>
        <v>JH642</v>
      </c>
      <c r="I534" t="str">
        <f>IFERROR(__xludf.DUMMYFUNCTION("""COMPUTED_VALUE"""),"substr.")</f>
        <v>substr.</v>
      </c>
      <c r="J534" t="str">
        <f>IFERROR(__xludf.DUMMYFUNCTION("""COMPUTED_VALUE"""),"AG174")</f>
        <v>AG174</v>
      </c>
    </row>
    <row r="535" ht="15.75" customHeight="1">
      <c r="A535" t="str">
        <f t="shared" si="1"/>
        <v>B.subtilis</v>
      </c>
      <c r="B535" s="5" t="s">
        <v>546</v>
      </c>
      <c r="C535" s="6" t="str">
        <f>IFERROR(__xludf.DUMMYFUNCTION("SPLIT('2. c'!B535, "" "", True, True)"),"Bacillus")</f>
        <v>Bacillus</v>
      </c>
      <c r="D535" t="str">
        <f>IFERROR(__xludf.DUMMYFUNCTION("""COMPUTED_VALUE"""),"subtilis")</f>
        <v>subtilis</v>
      </c>
      <c r="E535" t="str">
        <f>IFERROR(__xludf.DUMMYFUNCTION("""COMPUTED_VALUE"""),"subsp.")</f>
        <v>subsp.</v>
      </c>
      <c r="F535" t="str">
        <f>IFERROR(__xludf.DUMMYFUNCTION("""COMPUTED_VALUE"""),"subtilis")</f>
        <v>subtilis</v>
      </c>
      <c r="G535" t="str">
        <f>IFERROR(__xludf.DUMMYFUNCTION("""COMPUTED_VALUE"""),"str.")</f>
        <v>str.</v>
      </c>
      <c r="H535" t="str">
        <f>IFERROR(__xludf.DUMMYFUNCTION("""COMPUTED_VALUE"""),"OH")</f>
        <v>OH</v>
      </c>
      <c r="I535" t="str">
        <f>IFERROR(__xludf.DUMMYFUNCTION("""COMPUTED_VALUE"""),"131.1")</f>
        <v>131.1</v>
      </c>
    </row>
    <row r="536" ht="15.75" customHeight="1">
      <c r="A536" t="str">
        <f t="shared" si="1"/>
        <v>B.subtilis</v>
      </c>
      <c r="B536" s="5" t="s">
        <v>547</v>
      </c>
      <c r="C536" s="6" t="str">
        <f>IFERROR(__xludf.DUMMYFUNCTION("SPLIT('2. c'!B536, "" "", True, True)"),"Bacillus")</f>
        <v>Bacillus</v>
      </c>
      <c r="D536" t="str">
        <f>IFERROR(__xludf.DUMMYFUNCTION("""COMPUTED_VALUE"""),"subtilis")</f>
        <v>subtilis</v>
      </c>
      <c r="E536" t="str">
        <f>IFERROR(__xludf.DUMMYFUNCTION("""COMPUTED_VALUE"""),"subsp.")</f>
        <v>subsp.</v>
      </c>
      <c r="F536" t="str">
        <f>IFERROR(__xludf.DUMMYFUNCTION("""COMPUTED_VALUE"""),"subtilis")</f>
        <v>subtilis</v>
      </c>
      <c r="G536" t="str">
        <f>IFERROR(__xludf.DUMMYFUNCTION("""COMPUTED_VALUE"""),"str.")</f>
        <v>str.</v>
      </c>
      <c r="H536" t="str">
        <f>IFERROR(__xludf.DUMMYFUNCTION("""COMPUTED_VALUE"""),"RO-NN-1")</f>
        <v>RO-NN-1</v>
      </c>
    </row>
    <row r="537" ht="15.75" customHeight="1">
      <c r="A537" t="str">
        <f t="shared" si="1"/>
        <v>B.subtilis</v>
      </c>
      <c r="B537" s="5" t="s">
        <v>548</v>
      </c>
      <c r="C537" s="6" t="str">
        <f>IFERROR(__xludf.DUMMYFUNCTION("SPLIT('2. c'!B537, "" "", True, True)"),"Bacillus")</f>
        <v>Bacillus</v>
      </c>
      <c r="D537" t="str">
        <f>IFERROR(__xludf.DUMMYFUNCTION("""COMPUTED_VALUE"""),"subtilis")</f>
        <v>subtilis</v>
      </c>
      <c r="E537" t="str">
        <f>IFERROR(__xludf.DUMMYFUNCTION("""COMPUTED_VALUE"""),"subsp.")</f>
        <v>subsp.</v>
      </c>
      <c r="F537" t="str">
        <f>IFERROR(__xludf.DUMMYFUNCTION("""COMPUTED_VALUE"""),"subtilis")</f>
        <v>subtilis</v>
      </c>
      <c r="G537" t="str">
        <f>IFERROR(__xludf.DUMMYFUNCTION("""COMPUTED_VALUE"""),"strain")</f>
        <v>strain</v>
      </c>
      <c r="H537" t="str">
        <f>IFERROR(__xludf.DUMMYFUNCTION("""COMPUTED_VALUE"""),"3NA")</f>
        <v>3NA</v>
      </c>
    </row>
    <row r="538" ht="15.75" customHeight="1">
      <c r="A538" t="str">
        <f t="shared" si="1"/>
        <v>B.subtilis</v>
      </c>
      <c r="B538" s="5" t="s">
        <v>549</v>
      </c>
      <c r="C538" s="6" t="str">
        <f>IFERROR(__xludf.DUMMYFUNCTION("SPLIT('2. c'!B538, "" "", True, True)"),"Bacillus")</f>
        <v>Bacillus</v>
      </c>
      <c r="D538" t="str">
        <f>IFERROR(__xludf.DUMMYFUNCTION("""COMPUTED_VALUE"""),"subtilis")</f>
        <v>subtilis</v>
      </c>
      <c r="E538" t="str">
        <f>IFERROR(__xludf.DUMMYFUNCTION("""COMPUTED_VALUE"""),"TO-A")</f>
        <v>TO-A</v>
      </c>
    </row>
    <row r="539" ht="15.75" customHeight="1">
      <c r="A539" t="str">
        <f t="shared" si="1"/>
        <v>B.subtilis</v>
      </c>
      <c r="B539" s="5" t="s">
        <v>550</v>
      </c>
      <c r="C539" s="6" t="str">
        <f>IFERROR(__xludf.DUMMYFUNCTION("SPLIT('2. c'!B539, "" "", True, True)"),"Bacillus")</f>
        <v>Bacillus</v>
      </c>
      <c r="D539" t="str">
        <f>IFERROR(__xludf.DUMMYFUNCTION("""COMPUTED_VALUE"""),"subtilis")</f>
        <v>subtilis</v>
      </c>
      <c r="E539" t="str">
        <f>IFERROR(__xludf.DUMMYFUNCTION("""COMPUTED_VALUE"""),"XF-1")</f>
        <v>XF-1</v>
      </c>
    </row>
    <row r="540" ht="15.75" customHeight="1">
      <c r="A540" t="str">
        <f t="shared" si="1"/>
        <v>B.thuringiensis</v>
      </c>
      <c r="B540" s="5" t="s">
        <v>551</v>
      </c>
      <c r="C540" s="6" t="str">
        <f>IFERROR(__xludf.DUMMYFUNCTION("SPLIT('2. c'!B540, "" "", True, True)"),"Bacillus")</f>
        <v>Bacillus</v>
      </c>
      <c r="D540" t="str">
        <f>IFERROR(__xludf.DUMMYFUNCTION("""COMPUTED_VALUE"""),"thuringiensis")</f>
        <v>thuringiensis</v>
      </c>
      <c r="E540" t="str">
        <f>IFERROR(__xludf.DUMMYFUNCTION("""COMPUTED_VALUE"""),"97-27")</f>
        <v>97-27</v>
      </c>
    </row>
    <row r="541" ht="15.75" customHeight="1">
      <c r="A541" t="str">
        <f t="shared" si="1"/>
        <v>B.thuringiensis</v>
      </c>
      <c r="B541" s="5" t="s">
        <v>552</v>
      </c>
      <c r="C541" s="6" t="str">
        <f>IFERROR(__xludf.DUMMYFUNCTION("SPLIT('2. c'!B541, "" "", True, True)"),"Bacillus")</f>
        <v>Bacillus</v>
      </c>
      <c r="D541" t="str">
        <f>IFERROR(__xludf.DUMMYFUNCTION("""COMPUTED_VALUE"""),"thuringiensis")</f>
        <v>thuringiensis</v>
      </c>
      <c r="E541" t="str">
        <f>IFERROR(__xludf.DUMMYFUNCTION("""COMPUTED_VALUE"""),"BMB171")</f>
        <v>BMB171</v>
      </c>
    </row>
    <row r="542" ht="15.75" customHeight="1">
      <c r="A542" t="str">
        <f t="shared" si="1"/>
        <v>B.thuringiensis</v>
      </c>
      <c r="B542" s="5" t="s">
        <v>553</v>
      </c>
      <c r="C542" s="6" t="str">
        <f>IFERROR(__xludf.DUMMYFUNCTION("SPLIT('2. c'!B542, "" "", True, True)"),"Bacillus")</f>
        <v>Bacillus</v>
      </c>
      <c r="D542" t="str">
        <f>IFERROR(__xludf.DUMMYFUNCTION("""COMPUTED_VALUE"""),"thuringiensis")</f>
        <v>thuringiensis</v>
      </c>
      <c r="E542" t="str">
        <f>IFERROR(__xludf.DUMMYFUNCTION("""COMPUTED_VALUE"""),"Bt407")</f>
        <v>Bt407</v>
      </c>
    </row>
    <row r="543" ht="15.75" customHeight="1">
      <c r="A543" t="str">
        <f t="shared" si="1"/>
        <v>B.thuringiensis</v>
      </c>
      <c r="B543" s="5" t="s">
        <v>554</v>
      </c>
      <c r="C543" s="6" t="str">
        <f>IFERROR(__xludf.DUMMYFUNCTION("SPLIT('2. c'!B543, "" "", True, True)"),"Bacillus")</f>
        <v>Bacillus</v>
      </c>
      <c r="D543" t="str">
        <f>IFERROR(__xludf.DUMMYFUNCTION("""COMPUTED_VALUE"""),"thuringiensis")</f>
        <v>thuringiensis</v>
      </c>
      <c r="E543" t="str">
        <f>IFERROR(__xludf.DUMMYFUNCTION("""COMPUTED_VALUE"""),"HD1002")</f>
        <v>HD1002</v>
      </c>
    </row>
    <row r="544" ht="15.75" customHeight="1">
      <c r="A544" t="str">
        <f t="shared" si="1"/>
        <v>B.thuringiensis</v>
      </c>
      <c r="B544" s="5" t="s">
        <v>555</v>
      </c>
      <c r="C544" s="6" t="str">
        <f>IFERROR(__xludf.DUMMYFUNCTION("SPLIT('2. c'!B544, "" "", True, True)"),"Bacillus")</f>
        <v>Bacillus</v>
      </c>
      <c r="D544" t="str">
        <f>IFERROR(__xludf.DUMMYFUNCTION("""COMPUTED_VALUE"""),"thuringiensis")</f>
        <v>thuringiensis</v>
      </c>
      <c r="E544" t="str">
        <f>IFERROR(__xludf.DUMMYFUNCTION("""COMPUTED_VALUE"""),"HD1011")</f>
        <v>HD1011</v>
      </c>
    </row>
    <row r="545" ht="15.75" customHeight="1">
      <c r="A545" t="str">
        <f t="shared" si="1"/>
        <v>B.thuringiensis</v>
      </c>
      <c r="B545" s="5" t="s">
        <v>556</v>
      </c>
      <c r="C545" s="6" t="str">
        <f>IFERROR(__xludf.DUMMYFUNCTION("SPLIT('2. c'!B545, "" "", True, True)"),"Bacillus")</f>
        <v>Bacillus</v>
      </c>
      <c r="D545" t="str">
        <f>IFERROR(__xludf.DUMMYFUNCTION("""COMPUTED_VALUE"""),"thuringiensis")</f>
        <v>thuringiensis</v>
      </c>
      <c r="E545" t="str">
        <f>IFERROR(__xludf.DUMMYFUNCTION("""COMPUTED_VALUE"""),"HD571")</f>
        <v>HD571</v>
      </c>
    </row>
    <row r="546" ht="15.75" customHeight="1">
      <c r="A546" t="str">
        <f t="shared" si="1"/>
        <v>B.thuringiensis</v>
      </c>
      <c r="B546" s="5" t="s">
        <v>557</v>
      </c>
      <c r="C546" s="6" t="str">
        <f>IFERROR(__xludf.DUMMYFUNCTION("SPLIT('2. c'!B546, "" "", True, True)"),"Bacillus")</f>
        <v>Bacillus</v>
      </c>
      <c r="D546" t="str">
        <f>IFERROR(__xludf.DUMMYFUNCTION("""COMPUTED_VALUE"""),"thuringiensis")</f>
        <v>thuringiensis</v>
      </c>
      <c r="E546" t="str">
        <f>IFERROR(__xludf.DUMMYFUNCTION("""COMPUTED_VALUE"""),"HD682")</f>
        <v>HD682</v>
      </c>
    </row>
    <row r="547" ht="15.75" customHeight="1">
      <c r="A547" t="str">
        <f t="shared" si="1"/>
        <v>B.thuringiensis</v>
      </c>
      <c r="B547" s="5" t="s">
        <v>558</v>
      </c>
      <c r="C547" s="6" t="str">
        <f>IFERROR(__xludf.DUMMYFUNCTION("SPLIT('2. c'!B547, "" "", True, True)"),"Bacillus")</f>
        <v>Bacillus</v>
      </c>
      <c r="D547" t="str">
        <f>IFERROR(__xludf.DUMMYFUNCTION("""COMPUTED_VALUE"""),"thuringiensis")</f>
        <v>thuringiensis</v>
      </c>
      <c r="E547" t="str">
        <f>IFERROR(__xludf.DUMMYFUNCTION("""COMPUTED_VALUE"""),"HD-771")</f>
        <v>HD-771</v>
      </c>
    </row>
    <row r="548" ht="15.75" customHeight="1">
      <c r="A548" t="str">
        <f t="shared" si="1"/>
        <v>B.thuringiensis</v>
      </c>
      <c r="B548" s="5" t="s">
        <v>559</v>
      </c>
      <c r="C548" s="6" t="str">
        <f>IFERROR(__xludf.DUMMYFUNCTION("SPLIT('2. c'!B548, "" "", True, True)"),"Bacillus")</f>
        <v>Bacillus</v>
      </c>
      <c r="D548" t="str">
        <f>IFERROR(__xludf.DUMMYFUNCTION("""COMPUTED_VALUE"""),"thuringiensis")</f>
        <v>thuringiensis</v>
      </c>
      <c r="E548" t="str">
        <f>IFERROR(__xludf.DUMMYFUNCTION("""COMPUTED_VALUE"""),"HD-789")</f>
        <v>HD-789</v>
      </c>
    </row>
    <row r="549" ht="15.75" customHeight="1">
      <c r="A549" t="str">
        <f t="shared" si="1"/>
        <v>B.thuringiensis</v>
      </c>
      <c r="B549" s="5" t="s">
        <v>560</v>
      </c>
      <c r="C549" s="6" t="str">
        <f>IFERROR(__xludf.DUMMYFUNCTION("SPLIT('2. c'!B549, "" "", True, True)"),"Bacillus")</f>
        <v>Bacillus</v>
      </c>
      <c r="D549" t="str">
        <f>IFERROR(__xludf.DUMMYFUNCTION("""COMPUTED_VALUE"""),"thuringiensis")</f>
        <v>thuringiensis</v>
      </c>
      <c r="E549" t="str">
        <f>IFERROR(__xludf.DUMMYFUNCTION("""COMPUTED_VALUE"""),"MC28")</f>
        <v>MC28</v>
      </c>
    </row>
    <row r="550" ht="15.75" customHeight="1">
      <c r="A550" t="str">
        <f t="shared" si="1"/>
        <v>B.thuringiensis</v>
      </c>
      <c r="B550" s="5" t="s">
        <v>561</v>
      </c>
      <c r="C550" s="6" t="str">
        <f>IFERROR(__xludf.DUMMYFUNCTION("SPLIT('2. c'!B550, "" "", True, True)"),"Bacillus")</f>
        <v>Bacillus</v>
      </c>
      <c r="D550" t="str">
        <f>IFERROR(__xludf.DUMMYFUNCTION("""COMPUTED_VALUE"""),"thuringiensis")</f>
        <v>thuringiensis</v>
      </c>
      <c r="E550" t="str">
        <f>IFERROR(__xludf.DUMMYFUNCTION("""COMPUTED_VALUE"""),"serovar")</f>
        <v>serovar</v>
      </c>
      <c r="F550" t="str">
        <f>IFERROR(__xludf.DUMMYFUNCTION("""COMPUTED_VALUE"""),"alesti")</f>
        <v>alesti</v>
      </c>
    </row>
    <row r="551" ht="15.75" customHeight="1">
      <c r="A551" t="str">
        <f t="shared" si="1"/>
        <v>B.thuringiensis</v>
      </c>
      <c r="B551" s="5" t="s">
        <v>562</v>
      </c>
      <c r="C551" s="6" t="str">
        <f>IFERROR(__xludf.DUMMYFUNCTION("SPLIT('2. c'!B551, "" "", True, True)"),"Bacillus")</f>
        <v>Bacillus</v>
      </c>
      <c r="D551" t="str">
        <f>IFERROR(__xludf.DUMMYFUNCTION("""COMPUTED_VALUE"""),"thuringiensis")</f>
        <v>thuringiensis</v>
      </c>
      <c r="E551" t="str">
        <f>IFERROR(__xludf.DUMMYFUNCTION("""COMPUTED_VALUE"""),"serovar")</f>
        <v>serovar</v>
      </c>
      <c r="F551" t="str">
        <f>IFERROR(__xludf.DUMMYFUNCTION("""COMPUTED_VALUE"""),"chinensis")</f>
        <v>chinensis</v>
      </c>
      <c r="G551" t="str">
        <f>IFERROR(__xludf.DUMMYFUNCTION("""COMPUTED_VALUE"""),"CT-43")</f>
        <v>CT-43</v>
      </c>
    </row>
    <row r="552" ht="15.75" customHeight="1">
      <c r="A552" t="str">
        <f t="shared" si="1"/>
        <v>B.thuringiensis</v>
      </c>
      <c r="B552" s="5" t="s">
        <v>563</v>
      </c>
      <c r="C552" s="6" t="str">
        <f>IFERROR(__xludf.DUMMYFUNCTION("SPLIT('2. c'!B552, "" "", True, True)"),"Bacillus")</f>
        <v>Bacillus</v>
      </c>
      <c r="D552" t="str">
        <f>IFERROR(__xludf.DUMMYFUNCTION("""COMPUTED_VALUE"""),"thuringiensis")</f>
        <v>thuringiensis</v>
      </c>
      <c r="E552" t="str">
        <f>IFERROR(__xludf.DUMMYFUNCTION("""COMPUTED_VALUE"""),"serovar")</f>
        <v>serovar</v>
      </c>
      <c r="F552" t="str">
        <f>IFERROR(__xludf.DUMMYFUNCTION("""COMPUTED_VALUE"""),"coreanensis")</f>
        <v>coreanensis</v>
      </c>
    </row>
    <row r="553" ht="15.75" customHeight="1">
      <c r="A553" t="str">
        <f t="shared" si="1"/>
        <v>B.thuringiensis</v>
      </c>
      <c r="B553" s="5" t="s">
        <v>564</v>
      </c>
      <c r="C553" s="6" t="str">
        <f>IFERROR(__xludf.DUMMYFUNCTION("SPLIT('2. c'!B553, "" "", True, True)"),"Bacillus")</f>
        <v>Bacillus</v>
      </c>
      <c r="D553" t="str">
        <f>IFERROR(__xludf.DUMMYFUNCTION("""COMPUTED_VALUE"""),"thuringiensis")</f>
        <v>thuringiensis</v>
      </c>
      <c r="E553" t="str">
        <f>IFERROR(__xludf.DUMMYFUNCTION("""COMPUTED_VALUE"""),"serovar")</f>
        <v>serovar</v>
      </c>
      <c r="F553" t="str">
        <f>IFERROR(__xludf.DUMMYFUNCTION("""COMPUTED_VALUE"""),"finitimus")</f>
        <v>finitimus</v>
      </c>
      <c r="G553" t="str">
        <f>IFERROR(__xludf.DUMMYFUNCTION("""COMPUTED_VALUE"""),"YBT-020")</f>
        <v>YBT-020</v>
      </c>
    </row>
    <row r="554" ht="15.75" customHeight="1">
      <c r="A554" t="str">
        <f t="shared" si="1"/>
        <v>B.thuringiensis</v>
      </c>
      <c r="B554" s="5" t="s">
        <v>565</v>
      </c>
      <c r="C554" s="6" t="str">
        <f>IFERROR(__xludf.DUMMYFUNCTION("SPLIT('2. c'!B554, "" "", True, True)"),"Bacillus")</f>
        <v>Bacillus</v>
      </c>
      <c r="D554" t="str">
        <f>IFERROR(__xludf.DUMMYFUNCTION("""COMPUTED_VALUE"""),"thuringiensis")</f>
        <v>thuringiensis</v>
      </c>
      <c r="E554" t="str">
        <f>IFERROR(__xludf.DUMMYFUNCTION("""COMPUTED_VALUE"""),"serovar")</f>
        <v>serovar</v>
      </c>
      <c r="F554" t="str">
        <f>IFERROR(__xludf.DUMMYFUNCTION("""COMPUTED_VALUE"""),"galleriae")</f>
        <v>galleriae</v>
      </c>
      <c r="G554" t="str">
        <f>IFERROR(__xludf.DUMMYFUNCTION("""COMPUTED_VALUE"""),"HD-29")</f>
        <v>HD-29</v>
      </c>
    </row>
    <row r="555" ht="15.75" customHeight="1">
      <c r="A555" t="str">
        <f t="shared" si="1"/>
        <v>B.thuringiensis</v>
      </c>
      <c r="B555" s="5" t="s">
        <v>566</v>
      </c>
      <c r="C555" s="6" t="str">
        <f>IFERROR(__xludf.DUMMYFUNCTION("SPLIT('2. c'!B555, "" "", True, True)"),"Bacillus")</f>
        <v>Bacillus</v>
      </c>
      <c r="D555" t="str">
        <f>IFERROR(__xludf.DUMMYFUNCTION("""COMPUTED_VALUE"""),"thuringiensis")</f>
        <v>thuringiensis</v>
      </c>
      <c r="E555" t="str">
        <f>IFERROR(__xludf.DUMMYFUNCTION("""COMPUTED_VALUE"""),"serovar")</f>
        <v>serovar</v>
      </c>
      <c r="F555" t="str">
        <f>IFERROR(__xludf.DUMMYFUNCTION("""COMPUTED_VALUE"""),"indiana")</f>
        <v>indiana</v>
      </c>
      <c r="G555" t="str">
        <f>IFERROR(__xludf.DUMMYFUNCTION("""COMPUTED_VALUE"""),"strain")</f>
        <v>strain</v>
      </c>
      <c r="H555" t="str">
        <f>IFERROR(__xludf.DUMMYFUNCTION("""COMPUTED_VALUE"""),"HD521")</f>
        <v>HD521</v>
      </c>
    </row>
    <row r="556" ht="15.75" customHeight="1">
      <c r="A556" t="str">
        <f t="shared" si="1"/>
        <v>B.thuringiensis</v>
      </c>
      <c r="B556" s="5" t="s">
        <v>567</v>
      </c>
      <c r="C556" s="6" t="str">
        <f>IFERROR(__xludf.DUMMYFUNCTION("SPLIT('2. c'!B556, "" "", True, True)"),"Bacillus")</f>
        <v>Bacillus</v>
      </c>
      <c r="D556" t="str">
        <f>IFERROR(__xludf.DUMMYFUNCTION("""COMPUTED_VALUE"""),"thuringiensis")</f>
        <v>thuringiensis</v>
      </c>
      <c r="E556" t="str">
        <f>IFERROR(__xludf.DUMMYFUNCTION("""COMPUTED_VALUE"""),"serovar")</f>
        <v>serovar</v>
      </c>
      <c r="F556" t="str">
        <f>IFERROR(__xludf.DUMMYFUNCTION("""COMPUTED_VALUE"""),"konkukian")</f>
        <v>konkukian</v>
      </c>
      <c r="G556" t="str">
        <f>IFERROR(__xludf.DUMMYFUNCTION("""COMPUTED_VALUE"""),"str.")</f>
        <v>str.</v>
      </c>
      <c r="H556" t="str">
        <f>IFERROR(__xludf.DUMMYFUNCTION("""COMPUTED_VALUE"""),"97-27")</f>
        <v>97-27</v>
      </c>
    </row>
    <row r="557" ht="15.75" customHeight="1">
      <c r="A557" t="str">
        <f t="shared" si="1"/>
        <v>B.thuringiensis</v>
      </c>
      <c r="B557" s="5" t="s">
        <v>568</v>
      </c>
      <c r="C557" s="6" t="str">
        <f>IFERROR(__xludf.DUMMYFUNCTION("SPLIT('2. c'!B557, "" "", True, True)"),"Bacillus")</f>
        <v>Bacillus</v>
      </c>
      <c r="D557" t="str">
        <f>IFERROR(__xludf.DUMMYFUNCTION("""COMPUTED_VALUE"""),"thuringiensis")</f>
        <v>thuringiensis</v>
      </c>
      <c r="E557" t="str">
        <f>IFERROR(__xludf.DUMMYFUNCTION("""COMPUTED_VALUE"""),"serovar")</f>
        <v>serovar</v>
      </c>
      <c r="F557" t="str">
        <f>IFERROR(__xludf.DUMMYFUNCTION("""COMPUTED_VALUE"""),"kurstaki")</f>
        <v>kurstaki</v>
      </c>
      <c r="G557" t="str">
        <f>IFERROR(__xludf.DUMMYFUNCTION("""COMPUTED_VALUE"""),"HD")</f>
        <v>HD</v>
      </c>
      <c r="H557">
        <f>IFERROR(__xludf.DUMMYFUNCTION("""COMPUTED_VALUE"""),1.0)</f>
        <v>1</v>
      </c>
    </row>
    <row r="558" ht="15.75" customHeight="1">
      <c r="A558" t="str">
        <f t="shared" si="1"/>
        <v>B.thuringiensis</v>
      </c>
      <c r="B558" s="5" t="s">
        <v>569</v>
      </c>
      <c r="C558" s="6" t="str">
        <f>IFERROR(__xludf.DUMMYFUNCTION("SPLIT('2. c'!B558, "" "", True, True)"),"Bacillus")</f>
        <v>Bacillus</v>
      </c>
      <c r="D558" t="str">
        <f>IFERROR(__xludf.DUMMYFUNCTION("""COMPUTED_VALUE"""),"thuringiensis")</f>
        <v>thuringiensis</v>
      </c>
      <c r="E558" t="str">
        <f>IFERROR(__xludf.DUMMYFUNCTION("""COMPUTED_VALUE"""),"serovar")</f>
        <v>serovar</v>
      </c>
      <c r="F558" t="str">
        <f>IFERROR(__xludf.DUMMYFUNCTION("""COMPUTED_VALUE"""),"kurstaki")</f>
        <v>kurstaki</v>
      </c>
      <c r="G558" t="str">
        <f>IFERROR(__xludf.DUMMYFUNCTION("""COMPUTED_VALUE"""),"str.")</f>
        <v>str.</v>
      </c>
      <c r="H558" t="str">
        <f>IFERROR(__xludf.DUMMYFUNCTION("""COMPUTED_VALUE"""),"HD-1")</f>
        <v>HD-1</v>
      </c>
    </row>
    <row r="559" ht="15.75" customHeight="1">
      <c r="A559" t="str">
        <f t="shared" si="1"/>
        <v>B.thuringiensis</v>
      </c>
      <c r="B559" s="5" t="s">
        <v>570</v>
      </c>
      <c r="C559" s="6" t="str">
        <f>IFERROR(__xludf.DUMMYFUNCTION("SPLIT('2. c'!B559, "" "", True, True)"),"Bacillus")</f>
        <v>Bacillus</v>
      </c>
      <c r="D559" t="str">
        <f>IFERROR(__xludf.DUMMYFUNCTION("""COMPUTED_VALUE"""),"thuringiensis")</f>
        <v>thuringiensis</v>
      </c>
      <c r="E559" t="str">
        <f>IFERROR(__xludf.DUMMYFUNCTION("""COMPUTED_VALUE"""),"serovar")</f>
        <v>serovar</v>
      </c>
      <c r="F559" t="str">
        <f>IFERROR(__xludf.DUMMYFUNCTION("""COMPUTED_VALUE"""),"kurstaki")</f>
        <v>kurstaki</v>
      </c>
      <c r="G559" t="str">
        <f>IFERROR(__xludf.DUMMYFUNCTION("""COMPUTED_VALUE"""),"str.")</f>
        <v>str.</v>
      </c>
      <c r="H559" t="str">
        <f>IFERROR(__xludf.DUMMYFUNCTION("""COMPUTED_VALUE"""),"HD73")</f>
        <v>HD73</v>
      </c>
    </row>
    <row r="560" ht="15.75" customHeight="1">
      <c r="A560" t="str">
        <f t="shared" si="1"/>
        <v>B.thuringiensis</v>
      </c>
      <c r="B560" s="5" t="s">
        <v>571</v>
      </c>
      <c r="C560" s="6" t="str">
        <f>IFERROR(__xludf.DUMMYFUNCTION("SPLIT('2. c'!B560, "" "", True, True)"),"Bacillus")</f>
        <v>Bacillus</v>
      </c>
      <c r="D560" t="str">
        <f>IFERROR(__xludf.DUMMYFUNCTION("""COMPUTED_VALUE"""),"thuringiensis")</f>
        <v>thuringiensis</v>
      </c>
      <c r="E560" t="str">
        <f>IFERROR(__xludf.DUMMYFUNCTION("""COMPUTED_VALUE"""),"serovar")</f>
        <v>serovar</v>
      </c>
      <c r="F560" t="str">
        <f>IFERROR(__xludf.DUMMYFUNCTION("""COMPUTED_VALUE"""),"kurstaki")</f>
        <v>kurstaki</v>
      </c>
      <c r="G560" t="str">
        <f>IFERROR(__xludf.DUMMYFUNCTION("""COMPUTED_VALUE"""),"str.")</f>
        <v>str.</v>
      </c>
      <c r="H560" t="str">
        <f>IFERROR(__xludf.DUMMYFUNCTION("""COMPUTED_VALUE"""),"YBT-1520")</f>
        <v>YBT-1520</v>
      </c>
    </row>
    <row r="561" ht="15.75" customHeight="1">
      <c r="A561" t="str">
        <f t="shared" si="1"/>
        <v>B.thuringiensis</v>
      </c>
      <c r="B561" s="5" t="s">
        <v>571</v>
      </c>
      <c r="C561" s="6" t="str">
        <f>IFERROR(__xludf.DUMMYFUNCTION("SPLIT('2. c'!B561, "" "", True, True)"),"Bacillus")</f>
        <v>Bacillus</v>
      </c>
      <c r="D561" t="str">
        <f>IFERROR(__xludf.DUMMYFUNCTION("""COMPUTED_VALUE"""),"thuringiensis")</f>
        <v>thuringiensis</v>
      </c>
      <c r="E561" t="str">
        <f>IFERROR(__xludf.DUMMYFUNCTION("""COMPUTED_VALUE"""),"serovar")</f>
        <v>serovar</v>
      </c>
      <c r="F561" t="str">
        <f>IFERROR(__xludf.DUMMYFUNCTION("""COMPUTED_VALUE"""),"kurstaki")</f>
        <v>kurstaki</v>
      </c>
      <c r="G561" t="str">
        <f>IFERROR(__xludf.DUMMYFUNCTION("""COMPUTED_VALUE"""),"str.")</f>
        <v>str.</v>
      </c>
      <c r="H561" t="str">
        <f>IFERROR(__xludf.DUMMYFUNCTION("""COMPUTED_VALUE"""),"YBT-1520")</f>
        <v>YBT-1520</v>
      </c>
    </row>
    <row r="562" ht="15.75" customHeight="1">
      <c r="A562" t="str">
        <f t="shared" si="1"/>
        <v>B.thuringiensis</v>
      </c>
      <c r="B562" s="5" t="s">
        <v>572</v>
      </c>
      <c r="C562" s="6" t="str">
        <f>IFERROR(__xludf.DUMMYFUNCTION("SPLIT('2. c'!B562, "" "", True, True)"),"Bacillus")</f>
        <v>Bacillus</v>
      </c>
      <c r="D562" t="str">
        <f>IFERROR(__xludf.DUMMYFUNCTION("""COMPUTED_VALUE"""),"thuringiensis")</f>
        <v>thuringiensis</v>
      </c>
      <c r="E562" t="str">
        <f>IFERROR(__xludf.DUMMYFUNCTION("""COMPUTED_VALUE"""),"serovar")</f>
        <v>serovar</v>
      </c>
      <c r="F562" t="str">
        <f>IFERROR(__xludf.DUMMYFUNCTION("""COMPUTED_VALUE"""),"morrisoni")</f>
        <v>morrisoni</v>
      </c>
      <c r="G562" t="str">
        <f>IFERROR(__xludf.DUMMYFUNCTION("""COMPUTED_VALUE"""),"strain")</f>
        <v>strain</v>
      </c>
      <c r="H562" t="str">
        <f>IFERROR(__xludf.DUMMYFUNCTION("""COMPUTED_VALUE"""),"BGSC")</f>
        <v>BGSC</v>
      </c>
      <c r="I562" t="str">
        <f>IFERROR(__xludf.DUMMYFUNCTION("""COMPUTED_VALUE"""),"4AA1")</f>
        <v>4AA1</v>
      </c>
    </row>
    <row r="563" ht="15.75" customHeight="1">
      <c r="A563" t="str">
        <f t="shared" si="1"/>
        <v>B.thuringiensis</v>
      </c>
      <c r="B563" s="5" t="s">
        <v>573</v>
      </c>
      <c r="C563" s="6" t="str">
        <f>IFERROR(__xludf.DUMMYFUNCTION("SPLIT('2. c'!B563, "" "", True, True)"),"Bacillus")</f>
        <v>Bacillus</v>
      </c>
      <c r="D563" t="str">
        <f>IFERROR(__xludf.DUMMYFUNCTION("""COMPUTED_VALUE"""),"thuringiensis")</f>
        <v>thuringiensis</v>
      </c>
      <c r="E563" t="str">
        <f>IFERROR(__xludf.DUMMYFUNCTION("""COMPUTED_VALUE"""),"serovar")</f>
        <v>serovar</v>
      </c>
      <c r="F563" t="str">
        <f>IFERROR(__xludf.DUMMYFUNCTION("""COMPUTED_VALUE"""),"thuringiensis")</f>
        <v>thuringiensis</v>
      </c>
      <c r="G563" t="str">
        <f>IFERROR(__xludf.DUMMYFUNCTION("""COMPUTED_VALUE"""),"str.")</f>
        <v>str.</v>
      </c>
      <c r="H563" t="str">
        <f>IFERROR(__xludf.DUMMYFUNCTION("""COMPUTED_VALUE"""),"IS5056")</f>
        <v>IS5056</v>
      </c>
    </row>
    <row r="564" ht="15.75" customHeight="1">
      <c r="A564" t="str">
        <f t="shared" si="1"/>
        <v>B.thuringiensis</v>
      </c>
      <c r="B564" s="5" t="s">
        <v>574</v>
      </c>
      <c r="C564" s="6" t="str">
        <f>IFERROR(__xludf.DUMMYFUNCTION("SPLIT('2. c'!B564, "" "", True, True)"),"Bacillus")</f>
        <v>Bacillus</v>
      </c>
      <c r="D564" t="str">
        <f>IFERROR(__xludf.DUMMYFUNCTION("""COMPUTED_VALUE"""),"thuringiensis")</f>
        <v>thuringiensis</v>
      </c>
      <c r="E564" t="str">
        <f>IFERROR(__xludf.DUMMYFUNCTION("""COMPUTED_VALUE"""),"serovar")</f>
        <v>serovar</v>
      </c>
      <c r="F564" t="str">
        <f>IFERROR(__xludf.DUMMYFUNCTION("""COMPUTED_VALUE"""),"tolworthi")</f>
        <v>tolworthi</v>
      </c>
    </row>
    <row r="565" ht="15.75" customHeight="1">
      <c r="A565" t="str">
        <f t="shared" si="1"/>
        <v>B.thuringiensis</v>
      </c>
      <c r="B565" s="5" t="s">
        <v>575</v>
      </c>
      <c r="C565" s="6" t="str">
        <f>IFERROR(__xludf.DUMMYFUNCTION("SPLIT('2. c'!B565, "" "", True, True)"),"Bacillus")</f>
        <v>Bacillus</v>
      </c>
      <c r="D565" t="str">
        <f>IFERROR(__xludf.DUMMYFUNCTION("""COMPUTED_VALUE"""),"thuringiensis")</f>
        <v>thuringiensis</v>
      </c>
      <c r="E565" t="str">
        <f>IFERROR(__xludf.DUMMYFUNCTION("""COMPUTED_VALUE"""),"str.")</f>
        <v>str.</v>
      </c>
      <c r="F565" t="str">
        <f>IFERROR(__xludf.DUMMYFUNCTION("""COMPUTED_VALUE"""),"Al")</f>
        <v>Al</v>
      </c>
      <c r="G565" t="str">
        <f>IFERROR(__xludf.DUMMYFUNCTION("""COMPUTED_VALUE"""),"Hakam")</f>
        <v>Hakam</v>
      </c>
    </row>
    <row r="566" ht="15.75" customHeight="1">
      <c r="A566" t="str">
        <f t="shared" si="1"/>
        <v>B.thuringiensis</v>
      </c>
      <c r="B566" s="5" t="s">
        <v>576</v>
      </c>
      <c r="C566" s="6" t="str">
        <f>IFERROR(__xludf.DUMMYFUNCTION("SPLIT('2. c'!B566, "" "", True, True)"),"Bacillus")</f>
        <v>Bacillus</v>
      </c>
      <c r="D566" t="str">
        <f>IFERROR(__xludf.DUMMYFUNCTION("""COMPUTED_VALUE"""),"thuringiensis")</f>
        <v>thuringiensis</v>
      </c>
      <c r="E566" t="str">
        <f>IFERROR(__xludf.DUMMYFUNCTION("""COMPUTED_VALUE"""),"strain")</f>
        <v>strain</v>
      </c>
      <c r="F566" t="str">
        <f>IFERROR(__xludf.DUMMYFUNCTION("""COMPUTED_VALUE"""),"Bc601")</f>
        <v>Bc601</v>
      </c>
    </row>
    <row r="567" ht="15.75" customHeight="1">
      <c r="A567" t="str">
        <f t="shared" si="1"/>
        <v>B.thuringiensis</v>
      </c>
      <c r="B567" s="5" t="s">
        <v>577</v>
      </c>
      <c r="C567" s="6" t="str">
        <f>IFERROR(__xludf.DUMMYFUNCTION("SPLIT('2. c'!B567, "" "", True, True)"),"Bacillus")</f>
        <v>Bacillus</v>
      </c>
      <c r="D567" t="str">
        <f>IFERROR(__xludf.DUMMYFUNCTION("""COMPUTED_VALUE"""),"thuringiensis")</f>
        <v>thuringiensis</v>
      </c>
      <c r="E567" t="str">
        <f>IFERROR(__xludf.DUMMYFUNCTION("""COMPUTED_VALUE"""),"strain")</f>
        <v>strain</v>
      </c>
      <c r="F567" t="str">
        <f>IFERROR(__xludf.DUMMYFUNCTION("""COMPUTED_VALUE"""),"Bt185")</f>
        <v>Bt185</v>
      </c>
    </row>
    <row r="568" ht="15.75" customHeight="1">
      <c r="A568" t="str">
        <f t="shared" si="1"/>
        <v>B.thuringiensis</v>
      </c>
      <c r="B568" s="5" t="s">
        <v>578</v>
      </c>
      <c r="C568" s="6" t="str">
        <f>IFERROR(__xludf.DUMMYFUNCTION("SPLIT('2. c'!B568, "" "", True, True)"),"Bacillus")</f>
        <v>Bacillus</v>
      </c>
      <c r="D568" t="str">
        <f>IFERROR(__xludf.DUMMYFUNCTION("""COMPUTED_VALUE"""),"thuringiensis")</f>
        <v>thuringiensis</v>
      </c>
      <c r="E568" t="str">
        <f>IFERROR(__xludf.DUMMYFUNCTION("""COMPUTED_VALUE"""),"strain")</f>
        <v>strain</v>
      </c>
      <c r="F568" t="str">
        <f>IFERROR(__xludf.DUMMYFUNCTION("""COMPUTED_VALUE"""),"CTC")</f>
        <v>CTC</v>
      </c>
    </row>
    <row r="569" ht="15.75" customHeight="1">
      <c r="A569" t="str">
        <f t="shared" si="1"/>
        <v>B.thuringiensis</v>
      </c>
      <c r="B569" s="5" t="s">
        <v>579</v>
      </c>
      <c r="C569" s="6" t="str">
        <f>IFERROR(__xludf.DUMMYFUNCTION("SPLIT('2. c'!B569, "" "", True, True)"),"Bacillus")</f>
        <v>Bacillus</v>
      </c>
      <c r="D569" t="str">
        <f>IFERROR(__xludf.DUMMYFUNCTION("""COMPUTED_VALUE"""),"thuringiensis")</f>
        <v>thuringiensis</v>
      </c>
      <c r="E569" t="str">
        <f>IFERROR(__xludf.DUMMYFUNCTION("""COMPUTED_VALUE"""),"strain")</f>
        <v>strain</v>
      </c>
      <c r="F569" t="str">
        <f>IFERROR(__xludf.DUMMYFUNCTION("""COMPUTED_VALUE"""),"HD12")</f>
        <v>HD12</v>
      </c>
    </row>
    <row r="570" ht="15.75" customHeight="1">
      <c r="A570" t="str">
        <f t="shared" si="1"/>
        <v>B.thuringiensis</v>
      </c>
      <c r="B570" s="5" t="s">
        <v>580</v>
      </c>
      <c r="C570" s="6" t="str">
        <f>IFERROR(__xludf.DUMMYFUNCTION("SPLIT('2. c'!B570, "" "", True, True)"),"Bacillus")</f>
        <v>Bacillus</v>
      </c>
      <c r="D570" t="str">
        <f>IFERROR(__xludf.DUMMYFUNCTION("""COMPUTED_VALUE"""),"thuringiensis")</f>
        <v>thuringiensis</v>
      </c>
      <c r="E570" t="str">
        <f>IFERROR(__xludf.DUMMYFUNCTION("""COMPUTED_VALUE"""),"strain")</f>
        <v>strain</v>
      </c>
      <c r="F570" t="str">
        <f>IFERROR(__xludf.DUMMYFUNCTION("""COMPUTED_VALUE"""),"HS18-1")</f>
        <v>HS18-1</v>
      </c>
    </row>
    <row r="571" ht="15.75" customHeight="1">
      <c r="A571" t="str">
        <f t="shared" si="1"/>
        <v>B.thuringiensis</v>
      </c>
      <c r="B571" s="5" t="s">
        <v>581</v>
      </c>
      <c r="C571" s="6" t="str">
        <f>IFERROR(__xludf.DUMMYFUNCTION("SPLIT('2. c'!B571, "" "", True, True)"),"Bacillus")</f>
        <v>Bacillus</v>
      </c>
      <c r="D571" t="str">
        <f>IFERROR(__xludf.DUMMYFUNCTION("""COMPUTED_VALUE"""),"thuringiensis")</f>
        <v>thuringiensis</v>
      </c>
      <c r="E571" t="str">
        <f>IFERROR(__xludf.DUMMYFUNCTION("""COMPUTED_VALUE"""),"strain")</f>
        <v>strain</v>
      </c>
      <c r="F571" t="str">
        <f>IFERROR(__xludf.DUMMYFUNCTION("""COMPUTED_VALUE"""),"YC-10")</f>
        <v>YC-10</v>
      </c>
    </row>
    <row r="572" ht="15.75" customHeight="1">
      <c r="A572" t="str">
        <f t="shared" si="1"/>
        <v>B.thuringiensis</v>
      </c>
      <c r="B572" s="5" t="s">
        <v>582</v>
      </c>
      <c r="C572" s="6" t="str">
        <f>IFERROR(__xludf.DUMMYFUNCTION("SPLIT('2. c'!B572, "" "", True, True)"),"Bacillus")</f>
        <v>Bacillus</v>
      </c>
      <c r="D572" t="str">
        <f>IFERROR(__xludf.DUMMYFUNCTION("""COMPUTED_VALUE"""),"thuringiensis")</f>
        <v>thuringiensis</v>
      </c>
      <c r="E572" t="str">
        <f>IFERROR(__xludf.DUMMYFUNCTION("""COMPUTED_VALUE"""),"strain")</f>
        <v>strain</v>
      </c>
      <c r="F572" t="str">
        <f>IFERROR(__xludf.DUMMYFUNCTION("""COMPUTED_VALUE"""),"YWC2-8")</f>
        <v>YWC2-8</v>
      </c>
    </row>
    <row r="573" ht="15.75" customHeight="1">
      <c r="A573" t="str">
        <f t="shared" si="1"/>
        <v>B.thuringiensis</v>
      </c>
      <c r="B573" s="5" t="s">
        <v>583</v>
      </c>
      <c r="C573" s="6" t="str">
        <f>IFERROR(__xludf.DUMMYFUNCTION("SPLIT('2. c'!B573, "" "", True, True)"),"Bacillus")</f>
        <v>Bacillus</v>
      </c>
      <c r="D573" t="str">
        <f>IFERROR(__xludf.DUMMYFUNCTION("""COMPUTED_VALUE"""),"thuringiensis")</f>
        <v>thuringiensis</v>
      </c>
      <c r="E573" t="str">
        <f>IFERROR(__xludf.DUMMYFUNCTION("""COMPUTED_VALUE"""),"YBT-1518")</f>
        <v>YBT-1518</v>
      </c>
    </row>
    <row r="574" ht="15.75" customHeight="1">
      <c r="A574" t="str">
        <f t="shared" si="1"/>
        <v>B.toyonensis</v>
      </c>
      <c r="B574" s="5" t="s">
        <v>584</v>
      </c>
      <c r="C574" s="6" t="str">
        <f>IFERROR(__xludf.DUMMYFUNCTION("SPLIT('2. c'!B574, "" "", True, True)"),"Bacillus")</f>
        <v>Bacillus</v>
      </c>
      <c r="D574" t="str">
        <f>IFERROR(__xludf.DUMMYFUNCTION("""COMPUTED_VALUE"""),"toyonensis")</f>
        <v>toyonensis</v>
      </c>
      <c r="E574" t="str">
        <f>IFERROR(__xludf.DUMMYFUNCTION("""COMPUTED_VALUE"""),"BCT-7112")</f>
        <v>BCT-7112</v>
      </c>
    </row>
    <row r="575" ht="15.75" customHeight="1">
      <c r="A575" t="str">
        <f t="shared" si="1"/>
        <v>B.velezensis</v>
      </c>
      <c r="B575" s="5" t="s">
        <v>585</v>
      </c>
      <c r="C575" s="6" t="str">
        <f>IFERROR(__xludf.DUMMYFUNCTION("SPLIT('2. c'!B575, "" "", True, True)"),"Bacillus")</f>
        <v>Bacillus</v>
      </c>
      <c r="D575" t="str">
        <f>IFERROR(__xludf.DUMMYFUNCTION("""COMPUTED_VALUE"""),"velezensis")</f>
        <v>velezensis</v>
      </c>
      <c r="E575" t="str">
        <f>IFERROR(__xludf.DUMMYFUNCTION("""COMPUTED_VALUE"""),"strain")</f>
        <v>strain</v>
      </c>
      <c r="F575" t="str">
        <f>IFERROR(__xludf.DUMMYFUNCTION("""COMPUTED_VALUE"""),"SB1216")</f>
        <v>SB1216</v>
      </c>
    </row>
    <row r="576" ht="15.75" customHeight="1">
      <c r="A576" t="str">
        <f t="shared" si="1"/>
        <v>B.weihenstephanensis</v>
      </c>
      <c r="B576" s="5" t="s">
        <v>586</v>
      </c>
      <c r="C576" s="6" t="str">
        <f>IFERROR(__xludf.DUMMYFUNCTION("SPLIT('2. c'!B576, "" "", True, True)"),"Bacillus")</f>
        <v>Bacillus</v>
      </c>
      <c r="D576" t="str">
        <f>IFERROR(__xludf.DUMMYFUNCTION("""COMPUTED_VALUE"""),"weihenstephanensis")</f>
        <v>weihenstephanensis</v>
      </c>
      <c r="E576" t="str">
        <f>IFERROR(__xludf.DUMMYFUNCTION("""COMPUTED_VALUE"""),"KBAB4")</f>
        <v>KBAB4</v>
      </c>
    </row>
    <row r="577" ht="15.75" customHeight="1">
      <c r="A577" t="str">
        <f t="shared" si="1"/>
        <v>B.weihenstephanensis</v>
      </c>
      <c r="B577" s="5" t="s">
        <v>587</v>
      </c>
      <c r="C577" s="6" t="str">
        <f>IFERROR(__xludf.DUMMYFUNCTION("SPLIT('2. c'!B577, "" "", True, True)"),"Bacillus")</f>
        <v>Bacillus</v>
      </c>
      <c r="D577" t="str">
        <f>IFERROR(__xludf.DUMMYFUNCTION("""COMPUTED_VALUE"""),"weihenstephanensis")</f>
        <v>weihenstephanensis</v>
      </c>
      <c r="E577" t="str">
        <f>IFERROR(__xludf.DUMMYFUNCTION("""COMPUTED_VALUE"""),"strain")</f>
        <v>strain</v>
      </c>
      <c r="F577" t="str">
        <f>IFERROR(__xludf.DUMMYFUNCTION("""COMPUTED_VALUE"""),"WSBC")</f>
        <v>WSBC</v>
      </c>
      <c r="G577">
        <f>IFERROR(__xludf.DUMMYFUNCTION("""COMPUTED_VALUE"""),10204.0)</f>
        <v>10204</v>
      </c>
    </row>
    <row r="578" ht="15.75" customHeight="1">
      <c r="A578" t="str">
        <f t="shared" si="1"/>
        <v>B.marinus</v>
      </c>
      <c r="B578" s="5" t="s">
        <v>588</v>
      </c>
      <c r="C578" s="6" t="str">
        <f>IFERROR(__xludf.DUMMYFUNCTION("SPLIT('2. c'!B578, "" "", True, True)"),"Bacteriovorax")</f>
        <v>Bacteriovorax</v>
      </c>
      <c r="D578" t="str">
        <f>IFERROR(__xludf.DUMMYFUNCTION("""COMPUTED_VALUE"""),"marinus")</f>
        <v>marinus</v>
      </c>
      <c r="E578" t="str">
        <f>IFERROR(__xludf.DUMMYFUNCTION("""COMPUTED_VALUE"""),"SJ")</f>
        <v>SJ</v>
      </c>
    </row>
    <row r="579" ht="15.75" customHeight="1">
      <c r="A579" t="str">
        <f t="shared" si="1"/>
        <v>b.L21-Spi-D4</v>
      </c>
      <c r="B579" s="5" t="s">
        <v>593</v>
      </c>
      <c r="C579" s="6" t="str">
        <f>IFERROR(__xludf.DUMMYFUNCTION("SPLIT('2. c'!B579, "" "", True, True)"),"bacterium")</f>
        <v>bacterium</v>
      </c>
      <c r="D579" t="str">
        <f>IFERROR(__xludf.DUMMYFUNCTION("""COMPUTED_VALUE"""),"L21-Spi-D4")</f>
        <v>L21-Spi-D4</v>
      </c>
    </row>
    <row r="580" ht="15.75" customHeight="1">
      <c r="A580" t="str">
        <f t="shared" si="1"/>
        <v>B.bacterium</v>
      </c>
      <c r="B580" s="5" t="s">
        <v>594</v>
      </c>
      <c r="C580" s="6" t="str">
        <f>IFERROR(__xludf.DUMMYFUNCTION("SPLIT('2. c'!B580, "" "", True, True)"),"Bacteroidales")</f>
        <v>Bacteroidales</v>
      </c>
      <c r="D580" t="str">
        <f>IFERROR(__xludf.DUMMYFUNCTION("""COMPUTED_VALUE"""),"bacterium")</f>
        <v>bacterium</v>
      </c>
      <c r="E580" t="str">
        <f>IFERROR(__xludf.DUMMYFUNCTION("""COMPUTED_VALUE"""),"CF")</f>
        <v>CF</v>
      </c>
    </row>
    <row r="581" ht="15.75" customHeight="1">
      <c r="A581" t="str">
        <f t="shared" si="1"/>
        <v>B.cellulosilyticus</v>
      </c>
      <c r="B581" s="5" t="s">
        <v>595</v>
      </c>
      <c r="C581" s="6" t="str">
        <f>IFERROR(__xludf.DUMMYFUNCTION("SPLIT('2. c'!B581, "" "", True, True)"),"Bacteroides")</f>
        <v>Bacteroides</v>
      </c>
      <c r="D581" t="str">
        <f>IFERROR(__xludf.DUMMYFUNCTION("""COMPUTED_VALUE"""),"cellulosilyticus")</f>
        <v>cellulosilyticus</v>
      </c>
      <c r="E581" t="str">
        <f>IFERROR(__xludf.DUMMYFUNCTION("""COMPUTED_VALUE"""),"strain")</f>
        <v>strain</v>
      </c>
      <c r="F581" t="str">
        <f>IFERROR(__xludf.DUMMYFUNCTION("""COMPUTED_VALUE"""),"WH2")</f>
        <v>WH2</v>
      </c>
    </row>
    <row r="582" ht="15.75" customHeight="1">
      <c r="A582" t="str">
        <f t="shared" si="1"/>
        <v>B.dorei</v>
      </c>
      <c r="B582" s="5" t="s">
        <v>596</v>
      </c>
      <c r="C582" s="6" t="str">
        <f>IFERROR(__xludf.DUMMYFUNCTION("SPLIT('2. c'!B582, "" "", True, True)"),"Bacteroides")</f>
        <v>Bacteroides</v>
      </c>
      <c r="D582" t="str">
        <f>IFERROR(__xludf.DUMMYFUNCTION("""COMPUTED_VALUE"""),"dorei")</f>
        <v>dorei</v>
      </c>
    </row>
    <row r="583" ht="15.75" customHeight="1">
      <c r="A583" t="str">
        <f t="shared" si="1"/>
        <v>B.dorei</v>
      </c>
      <c r="B583" s="5" t="s">
        <v>596</v>
      </c>
      <c r="C583" s="6" t="str">
        <f>IFERROR(__xludf.DUMMYFUNCTION("SPLIT('2. c'!B583, "" "", True, True)"),"Bacteroides")</f>
        <v>Bacteroides</v>
      </c>
      <c r="D583" t="str">
        <f>IFERROR(__xludf.DUMMYFUNCTION("""COMPUTED_VALUE"""),"dorei")</f>
        <v>dorei</v>
      </c>
    </row>
    <row r="584" ht="15.75" customHeight="1">
      <c r="A584" t="str">
        <f t="shared" si="1"/>
        <v>B.dorei</v>
      </c>
      <c r="B584" s="5" t="s">
        <v>596</v>
      </c>
      <c r="C584" s="6" t="str">
        <f>IFERROR(__xludf.DUMMYFUNCTION("SPLIT('2. c'!B584, "" "", True, True)"),"Bacteroides")</f>
        <v>Bacteroides</v>
      </c>
      <c r="D584" t="str">
        <f>IFERROR(__xludf.DUMMYFUNCTION("""COMPUTED_VALUE"""),"dorei")</f>
        <v>dorei</v>
      </c>
    </row>
    <row r="585" ht="15.75" customHeight="1">
      <c r="A585" t="str">
        <f t="shared" si="1"/>
        <v>B.dorei</v>
      </c>
      <c r="B585" s="5" t="s">
        <v>597</v>
      </c>
      <c r="C585" s="6" t="str">
        <f>IFERROR(__xludf.DUMMYFUNCTION("SPLIT('2. c'!B585, "" "", True, True)"),"Bacteroides")</f>
        <v>Bacteroides</v>
      </c>
      <c r="D585" t="str">
        <f>IFERROR(__xludf.DUMMYFUNCTION("""COMPUTED_VALUE"""),"dorei")</f>
        <v>dorei</v>
      </c>
      <c r="E585" t="str">
        <f>IFERROR(__xludf.DUMMYFUNCTION("""COMPUTED_VALUE"""),"CL03T12C01")</f>
        <v>CL03T12C01</v>
      </c>
    </row>
    <row r="586" ht="15.75" customHeight="1">
      <c r="A586" t="str">
        <f t="shared" si="1"/>
        <v>B.fragilis</v>
      </c>
      <c r="B586" s="5" t="s">
        <v>598</v>
      </c>
      <c r="C586" s="6" t="str">
        <f>IFERROR(__xludf.DUMMYFUNCTION("SPLIT('2. c'!B586, "" "", True, True)"),"Bacteroides")</f>
        <v>Bacteroides</v>
      </c>
      <c r="D586" t="str">
        <f>IFERROR(__xludf.DUMMYFUNCTION("""COMPUTED_VALUE"""),"fragilis")</f>
        <v>fragilis</v>
      </c>
    </row>
    <row r="587" ht="15.75" customHeight="1">
      <c r="A587" t="str">
        <f t="shared" si="1"/>
        <v>B.fragilis</v>
      </c>
      <c r="B587" s="5" t="s">
        <v>599</v>
      </c>
      <c r="C587" s="6" t="str">
        <f>IFERROR(__xludf.DUMMYFUNCTION("SPLIT('2. c'!B587, "" "", True, True)"),"Bacteroides")</f>
        <v>Bacteroides</v>
      </c>
      <c r="D587" t="str">
        <f>IFERROR(__xludf.DUMMYFUNCTION("""COMPUTED_VALUE"""),"fragilis")</f>
        <v>fragilis</v>
      </c>
      <c r="E587" t="str">
        <f>IFERROR(__xludf.DUMMYFUNCTION("""COMPUTED_VALUE"""),"638R")</f>
        <v>638R</v>
      </c>
    </row>
    <row r="588" ht="15.75" customHeight="1">
      <c r="A588" t="str">
        <f t="shared" si="1"/>
        <v>B.fragilis</v>
      </c>
      <c r="B588" s="5" t="s">
        <v>600</v>
      </c>
      <c r="C588" s="6" t="str">
        <f>IFERROR(__xludf.DUMMYFUNCTION("SPLIT('2. c'!B588, "" "", True, True)"),"Bacteroides")</f>
        <v>Bacteroides</v>
      </c>
      <c r="D588" t="str">
        <f>IFERROR(__xludf.DUMMYFUNCTION("""COMPUTED_VALUE"""),"fragilis")</f>
        <v>fragilis</v>
      </c>
      <c r="E588" t="str">
        <f>IFERROR(__xludf.DUMMYFUNCTION("""COMPUTED_VALUE"""),"NCTC")</f>
        <v>NCTC</v>
      </c>
      <c r="F588">
        <f>IFERROR(__xludf.DUMMYFUNCTION("""COMPUTED_VALUE"""),9343.0)</f>
        <v>9343</v>
      </c>
    </row>
    <row r="589" ht="15.75" customHeight="1">
      <c r="A589" t="str">
        <f t="shared" si="1"/>
        <v>B.fragilis</v>
      </c>
      <c r="B589" s="5" t="s">
        <v>601</v>
      </c>
      <c r="C589" s="6" t="str">
        <f>IFERROR(__xludf.DUMMYFUNCTION("SPLIT('2. c'!B589, "" "", True, True)"),"Bacteroides")</f>
        <v>Bacteroides</v>
      </c>
      <c r="D589" t="str">
        <f>IFERROR(__xludf.DUMMYFUNCTION("""COMPUTED_VALUE"""),"fragilis")</f>
        <v>fragilis</v>
      </c>
      <c r="E589" t="str">
        <f>IFERROR(__xludf.DUMMYFUNCTION("""COMPUTED_VALUE"""),"strain")</f>
        <v>strain</v>
      </c>
      <c r="F589" t="str">
        <f>IFERROR(__xludf.DUMMYFUNCTION("""COMPUTED_VALUE"""),"BOB25")</f>
        <v>BOB25</v>
      </c>
    </row>
    <row r="590" ht="15.75" customHeight="1">
      <c r="A590" t="str">
        <f t="shared" si="1"/>
        <v>B.fragilis</v>
      </c>
      <c r="B590" s="5" t="s">
        <v>602</v>
      </c>
      <c r="C590" s="6" t="str">
        <f>IFERROR(__xludf.DUMMYFUNCTION("SPLIT('2. c'!B590, "" "", True, True)"),"Bacteroides")</f>
        <v>Bacteroides</v>
      </c>
      <c r="D590" t="str">
        <f>IFERROR(__xludf.DUMMYFUNCTION("""COMPUTED_VALUE"""),"fragilis")</f>
        <v>fragilis</v>
      </c>
      <c r="E590" t="str">
        <f>IFERROR(__xludf.DUMMYFUNCTION("""COMPUTED_VALUE"""),"YCH46")</f>
        <v>YCH46</v>
      </c>
    </row>
    <row r="591" ht="15.75" customHeight="1">
      <c r="A591" t="str">
        <f t="shared" si="1"/>
        <v>B.helcogenes</v>
      </c>
      <c r="B591" s="5" t="s">
        <v>603</v>
      </c>
      <c r="C591" s="6" t="str">
        <f>IFERROR(__xludf.DUMMYFUNCTION("SPLIT('2. c'!B591, "" "", True, True)"),"Bacteroides")</f>
        <v>Bacteroides</v>
      </c>
      <c r="D591" t="str">
        <f>IFERROR(__xludf.DUMMYFUNCTION("""COMPUTED_VALUE"""),"helcogenes")</f>
        <v>helcogenes</v>
      </c>
      <c r="E591" t="str">
        <f>IFERROR(__xludf.DUMMYFUNCTION("""COMPUTED_VALUE"""),"P")</f>
        <v>P</v>
      </c>
      <c r="F591" t="str">
        <f>IFERROR(__xludf.DUMMYFUNCTION("""COMPUTED_VALUE"""),"36-108")</f>
        <v>36-108</v>
      </c>
    </row>
    <row r="592" ht="15.75" customHeight="1">
      <c r="A592" t="str">
        <f t="shared" si="1"/>
        <v>B.ovatus</v>
      </c>
      <c r="B592" s="5" t="s">
        <v>604</v>
      </c>
      <c r="C592" s="6" t="str">
        <f>IFERROR(__xludf.DUMMYFUNCTION("SPLIT('2. c'!B592, "" "", True, True)"),"Bacteroides")</f>
        <v>Bacteroides</v>
      </c>
      <c r="D592" t="str">
        <f>IFERROR(__xludf.DUMMYFUNCTION("""COMPUTED_VALUE"""),"ovatus")</f>
        <v>ovatus</v>
      </c>
      <c r="E592" t="str">
        <f>IFERROR(__xludf.DUMMYFUNCTION("""COMPUTED_VALUE"""),"strain")</f>
        <v>strain</v>
      </c>
      <c r="F592" t="str">
        <f>IFERROR(__xludf.DUMMYFUNCTION("""COMPUTED_VALUE"""),"ATCC")</f>
        <v>ATCC</v>
      </c>
      <c r="G592">
        <f>IFERROR(__xludf.DUMMYFUNCTION("""COMPUTED_VALUE"""),8483.0)</f>
        <v>8483</v>
      </c>
    </row>
    <row r="593" ht="15.75" customHeight="1">
      <c r="A593" t="str">
        <f t="shared" si="1"/>
        <v>B.salanitronis</v>
      </c>
      <c r="B593" s="5" t="s">
        <v>605</v>
      </c>
      <c r="C593" s="6" t="str">
        <f>IFERROR(__xludf.DUMMYFUNCTION("SPLIT('2. c'!B593, "" "", True, True)"),"Bacteroides")</f>
        <v>Bacteroides</v>
      </c>
      <c r="D593" t="str">
        <f>IFERROR(__xludf.DUMMYFUNCTION("""COMPUTED_VALUE"""),"salanitronis")</f>
        <v>salanitronis</v>
      </c>
      <c r="E593" t="str">
        <f>IFERROR(__xludf.DUMMYFUNCTION("""COMPUTED_VALUE"""),"DSM")</f>
        <v>DSM</v>
      </c>
      <c r="F593">
        <f>IFERROR(__xludf.DUMMYFUNCTION("""COMPUTED_VALUE"""),18170.0)</f>
        <v>18170</v>
      </c>
    </row>
    <row r="594" ht="15.75" customHeight="1">
      <c r="A594" t="str">
        <f t="shared" si="1"/>
        <v>B.sp.</v>
      </c>
      <c r="B594" s="5" t="s">
        <v>606</v>
      </c>
      <c r="C594" s="6" t="str">
        <f>IFERROR(__xludf.DUMMYFUNCTION("SPLIT('2. c'!B594, "" "", True, True)"),"Bacteroides")</f>
        <v>Bacteroides</v>
      </c>
      <c r="D594" t="str">
        <f>IFERROR(__xludf.DUMMYFUNCTION("""COMPUTED_VALUE"""),"sp.")</f>
        <v>sp.</v>
      </c>
      <c r="E594" t="str">
        <f>IFERROR(__xludf.DUMMYFUNCTION("""COMPUTED_VALUE"""),"CF50")</f>
        <v>CF50</v>
      </c>
    </row>
    <row r="595" ht="15.75" customHeight="1">
      <c r="A595" t="str">
        <f t="shared" si="1"/>
        <v>B.thetaiotaomicron</v>
      </c>
      <c r="B595" s="5" t="s">
        <v>607</v>
      </c>
      <c r="C595" s="6" t="str">
        <f>IFERROR(__xludf.DUMMYFUNCTION("SPLIT('2. c'!B595, "" "", True, True)"),"Bacteroides")</f>
        <v>Bacteroides</v>
      </c>
      <c r="D595" t="str">
        <f>IFERROR(__xludf.DUMMYFUNCTION("""COMPUTED_VALUE"""),"thetaiotaomicron")</f>
        <v>thetaiotaomicron</v>
      </c>
      <c r="E595" t="str">
        <f>IFERROR(__xludf.DUMMYFUNCTION("""COMPUTED_VALUE"""),"strain")</f>
        <v>strain</v>
      </c>
      <c r="F595">
        <f>IFERROR(__xludf.DUMMYFUNCTION("""COMPUTED_VALUE"""),7330.0)</f>
        <v>7330</v>
      </c>
    </row>
    <row r="596" ht="15.75" customHeight="1">
      <c r="A596" t="str">
        <f t="shared" si="1"/>
        <v>B.thetaiotaomicron</v>
      </c>
      <c r="B596" s="5" t="s">
        <v>608</v>
      </c>
      <c r="C596" s="6" t="str">
        <f>IFERROR(__xludf.DUMMYFUNCTION("SPLIT('2. c'!B596, "" "", True, True)"),"Bacteroides")</f>
        <v>Bacteroides</v>
      </c>
      <c r="D596" t="str">
        <f>IFERROR(__xludf.DUMMYFUNCTION("""COMPUTED_VALUE"""),"thetaiotaomicron")</f>
        <v>thetaiotaomicron</v>
      </c>
      <c r="E596" t="str">
        <f>IFERROR(__xludf.DUMMYFUNCTION("""COMPUTED_VALUE"""),"VPI-5482")</f>
        <v>VPI-5482</v>
      </c>
    </row>
    <row r="597" ht="15.75" customHeight="1">
      <c r="A597" t="str">
        <f t="shared" si="1"/>
        <v>B.uniformis</v>
      </c>
      <c r="B597" s="5" t="s">
        <v>609</v>
      </c>
      <c r="C597" s="6" t="str">
        <f>IFERROR(__xludf.DUMMYFUNCTION("SPLIT('2. c'!B597, "" "", True, True)"),"Bacteroides")</f>
        <v>Bacteroides</v>
      </c>
      <c r="D597" t="str">
        <f>IFERROR(__xludf.DUMMYFUNCTION("""COMPUTED_VALUE"""),"uniformis")</f>
        <v>uniformis</v>
      </c>
    </row>
    <row r="598" ht="15.75" customHeight="1">
      <c r="A598" t="str">
        <f t="shared" si="1"/>
        <v>B.vulgatus</v>
      </c>
      <c r="B598" s="5" t="s">
        <v>610</v>
      </c>
      <c r="C598" s="6" t="str">
        <f>IFERROR(__xludf.DUMMYFUNCTION("SPLIT('2. c'!B598, "" "", True, True)"),"Bacteroides")</f>
        <v>Bacteroides</v>
      </c>
      <c r="D598" t="str">
        <f>IFERROR(__xludf.DUMMYFUNCTION("""COMPUTED_VALUE"""),"vulgatus")</f>
        <v>vulgatus</v>
      </c>
      <c r="E598" t="str">
        <f>IFERROR(__xludf.DUMMYFUNCTION("""COMPUTED_VALUE"""),"ATCC")</f>
        <v>ATCC</v>
      </c>
      <c r="F598">
        <f>IFERROR(__xludf.DUMMYFUNCTION("""COMPUTED_VALUE"""),8482.0)</f>
        <v>8482</v>
      </c>
    </row>
    <row r="599" ht="15.75" customHeight="1">
      <c r="A599" t="str">
        <f t="shared" si="1"/>
        <v>B.vulgatus</v>
      </c>
      <c r="B599" s="5" t="s">
        <v>611</v>
      </c>
      <c r="C599" s="6" t="str">
        <f>IFERROR(__xludf.DUMMYFUNCTION("SPLIT('2. c'!B599, "" "", True, True)"),"Bacteroides")</f>
        <v>Bacteroides</v>
      </c>
      <c r="D599" t="str">
        <f>IFERROR(__xludf.DUMMYFUNCTION("""COMPUTED_VALUE"""),"vulgatus")</f>
        <v>vulgatus</v>
      </c>
      <c r="E599" t="str">
        <f>IFERROR(__xludf.DUMMYFUNCTION("""COMPUTED_VALUE"""),"strain")</f>
        <v>strain</v>
      </c>
      <c r="F599" t="str">
        <f>IFERROR(__xludf.DUMMYFUNCTION("""COMPUTED_VALUE"""),"mpk")</f>
        <v>mpk</v>
      </c>
    </row>
    <row r="600" ht="15.75" customHeight="1">
      <c r="A600" t="str">
        <f t="shared" si="1"/>
        <v>B.xylanisolvens</v>
      </c>
      <c r="B600" s="5" t="s">
        <v>612</v>
      </c>
      <c r="C600" s="6" t="str">
        <f>IFERROR(__xludf.DUMMYFUNCTION("SPLIT('2. c'!B600, "" "", True, True)"),"Bacteroides")</f>
        <v>Bacteroides</v>
      </c>
      <c r="D600" t="str">
        <f>IFERROR(__xludf.DUMMYFUNCTION("""COMPUTED_VALUE"""),"xylanisolvens")</f>
        <v>xylanisolvens</v>
      </c>
      <c r="E600" t="str">
        <f>IFERROR(__xludf.DUMMYFUNCTION("""COMPUTED_VALUE"""),"XB1A")</f>
        <v>XB1A</v>
      </c>
    </row>
    <row r="601" ht="15.75" customHeight="1">
      <c r="A601" t="str">
        <f t="shared" si="1"/>
        <v>B.bacterium</v>
      </c>
      <c r="B601" s="5" t="s">
        <v>613</v>
      </c>
      <c r="C601" s="6" t="str">
        <f>IFERROR(__xludf.DUMMYFUNCTION("SPLIT('2. c'!B601, "" "", True, True)"),"Bacteroidetes")</f>
        <v>Bacteroidetes</v>
      </c>
      <c r="D601" t="str">
        <f>IFERROR(__xludf.DUMMYFUNCTION("""COMPUTED_VALUE"""),"bacterium")</f>
        <v>bacterium</v>
      </c>
      <c r="E601" t="str">
        <f>IFERROR(__xludf.DUMMYFUNCTION("""COMPUTED_VALUE"""),"UKL13-3")</f>
        <v>UKL13-3</v>
      </c>
    </row>
    <row r="602" ht="15.75" customHeight="1">
      <c r="A602" t="str">
        <f t="shared" si="1"/>
        <v>B.viscericola</v>
      </c>
      <c r="B602" s="5" t="s">
        <v>614</v>
      </c>
      <c r="C602" s="6" t="str">
        <f>IFERROR(__xludf.DUMMYFUNCTION("SPLIT('2. c'!B602, "" "", True, True)"),"Barnesiella")</f>
        <v>Barnesiella</v>
      </c>
      <c r="D602" t="str">
        <f>IFERROR(__xludf.DUMMYFUNCTION("""COMPUTED_VALUE"""),"viscericola")</f>
        <v>viscericola</v>
      </c>
      <c r="E602" t="str">
        <f>IFERROR(__xludf.DUMMYFUNCTION("""COMPUTED_VALUE"""),"DSM")</f>
        <v>DSM</v>
      </c>
      <c r="F602">
        <f>IFERROR(__xludf.DUMMYFUNCTION("""COMPUTED_VALUE"""),18177.0)</f>
        <v>18177</v>
      </c>
    </row>
    <row r="603" ht="15.75" customHeight="1">
      <c r="A603" t="str">
        <f t="shared" si="1"/>
        <v>B.australis</v>
      </c>
      <c r="B603" s="5" t="s">
        <v>615</v>
      </c>
      <c r="C603" s="6" t="str">
        <f>IFERROR(__xludf.DUMMYFUNCTION("SPLIT('2. c'!B603, "" "", True, True)"),"Bartonella")</f>
        <v>Bartonella</v>
      </c>
      <c r="D603" t="str">
        <f>IFERROR(__xludf.DUMMYFUNCTION("""COMPUTED_VALUE"""),"australis")</f>
        <v>australis</v>
      </c>
      <c r="E603" t="str">
        <f>IFERROR(__xludf.DUMMYFUNCTION("""COMPUTED_VALUE"""),"Aust/NH1")</f>
        <v>Aust/NH1</v>
      </c>
    </row>
    <row r="604" ht="15.75" customHeight="1">
      <c r="A604" t="str">
        <f t="shared" si="1"/>
        <v>B.bacilliformis</v>
      </c>
      <c r="B604" s="5" t="s">
        <v>616</v>
      </c>
      <c r="C604" s="6" t="str">
        <f>IFERROR(__xludf.DUMMYFUNCTION("SPLIT('2. c'!B604, "" "", True, True)"),"Bartonella")</f>
        <v>Bartonella</v>
      </c>
      <c r="D604" t="str">
        <f>IFERROR(__xludf.DUMMYFUNCTION("""COMPUTED_VALUE"""),"bacilliformis")</f>
        <v>bacilliformis</v>
      </c>
      <c r="E604" t="str">
        <f>IFERROR(__xludf.DUMMYFUNCTION("""COMPUTED_VALUE"""),"KC583")</f>
        <v>KC583</v>
      </c>
    </row>
    <row r="605" ht="15.75" customHeight="1">
      <c r="A605" t="str">
        <f t="shared" si="1"/>
        <v>B.bacilliformis</v>
      </c>
      <c r="B605" s="5" t="s">
        <v>617</v>
      </c>
      <c r="C605" s="6" t="str">
        <f>IFERROR(__xludf.DUMMYFUNCTION("SPLIT('2. c'!B605, "" "", True, True)"),"Bartonella")</f>
        <v>Bartonella</v>
      </c>
      <c r="D605" t="str">
        <f>IFERROR(__xludf.DUMMYFUNCTION("""COMPUTED_VALUE"""),"bacilliformis")</f>
        <v>bacilliformis</v>
      </c>
      <c r="E605" t="str">
        <f>IFERROR(__xludf.DUMMYFUNCTION("""COMPUTED_VALUE"""),"strain")</f>
        <v>strain</v>
      </c>
      <c r="F605" t="str">
        <f>IFERROR(__xludf.DUMMYFUNCTION("""COMPUTED_VALUE"""),"ATCC:35685D-5")</f>
        <v>ATCC:35685D-5</v>
      </c>
    </row>
    <row r="606" ht="15.75" customHeight="1">
      <c r="A606" t="str">
        <f t="shared" si="1"/>
        <v>B.bovis</v>
      </c>
      <c r="B606" s="5" t="s">
        <v>618</v>
      </c>
      <c r="C606" s="6" t="str">
        <f>IFERROR(__xludf.DUMMYFUNCTION("SPLIT('2. c'!B606, "" "", True, True)"),"Bartonella")</f>
        <v>Bartonella</v>
      </c>
      <c r="D606" t="str">
        <f>IFERROR(__xludf.DUMMYFUNCTION("""COMPUTED_VALUE"""),"bovis")</f>
        <v>bovis</v>
      </c>
      <c r="E606" t="str">
        <f>IFERROR(__xludf.DUMMYFUNCTION("""COMPUTED_VALUE"""),"91-4")</f>
        <v>91-4</v>
      </c>
    </row>
    <row r="607" ht="15.75" customHeight="1">
      <c r="A607" t="str">
        <f t="shared" si="1"/>
        <v>B.clarridgeiae</v>
      </c>
      <c r="B607" s="5" t="s">
        <v>619</v>
      </c>
      <c r="C607" s="6" t="str">
        <f>IFERROR(__xludf.DUMMYFUNCTION("SPLIT('2. c'!B607, "" "", True, True)"),"Bartonella")</f>
        <v>Bartonella</v>
      </c>
      <c r="D607" t="str">
        <f>IFERROR(__xludf.DUMMYFUNCTION("""COMPUTED_VALUE"""),"clarridgeiae")</f>
        <v>clarridgeiae</v>
      </c>
      <c r="E607">
        <f>IFERROR(__xludf.DUMMYFUNCTION("""COMPUTED_VALUE"""),73.0)</f>
        <v>73</v>
      </c>
    </row>
    <row r="608" ht="15.75" customHeight="1">
      <c r="A608" t="str">
        <f t="shared" si="1"/>
        <v>B.grahamii</v>
      </c>
      <c r="B608" s="5" t="s">
        <v>620</v>
      </c>
      <c r="C608" s="6" t="str">
        <f>IFERROR(__xludf.DUMMYFUNCTION("SPLIT('2. c'!B608, "" "", True, True)"),"Bartonella")</f>
        <v>Bartonella</v>
      </c>
      <c r="D608" t="str">
        <f>IFERROR(__xludf.DUMMYFUNCTION("""COMPUTED_VALUE"""),"grahamii")</f>
        <v>grahamii</v>
      </c>
      <c r="E608" t="str">
        <f>IFERROR(__xludf.DUMMYFUNCTION("""COMPUTED_VALUE"""),"as4aup")</f>
        <v>as4aup</v>
      </c>
    </row>
    <row r="609" ht="15.75" customHeight="1">
      <c r="A609" t="str">
        <f t="shared" si="1"/>
        <v>B.henselae</v>
      </c>
      <c r="B609" s="5" t="s">
        <v>621</v>
      </c>
      <c r="C609" s="6" t="str">
        <f>IFERROR(__xludf.DUMMYFUNCTION("SPLIT('2. c'!B609, "" "", True, True)"),"Bartonella")</f>
        <v>Bartonella</v>
      </c>
      <c r="D609" t="str">
        <f>IFERROR(__xludf.DUMMYFUNCTION("""COMPUTED_VALUE"""),"henselae")</f>
        <v>henselae</v>
      </c>
      <c r="E609" t="str">
        <f>IFERROR(__xludf.DUMMYFUNCTION("""COMPUTED_VALUE"""),"str.")</f>
        <v>str.</v>
      </c>
      <c r="F609" t="str">
        <f>IFERROR(__xludf.DUMMYFUNCTION("""COMPUTED_VALUE"""),"Houston-1")</f>
        <v>Houston-1</v>
      </c>
    </row>
    <row r="610" ht="15.75" customHeight="1">
      <c r="A610" t="str">
        <f t="shared" si="1"/>
        <v>B.henselae</v>
      </c>
      <c r="B610" s="5" t="s">
        <v>622</v>
      </c>
      <c r="C610" s="6" t="str">
        <f>IFERROR(__xludf.DUMMYFUNCTION("SPLIT('2. c'!B610, "" "", True, True)"),"Bartonella")</f>
        <v>Bartonella</v>
      </c>
      <c r="D610" t="str">
        <f>IFERROR(__xludf.DUMMYFUNCTION("""COMPUTED_VALUE"""),"henselae")</f>
        <v>henselae</v>
      </c>
      <c r="E610" t="str">
        <f>IFERROR(__xludf.DUMMYFUNCTION("""COMPUTED_VALUE"""),"strain")</f>
        <v>strain</v>
      </c>
      <c r="F610" t="str">
        <f>IFERROR(__xludf.DUMMYFUNCTION("""COMPUTED_VALUE"""),"BM1374163")</f>
        <v>BM1374163</v>
      </c>
    </row>
    <row r="611" ht="15.75" customHeight="1">
      <c r="A611" t="str">
        <f t="shared" si="1"/>
        <v>B.henselae</v>
      </c>
      <c r="B611" s="5" t="s">
        <v>623</v>
      </c>
      <c r="C611" s="6" t="str">
        <f>IFERROR(__xludf.DUMMYFUNCTION("SPLIT('2. c'!B611, "" "", True, True)"),"Bartonella")</f>
        <v>Bartonella</v>
      </c>
      <c r="D611" t="str">
        <f>IFERROR(__xludf.DUMMYFUNCTION("""COMPUTED_VALUE"""),"henselae")</f>
        <v>henselae</v>
      </c>
      <c r="E611" t="str">
        <f>IFERROR(__xludf.DUMMYFUNCTION("""COMPUTED_VALUE"""),"strain")</f>
        <v>strain</v>
      </c>
      <c r="F611" t="str">
        <f>IFERROR(__xludf.DUMMYFUNCTION("""COMPUTED_VALUE"""),"BM1374164")</f>
        <v>BM1374164</v>
      </c>
    </row>
    <row r="612" ht="15.75" customHeight="1">
      <c r="A612" t="str">
        <f t="shared" si="1"/>
        <v>B.henselae</v>
      </c>
      <c r="B612" s="5" t="s">
        <v>624</v>
      </c>
      <c r="C612" s="6" t="str">
        <f>IFERROR(__xludf.DUMMYFUNCTION("SPLIT('2. c'!B612, "" "", True, True)"),"Bartonella")</f>
        <v>Bartonella</v>
      </c>
      <c r="D612" t="str">
        <f>IFERROR(__xludf.DUMMYFUNCTION("""COMPUTED_VALUE"""),"henselae")</f>
        <v>henselae</v>
      </c>
      <c r="E612" t="str">
        <f>IFERROR(__xludf.DUMMYFUNCTION("""COMPUTED_VALUE"""),"strain")</f>
        <v>strain</v>
      </c>
      <c r="F612" t="str">
        <f>IFERROR(__xludf.DUMMYFUNCTION("""COMPUTED_VALUE"""),"BM1374165")</f>
        <v>BM1374165</v>
      </c>
    </row>
    <row r="613" ht="15.75" customHeight="1">
      <c r="A613" t="str">
        <f t="shared" si="1"/>
        <v>B.quintana</v>
      </c>
      <c r="B613" s="5" t="s">
        <v>625</v>
      </c>
      <c r="C613" s="6" t="str">
        <f>IFERROR(__xludf.DUMMYFUNCTION("SPLIT('2. c'!B613, "" "", True, True)"),"Bartonella")</f>
        <v>Bartonella</v>
      </c>
      <c r="D613" t="str">
        <f>IFERROR(__xludf.DUMMYFUNCTION("""COMPUTED_VALUE"""),"quintana")</f>
        <v>quintana</v>
      </c>
      <c r="E613" t="str">
        <f>IFERROR(__xludf.DUMMYFUNCTION("""COMPUTED_VALUE"""),"RM-11")</f>
        <v>RM-11</v>
      </c>
    </row>
    <row r="614" ht="15.75" customHeight="1">
      <c r="A614" t="str">
        <f t="shared" si="1"/>
        <v>B.quintana</v>
      </c>
      <c r="B614" s="5" t="s">
        <v>626</v>
      </c>
      <c r="C614" s="6" t="str">
        <f>IFERROR(__xludf.DUMMYFUNCTION("SPLIT('2. c'!B614, "" "", True, True)"),"Bartonella")</f>
        <v>Bartonella</v>
      </c>
      <c r="D614" t="str">
        <f>IFERROR(__xludf.DUMMYFUNCTION("""COMPUTED_VALUE"""),"quintana")</f>
        <v>quintana</v>
      </c>
      <c r="E614" t="str">
        <f>IFERROR(__xludf.DUMMYFUNCTION("""COMPUTED_VALUE"""),"str.")</f>
        <v>str.</v>
      </c>
      <c r="F614" t="str">
        <f>IFERROR(__xludf.DUMMYFUNCTION("""COMPUTED_VALUE"""),"Toulouse")</f>
        <v>Toulouse</v>
      </c>
    </row>
    <row r="615" ht="15.75" customHeight="1">
      <c r="A615" t="str">
        <f t="shared" si="1"/>
        <v>B.tribocorum</v>
      </c>
      <c r="B615" s="5" t="s">
        <v>627</v>
      </c>
      <c r="C615" s="6" t="str">
        <f>IFERROR(__xludf.DUMMYFUNCTION("SPLIT('2. c'!B615, "" "", True, True)"),"Bartonella")</f>
        <v>Bartonella</v>
      </c>
      <c r="D615" t="str">
        <f>IFERROR(__xludf.DUMMYFUNCTION("""COMPUTED_VALUE"""),"tribocorum")</f>
        <v>tribocorum</v>
      </c>
      <c r="E615" t="str">
        <f>IFERROR(__xludf.DUMMYFUNCTION("""COMPUTED_VALUE"""),"CIP")</f>
        <v>CIP</v>
      </c>
      <c r="F615">
        <f>IFERROR(__xludf.DUMMYFUNCTION("""COMPUTED_VALUE"""),105476.0)</f>
        <v>105476</v>
      </c>
    </row>
    <row r="616" ht="15.75" customHeight="1">
      <c r="A616" t="str">
        <f t="shared" si="1"/>
        <v>B.tribocorum</v>
      </c>
      <c r="B616" s="5" t="s">
        <v>628</v>
      </c>
      <c r="C616" s="6" t="str">
        <f>IFERROR(__xludf.DUMMYFUNCTION("SPLIT('2. c'!B616, "" "", True, True)"),"Bartonella")</f>
        <v>Bartonella</v>
      </c>
      <c r="D616" t="str">
        <f>IFERROR(__xludf.DUMMYFUNCTION("""COMPUTED_VALUE"""),"tribocorum")</f>
        <v>tribocorum</v>
      </c>
      <c r="E616" t="str">
        <f>IFERROR(__xludf.DUMMYFUNCTION("""COMPUTED_VALUE"""),"strain")</f>
        <v>strain</v>
      </c>
      <c r="F616" t="str">
        <f>IFERROR(__xludf.DUMMYFUNCTION("""COMPUTED_VALUE"""),"BM1374166")</f>
        <v>BM1374166</v>
      </c>
    </row>
    <row r="617" ht="15.75" customHeight="1">
      <c r="A617" t="str">
        <f t="shared" si="1"/>
        <v>B.vinsonii</v>
      </c>
      <c r="B617" s="5" t="s">
        <v>629</v>
      </c>
      <c r="C617" s="6" t="str">
        <f>IFERROR(__xludf.DUMMYFUNCTION("SPLIT('2. c'!B617, "" "", True, True)"),"Bartonella")</f>
        <v>Bartonella</v>
      </c>
      <c r="D617" t="str">
        <f>IFERROR(__xludf.DUMMYFUNCTION("""COMPUTED_VALUE"""),"vinsonii")</f>
        <v>vinsonii</v>
      </c>
      <c r="E617" t="str">
        <f>IFERROR(__xludf.DUMMYFUNCTION("""COMPUTED_VALUE"""),"subsp.")</f>
        <v>subsp.</v>
      </c>
      <c r="F617" t="str">
        <f>IFERROR(__xludf.DUMMYFUNCTION("""COMPUTED_VALUE"""),"berkhoffii")</f>
        <v>berkhoffii</v>
      </c>
      <c r="G617" t="str">
        <f>IFERROR(__xludf.DUMMYFUNCTION("""COMPUTED_VALUE"""),"str.")</f>
        <v>str.</v>
      </c>
      <c r="H617" t="str">
        <f>IFERROR(__xludf.DUMMYFUNCTION("""COMPUTED_VALUE"""),"Winnie")</f>
        <v>Winnie</v>
      </c>
    </row>
    <row r="618" ht="15.75" customHeight="1">
      <c r="A618" t="str">
        <f t="shared" si="1"/>
        <v>B.psittacipulmonis</v>
      </c>
      <c r="B618" s="5" t="s">
        <v>630</v>
      </c>
      <c r="C618" s="6" t="str">
        <f>IFERROR(__xludf.DUMMYFUNCTION("SPLIT('2. c'!B618, "" "", True, True)"),"Basilea")</f>
        <v>Basilea</v>
      </c>
      <c r="D618" t="str">
        <f>IFERROR(__xludf.DUMMYFUNCTION("""COMPUTED_VALUE"""),"psittacipulmonis")</f>
        <v>psittacipulmonis</v>
      </c>
      <c r="E618" t="str">
        <f>IFERROR(__xludf.DUMMYFUNCTION("""COMPUTED_VALUE"""),"DSM")</f>
        <v>DSM</v>
      </c>
      <c r="F618">
        <f>IFERROR(__xludf.DUMMYFUNCTION("""COMPUTED_VALUE"""),24701.0)</f>
        <v>24701</v>
      </c>
    </row>
    <row r="619" ht="15.75" customHeight="1">
      <c r="A619" t="str">
        <f t="shared" si="1"/>
        <v>B.cicadellinicola</v>
      </c>
      <c r="B619" s="5" t="s">
        <v>631</v>
      </c>
      <c r="C619" s="6" t="str">
        <f>IFERROR(__xludf.DUMMYFUNCTION("SPLIT('2. c'!B619, "" "", True, True)"),"Baumannia")</f>
        <v>Baumannia</v>
      </c>
      <c r="D619" t="str">
        <f>IFERROR(__xludf.DUMMYFUNCTION("""COMPUTED_VALUE"""),"cicadellinicola")</f>
        <v>cicadellinicola</v>
      </c>
      <c r="E619" t="str">
        <f>IFERROR(__xludf.DUMMYFUNCTION("""COMPUTED_VALUE"""),"str.")</f>
        <v>str.</v>
      </c>
      <c r="F619" t="str">
        <f>IFERROR(__xludf.DUMMYFUNCTION("""COMPUTED_VALUE"""),"Hc")</f>
        <v>Hc</v>
      </c>
      <c r="G619" t="str">
        <f>IFERROR(__xludf.DUMMYFUNCTION("""COMPUTED_VALUE"""),"(Homalodisca")</f>
        <v>(Homalodisca</v>
      </c>
      <c r="H619" t="str">
        <f>IFERROR(__xludf.DUMMYFUNCTION("""COMPUTED_VALUE"""),"coagulata)")</f>
        <v>coagulata)</v>
      </c>
    </row>
    <row r="620" ht="15.75" customHeight="1">
      <c r="A620" t="str">
        <f t="shared" si="1"/>
        <v>B.bacteriovorus</v>
      </c>
      <c r="B620" s="5" t="s">
        <v>632</v>
      </c>
      <c r="C620" s="6" t="str">
        <f>IFERROR(__xludf.DUMMYFUNCTION("SPLIT('2. c'!B620, "" "", True, True)"),"Bdellovibrio")</f>
        <v>Bdellovibrio</v>
      </c>
      <c r="D620" t="str">
        <f>IFERROR(__xludf.DUMMYFUNCTION("""COMPUTED_VALUE"""),"bacteriovorus")</f>
        <v>bacteriovorus</v>
      </c>
      <c r="E620" t="str">
        <f>IFERROR(__xludf.DUMMYFUNCTION("""COMPUTED_VALUE"""),"HD100")</f>
        <v>HD100</v>
      </c>
    </row>
    <row r="621" ht="15.75" customHeight="1">
      <c r="A621" t="str">
        <f t="shared" si="1"/>
        <v>B.bacteriovorus</v>
      </c>
      <c r="B621" s="5" t="s">
        <v>633</v>
      </c>
      <c r="C621" s="6" t="str">
        <f>IFERROR(__xludf.DUMMYFUNCTION("SPLIT('2. c'!B621, "" "", True, True)"),"Bdellovibrio")</f>
        <v>Bdellovibrio</v>
      </c>
      <c r="D621" t="str">
        <f>IFERROR(__xludf.DUMMYFUNCTION("""COMPUTED_VALUE"""),"bacteriovorus")</f>
        <v>bacteriovorus</v>
      </c>
      <c r="E621" t="str">
        <f>IFERROR(__xludf.DUMMYFUNCTION("""COMPUTED_VALUE"""),"str.")</f>
        <v>str.</v>
      </c>
      <c r="F621" t="str">
        <f>IFERROR(__xludf.DUMMYFUNCTION("""COMPUTED_VALUE"""),"Tiberius")</f>
        <v>Tiberius</v>
      </c>
    </row>
    <row r="622" ht="15.75" customHeight="1">
      <c r="A622" t="str">
        <f t="shared" si="1"/>
        <v>B.bacteriovorus</v>
      </c>
      <c r="B622" s="5" t="s">
        <v>637</v>
      </c>
      <c r="C622" s="6" t="str">
        <f>IFERROR(__xludf.DUMMYFUNCTION("SPLIT('2. c'!B622, "" "", True, True)"),"Bdellovibrio")</f>
        <v>Bdellovibrio</v>
      </c>
      <c r="D622" t="str">
        <f>IFERROR(__xludf.DUMMYFUNCTION("""COMPUTED_VALUE"""),"bacteriovorus")</f>
        <v>bacteriovorus</v>
      </c>
      <c r="E622" t="str">
        <f>IFERROR(__xludf.DUMMYFUNCTION("""COMPUTED_VALUE"""),"strain")</f>
        <v>strain</v>
      </c>
      <c r="F622" t="str">
        <f>IFERROR(__xludf.DUMMYFUNCTION("""COMPUTED_VALUE"""),"109J")</f>
        <v>109J</v>
      </c>
    </row>
    <row r="623" ht="15.75" customHeight="1">
      <c r="A623" t="str">
        <f t="shared" si="1"/>
        <v>B.bacteriovorus</v>
      </c>
      <c r="B623" s="5" t="s">
        <v>639</v>
      </c>
      <c r="C623" s="6" t="str">
        <f>IFERROR(__xludf.DUMMYFUNCTION("SPLIT('2. c'!B623, "" "", True, True)"),"Bdellovibrio")</f>
        <v>Bdellovibrio</v>
      </c>
      <c r="D623" t="str">
        <f>IFERROR(__xludf.DUMMYFUNCTION("""COMPUTED_VALUE"""),"bacteriovorus")</f>
        <v>bacteriovorus</v>
      </c>
      <c r="E623" t="str">
        <f>IFERROR(__xludf.DUMMYFUNCTION("""COMPUTED_VALUE"""),"strain")</f>
        <v>strain</v>
      </c>
      <c r="F623" t="str">
        <f>IFERROR(__xludf.DUMMYFUNCTION("""COMPUTED_VALUE"""),"HD100")</f>
        <v>HD100</v>
      </c>
      <c r="G623" t="str">
        <f>IFERROR(__xludf.DUMMYFUNCTION("""COMPUTED_VALUE"""),"merdel")</f>
        <v>merdel</v>
      </c>
    </row>
    <row r="624" ht="15.75" customHeight="1">
      <c r="A624" t="str">
        <f t="shared" si="1"/>
        <v>B.bacteriovorus</v>
      </c>
      <c r="B624" s="5" t="s">
        <v>641</v>
      </c>
      <c r="C624" s="6" t="str">
        <f>IFERROR(__xludf.DUMMYFUNCTION("SPLIT('2. c'!B624, "" "", True, True)"),"Bdellovibrio")</f>
        <v>Bdellovibrio</v>
      </c>
      <c r="D624" t="str">
        <f>IFERROR(__xludf.DUMMYFUNCTION("""COMPUTED_VALUE"""),"bacteriovorus")</f>
        <v>bacteriovorus</v>
      </c>
      <c r="E624" t="str">
        <f>IFERROR(__xludf.DUMMYFUNCTION("""COMPUTED_VALUE"""),"W")</f>
        <v>W</v>
      </c>
    </row>
    <row r="625" ht="15.75" customHeight="1">
      <c r="A625" t="str">
        <f t="shared" si="1"/>
        <v>B.exovorus</v>
      </c>
      <c r="B625" s="5" t="s">
        <v>643</v>
      </c>
      <c r="C625" s="6" t="str">
        <f>IFERROR(__xludf.DUMMYFUNCTION("SPLIT('2. c'!B625, "" "", True, True)"),"Bdellovibrio")</f>
        <v>Bdellovibrio</v>
      </c>
      <c r="D625" t="str">
        <f>IFERROR(__xludf.DUMMYFUNCTION("""COMPUTED_VALUE"""),"exovorus")</f>
        <v>exovorus</v>
      </c>
      <c r="E625" t="str">
        <f>IFERROR(__xludf.DUMMYFUNCTION("""COMPUTED_VALUE"""),"JSS")</f>
        <v>JSS</v>
      </c>
    </row>
    <row r="626" ht="15.75" customHeight="1">
      <c r="A626" t="str">
        <f t="shared" si="1"/>
        <v>B.leptomitiformis</v>
      </c>
      <c r="B626" s="5" t="s">
        <v>645</v>
      </c>
      <c r="C626" s="6" t="str">
        <f>IFERROR(__xludf.DUMMYFUNCTION("SPLIT('2. c'!B626, "" "", True, True)"),"Beggiatoa")</f>
        <v>Beggiatoa</v>
      </c>
      <c r="D626" t="str">
        <f>IFERROR(__xludf.DUMMYFUNCTION("""COMPUTED_VALUE"""),"leptomitiformis")</f>
        <v>leptomitiformis</v>
      </c>
      <c r="E626" t="str">
        <f>IFERROR(__xludf.DUMMYFUNCTION("""COMPUTED_VALUE"""),"strain")</f>
        <v>strain</v>
      </c>
      <c r="F626" t="str">
        <f>IFERROR(__xludf.DUMMYFUNCTION("""COMPUTED_VALUE"""),"D-402")</f>
        <v>D-402</v>
      </c>
    </row>
    <row r="627" ht="15.75" customHeight="1">
      <c r="A627" t="str">
        <f t="shared" si="1"/>
        <v>B.indica</v>
      </c>
      <c r="B627" s="5" t="s">
        <v>646</v>
      </c>
      <c r="C627" s="6" t="str">
        <f>IFERROR(__xludf.DUMMYFUNCTION("SPLIT('2. c'!B627, "" "", True, True)"),"Beijerinckia")</f>
        <v>Beijerinckia</v>
      </c>
      <c r="D627" t="str">
        <f>IFERROR(__xludf.DUMMYFUNCTION("""COMPUTED_VALUE"""),"indica")</f>
        <v>indica</v>
      </c>
      <c r="E627" t="str">
        <f>IFERROR(__xludf.DUMMYFUNCTION("""COMPUTED_VALUE"""),"subsp.")</f>
        <v>subsp.</v>
      </c>
      <c r="F627" t="str">
        <f>IFERROR(__xludf.DUMMYFUNCTION("""COMPUTED_VALUE"""),"indica")</f>
        <v>indica</v>
      </c>
      <c r="G627" t="str">
        <f>IFERROR(__xludf.DUMMYFUNCTION("""COMPUTED_VALUE"""),"ATCC")</f>
        <v>ATCC</v>
      </c>
      <c r="H627">
        <f>IFERROR(__xludf.DUMMYFUNCTION("""COMPUTED_VALUE"""),9039.0)</f>
        <v>9039</v>
      </c>
    </row>
    <row r="628" ht="15.75" customHeight="1">
      <c r="A628" t="str">
        <f t="shared" si="1"/>
        <v>B.baltica</v>
      </c>
      <c r="B628" s="5" t="s">
        <v>648</v>
      </c>
      <c r="C628" s="6" t="str">
        <f>IFERROR(__xludf.DUMMYFUNCTION("SPLIT('2. c'!B628, "" "", True, True)"),"Belliella")</f>
        <v>Belliella</v>
      </c>
      <c r="D628" t="str">
        <f>IFERROR(__xludf.DUMMYFUNCTION("""COMPUTED_VALUE"""),"baltica")</f>
        <v>baltica</v>
      </c>
      <c r="E628" t="str">
        <f>IFERROR(__xludf.DUMMYFUNCTION("""COMPUTED_VALUE"""),"DSM")</f>
        <v>DSM</v>
      </c>
      <c r="F628">
        <f>IFERROR(__xludf.DUMMYFUNCTION("""COMPUTED_VALUE"""),15883.0)</f>
        <v>15883</v>
      </c>
    </row>
    <row r="629" ht="15.75" customHeight="1">
      <c r="A629" t="str">
        <f t="shared" si="1"/>
        <v>B.bacterium</v>
      </c>
      <c r="B629" s="5" t="s">
        <v>649</v>
      </c>
      <c r="C629" s="6" t="str">
        <f>IFERROR(__xludf.DUMMYFUNCTION("SPLIT('2. c'!B629, "" "", True, True)"),"Berkelbacteria")</f>
        <v>Berkelbacteria</v>
      </c>
      <c r="D629" t="str">
        <f>IFERROR(__xludf.DUMMYFUNCTION("""COMPUTED_VALUE"""),"bacterium")</f>
        <v>bacterium</v>
      </c>
      <c r="E629" t="str">
        <f>IFERROR(__xludf.DUMMYFUNCTION("""COMPUTED_VALUE"""),"GW2011_GWE1_39_12")</f>
        <v>GW2011_GWE1_39_12</v>
      </c>
    </row>
    <row r="630" ht="15.75" customHeight="1">
      <c r="A630" t="str">
        <f t="shared" si="1"/>
        <v>b.proteobacterium</v>
      </c>
      <c r="B630" s="5" t="s">
        <v>650</v>
      </c>
      <c r="C630" s="6" t="str">
        <f>IFERROR(__xludf.DUMMYFUNCTION("SPLIT('2. c'!B630, "" "", True, True)"),"beta")</f>
        <v>beta</v>
      </c>
      <c r="D630" t="str">
        <f>IFERROR(__xludf.DUMMYFUNCTION("""COMPUTED_VALUE"""),"proteobacterium")</f>
        <v>proteobacterium</v>
      </c>
      <c r="E630" t="str">
        <f>IFERROR(__xludf.DUMMYFUNCTION("""COMPUTED_VALUE"""),"CB")</f>
        <v>CB</v>
      </c>
    </row>
    <row r="631" ht="15.75" customHeight="1">
      <c r="A631" t="str">
        <f t="shared" si="1"/>
        <v>B.bacterium</v>
      </c>
      <c r="B631" s="5" t="s">
        <v>651</v>
      </c>
      <c r="C631" s="6" t="str">
        <f>IFERROR(__xludf.DUMMYFUNCTION("SPLIT('2. c'!B631, "" "", True, True)"),"Betaproteobacteria")</f>
        <v>Betaproteobacteria</v>
      </c>
      <c r="D631" t="str">
        <f>IFERROR(__xludf.DUMMYFUNCTION("""COMPUTED_VALUE"""),"bacterium")</f>
        <v>bacterium</v>
      </c>
      <c r="E631" t="str">
        <f>IFERROR(__xludf.DUMMYFUNCTION("""COMPUTED_VALUE"""),"UKL13-2")</f>
        <v>UKL13-2</v>
      </c>
    </row>
    <row r="632" ht="15.75" customHeight="1">
      <c r="A632" t="str">
        <f t="shared" si="1"/>
        <v>B.cavernae</v>
      </c>
      <c r="B632" s="5" t="s">
        <v>652</v>
      </c>
      <c r="C632" s="6" t="str">
        <f>IFERROR(__xludf.DUMMYFUNCTION("SPLIT('2. c'!B632, "" "", True, True)"),"Beutenbergia")</f>
        <v>Beutenbergia</v>
      </c>
      <c r="D632" t="str">
        <f>IFERROR(__xludf.DUMMYFUNCTION("""COMPUTED_VALUE"""),"cavernae")</f>
        <v>cavernae</v>
      </c>
      <c r="E632" t="str">
        <f>IFERROR(__xludf.DUMMYFUNCTION("""COMPUTED_VALUE"""),"DSM")</f>
        <v>DSM</v>
      </c>
      <c r="F632">
        <f>IFERROR(__xludf.DUMMYFUNCTION("""COMPUTED_VALUE"""),12333.0)</f>
        <v>12333</v>
      </c>
    </row>
    <row r="633" ht="15.75" customHeight="1">
      <c r="A633" t="str">
        <f t="shared" si="1"/>
        <v>B.trehalosi</v>
      </c>
      <c r="B633" s="5" t="s">
        <v>653</v>
      </c>
      <c r="C633" s="6" t="str">
        <f>IFERROR(__xludf.DUMMYFUNCTION("SPLIT('2. c'!B633, "" "", True, True)"),"Bibersteinia")</f>
        <v>Bibersteinia</v>
      </c>
      <c r="D633" t="str">
        <f>IFERROR(__xludf.DUMMYFUNCTION("""COMPUTED_VALUE"""),"trehalosi")</f>
        <v>trehalosi</v>
      </c>
      <c r="E633" t="str">
        <f>IFERROR(__xludf.DUMMYFUNCTION("""COMPUTED_VALUE"""),"USDA-ARS-USMARC-188")</f>
        <v>USDA-ARS-USMARC-188</v>
      </c>
    </row>
    <row r="634" ht="15.75" customHeight="1">
      <c r="A634" t="str">
        <f t="shared" si="1"/>
        <v>B.trehalosi</v>
      </c>
      <c r="B634" s="5" t="s">
        <v>654</v>
      </c>
      <c r="C634" s="6" t="str">
        <f>IFERROR(__xludf.DUMMYFUNCTION("SPLIT('2. c'!B634, "" "", True, True)"),"Bibersteinia")</f>
        <v>Bibersteinia</v>
      </c>
      <c r="D634" t="str">
        <f>IFERROR(__xludf.DUMMYFUNCTION("""COMPUTED_VALUE"""),"trehalosi")</f>
        <v>trehalosi</v>
      </c>
      <c r="E634" t="str">
        <f>IFERROR(__xludf.DUMMYFUNCTION("""COMPUTED_VALUE"""),"USDA-ARS-USMARC-189")</f>
        <v>USDA-ARS-USMARC-189</v>
      </c>
    </row>
    <row r="635" ht="15.75" customHeight="1">
      <c r="A635" t="str">
        <f t="shared" si="1"/>
        <v>B.trehalosi</v>
      </c>
      <c r="B635" s="5" t="s">
        <v>656</v>
      </c>
      <c r="C635" s="6" t="str">
        <f>IFERROR(__xludf.DUMMYFUNCTION("SPLIT('2. c'!B635, "" "", True, True)"),"Bibersteinia")</f>
        <v>Bibersteinia</v>
      </c>
      <c r="D635" t="str">
        <f>IFERROR(__xludf.DUMMYFUNCTION("""COMPUTED_VALUE"""),"trehalosi")</f>
        <v>trehalosi</v>
      </c>
      <c r="E635" t="str">
        <f>IFERROR(__xludf.DUMMYFUNCTION("""COMPUTED_VALUE"""),"USDA-ARS-USMARC-190")</f>
        <v>USDA-ARS-USMARC-190</v>
      </c>
    </row>
    <row r="636" ht="15.75" customHeight="1">
      <c r="A636" t="str">
        <f t="shared" si="1"/>
        <v>B.trehalosi</v>
      </c>
      <c r="B636" s="5" t="s">
        <v>657</v>
      </c>
      <c r="C636" s="6" t="str">
        <f>IFERROR(__xludf.DUMMYFUNCTION("SPLIT('2. c'!B636, "" "", True, True)"),"Bibersteinia")</f>
        <v>Bibersteinia</v>
      </c>
      <c r="D636" t="str">
        <f>IFERROR(__xludf.DUMMYFUNCTION("""COMPUTED_VALUE"""),"trehalosi")</f>
        <v>trehalosi</v>
      </c>
      <c r="E636" t="str">
        <f>IFERROR(__xludf.DUMMYFUNCTION("""COMPUTED_VALUE"""),"USDA-ARS-USMARC-192")</f>
        <v>USDA-ARS-USMARC-192</v>
      </c>
    </row>
    <row r="637" ht="15.75" customHeight="1">
      <c r="A637" t="str">
        <f t="shared" si="1"/>
        <v>B.actinocoloniiforme</v>
      </c>
      <c r="B637" s="5" t="s">
        <v>658</v>
      </c>
      <c r="C637" s="6" t="str">
        <f>IFERROR(__xludf.DUMMYFUNCTION("SPLIT('2. c'!B637, "" "", True, True)"),"Bifidobacterium")</f>
        <v>Bifidobacterium</v>
      </c>
      <c r="D637" t="str">
        <f>IFERROR(__xludf.DUMMYFUNCTION("""COMPUTED_VALUE"""),"actinocoloniiforme")</f>
        <v>actinocoloniiforme</v>
      </c>
      <c r="E637" t="str">
        <f>IFERROR(__xludf.DUMMYFUNCTION("""COMPUTED_VALUE"""),"DSM")</f>
        <v>DSM</v>
      </c>
      <c r="F637">
        <f>IFERROR(__xludf.DUMMYFUNCTION("""COMPUTED_VALUE"""),22766.0)</f>
        <v>22766</v>
      </c>
    </row>
    <row r="638" ht="15.75" customHeight="1">
      <c r="A638" t="str">
        <f t="shared" si="1"/>
        <v>B.adolescentis</v>
      </c>
      <c r="B638" s="5" t="s">
        <v>660</v>
      </c>
      <c r="C638" s="6" t="str">
        <f>IFERROR(__xludf.DUMMYFUNCTION("SPLIT('2. c'!B638, "" "", True, True)"),"Bifidobacterium")</f>
        <v>Bifidobacterium</v>
      </c>
      <c r="D638" t="str">
        <f>IFERROR(__xludf.DUMMYFUNCTION("""COMPUTED_VALUE"""),"adolescentis")</f>
        <v>adolescentis</v>
      </c>
      <c r="E638" t="str">
        <f>IFERROR(__xludf.DUMMYFUNCTION("""COMPUTED_VALUE"""),"ATCC")</f>
        <v>ATCC</v>
      </c>
      <c r="F638">
        <f>IFERROR(__xludf.DUMMYFUNCTION("""COMPUTED_VALUE"""),15703.0)</f>
        <v>15703</v>
      </c>
    </row>
    <row r="639" ht="15.75" customHeight="1">
      <c r="A639" t="str">
        <f t="shared" si="1"/>
        <v>B.adolescentis</v>
      </c>
      <c r="B639" s="5" t="s">
        <v>661</v>
      </c>
      <c r="C639" s="6" t="str">
        <f>IFERROR(__xludf.DUMMYFUNCTION("SPLIT('2. c'!B639, "" "", True, True)"),"Bifidobacterium")</f>
        <v>Bifidobacterium</v>
      </c>
      <c r="D639" t="str">
        <f>IFERROR(__xludf.DUMMYFUNCTION("""COMPUTED_VALUE"""),"adolescentis")</f>
        <v>adolescentis</v>
      </c>
      <c r="E639" t="str">
        <f>IFERROR(__xludf.DUMMYFUNCTION("""COMPUTED_VALUE"""),"strain")</f>
        <v>strain</v>
      </c>
      <c r="F639" t="str">
        <f>IFERROR(__xludf.DUMMYFUNCTION("""COMPUTED_VALUE"""),"22L")</f>
        <v>22L</v>
      </c>
    </row>
    <row r="640" ht="15.75" customHeight="1">
      <c r="A640" t="str">
        <f t="shared" si="1"/>
        <v>B.adolescentis</v>
      </c>
      <c r="B640" s="5" t="s">
        <v>663</v>
      </c>
      <c r="C640" s="6" t="str">
        <f>IFERROR(__xludf.DUMMYFUNCTION("SPLIT('2. c'!B640, "" "", True, True)"),"Bifidobacterium")</f>
        <v>Bifidobacterium</v>
      </c>
      <c r="D640" t="str">
        <f>IFERROR(__xludf.DUMMYFUNCTION("""COMPUTED_VALUE"""),"adolescentis")</f>
        <v>adolescentis</v>
      </c>
      <c r="E640" t="str">
        <f>IFERROR(__xludf.DUMMYFUNCTION("""COMPUTED_VALUE"""),"strain")</f>
        <v>strain</v>
      </c>
      <c r="F640" t="str">
        <f>IFERROR(__xludf.DUMMYFUNCTION("""COMPUTED_VALUE"""),"BBMN23")</f>
        <v>BBMN23</v>
      </c>
    </row>
    <row r="641" ht="15.75" customHeight="1">
      <c r="A641" t="str">
        <f t="shared" si="1"/>
        <v>B.angulatum</v>
      </c>
      <c r="B641" s="5" t="s">
        <v>665</v>
      </c>
      <c r="C641" s="6" t="str">
        <f>IFERROR(__xludf.DUMMYFUNCTION("SPLIT('2. c'!B641, "" "", True, True)"),"Bifidobacterium")</f>
        <v>Bifidobacterium</v>
      </c>
      <c r="D641" t="str">
        <f>IFERROR(__xludf.DUMMYFUNCTION("""COMPUTED_VALUE"""),"angulatum")</f>
        <v>angulatum</v>
      </c>
      <c r="E641" t="str">
        <f>IFERROR(__xludf.DUMMYFUNCTION("""COMPUTED_VALUE"""),"DSM")</f>
        <v>DSM</v>
      </c>
      <c r="F641">
        <f>IFERROR(__xludf.DUMMYFUNCTION("""COMPUTED_VALUE"""),20098.0)</f>
        <v>20098</v>
      </c>
      <c r="G641" t="str">
        <f>IFERROR(__xludf.DUMMYFUNCTION("""COMPUTED_VALUE"""),"=")</f>
        <v>=</v>
      </c>
      <c r="H641" t="str">
        <f>IFERROR(__xludf.DUMMYFUNCTION("""COMPUTED_VALUE"""),"JCM")</f>
        <v>JCM</v>
      </c>
      <c r="I641">
        <f>IFERROR(__xludf.DUMMYFUNCTION("""COMPUTED_VALUE"""),7096.0)</f>
        <v>7096</v>
      </c>
    </row>
    <row r="642" ht="15.75" customHeight="1">
      <c r="A642" t="str">
        <f t="shared" si="1"/>
        <v>B.animalis</v>
      </c>
      <c r="B642" s="5" t="s">
        <v>666</v>
      </c>
      <c r="C642" s="6" t="str">
        <f>IFERROR(__xludf.DUMMYFUNCTION("SPLIT('2. c'!B642, "" "", True, True)"),"Bifidobacterium")</f>
        <v>Bifidobacterium</v>
      </c>
      <c r="D642" t="str">
        <f>IFERROR(__xludf.DUMMYFUNCTION("""COMPUTED_VALUE"""),"animalis")</f>
        <v>animalis</v>
      </c>
      <c r="E642" t="str">
        <f>IFERROR(__xludf.DUMMYFUNCTION("""COMPUTED_VALUE"""),"strain")</f>
        <v>strain</v>
      </c>
      <c r="F642" t="str">
        <f>IFERROR(__xludf.DUMMYFUNCTION("""COMPUTED_VALUE"""),"A6")</f>
        <v>A6</v>
      </c>
    </row>
    <row r="643" ht="15.75" customHeight="1">
      <c r="A643" t="str">
        <f t="shared" si="1"/>
        <v>B.animalis</v>
      </c>
      <c r="B643" s="5" t="s">
        <v>667</v>
      </c>
      <c r="C643" s="6" t="str">
        <f>IFERROR(__xludf.DUMMYFUNCTION("SPLIT('2. c'!B643, "" "", True, True)"),"Bifidobacterium")</f>
        <v>Bifidobacterium</v>
      </c>
      <c r="D643" t="str">
        <f>IFERROR(__xludf.DUMMYFUNCTION("""COMPUTED_VALUE"""),"animalis")</f>
        <v>animalis</v>
      </c>
      <c r="E643" t="str">
        <f>IFERROR(__xludf.DUMMYFUNCTION("""COMPUTED_VALUE"""),"strain")</f>
        <v>strain</v>
      </c>
      <c r="F643" t="str">
        <f>IFERROR(__xludf.DUMMYFUNCTION("""COMPUTED_VALUE"""),"RH")</f>
        <v>RH</v>
      </c>
    </row>
    <row r="644" ht="15.75" customHeight="1">
      <c r="A644" t="str">
        <f t="shared" si="1"/>
        <v>B.animalis</v>
      </c>
      <c r="B644" s="5" t="s">
        <v>668</v>
      </c>
      <c r="C644" s="6" t="str">
        <f>IFERROR(__xludf.DUMMYFUNCTION("SPLIT('2. c'!B644, "" "", True, True)"),"Bifidobacterium")</f>
        <v>Bifidobacterium</v>
      </c>
      <c r="D644" t="str">
        <f>IFERROR(__xludf.DUMMYFUNCTION("""COMPUTED_VALUE"""),"animalis")</f>
        <v>animalis</v>
      </c>
      <c r="E644" t="str">
        <f>IFERROR(__xludf.DUMMYFUNCTION("""COMPUTED_VALUE"""),"subsp.")</f>
        <v>subsp.</v>
      </c>
      <c r="F644" t="str">
        <f>IFERROR(__xludf.DUMMYFUNCTION("""COMPUTED_VALUE"""),"animalis")</f>
        <v>animalis</v>
      </c>
      <c r="G644" t="str">
        <f>IFERROR(__xludf.DUMMYFUNCTION("""COMPUTED_VALUE"""),"ATCC")</f>
        <v>ATCC</v>
      </c>
      <c r="H644">
        <f>IFERROR(__xludf.DUMMYFUNCTION("""COMPUTED_VALUE"""),25527.0)</f>
        <v>25527</v>
      </c>
    </row>
    <row r="645" ht="15.75" customHeight="1">
      <c r="A645" t="str">
        <f t="shared" si="1"/>
        <v>B.animalis</v>
      </c>
      <c r="B645" s="5" t="s">
        <v>669</v>
      </c>
      <c r="C645" s="6" t="str">
        <f>IFERROR(__xludf.DUMMYFUNCTION("SPLIT('2. c'!B645, "" "", True, True)"),"Bifidobacterium")</f>
        <v>Bifidobacterium</v>
      </c>
      <c r="D645" t="str">
        <f>IFERROR(__xludf.DUMMYFUNCTION("""COMPUTED_VALUE"""),"animalis")</f>
        <v>animalis</v>
      </c>
      <c r="E645" t="str">
        <f>IFERROR(__xludf.DUMMYFUNCTION("""COMPUTED_VALUE"""),"subsp.")</f>
        <v>subsp.</v>
      </c>
      <c r="F645" t="str">
        <f>IFERROR(__xludf.DUMMYFUNCTION("""COMPUTED_VALUE"""),"lactis")</f>
        <v>lactis</v>
      </c>
      <c r="G645" t="str">
        <f>IFERROR(__xludf.DUMMYFUNCTION("""COMPUTED_VALUE"""),"AD011")</f>
        <v>AD011</v>
      </c>
    </row>
    <row r="646" ht="15.75" customHeight="1">
      <c r="A646" t="str">
        <f t="shared" si="1"/>
        <v>B.animalis</v>
      </c>
      <c r="B646" s="5" t="s">
        <v>670</v>
      </c>
      <c r="C646" s="6" t="str">
        <f>IFERROR(__xludf.DUMMYFUNCTION("SPLIT('2. c'!B646, "" "", True, True)"),"Bifidobacterium")</f>
        <v>Bifidobacterium</v>
      </c>
      <c r="D646" t="str">
        <f>IFERROR(__xludf.DUMMYFUNCTION("""COMPUTED_VALUE"""),"animalis")</f>
        <v>animalis</v>
      </c>
      <c r="E646" t="str">
        <f>IFERROR(__xludf.DUMMYFUNCTION("""COMPUTED_VALUE"""),"subsp.")</f>
        <v>subsp.</v>
      </c>
      <c r="F646" t="str">
        <f>IFERROR(__xludf.DUMMYFUNCTION("""COMPUTED_VALUE"""),"lactis")</f>
        <v>lactis</v>
      </c>
      <c r="G646" t="str">
        <f>IFERROR(__xludf.DUMMYFUNCTION("""COMPUTED_VALUE"""),"ATCC")</f>
        <v>ATCC</v>
      </c>
      <c r="H646">
        <f>IFERROR(__xludf.DUMMYFUNCTION("""COMPUTED_VALUE"""),27673.0)</f>
        <v>27673</v>
      </c>
    </row>
    <row r="647" ht="15.75" customHeight="1">
      <c r="A647" t="str">
        <f t="shared" si="1"/>
        <v>B.animalis</v>
      </c>
      <c r="B647" s="5" t="s">
        <v>671</v>
      </c>
      <c r="C647" s="6" t="str">
        <f>IFERROR(__xludf.DUMMYFUNCTION("SPLIT('2. c'!B647, "" "", True, True)"),"Bifidobacterium")</f>
        <v>Bifidobacterium</v>
      </c>
      <c r="D647" t="str">
        <f>IFERROR(__xludf.DUMMYFUNCTION("""COMPUTED_VALUE"""),"animalis")</f>
        <v>animalis</v>
      </c>
      <c r="E647" t="str">
        <f>IFERROR(__xludf.DUMMYFUNCTION("""COMPUTED_VALUE"""),"subsp.")</f>
        <v>subsp.</v>
      </c>
      <c r="F647" t="str">
        <f>IFERROR(__xludf.DUMMYFUNCTION("""COMPUTED_VALUE"""),"lactis")</f>
        <v>lactis</v>
      </c>
      <c r="G647" t="str">
        <f>IFERROR(__xludf.DUMMYFUNCTION("""COMPUTED_VALUE"""),"B420")</f>
        <v>B420</v>
      </c>
    </row>
    <row r="648" ht="15.75" customHeight="1">
      <c r="A648" t="str">
        <f t="shared" si="1"/>
        <v>B.animalis</v>
      </c>
      <c r="B648" s="5" t="s">
        <v>672</v>
      </c>
      <c r="C648" s="6" t="str">
        <f>IFERROR(__xludf.DUMMYFUNCTION("SPLIT('2. c'!B648, "" "", True, True)"),"Bifidobacterium")</f>
        <v>Bifidobacterium</v>
      </c>
      <c r="D648" t="str">
        <f>IFERROR(__xludf.DUMMYFUNCTION("""COMPUTED_VALUE"""),"animalis")</f>
        <v>animalis</v>
      </c>
      <c r="E648" t="str">
        <f>IFERROR(__xludf.DUMMYFUNCTION("""COMPUTED_VALUE"""),"subsp.")</f>
        <v>subsp.</v>
      </c>
      <c r="F648" t="str">
        <f>IFERROR(__xludf.DUMMYFUNCTION("""COMPUTED_VALUE"""),"lactis")</f>
        <v>lactis</v>
      </c>
      <c r="G648" t="str">
        <f>IFERROR(__xludf.DUMMYFUNCTION("""COMPUTED_VALUE"""),"BB-12")</f>
        <v>BB-12</v>
      </c>
    </row>
    <row r="649" ht="15.75" customHeight="1">
      <c r="A649" t="str">
        <f t="shared" si="1"/>
        <v>B.animalis</v>
      </c>
      <c r="B649" s="5" t="s">
        <v>673</v>
      </c>
      <c r="C649" s="6" t="str">
        <f>IFERROR(__xludf.DUMMYFUNCTION("SPLIT('2. c'!B649, "" "", True, True)"),"Bifidobacterium")</f>
        <v>Bifidobacterium</v>
      </c>
      <c r="D649" t="str">
        <f>IFERROR(__xludf.DUMMYFUNCTION("""COMPUTED_VALUE"""),"animalis")</f>
        <v>animalis</v>
      </c>
      <c r="E649" t="str">
        <f>IFERROR(__xludf.DUMMYFUNCTION("""COMPUTED_VALUE"""),"subsp.")</f>
        <v>subsp.</v>
      </c>
      <c r="F649" t="str">
        <f>IFERROR(__xludf.DUMMYFUNCTION("""COMPUTED_VALUE"""),"lactis")</f>
        <v>lactis</v>
      </c>
      <c r="G649" t="str">
        <f>IFERROR(__xludf.DUMMYFUNCTION("""COMPUTED_VALUE"""),"BF052")</f>
        <v>BF052</v>
      </c>
    </row>
    <row r="650" ht="15.75" customHeight="1">
      <c r="A650" t="str">
        <f t="shared" si="1"/>
        <v>B.animalis</v>
      </c>
      <c r="B650" s="5" t="s">
        <v>675</v>
      </c>
      <c r="C650" s="6" t="str">
        <f>IFERROR(__xludf.DUMMYFUNCTION("SPLIT('2. c'!B650, "" "", True, True)"),"Bifidobacterium")</f>
        <v>Bifidobacterium</v>
      </c>
      <c r="D650" t="str">
        <f>IFERROR(__xludf.DUMMYFUNCTION("""COMPUTED_VALUE"""),"animalis")</f>
        <v>animalis</v>
      </c>
      <c r="E650" t="str">
        <f>IFERROR(__xludf.DUMMYFUNCTION("""COMPUTED_VALUE"""),"subsp.")</f>
        <v>subsp.</v>
      </c>
      <c r="F650" t="str">
        <f>IFERROR(__xludf.DUMMYFUNCTION("""COMPUTED_VALUE"""),"lactis")</f>
        <v>lactis</v>
      </c>
      <c r="G650" t="str">
        <f>IFERROR(__xludf.DUMMYFUNCTION("""COMPUTED_VALUE"""),"Bi-07")</f>
        <v>Bi-07</v>
      </c>
    </row>
    <row r="651" ht="15.75" customHeight="1">
      <c r="A651" t="str">
        <f t="shared" si="1"/>
        <v>B.animalis</v>
      </c>
      <c r="B651" s="5" t="s">
        <v>677</v>
      </c>
      <c r="C651" s="6" t="str">
        <f>IFERROR(__xludf.DUMMYFUNCTION("SPLIT('2. c'!B651, "" "", True, True)"),"Bifidobacterium")</f>
        <v>Bifidobacterium</v>
      </c>
      <c r="D651" t="str">
        <f>IFERROR(__xludf.DUMMYFUNCTION("""COMPUTED_VALUE"""),"animalis")</f>
        <v>animalis</v>
      </c>
      <c r="E651" t="str">
        <f>IFERROR(__xludf.DUMMYFUNCTION("""COMPUTED_VALUE"""),"subsp.")</f>
        <v>subsp.</v>
      </c>
      <c r="F651" t="str">
        <f>IFERROR(__xludf.DUMMYFUNCTION("""COMPUTED_VALUE"""),"lactis")</f>
        <v>lactis</v>
      </c>
      <c r="G651" t="str">
        <f>IFERROR(__xludf.DUMMYFUNCTION("""COMPUTED_VALUE"""),"Bl-04")</f>
        <v>Bl-04</v>
      </c>
    </row>
    <row r="652" ht="15.75" customHeight="1">
      <c r="A652" t="str">
        <f t="shared" si="1"/>
        <v>B.animalis</v>
      </c>
      <c r="B652" s="5" t="s">
        <v>678</v>
      </c>
      <c r="C652" s="6" t="str">
        <f>IFERROR(__xludf.DUMMYFUNCTION("SPLIT('2. c'!B652, "" "", True, True)"),"Bifidobacterium")</f>
        <v>Bifidobacterium</v>
      </c>
      <c r="D652" t="str">
        <f>IFERROR(__xludf.DUMMYFUNCTION("""COMPUTED_VALUE"""),"animalis")</f>
        <v>animalis</v>
      </c>
      <c r="E652" t="str">
        <f>IFERROR(__xludf.DUMMYFUNCTION("""COMPUTED_VALUE"""),"subsp.")</f>
        <v>subsp.</v>
      </c>
      <c r="F652" t="str">
        <f>IFERROR(__xludf.DUMMYFUNCTION("""COMPUTED_VALUE"""),"lactis")</f>
        <v>lactis</v>
      </c>
      <c r="G652" t="str">
        <f>IFERROR(__xludf.DUMMYFUNCTION("""COMPUTED_VALUE"""),"Bl12")</f>
        <v>Bl12</v>
      </c>
    </row>
    <row r="653" ht="15.75" customHeight="1">
      <c r="A653" t="str">
        <f t="shared" si="1"/>
        <v>B.animalis</v>
      </c>
      <c r="B653" s="5" t="s">
        <v>679</v>
      </c>
      <c r="C653" s="6" t="str">
        <f>IFERROR(__xludf.DUMMYFUNCTION("SPLIT('2. c'!B653, "" "", True, True)"),"Bifidobacterium")</f>
        <v>Bifidobacterium</v>
      </c>
      <c r="D653" t="str">
        <f>IFERROR(__xludf.DUMMYFUNCTION("""COMPUTED_VALUE"""),"animalis")</f>
        <v>animalis</v>
      </c>
      <c r="E653" t="str">
        <f>IFERROR(__xludf.DUMMYFUNCTION("""COMPUTED_VALUE"""),"subsp.")</f>
        <v>subsp.</v>
      </c>
      <c r="F653" t="str">
        <f>IFERROR(__xludf.DUMMYFUNCTION("""COMPUTED_VALUE"""),"lactis")</f>
        <v>lactis</v>
      </c>
      <c r="G653" t="str">
        <f>IFERROR(__xludf.DUMMYFUNCTION("""COMPUTED_VALUE"""),"BLC1")</f>
        <v>BLC1</v>
      </c>
    </row>
    <row r="654" ht="15.75" customHeight="1">
      <c r="A654" t="str">
        <f t="shared" si="1"/>
        <v>B.animalis</v>
      </c>
      <c r="B654" s="5" t="s">
        <v>681</v>
      </c>
      <c r="C654" s="6" t="str">
        <f>IFERROR(__xludf.DUMMYFUNCTION("SPLIT('2. c'!B654, "" "", True, True)"),"Bifidobacterium")</f>
        <v>Bifidobacterium</v>
      </c>
      <c r="D654" t="str">
        <f>IFERROR(__xludf.DUMMYFUNCTION("""COMPUTED_VALUE"""),"animalis")</f>
        <v>animalis</v>
      </c>
      <c r="E654" t="str">
        <f>IFERROR(__xludf.DUMMYFUNCTION("""COMPUTED_VALUE"""),"subsp.")</f>
        <v>subsp.</v>
      </c>
      <c r="F654" t="str">
        <f>IFERROR(__xludf.DUMMYFUNCTION("""COMPUTED_VALUE"""),"lactis")</f>
        <v>lactis</v>
      </c>
      <c r="G654" t="str">
        <f>IFERROR(__xludf.DUMMYFUNCTION("""COMPUTED_VALUE"""),"CNCM")</f>
        <v>CNCM</v>
      </c>
      <c r="H654" t="str">
        <f>IFERROR(__xludf.DUMMYFUNCTION("""COMPUTED_VALUE"""),"I-2494")</f>
        <v>I-2494</v>
      </c>
    </row>
    <row r="655" ht="15.75" customHeight="1">
      <c r="A655" t="str">
        <f t="shared" si="1"/>
        <v>B.animalis</v>
      </c>
      <c r="B655" s="5" t="s">
        <v>682</v>
      </c>
      <c r="C655" s="6" t="str">
        <f>IFERROR(__xludf.DUMMYFUNCTION("SPLIT('2. c'!B655, "" "", True, True)"),"Bifidobacterium")</f>
        <v>Bifidobacterium</v>
      </c>
      <c r="D655" t="str">
        <f>IFERROR(__xludf.DUMMYFUNCTION("""COMPUTED_VALUE"""),"animalis")</f>
        <v>animalis</v>
      </c>
      <c r="E655" t="str">
        <f>IFERROR(__xludf.DUMMYFUNCTION("""COMPUTED_VALUE"""),"subsp.")</f>
        <v>subsp.</v>
      </c>
      <c r="F655" t="str">
        <f>IFERROR(__xludf.DUMMYFUNCTION("""COMPUTED_VALUE"""),"lactis")</f>
        <v>lactis</v>
      </c>
      <c r="G655" t="str">
        <f>IFERROR(__xludf.DUMMYFUNCTION("""COMPUTED_VALUE"""),"DSM")</f>
        <v>DSM</v>
      </c>
      <c r="H655">
        <f>IFERROR(__xludf.DUMMYFUNCTION("""COMPUTED_VALUE"""),10140.0)</f>
        <v>10140</v>
      </c>
    </row>
    <row r="656" ht="15.75" customHeight="1">
      <c r="A656" t="str">
        <f t="shared" si="1"/>
        <v>B.animalis</v>
      </c>
      <c r="B656" s="5" t="s">
        <v>683</v>
      </c>
      <c r="C656" s="6" t="str">
        <f>IFERROR(__xludf.DUMMYFUNCTION("SPLIT('2. c'!B656, "" "", True, True)"),"Bifidobacterium")</f>
        <v>Bifidobacterium</v>
      </c>
      <c r="D656" t="str">
        <f>IFERROR(__xludf.DUMMYFUNCTION("""COMPUTED_VALUE"""),"animalis")</f>
        <v>animalis</v>
      </c>
      <c r="E656" t="str">
        <f>IFERROR(__xludf.DUMMYFUNCTION("""COMPUTED_VALUE"""),"subsp.")</f>
        <v>subsp.</v>
      </c>
      <c r="F656" t="str">
        <f>IFERROR(__xludf.DUMMYFUNCTION("""COMPUTED_VALUE"""),"lactis")</f>
        <v>lactis</v>
      </c>
      <c r="G656" t="str">
        <f>IFERROR(__xludf.DUMMYFUNCTION("""COMPUTED_VALUE"""),"KLDS2.0603")</f>
        <v>KLDS2.0603</v>
      </c>
    </row>
    <row r="657" ht="15.75" customHeight="1">
      <c r="A657" t="str">
        <f t="shared" si="1"/>
        <v>B.animalis</v>
      </c>
      <c r="B657" s="5" t="s">
        <v>684</v>
      </c>
      <c r="C657" s="6" t="str">
        <f>IFERROR(__xludf.DUMMYFUNCTION("SPLIT('2. c'!B657, "" "", True, True)"),"Bifidobacterium")</f>
        <v>Bifidobacterium</v>
      </c>
      <c r="D657" t="str">
        <f>IFERROR(__xludf.DUMMYFUNCTION("""COMPUTED_VALUE"""),"animalis")</f>
        <v>animalis</v>
      </c>
      <c r="E657" t="str">
        <f>IFERROR(__xludf.DUMMYFUNCTION("""COMPUTED_VALUE"""),"subsp.")</f>
        <v>subsp.</v>
      </c>
      <c r="F657" t="str">
        <f>IFERROR(__xludf.DUMMYFUNCTION("""COMPUTED_VALUE"""),"lactis")</f>
        <v>lactis</v>
      </c>
      <c r="G657" t="str">
        <f>IFERROR(__xludf.DUMMYFUNCTION("""COMPUTED_VALUE"""),"V9")</f>
        <v>V9</v>
      </c>
    </row>
    <row r="658" ht="15.75" customHeight="1">
      <c r="A658" t="str">
        <f t="shared" si="1"/>
        <v>B.asteroides</v>
      </c>
      <c r="B658" s="5" t="s">
        <v>685</v>
      </c>
      <c r="C658" s="6" t="str">
        <f>IFERROR(__xludf.DUMMYFUNCTION("SPLIT('2. c'!B658, "" "", True, True)"),"Bifidobacterium")</f>
        <v>Bifidobacterium</v>
      </c>
      <c r="D658" t="str">
        <f>IFERROR(__xludf.DUMMYFUNCTION("""COMPUTED_VALUE"""),"asteroides")</f>
        <v>asteroides</v>
      </c>
      <c r="E658" t="str">
        <f>IFERROR(__xludf.DUMMYFUNCTION("""COMPUTED_VALUE"""),"PRL2011")</f>
        <v>PRL2011</v>
      </c>
    </row>
    <row r="659" ht="15.75" customHeight="1">
      <c r="A659" t="str">
        <f t="shared" si="1"/>
        <v>B.bifidum</v>
      </c>
      <c r="B659" s="5" t="s">
        <v>686</v>
      </c>
      <c r="C659" s="6" t="str">
        <f>IFERROR(__xludf.DUMMYFUNCTION("SPLIT('2. c'!B659, "" "", True, True)"),"Bifidobacterium")</f>
        <v>Bifidobacterium</v>
      </c>
      <c r="D659" t="str">
        <f>IFERROR(__xludf.DUMMYFUNCTION("""COMPUTED_VALUE"""),"bifidum")</f>
        <v>bifidum</v>
      </c>
      <c r="E659" t="str">
        <f>IFERROR(__xludf.DUMMYFUNCTION("""COMPUTED_VALUE"""),"ATCC")</f>
        <v>ATCC</v>
      </c>
      <c r="F659">
        <f>IFERROR(__xludf.DUMMYFUNCTION("""COMPUTED_VALUE"""),29521.0)</f>
        <v>29521</v>
      </c>
      <c r="G659" t="str">
        <f>IFERROR(__xludf.DUMMYFUNCTION("""COMPUTED_VALUE"""),"=")</f>
        <v>=</v>
      </c>
      <c r="H659" t="str">
        <f>IFERROR(__xludf.DUMMYFUNCTION("""COMPUTED_VALUE"""),"JCM")</f>
        <v>JCM</v>
      </c>
      <c r="I659">
        <f>IFERROR(__xludf.DUMMYFUNCTION("""COMPUTED_VALUE"""),1255.0)</f>
        <v>1255</v>
      </c>
      <c r="J659" t="str">
        <f>IFERROR(__xludf.DUMMYFUNCTION("""COMPUTED_VALUE"""),"=")</f>
        <v>=</v>
      </c>
      <c r="K659" t="str">
        <f>IFERROR(__xludf.DUMMYFUNCTION("""COMPUTED_VALUE"""),"DSM")</f>
        <v>DSM</v>
      </c>
      <c r="L659">
        <f>IFERROR(__xludf.DUMMYFUNCTION("""COMPUTED_VALUE"""),20456.0)</f>
        <v>20456</v>
      </c>
    </row>
    <row r="660" ht="15.75" customHeight="1">
      <c r="A660" t="str">
        <f t="shared" si="1"/>
        <v>B.bifidum</v>
      </c>
      <c r="B660" s="5" t="s">
        <v>687</v>
      </c>
      <c r="C660" s="6" t="str">
        <f>IFERROR(__xludf.DUMMYFUNCTION("SPLIT('2. c'!B660, "" "", True, True)"),"Bifidobacterium")</f>
        <v>Bifidobacterium</v>
      </c>
      <c r="D660" t="str">
        <f>IFERROR(__xludf.DUMMYFUNCTION("""COMPUTED_VALUE"""),"bifidum")</f>
        <v>bifidum</v>
      </c>
      <c r="E660" t="str">
        <f>IFERROR(__xludf.DUMMYFUNCTION("""COMPUTED_VALUE"""),"BGN4")</f>
        <v>BGN4</v>
      </c>
    </row>
    <row r="661" ht="15.75" customHeight="1">
      <c r="A661" t="str">
        <f t="shared" si="1"/>
        <v>B.bifidum</v>
      </c>
      <c r="B661" s="5" t="s">
        <v>688</v>
      </c>
      <c r="C661" s="6" t="str">
        <f>IFERROR(__xludf.DUMMYFUNCTION("SPLIT('2. c'!B661, "" "", True, True)"),"Bifidobacterium")</f>
        <v>Bifidobacterium</v>
      </c>
      <c r="D661" t="str">
        <f>IFERROR(__xludf.DUMMYFUNCTION("""COMPUTED_VALUE"""),"bifidum")</f>
        <v>bifidum</v>
      </c>
      <c r="E661" t="str">
        <f>IFERROR(__xludf.DUMMYFUNCTION("""COMPUTED_VALUE"""),"NCIMB")</f>
        <v>NCIMB</v>
      </c>
      <c r="F661">
        <f>IFERROR(__xludf.DUMMYFUNCTION("""COMPUTED_VALUE"""),41171.0)</f>
        <v>41171</v>
      </c>
    </row>
    <row r="662" ht="15.75" customHeight="1">
      <c r="A662" t="str">
        <f t="shared" si="1"/>
        <v>B.bifidum</v>
      </c>
      <c r="B662" s="5" t="s">
        <v>689</v>
      </c>
      <c r="C662" s="6" t="str">
        <f>IFERROR(__xludf.DUMMYFUNCTION("SPLIT('2. c'!B662, "" "", True, True)"),"Bifidobacterium")</f>
        <v>Bifidobacterium</v>
      </c>
      <c r="D662" t="str">
        <f>IFERROR(__xludf.DUMMYFUNCTION("""COMPUTED_VALUE"""),"bifidum")</f>
        <v>bifidum</v>
      </c>
      <c r="E662" t="str">
        <f>IFERROR(__xludf.DUMMYFUNCTION("""COMPUTED_VALUE"""),"PRL2010")</f>
        <v>PRL2010</v>
      </c>
    </row>
    <row r="663" ht="15.75" customHeight="1">
      <c r="A663" t="str">
        <f t="shared" si="1"/>
        <v>B.bifidum</v>
      </c>
      <c r="B663" s="5" t="s">
        <v>690</v>
      </c>
      <c r="C663" s="6" t="str">
        <f>IFERROR(__xludf.DUMMYFUNCTION("SPLIT('2. c'!B663, "" "", True, True)"),"Bifidobacterium")</f>
        <v>Bifidobacterium</v>
      </c>
      <c r="D663" t="str">
        <f>IFERROR(__xludf.DUMMYFUNCTION("""COMPUTED_VALUE"""),"bifidum")</f>
        <v>bifidum</v>
      </c>
      <c r="E663" t="str">
        <f>IFERROR(__xludf.DUMMYFUNCTION("""COMPUTED_VALUE"""),"S17")</f>
        <v>S17</v>
      </c>
    </row>
    <row r="664" ht="15.75" customHeight="1">
      <c r="A664" t="str">
        <f t="shared" si="1"/>
        <v>B.bifidum</v>
      </c>
      <c r="B664" s="5" t="s">
        <v>692</v>
      </c>
      <c r="C664" s="6" t="str">
        <f>IFERROR(__xludf.DUMMYFUNCTION("SPLIT('2. c'!B664, "" "", True, True)"),"Bifidobacterium")</f>
        <v>Bifidobacterium</v>
      </c>
      <c r="D664" t="str">
        <f>IFERROR(__xludf.DUMMYFUNCTION("""COMPUTED_VALUE"""),"bifidum")</f>
        <v>bifidum</v>
      </c>
      <c r="E664" t="str">
        <f>IFERROR(__xludf.DUMMYFUNCTION("""COMPUTED_VALUE"""),"strain")</f>
        <v>strain</v>
      </c>
      <c r="F664" t="str">
        <f>IFERROR(__xludf.DUMMYFUNCTION("""COMPUTED_VALUE"""),"BF3")</f>
        <v>BF3</v>
      </c>
    </row>
    <row r="665" ht="15.75" customHeight="1">
      <c r="A665" t="str">
        <f t="shared" si="1"/>
        <v>B.breve</v>
      </c>
      <c r="B665" s="5" t="s">
        <v>693</v>
      </c>
      <c r="C665" s="6" t="str">
        <f>IFERROR(__xludf.DUMMYFUNCTION("SPLIT('2. c'!B665, "" "", True, True)"),"Bifidobacterium")</f>
        <v>Bifidobacterium</v>
      </c>
      <c r="D665" t="str">
        <f>IFERROR(__xludf.DUMMYFUNCTION("""COMPUTED_VALUE"""),"breve")</f>
        <v>breve</v>
      </c>
      <c r="E665" t="str">
        <f>IFERROR(__xludf.DUMMYFUNCTION("""COMPUTED_VALUE"""),"12L")</f>
        <v>12L</v>
      </c>
    </row>
    <row r="666" ht="15.75" customHeight="1">
      <c r="A666" t="str">
        <f t="shared" si="1"/>
        <v>B.breve</v>
      </c>
      <c r="B666" s="5" t="s">
        <v>695</v>
      </c>
      <c r="C666" s="6" t="str">
        <f>IFERROR(__xludf.DUMMYFUNCTION("SPLIT('2. c'!B666, "" "", True, True)"),"Bifidobacterium")</f>
        <v>Bifidobacterium</v>
      </c>
      <c r="D666" t="str">
        <f>IFERROR(__xludf.DUMMYFUNCTION("""COMPUTED_VALUE"""),"breve")</f>
        <v>breve</v>
      </c>
      <c r="E666" t="str">
        <f>IFERROR(__xludf.DUMMYFUNCTION("""COMPUTED_VALUE"""),"689b")</f>
        <v>689b</v>
      </c>
    </row>
    <row r="667" ht="15.75" customHeight="1">
      <c r="A667" t="str">
        <f t="shared" si="1"/>
        <v>B.breve</v>
      </c>
      <c r="B667" s="5" t="s">
        <v>697</v>
      </c>
      <c r="C667" s="6" t="str">
        <f>IFERROR(__xludf.DUMMYFUNCTION("SPLIT('2. c'!B667, "" "", True, True)"),"Bifidobacterium")</f>
        <v>Bifidobacterium</v>
      </c>
      <c r="D667" t="str">
        <f>IFERROR(__xludf.DUMMYFUNCTION("""COMPUTED_VALUE"""),"breve")</f>
        <v>breve</v>
      </c>
      <c r="E667" t="str">
        <f>IFERROR(__xludf.DUMMYFUNCTION("""COMPUTED_VALUE"""),"ACS-071-V-Sch8b")</f>
        <v>ACS-071-V-Sch8b</v>
      </c>
    </row>
    <row r="668" ht="15.75" customHeight="1">
      <c r="A668" t="str">
        <f t="shared" si="1"/>
        <v>B.breve</v>
      </c>
      <c r="B668" s="5" t="s">
        <v>698</v>
      </c>
      <c r="C668" s="6" t="str">
        <f>IFERROR(__xludf.DUMMYFUNCTION("SPLIT('2. c'!B668, "" "", True, True)"),"Bifidobacterium")</f>
        <v>Bifidobacterium</v>
      </c>
      <c r="D668" t="str">
        <f>IFERROR(__xludf.DUMMYFUNCTION("""COMPUTED_VALUE"""),"breve")</f>
        <v>breve</v>
      </c>
      <c r="E668" t="str">
        <f>IFERROR(__xludf.DUMMYFUNCTION("""COMPUTED_VALUE"""),"DSM")</f>
        <v>DSM</v>
      </c>
      <c r="F668">
        <f>IFERROR(__xludf.DUMMYFUNCTION("""COMPUTED_VALUE"""),20213.0)</f>
        <v>20213</v>
      </c>
      <c r="G668" t="str">
        <f>IFERROR(__xludf.DUMMYFUNCTION("""COMPUTED_VALUE"""),"=")</f>
        <v>=</v>
      </c>
      <c r="H668" t="str">
        <f>IFERROR(__xludf.DUMMYFUNCTION("""COMPUTED_VALUE"""),"JCM")</f>
        <v>JCM</v>
      </c>
      <c r="I668">
        <f>IFERROR(__xludf.DUMMYFUNCTION("""COMPUTED_VALUE"""),1192.0)</f>
        <v>1192</v>
      </c>
    </row>
    <row r="669" ht="15.75" customHeight="1">
      <c r="A669" t="str">
        <f t="shared" si="1"/>
        <v>B.breve</v>
      </c>
      <c r="B669" s="5" t="s">
        <v>699</v>
      </c>
      <c r="C669" s="6" t="str">
        <f>IFERROR(__xludf.DUMMYFUNCTION("SPLIT('2. c'!B669, "" "", True, True)"),"Bifidobacterium")</f>
        <v>Bifidobacterium</v>
      </c>
      <c r="D669" t="str">
        <f>IFERROR(__xludf.DUMMYFUNCTION("""COMPUTED_VALUE"""),"breve")</f>
        <v>breve</v>
      </c>
      <c r="E669" t="str">
        <f>IFERROR(__xludf.DUMMYFUNCTION("""COMPUTED_VALUE"""),"JCM")</f>
        <v>JCM</v>
      </c>
      <c r="F669">
        <f>IFERROR(__xludf.DUMMYFUNCTION("""COMPUTED_VALUE"""),7017.0)</f>
        <v>7017</v>
      </c>
    </row>
    <row r="670" ht="15.75" customHeight="1">
      <c r="A670" t="str">
        <f t="shared" si="1"/>
        <v>B.breve</v>
      </c>
      <c r="B670" s="5" t="s">
        <v>700</v>
      </c>
      <c r="C670" s="6" t="str">
        <f>IFERROR(__xludf.DUMMYFUNCTION("SPLIT('2. c'!B670, "" "", True, True)"),"Bifidobacterium")</f>
        <v>Bifidobacterium</v>
      </c>
      <c r="D670" t="str">
        <f>IFERROR(__xludf.DUMMYFUNCTION("""COMPUTED_VALUE"""),"breve")</f>
        <v>breve</v>
      </c>
      <c r="E670" t="str">
        <f>IFERROR(__xludf.DUMMYFUNCTION("""COMPUTED_VALUE"""),"JCM")</f>
        <v>JCM</v>
      </c>
      <c r="F670">
        <f>IFERROR(__xludf.DUMMYFUNCTION("""COMPUTED_VALUE"""),7019.0)</f>
        <v>7019</v>
      </c>
    </row>
    <row r="671" ht="15.75" customHeight="1">
      <c r="A671" t="str">
        <f t="shared" si="1"/>
        <v>B.breve</v>
      </c>
      <c r="B671" s="5" t="s">
        <v>701</v>
      </c>
      <c r="C671" s="6" t="str">
        <f>IFERROR(__xludf.DUMMYFUNCTION("SPLIT('2. c'!B671, "" "", True, True)"),"Bifidobacterium")</f>
        <v>Bifidobacterium</v>
      </c>
      <c r="D671" t="str">
        <f>IFERROR(__xludf.DUMMYFUNCTION("""COMPUTED_VALUE"""),"breve")</f>
        <v>breve</v>
      </c>
      <c r="E671" t="str">
        <f>IFERROR(__xludf.DUMMYFUNCTION("""COMPUTED_VALUE"""),"NCFB")</f>
        <v>NCFB</v>
      </c>
      <c r="F671">
        <f>IFERROR(__xludf.DUMMYFUNCTION("""COMPUTED_VALUE"""),2258.0)</f>
        <v>2258</v>
      </c>
    </row>
    <row r="672" ht="15.75" customHeight="1">
      <c r="A672" t="str">
        <f t="shared" si="1"/>
        <v>B.breve</v>
      </c>
      <c r="B672" s="5" t="s">
        <v>702</v>
      </c>
      <c r="C672" s="6" t="str">
        <f>IFERROR(__xludf.DUMMYFUNCTION("SPLIT('2. c'!B672, "" "", True, True)"),"Bifidobacterium")</f>
        <v>Bifidobacterium</v>
      </c>
      <c r="D672" t="str">
        <f>IFERROR(__xludf.DUMMYFUNCTION("""COMPUTED_VALUE"""),"breve")</f>
        <v>breve</v>
      </c>
      <c r="E672" t="str">
        <f>IFERROR(__xludf.DUMMYFUNCTION("""COMPUTED_VALUE"""),"S27")</f>
        <v>S27</v>
      </c>
    </row>
    <row r="673" ht="15.75" customHeight="1">
      <c r="A673" t="str">
        <f t="shared" si="1"/>
        <v>B.breve</v>
      </c>
      <c r="B673" s="5" t="s">
        <v>704</v>
      </c>
      <c r="C673" s="6" t="str">
        <f>IFERROR(__xludf.DUMMYFUNCTION("SPLIT('2. c'!B673, "" "", True, True)"),"Bifidobacterium")</f>
        <v>Bifidobacterium</v>
      </c>
      <c r="D673" t="str">
        <f>IFERROR(__xludf.DUMMYFUNCTION("""COMPUTED_VALUE"""),"breve")</f>
        <v>breve</v>
      </c>
      <c r="E673" t="str">
        <f>IFERROR(__xludf.DUMMYFUNCTION("""COMPUTED_VALUE"""),"strain")</f>
        <v>strain</v>
      </c>
      <c r="F673" t="str">
        <f>IFERROR(__xludf.DUMMYFUNCTION("""COMPUTED_VALUE"""),"BR3")</f>
        <v>BR3</v>
      </c>
    </row>
    <row r="674" ht="15.75" customHeight="1">
      <c r="A674" t="str">
        <f t="shared" si="1"/>
        <v>B.breve</v>
      </c>
      <c r="B674" s="5" t="s">
        <v>705</v>
      </c>
      <c r="C674" s="6" t="str">
        <f>IFERROR(__xludf.DUMMYFUNCTION("SPLIT('2. c'!B674, "" "", True, True)"),"Bifidobacterium")</f>
        <v>Bifidobacterium</v>
      </c>
      <c r="D674" t="str">
        <f>IFERROR(__xludf.DUMMYFUNCTION("""COMPUTED_VALUE"""),"breve")</f>
        <v>breve</v>
      </c>
      <c r="E674" t="str">
        <f>IFERROR(__xludf.DUMMYFUNCTION("""COMPUTED_VALUE"""),"UCC2003")</f>
        <v>UCC2003</v>
      </c>
    </row>
    <row r="675" ht="15.75" customHeight="1">
      <c r="A675" t="str">
        <f t="shared" si="1"/>
        <v>B.catenulatum</v>
      </c>
      <c r="B675" s="5" t="s">
        <v>706</v>
      </c>
      <c r="C675" s="6" t="str">
        <f>IFERROR(__xludf.DUMMYFUNCTION("SPLIT('2. c'!B675, "" "", True, True)"),"Bifidobacterium")</f>
        <v>Bifidobacterium</v>
      </c>
      <c r="D675" t="str">
        <f>IFERROR(__xludf.DUMMYFUNCTION("""COMPUTED_VALUE"""),"catenulatum")</f>
        <v>catenulatum</v>
      </c>
      <c r="E675" t="str">
        <f>IFERROR(__xludf.DUMMYFUNCTION("""COMPUTED_VALUE"""),"DSM")</f>
        <v>DSM</v>
      </c>
      <c r="F675">
        <f>IFERROR(__xludf.DUMMYFUNCTION("""COMPUTED_VALUE"""),16992.0)</f>
        <v>16992</v>
      </c>
      <c r="G675" t="str">
        <f>IFERROR(__xludf.DUMMYFUNCTION("""COMPUTED_VALUE"""),"=")</f>
        <v>=</v>
      </c>
      <c r="H675" t="str">
        <f>IFERROR(__xludf.DUMMYFUNCTION("""COMPUTED_VALUE"""),"JCM")</f>
        <v>JCM</v>
      </c>
      <c r="I675">
        <f>IFERROR(__xludf.DUMMYFUNCTION("""COMPUTED_VALUE"""),1194.0)</f>
        <v>1194</v>
      </c>
      <c r="J675" t="str">
        <f>IFERROR(__xludf.DUMMYFUNCTION("""COMPUTED_VALUE"""),"=")</f>
        <v>=</v>
      </c>
      <c r="K675" t="str">
        <f>IFERROR(__xludf.DUMMYFUNCTION("""COMPUTED_VALUE"""),"LMG")</f>
        <v>LMG</v>
      </c>
      <c r="L675">
        <f>IFERROR(__xludf.DUMMYFUNCTION("""COMPUTED_VALUE"""),11043.0)</f>
        <v>11043</v>
      </c>
    </row>
    <row r="676" ht="15.75" customHeight="1">
      <c r="A676" t="str">
        <f t="shared" si="1"/>
        <v>B.coryneforme</v>
      </c>
      <c r="B676" s="5" t="s">
        <v>707</v>
      </c>
      <c r="C676" s="6" t="str">
        <f>IFERROR(__xludf.DUMMYFUNCTION("SPLIT('2. c'!B676, "" "", True, True)"),"Bifidobacterium")</f>
        <v>Bifidobacterium</v>
      </c>
      <c r="D676" t="str">
        <f>IFERROR(__xludf.DUMMYFUNCTION("""COMPUTED_VALUE"""),"coryneforme")</f>
        <v>coryneforme</v>
      </c>
      <c r="E676" t="str">
        <f>IFERROR(__xludf.DUMMYFUNCTION("""COMPUTED_VALUE"""),"strain")</f>
        <v>strain</v>
      </c>
      <c r="F676" t="str">
        <f>IFERROR(__xludf.DUMMYFUNCTION("""COMPUTED_VALUE"""),"LMG")</f>
        <v>LMG</v>
      </c>
      <c r="G676">
        <f>IFERROR(__xludf.DUMMYFUNCTION("""COMPUTED_VALUE"""),18911.0)</f>
        <v>18911</v>
      </c>
    </row>
    <row r="677" ht="15.75" customHeight="1">
      <c r="A677" t="str">
        <f t="shared" si="1"/>
        <v>B.dentium</v>
      </c>
      <c r="B677" s="5" t="s">
        <v>708</v>
      </c>
      <c r="C677" s="6" t="str">
        <f>IFERROR(__xludf.DUMMYFUNCTION("SPLIT('2. c'!B677, "" "", True, True)"),"Bifidobacterium")</f>
        <v>Bifidobacterium</v>
      </c>
      <c r="D677" t="str">
        <f>IFERROR(__xludf.DUMMYFUNCTION("""COMPUTED_VALUE"""),"dentium")</f>
        <v>dentium</v>
      </c>
      <c r="E677" t="str">
        <f>IFERROR(__xludf.DUMMYFUNCTION("""COMPUTED_VALUE"""),"Bd1")</f>
        <v>Bd1</v>
      </c>
    </row>
    <row r="678" ht="15.75" customHeight="1">
      <c r="A678" t="str">
        <f t="shared" si="1"/>
        <v>B.dentium</v>
      </c>
      <c r="B678" s="5" t="s">
        <v>709</v>
      </c>
      <c r="C678" s="6" t="str">
        <f>IFERROR(__xludf.DUMMYFUNCTION("SPLIT('2. c'!B678, "" "", True, True)"),"Bifidobacterium")</f>
        <v>Bifidobacterium</v>
      </c>
      <c r="D678" t="str">
        <f>IFERROR(__xludf.DUMMYFUNCTION("""COMPUTED_VALUE"""),"dentium")</f>
        <v>dentium</v>
      </c>
      <c r="E678" t="str">
        <f>IFERROR(__xludf.DUMMYFUNCTION("""COMPUTED_VALUE"""),"JCM")</f>
        <v>JCM</v>
      </c>
      <c r="F678">
        <f>IFERROR(__xludf.DUMMYFUNCTION("""COMPUTED_VALUE"""),1195.0)</f>
        <v>1195</v>
      </c>
      <c r="G678" t="str">
        <f>IFERROR(__xludf.DUMMYFUNCTION("""COMPUTED_VALUE"""),"=")</f>
        <v>=</v>
      </c>
      <c r="H678" t="str">
        <f>IFERROR(__xludf.DUMMYFUNCTION("""COMPUTED_VALUE"""),"DSM")</f>
        <v>DSM</v>
      </c>
      <c r="I678">
        <f>IFERROR(__xludf.DUMMYFUNCTION("""COMPUTED_VALUE"""),20436.0)</f>
        <v>20436</v>
      </c>
    </row>
    <row r="679" ht="15.75" customHeight="1">
      <c r="A679" t="str">
        <f t="shared" si="1"/>
        <v>B.indicum</v>
      </c>
      <c r="B679" s="5" t="s">
        <v>710</v>
      </c>
      <c r="C679" s="6" t="str">
        <f>IFERROR(__xludf.DUMMYFUNCTION("SPLIT('2. c'!B679, "" "", True, True)"),"Bifidobacterium")</f>
        <v>Bifidobacterium</v>
      </c>
      <c r="D679" t="str">
        <f>IFERROR(__xludf.DUMMYFUNCTION("""COMPUTED_VALUE"""),"indicum")</f>
        <v>indicum</v>
      </c>
      <c r="E679" t="str">
        <f>IFERROR(__xludf.DUMMYFUNCTION("""COMPUTED_VALUE"""),"LMG")</f>
        <v>LMG</v>
      </c>
      <c r="F679">
        <f>IFERROR(__xludf.DUMMYFUNCTION("""COMPUTED_VALUE"""),11587.0)</f>
        <v>11587</v>
      </c>
      <c r="G679" t="str">
        <f>IFERROR(__xludf.DUMMYFUNCTION("""COMPUTED_VALUE"""),"=")</f>
        <v>=</v>
      </c>
      <c r="H679" t="str">
        <f>IFERROR(__xludf.DUMMYFUNCTION("""COMPUTED_VALUE"""),"DSM")</f>
        <v>DSM</v>
      </c>
      <c r="I679">
        <f>IFERROR(__xludf.DUMMYFUNCTION("""COMPUTED_VALUE"""),20214.0)</f>
        <v>20214</v>
      </c>
    </row>
    <row r="680" ht="15.75" customHeight="1">
      <c r="A680" t="str">
        <f t="shared" si="1"/>
        <v>B.kashiwanohense</v>
      </c>
      <c r="B680" s="5" t="s">
        <v>711</v>
      </c>
      <c r="C680" s="6" t="str">
        <f>IFERROR(__xludf.DUMMYFUNCTION("SPLIT('2. c'!B680, "" "", True, True)"),"Bifidobacterium")</f>
        <v>Bifidobacterium</v>
      </c>
      <c r="D680" t="str">
        <f>IFERROR(__xludf.DUMMYFUNCTION("""COMPUTED_VALUE"""),"kashiwanohense")</f>
        <v>kashiwanohense</v>
      </c>
      <c r="E680" t="str">
        <f>IFERROR(__xludf.DUMMYFUNCTION("""COMPUTED_VALUE"""),"JCM")</f>
        <v>JCM</v>
      </c>
      <c r="F680">
        <f>IFERROR(__xludf.DUMMYFUNCTION("""COMPUTED_VALUE"""),15439.0)</f>
        <v>15439</v>
      </c>
      <c r="G680" t="str">
        <f>IFERROR(__xludf.DUMMYFUNCTION("""COMPUTED_VALUE"""),"=")</f>
        <v>=</v>
      </c>
      <c r="H680" t="str">
        <f>IFERROR(__xludf.DUMMYFUNCTION("""COMPUTED_VALUE"""),"DSM")</f>
        <v>DSM</v>
      </c>
      <c r="I680">
        <f>IFERROR(__xludf.DUMMYFUNCTION("""COMPUTED_VALUE"""),21854.0)</f>
        <v>21854</v>
      </c>
    </row>
    <row r="681" ht="15.75" customHeight="1">
      <c r="A681" t="str">
        <f t="shared" si="1"/>
        <v>B.kashiwanohense</v>
      </c>
      <c r="B681" s="5" t="s">
        <v>712</v>
      </c>
      <c r="C681" s="6" t="str">
        <f>IFERROR(__xludf.DUMMYFUNCTION("SPLIT('2. c'!B681, "" "", True, True)"),"Bifidobacterium")</f>
        <v>Bifidobacterium</v>
      </c>
      <c r="D681" t="str">
        <f>IFERROR(__xludf.DUMMYFUNCTION("""COMPUTED_VALUE"""),"kashiwanohense")</f>
        <v>kashiwanohense</v>
      </c>
      <c r="E681" t="str">
        <f>IFERROR(__xludf.DUMMYFUNCTION("""COMPUTED_VALUE"""),"PV20-2")</f>
        <v>PV20-2</v>
      </c>
    </row>
    <row r="682" ht="15.75" customHeight="1">
      <c r="A682" t="str">
        <f t="shared" si="1"/>
        <v>B.longum</v>
      </c>
      <c r="B682" s="5" t="s">
        <v>713</v>
      </c>
      <c r="C682" s="6" t="str">
        <f>IFERROR(__xludf.DUMMYFUNCTION("SPLIT('2. c'!B682, "" "", True, True)"),"Bifidobacterium")</f>
        <v>Bifidobacterium</v>
      </c>
      <c r="D682" t="str">
        <f>IFERROR(__xludf.DUMMYFUNCTION("""COMPUTED_VALUE"""),"longum")</f>
        <v>longum</v>
      </c>
      <c r="E682" t="str">
        <f>IFERROR(__xludf.DUMMYFUNCTION("""COMPUTED_VALUE"""),"105-A")</f>
        <v>105-A</v>
      </c>
    </row>
    <row r="683" ht="15.75" customHeight="1">
      <c r="A683" t="str">
        <f t="shared" si="1"/>
        <v>B.longum</v>
      </c>
      <c r="B683" s="5" t="s">
        <v>714</v>
      </c>
      <c r="C683" s="6" t="str">
        <f>IFERROR(__xludf.DUMMYFUNCTION("SPLIT('2. c'!B683, "" "", True, True)"),"Bifidobacterium")</f>
        <v>Bifidobacterium</v>
      </c>
      <c r="D683" t="str">
        <f>IFERROR(__xludf.DUMMYFUNCTION("""COMPUTED_VALUE"""),"longum")</f>
        <v>longum</v>
      </c>
      <c r="E683" t="str">
        <f>IFERROR(__xludf.DUMMYFUNCTION("""COMPUTED_VALUE"""),"DJO10A")</f>
        <v>DJO10A</v>
      </c>
    </row>
    <row r="684" ht="15.75" customHeight="1">
      <c r="A684" t="str">
        <f t="shared" si="1"/>
        <v>B.longum</v>
      </c>
      <c r="B684" s="5" t="s">
        <v>715</v>
      </c>
      <c r="C684" s="6" t="str">
        <f>IFERROR(__xludf.DUMMYFUNCTION("SPLIT('2. c'!B684, "" "", True, True)"),"Bifidobacterium")</f>
        <v>Bifidobacterium</v>
      </c>
      <c r="D684" t="str">
        <f>IFERROR(__xludf.DUMMYFUNCTION("""COMPUTED_VALUE"""),"longum")</f>
        <v>longum</v>
      </c>
      <c r="E684" t="str">
        <f>IFERROR(__xludf.DUMMYFUNCTION("""COMPUTED_VALUE"""),"E18")</f>
        <v>E18</v>
      </c>
    </row>
    <row r="685" ht="15.75" customHeight="1">
      <c r="A685" t="str">
        <f t="shared" si="1"/>
        <v>B.longum</v>
      </c>
      <c r="B685" s="5" t="s">
        <v>717</v>
      </c>
      <c r="C685" s="6" t="str">
        <f>IFERROR(__xludf.DUMMYFUNCTION("SPLIT('2. c'!B685, "" "", True, True)"),"Bifidobacterium")</f>
        <v>Bifidobacterium</v>
      </c>
      <c r="D685" t="str">
        <f>IFERROR(__xludf.DUMMYFUNCTION("""COMPUTED_VALUE"""),"longum")</f>
        <v>longum</v>
      </c>
      <c r="E685" t="str">
        <f>IFERROR(__xludf.DUMMYFUNCTION("""COMPUTED_VALUE"""),"NCC2705")</f>
        <v>NCC2705</v>
      </c>
    </row>
    <row r="686" ht="15.75" customHeight="1">
      <c r="A686" t="str">
        <f t="shared" si="1"/>
        <v>B.longum</v>
      </c>
      <c r="B686" s="5" t="s">
        <v>718</v>
      </c>
      <c r="C686" s="6" t="str">
        <f>IFERROR(__xludf.DUMMYFUNCTION("SPLIT('2. c'!B686, "" "", True, True)"),"Bifidobacterium")</f>
        <v>Bifidobacterium</v>
      </c>
      <c r="D686" t="str">
        <f>IFERROR(__xludf.DUMMYFUNCTION("""COMPUTED_VALUE"""),"longum")</f>
        <v>longum</v>
      </c>
      <c r="E686" t="str">
        <f>IFERROR(__xludf.DUMMYFUNCTION("""COMPUTED_VALUE"""),"strain")</f>
        <v>strain</v>
      </c>
      <c r="F686" t="str">
        <f>IFERROR(__xludf.DUMMYFUNCTION("""COMPUTED_VALUE"""),"BG7")</f>
        <v>BG7</v>
      </c>
    </row>
    <row r="687" ht="15.75" customHeight="1">
      <c r="A687" t="str">
        <f t="shared" si="1"/>
        <v>B.longum</v>
      </c>
      <c r="B687" s="5" t="s">
        <v>719</v>
      </c>
      <c r="C687" s="6" t="str">
        <f>IFERROR(__xludf.DUMMYFUNCTION("SPLIT('2. c'!B687, "" "", True, True)"),"Bifidobacterium")</f>
        <v>Bifidobacterium</v>
      </c>
      <c r="D687" t="str">
        <f>IFERROR(__xludf.DUMMYFUNCTION("""COMPUTED_VALUE"""),"longum")</f>
        <v>longum</v>
      </c>
      <c r="E687" t="str">
        <f>IFERROR(__xludf.DUMMYFUNCTION("""COMPUTED_VALUE"""),"strain")</f>
        <v>strain</v>
      </c>
      <c r="F687" t="str">
        <f>IFERROR(__xludf.DUMMYFUNCTION("""COMPUTED_VALUE"""),"BXY01")</f>
        <v>BXY01</v>
      </c>
    </row>
    <row r="688" ht="15.75" customHeight="1">
      <c r="A688" t="str">
        <f t="shared" si="1"/>
        <v>B.longum</v>
      </c>
      <c r="B688" s="5" t="s">
        <v>720</v>
      </c>
      <c r="C688" s="6" t="str">
        <f>IFERROR(__xludf.DUMMYFUNCTION("SPLIT('2. c'!B688, "" "", True, True)"),"Bifidobacterium")</f>
        <v>Bifidobacterium</v>
      </c>
      <c r="D688" t="str">
        <f>IFERROR(__xludf.DUMMYFUNCTION("""COMPUTED_VALUE"""),"longum")</f>
        <v>longum</v>
      </c>
      <c r="E688" t="str">
        <f>IFERROR(__xludf.DUMMYFUNCTION("""COMPUTED_VALUE"""),"subsp.")</f>
        <v>subsp.</v>
      </c>
      <c r="F688" t="str">
        <f>IFERROR(__xludf.DUMMYFUNCTION("""COMPUTED_VALUE"""),"infantis")</f>
        <v>infantis</v>
      </c>
      <c r="G688" t="str">
        <f>IFERROR(__xludf.DUMMYFUNCTION("""COMPUTED_VALUE"""),"157F")</f>
        <v>157F</v>
      </c>
    </row>
    <row r="689" ht="15.75" customHeight="1">
      <c r="A689" t="str">
        <f t="shared" si="1"/>
        <v>B.longum</v>
      </c>
      <c r="B689" s="5" t="s">
        <v>721</v>
      </c>
      <c r="C689" s="6" t="str">
        <f>IFERROR(__xludf.DUMMYFUNCTION("SPLIT('2. c'!B689, "" "", True, True)"),"Bifidobacterium")</f>
        <v>Bifidobacterium</v>
      </c>
      <c r="D689" t="str">
        <f>IFERROR(__xludf.DUMMYFUNCTION("""COMPUTED_VALUE"""),"longum")</f>
        <v>longum</v>
      </c>
      <c r="E689" t="str">
        <f>IFERROR(__xludf.DUMMYFUNCTION("""COMPUTED_VALUE"""),"subsp.")</f>
        <v>subsp.</v>
      </c>
      <c r="F689" t="str">
        <f>IFERROR(__xludf.DUMMYFUNCTION("""COMPUTED_VALUE"""),"infantis")</f>
        <v>infantis</v>
      </c>
      <c r="G689" t="str">
        <f>IFERROR(__xludf.DUMMYFUNCTION("""COMPUTED_VALUE"""),"ATCC")</f>
        <v>ATCC</v>
      </c>
      <c r="H689">
        <f>IFERROR(__xludf.DUMMYFUNCTION("""COMPUTED_VALUE"""),15697.0)</f>
        <v>15697</v>
      </c>
      <c r="I689" t="str">
        <f>IFERROR(__xludf.DUMMYFUNCTION("""COMPUTED_VALUE"""),"=")</f>
        <v>=</v>
      </c>
      <c r="J689" t="str">
        <f>IFERROR(__xludf.DUMMYFUNCTION("""COMPUTED_VALUE"""),"JCM")</f>
        <v>JCM</v>
      </c>
      <c r="K689">
        <f>IFERROR(__xludf.DUMMYFUNCTION("""COMPUTED_VALUE"""),1222.0)</f>
        <v>1222</v>
      </c>
    </row>
    <row r="690" ht="15.75" customHeight="1">
      <c r="A690" t="str">
        <f t="shared" si="1"/>
        <v>B.longum</v>
      </c>
      <c r="B690" s="5" t="s">
        <v>721</v>
      </c>
      <c r="C690" s="6" t="str">
        <f>IFERROR(__xludf.DUMMYFUNCTION("SPLIT('2. c'!B690, "" "", True, True)"),"Bifidobacterium")</f>
        <v>Bifidobacterium</v>
      </c>
      <c r="D690" t="str">
        <f>IFERROR(__xludf.DUMMYFUNCTION("""COMPUTED_VALUE"""),"longum")</f>
        <v>longum</v>
      </c>
      <c r="E690" t="str">
        <f>IFERROR(__xludf.DUMMYFUNCTION("""COMPUTED_VALUE"""),"subsp.")</f>
        <v>subsp.</v>
      </c>
      <c r="F690" t="str">
        <f>IFERROR(__xludf.DUMMYFUNCTION("""COMPUTED_VALUE"""),"infantis")</f>
        <v>infantis</v>
      </c>
      <c r="G690" t="str">
        <f>IFERROR(__xludf.DUMMYFUNCTION("""COMPUTED_VALUE"""),"ATCC")</f>
        <v>ATCC</v>
      </c>
      <c r="H690">
        <f>IFERROR(__xludf.DUMMYFUNCTION("""COMPUTED_VALUE"""),15697.0)</f>
        <v>15697</v>
      </c>
      <c r="I690" t="str">
        <f>IFERROR(__xludf.DUMMYFUNCTION("""COMPUTED_VALUE"""),"=")</f>
        <v>=</v>
      </c>
      <c r="J690" t="str">
        <f>IFERROR(__xludf.DUMMYFUNCTION("""COMPUTED_VALUE"""),"JCM")</f>
        <v>JCM</v>
      </c>
      <c r="K690">
        <f>IFERROR(__xludf.DUMMYFUNCTION("""COMPUTED_VALUE"""),1222.0)</f>
        <v>1222</v>
      </c>
    </row>
    <row r="691" ht="15.75" customHeight="1">
      <c r="A691" t="str">
        <f t="shared" si="1"/>
        <v>B.longum</v>
      </c>
      <c r="B691" s="5" t="s">
        <v>722</v>
      </c>
      <c r="C691" s="6" t="str">
        <f>IFERROR(__xludf.DUMMYFUNCTION("SPLIT('2. c'!B691, "" "", True, True)"),"Bifidobacterium")</f>
        <v>Bifidobacterium</v>
      </c>
      <c r="D691" t="str">
        <f>IFERROR(__xludf.DUMMYFUNCTION("""COMPUTED_VALUE"""),"longum")</f>
        <v>longum</v>
      </c>
      <c r="E691" t="str">
        <f>IFERROR(__xludf.DUMMYFUNCTION("""COMPUTED_VALUE"""),"subsp.")</f>
        <v>subsp.</v>
      </c>
      <c r="F691" t="str">
        <f>IFERROR(__xludf.DUMMYFUNCTION("""COMPUTED_VALUE"""),"infantis")</f>
        <v>infantis</v>
      </c>
      <c r="G691" t="str">
        <f>IFERROR(__xludf.DUMMYFUNCTION("""COMPUTED_VALUE"""),"strain")</f>
        <v>strain</v>
      </c>
      <c r="H691" t="str">
        <f>IFERROR(__xludf.DUMMYFUNCTION("""COMPUTED_VALUE"""),"BT1")</f>
        <v>BT1</v>
      </c>
    </row>
    <row r="692" ht="15.75" customHeight="1">
      <c r="A692" t="str">
        <f t="shared" si="1"/>
        <v>B.longum</v>
      </c>
      <c r="B692" s="5" t="s">
        <v>723</v>
      </c>
      <c r="C692" s="6" t="str">
        <f>IFERROR(__xludf.DUMMYFUNCTION("SPLIT('2. c'!B692, "" "", True, True)"),"Bifidobacterium")</f>
        <v>Bifidobacterium</v>
      </c>
      <c r="D692" t="str">
        <f>IFERROR(__xludf.DUMMYFUNCTION("""COMPUTED_VALUE"""),"longum")</f>
        <v>longum</v>
      </c>
      <c r="E692" t="str">
        <f>IFERROR(__xludf.DUMMYFUNCTION("""COMPUTED_VALUE"""),"subsp.")</f>
        <v>subsp.</v>
      </c>
      <c r="F692" t="str">
        <f>IFERROR(__xludf.DUMMYFUNCTION("""COMPUTED_VALUE"""),"infantis")</f>
        <v>infantis</v>
      </c>
      <c r="G692" t="str">
        <f>IFERROR(__xludf.DUMMYFUNCTION("""COMPUTED_VALUE"""),"strain")</f>
        <v>strain</v>
      </c>
      <c r="H692" t="str">
        <f>IFERROR(__xludf.DUMMYFUNCTION("""COMPUTED_VALUE"""),"CECT")</f>
        <v>CECT</v>
      </c>
      <c r="I692">
        <f>IFERROR(__xludf.DUMMYFUNCTION("""COMPUTED_VALUE"""),7210.0)</f>
        <v>7210</v>
      </c>
    </row>
    <row r="693" ht="15.75" customHeight="1">
      <c r="A693" t="str">
        <f t="shared" si="1"/>
        <v>B.longum</v>
      </c>
      <c r="B693" s="5" t="s">
        <v>724</v>
      </c>
      <c r="C693" s="6" t="str">
        <f>IFERROR(__xludf.DUMMYFUNCTION("SPLIT('2. c'!B693, "" "", True, True)"),"Bifidobacterium")</f>
        <v>Bifidobacterium</v>
      </c>
      <c r="D693" t="str">
        <f>IFERROR(__xludf.DUMMYFUNCTION("""COMPUTED_VALUE"""),"longum")</f>
        <v>longum</v>
      </c>
      <c r="E693" t="str">
        <f>IFERROR(__xludf.DUMMYFUNCTION("""COMPUTED_VALUE"""),"subsp.")</f>
        <v>subsp.</v>
      </c>
      <c r="F693" t="str">
        <f>IFERROR(__xludf.DUMMYFUNCTION("""COMPUTED_VALUE"""),"longum")</f>
        <v>longum</v>
      </c>
      <c r="G693" t="str">
        <f>IFERROR(__xludf.DUMMYFUNCTION("""COMPUTED_VALUE"""),"BBMN68")</f>
        <v>BBMN68</v>
      </c>
    </row>
    <row r="694" ht="15.75" customHeight="1">
      <c r="A694" t="str">
        <f t="shared" si="1"/>
        <v>B.longum</v>
      </c>
      <c r="B694" s="5" t="s">
        <v>725</v>
      </c>
      <c r="C694" s="6" t="str">
        <f>IFERROR(__xludf.DUMMYFUNCTION("SPLIT('2. c'!B694, "" "", True, True)"),"Bifidobacterium")</f>
        <v>Bifidobacterium</v>
      </c>
      <c r="D694" t="str">
        <f>IFERROR(__xludf.DUMMYFUNCTION("""COMPUTED_VALUE"""),"longum")</f>
        <v>longum</v>
      </c>
      <c r="E694" t="str">
        <f>IFERROR(__xludf.DUMMYFUNCTION("""COMPUTED_VALUE"""),"subsp.")</f>
        <v>subsp.</v>
      </c>
      <c r="F694" t="str">
        <f>IFERROR(__xludf.DUMMYFUNCTION("""COMPUTED_VALUE"""),"longum")</f>
        <v>longum</v>
      </c>
      <c r="G694" t="str">
        <f>IFERROR(__xludf.DUMMYFUNCTION("""COMPUTED_VALUE"""),"F8")</f>
        <v>F8</v>
      </c>
    </row>
    <row r="695" ht="15.75" customHeight="1">
      <c r="A695" t="str">
        <f t="shared" si="1"/>
        <v>B.longum</v>
      </c>
      <c r="B695" s="5" t="s">
        <v>726</v>
      </c>
      <c r="C695" s="6" t="str">
        <f>IFERROR(__xludf.DUMMYFUNCTION("SPLIT('2. c'!B695, "" "", True, True)"),"Bifidobacterium")</f>
        <v>Bifidobacterium</v>
      </c>
      <c r="D695" t="str">
        <f>IFERROR(__xludf.DUMMYFUNCTION("""COMPUTED_VALUE"""),"longum")</f>
        <v>longum</v>
      </c>
      <c r="E695" t="str">
        <f>IFERROR(__xludf.DUMMYFUNCTION("""COMPUTED_VALUE"""),"subsp.")</f>
        <v>subsp.</v>
      </c>
      <c r="F695" t="str">
        <f>IFERROR(__xludf.DUMMYFUNCTION("""COMPUTED_VALUE"""),"longum")</f>
        <v>longum</v>
      </c>
      <c r="G695" t="str">
        <f>IFERROR(__xludf.DUMMYFUNCTION("""COMPUTED_VALUE"""),"GT15")</f>
        <v>GT15</v>
      </c>
    </row>
    <row r="696" ht="15.75" customHeight="1">
      <c r="A696" t="str">
        <f t="shared" si="1"/>
        <v>B.longum</v>
      </c>
      <c r="B696" s="5" t="s">
        <v>727</v>
      </c>
      <c r="C696" s="6" t="str">
        <f>IFERROR(__xludf.DUMMYFUNCTION("SPLIT('2. c'!B696, "" "", True, True)"),"Bifidobacterium")</f>
        <v>Bifidobacterium</v>
      </c>
      <c r="D696" t="str">
        <f>IFERROR(__xludf.DUMMYFUNCTION("""COMPUTED_VALUE"""),"longum")</f>
        <v>longum</v>
      </c>
      <c r="E696" t="str">
        <f>IFERROR(__xludf.DUMMYFUNCTION("""COMPUTED_VALUE"""),"subsp.")</f>
        <v>subsp.</v>
      </c>
      <c r="F696" t="str">
        <f>IFERROR(__xludf.DUMMYFUNCTION("""COMPUTED_VALUE"""),"longum")</f>
        <v>longum</v>
      </c>
      <c r="G696" t="str">
        <f>IFERROR(__xludf.DUMMYFUNCTION("""COMPUTED_VALUE"""),"JCM")</f>
        <v>JCM</v>
      </c>
      <c r="H696">
        <f>IFERROR(__xludf.DUMMYFUNCTION("""COMPUTED_VALUE"""),1217.0)</f>
        <v>1217</v>
      </c>
    </row>
    <row r="697" ht="15.75" customHeight="1">
      <c r="A697" t="str">
        <f t="shared" si="1"/>
        <v>B.longum</v>
      </c>
      <c r="B697" s="5" t="s">
        <v>728</v>
      </c>
      <c r="C697" s="6" t="str">
        <f>IFERROR(__xludf.DUMMYFUNCTION("SPLIT('2. c'!B697, "" "", True, True)"),"Bifidobacterium")</f>
        <v>Bifidobacterium</v>
      </c>
      <c r="D697" t="str">
        <f>IFERROR(__xludf.DUMMYFUNCTION("""COMPUTED_VALUE"""),"longum")</f>
        <v>longum</v>
      </c>
      <c r="E697" t="str">
        <f>IFERROR(__xludf.DUMMYFUNCTION("""COMPUTED_VALUE"""),"subsp.")</f>
        <v>subsp.</v>
      </c>
      <c r="F697" t="str">
        <f>IFERROR(__xludf.DUMMYFUNCTION("""COMPUTED_VALUE"""),"longum")</f>
        <v>longum</v>
      </c>
      <c r="G697" t="str">
        <f>IFERROR(__xludf.DUMMYFUNCTION("""COMPUTED_VALUE"""),"JDM301")</f>
        <v>JDM301</v>
      </c>
    </row>
    <row r="698" ht="15.75" customHeight="1">
      <c r="A698" t="str">
        <f t="shared" si="1"/>
        <v>B.longum</v>
      </c>
      <c r="B698" s="5" t="s">
        <v>729</v>
      </c>
      <c r="C698" s="6" t="str">
        <f>IFERROR(__xludf.DUMMYFUNCTION("SPLIT('2. c'!B698, "" "", True, True)"),"Bifidobacterium")</f>
        <v>Bifidobacterium</v>
      </c>
      <c r="D698" t="str">
        <f>IFERROR(__xludf.DUMMYFUNCTION("""COMPUTED_VALUE"""),"longum")</f>
        <v>longum</v>
      </c>
      <c r="E698" t="str">
        <f>IFERROR(__xludf.DUMMYFUNCTION("""COMPUTED_VALUE"""),"subsp.")</f>
        <v>subsp.</v>
      </c>
      <c r="F698" t="str">
        <f>IFERROR(__xludf.DUMMYFUNCTION("""COMPUTED_VALUE"""),"longum")</f>
        <v>longum</v>
      </c>
      <c r="G698" t="str">
        <f>IFERROR(__xludf.DUMMYFUNCTION("""COMPUTED_VALUE"""),"KACC")</f>
        <v>KACC</v>
      </c>
      <c r="H698">
        <f>IFERROR(__xludf.DUMMYFUNCTION("""COMPUTED_VALUE"""),91563.0)</f>
        <v>91563</v>
      </c>
    </row>
    <row r="699" ht="15.75" customHeight="1">
      <c r="A699" t="str">
        <f t="shared" si="1"/>
        <v>B.longum</v>
      </c>
      <c r="B699" s="5" t="s">
        <v>730</v>
      </c>
      <c r="C699" s="6" t="str">
        <f>IFERROR(__xludf.DUMMYFUNCTION("SPLIT('2. c'!B699, "" "", True, True)"),"Bifidobacterium")</f>
        <v>Bifidobacterium</v>
      </c>
      <c r="D699" t="str">
        <f>IFERROR(__xludf.DUMMYFUNCTION("""COMPUTED_VALUE"""),"longum")</f>
        <v>longum</v>
      </c>
      <c r="E699" t="str">
        <f>IFERROR(__xludf.DUMMYFUNCTION("""COMPUTED_VALUE"""),"subsp.")</f>
        <v>subsp.</v>
      </c>
      <c r="F699" t="str">
        <f>IFERROR(__xludf.DUMMYFUNCTION("""COMPUTED_VALUE"""),"longum")</f>
        <v>longum</v>
      </c>
      <c r="G699" t="str">
        <f>IFERROR(__xludf.DUMMYFUNCTION("""COMPUTED_VALUE"""),"strain")</f>
        <v>strain</v>
      </c>
      <c r="H699" t="str">
        <f>IFERROR(__xludf.DUMMYFUNCTION("""COMPUTED_VALUE"""),"CCUG30698")</f>
        <v>CCUG30698</v>
      </c>
    </row>
    <row r="700" ht="15.75" customHeight="1">
      <c r="A700" t="str">
        <f t="shared" si="1"/>
        <v>B.longum</v>
      </c>
      <c r="B700" s="5" t="s">
        <v>731</v>
      </c>
      <c r="C700" s="6" t="str">
        <f>IFERROR(__xludf.DUMMYFUNCTION("SPLIT('2. c'!B700, "" "", True, True)"),"Bifidobacterium")</f>
        <v>Bifidobacterium</v>
      </c>
      <c r="D700" t="str">
        <f>IFERROR(__xludf.DUMMYFUNCTION("""COMPUTED_VALUE"""),"longum")</f>
        <v>longum</v>
      </c>
      <c r="E700" t="str">
        <f>IFERROR(__xludf.DUMMYFUNCTION("""COMPUTED_VALUE"""),"subsp.")</f>
        <v>subsp.</v>
      </c>
      <c r="F700" t="str">
        <f>IFERROR(__xludf.DUMMYFUNCTION("""COMPUTED_VALUE"""),"longum")</f>
        <v>longum</v>
      </c>
      <c r="G700" t="str">
        <f>IFERROR(__xludf.DUMMYFUNCTION("""COMPUTED_VALUE"""),"strain")</f>
        <v>strain</v>
      </c>
      <c r="H700" t="str">
        <f>IFERROR(__xludf.DUMMYFUNCTION("""COMPUTED_VALUE"""),"NCIMB8809")</f>
        <v>NCIMB8809</v>
      </c>
    </row>
    <row r="701" ht="15.75" customHeight="1">
      <c r="A701" t="str">
        <f t="shared" si="1"/>
        <v>B.pseudocatenulatum</v>
      </c>
      <c r="B701" s="5" t="s">
        <v>732</v>
      </c>
      <c r="C701" s="6" t="str">
        <f>IFERROR(__xludf.DUMMYFUNCTION("SPLIT('2. c'!B701, "" "", True, True)"),"Bifidobacterium")</f>
        <v>Bifidobacterium</v>
      </c>
      <c r="D701" t="str">
        <f>IFERROR(__xludf.DUMMYFUNCTION("""COMPUTED_VALUE"""),"pseudocatenulatum")</f>
        <v>pseudocatenulatum</v>
      </c>
      <c r="E701" t="str">
        <f>IFERROR(__xludf.DUMMYFUNCTION("""COMPUTED_VALUE"""),"DSM")</f>
        <v>DSM</v>
      </c>
      <c r="F701">
        <f>IFERROR(__xludf.DUMMYFUNCTION("""COMPUTED_VALUE"""),20438.0)</f>
        <v>20438</v>
      </c>
      <c r="G701" t="str">
        <f>IFERROR(__xludf.DUMMYFUNCTION("""COMPUTED_VALUE"""),"=")</f>
        <v>=</v>
      </c>
      <c r="H701" t="str">
        <f>IFERROR(__xludf.DUMMYFUNCTION("""COMPUTED_VALUE"""),"JCM")</f>
        <v>JCM</v>
      </c>
      <c r="I701">
        <f>IFERROR(__xludf.DUMMYFUNCTION("""COMPUTED_VALUE"""),1200.0)</f>
        <v>1200</v>
      </c>
      <c r="J701" t="str">
        <f>IFERROR(__xludf.DUMMYFUNCTION("""COMPUTED_VALUE"""),"=")</f>
        <v>=</v>
      </c>
      <c r="K701" t="str">
        <f>IFERROR(__xludf.DUMMYFUNCTION("""COMPUTED_VALUE"""),"LMG")</f>
        <v>LMG</v>
      </c>
      <c r="L701">
        <f>IFERROR(__xludf.DUMMYFUNCTION("""COMPUTED_VALUE"""),10505.0)</f>
        <v>10505</v>
      </c>
    </row>
    <row r="702" ht="15.75" customHeight="1">
      <c r="A702" t="str">
        <f t="shared" si="1"/>
        <v>B.pseudolongum</v>
      </c>
      <c r="B702" s="5" t="s">
        <v>733</v>
      </c>
      <c r="C702" s="6" t="str">
        <f>IFERROR(__xludf.DUMMYFUNCTION("SPLIT('2. c'!B702, "" "", True, True)"),"Bifidobacterium")</f>
        <v>Bifidobacterium</v>
      </c>
      <c r="D702" t="str">
        <f>IFERROR(__xludf.DUMMYFUNCTION("""COMPUTED_VALUE"""),"pseudolongum")</f>
        <v>pseudolongum</v>
      </c>
      <c r="E702" t="str">
        <f>IFERROR(__xludf.DUMMYFUNCTION("""COMPUTED_VALUE"""),"PV8-2")</f>
        <v>PV8-2</v>
      </c>
    </row>
    <row r="703" ht="15.75" customHeight="1">
      <c r="A703" t="str">
        <f t="shared" si="1"/>
        <v>B.scardovii</v>
      </c>
      <c r="B703" s="5" t="s">
        <v>734</v>
      </c>
      <c r="C703" s="6" t="str">
        <f>IFERROR(__xludf.DUMMYFUNCTION("SPLIT('2. c'!B703, "" "", True, True)"),"Bifidobacterium")</f>
        <v>Bifidobacterium</v>
      </c>
      <c r="D703" t="str">
        <f>IFERROR(__xludf.DUMMYFUNCTION("""COMPUTED_VALUE"""),"scardovii")</f>
        <v>scardovii</v>
      </c>
      <c r="E703" t="str">
        <f>IFERROR(__xludf.DUMMYFUNCTION("""COMPUTED_VALUE"""),"JCM")</f>
        <v>JCM</v>
      </c>
      <c r="F703">
        <f>IFERROR(__xludf.DUMMYFUNCTION("""COMPUTED_VALUE"""),12489.0)</f>
        <v>12489</v>
      </c>
      <c r="G703" t="str">
        <f>IFERROR(__xludf.DUMMYFUNCTION("""COMPUTED_VALUE"""),"=")</f>
        <v>=</v>
      </c>
      <c r="H703" t="str">
        <f>IFERROR(__xludf.DUMMYFUNCTION("""COMPUTED_VALUE"""),"DSM")</f>
        <v>DSM</v>
      </c>
      <c r="I703">
        <f>IFERROR(__xludf.DUMMYFUNCTION("""COMPUTED_VALUE"""),13734.0)</f>
        <v>13734</v>
      </c>
    </row>
    <row r="704" ht="15.75" customHeight="1">
      <c r="A704" t="str">
        <f t="shared" si="1"/>
        <v>B.thermophilum</v>
      </c>
      <c r="B704" s="5" t="s">
        <v>735</v>
      </c>
      <c r="C704" s="6" t="str">
        <f>IFERROR(__xludf.DUMMYFUNCTION("SPLIT('2. c'!B704, "" "", True, True)"),"Bifidobacterium")</f>
        <v>Bifidobacterium</v>
      </c>
      <c r="D704" t="str">
        <f>IFERROR(__xludf.DUMMYFUNCTION("""COMPUTED_VALUE"""),"thermophilum")</f>
        <v>thermophilum</v>
      </c>
      <c r="E704" t="str">
        <f>IFERROR(__xludf.DUMMYFUNCTION("""COMPUTED_VALUE"""),"RBL67")</f>
        <v>RBL67</v>
      </c>
    </row>
    <row r="705" ht="15.75" customHeight="1">
      <c r="A705" t="str">
        <f t="shared" si="1"/>
        <v>B.viridis</v>
      </c>
      <c r="B705" s="5" t="s">
        <v>736</v>
      </c>
      <c r="C705" s="6" t="str">
        <f>IFERROR(__xludf.DUMMYFUNCTION("SPLIT('2. c'!B705, "" "", True, True)"),"Blastochloris")</f>
        <v>Blastochloris</v>
      </c>
      <c r="D705" t="str">
        <f>IFERROR(__xludf.DUMMYFUNCTION("""COMPUTED_VALUE"""),"viridis")</f>
        <v>viridis</v>
      </c>
    </row>
    <row r="706" ht="15.75" customHeight="1">
      <c r="A706" t="str">
        <f t="shared" si="1"/>
        <v>B.viridis</v>
      </c>
      <c r="B706" s="5" t="s">
        <v>737</v>
      </c>
      <c r="C706" s="6" t="str">
        <f>IFERROR(__xludf.DUMMYFUNCTION("SPLIT('2. c'!B706, "" "", True, True)"),"Blastochloris")</f>
        <v>Blastochloris</v>
      </c>
      <c r="D706" t="str">
        <f>IFERROR(__xludf.DUMMYFUNCTION("""COMPUTED_VALUE"""),"viridis")</f>
        <v>viridis</v>
      </c>
      <c r="E706" t="str">
        <f>IFERROR(__xludf.DUMMYFUNCTION("""COMPUTED_VALUE"""),"strain")</f>
        <v>strain</v>
      </c>
      <c r="F706" t="str">
        <f>IFERROR(__xludf.DUMMYFUNCTION("""COMPUTED_VALUE"""),"ATCC")</f>
        <v>ATCC</v>
      </c>
      <c r="G706">
        <f>IFERROR(__xludf.DUMMYFUNCTION("""COMPUTED_VALUE"""),19567.0)</f>
        <v>19567</v>
      </c>
    </row>
    <row r="707" ht="15.75" customHeight="1">
      <c r="A707" t="str">
        <f t="shared" si="1"/>
        <v>B.viridis</v>
      </c>
      <c r="B707" s="5" t="s">
        <v>738</v>
      </c>
      <c r="C707" s="6" t="str">
        <f>IFERROR(__xludf.DUMMYFUNCTION("SPLIT('2. c'!B707, "" "", True, True)"),"Blastochloris")</f>
        <v>Blastochloris</v>
      </c>
      <c r="D707" t="str">
        <f>IFERROR(__xludf.DUMMYFUNCTION("""COMPUTED_VALUE"""),"viridis")</f>
        <v>viridis</v>
      </c>
      <c r="E707" t="str">
        <f>IFERROR(__xludf.DUMMYFUNCTION("""COMPUTED_VALUE"""),"strain")</f>
        <v>strain</v>
      </c>
      <c r="F707" t="str">
        <f>IFERROR(__xludf.DUMMYFUNCTION("""COMPUTED_VALUE"""),"DSM")</f>
        <v>DSM</v>
      </c>
      <c r="G707">
        <f>IFERROR(__xludf.DUMMYFUNCTION("""COMPUTED_VALUE"""),133.0)</f>
        <v>133</v>
      </c>
    </row>
    <row r="708" ht="15.75" customHeight="1">
      <c r="A708" t="str">
        <f t="shared" si="1"/>
        <v>B.saxobsidens</v>
      </c>
      <c r="B708" s="5" t="s">
        <v>739</v>
      </c>
      <c r="C708" s="6" t="str">
        <f>IFERROR(__xludf.DUMMYFUNCTION("SPLIT('2. c'!B708, "" "", True, True)"),"Blastococcus")</f>
        <v>Blastococcus</v>
      </c>
      <c r="D708" t="str">
        <f>IFERROR(__xludf.DUMMYFUNCTION("""COMPUTED_VALUE"""),"saxobsidens")</f>
        <v>saxobsidens</v>
      </c>
      <c r="E708" t="str">
        <f>IFERROR(__xludf.DUMMYFUNCTION("""COMPUTED_VALUE"""),"DD2")</f>
        <v>DD2</v>
      </c>
    </row>
    <row r="709" ht="15.75" customHeight="1">
      <c r="A709" t="str">
        <f t="shared" si="1"/>
        <v>B.sp.</v>
      </c>
      <c r="B709" s="5" t="s">
        <v>740</v>
      </c>
      <c r="C709" s="6" t="str">
        <f>IFERROR(__xludf.DUMMYFUNCTION("SPLIT('2. c'!B709, "" "", True, True)"),"Blattabacterium")</f>
        <v>Blattabacterium</v>
      </c>
      <c r="D709" t="str">
        <f>IFERROR(__xludf.DUMMYFUNCTION("""COMPUTED_VALUE"""),"sp.")</f>
        <v>sp.</v>
      </c>
      <c r="E709" t="str">
        <f>IFERROR(__xludf.DUMMYFUNCTION("""COMPUTED_VALUE"""),"(Blaberus")</f>
        <v>(Blaberus</v>
      </c>
      <c r="F709" t="str">
        <f>IFERROR(__xludf.DUMMYFUNCTION("""COMPUTED_VALUE"""),"giganteus)")</f>
        <v>giganteus)</v>
      </c>
    </row>
    <row r="710" ht="15.75" customHeight="1">
      <c r="A710" t="str">
        <f t="shared" si="1"/>
        <v>B.sp.</v>
      </c>
      <c r="B710" s="5" t="s">
        <v>741</v>
      </c>
      <c r="C710" s="6" t="str">
        <f>IFERROR(__xludf.DUMMYFUNCTION("SPLIT('2. c'!B710, "" "", True, True)"),"Blattabacterium")</f>
        <v>Blattabacterium</v>
      </c>
      <c r="D710" t="str">
        <f>IFERROR(__xludf.DUMMYFUNCTION("""COMPUTED_VALUE"""),"sp.")</f>
        <v>sp.</v>
      </c>
      <c r="E710" t="str">
        <f>IFERROR(__xludf.DUMMYFUNCTION("""COMPUTED_VALUE"""),"(Blatta")</f>
        <v>(Blatta</v>
      </c>
      <c r="F710" t="str">
        <f>IFERROR(__xludf.DUMMYFUNCTION("""COMPUTED_VALUE"""),"orientalis)")</f>
        <v>orientalis)</v>
      </c>
      <c r="G710" t="str">
        <f>IFERROR(__xludf.DUMMYFUNCTION("""COMPUTED_VALUE"""),"str.")</f>
        <v>str.</v>
      </c>
      <c r="H710" t="str">
        <f>IFERROR(__xludf.DUMMYFUNCTION("""COMPUTED_VALUE"""),"Tarazona")</f>
        <v>Tarazona</v>
      </c>
    </row>
    <row r="711" ht="15.75" customHeight="1">
      <c r="A711" t="str">
        <f t="shared" si="1"/>
        <v>B.sp.</v>
      </c>
      <c r="B711" s="5" t="s">
        <v>742</v>
      </c>
      <c r="C711" s="6" t="str">
        <f>IFERROR(__xludf.DUMMYFUNCTION("SPLIT('2. c'!B711, "" "", True, True)"),"Blattabacterium")</f>
        <v>Blattabacterium</v>
      </c>
      <c r="D711" t="str">
        <f>IFERROR(__xludf.DUMMYFUNCTION("""COMPUTED_VALUE"""),"sp.")</f>
        <v>sp.</v>
      </c>
      <c r="E711" t="str">
        <f>IFERROR(__xludf.DUMMYFUNCTION("""COMPUTED_VALUE"""),"(Blattella")</f>
        <v>(Blattella</v>
      </c>
      <c r="F711" t="str">
        <f>IFERROR(__xludf.DUMMYFUNCTION("""COMPUTED_VALUE"""),"germanica)")</f>
        <v>germanica)</v>
      </c>
      <c r="G711" t="str">
        <f>IFERROR(__xludf.DUMMYFUNCTION("""COMPUTED_VALUE"""),"str.")</f>
        <v>str.</v>
      </c>
      <c r="H711" t="str">
        <f>IFERROR(__xludf.DUMMYFUNCTION("""COMPUTED_VALUE"""),"Bge")</f>
        <v>Bge</v>
      </c>
    </row>
    <row r="712" ht="15.75" customHeight="1">
      <c r="A712" t="str">
        <f t="shared" si="1"/>
        <v>B.sp.</v>
      </c>
      <c r="B712" s="5" t="s">
        <v>743</v>
      </c>
      <c r="C712" s="6" t="str">
        <f>IFERROR(__xludf.DUMMYFUNCTION("SPLIT('2. c'!B712, "" "", True, True)"),"Blattabacterium")</f>
        <v>Blattabacterium</v>
      </c>
      <c r="D712" t="str">
        <f>IFERROR(__xludf.DUMMYFUNCTION("""COMPUTED_VALUE"""),"sp.")</f>
        <v>sp.</v>
      </c>
      <c r="E712" t="str">
        <f>IFERROR(__xludf.DUMMYFUNCTION("""COMPUTED_VALUE"""),"(Cryptocercus")</f>
        <v>(Cryptocercus</v>
      </c>
      <c r="F712" t="str">
        <f>IFERROR(__xludf.DUMMYFUNCTION("""COMPUTED_VALUE"""),"punctulatus)")</f>
        <v>punctulatus)</v>
      </c>
      <c r="G712" t="str">
        <f>IFERROR(__xludf.DUMMYFUNCTION("""COMPUTED_VALUE"""),"str.")</f>
        <v>str.</v>
      </c>
      <c r="H712" t="str">
        <f>IFERROR(__xludf.DUMMYFUNCTION("""COMPUTED_VALUE"""),"Cpu")</f>
        <v>Cpu</v>
      </c>
    </row>
    <row r="713" ht="15.75" customHeight="1">
      <c r="A713" t="str">
        <f t="shared" si="1"/>
        <v>B.sp.</v>
      </c>
      <c r="B713" s="5" t="s">
        <v>744</v>
      </c>
      <c r="C713" s="6" t="str">
        <f>IFERROR(__xludf.DUMMYFUNCTION("SPLIT('2. c'!B713, "" "", True, True)"),"Blattabacterium")</f>
        <v>Blattabacterium</v>
      </c>
      <c r="D713" t="str">
        <f>IFERROR(__xludf.DUMMYFUNCTION("""COMPUTED_VALUE"""),"sp.")</f>
        <v>sp.</v>
      </c>
      <c r="E713" t="str">
        <f>IFERROR(__xludf.DUMMYFUNCTION("""COMPUTED_VALUE"""),"(Mastotermes")</f>
        <v>(Mastotermes</v>
      </c>
      <c r="F713" t="str">
        <f>IFERROR(__xludf.DUMMYFUNCTION("""COMPUTED_VALUE"""),"darwiniensis)")</f>
        <v>darwiniensis)</v>
      </c>
      <c r="G713" t="str">
        <f>IFERROR(__xludf.DUMMYFUNCTION("""COMPUTED_VALUE"""),"str.")</f>
        <v>str.</v>
      </c>
      <c r="H713" t="str">
        <f>IFERROR(__xludf.DUMMYFUNCTION("""COMPUTED_VALUE"""),"MADAR")</f>
        <v>MADAR</v>
      </c>
    </row>
    <row r="714" ht="15.75" customHeight="1">
      <c r="A714" t="str">
        <f t="shared" si="1"/>
        <v>B.sp.</v>
      </c>
      <c r="B714" s="5" t="s">
        <v>745</v>
      </c>
      <c r="C714" s="6" t="str">
        <f>IFERROR(__xludf.DUMMYFUNCTION("SPLIT('2. c'!B714, "" "", True, True)"),"Blattabacterium")</f>
        <v>Blattabacterium</v>
      </c>
      <c r="D714" t="str">
        <f>IFERROR(__xludf.DUMMYFUNCTION("""COMPUTED_VALUE"""),"sp.")</f>
        <v>sp.</v>
      </c>
      <c r="E714" t="str">
        <f>IFERROR(__xludf.DUMMYFUNCTION("""COMPUTED_VALUE"""),"(Nauphoeta")</f>
        <v>(Nauphoeta</v>
      </c>
      <c r="F714" t="str">
        <f>IFERROR(__xludf.DUMMYFUNCTION("""COMPUTED_VALUE"""),"cinerea)")</f>
        <v>cinerea)</v>
      </c>
    </row>
    <row r="715" ht="15.75" customHeight="1">
      <c r="A715" t="str">
        <f t="shared" si="1"/>
        <v>B.sp.</v>
      </c>
      <c r="B715" s="5" t="s">
        <v>746</v>
      </c>
      <c r="C715" s="6" t="str">
        <f>IFERROR(__xludf.DUMMYFUNCTION("SPLIT('2. c'!B715, "" "", True, True)"),"Blattabacterium")</f>
        <v>Blattabacterium</v>
      </c>
      <c r="D715" t="str">
        <f>IFERROR(__xludf.DUMMYFUNCTION("""COMPUTED_VALUE"""),"sp.")</f>
        <v>sp.</v>
      </c>
      <c r="E715" t="str">
        <f>IFERROR(__xludf.DUMMYFUNCTION("""COMPUTED_VALUE"""),"(Panesthia")</f>
        <v>(Panesthia</v>
      </c>
      <c r="F715" t="str">
        <f>IFERROR(__xludf.DUMMYFUNCTION("""COMPUTED_VALUE"""),"angustipennis")</f>
        <v>angustipennis</v>
      </c>
      <c r="G715" t="str">
        <f>IFERROR(__xludf.DUMMYFUNCTION("""COMPUTED_VALUE"""),"spadica)")</f>
        <v>spadica)</v>
      </c>
      <c r="H715" t="str">
        <f>IFERROR(__xludf.DUMMYFUNCTION("""COMPUTED_VALUE"""),"str.")</f>
        <v>str.</v>
      </c>
      <c r="I715" t="str">
        <f>IFERROR(__xludf.DUMMYFUNCTION("""COMPUTED_VALUE"""),"BPAA")</f>
        <v>BPAA</v>
      </c>
    </row>
    <row r="716" ht="15.75" customHeight="1">
      <c r="A716" t="str">
        <f t="shared" si="1"/>
        <v>B.sp.</v>
      </c>
      <c r="B716" s="5" t="s">
        <v>747</v>
      </c>
      <c r="C716" s="6" t="str">
        <f>IFERROR(__xludf.DUMMYFUNCTION("SPLIT('2. c'!B716, "" "", True, True)"),"Blattabacterium")</f>
        <v>Blattabacterium</v>
      </c>
      <c r="D716" t="str">
        <f>IFERROR(__xludf.DUMMYFUNCTION("""COMPUTED_VALUE"""),"sp.")</f>
        <v>sp.</v>
      </c>
      <c r="E716" t="str">
        <f>IFERROR(__xludf.DUMMYFUNCTION("""COMPUTED_VALUE"""),"(Periplaneta")</f>
        <v>(Periplaneta</v>
      </c>
      <c r="F716" t="str">
        <f>IFERROR(__xludf.DUMMYFUNCTION("""COMPUTED_VALUE"""),"americana)")</f>
        <v>americana)</v>
      </c>
      <c r="G716" t="str">
        <f>IFERROR(__xludf.DUMMYFUNCTION("""COMPUTED_VALUE"""),"str.")</f>
        <v>str.</v>
      </c>
      <c r="H716" t="str">
        <f>IFERROR(__xludf.DUMMYFUNCTION("""COMPUTED_VALUE"""),"BPLAN")</f>
        <v>BPLAN</v>
      </c>
    </row>
    <row r="717" ht="15.75" customHeight="1">
      <c r="A717" t="str">
        <f t="shared" si="1"/>
        <v>B.endosymbiont</v>
      </c>
      <c r="B717" s="5" t="s">
        <v>748</v>
      </c>
      <c r="C717" s="6" t="str">
        <f>IFERROR(__xludf.DUMMYFUNCTION("SPLIT('2. c'!B717, "" "", True, True)"),"Blochmannia")</f>
        <v>Blochmannia</v>
      </c>
      <c r="D717" t="str">
        <f>IFERROR(__xludf.DUMMYFUNCTION("""COMPUTED_VALUE"""),"endosymbiont")</f>
        <v>endosymbiont</v>
      </c>
      <c r="E717" t="str">
        <f>IFERROR(__xludf.DUMMYFUNCTION("""COMPUTED_VALUE"""),"of")</f>
        <v>of</v>
      </c>
      <c r="F717" t="str">
        <f>IFERROR(__xludf.DUMMYFUNCTION("""COMPUTED_VALUE"""),"Camponotus")</f>
        <v>Camponotus</v>
      </c>
      <c r="G717" t="str">
        <f>IFERROR(__xludf.DUMMYFUNCTION("""COMPUTED_VALUE"""),"(Colobopsis)")</f>
        <v>(Colobopsis)</v>
      </c>
      <c r="H717" t="str">
        <f>IFERROR(__xludf.DUMMYFUNCTION("""COMPUTED_VALUE"""),"obliquus")</f>
        <v>obliquus</v>
      </c>
      <c r="I717" t="str">
        <f>IFERROR(__xludf.DUMMYFUNCTION("""COMPUTED_VALUE"""),"strain")</f>
        <v>strain</v>
      </c>
      <c r="J717">
        <f>IFERROR(__xludf.DUMMYFUNCTION("""COMPUTED_VALUE"""),757.0)</f>
        <v>757</v>
      </c>
    </row>
    <row r="718" ht="15.75" customHeight="1">
      <c r="A718" t="str">
        <f t="shared" si="1"/>
        <v>B.endosymbiont</v>
      </c>
      <c r="B718" s="5" t="s">
        <v>749</v>
      </c>
      <c r="C718" s="6" t="str">
        <f>IFERROR(__xludf.DUMMYFUNCTION("SPLIT('2. c'!B718, "" "", True, True)"),"Blochmannia")</f>
        <v>Blochmannia</v>
      </c>
      <c r="D718" t="str">
        <f>IFERROR(__xludf.DUMMYFUNCTION("""COMPUTED_VALUE"""),"endosymbiont")</f>
        <v>endosymbiont</v>
      </c>
      <c r="E718" t="str">
        <f>IFERROR(__xludf.DUMMYFUNCTION("""COMPUTED_VALUE"""),"of")</f>
        <v>of</v>
      </c>
      <c r="F718" t="str">
        <f>IFERROR(__xludf.DUMMYFUNCTION("""COMPUTED_VALUE"""),"Polyrhachis")</f>
        <v>Polyrhachis</v>
      </c>
      <c r="G718" t="str">
        <f>IFERROR(__xludf.DUMMYFUNCTION("""COMPUTED_VALUE"""),"(Hedomyrma)")</f>
        <v>(Hedomyrma)</v>
      </c>
      <c r="H718" t="str">
        <f>IFERROR(__xludf.DUMMYFUNCTION("""COMPUTED_VALUE"""),"turneri")</f>
        <v>turneri</v>
      </c>
      <c r="I718" t="str">
        <f>IFERROR(__xludf.DUMMYFUNCTION("""COMPUTED_VALUE"""),"strain")</f>
        <v>strain</v>
      </c>
      <c r="J718">
        <f>IFERROR(__xludf.DUMMYFUNCTION("""COMPUTED_VALUE"""),675.0)</f>
        <v>675</v>
      </c>
    </row>
    <row r="719" ht="15.75" customHeight="1">
      <c r="A719" t="str">
        <f t="shared" si="1"/>
        <v>B.avium</v>
      </c>
      <c r="B719" s="5" t="s">
        <v>750</v>
      </c>
      <c r="C719" s="6" t="str">
        <f>IFERROR(__xludf.DUMMYFUNCTION("SPLIT('2. c'!B719, "" "", True, True)"),"Bordetella")</f>
        <v>Bordetella</v>
      </c>
      <c r="D719" t="str">
        <f>IFERROR(__xludf.DUMMYFUNCTION("""COMPUTED_VALUE"""),"avium")</f>
        <v>avium</v>
      </c>
      <c r="E719" t="str">
        <f>IFERROR(__xludf.DUMMYFUNCTION("""COMPUTED_VALUE"""),"197N")</f>
        <v>197N</v>
      </c>
    </row>
    <row r="720" ht="15.75" customHeight="1">
      <c r="A720" t="str">
        <f t="shared" si="1"/>
        <v>B.bronchialis</v>
      </c>
      <c r="B720" s="5" t="s">
        <v>751</v>
      </c>
      <c r="C720" s="6" t="str">
        <f>IFERROR(__xludf.DUMMYFUNCTION("SPLIT('2. c'!B720, "" "", True, True)"),"Bordetella")</f>
        <v>Bordetella</v>
      </c>
      <c r="D720" t="str">
        <f>IFERROR(__xludf.DUMMYFUNCTION("""COMPUTED_VALUE"""),"bronchialis")</f>
        <v>bronchialis</v>
      </c>
      <c r="E720" t="str">
        <f>IFERROR(__xludf.DUMMYFUNCTION("""COMPUTED_VALUE"""),"strain")</f>
        <v>strain</v>
      </c>
      <c r="F720" t="str">
        <f>IFERROR(__xludf.DUMMYFUNCTION("""COMPUTED_VALUE"""),"AU17976")</f>
        <v>AU17976</v>
      </c>
    </row>
    <row r="721" ht="15.75" customHeight="1">
      <c r="A721" t="str">
        <f t="shared" si="1"/>
        <v>B.bronchialis</v>
      </c>
      <c r="B721" s="5" t="s">
        <v>752</v>
      </c>
      <c r="C721" s="6" t="str">
        <f>IFERROR(__xludf.DUMMYFUNCTION("SPLIT('2. c'!B721, "" "", True, True)"),"Bordetella")</f>
        <v>Bordetella</v>
      </c>
      <c r="D721" t="str">
        <f>IFERROR(__xludf.DUMMYFUNCTION("""COMPUTED_VALUE"""),"bronchialis")</f>
        <v>bronchialis</v>
      </c>
      <c r="E721" t="str">
        <f>IFERROR(__xludf.DUMMYFUNCTION("""COMPUTED_VALUE"""),"strain")</f>
        <v>strain</v>
      </c>
      <c r="F721" t="str">
        <f>IFERROR(__xludf.DUMMYFUNCTION("""COMPUTED_VALUE"""),"AU3182")</f>
        <v>AU3182</v>
      </c>
    </row>
    <row r="722" ht="15.75" customHeight="1">
      <c r="A722" t="str">
        <f t="shared" si="1"/>
        <v>B.bronchiseptica</v>
      </c>
      <c r="B722" s="5" t="s">
        <v>753</v>
      </c>
      <c r="C722" s="6" t="str">
        <f>IFERROR(__xludf.DUMMYFUNCTION("SPLIT('2. c'!B722, "" "", True, True)"),"Bordetella")</f>
        <v>Bordetella</v>
      </c>
      <c r="D722" t="str">
        <f>IFERROR(__xludf.DUMMYFUNCTION("""COMPUTED_VALUE"""),"bronchiseptica")</f>
        <v>bronchiseptica</v>
      </c>
      <c r="E722">
        <f>IFERROR(__xludf.DUMMYFUNCTION("""COMPUTED_VALUE"""),253.0)</f>
        <v>253</v>
      </c>
    </row>
    <row r="723" ht="15.75" customHeight="1">
      <c r="A723" t="str">
        <f t="shared" si="1"/>
        <v>B.bronchiseptica</v>
      </c>
      <c r="B723" s="5" t="s">
        <v>754</v>
      </c>
      <c r="C723" s="6" t="str">
        <f>IFERROR(__xludf.DUMMYFUNCTION("SPLIT('2. c'!B723, "" "", True, True)"),"Bordetella")</f>
        <v>Bordetella</v>
      </c>
      <c r="D723" t="str">
        <f>IFERROR(__xludf.DUMMYFUNCTION("""COMPUTED_VALUE"""),"bronchiseptica")</f>
        <v>bronchiseptica</v>
      </c>
      <c r="E723" t="str">
        <f>IFERROR(__xludf.DUMMYFUNCTION("""COMPUTED_VALUE"""),"MO149")</f>
        <v>MO149</v>
      </c>
    </row>
    <row r="724" ht="15.75" customHeight="1">
      <c r="A724" t="str">
        <f t="shared" si="1"/>
        <v>B.bronchiseptica</v>
      </c>
      <c r="B724" s="5" t="s">
        <v>755</v>
      </c>
      <c r="C724" s="6" t="str">
        <f>IFERROR(__xludf.DUMMYFUNCTION("SPLIT('2. c'!B724, "" "", True, True)"),"Bordetella")</f>
        <v>Bordetella</v>
      </c>
      <c r="D724" t="str">
        <f>IFERROR(__xludf.DUMMYFUNCTION("""COMPUTED_VALUE"""),"bronchiseptica")</f>
        <v>bronchiseptica</v>
      </c>
      <c r="E724" t="str">
        <f>IFERROR(__xludf.DUMMYFUNCTION("""COMPUTED_VALUE"""),"RB50")</f>
        <v>RB50</v>
      </c>
    </row>
    <row r="725" ht="15.75" customHeight="1">
      <c r="A725" t="str">
        <f t="shared" si="1"/>
        <v>B.bronchiseptica</v>
      </c>
      <c r="B725" s="5" t="s">
        <v>756</v>
      </c>
      <c r="C725" s="6" t="str">
        <f>IFERROR(__xludf.DUMMYFUNCTION("SPLIT('2. c'!B725, "" "", True, True)"),"Bordetella")</f>
        <v>Bordetella</v>
      </c>
      <c r="D725" t="str">
        <f>IFERROR(__xludf.DUMMYFUNCTION("""COMPUTED_VALUE"""),"bronchiseptica")</f>
        <v>bronchiseptica</v>
      </c>
      <c r="E725" t="str">
        <f>IFERROR(__xludf.DUMMYFUNCTION("""COMPUTED_VALUE"""),"S798")</f>
        <v>S798</v>
      </c>
    </row>
    <row r="726" ht="15.75" customHeight="1">
      <c r="A726" t="str">
        <f t="shared" si="1"/>
        <v>B.bronchiseptica</v>
      </c>
      <c r="B726" s="5" t="s">
        <v>757</v>
      </c>
      <c r="C726" s="6" t="str">
        <f>IFERROR(__xludf.DUMMYFUNCTION("SPLIT('2. c'!B726, "" "", True, True)"),"Bordetella")</f>
        <v>Bordetella</v>
      </c>
      <c r="D726" t="str">
        <f>IFERROR(__xludf.DUMMYFUNCTION("""COMPUTED_VALUE"""),"bronchiseptica")</f>
        <v>bronchiseptica</v>
      </c>
      <c r="E726" t="str">
        <f>IFERROR(__xludf.DUMMYFUNCTION("""COMPUTED_VALUE"""),"strain")</f>
        <v>strain</v>
      </c>
      <c r="F726" t="str">
        <f>IFERROR(__xludf.DUMMYFUNCTION("""COMPUTED_VALUE"""),"ATCC")</f>
        <v>ATCC</v>
      </c>
      <c r="G726">
        <f>IFERROR(__xludf.DUMMYFUNCTION("""COMPUTED_VALUE"""),10580.0)</f>
        <v>10580</v>
      </c>
    </row>
    <row r="727" ht="15.75" customHeight="1">
      <c r="A727" t="str">
        <f t="shared" si="1"/>
        <v>B.bronchiseptica</v>
      </c>
      <c r="B727" s="5" t="s">
        <v>758</v>
      </c>
      <c r="C727" s="6" t="str">
        <f>IFERROR(__xludf.DUMMYFUNCTION("SPLIT('2. c'!B727, "" "", True, True)"),"Bordetella")</f>
        <v>Bordetella</v>
      </c>
      <c r="D727" t="str">
        <f>IFERROR(__xludf.DUMMYFUNCTION("""COMPUTED_VALUE"""),"bronchiseptica")</f>
        <v>bronchiseptica</v>
      </c>
      <c r="E727" t="str">
        <f>IFERROR(__xludf.DUMMYFUNCTION("""COMPUTED_VALUE"""),"strain")</f>
        <v>strain</v>
      </c>
      <c r="F727" t="str">
        <f>IFERROR(__xludf.DUMMYFUNCTION("""COMPUTED_VALUE"""),"ATCC:BAA-588D-5")</f>
        <v>ATCC:BAA-588D-5</v>
      </c>
    </row>
    <row r="728" ht="15.75" customHeight="1">
      <c r="A728" t="str">
        <f t="shared" si="1"/>
        <v>B.flabilis</v>
      </c>
      <c r="B728" s="5" t="s">
        <v>759</v>
      </c>
      <c r="C728" s="6" t="str">
        <f>IFERROR(__xludf.DUMMYFUNCTION("SPLIT('2. c'!B728, "" "", True, True)"),"Bordetella")</f>
        <v>Bordetella</v>
      </c>
      <c r="D728" t="str">
        <f>IFERROR(__xludf.DUMMYFUNCTION("""COMPUTED_VALUE"""),"flabilis")</f>
        <v>flabilis</v>
      </c>
      <c r="E728" t="str">
        <f>IFERROR(__xludf.DUMMYFUNCTION("""COMPUTED_VALUE"""),"strain")</f>
        <v>strain</v>
      </c>
      <c r="F728" t="str">
        <f>IFERROR(__xludf.DUMMYFUNCTION("""COMPUTED_VALUE"""),"AU10664")</f>
        <v>AU10664</v>
      </c>
    </row>
    <row r="729" ht="15.75" customHeight="1">
      <c r="A729" t="str">
        <f t="shared" si="1"/>
        <v>B.hinzii</v>
      </c>
      <c r="B729" s="5" t="s">
        <v>760</v>
      </c>
      <c r="C729" s="6" t="str">
        <f>IFERROR(__xludf.DUMMYFUNCTION("SPLIT('2. c'!B729, "" "", True, True)"),"Bordetella")</f>
        <v>Bordetella</v>
      </c>
      <c r="D729" t="str">
        <f>IFERROR(__xludf.DUMMYFUNCTION("""COMPUTED_VALUE"""),"hinzii")</f>
        <v>hinzii</v>
      </c>
      <c r="E729" t="str">
        <f>IFERROR(__xludf.DUMMYFUNCTION("""COMPUTED_VALUE"""),"strain")</f>
        <v>strain</v>
      </c>
      <c r="F729" t="str">
        <f>IFERROR(__xludf.DUMMYFUNCTION("""COMPUTED_VALUE"""),"F582")</f>
        <v>F582</v>
      </c>
    </row>
    <row r="730" ht="15.75" customHeight="1">
      <c r="A730" t="str">
        <f t="shared" si="1"/>
        <v>B.hinzii</v>
      </c>
      <c r="B730" s="5" t="s">
        <v>761</v>
      </c>
      <c r="C730" s="6" t="str">
        <f>IFERROR(__xludf.DUMMYFUNCTION("SPLIT('2. c'!B730, "" "", True, True)"),"Bordetella")</f>
        <v>Bordetella</v>
      </c>
      <c r="D730" t="str">
        <f>IFERROR(__xludf.DUMMYFUNCTION("""COMPUTED_VALUE"""),"hinzii")</f>
        <v>hinzii</v>
      </c>
      <c r="E730" t="str">
        <f>IFERROR(__xludf.DUMMYFUNCTION("""COMPUTED_VALUE"""),"strain")</f>
        <v>strain</v>
      </c>
      <c r="F730" t="str">
        <f>IFERROR(__xludf.DUMMYFUNCTION("""COMPUTED_VALUE"""),"H568")</f>
        <v>H568</v>
      </c>
    </row>
    <row r="731" ht="15.75" customHeight="1">
      <c r="A731" t="str">
        <f t="shared" si="1"/>
        <v>B.holmesii</v>
      </c>
      <c r="B731" s="5" t="s">
        <v>762</v>
      </c>
      <c r="C731" s="6" t="str">
        <f>IFERROR(__xludf.DUMMYFUNCTION("SPLIT('2. c'!B731, "" "", True, True)"),"Bordetella")</f>
        <v>Bordetella</v>
      </c>
      <c r="D731" t="str">
        <f>IFERROR(__xludf.DUMMYFUNCTION("""COMPUTED_VALUE"""),"holmesii")</f>
        <v>holmesii</v>
      </c>
      <c r="E731">
        <f>IFERROR(__xludf.DUMMYFUNCTION("""COMPUTED_VALUE"""),44057.0)</f>
        <v>44057</v>
      </c>
    </row>
    <row r="732" ht="15.75" customHeight="1">
      <c r="A732" t="str">
        <f t="shared" si="1"/>
        <v>B.holmesii</v>
      </c>
      <c r="B732" s="5" t="s">
        <v>763</v>
      </c>
      <c r="C732" s="6" t="str">
        <f>IFERROR(__xludf.DUMMYFUNCTION("SPLIT('2. c'!B732, "" "", True, True)"),"Bordetella")</f>
        <v>Bordetella</v>
      </c>
      <c r="D732" t="str">
        <f>IFERROR(__xludf.DUMMYFUNCTION("""COMPUTED_VALUE"""),"holmesii")</f>
        <v>holmesii</v>
      </c>
      <c r="E732" t="str">
        <f>IFERROR(__xludf.DUMMYFUNCTION("""COMPUTED_VALUE"""),"ATCC")</f>
        <v>ATCC</v>
      </c>
      <c r="F732">
        <f>IFERROR(__xludf.DUMMYFUNCTION("""COMPUTED_VALUE"""),51541.0)</f>
        <v>51541</v>
      </c>
    </row>
    <row r="733" ht="15.75" customHeight="1">
      <c r="A733" t="str">
        <f t="shared" si="1"/>
        <v>B.parapertussis</v>
      </c>
      <c r="B733" s="5" t="s">
        <v>764</v>
      </c>
      <c r="C733" s="6" t="str">
        <f>IFERROR(__xludf.DUMMYFUNCTION("SPLIT('2. c'!B733, "" "", True, True)"),"Bordetella")</f>
        <v>Bordetella</v>
      </c>
      <c r="D733" t="str">
        <f>IFERROR(__xludf.DUMMYFUNCTION("""COMPUTED_VALUE"""),"parapertussis")</f>
        <v>parapertussis</v>
      </c>
      <c r="E733">
        <f>IFERROR(__xludf.DUMMYFUNCTION("""COMPUTED_VALUE"""),12822.0)</f>
        <v>12822</v>
      </c>
    </row>
    <row r="734" ht="15.75" customHeight="1">
      <c r="A734" t="str">
        <f t="shared" si="1"/>
        <v>B.parapertussis</v>
      </c>
      <c r="B734" s="5" t="s">
        <v>765</v>
      </c>
      <c r="C734" s="6" t="str">
        <f>IFERROR(__xludf.DUMMYFUNCTION("SPLIT('2. c'!B734, "" "", True, True)"),"Bordetella")</f>
        <v>Bordetella</v>
      </c>
      <c r="D734" t="str">
        <f>IFERROR(__xludf.DUMMYFUNCTION("""COMPUTED_VALUE"""),"parapertussis")</f>
        <v>parapertussis</v>
      </c>
      <c r="E734" t="str">
        <f>IFERROR(__xludf.DUMMYFUNCTION("""COMPUTED_VALUE"""),"Bpp5")</f>
        <v>Bpp5</v>
      </c>
    </row>
    <row r="735" ht="15.75" customHeight="1">
      <c r="A735" t="str">
        <f t="shared" si="1"/>
        <v>B.parapertussis</v>
      </c>
      <c r="B735" s="5" t="s">
        <v>766</v>
      </c>
      <c r="C735" s="6" t="str">
        <f>IFERROR(__xludf.DUMMYFUNCTION("SPLIT('2. c'!B735, "" "", True, True)"),"Bordetella")</f>
        <v>Bordetella</v>
      </c>
      <c r="D735" t="str">
        <f>IFERROR(__xludf.DUMMYFUNCTION("""COMPUTED_VALUE"""),"parapertussis")</f>
        <v>parapertussis</v>
      </c>
      <c r="E735" t="str">
        <f>IFERROR(__xludf.DUMMYFUNCTION("""COMPUTED_VALUE"""),"strain")</f>
        <v>strain</v>
      </c>
      <c r="F735" t="str">
        <f>IFERROR(__xludf.DUMMYFUNCTION("""COMPUTED_VALUE"""),"NCTC")</f>
        <v>NCTC</v>
      </c>
      <c r="G735">
        <f>IFERROR(__xludf.DUMMYFUNCTION("""COMPUTED_VALUE"""),5952.0)</f>
        <v>5952</v>
      </c>
    </row>
    <row r="736" ht="15.75" customHeight="1">
      <c r="A736" t="str">
        <f t="shared" si="1"/>
        <v>B.pertussis</v>
      </c>
      <c r="B736" s="5" t="s">
        <v>767</v>
      </c>
      <c r="C736" s="6" t="str">
        <f>IFERROR(__xludf.DUMMYFUNCTION("SPLIT('2. c'!B736, "" "", True, True)"),"Bordetella")</f>
        <v>Bordetella</v>
      </c>
      <c r="D736" t="str">
        <f>IFERROR(__xludf.DUMMYFUNCTION("""COMPUTED_VALUE"""),"pertussis")</f>
        <v>pertussis</v>
      </c>
    </row>
    <row r="737" ht="15.75" customHeight="1">
      <c r="A737" t="str">
        <f t="shared" si="1"/>
        <v>B.pertussis</v>
      </c>
      <c r="B737" s="5" t="s">
        <v>767</v>
      </c>
      <c r="C737" s="6" t="str">
        <f>IFERROR(__xludf.DUMMYFUNCTION("SPLIT('2. c'!B737, "" "", True, True)"),"Bordetella")</f>
        <v>Bordetella</v>
      </c>
      <c r="D737" t="str">
        <f>IFERROR(__xludf.DUMMYFUNCTION("""COMPUTED_VALUE"""),"pertussis")</f>
        <v>pertussis</v>
      </c>
    </row>
    <row r="738" ht="15.75" customHeight="1">
      <c r="A738" t="str">
        <f t="shared" si="1"/>
        <v>B.pertussis</v>
      </c>
      <c r="B738" s="5" t="s">
        <v>768</v>
      </c>
      <c r="C738" s="6" t="str">
        <f>IFERROR(__xludf.DUMMYFUNCTION("SPLIT('2. c'!B738, "" "", True, True)"),"Bordetella")</f>
        <v>Bordetella</v>
      </c>
      <c r="D738" t="str">
        <f>IFERROR(__xludf.DUMMYFUNCTION("""COMPUTED_VALUE"""),"pertussis")</f>
        <v>pertussis</v>
      </c>
      <c r="E738">
        <f>IFERROR(__xludf.DUMMYFUNCTION("""COMPUTED_VALUE"""),137.0)</f>
        <v>137</v>
      </c>
    </row>
    <row r="739" ht="15.75" customHeight="1">
      <c r="A739" t="str">
        <f t="shared" si="1"/>
        <v>B.pertussis</v>
      </c>
      <c r="B739" s="5" t="s">
        <v>769</v>
      </c>
      <c r="C739" s="6" t="str">
        <f>IFERROR(__xludf.DUMMYFUNCTION("SPLIT('2. c'!B739, "" "", True, True)"),"Bordetella")</f>
        <v>Bordetella</v>
      </c>
      <c r="D739" t="str">
        <f>IFERROR(__xludf.DUMMYFUNCTION("""COMPUTED_VALUE"""),"pertussis")</f>
        <v>pertussis</v>
      </c>
      <c r="E739">
        <f>IFERROR(__xludf.DUMMYFUNCTION("""COMPUTED_VALUE"""),18323.0)</f>
        <v>18323</v>
      </c>
    </row>
    <row r="740" ht="15.75" customHeight="1">
      <c r="A740" t="str">
        <f t="shared" si="1"/>
        <v>B.pertussis</v>
      </c>
      <c r="B740" s="5" t="s">
        <v>770</v>
      </c>
      <c r="C740" s="6" t="str">
        <f>IFERROR(__xludf.DUMMYFUNCTION("SPLIT('2. c'!B740, "" "", True, True)"),"Bordetella")</f>
        <v>Bordetella</v>
      </c>
      <c r="D740" t="str">
        <f>IFERROR(__xludf.DUMMYFUNCTION("""COMPUTED_VALUE"""),"pertussis")</f>
        <v>pertussis</v>
      </c>
      <c r="E740" t="str">
        <f>IFERROR(__xludf.DUMMYFUNCTION("""COMPUTED_VALUE"""),"CS")</f>
        <v>CS</v>
      </c>
    </row>
    <row r="741" ht="15.75" customHeight="1">
      <c r="A741" t="str">
        <f t="shared" si="1"/>
        <v>B.pertussis</v>
      </c>
      <c r="B741" s="5" t="s">
        <v>771</v>
      </c>
      <c r="C741" s="6" t="str">
        <f>IFERROR(__xludf.DUMMYFUNCTION("SPLIT('2. c'!B741, "" "", True, True)"),"Bordetella")</f>
        <v>Bordetella</v>
      </c>
      <c r="D741" t="str">
        <f>IFERROR(__xludf.DUMMYFUNCTION("""COMPUTED_VALUE"""),"pertussis")</f>
        <v>pertussis</v>
      </c>
      <c r="E741" t="str">
        <f>IFERROR(__xludf.DUMMYFUNCTION("""COMPUTED_VALUE"""),"strain")</f>
        <v>strain</v>
      </c>
      <c r="F741" t="str">
        <f>IFERROR(__xludf.DUMMYFUNCTION("""COMPUTED_VALUE"""),"ATCC:BAA-1335D-5")</f>
        <v>ATCC:BAA-1335D-5</v>
      </c>
    </row>
    <row r="742" ht="15.75" customHeight="1">
      <c r="A742" t="str">
        <f t="shared" si="1"/>
        <v>B.pertussis</v>
      </c>
      <c r="B742" s="5" t="s">
        <v>772</v>
      </c>
      <c r="C742" s="6" t="str">
        <f>IFERROR(__xludf.DUMMYFUNCTION("SPLIT('2. c'!B742, "" "", True, True)"),"Bordetella")</f>
        <v>Bordetella</v>
      </c>
      <c r="D742" t="str">
        <f>IFERROR(__xludf.DUMMYFUNCTION("""COMPUTED_VALUE"""),"pertussis")</f>
        <v>pertussis</v>
      </c>
      <c r="E742" t="str">
        <f>IFERROR(__xludf.DUMMYFUNCTION("""COMPUTED_VALUE"""),"strain")</f>
        <v>strain</v>
      </c>
      <c r="F742" t="str">
        <f>IFERROR(__xludf.DUMMYFUNCTION("""COMPUTED_VALUE"""),"B1838")</f>
        <v>B1838</v>
      </c>
    </row>
    <row r="743" ht="15.75" customHeight="1">
      <c r="A743" t="str">
        <f t="shared" si="1"/>
        <v>B.pertussis</v>
      </c>
      <c r="B743" s="5" t="s">
        <v>773</v>
      </c>
      <c r="C743" s="6" t="str">
        <f>IFERROR(__xludf.DUMMYFUNCTION("SPLIT('2. c'!B743, "" "", True, True)"),"Bordetella")</f>
        <v>Bordetella</v>
      </c>
      <c r="D743" t="str">
        <f>IFERROR(__xludf.DUMMYFUNCTION("""COMPUTED_VALUE"""),"pertussis")</f>
        <v>pertussis</v>
      </c>
      <c r="E743" t="str">
        <f>IFERROR(__xludf.DUMMYFUNCTION("""COMPUTED_VALUE"""),"strain")</f>
        <v>strain</v>
      </c>
      <c r="F743" t="str">
        <f>IFERROR(__xludf.DUMMYFUNCTION("""COMPUTED_VALUE"""),"B1865")</f>
        <v>B1865</v>
      </c>
    </row>
    <row r="744" ht="15.75" customHeight="1">
      <c r="A744" t="str">
        <f t="shared" si="1"/>
        <v>B.pertussis</v>
      </c>
      <c r="B744" s="5" t="s">
        <v>774</v>
      </c>
      <c r="C744" s="6" t="str">
        <f>IFERROR(__xludf.DUMMYFUNCTION("SPLIT('2. c'!B744, "" "", True, True)"),"Bordetella")</f>
        <v>Bordetella</v>
      </c>
      <c r="D744" t="str">
        <f>IFERROR(__xludf.DUMMYFUNCTION("""COMPUTED_VALUE"""),"pertussis")</f>
        <v>pertussis</v>
      </c>
      <c r="E744" t="str">
        <f>IFERROR(__xludf.DUMMYFUNCTION("""COMPUTED_VALUE"""),"strain")</f>
        <v>strain</v>
      </c>
      <c r="F744" t="str">
        <f>IFERROR(__xludf.DUMMYFUNCTION("""COMPUTED_VALUE"""),"B3405")</f>
        <v>B3405</v>
      </c>
    </row>
    <row r="745" ht="15.75" customHeight="1">
      <c r="A745" t="str">
        <f t="shared" si="1"/>
        <v>B.pertussis</v>
      </c>
      <c r="B745" s="5" t="s">
        <v>775</v>
      </c>
      <c r="C745" s="6" t="str">
        <f>IFERROR(__xludf.DUMMYFUNCTION("SPLIT('2. c'!B745, "" "", True, True)"),"Bordetella")</f>
        <v>Bordetella</v>
      </c>
      <c r="D745" t="str">
        <f>IFERROR(__xludf.DUMMYFUNCTION("""COMPUTED_VALUE"""),"pertussis")</f>
        <v>pertussis</v>
      </c>
      <c r="E745" t="str">
        <f>IFERROR(__xludf.DUMMYFUNCTION("""COMPUTED_VALUE"""),"strain")</f>
        <v>strain</v>
      </c>
      <c r="F745" t="str">
        <f>IFERROR(__xludf.DUMMYFUNCTION("""COMPUTED_VALUE"""),"B3582")</f>
        <v>B3582</v>
      </c>
    </row>
    <row r="746" ht="15.75" customHeight="1">
      <c r="A746" t="str">
        <f t="shared" si="1"/>
        <v>B.pertussis</v>
      </c>
      <c r="B746" s="5" t="s">
        <v>776</v>
      </c>
      <c r="C746" s="6" t="str">
        <f>IFERROR(__xludf.DUMMYFUNCTION("SPLIT('2. c'!B746, "" "", True, True)"),"Bordetella")</f>
        <v>Bordetella</v>
      </c>
      <c r="D746" t="str">
        <f>IFERROR(__xludf.DUMMYFUNCTION("""COMPUTED_VALUE"""),"pertussis")</f>
        <v>pertussis</v>
      </c>
      <c r="E746" t="str">
        <f>IFERROR(__xludf.DUMMYFUNCTION("""COMPUTED_VALUE"""),"strain")</f>
        <v>strain</v>
      </c>
      <c r="F746" t="str">
        <f>IFERROR(__xludf.DUMMYFUNCTION("""COMPUTED_VALUE"""),"B3585")</f>
        <v>B3585</v>
      </c>
    </row>
    <row r="747" ht="15.75" customHeight="1">
      <c r="A747" t="str">
        <f t="shared" si="1"/>
        <v>B.pertussis</v>
      </c>
      <c r="B747" s="5" t="s">
        <v>777</v>
      </c>
      <c r="C747" s="6" t="str">
        <f>IFERROR(__xludf.DUMMYFUNCTION("SPLIT('2. c'!B747, "" "", True, True)"),"Bordetella")</f>
        <v>Bordetella</v>
      </c>
      <c r="D747" t="str">
        <f>IFERROR(__xludf.DUMMYFUNCTION("""COMPUTED_VALUE"""),"pertussis")</f>
        <v>pertussis</v>
      </c>
      <c r="E747" t="str">
        <f>IFERROR(__xludf.DUMMYFUNCTION("""COMPUTED_VALUE"""),"strain")</f>
        <v>strain</v>
      </c>
      <c r="F747" t="str">
        <f>IFERROR(__xludf.DUMMYFUNCTION("""COMPUTED_VALUE"""),"B3621")</f>
        <v>B3621</v>
      </c>
    </row>
    <row r="748" ht="15.75" customHeight="1">
      <c r="A748" t="str">
        <f t="shared" si="1"/>
        <v>B.pertussis</v>
      </c>
      <c r="B748" s="5" t="s">
        <v>778</v>
      </c>
      <c r="C748" s="6" t="str">
        <f>IFERROR(__xludf.DUMMYFUNCTION("SPLIT('2. c'!B748, "" "", True, True)"),"Bordetella")</f>
        <v>Bordetella</v>
      </c>
      <c r="D748" t="str">
        <f>IFERROR(__xludf.DUMMYFUNCTION("""COMPUTED_VALUE"""),"pertussis")</f>
        <v>pertussis</v>
      </c>
      <c r="E748" t="str">
        <f>IFERROR(__xludf.DUMMYFUNCTION("""COMPUTED_VALUE"""),"strain")</f>
        <v>strain</v>
      </c>
      <c r="F748" t="str">
        <f>IFERROR(__xludf.DUMMYFUNCTION("""COMPUTED_VALUE"""),"B3629")</f>
        <v>B3629</v>
      </c>
    </row>
    <row r="749" ht="15.75" customHeight="1">
      <c r="A749" t="str">
        <f t="shared" si="1"/>
        <v>B.pertussis</v>
      </c>
      <c r="B749" s="5" t="s">
        <v>779</v>
      </c>
      <c r="C749" s="6" t="str">
        <f>IFERROR(__xludf.DUMMYFUNCTION("SPLIT('2. c'!B749, "" "", True, True)"),"Bordetella")</f>
        <v>Bordetella</v>
      </c>
      <c r="D749" t="str">
        <f>IFERROR(__xludf.DUMMYFUNCTION("""COMPUTED_VALUE"""),"pertussis")</f>
        <v>pertussis</v>
      </c>
      <c r="E749" t="str">
        <f>IFERROR(__xludf.DUMMYFUNCTION("""COMPUTED_VALUE"""),"strain")</f>
        <v>strain</v>
      </c>
      <c r="F749" t="str">
        <f>IFERROR(__xludf.DUMMYFUNCTION("""COMPUTED_VALUE"""),"B3640")</f>
        <v>B3640</v>
      </c>
    </row>
    <row r="750" ht="15.75" customHeight="1">
      <c r="A750" t="str">
        <f t="shared" si="1"/>
        <v>B.pertussis</v>
      </c>
      <c r="B750" s="5" t="s">
        <v>780</v>
      </c>
      <c r="C750" s="6" t="str">
        <f>IFERROR(__xludf.DUMMYFUNCTION("SPLIT('2. c'!B750, "" "", True, True)"),"Bordetella")</f>
        <v>Bordetella</v>
      </c>
      <c r="D750" t="str">
        <f>IFERROR(__xludf.DUMMYFUNCTION("""COMPUTED_VALUE"""),"pertussis")</f>
        <v>pertussis</v>
      </c>
      <c r="E750" t="str">
        <f>IFERROR(__xludf.DUMMYFUNCTION("""COMPUTED_VALUE"""),"strain")</f>
        <v>strain</v>
      </c>
      <c r="F750" t="str">
        <f>IFERROR(__xludf.DUMMYFUNCTION("""COMPUTED_VALUE"""),"B3658")</f>
        <v>B3658</v>
      </c>
    </row>
    <row r="751" ht="15.75" customHeight="1">
      <c r="A751" t="str">
        <f t="shared" si="1"/>
        <v>B.pertussis</v>
      </c>
      <c r="B751" s="5" t="s">
        <v>781</v>
      </c>
      <c r="C751" s="6" t="str">
        <f>IFERROR(__xludf.DUMMYFUNCTION("SPLIT('2. c'!B751, "" "", True, True)"),"Bordetella")</f>
        <v>Bordetella</v>
      </c>
      <c r="D751" t="str">
        <f>IFERROR(__xludf.DUMMYFUNCTION("""COMPUTED_VALUE"""),"pertussis")</f>
        <v>pertussis</v>
      </c>
      <c r="E751" t="str">
        <f>IFERROR(__xludf.DUMMYFUNCTION("""COMPUTED_VALUE"""),"strain")</f>
        <v>strain</v>
      </c>
      <c r="F751" t="str">
        <f>IFERROR(__xludf.DUMMYFUNCTION("""COMPUTED_VALUE"""),"B3913")</f>
        <v>B3913</v>
      </c>
    </row>
    <row r="752" ht="15.75" customHeight="1">
      <c r="A752" t="str">
        <f t="shared" si="1"/>
        <v>B.pertussis</v>
      </c>
      <c r="B752" s="5" t="s">
        <v>782</v>
      </c>
      <c r="C752" s="6" t="str">
        <f>IFERROR(__xludf.DUMMYFUNCTION("SPLIT('2. c'!B752, "" "", True, True)"),"Bordetella")</f>
        <v>Bordetella</v>
      </c>
      <c r="D752" t="str">
        <f>IFERROR(__xludf.DUMMYFUNCTION("""COMPUTED_VALUE"""),"pertussis")</f>
        <v>pertussis</v>
      </c>
      <c r="E752" t="str">
        <f>IFERROR(__xludf.DUMMYFUNCTION("""COMPUTED_VALUE"""),"strain")</f>
        <v>strain</v>
      </c>
      <c r="F752" t="str">
        <f>IFERROR(__xludf.DUMMYFUNCTION("""COMPUTED_VALUE"""),"B3921")</f>
        <v>B3921</v>
      </c>
    </row>
    <row r="753" ht="15.75" customHeight="1">
      <c r="A753" t="str">
        <f t="shared" si="1"/>
        <v>B.pertussis</v>
      </c>
      <c r="B753" s="5" t="s">
        <v>783</v>
      </c>
      <c r="C753" s="6" t="str">
        <f>IFERROR(__xludf.DUMMYFUNCTION("SPLIT('2. c'!B753, "" "", True, True)"),"Bordetella")</f>
        <v>Bordetella</v>
      </c>
      <c r="D753" t="str">
        <f>IFERROR(__xludf.DUMMYFUNCTION("""COMPUTED_VALUE"""),"pertussis")</f>
        <v>pertussis</v>
      </c>
      <c r="E753" t="str">
        <f>IFERROR(__xludf.DUMMYFUNCTION("""COMPUTED_VALUE"""),"strain")</f>
        <v>strain</v>
      </c>
      <c r="F753" t="str">
        <f>IFERROR(__xludf.DUMMYFUNCTION("""COMPUTED_VALUE"""),"C393")</f>
        <v>C393</v>
      </c>
    </row>
    <row r="754" ht="15.75" customHeight="1">
      <c r="A754" t="str">
        <f t="shared" si="1"/>
        <v>B.pertussis</v>
      </c>
      <c r="B754" s="5" t="s">
        <v>784</v>
      </c>
      <c r="C754" s="6" t="str">
        <f>IFERROR(__xludf.DUMMYFUNCTION("SPLIT('2. c'!B754, "" "", True, True)"),"Bordetella")</f>
        <v>Bordetella</v>
      </c>
      <c r="D754" t="str">
        <f>IFERROR(__xludf.DUMMYFUNCTION("""COMPUTED_VALUE"""),"pertussis")</f>
        <v>pertussis</v>
      </c>
      <c r="E754" t="str">
        <f>IFERROR(__xludf.DUMMYFUNCTION("""COMPUTED_VALUE"""),"strain")</f>
        <v>strain</v>
      </c>
      <c r="F754" t="str">
        <f>IFERROR(__xludf.DUMMYFUNCTION("""COMPUTED_VALUE"""),"D420")</f>
        <v>D420</v>
      </c>
    </row>
    <row r="755" ht="15.75" customHeight="1">
      <c r="A755" t="str">
        <f t="shared" si="1"/>
        <v>B.pertussis</v>
      </c>
      <c r="B755" s="5" t="s">
        <v>785</v>
      </c>
      <c r="C755" s="6" t="str">
        <f>IFERROR(__xludf.DUMMYFUNCTION("SPLIT('2. c'!B755, "" "", True, True)"),"Bordetella")</f>
        <v>Bordetella</v>
      </c>
      <c r="D755" t="str">
        <f>IFERROR(__xludf.DUMMYFUNCTION("""COMPUTED_VALUE"""),"pertussis")</f>
        <v>pertussis</v>
      </c>
      <c r="E755" t="str">
        <f>IFERROR(__xludf.DUMMYFUNCTION("""COMPUTED_VALUE"""),"strain")</f>
        <v>strain</v>
      </c>
      <c r="F755" t="str">
        <f>IFERROR(__xludf.DUMMYFUNCTION("""COMPUTED_VALUE"""),"E476")</f>
        <v>E476</v>
      </c>
    </row>
    <row r="756" ht="15.75" customHeight="1">
      <c r="A756" t="str">
        <f t="shared" si="1"/>
        <v>B.pertussis</v>
      </c>
      <c r="B756" s="5" t="s">
        <v>786</v>
      </c>
      <c r="C756" s="6" t="str">
        <f>IFERROR(__xludf.DUMMYFUNCTION("SPLIT('2. c'!B756, "" "", True, True)"),"Bordetella")</f>
        <v>Bordetella</v>
      </c>
      <c r="D756" t="str">
        <f>IFERROR(__xludf.DUMMYFUNCTION("""COMPUTED_VALUE"""),"pertussis")</f>
        <v>pertussis</v>
      </c>
      <c r="E756" t="str">
        <f>IFERROR(__xludf.DUMMYFUNCTION("""COMPUTED_VALUE"""),"strain")</f>
        <v>strain</v>
      </c>
      <c r="F756" t="str">
        <f>IFERROR(__xludf.DUMMYFUNCTION("""COMPUTED_VALUE"""),"H374")</f>
        <v>H374</v>
      </c>
    </row>
    <row r="757" ht="15.75" customHeight="1">
      <c r="A757" t="str">
        <f t="shared" si="1"/>
        <v>B.pertussis</v>
      </c>
      <c r="B757" s="5" t="s">
        <v>787</v>
      </c>
      <c r="C757" s="6" t="str">
        <f>IFERROR(__xludf.DUMMYFUNCTION("SPLIT('2. c'!B757, "" "", True, True)"),"Bordetella")</f>
        <v>Bordetella</v>
      </c>
      <c r="D757" t="str">
        <f>IFERROR(__xludf.DUMMYFUNCTION("""COMPUTED_VALUE"""),"pertussis")</f>
        <v>pertussis</v>
      </c>
      <c r="E757" t="str">
        <f>IFERROR(__xludf.DUMMYFUNCTION("""COMPUTED_VALUE"""),"strain")</f>
        <v>strain</v>
      </c>
      <c r="F757" t="str">
        <f>IFERROR(__xludf.DUMMYFUNCTION("""COMPUTED_VALUE"""),"H375")</f>
        <v>H375</v>
      </c>
    </row>
    <row r="758" ht="15.75" customHeight="1">
      <c r="A758" t="str">
        <f t="shared" si="1"/>
        <v>B.pertussis</v>
      </c>
      <c r="B758" s="5" t="s">
        <v>788</v>
      </c>
      <c r="C758" s="6" t="str">
        <f>IFERROR(__xludf.DUMMYFUNCTION("SPLIT('2. c'!B758, "" "", True, True)"),"Bordetella")</f>
        <v>Bordetella</v>
      </c>
      <c r="D758" t="str">
        <f>IFERROR(__xludf.DUMMYFUNCTION("""COMPUTED_VALUE"""),"pertussis")</f>
        <v>pertussis</v>
      </c>
      <c r="E758" t="str">
        <f>IFERROR(__xludf.DUMMYFUNCTION("""COMPUTED_VALUE"""),"strain")</f>
        <v>strain</v>
      </c>
      <c r="F758" t="str">
        <f>IFERROR(__xludf.DUMMYFUNCTION("""COMPUTED_VALUE"""),"H378")</f>
        <v>H378</v>
      </c>
    </row>
    <row r="759" ht="15.75" customHeight="1">
      <c r="A759" t="str">
        <f t="shared" si="1"/>
        <v>B.pertussis</v>
      </c>
      <c r="B759" s="5" t="s">
        <v>789</v>
      </c>
      <c r="C759" s="6" t="str">
        <f>IFERROR(__xludf.DUMMYFUNCTION("SPLIT('2. c'!B759, "" "", True, True)"),"Bordetella")</f>
        <v>Bordetella</v>
      </c>
      <c r="D759" t="str">
        <f>IFERROR(__xludf.DUMMYFUNCTION("""COMPUTED_VALUE"""),"pertussis")</f>
        <v>pertussis</v>
      </c>
      <c r="E759" t="str">
        <f>IFERROR(__xludf.DUMMYFUNCTION("""COMPUTED_VALUE"""),"strain")</f>
        <v>strain</v>
      </c>
      <c r="F759" t="str">
        <f>IFERROR(__xludf.DUMMYFUNCTION("""COMPUTED_VALUE"""),"H379")</f>
        <v>H379</v>
      </c>
    </row>
    <row r="760" ht="15.75" customHeight="1">
      <c r="A760" t="str">
        <f t="shared" si="1"/>
        <v>B.pertussis</v>
      </c>
      <c r="B760" s="5" t="s">
        <v>790</v>
      </c>
      <c r="C760" s="6" t="str">
        <f>IFERROR(__xludf.DUMMYFUNCTION("SPLIT('2. c'!B760, "" "", True, True)"),"Bordetella")</f>
        <v>Bordetella</v>
      </c>
      <c r="D760" t="str">
        <f>IFERROR(__xludf.DUMMYFUNCTION("""COMPUTED_VALUE"""),"pertussis")</f>
        <v>pertussis</v>
      </c>
      <c r="E760" t="str">
        <f>IFERROR(__xludf.DUMMYFUNCTION("""COMPUTED_VALUE"""),"strain")</f>
        <v>strain</v>
      </c>
      <c r="F760" t="str">
        <f>IFERROR(__xludf.DUMMYFUNCTION("""COMPUTED_VALUE"""),"H380")</f>
        <v>H380</v>
      </c>
    </row>
    <row r="761" ht="15.75" customHeight="1">
      <c r="A761" t="str">
        <f t="shared" si="1"/>
        <v>B.pertussis</v>
      </c>
      <c r="B761" s="5" t="s">
        <v>791</v>
      </c>
      <c r="C761" s="6" t="str">
        <f>IFERROR(__xludf.DUMMYFUNCTION("SPLIT('2. c'!B761, "" "", True, True)"),"Bordetella")</f>
        <v>Bordetella</v>
      </c>
      <c r="D761" t="str">
        <f>IFERROR(__xludf.DUMMYFUNCTION("""COMPUTED_VALUE"""),"pertussis")</f>
        <v>pertussis</v>
      </c>
      <c r="E761" t="str">
        <f>IFERROR(__xludf.DUMMYFUNCTION("""COMPUTED_VALUE"""),"strain")</f>
        <v>strain</v>
      </c>
      <c r="F761" t="str">
        <f>IFERROR(__xludf.DUMMYFUNCTION("""COMPUTED_VALUE"""),"H489")</f>
        <v>H489</v>
      </c>
    </row>
    <row r="762" ht="15.75" customHeight="1">
      <c r="A762" t="str">
        <f t="shared" si="1"/>
        <v>B.pertussis</v>
      </c>
      <c r="B762" s="5" t="s">
        <v>792</v>
      </c>
      <c r="C762" s="6" t="str">
        <f>IFERROR(__xludf.DUMMYFUNCTION("SPLIT('2. c'!B762, "" "", True, True)"),"Bordetella")</f>
        <v>Bordetella</v>
      </c>
      <c r="D762" t="str">
        <f>IFERROR(__xludf.DUMMYFUNCTION("""COMPUTED_VALUE"""),"pertussis")</f>
        <v>pertussis</v>
      </c>
      <c r="E762" t="str">
        <f>IFERROR(__xludf.DUMMYFUNCTION("""COMPUTED_VALUE"""),"strain")</f>
        <v>strain</v>
      </c>
      <c r="F762" t="str">
        <f>IFERROR(__xludf.DUMMYFUNCTION("""COMPUTED_VALUE"""),"H542")</f>
        <v>H542</v>
      </c>
    </row>
    <row r="763" ht="15.75" customHeight="1">
      <c r="A763" t="str">
        <f t="shared" si="1"/>
        <v>B.pertussis</v>
      </c>
      <c r="B763" s="5" t="s">
        <v>793</v>
      </c>
      <c r="C763" s="6" t="str">
        <f>IFERROR(__xludf.DUMMYFUNCTION("SPLIT('2. c'!B763, "" "", True, True)"),"Bordetella")</f>
        <v>Bordetella</v>
      </c>
      <c r="D763" t="str">
        <f>IFERROR(__xludf.DUMMYFUNCTION("""COMPUTED_VALUE"""),"pertussis")</f>
        <v>pertussis</v>
      </c>
      <c r="E763" t="str">
        <f>IFERROR(__xludf.DUMMYFUNCTION("""COMPUTED_VALUE"""),"strain")</f>
        <v>strain</v>
      </c>
      <c r="F763" t="str">
        <f>IFERROR(__xludf.DUMMYFUNCTION("""COMPUTED_VALUE"""),"H559")</f>
        <v>H559</v>
      </c>
    </row>
    <row r="764" ht="15.75" customHeight="1">
      <c r="A764" t="str">
        <f t="shared" si="1"/>
        <v>B.pertussis</v>
      </c>
      <c r="B764" s="5" t="s">
        <v>794</v>
      </c>
      <c r="C764" s="6" t="str">
        <f>IFERROR(__xludf.DUMMYFUNCTION("SPLIT('2. c'!B764, "" "", True, True)"),"Bordetella")</f>
        <v>Bordetella</v>
      </c>
      <c r="D764" t="str">
        <f>IFERROR(__xludf.DUMMYFUNCTION("""COMPUTED_VALUE"""),"pertussis")</f>
        <v>pertussis</v>
      </c>
      <c r="E764" t="str">
        <f>IFERROR(__xludf.DUMMYFUNCTION("""COMPUTED_VALUE"""),"strain")</f>
        <v>strain</v>
      </c>
      <c r="F764" t="str">
        <f>IFERROR(__xludf.DUMMYFUNCTION("""COMPUTED_VALUE"""),"H561")</f>
        <v>H561</v>
      </c>
    </row>
    <row r="765" ht="15.75" customHeight="1">
      <c r="A765" t="str">
        <f t="shared" si="1"/>
        <v>B.pertussis</v>
      </c>
      <c r="B765" s="5" t="s">
        <v>795</v>
      </c>
      <c r="C765" s="6" t="str">
        <f>IFERROR(__xludf.DUMMYFUNCTION("SPLIT('2. c'!B765, "" "", True, True)"),"Bordetella")</f>
        <v>Bordetella</v>
      </c>
      <c r="D765" t="str">
        <f>IFERROR(__xludf.DUMMYFUNCTION("""COMPUTED_VALUE"""),"pertussis")</f>
        <v>pertussis</v>
      </c>
      <c r="E765" t="str">
        <f>IFERROR(__xludf.DUMMYFUNCTION("""COMPUTED_VALUE"""),"strain")</f>
        <v>strain</v>
      </c>
      <c r="F765" t="str">
        <f>IFERROR(__xludf.DUMMYFUNCTION("""COMPUTED_VALUE"""),"H563")</f>
        <v>H563</v>
      </c>
    </row>
    <row r="766" ht="15.75" customHeight="1">
      <c r="A766" t="str">
        <f t="shared" si="1"/>
        <v>B.pertussis</v>
      </c>
      <c r="B766" s="5" t="s">
        <v>796</v>
      </c>
      <c r="C766" s="6" t="str">
        <f>IFERROR(__xludf.DUMMYFUNCTION("SPLIT('2. c'!B766, "" "", True, True)"),"Bordetella")</f>
        <v>Bordetella</v>
      </c>
      <c r="D766" t="str">
        <f>IFERROR(__xludf.DUMMYFUNCTION("""COMPUTED_VALUE"""),"pertussis")</f>
        <v>pertussis</v>
      </c>
      <c r="E766" t="str">
        <f>IFERROR(__xludf.DUMMYFUNCTION("""COMPUTED_VALUE"""),"strain")</f>
        <v>strain</v>
      </c>
      <c r="F766" t="str">
        <f>IFERROR(__xludf.DUMMYFUNCTION("""COMPUTED_VALUE"""),"H564")</f>
        <v>H564</v>
      </c>
    </row>
    <row r="767" ht="15.75" customHeight="1">
      <c r="A767" t="str">
        <f t="shared" si="1"/>
        <v>B.pertussis</v>
      </c>
      <c r="B767" s="5" t="s">
        <v>797</v>
      </c>
      <c r="C767" s="6" t="str">
        <f>IFERROR(__xludf.DUMMYFUNCTION("SPLIT('2. c'!B767, "" "", True, True)"),"Bordetella")</f>
        <v>Bordetella</v>
      </c>
      <c r="D767" t="str">
        <f>IFERROR(__xludf.DUMMYFUNCTION("""COMPUTED_VALUE"""),"pertussis")</f>
        <v>pertussis</v>
      </c>
      <c r="E767" t="str">
        <f>IFERROR(__xludf.DUMMYFUNCTION("""COMPUTED_VALUE"""),"strain")</f>
        <v>strain</v>
      </c>
      <c r="F767" t="str">
        <f>IFERROR(__xludf.DUMMYFUNCTION("""COMPUTED_VALUE"""),"H622")</f>
        <v>H622</v>
      </c>
    </row>
    <row r="768" ht="15.75" customHeight="1">
      <c r="A768" t="str">
        <f t="shared" si="1"/>
        <v>B.pertussis</v>
      </c>
      <c r="B768" s="5" t="s">
        <v>798</v>
      </c>
      <c r="C768" s="6" t="str">
        <f>IFERROR(__xludf.DUMMYFUNCTION("SPLIT('2. c'!B768, "" "", True, True)"),"Bordetella")</f>
        <v>Bordetella</v>
      </c>
      <c r="D768" t="str">
        <f>IFERROR(__xludf.DUMMYFUNCTION("""COMPUTED_VALUE"""),"pertussis")</f>
        <v>pertussis</v>
      </c>
      <c r="E768" t="str">
        <f>IFERROR(__xludf.DUMMYFUNCTION("""COMPUTED_VALUE"""),"strain")</f>
        <v>strain</v>
      </c>
      <c r="F768" t="str">
        <f>IFERROR(__xludf.DUMMYFUNCTION("""COMPUTED_VALUE"""),"H627")</f>
        <v>H627</v>
      </c>
    </row>
    <row r="769" ht="15.75" customHeight="1">
      <c r="A769" t="str">
        <f t="shared" si="1"/>
        <v>B.pertussis</v>
      </c>
      <c r="B769" s="5" t="s">
        <v>799</v>
      </c>
      <c r="C769" s="6" t="str">
        <f>IFERROR(__xludf.DUMMYFUNCTION("SPLIT('2. c'!B769, "" "", True, True)"),"Bordetella")</f>
        <v>Bordetella</v>
      </c>
      <c r="D769" t="str">
        <f>IFERROR(__xludf.DUMMYFUNCTION("""COMPUTED_VALUE"""),"pertussis")</f>
        <v>pertussis</v>
      </c>
      <c r="E769" t="str">
        <f>IFERROR(__xludf.DUMMYFUNCTION("""COMPUTED_VALUE"""),"strain")</f>
        <v>strain</v>
      </c>
      <c r="F769" t="str">
        <f>IFERROR(__xludf.DUMMYFUNCTION("""COMPUTED_VALUE"""),"H788")</f>
        <v>H788</v>
      </c>
    </row>
    <row r="770" ht="15.75" customHeight="1">
      <c r="A770" t="str">
        <f t="shared" si="1"/>
        <v>B.pertussis</v>
      </c>
      <c r="B770" s="5" t="s">
        <v>800</v>
      </c>
      <c r="C770" s="6" t="str">
        <f>IFERROR(__xludf.DUMMYFUNCTION("SPLIT('2. c'!B770, "" "", True, True)"),"Bordetella")</f>
        <v>Bordetella</v>
      </c>
      <c r="D770" t="str">
        <f>IFERROR(__xludf.DUMMYFUNCTION("""COMPUTED_VALUE"""),"pertussis")</f>
        <v>pertussis</v>
      </c>
      <c r="E770" t="str">
        <f>IFERROR(__xludf.DUMMYFUNCTION("""COMPUTED_VALUE"""),"strain")</f>
        <v>strain</v>
      </c>
      <c r="F770" t="str">
        <f>IFERROR(__xludf.DUMMYFUNCTION("""COMPUTED_VALUE"""),"I344")</f>
        <v>I344</v>
      </c>
    </row>
    <row r="771" ht="15.75" customHeight="1">
      <c r="A771" t="str">
        <f t="shared" si="1"/>
        <v>B.pertussis</v>
      </c>
      <c r="B771" s="5" t="s">
        <v>801</v>
      </c>
      <c r="C771" s="6" t="str">
        <f>IFERROR(__xludf.DUMMYFUNCTION("SPLIT('2. c'!B771, "" "", True, True)"),"Bordetella")</f>
        <v>Bordetella</v>
      </c>
      <c r="D771" t="str">
        <f>IFERROR(__xludf.DUMMYFUNCTION("""COMPUTED_VALUE"""),"pertussis")</f>
        <v>pertussis</v>
      </c>
      <c r="E771" t="str">
        <f>IFERROR(__xludf.DUMMYFUNCTION("""COMPUTED_VALUE"""),"strain")</f>
        <v>strain</v>
      </c>
      <c r="F771" t="str">
        <f>IFERROR(__xludf.DUMMYFUNCTION("""COMPUTED_VALUE"""),"I468")</f>
        <v>I468</v>
      </c>
    </row>
    <row r="772" ht="15.75" customHeight="1">
      <c r="A772" t="str">
        <f t="shared" si="1"/>
        <v>B.pertussis</v>
      </c>
      <c r="B772" s="5" t="s">
        <v>802</v>
      </c>
      <c r="C772" s="6" t="str">
        <f>IFERROR(__xludf.DUMMYFUNCTION("SPLIT('2. c'!B772, "" "", True, True)"),"Bordetella")</f>
        <v>Bordetella</v>
      </c>
      <c r="D772" t="str">
        <f>IFERROR(__xludf.DUMMYFUNCTION("""COMPUTED_VALUE"""),"pertussis")</f>
        <v>pertussis</v>
      </c>
      <c r="E772" t="str">
        <f>IFERROR(__xludf.DUMMYFUNCTION("""COMPUTED_VALUE"""),"strain")</f>
        <v>strain</v>
      </c>
      <c r="F772" t="str">
        <f>IFERROR(__xludf.DUMMYFUNCTION("""COMPUTED_VALUE"""),"I469")</f>
        <v>I469</v>
      </c>
    </row>
    <row r="773" ht="15.75" customHeight="1">
      <c r="A773" t="str">
        <f t="shared" si="1"/>
        <v>B.pertussis</v>
      </c>
      <c r="B773" s="5" t="s">
        <v>803</v>
      </c>
      <c r="C773" s="6" t="str">
        <f>IFERROR(__xludf.DUMMYFUNCTION("SPLIT('2. c'!B773, "" "", True, True)"),"Bordetella")</f>
        <v>Bordetella</v>
      </c>
      <c r="D773" t="str">
        <f>IFERROR(__xludf.DUMMYFUNCTION("""COMPUTED_VALUE"""),"pertussis")</f>
        <v>pertussis</v>
      </c>
      <c r="E773" t="str">
        <f>IFERROR(__xludf.DUMMYFUNCTION("""COMPUTED_VALUE"""),"strain")</f>
        <v>strain</v>
      </c>
      <c r="F773" t="str">
        <f>IFERROR(__xludf.DUMMYFUNCTION("""COMPUTED_VALUE"""),"I472")</f>
        <v>I472</v>
      </c>
    </row>
    <row r="774" ht="15.75" customHeight="1">
      <c r="A774" t="str">
        <f t="shared" si="1"/>
        <v>B.pertussis</v>
      </c>
      <c r="B774" s="5" t="s">
        <v>804</v>
      </c>
      <c r="C774" s="6" t="str">
        <f>IFERROR(__xludf.DUMMYFUNCTION("SPLIT('2. c'!B774, "" "", True, True)"),"Bordetella")</f>
        <v>Bordetella</v>
      </c>
      <c r="D774" t="str">
        <f>IFERROR(__xludf.DUMMYFUNCTION("""COMPUTED_VALUE"""),"pertussis")</f>
        <v>pertussis</v>
      </c>
      <c r="E774" t="str">
        <f>IFERROR(__xludf.DUMMYFUNCTION("""COMPUTED_VALUE"""),"strain")</f>
        <v>strain</v>
      </c>
      <c r="F774" t="str">
        <f>IFERROR(__xludf.DUMMYFUNCTION("""COMPUTED_VALUE"""),"I475")</f>
        <v>I475</v>
      </c>
    </row>
    <row r="775" ht="15.75" customHeight="1">
      <c r="A775" t="str">
        <f t="shared" si="1"/>
        <v>B.pertussis</v>
      </c>
      <c r="B775" s="5" t="s">
        <v>805</v>
      </c>
      <c r="C775" s="6" t="str">
        <f>IFERROR(__xludf.DUMMYFUNCTION("SPLIT('2. c'!B775, "" "", True, True)"),"Bordetella")</f>
        <v>Bordetella</v>
      </c>
      <c r="D775" t="str">
        <f>IFERROR(__xludf.DUMMYFUNCTION("""COMPUTED_VALUE"""),"pertussis")</f>
        <v>pertussis</v>
      </c>
      <c r="E775" t="str">
        <f>IFERROR(__xludf.DUMMYFUNCTION("""COMPUTED_VALUE"""),"strain")</f>
        <v>strain</v>
      </c>
      <c r="F775" t="str">
        <f>IFERROR(__xludf.DUMMYFUNCTION("""COMPUTED_VALUE"""),"I476")</f>
        <v>I476</v>
      </c>
    </row>
    <row r="776" ht="15.75" customHeight="1">
      <c r="A776" t="str">
        <f t="shared" si="1"/>
        <v>B.pertussis</v>
      </c>
      <c r="B776" s="5" t="s">
        <v>806</v>
      </c>
      <c r="C776" s="6" t="str">
        <f>IFERROR(__xludf.DUMMYFUNCTION("SPLIT('2. c'!B776, "" "", True, True)"),"Bordetella")</f>
        <v>Bordetella</v>
      </c>
      <c r="D776" t="str">
        <f>IFERROR(__xludf.DUMMYFUNCTION("""COMPUTED_VALUE"""),"pertussis")</f>
        <v>pertussis</v>
      </c>
      <c r="E776" t="str">
        <f>IFERROR(__xludf.DUMMYFUNCTION("""COMPUTED_VALUE"""),"strain")</f>
        <v>strain</v>
      </c>
      <c r="F776" t="str">
        <f>IFERROR(__xludf.DUMMYFUNCTION("""COMPUTED_VALUE"""),"I480")</f>
        <v>I480</v>
      </c>
    </row>
    <row r="777" ht="15.75" customHeight="1">
      <c r="A777" t="str">
        <f t="shared" si="1"/>
        <v>B.pertussis</v>
      </c>
      <c r="B777" s="5" t="s">
        <v>807</v>
      </c>
      <c r="C777" s="6" t="str">
        <f>IFERROR(__xludf.DUMMYFUNCTION("SPLIT('2. c'!B777, "" "", True, True)"),"Bordetella")</f>
        <v>Bordetella</v>
      </c>
      <c r="D777" t="str">
        <f>IFERROR(__xludf.DUMMYFUNCTION("""COMPUTED_VALUE"""),"pertussis")</f>
        <v>pertussis</v>
      </c>
      <c r="E777" t="str">
        <f>IFERROR(__xludf.DUMMYFUNCTION("""COMPUTED_VALUE"""),"strain")</f>
        <v>strain</v>
      </c>
      <c r="F777" t="str">
        <f>IFERROR(__xludf.DUMMYFUNCTION("""COMPUTED_VALUE"""),"I483")</f>
        <v>I483</v>
      </c>
    </row>
    <row r="778" ht="15.75" customHeight="1">
      <c r="A778" t="str">
        <f t="shared" si="1"/>
        <v>B.pertussis</v>
      </c>
      <c r="B778" s="5" t="s">
        <v>808</v>
      </c>
      <c r="C778" s="6" t="str">
        <f>IFERROR(__xludf.DUMMYFUNCTION("SPLIT('2. c'!B778, "" "", True, True)"),"Bordetella")</f>
        <v>Bordetella</v>
      </c>
      <c r="D778" t="str">
        <f>IFERROR(__xludf.DUMMYFUNCTION("""COMPUTED_VALUE"""),"pertussis")</f>
        <v>pertussis</v>
      </c>
      <c r="E778" t="str">
        <f>IFERROR(__xludf.DUMMYFUNCTION("""COMPUTED_VALUE"""),"strain")</f>
        <v>strain</v>
      </c>
      <c r="F778" t="str">
        <f>IFERROR(__xludf.DUMMYFUNCTION("""COMPUTED_VALUE"""),"I496")</f>
        <v>I496</v>
      </c>
    </row>
    <row r="779" ht="15.75" customHeight="1">
      <c r="A779" t="str">
        <f t="shared" si="1"/>
        <v>B.pertussis</v>
      </c>
      <c r="B779" s="5" t="s">
        <v>809</v>
      </c>
      <c r="C779" s="6" t="str">
        <f>IFERROR(__xludf.DUMMYFUNCTION("SPLIT('2. c'!B779, "" "", True, True)"),"Bordetella")</f>
        <v>Bordetella</v>
      </c>
      <c r="D779" t="str">
        <f>IFERROR(__xludf.DUMMYFUNCTION("""COMPUTED_VALUE"""),"pertussis")</f>
        <v>pertussis</v>
      </c>
      <c r="E779" t="str">
        <f>IFERROR(__xludf.DUMMYFUNCTION("""COMPUTED_VALUE"""),"strain")</f>
        <v>strain</v>
      </c>
      <c r="F779" t="str">
        <f>IFERROR(__xludf.DUMMYFUNCTION("""COMPUTED_VALUE"""),"I498")</f>
        <v>I498</v>
      </c>
    </row>
    <row r="780" ht="15.75" customHeight="1">
      <c r="A780" t="str">
        <f t="shared" si="1"/>
        <v>B.pertussis</v>
      </c>
      <c r="B780" s="5" t="s">
        <v>810</v>
      </c>
      <c r="C780" s="6" t="str">
        <f>IFERROR(__xludf.DUMMYFUNCTION("SPLIT('2. c'!B780, "" "", True, True)"),"Bordetella")</f>
        <v>Bordetella</v>
      </c>
      <c r="D780" t="str">
        <f>IFERROR(__xludf.DUMMYFUNCTION("""COMPUTED_VALUE"""),"pertussis")</f>
        <v>pertussis</v>
      </c>
      <c r="E780" t="str">
        <f>IFERROR(__xludf.DUMMYFUNCTION("""COMPUTED_VALUE"""),"strain")</f>
        <v>strain</v>
      </c>
      <c r="F780" t="str">
        <f>IFERROR(__xludf.DUMMYFUNCTION("""COMPUTED_VALUE"""),"I518")</f>
        <v>I518</v>
      </c>
    </row>
    <row r="781" ht="15.75" customHeight="1">
      <c r="A781" t="str">
        <f t="shared" si="1"/>
        <v>B.pertussis</v>
      </c>
      <c r="B781" s="5" t="s">
        <v>811</v>
      </c>
      <c r="C781" s="6" t="str">
        <f>IFERROR(__xludf.DUMMYFUNCTION("SPLIT('2. c'!B781, "" "", True, True)"),"Bordetella")</f>
        <v>Bordetella</v>
      </c>
      <c r="D781" t="str">
        <f>IFERROR(__xludf.DUMMYFUNCTION("""COMPUTED_VALUE"""),"pertussis")</f>
        <v>pertussis</v>
      </c>
      <c r="E781" t="str">
        <f>IFERROR(__xludf.DUMMYFUNCTION("""COMPUTED_VALUE"""),"strain")</f>
        <v>strain</v>
      </c>
      <c r="F781" t="str">
        <f>IFERROR(__xludf.DUMMYFUNCTION("""COMPUTED_VALUE"""),"I521")</f>
        <v>I521</v>
      </c>
    </row>
    <row r="782" ht="15.75" customHeight="1">
      <c r="A782" t="str">
        <f t="shared" si="1"/>
        <v>B.pertussis</v>
      </c>
      <c r="B782" s="5" t="s">
        <v>812</v>
      </c>
      <c r="C782" s="6" t="str">
        <f>IFERROR(__xludf.DUMMYFUNCTION("SPLIT('2. c'!B782, "" "", True, True)"),"Bordetella")</f>
        <v>Bordetella</v>
      </c>
      <c r="D782" t="str">
        <f>IFERROR(__xludf.DUMMYFUNCTION("""COMPUTED_VALUE"""),"pertussis")</f>
        <v>pertussis</v>
      </c>
      <c r="E782" t="str">
        <f>IFERROR(__xludf.DUMMYFUNCTION("""COMPUTED_VALUE"""),"strain")</f>
        <v>strain</v>
      </c>
      <c r="F782" t="str">
        <f>IFERROR(__xludf.DUMMYFUNCTION("""COMPUTED_VALUE"""),"I538")</f>
        <v>I538</v>
      </c>
    </row>
    <row r="783" ht="15.75" customHeight="1">
      <c r="A783" t="str">
        <f t="shared" si="1"/>
        <v>B.pertussis</v>
      </c>
      <c r="B783" s="5" t="s">
        <v>813</v>
      </c>
      <c r="C783" s="6" t="str">
        <f>IFERROR(__xludf.DUMMYFUNCTION("SPLIT('2. c'!B783, "" "", True, True)"),"Bordetella")</f>
        <v>Bordetella</v>
      </c>
      <c r="D783" t="str">
        <f>IFERROR(__xludf.DUMMYFUNCTION("""COMPUTED_VALUE"""),"pertussis")</f>
        <v>pertussis</v>
      </c>
      <c r="E783" t="str">
        <f>IFERROR(__xludf.DUMMYFUNCTION("""COMPUTED_VALUE"""),"strain")</f>
        <v>strain</v>
      </c>
      <c r="F783" t="str">
        <f>IFERROR(__xludf.DUMMYFUNCTION("""COMPUTED_VALUE"""),"I539")</f>
        <v>I539</v>
      </c>
    </row>
    <row r="784" ht="15.75" customHeight="1">
      <c r="A784" t="str">
        <f t="shared" si="1"/>
        <v>B.pertussis</v>
      </c>
      <c r="B784" s="5" t="s">
        <v>814</v>
      </c>
      <c r="C784" s="6" t="str">
        <f>IFERROR(__xludf.DUMMYFUNCTION("SPLIT('2. c'!B784, "" "", True, True)"),"Bordetella")</f>
        <v>Bordetella</v>
      </c>
      <c r="D784" t="str">
        <f>IFERROR(__xludf.DUMMYFUNCTION("""COMPUTED_VALUE"""),"pertussis")</f>
        <v>pertussis</v>
      </c>
      <c r="E784" t="str">
        <f>IFERROR(__xludf.DUMMYFUNCTION("""COMPUTED_VALUE"""),"strain")</f>
        <v>strain</v>
      </c>
      <c r="F784" t="str">
        <f>IFERROR(__xludf.DUMMYFUNCTION("""COMPUTED_VALUE"""),"I646")</f>
        <v>I646</v>
      </c>
    </row>
    <row r="785" ht="15.75" customHeight="1">
      <c r="A785" t="str">
        <f t="shared" si="1"/>
        <v>B.pertussis</v>
      </c>
      <c r="B785" s="5" t="s">
        <v>815</v>
      </c>
      <c r="C785" s="6" t="str">
        <f>IFERROR(__xludf.DUMMYFUNCTION("SPLIT('2. c'!B785, "" "", True, True)"),"Bordetella")</f>
        <v>Bordetella</v>
      </c>
      <c r="D785" t="str">
        <f>IFERROR(__xludf.DUMMYFUNCTION("""COMPUTED_VALUE"""),"pertussis")</f>
        <v>pertussis</v>
      </c>
      <c r="E785" t="str">
        <f>IFERROR(__xludf.DUMMYFUNCTION("""COMPUTED_VALUE"""),"strain")</f>
        <v>strain</v>
      </c>
      <c r="F785" t="str">
        <f>IFERROR(__xludf.DUMMYFUNCTION("""COMPUTED_VALUE"""),"I656")</f>
        <v>I656</v>
      </c>
    </row>
    <row r="786" ht="15.75" customHeight="1">
      <c r="A786" t="str">
        <f t="shared" si="1"/>
        <v>B.pertussis</v>
      </c>
      <c r="B786" s="5" t="s">
        <v>816</v>
      </c>
      <c r="C786" s="6" t="str">
        <f>IFERROR(__xludf.DUMMYFUNCTION("SPLIT('2. c'!B786, "" "", True, True)"),"Bordetella")</f>
        <v>Bordetella</v>
      </c>
      <c r="D786" t="str">
        <f>IFERROR(__xludf.DUMMYFUNCTION("""COMPUTED_VALUE"""),"pertussis")</f>
        <v>pertussis</v>
      </c>
      <c r="E786" t="str">
        <f>IFERROR(__xludf.DUMMYFUNCTION("""COMPUTED_VALUE"""),"strain")</f>
        <v>strain</v>
      </c>
      <c r="F786" t="str">
        <f>IFERROR(__xludf.DUMMYFUNCTION("""COMPUTED_VALUE"""),"I669")</f>
        <v>I669</v>
      </c>
    </row>
    <row r="787" ht="15.75" customHeight="1">
      <c r="A787" t="str">
        <f t="shared" si="1"/>
        <v>B.pertussis</v>
      </c>
      <c r="B787" s="5" t="s">
        <v>817</v>
      </c>
      <c r="C787" s="6" t="str">
        <f>IFERROR(__xludf.DUMMYFUNCTION("SPLIT('2. c'!B787, "" "", True, True)"),"Bordetella")</f>
        <v>Bordetella</v>
      </c>
      <c r="D787" t="str">
        <f>IFERROR(__xludf.DUMMYFUNCTION("""COMPUTED_VALUE"""),"pertussis")</f>
        <v>pertussis</v>
      </c>
      <c r="E787" t="str">
        <f>IFERROR(__xludf.DUMMYFUNCTION("""COMPUTED_VALUE"""),"strain")</f>
        <v>strain</v>
      </c>
      <c r="F787" t="str">
        <f>IFERROR(__xludf.DUMMYFUNCTION("""COMPUTED_VALUE"""),"I707")</f>
        <v>I707</v>
      </c>
    </row>
    <row r="788" ht="15.75" customHeight="1">
      <c r="A788" t="str">
        <f t="shared" si="1"/>
        <v>B.pertussis</v>
      </c>
      <c r="B788" s="5" t="s">
        <v>818</v>
      </c>
      <c r="C788" s="6" t="str">
        <f>IFERROR(__xludf.DUMMYFUNCTION("SPLIT('2. c'!B788, "" "", True, True)"),"Bordetella")</f>
        <v>Bordetella</v>
      </c>
      <c r="D788" t="str">
        <f>IFERROR(__xludf.DUMMYFUNCTION("""COMPUTED_VALUE"""),"pertussis")</f>
        <v>pertussis</v>
      </c>
      <c r="E788" t="str">
        <f>IFERROR(__xludf.DUMMYFUNCTION("""COMPUTED_VALUE"""),"Tohama")</f>
        <v>Tohama</v>
      </c>
      <c r="F788" t="str">
        <f>IFERROR(__xludf.DUMMYFUNCTION("""COMPUTED_VALUE"""),"I")</f>
        <v>I</v>
      </c>
    </row>
    <row r="789" ht="15.75" customHeight="1">
      <c r="A789" t="str">
        <f t="shared" si="1"/>
        <v>B.petrii</v>
      </c>
      <c r="B789" s="5" t="s">
        <v>819</v>
      </c>
      <c r="C789" s="6" t="str">
        <f>IFERROR(__xludf.DUMMYFUNCTION("SPLIT('2. c'!B789, "" "", True, True)"),"Bordetella")</f>
        <v>Bordetella</v>
      </c>
      <c r="D789" t="str">
        <f>IFERROR(__xludf.DUMMYFUNCTION("""COMPUTED_VALUE"""),"petrii")</f>
        <v>petrii</v>
      </c>
      <c r="E789" t="str">
        <f>IFERROR(__xludf.DUMMYFUNCTION("""COMPUTED_VALUE"""),"DSM")</f>
        <v>DSM</v>
      </c>
      <c r="F789">
        <f>IFERROR(__xludf.DUMMYFUNCTION("""COMPUTED_VALUE"""),12804.0)</f>
        <v>12804</v>
      </c>
    </row>
    <row r="790" ht="15.75" customHeight="1">
      <c r="A790" t="str">
        <f t="shared" si="1"/>
        <v>B.sp.</v>
      </c>
      <c r="B790" s="5" t="s">
        <v>820</v>
      </c>
      <c r="C790" s="6" t="str">
        <f>IFERROR(__xludf.DUMMYFUNCTION("SPLIT('2. c'!B790, "" "", True, True)"),"Bordetella")</f>
        <v>Bordetella</v>
      </c>
      <c r="D790" t="str">
        <f>IFERROR(__xludf.DUMMYFUNCTION("""COMPUTED_VALUE"""),"sp.")</f>
        <v>sp.</v>
      </c>
      <c r="E790" t="str">
        <f>IFERROR(__xludf.DUMMYFUNCTION("""COMPUTED_VALUE"""),"N")</f>
        <v>N</v>
      </c>
    </row>
    <row r="791" ht="15.75" customHeight="1">
      <c r="A791" t="str">
        <f t="shared" si="1"/>
        <v>B.trematum</v>
      </c>
      <c r="B791" s="5" t="s">
        <v>821</v>
      </c>
      <c r="C791" s="6" t="str">
        <f>IFERROR(__xludf.DUMMYFUNCTION("SPLIT('2. c'!B791, "" "", True, True)"),"Bordetella")</f>
        <v>Bordetella</v>
      </c>
      <c r="D791" t="str">
        <f>IFERROR(__xludf.DUMMYFUNCTION("""COMPUTED_VALUE"""),"trematum")</f>
        <v>trematum</v>
      </c>
      <c r="E791" t="str">
        <f>IFERROR(__xludf.DUMMYFUNCTION("""COMPUTED_VALUE"""),"strain")</f>
        <v>strain</v>
      </c>
      <c r="F791" t="str">
        <f>IFERROR(__xludf.DUMMYFUNCTION("""COMPUTED_VALUE"""),"H044680328")</f>
        <v>H044680328</v>
      </c>
    </row>
    <row r="792" ht="15.75" customHeight="1">
      <c r="A792" t="str">
        <f t="shared" si="1"/>
        <v>B.afzelii</v>
      </c>
      <c r="B792" s="5" t="s">
        <v>822</v>
      </c>
      <c r="C792" s="6" t="str">
        <f>IFERROR(__xludf.DUMMYFUNCTION("SPLIT('2. c'!B792, "" "", True, True)"),"Borrelia")</f>
        <v>Borrelia</v>
      </c>
      <c r="D792" t="str">
        <f>IFERROR(__xludf.DUMMYFUNCTION("""COMPUTED_VALUE"""),"afzelii")</f>
        <v>afzelii</v>
      </c>
      <c r="E792" t="str">
        <f>IFERROR(__xludf.DUMMYFUNCTION("""COMPUTED_VALUE"""),"HLJ01")</f>
        <v>HLJ01</v>
      </c>
    </row>
    <row r="793" ht="15.75" customHeight="1">
      <c r="A793" t="str">
        <f t="shared" si="1"/>
        <v>B.afzelii</v>
      </c>
      <c r="B793" s="5" t="s">
        <v>823</v>
      </c>
      <c r="C793" s="6" t="str">
        <f>IFERROR(__xludf.DUMMYFUNCTION("SPLIT('2. c'!B793, "" "", True, True)"),"Borrelia")</f>
        <v>Borrelia</v>
      </c>
      <c r="D793" t="str">
        <f>IFERROR(__xludf.DUMMYFUNCTION("""COMPUTED_VALUE"""),"afzelii")</f>
        <v>afzelii</v>
      </c>
      <c r="E793" t="str">
        <f>IFERROR(__xludf.DUMMYFUNCTION("""COMPUTED_VALUE"""),"K78")</f>
        <v>K78</v>
      </c>
    </row>
    <row r="794" ht="15.75" customHeight="1">
      <c r="A794" t="str">
        <f t="shared" si="1"/>
        <v>B.afzelii</v>
      </c>
      <c r="B794" s="5" t="s">
        <v>824</v>
      </c>
      <c r="C794" s="6" t="str">
        <f>IFERROR(__xludf.DUMMYFUNCTION("SPLIT('2. c'!B794, "" "", True, True)"),"Borrelia")</f>
        <v>Borrelia</v>
      </c>
      <c r="D794" t="str">
        <f>IFERROR(__xludf.DUMMYFUNCTION("""COMPUTED_VALUE"""),"afzelii")</f>
        <v>afzelii</v>
      </c>
      <c r="E794" t="str">
        <f>IFERROR(__xludf.DUMMYFUNCTION("""COMPUTED_VALUE"""),"PKo")</f>
        <v>PKo</v>
      </c>
    </row>
    <row r="795" ht="15.75" customHeight="1">
      <c r="A795" t="str">
        <f t="shared" si="1"/>
        <v>B.afzelii</v>
      </c>
      <c r="B795" s="5" t="s">
        <v>824</v>
      </c>
      <c r="C795" s="6" t="str">
        <f>IFERROR(__xludf.DUMMYFUNCTION("SPLIT('2. c'!B795, "" "", True, True)"),"Borrelia")</f>
        <v>Borrelia</v>
      </c>
      <c r="D795" t="str">
        <f>IFERROR(__xludf.DUMMYFUNCTION("""COMPUTED_VALUE"""),"afzelii")</f>
        <v>afzelii</v>
      </c>
      <c r="E795" t="str">
        <f>IFERROR(__xludf.DUMMYFUNCTION("""COMPUTED_VALUE"""),"PKo")</f>
        <v>PKo</v>
      </c>
    </row>
    <row r="796" ht="15.75" customHeight="1">
      <c r="A796" t="str">
        <f t="shared" si="1"/>
        <v>B.afzelii</v>
      </c>
      <c r="B796" s="5" t="s">
        <v>825</v>
      </c>
      <c r="C796" s="6" t="str">
        <f>IFERROR(__xludf.DUMMYFUNCTION("SPLIT('2. c'!B796, "" "", True, True)"),"Borrelia")</f>
        <v>Borrelia</v>
      </c>
      <c r="D796" t="str">
        <f>IFERROR(__xludf.DUMMYFUNCTION("""COMPUTED_VALUE"""),"afzelii")</f>
        <v>afzelii</v>
      </c>
      <c r="E796" t="str">
        <f>IFERROR(__xludf.DUMMYFUNCTION("""COMPUTED_VALUE"""),"Tom3107")</f>
        <v>Tom3107</v>
      </c>
    </row>
    <row r="797" ht="15.75" customHeight="1">
      <c r="A797" t="str">
        <f t="shared" si="1"/>
        <v>B.anserina</v>
      </c>
      <c r="B797" s="5" t="s">
        <v>826</v>
      </c>
      <c r="C797" s="6" t="str">
        <f>IFERROR(__xludf.DUMMYFUNCTION("SPLIT('2. c'!B797, "" "", True, True)"),"Borrelia")</f>
        <v>Borrelia</v>
      </c>
      <c r="D797" t="str">
        <f>IFERROR(__xludf.DUMMYFUNCTION("""COMPUTED_VALUE"""),"anserina")</f>
        <v>anserina</v>
      </c>
      <c r="E797" t="str">
        <f>IFERROR(__xludf.DUMMYFUNCTION("""COMPUTED_VALUE"""),"BA2")</f>
        <v>BA2</v>
      </c>
    </row>
    <row r="798" ht="15.75" customHeight="1">
      <c r="A798" t="str">
        <f t="shared" si="1"/>
        <v>B.bissettii</v>
      </c>
      <c r="B798" s="5" t="s">
        <v>827</v>
      </c>
      <c r="C798" s="6" t="str">
        <f>IFERROR(__xludf.DUMMYFUNCTION("SPLIT('2. c'!B798, "" "", True, True)"),"Borrelia")</f>
        <v>Borrelia</v>
      </c>
      <c r="D798" t="str">
        <f>IFERROR(__xludf.DUMMYFUNCTION("""COMPUTED_VALUE"""),"bissettii")</f>
        <v>bissettii</v>
      </c>
      <c r="E798" t="str">
        <f>IFERROR(__xludf.DUMMYFUNCTION("""COMPUTED_VALUE"""),"DN127")</f>
        <v>DN127</v>
      </c>
    </row>
    <row r="799" ht="15.75" customHeight="1">
      <c r="A799" t="str">
        <f t="shared" si="1"/>
        <v>B.burgdorferi</v>
      </c>
      <c r="B799" s="5" t="s">
        <v>828</v>
      </c>
      <c r="C799" s="6" t="str">
        <f>IFERROR(__xludf.DUMMYFUNCTION("SPLIT('2. c'!B799, "" "", True, True)"),"Borrelia")</f>
        <v>Borrelia</v>
      </c>
      <c r="D799" t="str">
        <f>IFERROR(__xludf.DUMMYFUNCTION("""COMPUTED_VALUE"""),"burgdorferi")</f>
        <v>burgdorferi</v>
      </c>
      <c r="E799" t="str">
        <f>IFERROR(__xludf.DUMMYFUNCTION("""COMPUTED_VALUE"""),"B31")</f>
        <v>B31</v>
      </c>
    </row>
    <row r="800" ht="15.75" customHeight="1">
      <c r="A800" t="str">
        <f t="shared" si="1"/>
        <v>B.burgdorferi</v>
      </c>
      <c r="B800" s="5" t="s">
        <v>828</v>
      </c>
      <c r="C800" s="6" t="str">
        <f>IFERROR(__xludf.DUMMYFUNCTION("SPLIT('2. c'!B800, "" "", True, True)"),"Borrelia")</f>
        <v>Borrelia</v>
      </c>
      <c r="D800" t="str">
        <f>IFERROR(__xludf.DUMMYFUNCTION("""COMPUTED_VALUE"""),"burgdorferi")</f>
        <v>burgdorferi</v>
      </c>
      <c r="E800" t="str">
        <f>IFERROR(__xludf.DUMMYFUNCTION("""COMPUTED_VALUE"""),"B31")</f>
        <v>B31</v>
      </c>
    </row>
    <row r="801" ht="15.75" customHeight="1">
      <c r="A801" t="str">
        <f t="shared" si="1"/>
        <v>B.burgdorferi</v>
      </c>
      <c r="B801" s="5" t="s">
        <v>829</v>
      </c>
      <c r="C801" s="6" t="str">
        <f>IFERROR(__xludf.DUMMYFUNCTION("SPLIT('2. c'!B801, "" "", True, True)"),"Borrelia")</f>
        <v>Borrelia</v>
      </c>
      <c r="D801" t="str">
        <f>IFERROR(__xludf.DUMMYFUNCTION("""COMPUTED_VALUE"""),"burgdorferi")</f>
        <v>burgdorferi</v>
      </c>
      <c r="E801" t="str">
        <f>IFERROR(__xludf.DUMMYFUNCTION("""COMPUTED_VALUE"""),"CA382")</f>
        <v>CA382</v>
      </c>
    </row>
    <row r="802" ht="15.75" customHeight="1">
      <c r="A802" t="str">
        <f t="shared" si="1"/>
        <v>B.burgdorferi</v>
      </c>
      <c r="B802" s="5" t="s">
        <v>830</v>
      </c>
      <c r="C802" s="6" t="str">
        <f>IFERROR(__xludf.DUMMYFUNCTION("SPLIT('2. c'!B802, "" "", True, True)"),"Borrelia")</f>
        <v>Borrelia</v>
      </c>
      <c r="D802" t="str">
        <f>IFERROR(__xludf.DUMMYFUNCTION("""COMPUTED_VALUE"""),"burgdorferi")</f>
        <v>burgdorferi</v>
      </c>
      <c r="E802" t="str">
        <f>IFERROR(__xludf.DUMMYFUNCTION("""COMPUTED_VALUE"""),"JD1")</f>
        <v>JD1</v>
      </c>
    </row>
    <row r="803" ht="15.75" customHeight="1">
      <c r="A803" t="str">
        <f t="shared" si="1"/>
        <v>B.burgdorferi</v>
      </c>
      <c r="B803" s="5" t="s">
        <v>831</v>
      </c>
      <c r="C803" s="6" t="str">
        <f>IFERROR(__xludf.DUMMYFUNCTION("SPLIT('2. c'!B803, "" "", True, True)"),"Borrelia")</f>
        <v>Borrelia</v>
      </c>
      <c r="D803" t="str">
        <f>IFERROR(__xludf.DUMMYFUNCTION("""COMPUTED_VALUE"""),"burgdorferi")</f>
        <v>burgdorferi</v>
      </c>
      <c r="E803" t="str">
        <f>IFERROR(__xludf.DUMMYFUNCTION("""COMPUTED_VALUE"""),"N40")</f>
        <v>N40</v>
      </c>
    </row>
    <row r="804" ht="15.75" customHeight="1">
      <c r="A804" t="str">
        <f t="shared" si="1"/>
        <v>B.burgdorferi</v>
      </c>
      <c r="B804" s="5" t="s">
        <v>832</v>
      </c>
      <c r="C804" s="6" t="str">
        <f>IFERROR(__xludf.DUMMYFUNCTION("SPLIT('2. c'!B804, "" "", True, True)"),"Borrelia")</f>
        <v>Borrelia</v>
      </c>
      <c r="D804" t="str">
        <f>IFERROR(__xludf.DUMMYFUNCTION("""COMPUTED_VALUE"""),"burgdorferi")</f>
        <v>burgdorferi</v>
      </c>
      <c r="E804" t="str">
        <f>IFERROR(__xludf.DUMMYFUNCTION("""COMPUTED_VALUE"""),"ZS7")</f>
        <v>ZS7</v>
      </c>
    </row>
    <row r="805" ht="15.75" customHeight="1">
      <c r="A805" t="str">
        <f t="shared" si="1"/>
        <v>B.chilensis</v>
      </c>
      <c r="B805" s="5" t="s">
        <v>833</v>
      </c>
      <c r="C805" s="6" t="str">
        <f>IFERROR(__xludf.DUMMYFUNCTION("SPLIT('2. c'!B805, "" "", True, True)"),"Borrelia")</f>
        <v>Borrelia</v>
      </c>
      <c r="D805" t="str">
        <f>IFERROR(__xludf.DUMMYFUNCTION("""COMPUTED_VALUE"""),"chilensis")</f>
        <v>chilensis</v>
      </c>
      <c r="E805" t="str">
        <f>IFERROR(__xludf.DUMMYFUNCTION("""COMPUTED_VALUE"""),"VA1")</f>
        <v>VA1</v>
      </c>
    </row>
    <row r="806" ht="15.75" customHeight="1">
      <c r="A806" t="str">
        <f t="shared" si="1"/>
        <v>B.coriaceae</v>
      </c>
      <c r="B806" s="5" t="s">
        <v>834</v>
      </c>
      <c r="C806" s="6" t="str">
        <f>IFERROR(__xludf.DUMMYFUNCTION("SPLIT('2. c'!B806, "" "", True, True)"),"Borrelia")</f>
        <v>Borrelia</v>
      </c>
      <c r="D806" t="str">
        <f>IFERROR(__xludf.DUMMYFUNCTION("""COMPUTED_VALUE"""),"coriaceae")</f>
        <v>coriaceae</v>
      </c>
      <c r="E806" t="str">
        <f>IFERROR(__xludf.DUMMYFUNCTION("""COMPUTED_VALUE"""),"Co53")</f>
        <v>Co53</v>
      </c>
    </row>
    <row r="807" ht="15.75" customHeight="1">
      <c r="A807" t="str">
        <f t="shared" si="1"/>
        <v>B.crocidurae</v>
      </c>
      <c r="B807" s="5" t="s">
        <v>835</v>
      </c>
      <c r="C807" s="6" t="str">
        <f>IFERROR(__xludf.DUMMYFUNCTION("SPLIT('2. c'!B807, "" "", True, True)"),"Borrelia")</f>
        <v>Borrelia</v>
      </c>
      <c r="D807" t="str">
        <f>IFERROR(__xludf.DUMMYFUNCTION("""COMPUTED_VALUE"""),"crocidurae")</f>
        <v>crocidurae</v>
      </c>
      <c r="E807" t="str">
        <f>IFERROR(__xludf.DUMMYFUNCTION("""COMPUTED_VALUE"""),"DOU")</f>
        <v>DOU</v>
      </c>
    </row>
    <row r="808" ht="15.75" customHeight="1">
      <c r="A808" t="str">
        <f t="shared" si="1"/>
        <v>B.crocidurae</v>
      </c>
      <c r="B808" s="5" t="s">
        <v>836</v>
      </c>
      <c r="C808" s="6" t="str">
        <f>IFERROR(__xludf.DUMMYFUNCTION("SPLIT('2. c'!B808, "" "", True, True)"),"Borrelia")</f>
        <v>Borrelia</v>
      </c>
      <c r="D808" t="str">
        <f>IFERROR(__xludf.DUMMYFUNCTION("""COMPUTED_VALUE"""),"crocidurae")</f>
        <v>crocidurae</v>
      </c>
      <c r="E808" t="str">
        <f>IFERROR(__xludf.DUMMYFUNCTION("""COMPUTED_VALUE"""),"str.")</f>
        <v>str.</v>
      </c>
      <c r="F808" t="str">
        <f>IFERROR(__xludf.DUMMYFUNCTION("""COMPUTED_VALUE"""),"Achema")</f>
        <v>Achema</v>
      </c>
    </row>
    <row r="809" ht="15.75" customHeight="1">
      <c r="A809" t="str">
        <f t="shared" si="1"/>
        <v>B.duttonii</v>
      </c>
      <c r="B809" s="5" t="s">
        <v>837</v>
      </c>
      <c r="C809" s="6" t="str">
        <f>IFERROR(__xludf.DUMMYFUNCTION("SPLIT('2. c'!B809, "" "", True, True)"),"Borrelia")</f>
        <v>Borrelia</v>
      </c>
      <c r="D809" t="str">
        <f>IFERROR(__xludf.DUMMYFUNCTION("""COMPUTED_VALUE"""),"duttonii")</f>
        <v>duttonii</v>
      </c>
      <c r="E809" t="str">
        <f>IFERROR(__xludf.DUMMYFUNCTION("""COMPUTED_VALUE"""),"Ly")</f>
        <v>Ly</v>
      </c>
    </row>
    <row r="810" ht="15.75" customHeight="1">
      <c r="A810" t="str">
        <f t="shared" si="1"/>
        <v>B.garinii</v>
      </c>
      <c r="B810" s="5" t="s">
        <v>838</v>
      </c>
      <c r="C810" s="6" t="str">
        <f>IFERROR(__xludf.DUMMYFUNCTION("SPLIT('2. c'!B810, "" "", True, True)"),"Borrelia")</f>
        <v>Borrelia</v>
      </c>
      <c r="D810" t="str">
        <f>IFERROR(__xludf.DUMMYFUNCTION("""COMPUTED_VALUE"""),"garinii")</f>
        <v>garinii</v>
      </c>
      <c r="E810" t="str">
        <f>IFERROR(__xludf.DUMMYFUNCTION("""COMPUTED_VALUE"""),"BgVir")</f>
        <v>BgVir</v>
      </c>
    </row>
    <row r="811" ht="15.75" customHeight="1">
      <c r="A811" t="str">
        <f t="shared" si="1"/>
        <v>B.garinii</v>
      </c>
      <c r="B811" s="5" t="s">
        <v>839</v>
      </c>
      <c r="C811" s="6" t="str">
        <f>IFERROR(__xludf.DUMMYFUNCTION("SPLIT('2. c'!B811, "" "", True, True)"),"Borrelia")</f>
        <v>Borrelia</v>
      </c>
      <c r="D811" t="str">
        <f>IFERROR(__xludf.DUMMYFUNCTION("""COMPUTED_VALUE"""),"garinii")</f>
        <v>garinii</v>
      </c>
      <c r="E811" t="str">
        <f>IFERROR(__xludf.DUMMYFUNCTION("""COMPUTED_VALUE"""),"NMJW1")</f>
        <v>NMJW1</v>
      </c>
    </row>
    <row r="812" ht="15.75" customHeight="1">
      <c r="A812" t="str">
        <f t="shared" si="1"/>
        <v>B.garinii</v>
      </c>
      <c r="B812" s="5" t="s">
        <v>840</v>
      </c>
      <c r="C812" s="6" t="str">
        <f>IFERROR(__xludf.DUMMYFUNCTION("SPLIT('2. c'!B812, "" "", True, True)"),"Borrelia")</f>
        <v>Borrelia</v>
      </c>
      <c r="D812" t="str">
        <f>IFERROR(__xludf.DUMMYFUNCTION("""COMPUTED_VALUE"""),"garinii")</f>
        <v>garinii</v>
      </c>
      <c r="E812" t="str">
        <f>IFERROR(__xludf.DUMMYFUNCTION("""COMPUTED_VALUE"""),"PBi")</f>
        <v>PBi</v>
      </c>
    </row>
    <row r="813" ht="15.75" customHeight="1">
      <c r="A813" t="str">
        <f t="shared" si="1"/>
        <v>B.garinii</v>
      </c>
      <c r="B813" s="5" t="s">
        <v>841</v>
      </c>
      <c r="C813" s="6" t="str">
        <f>IFERROR(__xludf.DUMMYFUNCTION("SPLIT('2. c'!B813, "" "", True, True)"),"Borrelia")</f>
        <v>Borrelia</v>
      </c>
      <c r="D813" t="str">
        <f>IFERROR(__xludf.DUMMYFUNCTION("""COMPUTED_VALUE"""),"garinii")</f>
        <v>garinii</v>
      </c>
      <c r="E813" t="str">
        <f>IFERROR(__xludf.DUMMYFUNCTION("""COMPUTED_VALUE"""),"SZ")</f>
        <v>SZ</v>
      </c>
    </row>
    <row r="814" ht="15.75" customHeight="1">
      <c r="A814" t="str">
        <f t="shared" si="1"/>
        <v>B.hermsii</v>
      </c>
      <c r="B814" s="5" t="s">
        <v>842</v>
      </c>
      <c r="C814" s="6" t="str">
        <f>IFERROR(__xludf.DUMMYFUNCTION("SPLIT('2. c'!B814, "" "", True, True)"),"Borrelia")</f>
        <v>Borrelia</v>
      </c>
      <c r="D814" t="str">
        <f>IFERROR(__xludf.DUMMYFUNCTION("""COMPUTED_VALUE"""),"hermsii")</f>
        <v>hermsii</v>
      </c>
      <c r="E814" t="str">
        <f>IFERROR(__xludf.DUMMYFUNCTION("""COMPUTED_VALUE"""),"CC1")</f>
        <v>CC1</v>
      </c>
    </row>
    <row r="815" ht="15.75" customHeight="1">
      <c r="A815" t="str">
        <f t="shared" si="1"/>
        <v>B.hermsii</v>
      </c>
      <c r="B815" s="5" t="s">
        <v>843</v>
      </c>
      <c r="C815" s="6" t="str">
        <f>IFERROR(__xludf.DUMMYFUNCTION("SPLIT('2. c'!B815, "" "", True, True)"),"Borrelia")</f>
        <v>Borrelia</v>
      </c>
      <c r="D815" t="str">
        <f>IFERROR(__xludf.DUMMYFUNCTION("""COMPUTED_VALUE"""),"hermsii")</f>
        <v>hermsii</v>
      </c>
      <c r="E815" t="str">
        <f>IFERROR(__xludf.DUMMYFUNCTION("""COMPUTED_VALUE"""),"DAH")</f>
        <v>DAH</v>
      </c>
    </row>
    <row r="816" ht="15.75" customHeight="1">
      <c r="A816" t="str">
        <f t="shared" si="1"/>
        <v>B.hermsii</v>
      </c>
      <c r="B816" s="5" t="s">
        <v>844</v>
      </c>
      <c r="C816" s="6" t="str">
        <f>IFERROR(__xludf.DUMMYFUNCTION("SPLIT('2. c'!B816, "" "", True, True)"),"Borrelia")</f>
        <v>Borrelia</v>
      </c>
      <c r="D816" t="str">
        <f>IFERROR(__xludf.DUMMYFUNCTION("""COMPUTED_VALUE"""),"hermsii")</f>
        <v>hermsii</v>
      </c>
      <c r="E816" t="str">
        <f>IFERROR(__xludf.DUMMYFUNCTION("""COMPUTED_VALUE"""),"HS1")</f>
        <v>HS1</v>
      </c>
    </row>
    <row r="817" ht="15.75" customHeight="1">
      <c r="A817" t="str">
        <f t="shared" si="1"/>
        <v>B.hermsii</v>
      </c>
      <c r="B817" s="5" t="s">
        <v>845</v>
      </c>
      <c r="C817" s="6" t="str">
        <f>IFERROR(__xludf.DUMMYFUNCTION("SPLIT('2. c'!B817, "" "", True, True)"),"Borrelia")</f>
        <v>Borrelia</v>
      </c>
      <c r="D817" t="str">
        <f>IFERROR(__xludf.DUMMYFUNCTION("""COMPUTED_VALUE"""),"hermsii")</f>
        <v>hermsii</v>
      </c>
      <c r="E817" t="str">
        <f>IFERROR(__xludf.DUMMYFUNCTION("""COMPUTED_VALUE"""),"MTW")</f>
        <v>MTW</v>
      </c>
    </row>
    <row r="818" ht="15.75" customHeight="1">
      <c r="A818" t="str">
        <f t="shared" si="1"/>
        <v>B.hermsii</v>
      </c>
      <c r="B818" s="5" t="s">
        <v>846</v>
      </c>
      <c r="C818" s="6" t="str">
        <f>IFERROR(__xludf.DUMMYFUNCTION("SPLIT('2. c'!B818, "" "", True, True)"),"Borrelia")</f>
        <v>Borrelia</v>
      </c>
      <c r="D818" t="str">
        <f>IFERROR(__xludf.DUMMYFUNCTION("""COMPUTED_VALUE"""),"hermsii")</f>
        <v>hermsii</v>
      </c>
      <c r="E818" t="str">
        <f>IFERROR(__xludf.DUMMYFUNCTION("""COMPUTED_VALUE"""),"strain")</f>
        <v>strain</v>
      </c>
      <c r="F818" t="str">
        <f>IFERROR(__xludf.DUMMYFUNCTION("""COMPUTED_VALUE"""),"DAH-2E7")</f>
        <v>DAH-2E7</v>
      </c>
    </row>
    <row r="819" ht="15.75" customHeight="1">
      <c r="A819" t="str">
        <f t="shared" si="1"/>
        <v>B.hermsii</v>
      </c>
      <c r="B819" s="5" t="s">
        <v>847</v>
      </c>
      <c r="C819" s="6" t="str">
        <f>IFERROR(__xludf.DUMMYFUNCTION("SPLIT('2. c'!B819, "" "", True, True)"),"Borrelia")</f>
        <v>Borrelia</v>
      </c>
      <c r="D819" t="str">
        <f>IFERROR(__xludf.DUMMYFUNCTION("""COMPUTED_VALUE"""),"hermsii")</f>
        <v>hermsii</v>
      </c>
      <c r="E819" t="str">
        <f>IFERROR(__xludf.DUMMYFUNCTION("""COMPUTED_VALUE"""),"YBT")</f>
        <v>YBT</v>
      </c>
    </row>
    <row r="820" ht="15.75" customHeight="1">
      <c r="A820" t="str">
        <f t="shared" si="1"/>
        <v>B.hermsii</v>
      </c>
      <c r="B820" s="5" t="s">
        <v>848</v>
      </c>
      <c r="C820" s="6" t="str">
        <f>IFERROR(__xludf.DUMMYFUNCTION("SPLIT('2. c'!B820, "" "", True, True)"),"Borrelia")</f>
        <v>Borrelia</v>
      </c>
      <c r="D820" t="str">
        <f>IFERROR(__xludf.DUMMYFUNCTION("""COMPUTED_VALUE"""),"hermsii")</f>
        <v>hermsii</v>
      </c>
      <c r="E820" t="str">
        <f>IFERROR(__xludf.DUMMYFUNCTION("""COMPUTED_VALUE"""),"YOR")</f>
        <v>YOR</v>
      </c>
    </row>
    <row r="821" ht="15.75" customHeight="1">
      <c r="A821" t="str">
        <f t="shared" si="1"/>
        <v>B.miyamotoi</v>
      </c>
      <c r="B821" s="5" t="s">
        <v>849</v>
      </c>
      <c r="C821" s="6" t="str">
        <f>IFERROR(__xludf.DUMMYFUNCTION("SPLIT('2. c'!B821, "" "", True, True)"),"Borrelia")</f>
        <v>Borrelia</v>
      </c>
      <c r="D821" t="str">
        <f>IFERROR(__xludf.DUMMYFUNCTION("""COMPUTED_VALUE"""),"miyamotoi")</f>
        <v>miyamotoi</v>
      </c>
      <c r="E821" t="str">
        <f>IFERROR(__xludf.DUMMYFUNCTION("""COMPUTED_VALUE"""),"CT14D4")</f>
        <v>CT14D4</v>
      </c>
    </row>
    <row r="822" ht="15.75" customHeight="1">
      <c r="A822" t="str">
        <f t="shared" si="1"/>
        <v>B.miyamotoi</v>
      </c>
      <c r="B822" s="5" t="s">
        <v>850</v>
      </c>
      <c r="C822" s="6" t="str">
        <f>IFERROR(__xludf.DUMMYFUNCTION("SPLIT('2. c'!B822, "" "", True, True)"),"Borrelia")</f>
        <v>Borrelia</v>
      </c>
      <c r="D822" t="str">
        <f>IFERROR(__xludf.DUMMYFUNCTION("""COMPUTED_VALUE"""),"miyamotoi")</f>
        <v>miyamotoi</v>
      </c>
      <c r="E822" t="str">
        <f>IFERROR(__xludf.DUMMYFUNCTION("""COMPUTED_VALUE"""),"FR64b")</f>
        <v>FR64b</v>
      </c>
    </row>
    <row r="823" ht="15.75" customHeight="1">
      <c r="A823" t="str">
        <f t="shared" si="1"/>
        <v>B.miyamotoi</v>
      </c>
      <c r="B823" s="5" t="s">
        <v>851</v>
      </c>
      <c r="C823" s="6" t="str">
        <f>IFERROR(__xludf.DUMMYFUNCTION("SPLIT('2. c'!B823, "" "", True, True)"),"Borrelia")</f>
        <v>Borrelia</v>
      </c>
      <c r="D823" t="str">
        <f>IFERROR(__xludf.DUMMYFUNCTION("""COMPUTED_VALUE"""),"miyamotoi")</f>
        <v>miyamotoi</v>
      </c>
      <c r="E823" t="str">
        <f>IFERROR(__xludf.DUMMYFUNCTION("""COMPUTED_VALUE"""),"LB-2001")</f>
        <v>LB-2001</v>
      </c>
    </row>
    <row r="824" ht="15.75" customHeight="1">
      <c r="A824" t="str">
        <f t="shared" si="1"/>
        <v>B.parkeri</v>
      </c>
      <c r="B824" s="5" t="s">
        <v>852</v>
      </c>
      <c r="C824" s="6" t="str">
        <f>IFERROR(__xludf.DUMMYFUNCTION("SPLIT('2. c'!B824, "" "", True, True)"),"Borrelia")</f>
        <v>Borrelia</v>
      </c>
      <c r="D824" t="str">
        <f>IFERROR(__xludf.DUMMYFUNCTION("""COMPUTED_VALUE"""),"parkeri")</f>
        <v>parkeri</v>
      </c>
      <c r="E824" t="str">
        <f>IFERROR(__xludf.DUMMYFUNCTION("""COMPUTED_VALUE"""),"HR1")</f>
        <v>HR1</v>
      </c>
    </row>
    <row r="825" ht="15.75" customHeight="1">
      <c r="A825" t="str">
        <f t="shared" si="1"/>
        <v>B.parkeri</v>
      </c>
      <c r="B825" s="5" t="s">
        <v>853</v>
      </c>
      <c r="C825" s="6" t="str">
        <f>IFERROR(__xludf.DUMMYFUNCTION("SPLIT('2. c'!B825, "" "", True, True)"),"Borrelia")</f>
        <v>Borrelia</v>
      </c>
      <c r="D825" t="str">
        <f>IFERROR(__xludf.DUMMYFUNCTION("""COMPUTED_VALUE"""),"parkeri")</f>
        <v>parkeri</v>
      </c>
      <c r="E825" t="str">
        <f>IFERROR(__xludf.DUMMYFUNCTION("""COMPUTED_VALUE"""),"SLO")</f>
        <v>SLO</v>
      </c>
    </row>
    <row r="826" ht="15.75" customHeight="1">
      <c r="A826" t="str">
        <f t="shared" si="1"/>
        <v>B.recurrentis</v>
      </c>
      <c r="B826" s="5" t="s">
        <v>854</v>
      </c>
      <c r="C826" s="6" t="str">
        <f>IFERROR(__xludf.DUMMYFUNCTION("SPLIT('2. c'!B826, "" "", True, True)"),"Borrelia")</f>
        <v>Borrelia</v>
      </c>
      <c r="D826" t="str">
        <f>IFERROR(__xludf.DUMMYFUNCTION("""COMPUTED_VALUE"""),"recurrentis")</f>
        <v>recurrentis</v>
      </c>
      <c r="E826" t="str">
        <f>IFERROR(__xludf.DUMMYFUNCTION("""COMPUTED_VALUE"""),"A1")</f>
        <v>A1</v>
      </c>
    </row>
    <row r="827" ht="15.75" customHeight="1">
      <c r="A827" t="str">
        <f t="shared" si="1"/>
        <v>B.turicatae</v>
      </c>
      <c r="B827" s="5" t="s">
        <v>855</v>
      </c>
      <c r="C827" s="6" t="str">
        <f>IFERROR(__xludf.DUMMYFUNCTION("SPLIT('2. c'!B827, "" "", True, True)"),"Borrelia")</f>
        <v>Borrelia</v>
      </c>
      <c r="D827" t="str">
        <f>IFERROR(__xludf.DUMMYFUNCTION("""COMPUTED_VALUE"""),"turicatae")</f>
        <v>turicatae</v>
      </c>
      <c r="E827" s="35">
        <f>IFERROR(__xludf.DUMMYFUNCTION("""COMPUTED_VALUE"""),9.1E136)</f>
        <v>9.1E+136</v>
      </c>
    </row>
    <row r="828" ht="15.75" customHeight="1">
      <c r="A828" t="str">
        <f t="shared" si="1"/>
        <v>B.valaisiana</v>
      </c>
      <c r="B828" s="5" t="s">
        <v>856</v>
      </c>
      <c r="C828" s="6" t="str">
        <f>IFERROR(__xludf.DUMMYFUNCTION("SPLIT('2. c'!B828, "" "", True, True)"),"Borrelia")</f>
        <v>Borrelia</v>
      </c>
      <c r="D828" t="str">
        <f>IFERROR(__xludf.DUMMYFUNCTION("""COMPUTED_VALUE"""),"valaisiana")</f>
        <v>valaisiana</v>
      </c>
      <c r="E828" t="str">
        <f>IFERROR(__xludf.DUMMYFUNCTION("""COMPUTED_VALUE"""),"Tom4006")</f>
        <v>Tom4006</v>
      </c>
    </row>
    <row r="829" ht="15.75" customHeight="1">
      <c r="A829" t="str">
        <f t="shared" si="1"/>
        <v>B.sp.</v>
      </c>
      <c r="B829" s="5" t="s">
        <v>857</v>
      </c>
      <c r="C829" s="6" t="str">
        <f>IFERROR(__xludf.DUMMYFUNCTION("SPLIT('2. c'!B829, "" "", True, True)"),"Bosea")</f>
        <v>Bosea</v>
      </c>
      <c r="D829" t="str">
        <f>IFERROR(__xludf.DUMMYFUNCTION("""COMPUTED_VALUE"""),"sp.")</f>
        <v>sp.</v>
      </c>
      <c r="E829" t="str">
        <f>IFERROR(__xludf.DUMMYFUNCTION("""COMPUTED_VALUE"""),"PAMC")</f>
        <v>PAMC</v>
      </c>
      <c r="F829">
        <f>IFERROR(__xludf.DUMMYFUNCTION("""COMPUTED_VALUE"""),26642.0)</f>
        <v>26642</v>
      </c>
    </row>
    <row r="830" ht="15.75" customHeight="1">
      <c r="A830" t="str">
        <f t="shared" si="1"/>
        <v>B.faecium</v>
      </c>
      <c r="B830" s="5" t="s">
        <v>858</v>
      </c>
      <c r="C830" s="6" t="str">
        <f>IFERROR(__xludf.DUMMYFUNCTION("SPLIT('2. c'!B830, "" "", True, True)"),"Brachybacterium")</f>
        <v>Brachybacterium</v>
      </c>
      <c r="D830" t="str">
        <f>IFERROR(__xludf.DUMMYFUNCTION("""COMPUTED_VALUE"""),"faecium")</f>
        <v>faecium</v>
      </c>
      <c r="E830" t="str">
        <f>IFERROR(__xludf.DUMMYFUNCTION("""COMPUTED_VALUE"""),"DSM")</f>
        <v>DSM</v>
      </c>
      <c r="F830">
        <f>IFERROR(__xludf.DUMMYFUNCTION("""COMPUTED_VALUE"""),4810.0)</f>
        <v>4810</v>
      </c>
    </row>
    <row r="831" ht="15.75" customHeight="1">
      <c r="A831" t="str">
        <f t="shared" si="1"/>
        <v>B.hyodysenteriae</v>
      </c>
      <c r="B831" s="5" t="s">
        <v>859</v>
      </c>
      <c r="C831" s="6" t="str">
        <f>IFERROR(__xludf.DUMMYFUNCTION("SPLIT('2. c'!B831, "" "", True, True)"),"Brachyspira")</f>
        <v>Brachyspira</v>
      </c>
      <c r="D831" t="str">
        <f>IFERROR(__xludf.DUMMYFUNCTION("""COMPUTED_VALUE"""),"hyodysenteriae")</f>
        <v>hyodysenteriae</v>
      </c>
      <c r="E831" t="str">
        <f>IFERROR(__xludf.DUMMYFUNCTION("""COMPUTED_VALUE"""),"ATCC")</f>
        <v>ATCC</v>
      </c>
      <c r="F831">
        <f>IFERROR(__xludf.DUMMYFUNCTION("""COMPUTED_VALUE"""),27164.0)</f>
        <v>27164</v>
      </c>
    </row>
    <row r="832" ht="15.75" customHeight="1">
      <c r="A832" t="str">
        <f t="shared" si="1"/>
        <v>B.hyodysenteriae</v>
      </c>
      <c r="B832" s="5" t="s">
        <v>860</v>
      </c>
      <c r="C832" s="6" t="str">
        <f>IFERROR(__xludf.DUMMYFUNCTION("SPLIT('2. c'!B832, "" "", True, True)"),"Brachyspira")</f>
        <v>Brachyspira</v>
      </c>
      <c r="D832" t="str">
        <f>IFERROR(__xludf.DUMMYFUNCTION("""COMPUTED_VALUE"""),"hyodysenteriae")</f>
        <v>hyodysenteriae</v>
      </c>
      <c r="E832" t="str">
        <f>IFERROR(__xludf.DUMMYFUNCTION("""COMPUTED_VALUE"""),"WA1")</f>
        <v>WA1</v>
      </c>
    </row>
    <row r="833" ht="15.75" customHeight="1">
      <c r="A833" t="str">
        <f t="shared" si="1"/>
        <v>B.intermedia</v>
      </c>
      <c r="B833" s="5" t="s">
        <v>861</v>
      </c>
      <c r="C833" s="6" t="str">
        <f>IFERROR(__xludf.DUMMYFUNCTION("SPLIT('2. c'!B833, "" "", True, True)"),"Brachyspira")</f>
        <v>Brachyspira</v>
      </c>
      <c r="D833" t="str">
        <f>IFERROR(__xludf.DUMMYFUNCTION("""COMPUTED_VALUE"""),"intermedia")</f>
        <v>intermedia</v>
      </c>
      <c r="E833" t="str">
        <f>IFERROR(__xludf.DUMMYFUNCTION("""COMPUTED_VALUE"""),"PWS/A")</f>
        <v>PWS/A</v>
      </c>
    </row>
    <row r="834" ht="15.75" customHeight="1">
      <c r="A834" t="str">
        <f t="shared" si="1"/>
        <v>B.murdochii</v>
      </c>
      <c r="B834" s="5" t="s">
        <v>862</v>
      </c>
      <c r="C834" s="6" t="str">
        <f>IFERROR(__xludf.DUMMYFUNCTION("SPLIT('2. c'!B834, "" "", True, True)"),"Brachyspira")</f>
        <v>Brachyspira</v>
      </c>
      <c r="D834" t="str">
        <f>IFERROR(__xludf.DUMMYFUNCTION("""COMPUTED_VALUE"""),"murdochii")</f>
        <v>murdochii</v>
      </c>
      <c r="E834" t="str">
        <f>IFERROR(__xludf.DUMMYFUNCTION("""COMPUTED_VALUE"""),"DSM")</f>
        <v>DSM</v>
      </c>
      <c r="F834">
        <f>IFERROR(__xludf.DUMMYFUNCTION("""COMPUTED_VALUE"""),12563.0)</f>
        <v>12563</v>
      </c>
    </row>
    <row r="835" ht="15.75" customHeight="1">
      <c r="A835" t="str">
        <f t="shared" si="1"/>
        <v>B.pilosicoli</v>
      </c>
      <c r="B835" s="5" t="s">
        <v>863</v>
      </c>
      <c r="C835" s="6" t="str">
        <f>IFERROR(__xludf.DUMMYFUNCTION("SPLIT('2. c'!B835, "" "", True, True)"),"Brachyspira")</f>
        <v>Brachyspira</v>
      </c>
      <c r="D835" t="str">
        <f>IFERROR(__xludf.DUMMYFUNCTION("""COMPUTED_VALUE"""),"pilosicoli")</f>
        <v>pilosicoli</v>
      </c>
      <c r="E835" t="str">
        <f>IFERROR(__xludf.DUMMYFUNCTION("""COMPUTED_VALUE"""),"95/1000")</f>
        <v>95/1000</v>
      </c>
    </row>
    <row r="836" ht="15.75" customHeight="1">
      <c r="A836" t="str">
        <f t="shared" si="1"/>
        <v>B.pilosicoli</v>
      </c>
      <c r="B836" s="5" t="s">
        <v>864</v>
      </c>
      <c r="C836" s="6" t="str">
        <f>IFERROR(__xludf.DUMMYFUNCTION("SPLIT('2. c'!B836, "" "", True, True)"),"Brachyspira")</f>
        <v>Brachyspira</v>
      </c>
      <c r="D836" t="str">
        <f>IFERROR(__xludf.DUMMYFUNCTION("""COMPUTED_VALUE"""),"pilosicoli")</f>
        <v>pilosicoli</v>
      </c>
      <c r="E836" t="str">
        <f>IFERROR(__xludf.DUMMYFUNCTION("""COMPUTED_VALUE"""),"B2904")</f>
        <v>B2904</v>
      </c>
    </row>
    <row r="837" ht="15.75" customHeight="1">
      <c r="A837" t="str">
        <f t="shared" si="1"/>
        <v>B.pilosicoli</v>
      </c>
      <c r="B837" s="5" t="s">
        <v>865</v>
      </c>
      <c r="C837" s="6" t="str">
        <f>IFERROR(__xludf.DUMMYFUNCTION("SPLIT('2. c'!B837, "" "", True, True)"),"Brachyspira")</f>
        <v>Brachyspira</v>
      </c>
      <c r="D837" t="str">
        <f>IFERROR(__xludf.DUMMYFUNCTION("""COMPUTED_VALUE"""),"pilosicoli")</f>
        <v>pilosicoli</v>
      </c>
      <c r="E837" t="str">
        <f>IFERROR(__xludf.DUMMYFUNCTION("""COMPUTED_VALUE"""),"P43/6/78")</f>
        <v>P43/6/78</v>
      </c>
    </row>
    <row r="838" ht="15.75" customHeight="1">
      <c r="A838" t="str">
        <f t="shared" si="1"/>
        <v>B.pilosicoli</v>
      </c>
      <c r="B838" s="5" t="s">
        <v>866</v>
      </c>
      <c r="C838" s="6" t="str">
        <f>IFERROR(__xludf.DUMMYFUNCTION("SPLIT('2. c'!B838, "" "", True, True)"),"Brachyspira")</f>
        <v>Brachyspira</v>
      </c>
      <c r="D838" t="str">
        <f>IFERROR(__xludf.DUMMYFUNCTION("""COMPUTED_VALUE"""),"pilosicoli")</f>
        <v>pilosicoli</v>
      </c>
      <c r="E838" t="str">
        <f>IFERROR(__xludf.DUMMYFUNCTION("""COMPUTED_VALUE"""),"WesB")</f>
        <v>WesB</v>
      </c>
    </row>
    <row r="839" ht="15.75" customHeight="1">
      <c r="A839" t="str">
        <f t="shared" si="1"/>
        <v>B.diazoefficiens</v>
      </c>
      <c r="B839" s="5" t="s">
        <v>867</v>
      </c>
      <c r="C839" s="6" t="str">
        <f>IFERROR(__xludf.DUMMYFUNCTION("SPLIT('2. c'!B839, "" "", True, True)"),"Bradyrhizobium")</f>
        <v>Bradyrhizobium</v>
      </c>
      <c r="D839" t="str">
        <f>IFERROR(__xludf.DUMMYFUNCTION("""COMPUTED_VALUE"""),"diazoefficiens")</f>
        <v>diazoefficiens</v>
      </c>
      <c r="E839" t="str">
        <f>IFERROR(__xludf.DUMMYFUNCTION("""COMPUTED_VALUE"""),"strain")</f>
        <v>strain</v>
      </c>
      <c r="F839" t="str">
        <f>IFERROR(__xludf.DUMMYFUNCTION("""COMPUTED_VALUE"""),"NK6")</f>
        <v>NK6</v>
      </c>
    </row>
    <row r="840" ht="15.75" customHeight="1">
      <c r="A840" t="str">
        <f t="shared" si="1"/>
        <v>B.diazoefficiens</v>
      </c>
      <c r="B840" s="5" t="s">
        <v>868</v>
      </c>
      <c r="C840" s="6" t="str">
        <f>IFERROR(__xludf.DUMMYFUNCTION("SPLIT('2. c'!B840, "" "", True, True)"),"Bradyrhizobium")</f>
        <v>Bradyrhizobium</v>
      </c>
      <c r="D840" t="str">
        <f>IFERROR(__xludf.DUMMYFUNCTION("""COMPUTED_VALUE"""),"diazoefficiens")</f>
        <v>diazoefficiens</v>
      </c>
      <c r="E840" t="str">
        <f>IFERROR(__xludf.DUMMYFUNCTION("""COMPUTED_VALUE"""),"USDA")</f>
        <v>USDA</v>
      </c>
      <c r="F840">
        <f>IFERROR(__xludf.DUMMYFUNCTION("""COMPUTED_VALUE"""),110.0)</f>
        <v>110</v>
      </c>
    </row>
    <row r="841" ht="15.75" customHeight="1">
      <c r="A841" t="str">
        <f t="shared" si="1"/>
        <v>B.japonicum</v>
      </c>
      <c r="B841" s="5" t="s">
        <v>869</v>
      </c>
      <c r="C841" s="6" t="str">
        <f>IFERROR(__xludf.DUMMYFUNCTION("SPLIT('2. c'!B841, "" "", True, True)"),"Bradyrhizobium")</f>
        <v>Bradyrhizobium</v>
      </c>
      <c r="D841" t="str">
        <f>IFERROR(__xludf.DUMMYFUNCTION("""COMPUTED_VALUE"""),"japonicum")</f>
        <v>japonicum</v>
      </c>
      <c r="E841" t="str">
        <f>IFERROR(__xludf.DUMMYFUNCTION("""COMPUTED_VALUE"""),"E109")</f>
        <v>E109</v>
      </c>
    </row>
    <row r="842" ht="15.75" customHeight="1">
      <c r="A842" t="str">
        <f t="shared" si="1"/>
        <v>B.japonicum</v>
      </c>
      <c r="B842" s="5" t="s">
        <v>870</v>
      </c>
      <c r="C842" s="6" t="str">
        <f>IFERROR(__xludf.DUMMYFUNCTION("SPLIT('2. c'!B842, "" "", True, True)"),"Bradyrhizobium")</f>
        <v>Bradyrhizobium</v>
      </c>
      <c r="D842" t="str">
        <f>IFERROR(__xludf.DUMMYFUNCTION("""COMPUTED_VALUE"""),"japonicum")</f>
        <v>japonicum</v>
      </c>
      <c r="E842" t="str">
        <f>IFERROR(__xludf.DUMMYFUNCTION("""COMPUTED_VALUE"""),"SEMIA")</f>
        <v>SEMIA</v>
      </c>
      <c r="F842">
        <f>IFERROR(__xludf.DUMMYFUNCTION("""COMPUTED_VALUE"""),5079.0)</f>
        <v>5079</v>
      </c>
    </row>
    <row r="843" ht="15.75" customHeight="1">
      <c r="A843" t="str">
        <f t="shared" si="1"/>
        <v>B.japonicum</v>
      </c>
      <c r="B843" s="5" t="s">
        <v>871</v>
      </c>
      <c r="C843" s="6" t="str">
        <f>IFERROR(__xludf.DUMMYFUNCTION("SPLIT('2. c'!B843, "" "", True, True)"),"Bradyrhizobium")</f>
        <v>Bradyrhizobium</v>
      </c>
      <c r="D843" t="str">
        <f>IFERROR(__xludf.DUMMYFUNCTION("""COMPUTED_VALUE"""),"japonicum")</f>
        <v>japonicum</v>
      </c>
      <c r="E843" t="str">
        <f>IFERROR(__xludf.DUMMYFUNCTION("""COMPUTED_VALUE"""),"USDA")</f>
        <v>USDA</v>
      </c>
      <c r="F843">
        <f>IFERROR(__xludf.DUMMYFUNCTION("""COMPUTED_VALUE"""),110.0)</f>
        <v>110</v>
      </c>
    </row>
    <row r="844" ht="15.75" customHeight="1">
      <c r="A844" t="str">
        <f t="shared" si="1"/>
        <v>B.japonicum</v>
      </c>
      <c r="B844" s="5" t="s">
        <v>872</v>
      </c>
      <c r="C844" s="6" t="str">
        <f>IFERROR(__xludf.DUMMYFUNCTION("SPLIT('2. c'!B844, "" "", True, True)"),"Bradyrhizobium")</f>
        <v>Bradyrhizobium</v>
      </c>
      <c r="D844" t="str">
        <f>IFERROR(__xludf.DUMMYFUNCTION("""COMPUTED_VALUE"""),"japonicum")</f>
        <v>japonicum</v>
      </c>
      <c r="E844" t="str">
        <f>IFERROR(__xludf.DUMMYFUNCTION("""COMPUTED_VALUE"""),"USDA")</f>
        <v>USDA</v>
      </c>
      <c r="F844">
        <f>IFERROR(__xludf.DUMMYFUNCTION("""COMPUTED_VALUE"""),6.0)</f>
        <v>6</v>
      </c>
    </row>
    <row r="845" ht="15.75" customHeight="1">
      <c r="A845" t="str">
        <f t="shared" si="1"/>
        <v>B.oligotrophicum</v>
      </c>
      <c r="B845" s="5" t="s">
        <v>873</v>
      </c>
      <c r="C845" s="6" t="str">
        <f>IFERROR(__xludf.DUMMYFUNCTION("SPLIT('2. c'!B845, "" "", True, True)"),"Bradyrhizobium")</f>
        <v>Bradyrhizobium</v>
      </c>
      <c r="D845" t="str">
        <f>IFERROR(__xludf.DUMMYFUNCTION("""COMPUTED_VALUE"""),"oligotrophicum")</f>
        <v>oligotrophicum</v>
      </c>
      <c r="E845" t="str">
        <f>IFERROR(__xludf.DUMMYFUNCTION("""COMPUTED_VALUE"""),"S58")</f>
        <v>S58</v>
      </c>
    </row>
    <row r="846" ht="15.75" customHeight="1">
      <c r="A846" t="str">
        <f t="shared" si="1"/>
        <v>B.sp.</v>
      </c>
      <c r="B846" s="5" t="s">
        <v>874</v>
      </c>
      <c r="C846" s="6" t="str">
        <f>IFERROR(__xludf.DUMMYFUNCTION("SPLIT('2. c'!B846, "" "", True, True)"),"Bradyrhizobium")</f>
        <v>Bradyrhizobium</v>
      </c>
      <c r="D846" t="str">
        <f>IFERROR(__xludf.DUMMYFUNCTION("""COMPUTED_VALUE"""),"sp.")</f>
        <v>sp.</v>
      </c>
      <c r="E846" t="str">
        <f>IFERROR(__xludf.DUMMYFUNCTION("""COMPUTED_VALUE"""),"BTAi1")</f>
        <v>BTAi1</v>
      </c>
    </row>
    <row r="847" ht="15.75" customHeight="1">
      <c r="A847" t="str">
        <f t="shared" si="1"/>
        <v>B.sp.</v>
      </c>
      <c r="B847" s="5" t="s">
        <v>875</v>
      </c>
      <c r="C847" s="6" t="str">
        <f>IFERROR(__xludf.DUMMYFUNCTION("SPLIT('2. c'!B847, "" "", True, True)"),"Bradyrhizobium")</f>
        <v>Bradyrhizobium</v>
      </c>
      <c r="D847" t="str">
        <f>IFERROR(__xludf.DUMMYFUNCTION("""COMPUTED_VALUE"""),"sp.")</f>
        <v>sp.</v>
      </c>
      <c r="E847" t="str">
        <f>IFERROR(__xludf.DUMMYFUNCTION("""COMPUTED_VALUE"""),"ORS")</f>
        <v>ORS</v>
      </c>
      <c r="F847">
        <f>IFERROR(__xludf.DUMMYFUNCTION("""COMPUTED_VALUE"""),278.0)</f>
        <v>278</v>
      </c>
    </row>
    <row r="848" ht="15.75" customHeight="1">
      <c r="A848" t="str">
        <f t="shared" si="1"/>
        <v>B.sp.</v>
      </c>
      <c r="B848" s="5" t="s">
        <v>876</v>
      </c>
      <c r="C848" s="6" t="str">
        <f>IFERROR(__xludf.DUMMYFUNCTION("SPLIT('2. c'!B848, "" "", True, True)"),"Bradyrhizobium")</f>
        <v>Bradyrhizobium</v>
      </c>
      <c r="D848" t="str">
        <f>IFERROR(__xludf.DUMMYFUNCTION("""COMPUTED_VALUE"""),"sp.")</f>
        <v>sp.</v>
      </c>
      <c r="E848" t="str">
        <f>IFERROR(__xludf.DUMMYFUNCTION("""COMPUTED_VALUE"""),"S23321")</f>
        <v>S23321</v>
      </c>
    </row>
    <row r="849" ht="15.75" customHeight="1">
      <c r="A849" t="str">
        <f t="shared" si="1"/>
        <v>B.sp.</v>
      </c>
      <c r="B849" s="5" t="s">
        <v>877</v>
      </c>
      <c r="C849" s="6" t="str">
        <f>IFERROR(__xludf.DUMMYFUNCTION("SPLIT('2. c'!B849, "" "", True, True)"),"Bradyrhizobium")</f>
        <v>Bradyrhizobium</v>
      </c>
      <c r="D849" t="str">
        <f>IFERROR(__xludf.DUMMYFUNCTION("""COMPUTED_VALUE"""),"sp.")</f>
        <v>sp.</v>
      </c>
      <c r="E849" t="str">
        <f>IFERROR(__xludf.DUMMYFUNCTION("""COMPUTED_VALUE"""),"strain")</f>
        <v>strain</v>
      </c>
      <c r="F849" t="str">
        <f>IFERROR(__xludf.DUMMYFUNCTION("""COMPUTED_VALUE"""),"BF49_genome1")</f>
        <v>BF49_genome1</v>
      </c>
    </row>
    <row r="850" ht="15.75" customHeight="1">
      <c r="A850" t="str">
        <f t="shared" si="1"/>
        <v>B.goodwinii</v>
      </c>
      <c r="B850" s="5" t="s">
        <v>878</v>
      </c>
      <c r="C850" s="6" t="str">
        <f>IFERROR(__xludf.DUMMYFUNCTION("SPLIT('2. c'!B850, "" "", True, True)"),"Brenneria")</f>
        <v>Brenneria</v>
      </c>
      <c r="D850" t="str">
        <f>IFERROR(__xludf.DUMMYFUNCTION("""COMPUTED_VALUE"""),"goodwinii")</f>
        <v>goodwinii</v>
      </c>
      <c r="E850" t="str">
        <f>IFERROR(__xludf.DUMMYFUNCTION("""COMPUTED_VALUE"""),"strain")</f>
        <v>strain</v>
      </c>
      <c r="F850" t="str">
        <f>IFERROR(__xludf.DUMMYFUNCTION("""COMPUTED_VALUE"""),"OBR1")</f>
        <v>OBR1</v>
      </c>
    </row>
    <row r="851" ht="15.75" customHeight="1">
      <c r="A851" t="str">
        <f t="shared" si="1"/>
        <v>B.brevis</v>
      </c>
      <c r="B851" s="5" t="s">
        <v>879</v>
      </c>
      <c r="C851" s="6" t="str">
        <f>IFERROR(__xludf.DUMMYFUNCTION("SPLIT('2. c'!B851, "" "", True, True)"),"Brevibacillus")</f>
        <v>Brevibacillus</v>
      </c>
      <c r="D851" t="str">
        <f>IFERROR(__xludf.DUMMYFUNCTION("""COMPUTED_VALUE"""),"brevis")</f>
        <v>brevis</v>
      </c>
      <c r="E851" t="str">
        <f>IFERROR(__xludf.DUMMYFUNCTION("""COMPUTED_VALUE"""),"NBRC")</f>
        <v>NBRC</v>
      </c>
      <c r="F851">
        <f>IFERROR(__xludf.DUMMYFUNCTION("""COMPUTED_VALUE"""),100599.0)</f>
        <v>100599</v>
      </c>
    </row>
    <row r="852" ht="15.75" customHeight="1">
      <c r="A852" t="str">
        <f t="shared" si="1"/>
        <v>B.epidermidis</v>
      </c>
      <c r="B852" s="5" t="s">
        <v>880</v>
      </c>
      <c r="C852" s="6" t="str">
        <f>IFERROR(__xludf.DUMMYFUNCTION("SPLIT('2. c'!B852, "" "", True, True)"),"Brevibacterium")</f>
        <v>Brevibacterium</v>
      </c>
      <c r="D852" t="str">
        <f>IFERROR(__xludf.DUMMYFUNCTION("""COMPUTED_VALUE"""),"epidermidis")</f>
        <v>epidermidis</v>
      </c>
      <c r="E852" t="str">
        <f>IFERROR(__xludf.DUMMYFUNCTION("""COMPUTED_VALUE"""),"strain")</f>
        <v>strain</v>
      </c>
      <c r="F852" t="str">
        <f>IFERROR(__xludf.DUMMYFUNCTION("""COMPUTED_VALUE"""),"BS258")</f>
        <v>BS258</v>
      </c>
    </row>
    <row r="853" ht="15.75" customHeight="1">
      <c r="A853" t="str">
        <f t="shared" si="1"/>
        <v>B.sp.</v>
      </c>
      <c r="B853" s="5" t="s">
        <v>881</v>
      </c>
      <c r="C853" s="6" t="str">
        <f>IFERROR(__xludf.DUMMYFUNCTION("SPLIT('2. c'!B853, "" "", True, True)"),"Brevundimonas")</f>
        <v>Brevundimonas</v>
      </c>
      <c r="D853" t="str">
        <f>IFERROR(__xludf.DUMMYFUNCTION("""COMPUTED_VALUE"""),"sp.")</f>
        <v>sp.</v>
      </c>
      <c r="E853" t="str">
        <f>IFERROR(__xludf.DUMMYFUNCTION("""COMPUTED_VALUE"""),"DS20")</f>
        <v>DS20</v>
      </c>
    </row>
    <row r="854" ht="15.75" customHeight="1">
      <c r="A854" t="str">
        <f t="shared" si="1"/>
        <v>B.sp.</v>
      </c>
      <c r="B854" s="5" t="s">
        <v>882</v>
      </c>
      <c r="C854" s="6" t="str">
        <f>IFERROR(__xludf.DUMMYFUNCTION("SPLIT('2. c'!B854, "" "", True, True)"),"Brevundimonas")</f>
        <v>Brevundimonas</v>
      </c>
      <c r="D854" t="str">
        <f>IFERROR(__xludf.DUMMYFUNCTION("""COMPUTED_VALUE"""),"sp.")</f>
        <v>sp.</v>
      </c>
      <c r="E854" t="str">
        <f>IFERROR(__xludf.DUMMYFUNCTION("""COMPUTED_VALUE"""),"GW460-12-10-14-LB2")</f>
        <v>GW460-12-10-14-LB2</v>
      </c>
    </row>
    <row r="855" ht="15.75" customHeight="1">
      <c r="A855" t="str">
        <f t="shared" si="1"/>
        <v>B.subvibrioides</v>
      </c>
      <c r="B855" s="5" t="s">
        <v>883</v>
      </c>
      <c r="C855" s="6" t="str">
        <f>IFERROR(__xludf.DUMMYFUNCTION("SPLIT('2. c'!B855, "" "", True, True)"),"Brevundimonas")</f>
        <v>Brevundimonas</v>
      </c>
      <c r="D855" t="str">
        <f>IFERROR(__xludf.DUMMYFUNCTION("""COMPUTED_VALUE"""),"subvibrioides")</f>
        <v>subvibrioides</v>
      </c>
      <c r="E855" t="str">
        <f>IFERROR(__xludf.DUMMYFUNCTION("""COMPUTED_VALUE"""),"ATCC")</f>
        <v>ATCC</v>
      </c>
      <c r="F855">
        <f>IFERROR(__xludf.DUMMYFUNCTION("""COMPUTED_VALUE"""),15264.0)</f>
        <v>15264</v>
      </c>
    </row>
    <row r="856" ht="15.75" customHeight="1">
      <c r="A856" t="str">
        <f t="shared" si="1"/>
        <v>B.abortus</v>
      </c>
      <c r="B856" s="5" t="s">
        <v>884</v>
      </c>
      <c r="C856" s="6" t="str">
        <f>IFERROR(__xludf.DUMMYFUNCTION("SPLIT('2. c'!B856, "" "", True, True)"),"Brucella")</f>
        <v>Brucella</v>
      </c>
      <c r="D856" t="str">
        <f>IFERROR(__xludf.DUMMYFUNCTION("""COMPUTED_VALUE"""),"abortus")</f>
        <v>abortus</v>
      </c>
      <c r="E856" t="str">
        <f>IFERROR(__xludf.DUMMYFUNCTION("""COMPUTED_VALUE"""),"104M")</f>
        <v>104M</v>
      </c>
    </row>
    <row r="857" ht="15.75" customHeight="1">
      <c r="A857" t="str">
        <f t="shared" si="1"/>
        <v>B.abortus</v>
      </c>
      <c r="B857" s="5" t="s">
        <v>885</v>
      </c>
      <c r="C857" s="6" t="str">
        <f>IFERROR(__xludf.DUMMYFUNCTION("SPLIT('2. c'!B857, "" "", True, True)"),"Brucella")</f>
        <v>Brucella</v>
      </c>
      <c r="D857" t="str">
        <f>IFERROR(__xludf.DUMMYFUNCTION("""COMPUTED_VALUE"""),"abortus")</f>
        <v>abortus</v>
      </c>
      <c r="E857" t="str">
        <f>IFERROR(__xludf.DUMMYFUNCTION("""COMPUTED_VALUE"""),"A13334")</f>
        <v>A13334</v>
      </c>
    </row>
    <row r="858" ht="15.75" customHeight="1">
      <c r="A858" t="str">
        <f t="shared" si="1"/>
        <v>B.abortus</v>
      </c>
      <c r="B858" s="5" t="s">
        <v>886</v>
      </c>
      <c r="C858" s="6" t="str">
        <f>IFERROR(__xludf.DUMMYFUNCTION("SPLIT('2. c'!B858, "" "", True, True)"),"Brucella")</f>
        <v>Brucella</v>
      </c>
      <c r="D858" t="str">
        <f>IFERROR(__xludf.DUMMYFUNCTION("""COMPUTED_VALUE"""),"abortus")</f>
        <v>abortus</v>
      </c>
      <c r="E858" t="str">
        <f>IFERROR(__xludf.DUMMYFUNCTION("""COMPUTED_VALUE"""),"bv.")</f>
        <v>bv.</v>
      </c>
      <c r="F858">
        <f>IFERROR(__xludf.DUMMYFUNCTION("""COMPUTED_VALUE"""),1.0)</f>
        <v>1</v>
      </c>
      <c r="G858" t="str">
        <f>IFERROR(__xludf.DUMMYFUNCTION("""COMPUTED_VALUE"""),"str.")</f>
        <v>str.</v>
      </c>
      <c r="H858" t="str">
        <f>IFERROR(__xludf.DUMMYFUNCTION("""COMPUTED_VALUE"""),"9-941")</f>
        <v>9-941</v>
      </c>
    </row>
    <row r="859" ht="15.75" customHeight="1">
      <c r="A859" t="str">
        <f t="shared" si="1"/>
        <v>B.abortus</v>
      </c>
      <c r="B859" s="5" t="s">
        <v>887</v>
      </c>
      <c r="C859" s="6" t="str">
        <f>IFERROR(__xludf.DUMMYFUNCTION("SPLIT('2. c'!B859, "" "", True, True)"),"Brucella")</f>
        <v>Brucella</v>
      </c>
      <c r="D859" t="str">
        <f>IFERROR(__xludf.DUMMYFUNCTION("""COMPUTED_VALUE"""),"abortus")</f>
        <v>abortus</v>
      </c>
      <c r="E859" t="str">
        <f>IFERROR(__xludf.DUMMYFUNCTION("""COMPUTED_VALUE"""),"bv.")</f>
        <v>bv.</v>
      </c>
      <c r="F859">
        <f>IFERROR(__xludf.DUMMYFUNCTION("""COMPUTED_VALUE"""),2.0)</f>
        <v>2</v>
      </c>
      <c r="G859" t="str">
        <f>IFERROR(__xludf.DUMMYFUNCTION("""COMPUTED_VALUE"""),"str.")</f>
        <v>str.</v>
      </c>
      <c r="H859" t="str">
        <f>IFERROR(__xludf.DUMMYFUNCTION("""COMPUTED_VALUE"""),"86/8/59")</f>
        <v>86/8/59</v>
      </c>
    </row>
    <row r="860" ht="15.75" customHeight="1">
      <c r="A860" t="str">
        <f t="shared" si="1"/>
        <v>B.abortus</v>
      </c>
      <c r="B860" s="5" t="s">
        <v>888</v>
      </c>
      <c r="C860" s="6" t="str">
        <f>IFERROR(__xludf.DUMMYFUNCTION("SPLIT('2. c'!B860, "" "", True, True)"),"Brucella")</f>
        <v>Brucella</v>
      </c>
      <c r="D860" t="str">
        <f>IFERROR(__xludf.DUMMYFUNCTION("""COMPUTED_VALUE"""),"abortus")</f>
        <v>abortus</v>
      </c>
      <c r="E860" t="str">
        <f>IFERROR(__xludf.DUMMYFUNCTION("""COMPUTED_VALUE"""),"bv.")</f>
        <v>bv.</v>
      </c>
      <c r="F860">
        <f>IFERROR(__xludf.DUMMYFUNCTION("""COMPUTED_VALUE"""),6.0)</f>
        <v>6</v>
      </c>
      <c r="G860" t="str">
        <f>IFERROR(__xludf.DUMMYFUNCTION("""COMPUTED_VALUE"""),"str.")</f>
        <v>str.</v>
      </c>
      <c r="H860">
        <f>IFERROR(__xludf.DUMMYFUNCTION("""COMPUTED_VALUE"""),870.0)</f>
        <v>870</v>
      </c>
    </row>
    <row r="861" ht="15.75" customHeight="1">
      <c r="A861" t="str">
        <f t="shared" si="1"/>
        <v>B.abortus</v>
      </c>
      <c r="B861" s="5" t="s">
        <v>889</v>
      </c>
      <c r="C861" s="6" t="str">
        <f>IFERROR(__xludf.DUMMYFUNCTION("SPLIT('2. c'!B861, "" "", True, True)"),"Brucella")</f>
        <v>Brucella</v>
      </c>
      <c r="D861" t="str">
        <f>IFERROR(__xludf.DUMMYFUNCTION("""COMPUTED_VALUE"""),"abortus")</f>
        <v>abortus</v>
      </c>
      <c r="E861" t="str">
        <f>IFERROR(__xludf.DUMMYFUNCTION("""COMPUTED_VALUE"""),"bv.")</f>
        <v>bv.</v>
      </c>
      <c r="F861">
        <f>IFERROR(__xludf.DUMMYFUNCTION("""COMPUTED_VALUE"""),9.0)</f>
        <v>9</v>
      </c>
      <c r="G861" t="str">
        <f>IFERROR(__xludf.DUMMYFUNCTION("""COMPUTED_VALUE"""),"str.")</f>
        <v>str.</v>
      </c>
      <c r="H861" t="str">
        <f>IFERROR(__xludf.DUMMYFUNCTION("""COMPUTED_VALUE"""),"C68")</f>
        <v>C68</v>
      </c>
    </row>
    <row r="862" ht="15.75" customHeight="1">
      <c r="A862" t="str">
        <f t="shared" si="1"/>
        <v>B.abortus</v>
      </c>
      <c r="B862" s="5" t="s">
        <v>890</v>
      </c>
      <c r="C862" s="6" t="str">
        <f>IFERROR(__xludf.DUMMYFUNCTION("SPLIT('2. c'!B862, "" "", True, True)"),"Brucella")</f>
        <v>Brucella</v>
      </c>
      <c r="D862" t="str">
        <f>IFERROR(__xludf.DUMMYFUNCTION("""COMPUTED_VALUE"""),"abortus")</f>
        <v>abortus</v>
      </c>
      <c r="E862" t="str">
        <f>IFERROR(__xludf.DUMMYFUNCTION("""COMPUTED_VALUE"""),"S19")</f>
        <v>S19</v>
      </c>
    </row>
    <row r="863" ht="15.75" customHeight="1">
      <c r="A863" t="str">
        <f t="shared" si="1"/>
        <v>B.abortus</v>
      </c>
      <c r="B863" s="5" t="s">
        <v>891</v>
      </c>
      <c r="C863" s="6" t="str">
        <f>IFERROR(__xludf.DUMMYFUNCTION("SPLIT('2. c'!B863, "" "", True, True)"),"Brucella")</f>
        <v>Brucella</v>
      </c>
      <c r="D863" t="str">
        <f>IFERROR(__xludf.DUMMYFUNCTION("""COMPUTED_VALUE"""),"abortus")</f>
        <v>abortus</v>
      </c>
      <c r="E863" t="str">
        <f>IFERROR(__xludf.DUMMYFUNCTION("""COMPUTED_VALUE"""),"strain")</f>
        <v>strain</v>
      </c>
      <c r="F863">
        <f>IFERROR(__xludf.DUMMYFUNCTION("""COMPUTED_VALUE"""),3196.0)</f>
        <v>3196</v>
      </c>
    </row>
    <row r="864" ht="15.75" customHeight="1">
      <c r="A864" t="str">
        <f t="shared" si="1"/>
        <v>B.abortus</v>
      </c>
      <c r="B864" s="5" t="s">
        <v>892</v>
      </c>
      <c r="C864" s="6" t="str">
        <f>IFERROR(__xludf.DUMMYFUNCTION("SPLIT('2. c'!B864, "" "", True, True)"),"Brucella")</f>
        <v>Brucella</v>
      </c>
      <c r="D864" t="str">
        <f>IFERROR(__xludf.DUMMYFUNCTION("""COMPUTED_VALUE"""),"abortus")</f>
        <v>abortus</v>
      </c>
      <c r="E864" t="str">
        <f>IFERROR(__xludf.DUMMYFUNCTION("""COMPUTED_VALUE"""),"strain")</f>
        <v>strain</v>
      </c>
      <c r="F864">
        <f>IFERROR(__xludf.DUMMYFUNCTION("""COMPUTED_VALUE"""),63.0)</f>
        <v>63</v>
      </c>
      <c r="G864">
        <f>IFERROR(__xludf.DUMMYFUNCTION("""COMPUTED_VALUE"""),75.0)</f>
        <v>75</v>
      </c>
    </row>
    <row r="865" ht="15.75" customHeight="1">
      <c r="A865" t="str">
        <f t="shared" si="1"/>
        <v>B.abortus</v>
      </c>
      <c r="B865" s="5" t="s">
        <v>893</v>
      </c>
      <c r="C865" s="6" t="str">
        <f>IFERROR(__xludf.DUMMYFUNCTION("SPLIT('2. c'!B865, "" "", True, True)"),"Brucella")</f>
        <v>Brucella</v>
      </c>
      <c r="D865" t="str">
        <f>IFERROR(__xludf.DUMMYFUNCTION("""COMPUTED_VALUE"""),"abortus")</f>
        <v>abortus</v>
      </c>
      <c r="E865" t="str">
        <f>IFERROR(__xludf.DUMMYFUNCTION("""COMPUTED_VALUE"""),"strain")</f>
        <v>strain</v>
      </c>
      <c r="F865" t="str">
        <f>IFERROR(__xludf.DUMMYFUNCTION("""COMPUTED_VALUE"""),"BAB8416")</f>
        <v>BAB8416</v>
      </c>
    </row>
    <row r="866" ht="15.75" customHeight="1">
      <c r="A866" t="str">
        <f t="shared" si="1"/>
        <v>B.abortus</v>
      </c>
      <c r="B866" s="5" t="s">
        <v>894</v>
      </c>
      <c r="C866" s="6" t="str">
        <f>IFERROR(__xludf.DUMMYFUNCTION("SPLIT('2. c'!B866, "" "", True, True)"),"Brucella")</f>
        <v>Brucella</v>
      </c>
      <c r="D866" t="str">
        <f>IFERROR(__xludf.DUMMYFUNCTION("""COMPUTED_VALUE"""),"abortus")</f>
        <v>abortus</v>
      </c>
      <c r="E866" t="str">
        <f>IFERROR(__xludf.DUMMYFUNCTION("""COMPUTED_VALUE"""),"strain")</f>
        <v>strain</v>
      </c>
      <c r="F866" t="str">
        <f>IFERROR(__xludf.DUMMYFUNCTION("""COMPUTED_VALUE"""),"BDW")</f>
        <v>BDW</v>
      </c>
    </row>
    <row r="867" ht="15.75" customHeight="1">
      <c r="A867" t="str">
        <f t="shared" si="1"/>
        <v>B.abortus</v>
      </c>
      <c r="B867" s="5" t="s">
        <v>895</v>
      </c>
      <c r="C867" s="6" t="str">
        <f>IFERROR(__xludf.DUMMYFUNCTION("SPLIT('2. c'!B867, "" "", True, True)"),"Brucella")</f>
        <v>Brucella</v>
      </c>
      <c r="D867" t="str">
        <f>IFERROR(__xludf.DUMMYFUNCTION("""COMPUTED_VALUE"""),"abortus")</f>
        <v>abortus</v>
      </c>
      <c r="E867" t="str">
        <f>IFERROR(__xludf.DUMMYFUNCTION("""COMPUTED_VALUE"""),"strain")</f>
        <v>strain</v>
      </c>
      <c r="F867" t="str">
        <f>IFERROR(__xludf.DUMMYFUNCTION("""COMPUTED_VALUE"""),"BER")</f>
        <v>BER</v>
      </c>
    </row>
    <row r="868" ht="15.75" customHeight="1">
      <c r="A868" t="str">
        <f t="shared" si="1"/>
        <v>B.abortus</v>
      </c>
      <c r="B868" s="5" t="s">
        <v>896</v>
      </c>
      <c r="C868" s="6" t="str">
        <f>IFERROR(__xludf.DUMMYFUNCTION("SPLIT('2. c'!B868, "" "", True, True)"),"Brucella")</f>
        <v>Brucella</v>
      </c>
      <c r="D868" t="str">
        <f>IFERROR(__xludf.DUMMYFUNCTION("""COMPUTED_VALUE"""),"abortus")</f>
        <v>abortus</v>
      </c>
      <c r="E868" t="str">
        <f>IFERROR(__xludf.DUMMYFUNCTION("""COMPUTED_VALUE"""),"strain")</f>
        <v>strain</v>
      </c>
      <c r="F868" t="str">
        <f>IFERROR(__xludf.DUMMYFUNCTION("""COMPUTED_VALUE"""),"BFY")</f>
        <v>BFY</v>
      </c>
    </row>
    <row r="869" ht="15.75" customHeight="1">
      <c r="A869" t="str">
        <f t="shared" si="1"/>
        <v>B.abortus</v>
      </c>
      <c r="B869" s="5" t="s">
        <v>897</v>
      </c>
      <c r="C869" s="6" t="str">
        <f>IFERROR(__xludf.DUMMYFUNCTION("SPLIT('2. c'!B869, "" "", True, True)"),"Brucella")</f>
        <v>Brucella</v>
      </c>
      <c r="D869" t="str">
        <f>IFERROR(__xludf.DUMMYFUNCTION("""COMPUTED_VALUE"""),"abortus")</f>
        <v>abortus</v>
      </c>
      <c r="E869" t="str">
        <f>IFERROR(__xludf.DUMMYFUNCTION("""COMPUTED_VALUE"""),"strain")</f>
        <v>strain</v>
      </c>
      <c r="F869" t="str">
        <f>IFERROR(__xludf.DUMMYFUNCTION("""COMPUTED_VALUE"""),"NCTC")</f>
        <v>NCTC</v>
      </c>
      <c r="G869">
        <f>IFERROR(__xludf.DUMMYFUNCTION("""COMPUTED_VALUE"""),10505.0)</f>
        <v>10505</v>
      </c>
    </row>
    <row r="870" ht="15.75" customHeight="1">
      <c r="A870" t="str">
        <f t="shared" si="1"/>
        <v>B.abortus</v>
      </c>
      <c r="B870" s="5" t="s">
        <v>898</v>
      </c>
      <c r="C870" s="6" t="str">
        <f>IFERROR(__xludf.DUMMYFUNCTION("SPLIT('2. c'!B870, "" "", True, True)"),"Brucella")</f>
        <v>Brucella</v>
      </c>
      <c r="D870" t="str">
        <f>IFERROR(__xludf.DUMMYFUNCTION("""COMPUTED_VALUE"""),"abortus")</f>
        <v>abortus</v>
      </c>
      <c r="E870" t="str">
        <f>IFERROR(__xludf.DUMMYFUNCTION("""COMPUTED_VALUE"""),"strain")</f>
        <v>strain</v>
      </c>
      <c r="F870" t="str">
        <f>IFERROR(__xludf.DUMMYFUNCTION("""COMPUTED_VALUE"""),"ZW053")</f>
        <v>ZW053</v>
      </c>
    </row>
    <row r="871" ht="15.75" customHeight="1">
      <c r="A871" t="str">
        <f t="shared" si="1"/>
        <v>B.canis</v>
      </c>
      <c r="B871" s="5" t="s">
        <v>899</v>
      </c>
      <c r="C871" s="6" t="str">
        <f>IFERROR(__xludf.DUMMYFUNCTION("SPLIT('2. c'!B871, "" "", True, True)"),"Brucella")</f>
        <v>Brucella</v>
      </c>
      <c r="D871" t="str">
        <f>IFERROR(__xludf.DUMMYFUNCTION("""COMPUTED_VALUE"""),"canis")</f>
        <v>canis</v>
      </c>
      <c r="E871" t="str">
        <f>IFERROR(__xludf.DUMMYFUNCTION("""COMPUTED_VALUE"""),"ATCC")</f>
        <v>ATCC</v>
      </c>
      <c r="F871">
        <f>IFERROR(__xludf.DUMMYFUNCTION("""COMPUTED_VALUE"""),23365.0)</f>
        <v>23365</v>
      </c>
    </row>
    <row r="872" ht="15.75" customHeight="1">
      <c r="A872" t="str">
        <f t="shared" si="1"/>
        <v>B.canis</v>
      </c>
      <c r="B872" s="5" t="s">
        <v>900</v>
      </c>
      <c r="C872" s="6" t="str">
        <f>IFERROR(__xludf.DUMMYFUNCTION("SPLIT('2. c'!B872, "" "", True, True)"),"Brucella")</f>
        <v>Brucella</v>
      </c>
      <c r="D872" t="str">
        <f>IFERROR(__xludf.DUMMYFUNCTION("""COMPUTED_VALUE"""),"canis")</f>
        <v>canis</v>
      </c>
      <c r="E872" t="str">
        <f>IFERROR(__xludf.DUMMYFUNCTION("""COMPUTED_VALUE"""),"HSK")</f>
        <v>HSK</v>
      </c>
      <c r="F872" t="str">
        <f>IFERROR(__xludf.DUMMYFUNCTION("""COMPUTED_VALUE"""),"A52141")</f>
        <v>A52141</v>
      </c>
    </row>
    <row r="873" ht="15.75" customHeight="1">
      <c r="A873" t="str">
        <f t="shared" si="1"/>
        <v>B.canis</v>
      </c>
      <c r="B873" s="5" t="s">
        <v>901</v>
      </c>
      <c r="C873" s="6" t="str">
        <f>IFERROR(__xludf.DUMMYFUNCTION("SPLIT('2. c'!B873, "" "", True, True)"),"Brucella")</f>
        <v>Brucella</v>
      </c>
      <c r="D873" t="str">
        <f>IFERROR(__xludf.DUMMYFUNCTION("""COMPUTED_VALUE"""),"canis")</f>
        <v>canis</v>
      </c>
      <c r="E873" t="str">
        <f>IFERROR(__xludf.DUMMYFUNCTION("""COMPUTED_VALUE"""),"str.")</f>
        <v>str.</v>
      </c>
      <c r="F873" t="str">
        <f>IFERROR(__xludf.DUMMYFUNCTION("""COMPUTED_VALUE"""),"Oliveri")</f>
        <v>Oliveri</v>
      </c>
    </row>
    <row r="874" ht="15.75" customHeight="1">
      <c r="A874" t="str">
        <f t="shared" si="1"/>
        <v>B.canis</v>
      </c>
      <c r="B874" s="5" t="s">
        <v>902</v>
      </c>
      <c r="C874" s="6" t="str">
        <f>IFERROR(__xludf.DUMMYFUNCTION("SPLIT('2. c'!B874, "" "", True, True)"),"Brucella")</f>
        <v>Brucella</v>
      </c>
      <c r="D874" t="str">
        <f>IFERROR(__xludf.DUMMYFUNCTION("""COMPUTED_VALUE"""),"canis")</f>
        <v>canis</v>
      </c>
      <c r="E874" t="str">
        <f>IFERROR(__xludf.DUMMYFUNCTION("""COMPUTED_VALUE"""),"strain")</f>
        <v>strain</v>
      </c>
      <c r="F874" t="str">
        <f>IFERROR(__xludf.DUMMYFUNCTION("""COMPUTED_VALUE"""),"RM6/66")</f>
        <v>RM6/66</v>
      </c>
    </row>
    <row r="875" ht="15.75" customHeight="1">
      <c r="A875" t="str">
        <f t="shared" si="1"/>
        <v>B.canis</v>
      </c>
      <c r="B875" s="5" t="s">
        <v>903</v>
      </c>
      <c r="C875" s="6" t="str">
        <f>IFERROR(__xludf.DUMMYFUNCTION("SPLIT('2. c'!B875, "" "", True, True)"),"Brucella")</f>
        <v>Brucella</v>
      </c>
      <c r="D875" t="str">
        <f>IFERROR(__xludf.DUMMYFUNCTION("""COMPUTED_VALUE"""),"canis")</f>
        <v>canis</v>
      </c>
      <c r="E875" t="str">
        <f>IFERROR(__xludf.DUMMYFUNCTION("""COMPUTED_VALUE"""),"strain")</f>
        <v>strain</v>
      </c>
      <c r="F875" t="str">
        <f>IFERROR(__xludf.DUMMYFUNCTION("""COMPUTED_VALUE"""),"SVA13")</f>
        <v>SVA13</v>
      </c>
    </row>
    <row r="876" ht="15.75" customHeight="1">
      <c r="A876" t="str">
        <f t="shared" si="1"/>
        <v>B.ceti</v>
      </c>
      <c r="B876" s="5" t="s">
        <v>904</v>
      </c>
      <c r="C876" s="6" t="str">
        <f>IFERROR(__xludf.DUMMYFUNCTION("SPLIT('2. c'!B876, "" "", True, True)"),"Brucella")</f>
        <v>Brucella</v>
      </c>
      <c r="D876" t="str">
        <f>IFERROR(__xludf.DUMMYFUNCTION("""COMPUTED_VALUE"""),"ceti")</f>
        <v>ceti</v>
      </c>
      <c r="E876" t="str">
        <f>IFERROR(__xludf.DUMMYFUNCTION("""COMPUTED_VALUE"""),"TE10759-12")</f>
        <v>TE10759-12</v>
      </c>
    </row>
    <row r="877" ht="15.75" customHeight="1">
      <c r="A877" t="str">
        <f t="shared" si="1"/>
        <v>B.ceti</v>
      </c>
      <c r="B877" s="5" t="s">
        <v>905</v>
      </c>
      <c r="C877" s="6" t="str">
        <f>IFERROR(__xludf.DUMMYFUNCTION("SPLIT('2. c'!B877, "" "", True, True)"),"Brucella")</f>
        <v>Brucella</v>
      </c>
      <c r="D877" t="str">
        <f>IFERROR(__xludf.DUMMYFUNCTION("""COMPUTED_VALUE"""),"ceti")</f>
        <v>ceti</v>
      </c>
      <c r="E877" t="str">
        <f>IFERROR(__xludf.DUMMYFUNCTION("""COMPUTED_VALUE"""),"TE28753-12")</f>
        <v>TE28753-12</v>
      </c>
    </row>
    <row r="878" ht="15.75" customHeight="1">
      <c r="A878" t="str">
        <f t="shared" si="1"/>
        <v>B.melitensis</v>
      </c>
      <c r="B878" s="5" t="s">
        <v>906</v>
      </c>
      <c r="C878" s="6" t="str">
        <f>IFERROR(__xludf.DUMMYFUNCTION("SPLIT('2. c'!B878, "" "", True, True)"),"Brucella")</f>
        <v>Brucella</v>
      </c>
      <c r="D878" t="str">
        <f>IFERROR(__xludf.DUMMYFUNCTION("""COMPUTED_VALUE"""),"melitensis")</f>
        <v>melitensis</v>
      </c>
      <c r="E878" t="str">
        <f>IFERROR(__xludf.DUMMYFUNCTION("""COMPUTED_VALUE"""),"ATCC")</f>
        <v>ATCC</v>
      </c>
      <c r="F878">
        <f>IFERROR(__xludf.DUMMYFUNCTION("""COMPUTED_VALUE"""),23457.0)</f>
        <v>23457</v>
      </c>
    </row>
    <row r="879" ht="15.75" customHeight="1">
      <c r="A879" t="str">
        <f t="shared" si="1"/>
        <v>B.melitensis</v>
      </c>
      <c r="B879" s="5" t="s">
        <v>907</v>
      </c>
      <c r="C879" s="6" t="str">
        <f>IFERROR(__xludf.DUMMYFUNCTION("SPLIT('2. c'!B879, "" "", True, True)"),"Brucella")</f>
        <v>Brucella</v>
      </c>
      <c r="D879" t="str">
        <f>IFERROR(__xludf.DUMMYFUNCTION("""COMPUTED_VALUE"""),"melitensis")</f>
        <v>melitensis</v>
      </c>
      <c r="E879" t="str">
        <f>IFERROR(__xludf.DUMMYFUNCTION("""COMPUTED_VALUE"""),"biovar")</f>
        <v>biovar</v>
      </c>
      <c r="F879" t="str">
        <f>IFERROR(__xludf.DUMMYFUNCTION("""COMPUTED_VALUE"""),"Abortus")</f>
        <v>Abortus</v>
      </c>
      <c r="G879">
        <f>IFERROR(__xludf.DUMMYFUNCTION("""COMPUTED_VALUE"""),2308.0)</f>
        <v>2308</v>
      </c>
    </row>
    <row r="880" ht="15.75" customHeight="1">
      <c r="A880" t="str">
        <f t="shared" si="1"/>
        <v>B.melitensis</v>
      </c>
      <c r="B880" s="5" t="s">
        <v>908</v>
      </c>
      <c r="C880" s="6" t="str">
        <f>IFERROR(__xludf.DUMMYFUNCTION("SPLIT('2. c'!B880, "" "", True, True)"),"Brucella")</f>
        <v>Brucella</v>
      </c>
      <c r="D880" t="str">
        <f>IFERROR(__xludf.DUMMYFUNCTION("""COMPUTED_VALUE"""),"melitensis")</f>
        <v>melitensis</v>
      </c>
      <c r="E880" t="str">
        <f>IFERROR(__xludf.DUMMYFUNCTION("""COMPUTED_VALUE"""),"bv.")</f>
        <v>bv.</v>
      </c>
      <c r="F880">
        <f>IFERROR(__xludf.DUMMYFUNCTION("""COMPUTED_VALUE"""),1.0)</f>
        <v>1</v>
      </c>
      <c r="G880" t="str">
        <f>IFERROR(__xludf.DUMMYFUNCTION("""COMPUTED_VALUE"""),"str.")</f>
        <v>str.</v>
      </c>
      <c r="H880" t="str">
        <f>IFERROR(__xludf.DUMMYFUNCTION("""COMPUTED_VALUE"""),"16M")</f>
        <v>16M</v>
      </c>
    </row>
    <row r="881" ht="15.75" customHeight="1">
      <c r="A881" t="str">
        <f t="shared" si="1"/>
        <v>B.melitensis</v>
      </c>
      <c r="B881" s="5" t="s">
        <v>908</v>
      </c>
      <c r="C881" s="6" t="str">
        <f>IFERROR(__xludf.DUMMYFUNCTION("SPLIT('2. c'!B881, "" "", True, True)"),"Brucella")</f>
        <v>Brucella</v>
      </c>
      <c r="D881" t="str">
        <f>IFERROR(__xludf.DUMMYFUNCTION("""COMPUTED_VALUE"""),"melitensis")</f>
        <v>melitensis</v>
      </c>
      <c r="E881" t="str">
        <f>IFERROR(__xludf.DUMMYFUNCTION("""COMPUTED_VALUE"""),"bv.")</f>
        <v>bv.</v>
      </c>
      <c r="F881">
        <f>IFERROR(__xludf.DUMMYFUNCTION("""COMPUTED_VALUE"""),1.0)</f>
        <v>1</v>
      </c>
      <c r="G881" t="str">
        <f>IFERROR(__xludf.DUMMYFUNCTION("""COMPUTED_VALUE"""),"str.")</f>
        <v>str.</v>
      </c>
      <c r="H881" t="str">
        <f>IFERROR(__xludf.DUMMYFUNCTION("""COMPUTED_VALUE"""),"16M")</f>
        <v>16M</v>
      </c>
    </row>
    <row r="882" ht="15.75" customHeight="1">
      <c r="A882" t="str">
        <f t="shared" si="1"/>
        <v>B.melitensis</v>
      </c>
      <c r="B882" s="5" t="s">
        <v>909</v>
      </c>
      <c r="C882" s="6" t="str">
        <f>IFERROR(__xludf.DUMMYFUNCTION("SPLIT('2. c'!B882, "" "", True, True)"),"Brucella")</f>
        <v>Brucella</v>
      </c>
      <c r="D882" t="str">
        <f>IFERROR(__xludf.DUMMYFUNCTION("""COMPUTED_VALUE"""),"melitensis")</f>
        <v>melitensis</v>
      </c>
      <c r="E882" t="str">
        <f>IFERROR(__xludf.DUMMYFUNCTION("""COMPUTED_VALUE"""),"bv.")</f>
        <v>bv.</v>
      </c>
      <c r="F882">
        <f>IFERROR(__xludf.DUMMYFUNCTION("""COMPUTED_VALUE"""),2.0)</f>
        <v>2</v>
      </c>
      <c r="G882" t="str">
        <f>IFERROR(__xludf.DUMMYFUNCTION("""COMPUTED_VALUE"""),"str.")</f>
        <v>str.</v>
      </c>
      <c r="H882" t="str">
        <f>IFERROR(__xludf.DUMMYFUNCTION("""COMPUTED_VALUE"""),"63/9")</f>
        <v>63/9</v>
      </c>
    </row>
    <row r="883" ht="15.75" customHeight="1">
      <c r="A883" t="str">
        <f t="shared" si="1"/>
        <v>B.melitensis</v>
      </c>
      <c r="B883" s="5" t="s">
        <v>910</v>
      </c>
      <c r="C883" s="6" t="str">
        <f>IFERROR(__xludf.DUMMYFUNCTION("SPLIT('2. c'!B883, "" "", True, True)"),"Brucella")</f>
        <v>Brucella</v>
      </c>
      <c r="D883" t="str">
        <f>IFERROR(__xludf.DUMMYFUNCTION("""COMPUTED_VALUE"""),"melitensis")</f>
        <v>melitensis</v>
      </c>
      <c r="E883" t="str">
        <f>IFERROR(__xludf.DUMMYFUNCTION("""COMPUTED_VALUE"""),"bv.")</f>
        <v>bv.</v>
      </c>
      <c r="F883">
        <f>IFERROR(__xludf.DUMMYFUNCTION("""COMPUTED_VALUE"""),3.0)</f>
        <v>3</v>
      </c>
      <c r="G883" t="str">
        <f>IFERROR(__xludf.DUMMYFUNCTION("""COMPUTED_VALUE"""),"str.")</f>
        <v>str.</v>
      </c>
      <c r="H883" t="str">
        <f>IFERROR(__xludf.DUMMYFUNCTION("""COMPUTED_VALUE"""),"Ether")</f>
        <v>Ether</v>
      </c>
    </row>
    <row r="884" ht="15.75" customHeight="1">
      <c r="A884" t="str">
        <f t="shared" si="1"/>
        <v>B.melitensis</v>
      </c>
      <c r="B884" s="5" t="s">
        <v>911</v>
      </c>
      <c r="C884" s="6" t="str">
        <f>IFERROR(__xludf.DUMMYFUNCTION("SPLIT('2. c'!B884, "" "", True, True)"),"Brucella")</f>
        <v>Brucella</v>
      </c>
      <c r="D884" t="str">
        <f>IFERROR(__xludf.DUMMYFUNCTION("""COMPUTED_VALUE"""),"melitensis")</f>
        <v>melitensis</v>
      </c>
      <c r="E884" t="str">
        <f>IFERROR(__xludf.DUMMYFUNCTION("""COMPUTED_VALUE"""),"M28")</f>
        <v>M28</v>
      </c>
    </row>
    <row r="885" ht="15.75" customHeight="1">
      <c r="A885" t="str">
        <f t="shared" si="1"/>
        <v>B.melitensis</v>
      </c>
      <c r="B885" s="5" t="s">
        <v>912</v>
      </c>
      <c r="C885" s="6" t="str">
        <f>IFERROR(__xludf.DUMMYFUNCTION("SPLIT('2. c'!B885, "" "", True, True)"),"Brucella")</f>
        <v>Brucella</v>
      </c>
      <c r="D885" t="str">
        <f>IFERROR(__xludf.DUMMYFUNCTION("""COMPUTED_VALUE"""),"melitensis")</f>
        <v>melitensis</v>
      </c>
      <c r="E885" t="str">
        <f>IFERROR(__xludf.DUMMYFUNCTION("""COMPUTED_VALUE"""),"M5-90")</f>
        <v>M5-90</v>
      </c>
    </row>
    <row r="886" ht="15.75" customHeight="1">
      <c r="A886" t="str">
        <f t="shared" si="1"/>
        <v>B.melitensis</v>
      </c>
      <c r="B886" s="5" t="s">
        <v>913</v>
      </c>
      <c r="C886" s="6" t="str">
        <f>IFERROR(__xludf.DUMMYFUNCTION("SPLIT('2. c'!B886, "" "", True, True)"),"Brucella")</f>
        <v>Brucella</v>
      </c>
      <c r="D886" t="str">
        <f>IFERROR(__xludf.DUMMYFUNCTION("""COMPUTED_VALUE"""),"melitensis")</f>
        <v>melitensis</v>
      </c>
      <c r="E886" t="str">
        <f>IFERROR(__xludf.DUMMYFUNCTION("""COMPUTED_VALUE"""),"NI")</f>
        <v>NI</v>
      </c>
    </row>
    <row r="887" ht="15.75" customHeight="1">
      <c r="A887" t="str">
        <f t="shared" si="1"/>
        <v>B.melitensis</v>
      </c>
      <c r="B887" s="5" t="s">
        <v>914</v>
      </c>
      <c r="C887" s="6" t="str">
        <f>IFERROR(__xludf.DUMMYFUNCTION("SPLIT('2. c'!B887, "" "", True, True)"),"Brucella")</f>
        <v>Brucella</v>
      </c>
      <c r="D887" t="str">
        <f>IFERROR(__xludf.DUMMYFUNCTION("""COMPUTED_VALUE"""),"melitensis")</f>
        <v>melitensis</v>
      </c>
      <c r="E887" t="str">
        <f>IFERROR(__xludf.DUMMYFUNCTION("""COMPUTED_VALUE"""),"strain")</f>
        <v>strain</v>
      </c>
      <c r="F887">
        <f>IFERROR(__xludf.DUMMYFUNCTION("""COMPUTED_VALUE"""),20236.0)</f>
        <v>20236</v>
      </c>
    </row>
    <row r="888" ht="15.75" customHeight="1">
      <c r="A888" t="str">
        <f t="shared" si="1"/>
        <v>B.microti</v>
      </c>
      <c r="B888" s="5" t="s">
        <v>915</v>
      </c>
      <c r="C888" s="6" t="str">
        <f>IFERROR(__xludf.DUMMYFUNCTION("SPLIT('2. c'!B888, "" "", True, True)"),"Brucella")</f>
        <v>Brucella</v>
      </c>
      <c r="D888" t="str">
        <f>IFERROR(__xludf.DUMMYFUNCTION("""COMPUTED_VALUE"""),"microti")</f>
        <v>microti</v>
      </c>
      <c r="E888" t="str">
        <f>IFERROR(__xludf.DUMMYFUNCTION("""COMPUTED_VALUE"""),"CCM")</f>
        <v>CCM</v>
      </c>
      <c r="F888">
        <f>IFERROR(__xludf.DUMMYFUNCTION("""COMPUTED_VALUE"""),4915.0)</f>
        <v>4915</v>
      </c>
    </row>
    <row r="889" ht="15.75" customHeight="1">
      <c r="A889" t="str">
        <f t="shared" si="1"/>
        <v>B.neotomae</v>
      </c>
      <c r="B889" s="5" t="s">
        <v>916</v>
      </c>
      <c r="C889" s="6" t="str">
        <f>IFERROR(__xludf.DUMMYFUNCTION("SPLIT('2. c'!B889, "" "", True, True)"),"Brucella")</f>
        <v>Brucella</v>
      </c>
      <c r="D889" t="str">
        <f>IFERROR(__xludf.DUMMYFUNCTION("""COMPUTED_VALUE"""),"neotomae")</f>
        <v>neotomae</v>
      </c>
      <c r="E889" t="str">
        <f>IFERROR(__xludf.DUMMYFUNCTION("""COMPUTED_VALUE"""),"5K33")</f>
        <v>5K33</v>
      </c>
    </row>
    <row r="890" ht="15.75" customHeight="1">
      <c r="A890" t="str">
        <f t="shared" si="1"/>
        <v>B.ovis</v>
      </c>
      <c r="B890" s="5" t="s">
        <v>917</v>
      </c>
      <c r="C890" s="6" t="str">
        <f>IFERROR(__xludf.DUMMYFUNCTION("SPLIT('2. c'!B890, "" "", True, True)"),"Brucella")</f>
        <v>Brucella</v>
      </c>
      <c r="D890" t="str">
        <f>IFERROR(__xludf.DUMMYFUNCTION("""COMPUTED_VALUE"""),"ovis")</f>
        <v>ovis</v>
      </c>
      <c r="E890" t="str">
        <f>IFERROR(__xludf.DUMMYFUNCTION("""COMPUTED_VALUE"""),"ATCC")</f>
        <v>ATCC</v>
      </c>
      <c r="F890">
        <f>IFERROR(__xludf.DUMMYFUNCTION("""COMPUTED_VALUE"""),25840.0)</f>
        <v>25840</v>
      </c>
    </row>
    <row r="891" ht="15.75" customHeight="1">
      <c r="A891" t="str">
        <f t="shared" si="1"/>
        <v>B.pinnipedialis</v>
      </c>
      <c r="B891" s="5" t="s">
        <v>918</v>
      </c>
      <c r="C891" s="6" t="str">
        <f>IFERROR(__xludf.DUMMYFUNCTION("SPLIT('2. c'!B891, "" "", True, True)"),"Brucella")</f>
        <v>Brucella</v>
      </c>
      <c r="D891" t="str">
        <f>IFERROR(__xludf.DUMMYFUNCTION("""COMPUTED_VALUE"""),"pinnipedialis")</f>
        <v>pinnipedialis</v>
      </c>
      <c r="E891" t="str">
        <f>IFERROR(__xludf.DUMMYFUNCTION("""COMPUTED_VALUE"""),"B2/94")</f>
        <v>B2/94</v>
      </c>
    </row>
    <row r="892" ht="15.75" customHeight="1">
      <c r="A892" t="str">
        <f t="shared" si="1"/>
        <v>B.pinnipedialis</v>
      </c>
      <c r="B892" s="5" t="s">
        <v>919</v>
      </c>
      <c r="C892" s="6" t="str">
        <f>IFERROR(__xludf.DUMMYFUNCTION("SPLIT('2. c'!B892, "" "", True, True)"),"Brucella")</f>
        <v>Brucella</v>
      </c>
      <c r="D892" t="str">
        <f>IFERROR(__xludf.DUMMYFUNCTION("""COMPUTED_VALUE"""),"pinnipedialis")</f>
        <v>pinnipedialis</v>
      </c>
      <c r="E892" t="str">
        <f>IFERROR(__xludf.DUMMYFUNCTION("""COMPUTED_VALUE"""),"strain")</f>
        <v>strain</v>
      </c>
      <c r="F892" t="str">
        <f>IFERROR(__xludf.DUMMYFUNCTION("""COMPUTED_VALUE"""),"6/566")</f>
        <v>6/566</v>
      </c>
    </row>
    <row r="893" ht="15.75" customHeight="1">
      <c r="A893" t="str">
        <f t="shared" si="1"/>
        <v>B.sp.</v>
      </c>
      <c r="B893" s="5" t="s">
        <v>920</v>
      </c>
      <c r="C893" s="6" t="str">
        <f>IFERROR(__xludf.DUMMYFUNCTION("SPLIT('2. c'!B893, "" "", True, True)"),"Brucella")</f>
        <v>Brucella</v>
      </c>
      <c r="D893" t="str">
        <f>IFERROR(__xludf.DUMMYFUNCTION("""COMPUTED_VALUE"""),"sp.")</f>
        <v>sp.</v>
      </c>
      <c r="E893" t="str">
        <f>IFERROR(__xludf.DUMMYFUNCTION("""COMPUTED_VALUE"""),"F60")</f>
        <v>F60</v>
      </c>
    </row>
    <row r="894" ht="15.75" customHeight="1">
      <c r="A894" t="str">
        <f t="shared" si="1"/>
        <v>B.suis</v>
      </c>
      <c r="B894" s="5" t="s">
        <v>921</v>
      </c>
      <c r="C894" s="6" t="str">
        <f>IFERROR(__xludf.DUMMYFUNCTION("SPLIT('2. c'!B894, "" "", True, True)"),"Brucella")</f>
        <v>Brucella</v>
      </c>
      <c r="D894" t="str">
        <f>IFERROR(__xludf.DUMMYFUNCTION("""COMPUTED_VALUE"""),"suis")</f>
        <v>suis</v>
      </c>
      <c r="E894">
        <f>IFERROR(__xludf.DUMMYFUNCTION("""COMPUTED_VALUE"""),19.0)</f>
        <v>19</v>
      </c>
    </row>
    <row r="895" ht="15.75" customHeight="1">
      <c r="A895" t="str">
        <f t="shared" si="1"/>
        <v>B.suis</v>
      </c>
      <c r="B895" s="5" t="s">
        <v>922</v>
      </c>
      <c r="C895" s="6" t="str">
        <f>IFERROR(__xludf.DUMMYFUNCTION("SPLIT('2. c'!B895, "" "", True, True)"),"Brucella")</f>
        <v>Brucella</v>
      </c>
      <c r="D895" t="str">
        <f>IFERROR(__xludf.DUMMYFUNCTION("""COMPUTED_VALUE"""),"suis")</f>
        <v>suis</v>
      </c>
      <c r="E895">
        <f>IFERROR(__xludf.DUMMYFUNCTION("""COMPUTED_VALUE"""),1330.0)</f>
        <v>1330</v>
      </c>
    </row>
    <row r="896" ht="15.75" customHeight="1">
      <c r="A896" t="str">
        <f t="shared" si="1"/>
        <v>B.suis</v>
      </c>
      <c r="B896" s="5" t="s">
        <v>922</v>
      </c>
      <c r="C896" s="6" t="str">
        <f>IFERROR(__xludf.DUMMYFUNCTION("SPLIT('2. c'!B896, "" "", True, True)"),"Brucella")</f>
        <v>Brucella</v>
      </c>
      <c r="D896" t="str">
        <f>IFERROR(__xludf.DUMMYFUNCTION("""COMPUTED_VALUE"""),"suis")</f>
        <v>suis</v>
      </c>
      <c r="E896">
        <f>IFERROR(__xludf.DUMMYFUNCTION("""COMPUTED_VALUE"""),1330.0)</f>
        <v>1330</v>
      </c>
    </row>
    <row r="897" ht="15.75" customHeight="1">
      <c r="A897" t="str">
        <f t="shared" si="1"/>
        <v>B.suis</v>
      </c>
      <c r="B897" s="5" t="s">
        <v>923</v>
      </c>
      <c r="C897" s="6" t="str">
        <f>IFERROR(__xludf.DUMMYFUNCTION("SPLIT('2. c'!B897, "" "", True, True)"),"Brucella")</f>
        <v>Brucella</v>
      </c>
      <c r="D897" t="str">
        <f>IFERROR(__xludf.DUMMYFUNCTION("""COMPUTED_VALUE"""),"suis")</f>
        <v>suis</v>
      </c>
      <c r="E897" t="str">
        <f>IFERROR(__xludf.DUMMYFUNCTION("""COMPUTED_VALUE"""),"ATCC")</f>
        <v>ATCC</v>
      </c>
      <c r="F897">
        <f>IFERROR(__xludf.DUMMYFUNCTION("""COMPUTED_VALUE"""),23445.0)</f>
        <v>23445</v>
      </c>
    </row>
    <row r="898" ht="15.75" customHeight="1">
      <c r="A898" t="str">
        <f t="shared" si="1"/>
        <v>B.suis</v>
      </c>
      <c r="B898" s="5" t="s">
        <v>924</v>
      </c>
      <c r="C898" s="6" t="str">
        <f>IFERROR(__xludf.DUMMYFUNCTION("SPLIT('2. c'!B898, "" "", True, True)"),"Brucella")</f>
        <v>Brucella</v>
      </c>
      <c r="D898" t="str">
        <f>IFERROR(__xludf.DUMMYFUNCTION("""COMPUTED_VALUE"""),"suis")</f>
        <v>suis</v>
      </c>
      <c r="E898" t="str">
        <f>IFERROR(__xludf.DUMMYFUNCTION("""COMPUTED_VALUE"""),"bv.")</f>
        <v>bv.</v>
      </c>
      <c r="F898">
        <f>IFERROR(__xludf.DUMMYFUNCTION("""COMPUTED_VALUE"""),1.0)</f>
        <v>1</v>
      </c>
      <c r="G898" t="str">
        <f>IFERROR(__xludf.DUMMYFUNCTION("""COMPUTED_VALUE"""),"str.")</f>
        <v>str.</v>
      </c>
      <c r="H898" t="str">
        <f>IFERROR(__xludf.DUMMYFUNCTION("""COMPUTED_VALUE"""),"S2")</f>
        <v>S2</v>
      </c>
    </row>
    <row r="899" ht="15.75" customHeight="1">
      <c r="A899" t="str">
        <f t="shared" si="1"/>
        <v>B.suis</v>
      </c>
      <c r="B899" s="5" t="s">
        <v>925</v>
      </c>
      <c r="C899" s="6" t="str">
        <f>IFERROR(__xludf.DUMMYFUNCTION("SPLIT('2. c'!B899, "" "", True, True)"),"Brucella")</f>
        <v>Brucella</v>
      </c>
      <c r="D899" t="str">
        <f>IFERROR(__xludf.DUMMYFUNCTION("""COMPUTED_VALUE"""),"suis")</f>
        <v>suis</v>
      </c>
      <c r="E899" t="str">
        <f>IFERROR(__xludf.DUMMYFUNCTION("""COMPUTED_VALUE"""),"bv.")</f>
        <v>bv.</v>
      </c>
      <c r="F899">
        <f>IFERROR(__xludf.DUMMYFUNCTION("""COMPUTED_VALUE"""),2.0)</f>
        <v>2</v>
      </c>
      <c r="G899" t="str">
        <f>IFERROR(__xludf.DUMMYFUNCTION("""COMPUTED_VALUE"""),"strain")</f>
        <v>strain</v>
      </c>
      <c r="H899" t="str">
        <f>IFERROR(__xludf.DUMMYFUNCTION("""COMPUTED_VALUE"""),"Bs143CITA")</f>
        <v>Bs143CITA</v>
      </c>
    </row>
    <row r="900" ht="15.75" customHeight="1">
      <c r="A900" t="str">
        <f t="shared" si="1"/>
        <v>B.suis</v>
      </c>
      <c r="B900" s="5" t="s">
        <v>926</v>
      </c>
      <c r="C900" s="6" t="str">
        <f>IFERROR(__xludf.DUMMYFUNCTION("SPLIT('2. c'!B900, "" "", True, True)"),"Brucella")</f>
        <v>Brucella</v>
      </c>
      <c r="D900" t="str">
        <f>IFERROR(__xludf.DUMMYFUNCTION("""COMPUTED_VALUE"""),"suis")</f>
        <v>suis</v>
      </c>
      <c r="E900" t="str">
        <f>IFERROR(__xludf.DUMMYFUNCTION("""COMPUTED_VALUE"""),"bv.")</f>
        <v>bv.</v>
      </c>
      <c r="F900">
        <f>IFERROR(__xludf.DUMMYFUNCTION("""COMPUTED_VALUE"""),2.0)</f>
        <v>2</v>
      </c>
      <c r="G900" t="str">
        <f>IFERROR(__xludf.DUMMYFUNCTION("""COMPUTED_VALUE"""),"strain")</f>
        <v>strain</v>
      </c>
      <c r="H900" t="str">
        <f>IFERROR(__xludf.DUMMYFUNCTION("""COMPUTED_VALUE"""),"Bs364CITA")</f>
        <v>Bs364CITA</v>
      </c>
    </row>
    <row r="901" ht="15.75" customHeight="1">
      <c r="A901" t="str">
        <f t="shared" si="1"/>
        <v>B.suis</v>
      </c>
      <c r="B901" s="5" t="s">
        <v>927</v>
      </c>
      <c r="C901" s="6" t="str">
        <f>IFERROR(__xludf.DUMMYFUNCTION("SPLIT('2. c'!B901, "" "", True, True)"),"Brucella")</f>
        <v>Brucella</v>
      </c>
      <c r="D901" t="str">
        <f>IFERROR(__xludf.DUMMYFUNCTION("""COMPUTED_VALUE"""),"suis")</f>
        <v>suis</v>
      </c>
      <c r="E901" t="str">
        <f>IFERROR(__xludf.DUMMYFUNCTION("""COMPUTED_VALUE"""),"bv.")</f>
        <v>bv.</v>
      </c>
      <c r="F901">
        <f>IFERROR(__xludf.DUMMYFUNCTION("""COMPUTED_VALUE"""),2.0)</f>
        <v>2</v>
      </c>
      <c r="G901" t="str">
        <f>IFERROR(__xludf.DUMMYFUNCTION("""COMPUTED_VALUE"""),"strain")</f>
        <v>strain</v>
      </c>
      <c r="H901" t="str">
        <f>IFERROR(__xludf.DUMMYFUNCTION("""COMPUTED_VALUE"""),"Bs396CITA")</f>
        <v>Bs396CITA</v>
      </c>
    </row>
    <row r="902" ht="15.75" customHeight="1">
      <c r="A902" t="str">
        <f t="shared" si="1"/>
        <v>B.suis</v>
      </c>
      <c r="B902" s="5" t="s">
        <v>928</v>
      </c>
      <c r="C902" s="6" t="str">
        <f>IFERROR(__xludf.DUMMYFUNCTION("SPLIT('2. c'!B902, "" "", True, True)"),"Brucella")</f>
        <v>Brucella</v>
      </c>
      <c r="D902" t="str">
        <f>IFERROR(__xludf.DUMMYFUNCTION("""COMPUTED_VALUE"""),"suis")</f>
        <v>suis</v>
      </c>
      <c r="E902" t="str">
        <f>IFERROR(__xludf.DUMMYFUNCTION("""COMPUTED_VALUE"""),"bv.")</f>
        <v>bv.</v>
      </c>
      <c r="F902">
        <f>IFERROR(__xludf.DUMMYFUNCTION("""COMPUTED_VALUE"""),2.0)</f>
        <v>2</v>
      </c>
      <c r="G902" t="str">
        <f>IFERROR(__xludf.DUMMYFUNCTION("""COMPUTED_VALUE"""),"strain")</f>
        <v>strain</v>
      </c>
      <c r="H902" t="str">
        <f>IFERROR(__xludf.DUMMYFUNCTION("""COMPUTED_VALUE"""),"PT09143")</f>
        <v>PT09143</v>
      </c>
    </row>
    <row r="903" ht="15.75" customHeight="1">
      <c r="A903" t="str">
        <f t="shared" si="1"/>
        <v>B.suis</v>
      </c>
      <c r="B903" s="5" t="s">
        <v>929</v>
      </c>
      <c r="C903" s="6" t="str">
        <f>IFERROR(__xludf.DUMMYFUNCTION("SPLIT('2. c'!B903, "" "", True, True)"),"Brucella")</f>
        <v>Brucella</v>
      </c>
      <c r="D903" t="str">
        <f>IFERROR(__xludf.DUMMYFUNCTION("""COMPUTED_VALUE"""),"suis")</f>
        <v>suis</v>
      </c>
      <c r="E903" t="str">
        <f>IFERROR(__xludf.DUMMYFUNCTION("""COMPUTED_VALUE"""),"bv.")</f>
        <v>bv.</v>
      </c>
      <c r="F903">
        <f>IFERROR(__xludf.DUMMYFUNCTION("""COMPUTED_VALUE"""),2.0)</f>
        <v>2</v>
      </c>
      <c r="G903" t="str">
        <f>IFERROR(__xludf.DUMMYFUNCTION("""COMPUTED_VALUE"""),"strain")</f>
        <v>strain</v>
      </c>
      <c r="H903" t="str">
        <f>IFERROR(__xludf.DUMMYFUNCTION("""COMPUTED_VALUE"""),"PT09172")</f>
        <v>PT09172</v>
      </c>
    </row>
    <row r="904" ht="15.75" customHeight="1">
      <c r="A904" t="str">
        <f t="shared" si="1"/>
        <v>B.suis</v>
      </c>
      <c r="B904" s="5" t="s">
        <v>930</v>
      </c>
      <c r="C904" s="6" t="str">
        <f>IFERROR(__xludf.DUMMYFUNCTION("SPLIT('2. c'!B904, "" "", True, True)"),"Brucella")</f>
        <v>Brucella</v>
      </c>
      <c r="D904" t="str">
        <f>IFERROR(__xludf.DUMMYFUNCTION("""COMPUTED_VALUE"""),"suis")</f>
        <v>suis</v>
      </c>
      <c r="E904" t="str">
        <f>IFERROR(__xludf.DUMMYFUNCTION("""COMPUTED_VALUE"""),"bv.")</f>
        <v>bv.</v>
      </c>
      <c r="F904">
        <f>IFERROR(__xludf.DUMMYFUNCTION("""COMPUTED_VALUE"""),3.0)</f>
        <v>3</v>
      </c>
      <c r="G904" t="str">
        <f>IFERROR(__xludf.DUMMYFUNCTION("""COMPUTED_VALUE"""),"str.")</f>
        <v>str.</v>
      </c>
      <c r="H904">
        <f>IFERROR(__xludf.DUMMYFUNCTION("""COMPUTED_VALUE"""),686.0)</f>
        <v>686</v>
      </c>
    </row>
    <row r="905" ht="15.75" customHeight="1">
      <c r="A905" t="str">
        <f t="shared" si="1"/>
        <v>B.suis</v>
      </c>
      <c r="B905" s="5" t="s">
        <v>931</v>
      </c>
      <c r="C905" s="6" t="str">
        <f>IFERROR(__xludf.DUMMYFUNCTION("SPLIT('2. c'!B905, "" "", True, True)"),"Brucella")</f>
        <v>Brucella</v>
      </c>
      <c r="D905" t="str">
        <f>IFERROR(__xludf.DUMMYFUNCTION("""COMPUTED_VALUE"""),"suis")</f>
        <v>suis</v>
      </c>
      <c r="E905" t="str">
        <f>IFERROR(__xludf.DUMMYFUNCTION("""COMPUTED_VALUE"""),"strain")</f>
        <v>strain</v>
      </c>
      <c r="F905" t="str">
        <f>IFERROR(__xludf.DUMMYFUNCTION("""COMPUTED_VALUE"""),"513UK")</f>
        <v>513UK</v>
      </c>
    </row>
    <row r="906" ht="15.75" customHeight="1">
      <c r="A906" t="str">
        <f t="shared" si="1"/>
        <v>B.suis</v>
      </c>
      <c r="B906" s="5" t="s">
        <v>932</v>
      </c>
      <c r="C906" s="6" t="str">
        <f>IFERROR(__xludf.DUMMYFUNCTION("SPLIT('2. c'!B906, "" "", True, True)"),"Brucella")</f>
        <v>Brucella</v>
      </c>
      <c r="D906" t="str">
        <f>IFERROR(__xludf.DUMMYFUNCTION("""COMPUTED_VALUE"""),"suis")</f>
        <v>suis</v>
      </c>
      <c r="E906" t="str">
        <f>IFERROR(__xludf.DUMMYFUNCTION("""COMPUTED_VALUE"""),"strain")</f>
        <v>strain</v>
      </c>
      <c r="F906" t="str">
        <f>IFERROR(__xludf.DUMMYFUNCTION("""COMPUTED_VALUE"""),"BSP")</f>
        <v>BSP</v>
      </c>
    </row>
    <row r="907" ht="15.75" customHeight="1">
      <c r="A907" t="str">
        <f t="shared" si="1"/>
        <v>B.suis</v>
      </c>
      <c r="B907" s="5" t="s">
        <v>933</v>
      </c>
      <c r="C907" s="6" t="str">
        <f>IFERROR(__xludf.DUMMYFUNCTION("SPLIT('2. c'!B907, "" "", True, True)"),"Brucella")</f>
        <v>Brucella</v>
      </c>
      <c r="D907" t="str">
        <f>IFERROR(__xludf.DUMMYFUNCTION("""COMPUTED_VALUE"""),"suis")</f>
        <v>suis</v>
      </c>
      <c r="E907" t="str">
        <f>IFERROR(__xludf.DUMMYFUNCTION("""COMPUTED_VALUE"""),"strain")</f>
        <v>strain</v>
      </c>
      <c r="F907" t="str">
        <f>IFERROR(__xludf.DUMMYFUNCTION("""COMPUTED_VALUE"""),"Human/AR/US/1981")</f>
        <v>Human/AR/US/1981</v>
      </c>
    </row>
    <row r="908" ht="15.75" customHeight="1">
      <c r="A908" t="str">
        <f t="shared" si="1"/>
        <v>B.suis</v>
      </c>
      <c r="B908" s="5" t="s">
        <v>934</v>
      </c>
      <c r="C908" s="6" t="str">
        <f>IFERROR(__xludf.DUMMYFUNCTION("SPLIT('2. c'!B908, "" "", True, True)"),"Brucella")</f>
        <v>Brucella</v>
      </c>
      <c r="D908" t="str">
        <f>IFERROR(__xludf.DUMMYFUNCTION("""COMPUTED_VALUE"""),"suis")</f>
        <v>suis</v>
      </c>
      <c r="E908" t="str">
        <f>IFERROR(__xludf.DUMMYFUNCTION("""COMPUTED_VALUE"""),"strain")</f>
        <v>strain</v>
      </c>
      <c r="F908" t="str">
        <f>IFERROR(__xludf.DUMMYFUNCTION("""COMPUTED_VALUE"""),"ZW043")</f>
        <v>ZW043</v>
      </c>
    </row>
    <row r="909" ht="15.75" customHeight="1">
      <c r="A909" t="str">
        <f t="shared" si="1"/>
        <v>B.suis</v>
      </c>
      <c r="B909" s="5" t="s">
        <v>935</v>
      </c>
      <c r="C909" s="6" t="str">
        <f>IFERROR(__xludf.DUMMYFUNCTION("SPLIT('2. c'!B909, "" "", True, True)"),"Brucella")</f>
        <v>Brucella</v>
      </c>
      <c r="D909" t="str">
        <f>IFERROR(__xludf.DUMMYFUNCTION("""COMPUTED_VALUE"""),"suis")</f>
        <v>suis</v>
      </c>
      <c r="E909" t="str">
        <f>IFERROR(__xludf.DUMMYFUNCTION("""COMPUTED_VALUE"""),"strain")</f>
        <v>strain</v>
      </c>
      <c r="F909" t="str">
        <f>IFERROR(__xludf.DUMMYFUNCTION("""COMPUTED_VALUE"""),"ZW046")</f>
        <v>ZW046</v>
      </c>
    </row>
    <row r="910" ht="15.75" customHeight="1">
      <c r="A910" t="str">
        <f t="shared" si="1"/>
        <v>B.suis</v>
      </c>
      <c r="B910" s="5" t="s">
        <v>936</v>
      </c>
      <c r="C910" s="6" t="str">
        <f>IFERROR(__xludf.DUMMYFUNCTION("SPLIT('2. c'!B910, "" "", True, True)"),"Brucella")</f>
        <v>Brucella</v>
      </c>
      <c r="D910" t="str">
        <f>IFERROR(__xludf.DUMMYFUNCTION("""COMPUTED_VALUE"""),"suis")</f>
        <v>suis</v>
      </c>
      <c r="E910" t="str">
        <f>IFERROR(__xludf.DUMMYFUNCTION("""COMPUTED_VALUE"""),"VBI22")</f>
        <v>VBI22</v>
      </c>
    </row>
    <row r="911" ht="15.75" customHeight="1">
      <c r="A911" t="str">
        <f t="shared" si="1"/>
        <v>B.aphidicola</v>
      </c>
      <c r="B911" s="5" t="s">
        <v>937</v>
      </c>
      <c r="C911" s="6" t="str">
        <f>IFERROR(__xludf.DUMMYFUNCTION("SPLIT('2. c'!B911, "" "", True, True)"),"Buchnera")</f>
        <v>Buchnera</v>
      </c>
      <c r="D911" t="str">
        <f>IFERROR(__xludf.DUMMYFUNCTION("""COMPUTED_VALUE"""),"aphidicola")</f>
        <v>aphidicola</v>
      </c>
      <c r="E911" t="str">
        <f>IFERROR(__xludf.DUMMYFUNCTION("""COMPUTED_VALUE"""),"(Aphis")</f>
        <v>(Aphis</v>
      </c>
      <c r="F911" t="str">
        <f>IFERROR(__xludf.DUMMYFUNCTION("""COMPUTED_VALUE"""),"glycines)")</f>
        <v>glycines)</v>
      </c>
      <c r="G911" t="str">
        <f>IFERROR(__xludf.DUMMYFUNCTION("""COMPUTED_VALUE"""),"strain")</f>
        <v>strain</v>
      </c>
      <c r="H911" t="str">
        <f>IFERROR(__xludf.DUMMYFUNCTION("""COMPUTED_VALUE"""),"BAg")</f>
        <v>BAg</v>
      </c>
    </row>
    <row r="912" ht="15.75" customHeight="1">
      <c r="A912" t="str">
        <f t="shared" si="1"/>
        <v>B.aphidicola</v>
      </c>
      <c r="B912" s="5" t="s">
        <v>938</v>
      </c>
      <c r="C912" s="6" t="str">
        <f>IFERROR(__xludf.DUMMYFUNCTION("SPLIT('2. c'!B912, "" "", True, True)"),"Buchnera")</f>
        <v>Buchnera</v>
      </c>
      <c r="D912" t="str">
        <f>IFERROR(__xludf.DUMMYFUNCTION("""COMPUTED_VALUE"""),"aphidicola")</f>
        <v>aphidicola</v>
      </c>
      <c r="E912" t="str">
        <f>IFERROR(__xludf.DUMMYFUNCTION("""COMPUTED_VALUE"""),"(Cinara")</f>
        <v>(Cinara</v>
      </c>
      <c r="F912" t="str">
        <f>IFERROR(__xludf.DUMMYFUNCTION("""COMPUTED_VALUE"""),"tujafilina)")</f>
        <v>tujafilina)</v>
      </c>
    </row>
    <row r="913" ht="15.75" customHeight="1">
      <c r="A913" t="str">
        <f t="shared" si="1"/>
        <v>B.aphidicola</v>
      </c>
      <c r="B913" s="5" t="s">
        <v>939</v>
      </c>
      <c r="C913" s="6" t="str">
        <f>IFERROR(__xludf.DUMMYFUNCTION("SPLIT('2. c'!B913, "" "", True, True)"),"Buchnera")</f>
        <v>Buchnera</v>
      </c>
      <c r="D913" t="str">
        <f>IFERROR(__xludf.DUMMYFUNCTION("""COMPUTED_VALUE"""),"aphidicola")</f>
        <v>aphidicola</v>
      </c>
      <c r="E913" t="str">
        <f>IFERROR(__xludf.DUMMYFUNCTION("""COMPUTED_VALUE"""),"(Schlechtendalia")</f>
        <v>(Schlechtendalia</v>
      </c>
      <c r="F913" t="str">
        <f>IFERROR(__xludf.DUMMYFUNCTION("""COMPUTED_VALUE"""),"chinensis)")</f>
        <v>chinensis)</v>
      </c>
    </row>
    <row r="914" ht="15.75" customHeight="1">
      <c r="A914" t="str">
        <f t="shared" si="1"/>
        <v>B.aphidicola</v>
      </c>
      <c r="B914" s="5" t="s">
        <v>940</v>
      </c>
      <c r="C914" s="6" t="str">
        <f>IFERROR(__xludf.DUMMYFUNCTION("SPLIT('2. c'!B914, "" "", True, True)"),"Buchnera")</f>
        <v>Buchnera</v>
      </c>
      <c r="D914" t="str">
        <f>IFERROR(__xludf.DUMMYFUNCTION("""COMPUTED_VALUE"""),"aphidicola")</f>
        <v>aphidicola</v>
      </c>
      <c r="E914" t="str">
        <f>IFERROR(__xludf.DUMMYFUNCTION("""COMPUTED_VALUE"""),"(Tuberolachnus")</f>
        <v>(Tuberolachnus</v>
      </c>
      <c r="F914" t="str">
        <f>IFERROR(__xludf.DUMMYFUNCTION("""COMPUTED_VALUE"""),"salignus)")</f>
        <v>salignus)</v>
      </c>
    </row>
    <row r="915" ht="15.75" customHeight="1">
      <c r="A915" t="str">
        <f t="shared" si="1"/>
        <v>B.aphidicola</v>
      </c>
      <c r="B915" s="5" t="s">
        <v>941</v>
      </c>
      <c r="C915" s="6" t="str">
        <f>IFERROR(__xludf.DUMMYFUNCTION("SPLIT('2. c'!B915, "" "", True, True)"),"Buchnera")</f>
        <v>Buchnera</v>
      </c>
      <c r="D915" t="str">
        <f>IFERROR(__xludf.DUMMYFUNCTION("""COMPUTED_VALUE"""),"aphidicola")</f>
        <v>aphidicola</v>
      </c>
      <c r="E915" t="str">
        <f>IFERROR(__xludf.DUMMYFUNCTION("""COMPUTED_VALUE"""),"BCc")</f>
        <v>BCc</v>
      </c>
    </row>
    <row r="916" ht="15.75" customHeight="1">
      <c r="A916" t="str">
        <f t="shared" si="1"/>
        <v>B.aphidicola</v>
      </c>
      <c r="B916" s="5" t="s">
        <v>942</v>
      </c>
      <c r="C916" s="6" t="str">
        <f>IFERROR(__xludf.DUMMYFUNCTION("SPLIT('2. c'!B916, "" "", True, True)"),"Buchnera")</f>
        <v>Buchnera</v>
      </c>
      <c r="D916" t="str">
        <f>IFERROR(__xludf.DUMMYFUNCTION("""COMPUTED_VALUE"""),"aphidicola")</f>
        <v>aphidicola</v>
      </c>
      <c r="E916" t="str">
        <f>IFERROR(__xludf.DUMMYFUNCTION("""COMPUTED_VALUE"""),"str.")</f>
        <v>str.</v>
      </c>
      <c r="F916" t="str">
        <f>IFERROR(__xludf.DUMMYFUNCTION("""COMPUTED_VALUE"""),"5A")</f>
        <v>5A</v>
      </c>
      <c r="G916" t="str">
        <f>IFERROR(__xludf.DUMMYFUNCTION("""COMPUTED_VALUE"""),"(Acyrthosiphon")</f>
        <v>(Acyrthosiphon</v>
      </c>
      <c r="H916" t="str">
        <f>IFERROR(__xludf.DUMMYFUNCTION("""COMPUTED_VALUE"""),"pisum)")</f>
        <v>pisum)</v>
      </c>
    </row>
    <row r="917" ht="15.75" customHeight="1">
      <c r="A917" t="str">
        <f t="shared" si="1"/>
        <v>B.aphidicola</v>
      </c>
      <c r="B917" s="5" t="s">
        <v>943</v>
      </c>
      <c r="C917" s="6" t="str">
        <f>IFERROR(__xludf.DUMMYFUNCTION("SPLIT('2. c'!B917, "" "", True, True)"),"Buchnera")</f>
        <v>Buchnera</v>
      </c>
      <c r="D917" t="str">
        <f>IFERROR(__xludf.DUMMYFUNCTION("""COMPUTED_VALUE"""),"aphidicola")</f>
        <v>aphidicola</v>
      </c>
      <c r="E917" t="str">
        <f>IFERROR(__xludf.DUMMYFUNCTION("""COMPUTED_VALUE"""),"str.")</f>
        <v>str.</v>
      </c>
      <c r="F917" t="str">
        <f>IFERROR(__xludf.DUMMYFUNCTION("""COMPUTED_VALUE"""),"Ak")</f>
        <v>Ak</v>
      </c>
      <c r="G917" t="str">
        <f>IFERROR(__xludf.DUMMYFUNCTION("""COMPUTED_VALUE"""),"(Acyrthosiphon")</f>
        <v>(Acyrthosiphon</v>
      </c>
      <c r="H917" t="str">
        <f>IFERROR(__xludf.DUMMYFUNCTION("""COMPUTED_VALUE"""),"kondoi)")</f>
        <v>kondoi)</v>
      </c>
    </row>
    <row r="918" ht="15.75" customHeight="1">
      <c r="A918" t="str">
        <f t="shared" si="1"/>
        <v>B.aphidicola</v>
      </c>
      <c r="B918" s="5" t="s">
        <v>944</v>
      </c>
      <c r="C918" s="6" t="str">
        <f>IFERROR(__xludf.DUMMYFUNCTION("SPLIT('2. c'!B918, "" "", True, True)"),"Buchnera")</f>
        <v>Buchnera</v>
      </c>
      <c r="D918" t="str">
        <f>IFERROR(__xludf.DUMMYFUNCTION("""COMPUTED_VALUE"""),"aphidicola")</f>
        <v>aphidicola</v>
      </c>
      <c r="E918" t="str">
        <f>IFERROR(__xludf.DUMMYFUNCTION("""COMPUTED_VALUE"""),"str.")</f>
        <v>str.</v>
      </c>
      <c r="F918" t="str">
        <f>IFERROR(__xludf.DUMMYFUNCTION("""COMPUTED_VALUE"""),"APS")</f>
        <v>APS</v>
      </c>
      <c r="G918" t="str">
        <f>IFERROR(__xludf.DUMMYFUNCTION("""COMPUTED_VALUE"""),"(Acyrthosiphon")</f>
        <v>(Acyrthosiphon</v>
      </c>
      <c r="H918" t="str">
        <f>IFERROR(__xludf.DUMMYFUNCTION("""COMPUTED_VALUE"""),"pisum)")</f>
        <v>pisum)</v>
      </c>
    </row>
    <row r="919" ht="15.75" customHeight="1">
      <c r="A919" t="str">
        <f t="shared" si="1"/>
        <v>B.aphidicola</v>
      </c>
      <c r="B919" s="5" t="s">
        <v>945</v>
      </c>
      <c r="C919" s="6" t="str">
        <f>IFERROR(__xludf.DUMMYFUNCTION("SPLIT('2. c'!B919, "" "", True, True)"),"Buchnera")</f>
        <v>Buchnera</v>
      </c>
      <c r="D919" t="str">
        <f>IFERROR(__xludf.DUMMYFUNCTION("""COMPUTED_VALUE"""),"aphidicola")</f>
        <v>aphidicola</v>
      </c>
      <c r="E919" t="str">
        <f>IFERROR(__xludf.DUMMYFUNCTION("""COMPUTED_VALUE"""),"str.")</f>
        <v>str.</v>
      </c>
      <c r="F919" t="str">
        <f>IFERROR(__xludf.DUMMYFUNCTION("""COMPUTED_VALUE"""),"Bp")</f>
        <v>Bp</v>
      </c>
      <c r="G919" t="str">
        <f>IFERROR(__xludf.DUMMYFUNCTION("""COMPUTED_VALUE"""),"(Baizongia")</f>
        <v>(Baizongia</v>
      </c>
      <c r="H919" t="str">
        <f>IFERROR(__xludf.DUMMYFUNCTION("""COMPUTED_VALUE"""),"pistaciae)")</f>
        <v>pistaciae)</v>
      </c>
    </row>
    <row r="920" ht="15.75" customHeight="1">
      <c r="A920" t="str">
        <f t="shared" si="1"/>
        <v>B.aphidicola</v>
      </c>
      <c r="B920" s="5" t="s">
        <v>946</v>
      </c>
      <c r="C920" s="6" t="str">
        <f>IFERROR(__xludf.DUMMYFUNCTION("SPLIT('2. c'!B920, "" "", True, True)"),"Buchnera")</f>
        <v>Buchnera</v>
      </c>
      <c r="D920" t="str">
        <f>IFERROR(__xludf.DUMMYFUNCTION("""COMPUTED_VALUE"""),"aphidicola")</f>
        <v>aphidicola</v>
      </c>
      <c r="E920" t="str">
        <f>IFERROR(__xludf.DUMMYFUNCTION("""COMPUTED_VALUE"""),"str.")</f>
        <v>str.</v>
      </c>
      <c r="F920" t="str">
        <f>IFERROR(__xludf.DUMMYFUNCTION("""COMPUTED_VALUE"""),"F009")</f>
        <v>F009</v>
      </c>
      <c r="G920" t="str">
        <f>IFERROR(__xludf.DUMMYFUNCTION("""COMPUTED_VALUE"""),"(Myzus")</f>
        <v>(Myzus</v>
      </c>
      <c r="H920" t="str">
        <f>IFERROR(__xludf.DUMMYFUNCTION("""COMPUTED_VALUE"""),"persicae)")</f>
        <v>persicae)</v>
      </c>
    </row>
    <row r="921" ht="15.75" customHeight="1">
      <c r="A921" t="str">
        <f t="shared" si="1"/>
        <v>B.aphidicola</v>
      </c>
      <c r="B921" s="5" t="s">
        <v>947</v>
      </c>
      <c r="C921" s="6" t="str">
        <f>IFERROR(__xludf.DUMMYFUNCTION("SPLIT('2. c'!B921, "" "", True, True)"),"Buchnera")</f>
        <v>Buchnera</v>
      </c>
      <c r="D921" t="str">
        <f>IFERROR(__xludf.DUMMYFUNCTION("""COMPUTED_VALUE"""),"aphidicola")</f>
        <v>aphidicola</v>
      </c>
      <c r="E921" t="str">
        <f>IFERROR(__xludf.DUMMYFUNCTION("""COMPUTED_VALUE"""),"str.")</f>
        <v>str.</v>
      </c>
      <c r="F921" t="str">
        <f>IFERROR(__xludf.DUMMYFUNCTION("""COMPUTED_VALUE"""),"G002")</f>
        <v>G002</v>
      </c>
      <c r="G921" t="str">
        <f>IFERROR(__xludf.DUMMYFUNCTION("""COMPUTED_VALUE"""),"(Myzus")</f>
        <v>(Myzus</v>
      </c>
      <c r="H921" t="str">
        <f>IFERROR(__xludf.DUMMYFUNCTION("""COMPUTED_VALUE"""),"persicae)")</f>
        <v>persicae)</v>
      </c>
    </row>
    <row r="922" ht="15.75" customHeight="1">
      <c r="A922" t="str">
        <f t="shared" si="1"/>
        <v>B.aphidicola</v>
      </c>
      <c r="B922" s="5" t="s">
        <v>948</v>
      </c>
      <c r="C922" s="6" t="str">
        <f>IFERROR(__xludf.DUMMYFUNCTION("SPLIT('2. c'!B922, "" "", True, True)"),"Buchnera")</f>
        <v>Buchnera</v>
      </c>
      <c r="D922" t="str">
        <f>IFERROR(__xludf.DUMMYFUNCTION("""COMPUTED_VALUE"""),"aphidicola")</f>
        <v>aphidicola</v>
      </c>
      <c r="E922" t="str">
        <f>IFERROR(__xludf.DUMMYFUNCTION("""COMPUTED_VALUE"""),"str.")</f>
        <v>str.</v>
      </c>
      <c r="F922" t="str">
        <f>IFERROR(__xludf.DUMMYFUNCTION("""COMPUTED_VALUE"""),"JF98")</f>
        <v>JF98</v>
      </c>
      <c r="G922" t="str">
        <f>IFERROR(__xludf.DUMMYFUNCTION("""COMPUTED_VALUE"""),"(Acyrthosiphon")</f>
        <v>(Acyrthosiphon</v>
      </c>
      <c r="H922" t="str">
        <f>IFERROR(__xludf.DUMMYFUNCTION("""COMPUTED_VALUE"""),"pisum)")</f>
        <v>pisum)</v>
      </c>
    </row>
    <row r="923" ht="15.75" customHeight="1">
      <c r="A923" t="str">
        <f t="shared" si="1"/>
        <v>B.aphidicola</v>
      </c>
      <c r="B923" s="5" t="s">
        <v>949</v>
      </c>
      <c r="C923" s="6" t="str">
        <f>IFERROR(__xludf.DUMMYFUNCTION("SPLIT('2. c'!B923, "" "", True, True)"),"Buchnera")</f>
        <v>Buchnera</v>
      </c>
      <c r="D923" t="str">
        <f>IFERROR(__xludf.DUMMYFUNCTION("""COMPUTED_VALUE"""),"aphidicola")</f>
        <v>aphidicola</v>
      </c>
      <c r="E923" t="str">
        <f>IFERROR(__xludf.DUMMYFUNCTION("""COMPUTED_VALUE"""),"str.")</f>
        <v>str.</v>
      </c>
      <c r="F923" t="str">
        <f>IFERROR(__xludf.DUMMYFUNCTION("""COMPUTED_VALUE"""),"JF99")</f>
        <v>JF99</v>
      </c>
      <c r="G923" t="str">
        <f>IFERROR(__xludf.DUMMYFUNCTION("""COMPUTED_VALUE"""),"(Acyrthosiphon")</f>
        <v>(Acyrthosiphon</v>
      </c>
      <c r="H923" t="str">
        <f>IFERROR(__xludf.DUMMYFUNCTION("""COMPUTED_VALUE"""),"pisum)")</f>
        <v>pisum)</v>
      </c>
    </row>
    <row r="924" ht="15.75" customHeight="1">
      <c r="A924" t="str">
        <f t="shared" si="1"/>
        <v>B.aphidicola</v>
      </c>
      <c r="B924" s="5" t="s">
        <v>950</v>
      </c>
      <c r="C924" s="6" t="str">
        <f>IFERROR(__xludf.DUMMYFUNCTION("SPLIT('2. c'!B924, "" "", True, True)"),"Buchnera")</f>
        <v>Buchnera</v>
      </c>
      <c r="D924" t="str">
        <f>IFERROR(__xludf.DUMMYFUNCTION("""COMPUTED_VALUE"""),"aphidicola")</f>
        <v>aphidicola</v>
      </c>
      <c r="E924" t="str">
        <f>IFERROR(__xludf.DUMMYFUNCTION("""COMPUTED_VALUE"""),"str.")</f>
        <v>str.</v>
      </c>
      <c r="F924" t="str">
        <f>IFERROR(__xludf.DUMMYFUNCTION("""COMPUTED_VALUE"""),"LL01")</f>
        <v>LL01</v>
      </c>
      <c r="G924" t="str">
        <f>IFERROR(__xludf.DUMMYFUNCTION("""COMPUTED_VALUE"""),"(Acyrthosiphon")</f>
        <v>(Acyrthosiphon</v>
      </c>
      <c r="H924" t="str">
        <f>IFERROR(__xludf.DUMMYFUNCTION("""COMPUTED_VALUE"""),"pisum)")</f>
        <v>pisum)</v>
      </c>
    </row>
    <row r="925" ht="15.75" customHeight="1">
      <c r="A925" t="str">
        <f t="shared" si="1"/>
        <v>B.aphidicola</v>
      </c>
      <c r="B925" s="5" t="s">
        <v>951</v>
      </c>
      <c r="C925" s="6" t="str">
        <f>IFERROR(__xludf.DUMMYFUNCTION("SPLIT('2. c'!B925, "" "", True, True)"),"Buchnera")</f>
        <v>Buchnera</v>
      </c>
      <c r="D925" t="str">
        <f>IFERROR(__xludf.DUMMYFUNCTION("""COMPUTED_VALUE"""),"aphidicola")</f>
        <v>aphidicola</v>
      </c>
      <c r="E925" t="str">
        <f>IFERROR(__xludf.DUMMYFUNCTION("""COMPUTED_VALUE"""),"str.")</f>
        <v>str.</v>
      </c>
      <c r="F925" t="str">
        <f>IFERROR(__xludf.DUMMYFUNCTION("""COMPUTED_VALUE"""),"Sg")</f>
        <v>Sg</v>
      </c>
      <c r="G925" t="str">
        <f>IFERROR(__xludf.DUMMYFUNCTION("""COMPUTED_VALUE"""),"(Schizaphis")</f>
        <v>(Schizaphis</v>
      </c>
      <c r="H925" t="str">
        <f>IFERROR(__xludf.DUMMYFUNCTION("""COMPUTED_VALUE"""),"graminum)")</f>
        <v>graminum)</v>
      </c>
    </row>
    <row r="926" ht="15.75" customHeight="1">
      <c r="A926" t="str">
        <f t="shared" si="1"/>
        <v>B.aphidicola</v>
      </c>
      <c r="B926" s="5" t="s">
        <v>952</v>
      </c>
      <c r="C926" s="6" t="str">
        <f>IFERROR(__xludf.DUMMYFUNCTION("SPLIT('2. c'!B926, "" "", True, True)"),"Buchnera")</f>
        <v>Buchnera</v>
      </c>
      <c r="D926" t="str">
        <f>IFERROR(__xludf.DUMMYFUNCTION("""COMPUTED_VALUE"""),"aphidicola")</f>
        <v>aphidicola</v>
      </c>
      <c r="E926" t="str">
        <f>IFERROR(__xludf.DUMMYFUNCTION("""COMPUTED_VALUE"""),"str.")</f>
        <v>str.</v>
      </c>
      <c r="F926" t="str">
        <f>IFERROR(__xludf.DUMMYFUNCTION("""COMPUTED_VALUE"""),"TLW03")</f>
        <v>TLW03</v>
      </c>
      <c r="G926" t="str">
        <f>IFERROR(__xludf.DUMMYFUNCTION("""COMPUTED_VALUE"""),"(Acyrthosiphon")</f>
        <v>(Acyrthosiphon</v>
      </c>
      <c r="H926" t="str">
        <f>IFERROR(__xludf.DUMMYFUNCTION("""COMPUTED_VALUE"""),"pisum)")</f>
        <v>pisum)</v>
      </c>
    </row>
    <row r="927" ht="15.75" customHeight="1">
      <c r="A927" t="str">
        <f t="shared" si="1"/>
        <v>B.aphidicola</v>
      </c>
      <c r="B927" s="5" t="s">
        <v>953</v>
      </c>
      <c r="C927" s="6" t="str">
        <f>IFERROR(__xludf.DUMMYFUNCTION("SPLIT('2. c'!B927, "" "", True, True)"),"Buchnera")</f>
        <v>Buchnera</v>
      </c>
      <c r="D927" t="str">
        <f>IFERROR(__xludf.DUMMYFUNCTION("""COMPUTED_VALUE"""),"aphidicola")</f>
        <v>aphidicola</v>
      </c>
      <c r="E927" t="str">
        <f>IFERROR(__xludf.DUMMYFUNCTION("""COMPUTED_VALUE"""),"str.")</f>
        <v>str.</v>
      </c>
      <c r="F927" t="str">
        <f>IFERROR(__xludf.DUMMYFUNCTION("""COMPUTED_VALUE"""),"Tuc7")</f>
        <v>Tuc7</v>
      </c>
      <c r="G927" t="str">
        <f>IFERROR(__xludf.DUMMYFUNCTION("""COMPUTED_VALUE"""),"(Acyrthosiphon")</f>
        <v>(Acyrthosiphon</v>
      </c>
      <c r="H927" t="str">
        <f>IFERROR(__xludf.DUMMYFUNCTION("""COMPUTED_VALUE"""),"pisum)")</f>
        <v>pisum)</v>
      </c>
    </row>
    <row r="928" ht="15.75" customHeight="1">
      <c r="A928" t="str">
        <f t="shared" si="1"/>
        <v>B.aphidicola</v>
      </c>
      <c r="B928" s="5" t="s">
        <v>954</v>
      </c>
      <c r="C928" s="6" t="str">
        <f>IFERROR(__xludf.DUMMYFUNCTION("SPLIT('2. c'!B928, "" "", True, True)"),"Buchnera")</f>
        <v>Buchnera</v>
      </c>
      <c r="D928" t="str">
        <f>IFERROR(__xludf.DUMMYFUNCTION("""COMPUTED_VALUE"""),"aphidicola")</f>
        <v>aphidicola</v>
      </c>
      <c r="E928" t="str">
        <f>IFERROR(__xludf.DUMMYFUNCTION("""COMPUTED_VALUE"""),"str.")</f>
        <v>str.</v>
      </c>
      <c r="F928" t="str">
        <f>IFERROR(__xludf.DUMMYFUNCTION("""COMPUTED_VALUE"""),"Ua")</f>
        <v>Ua</v>
      </c>
      <c r="G928" t="str">
        <f>IFERROR(__xludf.DUMMYFUNCTION("""COMPUTED_VALUE"""),"(Uroleucon")</f>
        <v>(Uroleucon</v>
      </c>
      <c r="H928" t="str">
        <f>IFERROR(__xludf.DUMMYFUNCTION("""COMPUTED_VALUE"""),"ambrosiae)")</f>
        <v>ambrosiae)</v>
      </c>
    </row>
    <row r="929" ht="15.75" customHeight="1">
      <c r="A929" t="str">
        <f t="shared" si="1"/>
        <v>B.aphidicola</v>
      </c>
      <c r="B929" s="5" t="s">
        <v>955</v>
      </c>
      <c r="C929" s="6" t="str">
        <f>IFERROR(__xludf.DUMMYFUNCTION("SPLIT('2. c'!B929, "" "", True, True)"),"Buchnera")</f>
        <v>Buchnera</v>
      </c>
      <c r="D929" t="str">
        <f>IFERROR(__xludf.DUMMYFUNCTION("""COMPUTED_VALUE"""),"aphidicola")</f>
        <v>aphidicola</v>
      </c>
      <c r="E929" t="str">
        <f>IFERROR(__xludf.DUMMYFUNCTION("""COMPUTED_VALUE"""),"str.")</f>
        <v>str.</v>
      </c>
      <c r="F929" t="str">
        <f>IFERROR(__xludf.DUMMYFUNCTION("""COMPUTED_VALUE"""),"USDA")</f>
        <v>USDA</v>
      </c>
      <c r="G929" t="str">
        <f>IFERROR(__xludf.DUMMYFUNCTION("""COMPUTED_VALUE"""),"(Myzus")</f>
        <v>(Myzus</v>
      </c>
      <c r="H929" t="str">
        <f>IFERROR(__xludf.DUMMYFUNCTION("""COMPUTED_VALUE"""),"persicae)")</f>
        <v>persicae)</v>
      </c>
    </row>
    <row r="930" ht="15.75" customHeight="1">
      <c r="A930" t="str">
        <f t="shared" si="1"/>
        <v>B.aphidicola</v>
      </c>
      <c r="B930" s="5" t="s">
        <v>956</v>
      </c>
      <c r="C930" s="6" t="str">
        <f>IFERROR(__xludf.DUMMYFUNCTION("SPLIT('2. c'!B930, "" "", True, True)"),"Buchnera")</f>
        <v>Buchnera</v>
      </c>
      <c r="D930" t="str">
        <f>IFERROR(__xludf.DUMMYFUNCTION("""COMPUTED_VALUE"""),"aphidicola")</f>
        <v>aphidicola</v>
      </c>
      <c r="E930" t="str">
        <f>IFERROR(__xludf.DUMMYFUNCTION("""COMPUTED_VALUE"""),"str.")</f>
        <v>str.</v>
      </c>
      <c r="F930" t="str">
        <f>IFERROR(__xludf.DUMMYFUNCTION("""COMPUTED_VALUE"""),"W106")</f>
        <v>W106</v>
      </c>
      <c r="G930" t="str">
        <f>IFERROR(__xludf.DUMMYFUNCTION("""COMPUTED_VALUE"""),"(Myzus")</f>
        <v>(Myzus</v>
      </c>
      <c r="H930" t="str">
        <f>IFERROR(__xludf.DUMMYFUNCTION("""COMPUTED_VALUE"""),"persicae)")</f>
        <v>persicae)</v>
      </c>
    </row>
    <row r="931" ht="15.75" customHeight="1">
      <c r="A931" t="str">
        <f t="shared" si="1"/>
        <v>B.ambifaria</v>
      </c>
      <c r="B931" s="5" t="s">
        <v>957</v>
      </c>
      <c r="C931" s="6" t="str">
        <f>IFERROR(__xludf.DUMMYFUNCTION("SPLIT('2. c'!B931, "" "", True, True)"),"Burkholderia")</f>
        <v>Burkholderia</v>
      </c>
      <c r="D931" t="str">
        <f>IFERROR(__xludf.DUMMYFUNCTION("""COMPUTED_VALUE"""),"ambifaria")</f>
        <v>ambifaria</v>
      </c>
      <c r="E931" t="str">
        <f>IFERROR(__xludf.DUMMYFUNCTION("""COMPUTED_VALUE"""),"AMMD")</f>
        <v>AMMD</v>
      </c>
    </row>
    <row r="932" ht="15.75" customHeight="1">
      <c r="A932" t="str">
        <f t="shared" si="1"/>
        <v>B.ambifaria</v>
      </c>
      <c r="B932" s="5" t="s">
        <v>957</v>
      </c>
      <c r="C932" s="6" t="str">
        <f>IFERROR(__xludf.DUMMYFUNCTION("SPLIT('2. c'!B932, "" "", True, True)"),"Burkholderia")</f>
        <v>Burkholderia</v>
      </c>
      <c r="D932" t="str">
        <f>IFERROR(__xludf.DUMMYFUNCTION("""COMPUTED_VALUE"""),"ambifaria")</f>
        <v>ambifaria</v>
      </c>
      <c r="E932" t="str">
        <f>IFERROR(__xludf.DUMMYFUNCTION("""COMPUTED_VALUE"""),"AMMD")</f>
        <v>AMMD</v>
      </c>
    </row>
    <row r="933" ht="15.75" customHeight="1">
      <c r="A933" t="str">
        <f t="shared" si="1"/>
        <v>B.ambifaria</v>
      </c>
      <c r="B933" s="5" t="s">
        <v>958</v>
      </c>
      <c r="C933" s="6" t="str">
        <f>IFERROR(__xludf.DUMMYFUNCTION("SPLIT('2. c'!B933, "" "", True, True)"),"Burkholderia")</f>
        <v>Burkholderia</v>
      </c>
      <c r="D933" t="str">
        <f>IFERROR(__xludf.DUMMYFUNCTION("""COMPUTED_VALUE"""),"ambifaria")</f>
        <v>ambifaria</v>
      </c>
      <c r="E933" t="str">
        <f>IFERROR(__xludf.DUMMYFUNCTION("""COMPUTED_VALUE"""),"MC40-6")</f>
        <v>MC40-6</v>
      </c>
    </row>
    <row r="934" ht="15.75" customHeight="1">
      <c r="A934" t="str">
        <f t="shared" si="1"/>
        <v>B.caribensis</v>
      </c>
      <c r="B934" s="5" t="s">
        <v>959</v>
      </c>
      <c r="C934" s="6" t="str">
        <f>IFERROR(__xludf.DUMMYFUNCTION("SPLIT('2. c'!B934, "" "", True, True)"),"Burkholderia")</f>
        <v>Burkholderia</v>
      </c>
      <c r="D934" t="str">
        <f>IFERROR(__xludf.DUMMYFUNCTION("""COMPUTED_VALUE"""),"caribensis")</f>
        <v>caribensis</v>
      </c>
      <c r="E934" t="str">
        <f>IFERROR(__xludf.DUMMYFUNCTION("""COMPUTED_VALUE"""),"strain")</f>
        <v>strain</v>
      </c>
      <c r="F934" t="str">
        <f>IFERROR(__xludf.DUMMYFUNCTION("""COMPUTED_VALUE"""),"MWAP64")</f>
        <v>MWAP64</v>
      </c>
    </row>
    <row r="935" ht="15.75" customHeight="1">
      <c r="A935" t="str">
        <f t="shared" si="1"/>
        <v>B.cenocepacia</v>
      </c>
      <c r="B935" s="5" t="s">
        <v>960</v>
      </c>
      <c r="C935" s="6" t="str">
        <f>IFERROR(__xludf.DUMMYFUNCTION("SPLIT('2. c'!B935, "" "", True, True)"),"Burkholderia")</f>
        <v>Burkholderia</v>
      </c>
      <c r="D935" t="str">
        <f>IFERROR(__xludf.DUMMYFUNCTION("""COMPUTED_VALUE"""),"cenocepacia")</f>
        <v>cenocepacia</v>
      </c>
      <c r="E935" t="str">
        <f>IFERROR(__xludf.DUMMYFUNCTION("""COMPUTED_VALUE"""),"AU")</f>
        <v>AU</v>
      </c>
      <c r="F935">
        <f>IFERROR(__xludf.DUMMYFUNCTION("""COMPUTED_VALUE"""),1054.0)</f>
        <v>1054</v>
      </c>
    </row>
    <row r="936" ht="15.75" customHeight="1">
      <c r="A936" t="str">
        <f t="shared" si="1"/>
        <v>B.cenocepacia</v>
      </c>
      <c r="B936" s="5" t="s">
        <v>961</v>
      </c>
      <c r="C936" s="6" t="str">
        <f>IFERROR(__xludf.DUMMYFUNCTION("SPLIT('2. c'!B936, "" "", True, True)"),"Burkholderia")</f>
        <v>Burkholderia</v>
      </c>
      <c r="D936" t="str">
        <f>IFERROR(__xludf.DUMMYFUNCTION("""COMPUTED_VALUE"""),"cenocepacia")</f>
        <v>cenocepacia</v>
      </c>
      <c r="E936" t="str">
        <f>IFERROR(__xludf.DUMMYFUNCTION("""COMPUTED_VALUE"""),"HI2424")</f>
        <v>HI2424</v>
      </c>
    </row>
    <row r="937" ht="15.75" customHeight="1">
      <c r="A937" t="str">
        <f t="shared" si="1"/>
        <v>B.cenocepacia</v>
      </c>
      <c r="B937" s="5" t="s">
        <v>962</v>
      </c>
      <c r="C937" s="6" t="str">
        <f>IFERROR(__xludf.DUMMYFUNCTION("SPLIT('2. c'!B937, "" "", True, True)"),"Burkholderia")</f>
        <v>Burkholderia</v>
      </c>
      <c r="D937" t="str">
        <f>IFERROR(__xludf.DUMMYFUNCTION("""COMPUTED_VALUE"""),"cenocepacia")</f>
        <v>cenocepacia</v>
      </c>
      <c r="E937" t="str">
        <f>IFERROR(__xludf.DUMMYFUNCTION("""COMPUTED_VALUE"""),"J2315")</f>
        <v>J2315</v>
      </c>
    </row>
    <row r="938" ht="15.75" customHeight="1">
      <c r="A938" t="str">
        <f t="shared" si="1"/>
        <v>B.cenocepacia</v>
      </c>
      <c r="B938" s="5" t="s">
        <v>963</v>
      </c>
      <c r="C938" s="6" t="str">
        <f>IFERROR(__xludf.DUMMYFUNCTION("SPLIT('2. c'!B938, "" "", True, True)"),"Burkholderia")</f>
        <v>Burkholderia</v>
      </c>
      <c r="D938" t="str">
        <f>IFERROR(__xludf.DUMMYFUNCTION("""COMPUTED_VALUE"""),"cenocepacia")</f>
        <v>cenocepacia</v>
      </c>
      <c r="E938" t="str">
        <f>IFERROR(__xludf.DUMMYFUNCTION("""COMPUTED_VALUE"""),"MC0-3")</f>
        <v>MC0-3</v>
      </c>
    </row>
    <row r="939" ht="15.75" customHeight="1">
      <c r="A939" t="str">
        <f t="shared" si="1"/>
        <v>B.cenocepacia</v>
      </c>
      <c r="B939" s="5" t="s">
        <v>964</v>
      </c>
      <c r="C939" s="6" t="str">
        <f>IFERROR(__xludf.DUMMYFUNCTION("SPLIT('2. c'!B939, "" "", True, True)"),"Burkholderia")</f>
        <v>Burkholderia</v>
      </c>
      <c r="D939" t="str">
        <f>IFERROR(__xludf.DUMMYFUNCTION("""COMPUTED_VALUE"""),"cenocepacia")</f>
        <v>cenocepacia</v>
      </c>
      <c r="E939" t="str">
        <f>IFERROR(__xludf.DUMMYFUNCTION("""COMPUTED_VALUE"""),"strain")</f>
        <v>strain</v>
      </c>
      <c r="F939">
        <f>IFERROR(__xludf.DUMMYFUNCTION("""COMPUTED_VALUE"""),842.0)</f>
        <v>842</v>
      </c>
    </row>
    <row r="940" ht="15.75" customHeight="1">
      <c r="A940" t="str">
        <f t="shared" si="1"/>
        <v>B.cenocepacia</v>
      </c>
      <c r="B940" s="5" t="s">
        <v>965</v>
      </c>
      <c r="C940" s="6" t="str">
        <f>IFERROR(__xludf.DUMMYFUNCTION("SPLIT('2. c'!B940, "" "", True, True)"),"Burkholderia")</f>
        <v>Burkholderia</v>
      </c>
      <c r="D940" t="str">
        <f>IFERROR(__xludf.DUMMYFUNCTION("""COMPUTED_VALUE"""),"cenocepacia")</f>
        <v>cenocepacia</v>
      </c>
      <c r="E940" t="str">
        <f>IFERROR(__xludf.DUMMYFUNCTION("""COMPUTED_VALUE"""),"strain")</f>
        <v>strain</v>
      </c>
      <c r="F940">
        <f>IFERROR(__xludf.DUMMYFUNCTION("""COMPUTED_VALUE"""),895.0)</f>
        <v>895</v>
      </c>
    </row>
    <row r="941" ht="15.75" customHeight="1">
      <c r="A941" t="str">
        <f t="shared" si="1"/>
        <v>B.cenocepacia</v>
      </c>
      <c r="B941" s="5" t="s">
        <v>966</v>
      </c>
      <c r="C941" s="6" t="str">
        <f>IFERROR(__xludf.DUMMYFUNCTION("SPLIT('2. c'!B941, "" "", True, True)"),"Burkholderia")</f>
        <v>Burkholderia</v>
      </c>
      <c r="D941" t="str">
        <f>IFERROR(__xludf.DUMMYFUNCTION("""COMPUTED_VALUE"""),"cenocepacia")</f>
        <v>cenocepacia</v>
      </c>
      <c r="E941" t="str">
        <f>IFERROR(__xludf.DUMMYFUNCTION("""COMPUTED_VALUE"""),"strain")</f>
        <v>strain</v>
      </c>
      <c r="F941" t="str">
        <f>IFERROR(__xludf.DUMMYFUNCTION("""COMPUTED_VALUE"""),"DDS")</f>
        <v>DDS</v>
      </c>
      <c r="G941" s="35">
        <f>IFERROR(__xludf.DUMMYFUNCTION("""COMPUTED_VALUE"""),2.2)</f>
        <v>2.2</v>
      </c>
    </row>
    <row r="942" ht="15.75" customHeight="1">
      <c r="A942" t="str">
        <f t="shared" si="1"/>
        <v>B.cenocepacia</v>
      </c>
      <c r="B942" s="5" t="s">
        <v>967</v>
      </c>
      <c r="C942" s="6" t="str">
        <f>IFERROR(__xludf.DUMMYFUNCTION("SPLIT('2. c'!B942, "" "", True, True)"),"Burkholderia")</f>
        <v>Burkholderia</v>
      </c>
      <c r="D942" t="str">
        <f>IFERROR(__xludf.DUMMYFUNCTION("""COMPUTED_VALUE"""),"cenocepacia")</f>
        <v>cenocepacia</v>
      </c>
      <c r="E942" t="str">
        <f>IFERROR(__xludf.DUMMYFUNCTION("""COMPUTED_VALUE"""),"strain")</f>
        <v>strain</v>
      </c>
      <c r="F942" t="str">
        <f>IFERROR(__xludf.DUMMYFUNCTION("""COMPUTED_VALUE"""),"DWS")</f>
        <v>DWS</v>
      </c>
      <c r="G942" s="35">
        <f>IFERROR(__xludf.DUMMYFUNCTION("""COMPUTED_VALUE"""),0.37)</f>
        <v>0.37</v>
      </c>
    </row>
    <row r="943" ht="15.75" customHeight="1">
      <c r="A943" t="str">
        <f t="shared" si="1"/>
        <v>B.cenocepacia</v>
      </c>
      <c r="B943" s="5" t="s">
        <v>968</v>
      </c>
      <c r="C943" s="6" t="str">
        <f>IFERROR(__xludf.DUMMYFUNCTION("SPLIT('2. c'!B943, "" "", True, True)"),"Burkholderia")</f>
        <v>Burkholderia</v>
      </c>
      <c r="D943" t="str">
        <f>IFERROR(__xludf.DUMMYFUNCTION("""COMPUTED_VALUE"""),"cenocepacia")</f>
        <v>cenocepacia</v>
      </c>
      <c r="E943" t="str">
        <f>IFERROR(__xludf.DUMMYFUNCTION("""COMPUTED_VALUE"""),"strain")</f>
        <v>strain</v>
      </c>
      <c r="F943" t="str">
        <f>IFERROR(__xludf.DUMMYFUNCTION("""COMPUTED_VALUE"""),"ST32")</f>
        <v>ST32</v>
      </c>
    </row>
    <row r="944" ht="15.75" customHeight="1">
      <c r="A944" t="str">
        <f t="shared" si="1"/>
        <v>B.cepacia</v>
      </c>
      <c r="B944" s="5" t="s">
        <v>969</v>
      </c>
      <c r="C944" s="6" t="str">
        <f>IFERROR(__xludf.DUMMYFUNCTION("SPLIT('2. c'!B944, "" "", True, True)"),"Burkholderia")</f>
        <v>Burkholderia</v>
      </c>
      <c r="D944" t="str">
        <f>IFERROR(__xludf.DUMMYFUNCTION("""COMPUTED_VALUE"""),"cepacia")</f>
        <v>cepacia</v>
      </c>
      <c r="E944" t="str">
        <f>IFERROR(__xludf.DUMMYFUNCTION("""COMPUTED_VALUE"""),"ATCC")</f>
        <v>ATCC</v>
      </c>
      <c r="F944">
        <f>IFERROR(__xludf.DUMMYFUNCTION("""COMPUTED_VALUE"""),25416.0)</f>
        <v>25416</v>
      </c>
    </row>
    <row r="945" ht="15.75" customHeight="1">
      <c r="A945" t="str">
        <f t="shared" si="1"/>
        <v>B.cepacia</v>
      </c>
      <c r="B945" s="5" t="s">
        <v>970</v>
      </c>
      <c r="C945" s="6" t="str">
        <f>IFERROR(__xludf.DUMMYFUNCTION("SPLIT('2. c'!B945, "" "", True, True)"),"Burkholderia")</f>
        <v>Burkholderia</v>
      </c>
      <c r="D945" t="str">
        <f>IFERROR(__xludf.DUMMYFUNCTION("""COMPUTED_VALUE"""),"cepacia")</f>
        <v>cepacia</v>
      </c>
      <c r="E945" t="str">
        <f>IFERROR(__xludf.DUMMYFUNCTION("""COMPUTED_VALUE"""),"GG4")</f>
        <v>GG4</v>
      </c>
    </row>
    <row r="946" ht="15.75" customHeight="1">
      <c r="A946" t="str">
        <f t="shared" si="1"/>
        <v>B.cepacia</v>
      </c>
      <c r="B946" s="5" t="s">
        <v>971</v>
      </c>
      <c r="C946" s="6" t="str">
        <f>IFERROR(__xludf.DUMMYFUNCTION("SPLIT('2. c'!B946, "" "", True, True)"),"Burkholderia")</f>
        <v>Burkholderia</v>
      </c>
      <c r="D946" t="str">
        <f>IFERROR(__xludf.DUMMYFUNCTION("""COMPUTED_VALUE"""),"cepacia")</f>
        <v>cepacia</v>
      </c>
      <c r="E946" t="str">
        <f>IFERROR(__xludf.DUMMYFUNCTION("""COMPUTED_VALUE"""),"strain")</f>
        <v>strain</v>
      </c>
      <c r="F946" t="str">
        <f>IFERROR(__xludf.DUMMYFUNCTION("""COMPUTED_VALUE"""),"DDS")</f>
        <v>DDS</v>
      </c>
      <c r="G946" t="str">
        <f>IFERROR(__xludf.DUMMYFUNCTION("""COMPUTED_VALUE"""),"7H-2")</f>
        <v>7H-2</v>
      </c>
    </row>
    <row r="947" ht="15.75" customHeight="1">
      <c r="A947" t="str">
        <f t="shared" si="1"/>
        <v>B.cepacia</v>
      </c>
      <c r="B947" s="5" t="s">
        <v>972</v>
      </c>
      <c r="C947" s="6" t="str">
        <f>IFERROR(__xludf.DUMMYFUNCTION("SPLIT('2. c'!B947, "" "", True, True)"),"Burkholderia")</f>
        <v>Burkholderia</v>
      </c>
      <c r="D947" t="str">
        <f>IFERROR(__xludf.DUMMYFUNCTION("""COMPUTED_VALUE"""),"cepacia")</f>
        <v>cepacia</v>
      </c>
      <c r="E947" t="str">
        <f>IFERROR(__xludf.DUMMYFUNCTION("""COMPUTED_VALUE"""),"strain")</f>
        <v>strain</v>
      </c>
      <c r="F947" t="str">
        <f>IFERROR(__xludf.DUMMYFUNCTION("""COMPUTED_VALUE"""),"LO6")</f>
        <v>LO6</v>
      </c>
    </row>
    <row r="948" ht="15.75" customHeight="1">
      <c r="A948" t="str">
        <f t="shared" si="1"/>
        <v>B.contaminans</v>
      </c>
      <c r="B948" s="5" t="s">
        <v>973</v>
      </c>
      <c r="C948" s="6" t="str">
        <f>IFERROR(__xludf.DUMMYFUNCTION("SPLIT('2. c'!B948, "" "", True, True)"),"Burkholderia")</f>
        <v>Burkholderia</v>
      </c>
      <c r="D948" t="str">
        <f>IFERROR(__xludf.DUMMYFUNCTION("""COMPUTED_VALUE"""),"contaminans")</f>
        <v>contaminans</v>
      </c>
      <c r="E948" t="str">
        <f>IFERROR(__xludf.DUMMYFUNCTION("""COMPUTED_VALUE"""),"strain")</f>
        <v>strain</v>
      </c>
      <c r="F948" t="str">
        <f>IFERROR(__xludf.DUMMYFUNCTION("""COMPUTED_VALUE"""),"MS14")</f>
        <v>MS14</v>
      </c>
    </row>
    <row r="949" ht="15.75" customHeight="1">
      <c r="A949" t="str">
        <f t="shared" si="1"/>
        <v>B.dolosa</v>
      </c>
      <c r="B949" s="5" t="s">
        <v>974</v>
      </c>
      <c r="C949" s="6" t="str">
        <f>IFERROR(__xludf.DUMMYFUNCTION("SPLIT('2. c'!B949, "" "", True, True)"),"Burkholderia")</f>
        <v>Burkholderia</v>
      </c>
      <c r="D949" t="str">
        <f>IFERROR(__xludf.DUMMYFUNCTION("""COMPUTED_VALUE"""),"dolosa")</f>
        <v>dolosa</v>
      </c>
      <c r="E949" t="str">
        <f>IFERROR(__xludf.DUMMYFUNCTION("""COMPUTED_VALUE"""),"AU0158")</f>
        <v>AU0158</v>
      </c>
    </row>
    <row r="950" ht="15.75" customHeight="1">
      <c r="A950" t="str">
        <f t="shared" si="1"/>
        <v>B.dolosa</v>
      </c>
      <c r="B950" s="5" t="s">
        <v>975</v>
      </c>
      <c r="C950" s="6" t="str">
        <f>IFERROR(__xludf.DUMMYFUNCTION("SPLIT('2. c'!B950, "" "", True, True)"),"Burkholderia")</f>
        <v>Burkholderia</v>
      </c>
      <c r="D950" t="str">
        <f>IFERROR(__xludf.DUMMYFUNCTION("""COMPUTED_VALUE"""),"dolosa")</f>
        <v>dolosa</v>
      </c>
      <c r="E950" t="str">
        <f>IFERROR(__xludf.DUMMYFUNCTION("""COMPUTED_VALUE"""),"PC543")</f>
        <v>PC543</v>
      </c>
    </row>
    <row r="951" ht="15.75" customHeight="1">
      <c r="A951" t="str">
        <f t="shared" si="1"/>
        <v>B.fungorum</v>
      </c>
      <c r="B951" s="5" t="s">
        <v>976</v>
      </c>
      <c r="C951" s="6" t="str">
        <f>IFERROR(__xludf.DUMMYFUNCTION("SPLIT('2. c'!B951, "" "", True, True)"),"Burkholderia")</f>
        <v>Burkholderia</v>
      </c>
      <c r="D951" t="str">
        <f>IFERROR(__xludf.DUMMYFUNCTION("""COMPUTED_VALUE"""),"fungorum")</f>
        <v>fungorum</v>
      </c>
      <c r="E951" t="str">
        <f>IFERROR(__xludf.DUMMYFUNCTION("""COMPUTED_VALUE"""),"strain")</f>
        <v>strain</v>
      </c>
      <c r="F951" t="str">
        <f>IFERROR(__xludf.DUMMYFUNCTION("""COMPUTED_VALUE"""),"ATCC")</f>
        <v>ATCC</v>
      </c>
      <c r="G951" t="str">
        <f>IFERROR(__xludf.DUMMYFUNCTION("""COMPUTED_VALUE"""),"BAA-463")</f>
        <v>BAA-463</v>
      </c>
    </row>
    <row r="952" ht="15.75" customHeight="1">
      <c r="A952" t="str">
        <f t="shared" si="1"/>
        <v>B.gladioli</v>
      </c>
      <c r="B952" s="5" t="s">
        <v>977</v>
      </c>
      <c r="C952" s="6" t="str">
        <f>IFERROR(__xludf.DUMMYFUNCTION("SPLIT('2. c'!B952, "" "", True, True)"),"Burkholderia")</f>
        <v>Burkholderia</v>
      </c>
      <c r="D952" t="str">
        <f>IFERROR(__xludf.DUMMYFUNCTION("""COMPUTED_VALUE"""),"gladioli")</f>
        <v>gladioli</v>
      </c>
      <c r="E952" t="str">
        <f>IFERROR(__xludf.DUMMYFUNCTION("""COMPUTED_VALUE"""),"BSR3")</f>
        <v>BSR3</v>
      </c>
    </row>
    <row r="953" ht="15.75" customHeight="1">
      <c r="A953" t="str">
        <f t="shared" si="1"/>
        <v>B.gladioli</v>
      </c>
      <c r="B953" s="5" t="s">
        <v>978</v>
      </c>
      <c r="C953" s="6" t="str">
        <f>IFERROR(__xludf.DUMMYFUNCTION("SPLIT('2. c'!B953, "" "", True, True)"),"Burkholderia")</f>
        <v>Burkholderia</v>
      </c>
      <c r="D953" t="str">
        <f>IFERROR(__xludf.DUMMYFUNCTION("""COMPUTED_VALUE"""),"gladioli")</f>
        <v>gladioli</v>
      </c>
      <c r="E953" t="str">
        <f>IFERROR(__xludf.DUMMYFUNCTION("""COMPUTED_VALUE"""),"strain")</f>
        <v>strain</v>
      </c>
      <c r="F953" t="str">
        <f>IFERROR(__xludf.DUMMYFUNCTION("""COMPUTED_VALUE"""),"ATCC")</f>
        <v>ATCC</v>
      </c>
      <c r="G953">
        <f>IFERROR(__xludf.DUMMYFUNCTION("""COMPUTED_VALUE"""),10248.0)</f>
        <v>10248</v>
      </c>
    </row>
    <row r="954" ht="15.75" customHeight="1">
      <c r="A954" t="str">
        <f t="shared" si="1"/>
        <v>B.glumae</v>
      </c>
      <c r="B954" s="5" t="s">
        <v>979</v>
      </c>
      <c r="C954" s="6" t="str">
        <f>IFERROR(__xludf.DUMMYFUNCTION("SPLIT('2. c'!B954, "" "", True, True)"),"Burkholderia")</f>
        <v>Burkholderia</v>
      </c>
      <c r="D954" t="str">
        <f>IFERROR(__xludf.DUMMYFUNCTION("""COMPUTED_VALUE"""),"glumae")</f>
        <v>glumae</v>
      </c>
      <c r="E954" t="str">
        <f>IFERROR(__xludf.DUMMYFUNCTION("""COMPUTED_VALUE"""),"BGR1")</f>
        <v>BGR1</v>
      </c>
    </row>
    <row r="955" ht="15.75" customHeight="1">
      <c r="A955" t="str">
        <f t="shared" si="1"/>
        <v>B.glumae</v>
      </c>
      <c r="B955" s="5" t="s">
        <v>980</v>
      </c>
      <c r="C955" s="6" t="str">
        <f>IFERROR(__xludf.DUMMYFUNCTION("SPLIT('2. c'!B955, "" "", True, True)"),"Burkholderia")</f>
        <v>Burkholderia</v>
      </c>
      <c r="D955" t="str">
        <f>IFERROR(__xludf.DUMMYFUNCTION("""COMPUTED_VALUE"""),"glumae")</f>
        <v>glumae</v>
      </c>
      <c r="E955" t="str">
        <f>IFERROR(__xludf.DUMMYFUNCTION("""COMPUTED_VALUE"""),"LMG")</f>
        <v>LMG</v>
      </c>
      <c r="F955">
        <f>IFERROR(__xludf.DUMMYFUNCTION("""COMPUTED_VALUE"""),2196.0)</f>
        <v>2196</v>
      </c>
      <c r="G955" t="str">
        <f>IFERROR(__xludf.DUMMYFUNCTION("""COMPUTED_VALUE"""),"=")</f>
        <v>=</v>
      </c>
      <c r="H955" t="str">
        <f>IFERROR(__xludf.DUMMYFUNCTION("""COMPUTED_VALUE"""),"ATCC")</f>
        <v>ATCC</v>
      </c>
      <c r="I955">
        <f>IFERROR(__xludf.DUMMYFUNCTION("""COMPUTED_VALUE"""),33617.0)</f>
        <v>33617</v>
      </c>
    </row>
    <row r="956" ht="15.75" customHeight="1">
      <c r="A956" t="str">
        <f t="shared" si="1"/>
        <v>B.glumae</v>
      </c>
      <c r="B956" s="5" t="s">
        <v>981</v>
      </c>
      <c r="C956" s="6" t="str">
        <f>IFERROR(__xludf.DUMMYFUNCTION("SPLIT('2. c'!B956, "" "", True, True)"),"Burkholderia")</f>
        <v>Burkholderia</v>
      </c>
      <c r="D956" t="str">
        <f>IFERROR(__xludf.DUMMYFUNCTION("""COMPUTED_VALUE"""),"glumae")</f>
        <v>glumae</v>
      </c>
      <c r="E956" t="str">
        <f>IFERROR(__xludf.DUMMYFUNCTION("""COMPUTED_VALUE"""),"PG1")</f>
        <v>PG1</v>
      </c>
    </row>
    <row r="957" ht="15.75" customHeight="1">
      <c r="A957" t="str">
        <f t="shared" si="1"/>
        <v>B.lata</v>
      </c>
      <c r="B957" s="5" t="s">
        <v>982</v>
      </c>
      <c r="C957" s="6" t="str">
        <f>IFERROR(__xludf.DUMMYFUNCTION("SPLIT('2. c'!B957, "" "", True, True)"),"Burkholderia")</f>
        <v>Burkholderia</v>
      </c>
      <c r="D957" t="str">
        <f>IFERROR(__xludf.DUMMYFUNCTION("""COMPUTED_VALUE"""),"lata")</f>
        <v>lata</v>
      </c>
      <c r="E957" t="str">
        <f>IFERROR(__xludf.DUMMYFUNCTION("""COMPUTED_VALUE"""),"strain")</f>
        <v>strain</v>
      </c>
      <c r="F957">
        <f>IFERROR(__xludf.DUMMYFUNCTION("""COMPUTED_VALUE"""),383.0)</f>
        <v>383</v>
      </c>
    </row>
    <row r="958" ht="15.75" customHeight="1">
      <c r="A958" t="str">
        <f t="shared" si="1"/>
        <v>B.mallei</v>
      </c>
      <c r="B958" s="5" t="s">
        <v>983</v>
      </c>
      <c r="C958" s="6" t="str">
        <f>IFERROR(__xludf.DUMMYFUNCTION("SPLIT('2. c'!B958, "" "", True, True)"),"Burkholderia")</f>
        <v>Burkholderia</v>
      </c>
      <c r="D958" t="str">
        <f>IFERROR(__xludf.DUMMYFUNCTION("""COMPUTED_VALUE"""),"mallei")</f>
        <v>mallei</v>
      </c>
      <c r="E958" t="str">
        <f>IFERROR(__xludf.DUMMYFUNCTION("""COMPUTED_VALUE"""),"ATCC")</f>
        <v>ATCC</v>
      </c>
      <c r="F958">
        <f>IFERROR(__xludf.DUMMYFUNCTION("""COMPUTED_VALUE"""),23344.0)</f>
        <v>23344</v>
      </c>
    </row>
    <row r="959" ht="15.75" customHeight="1">
      <c r="A959" t="str">
        <f t="shared" si="1"/>
        <v>B.mallei</v>
      </c>
      <c r="B959" s="5" t="s">
        <v>984</v>
      </c>
      <c r="C959" s="6" t="str">
        <f>IFERROR(__xludf.DUMMYFUNCTION("SPLIT('2. c'!B959, "" "", True, True)"),"Burkholderia")</f>
        <v>Burkholderia</v>
      </c>
      <c r="D959" t="str">
        <f>IFERROR(__xludf.DUMMYFUNCTION("""COMPUTED_VALUE"""),"mallei")</f>
        <v>mallei</v>
      </c>
      <c r="E959" t="str">
        <f>IFERROR(__xludf.DUMMYFUNCTION("""COMPUTED_VALUE"""),"NCTC")</f>
        <v>NCTC</v>
      </c>
      <c r="F959">
        <f>IFERROR(__xludf.DUMMYFUNCTION("""COMPUTED_VALUE"""),10229.0)</f>
        <v>10229</v>
      </c>
    </row>
    <row r="960" ht="15.75" customHeight="1">
      <c r="A960" t="str">
        <f t="shared" si="1"/>
        <v>B.mallei</v>
      </c>
      <c r="B960" s="5" t="s">
        <v>985</v>
      </c>
      <c r="C960" s="6" t="str">
        <f>IFERROR(__xludf.DUMMYFUNCTION("SPLIT('2. c'!B960, "" "", True, True)"),"Burkholderia")</f>
        <v>Burkholderia</v>
      </c>
      <c r="D960" t="str">
        <f>IFERROR(__xludf.DUMMYFUNCTION("""COMPUTED_VALUE"""),"mallei")</f>
        <v>mallei</v>
      </c>
      <c r="E960" t="str">
        <f>IFERROR(__xludf.DUMMYFUNCTION("""COMPUTED_VALUE"""),"NCTC")</f>
        <v>NCTC</v>
      </c>
      <c r="F960">
        <f>IFERROR(__xludf.DUMMYFUNCTION("""COMPUTED_VALUE"""),10247.0)</f>
        <v>10247</v>
      </c>
    </row>
    <row r="961" ht="15.75" customHeight="1">
      <c r="A961" t="str">
        <f t="shared" si="1"/>
        <v>B.mallei</v>
      </c>
      <c r="B961" s="5" t="s">
        <v>985</v>
      </c>
      <c r="C961" s="6" t="str">
        <f>IFERROR(__xludf.DUMMYFUNCTION("SPLIT('2. c'!B961, "" "", True, True)"),"Burkholderia")</f>
        <v>Burkholderia</v>
      </c>
      <c r="D961" t="str">
        <f>IFERROR(__xludf.DUMMYFUNCTION("""COMPUTED_VALUE"""),"mallei")</f>
        <v>mallei</v>
      </c>
      <c r="E961" t="str">
        <f>IFERROR(__xludf.DUMMYFUNCTION("""COMPUTED_VALUE"""),"NCTC")</f>
        <v>NCTC</v>
      </c>
      <c r="F961">
        <f>IFERROR(__xludf.DUMMYFUNCTION("""COMPUTED_VALUE"""),10247.0)</f>
        <v>10247</v>
      </c>
    </row>
    <row r="962" ht="15.75" customHeight="1">
      <c r="A962" t="str">
        <f t="shared" si="1"/>
        <v>B.mallei</v>
      </c>
      <c r="B962" s="5" t="s">
        <v>986</v>
      </c>
      <c r="C962" s="6" t="str">
        <f>IFERROR(__xludf.DUMMYFUNCTION("SPLIT('2. c'!B962, "" "", True, True)"),"Burkholderia")</f>
        <v>Burkholderia</v>
      </c>
      <c r="D962" t="str">
        <f>IFERROR(__xludf.DUMMYFUNCTION("""COMPUTED_VALUE"""),"mallei")</f>
        <v>mallei</v>
      </c>
      <c r="E962" t="str">
        <f>IFERROR(__xludf.DUMMYFUNCTION("""COMPUTED_VALUE"""),"SAVP1")</f>
        <v>SAVP1</v>
      </c>
    </row>
    <row r="963" ht="15.75" customHeight="1">
      <c r="A963" t="str">
        <f t="shared" si="1"/>
        <v>B.mallei</v>
      </c>
      <c r="B963" s="5" t="s">
        <v>987</v>
      </c>
      <c r="C963" s="6" t="str">
        <f>IFERROR(__xludf.DUMMYFUNCTION("SPLIT('2. c'!B963, "" "", True, True)"),"Burkholderia")</f>
        <v>Burkholderia</v>
      </c>
      <c r="D963" t="str">
        <f>IFERROR(__xludf.DUMMYFUNCTION("""COMPUTED_VALUE"""),"mallei")</f>
        <v>mallei</v>
      </c>
      <c r="E963" t="str">
        <f>IFERROR(__xludf.DUMMYFUNCTION("""COMPUTED_VALUE"""),"strain")</f>
        <v>strain</v>
      </c>
      <c r="F963">
        <f>IFERROR(__xludf.DUMMYFUNCTION("""COMPUTED_VALUE"""),11.0)</f>
        <v>11</v>
      </c>
    </row>
    <row r="964" ht="15.75" customHeight="1">
      <c r="A964" t="str">
        <f t="shared" si="1"/>
        <v>B.mallei</v>
      </c>
      <c r="B964" s="5" t="s">
        <v>988</v>
      </c>
      <c r="C964" s="6" t="str">
        <f>IFERROR(__xludf.DUMMYFUNCTION("SPLIT('2. c'!B964, "" "", True, True)"),"Burkholderia")</f>
        <v>Burkholderia</v>
      </c>
      <c r="D964" t="str">
        <f>IFERROR(__xludf.DUMMYFUNCTION("""COMPUTED_VALUE"""),"mallei")</f>
        <v>mallei</v>
      </c>
      <c r="E964" t="str">
        <f>IFERROR(__xludf.DUMMYFUNCTION("""COMPUTED_VALUE"""),"strain")</f>
        <v>strain</v>
      </c>
      <c r="F964">
        <f>IFERROR(__xludf.DUMMYFUNCTION("""COMPUTED_VALUE"""),2.000031063E9)</f>
        <v>2000031063</v>
      </c>
    </row>
    <row r="965" ht="15.75" customHeight="1">
      <c r="A965" t="str">
        <f t="shared" si="1"/>
        <v>B.mallei</v>
      </c>
      <c r="B965" s="5" t="s">
        <v>989</v>
      </c>
      <c r="C965" s="6" t="str">
        <f>IFERROR(__xludf.DUMMYFUNCTION("SPLIT('2. c'!B965, "" "", True, True)"),"Burkholderia")</f>
        <v>Burkholderia</v>
      </c>
      <c r="D965" t="str">
        <f>IFERROR(__xludf.DUMMYFUNCTION("""COMPUTED_VALUE"""),"mallei")</f>
        <v>mallei</v>
      </c>
      <c r="E965" t="str">
        <f>IFERROR(__xludf.DUMMYFUNCTION("""COMPUTED_VALUE"""),"strain")</f>
        <v>strain</v>
      </c>
      <c r="F965">
        <f>IFERROR(__xludf.DUMMYFUNCTION("""COMPUTED_VALUE"""),2.002721276E9)</f>
        <v>2002721276</v>
      </c>
    </row>
    <row r="966" ht="15.75" customHeight="1">
      <c r="A966" t="str">
        <f t="shared" si="1"/>
        <v>B.mallei</v>
      </c>
      <c r="B966" s="5" t="s">
        <v>990</v>
      </c>
      <c r="C966" s="6" t="str">
        <f>IFERROR(__xludf.DUMMYFUNCTION("SPLIT('2. c'!B966, "" "", True, True)"),"Burkholderia")</f>
        <v>Burkholderia</v>
      </c>
      <c r="D966" t="str">
        <f>IFERROR(__xludf.DUMMYFUNCTION("""COMPUTED_VALUE"""),"mallei")</f>
        <v>mallei</v>
      </c>
      <c r="E966" t="str">
        <f>IFERROR(__xludf.DUMMYFUNCTION("""COMPUTED_VALUE"""),"strain")</f>
        <v>strain</v>
      </c>
      <c r="F966">
        <f>IFERROR(__xludf.DUMMYFUNCTION("""COMPUTED_VALUE"""),2.002734299E9)</f>
        <v>2002734299</v>
      </c>
    </row>
    <row r="967" ht="15.75" customHeight="1">
      <c r="A967" t="str">
        <f t="shared" si="1"/>
        <v>B.mallei</v>
      </c>
      <c r="B967" s="5" t="s">
        <v>991</v>
      </c>
      <c r="C967" s="6" t="str">
        <f>IFERROR(__xludf.DUMMYFUNCTION("SPLIT('2. c'!B967, "" "", True, True)"),"Burkholderia")</f>
        <v>Burkholderia</v>
      </c>
      <c r="D967" t="str">
        <f>IFERROR(__xludf.DUMMYFUNCTION("""COMPUTED_VALUE"""),"mallei")</f>
        <v>mallei</v>
      </c>
      <c r="E967" t="str">
        <f>IFERROR(__xludf.DUMMYFUNCTION("""COMPUTED_VALUE"""),"strain")</f>
        <v>strain</v>
      </c>
      <c r="F967">
        <f>IFERROR(__xludf.DUMMYFUNCTION("""COMPUTED_VALUE"""),2.002734306E9)</f>
        <v>2002734306</v>
      </c>
    </row>
    <row r="968" ht="15.75" customHeight="1">
      <c r="A968" t="str">
        <f t="shared" si="1"/>
        <v>B.mallei</v>
      </c>
      <c r="B968" s="5" t="s">
        <v>992</v>
      </c>
      <c r="C968" s="6" t="str">
        <f>IFERROR(__xludf.DUMMYFUNCTION("SPLIT('2. c'!B968, "" "", True, True)"),"Burkholderia")</f>
        <v>Burkholderia</v>
      </c>
      <c r="D968" t="str">
        <f>IFERROR(__xludf.DUMMYFUNCTION("""COMPUTED_VALUE"""),"mallei")</f>
        <v>mallei</v>
      </c>
      <c r="E968" t="str">
        <f>IFERROR(__xludf.DUMMYFUNCTION("""COMPUTED_VALUE"""),"strain")</f>
        <v>strain</v>
      </c>
      <c r="F968">
        <f>IFERROR(__xludf.DUMMYFUNCTION("""COMPUTED_VALUE"""),23344.0)</f>
        <v>23344</v>
      </c>
    </row>
    <row r="969" ht="15.75" customHeight="1">
      <c r="A969" t="str">
        <f t="shared" si="1"/>
        <v>B.mallei</v>
      </c>
      <c r="B969" s="5" t="s">
        <v>993</v>
      </c>
      <c r="C969" s="6" t="str">
        <f>IFERROR(__xludf.DUMMYFUNCTION("SPLIT('2. c'!B969, "" "", True, True)"),"Burkholderia")</f>
        <v>Burkholderia</v>
      </c>
      <c r="D969" t="str">
        <f>IFERROR(__xludf.DUMMYFUNCTION("""COMPUTED_VALUE"""),"mallei")</f>
        <v>mallei</v>
      </c>
      <c r="E969" t="str">
        <f>IFERROR(__xludf.DUMMYFUNCTION("""COMPUTED_VALUE"""),"strain")</f>
        <v>strain</v>
      </c>
      <c r="F969">
        <f>IFERROR(__xludf.DUMMYFUNCTION("""COMPUTED_VALUE"""),6.0)</f>
        <v>6</v>
      </c>
    </row>
    <row r="970" ht="15.75" customHeight="1">
      <c r="A970" t="str">
        <f t="shared" si="1"/>
        <v>B.mallei</v>
      </c>
      <c r="B970" s="5" t="s">
        <v>994</v>
      </c>
      <c r="C970" s="6" t="str">
        <f>IFERROR(__xludf.DUMMYFUNCTION("SPLIT('2. c'!B970, "" "", True, True)"),"Burkholderia")</f>
        <v>Burkholderia</v>
      </c>
      <c r="D970" t="str">
        <f>IFERROR(__xludf.DUMMYFUNCTION("""COMPUTED_VALUE"""),"mallei")</f>
        <v>mallei</v>
      </c>
      <c r="E970" t="str">
        <f>IFERROR(__xludf.DUMMYFUNCTION("""COMPUTED_VALUE"""),"strain")</f>
        <v>strain</v>
      </c>
      <c r="F970" t="str">
        <f>IFERROR(__xludf.DUMMYFUNCTION("""COMPUTED_VALUE"""),"BMQ")</f>
        <v>BMQ</v>
      </c>
    </row>
    <row r="971" ht="15.75" customHeight="1">
      <c r="A971" t="str">
        <f t="shared" si="1"/>
        <v>B.mallei</v>
      </c>
      <c r="B971" s="5" t="s">
        <v>995</v>
      </c>
      <c r="C971" s="6" t="str">
        <f>IFERROR(__xludf.DUMMYFUNCTION("SPLIT('2. c'!B971, "" "", True, True)"),"Burkholderia")</f>
        <v>Burkholderia</v>
      </c>
      <c r="D971" t="str">
        <f>IFERROR(__xludf.DUMMYFUNCTION("""COMPUTED_VALUE"""),"mallei")</f>
        <v>mallei</v>
      </c>
      <c r="E971" t="str">
        <f>IFERROR(__xludf.DUMMYFUNCTION("""COMPUTED_VALUE"""),"strain")</f>
        <v>strain</v>
      </c>
      <c r="F971" t="str">
        <f>IFERROR(__xludf.DUMMYFUNCTION("""COMPUTED_VALUE"""),"China5")</f>
        <v>China5</v>
      </c>
    </row>
    <row r="972" ht="15.75" customHeight="1">
      <c r="A972" t="str">
        <f t="shared" si="1"/>
        <v>B.mallei</v>
      </c>
      <c r="B972" s="5" t="s">
        <v>996</v>
      </c>
      <c r="C972" s="6" t="str">
        <f>IFERROR(__xludf.DUMMYFUNCTION("SPLIT('2. c'!B972, "" "", True, True)"),"Burkholderia")</f>
        <v>Burkholderia</v>
      </c>
      <c r="D972" t="str">
        <f>IFERROR(__xludf.DUMMYFUNCTION("""COMPUTED_VALUE"""),"mallei")</f>
        <v>mallei</v>
      </c>
      <c r="E972" t="str">
        <f>IFERROR(__xludf.DUMMYFUNCTION("""COMPUTED_VALUE"""),"strain")</f>
        <v>strain</v>
      </c>
      <c r="F972" t="str">
        <f>IFERROR(__xludf.DUMMYFUNCTION("""COMPUTED_VALUE"""),"FMH")</f>
        <v>FMH</v>
      </c>
      <c r="G972">
        <f>IFERROR(__xludf.DUMMYFUNCTION("""COMPUTED_VALUE"""),23344.0)</f>
        <v>23344</v>
      </c>
    </row>
    <row r="973" ht="15.75" customHeight="1">
      <c r="A973" t="str">
        <f t="shared" si="1"/>
        <v>B.mallei</v>
      </c>
      <c r="B973" s="5" t="s">
        <v>997</v>
      </c>
      <c r="C973" s="6" t="str">
        <f>IFERROR(__xludf.DUMMYFUNCTION("SPLIT('2. c'!B973, "" "", True, True)"),"Burkholderia")</f>
        <v>Burkholderia</v>
      </c>
      <c r="D973" t="str">
        <f>IFERROR(__xludf.DUMMYFUNCTION("""COMPUTED_VALUE"""),"mallei")</f>
        <v>mallei</v>
      </c>
      <c r="E973" t="str">
        <f>IFERROR(__xludf.DUMMYFUNCTION("""COMPUTED_VALUE"""),"strain")</f>
        <v>strain</v>
      </c>
      <c r="F973" t="str">
        <f>IFERROR(__xludf.DUMMYFUNCTION("""COMPUTED_VALUE"""),"India86-567-2")</f>
        <v>India86-567-2</v>
      </c>
    </row>
    <row r="974" ht="15.75" customHeight="1">
      <c r="A974" t="str">
        <f t="shared" si="1"/>
        <v>B.mallei</v>
      </c>
      <c r="B974" s="5" t="s">
        <v>998</v>
      </c>
      <c r="C974" s="6" t="str">
        <f>IFERROR(__xludf.DUMMYFUNCTION("SPLIT('2. c'!B974, "" "", True, True)"),"Burkholderia")</f>
        <v>Burkholderia</v>
      </c>
      <c r="D974" t="str">
        <f>IFERROR(__xludf.DUMMYFUNCTION("""COMPUTED_VALUE"""),"mallei")</f>
        <v>mallei</v>
      </c>
      <c r="E974" t="str">
        <f>IFERROR(__xludf.DUMMYFUNCTION("""COMPUTED_VALUE"""),"strain")</f>
        <v>strain</v>
      </c>
      <c r="F974" t="str">
        <f>IFERROR(__xludf.DUMMYFUNCTION("""COMPUTED_VALUE"""),"KC_1092")</f>
        <v>KC_1092</v>
      </c>
    </row>
    <row r="975" ht="15.75" customHeight="1">
      <c r="A975" t="str">
        <f t="shared" si="1"/>
        <v>B.multivorans</v>
      </c>
      <c r="B975" s="5" t="s">
        <v>999</v>
      </c>
      <c r="C975" s="6" t="str">
        <f>IFERROR(__xludf.DUMMYFUNCTION("SPLIT('2. c'!B975, "" "", True, True)"),"Burkholderia")</f>
        <v>Burkholderia</v>
      </c>
      <c r="D975" t="str">
        <f>IFERROR(__xludf.DUMMYFUNCTION("""COMPUTED_VALUE"""),"multivorans")</f>
        <v>multivorans</v>
      </c>
      <c r="E975" t="str">
        <f>IFERROR(__xludf.DUMMYFUNCTION("""COMPUTED_VALUE"""),"ATCC")</f>
        <v>ATCC</v>
      </c>
      <c r="F975">
        <f>IFERROR(__xludf.DUMMYFUNCTION("""COMPUTED_VALUE"""),17616.0)</f>
        <v>17616</v>
      </c>
    </row>
    <row r="976" ht="15.75" customHeight="1">
      <c r="A976" t="str">
        <f t="shared" si="1"/>
        <v>B.multivorans</v>
      </c>
      <c r="B976" s="5" t="s">
        <v>1000</v>
      </c>
      <c r="C976" s="6" t="str">
        <f>IFERROR(__xludf.DUMMYFUNCTION("SPLIT('2. c'!B976, "" "", True, True)"),"Burkholderia")</f>
        <v>Burkholderia</v>
      </c>
      <c r="D976" t="str">
        <f>IFERROR(__xludf.DUMMYFUNCTION("""COMPUTED_VALUE"""),"multivorans")</f>
        <v>multivorans</v>
      </c>
      <c r="E976" t="str">
        <f>IFERROR(__xludf.DUMMYFUNCTION("""COMPUTED_VALUE"""),"ATCC")</f>
        <v>ATCC</v>
      </c>
      <c r="F976">
        <f>IFERROR(__xludf.DUMMYFUNCTION("""COMPUTED_VALUE"""),17616.0)</f>
        <v>17616</v>
      </c>
      <c r="G976" t="str">
        <f>IFERROR(__xludf.DUMMYFUNCTION("""COMPUTED_VALUE"""),"(Prj:19401)")</f>
        <v>(Prj:19401)</v>
      </c>
    </row>
    <row r="977" ht="15.75" customHeight="1">
      <c r="A977" t="str">
        <f t="shared" si="1"/>
        <v>B.multivorans</v>
      </c>
      <c r="B977" s="5" t="s">
        <v>1001</v>
      </c>
      <c r="C977" s="6" t="str">
        <f>IFERROR(__xludf.DUMMYFUNCTION("SPLIT('2. c'!B977, "" "", True, True)"),"Burkholderia")</f>
        <v>Burkholderia</v>
      </c>
      <c r="D977" t="str">
        <f>IFERROR(__xludf.DUMMYFUNCTION("""COMPUTED_VALUE"""),"multivorans")</f>
        <v>multivorans</v>
      </c>
      <c r="E977" t="str">
        <f>IFERROR(__xludf.DUMMYFUNCTION("""COMPUTED_VALUE"""),"ATCC")</f>
        <v>ATCC</v>
      </c>
      <c r="F977" t="str">
        <f>IFERROR(__xludf.DUMMYFUNCTION("""COMPUTED_VALUE"""),"BAA-247")</f>
        <v>BAA-247</v>
      </c>
    </row>
    <row r="978" ht="15.75" customHeight="1">
      <c r="A978" t="str">
        <f t="shared" si="1"/>
        <v>B.multivorans</v>
      </c>
      <c r="B978" s="5" t="s">
        <v>1002</v>
      </c>
      <c r="C978" s="6" t="str">
        <f>IFERROR(__xludf.DUMMYFUNCTION("SPLIT('2. c'!B978, "" "", True, True)"),"Burkholderia")</f>
        <v>Burkholderia</v>
      </c>
      <c r="D978" t="str">
        <f>IFERROR(__xludf.DUMMYFUNCTION("""COMPUTED_VALUE"""),"multivorans")</f>
        <v>multivorans</v>
      </c>
      <c r="E978" t="str">
        <f>IFERROR(__xludf.DUMMYFUNCTION("""COMPUTED_VALUE"""),"strain")</f>
        <v>strain</v>
      </c>
      <c r="F978" t="str">
        <f>IFERROR(__xludf.DUMMYFUNCTION("""COMPUTED_VALUE"""),"DDS")</f>
        <v>DDS</v>
      </c>
      <c r="G978" t="str">
        <f>IFERROR(__xludf.DUMMYFUNCTION("""COMPUTED_VALUE"""),"15A-1")</f>
        <v>15A-1</v>
      </c>
    </row>
    <row r="979" ht="15.75" customHeight="1">
      <c r="A979" t="str">
        <f t="shared" si="1"/>
        <v>B.oklahomensis</v>
      </c>
      <c r="B979" s="5" t="s">
        <v>1003</v>
      </c>
      <c r="C979" s="6" t="str">
        <f>IFERROR(__xludf.DUMMYFUNCTION("SPLIT('2. c'!B979, "" "", True, True)"),"Burkholderia")</f>
        <v>Burkholderia</v>
      </c>
      <c r="D979" t="str">
        <f>IFERROR(__xludf.DUMMYFUNCTION("""COMPUTED_VALUE"""),"oklahomensis")</f>
        <v>oklahomensis</v>
      </c>
      <c r="E979" t="str">
        <f>IFERROR(__xludf.DUMMYFUNCTION("""COMPUTED_VALUE"""),"C6786")</f>
        <v>C6786</v>
      </c>
    </row>
    <row r="980" ht="15.75" customHeight="1">
      <c r="A980" t="str">
        <f t="shared" si="1"/>
        <v>B.oklahomensis</v>
      </c>
      <c r="B980" s="5" t="s">
        <v>1004</v>
      </c>
      <c r="C980" s="6" t="str">
        <f>IFERROR(__xludf.DUMMYFUNCTION("SPLIT('2. c'!B980, "" "", True, True)"),"Burkholderia")</f>
        <v>Burkholderia</v>
      </c>
      <c r="D980" t="str">
        <f>IFERROR(__xludf.DUMMYFUNCTION("""COMPUTED_VALUE"""),"oklahomensis")</f>
        <v>oklahomensis</v>
      </c>
      <c r="E980" t="str">
        <f>IFERROR(__xludf.DUMMYFUNCTION("""COMPUTED_VALUE"""),"strain")</f>
        <v>strain</v>
      </c>
      <c r="F980" t="str">
        <f>IFERROR(__xludf.DUMMYFUNCTION("""COMPUTED_VALUE"""),"EO147")</f>
        <v>EO147</v>
      </c>
    </row>
    <row r="981" ht="15.75" customHeight="1">
      <c r="A981" t="str">
        <f t="shared" si="1"/>
        <v>B.phenoliruptrix</v>
      </c>
      <c r="B981" s="5" t="s">
        <v>1005</v>
      </c>
      <c r="C981" s="6" t="str">
        <f>IFERROR(__xludf.DUMMYFUNCTION("SPLIT('2. c'!B981, "" "", True, True)"),"Burkholderia")</f>
        <v>Burkholderia</v>
      </c>
      <c r="D981" t="str">
        <f>IFERROR(__xludf.DUMMYFUNCTION("""COMPUTED_VALUE"""),"phenoliruptrix")</f>
        <v>phenoliruptrix</v>
      </c>
      <c r="E981" t="str">
        <f>IFERROR(__xludf.DUMMYFUNCTION("""COMPUTED_VALUE"""),"BR3459a")</f>
        <v>BR3459a</v>
      </c>
    </row>
    <row r="982" ht="15.75" customHeight="1">
      <c r="A982" t="str">
        <f t="shared" si="1"/>
        <v>B.phymatum</v>
      </c>
      <c r="B982" s="5" t="s">
        <v>1006</v>
      </c>
      <c r="C982" s="6" t="str">
        <f>IFERROR(__xludf.DUMMYFUNCTION("SPLIT('2. c'!B982, "" "", True, True)"),"Burkholderia")</f>
        <v>Burkholderia</v>
      </c>
      <c r="D982" t="str">
        <f>IFERROR(__xludf.DUMMYFUNCTION("""COMPUTED_VALUE"""),"phymatum")</f>
        <v>phymatum</v>
      </c>
      <c r="E982" t="str">
        <f>IFERROR(__xludf.DUMMYFUNCTION("""COMPUTED_VALUE"""),"STM815")</f>
        <v>STM815</v>
      </c>
    </row>
    <row r="983" ht="15.75" customHeight="1">
      <c r="A983" t="str">
        <f t="shared" si="1"/>
        <v>B.phytofirmans</v>
      </c>
      <c r="B983" s="5" t="s">
        <v>1007</v>
      </c>
      <c r="C983" s="6" t="str">
        <f>IFERROR(__xludf.DUMMYFUNCTION("SPLIT('2. c'!B983, "" "", True, True)"),"Burkholderia")</f>
        <v>Burkholderia</v>
      </c>
      <c r="D983" t="str">
        <f>IFERROR(__xludf.DUMMYFUNCTION("""COMPUTED_VALUE"""),"phytofirmans")</f>
        <v>phytofirmans</v>
      </c>
      <c r="E983" t="str">
        <f>IFERROR(__xludf.DUMMYFUNCTION("""COMPUTED_VALUE"""),"PsJN")</f>
        <v>PsJN</v>
      </c>
    </row>
    <row r="984" ht="15.75" customHeight="1">
      <c r="A984" t="str">
        <f t="shared" si="1"/>
        <v>B.plantarii</v>
      </c>
      <c r="B984" s="5" t="s">
        <v>1008</v>
      </c>
      <c r="C984" s="6" t="str">
        <f>IFERROR(__xludf.DUMMYFUNCTION("SPLIT('2. c'!B984, "" "", True, True)"),"Burkholderia")</f>
        <v>Burkholderia</v>
      </c>
      <c r="D984" t="str">
        <f>IFERROR(__xludf.DUMMYFUNCTION("""COMPUTED_VALUE"""),"plantarii")</f>
        <v>plantarii</v>
      </c>
      <c r="E984" t="str">
        <f>IFERROR(__xludf.DUMMYFUNCTION("""COMPUTED_VALUE"""),"strain")</f>
        <v>strain</v>
      </c>
      <c r="F984" t="str">
        <f>IFERROR(__xludf.DUMMYFUNCTION("""COMPUTED_VALUE"""),"ATCC")</f>
        <v>ATCC</v>
      </c>
      <c r="G984">
        <f>IFERROR(__xludf.DUMMYFUNCTION("""COMPUTED_VALUE"""),43733.0)</f>
        <v>43733</v>
      </c>
    </row>
    <row r="985" ht="15.75" customHeight="1">
      <c r="A985" t="str">
        <f t="shared" si="1"/>
        <v>B.pseudomallei</v>
      </c>
      <c r="B985" s="5" t="s">
        <v>1009</v>
      </c>
      <c r="C985" s="6" t="str">
        <f>IFERROR(__xludf.DUMMYFUNCTION("SPLIT('2. c'!B985, "" "", True, True)"),"Burkholderia")</f>
        <v>Burkholderia</v>
      </c>
      <c r="D985" t="str">
        <f>IFERROR(__xludf.DUMMYFUNCTION("""COMPUTED_VALUE"""),"pseudomallei")</f>
        <v>pseudomallei</v>
      </c>
      <c r="E985" t="str">
        <f>IFERROR(__xludf.DUMMYFUNCTION("""COMPUTED_VALUE"""),"1026b")</f>
        <v>1026b</v>
      </c>
    </row>
    <row r="986" ht="15.75" customHeight="1">
      <c r="A986" t="str">
        <f t="shared" si="1"/>
        <v>B.pseudomallei</v>
      </c>
      <c r="B986" s="5" t="s">
        <v>1009</v>
      </c>
      <c r="C986" s="6" t="str">
        <f>IFERROR(__xludf.DUMMYFUNCTION("SPLIT('2. c'!B986, "" "", True, True)"),"Burkholderia")</f>
        <v>Burkholderia</v>
      </c>
      <c r="D986" t="str">
        <f>IFERROR(__xludf.DUMMYFUNCTION("""COMPUTED_VALUE"""),"pseudomallei")</f>
        <v>pseudomallei</v>
      </c>
      <c r="E986" t="str">
        <f>IFERROR(__xludf.DUMMYFUNCTION("""COMPUTED_VALUE"""),"1026b")</f>
        <v>1026b</v>
      </c>
    </row>
    <row r="987" ht="15.75" customHeight="1">
      <c r="A987" t="str">
        <f t="shared" si="1"/>
        <v>B.pseudomallei</v>
      </c>
      <c r="B987" s="5" t="s">
        <v>1010</v>
      </c>
      <c r="C987" s="6" t="str">
        <f>IFERROR(__xludf.DUMMYFUNCTION("SPLIT('2. c'!B987, "" "", True, True)"),"Burkholderia")</f>
        <v>Burkholderia</v>
      </c>
      <c r="D987" t="str">
        <f>IFERROR(__xludf.DUMMYFUNCTION("""COMPUTED_VALUE"""),"pseudomallei")</f>
        <v>pseudomallei</v>
      </c>
      <c r="E987" t="str">
        <f>IFERROR(__xludf.DUMMYFUNCTION("""COMPUTED_VALUE"""),"1106a")</f>
        <v>1106a</v>
      </c>
    </row>
    <row r="988" ht="15.75" customHeight="1">
      <c r="A988" t="str">
        <f t="shared" si="1"/>
        <v>B.pseudomallei</v>
      </c>
      <c r="B988" s="5" t="s">
        <v>1011</v>
      </c>
      <c r="C988" s="6" t="str">
        <f>IFERROR(__xludf.DUMMYFUNCTION("SPLIT('2. c'!B988, "" "", True, True)"),"Burkholderia")</f>
        <v>Burkholderia</v>
      </c>
      <c r="D988" t="str">
        <f>IFERROR(__xludf.DUMMYFUNCTION("""COMPUTED_VALUE"""),"pseudomallei")</f>
        <v>pseudomallei</v>
      </c>
      <c r="E988" t="str">
        <f>IFERROR(__xludf.DUMMYFUNCTION("""COMPUTED_VALUE"""),"1710b")</f>
        <v>1710b</v>
      </c>
    </row>
    <row r="989" ht="15.75" customHeight="1">
      <c r="A989" t="str">
        <f t="shared" si="1"/>
        <v>B.pseudomallei</v>
      </c>
      <c r="B989" s="5" t="s">
        <v>1012</v>
      </c>
      <c r="C989" s="6" t="str">
        <f>IFERROR(__xludf.DUMMYFUNCTION("SPLIT('2. c'!B989, "" "", True, True)"),"Burkholderia")</f>
        <v>Burkholderia</v>
      </c>
      <c r="D989" t="str">
        <f>IFERROR(__xludf.DUMMYFUNCTION("""COMPUTED_VALUE"""),"pseudomallei")</f>
        <v>pseudomallei</v>
      </c>
      <c r="E989" t="str">
        <f>IFERROR(__xludf.DUMMYFUNCTION("""COMPUTED_VALUE"""),"406e")</f>
        <v>406e</v>
      </c>
    </row>
    <row r="990" ht="15.75" customHeight="1">
      <c r="A990" t="str">
        <f t="shared" si="1"/>
        <v>B.pseudomallei</v>
      </c>
      <c r="B990" s="5" t="s">
        <v>1013</v>
      </c>
      <c r="C990" s="6" t="str">
        <f>IFERROR(__xludf.DUMMYFUNCTION("SPLIT('2. c'!B990, "" "", True, True)"),"Burkholderia")</f>
        <v>Burkholderia</v>
      </c>
      <c r="D990" t="str">
        <f>IFERROR(__xludf.DUMMYFUNCTION("""COMPUTED_VALUE"""),"pseudomallei")</f>
        <v>pseudomallei</v>
      </c>
      <c r="E990">
        <f>IFERROR(__xludf.DUMMYFUNCTION("""COMPUTED_VALUE"""),668.0)</f>
        <v>668</v>
      </c>
    </row>
    <row r="991" ht="15.75" customHeight="1">
      <c r="A991" t="str">
        <f t="shared" si="1"/>
        <v>B.pseudomallei</v>
      </c>
      <c r="B991" s="5" t="s">
        <v>1014</v>
      </c>
      <c r="C991" s="6" t="str">
        <f>IFERROR(__xludf.DUMMYFUNCTION("SPLIT('2. c'!B991, "" "", True, True)"),"Burkholderia")</f>
        <v>Burkholderia</v>
      </c>
      <c r="D991" t="str">
        <f>IFERROR(__xludf.DUMMYFUNCTION("""COMPUTED_VALUE"""),"pseudomallei")</f>
        <v>pseudomallei</v>
      </c>
      <c r="E991">
        <f>IFERROR(__xludf.DUMMYFUNCTION("""COMPUTED_VALUE"""),7894.0)</f>
        <v>7894</v>
      </c>
    </row>
    <row r="992" ht="15.75" customHeight="1">
      <c r="A992" t="str">
        <f t="shared" si="1"/>
        <v>B.pseudomallei</v>
      </c>
      <c r="B992" s="5" t="s">
        <v>1015</v>
      </c>
      <c r="C992" s="6" t="str">
        <f>IFERROR(__xludf.DUMMYFUNCTION("SPLIT('2. c'!B992, "" "", True, True)"),"Burkholderia")</f>
        <v>Burkholderia</v>
      </c>
      <c r="D992" t="str">
        <f>IFERROR(__xludf.DUMMYFUNCTION("""COMPUTED_VALUE"""),"pseudomallei")</f>
        <v>pseudomallei</v>
      </c>
      <c r="E992" t="str">
        <f>IFERROR(__xludf.DUMMYFUNCTION("""COMPUTED_VALUE"""),"A79A")</f>
        <v>A79A</v>
      </c>
    </row>
    <row r="993" ht="15.75" customHeight="1">
      <c r="A993" t="str">
        <f t="shared" si="1"/>
        <v>B.pseudomallei</v>
      </c>
      <c r="B993" s="5" t="s">
        <v>1016</v>
      </c>
      <c r="C993" s="6" t="str">
        <f>IFERROR(__xludf.DUMMYFUNCTION("SPLIT('2. c'!B993, "" "", True, True)"),"Burkholderia")</f>
        <v>Burkholderia</v>
      </c>
      <c r="D993" t="str">
        <f>IFERROR(__xludf.DUMMYFUNCTION("""COMPUTED_VALUE"""),"pseudomallei")</f>
        <v>pseudomallei</v>
      </c>
      <c r="E993" t="str">
        <f>IFERROR(__xludf.DUMMYFUNCTION("""COMPUTED_VALUE"""),"B03")</f>
        <v>B03</v>
      </c>
    </row>
    <row r="994" ht="15.75" customHeight="1">
      <c r="A994" t="str">
        <f t="shared" si="1"/>
        <v>B.pseudomallei</v>
      </c>
      <c r="B994" s="5" t="s">
        <v>1017</v>
      </c>
      <c r="C994" s="6" t="str">
        <f>IFERROR(__xludf.DUMMYFUNCTION("SPLIT('2. c'!B994, "" "", True, True)"),"Burkholderia")</f>
        <v>Burkholderia</v>
      </c>
      <c r="D994" t="str">
        <f>IFERROR(__xludf.DUMMYFUNCTION("""COMPUTED_VALUE"""),"pseudomallei")</f>
        <v>pseudomallei</v>
      </c>
      <c r="E994" t="str">
        <f>IFERROR(__xludf.DUMMYFUNCTION("""COMPUTED_VALUE"""),"BPC006")</f>
        <v>BPC006</v>
      </c>
    </row>
    <row r="995" ht="15.75" customHeight="1">
      <c r="A995" t="str">
        <f t="shared" si="1"/>
        <v>B.pseudomallei</v>
      </c>
      <c r="B995" s="5" t="s">
        <v>1018</v>
      </c>
      <c r="C995" s="6" t="str">
        <f>IFERROR(__xludf.DUMMYFUNCTION("SPLIT('2. c'!B995, "" "", True, True)"),"Burkholderia")</f>
        <v>Burkholderia</v>
      </c>
      <c r="D995" t="str">
        <f>IFERROR(__xludf.DUMMYFUNCTION("""COMPUTED_VALUE"""),"pseudomallei")</f>
        <v>pseudomallei</v>
      </c>
      <c r="E995" t="str">
        <f>IFERROR(__xludf.DUMMYFUNCTION("""COMPUTED_VALUE"""),"HBPUB10134a")</f>
        <v>HBPUB10134a</v>
      </c>
    </row>
    <row r="996" ht="15.75" customHeight="1">
      <c r="A996" t="str">
        <f t="shared" si="1"/>
        <v>B.pseudomallei</v>
      </c>
      <c r="B996" s="5" t="s">
        <v>1019</v>
      </c>
      <c r="C996" s="6" t="str">
        <f>IFERROR(__xludf.DUMMYFUNCTION("SPLIT('2. c'!B996, "" "", True, True)"),"Burkholderia")</f>
        <v>Burkholderia</v>
      </c>
      <c r="D996" t="str">
        <f>IFERROR(__xludf.DUMMYFUNCTION("""COMPUTED_VALUE"""),"pseudomallei")</f>
        <v>pseudomallei</v>
      </c>
      <c r="E996" t="str">
        <f>IFERROR(__xludf.DUMMYFUNCTION("""COMPUTED_VALUE"""),"HBPUB10303a")</f>
        <v>HBPUB10303a</v>
      </c>
    </row>
    <row r="997" ht="15.75" customHeight="1">
      <c r="A997" t="str">
        <f t="shared" si="1"/>
        <v>B.pseudomallei</v>
      </c>
      <c r="B997" s="5" t="s">
        <v>1020</v>
      </c>
      <c r="C997" s="6" t="str">
        <f>IFERROR(__xludf.DUMMYFUNCTION("SPLIT('2. c'!B997, "" "", True, True)"),"Burkholderia")</f>
        <v>Burkholderia</v>
      </c>
      <c r="D997" t="str">
        <f>IFERROR(__xludf.DUMMYFUNCTION("""COMPUTED_VALUE"""),"pseudomallei")</f>
        <v>pseudomallei</v>
      </c>
      <c r="E997" t="str">
        <f>IFERROR(__xludf.DUMMYFUNCTION("""COMPUTED_VALUE"""),"K42")</f>
        <v>K42</v>
      </c>
    </row>
    <row r="998" ht="15.75" customHeight="1">
      <c r="A998" t="str">
        <f t="shared" si="1"/>
        <v>B.pseudomallei</v>
      </c>
      <c r="B998" s="5" t="s">
        <v>1021</v>
      </c>
      <c r="C998" s="6" t="str">
        <f>IFERROR(__xludf.DUMMYFUNCTION("SPLIT('2. c'!B998, "" "", True, True)"),"Burkholderia")</f>
        <v>Burkholderia</v>
      </c>
      <c r="D998" t="str">
        <f>IFERROR(__xludf.DUMMYFUNCTION("""COMPUTED_VALUE"""),"pseudomallei")</f>
        <v>pseudomallei</v>
      </c>
      <c r="E998" t="str">
        <f>IFERROR(__xludf.DUMMYFUNCTION("""COMPUTED_VALUE"""),"K96243")</f>
        <v>K96243</v>
      </c>
    </row>
    <row r="999" ht="15.75" customHeight="1">
      <c r="A999" t="str">
        <f t="shared" si="1"/>
        <v>B.pseudomallei</v>
      </c>
      <c r="B999" s="5" t="s">
        <v>1021</v>
      </c>
      <c r="C999" s="6" t="str">
        <f>IFERROR(__xludf.DUMMYFUNCTION("SPLIT('2. c'!B999, "" "", True, True)"),"Burkholderia")</f>
        <v>Burkholderia</v>
      </c>
      <c r="D999" t="str">
        <f>IFERROR(__xludf.DUMMYFUNCTION("""COMPUTED_VALUE"""),"pseudomallei")</f>
        <v>pseudomallei</v>
      </c>
      <c r="E999" t="str">
        <f>IFERROR(__xludf.DUMMYFUNCTION("""COMPUTED_VALUE"""),"K96243")</f>
        <v>K96243</v>
      </c>
    </row>
    <row r="1000" ht="15.75" customHeight="1">
      <c r="A1000" t="str">
        <f t="shared" si="1"/>
        <v>B.pseudomallei</v>
      </c>
      <c r="B1000" s="5" t="s">
        <v>1022</v>
      </c>
      <c r="C1000" s="6" t="str">
        <f>IFERROR(__xludf.DUMMYFUNCTION("SPLIT('2. c'!B1000, "" "", True, True)"),"Burkholderia")</f>
        <v>Burkholderia</v>
      </c>
      <c r="D1000" t="str">
        <f>IFERROR(__xludf.DUMMYFUNCTION("""COMPUTED_VALUE"""),"pseudomallei")</f>
        <v>pseudomallei</v>
      </c>
      <c r="E1000" t="str">
        <f>IFERROR(__xludf.DUMMYFUNCTION("""COMPUTED_VALUE"""),"MSHR1079")</f>
        <v>MSHR1079</v>
      </c>
    </row>
    <row r="1001" ht="15.75" customHeight="1">
      <c r="A1001" t="str">
        <f t="shared" si="1"/>
        <v>B.pseudomallei</v>
      </c>
      <c r="B1001" s="5" t="s">
        <v>1023</v>
      </c>
      <c r="C1001" s="6" t="str">
        <f>IFERROR(__xludf.DUMMYFUNCTION("SPLIT('2. c'!B1001, "" "", True, True)"),"Burkholderia")</f>
        <v>Burkholderia</v>
      </c>
      <c r="D1001" t="str">
        <f>IFERROR(__xludf.DUMMYFUNCTION("""COMPUTED_VALUE"""),"pseudomallei")</f>
        <v>pseudomallei</v>
      </c>
      <c r="E1001" t="str">
        <f>IFERROR(__xludf.DUMMYFUNCTION("""COMPUTED_VALUE"""),"MSHR1153")</f>
        <v>MSHR1153</v>
      </c>
    </row>
    <row r="1002" ht="15.75" customHeight="1">
      <c r="A1002" t="str">
        <f t="shared" si="1"/>
        <v>B.pseudomallei</v>
      </c>
      <c r="B1002" s="5" t="s">
        <v>1024</v>
      </c>
      <c r="C1002" s="6" t="str">
        <f>IFERROR(__xludf.DUMMYFUNCTION("SPLIT('2. c'!B1002, "" "", True, True)"),"Burkholderia")</f>
        <v>Burkholderia</v>
      </c>
      <c r="D1002" t="str">
        <f>IFERROR(__xludf.DUMMYFUNCTION("""COMPUTED_VALUE"""),"pseudomallei")</f>
        <v>pseudomallei</v>
      </c>
      <c r="E1002" t="str">
        <f>IFERROR(__xludf.DUMMYFUNCTION("""COMPUTED_VALUE"""),"MSHR1328")</f>
        <v>MSHR1328</v>
      </c>
    </row>
    <row r="1003" ht="15.75" customHeight="1">
      <c r="A1003" t="str">
        <f t="shared" si="1"/>
        <v>B.pseudomallei</v>
      </c>
      <c r="B1003" s="5" t="s">
        <v>1025</v>
      </c>
      <c r="C1003" s="6" t="str">
        <f>IFERROR(__xludf.DUMMYFUNCTION("SPLIT('2. c'!B1003, "" "", True, True)"),"Burkholderia")</f>
        <v>Burkholderia</v>
      </c>
      <c r="D1003" t="str">
        <f>IFERROR(__xludf.DUMMYFUNCTION("""COMPUTED_VALUE"""),"pseudomallei")</f>
        <v>pseudomallei</v>
      </c>
      <c r="E1003" t="str">
        <f>IFERROR(__xludf.DUMMYFUNCTION("""COMPUTED_VALUE"""),"MSHR146")</f>
        <v>MSHR146</v>
      </c>
    </row>
    <row r="1004" ht="15.75" customHeight="1">
      <c r="A1004" t="str">
        <f t="shared" si="1"/>
        <v>B.pseudomallei</v>
      </c>
      <c r="B1004" s="5" t="s">
        <v>1026</v>
      </c>
      <c r="C1004" s="6" t="str">
        <f>IFERROR(__xludf.DUMMYFUNCTION("SPLIT('2. c'!B1004, "" "", True, True)"),"Burkholderia")</f>
        <v>Burkholderia</v>
      </c>
      <c r="D1004" t="str">
        <f>IFERROR(__xludf.DUMMYFUNCTION("""COMPUTED_VALUE"""),"pseudomallei")</f>
        <v>pseudomallei</v>
      </c>
      <c r="E1004" t="str">
        <f>IFERROR(__xludf.DUMMYFUNCTION("""COMPUTED_VALUE"""),"MSHR2243")</f>
        <v>MSHR2243</v>
      </c>
    </row>
    <row r="1005" ht="15.75" customHeight="1">
      <c r="A1005" t="str">
        <f t="shared" si="1"/>
        <v>B.pseudomallei</v>
      </c>
      <c r="B1005" s="5" t="s">
        <v>1027</v>
      </c>
      <c r="C1005" s="6" t="str">
        <f>IFERROR(__xludf.DUMMYFUNCTION("SPLIT('2. c'!B1005, "" "", True, True)"),"Burkholderia")</f>
        <v>Burkholderia</v>
      </c>
      <c r="D1005" t="str">
        <f>IFERROR(__xludf.DUMMYFUNCTION("""COMPUTED_VALUE"""),"pseudomallei")</f>
        <v>pseudomallei</v>
      </c>
      <c r="E1005" t="str">
        <f>IFERROR(__xludf.DUMMYFUNCTION("""COMPUTED_VALUE"""),"MSHR2543")</f>
        <v>MSHR2543</v>
      </c>
    </row>
    <row r="1006" ht="15.75" customHeight="1">
      <c r="A1006" t="str">
        <f t="shared" si="1"/>
        <v>B.pseudomallei</v>
      </c>
      <c r="B1006" s="5" t="s">
        <v>1028</v>
      </c>
      <c r="C1006" s="6" t="str">
        <f>IFERROR(__xludf.DUMMYFUNCTION("SPLIT('2. c'!B1006, "" "", True, True)"),"Burkholderia")</f>
        <v>Burkholderia</v>
      </c>
      <c r="D1006" t="str">
        <f>IFERROR(__xludf.DUMMYFUNCTION("""COMPUTED_VALUE"""),"pseudomallei")</f>
        <v>pseudomallei</v>
      </c>
      <c r="E1006" t="str">
        <f>IFERROR(__xludf.DUMMYFUNCTION("""COMPUTED_VALUE"""),"MSHR305")</f>
        <v>MSHR305</v>
      </c>
    </row>
    <row r="1007" ht="15.75" customHeight="1">
      <c r="A1007" t="str">
        <f t="shared" si="1"/>
        <v>B.pseudomallei</v>
      </c>
      <c r="B1007" s="5" t="s">
        <v>1029</v>
      </c>
      <c r="C1007" s="6" t="str">
        <f>IFERROR(__xludf.DUMMYFUNCTION("SPLIT('2. c'!B1007, "" "", True, True)"),"Burkholderia")</f>
        <v>Burkholderia</v>
      </c>
      <c r="D1007" t="str">
        <f>IFERROR(__xludf.DUMMYFUNCTION("""COMPUTED_VALUE"""),"pseudomallei")</f>
        <v>pseudomallei</v>
      </c>
      <c r="E1007" t="str">
        <f>IFERROR(__xludf.DUMMYFUNCTION("""COMPUTED_VALUE"""),"MSHR3965")</f>
        <v>MSHR3965</v>
      </c>
    </row>
    <row r="1008" ht="15.75" customHeight="1">
      <c r="A1008" t="str">
        <f t="shared" si="1"/>
        <v>B.pseudomallei</v>
      </c>
      <c r="B1008" s="5" t="s">
        <v>1030</v>
      </c>
      <c r="C1008" s="6" t="str">
        <f>IFERROR(__xludf.DUMMYFUNCTION("SPLIT('2. c'!B1008, "" "", True, True)"),"Burkholderia")</f>
        <v>Burkholderia</v>
      </c>
      <c r="D1008" t="str">
        <f>IFERROR(__xludf.DUMMYFUNCTION("""COMPUTED_VALUE"""),"pseudomallei")</f>
        <v>pseudomallei</v>
      </c>
      <c r="E1008" t="str">
        <f>IFERROR(__xludf.DUMMYFUNCTION("""COMPUTED_VALUE"""),"MSHR435")</f>
        <v>MSHR435</v>
      </c>
    </row>
    <row r="1009" ht="15.75" customHeight="1">
      <c r="A1009" t="str">
        <f t="shared" si="1"/>
        <v>B.pseudomallei</v>
      </c>
      <c r="B1009" s="5" t="s">
        <v>1031</v>
      </c>
      <c r="C1009" s="6" t="str">
        <f>IFERROR(__xludf.DUMMYFUNCTION("SPLIT('2. c'!B1009, "" "", True, True)"),"Burkholderia")</f>
        <v>Burkholderia</v>
      </c>
      <c r="D1009" t="str">
        <f>IFERROR(__xludf.DUMMYFUNCTION("""COMPUTED_VALUE"""),"pseudomallei")</f>
        <v>pseudomallei</v>
      </c>
      <c r="E1009" t="str">
        <f>IFERROR(__xludf.DUMMYFUNCTION("""COMPUTED_VALUE"""),"MSHR491")</f>
        <v>MSHR491</v>
      </c>
    </row>
    <row r="1010" ht="15.75" customHeight="1">
      <c r="A1010" t="str">
        <f t="shared" si="1"/>
        <v>B.pseudomallei</v>
      </c>
      <c r="B1010" s="5" t="s">
        <v>1032</v>
      </c>
      <c r="C1010" s="6" t="str">
        <f>IFERROR(__xludf.DUMMYFUNCTION("SPLIT('2. c'!B1010, "" "", True, True)"),"Burkholderia")</f>
        <v>Burkholderia</v>
      </c>
      <c r="D1010" t="str">
        <f>IFERROR(__xludf.DUMMYFUNCTION("""COMPUTED_VALUE"""),"pseudomallei")</f>
        <v>pseudomallei</v>
      </c>
      <c r="E1010" t="str">
        <f>IFERROR(__xludf.DUMMYFUNCTION("""COMPUTED_VALUE"""),"MSHR511")</f>
        <v>MSHR511</v>
      </c>
    </row>
    <row r="1011" ht="15.75" customHeight="1">
      <c r="A1011" t="str">
        <f t="shared" si="1"/>
        <v>B.pseudomallei</v>
      </c>
      <c r="B1011" s="5" t="s">
        <v>1033</v>
      </c>
      <c r="C1011" s="6" t="str">
        <f>IFERROR(__xludf.DUMMYFUNCTION("SPLIT('2. c'!B1011, "" "", True, True)"),"Burkholderia")</f>
        <v>Burkholderia</v>
      </c>
      <c r="D1011" t="str">
        <f>IFERROR(__xludf.DUMMYFUNCTION("""COMPUTED_VALUE"""),"pseudomallei")</f>
        <v>pseudomallei</v>
      </c>
      <c r="E1011" t="str">
        <f>IFERROR(__xludf.DUMMYFUNCTION("""COMPUTED_VALUE"""),"MSHR520")</f>
        <v>MSHR520</v>
      </c>
    </row>
    <row r="1012" ht="15.75" customHeight="1">
      <c r="A1012" t="str">
        <f t="shared" si="1"/>
        <v>B.pseudomallei</v>
      </c>
      <c r="B1012" s="5" t="s">
        <v>1034</v>
      </c>
      <c r="C1012" s="6" t="str">
        <f>IFERROR(__xludf.DUMMYFUNCTION("SPLIT('2. c'!B1012, "" "", True, True)"),"Burkholderia")</f>
        <v>Burkholderia</v>
      </c>
      <c r="D1012" t="str">
        <f>IFERROR(__xludf.DUMMYFUNCTION("""COMPUTED_VALUE"""),"pseudomallei")</f>
        <v>pseudomallei</v>
      </c>
      <c r="E1012" t="str">
        <f>IFERROR(__xludf.DUMMYFUNCTION("""COMPUTED_VALUE"""),"MSHR5848")</f>
        <v>MSHR5848</v>
      </c>
    </row>
    <row r="1013" ht="15.75" customHeight="1">
      <c r="A1013" t="str">
        <f t="shared" si="1"/>
        <v>B.pseudomallei</v>
      </c>
      <c r="B1013" s="5" t="s">
        <v>1035</v>
      </c>
      <c r="C1013" s="6" t="str">
        <f>IFERROR(__xludf.DUMMYFUNCTION("SPLIT('2. c'!B1013, "" "", True, True)"),"Burkholderia")</f>
        <v>Burkholderia</v>
      </c>
      <c r="D1013" t="str">
        <f>IFERROR(__xludf.DUMMYFUNCTION("""COMPUTED_VALUE"""),"pseudomallei")</f>
        <v>pseudomallei</v>
      </c>
      <c r="E1013" t="str">
        <f>IFERROR(__xludf.DUMMYFUNCTION("""COMPUTED_VALUE"""),"MSHR5855")</f>
        <v>MSHR5855</v>
      </c>
    </row>
    <row r="1014" ht="15.75" customHeight="1">
      <c r="A1014" t="str">
        <f t="shared" si="1"/>
        <v>B.pseudomallei</v>
      </c>
      <c r="B1014" s="5" t="s">
        <v>1036</v>
      </c>
      <c r="C1014" s="6" t="str">
        <f>IFERROR(__xludf.DUMMYFUNCTION("SPLIT('2. c'!B1014, "" "", True, True)"),"Burkholderia")</f>
        <v>Burkholderia</v>
      </c>
      <c r="D1014" t="str">
        <f>IFERROR(__xludf.DUMMYFUNCTION("""COMPUTED_VALUE"""),"pseudomallei")</f>
        <v>pseudomallei</v>
      </c>
      <c r="E1014" t="str">
        <f>IFERROR(__xludf.DUMMYFUNCTION("""COMPUTED_VALUE"""),"MSHR5858")</f>
        <v>MSHR5858</v>
      </c>
    </row>
    <row r="1015" ht="15.75" customHeight="1">
      <c r="A1015" t="str">
        <f t="shared" si="1"/>
        <v>B.pseudomallei</v>
      </c>
      <c r="B1015" s="5" t="s">
        <v>1037</v>
      </c>
      <c r="C1015" s="6" t="str">
        <f>IFERROR(__xludf.DUMMYFUNCTION("SPLIT('2. c'!B1015, "" "", True, True)"),"Burkholderia")</f>
        <v>Burkholderia</v>
      </c>
      <c r="D1015" t="str">
        <f>IFERROR(__xludf.DUMMYFUNCTION("""COMPUTED_VALUE"""),"pseudomallei")</f>
        <v>pseudomallei</v>
      </c>
      <c r="E1015" t="str">
        <f>IFERROR(__xludf.DUMMYFUNCTION("""COMPUTED_VALUE"""),"MSHR62")</f>
        <v>MSHR62</v>
      </c>
    </row>
    <row r="1016" ht="15.75" customHeight="1">
      <c r="A1016" t="str">
        <f t="shared" si="1"/>
        <v>B.pseudomallei</v>
      </c>
      <c r="B1016" s="5" t="s">
        <v>1038</v>
      </c>
      <c r="C1016" s="6" t="str">
        <f>IFERROR(__xludf.DUMMYFUNCTION("SPLIT('2. c'!B1016, "" "", True, True)"),"Burkholderia")</f>
        <v>Burkholderia</v>
      </c>
      <c r="D1016" t="str">
        <f>IFERROR(__xludf.DUMMYFUNCTION("""COMPUTED_VALUE"""),"pseudomallei")</f>
        <v>pseudomallei</v>
      </c>
      <c r="E1016" t="str">
        <f>IFERROR(__xludf.DUMMYFUNCTION("""COMPUTED_VALUE"""),"MSHR840")</f>
        <v>MSHR840</v>
      </c>
    </row>
    <row r="1017" ht="15.75" customHeight="1">
      <c r="A1017" t="str">
        <f t="shared" si="1"/>
        <v>B.pseudomallei</v>
      </c>
      <c r="B1017" s="5" t="s">
        <v>1039</v>
      </c>
      <c r="C1017" s="6" t="str">
        <f>IFERROR(__xludf.DUMMYFUNCTION("SPLIT('2. c'!B1017, "" "", True, True)"),"Burkholderia")</f>
        <v>Burkholderia</v>
      </c>
      <c r="D1017" t="str">
        <f>IFERROR(__xludf.DUMMYFUNCTION("""COMPUTED_VALUE"""),"pseudomallei")</f>
        <v>pseudomallei</v>
      </c>
      <c r="E1017" t="str">
        <f>IFERROR(__xludf.DUMMYFUNCTION("""COMPUTED_VALUE"""),"NAU20B-16")</f>
        <v>NAU20B-16</v>
      </c>
    </row>
    <row r="1018" ht="15.75" customHeight="1">
      <c r="A1018" t="str">
        <f t="shared" si="1"/>
        <v>B.pseudomallei</v>
      </c>
      <c r="B1018" s="5" t="s">
        <v>1040</v>
      </c>
      <c r="C1018" s="6" t="str">
        <f>IFERROR(__xludf.DUMMYFUNCTION("SPLIT('2. c'!B1018, "" "", True, True)"),"Burkholderia")</f>
        <v>Burkholderia</v>
      </c>
      <c r="D1018" t="str">
        <f>IFERROR(__xludf.DUMMYFUNCTION("""COMPUTED_VALUE"""),"pseudomallei")</f>
        <v>pseudomallei</v>
      </c>
      <c r="E1018" t="str">
        <f>IFERROR(__xludf.DUMMYFUNCTION("""COMPUTED_VALUE"""),"NAU35A-3")</f>
        <v>NAU35A-3</v>
      </c>
    </row>
    <row r="1019" ht="15.75" customHeight="1">
      <c r="A1019" t="str">
        <f t="shared" si="1"/>
        <v>B.pseudomallei</v>
      </c>
      <c r="B1019" s="5" t="s">
        <v>1041</v>
      </c>
      <c r="C1019" s="6" t="str">
        <f>IFERROR(__xludf.DUMMYFUNCTION("SPLIT('2. c'!B1019, "" "", True, True)"),"Burkholderia")</f>
        <v>Burkholderia</v>
      </c>
      <c r="D1019" t="str">
        <f>IFERROR(__xludf.DUMMYFUNCTION("""COMPUTED_VALUE"""),"pseudomallei")</f>
        <v>pseudomallei</v>
      </c>
      <c r="E1019" t="str">
        <f>IFERROR(__xludf.DUMMYFUNCTION("""COMPUTED_VALUE"""),"NCTC")</f>
        <v>NCTC</v>
      </c>
      <c r="F1019">
        <f>IFERROR(__xludf.DUMMYFUNCTION("""COMPUTED_VALUE"""),13178.0)</f>
        <v>13178</v>
      </c>
    </row>
    <row r="1020" ht="15.75" customHeight="1">
      <c r="A1020" t="str">
        <f t="shared" si="1"/>
        <v>B.pseudomallei</v>
      </c>
      <c r="B1020" s="5" t="s">
        <v>1042</v>
      </c>
      <c r="C1020" s="6" t="str">
        <f>IFERROR(__xludf.DUMMYFUNCTION("SPLIT('2. c'!B1020, "" "", True, True)"),"Burkholderia")</f>
        <v>Burkholderia</v>
      </c>
      <c r="D1020" t="str">
        <f>IFERROR(__xludf.DUMMYFUNCTION("""COMPUTED_VALUE"""),"pseudomallei")</f>
        <v>pseudomallei</v>
      </c>
      <c r="E1020" t="str">
        <f>IFERROR(__xludf.DUMMYFUNCTION("""COMPUTED_VALUE"""),"NCTC")</f>
        <v>NCTC</v>
      </c>
      <c r="F1020">
        <f>IFERROR(__xludf.DUMMYFUNCTION("""COMPUTED_VALUE"""),13179.0)</f>
        <v>13179</v>
      </c>
    </row>
    <row r="1021" ht="15.75" customHeight="1">
      <c r="A1021" t="str">
        <f t="shared" si="1"/>
        <v>B.pseudomallei</v>
      </c>
      <c r="B1021" s="5" t="s">
        <v>1043</v>
      </c>
      <c r="C1021" s="6" t="str">
        <f>IFERROR(__xludf.DUMMYFUNCTION("SPLIT('2. c'!B1021, "" "", True, True)"),"Burkholderia")</f>
        <v>Burkholderia</v>
      </c>
      <c r="D1021" t="str">
        <f>IFERROR(__xludf.DUMMYFUNCTION("""COMPUTED_VALUE"""),"pseudomallei")</f>
        <v>pseudomallei</v>
      </c>
      <c r="E1021" t="str">
        <f>IFERROR(__xludf.DUMMYFUNCTION("""COMPUTED_VALUE"""),"Pasteur")</f>
        <v>Pasteur</v>
      </c>
      <c r="F1021">
        <f>IFERROR(__xludf.DUMMYFUNCTION("""COMPUTED_VALUE"""),52237.0)</f>
        <v>52237</v>
      </c>
    </row>
    <row r="1022" ht="15.75" customHeight="1">
      <c r="A1022" t="str">
        <f t="shared" si="1"/>
        <v>B.pseudomallei</v>
      </c>
      <c r="B1022" s="5" t="s">
        <v>1044</v>
      </c>
      <c r="C1022" s="6" t="str">
        <f>IFERROR(__xludf.DUMMYFUNCTION("SPLIT('2. c'!B1022, "" "", True, True)"),"Burkholderia")</f>
        <v>Burkholderia</v>
      </c>
      <c r="D1022" t="str">
        <f>IFERROR(__xludf.DUMMYFUNCTION("""COMPUTED_VALUE"""),"pseudomallei")</f>
        <v>pseudomallei</v>
      </c>
      <c r="E1022" t="str">
        <f>IFERROR(__xludf.DUMMYFUNCTION("""COMPUTED_VALUE"""),"PB08298010")</f>
        <v>PB08298010</v>
      </c>
    </row>
    <row r="1023" ht="15.75" customHeight="1">
      <c r="A1023" t="str">
        <f t="shared" si="1"/>
        <v>B.pseudomallei</v>
      </c>
      <c r="B1023" s="5" t="s">
        <v>1045</v>
      </c>
      <c r="C1023" s="6" t="str">
        <f>IFERROR(__xludf.DUMMYFUNCTION("SPLIT('2. c'!B1023, "" "", True, True)"),"Burkholderia")</f>
        <v>Burkholderia</v>
      </c>
      <c r="D1023" t="str">
        <f>IFERROR(__xludf.DUMMYFUNCTION("""COMPUTED_VALUE"""),"pseudomallei")</f>
        <v>pseudomallei</v>
      </c>
      <c r="E1023" t="str">
        <f>IFERROR(__xludf.DUMMYFUNCTION("""COMPUTED_VALUE"""),"strain")</f>
        <v>strain</v>
      </c>
      <c r="F1023" t="str">
        <f>IFERROR(__xludf.DUMMYFUNCTION("""COMPUTED_VALUE"""),"1106a")</f>
        <v>1106a</v>
      </c>
    </row>
    <row r="1024" ht="15.75" customHeight="1">
      <c r="A1024" t="str">
        <f t="shared" si="1"/>
        <v>B.pseudomallei</v>
      </c>
      <c r="B1024" s="5" t="s">
        <v>1046</v>
      </c>
      <c r="C1024" s="6" t="str">
        <f>IFERROR(__xludf.DUMMYFUNCTION("SPLIT('2. c'!B1024, "" "", True, True)"),"Burkholderia")</f>
        <v>Burkholderia</v>
      </c>
      <c r="D1024" t="str">
        <f>IFERROR(__xludf.DUMMYFUNCTION("""COMPUTED_VALUE"""),"pseudomallei")</f>
        <v>pseudomallei</v>
      </c>
      <c r="E1024" t="str">
        <f>IFERROR(__xludf.DUMMYFUNCTION("""COMPUTED_VALUE"""),"strain")</f>
        <v>strain</v>
      </c>
      <c r="F1024">
        <f>IFERROR(__xludf.DUMMYFUNCTION("""COMPUTED_VALUE"""),350105.0)</f>
        <v>350105</v>
      </c>
    </row>
    <row r="1025" ht="15.75" customHeight="1">
      <c r="A1025" t="str">
        <f t="shared" si="1"/>
        <v>B.pseudomallei</v>
      </c>
      <c r="B1025" s="5" t="s">
        <v>1047</v>
      </c>
      <c r="C1025" s="6" t="str">
        <f>IFERROR(__xludf.DUMMYFUNCTION("SPLIT('2. c'!B1025, "" "", True, True)"),"Burkholderia")</f>
        <v>Burkholderia</v>
      </c>
      <c r="D1025" t="str">
        <f>IFERROR(__xludf.DUMMYFUNCTION("""COMPUTED_VALUE"""),"pseudomallei")</f>
        <v>pseudomallei</v>
      </c>
      <c r="E1025" t="str">
        <f>IFERROR(__xludf.DUMMYFUNCTION("""COMPUTED_VALUE"""),"strain")</f>
        <v>strain</v>
      </c>
      <c r="F1025" t="str">
        <f>IFERROR(__xludf.DUMMYFUNCTION("""COMPUTED_VALUE"""),"3921g")</f>
        <v>3921g</v>
      </c>
    </row>
    <row r="1026" ht="15.75" customHeight="1">
      <c r="A1026" t="str">
        <f t="shared" si="1"/>
        <v>B.pseudomallei</v>
      </c>
      <c r="B1026" s="5" t="s">
        <v>1048</v>
      </c>
      <c r="C1026" s="6" t="str">
        <f>IFERROR(__xludf.DUMMYFUNCTION("SPLIT('2. c'!B1026, "" "", True, True)"),"Burkholderia")</f>
        <v>Burkholderia</v>
      </c>
      <c r="D1026" t="str">
        <f>IFERROR(__xludf.DUMMYFUNCTION("""COMPUTED_VALUE"""),"pseudomallei")</f>
        <v>pseudomallei</v>
      </c>
      <c r="E1026" t="str">
        <f>IFERROR(__xludf.DUMMYFUNCTION("""COMPUTED_VALUE"""),"strain")</f>
        <v>strain</v>
      </c>
      <c r="F1026">
        <f>IFERROR(__xludf.DUMMYFUNCTION("""COMPUTED_VALUE"""),576.0)</f>
        <v>576</v>
      </c>
    </row>
    <row r="1027" ht="15.75" customHeight="1">
      <c r="A1027" t="str">
        <f t="shared" si="1"/>
        <v>B.pseudomallei</v>
      </c>
      <c r="B1027" s="5" t="s">
        <v>1049</v>
      </c>
      <c r="C1027" s="6" t="str">
        <f>IFERROR(__xludf.DUMMYFUNCTION("SPLIT('2. c'!B1027, "" "", True, True)"),"Burkholderia")</f>
        <v>Burkholderia</v>
      </c>
      <c r="D1027" t="str">
        <f>IFERROR(__xludf.DUMMYFUNCTION("""COMPUTED_VALUE"""),"pseudomallei")</f>
        <v>pseudomallei</v>
      </c>
      <c r="E1027" t="str">
        <f>IFERROR(__xludf.DUMMYFUNCTION("""COMPUTED_VALUE"""),"strain")</f>
        <v>strain</v>
      </c>
      <c r="F1027">
        <f>IFERROR(__xludf.DUMMYFUNCTION("""COMPUTED_VALUE"""),982.0)</f>
        <v>982</v>
      </c>
    </row>
    <row r="1028" ht="15.75" customHeight="1">
      <c r="A1028" t="str">
        <f t="shared" si="1"/>
        <v>B.pseudomallei</v>
      </c>
      <c r="B1028" s="5" t="s">
        <v>1050</v>
      </c>
      <c r="C1028" s="6" t="str">
        <f>IFERROR(__xludf.DUMMYFUNCTION("SPLIT('2. c'!B1028, "" "", True, True)"),"Burkholderia")</f>
        <v>Burkholderia</v>
      </c>
      <c r="D1028" t="str">
        <f>IFERROR(__xludf.DUMMYFUNCTION("""COMPUTED_VALUE"""),"pseudomallei")</f>
        <v>pseudomallei</v>
      </c>
      <c r="E1028" t="str">
        <f>IFERROR(__xludf.DUMMYFUNCTION("""COMPUTED_VALUE"""),"strain")</f>
        <v>strain</v>
      </c>
      <c r="F1028" t="str">
        <f>IFERROR(__xludf.DUMMYFUNCTION("""COMPUTED_VALUE"""),"BDP")</f>
        <v>BDP</v>
      </c>
    </row>
    <row r="1029" ht="15.75" customHeight="1">
      <c r="A1029" t="str">
        <f t="shared" si="1"/>
        <v>B.pseudomallei</v>
      </c>
      <c r="B1029" s="5" t="s">
        <v>1051</v>
      </c>
      <c r="C1029" s="6" t="str">
        <f>IFERROR(__xludf.DUMMYFUNCTION("SPLIT('2. c'!B1029, "" "", True, True)"),"Burkholderia")</f>
        <v>Burkholderia</v>
      </c>
      <c r="D1029" t="str">
        <f>IFERROR(__xludf.DUMMYFUNCTION("""COMPUTED_VALUE"""),"pseudomallei")</f>
        <v>pseudomallei</v>
      </c>
      <c r="E1029" t="str">
        <f>IFERROR(__xludf.DUMMYFUNCTION("""COMPUTED_VALUE"""),"strain")</f>
        <v>strain</v>
      </c>
      <c r="F1029" t="str">
        <f>IFERROR(__xludf.DUMMYFUNCTION("""COMPUTED_VALUE"""),"BGR")</f>
        <v>BGR</v>
      </c>
    </row>
    <row r="1030" ht="15.75" customHeight="1">
      <c r="A1030" t="str">
        <f t="shared" si="1"/>
        <v>B.pseudomallei</v>
      </c>
      <c r="B1030" s="5" t="s">
        <v>1052</v>
      </c>
      <c r="C1030" s="6" t="str">
        <f>IFERROR(__xludf.DUMMYFUNCTION("SPLIT('2. c'!B1030, "" "", True, True)"),"Burkholderia")</f>
        <v>Burkholderia</v>
      </c>
      <c r="D1030" t="str">
        <f>IFERROR(__xludf.DUMMYFUNCTION("""COMPUTED_VALUE"""),"pseudomallei")</f>
        <v>pseudomallei</v>
      </c>
      <c r="E1030" t="str">
        <f>IFERROR(__xludf.DUMMYFUNCTION("""COMPUTED_VALUE"""),"strain")</f>
        <v>strain</v>
      </c>
      <c r="F1030" t="str">
        <f>IFERROR(__xludf.DUMMYFUNCTION("""COMPUTED_VALUE"""),"Bp1651")</f>
        <v>Bp1651</v>
      </c>
    </row>
    <row r="1031" ht="15.75" customHeight="1">
      <c r="A1031" t="str">
        <f t="shared" si="1"/>
        <v>B.pseudomallei</v>
      </c>
      <c r="B1031" s="5" t="s">
        <v>1053</v>
      </c>
      <c r="C1031" s="6" t="str">
        <f>IFERROR(__xludf.DUMMYFUNCTION("SPLIT('2. c'!B1031, "" "", True, True)"),"Burkholderia")</f>
        <v>Burkholderia</v>
      </c>
      <c r="D1031" t="str">
        <f>IFERROR(__xludf.DUMMYFUNCTION("""COMPUTED_VALUE"""),"pseudomallei")</f>
        <v>pseudomallei</v>
      </c>
      <c r="E1031" t="str">
        <f>IFERROR(__xludf.DUMMYFUNCTION("""COMPUTED_VALUE"""),"strain")</f>
        <v>strain</v>
      </c>
      <c r="F1031" t="str">
        <f>IFERROR(__xludf.DUMMYFUNCTION("""COMPUTED_VALUE"""),"BSR")</f>
        <v>BSR</v>
      </c>
    </row>
    <row r="1032" ht="15.75" customHeight="1">
      <c r="A1032" t="str">
        <f t="shared" si="1"/>
        <v>B.pseudomallei</v>
      </c>
      <c r="B1032" s="5" t="s">
        <v>1054</v>
      </c>
      <c r="C1032" s="6" t="str">
        <f>IFERROR(__xludf.DUMMYFUNCTION("SPLIT('2. c'!B1032, "" "", True, True)"),"Burkholderia")</f>
        <v>Burkholderia</v>
      </c>
      <c r="D1032" t="str">
        <f>IFERROR(__xludf.DUMMYFUNCTION("""COMPUTED_VALUE"""),"pseudomallei")</f>
        <v>pseudomallei</v>
      </c>
      <c r="E1032" t="str">
        <f>IFERROR(__xludf.DUMMYFUNCTION("""COMPUTED_VALUE"""),"strain")</f>
        <v>strain</v>
      </c>
      <c r="F1032" t="str">
        <f>IFERROR(__xludf.DUMMYFUNCTION("""COMPUTED_VALUE"""),"Mahidol-1106a")</f>
        <v>Mahidol-1106a</v>
      </c>
    </row>
    <row r="1033" ht="15.75" customHeight="1">
      <c r="A1033" t="str">
        <f t="shared" si="1"/>
        <v>B.pseudomallei</v>
      </c>
      <c r="B1033" s="5" t="s">
        <v>1055</v>
      </c>
      <c r="C1033" s="6" t="str">
        <f>IFERROR(__xludf.DUMMYFUNCTION("SPLIT('2. c'!B1033, "" "", True, True)"),"Burkholderia")</f>
        <v>Burkholderia</v>
      </c>
      <c r="D1033" t="str">
        <f>IFERROR(__xludf.DUMMYFUNCTION("""COMPUTED_VALUE"""),"pseudomallei")</f>
        <v>pseudomallei</v>
      </c>
      <c r="E1033" t="str">
        <f>IFERROR(__xludf.DUMMYFUNCTION("""COMPUTED_VALUE"""),"strain")</f>
        <v>strain</v>
      </c>
      <c r="F1033" t="str">
        <f>IFERROR(__xludf.DUMMYFUNCTION("""COMPUTED_VALUE"""),"MSHR1655")</f>
        <v>MSHR1655</v>
      </c>
    </row>
    <row r="1034" ht="15.75" customHeight="1">
      <c r="A1034" t="str">
        <f t="shared" si="1"/>
        <v>B.pseudomallei</v>
      </c>
      <c r="B1034" s="5" t="s">
        <v>1056</v>
      </c>
      <c r="C1034" s="6" t="str">
        <f>IFERROR(__xludf.DUMMYFUNCTION("SPLIT('2. c'!B1034, "" "", True, True)"),"Burkholderia")</f>
        <v>Burkholderia</v>
      </c>
      <c r="D1034" t="str">
        <f>IFERROR(__xludf.DUMMYFUNCTION("""COMPUTED_VALUE"""),"pseudomallei")</f>
        <v>pseudomallei</v>
      </c>
      <c r="E1034" t="str">
        <f>IFERROR(__xludf.DUMMYFUNCTION("""COMPUTED_VALUE"""),"strain")</f>
        <v>strain</v>
      </c>
      <c r="F1034" t="str">
        <f>IFERROR(__xludf.DUMMYFUNCTION("""COMPUTED_VALUE"""),"MSHR346")</f>
        <v>MSHR346</v>
      </c>
    </row>
    <row r="1035" ht="15.75" customHeight="1">
      <c r="A1035" t="str">
        <f t="shared" si="1"/>
        <v>B.pseudomallei</v>
      </c>
      <c r="B1035" s="5" t="s">
        <v>1057</v>
      </c>
      <c r="C1035" s="6" t="str">
        <f>IFERROR(__xludf.DUMMYFUNCTION("SPLIT('2. c'!B1035, "" "", True, True)"),"Burkholderia")</f>
        <v>Burkholderia</v>
      </c>
      <c r="D1035" t="str">
        <f>IFERROR(__xludf.DUMMYFUNCTION("""COMPUTED_VALUE"""),"pseudomallei")</f>
        <v>pseudomallei</v>
      </c>
      <c r="E1035" t="str">
        <f>IFERROR(__xludf.DUMMYFUNCTION("""COMPUTED_VALUE"""),"strain")</f>
        <v>strain</v>
      </c>
      <c r="F1035" t="str">
        <f>IFERROR(__xludf.DUMMYFUNCTION("""COMPUTED_VALUE"""),"MSHR668")</f>
        <v>MSHR668</v>
      </c>
    </row>
    <row r="1036" ht="15.75" customHeight="1">
      <c r="A1036" t="str">
        <f t="shared" si="1"/>
        <v>B.pseudomallei</v>
      </c>
      <c r="B1036" s="5" t="s">
        <v>1058</v>
      </c>
      <c r="C1036" s="6" t="str">
        <f>IFERROR(__xludf.DUMMYFUNCTION("SPLIT('2. c'!B1036, "" "", True, True)"),"Burkholderia")</f>
        <v>Burkholderia</v>
      </c>
      <c r="D1036" t="str">
        <f>IFERROR(__xludf.DUMMYFUNCTION("""COMPUTED_VALUE"""),"pseudomallei")</f>
        <v>pseudomallei</v>
      </c>
      <c r="E1036" t="str">
        <f>IFERROR(__xludf.DUMMYFUNCTION("""COMPUTED_VALUE"""),"strain")</f>
        <v>strain</v>
      </c>
      <c r="F1036" t="str">
        <f>IFERROR(__xludf.DUMMYFUNCTION("""COMPUTED_VALUE"""),"PHLS")</f>
        <v>PHLS</v>
      </c>
      <c r="G1036">
        <f>IFERROR(__xludf.DUMMYFUNCTION("""COMPUTED_VALUE"""),112.0)</f>
        <v>112</v>
      </c>
    </row>
    <row r="1037" ht="15.75" customHeight="1">
      <c r="A1037" t="str">
        <f t="shared" si="1"/>
        <v>B.pseudomallei</v>
      </c>
      <c r="B1037" s="5" t="s">
        <v>1059</v>
      </c>
      <c r="C1037" s="6" t="str">
        <f>IFERROR(__xludf.DUMMYFUNCTION("SPLIT('2. c'!B1037, "" "", True, True)"),"Burkholderia")</f>
        <v>Burkholderia</v>
      </c>
      <c r="D1037" t="str">
        <f>IFERROR(__xludf.DUMMYFUNCTION("""COMPUTED_VALUE"""),"pseudomallei")</f>
        <v>pseudomallei</v>
      </c>
      <c r="E1037" t="str">
        <f>IFERROR(__xludf.DUMMYFUNCTION("""COMPUTED_VALUE"""),"strain")</f>
        <v>strain</v>
      </c>
      <c r="F1037" t="str">
        <f>IFERROR(__xludf.DUMMYFUNCTION("""COMPUTED_VALUE"""),"vgh07")</f>
        <v>vgh07</v>
      </c>
    </row>
    <row r="1038" ht="15.75" customHeight="1">
      <c r="A1038" t="str">
        <f t="shared" si="1"/>
        <v>B.pseudomallei</v>
      </c>
      <c r="B1038" s="5" t="s">
        <v>1060</v>
      </c>
      <c r="C1038" s="6" t="str">
        <f>IFERROR(__xludf.DUMMYFUNCTION("SPLIT('2. c'!B1038, "" "", True, True)"),"Burkholderia")</f>
        <v>Burkholderia</v>
      </c>
      <c r="D1038" t="str">
        <f>IFERROR(__xludf.DUMMYFUNCTION("""COMPUTED_VALUE"""),"pseudomallei")</f>
        <v>pseudomallei</v>
      </c>
      <c r="E1038" t="str">
        <f>IFERROR(__xludf.DUMMYFUNCTION("""COMPUTED_VALUE"""),"strain")</f>
        <v>strain</v>
      </c>
      <c r="F1038" t="str">
        <f>IFERROR(__xludf.DUMMYFUNCTION("""COMPUTED_VALUE"""),"vgh16R")</f>
        <v>vgh16R</v>
      </c>
    </row>
    <row r="1039" ht="15.75" customHeight="1">
      <c r="A1039" t="str">
        <f t="shared" si="1"/>
        <v>B.pseudomallei</v>
      </c>
      <c r="B1039" s="5" t="s">
        <v>1061</v>
      </c>
      <c r="C1039" s="6" t="str">
        <f>IFERROR(__xludf.DUMMYFUNCTION("SPLIT('2. c'!B1039, "" "", True, True)"),"Burkholderia")</f>
        <v>Burkholderia</v>
      </c>
      <c r="D1039" t="str">
        <f>IFERROR(__xludf.DUMMYFUNCTION("""COMPUTED_VALUE"""),"pseudomallei")</f>
        <v>pseudomallei</v>
      </c>
      <c r="E1039" t="str">
        <f>IFERROR(__xludf.DUMMYFUNCTION("""COMPUTED_VALUE"""),"strain")</f>
        <v>strain</v>
      </c>
      <c r="F1039" t="str">
        <f>IFERROR(__xludf.DUMMYFUNCTION("""COMPUTED_VALUE"""),"vgh16W")</f>
        <v>vgh16W</v>
      </c>
    </row>
    <row r="1040" ht="15.75" customHeight="1">
      <c r="A1040" t="str">
        <f t="shared" si="1"/>
        <v>B.pseudomallei</v>
      </c>
      <c r="B1040" s="5" t="s">
        <v>1062</v>
      </c>
      <c r="C1040" s="6" t="str">
        <f>IFERROR(__xludf.DUMMYFUNCTION("SPLIT('2. c'!B1040, "" "", True, True)"),"Burkholderia")</f>
        <v>Burkholderia</v>
      </c>
      <c r="D1040" t="str">
        <f>IFERROR(__xludf.DUMMYFUNCTION("""COMPUTED_VALUE"""),"pseudomallei")</f>
        <v>pseudomallei</v>
      </c>
      <c r="E1040" t="str">
        <f>IFERROR(__xludf.DUMMYFUNCTION("""COMPUTED_VALUE"""),"TSV")</f>
        <v>TSV</v>
      </c>
      <c r="F1040">
        <f>IFERROR(__xludf.DUMMYFUNCTION("""COMPUTED_VALUE"""),48.0)</f>
        <v>48</v>
      </c>
    </row>
    <row r="1041" ht="15.75" customHeight="1">
      <c r="A1041" t="str">
        <f t="shared" si="1"/>
        <v>B.pyrrocinia</v>
      </c>
      <c r="B1041" s="5" t="s">
        <v>1063</v>
      </c>
      <c r="C1041" s="6" t="str">
        <f>IFERROR(__xludf.DUMMYFUNCTION("SPLIT('2. c'!B1041, "" "", True, True)"),"Burkholderia")</f>
        <v>Burkholderia</v>
      </c>
      <c r="D1041" t="str">
        <f>IFERROR(__xludf.DUMMYFUNCTION("""COMPUTED_VALUE"""),"pyrrocinia")</f>
        <v>pyrrocinia</v>
      </c>
      <c r="E1041" t="str">
        <f>IFERROR(__xludf.DUMMYFUNCTION("""COMPUTED_VALUE"""),"strain")</f>
        <v>strain</v>
      </c>
      <c r="F1041" t="str">
        <f>IFERROR(__xludf.DUMMYFUNCTION("""COMPUTED_VALUE"""),"DSM")</f>
        <v>DSM</v>
      </c>
      <c r="G1041">
        <f>IFERROR(__xludf.DUMMYFUNCTION("""COMPUTED_VALUE"""),10685.0)</f>
        <v>10685</v>
      </c>
    </row>
    <row r="1042" ht="15.75" customHeight="1">
      <c r="A1042" t="str">
        <f t="shared" si="1"/>
        <v>B.rhizoxinica</v>
      </c>
      <c r="B1042" s="5" t="s">
        <v>1064</v>
      </c>
      <c r="C1042" s="6" t="str">
        <f>IFERROR(__xludf.DUMMYFUNCTION("SPLIT('2. c'!B1042, "" "", True, True)"),"Burkholderia")</f>
        <v>Burkholderia</v>
      </c>
      <c r="D1042" t="str">
        <f>IFERROR(__xludf.DUMMYFUNCTION("""COMPUTED_VALUE"""),"rhizoxinica")</f>
        <v>rhizoxinica</v>
      </c>
      <c r="E1042" t="str">
        <f>IFERROR(__xludf.DUMMYFUNCTION("""COMPUTED_VALUE"""),"HKI")</f>
        <v>HKI</v>
      </c>
      <c r="F1042">
        <f>IFERROR(__xludf.DUMMYFUNCTION("""COMPUTED_VALUE"""),454.0)</f>
        <v>454</v>
      </c>
    </row>
    <row r="1043" ht="15.75" customHeight="1">
      <c r="A1043" t="str">
        <f t="shared" si="1"/>
        <v>B.sp.</v>
      </c>
      <c r="B1043" s="5" t="s">
        <v>1065</v>
      </c>
      <c r="C1043" s="6" t="str">
        <f>IFERROR(__xludf.DUMMYFUNCTION("SPLIT('2. c'!B1043, "" "", True, True)"),"Burkholderia")</f>
        <v>Burkholderia</v>
      </c>
      <c r="D1043" t="str">
        <f>IFERROR(__xludf.DUMMYFUNCTION("""COMPUTED_VALUE"""),"sp.")</f>
        <v>sp.</v>
      </c>
      <c r="E1043">
        <f>IFERROR(__xludf.DUMMYFUNCTION("""COMPUTED_VALUE"""),2.002721687E9)</f>
        <v>2002721687</v>
      </c>
    </row>
    <row r="1044" ht="15.75" customHeight="1">
      <c r="A1044" t="str">
        <f t="shared" si="1"/>
        <v>B.sp.</v>
      </c>
      <c r="B1044" s="5" t="s">
        <v>1066</v>
      </c>
      <c r="C1044" s="6" t="str">
        <f>IFERROR(__xludf.DUMMYFUNCTION("SPLIT('2. c'!B1044, "" "", True, True)"),"Burkholderia")</f>
        <v>Burkholderia</v>
      </c>
      <c r="D1044" t="str">
        <f>IFERROR(__xludf.DUMMYFUNCTION("""COMPUTED_VALUE"""),"sp.")</f>
        <v>sp.</v>
      </c>
      <c r="E1044" t="str">
        <f>IFERROR(__xludf.DUMMYFUNCTION("""COMPUTED_VALUE"""),"Bp5365")</f>
        <v>Bp5365</v>
      </c>
    </row>
    <row r="1045" ht="15.75" customHeight="1">
      <c r="A1045" t="str">
        <f t="shared" si="1"/>
        <v>B.sp.</v>
      </c>
      <c r="B1045" s="5" t="s">
        <v>1067</v>
      </c>
      <c r="C1045" s="6" t="str">
        <f>IFERROR(__xludf.DUMMYFUNCTION("SPLIT('2. c'!B1045, "" "", True, True)"),"Burkholderia")</f>
        <v>Burkholderia</v>
      </c>
      <c r="D1045" t="str">
        <f>IFERROR(__xludf.DUMMYFUNCTION("""COMPUTED_VALUE"""),"sp.")</f>
        <v>sp.</v>
      </c>
      <c r="E1045" t="str">
        <f>IFERROR(__xludf.DUMMYFUNCTION("""COMPUTED_VALUE"""),"CCGE1001")</f>
        <v>CCGE1001</v>
      </c>
    </row>
    <row r="1046" ht="15.75" customHeight="1">
      <c r="A1046" t="str">
        <f t="shared" si="1"/>
        <v>B.sp.</v>
      </c>
      <c r="B1046" s="5" t="s">
        <v>1068</v>
      </c>
      <c r="C1046" s="6" t="str">
        <f>IFERROR(__xludf.DUMMYFUNCTION("SPLIT('2. c'!B1046, "" "", True, True)"),"Burkholderia")</f>
        <v>Burkholderia</v>
      </c>
      <c r="D1046" t="str">
        <f>IFERROR(__xludf.DUMMYFUNCTION("""COMPUTED_VALUE"""),"sp.")</f>
        <v>sp.</v>
      </c>
      <c r="E1046" t="str">
        <f>IFERROR(__xludf.DUMMYFUNCTION("""COMPUTED_VALUE"""),"CCGE1002")</f>
        <v>CCGE1002</v>
      </c>
    </row>
    <row r="1047" ht="15.75" customHeight="1">
      <c r="A1047" t="str">
        <f t="shared" si="1"/>
        <v>B.sp.</v>
      </c>
      <c r="B1047" s="5" t="s">
        <v>1069</v>
      </c>
      <c r="C1047" s="6" t="str">
        <f>IFERROR(__xludf.DUMMYFUNCTION("SPLIT('2. c'!B1047, "" "", True, True)"),"Burkholderia")</f>
        <v>Burkholderia</v>
      </c>
      <c r="D1047" t="str">
        <f>IFERROR(__xludf.DUMMYFUNCTION("""COMPUTED_VALUE"""),"sp.")</f>
        <v>sp.</v>
      </c>
      <c r="E1047" t="str">
        <f>IFERROR(__xludf.DUMMYFUNCTION("""COMPUTED_VALUE"""),"CCGE1003")</f>
        <v>CCGE1003</v>
      </c>
    </row>
    <row r="1048" ht="15.75" customHeight="1">
      <c r="A1048" t="str">
        <f t="shared" si="1"/>
        <v>B.sp.</v>
      </c>
      <c r="B1048" s="5" t="s">
        <v>1070</v>
      </c>
      <c r="C1048" s="6" t="str">
        <f>IFERROR(__xludf.DUMMYFUNCTION("SPLIT('2. c'!B1048, "" "", True, True)"),"Burkholderia")</f>
        <v>Burkholderia</v>
      </c>
      <c r="D1048" t="str">
        <f>IFERROR(__xludf.DUMMYFUNCTION("""COMPUTED_VALUE"""),"sp.")</f>
        <v>sp.</v>
      </c>
      <c r="E1048" t="str">
        <f>IFERROR(__xludf.DUMMYFUNCTION("""COMPUTED_VALUE"""),"HB1")</f>
        <v>HB1</v>
      </c>
    </row>
    <row r="1049" ht="15.75" customHeight="1">
      <c r="A1049" t="str">
        <f t="shared" si="1"/>
        <v>B.sp.</v>
      </c>
      <c r="B1049" s="5" t="s">
        <v>1071</v>
      </c>
      <c r="C1049" s="6" t="str">
        <f>IFERROR(__xludf.DUMMYFUNCTION("SPLIT('2. c'!B1049, "" "", True, True)"),"Burkholderia")</f>
        <v>Burkholderia</v>
      </c>
      <c r="D1049" t="str">
        <f>IFERROR(__xludf.DUMMYFUNCTION("""COMPUTED_VALUE"""),"sp.")</f>
        <v>sp.</v>
      </c>
      <c r="E1049" t="str">
        <f>IFERROR(__xludf.DUMMYFUNCTION("""COMPUTED_VALUE"""),"KJ006")</f>
        <v>KJ006</v>
      </c>
    </row>
    <row r="1050" ht="15.75" customHeight="1">
      <c r="A1050" t="str">
        <f t="shared" si="1"/>
        <v>B.sp.</v>
      </c>
      <c r="B1050" s="5" t="s">
        <v>1072</v>
      </c>
      <c r="C1050" s="6" t="str">
        <f>IFERROR(__xludf.DUMMYFUNCTION("SPLIT('2. c'!B1050, "" "", True, True)"),"Burkholderia")</f>
        <v>Burkholderia</v>
      </c>
      <c r="D1050" t="str">
        <f>IFERROR(__xludf.DUMMYFUNCTION("""COMPUTED_VALUE"""),"sp.")</f>
        <v>sp.</v>
      </c>
      <c r="E1050" t="str">
        <f>IFERROR(__xludf.DUMMYFUNCTION("""COMPUTED_VALUE"""),"PAMC")</f>
        <v>PAMC</v>
      </c>
      <c r="F1050">
        <f>IFERROR(__xludf.DUMMYFUNCTION("""COMPUTED_VALUE"""),26561.0)</f>
        <v>26561</v>
      </c>
    </row>
    <row r="1051" ht="15.75" customHeight="1">
      <c r="A1051" t="str">
        <f t="shared" si="1"/>
        <v>B.sp.</v>
      </c>
      <c r="B1051" s="5" t="s">
        <v>1073</v>
      </c>
      <c r="C1051" s="6" t="str">
        <f>IFERROR(__xludf.DUMMYFUNCTION("SPLIT('2. c'!B1051, "" "", True, True)"),"Burkholderia")</f>
        <v>Burkholderia</v>
      </c>
      <c r="D1051" t="str">
        <f>IFERROR(__xludf.DUMMYFUNCTION("""COMPUTED_VALUE"""),"sp.")</f>
        <v>sp.</v>
      </c>
      <c r="E1051" t="str">
        <f>IFERROR(__xludf.DUMMYFUNCTION("""COMPUTED_VALUE"""),"PAMC")</f>
        <v>PAMC</v>
      </c>
      <c r="F1051">
        <f>IFERROR(__xludf.DUMMYFUNCTION("""COMPUTED_VALUE"""),28687.0)</f>
        <v>28687</v>
      </c>
    </row>
    <row r="1052" ht="15.75" customHeight="1">
      <c r="A1052" t="str">
        <f t="shared" si="1"/>
        <v>B.sp.</v>
      </c>
      <c r="B1052" s="5" t="s">
        <v>1074</v>
      </c>
      <c r="C1052" s="6" t="str">
        <f>IFERROR(__xludf.DUMMYFUNCTION("SPLIT('2. c'!B1052, "" "", True, True)"),"Burkholderia")</f>
        <v>Burkholderia</v>
      </c>
      <c r="D1052" t="str">
        <f>IFERROR(__xludf.DUMMYFUNCTION("""COMPUTED_VALUE"""),"sp.")</f>
        <v>sp.</v>
      </c>
      <c r="E1052" t="str">
        <f>IFERROR(__xludf.DUMMYFUNCTION("""COMPUTED_VALUE"""),"RPE64")</f>
        <v>RPE64</v>
      </c>
    </row>
    <row r="1053" ht="15.75" customHeight="1">
      <c r="A1053" t="str">
        <f t="shared" si="1"/>
        <v>B.sp.</v>
      </c>
      <c r="B1053" s="5" t="s">
        <v>1075</v>
      </c>
      <c r="C1053" s="6" t="str">
        <f>IFERROR(__xludf.DUMMYFUNCTION("SPLIT('2. c'!B1053, "" "", True, True)"),"Burkholderia")</f>
        <v>Burkholderia</v>
      </c>
      <c r="D1053" t="str">
        <f>IFERROR(__xludf.DUMMYFUNCTION("""COMPUTED_VALUE"""),"sp.")</f>
        <v>sp.</v>
      </c>
      <c r="E1053" t="str">
        <f>IFERROR(__xludf.DUMMYFUNCTION("""COMPUTED_VALUE"""),"RPE67")</f>
        <v>RPE67</v>
      </c>
    </row>
    <row r="1054" ht="15.75" customHeight="1">
      <c r="A1054" t="str">
        <f t="shared" si="1"/>
        <v>B.sp.</v>
      </c>
      <c r="B1054" s="5" t="s">
        <v>1076</v>
      </c>
      <c r="C1054" s="6" t="str">
        <f>IFERROR(__xludf.DUMMYFUNCTION("SPLIT('2. c'!B1054, "" "", True, True)"),"Burkholderia")</f>
        <v>Burkholderia</v>
      </c>
      <c r="D1054" t="str">
        <f>IFERROR(__xludf.DUMMYFUNCTION("""COMPUTED_VALUE"""),"sp.")</f>
        <v>sp.</v>
      </c>
      <c r="E1054" t="str">
        <f>IFERROR(__xludf.DUMMYFUNCTION("""COMPUTED_VALUE"""),"YI23")</f>
        <v>YI23</v>
      </c>
    </row>
    <row r="1055" ht="15.75" customHeight="1">
      <c r="A1055" t="str">
        <f t="shared" si="1"/>
        <v>B.territorii</v>
      </c>
      <c r="B1055" s="5" t="s">
        <v>1077</v>
      </c>
      <c r="C1055" s="6" t="str">
        <f>IFERROR(__xludf.DUMMYFUNCTION("SPLIT('2. c'!B1055, "" "", True, True)"),"Burkholderia")</f>
        <v>Burkholderia</v>
      </c>
      <c r="D1055" t="str">
        <f>IFERROR(__xludf.DUMMYFUNCTION("""COMPUTED_VALUE"""),"territorii")</f>
        <v>territorii</v>
      </c>
      <c r="E1055" t="str">
        <f>IFERROR(__xludf.DUMMYFUNCTION("""COMPUTED_VALUE"""),"strain")</f>
        <v>strain</v>
      </c>
      <c r="F1055" t="str">
        <f>IFERROR(__xludf.DUMMYFUNCTION("""COMPUTED_VALUE"""),"MSMB2203WGS")</f>
        <v>MSMB2203WGS</v>
      </c>
    </row>
    <row r="1056" ht="15.75" customHeight="1">
      <c r="A1056" t="str">
        <f t="shared" si="1"/>
        <v>B.thailandensis</v>
      </c>
      <c r="B1056" s="5" t="s">
        <v>1078</v>
      </c>
      <c r="C1056" s="6" t="str">
        <f>IFERROR(__xludf.DUMMYFUNCTION("SPLIT('2. c'!B1056, "" "", True, True)"),"Burkholderia")</f>
        <v>Burkholderia</v>
      </c>
      <c r="D1056" t="str">
        <f>IFERROR(__xludf.DUMMYFUNCTION("""COMPUTED_VALUE"""),"thailandensis")</f>
        <v>thailandensis</v>
      </c>
      <c r="E1056">
        <f>IFERROR(__xludf.DUMMYFUNCTION("""COMPUTED_VALUE"""),2.002721643E9)</f>
        <v>2002721643</v>
      </c>
    </row>
    <row r="1057" ht="15.75" customHeight="1">
      <c r="A1057" t="str">
        <f t="shared" si="1"/>
        <v>B.thailandensis</v>
      </c>
      <c r="B1057" s="5" t="s">
        <v>1079</v>
      </c>
      <c r="C1057" s="6" t="str">
        <f>IFERROR(__xludf.DUMMYFUNCTION("SPLIT('2. c'!B1057, "" "", True, True)"),"Burkholderia")</f>
        <v>Burkholderia</v>
      </c>
      <c r="D1057" t="str">
        <f>IFERROR(__xludf.DUMMYFUNCTION("""COMPUTED_VALUE"""),"thailandensis")</f>
        <v>thailandensis</v>
      </c>
      <c r="E1057">
        <f>IFERROR(__xludf.DUMMYFUNCTION("""COMPUTED_VALUE"""),2.002721723E9)</f>
        <v>2002721723</v>
      </c>
    </row>
    <row r="1058" ht="15.75" customHeight="1">
      <c r="A1058" t="str">
        <f t="shared" si="1"/>
        <v>B.thailandensis</v>
      </c>
      <c r="B1058" s="5" t="s">
        <v>1080</v>
      </c>
      <c r="C1058" s="6" t="str">
        <f>IFERROR(__xludf.DUMMYFUNCTION("SPLIT('2. c'!B1058, "" "", True, True)"),"Burkholderia")</f>
        <v>Burkholderia</v>
      </c>
      <c r="D1058" t="str">
        <f>IFERROR(__xludf.DUMMYFUNCTION("""COMPUTED_VALUE"""),"thailandensis")</f>
        <v>thailandensis</v>
      </c>
      <c r="E1058">
        <f>IFERROR(__xludf.DUMMYFUNCTION("""COMPUTED_VALUE"""),2.003015869E9)</f>
        <v>2003015869</v>
      </c>
    </row>
    <row r="1059" ht="15.75" customHeight="1">
      <c r="A1059" t="str">
        <f t="shared" si="1"/>
        <v>B.thailandensis</v>
      </c>
      <c r="B1059" s="5" t="s">
        <v>1081</v>
      </c>
      <c r="C1059" s="6" t="str">
        <f>IFERROR(__xludf.DUMMYFUNCTION("SPLIT('2. c'!B1059, "" "", True, True)"),"Burkholderia")</f>
        <v>Burkholderia</v>
      </c>
      <c r="D1059" t="str">
        <f>IFERROR(__xludf.DUMMYFUNCTION("""COMPUTED_VALUE"""),"thailandensis")</f>
        <v>thailandensis</v>
      </c>
      <c r="E1059">
        <f>IFERROR(__xludf.DUMMYFUNCTION("""COMPUTED_VALUE"""),34.0)</f>
        <v>34</v>
      </c>
    </row>
    <row r="1060" ht="15.75" customHeight="1">
      <c r="A1060" t="str">
        <f t="shared" si="1"/>
        <v>B.thailandensis</v>
      </c>
      <c r="B1060" s="5" t="s">
        <v>1082</v>
      </c>
      <c r="C1060" s="6" t="str">
        <f>IFERROR(__xludf.DUMMYFUNCTION("SPLIT('2. c'!B1060, "" "", True, True)"),"Burkholderia")</f>
        <v>Burkholderia</v>
      </c>
      <c r="D1060" t="str">
        <f>IFERROR(__xludf.DUMMYFUNCTION("""COMPUTED_VALUE"""),"thailandensis")</f>
        <v>thailandensis</v>
      </c>
      <c r="E1060" t="str">
        <f>IFERROR(__xludf.DUMMYFUNCTION("""COMPUTED_VALUE"""),"E254")</f>
        <v>E254</v>
      </c>
    </row>
    <row r="1061" ht="15.75" customHeight="1">
      <c r="A1061" t="str">
        <f t="shared" si="1"/>
        <v>B.thailandensis</v>
      </c>
      <c r="B1061" s="5" t="s">
        <v>1083</v>
      </c>
      <c r="C1061" s="6" t="str">
        <f>IFERROR(__xludf.DUMMYFUNCTION("SPLIT('2. c'!B1061, "" "", True, True)"),"Burkholderia")</f>
        <v>Burkholderia</v>
      </c>
      <c r="D1061" t="str">
        <f>IFERROR(__xludf.DUMMYFUNCTION("""COMPUTED_VALUE"""),"thailandensis")</f>
        <v>thailandensis</v>
      </c>
      <c r="E1061" t="str">
        <f>IFERROR(__xludf.DUMMYFUNCTION("""COMPUTED_VALUE"""),"E264")</f>
        <v>E264</v>
      </c>
    </row>
    <row r="1062" ht="15.75" customHeight="1">
      <c r="A1062" t="str">
        <f t="shared" si="1"/>
        <v>B.thailandensis</v>
      </c>
      <c r="B1062" s="5" t="s">
        <v>1084</v>
      </c>
      <c r="C1062" s="6" t="str">
        <f>IFERROR(__xludf.DUMMYFUNCTION("SPLIT('2. c'!B1062, "" "", True, True)"),"Burkholderia")</f>
        <v>Burkholderia</v>
      </c>
      <c r="D1062" t="str">
        <f>IFERROR(__xludf.DUMMYFUNCTION("""COMPUTED_VALUE"""),"thailandensis")</f>
        <v>thailandensis</v>
      </c>
      <c r="E1062" t="str">
        <f>IFERROR(__xludf.DUMMYFUNCTION("""COMPUTED_VALUE"""),"E444")</f>
        <v>E444</v>
      </c>
    </row>
    <row r="1063" ht="15.75" customHeight="1">
      <c r="A1063" t="str">
        <f t="shared" si="1"/>
        <v>B.thailandensis</v>
      </c>
      <c r="B1063" s="5" t="s">
        <v>1085</v>
      </c>
      <c r="C1063" s="6" t="str">
        <f>IFERROR(__xludf.DUMMYFUNCTION("SPLIT('2. c'!B1063, "" "", True, True)"),"Burkholderia")</f>
        <v>Burkholderia</v>
      </c>
      <c r="D1063" t="str">
        <f>IFERROR(__xludf.DUMMYFUNCTION("""COMPUTED_VALUE"""),"thailandensis")</f>
        <v>thailandensis</v>
      </c>
      <c r="E1063" t="str">
        <f>IFERROR(__xludf.DUMMYFUNCTION("""COMPUTED_VALUE"""),"H0587")</f>
        <v>H0587</v>
      </c>
    </row>
    <row r="1064" ht="15.75" customHeight="1">
      <c r="A1064" t="str">
        <f t="shared" si="1"/>
        <v>B.thailandensis</v>
      </c>
      <c r="B1064" s="5" t="s">
        <v>1086</v>
      </c>
      <c r="C1064" s="6" t="str">
        <f>IFERROR(__xludf.DUMMYFUNCTION("SPLIT('2. c'!B1064, "" "", True, True)"),"Burkholderia")</f>
        <v>Burkholderia</v>
      </c>
      <c r="D1064" t="str">
        <f>IFERROR(__xludf.DUMMYFUNCTION("""COMPUTED_VALUE"""),"thailandensis")</f>
        <v>thailandensis</v>
      </c>
      <c r="E1064" t="str">
        <f>IFERROR(__xludf.DUMMYFUNCTION("""COMPUTED_VALUE"""),"MSMB121")</f>
        <v>MSMB121</v>
      </c>
    </row>
    <row r="1065" ht="15.75" customHeight="1">
      <c r="A1065" t="str">
        <f t="shared" si="1"/>
        <v>B.thailandensis</v>
      </c>
      <c r="B1065" s="5" t="s">
        <v>1087</v>
      </c>
      <c r="C1065" s="6" t="str">
        <f>IFERROR(__xludf.DUMMYFUNCTION("SPLIT('2. c'!B1065, "" "", True, True)"),"Burkholderia")</f>
        <v>Burkholderia</v>
      </c>
      <c r="D1065" t="str">
        <f>IFERROR(__xludf.DUMMYFUNCTION("""COMPUTED_VALUE"""),"thailandensis")</f>
        <v>thailandensis</v>
      </c>
      <c r="E1065" t="str">
        <f>IFERROR(__xludf.DUMMYFUNCTION("""COMPUTED_VALUE"""),"MSMB59")</f>
        <v>MSMB59</v>
      </c>
    </row>
    <row r="1066" ht="15.75" customHeight="1">
      <c r="A1066" t="str">
        <f t="shared" si="1"/>
        <v>B.thailandensis</v>
      </c>
      <c r="B1066" s="5" t="s">
        <v>1088</v>
      </c>
      <c r="C1066" s="6" t="str">
        <f>IFERROR(__xludf.DUMMYFUNCTION("SPLIT('2. c'!B1066, "" "", True, True)"),"Burkholderia")</f>
        <v>Burkholderia</v>
      </c>
      <c r="D1066" t="str">
        <f>IFERROR(__xludf.DUMMYFUNCTION("""COMPUTED_VALUE"""),"thailandensis")</f>
        <v>thailandensis</v>
      </c>
      <c r="E1066" t="str">
        <f>IFERROR(__xludf.DUMMYFUNCTION("""COMPUTED_VALUE"""),"USAMRU")</f>
        <v>USAMRU</v>
      </c>
      <c r="F1066" t="str">
        <f>IFERROR(__xludf.DUMMYFUNCTION("""COMPUTED_VALUE"""),"Malaysia")</f>
        <v>Malaysia</v>
      </c>
      <c r="G1066" t="str">
        <f>IFERROR(__xludf.DUMMYFUNCTION("""COMPUTED_VALUE"""),"#20")</f>
        <v>#20</v>
      </c>
    </row>
    <row r="1067" ht="15.75" customHeight="1">
      <c r="A1067" t="str">
        <f t="shared" si="1"/>
        <v>B.ubonensis</v>
      </c>
      <c r="B1067" s="5" t="s">
        <v>1089</v>
      </c>
      <c r="C1067" s="6" t="str">
        <f>IFERROR(__xludf.DUMMYFUNCTION("SPLIT('2. c'!B1067, "" "", True, True)"),"Burkholderia")</f>
        <v>Burkholderia</v>
      </c>
      <c r="D1067" t="str">
        <f>IFERROR(__xludf.DUMMYFUNCTION("""COMPUTED_VALUE"""),"ubonensis")</f>
        <v>ubonensis</v>
      </c>
      <c r="E1067" t="str">
        <f>IFERROR(__xludf.DUMMYFUNCTION("""COMPUTED_VALUE"""),"MSMB22")</f>
        <v>MSMB22</v>
      </c>
    </row>
    <row r="1068" ht="15.75" customHeight="1">
      <c r="A1068" t="str">
        <f t="shared" si="1"/>
        <v>B.vietnamiensis</v>
      </c>
      <c r="B1068" s="5" t="s">
        <v>1090</v>
      </c>
      <c r="C1068" s="6" t="str">
        <f>IFERROR(__xludf.DUMMYFUNCTION("SPLIT('2. c'!B1068, "" "", True, True)"),"Burkholderia")</f>
        <v>Burkholderia</v>
      </c>
      <c r="D1068" t="str">
        <f>IFERROR(__xludf.DUMMYFUNCTION("""COMPUTED_VALUE"""),"vietnamiensis")</f>
        <v>vietnamiensis</v>
      </c>
      <c r="E1068" t="str">
        <f>IFERROR(__xludf.DUMMYFUNCTION("""COMPUTED_VALUE"""),"G4")</f>
        <v>G4</v>
      </c>
    </row>
    <row r="1069" ht="15.75" customHeight="1">
      <c r="A1069" t="str">
        <f t="shared" si="1"/>
        <v>B.vietnamiensis</v>
      </c>
      <c r="B1069" s="5" t="s">
        <v>1091</v>
      </c>
      <c r="C1069" s="6" t="str">
        <f>IFERROR(__xludf.DUMMYFUNCTION("SPLIT('2. c'!B1069, "" "", True, True)"),"Burkholderia")</f>
        <v>Burkholderia</v>
      </c>
      <c r="D1069" t="str">
        <f>IFERROR(__xludf.DUMMYFUNCTION("""COMPUTED_VALUE"""),"vietnamiensis")</f>
        <v>vietnamiensis</v>
      </c>
      <c r="E1069" t="str">
        <f>IFERROR(__xludf.DUMMYFUNCTION("""COMPUTED_VALUE"""),"LMG")</f>
        <v>LMG</v>
      </c>
      <c r="F1069">
        <f>IFERROR(__xludf.DUMMYFUNCTION("""COMPUTED_VALUE"""),10929.0)</f>
        <v>10929</v>
      </c>
    </row>
    <row r="1070" ht="15.75" customHeight="1">
      <c r="A1070" t="str">
        <f t="shared" si="1"/>
        <v>B.xenovorans</v>
      </c>
      <c r="B1070" s="5" t="s">
        <v>1092</v>
      </c>
      <c r="C1070" s="6" t="str">
        <f>IFERROR(__xludf.DUMMYFUNCTION("SPLIT('2. c'!B1070, "" "", True, True)"),"Burkholderia")</f>
        <v>Burkholderia</v>
      </c>
      <c r="D1070" t="str">
        <f>IFERROR(__xludf.DUMMYFUNCTION("""COMPUTED_VALUE"""),"xenovorans")</f>
        <v>xenovorans</v>
      </c>
      <c r="E1070" t="str">
        <f>IFERROR(__xludf.DUMMYFUNCTION("""COMPUTED_VALUE"""),"LB400")</f>
        <v>LB400</v>
      </c>
    </row>
    <row r="1071" ht="15.75" customHeight="1">
      <c r="A1071" t="str">
        <f t="shared" si="1"/>
        <v>B.xenovorans</v>
      </c>
      <c r="B1071" s="5" t="s">
        <v>1093</v>
      </c>
      <c r="C1071" s="6" t="str">
        <f>IFERROR(__xludf.DUMMYFUNCTION("SPLIT('2. c'!B1071, "" "", True, True)"),"Burkholderia")</f>
        <v>Burkholderia</v>
      </c>
      <c r="D1071" t="str">
        <f>IFERROR(__xludf.DUMMYFUNCTION("""COMPUTED_VALUE"""),"xenovorans")</f>
        <v>xenovorans</v>
      </c>
      <c r="E1071" t="str">
        <f>IFERROR(__xludf.DUMMYFUNCTION("""COMPUTED_VALUE"""),"strain")</f>
        <v>strain</v>
      </c>
      <c r="F1071" t="str">
        <f>IFERROR(__xludf.DUMMYFUNCTION("""COMPUTED_VALUE"""),"LB400")</f>
        <v>LB400</v>
      </c>
    </row>
    <row r="1072" ht="15.75" customHeight="1">
      <c r="A1072" t="str">
        <f t="shared" si="1"/>
        <v>B.bacterium</v>
      </c>
      <c r="B1072" s="5" t="s">
        <v>1094</v>
      </c>
      <c r="C1072" s="6" t="str">
        <f>IFERROR(__xludf.DUMMYFUNCTION("SPLIT('2. c'!B1072, "" "", True, True)"),"Burkholderiales")</f>
        <v>Burkholderiales</v>
      </c>
      <c r="D1072" t="str">
        <f>IFERROR(__xludf.DUMMYFUNCTION("""COMPUTED_VALUE"""),"bacterium")</f>
        <v>bacterium</v>
      </c>
      <c r="E1072" t="str">
        <f>IFERROR(__xludf.DUMMYFUNCTION("""COMPUTED_VALUE"""),"GJ-E10")</f>
        <v>GJ-E10</v>
      </c>
    </row>
    <row r="1073" ht="15.75" customHeight="1">
      <c r="A1073" t="str">
        <f t="shared" si="1"/>
        <v>b.bacterium</v>
      </c>
      <c r="B1073" s="5" t="s">
        <v>1095</v>
      </c>
      <c r="C1073" s="6" t="str">
        <f>IFERROR(__xludf.DUMMYFUNCTION("SPLIT('2. c'!B1073, "" "", True, True)"),"butyrate-producing")</f>
        <v>butyrate-producing</v>
      </c>
      <c r="D1073" t="str">
        <f>IFERROR(__xludf.DUMMYFUNCTION("""COMPUTED_VALUE"""),"bacterium")</f>
        <v>bacterium</v>
      </c>
      <c r="E1073" t="str">
        <f>IFERROR(__xludf.DUMMYFUNCTION("""COMPUTED_VALUE"""),"SM4/1")</f>
        <v>SM4/1</v>
      </c>
    </row>
    <row r="1074" ht="15.75" customHeight="1">
      <c r="A1074" t="str">
        <f t="shared" si="1"/>
        <v>b.bacterium</v>
      </c>
      <c r="B1074" s="5" t="s">
        <v>1096</v>
      </c>
      <c r="C1074" s="6" t="str">
        <f>IFERROR(__xludf.DUMMYFUNCTION("SPLIT('2. c'!B1074, "" "", True, True)"),"butyrate-producing")</f>
        <v>butyrate-producing</v>
      </c>
      <c r="D1074" t="str">
        <f>IFERROR(__xludf.DUMMYFUNCTION("""COMPUTED_VALUE"""),"bacterium")</f>
        <v>bacterium</v>
      </c>
      <c r="E1074" t="str">
        <f>IFERROR(__xludf.DUMMYFUNCTION("""COMPUTED_VALUE"""),"SS3/4")</f>
        <v>SS3/4</v>
      </c>
    </row>
    <row r="1075" ht="15.75" customHeight="1">
      <c r="A1075" t="str">
        <f t="shared" si="1"/>
        <v>B.fibrisolvens</v>
      </c>
      <c r="B1075" s="5" t="s">
        <v>1097</v>
      </c>
      <c r="C1075" s="6" t="str">
        <f>IFERROR(__xludf.DUMMYFUNCTION("SPLIT('2. c'!B1075, "" "", True, True)"),"Butyrivibrio")</f>
        <v>Butyrivibrio</v>
      </c>
      <c r="D1075" t="str">
        <f>IFERROR(__xludf.DUMMYFUNCTION("""COMPUTED_VALUE"""),"fibrisolvens")</f>
        <v>fibrisolvens</v>
      </c>
      <c r="E1075" s="36">
        <f>IFERROR(__xludf.DUMMYFUNCTION("""COMPUTED_VALUE"""),43206.0)</f>
        <v>43206</v>
      </c>
    </row>
    <row r="1076" ht="15.75" customHeight="1">
      <c r="A1076" t="str">
        <f t="shared" si="1"/>
        <v>B.proteoclasticus</v>
      </c>
      <c r="B1076" s="5" t="s">
        <v>1098</v>
      </c>
      <c r="C1076" s="6" t="str">
        <f>IFERROR(__xludf.DUMMYFUNCTION("SPLIT('2. c'!B1076, "" "", True, True)"),"Butyrivibrio")</f>
        <v>Butyrivibrio</v>
      </c>
      <c r="D1076" t="str">
        <f>IFERROR(__xludf.DUMMYFUNCTION("""COMPUTED_VALUE"""),"proteoclasticus")</f>
        <v>proteoclasticus</v>
      </c>
      <c r="E1076" t="str">
        <f>IFERROR(__xludf.DUMMYFUNCTION("""COMPUTED_VALUE"""),"B316")</f>
        <v>B316</v>
      </c>
    </row>
    <row r="1077" ht="15.75" customHeight="1">
      <c r="A1077" t="str">
        <f t="shared" si="1"/>
        <v>C.bescii</v>
      </c>
      <c r="B1077" s="5" t="s">
        <v>1099</v>
      </c>
      <c r="C1077" s="6" t="str">
        <f>IFERROR(__xludf.DUMMYFUNCTION("SPLIT('2. c'!B1077, "" "", True, True)"),"Caldicellulosiruptor")</f>
        <v>Caldicellulosiruptor</v>
      </c>
      <c r="D1077" t="str">
        <f>IFERROR(__xludf.DUMMYFUNCTION("""COMPUTED_VALUE"""),"bescii")</f>
        <v>bescii</v>
      </c>
      <c r="E1077" t="str">
        <f>IFERROR(__xludf.DUMMYFUNCTION("""COMPUTED_VALUE"""),"DSM")</f>
        <v>DSM</v>
      </c>
      <c r="F1077">
        <f>IFERROR(__xludf.DUMMYFUNCTION("""COMPUTED_VALUE"""),6725.0)</f>
        <v>6725</v>
      </c>
    </row>
    <row r="1078" ht="15.75" customHeight="1">
      <c r="A1078" t="str">
        <f t="shared" si="1"/>
        <v>C.hydrothermalis</v>
      </c>
      <c r="B1078" s="5" t="s">
        <v>1100</v>
      </c>
      <c r="C1078" s="6" t="str">
        <f>IFERROR(__xludf.DUMMYFUNCTION("SPLIT('2. c'!B1078, "" "", True, True)"),"Caldicellulosiruptor")</f>
        <v>Caldicellulosiruptor</v>
      </c>
      <c r="D1078" t="str">
        <f>IFERROR(__xludf.DUMMYFUNCTION("""COMPUTED_VALUE"""),"hydrothermalis")</f>
        <v>hydrothermalis</v>
      </c>
      <c r="E1078">
        <f>IFERROR(__xludf.DUMMYFUNCTION("""COMPUTED_VALUE"""),108.0)</f>
        <v>108</v>
      </c>
    </row>
    <row r="1079" ht="15.75" customHeight="1">
      <c r="A1079" t="str">
        <f t="shared" si="1"/>
        <v>C.kristjanssonii</v>
      </c>
      <c r="B1079" s="5" t="s">
        <v>1101</v>
      </c>
      <c r="C1079" s="6" t="str">
        <f>IFERROR(__xludf.DUMMYFUNCTION("SPLIT('2. c'!B1079, "" "", True, True)"),"Caldicellulosiruptor")</f>
        <v>Caldicellulosiruptor</v>
      </c>
      <c r="D1079" t="str">
        <f>IFERROR(__xludf.DUMMYFUNCTION("""COMPUTED_VALUE"""),"kristjanssonii")</f>
        <v>kristjanssonii</v>
      </c>
      <c r="E1079" t="str">
        <f>IFERROR(__xludf.DUMMYFUNCTION("""COMPUTED_VALUE"""),"177R1B")</f>
        <v>177R1B</v>
      </c>
    </row>
    <row r="1080" ht="15.75" customHeight="1">
      <c r="A1080" t="str">
        <f t="shared" si="1"/>
        <v>C.kronotskyensis</v>
      </c>
      <c r="B1080" s="5" t="s">
        <v>1102</v>
      </c>
      <c r="C1080" s="6" t="str">
        <f>IFERROR(__xludf.DUMMYFUNCTION("SPLIT('2. c'!B1080, "" "", True, True)"),"Caldicellulosiruptor")</f>
        <v>Caldicellulosiruptor</v>
      </c>
      <c r="D1080" t="str">
        <f>IFERROR(__xludf.DUMMYFUNCTION("""COMPUTED_VALUE"""),"kronotskyensis")</f>
        <v>kronotskyensis</v>
      </c>
      <c r="E1080">
        <f>IFERROR(__xludf.DUMMYFUNCTION("""COMPUTED_VALUE"""),2002.0)</f>
        <v>2002</v>
      </c>
    </row>
    <row r="1081" ht="15.75" customHeight="1">
      <c r="A1081" t="str">
        <f t="shared" si="1"/>
        <v>C.obsidiansis</v>
      </c>
      <c r="B1081" s="5" t="s">
        <v>1103</v>
      </c>
      <c r="C1081" s="6" t="str">
        <f>IFERROR(__xludf.DUMMYFUNCTION("SPLIT('2. c'!B1081, "" "", True, True)"),"Caldicellulosiruptor")</f>
        <v>Caldicellulosiruptor</v>
      </c>
      <c r="D1081" t="str">
        <f>IFERROR(__xludf.DUMMYFUNCTION("""COMPUTED_VALUE"""),"obsidiansis")</f>
        <v>obsidiansis</v>
      </c>
      <c r="E1081" t="str">
        <f>IFERROR(__xludf.DUMMYFUNCTION("""COMPUTED_VALUE"""),"OB47")</f>
        <v>OB47</v>
      </c>
    </row>
    <row r="1082" ht="15.75" customHeight="1">
      <c r="A1082" t="str">
        <f t="shared" si="1"/>
        <v>C.owensensis</v>
      </c>
      <c r="B1082" s="5" t="s">
        <v>1104</v>
      </c>
      <c r="C1082" s="6" t="str">
        <f>IFERROR(__xludf.DUMMYFUNCTION("SPLIT('2. c'!B1082, "" "", True, True)"),"Caldicellulosiruptor")</f>
        <v>Caldicellulosiruptor</v>
      </c>
      <c r="D1082" t="str">
        <f>IFERROR(__xludf.DUMMYFUNCTION("""COMPUTED_VALUE"""),"owensensis")</f>
        <v>owensensis</v>
      </c>
      <c r="E1082" t="str">
        <f>IFERROR(__xludf.DUMMYFUNCTION("""COMPUTED_VALUE"""),"OL")</f>
        <v>OL</v>
      </c>
    </row>
    <row r="1083" ht="15.75" customHeight="1">
      <c r="A1083" t="str">
        <f t="shared" si="1"/>
        <v>C.saccharolyticus</v>
      </c>
      <c r="B1083" s="5" t="s">
        <v>1105</v>
      </c>
      <c r="C1083" s="6" t="str">
        <f>IFERROR(__xludf.DUMMYFUNCTION("SPLIT('2. c'!B1083, "" "", True, True)"),"Caldicellulosiruptor")</f>
        <v>Caldicellulosiruptor</v>
      </c>
      <c r="D1083" t="str">
        <f>IFERROR(__xludf.DUMMYFUNCTION("""COMPUTED_VALUE"""),"saccharolyticus")</f>
        <v>saccharolyticus</v>
      </c>
      <c r="E1083" t="str">
        <f>IFERROR(__xludf.DUMMYFUNCTION("""COMPUTED_VALUE"""),"DSM")</f>
        <v>DSM</v>
      </c>
      <c r="F1083">
        <f>IFERROR(__xludf.DUMMYFUNCTION("""COMPUTED_VALUE"""),8903.0)</f>
        <v>8903</v>
      </c>
    </row>
    <row r="1084" ht="15.75" customHeight="1">
      <c r="A1084" t="str">
        <f t="shared" si="1"/>
        <v>C.sp.</v>
      </c>
      <c r="B1084" s="5" t="s">
        <v>1106</v>
      </c>
      <c r="C1084" s="6" t="str">
        <f>IFERROR(__xludf.DUMMYFUNCTION("SPLIT('2. c'!B1084, "" "", True, True)"),"Caldicellulosiruptor")</f>
        <v>Caldicellulosiruptor</v>
      </c>
      <c r="D1084" t="str">
        <f>IFERROR(__xludf.DUMMYFUNCTION("""COMPUTED_VALUE"""),"sp.")</f>
        <v>sp.</v>
      </c>
      <c r="E1084" t="str">
        <f>IFERROR(__xludf.DUMMYFUNCTION("""COMPUTED_VALUE"""),"Wai35.B1")</f>
        <v>Wai35.B1</v>
      </c>
    </row>
    <row r="1085" ht="15.75" customHeight="1">
      <c r="A1085" t="str">
        <f t="shared" si="1"/>
        <v>C.aerophila</v>
      </c>
      <c r="B1085" s="5" t="s">
        <v>1107</v>
      </c>
      <c r="C1085" s="6" t="str">
        <f>IFERROR(__xludf.DUMMYFUNCTION("SPLIT('2. c'!B1085, "" "", True, True)"),"Caldilinea")</f>
        <v>Caldilinea</v>
      </c>
      <c r="D1085" t="str">
        <f>IFERROR(__xludf.DUMMYFUNCTION("""COMPUTED_VALUE"""),"aerophila")</f>
        <v>aerophila</v>
      </c>
      <c r="E1085" t="str">
        <f>IFERROR(__xludf.DUMMYFUNCTION("""COMPUTED_VALUE"""),"DSM")</f>
        <v>DSM</v>
      </c>
      <c r="F1085">
        <f>IFERROR(__xludf.DUMMYFUNCTION("""COMPUTED_VALUE"""),14535.0)</f>
        <v>14535</v>
      </c>
      <c r="G1085" t="str">
        <f>IFERROR(__xludf.DUMMYFUNCTION("""COMPUTED_VALUE"""),"=")</f>
        <v>=</v>
      </c>
      <c r="H1085" t="str">
        <f>IFERROR(__xludf.DUMMYFUNCTION("""COMPUTED_VALUE"""),"NBRC")</f>
        <v>NBRC</v>
      </c>
      <c r="I1085">
        <f>IFERROR(__xludf.DUMMYFUNCTION("""COMPUTED_VALUE"""),104270.0)</f>
        <v>104270</v>
      </c>
    </row>
    <row r="1086" ht="15.75" customHeight="1">
      <c r="A1086" t="str">
        <f t="shared" si="1"/>
        <v>C.exile</v>
      </c>
      <c r="B1086" s="5" t="s">
        <v>1108</v>
      </c>
      <c r="C1086" s="6" t="str">
        <f>IFERROR(__xludf.DUMMYFUNCTION("SPLIT('2. c'!B1086, "" "", True, True)"),"Caldisericum")</f>
        <v>Caldisericum</v>
      </c>
      <c r="D1086" t="str">
        <f>IFERROR(__xludf.DUMMYFUNCTION("""COMPUTED_VALUE"""),"exile")</f>
        <v>exile</v>
      </c>
      <c r="E1086" t="str">
        <f>IFERROR(__xludf.DUMMYFUNCTION("""COMPUTED_VALUE"""),"AZM16c01")</f>
        <v>AZM16c01</v>
      </c>
    </row>
    <row r="1087" ht="15.75" customHeight="1">
      <c r="A1087" t="str">
        <f t="shared" si="1"/>
        <v>C.lagunensis</v>
      </c>
      <c r="B1087" s="5" t="s">
        <v>1109</v>
      </c>
      <c r="C1087" s="6" t="str">
        <f>IFERROR(__xludf.DUMMYFUNCTION("SPLIT('2. c'!B1087, "" "", True, True)"),"Caldisphaera")</f>
        <v>Caldisphaera</v>
      </c>
      <c r="D1087" t="str">
        <f>IFERROR(__xludf.DUMMYFUNCTION("""COMPUTED_VALUE"""),"lagunensis")</f>
        <v>lagunensis</v>
      </c>
      <c r="E1087" t="str">
        <f>IFERROR(__xludf.DUMMYFUNCTION("""COMPUTED_VALUE"""),"DSM")</f>
        <v>DSM</v>
      </c>
      <c r="F1087">
        <f>IFERROR(__xludf.DUMMYFUNCTION("""COMPUTED_VALUE"""),15908.0)</f>
        <v>15908</v>
      </c>
    </row>
    <row r="1088" ht="15.75" customHeight="1">
      <c r="A1088" t="str">
        <f t="shared" si="1"/>
        <v>C.nitroreducens</v>
      </c>
      <c r="B1088" s="5" t="s">
        <v>1110</v>
      </c>
      <c r="C1088" s="6" t="str">
        <f>IFERROR(__xludf.DUMMYFUNCTION("SPLIT('2. c'!B1088, "" "", True, True)"),"Calditerrivibrio")</f>
        <v>Calditerrivibrio</v>
      </c>
      <c r="D1088" t="str">
        <f>IFERROR(__xludf.DUMMYFUNCTION("""COMPUTED_VALUE"""),"nitroreducens")</f>
        <v>nitroreducens</v>
      </c>
      <c r="E1088" t="str">
        <f>IFERROR(__xludf.DUMMYFUNCTION("""COMPUTED_VALUE"""),"DSM")</f>
        <v>DSM</v>
      </c>
      <c r="F1088">
        <f>IFERROR(__xludf.DUMMYFUNCTION("""COMPUTED_VALUE"""),19672.0)</f>
        <v>19672</v>
      </c>
    </row>
    <row r="1089" ht="15.75" customHeight="1">
      <c r="A1089" t="str">
        <f t="shared" si="1"/>
        <v>C.maquilingensis</v>
      </c>
      <c r="B1089" s="5" t="s">
        <v>1111</v>
      </c>
      <c r="C1089" s="6" t="str">
        <f>IFERROR(__xludf.DUMMYFUNCTION("SPLIT('2. c'!B1089, "" "", True, True)"),"Caldivirga")</f>
        <v>Caldivirga</v>
      </c>
      <c r="D1089" t="str">
        <f>IFERROR(__xludf.DUMMYFUNCTION("""COMPUTED_VALUE"""),"maquilingensis")</f>
        <v>maquilingensis</v>
      </c>
      <c r="E1089" t="str">
        <f>IFERROR(__xludf.DUMMYFUNCTION("""COMPUTED_VALUE"""),"IC-167")</f>
        <v>IC-167</v>
      </c>
    </row>
    <row r="1090" ht="15.75" customHeight="1">
      <c r="A1090" t="str">
        <f t="shared" si="1"/>
        <v>C.sp.</v>
      </c>
      <c r="B1090" s="5" t="s">
        <v>1112</v>
      </c>
      <c r="C1090" s="6" t="str">
        <f>IFERROR(__xludf.DUMMYFUNCTION("SPLIT('2. c'!B1090, "" "", True, True)"),"Calothrix")</f>
        <v>Calothrix</v>
      </c>
      <c r="D1090" t="str">
        <f>IFERROR(__xludf.DUMMYFUNCTION("""COMPUTED_VALUE"""),"sp.")</f>
        <v>sp.</v>
      </c>
      <c r="E1090" t="str">
        <f>IFERROR(__xludf.DUMMYFUNCTION("""COMPUTED_VALUE"""),"PCC")</f>
        <v>PCC</v>
      </c>
      <c r="F1090">
        <f>IFERROR(__xludf.DUMMYFUNCTION("""COMPUTED_VALUE"""),6303.0)</f>
        <v>6303</v>
      </c>
    </row>
    <row r="1091" ht="15.75" customHeight="1">
      <c r="A1091" t="str">
        <f t="shared" si="1"/>
        <v>C.sp.</v>
      </c>
      <c r="B1091" s="5" t="s">
        <v>1113</v>
      </c>
      <c r="C1091" s="6" t="str">
        <f>IFERROR(__xludf.DUMMYFUNCTION("SPLIT('2. c'!B1091, "" "", True, True)"),"Calothrix")</f>
        <v>Calothrix</v>
      </c>
      <c r="D1091" t="str">
        <f>IFERROR(__xludf.DUMMYFUNCTION("""COMPUTED_VALUE"""),"sp.")</f>
        <v>sp.</v>
      </c>
      <c r="E1091" t="str">
        <f>IFERROR(__xludf.DUMMYFUNCTION("""COMPUTED_VALUE"""),"PCC")</f>
        <v>PCC</v>
      </c>
      <c r="F1091">
        <f>IFERROR(__xludf.DUMMYFUNCTION("""COMPUTED_VALUE"""),7507.0)</f>
        <v>7507</v>
      </c>
    </row>
    <row r="1092" ht="15.75" customHeight="1">
      <c r="A1092" t="str">
        <f t="shared" si="1"/>
        <v>C.coli</v>
      </c>
      <c r="B1092" s="5" t="s">
        <v>1114</v>
      </c>
      <c r="C1092" s="6" t="str">
        <f>IFERROR(__xludf.DUMMYFUNCTION("SPLIT('2. c'!B1092, "" "", True, True)"),"Campylobacter")</f>
        <v>Campylobacter</v>
      </c>
      <c r="D1092" t="str">
        <f>IFERROR(__xludf.DUMMYFUNCTION("""COMPUTED_VALUE"""),"coli")</f>
        <v>coli</v>
      </c>
      <c r="E1092" t="str">
        <f>IFERROR(__xludf.DUMMYFUNCTION("""COMPUTED_VALUE"""),"15-537360")</f>
        <v>15-537360</v>
      </c>
    </row>
    <row r="1093" ht="15.75" customHeight="1">
      <c r="A1093" t="str">
        <f t="shared" si="1"/>
        <v>C.coli</v>
      </c>
      <c r="B1093" s="5" t="s">
        <v>1115</v>
      </c>
      <c r="C1093" s="6" t="str">
        <f>IFERROR(__xludf.DUMMYFUNCTION("SPLIT('2. c'!B1093, "" "", True, True)"),"Campylobacter")</f>
        <v>Campylobacter</v>
      </c>
      <c r="D1093" t="str">
        <f>IFERROR(__xludf.DUMMYFUNCTION("""COMPUTED_VALUE"""),"coli")</f>
        <v>coli</v>
      </c>
      <c r="E1093">
        <f>IFERROR(__xludf.DUMMYFUNCTION("""COMPUTED_VALUE"""),76339.0)</f>
        <v>76339</v>
      </c>
    </row>
    <row r="1094" ht="15.75" customHeight="1">
      <c r="A1094" t="str">
        <f t="shared" si="1"/>
        <v>C.coli</v>
      </c>
      <c r="B1094" s="5" t="s">
        <v>1116</v>
      </c>
      <c r="C1094" s="6" t="str">
        <f>IFERROR(__xludf.DUMMYFUNCTION("SPLIT('2. c'!B1094, "" "", True, True)"),"Campylobacter")</f>
        <v>Campylobacter</v>
      </c>
      <c r="D1094" t="str">
        <f>IFERROR(__xludf.DUMMYFUNCTION("""COMPUTED_VALUE"""),"coli")</f>
        <v>coli</v>
      </c>
      <c r="E1094" t="str">
        <f>IFERROR(__xludf.DUMMYFUNCTION("""COMPUTED_VALUE"""),"CVM")</f>
        <v>CVM</v>
      </c>
      <c r="F1094" t="str">
        <f>IFERROR(__xludf.DUMMYFUNCTION("""COMPUTED_VALUE"""),"N29710")</f>
        <v>N29710</v>
      </c>
    </row>
    <row r="1095" ht="15.75" customHeight="1">
      <c r="A1095" t="str">
        <f t="shared" si="1"/>
        <v>C.coli</v>
      </c>
      <c r="B1095" s="5" t="s">
        <v>1117</v>
      </c>
      <c r="C1095" s="6" t="str">
        <f>IFERROR(__xludf.DUMMYFUNCTION("SPLIT('2. c'!B1095, "" "", True, True)"),"Campylobacter")</f>
        <v>Campylobacter</v>
      </c>
      <c r="D1095" t="str">
        <f>IFERROR(__xludf.DUMMYFUNCTION("""COMPUTED_VALUE"""),"coli")</f>
        <v>coli</v>
      </c>
      <c r="E1095" t="str">
        <f>IFERROR(__xludf.DUMMYFUNCTION("""COMPUTED_VALUE"""),"RM1875")</f>
        <v>RM1875</v>
      </c>
    </row>
    <row r="1096" ht="15.75" customHeight="1">
      <c r="A1096" t="str">
        <f t="shared" si="1"/>
        <v>C.coli</v>
      </c>
      <c r="B1096" s="5" t="s">
        <v>1118</v>
      </c>
      <c r="C1096" s="6" t="str">
        <f>IFERROR(__xludf.DUMMYFUNCTION("SPLIT('2. c'!B1096, "" "", True, True)"),"Campylobacter")</f>
        <v>Campylobacter</v>
      </c>
      <c r="D1096" t="str">
        <f>IFERROR(__xludf.DUMMYFUNCTION("""COMPUTED_VALUE"""),"coli")</f>
        <v>coli</v>
      </c>
      <c r="E1096" t="str">
        <f>IFERROR(__xludf.DUMMYFUNCTION("""COMPUTED_VALUE"""),"RM4661")</f>
        <v>RM4661</v>
      </c>
    </row>
    <row r="1097" ht="15.75" customHeight="1">
      <c r="A1097" t="str">
        <f t="shared" si="1"/>
        <v>C.coli</v>
      </c>
      <c r="B1097" s="5" t="s">
        <v>1119</v>
      </c>
      <c r="C1097" s="6" t="str">
        <f>IFERROR(__xludf.DUMMYFUNCTION("SPLIT('2. c'!B1097, "" "", True, True)"),"Campylobacter")</f>
        <v>Campylobacter</v>
      </c>
      <c r="D1097" t="str">
        <f>IFERROR(__xludf.DUMMYFUNCTION("""COMPUTED_VALUE"""),"coli")</f>
        <v>coli</v>
      </c>
      <c r="E1097" t="str">
        <f>IFERROR(__xludf.DUMMYFUNCTION("""COMPUTED_VALUE"""),"RM5611")</f>
        <v>RM5611</v>
      </c>
    </row>
    <row r="1098" ht="15.75" customHeight="1">
      <c r="A1098" t="str">
        <f t="shared" si="1"/>
        <v>C.coli</v>
      </c>
      <c r="B1098" s="5" t="s">
        <v>1120</v>
      </c>
      <c r="C1098" s="6" t="str">
        <f>IFERROR(__xludf.DUMMYFUNCTION("SPLIT('2. c'!B1098, "" "", True, True)"),"Campylobacter")</f>
        <v>Campylobacter</v>
      </c>
      <c r="D1098" t="str">
        <f>IFERROR(__xludf.DUMMYFUNCTION("""COMPUTED_VALUE"""),"coli")</f>
        <v>coli</v>
      </c>
      <c r="E1098" t="str">
        <f>IFERROR(__xludf.DUMMYFUNCTION("""COMPUTED_VALUE"""),"strain")</f>
        <v>strain</v>
      </c>
      <c r="F1098" t="str">
        <f>IFERROR(__xludf.DUMMYFUNCTION("""COMPUTED_VALUE"""),"BFR-CA-9557")</f>
        <v>BFR-CA-9557</v>
      </c>
    </row>
    <row r="1099" ht="15.75" customHeight="1">
      <c r="A1099" t="str">
        <f t="shared" si="1"/>
        <v>C.coli</v>
      </c>
      <c r="B1099" s="5" t="s">
        <v>1121</v>
      </c>
      <c r="C1099" s="6" t="str">
        <f>IFERROR(__xludf.DUMMYFUNCTION("SPLIT('2. c'!B1099, "" "", True, True)"),"Campylobacter")</f>
        <v>Campylobacter</v>
      </c>
      <c r="D1099" t="str">
        <f>IFERROR(__xludf.DUMMYFUNCTION("""COMPUTED_VALUE"""),"coli")</f>
        <v>coli</v>
      </c>
      <c r="E1099" t="str">
        <f>IFERROR(__xludf.DUMMYFUNCTION("""COMPUTED_VALUE"""),"strain")</f>
        <v>strain</v>
      </c>
      <c r="F1099" t="str">
        <f>IFERROR(__xludf.DUMMYFUNCTION("""COMPUTED_VALUE"""),"C9A1")</f>
        <v>C9A1</v>
      </c>
    </row>
    <row r="1100" ht="15.75" customHeight="1">
      <c r="A1100" t="str">
        <f t="shared" si="1"/>
        <v>C.coli</v>
      </c>
      <c r="B1100" s="5" t="s">
        <v>1122</v>
      </c>
      <c r="C1100" s="6" t="str">
        <f>IFERROR(__xludf.DUMMYFUNCTION("SPLIT('2. c'!B1100, "" "", True, True)"),"Campylobacter")</f>
        <v>Campylobacter</v>
      </c>
      <c r="D1100" t="str">
        <f>IFERROR(__xludf.DUMMYFUNCTION("""COMPUTED_VALUE"""),"coli")</f>
        <v>coli</v>
      </c>
      <c r="E1100" t="str">
        <f>IFERROR(__xludf.DUMMYFUNCTION("""COMPUTED_VALUE"""),"strain")</f>
        <v>strain</v>
      </c>
      <c r="F1100" t="str">
        <f>IFERROR(__xludf.DUMMYFUNCTION("""COMPUTED_VALUE"""),"CF2-75")</f>
        <v>CF2-75</v>
      </c>
    </row>
    <row r="1101" ht="15.75" customHeight="1">
      <c r="A1101" t="str">
        <f t="shared" si="1"/>
        <v>C.coli</v>
      </c>
      <c r="B1101" s="5" t="s">
        <v>1123</v>
      </c>
      <c r="C1101" s="6" t="str">
        <f>IFERROR(__xludf.DUMMYFUNCTION("SPLIT('2. c'!B1101, "" "", True, True)"),"Campylobacter")</f>
        <v>Campylobacter</v>
      </c>
      <c r="D1101" t="str">
        <f>IFERROR(__xludf.DUMMYFUNCTION("""COMPUTED_VALUE"""),"coli")</f>
        <v>coli</v>
      </c>
      <c r="E1101" t="str">
        <f>IFERROR(__xludf.DUMMYFUNCTION("""COMPUTED_VALUE"""),"strain")</f>
        <v>strain</v>
      </c>
      <c r="F1101" t="str">
        <f>IFERROR(__xludf.DUMMYFUNCTION("""COMPUTED_VALUE"""),"CO2-160")</f>
        <v>CO2-160</v>
      </c>
    </row>
    <row r="1102" ht="15.75" customHeight="1">
      <c r="A1102" t="str">
        <f t="shared" si="1"/>
        <v>C.coli</v>
      </c>
      <c r="B1102" s="5" t="s">
        <v>1124</v>
      </c>
      <c r="C1102" s="6" t="str">
        <f>IFERROR(__xludf.DUMMYFUNCTION("SPLIT('2. c'!B1102, "" "", True, True)"),"Campylobacter")</f>
        <v>Campylobacter</v>
      </c>
      <c r="D1102" t="str">
        <f>IFERROR(__xludf.DUMMYFUNCTION("""COMPUTED_VALUE"""),"coli")</f>
        <v>coli</v>
      </c>
      <c r="E1102" t="str">
        <f>IFERROR(__xludf.DUMMYFUNCTION("""COMPUTED_VALUE"""),"strain")</f>
        <v>strain</v>
      </c>
      <c r="F1102" t="str">
        <f>IFERROR(__xludf.DUMMYFUNCTION("""COMPUTED_VALUE"""),"FB1")</f>
        <v>FB1</v>
      </c>
    </row>
    <row r="1103" ht="15.75" customHeight="1">
      <c r="A1103" t="str">
        <f t="shared" si="1"/>
        <v>C.coli</v>
      </c>
      <c r="B1103" s="5" t="s">
        <v>1125</v>
      </c>
      <c r="C1103" s="6" t="str">
        <f>IFERROR(__xludf.DUMMYFUNCTION("SPLIT('2. c'!B1103, "" "", True, True)"),"Campylobacter")</f>
        <v>Campylobacter</v>
      </c>
      <c r="D1103" t="str">
        <f>IFERROR(__xludf.DUMMYFUNCTION("""COMPUTED_VALUE"""),"coli")</f>
        <v>coli</v>
      </c>
      <c r="E1103" t="str">
        <f>IFERROR(__xludf.DUMMYFUNCTION("""COMPUTED_VALUE"""),"strain")</f>
        <v>strain</v>
      </c>
      <c r="F1103" t="str">
        <f>IFERROR(__xludf.DUMMYFUNCTION("""COMPUTED_VALUE"""),"HC2-48")</f>
        <v>HC2-48</v>
      </c>
    </row>
    <row r="1104" ht="15.75" customHeight="1">
      <c r="A1104" t="str">
        <f t="shared" si="1"/>
        <v>C.coli</v>
      </c>
      <c r="B1104" s="5" t="s">
        <v>1126</v>
      </c>
      <c r="C1104" s="6" t="str">
        <f>IFERROR(__xludf.DUMMYFUNCTION("SPLIT('2. c'!B1104, "" "", True, True)"),"Campylobacter")</f>
        <v>Campylobacter</v>
      </c>
      <c r="D1104" t="str">
        <f>IFERROR(__xludf.DUMMYFUNCTION("""COMPUTED_VALUE"""),"coli")</f>
        <v>coli</v>
      </c>
      <c r="E1104" t="str">
        <f>IFERROR(__xludf.DUMMYFUNCTION("""COMPUTED_VALUE"""),"strain")</f>
        <v>strain</v>
      </c>
      <c r="F1104" t="str">
        <f>IFERROR(__xludf.DUMMYFUNCTION("""COMPUTED_VALUE"""),"n/a")</f>
        <v>n/a</v>
      </c>
    </row>
    <row r="1105" ht="15.75" customHeight="1">
      <c r="A1105" t="str">
        <f t="shared" si="1"/>
        <v>C.coli</v>
      </c>
      <c r="B1105" s="5" t="s">
        <v>1126</v>
      </c>
      <c r="C1105" s="6" t="str">
        <f>IFERROR(__xludf.DUMMYFUNCTION("SPLIT('2. c'!B1105, "" "", True, True)"),"Campylobacter")</f>
        <v>Campylobacter</v>
      </c>
      <c r="D1105" t="str">
        <f>IFERROR(__xludf.DUMMYFUNCTION("""COMPUTED_VALUE"""),"coli")</f>
        <v>coli</v>
      </c>
      <c r="E1105" t="str">
        <f>IFERROR(__xludf.DUMMYFUNCTION("""COMPUTED_VALUE"""),"strain")</f>
        <v>strain</v>
      </c>
      <c r="F1105" t="str">
        <f>IFERROR(__xludf.DUMMYFUNCTION("""COMPUTED_VALUE"""),"n/a")</f>
        <v>n/a</v>
      </c>
    </row>
    <row r="1106" ht="15.75" customHeight="1">
      <c r="A1106" t="str">
        <f t="shared" si="1"/>
        <v>C.coli</v>
      </c>
      <c r="B1106" s="5" t="s">
        <v>1127</v>
      </c>
      <c r="C1106" s="6" t="str">
        <f>IFERROR(__xludf.DUMMYFUNCTION("SPLIT('2. c'!B1106, "" "", True, True)"),"Campylobacter")</f>
        <v>Campylobacter</v>
      </c>
      <c r="D1106" t="str">
        <f>IFERROR(__xludf.DUMMYFUNCTION("""COMPUTED_VALUE"""),"coli")</f>
        <v>coli</v>
      </c>
      <c r="E1106" t="str">
        <f>IFERROR(__xludf.DUMMYFUNCTION("""COMPUTED_VALUE"""),"strain")</f>
        <v>strain</v>
      </c>
      <c r="F1106" t="str">
        <f>IFERROR(__xludf.DUMMYFUNCTION("""COMPUTED_VALUE"""),"OR12")</f>
        <v>OR12</v>
      </c>
    </row>
    <row r="1107" ht="15.75" customHeight="1">
      <c r="A1107" t="str">
        <f t="shared" si="1"/>
        <v>C.coli</v>
      </c>
      <c r="B1107" s="5" t="s">
        <v>1128</v>
      </c>
      <c r="C1107" s="6" t="str">
        <f>IFERROR(__xludf.DUMMYFUNCTION("SPLIT('2. c'!B1107, "" "", True, True)"),"Campylobacter")</f>
        <v>Campylobacter</v>
      </c>
      <c r="D1107" t="str">
        <f>IFERROR(__xludf.DUMMYFUNCTION("""COMPUTED_VALUE"""),"coli")</f>
        <v>coli</v>
      </c>
      <c r="E1107" t="str">
        <f>IFERROR(__xludf.DUMMYFUNCTION("""COMPUTED_VALUE"""),"strain")</f>
        <v>strain</v>
      </c>
      <c r="F1107" t="str">
        <f>IFERROR(__xludf.DUMMYFUNCTION("""COMPUTED_VALUE"""),"YH501")</f>
        <v>YH501</v>
      </c>
    </row>
    <row r="1108" ht="15.75" customHeight="1">
      <c r="A1108" t="str">
        <f t="shared" si="1"/>
        <v>C.concisus</v>
      </c>
      <c r="B1108" s="5" t="s">
        <v>1129</v>
      </c>
      <c r="C1108" s="6" t="str">
        <f>IFERROR(__xludf.DUMMYFUNCTION("SPLIT('2. c'!B1108, "" "", True, True)"),"Campylobacter")</f>
        <v>Campylobacter</v>
      </c>
      <c r="D1108" t="str">
        <f>IFERROR(__xludf.DUMMYFUNCTION("""COMPUTED_VALUE"""),"concisus")</f>
        <v>concisus</v>
      </c>
      <c r="E1108">
        <f>IFERROR(__xludf.DUMMYFUNCTION("""COMPUTED_VALUE"""),13826.0)</f>
        <v>13826</v>
      </c>
    </row>
    <row r="1109" ht="15.75" customHeight="1">
      <c r="A1109" t="str">
        <f t="shared" si="1"/>
        <v>C.concisus</v>
      </c>
      <c r="B1109" s="5" t="s">
        <v>1130</v>
      </c>
      <c r="C1109" s="6" t="str">
        <f>IFERROR(__xludf.DUMMYFUNCTION("SPLIT('2. c'!B1109, "" "", True, True)"),"Campylobacter")</f>
        <v>Campylobacter</v>
      </c>
      <c r="D1109" t="str">
        <f>IFERROR(__xludf.DUMMYFUNCTION("""COMPUTED_VALUE"""),"concisus")</f>
        <v>concisus</v>
      </c>
      <c r="E1109" t="str">
        <f>IFERROR(__xludf.DUMMYFUNCTION("""COMPUTED_VALUE"""),"strain")</f>
        <v>strain</v>
      </c>
      <c r="F1109" t="str">
        <f>IFERROR(__xludf.DUMMYFUNCTION("""COMPUTED_VALUE"""),"ATCC")</f>
        <v>ATCC</v>
      </c>
      <c r="G1109">
        <f>IFERROR(__xludf.DUMMYFUNCTION("""COMPUTED_VALUE"""),33237.0)</f>
        <v>33237</v>
      </c>
    </row>
    <row r="1110" ht="15.75" customHeight="1">
      <c r="A1110" t="str">
        <f t="shared" si="1"/>
        <v>C.curvus</v>
      </c>
      <c r="B1110" s="5" t="s">
        <v>1131</v>
      </c>
      <c r="C1110" s="6" t="str">
        <f>IFERROR(__xludf.DUMMYFUNCTION("SPLIT('2. c'!B1110, "" "", True, True)"),"Campylobacter")</f>
        <v>Campylobacter</v>
      </c>
      <c r="D1110" t="str">
        <f>IFERROR(__xludf.DUMMYFUNCTION("""COMPUTED_VALUE"""),"curvus")</f>
        <v>curvus</v>
      </c>
      <c r="E1110" t="str">
        <f>IFERROR(__xludf.DUMMYFUNCTION("""COMPUTED_VALUE"""),"525.92")</f>
        <v>525.92</v>
      </c>
    </row>
    <row r="1111" ht="15.75" customHeight="1">
      <c r="A1111" t="str">
        <f t="shared" si="1"/>
        <v>C.fetus</v>
      </c>
      <c r="B1111" s="5" t="s">
        <v>1132</v>
      </c>
      <c r="C1111" s="6" t="str">
        <f>IFERROR(__xludf.DUMMYFUNCTION("SPLIT('2. c'!B1111, "" "", True, True)"),"Campylobacter")</f>
        <v>Campylobacter</v>
      </c>
      <c r="D1111" t="str">
        <f>IFERROR(__xludf.DUMMYFUNCTION("""COMPUTED_VALUE"""),"fetus")</f>
        <v>fetus</v>
      </c>
      <c r="E1111" t="str">
        <f>IFERROR(__xludf.DUMMYFUNCTION("""COMPUTED_VALUE"""),"subsp.")</f>
        <v>subsp.</v>
      </c>
      <c r="F1111" t="str">
        <f>IFERROR(__xludf.DUMMYFUNCTION("""COMPUTED_VALUE"""),"fetus")</f>
        <v>fetus</v>
      </c>
      <c r="G1111" t="str">
        <f>IFERROR(__xludf.DUMMYFUNCTION("""COMPUTED_VALUE"""),"04/554")</f>
        <v>04/554</v>
      </c>
    </row>
    <row r="1112" ht="15.75" customHeight="1">
      <c r="A1112" t="str">
        <f t="shared" si="1"/>
        <v>C.fetus</v>
      </c>
      <c r="B1112" s="5" t="s">
        <v>1133</v>
      </c>
      <c r="C1112" s="6" t="str">
        <f>IFERROR(__xludf.DUMMYFUNCTION("SPLIT('2. c'!B1112, "" "", True, True)"),"Campylobacter")</f>
        <v>Campylobacter</v>
      </c>
      <c r="D1112" t="str">
        <f>IFERROR(__xludf.DUMMYFUNCTION("""COMPUTED_VALUE"""),"fetus")</f>
        <v>fetus</v>
      </c>
      <c r="E1112" t="str">
        <f>IFERROR(__xludf.DUMMYFUNCTION("""COMPUTED_VALUE"""),"subsp.")</f>
        <v>subsp.</v>
      </c>
      <c r="F1112" t="str">
        <f>IFERROR(__xludf.DUMMYFUNCTION("""COMPUTED_VALUE"""),"fetus")</f>
        <v>fetus</v>
      </c>
      <c r="G1112" t="str">
        <f>IFERROR(__xludf.DUMMYFUNCTION("""COMPUTED_VALUE"""),"82-40")</f>
        <v>82-40</v>
      </c>
    </row>
    <row r="1113" ht="15.75" customHeight="1">
      <c r="A1113" t="str">
        <f t="shared" si="1"/>
        <v>C.fetus</v>
      </c>
      <c r="B1113" s="5" t="s">
        <v>1134</v>
      </c>
      <c r="C1113" s="6" t="str">
        <f>IFERROR(__xludf.DUMMYFUNCTION("SPLIT('2. c'!B1113, "" "", True, True)"),"Campylobacter")</f>
        <v>Campylobacter</v>
      </c>
      <c r="D1113" t="str">
        <f>IFERROR(__xludf.DUMMYFUNCTION("""COMPUTED_VALUE"""),"fetus")</f>
        <v>fetus</v>
      </c>
      <c r="E1113" t="str">
        <f>IFERROR(__xludf.DUMMYFUNCTION("""COMPUTED_VALUE"""),"subsp.")</f>
        <v>subsp.</v>
      </c>
      <c r="F1113" t="str">
        <f>IFERROR(__xludf.DUMMYFUNCTION("""COMPUTED_VALUE"""),"testudinum")</f>
        <v>testudinum</v>
      </c>
    </row>
    <row r="1114" ht="15.75" customHeight="1">
      <c r="A1114" t="str">
        <f t="shared" si="1"/>
        <v>C.fetus</v>
      </c>
      <c r="B1114" s="5" t="s">
        <v>1135</v>
      </c>
      <c r="C1114" s="6" t="str">
        <f>IFERROR(__xludf.DUMMYFUNCTION("SPLIT('2. c'!B1114, "" "", True, True)"),"Campylobacter")</f>
        <v>Campylobacter</v>
      </c>
      <c r="D1114" t="str">
        <f>IFERROR(__xludf.DUMMYFUNCTION("""COMPUTED_VALUE"""),"fetus")</f>
        <v>fetus</v>
      </c>
      <c r="E1114" t="str">
        <f>IFERROR(__xludf.DUMMYFUNCTION("""COMPUTED_VALUE"""),"subsp.")</f>
        <v>subsp.</v>
      </c>
      <c r="F1114" t="str">
        <f>IFERROR(__xludf.DUMMYFUNCTION("""COMPUTED_VALUE"""),"testudinum")</f>
        <v>testudinum</v>
      </c>
      <c r="G1114" t="str">
        <f>IFERROR(__xludf.DUMMYFUNCTION("""COMPUTED_VALUE"""),"Sp3")</f>
        <v>Sp3</v>
      </c>
    </row>
    <row r="1115" ht="15.75" customHeight="1">
      <c r="A1115" t="str">
        <f t="shared" si="1"/>
        <v>C.fetus</v>
      </c>
      <c r="B1115" s="5" t="s">
        <v>1136</v>
      </c>
      <c r="C1115" s="6" t="str">
        <f>IFERROR(__xludf.DUMMYFUNCTION("SPLIT('2. c'!B1115, "" "", True, True)"),"Campylobacter")</f>
        <v>Campylobacter</v>
      </c>
      <c r="D1115" t="str">
        <f>IFERROR(__xludf.DUMMYFUNCTION("""COMPUTED_VALUE"""),"fetus")</f>
        <v>fetus</v>
      </c>
      <c r="E1115" t="str">
        <f>IFERROR(__xludf.DUMMYFUNCTION("""COMPUTED_VALUE"""),"subsp.")</f>
        <v>subsp.</v>
      </c>
      <c r="F1115" t="str">
        <f>IFERROR(__xludf.DUMMYFUNCTION("""COMPUTED_VALUE"""),"venerealis")</f>
        <v>venerealis</v>
      </c>
      <c r="G1115" t="str">
        <f>IFERROR(__xludf.DUMMYFUNCTION("""COMPUTED_VALUE"""),"97/608")</f>
        <v>97/608</v>
      </c>
    </row>
    <row r="1116" ht="15.75" customHeight="1">
      <c r="A1116" t="str">
        <f t="shared" si="1"/>
        <v>C.fetus</v>
      </c>
      <c r="B1116" s="5" t="s">
        <v>1137</v>
      </c>
      <c r="C1116" s="6" t="str">
        <f>IFERROR(__xludf.DUMMYFUNCTION("SPLIT('2. c'!B1116, "" "", True, True)"),"Campylobacter")</f>
        <v>Campylobacter</v>
      </c>
      <c r="D1116" t="str">
        <f>IFERROR(__xludf.DUMMYFUNCTION("""COMPUTED_VALUE"""),"fetus")</f>
        <v>fetus</v>
      </c>
      <c r="E1116" t="str">
        <f>IFERROR(__xludf.DUMMYFUNCTION("""COMPUTED_VALUE"""),"subsp.")</f>
        <v>subsp.</v>
      </c>
      <c r="F1116" t="str">
        <f>IFERROR(__xludf.DUMMYFUNCTION("""COMPUTED_VALUE"""),"venerealis")</f>
        <v>venerealis</v>
      </c>
      <c r="G1116" t="str">
        <f>IFERROR(__xludf.DUMMYFUNCTION("""COMPUTED_VALUE"""),"cfvi03/293")</f>
        <v>cfvi03/293</v>
      </c>
    </row>
    <row r="1117" ht="15.75" customHeight="1">
      <c r="A1117" t="str">
        <f t="shared" si="1"/>
        <v>C.fetus</v>
      </c>
      <c r="B1117" s="5" t="s">
        <v>1138</v>
      </c>
      <c r="C1117" s="6" t="str">
        <f>IFERROR(__xludf.DUMMYFUNCTION("SPLIT('2. c'!B1117, "" "", True, True)"),"Campylobacter")</f>
        <v>Campylobacter</v>
      </c>
      <c r="D1117" t="str">
        <f>IFERROR(__xludf.DUMMYFUNCTION("""COMPUTED_VALUE"""),"fetus")</f>
        <v>fetus</v>
      </c>
      <c r="E1117" t="str">
        <f>IFERROR(__xludf.DUMMYFUNCTION("""COMPUTED_VALUE"""),"subsp.")</f>
        <v>subsp.</v>
      </c>
      <c r="F1117" t="str">
        <f>IFERROR(__xludf.DUMMYFUNCTION("""COMPUTED_VALUE"""),"venerealis")</f>
        <v>venerealis</v>
      </c>
      <c r="G1117" t="str">
        <f>IFERROR(__xludf.DUMMYFUNCTION("""COMPUTED_VALUE"""),"str.")</f>
        <v>str.</v>
      </c>
      <c r="H1117" t="str">
        <f>IFERROR(__xludf.DUMMYFUNCTION("""COMPUTED_VALUE"""),"84-112")</f>
        <v>84-112</v>
      </c>
    </row>
    <row r="1118" ht="15.75" customHeight="1">
      <c r="A1118" t="str">
        <f t="shared" si="1"/>
        <v>C.gracilis</v>
      </c>
      <c r="B1118" s="5" t="s">
        <v>1139</v>
      </c>
      <c r="C1118" s="6" t="str">
        <f>IFERROR(__xludf.DUMMYFUNCTION("SPLIT('2. c'!B1118, "" "", True, True)"),"Campylobacter")</f>
        <v>Campylobacter</v>
      </c>
      <c r="D1118" t="str">
        <f>IFERROR(__xludf.DUMMYFUNCTION("""COMPUTED_VALUE"""),"gracilis")</f>
        <v>gracilis</v>
      </c>
      <c r="E1118" t="str">
        <f>IFERROR(__xludf.DUMMYFUNCTION("""COMPUTED_VALUE"""),"strain")</f>
        <v>strain</v>
      </c>
      <c r="F1118" t="str">
        <f>IFERROR(__xludf.DUMMYFUNCTION("""COMPUTED_VALUE"""),"ATCC")</f>
        <v>ATCC</v>
      </c>
      <c r="G1118">
        <f>IFERROR(__xludf.DUMMYFUNCTION("""COMPUTED_VALUE"""),33236.0)</f>
        <v>33236</v>
      </c>
    </row>
    <row r="1119" ht="15.75" customHeight="1">
      <c r="A1119" t="str">
        <f t="shared" si="1"/>
        <v>C.hominis</v>
      </c>
      <c r="B1119" s="5" t="s">
        <v>1140</v>
      </c>
      <c r="C1119" s="6" t="str">
        <f>IFERROR(__xludf.DUMMYFUNCTION("SPLIT('2. c'!B1119, "" "", True, True)"),"Campylobacter")</f>
        <v>Campylobacter</v>
      </c>
      <c r="D1119" t="str">
        <f>IFERROR(__xludf.DUMMYFUNCTION("""COMPUTED_VALUE"""),"hominis")</f>
        <v>hominis</v>
      </c>
      <c r="E1119" t="str">
        <f>IFERROR(__xludf.DUMMYFUNCTION("""COMPUTED_VALUE"""),"ATCC")</f>
        <v>ATCC</v>
      </c>
      <c r="F1119" t="str">
        <f>IFERROR(__xludf.DUMMYFUNCTION("""COMPUTED_VALUE"""),"BAA-381")</f>
        <v>BAA-381</v>
      </c>
    </row>
    <row r="1120" ht="15.75" customHeight="1">
      <c r="A1120" t="str">
        <f t="shared" si="1"/>
        <v>C.hyointestinalis</v>
      </c>
      <c r="B1120" s="5" t="s">
        <v>1141</v>
      </c>
      <c r="C1120" s="6" t="str">
        <f>IFERROR(__xludf.DUMMYFUNCTION("SPLIT('2. c'!B1120, "" "", True, True)"),"Campylobacter")</f>
        <v>Campylobacter</v>
      </c>
      <c r="D1120" t="str">
        <f>IFERROR(__xludf.DUMMYFUNCTION("""COMPUTED_VALUE"""),"hyointestinalis")</f>
        <v>hyointestinalis</v>
      </c>
      <c r="E1120" t="str">
        <f>IFERROR(__xludf.DUMMYFUNCTION("""COMPUTED_VALUE"""),"subsp.")</f>
        <v>subsp.</v>
      </c>
      <c r="F1120" t="str">
        <f>IFERROR(__xludf.DUMMYFUNCTION("""COMPUTED_VALUE"""),"hyointestinalis")</f>
        <v>hyointestinalis</v>
      </c>
      <c r="G1120" t="str">
        <f>IFERROR(__xludf.DUMMYFUNCTION("""COMPUTED_VALUE"""),"LMG")</f>
        <v>LMG</v>
      </c>
      <c r="H1120">
        <f>IFERROR(__xludf.DUMMYFUNCTION("""COMPUTED_VALUE"""),9260.0)</f>
        <v>9260</v>
      </c>
    </row>
    <row r="1121" ht="15.75" customHeight="1">
      <c r="A1121" t="str">
        <f t="shared" si="1"/>
        <v>C.hyointestinalis</v>
      </c>
      <c r="B1121" s="5" t="s">
        <v>1142</v>
      </c>
      <c r="C1121" s="6" t="str">
        <f>IFERROR(__xludf.DUMMYFUNCTION("SPLIT('2. c'!B1121, "" "", True, True)"),"Campylobacter")</f>
        <v>Campylobacter</v>
      </c>
      <c r="D1121" t="str">
        <f>IFERROR(__xludf.DUMMYFUNCTION("""COMPUTED_VALUE"""),"hyointestinalis")</f>
        <v>hyointestinalis</v>
      </c>
      <c r="E1121" t="str">
        <f>IFERROR(__xludf.DUMMYFUNCTION("""COMPUTED_VALUE"""),"subsp.")</f>
        <v>subsp.</v>
      </c>
      <c r="F1121" t="str">
        <f>IFERROR(__xludf.DUMMYFUNCTION("""COMPUTED_VALUE"""),"lawsonii")</f>
        <v>lawsonii</v>
      </c>
      <c r="G1121" t="str">
        <f>IFERROR(__xludf.DUMMYFUNCTION("""COMPUTED_VALUE"""),"CCUG")</f>
        <v>CCUG</v>
      </c>
      <c r="H1121">
        <f>IFERROR(__xludf.DUMMYFUNCTION("""COMPUTED_VALUE"""),27631.0)</f>
        <v>27631</v>
      </c>
    </row>
    <row r="1122" ht="15.75" customHeight="1">
      <c r="A1122" t="str">
        <f t="shared" si="1"/>
        <v>C.iguaniorum</v>
      </c>
      <c r="B1122" s="5" t="s">
        <v>1143</v>
      </c>
      <c r="C1122" s="6" t="str">
        <f>IFERROR(__xludf.DUMMYFUNCTION("SPLIT('2. c'!B1122, "" "", True, True)"),"Campylobacter")</f>
        <v>Campylobacter</v>
      </c>
      <c r="D1122" t="str">
        <f>IFERROR(__xludf.DUMMYFUNCTION("""COMPUTED_VALUE"""),"iguaniorum")</f>
        <v>iguaniorum</v>
      </c>
      <c r="E1122" t="str">
        <f>IFERROR(__xludf.DUMMYFUNCTION("""COMPUTED_VALUE"""),"strain")</f>
        <v>strain</v>
      </c>
      <c r="F1122" t="str">
        <f>IFERROR(__xludf.DUMMYFUNCTION("""COMPUTED_VALUE"""),"2463D")</f>
        <v>2463D</v>
      </c>
    </row>
    <row r="1123" ht="15.75" customHeight="1">
      <c r="A1123" t="str">
        <f t="shared" si="1"/>
        <v>C.iguaniorum</v>
      </c>
      <c r="B1123" s="5" t="s">
        <v>1144</v>
      </c>
      <c r="C1123" s="6" t="str">
        <f>IFERROR(__xludf.DUMMYFUNCTION("SPLIT('2. c'!B1123, "" "", True, True)"),"Campylobacter")</f>
        <v>Campylobacter</v>
      </c>
      <c r="D1123" t="str">
        <f>IFERROR(__xludf.DUMMYFUNCTION("""COMPUTED_VALUE"""),"iguaniorum")</f>
        <v>iguaniorum</v>
      </c>
      <c r="E1123" t="str">
        <f>IFERROR(__xludf.DUMMYFUNCTION("""COMPUTED_VALUE"""),"strain")</f>
        <v>strain</v>
      </c>
      <c r="F1123" t="str">
        <f>IFERROR(__xludf.DUMMYFUNCTION("""COMPUTED_VALUE"""),"RM11343")</f>
        <v>RM11343</v>
      </c>
    </row>
    <row r="1124" ht="15.75" customHeight="1">
      <c r="A1124" t="str">
        <f t="shared" si="1"/>
        <v>C.insulaenigrae</v>
      </c>
      <c r="B1124" s="5" t="s">
        <v>1145</v>
      </c>
      <c r="C1124" s="6" t="str">
        <f>IFERROR(__xludf.DUMMYFUNCTION("SPLIT('2. c'!B1124, "" "", True, True)"),"Campylobacter")</f>
        <v>Campylobacter</v>
      </c>
      <c r="D1124" t="str">
        <f>IFERROR(__xludf.DUMMYFUNCTION("""COMPUTED_VALUE"""),"insulaenigrae")</f>
        <v>insulaenigrae</v>
      </c>
      <c r="E1124" t="str">
        <f>IFERROR(__xludf.DUMMYFUNCTION("""COMPUTED_VALUE"""),"NCTC")</f>
        <v>NCTC</v>
      </c>
      <c r="F1124">
        <f>IFERROR(__xludf.DUMMYFUNCTION("""COMPUTED_VALUE"""),12927.0)</f>
        <v>12927</v>
      </c>
    </row>
    <row r="1125" ht="15.75" customHeight="1">
      <c r="A1125" t="str">
        <f t="shared" si="1"/>
        <v>C.jejuni</v>
      </c>
      <c r="B1125" s="5" t="s">
        <v>1146</v>
      </c>
      <c r="C1125" s="6" t="str">
        <f>IFERROR(__xludf.DUMMYFUNCTION("SPLIT('2. c'!B1125, "" "", True, True)"),"Campylobacter")</f>
        <v>Campylobacter</v>
      </c>
      <c r="D1125" t="str">
        <f>IFERROR(__xludf.DUMMYFUNCTION("""COMPUTED_VALUE"""),"jejuni")</f>
        <v>jejuni</v>
      </c>
      <c r="E1125">
        <f>IFERROR(__xludf.DUMMYFUNCTION("""COMPUTED_VALUE"""),32488.0)</f>
        <v>32488</v>
      </c>
    </row>
    <row r="1126" ht="15.75" customHeight="1">
      <c r="A1126" t="str">
        <f t="shared" si="1"/>
        <v>C.jejuni</v>
      </c>
      <c r="B1126" s="5" t="s">
        <v>1147</v>
      </c>
      <c r="C1126" s="6" t="str">
        <f>IFERROR(__xludf.DUMMYFUNCTION("SPLIT('2. c'!B1126, "" "", True, True)"),"Campylobacter")</f>
        <v>Campylobacter</v>
      </c>
      <c r="D1126" t="str">
        <f>IFERROR(__xludf.DUMMYFUNCTION("""COMPUTED_VALUE"""),"jejuni")</f>
        <v>jejuni</v>
      </c>
      <c r="E1126">
        <f>IFERROR(__xludf.DUMMYFUNCTION("""COMPUTED_VALUE"""),4031.0)</f>
        <v>4031</v>
      </c>
    </row>
    <row r="1127" ht="15.75" customHeight="1">
      <c r="A1127" t="str">
        <f t="shared" si="1"/>
        <v>C.jejuni</v>
      </c>
      <c r="B1127" s="5" t="s">
        <v>1148</v>
      </c>
      <c r="C1127" s="6" t="str">
        <f>IFERROR(__xludf.DUMMYFUNCTION("SPLIT('2. c'!B1127, "" "", True, True)"),"Campylobacter")</f>
        <v>Campylobacter</v>
      </c>
      <c r="D1127" t="str">
        <f>IFERROR(__xludf.DUMMYFUNCTION("""COMPUTED_VALUE"""),"jejuni")</f>
        <v>jejuni</v>
      </c>
      <c r="E1127" t="str">
        <f>IFERROR(__xludf.DUMMYFUNCTION("""COMPUTED_VALUE"""),"RM1221")</f>
        <v>RM1221</v>
      </c>
    </row>
    <row r="1128" ht="15.75" customHeight="1">
      <c r="A1128" t="str">
        <f t="shared" si="1"/>
        <v>C.jejuni</v>
      </c>
      <c r="B1128" s="5" t="s">
        <v>1149</v>
      </c>
      <c r="C1128" s="6" t="str">
        <f>IFERROR(__xludf.DUMMYFUNCTION("SPLIT('2. c'!B1128, "" "", True, True)"),"Campylobacter")</f>
        <v>Campylobacter</v>
      </c>
      <c r="D1128" t="str">
        <f>IFERROR(__xludf.DUMMYFUNCTION("""COMPUTED_VALUE"""),"jejuni")</f>
        <v>jejuni</v>
      </c>
      <c r="E1128" t="str">
        <f>IFERROR(__xludf.DUMMYFUNCTION("""COMPUTED_VALUE"""),"strain")</f>
        <v>strain</v>
      </c>
      <c r="F1128" t="str">
        <f>IFERROR(__xludf.DUMMYFUNCTION("""COMPUTED_VALUE"""),"CJ677CC002")</f>
        <v>CJ677CC002</v>
      </c>
    </row>
    <row r="1129" ht="15.75" customHeight="1">
      <c r="A1129" t="str">
        <f t="shared" si="1"/>
        <v>C.jejuni</v>
      </c>
      <c r="B1129" s="5" t="s">
        <v>1150</v>
      </c>
      <c r="C1129" s="6" t="str">
        <f>IFERROR(__xludf.DUMMYFUNCTION("SPLIT('2. c'!B1129, "" "", True, True)"),"Campylobacter")</f>
        <v>Campylobacter</v>
      </c>
      <c r="D1129" t="str">
        <f>IFERROR(__xludf.DUMMYFUNCTION("""COMPUTED_VALUE"""),"jejuni")</f>
        <v>jejuni</v>
      </c>
      <c r="E1129" t="str">
        <f>IFERROR(__xludf.DUMMYFUNCTION("""COMPUTED_VALUE"""),"strain")</f>
        <v>strain</v>
      </c>
      <c r="F1129" t="str">
        <f>IFERROR(__xludf.DUMMYFUNCTION("""COMPUTED_VALUE"""),"CJ677CC008")</f>
        <v>CJ677CC008</v>
      </c>
    </row>
    <row r="1130" ht="15.75" customHeight="1">
      <c r="A1130" t="str">
        <f t="shared" si="1"/>
        <v>C.jejuni</v>
      </c>
      <c r="B1130" s="5" t="s">
        <v>1151</v>
      </c>
      <c r="C1130" s="6" t="str">
        <f>IFERROR(__xludf.DUMMYFUNCTION("SPLIT('2. c'!B1130, "" "", True, True)"),"Campylobacter")</f>
        <v>Campylobacter</v>
      </c>
      <c r="D1130" t="str">
        <f>IFERROR(__xludf.DUMMYFUNCTION("""COMPUTED_VALUE"""),"jejuni")</f>
        <v>jejuni</v>
      </c>
      <c r="E1130" t="str">
        <f>IFERROR(__xludf.DUMMYFUNCTION("""COMPUTED_VALUE"""),"strain")</f>
        <v>strain</v>
      </c>
      <c r="F1130" t="str">
        <f>IFERROR(__xludf.DUMMYFUNCTION("""COMPUTED_VALUE"""),"CJ677CC010")</f>
        <v>CJ677CC010</v>
      </c>
    </row>
    <row r="1131" ht="15.75" customHeight="1">
      <c r="A1131" t="str">
        <f t="shared" si="1"/>
        <v>C.jejuni</v>
      </c>
      <c r="B1131" s="5" t="s">
        <v>1152</v>
      </c>
      <c r="C1131" s="6" t="str">
        <f>IFERROR(__xludf.DUMMYFUNCTION("SPLIT('2. c'!B1131, "" "", True, True)"),"Campylobacter")</f>
        <v>Campylobacter</v>
      </c>
      <c r="D1131" t="str">
        <f>IFERROR(__xludf.DUMMYFUNCTION("""COMPUTED_VALUE"""),"jejuni")</f>
        <v>jejuni</v>
      </c>
      <c r="E1131" t="str">
        <f>IFERROR(__xludf.DUMMYFUNCTION("""COMPUTED_VALUE"""),"strain")</f>
        <v>strain</v>
      </c>
      <c r="F1131" t="str">
        <f>IFERROR(__xludf.DUMMYFUNCTION("""COMPUTED_VALUE"""),"CJ677CC012")</f>
        <v>CJ677CC012</v>
      </c>
    </row>
    <row r="1132" ht="15.75" customHeight="1">
      <c r="A1132" t="str">
        <f t="shared" si="1"/>
        <v>C.jejuni</v>
      </c>
      <c r="B1132" s="5" t="s">
        <v>1153</v>
      </c>
      <c r="C1132" s="6" t="str">
        <f>IFERROR(__xludf.DUMMYFUNCTION("SPLIT('2. c'!B1132, "" "", True, True)"),"Campylobacter")</f>
        <v>Campylobacter</v>
      </c>
      <c r="D1132" t="str">
        <f>IFERROR(__xludf.DUMMYFUNCTION("""COMPUTED_VALUE"""),"jejuni")</f>
        <v>jejuni</v>
      </c>
      <c r="E1132" t="str">
        <f>IFERROR(__xludf.DUMMYFUNCTION("""COMPUTED_VALUE"""),"strain")</f>
        <v>strain</v>
      </c>
      <c r="F1132" t="str">
        <f>IFERROR(__xludf.DUMMYFUNCTION("""COMPUTED_VALUE"""),"CJ677CC013")</f>
        <v>CJ677CC013</v>
      </c>
    </row>
    <row r="1133" ht="15.75" customHeight="1">
      <c r="A1133" t="str">
        <f t="shared" si="1"/>
        <v>C.jejuni</v>
      </c>
      <c r="B1133" s="5" t="s">
        <v>1154</v>
      </c>
      <c r="C1133" s="6" t="str">
        <f>IFERROR(__xludf.DUMMYFUNCTION("SPLIT('2. c'!B1133, "" "", True, True)"),"Campylobacter")</f>
        <v>Campylobacter</v>
      </c>
      <c r="D1133" t="str">
        <f>IFERROR(__xludf.DUMMYFUNCTION("""COMPUTED_VALUE"""),"jejuni")</f>
        <v>jejuni</v>
      </c>
      <c r="E1133" t="str">
        <f>IFERROR(__xludf.DUMMYFUNCTION("""COMPUTED_VALUE"""),"strain")</f>
        <v>strain</v>
      </c>
      <c r="F1133" t="str">
        <f>IFERROR(__xludf.DUMMYFUNCTION("""COMPUTED_VALUE"""),"CJ677CC014")</f>
        <v>CJ677CC014</v>
      </c>
    </row>
    <row r="1134" ht="15.75" customHeight="1">
      <c r="A1134" t="str">
        <f t="shared" si="1"/>
        <v>C.jejuni</v>
      </c>
      <c r="B1134" s="5" t="s">
        <v>1155</v>
      </c>
      <c r="C1134" s="6" t="str">
        <f>IFERROR(__xludf.DUMMYFUNCTION("SPLIT('2. c'!B1134, "" "", True, True)"),"Campylobacter")</f>
        <v>Campylobacter</v>
      </c>
      <c r="D1134" t="str">
        <f>IFERROR(__xludf.DUMMYFUNCTION("""COMPUTED_VALUE"""),"jejuni")</f>
        <v>jejuni</v>
      </c>
      <c r="E1134" t="str">
        <f>IFERROR(__xludf.DUMMYFUNCTION("""COMPUTED_VALUE"""),"strain")</f>
        <v>strain</v>
      </c>
      <c r="F1134" t="str">
        <f>IFERROR(__xludf.DUMMYFUNCTION("""COMPUTED_VALUE"""),"CJ677CC016")</f>
        <v>CJ677CC016</v>
      </c>
    </row>
    <row r="1135" ht="15.75" customHeight="1">
      <c r="A1135" t="str">
        <f t="shared" si="1"/>
        <v>C.jejuni</v>
      </c>
      <c r="B1135" s="5" t="s">
        <v>1156</v>
      </c>
      <c r="C1135" s="6" t="str">
        <f>IFERROR(__xludf.DUMMYFUNCTION("SPLIT('2. c'!B1135, "" "", True, True)"),"Campylobacter")</f>
        <v>Campylobacter</v>
      </c>
      <c r="D1135" t="str">
        <f>IFERROR(__xludf.DUMMYFUNCTION("""COMPUTED_VALUE"""),"jejuni")</f>
        <v>jejuni</v>
      </c>
      <c r="E1135" t="str">
        <f>IFERROR(__xludf.DUMMYFUNCTION("""COMPUTED_VALUE"""),"strain")</f>
        <v>strain</v>
      </c>
      <c r="F1135" t="str">
        <f>IFERROR(__xludf.DUMMYFUNCTION("""COMPUTED_VALUE"""),"CJ677CC024")</f>
        <v>CJ677CC024</v>
      </c>
    </row>
    <row r="1136" ht="15.75" customHeight="1">
      <c r="A1136" t="str">
        <f t="shared" si="1"/>
        <v>C.jejuni</v>
      </c>
      <c r="B1136" s="5" t="s">
        <v>1157</v>
      </c>
      <c r="C1136" s="6" t="str">
        <f>IFERROR(__xludf.DUMMYFUNCTION("SPLIT('2. c'!B1136, "" "", True, True)"),"Campylobacter")</f>
        <v>Campylobacter</v>
      </c>
      <c r="D1136" t="str">
        <f>IFERROR(__xludf.DUMMYFUNCTION("""COMPUTED_VALUE"""),"jejuni")</f>
        <v>jejuni</v>
      </c>
      <c r="E1136" t="str">
        <f>IFERROR(__xludf.DUMMYFUNCTION("""COMPUTED_VALUE"""),"strain")</f>
        <v>strain</v>
      </c>
      <c r="F1136" t="str">
        <f>IFERROR(__xludf.DUMMYFUNCTION("""COMPUTED_VALUE"""),"CJ677CC026")</f>
        <v>CJ677CC026</v>
      </c>
    </row>
    <row r="1137" ht="15.75" customHeight="1">
      <c r="A1137" t="str">
        <f t="shared" si="1"/>
        <v>C.jejuni</v>
      </c>
      <c r="B1137" s="5" t="s">
        <v>1158</v>
      </c>
      <c r="C1137" s="6" t="str">
        <f>IFERROR(__xludf.DUMMYFUNCTION("SPLIT('2. c'!B1137, "" "", True, True)"),"Campylobacter")</f>
        <v>Campylobacter</v>
      </c>
      <c r="D1137" t="str">
        <f>IFERROR(__xludf.DUMMYFUNCTION("""COMPUTED_VALUE"""),"jejuni")</f>
        <v>jejuni</v>
      </c>
      <c r="E1137" t="str">
        <f>IFERROR(__xludf.DUMMYFUNCTION("""COMPUTED_VALUE"""),"strain")</f>
        <v>strain</v>
      </c>
      <c r="F1137" t="str">
        <f>IFERROR(__xludf.DUMMYFUNCTION("""COMPUTED_VALUE"""),"CJ677CC032")</f>
        <v>CJ677CC032</v>
      </c>
    </row>
    <row r="1138" ht="15.75" customHeight="1">
      <c r="A1138" t="str">
        <f t="shared" si="1"/>
        <v>C.jejuni</v>
      </c>
      <c r="B1138" s="5" t="s">
        <v>1159</v>
      </c>
      <c r="C1138" s="6" t="str">
        <f>IFERROR(__xludf.DUMMYFUNCTION("SPLIT('2. c'!B1138, "" "", True, True)"),"Campylobacter")</f>
        <v>Campylobacter</v>
      </c>
      <c r="D1138" t="str">
        <f>IFERROR(__xludf.DUMMYFUNCTION("""COMPUTED_VALUE"""),"jejuni")</f>
        <v>jejuni</v>
      </c>
      <c r="E1138" t="str">
        <f>IFERROR(__xludf.DUMMYFUNCTION("""COMPUTED_VALUE"""),"strain")</f>
        <v>strain</v>
      </c>
      <c r="F1138" t="str">
        <f>IFERROR(__xludf.DUMMYFUNCTION("""COMPUTED_VALUE"""),"CJ677CC033")</f>
        <v>CJ677CC033</v>
      </c>
    </row>
    <row r="1139" ht="15.75" customHeight="1">
      <c r="A1139" t="str">
        <f t="shared" si="1"/>
        <v>C.jejuni</v>
      </c>
      <c r="B1139" s="5" t="s">
        <v>1160</v>
      </c>
      <c r="C1139" s="6" t="str">
        <f>IFERROR(__xludf.DUMMYFUNCTION("SPLIT('2. c'!B1139, "" "", True, True)"),"Campylobacter")</f>
        <v>Campylobacter</v>
      </c>
      <c r="D1139" t="str">
        <f>IFERROR(__xludf.DUMMYFUNCTION("""COMPUTED_VALUE"""),"jejuni")</f>
        <v>jejuni</v>
      </c>
      <c r="E1139" t="str">
        <f>IFERROR(__xludf.DUMMYFUNCTION("""COMPUTED_VALUE"""),"strain")</f>
        <v>strain</v>
      </c>
      <c r="F1139" t="str">
        <f>IFERROR(__xludf.DUMMYFUNCTION("""COMPUTED_VALUE"""),"CJ677CC034")</f>
        <v>CJ677CC034</v>
      </c>
    </row>
    <row r="1140" ht="15.75" customHeight="1">
      <c r="A1140" t="str">
        <f t="shared" si="1"/>
        <v>C.jejuni</v>
      </c>
      <c r="B1140" s="5" t="s">
        <v>1161</v>
      </c>
      <c r="C1140" s="6" t="str">
        <f>IFERROR(__xludf.DUMMYFUNCTION("SPLIT('2. c'!B1140, "" "", True, True)"),"Campylobacter")</f>
        <v>Campylobacter</v>
      </c>
      <c r="D1140" t="str">
        <f>IFERROR(__xludf.DUMMYFUNCTION("""COMPUTED_VALUE"""),"jejuni")</f>
        <v>jejuni</v>
      </c>
      <c r="E1140" t="str">
        <f>IFERROR(__xludf.DUMMYFUNCTION("""COMPUTED_VALUE"""),"strain")</f>
        <v>strain</v>
      </c>
      <c r="F1140" t="str">
        <f>IFERROR(__xludf.DUMMYFUNCTION("""COMPUTED_VALUE"""),"CJ677CC036")</f>
        <v>CJ677CC036</v>
      </c>
    </row>
    <row r="1141" ht="15.75" customHeight="1">
      <c r="A1141" t="str">
        <f t="shared" si="1"/>
        <v>C.jejuni</v>
      </c>
      <c r="B1141" s="5" t="s">
        <v>1162</v>
      </c>
      <c r="C1141" s="6" t="str">
        <f>IFERROR(__xludf.DUMMYFUNCTION("SPLIT('2. c'!B1141, "" "", True, True)"),"Campylobacter")</f>
        <v>Campylobacter</v>
      </c>
      <c r="D1141" t="str">
        <f>IFERROR(__xludf.DUMMYFUNCTION("""COMPUTED_VALUE"""),"jejuni")</f>
        <v>jejuni</v>
      </c>
      <c r="E1141" t="str">
        <f>IFERROR(__xludf.DUMMYFUNCTION("""COMPUTED_VALUE"""),"strain")</f>
        <v>strain</v>
      </c>
      <c r="F1141" t="str">
        <f>IFERROR(__xludf.DUMMYFUNCTION("""COMPUTED_VALUE"""),"CJ677CC039")</f>
        <v>CJ677CC039</v>
      </c>
    </row>
    <row r="1142" ht="15.75" customHeight="1">
      <c r="A1142" t="str">
        <f t="shared" si="1"/>
        <v>C.jejuni</v>
      </c>
      <c r="B1142" s="5" t="s">
        <v>1163</v>
      </c>
      <c r="C1142" s="6" t="str">
        <f>IFERROR(__xludf.DUMMYFUNCTION("SPLIT('2. c'!B1142, "" "", True, True)"),"Campylobacter")</f>
        <v>Campylobacter</v>
      </c>
      <c r="D1142" t="str">
        <f>IFERROR(__xludf.DUMMYFUNCTION("""COMPUTED_VALUE"""),"jejuni")</f>
        <v>jejuni</v>
      </c>
      <c r="E1142" t="str">
        <f>IFERROR(__xludf.DUMMYFUNCTION("""COMPUTED_VALUE"""),"strain")</f>
        <v>strain</v>
      </c>
      <c r="F1142" t="str">
        <f>IFERROR(__xludf.DUMMYFUNCTION("""COMPUTED_VALUE"""),"CJ677CC040")</f>
        <v>CJ677CC040</v>
      </c>
    </row>
    <row r="1143" ht="15.75" customHeight="1">
      <c r="A1143" t="str">
        <f t="shared" si="1"/>
        <v>C.jejuni</v>
      </c>
      <c r="B1143" s="5" t="s">
        <v>1164</v>
      </c>
      <c r="C1143" s="6" t="str">
        <f>IFERROR(__xludf.DUMMYFUNCTION("SPLIT('2. c'!B1143, "" "", True, True)"),"Campylobacter")</f>
        <v>Campylobacter</v>
      </c>
      <c r="D1143" t="str">
        <f>IFERROR(__xludf.DUMMYFUNCTION("""COMPUTED_VALUE"""),"jejuni")</f>
        <v>jejuni</v>
      </c>
      <c r="E1143" t="str">
        <f>IFERROR(__xludf.DUMMYFUNCTION("""COMPUTED_VALUE"""),"strain")</f>
        <v>strain</v>
      </c>
      <c r="F1143" t="str">
        <f>IFERROR(__xludf.DUMMYFUNCTION("""COMPUTED_VALUE"""),"CJ677CC041")</f>
        <v>CJ677CC041</v>
      </c>
    </row>
    <row r="1144" ht="15.75" customHeight="1">
      <c r="A1144" t="str">
        <f t="shared" si="1"/>
        <v>C.jejuni</v>
      </c>
      <c r="B1144" s="5" t="s">
        <v>1165</v>
      </c>
      <c r="C1144" s="6" t="str">
        <f>IFERROR(__xludf.DUMMYFUNCTION("SPLIT('2. c'!B1144, "" "", True, True)"),"Campylobacter")</f>
        <v>Campylobacter</v>
      </c>
      <c r="D1144" t="str">
        <f>IFERROR(__xludf.DUMMYFUNCTION("""COMPUTED_VALUE"""),"jejuni")</f>
        <v>jejuni</v>
      </c>
      <c r="E1144" t="str">
        <f>IFERROR(__xludf.DUMMYFUNCTION("""COMPUTED_VALUE"""),"strain")</f>
        <v>strain</v>
      </c>
      <c r="F1144" t="str">
        <f>IFERROR(__xludf.DUMMYFUNCTION("""COMPUTED_VALUE"""),"CJ677CC047")</f>
        <v>CJ677CC047</v>
      </c>
    </row>
    <row r="1145" ht="15.75" customHeight="1">
      <c r="A1145" t="str">
        <f t="shared" si="1"/>
        <v>C.jejuni</v>
      </c>
      <c r="B1145" s="5" t="s">
        <v>1166</v>
      </c>
      <c r="C1145" s="6" t="str">
        <f>IFERROR(__xludf.DUMMYFUNCTION("SPLIT('2. c'!B1145, "" "", True, True)"),"Campylobacter")</f>
        <v>Campylobacter</v>
      </c>
      <c r="D1145" t="str">
        <f>IFERROR(__xludf.DUMMYFUNCTION("""COMPUTED_VALUE"""),"jejuni")</f>
        <v>jejuni</v>
      </c>
      <c r="E1145" t="str">
        <f>IFERROR(__xludf.DUMMYFUNCTION("""COMPUTED_VALUE"""),"strain")</f>
        <v>strain</v>
      </c>
      <c r="F1145" t="str">
        <f>IFERROR(__xludf.DUMMYFUNCTION("""COMPUTED_VALUE"""),"CJ677CC052")</f>
        <v>CJ677CC052</v>
      </c>
    </row>
    <row r="1146" ht="15.75" customHeight="1">
      <c r="A1146" t="str">
        <f t="shared" si="1"/>
        <v>C.jejuni</v>
      </c>
      <c r="B1146" s="5" t="s">
        <v>1167</v>
      </c>
      <c r="C1146" s="6" t="str">
        <f>IFERROR(__xludf.DUMMYFUNCTION("SPLIT('2. c'!B1146, "" "", True, True)"),"Campylobacter")</f>
        <v>Campylobacter</v>
      </c>
      <c r="D1146" t="str">
        <f>IFERROR(__xludf.DUMMYFUNCTION("""COMPUTED_VALUE"""),"jejuni")</f>
        <v>jejuni</v>
      </c>
      <c r="E1146" t="str">
        <f>IFERROR(__xludf.DUMMYFUNCTION("""COMPUTED_VALUE"""),"strain")</f>
        <v>strain</v>
      </c>
      <c r="F1146" t="str">
        <f>IFERROR(__xludf.DUMMYFUNCTION("""COMPUTED_VALUE"""),"CJ677CC058")</f>
        <v>CJ677CC058</v>
      </c>
    </row>
    <row r="1147" ht="15.75" customHeight="1">
      <c r="A1147" t="str">
        <f t="shared" si="1"/>
        <v>C.jejuni</v>
      </c>
      <c r="B1147" s="5" t="s">
        <v>1168</v>
      </c>
      <c r="C1147" s="6" t="str">
        <f>IFERROR(__xludf.DUMMYFUNCTION("SPLIT('2. c'!B1147, "" "", True, True)"),"Campylobacter")</f>
        <v>Campylobacter</v>
      </c>
      <c r="D1147" t="str">
        <f>IFERROR(__xludf.DUMMYFUNCTION("""COMPUTED_VALUE"""),"jejuni")</f>
        <v>jejuni</v>
      </c>
      <c r="E1147" t="str">
        <f>IFERROR(__xludf.DUMMYFUNCTION("""COMPUTED_VALUE"""),"strain")</f>
        <v>strain</v>
      </c>
      <c r="F1147" t="str">
        <f>IFERROR(__xludf.DUMMYFUNCTION("""COMPUTED_VALUE"""),"CJ677CC059")</f>
        <v>CJ677CC059</v>
      </c>
    </row>
    <row r="1148" ht="15.75" customHeight="1">
      <c r="A1148" t="str">
        <f t="shared" si="1"/>
        <v>C.jejuni</v>
      </c>
      <c r="B1148" s="5" t="s">
        <v>1169</v>
      </c>
      <c r="C1148" s="6" t="str">
        <f>IFERROR(__xludf.DUMMYFUNCTION("SPLIT('2. c'!B1148, "" "", True, True)"),"Campylobacter")</f>
        <v>Campylobacter</v>
      </c>
      <c r="D1148" t="str">
        <f>IFERROR(__xludf.DUMMYFUNCTION("""COMPUTED_VALUE"""),"jejuni")</f>
        <v>jejuni</v>
      </c>
      <c r="E1148" t="str">
        <f>IFERROR(__xludf.DUMMYFUNCTION("""COMPUTED_VALUE"""),"strain")</f>
        <v>strain</v>
      </c>
      <c r="F1148" t="str">
        <f>IFERROR(__xludf.DUMMYFUNCTION("""COMPUTED_VALUE"""),"CJ677CC061")</f>
        <v>CJ677CC061</v>
      </c>
    </row>
    <row r="1149" ht="15.75" customHeight="1">
      <c r="A1149" t="str">
        <f t="shared" si="1"/>
        <v>C.jejuni</v>
      </c>
      <c r="B1149" s="5" t="s">
        <v>1170</v>
      </c>
      <c r="C1149" s="6" t="str">
        <f>IFERROR(__xludf.DUMMYFUNCTION("SPLIT('2. c'!B1149, "" "", True, True)"),"Campylobacter")</f>
        <v>Campylobacter</v>
      </c>
      <c r="D1149" t="str">
        <f>IFERROR(__xludf.DUMMYFUNCTION("""COMPUTED_VALUE"""),"jejuni")</f>
        <v>jejuni</v>
      </c>
      <c r="E1149" t="str">
        <f>IFERROR(__xludf.DUMMYFUNCTION("""COMPUTED_VALUE"""),"strain")</f>
        <v>strain</v>
      </c>
      <c r="F1149" t="str">
        <f>IFERROR(__xludf.DUMMYFUNCTION("""COMPUTED_VALUE"""),"CJ677CC062")</f>
        <v>CJ677CC062</v>
      </c>
    </row>
    <row r="1150" ht="15.75" customHeight="1">
      <c r="A1150" t="str">
        <f t="shared" si="1"/>
        <v>C.jejuni</v>
      </c>
      <c r="B1150" s="5" t="s">
        <v>1171</v>
      </c>
      <c r="C1150" s="6" t="str">
        <f>IFERROR(__xludf.DUMMYFUNCTION("SPLIT('2. c'!B1150, "" "", True, True)"),"Campylobacter")</f>
        <v>Campylobacter</v>
      </c>
      <c r="D1150" t="str">
        <f>IFERROR(__xludf.DUMMYFUNCTION("""COMPUTED_VALUE"""),"jejuni")</f>
        <v>jejuni</v>
      </c>
      <c r="E1150" t="str">
        <f>IFERROR(__xludf.DUMMYFUNCTION("""COMPUTED_VALUE"""),"strain")</f>
        <v>strain</v>
      </c>
      <c r="F1150" t="str">
        <f>IFERROR(__xludf.DUMMYFUNCTION("""COMPUTED_VALUE"""),"CJ677CC064")</f>
        <v>CJ677CC064</v>
      </c>
    </row>
    <row r="1151" ht="15.75" customHeight="1">
      <c r="A1151" t="str">
        <f t="shared" si="1"/>
        <v>C.jejuni</v>
      </c>
      <c r="B1151" s="5" t="s">
        <v>1172</v>
      </c>
      <c r="C1151" s="6" t="str">
        <f>IFERROR(__xludf.DUMMYFUNCTION("SPLIT('2. c'!B1151, "" "", True, True)"),"Campylobacter")</f>
        <v>Campylobacter</v>
      </c>
      <c r="D1151" t="str">
        <f>IFERROR(__xludf.DUMMYFUNCTION("""COMPUTED_VALUE"""),"jejuni")</f>
        <v>jejuni</v>
      </c>
      <c r="E1151" t="str">
        <f>IFERROR(__xludf.DUMMYFUNCTION("""COMPUTED_VALUE"""),"strain")</f>
        <v>strain</v>
      </c>
      <c r="F1151" t="str">
        <f>IFERROR(__xludf.DUMMYFUNCTION("""COMPUTED_VALUE"""),"CJ677CC073")</f>
        <v>CJ677CC073</v>
      </c>
    </row>
    <row r="1152" ht="15.75" customHeight="1">
      <c r="A1152" t="str">
        <f t="shared" si="1"/>
        <v>C.jejuni</v>
      </c>
      <c r="B1152" s="5" t="s">
        <v>1173</v>
      </c>
      <c r="C1152" s="6" t="str">
        <f>IFERROR(__xludf.DUMMYFUNCTION("SPLIT('2. c'!B1152, "" "", True, True)"),"Campylobacter")</f>
        <v>Campylobacter</v>
      </c>
      <c r="D1152" t="str">
        <f>IFERROR(__xludf.DUMMYFUNCTION("""COMPUTED_VALUE"""),"jejuni")</f>
        <v>jejuni</v>
      </c>
      <c r="E1152" t="str">
        <f>IFERROR(__xludf.DUMMYFUNCTION("""COMPUTED_VALUE"""),"strain")</f>
        <v>strain</v>
      </c>
      <c r="F1152" t="str">
        <f>IFERROR(__xludf.DUMMYFUNCTION("""COMPUTED_VALUE"""),"CJ677CC078")</f>
        <v>CJ677CC078</v>
      </c>
    </row>
    <row r="1153" ht="15.75" customHeight="1">
      <c r="A1153" t="str">
        <f t="shared" si="1"/>
        <v>C.jejuni</v>
      </c>
      <c r="B1153" s="5" t="s">
        <v>1174</v>
      </c>
      <c r="C1153" s="6" t="str">
        <f>IFERROR(__xludf.DUMMYFUNCTION("SPLIT('2. c'!B1153, "" "", True, True)"),"Campylobacter")</f>
        <v>Campylobacter</v>
      </c>
      <c r="D1153" t="str">
        <f>IFERROR(__xludf.DUMMYFUNCTION("""COMPUTED_VALUE"""),"jejuni")</f>
        <v>jejuni</v>
      </c>
      <c r="E1153" t="str">
        <f>IFERROR(__xludf.DUMMYFUNCTION("""COMPUTED_VALUE"""),"strain")</f>
        <v>strain</v>
      </c>
      <c r="F1153" t="str">
        <f>IFERROR(__xludf.DUMMYFUNCTION("""COMPUTED_VALUE"""),"CJ677CC085")</f>
        <v>CJ677CC085</v>
      </c>
    </row>
    <row r="1154" ht="15.75" customHeight="1">
      <c r="A1154" t="str">
        <f t="shared" si="1"/>
        <v>C.jejuni</v>
      </c>
      <c r="B1154" s="5" t="s">
        <v>1175</v>
      </c>
      <c r="C1154" s="6" t="str">
        <f>IFERROR(__xludf.DUMMYFUNCTION("SPLIT('2. c'!B1154, "" "", True, True)"),"Campylobacter")</f>
        <v>Campylobacter</v>
      </c>
      <c r="D1154" t="str">
        <f>IFERROR(__xludf.DUMMYFUNCTION("""COMPUTED_VALUE"""),"jejuni")</f>
        <v>jejuni</v>
      </c>
      <c r="E1154" t="str">
        <f>IFERROR(__xludf.DUMMYFUNCTION("""COMPUTED_VALUE"""),"strain")</f>
        <v>strain</v>
      </c>
      <c r="F1154" t="str">
        <f>IFERROR(__xludf.DUMMYFUNCTION("""COMPUTED_VALUE"""),"CJ677CC086")</f>
        <v>CJ677CC086</v>
      </c>
    </row>
    <row r="1155" ht="15.75" customHeight="1">
      <c r="A1155" t="str">
        <f t="shared" si="1"/>
        <v>C.jejuni</v>
      </c>
      <c r="B1155" s="5" t="s">
        <v>1176</v>
      </c>
      <c r="C1155" s="6" t="str">
        <f>IFERROR(__xludf.DUMMYFUNCTION("SPLIT('2. c'!B1155, "" "", True, True)"),"Campylobacter")</f>
        <v>Campylobacter</v>
      </c>
      <c r="D1155" t="str">
        <f>IFERROR(__xludf.DUMMYFUNCTION("""COMPUTED_VALUE"""),"jejuni")</f>
        <v>jejuni</v>
      </c>
      <c r="E1155" t="str">
        <f>IFERROR(__xludf.DUMMYFUNCTION("""COMPUTED_VALUE"""),"strain")</f>
        <v>strain</v>
      </c>
      <c r="F1155" t="str">
        <f>IFERROR(__xludf.DUMMYFUNCTION("""COMPUTED_VALUE"""),"CJ677CC092")</f>
        <v>CJ677CC092</v>
      </c>
    </row>
    <row r="1156" ht="15.75" customHeight="1">
      <c r="A1156" t="str">
        <f t="shared" si="1"/>
        <v>C.jejuni</v>
      </c>
      <c r="B1156" s="5" t="s">
        <v>1177</v>
      </c>
      <c r="C1156" s="6" t="str">
        <f>IFERROR(__xludf.DUMMYFUNCTION("SPLIT('2. c'!B1156, "" "", True, True)"),"Campylobacter")</f>
        <v>Campylobacter</v>
      </c>
      <c r="D1156" t="str">
        <f>IFERROR(__xludf.DUMMYFUNCTION("""COMPUTED_VALUE"""),"jejuni")</f>
        <v>jejuni</v>
      </c>
      <c r="E1156" t="str">
        <f>IFERROR(__xludf.DUMMYFUNCTION("""COMPUTED_VALUE"""),"strain")</f>
        <v>strain</v>
      </c>
      <c r="F1156" t="str">
        <f>IFERROR(__xludf.DUMMYFUNCTION("""COMPUTED_VALUE"""),"CJ677CC094")</f>
        <v>CJ677CC094</v>
      </c>
    </row>
    <row r="1157" ht="15.75" customHeight="1">
      <c r="A1157" t="str">
        <f t="shared" si="1"/>
        <v>C.jejuni</v>
      </c>
      <c r="B1157" s="5" t="s">
        <v>1178</v>
      </c>
      <c r="C1157" s="6" t="str">
        <f>IFERROR(__xludf.DUMMYFUNCTION("SPLIT('2. c'!B1157, "" "", True, True)"),"Campylobacter")</f>
        <v>Campylobacter</v>
      </c>
      <c r="D1157" t="str">
        <f>IFERROR(__xludf.DUMMYFUNCTION("""COMPUTED_VALUE"""),"jejuni")</f>
        <v>jejuni</v>
      </c>
      <c r="E1157" t="str">
        <f>IFERROR(__xludf.DUMMYFUNCTION("""COMPUTED_VALUE"""),"strain")</f>
        <v>strain</v>
      </c>
      <c r="F1157" t="str">
        <f>IFERROR(__xludf.DUMMYFUNCTION("""COMPUTED_VALUE"""),"CJ677CC095")</f>
        <v>CJ677CC095</v>
      </c>
    </row>
    <row r="1158" ht="15.75" customHeight="1">
      <c r="A1158" t="str">
        <f t="shared" si="1"/>
        <v>C.jejuni</v>
      </c>
      <c r="B1158" s="5" t="s">
        <v>1179</v>
      </c>
      <c r="C1158" s="6" t="str">
        <f>IFERROR(__xludf.DUMMYFUNCTION("SPLIT('2. c'!B1158, "" "", True, True)"),"Campylobacter")</f>
        <v>Campylobacter</v>
      </c>
      <c r="D1158" t="str">
        <f>IFERROR(__xludf.DUMMYFUNCTION("""COMPUTED_VALUE"""),"jejuni")</f>
        <v>jejuni</v>
      </c>
      <c r="E1158" t="str">
        <f>IFERROR(__xludf.DUMMYFUNCTION("""COMPUTED_VALUE"""),"strain")</f>
        <v>strain</v>
      </c>
      <c r="F1158" t="str">
        <f>IFERROR(__xludf.DUMMYFUNCTION("""COMPUTED_VALUE"""),"CJ677CC100")</f>
        <v>CJ677CC100</v>
      </c>
    </row>
    <row r="1159" ht="15.75" customHeight="1">
      <c r="A1159" t="str">
        <f t="shared" si="1"/>
        <v>C.jejuni</v>
      </c>
      <c r="B1159" s="5" t="s">
        <v>1180</v>
      </c>
      <c r="C1159" s="6" t="str">
        <f>IFERROR(__xludf.DUMMYFUNCTION("SPLIT('2. c'!B1159, "" "", True, True)"),"Campylobacter")</f>
        <v>Campylobacter</v>
      </c>
      <c r="D1159" t="str">
        <f>IFERROR(__xludf.DUMMYFUNCTION("""COMPUTED_VALUE"""),"jejuni")</f>
        <v>jejuni</v>
      </c>
      <c r="E1159" t="str">
        <f>IFERROR(__xludf.DUMMYFUNCTION("""COMPUTED_VALUE"""),"strain")</f>
        <v>strain</v>
      </c>
      <c r="F1159" t="str">
        <f>IFERROR(__xludf.DUMMYFUNCTION("""COMPUTED_VALUE"""),"CJ677CC519")</f>
        <v>CJ677CC519</v>
      </c>
    </row>
    <row r="1160" ht="15.75" customHeight="1">
      <c r="A1160" t="str">
        <f t="shared" si="1"/>
        <v>C.jejuni</v>
      </c>
      <c r="B1160" s="5" t="s">
        <v>1181</v>
      </c>
      <c r="C1160" s="6" t="str">
        <f>IFERROR(__xludf.DUMMYFUNCTION("SPLIT('2. c'!B1160, "" "", True, True)"),"Campylobacter")</f>
        <v>Campylobacter</v>
      </c>
      <c r="D1160" t="str">
        <f>IFERROR(__xludf.DUMMYFUNCTION("""COMPUTED_VALUE"""),"jejuni")</f>
        <v>jejuni</v>
      </c>
      <c r="E1160" t="str">
        <f>IFERROR(__xludf.DUMMYFUNCTION("""COMPUTED_VALUE"""),"strain")</f>
        <v>strain</v>
      </c>
      <c r="F1160" t="str">
        <f>IFERROR(__xludf.DUMMYFUNCTION("""COMPUTED_VALUE"""),"CJ677CC520")</f>
        <v>CJ677CC520</v>
      </c>
    </row>
    <row r="1161" ht="15.75" customHeight="1">
      <c r="A1161" t="str">
        <f t="shared" si="1"/>
        <v>C.jejuni</v>
      </c>
      <c r="B1161" s="5" t="s">
        <v>1182</v>
      </c>
      <c r="C1161" s="6" t="str">
        <f>IFERROR(__xludf.DUMMYFUNCTION("SPLIT('2. c'!B1161, "" "", True, True)"),"Campylobacter")</f>
        <v>Campylobacter</v>
      </c>
      <c r="D1161" t="str">
        <f>IFERROR(__xludf.DUMMYFUNCTION("""COMPUTED_VALUE"""),"jejuni")</f>
        <v>jejuni</v>
      </c>
      <c r="E1161" t="str">
        <f>IFERROR(__xludf.DUMMYFUNCTION("""COMPUTED_VALUE"""),"strain")</f>
        <v>strain</v>
      </c>
      <c r="F1161" t="str">
        <f>IFERROR(__xludf.DUMMYFUNCTION("""COMPUTED_VALUE"""),"CJ677CC521")</f>
        <v>CJ677CC521</v>
      </c>
    </row>
    <row r="1162" ht="15.75" customHeight="1">
      <c r="A1162" t="str">
        <f t="shared" si="1"/>
        <v>C.jejuni</v>
      </c>
      <c r="B1162" s="5" t="s">
        <v>1183</v>
      </c>
      <c r="C1162" s="6" t="str">
        <f>IFERROR(__xludf.DUMMYFUNCTION("SPLIT('2. c'!B1162, "" "", True, True)"),"Campylobacter")</f>
        <v>Campylobacter</v>
      </c>
      <c r="D1162" t="str">
        <f>IFERROR(__xludf.DUMMYFUNCTION("""COMPUTED_VALUE"""),"jejuni")</f>
        <v>jejuni</v>
      </c>
      <c r="E1162" t="str">
        <f>IFERROR(__xludf.DUMMYFUNCTION("""COMPUTED_VALUE"""),"strain")</f>
        <v>strain</v>
      </c>
      <c r="F1162" t="str">
        <f>IFERROR(__xludf.DUMMYFUNCTION("""COMPUTED_VALUE"""),"CJ677CC522")</f>
        <v>CJ677CC522</v>
      </c>
    </row>
    <row r="1163" ht="15.75" customHeight="1">
      <c r="A1163" t="str">
        <f t="shared" si="1"/>
        <v>C.jejuni</v>
      </c>
      <c r="B1163" s="5" t="s">
        <v>1184</v>
      </c>
      <c r="C1163" s="6" t="str">
        <f>IFERROR(__xludf.DUMMYFUNCTION("SPLIT('2. c'!B1163, "" "", True, True)"),"Campylobacter")</f>
        <v>Campylobacter</v>
      </c>
      <c r="D1163" t="str">
        <f>IFERROR(__xludf.DUMMYFUNCTION("""COMPUTED_VALUE"""),"jejuni")</f>
        <v>jejuni</v>
      </c>
      <c r="E1163" t="str">
        <f>IFERROR(__xludf.DUMMYFUNCTION("""COMPUTED_VALUE"""),"strain")</f>
        <v>strain</v>
      </c>
      <c r="F1163" t="str">
        <f>IFERROR(__xludf.DUMMYFUNCTION("""COMPUTED_VALUE"""),"CJ677CC523")</f>
        <v>CJ677CC523</v>
      </c>
    </row>
    <row r="1164" ht="15.75" customHeight="1">
      <c r="A1164" t="str">
        <f t="shared" si="1"/>
        <v>C.jejuni</v>
      </c>
      <c r="B1164" s="5" t="s">
        <v>1185</v>
      </c>
      <c r="C1164" s="6" t="str">
        <f>IFERROR(__xludf.DUMMYFUNCTION("SPLIT('2. c'!B1164, "" "", True, True)"),"Campylobacter")</f>
        <v>Campylobacter</v>
      </c>
      <c r="D1164" t="str">
        <f>IFERROR(__xludf.DUMMYFUNCTION("""COMPUTED_VALUE"""),"jejuni")</f>
        <v>jejuni</v>
      </c>
      <c r="E1164" t="str">
        <f>IFERROR(__xludf.DUMMYFUNCTION("""COMPUTED_VALUE"""),"strain")</f>
        <v>strain</v>
      </c>
      <c r="F1164" t="str">
        <f>IFERROR(__xludf.DUMMYFUNCTION("""COMPUTED_VALUE"""),"CJ677CC524")</f>
        <v>CJ677CC524</v>
      </c>
    </row>
    <row r="1165" ht="15.75" customHeight="1">
      <c r="A1165" t="str">
        <f t="shared" si="1"/>
        <v>C.jejuni</v>
      </c>
      <c r="B1165" s="5" t="s">
        <v>1186</v>
      </c>
      <c r="C1165" s="6" t="str">
        <f>IFERROR(__xludf.DUMMYFUNCTION("SPLIT('2. c'!B1165, "" "", True, True)"),"Campylobacter")</f>
        <v>Campylobacter</v>
      </c>
      <c r="D1165" t="str">
        <f>IFERROR(__xludf.DUMMYFUNCTION("""COMPUTED_VALUE"""),"jejuni")</f>
        <v>jejuni</v>
      </c>
      <c r="E1165" t="str">
        <f>IFERROR(__xludf.DUMMYFUNCTION("""COMPUTED_VALUE"""),"strain")</f>
        <v>strain</v>
      </c>
      <c r="F1165" t="str">
        <f>IFERROR(__xludf.DUMMYFUNCTION("""COMPUTED_VALUE"""),"CJ677CC525")</f>
        <v>CJ677CC525</v>
      </c>
    </row>
    <row r="1166" ht="15.75" customHeight="1">
      <c r="A1166" t="str">
        <f t="shared" si="1"/>
        <v>C.jejuni</v>
      </c>
      <c r="B1166" s="5" t="s">
        <v>1187</v>
      </c>
      <c r="C1166" s="6" t="str">
        <f>IFERROR(__xludf.DUMMYFUNCTION("SPLIT('2. c'!B1166, "" "", True, True)"),"Campylobacter")</f>
        <v>Campylobacter</v>
      </c>
      <c r="D1166" t="str">
        <f>IFERROR(__xludf.DUMMYFUNCTION("""COMPUTED_VALUE"""),"jejuni")</f>
        <v>jejuni</v>
      </c>
      <c r="E1166" t="str">
        <f>IFERROR(__xludf.DUMMYFUNCTION("""COMPUTED_VALUE"""),"strain")</f>
        <v>strain</v>
      </c>
      <c r="F1166" t="str">
        <f>IFERROR(__xludf.DUMMYFUNCTION("""COMPUTED_VALUE"""),"CJ677CC526")</f>
        <v>CJ677CC526</v>
      </c>
    </row>
    <row r="1167" ht="15.75" customHeight="1">
      <c r="A1167" t="str">
        <f t="shared" si="1"/>
        <v>C.jejuni</v>
      </c>
      <c r="B1167" s="5" t="s">
        <v>1188</v>
      </c>
      <c r="C1167" s="6" t="str">
        <f>IFERROR(__xludf.DUMMYFUNCTION("SPLIT('2. c'!B1167, "" "", True, True)"),"Campylobacter")</f>
        <v>Campylobacter</v>
      </c>
      <c r="D1167" t="str">
        <f>IFERROR(__xludf.DUMMYFUNCTION("""COMPUTED_VALUE"""),"jejuni")</f>
        <v>jejuni</v>
      </c>
      <c r="E1167" t="str">
        <f>IFERROR(__xludf.DUMMYFUNCTION("""COMPUTED_VALUE"""),"strain")</f>
        <v>strain</v>
      </c>
      <c r="F1167" t="str">
        <f>IFERROR(__xludf.DUMMYFUNCTION("""COMPUTED_VALUE"""),"CJ677CC527")</f>
        <v>CJ677CC527</v>
      </c>
    </row>
    <row r="1168" ht="15.75" customHeight="1">
      <c r="A1168" t="str">
        <f t="shared" si="1"/>
        <v>C.jejuni</v>
      </c>
      <c r="B1168" s="5" t="s">
        <v>1189</v>
      </c>
      <c r="C1168" s="6" t="str">
        <f>IFERROR(__xludf.DUMMYFUNCTION("SPLIT('2. c'!B1168, "" "", True, True)"),"Campylobacter")</f>
        <v>Campylobacter</v>
      </c>
      <c r="D1168" t="str">
        <f>IFERROR(__xludf.DUMMYFUNCTION("""COMPUTED_VALUE"""),"jejuni")</f>
        <v>jejuni</v>
      </c>
      <c r="E1168" t="str">
        <f>IFERROR(__xludf.DUMMYFUNCTION("""COMPUTED_VALUE"""),"strain")</f>
        <v>strain</v>
      </c>
      <c r="F1168" t="str">
        <f>IFERROR(__xludf.DUMMYFUNCTION("""COMPUTED_VALUE"""),"CJ677CC528")</f>
        <v>CJ677CC528</v>
      </c>
    </row>
    <row r="1169" ht="15.75" customHeight="1">
      <c r="A1169" t="str">
        <f t="shared" si="1"/>
        <v>C.jejuni</v>
      </c>
      <c r="B1169" s="5" t="s">
        <v>1190</v>
      </c>
      <c r="C1169" s="6" t="str">
        <f>IFERROR(__xludf.DUMMYFUNCTION("SPLIT('2. c'!B1169, "" "", True, True)"),"Campylobacter")</f>
        <v>Campylobacter</v>
      </c>
      <c r="D1169" t="str">
        <f>IFERROR(__xludf.DUMMYFUNCTION("""COMPUTED_VALUE"""),"jejuni")</f>
        <v>jejuni</v>
      </c>
      <c r="E1169" t="str">
        <f>IFERROR(__xludf.DUMMYFUNCTION("""COMPUTED_VALUE"""),"strain")</f>
        <v>strain</v>
      </c>
      <c r="F1169" t="str">
        <f>IFERROR(__xludf.DUMMYFUNCTION("""COMPUTED_VALUE"""),"CJ677CC529")</f>
        <v>CJ677CC529</v>
      </c>
    </row>
    <row r="1170" ht="15.75" customHeight="1">
      <c r="A1170" t="str">
        <f t="shared" si="1"/>
        <v>C.jejuni</v>
      </c>
      <c r="B1170" s="5" t="s">
        <v>1191</v>
      </c>
      <c r="C1170" s="6" t="str">
        <f>IFERROR(__xludf.DUMMYFUNCTION("SPLIT('2. c'!B1170, "" "", True, True)"),"Campylobacter")</f>
        <v>Campylobacter</v>
      </c>
      <c r="D1170" t="str">
        <f>IFERROR(__xludf.DUMMYFUNCTION("""COMPUTED_VALUE"""),"jejuni")</f>
        <v>jejuni</v>
      </c>
      <c r="E1170" t="str">
        <f>IFERROR(__xludf.DUMMYFUNCTION("""COMPUTED_VALUE"""),"strain")</f>
        <v>strain</v>
      </c>
      <c r="F1170" t="str">
        <f>IFERROR(__xludf.DUMMYFUNCTION("""COMPUTED_VALUE"""),"CJ677CC530")</f>
        <v>CJ677CC530</v>
      </c>
    </row>
    <row r="1171" ht="15.75" customHeight="1">
      <c r="A1171" t="str">
        <f t="shared" si="1"/>
        <v>C.jejuni</v>
      </c>
      <c r="B1171" s="5" t="s">
        <v>1192</v>
      </c>
      <c r="C1171" s="6" t="str">
        <f>IFERROR(__xludf.DUMMYFUNCTION("SPLIT('2. c'!B1171, "" "", True, True)"),"Campylobacter")</f>
        <v>Campylobacter</v>
      </c>
      <c r="D1171" t="str">
        <f>IFERROR(__xludf.DUMMYFUNCTION("""COMPUTED_VALUE"""),"jejuni")</f>
        <v>jejuni</v>
      </c>
      <c r="E1171" t="str">
        <f>IFERROR(__xludf.DUMMYFUNCTION("""COMPUTED_VALUE"""),"strain")</f>
        <v>strain</v>
      </c>
      <c r="F1171" t="str">
        <f>IFERROR(__xludf.DUMMYFUNCTION("""COMPUTED_VALUE"""),"CJ677CC531")</f>
        <v>CJ677CC531</v>
      </c>
    </row>
    <row r="1172" ht="15.75" customHeight="1">
      <c r="A1172" t="str">
        <f t="shared" si="1"/>
        <v>C.jejuni</v>
      </c>
      <c r="B1172" s="5" t="s">
        <v>1193</v>
      </c>
      <c r="C1172" s="6" t="str">
        <f>IFERROR(__xludf.DUMMYFUNCTION("SPLIT('2. c'!B1172, "" "", True, True)"),"Campylobacter")</f>
        <v>Campylobacter</v>
      </c>
      <c r="D1172" t="str">
        <f>IFERROR(__xludf.DUMMYFUNCTION("""COMPUTED_VALUE"""),"jejuni")</f>
        <v>jejuni</v>
      </c>
      <c r="E1172" t="str">
        <f>IFERROR(__xludf.DUMMYFUNCTION("""COMPUTED_VALUE"""),"strain")</f>
        <v>strain</v>
      </c>
      <c r="F1172" t="str">
        <f>IFERROR(__xludf.DUMMYFUNCTION("""COMPUTED_VALUE"""),"CJ677CC532")</f>
        <v>CJ677CC532</v>
      </c>
    </row>
    <row r="1173" ht="15.75" customHeight="1">
      <c r="A1173" t="str">
        <f t="shared" si="1"/>
        <v>C.jejuni</v>
      </c>
      <c r="B1173" s="5" t="s">
        <v>1194</v>
      </c>
      <c r="C1173" s="6" t="str">
        <f>IFERROR(__xludf.DUMMYFUNCTION("SPLIT('2. c'!B1173, "" "", True, True)"),"Campylobacter")</f>
        <v>Campylobacter</v>
      </c>
      <c r="D1173" t="str">
        <f>IFERROR(__xludf.DUMMYFUNCTION("""COMPUTED_VALUE"""),"jejuni")</f>
        <v>jejuni</v>
      </c>
      <c r="E1173" t="str">
        <f>IFERROR(__xludf.DUMMYFUNCTION("""COMPUTED_VALUE"""),"strain")</f>
        <v>strain</v>
      </c>
      <c r="F1173" t="str">
        <f>IFERROR(__xludf.DUMMYFUNCTION("""COMPUTED_VALUE"""),"CJ677CC533")</f>
        <v>CJ677CC533</v>
      </c>
    </row>
    <row r="1174" ht="15.75" customHeight="1">
      <c r="A1174" t="str">
        <f t="shared" si="1"/>
        <v>C.jejuni</v>
      </c>
      <c r="B1174" s="5" t="s">
        <v>1195</v>
      </c>
      <c r="C1174" s="6" t="str">
        <f>IFERROR(__xludf.DUMMYFUNCTION("SPLIT('2. c'!B1174, "" "", True, True)"),"Campylobacter")</f>
        <v>Campylobacter</v>
      </c>
      <c r="D1174" t="str">
        <f>IFERROR(__xludf.DUMMYFUNCTION("""COMPUTED_VALUE"""),"jejuni")</f>
        <v>jejuni</v>
      </c>
      <c r="E1174" t="str">
        <f>IFERROR(__xludf.DUMMYFUNCTION("""COMPUTED_VALUE"""),"strain")</f>
        <v>strain</v>
      </c>
      <c r="F1174" t="str">
        <f>IFERROR(__xludf.DUMMYFUNCTION("""COMPUTED_VALUE"""),"CJ677CC534")</f>
        <v>CJ677CC534</v>
      </c>
    </row>
    <row r="1175" ht="15.75" customHeight="1">
      <c r="A1175" t="str">
        <f t="shared" si="1"/>
        <v>C.jejuni</v>
      </c>
      <c r="B1175" s="5" t="s">
        <v>1196</v>
      </c>
      <c r="C1175" s="6" t="str">
        <f>IFERROR(__xludf.DUMMYFUNCTION("SPLIT('2. c'!B1175, "" "", True, True)"),"Campylobacter")</f>
        <v>Campylobacter</v>
      </c>
      <c r="D1175" t="str">
        <f>IFERROR(__xludf.DUMMYFUNCTION("""COMPUTED_VALUE"""),"jejuni")</f>
        <v>jejuni</v>
      </c>
      <c r="E1175" t="str">
        <f>IFERROR(__xludf.DUMMYFUNCTION("""COMPUTED_VALUE"""),"strain")</f>
        <v>strain</v>
      </c>
      <c r="F1175" t="str">
        <f>IFERROR(__xludf.DUMMYFUNCTION("""COMPUTED_VALUE"""),"CJ677CC535")</f>
        <v>CJ677CC535</v>
      </c>
    </row>
    <row r="1176" ht="15.75" customHeight="1">
      <c r="A1176" t="str">
        <f t="shared" si="1"/>
        <v>C.jejuni</v>
      </c>
      <c r="B1176" s="5" t="s">
        <v>1197</v>
      </c>
      <c r="C1176" s="6" t="str">
        <f>IFERROR(__xludf.DUMMYFUNCTION("SPLIT('2. c'!B1176, "" "", True, True)"),"Campylobacter")</f>
        <v>Campylobacter</v>
      </c>
      <c r="D1176" t="str">
        <f>IFERROR(__xludf.DUMMYFUNCTION("""COMPUTED_VALUE"""),"jejuni")</f>
        <v>jejuni</v>
      </c>
      <c r="E1176" t="str">
        <f>IFERROR(__xludf.DUMMYFUNCTION("""COMPUTED_VALUE"""),"strain")</f>
        <v>strain</v>
      </c>
      <c r="F1176" t="str">
        <f>IFERROR(__xludf.DUMMYFUNCTION("""COMPUTED_VALUE"""),"CJ677CC536")</f>
        <v>CJ677CC536</v>
      </c>
    </row>
    <row r="1177" ht="15.75" customHeight="1">
      <c r="A1177" t="str">
        <f t="shared" si="1"/>
        <v>C.jejuni</v>
      </c>
      <c r="B1177" s="5" t="s">
        <v>1198</v>
      </c>
      <c r="C1177" s="6" t="str">
        <f>IFERROR(__xludf.DUMMYFUNCTION("SPLIT('2. c'!B1177, "" "", True, True)"),"Campylobacter")</f>
        <v>Campylobacter</v>
      </c>
      <c r="D1177" t="str">
        <f>IFERROR(__xludf.DUMMYFUNCTION("""COMPUTED_VALUE"""),"jejuni")</f>
        <v>jejuni</v>
      </c>
      <c r="E1177" t="str">
        <f>IFERROR(__xludf.DUMMYFUNCTION("""COMPUTED_VALUE"""),"strain")</f>
        <v>strain</v>
      </c>
      <c r="F1177" t="str">
        <f>IFERROR(__xludf.DUMMYFUNCTION("""COMPUTED_VALUE"""),"CJ677CC537")</f>
        <v>CJ677CC537</v>
      </c>
    </row>
    <row r="1178" ht="15.75" customHeight="1">
      <c r="A1178" t="str">
        <f t="shared" si="1"/>
        <v>C.jejuni</v>
      </c>
      <c r="B1178" s="5" t="s">
        <v>1199</v>
      </c>
      <c r="C1178" s="6" t="str">
        <f>IFERROR(__xludf.DUMMYFUNCTION("SPLIT('2. c'!B1178, "" "", True, True)"),"Campylobacter")</f>
        <v>Campylobacter</v>
      </c>
      <c r="D1178" t="str">
        <f>IFERROR(__xludf.DUMMYFUNCTION("""COMPUTED_VALUE"""),"jejuni")</f>
        <v>jejuni</v>
      </c>
      <c r="E1178" t="str">
        <f>IFERROR(__xludf.DUMMYFUNCTION("""COMPUTED_VALUE"""),"strain")</f>
        <v>strain</v>
      </c>
      <c r="F1178" t="str">
        <f>IFERROR(__xludf.DUMMYFUNCTION("""COMPUTED_VALUE"""),"CJ677CC538")</f>
        <v>CJ677CC538</v>
      </c>
    </row>
    <row r="1179" ht="15.75" customHeight="1">
      <c r="A1179" t="str">
        <f t="shared" si="1"/>
        <v>C.jejuni</v>
      </c>
      <c r="B1179" s="5" t="s">
        <v>1200</v>
      </c>
      <c r="C1179" s="6" t="str">
        <f>IFERROR(__xludf.DUMMYFUNCTION("SPLIT('2. c'!B1179, "" "", True, True)"),"Campylobacter")</f>
        <v>Campylobacter</v>
      </c>
      <c r="D1179" t="str">
        <f>IFERROR(__xludf.DUMMYFUNCTION("""COMPUTED_VALUE"""),"jejuni")</f>
        <v>jejuni</v>
      </c>
      <c r="E1179" t="str">
        <f>IFERROR(__xludf.DUMMYFUNCTION("""COMPUTED_VALUE"""),"strain")</f>
        <v>strain</v>
      </c>
      <c r="F1179" t="str">
        <f>IFERROR(__xludf.DUMMYFUNCTION("""COMPUTED_VALUE"""),"CJ677CC539")</f>
        <v>CJ677CC539</v>
      </c>
    </row>
    <row r="1180" ht="15.75" customHeight="1">
      <c r="A1180" t="str">
        <f t="shared" si="1"/>
        <v>C.jejuni</v>
      </c>
      <c r="B1180" s="5" t="s">
        <v>1201</v>
      </c>
      <c r="C1180" s="6" t="str">
        <f>IFERROR(__xludf.DUMMYFUNCTION("SPLIT('2. c'!B1180, "" "", True, True)"),"Campylobacter")</f>
        <v>Campylobacter</v>
      </c>
      <c r="D1180" t="str">
        <f>IFERROR(__xludf.DUMMYFUNCTION("""COMPUTED_VALUE"""),"jejuni")</f>
        <v>jejuni</v>
      </c>
      <c r="E1180" t="str">
        <f>IFERROR(__xludf.DUMMYFUNCTION("""COMPUTED_VALUE"""),"strain")</f>
        <v>strain</v>
      </c>
      <c r="F1180" t="str">
        <f>IFERROR(__xludf.DUMMYFUNCTION("""COMPUTED_VALUE"""),"CJ677CC540")</f>
        <v>CJ677CC540</v>
      </c>
    </row>
    <row r="1181" ht="15.75" customHeight="1">
      <c r="A1181" t="str">
        <f t="shared" si="1"/>
        <v>C.jejuni</v>
      </c>
      <c r="B1181" s="5" t="s">
        <v>1202</v>
      </c>
      <c r="C1181" s="6" t="str">
        <f>IFERROR(__xludf.DUMMYFUNCTION("SPLIT('2. c'!B1181, "" "", True, True)"),"Campylobacter")</f>
        <v>Campylobacter</v>
      </c>
      <c r="D1181" t="str">
        <f>IFERROR(__xludf.DUMMYFUNCTION("""COMPUTED_VALUE"""),"jejuni")</f>
        <v>jejuni</v>
      </c>
      <c r="E1181" t="str">
        <f>IFERROR(__xludf.DUMMYFUNCTION("""COMPUTED_VALUE"""),"strain")</f>
        <v>strain</v>
      </c>
      <c r="F1181" t="str">
        <f>IFERROR(__xludf.DUMMYFUNCTION("""COMPUTED_VALUE"""),"CJ677CC541")</f>
        <v>CJ677CC541</v>
      </c>
    </row>
    <row r="1182" ht="15.75" customHeight="1">
      <c r="A1182" t="str">
        <f t="shared" si="1"/>
        <v>C.jejuni</v>
      </c>
      <c r="B1182" s="5" t="s">
        <v>1203</v>
      </c>
      <c r="C1182" s="6" t="str">
        <f>IFERROR(__xludf.DUMMYFUNCTION("SPLIT('2. c'!B1182, "" "", True, True)"),"Campylobacter")</f>
        <v>Campylobacter</v>
      </c>
      <c r="D1182" t="str">
        <f>IFERROR(__xludf.DUMMYFUNCTION("""COMPUTED_VALUE"""),"jejuni")</f>
        <v>jejuni</v>
      </c>
      <c r="E1182" t="str">
        <f>IFERROR(__xludf.DUMMYFUNCTION("""COMPUTED_VALUE"""),"strain")</f>
        <v>strain</v>
      </c>
      <c r="F1182" t="str">
        <f>IFERROR(__xludf.DUMMYFUNCTION("""COMPUTED_VALUE"""),"CJ677CC542")</f>
        <v>CJ677CC542</v>
      </c>
    </row>
    <row r="1183" ht="15.75" customHeight="1">
      <c r="A1183" t="str">
        <f t="shared" si="1"/>
        <v>C.jejuni</v>
      </c>
      <c r="B1183" s="5" t="s">
        <v>1204</v>
      </c>
      <c r="C1183" s="6" t="str">
        <f>IFERROR(__xludf.DUMMYFUNCTION("SPLIT('2. c'!B1183, "" "", True, True)"),"Campylobacter")</f>
        <v>Campylobacter</v>
      </c>
      <c r="D1183" t="str">
        <f>IFERROR(__xludf.DUMMYFUNCTION("""COMPUTED_VALUE"""),"jejuni")</f>
        <v>jejuni</v>
      </c>
      <c r="E1183" t="str">
        <f>IFERROR(__xludf.DUMMYFUNCTION("""COMPUTED_VALUE"""),"strain")</f>
        <v>strain</v>
      </c>
      <c r="F1183" t="str">
        <f>IFERROR(__xludf.DUMMYFUNCTION("""COMPUTED_VALUE"""),"CJM1cam")</f>
        <v>CJM1cam</v>
      </c>
    </row>
    <row r="1184" ht="15.75" customHeight="1">
      <c r="A1184" t="str">
        <f t="shared" si="1"/>
        <v>C.jejuni</v>
      </c>
      <c r="B1184" s="5" t="s">
        <v>1205</v>
      </c>
      <c r="C1184" s="6" t="str">
        <f>IFERROR(__xludf.DUMMYFUNCTION("SPLIT('2. c'!B1184, "" "", True, True)"),"Campylobacter")</f>
        <v>Campylobacter</v>
      </c>
      <c r="D1184" t="str">
        <f>IFERROR(__xludf.DUMMYFUNCTION("""COMPUTED_VALUE"""),"jejuni")</f>
        <v>jejuni</v>
      </c>
      <c r="E1184" t="str">
        <f>IFERROR(__xludf.DUMMYFUNCTION("""COMPUTED_VALUE"""),"strain")</f>
        <v>strain</v>
      </c>
      <c r="F1184" t="str">
        <f>IFERROR(__xludf.DUMMYFUNCTION("""COMPUTED_VALUE"""),"NCTC11351")</f>
        <v>NCTC11351</v>
      </c>
    </row>
    <row r="1185" ht="15.75" customHeight="1">
      <c r="A1185" t="str">
        <f t="shared" si="1"/>
        <v>C.jejuni</v>
      </c>
      <c r="B1185" s="5" t="s">
        <v>1206</v>
      </c>
      <c r="C1185" s="6" t="str">
        <f>IFERROR(__xludf.DUMMYFUNCTION("SPLIT('2. c'!B1185, "" "", True, True)"),"Campylobacter")</f>
        <v>Campylobacter</v>
      </c>
      <c r="D1185" t="str">
        <f>IFERROR(__xludf.DUMMYFUNCTION("""COMPUTED_VALUE"""),"jejuni")</f>
        <v>jejuni</v>
      </c>
      <c r="E1185" t="str">
        <f>IFERROR(__xludf.DUMMYFUNCTION("""COMPUTED_VALUE"""),"strain")</f>
        <v>strain</v>
      </c>
      <c r="F1185" t="str">
        <f>IFERROR(__xludf.DUMMYFUNCTION("""COMPUTED_VALUE"""),"OD267")</f>
        <v>OD267</v>
      </c>
    </row>
    <row r="1186" ht="15.75" customHeight="1">
      <c r="A1186" t="str">
        <f t="shared" si="1"/>
        <v>C.jejuni</v>
      </c>
      <c r="B1186" s="5" t="s">
        <v>1207</v>
      </c>
      <c r="C1186" s="6" t="str">
        <f>IFERROR(__xludf.DUMMYFUNCTION("SPLIT('2. c'!B1186, "" "", True, True)"),"Campylobacter")</f>
        <v>Campylobacter</v>
      </c>
      <c r="D1186" t="str">
        <f>IFERROR(__xludf.DUMMYFUNCTION("""COMPUTED_VALUE"""),"jejuni")</f>
        <v>jejuni</v>
      </c>
      <c r="E1186" t="str">
        <f>IFERROR(__xludf.DUMMYFUNCTION("""COMPUTED_VALUE"""),"strain")</f>
        <v>strain</v>
      </c>
      <c r="F1186" t="str">
        <f>IFERROR(__xludf.DUMMYFUNCTION("""COMPUTED_VALUE"""),"RM1285")</f>
        <v>RM1285</v>
      </c>
    </row>
    <row r="1187" ht="15.75" customHeight="1">
      <c r="A1187" t="str">
        <f t="shared" si="1"/>
        <v>C.jejuni</v>
      </c>
      <c r="B1187" s="5" t="s">
        <v>1208</v>
      </c>
      <c r="C1187" s="6" t="str">
        <f>IFERROR(__xludf.DUMMYFUNCTION("SPLIT('2. c'!B1187, "" "", True, True)"),"Campylobacter")</f>
        <v>Campylobacter</v>
      </c>
      <c r="D1187" t="str">
        <f>IFERROR(__xludf.DUMMYFUNCTION("""COMPUTED_VALUE"""),"jejuni")</f>
        <v>jejuni</v>
      </c>
      <c r="E1187" t="str">
        <f>IFERROR(__xludf.DUMMYFUNCTION("""COMPUTED_VALUE"""),"strain")</f>
        <v>strain</v>
      </c>
      <c r="F1187" t="str">
        <f>IFERROR(__xludf.DUMMYFUNCTION("""COMPUTED_VALUE"""),"RM3194")</f>
        <v>RM3194</v>
      </c>
    </row>
    <row r="1188" ht="15.75" customHeight="1">
      <c r="A1188" t="str">
        <f t="shared" si="1"/>
        <v>C.jejuni</v>
      </c>
      <c r="B1188" s="5" t="s">
        <v>1209</v>
      </c>
      <c r="C1188" s="6" t="str">
        <f>IFERROR(__xludf.DUMMYFUNCTION("SPLIT('2. c'!B1188, "" "", True, True)"),"Campylobacter")</f>
        <v>Campylobacter</v>
      </c>
      <c r="D1188" t="str">
        <f>IFERROR(__xludf.DUMMYFUNCTION("""COMPUTED_VALUE"""),"jejuni")</f>
        <v>jejuni</v>
      </c>
      <c r="E1188" t="str">
        <f>IFERROR(__xludf.DUMMYFUNCTION("""COMPUTED_VALUE"""),"strain")</f>
        <v>strain</v>
      </c>
      <c r="F1188" t="str">
        <f>IFERROR(__xludf.DUMMYFUNCTION("""COMPUTED_VALUE"""),"T1-21")</f>
        <v>T1-21</v>
      </c>
    </row>
    <row r="1189" ht="15.75" customHeight="1">
      <c r="A1189" t="str">
        <f t="shared" si="1"/>
        <v>C.jejuni</v>
      </c>
      <c r="B1189" s="5" t="s">
        <v>1210</v>
      </c>
      <c r="C1189" s="6" t="str">
        <f>IFERROR(__xludf.DUMMYFUNCTION("SPLIT('2. c'!B1189, "" "", True, True)"),"Campylobacter")</f>
        <v>Campylobacter</v>
      </c>
      <c r="D1189" t="str">
        <f>IFERROR(__xludf.DUMMYFUNCTION("""COMPUTED_VALUE"""),"jejuni")</f>
        <v>jejuni</v>
      </c>
      <c r="E1189" t="str">
        <f>IFERROR(__xludf.DUMMYFUNCTION("""COMPUTED_VALUE"""),"strain")</f>
        <v>strain</v>
      </c>
      <c r="F1189" t="str">
        <f>IFERROR(__xludf.DUMMYFUNCTION("""COMPUTED_VALUE"""),"WP2202")</f>
        <v>WP2202</v>
      </c>
    </row>
    <row r="1190" ht="15.75" customHeight="1">
      <c r="A1190" t="str">
        <f t="shared" si="1"/>
        <v>C.jejuni</v>
      </c>
      <c r="B1190" s="5" t="s">
        <v>1211</v>
      </c>
      <c r="C1190" s="6" t="str">
        <f>IFERROR(__xludf.DUMMYFUNCTION("SPLIT('2. c'!B1190, "" "", True, True)"),"Campylobacter")</f>
        <v>Campylobacter</v>
      </c>
      <c r="D1190" t="str">
        <f>IFERROR(__xludf.DUMMYFUNCTION("""COMPUTED_VALUE"""),"jejuni")</f>
        <v>jejuni</v>
      </c>
      <c r="E1190" t="str">
        <f>IFERROR(__xludf.DUMMYFUNCTION("""COMPUTED_VALUE"""),"subsp.")</f>
        <v>subsp.</v>
      </c>
      <c r="F1190" t="str">
        <f>IFERROR(__xludf.DUMMYFUNCTION("""COMPUTED_VALUE"""),"doylei")</f>
        <v>doylei</v>
      </c>
      <c r="G1190" t="str">
        <f>IFERROR(__xludf.DUMMYFUNCTION("""COMPUTED_VALUE"""),"269.97")</f>
        <v>269.97</v>
      </c>
    </row>
    <row r="1191" ht="15.75" customHeight="1">
      <c r="A1191" t="str">
        <f t="shared" si="1"/>
        <v>C.jejuni</v>
      </c>
      <c r="B1191" s="5" t="s">
        <v>1212</v>
      </c>
      <c r="C1191" s="6" t="str">
        <f>IFERROR(__xludf.DUMMYFUNCTION("SPLIT('2. c'!B1191, "" "", True, True)"),"Campylobacter")</f>
        <v>Campylobacter</v>
      </c>
      <c r="D1191" t="str">
        <f>IFERROR(__xludf.DUMMYFUNCTION("""COMPUTED_VALUE"""),"jejuni")</f>
        <v>jejuni</v>
      </c>
      <c r="E1191" t="str">
        <f>IFERROR(__xludf.DUMMYFUNCTION("""COMPUTED_VALUE"""),"subsp.")</f>
        <v>subsp.</v>
      </c>
      <c r="F1191" t="str">
        <f>IFERROR(__xludf.DUMMYFUNCTION("""COMPUTED_VALUE"""),"jejuni")</f>
        <v>jejuni</v>
      </c>
      <c r="G1191" t="str">
        <f>IFERROR(__xludf.DUMMYFUNCTION("""COMPUTED_VALUE"""),"00-2425")</f>
        <v>00-2425</v>
      </c>
    </row>
    <row r="1192" ht="15.75" customHeight="1">
      <c r="A1192" t="str">
        <f t="shared" si="1"/>
        <v>C.jejuni</v>
      </c>
      <c r="B1192" s="5" t="s">
        <v>1213</v>
      </c>
      <c r="C1192" s="6" t="str">
        <f>IFERROR(__xludf.DUMMYFUNCTION("SPLIT('2. c'!B1192, "" "", True, True)"),"Campylobacter")</f>
        <v>Campylobacter</v>
      </c>
      <c r="D1192" t="str">
        <f>IFERROR(__xludf.DUMMYFUNCTION("""COMPUTED_VALUE"""),"jejuni")</f>
        <v>jejuni</v>
      </c>
      <c r="E1192" t="str">
        <f>IFERROR(__xludf.DUMMYFUNCTION("""COMPUTED_VALUE"""),"subsp.")</f>
        <v>subsp.</v>
      </c>
      <c r="F1192" t="str">
        <f>IFERROR(__xludf.DUMMYFUNCTION("""COMPUTED_VALUE"""),"jejuni")</f>
        <v>jejuni</v>
      </c>
      <c r="G1192" t="str">
        <f>IFERROR(__xludf.DUMMYFUNCTION("""COMPUTED_VALUE"""),"00-2426")</f>
        <v>00-2426</v>
      </c>
    </row>
    <row r="1193" ht="15.75" customHeight="1">
      <c r="A1193" t="str">
        <f t="shared" si="1"/>
        <v>C.jejuni</v>
      </c>
      <c r="B1193" s="5" t="s">
        <v>1214</v>
      </c>
      <c r="C1193" s="6" t="str">
        <f>IFERROR(__xludf.DUMMYFUNCTION("SPLIT('2. c'!B1193, "" "", True, True)"),"Campylobacter")</f>
        <v>Campylobacter</v>
      </c>
      <c r="D1193" t="str">
        <f>IFERROR(__xludf.DUMMYFUNCTION("""COMPUTED_VALUE"""),"jejuni")</f>
        <v>jejuni</v>
      </c>
      <c r="E1193" t="str">
        <f>IFERROR(__xludf.DUMMYFUNCTION("""COMPUTED_VALUE"""),"subsp.")</f>
        <v>subsp.</v>
      </c>
      <c r="F1193" t="str">
        <f>IFERROR(__xludf.DUMMYFUNCTION("""COMPUTED_VALUE"""),"jejuni")</f>
        <v>jejuni</v>
      </c>
      <c r="G1193" t="str">
        <f>IFERROR(__xludf.DUMMYFUNCTION("""COMPUTED_VALUE"""),"00-2538")</f>
        <v>00-2538</v>
      </c>
    </row>
    <row r="1194" ht="15.75" customHeight="1">
      <c r="A1194" t="str">
        <f t="shared" si="1"/>
        <v>C.jejuni</v>
      </c>
      <c r="B1194" s="5" t="s">
        <v>1215</v>
      </c>
      <c r="C1194" s="6" t="str">
        <f>IFERROR(__xludf.DUMMYFUNCTION("SPLIT('2. c'!B1194, "" "", True, True)"),"Campylobacter")</f>
        <v>Campylobacter</v>
      </c>
      <c r="D1194" t="str">
        <f>IFERROR(__xludf.DUMMYFUNCTION("""COMPUTED_VALUE"""),"jejuni")</f>
        <v>jejuni</v>
      </c>
      <c r="E1194" t="str">
        <f>IFERROR(__xludf.DUMMYFUNCTION("""COMPUTED_VALUE"""),"subsp.")</f>
        <v>subsp.</v>
      </c>
      <c r="F1194" t="str">
        <f>IFERROR(__xludf.DUMMYFUNCTION("""COMPUTED_VALUE"""),"jejuni")</f>
        <v>jejuni</v>
      </c>
      <c r="G1194" t="str">
        <f>IFERROR(__xludf.DUMMYFUNCTION("""COMPUTED_VALUE"""),"00-2544")</f>
        <v>00-2544</v>
      </c>
    </row>
    <row r="1195" ht="15.75" customHeight="1">
      <c r="A1195" t="str">
        <f t="shared" si="1"/>
        <v>C.jejuni</v>
      </c>
      <c r="B1195" s="5" t="s">
        <v>1216</v>
      </c>
      <c r="C1195" s="6" t="str">
        <f>IFERROR(__xludf.DUMMYFUNCTION("SPLIT('2. c'!B1195, "" "", True, True)"),"Campylobacter")</f>
        <v>Campylobacter</v>
      </c>
      <c r="D1195" t="str">
        <f>IFERROR(__xludf.DUMMYFUNCTION("""COMPUTED_VALUE"""),"jejuni")</f>
        <v>jejuni</v>
      </c>
      <c r="E1195" t="str">
        <f>IFERROR(__xludf.DUMMYFUNCTION("""COMPUTED_VALUE"""),"subsp.")</f>
        <v>subsp.</v>
      </c>
      <c r="F1195" t="str">
        <f>IFERROR(__xludf.DUMMYFUNCTION("""COMPUTED_VALUE"""),"jejuni")</f>
        <v>jejuni</v>
      </c>
      <c r="G1195">
        <f>IFERROR(__xludf.DUMMYFUNCTION("""COMPUTED_VALUE"""),81116.0)</f>
        <v>81116</v>
      </c>
    </row>
    <row r="1196" ht="15.75" customHeight="1">
      <c r="A1196" t="str">
        <f t="shared" si="1"/>
        <v>C.jejuni</v>
      </c>
      <c r="B1196" s="5" t="s">
        <v>1217</v>
      </c>
      <c r="C1196" s="6" t="str">
        <f>IFERROR(__xludf.DUMMYFUNCTION("SPLIT('2. c'!B1196, "" "", True, True)"),"Campylobacter")</f>
        <v>Campylobacter</v>
      </c>
      <c r="D1196" t="str">
        <f>IFERROR(__xludf.DUMMYFUNCTION("""COMPUTED_VALUE"""),"jejuni")</f>
        <v>jejuni</v>
      </c>
      <c r="E1196" t="str">
        <f>IFERROR(__xludf.DUMMYFUNCTION("""COMPUTED_VALUE"""),"subsp.")</f>
        <v>subsp.</v>
      </c>
      <c r="F1196" t="str">
        <f>IFERROR(__xludf.DUMMYFUNCTION("""COMPUTED_VALUE"""),"jejuni")</f>
        <v>jejuni</v>
      </c>
      <c r="G1196" t="str">
        <f>IFERROR(__xludf.DUMMYFUNCTION("""COMPUTED_VALUE"""),"81-176")</f>
        <v>81-176</v>
      </c>
    </row>
    <row r="1197" ht="15.75" customHeight="1">
      <c r="A1197" t="str">
        <f t="shared" si="1"/>
        <v>C.jejuni</v>
      </c>
      <c r="B1197" s="5" t="s">
        <v>1218</v>
      </c>
      <c r="C1197" s="6" t="str">
        <f>IFERROR(__xludf.DUMMYFUNCTION("SPLIT('2. c'!B1197, "" "", True, True)"),"Campylobacter")</f>
        <v>Campylobacter</v>
      </c>
      <c r="D1197" t="str">
        <f>IFERROR(__xludf.DUMMYFUNCTION("""COMPUTED_VALUE"""),"jejuni")</f>
        <v>jejuni</v>
      </c>
      <c r="E1197" t="str">
        <f>IFERROR(__xludf.DUMMYFUNCTION("""COMPUTED_VALUE"""),"subsp.")</f>
        <v>subsp.</v>
      </c>
      <c r="F1197" t="str">
        <f>IFERROR(__xludf.DUMMYFUNCTION("""COMPUTED_VALUE"""),"jejuni")</f>
        <v>jejuni</v>
      </c>
      <c r="G1197" t="str">
        <f>IFERROR(__xludf.DUMMYFUNCTION("""COMPUTED_VALUE"""),"F38011")</f>
        <v>F38011</v>
      </c>
    </row>
    <row r="1198" ht="15.75" customHeight="1">
      <c r="A1198" t="str">
        <f t="shared" si="1"/>
        <v>C.jejuni</v>
      </c>
      <c r="B1198" s="5" t="s">
        <v>1219</v>
      </c>
      <c r="C1198" s="6" t="str">
        <f>IFERROR(__xludf.DUMMYFUNCTION("SPLIT('2. c'!B1198, "" "", True, True)"),"Campylobacter")</f>
        <v>Campylobacter</v>
      </c>
      <c r="D1198" t="str">
        <f>IFERROR(__xludf.DUMMYFUNCTION("""COMPUTED_VALUE"""),"jejuni")</f>
        <v>jejuni</v>
      </c>
      <c r="E1198" t="str">
        <f>IFERROR(__xludf.DUMMYFUNCTION("""COMPUTED_VALUE"""),"subsp.")</f>
        <v>subsp.</v>
      </c>
      <c r="F1198" t="str">
        <f>IFERROR(__xludf.DUMMYFUNCTION("""COMPUTED_VALUE"""),"jejuni")</f>
        <v>jejuni</v>
      </c>
      <c r="G1198" t="str">
        <f>IFERROR(__xludf.DUMMYFUNCTION("""COMPUTED_VALUE"""),"IA3902")</f>
        <v>IA3902</v>
      </c>
    </row>
    <row r="1199" ht="15.75" customHeight="1">
      <c r="A1199" t="str">
        <f t="shared" si="1"/>
        <v>C.jejuni</v>
      </c>
      <c r="B1199" s="5" t="s">
        <v>1220</v>
      </c>
      <c r="C1199" s="6" t="str">
        <f>IFERROR(__xludf.DUMMYFUNCTION("SPLIT('2. c'!B1199, "" "", True, True)"),"Campylobacter")</f>
        <v>Campylobacter</v>
      </c>
      <c r="D1199" t="str">
        <f>IFERROR(__xludf.DUMMYFUNCTION("""COMPUTED_VALUE"""),"jejuni")</f>
        <v>jejuni</v>
      </c>
      <c r="E1199" t="str">
        <f>IFERROR(__xludf.DUMMYFUNCTION("""COMPUTED_VALUE"""),"subsp.")</f>
        <v>subsp.</v>
      </c>
      <c r="F1199" t="str">
        <f>IFERROR(__xludf.DUMMYFUNCTION("""COMPUTED_VALUE"""),"jejuni")</f>
        <v>jejuni</v>
      </c>
      <c r="G1199" t="str">
        <f>IFERROR(__xludf.DUMMYFUNCTION("""COMPUTED_VALUE"""),"ICDCCJ07001")</f>
        <v>ICDCCJ07001</v>
      </c>
    </row>
    <row r="1200" ht="15.75" customHeight="1">
      <c r="A1200" t="str">
        <f t="shared" si="1"/>
        <v>C.jejuni</v>
      </c>
      <c r="B1200" s="5" t="s">
        <v>1221</v>
      </c>
      <c r="C1200" s="6" t="str">
        <f>IFERROR(__xludf.DUMMYFUNCTION("SPLIT('2. c'!B1200, "" "", True, True)"),"Campylobacter")</f>
        <v>Campylobacter</v>
      </c>
      <c r="D1200" t="str">
        <f>IFERROR(__xludf.DUMMYFUNCTION("""COMPUTED_VALUE"""),"jejuni")</f>
        <v>jejuni</v>
      </c>
      <c r="E1200" t="str">
        <f>IFERROR(__xludf.DUMMYFUNCTION("""COMPUTED_VALUE"""),"subsp.")</f>
        <v>subsp.</v>
      </c>
      <c r="F1200" t="str">
        <f>IFERROR(__xludf.DUMMYFUNCTION("""COMPUTED_VALUE"""),"jejuni")</f>
        <v>jejuni</v>
      </c>
      <c r="G1200" t="str">
        <f>IFERROR(__xludf.DUMMYFUNCTION("""COMPUTED_VALUE"""),"M1")</f>
        <v>M1</v>
      </c>
    </row>
    <row r="1201" ht="15.75" customHeight="1">
      <c r="A1201" t="str">
        <f t="shared" si="1"/>
        <v>C.jejuni</v>
      </c>
      <c r="B1201" s="5" t="s">
        <v>1222</v>
      </c>
      <c r="C1201" s="6" t="str">
        <f>IFERROR(__xludf.DUMMYFUNCTION("SPLIT('2. c'!B1201, "" "", True, True)"),"Campylobacter")</f>
        <v>Campylobacter</v>
      </c>
      <c r="D1201" t="str">
        <f>IFERROR(__xludf.DUMMYFUNCTION("""COMPUTED_VALUE"""),"jejuni")</f>
        <v>jejuni</v>
      </c>
      <c r="E1201" t="str">
        <f>IFERROR(__xludf.DUMMYFUNCTION("""COMPUTED_VALUE"""),"subsp.")</f>
        <v>subsp.</v>
      </c>
      <c r="F1201" t="str">
        <f>IFERROR(__xludf.DUMMYFUNCTION("""COMPUTED_VALUE"""),"jejuni")</f>
        <v>jejuni</v>
      </c>
      <c r="G1201" t="str">
        <f>IFERROR(__xludf.DUMMYFUNCTION("""COMPUTED_VALUE"""),"NCTC")</f>
        <v>NCTC</v>
      </c>
      <c r="H1201">
        <f>IFERROR(__xludf.DUMMYFUNCTION("""COMPUTED_VALUE"""),11168.0)</f>
        <v>11168</v>
      </c>
      <c r="I1201" t="str">
        <f>IFERROR(__xludf.DUMMYFUNCTION("""COMPUTED_VALUE"""),"=")</f>
        <v>=</v>
      </c>
      <c r="J1201" t="str">
        <f>IFERROR(__xludf.DUMMYFUNCTION("""COMPUTED_VALUE"""),"ATCC")</f>
        <v>ATCC</v>
      </c>
      <c r="K1201">
        <f>IFERROR(__xludf.DUMMYFUNCTION("""COMPUTED_VALUE"""),700819.0)</f>
        <v>700819</v>
      </c>
    </row>
    <row r="1202" ht="15.75" customHeight="1">
      <c r="A1202" t="str">
        <f t="shared" si="1"/>
        <v>C.jejuni</v>
      </c>
      <c r="B1202" s="5" t="s">
        <v>1223</v>
      </c>
      <c r="C1202" s="6" t="str">
        <f>IFERROR(__xludf.DUMMYFUNCTION("SPLIT('2. c'!B1202, "" "", True, True)"),"Campylobacter")</f>
        <v>Campylobacter</v>
      </c>
      <c r="D1202" t="str">
        <f>IFERROR(__xludf.DUMMYFUNCTION("""COMPUTED_VALUE"""),"jejuni")</f>
        <v>jejuni</v>
      </c>
      <c r="E1202" t="str">
        <f>IFERROR(__xludf.DUMMYFUNCTION("""COMPUTED_VALUE"""),"subsp.")</f>
        <v>subsp.</v>
      </c>
      <c r="F1202" t="str">
        <f>IFERROR(__xludf.DUMMYFUNCTION("""COMPUTED_VALUE"""),"jejuni")</f>
        <v>jejuni</v>
      </c>
      <c r="G1202" t="str">
        <f>IFERROR(__xludf.DUMMYFUNCTION("""COMPUTED_VALUE"""),"NCTC")</f>
        <v>NCTC</v>
      </c>
      <c r="H1202" t="str">
        <f>IFERROR(__xludf.DUMMYFUNCTION("""COMPUTED_VALUE"""),"11168-BN148")</f>
        <v>11168-BN148</v>
      </c>
    </row>
    <row r="1203" ht="15.75" customHeight="1">
      <c r="A1203" t="str">
        <f t="shared" si="1"/>
        <v>C.jejuni</v>
      </c>
      <c r="B1203" s="5" t="s">
        <v>1224</v>
      </c>
      <c r="C1203" s="6" t="str">
        <f>IFERROR(__xludf.DUMMYFUNCTION("SPLIT('2. c'!B1203, "" "", True, True)"),"Campylobacter")</f>
        <v>Campylobacter</v>
      </c>
      <c r="D1203" t="str">
        <f>IFERROR(__xludf.DUMMYFUNCTION("""COMPUTED_VALUE"""),"jejuni")</f>
        <v>jejuni</v>
      </c>
      <c r="E1203" t="str">
        <f>IFERROR(__xludf.DUMMYFUNCTION("""COMPUTED_VALUE"""),"subsp.")</f>
        <v>subsp.</v>
      </c>
      <c r="F1203" t="str">
        <f>IFERROR(__xludf.DUMMYFUNCTION("""COMPUTED_VALUE"""),"jejuni")</f>
        <v>jejuni</v>
      </c>
      <c r="G1203" t="str">
        <f>IFERROR(__xludf.DUMMYFUNCTION("""COMPUTED_VALUE"""),"NCTC")</f>
        <v>NCTC</v>
      </c>
      <c r="H1203" t="str">
        <f>IFERROR(__xludf.DUMMYFUNCTION("""COMPUTED_VALUE"""),"11168-GSv")</f>
        <v>11168-GSv</v>
      </c>
      <c r="I1203" t="str">
        <f>IFERROR(__xludf.DUMMYFUNCTION("""COMPUTED_VALUE"""),"NCTC")</f>
        <v>NCTC</v>
      </c>
      <c r="J1203" t="str">
        <f>IFERROR(__xludf.DUMMYFUNCTION("""COMPUTED_VALUE"""),"11168-rNRC")</f>
        <v>11168-rNRC</v>
      </c>
    </row>
    <row r="1204" ht="15.75" customHeight="1">
      <c r="A1204" t="str">
        <f t="shared" si="1"/>
        <v>C.jejuni</v>
      </c>
      <c r="B1204" s="5" t="s">
        <v>1225</v>
      </c>
      <c r="C1204" s="6" t="str">
        <f>IFERROR(__xludf.DUMMYFUNCTION("SPLIT('2. c'!B1204, "" "", True, True)"),"Campylobacter")</f>
        <v>Campylobacter</v>
      </c>
      <c r="D1204" t="str">
        <f>IFERROR(__xludf.DUMMYFUNCTION("""COMPUTED_VALUE"""),"jejuni")</f>
        <v>jejuni</v>
      </c>
      <c r="E1204" t="str">
        <f>IFERROR(__xludf.DUMMYFUNCTION("""COMPUTED_VALUE"""),"subsp.")</f>
        <v>subsp.</v>
      </c>
      <c r="F1204" t="str">
        <f>IFERROR(__xludf.DUMMYFUNCTION("""COMPUTED_VALUE"""),"jejuni")</f>
        <v>jejuni</v>
      </c>
      <c r="G1204" t="str">
        <f>IFERROR(__xludf.DUMMYFUNCTION("""COMPUTED_VALUE"""),"NCTC")</f>
        <v>NCTC</v>
      </c>
      <c r="H1204" t="str">
        <f>IFERROR(__xludf.DUMMYFUNCTION("""COMPUTED_VALUE"""),"11168-K12E5")</f>
        <v>11168-K12E5</v>
      </c>
    </row>
    <row r="1205" ht="15.75" customHeight="1">
      <c r="A1205" t="str">
        <f t="shared" si="1"/>
        <v>C.jejuni</v>
      </c>
      <c r="B1205" s="5" t="s">
        <v>1226</v>
      </c>
      <c r="C1205" s="6" t="str">
        <f>IFERROR(__xludf.DUMMYFUNCTION("SPLIT('2. c'!B1205, "" "", True, True)"),"Campylobacter")</f>
        <v>Campylobacter</v>
      </c>
      <c r="D1205" t="str">
        <f>IFERROR(__xludf.DUMMYFUNCTION("""COMPUTED_VALUE"""),"jejuni")</f>
        <v>jejuni</v>
      </c>
      <c r="E1205" t="str">
        <f>IFERROR(__xludf.DUMMYFUNCTION("""COMPUTED_VALUE"""),"subsp.")</f>
        <v>subsp.</v>
      </c>
      <c r="F1205" t="str">
        <f>IFERROR(__xludf.DUMMYFUNCTION("""COMPUTED_VALUE"""),"jejuni")</f>
        <v>jejuni</v>
      </c>
      <c r="G1205" t="str">
        <f>IFERROR(__xludf.DUMMYFUNCTION("""COMPUTED_VALUE"""),"NCTC")</f>
        <v>NCTC</v>
      </c>
      <c r="H1205" t="str">
        <f>IFERROR(__xludf.DUMMYFUNCTION("""COMPUTED_VALUE"""),"11168-Kf1")</f>
        <v>11168-Kf1</v>
      </c>
    </row>
    <row r="1206" ht="15.75" customHeight="1">
      <c r="A1206" t="str">
        <f t="shared" si="1"/>
        <v>C.jejuni</v>
      </c>
      <c r="B1206" s="5" t="s">
        <v>1227</v>
      </c>
      <c r="C1206" s="6" t="str">
        <f>IFERROR(__xludf.DUMMYFUNCTION("SPLIT('2. c'!B1206, "" "", True, True)"),"Campylobacter")</f>
        <v>Campylobacter</v>
      </c>
      <c r="D1206" t="str">
        <f>IFERROR(__xludf.DUMMYFUNCTION("""COMPUTED_VALUE"""),"jejuni")</f>
        <v>jejuni</v>
      </c>
      <c r="E1206" t="str">
        <f>IFERROR(__xludf.DUMMYFUNCTION("""COMPUTED_VALUE"""),"subsp.")</f>
        <v>subsp.</v>
      </c>
      <c r="F1206" t="str">
        <f>IFERROR(__xludf.DUMMYFUNCTION("""COMPUTED_VALUE"""),"jejuni")</f>
        <v>jejuni</v>
      </c>
      <c r="G1206" t="str">
        <f>IFERROR(__xludf.DUMMYFUNCTION("""COMPUTED_VALUE"""),"NCTC")</f>
        <v>NCTC</v>
      </c>
      <c r="H1206" t="str">
        <f>IFERROR(__xludf.DUMMYFUNCTION("""COMPUTED_VALUE"""),"11168-mcK12E5")</f>
        <v>11168-mcK12E5</v>
      </c>
    </row>
    <row r="1207" ht="15.75" customHeight="1">
      <c r="A1207" t="str">
        <f t="shared" si="1"/>
        <v>C.jejuni</v>
      </c>
      <c r="B1207" s="5" t="s">
        <v>1228</v>
      </c>
      <c r="C1207" s="6" t="str">
        <f>IFERROR(__xludf.DUMMYFUNCTION("SPLIT('2. c'!B1207, "" "", True, True)"),"Campylobacter")</f>
        <v>Campylobacter</v>
      </c>
      <c r="D1207" t="str">
        <f>IFERROR(__xludf.DUMMYFUNCTION("""COMPUTED_VALUE"""),"jejuni")</f>
        <v>jejuni</v>
      </c>
      <c r="E1207" t="str">
        <f>IFERROR(__xludf.DUMMYFUNCTION("""COMPUTED_VALUE"""),"subsp.")</f>
        <v>subsp.</v>
      </c>
      <c r="F1207" t="str">
        <f>IFERROR(__xludf.DUMMYFUNCTION("""COMPUTED_VALUE"""),"jejuni")</f>
        <v>jejuni</v>
      </c>
      <c r="G1207" t="str">
        <f>IFERROR(__xludf.DUMMYFUNCTION("""COMPUTED_VALUE"""),"NCTC")</f>
        <v>NCTC</v>
      </c>
      <c r="H1207" t="str">
        <f>IFERROR(__xludf.DUMMYFUNCTION("""COMPUTED_VALUE"""),"11168-mfK12E5")</f>
        <v>11168-mfK12E5</v>
      </c>
    </row>
    <row r="1208" ht="15.75" customHeight="1">
      <c r="A1208" t="str">
        <f t="shared" si="1"/>
        <v>C.jejuni</v>
      </c>
      <c r="B1208" s="5" t="s">
        <v>1229</v>
      </c>
      <c r="C1208" s="6" t="str">
        <f>IFERROR(__xludf.DUMMYFUNCTION("SPLIT('2. c'!B1208, "" "", True, True)"),"Campylobacter")</f>
        <v>Campylobacter</v>
      </c>
      <c r="D1208" t="str">
        <f>IFERROR(__xludf.DUMMYFUNCTION("""COMPUTED_VALUE"""),"jejuni")</f>
        <v>jejuni</v>
      </c>
      <c r="E1208" t="str">
        <f>IFERROR(__xludf.DUMMYFUNCTION("""COMPUTED_VALUE"""),"subsp.")</f>
        <v>subsp.</v>
      </c>
      <c r="F1208" t="str">
        <f>IFERROR(__xludf.DUMMYFUNCTION("""COMPUTED_VALUE"""),"jejuni")</f>
        <v>jejuni</v>
      </c>
      <c r="G1208" t="str">
        <f>IFERROR(__xludf.DUMMYFUNCTION("""COMPUTED_VALUE"""),"PT14")</f>
        <v>PT14</v>
      </c>
    </row>
    <row r="1209" ht="15.75" customHeight="1">
      <c r="A1209" t="str">
        <f t="shared" si="1"/>
        <v>C.jejuni</v>
      </c>
      <c r="B1209" s="5" t="s">
        <v>1230</v>
      </c>
      <c r="C1209" s="6" t="str">
        <f>IFERROR(__xludf.DUMMYFUNCTION("SPLIT('2. c'!B1209, "" "", True, True)"),"Campylobacter")</f>
        <v>Campylobacter</v>
      </c>
      <c r="D1209" t="str">
        <f>IFERROR(__xludf.DUMMYFUNCTION("""COMPUTED_VALUE"""),"jejuni")</f>
        <v>jejuni</v>
      </c>
      <c r="E1209" t="str">
        <f>IFERROR(__xludf.DUMMYFUNCTION("""COMPUTED_VALUE"""),"subsp.")</f>
        <v>subsp.</v>
      </c>
      <c r="F1209" t="str">
        <f>IFERROR(__xludf.DUMMYFUNCTION("""COMPUTED_VALUE"""),"jejuni")</f>
        <v>jejuni</v>
      </c>
      <c r="G1209" t="str">
        <f>IFERROR(__xludf.DUMMYFUNCTION("""COMPUTED_VALUE"""),"R14")</f>
        <v>R14</v>
      </c>
    </row>
    <row r="1210" ht="15.75" customHeight="1">
      <c r="A1210" t="str">
        <f t="shared" si="1"/>
        <v>C.jejuni</v>
      </c>
      <c r="B1210" s="5" t="s">
        <v>1231</v>
      </c>
      <c r="C1210" s="6" t="str">
        <f>IFERROR(__xludf.DUMMYFUNCTION("SPLIT('2. c'!B1210, "" "", True, True)"),"Campylobacter")</f>
        <v>Campylobacter</v>
      </c>
      <c r="D1210" t="str">
        <f>IFERROR(__xludf.DUMMYFUNCTION("""COMPUTED_VALUE"""),"jejuni")</f>
        <v>jejuni</v>
      </c>
      <c r="E1210" t="str">
        <f>IFERROR(__xludf.DUMMYFUNCTION("""COMPUTED_VALUE"""),"subsp.")</f>
        <v>subsp.</v>
      </c>
      <c r="F1210" t="str">
        <f>IFERROR(__xludf.DUMMYFUNCTION("""COMPUTED_VALUE"""),"jejuni")</f>
        <v>jejuni</v>
      </c>
      <c r="G1210" t="str">
        <f>IFERROR(__xludf.DUMMYFUNCTION("""COMPUTED_VALUE"""),"S3")</f>
        <v>S3</v>
      </c>
    </row>
    <row r="1211" ht="15.75" customHeight="1">
      <c r="A1211" t="str">
        <f t="shared" si="1"/>
        <v>C.jejuni</v>
      </c>
      <c r="B1211" s="5" t="s">
        <v>1232</v>
      </c>
      <c r="C1211" s="6" t="str">
        <f>IFERROR(__xludf.DUMMYFUNCTION("SPLIT('2. c'!B1211, "" "", True, True)"),"Campylobacter")</f>
        <v>Campylobacter</v>
      </c>
      <c r="D1211" t="str">
        <f>IFERROR(__xludf.DUMMYFUNCTION("""COMPUTED_VALUE"""),"jejuni")</f>
        <v>jejuni</v>
      </c>
      <c r="E1211" t="str">
        <f>IFERROR(__xludf.DUMMYFUNCTION("""COMPUTED_VALUE"""),"subsp.")</f>
        <v>subsp.</v>
      </c>
      <c r="F1211" t="str">
        <f>IFERROR(__xludf.DUMMYFUNCTION("""COMPUTED_VALUE"""),"jejuni")</f>
        <v>jejuni</v>
      </c>
      <c r="G1211" t="str">
        <f>IFERROR(__xludf.DUMMYFUNCTION("""COMPUTED_VALUE"""),"strain")</f>
        <v>strain</v>
      </c>
      <c r="H1211" t="str">
        <f>IFERROR(__xludf.DUMMYFUNCTION("""COMPUTED_VALUE"""),"00-0949")</f>
        <v>00-0949</v>
      </c>
    </row>
    <row r="1212" ht="15.75" customHeight="1">
      <c r="A1212" t="str">
        <f t="shared" si="1"/>
        <v>C.jejuni</v>
      </c>
      <c r="B1212" s="5" t="s">
        <v>1233</v>
      </c>
      <c r="C1212" s="6" t="str">
        <f>IFERROR(__xludf.DUMMYFUNCTION("SPLIT('2. c'!B1212, "" "", True, True)"),"Campylobacter")</f>
        <v>Campylobacter</v>
      </c>
      <c r="D1212" t="str">
        <f>IFERROR(__xludf.DUMMYFUNCTION("""COMPUTED_VALUE"""),"jejuni")</f>
        <v>jejuni</v>
      </c>
      <c r="E1212" t="str">
        <f>IFERROR(__xludf.DUMMYFUNCTION("""COMPUTED_VALUE"""),"subsp.")</f>
        <v>subsp.</v>
      </c>
      <c r="F1212" t="str">
        <f>IFERROR(__xludf.DUMMYFUNCTION("""COMPUTED_VALUE"""),"jejuni")</f>
        <v>jejuni</v>
      </c>
      <c r="G1212" t="str">
        <f>IFERROR(__xludf.DUMMYFUNCTION("""COMPUTED_VALUE"""),"strain")</f>
        <v>strain</v>
      </c>
      <c r="H1212" t="str">
        <f>IFERROR(__xludf.DUMMYFUNCTION("""COMPUTED_VALUE"""),"00-1597")</f>
        <v>00-1597</v>
      </c>
    </row>
    <row r="1213" ht="15.75" customHeight="1">
      <c r="A1213" t="str">
        <f t="shared" si="1"/>
        <v>C.jejuni</v>
      </c>
      <c r="B1213" s="5" t="s">
        <v>1234</v>
      </c>
      <c r="C1213" s="6" t="str">
        <f>IFERROR(__xludf.DUMMYFUNCTION("SPLIT('2. c'!B1213, "" "", True, True)"),"Campylobacter")</f>
        <v>Campylobacter</v>
      </c>
      <c r="D1213" t="str">
        <f>IFERROR(__xludf.DUMMYFUNCTION("""COMPUTED_VALUE"""),"jejuni")</f>
        <v>jejuni</v>
      </c>
      <c r="E1213" t="str">
        <f>IFERROR(__xludf.DUMMYFUNCTION("""COMPUTED_VALUE"""),"subsp.")</f>
        <v>subsp.</v>
      </c>
      <c r="F1213" t="str">
        <f>IFERROR(__xludf.DUMMYFUNCTION("""COMPUTED_VALUE"""),"jejuni")</f>
        <v>jejuni</v>
      </c>
      <c r="G1213" t="str">
        <f>IFERROR(__xludf.DUMMYFUNCTION("""COMPUTED_VALUE"""),"strain")</f>
        <v>strain</v>
      </c>
      <c r="H1213" t="str">
        <f>IFERROR(__xludf.DUMMYFUNCTION("""COMPUTED_VALUE"""),"00-6200")</f>
        <v>00-6200</v>
      </c>
    </row>
    <row r="1214" ht="15.75" customHeight="1">
      <c r="A1214" t="str">
        <f t="shared" si="1"/>
        <v>C.jejuni</v>
      </c>
      <c r="B1214" s="5" t="s">
        <v>1235</v>
      </c>
      <c r="C1214" s="6" t="str">
        <f>IFERROR(__xludf.DUMMYFUNCTION("SPLIT('2. c'!B1214, "" "", True, True)"),"Campylobacter")</f>
        <v>Campylobacter</v>
      </c>
      <c r="D1214" t="str">
        <f>IFERROR(__xludf.DUMMYFUNCTION("""COMPUTED_VALUE"""),"jejuni")</f>
        <v>jejuni</v>
      </c>
      <c r="E1214" t="str">
        <f>IFERROR(__xludf.DUMMYFUNCTION("""COMPUTED_VALUE"""),"subsp.")</f>
        <v>subsp.</v>
      </c>
      <c r="F1214" t="str">
        <f>IFERROR(__xludf.DUMMYFUNCTION("""COMPUTED_VALUE"""),"jejuni")</f>
        <v>jejuni</v>
      </c>
      <c r="G1214" t="str">
        <f>IFERROR(__xludf.DUMMYFUNCTION("""COMPUTED_VALUE"""),"strain")</f>
        <v>strain</v>
      </c>
      <c r="H1214" s="37">
        <f>IFERROR(__xludf.DUMMYFUNCTION("""COMPUTED_VALUE"""),-141713.0)</f>
        <v>-141713</v>
      </c>
    </row>
    <row r="1215" ht="15.75" customHeight="1">
      <c r="A1215" t="str">
        <f t="shared" si="1"/>
        <v>C.jejuni</v>
      </c>
      <c r="B1215" s="5" t="s">
        <v>1236</v>
      </c>
      <c r="C1215" s="6" t="str">
        <f>IFERROR(__xludf.DUMMYFUNCTION("SPLIT('2. c'!B1215, "" "", True, True)"),"Campylobacter")</f>
        <v>Campylobacter</v>
      </c>
      <c r="D1215" t="str">
        <f>IFERROR(__xludf.DUMMYFUNCTION("""COMPUTED_VALUE"""),"jejuni")</f>
        <v>jejuni</v>
      </c>
      <c r="E1215" t="str">
        <f>IFERROR(__xludf.DUMMYFUNCTION("""COMPUTED_VALUE"""),"subsp.")</f>
        <v>subsp.</v>
      </c>
      <c r="F1215" t="str">
        <f>IFERROR(__xludf.DUMMYFUNCTION("""COMPUTED_VALUE"""),"jejuni")</f>
        <v>jejuni</v>
      </c>
      <c r="G1215" t="str">
        <f>IFERROR(__xludf.DUMMYFUNCTION("""COMPUTED_VALUE"""),"strain")</f>
        <v>strain</v>
      </c>
      <c r="H1215" t="str">
        <f>IFERROR(__xludf.DUMMYFUNCTION("""COMPUTED_VALUE"""),"35925B2")</f>
        <v>35925B2</v>
      </c>
    </row>
    <row r="1216" ht="15.75" customHeight="1">
      <c r="A1216" t="str">
        <f t="shared" si="1"/>
        <v>C.jejuni</v>
      </c>
      <c r="B1216" s="5" t="s">
        <v>1237</v>
      </c>
      <c r="C1216" s="6" t="str">
        <f>IFERROR(__xludf.DUMMYFUNCTION("SPLIT('2. c'!B1216, "" "", True, True)"),"Campylobacter")</f>
        <v>Campylobacter</v>
      </c>
      <c r="D1216" t="str">
        <f>IFERROR(__xludf.DUMMYFUNCTION("""COMPUTED_VALUE"""),"jejuni")</f>
        <v>jejuni</v>
      </c>
      <c r="E1216" t="str">
        <f>IFERROR(__xludf.DUMMYFUNCTION("""COMPUTED_VALUE"""),"subsp.")</f>
        <v>subsp.</v>
      </c>
      <c r="F1216" t="str">
        <f>IFERROR(__xludf.DUMMYFUNCTION("""COMPUTED_VALUE"""),"jejuni")</f>
        <v>jejuni</v>
      </c>
      <c r="G1216" t="str">
        <f>IFERROR(__xludf.DUMMYFUNCTION("""COMPUTED_VALUE"""),"strain")</f>
        <v>strain</v>
      </c>
      <c r="H1216" t="str">
        <f>IFERROR(__xludf.DUMMYFUNCTION("""COMPUTED_VALUE"""),"MTVDSCj20")</f>
        <v>MTVDSCj20</v>
      </c>
    </row>
    <row r="1217" ht="15.75" customHeight="1">
      <c r="A1217" t="str">
        <f t="shared" si="1"/>
        <v>C.jejuni</v>
      </c>
      <c r="B1217" s="5" t="s">
        <v>1238</v>
      </c>
      <c r="C1217" s="6" t="str">
        <f>IFERROR(__xludf.DUMMYFUNCTION("SPLIT('2. c'!B1217, "" "", True, True)"),"Campylobacter")</f>
        <v>Campylobacter</v>
      </c>
      <c r="D1217" t="str">
        <f>IFERROR(__xludf.DUMMYFUNCTION("""COMPUTED_VALUE"""),"jejuni")</f>
        <v>jejuni</v>
      </c>
      <c r="E1217" t="str">
        <f>IFERROR(__xludf.DUMMYFUNCTION("""COMPUTED_VALUE"""),"subsp.")</f>
        <v>subsp.</v>
      </c>
      <c r="F1217" t="str">
        <f>IFERROR(__xludf.DUMMYFUNCTION("""COMPUTED_VALUE"""),"jejuni")</f>
        <v>jejuni</v>
      </c>
      <c r="G1217" t="str">
        <f>IFERROR(__xludf.DUMMYFUNCTION("""COMPUTED_VALUE"""),"strain")</f>
        <v>strain</v>
      </c>
      <c r="H1217" t="str">
        <f>IFERROR(__xludf.DUMMYFUNCTION("""COMPUTED_VALUE"""),"RM3196")</f>
        <v>RM3196</v>
      </c>
    </row>
    <row r="1218" ht="15.75" customHeight="1">
      <c r="A1218" t="str">
        <f t="shared" si="1"/>
        <v>C.jejuni</v>
      </c>
      <c r="B1218" s="5" t="s">
        <v>1239</v>
      </c>
      <c r="C1218" s="6" t="str">
        <f>IFERROR(__xludf.DUMMYFUNCTION("SPLIT('2. c'!B1218, "" "", True, True)"),"Campylobacter")</f>
        <v>Campylobacter</v>
      </c>
      <c r="D1218" t="str">
        <f>IFERROR(__xludf.DUMMYFUNCTION("""COMPUTED_VALUE"""),"jejuni")</f>
        <v>jejuni</v>
      </c>
      <c r="E1218" t="str">
        <f>IFERROR(__xludf.DUMMYFUNCTION("""COMPUTED_VALUE"""),"subsp.")</f>
        <v>subsp.</v>
      </c>
      <c r="F1218" t="str">
        <f>IFERROR(__xludf.DUMMYFUNCTION("""COMPUTED_VALUE"""),"jejuni")</f>
        <v>jejuni</v>
      </c>
      <c r="G1218" t="str">
        <f>IFERROR(__xludf.DUMMYFUNCTION("""COMPUTED_VALUE"""),"strain")</f>
        <v>strain</v>
      </c>
      <c r="H1218" t="str">
        <f>IFERROR(__xludf.DUMMYFUNCTION("""COMPUTED_VALUE"""),"RM3197")</f>
        <v>RM3197</v>
      </c>
    </row>
    <row r="1219" ht="15.75" customHeight="1">
      <c r="A1219" t="str">
        <f t="shared" si="1"/>
        <v>C.jejuni</v>
      </c>
      <c r="B1219" s="5" t="s">
        <v>1240</v>
      </c>
      <c r="C1219" s="6" t="str">
        <f>IFERROR(__xludf.DUMMYFUNCTION("SPLIT('2. c'!B1219, "" "", True, True)"),"Campylobacter")</f>
        <v>Campylobacter</v>
      </c>
      <c r="D1219" t="str">
        <f>IFERROR(__xludf.DUMMYFUNCTION("""COMPUTED_VALUE"""),"jejuni")</f>
        <v>jejuni</v>
      </c>
      <c r="E1219" t="str">
        <f>IFERROR(__xludf.DUMMYFUNCTION("""COMPUTED_VALUE"""),"subsp.")</f>
        <v>subsp.</v>
      </c>
      <c r="F1219" t="str">
        <f>IFERROR(__xludf.DUMMYFUNCTION("""COMPUTED_VALUE"""),"jejuni")</f>
        <v>jejuni</v>
      </c>
      <c r="G1219" t="str">
        <f>IFERROR(__xludf.DUMMYFUNCTION("""COMPUTED_VALUE"""),"strain")</f>
        <v>strain</v>
      </c>
      <c r="H1219" t="str">
        <f>IFERROR(__xludf.DUMMYFUNCTION("""COMPUTED_VALUE"""),"YH001")</f>
        <v>YH001</v>
      </c>
    </row>
    <row r="1220" ht="15.75" customHeight="1">
      <c r="A1220" t="str">
        <f t="shared" si="1"/>
        <v>C.lari</v>
      </c>
      <c r="B1220" s="5" t="s">
        <v>1241</v>
      </c>
      <c r="C1220" s="6" t="str">
        <f>IFERROR(__xludf.DUMMYFUNCTION("SPLIT('2. c'!B1220, "" "", True, True)"),"Campylobacter")</f>
        <v>Campylobacter</v>
      </c>
      <c r="D1220" t="str">
        <f>IFERROR(__xludf.DUMMYFUNCTION("""COMPUTED_VALUE"""),"lari")</f>
        <v>lari</v>
      </c>
      <c r="E1220" t="str">
        <f>IFERROR(__xludf.DUMMYFUNCTION("""COMPUTED_VALUE"""),"CCUG")</f>
        <v>CCUG</v>
      </c>
      <c r="F1220">
        <f>IFERROR(__xludf.DUMMYFUNCTION("""COMPUTED_VALUE"""),22395.0)</f>
        <v>22395</v>
      </c>
    </row>
    <row r="1221" ht="15.75" customHeight="1">
      <c r="A1221" t="str">
        <f t="shared" si="1"/>
        <v>C.lari</v>
      </c>
      <c r="B1221" s="5" t="s">
        <v>1242</v>
      </c>
      <c r="C1221" s="6" t="str">
        <f>IFERROR(__xludf.DUMMYFUNCTION("SPLIT('2. c'!B1221, "" "", True, True)"),"Campylobacter")</f>
        <v>Campylobacter</v>
      </c>
      <c r="D1221" t="str">
        <f>IFERROR(__xludf.DUMMYFUNCTION("""COMPUTED_VALUE"""),"lari")</f>
        <v>lari</v>
      </c>
      <c r="E1221" t="str">
        <f>IFERROR(__xludf.DUMMYFUNCTION("""COMPUTED_VALUE"""),"NCTC")</f>
        <v>NCTC</v>
      </c>
      <c r="F1221">
        <f>IFERROR(__xludf.DUMMYFUNCTION("""COMPUTED_VALUE"""),11845.0)</f>
        <v>11845</v>
      </c>
    </row>
    <row r="1222" ht="15.75" customHeight="1">
      <c r="A1222" t="str">
        <f t="shared" si="1"/>
        <v>C.lari</v>
      </c>
      <c r="B1222" s="5" t="s">
        <v>1243</v>
      </c>
      <c r="C1222" s="6" t="str">
        <f>IFERROR(__xludf.DUMMYFUNCTION("SPLIT('2. c'!B1222, "" "", True, True)"),"Campylobacter")</f>
        <v>Campylobacter</v>
      </c>
      <c r="D1222" t="str">
        <f>IFERROR(__xludf.DUMMYFUNCTION("""COMPUTED_VALUE"""),"lari")</f>
        <v>lari</v>
      </c>
      <c r="E1222" t="str">
        <f>IFERROR(__xludf.DUMMYFUNCTION("""COMPUTED_VALUE"""),"RM16701")</f>
        <v>RM16701</v>
      </c>
    </row>
    <row r="1223" ht="15.75" customHeight="1">
      <c r="A1223" t="str">
        <f t="shared" si="1"/>
        <v>C.lari</v>
      </c>
      <c r="B1223" s="5" t="s">
        <v>1244</v>
      </c>
      <c r="C1223" s="6" t="str">
        <f>IFERROR(__xludf.DUMMYFUNCTION("SPLIT('2. c'!B1223, "" "", True, True)"),"Campylobacter")</f>
        <v>Campylobacter</v>
      </c>
      <c r="D1223" t="str">
        <f>IFERROR(__xludf.DUMMYFUNCTION("""COMPUTED_VALUE"""),"lari")</f>
        <v>lari</v>
      </c>
      <c r="E1223" t="str">
        <f>IFERROR(__xludf.DUMMYFUNCTION("""COMPUTED_VALUE"""),"RM16712")</f>
        <v>RM16712</v>
      </c>
    </row>
    <row r="1224" ht="15.75" customHeight="1">
      <c r="A1224" t="str">
        <f t="shared" si="1"/>
        <v>C.lari</v>
      </c>
      <c r="B1224" s="5" t="s">
        <v>1245</v>
      </c>
      <c r="C1224" s="6" t="str">
        <f>IFERROR(__xludf.DUMMYFUNCTION("SPLIT('2. c'!B1224, "" "", True, True)"),"Campylobacter")</f>
        <v>Campylobacter</v>
      </c>
      <c r="D1224" t="str">
        <f>IFERROR(__xludf.DUMMYFUNCTION("""COMPUTED_VALUE"""),"lari")</f>
        <v>lari</v>
      </c>
      <c r="E1224" t="str">
        <f>IFERROR(__xludf.DUMMYFUNCTION("""COMPUTED_VALUE"""),"RM2100")</f>
        <v>RM2100</v>
      </c>
    </row>
    <row r="1225" ht="15.75" customHeight="1">
      <c r="A1225" t="str">
        <f t="shared" si="1"/>
        <v>C.lari</v>
      </c>
      <c r="B1225" s="5" t="s">
        <v>1246</v>
      </c>
      <c r="C1225" s="6" t="str">
        <f>IFERROR(__xludf.DUMMYFUNCTION("SPLIT('2. c'!B1225, "" "", True, True)"),"Campylobacter")</f>
        <v>Campylobacter</v>
      </c>
      <c r="D1225" t="str">
        <f>IFERROR(__xludf.DUMMYFUNCTION("""COMPUTED_VALUE"""),"lari")</f>
        <v>lari</v>
      </c>
      <c r="E1225" t="str">
        <f>IFERROR(__xludf.DUMMYFUNCTION("""COMPUTED_VALUE"""),"strain")</f>
        <v>strain</v>
      </c>
      <c r="F1225" t="str">
        <f>IFERROR(__xludf.DUMMYFUNCTION("""COMPUTED_VALUE"""),"Slaughter")</f>
        <v>Slaughter</v>
      </c>
      <c r="G1225" t="str">
        <f>IFERROR(__xludf.DUMMYFUNCTION("""COMPUTED_VALUE"""),"Beach")</f>
        <v>Beach</v>
      </c>
    </row>
    <row r="1226" ht="15.75" customHeight="1">
      <c r="A1226" t="str">
        <f t="shared" si="1"/>
        <v>C.lari</v>
      </c>
      <c r="B1226" s="5" t="s">
        <v>1247</v>
      </c>
      <c r="C1226" s="6" t="str">
        <f>IFERROR(__xludf.DUMMYFUNCTION("SPLIT('2. c'!B1226, "" "", True, True)"),"Campylobacter")</f>
        <v>Campylobacter</v>
      </c>
      <c r="D1226" t="str">
        <f>IFERROR(__xludf.DUMMYFUNCTION("""COMPUTED_VALUE"""),"lari")</f>
        <v>lari</v>
      </c>
      <c r="E1226" t="str">
        <f>IFERROR(__xludf.DUMMYFUNCTION("""COMPUTED_VALUE"""),"subsp.")</f>
        <v>subsp.</v>
      </c>
      <c r="F1226" t="str">
        <f>IFERROR(__xludf.DUMMYFUNCTION("""COMPUTED_VALUE"""),"concheus")</f>
        <v>concheus</v>
      </c>
      <c r="G1226" t="str">
        <f>IFERROR(__xludf.DUMMYFUNCTION("""COMPUTED_VALUE"""),"LMG")</f>
        <v>LMG</v>
      </c>
      <c r="H1226">
        <f>IFERROR(__xludf.DUMMYFUNCTION("""COMPUTED_VALUE"""),11760.0)</f>
        <v>11760</v>
      </c>
    </row>
    <row r="1227" ht="15.75" customHeight="1">
      <c r="A1227" t="str">
        <f t="shared" si="1"/>
        <v>C.peloridis</v>
      </c>
      <c r="B1227" s="5" t="s">
        <v>1248</v>
      </c>
      <c r="C1227" s="6" t="str">
        <f>IFERROR(__xludf.DUMMYFUNCTION("SPLIT('2. c'!B1227, "" "", True, True)"),"Campylobacter")</f>
        <v>Campylobacter</v>
      </c>
      <c r="D1227" t="str">
        <f>IFERROR(__xludf.DUMMYFUNCTION("""COMPUTED_VALUE"""),"peloridis")</f>
        <v>peloridis</v>
      </c>
      <c r="E1227" t="str">
        <f>IFERROR(__xludf.DUMMYFUNCTION("""COMPUTED_VALUE"""),"LMG")</f>
        <v>LMG</v>
      </c>
      <c r="F1227">
        <f>IFERROR(__xludf.DUMMYFUNCTION("""COMPUTED_VALUE"""),23910.0)</f>
        <v>23910</v>
      </c>
    </row>
    <row r="1228" ht="15.75" customHeight="1">
      <c r="A1228" t="str">
        <f t="shared" si="1"/>
        <v>C.sp.</v>
      </c>
      <c r="B1228" s="5" t="s">
        <v>1249</v>
      </c>
      <c r="C1228" s="6" t="str">
        <f>IFERROR(__xludf.DUMMYFUNCTION("SPLIT('2. c'!B1228, "" "", True, True)"),"Campylobacter")</f>
        <v>Campylobacter</v>
      </c>
      <c r="D1228" t="str">
        <f>IFERROR(__xludf.DUMMYFUNCTION("""COMPUTED_VALUE"""),"sp.")</f>
        <v>sp.</v>
      </c>
      <c r="E1228" t="str">
        <f>IFERROR(__xludf.DUMMYFUNCTION("""COMPUTED_VALUE"""),"03-427")</f>
        <v>03-427</v>
      </c>
    </row>
    <row r="1229" ht="15.75" customHeight="1">
      <c r="A1229" t="str">
        <f t="shared" si="1"/>
        <v>C.sp.</v>
      </c>
      <c r="B1229" s="5" t="s">
        <v>1250</v>
      </c>
      <c r="C1229" s="6" t="str">
        <f>IFERROR(__xludf.DUMMYFUNCTION("SPLIT('2. c'!B1229, "" "", True, True)"),"Campylobacter")</f>
        <v>Campylobacter</v>
      </c>
      <c r="D1229" t="str">
        <f>IFERROR(__xludf.DUMMYFUNCTION("""COMPUTED_VALUE"""),"sp.")</f>
        <v>sp.</v>
      </c>
      <c r="E1229" t="str">
        <f>IFERROR(__xludf.DUMMYFUNCTION("""COMPUTED_VALUE"""),"1485E")</f>
        <v>1485E</v>
      </c>
    </row>
    <row r="1230" ht="15.75" customHeight="1">
      <c r="A1230" t="str">
        <f t="shared" si="1"/>
        <v>C.sp.</v>
      </c>
      <c r="B1230" s="5" t="s">
        <v>1251</v>
      </c>
      <c r="C1230" s="6" t="str">
        <f>IFERROR(__xludf.DUMMYFUNCTION("SPLIT('2. c'!B1230, "" "", True, True)"),"Campylobacter")</f>
        <v>Campylobacter</v>
      </c>
      <c r="D1230" t="str">
        <f>IFERROR(__xludf.DUMMYFUNCTION("""COMPUTED_VALUE"""),"sp.")</f>
        <v>sp.</v>
      </c>
      <c r="E1230" t="str">
        <f>IFERROR(__xludf.DUMMYFUNCTION("""COMPUTED_VALUE"""),"RM16704")</f>
        <v>RM16704</v>
      </c>
    </row>
    <row r="1231" ht="15.75" customHeight="1">
      <c r="A1231" t="str">
        <f t="shared" si="1"/>
        <v>C.subantarcticus</v>
      </c>
      <c r="B1231" s="5" t="s">
        <v>1252</v>
      </c>
      <c r="C1231" s="6" t="str">
        <f>IFERROR(__xludf.DUMMYFUNCTION("SPLIT('2. c'!B1231, "" "", True, True)"),"Campylobacter")</f>
        <v>Campylobacter</v>
      </c>
      <c r="D1231" t="str">
        <f>IFERROR(__xludf.DUMMYFUNCTION("""COMPUTED_VALUE"""),"subantarcticus")</f>
        <v>subantarcticus</v>
      </c>
      <c r="E1231" t="str">
        <f>IFERROR(__xludf.DUMMYFUNCTION("""COMPUTED_VALUE"""),"LMG")</f>
        <v>LMG</v>
      </c>
      <c r="F1231">
        <f>IFERROR(__xludf.DUMMYFUNCTION("""COMPUTED_VALUE"""),24374.0)</f>
        <v>24374</v>
      </c>
    </row>
    <row r="1232" ht="15.75" customHeight="1">
      <c r="A1232" t="str">
        <f t="shared" si="1"/>
        <v>C.subantarcticus</v>
      </c>
      <c r="B1232" s="5" t="s">
        <v>1253</v>
      </c>
      <c r="C1232" s="6" t="str">
        <f>IFERROR(__xludf.DUMMYFUNCTION("SPLIT('2. c'!B1232, "" "", True, True)"),"Campylobacter")</f>
        <v>Campylobacter</v>
      </c>
      <c r="D1232" t="str">
        <f>IFERROR(__xludf.DUMMYFUNCTION("""COMPUTED_VALUE"""),"subantarcticus")</f>
        <v>subantarcticus</v>
      </c>
      <c r="E1232" t="str">
        <f>IFERROR(__xludf.DUMMYFUNCTION("""COMPUTED_VALUE"""),"LMG")</f>
        <v>LMG</v>
      </c>
      <c r="F1232">
        <f>IFERROR(__xludf.DUMMYFUNCTION("""COMPUTED_VALUE"""),24377.0)</f>
        <v>24377</v>
      </c>
    </row>
    <row r="1233" ht="15.75" customHeight="1">
      <c r="A1233" t="str">
        <f t="shared" si="1"/>
        <v>C.ureolyticus</v>
      </c>
      <c r="B1233" s="5" t="s">
        <v>1254</v>
      </c>
      <c r="C1233" s="6" t="str">
        <f>IFERROR(__xludf.DUMMYFUNCTION("SPLIT('2. c'!B1233, "" "", True, True)"),"Campylobacter")</f>
        <v>Campylobacter</v>
      </c>
      <c r="D1233" t="str">
        <f>IFERROR(__xludf.DUMMYFUNCTION("""COMPUTED_VALUE"""),"ureolyticus")</f>
        <v>ureolyticus</v>
      </c>
      <c r="E1233" t="str">
        <f>IFERROR(__xludf.DUMMYFUNCTION("""COMPUTED_VALUE"""),"RIGS")</f>
        <v>RIGS</v>
      </c>
      <c r="F1233">
        <f>IFERROR(__xludf.DUMMYFUNCTION("""COMPUTED_VALUE"""),9880.0)</f>
        <v>9880</v>
      </c>
    </row>
    <row r="1234" ht="15.75" customHeight="1">
      <c r="A1234" t="str">
        <f t="shared" si="1"/>
        <v>C.volucris</v>
      </c>
      <c r="B1234" s="5" t="s">
        <v>1255</v>
      </c>
      <c r="C1234" s="6" t="str">
        <f>IFERROR(__xludf.DUMMYFUNCTION("SPLIT('2. c'!B1234, "" "", True, True)"),"Campylobacter")</f>
        <v>Campylobacter</v>
      </c>
      <c r="D1234" t="str">
        <f>IFERROR(__xludf.DUMMYFUNCTION("""COMPUTED_VALUE"""),"volucris")</f>
        <v>volucris</v>
      </c>
      <c r="E1234" t="str">
        <f>IFERROR(__xludf.DUMMYFUNCTION("""COMPUTED_VALUE"""),"LMG")</f>
        <v>LMG</v>
      </c>
      <c r="F1234">
        <f>IFERROR(__xludf.DUMMYFUNCTION("""COMPUTED_VALUE"""),24379.0)</f>
        <v>24379</v>
      </c>
    </row>
    <row r="1235" ht="15.75" customHeight="1">
      <c r="A1235" t="str">
        <f t="shared" si="1"/>
        <v>c.division</v>
      </c>
      <c r="B1235" s="5" t="s">
        <v>1256</v>
      </c>
      <c r="C1235" s="6" t="str">
        <f>IFERROR(__xludf.DUMMYFUNCTION("SPLIT('2. c'!B1235, "" "", True, True)"),"candidate")</f>
        <v>candidate</v>
      </c>
      <c r="D1235" t="str">
        <f>IFERROR(__xludf.DUMMYFUNCTION("""COMPUTED_VALUE"""),"division")</f>
        <v>division</v>
      </c>
      <c r="E1235" t="str">
        <f>IFERROR(__xludf.DUMMYFUNCTION("""COMPUTED_VALUE"""),"TM6")</f>
        <v>TM6</v>
      </c>
      <c r="F1235" t="str">
        <f>IFERROR(__xludf.DUMMYFUNCTION("""COMPUTED_VALUE"""),"bacterium")</f>
        <v>bacterium</v>
      </c>
      <c r="G1235" t="str">
        <f>IFERROR(__xludf.DUMMYFUNCTION("""COMPUTED_VALUE"""),"GW2011_GWF2_28_16")</f>
        <v>GW2011_GWF2_28_16</v>
      </c>
    </row>
    <row r="1236" ht="15.75" customHeight="1">
      <c r="A1236" t="str">
        <f t="shared" si="1"/>
        <v>C.Accumulibacter</v>
      </c>
      <c r="B1236" s="5" t="s">
        <v>1257</v>
      </c>
      <c r="C1236" s="6" t="str">
        <f>IFERROR(__xludf.DUMMYFUNCTION("SPLIT('2. c'!B1236, "" "", True, True)"),"Candidatus")</f>
        <v>Candidatus</v>
      </c>
      <c r="D1236" t="str">
        <f>IFERROR(__xludf.DUMMYFUNCTION("""COMPUTED_VALUE"""),"Accumulibacter")</f>
        <v>Accumulibacter</v>
      </c>
      <c r="E1236" t="str">
        <f>IFERROR(__xludf.DUMMYFUNCTION("""COMPUTED_VALUE"""),"phosphatis")</f>
        <v>phosphatis</v>
      </c>
      <c r="F1236" t="str">
        <f>IFERROR(__xludf.DUMMYFUNCTION("""COMPUTED_VALUE"""),"clade")</f>
        <v>clade</v>
      </c>
      <c r="G1236" t="str">
        <f>IFERROR(__xludf.DUMMYFUNCTION("""COMPUTED_VALUE"""),"IIA")</f>
        <v>IIA</v>
      </c>
      <c r="H1236" t="str">
        <f>IFERROR(__xludf.DUMMYFUNCTION("""COMPUTED_VALUE"""),"str.")</f>
        <v>str.</v>
      </c>
      <c r="I1236" t="str">
        <f>IFERROR(__xludf.DUMMYFUNCTION("""COMPUTED_VALUE"""),"UW-1")</f>
        <v>UW-1</v>
      </c>
    </row>
    <row r="1237" ht="15.75" customHeight="1">
      <c r="A1237" t="str">
        <f t="shared" si="1"/>
        <v>C.Amoebophilus</v>
      </c>
      <c r="B1237" s="5" t="s">
        <v>1258</v>
      </c>
      <c r="C1237" s="6" t="str">
        <f>IFERROR(__xludf.DUMMYFUNCTION("SPLIT('2. c'!B1237, "" "", True, True)"),"Candidatus")</f>
        <v>Candidatus</v>
      </c>
      <c r="D1237" t="str">
        <f>IFERROR(__xludf.DUMMYFUNCTION("""COMPUTED_VALUE"""),"Amoebophilus")</f>
        <v>Amoebophilus</v>
      </c>
      <c r="E1237" t="str">
        <f>IFERROR(__xludf.DUMMYFUNCTION("""COMPUTED_VALUE"""),"asiaticus")</f>
        <v>asiaticus</v>
      </c>
      <c r="F1237" t="str">
        <f>IFERROR(__xludf.DUMMYFUNCTION("""COMPUTED_VALUE"""),"5a2")</f>
        <v>5a2</v>
      </c>
    </row>
    <row r="1238" ht="15.75" customHeight="1">
      <c r="A1238" t="str">
        <f t="shared" si="1"/>
        <v>C.Arthromitus</v>
      </c>
      <c r="B1238" s="5" t="s">
        <v>1259</v>
      </c>
      <c r="C1238" s="6" t="str">
        <f>IFERROR(__xludf.DUMMYFUNCTION("SPLIT('2. c'!B1238, "" "", True, True)"),"Candidatus")</f>
        <v>Candidatus</v>
      </c>
      <c r="D1238" t="str">
        <f>IFERROR(__xludf.DUMMYFUNCTION("""COMPUTED_VALUE"""),"Arthromitus")</f>
        <v>Arthromitus</v>
      </c>
      <c r="E1238" t="str">
        <f>IFERROR(__xludf.DUMMYFUNCTION("""COMPUTED_VALUE"""),"sp.")</f>
        <v>sp.</v>
      </c>
      <c r="F1238" t="str">
        <f>IFERROR(__xludf.DUMMYFUNCTION("""COMPUTED_VALUE"""),"SFB-mouse-Japan")</f>
        <v>SFB-mouse-Japan</v>
      </c>
    </row>
    <row r="1239" ht="15.75" customHeight="1">
      <c r="A1239" t="str">
        <f t="shared" si="1"/>
        <v>C.Arthromitus</v>
      </c>
      <c r="B1239" s="5" t="s">
        <v>1260</v>
      </c>
      <c r="C1239" s="6" t="str">
        <f>IFERROR(__xludf.DUMMYFUNCTION("SPLIT('2. c'!B1239, "" "", True, True)"),"Candidatus")</f>
        <v>Candidatus</v>
      </c>
      <c r="D1239" t="str">
        <f>IFERROR(__xludf.DUMMYFUNCTION("""COMPUTED_VALUE"""),"Arthromitus")</f>
        <v>Arthromitus</v>
      </c>
      <c r="E1239" t="str">
        <f>IFERROR(__xludf.DUMMYFUNCTION("""COMPUTED_VALUE"""),"sp.")</f>
        <v>sp.</v>
      </c>
      <c r="F1239" t="str">
        <f>IFERROR(__xludf.DUMMYFUNCTION("""COMPUTED_VALUE"""),"SFB-mouse-NL")</f>
        <v>SFB-mouse-NL</v>
      </c>
    </row>
    <row r="1240" ht="15.75" customHeight="1">
      <c r="A1240" t="str">
        <f t="shared" si="1"/>
        <v>C.Arthromitus</v>
      </c>
      <c r="B1240" s="5" t="s">
        <v>1261</v>
      </c>
      <c r="C1240" s="6" t="str">
        <f>IFERROR(__xludf.DUMMYFUNCTION("SPLIT('2. c'!B1240, "" "", True, True)"),"Candidatus")</f>
        <v>Candidatus</v>
      </c>
      <c r="D1240" t="str">
        <f>IFERROR(__xludf.DUMMYFUNCTION("""COMPUTED_VALUE"""),"Arthromitus")</f>
        <v>Arthromitus</v>
      </c>
      <c r="E1240" t="str">
        <f>IFERROR(__xludf.DUMMYFUNCTION("""COMPUTED_VALUE"""),"sp.")</f>
        <v>sp.</v>
      </c>
      <c r="F1240" t="str">
        <f>IFERROR(__xludf.DUMMYFUNCTION("""COMPUTED_VALUE"""),"SFB-mouse-Yit")</f>
        <v>SFB-mouse-Yit</v>
      </c>
    </row>
    <row r="1241" ht="15.75" customHeight="1">
      <c r="A1241" t="str">
        <f t="shared" si="1"/>
        <v>C.Arthromitus</v>
      </c>
      <c r="B1241" s="5" t="s">
        <v>1262</v>
      </c>
      <c r="C1241" s="6" t="str">
        <f>IFERROR(__xludf.DUMMYFUNCTION("SPLIT('2. c'!B1241, "" "", True, True)"),"Candidatus")</f>
        <v>Candidatus</v>
      </c>
      <c r="D1241" t="str">
        <f>IFERROR(__xludf.DUMMYFUNCTION("""COMPUTED_VALUE"""),"Arthromitus")</f>
        <v>Arthromitus</v>
      </c>
      <c r="E1241" t="str">
        <f>IFERROR(__xludf.DUMMYFUNCTION("""COMPUTED_VALUE"""),"sp.")</f>
        <v>sp.</v>
      </c>
      <c r="F1241" t="str">
        <f>IFERROR(__xludf.DUMMYFUNCTION("""COMPUTED_VALUE"""),"SFB-rat-Yit")</f>
        <v>SFB-rat-Yit</v>
      </c>
    </row>
    <row r="1242" ht="15.75" customHeight="1">
      <c r="A1242" t="str">
        <f t="shared" si="1"/>
        <v>C.Atelocyanobacterium</v>
      </c>
      <c r="B1242" s="5" t="s">
        <v>1263</v>
      </c>
      <c r="C1242" s="6" t="str">
        <f>IFERROR(__xludf.DUMMYFUNCTION("SPLIT('2. c'!B1242, "" "", True, True)"),"Candidatus")</f>
        <v>Candidatus</v>
      </c>
      <c r="D1242" t="str">
        <f>IFERROR(__xludf.DUMMYFUNCTION("""COMPUTED_VALUE"""),"Atelocyanobacterium")</f>
        <v>Atelocyanobacterium</v>
      </c>
      <c r="E1242" t="str">
        <f>IFERROR(__xludf.DUMMYFUNCTION("""COMPUTED_VALUE"""),"thalassa")</f>
        <v>thalassa</v>
      </c>
      <c r="F1242" t="str">
        <f>IFERROR(__xludf.DUMMYFUNCTION("""COMPUTED_VALUE"""),"isolate")</f>
        <v>isolate</v>
      </c>
      <c r="G1242" t="str">
        <f>IFERROR(__xludf.DUMMYFUNCTION("""COMPUTED_VALUE"""),"ALOHA")</f>
        <v>ALOHA</v>
      </c>
    </row>
    <row r="1243" ht="15.75" customHeight="1">
      <c r="A1243" t="str">
        <f t="shared" si="1"/>
        <v>C.Azobacteroides</v>
      </c>
      <c r="B1243" s="5" t="s">
        <v>1264</v>
      </c>
      <c r="C1243" s="6" t="str">
        <f>IFERROR(__xludf.DUMMYFUNCTION("SPLIT('2. c'!B1243, "" "", True, True)"),"Candidatus")</f>
        <v>Candidatus</v>
      </c>
      <c r="D1243" t="str">
        <f>IFERROR(__xludf.DUMMYFUNCTION("""COMPUTED_VALUE"""),"Azobacteroides")</f>
        <v>Azobacteroides</v>
      </c>
      <c r="E1243" t="str">
        <f>IFERROR(__xludf.DUMMYFUNCTION("""COMPUTED_VALUE"""),"pseudotrichonymphae")</f>
        <v>pseudotrichonymphae</v>
      </c>
      <c r="F1243" t="str">
        <f>IFERROR(__xludf.DUMMYFUNCTION("""COMPUTED_VALUE"""),"genomovar.")</f>
        <v>genomovar.</v>
      </c>
      <c r="G1243" t="str">
        <f>IFERROR(__xludf.DUMMYFUNCTION("""COMPUTED_VALUE"""),"CFP2")</f>
        <v>CFP2</v>
      </c>
    </row>
    <row r="1244" ht="15.75" customHeight="1">
      <c r="A1244" t="str">
        <f t="shared" si="1"/>
        <v>C.Bartonella</v>
      </c>
      <c r="B1244" s="5" t="s">
        <v>1265</v>
      </c>
      <c r="C1244" s="6" t="str">
        <f>IFERROR(__xludf.DUMMYFUNCTION("SPLIT('2. c'!B1244, "" "", True, True)"),"Candidatus")</f>
        <v>Candidatus</v>
      </c>
      <c r="D1244" t="str">
        <f>IFERROR(__xludf.DUMMYFUNCTION("""COMPUTED_VALUE"""),"Bartonella")</f>
        <v>Bartonella</v>
      </c>
      <c r="E1244" t="str">
        <f>IFERROR(__xludf.DUMMYFUNCTION("""COMPUTED_VALUE"""),"ancashi")</f>
        <v>ancashi</v>
      </c>
      <c r="F1244" t="str">
        <f>IFERROR(__xludf.DUMMYFUNCTION("""COMPUTED_VALUE"""),"strain")</f>
        <v>strain</v>
      </c>
      <c r="G1244" t="str">
        <f>IFERROR(__xludf.DUMMYFUNCTION("""COMPUTED_VALUE"""),"20.00")</f>
        <v>20.00</v>
      </c>
    </row>
    <row r="1245" ht="15.75" customHeight="1">
      <c r="A1245" t="str">
        <f t="shared" si="1"/>
        <v>C.Baumannia</v>
      </c>
      <c r="B1245" s="5" t="s">
        <v>1266</v>
      </c>
      <c r="C1245" s="6" t="str">
        <f>IFERROR(__xludf.DUMMYFUNCTION("SPLIT('2. c'!B1245, "" "", True, True)"),"Candidatus")</f>
        <v>Candidatus</v>
      </c>
      <c r="D1245" t="str">
        <f>IFERROR(__xludf.DUMMYFUNCTION("""COMPUTED_VALUE"""),"Baumannia")</f>
        <v>Baumannia</v>
      </c>
      <c r="E1245" t="str">
        <f>IFERROR(__xludf.DUMMYFUNCTION("""COMPUTED_VALUE"""),"cicadellinicola")</f>
        <v>cicadellinicola</v>
      </c>
      <c r="F1245" t="str">
        <f>IFERROR(__xludf.DUMMYFUNCTION("""COMPUTED_VALUE"""),"strain")</f>
        <v>strain</v>
      </c>
      <c r="G1245" t="str">
        <f>IFERROR(__xludf.DUMMYFUNCTION("""COMPUTED_VALUE"""),"BGSS")</f>
        <v>BGSS</v>
      </c>
    </row>
    <row r="1246" ht="15.75" customHeight="1">
      <c r="A1246" t="str">
        <f t="shared" si="1"/>
        <v>C.Baumannia</v>
      </c>
      <c r="B1246" s="5" t="s">
        <v>1267</v>
      </c>
      <c r="C1246" s="6" t="str">
        <f>IFERROR(__xludf.DUMMYFUNCTION("SPLIT('2. c'!B1246, "" "", True, True)"),"Candidatus")</f>
        <v>Candidatus</v>
      </c>
      <c r="D1246" t="str">
        <f>IFERROR(__xludf.DUMMYFUNCTION("""COMPUTED_VALUE"""),"Baumannia")</f>
        <v>Baumannia</v>
      </c>
      <c r="E1246" t="str">
        <f>IFERROR(__xludf.DUMMYFUNCTION("""COMPUTED_VALUE"""),"cicadellinicola")</f>
        <v>cicadellinicola</v>
      </c>
      <c r="F1246" t="str">
        <f>IFERROR(__xludf.DUMMYFUNCTION("""COMPUTED_VALUE"""),"strain")</f>
        <v>strain</v>
      </c>
      <c r="G1246" t="str">
        <f>IFERROR(__xludf.DUMMYFUNCTION("""COMPUTED_VALUE"""),"B-GSS")</f>
        <v>B-GSS</v>
      </c>
    </row>
    <row r="1247" ht="15.75" customHeight="1">
      <c r="A1247" t="str">
        <f t="shared" si="1"/>
        <v>C.Blochmannia</v>
      </c>
      <c r="B1247" s="5" t="s">
        <v>1268</v>
      </c>
      <c r="C1247" s="6" t="str">
        <f>IFERROR(__xludf.DUMMYFUNCTION("SPLIT('2. c'!B1247, "" "", True, True)"),"Candidatus")</f>
        <v>Candidatus</v>
      </c>
      <c r="D1247" t="str">
        <f>IFERROR(__xludf.DUMMYFUNCTION("""COMPUTED_VALUE"""),"Blochmannia")</f>
        <v>Blochmannia</v>
      </c>
      <c r="E1247" t="str">
        <f>IFERROR(__xludf.DUMMYFUNCTION("""COMPUTED_VALUE"""),"chromaiodes")</f>
        <v>chromaiodes</v>
      </c>
      <c r="F1247" t="str">
        <f>IFERROR(__xludf.DUMMYFUNCTION("""COMPUTED_VALUE"""),"str.")</f>
        <v>str.</v>
      </c>
      <c r="G1247">
        <f>IFERROR(__xludf.DUMMYFUNCTION("""COMPUTED_VALUE"""),640.0)</f>
        <v>640</v>
      </c>
    </row>
    <row r="1248" ht="15.75" customHeight="1">
      <c r="A1248" t="str">
        <f t="shared" si="1"/>
        <v>C.Blochmannia</v>
      </c>
      <c r="B1248" s="5" t="s">
        <v>1269</v>
      </c>
      <c r="C1248" s="6" t="str">
        <f>IFERROR(__xludf.DUMMYFUNCTION("SPLIT('2. c'!B1248, "" "", True, True)"),"Candidatus")</f>
        <v>Candidatus</v>
      </c>
      <c r="D1248" t="str">
        <f>IFERROR(__xludf.DUMMYFUNCTION("""COMPUTED_VALUE"""),"Blochmannia")</f>
        <v>Blochmannia</v>
      </c>
      <c r="E1248" t="str">
        <f>IFERROR(__xludf.DUMMYFUNCTION("""COMPUTED_VALUE"""),"floridanus")</f>
        <v>floridanus</v>
      </c>
    </row>
    <row r="1249" ht="15.75" customHeight="1">
      <c r="A1249" t="str">
        <f t="shared" si="1"/>
        <v>C.Blochmannia</v>
      </c>
      <c r="B1249" s="5" t="s">
        <v>1270</v>
      </c>
      <c r="C1249" s="6" t="str">
        <f>IFERROR(__xludf.DUMMYFUNCTION("SPLIT('2. c'!B1249, "" "", True, True)"),"Candidatus")</f>
        <v>Candidatus</v>
      </c>
      <c r="D1249" t="str">
        <f>IFERROR(__xludf.DUMMYFUNCTION("""COMPUTED_VALUE"""),"Blochmannia")</f>
        <v>Blochmannia</v>
      </c>
      <c r="E1249" t="str">
        <f>IFERROR(__xludf.DUMMYFUNCTION("""COMPUTED_VALUE"""),"pennsylvanicus")</f>
        <v>pennsylvanicus</v>
      </c>
      <c r="F1249" t="str">
        <f>IFERROR(__xludf.DUMMYFUNCTION("""COMPUTED_VALUE"""),"str.")</f>
        <v>str.</v>
      </c>
      <c r="G1249" t="str">
        <f>IFERROR(__xludf.DUMMYFUNCTION("""COMPUTED_VALUE"""),"BPEN")</f>
        <v>BPEN</v>
      </c>
    </row>
    <row r="1250" ht="15.75" customHeight="1">
      <c r="A1250" t="str">
        <f t="shared" si="1"/>
        <v>C.Blochmannia</v>
      </c>
      <c r="B1250" s="5" t="s">
        <v>1271</v>
      </c>
      <c r="C1250" s="6" t="str">
        <f>IFERROR(__xludf.DUMMYFUNCTION("SPLIT('2. c'!B1250, "" "", True, True)"),"Candidatus")</f>
        <v>Candidatus</v>
      </c>
      <c r="D1250" t="str">
        <f>IFERROR(__xludf.DUMMYFUNCTION("""COMPUTED_VALUE"""),"Blochmannia")</f>
        <v>Blochmannia</v>
      </c>
      <c r="E1250" t="str">
        <f>IFERROR(__xludf.DUMMYFUNCTION("""COMPUTED_VALUE"""),"vafer")</f>
        <v>vafer</v>
      </c>
      <c r="F1250" t="str">
        <f>IFERROR(__xludf.DUMMYFUNCTION("""COMPUTED_VALUE"""),"str.")</f>
        <v>str.</v>
      </c>
      <c r="G1250" t="str">
        <f>IFERROR(__xludf.DUMMYFUNCTION("""COMPUTED_VALUE"""),"BVAF")</f>
        <v>BVAF</v>
      </c>
    </row>
    <row r="1251" ht="15.75" customHeight="1">
      <c r="A1251" t="str">
        <f t="shared" si="1"/>
        <v>C.Caedibacter</v>
      </c>
      <c r="B1251" s="5" t="s">
        <v>1272</v>
      </c>
      <c r="C1251" s="6" t="str">
        <f>IFERROR(__xludf.DUMMYFUNCTION("SPLIT('2. c'!B1251, "" "", True, True)"),"Candidatus")</f>
        <v>Candidatus</v>
      </c>
      <c r="D1251" t="str">
        <f>IFERROR(__xludf.DUMMYFUNCTION("""COMPUTED_VALUE"""),"Caedibacter")</f>
        <v>Caedibacter</v>
      </c>
      <c r="E1251" t="str">
        <f>IFERROR(__xludf.DUMMYFUNCTION("""COMPUTED_VALUE"""),"acanthamoebae")</f>
        <v>acanthamoebae</v>
      </c>
    </row>
    <row r="1252" ht="15.75" customHeight="1">
      <c r="A1252" t="str">
        <f t="shared" si="1"/>
        <v>C.Caldiarchaeum</v>
      </c>
      <c r="B1252" s="5" t="s">
        <v>1273</v>
      </c>
      <c r="C1252" s="6" t="str">
        <f>IFERROR(__xludf.DUMMYFUNCTION("SPLIT('2. c'!B1252, "" "", True, True)"),"Candidatus")</f>
        <v>Candidatus</v>
      </c>
      <c r="D1252" t="str">
        <f>IFERROR(__xludf.DUMMYFUNCTION("""COMPUTED_VALUE"""),"Caldiarchaeum")</f>
        <v>Caldiarchaeum</v>
      </c>
      <c r="E1252" t="str">
        <f>IFERROR(__xludf.DUMMYFUNCTION("""COMPUTED_VALUE"""),"subterraneum")</f>
        <v>subterraneum</v>
      </c>
    </row>
    <row r="1253" ht="15.75" customHeight="1">
      <c r="A1253" t="str">
        <f t="shared" si="1"/>
        <v>C.Carsonella</v>
      </c>
      <c r="B1253" s="5" t="s">
        <v>1274</v>
      </c>
      <c r="C1253" s="6" t="str">
        <f>IFERROR(__xludf.DUMMYFUNCTION("SPLIT('2. c'!B1253, "" "", True, True)"),"Candidatus")</f>
        <v>Candidatus</v>
      </c>
      <c r="D1253" t="str">
        <f>IFERROR(__xludf.DUMMYFUNCTION("""COMPUTED_VALUE"""),"Carsonella")</f>
        <v>Carsonella</v>
      </c>
      <c r="E1253" t="str">
        <f>IFERROR(__xludf.DUMMYFUNCTION("""COMPUTED_VALUE"""),"ruddii")</f>
        <v>ruddii</v>
      </c>
      <c r="F1253" t="str">
        <f>IFERROR(__xludf.DUMMYFUNCTION("""COMPUTED_VALUE"""),"CE")</f>
        <v>CE</v>
      </c>
      <c r="G1253" t="str">
        <f>IFERROR(__xludf.DUMMYFUNCTION("""COMPUTED_VALUE"""),"isolate")</f>
        <v>isolate</v>
      </c>
      <c r="H1253" t="str">
        <f>IFERROR(__xludf.DUMMYFUNCTION("""COMPUTED_VALUE"""),"Thao2000")</f>
        <v>Thao2000</v>
      </c>
    </row>
    <row r="1254" ht="15.75" customHeight="1">
      <c r="A1254" t="str">
        <f t="shared" si="1"/>
        <v>C.Carsonella</v>
      </c>
      <c r="B1254" s="5" t="s">
        <v>1275</v>
      </c>
      <c r="C1254" s="6" t="str">
        <f>IFERROR(__xludf.DUMMYFUNCTION("SPLIT('2. c'!B1254, "" "", True, True)"),"Candidatus")</f>
        <v>Candidatus</v>
      </c>
      <c r="D1254" t="str">
        <f>IFERROR(__xludf.DUMMYFUNCTION("""COMPUTED_VALUE"""),"Carsonella")</f>
        <v>Carsonella</v>
      </c>
      <c r="E1254" t="str">
        <f>IFERROR(__xludf.DUMMYFUNCTION("""COMPUTED_VALUE"""),"ruddii")</f>
        <v>ruddii</v>
      </c>
      <c r="F1254" t="str">
        <f>IFERROR(__xludf.DUMMYFUNCTION("""COMPUTED_VALUE"""),"CS")</f>
        <v>CS</v>
      </c>
      <c r="G1254" t="str">
        <f>IFERROR(__xludf.DUMMYFUNCTION("""COMPUTED_VALUE"""),"isolate")</f>
        <v>isolate</v>
      </c>
      <c r="H1254" t="str">
        <f>IFERROR(__xludf.DUMMYFUNCTION("""COMPUTED_VALUE"""),"Thao2000")</f>
        <v>Thao2000</v>
      </c>
    </row>
    <row r="1255" ht="15.75" customHeight="1">
      <c r="A1255" t="str">
        <f t="shared" si="1"/>
        <v>C.Carsonella</v>
      </c>
      <c r="B1255" s="5" t="s">
        <v>1276</v>
      </c>
      <c r="C1255" s="6" t="str">
        <f>IFERROR(__xludf.DUMMYFUNCTION("SPLIT('2. c'!B1255, "" "", True, True)"),"Candidatus")</f>
        <v>Candidatus</v>
      </c>
      <c r="D1255" t="str">
        <f>IFERROR(__xludf.DUMMYFUNCTION("""COMPUTED_VALUE"""),"Carsonella")</f>
        <v>Carsonella</v>
      </c>
      <c r="E1255" t="str">
        <f>IFERROR(__xludf.DUMMYFUNCTION("""COMPUTED_VALUE"""),"ruddii")</f>
        <v>ruddii</v>
      </c>
      <c r="F1255" t="str">
        <f>IFERROR(__xludf.DUMMYFUNCTION("""COMPUTED_VALUE"""),"DC")</f>
        <v>DC</v>
      </c>
    </row>
    <row r="1256" ht="15.75" customHeight="1">
      <c r="A1256" t="str">
        <f t="shared" si="1"/>
        <v>C.Carsonella</v>
      </c>
      <c r="B1256" s="5" t="s">
        <v>1277</v>
      </c>
      <c r="C1256" s="6" t="str">
        <f>IFERROR(__xludf.DUMMYFUNCTION("SPLIT('2. c'!B1256, "" "", True, True)"),"Candidatus")</f>
        <v>Candidatus</v>
      </c>
      <c r="D1256" t="str">
        <f>IFERROR(__xludf.DUMMYFUNCTION("""COMPUTED_VALUE"""),"Carsonella")</f>
        <v>Carsonella</v>
      </c>
      <c r="E1256" t="str">
        <f>IFERROR(__xludf.DUMMYFUNCTION("""COMPUTED_VALUE"""),"ruddii")</f>
        <v>ruddii</v>
      </c>
      <c r="F1256" t="str">
        <f>IFERROR(__xludf.DUMMYFUNCTION("""COMPUTED_VALUE"""),"HC")</f>
        <v>HC</v>
      </c>
      <c r="G1256" t="str">
        <f>IFERROR(__xludf.DUMMYFUNCTION("""COMPUTED_VALUE"""),"isolate")</f>
        <v>isolate</v>
      </c>
      <c r="H1256" t="str">
        <f>IFERROR(__xludf.DUMMYFUNCTION("""COMPUTED_VALUE"""),"Thao2000")</f>
        <v>Thao2000</v>
      </c>
    </row>
    <row r="1257" ht="15.75" customHeight="1">
      <c r="A1257" t="str">
        <f t="shared" si="1"/>
        <v>C.Carsonella</v>
      </c>
      <c r="B1257" s="5" t="s">
        <v>1278</v>
      </c>
      <c r="C1257" s="6" t="str">
        <f>IFERROR(__xludf.DUMMYFUNCTION("SPLIT('2. c'!B1257, "" "", True, True)"),"Candidatus")</f>
        <v>Candidatus</v>
      </c>
      <c r="D1257" t="str">
        <f>IFERROR(__xludf.DUMMYFUNCTION("""COMPUTED_VALUE"""),"Carsonella")</f>
        <v>Carsonella</v>
      </c>
      <c r="E1257" t="str">
        <f>IFERROR(__xludf.DUMMYFUNCTION("""COMPUTED_VALUE"""),"ruddii")</f>
        <v>ruddii</v>
      </c>
      <c r="F1257" t="str">
        <f>IFERROR(__xludf.DUMMYFUNCTION("""COMPUTED_VALUE"""),"HT")</f>
        <v>HT</v>
      </c>
      <c r="G1257" t="str">
        <f>IFERROR(__xludf.DUMMYFUNCTION("""COMPUTED_VALUE"""),"isolate")</f>
        <v>isolate</v>
      </c>
      <c r="H1257" t="str">
        <f>IFERROR(__xludf.DUMMYFUNCTION("""COMPUTED_VALUE"""),"Thao2000")</f>
        <v>Thao2000</v>
      </c>
    </row>
    <row r="1258" ht="15.75" customHeight="1">
      <c r="A1258" t="str">
        <f t="shared" si="1"/>
        <v>C.Carsonella</v>
      </c>
      <c r="B1258" s="5" t="s">
        <v>1279</v>
      </c>
      <c r="C1258" s="6" t="str">
        <f>IFERROR(__xludf.DUMMYFUNCTION("SPLIT('2. c'!B1258, "" "", True, True)"),"Candidatus")</f>
        <v>Candidatus</v>
      </c>
      <c r="D1258" t="str">
        <f>IFERROR(__xludf.DUMMYFUNCTION("""COMPUTED_VALUE"""),"Carsonella")</f>
        <v>Carsonella</v>
      </c>
      <c r="E1258" t="str">
        <f>IFERROR(__xludf.DUMMYFUNCTION("""COMPUTED_VALUE"""),"ruddii")</f>
        <v>ruddii</v>
      </c>
      <c r="F1258" t="str">
        <f>IFERROR(__xludf.DUMMYFUNCTION("""COMPUTED_VALUE"""),"PC")</f>
        <v>PC</v>
      </c>
      <c r="G1258" t="str">
        <f>IFERROR(__xludf.DUMMYFUNCTION("""COMPUTED_VALUE"""),"isolate")</f>
        <v>isolate</v>
      </c>
      <c r="H1258" t="str">
        <f>IFERROR(__xludf.DUMMYFUNCTION("""COMPUTED_VALUE"""),"NHV")</f>
        <v>NHV</v>
      </c>
    </row>
    <row r="1259" ht="15.75" customHeight="1">
      <c r="A1259" t="str">
        <f t="shared" si="1"/>
        <v>C.Carsonella</v>
      </c>
      <c r="B1259" s="5" t="s">
        <v>1280</v>
      </c>
      <c r="C1259" s="6" t="str">
        <f>IFERROR(__xludf.DUMMYFUNCTION("SPLIT('2. c'!B1259, "" "", True, True)"),"Candidatus")</f>
        <v>Candidatus</v>
      </c>
      <c r="D1259" t="str">
        <f>IFERROR(__xludf.DUMMYFUNCTION("""COMPUTED_VALUE"""),"Carsonella")</f>
        <v>Carsonella</v>
      </c>
      <c r="E1259" t="str">
        <f>IFERROR(__xludf.DUMMYFUNCTION("""COMPUTED_VALUE"""),"ruddii")</f>
        <v>ruddii</v>
      </c>
      <c r="F1259" t="str">
        <f>IFERROR(__xludf.DUMMYFUNCTION("""COMPUTED_VALUE"""),"PV")</f>
        <v>PV</v>
      </c>
    </row>
    <row r="1260" ht="15.75" customHeight="1">
      <c r="A1260" t="str">
        <f t="shared" si="1"/>
        <v>C.Carsonella</v>
      </c>
      <c r="B1260" s="5" t="s">
        <v>1281</v>
      </c>
      <c r="C1260" s="6" t="str">
        <f>IFERROR(__xludf.DUMMYFUNCTION("SPLIT('2. c'!B1260, "" "", True, True)"),"Candidatus")</f>
        <v>Candidatus</v>
      </c>
      <c r="D1260" t="str">
        <f>IFERROR(__xludf.DUMMYFUNCTION("""COMPUTED_VALUE"""),"Carsonella")</f>
        <v>Carsonella</v>
      </c>
      <c r="E1260" t="str">
        <f>IFERROR(__xludf.DUMMYFUNCTION("""COMPUTED_VALUE"""),"ruddii")</f>
        <v>ruddii</v>
      </c>
      <c r="F1260" t="str">
        <f>IFERROR(__xludf.DUMMYFUNCTION("""COMPUTED_VALUE"""),"strain")</f>
        <v>strain</v>
      </c>
      <c r="G1260" t="str">
        <f>IFERROR(__xludf.DUMMYFUNCTION("""COMPUTED_VALUE"""),"YCCR")</f>
        <v>YCCR</v>
      </c>
    </row>
    <row r="1261" ht="15.75" customHeight="1">
      <c r="A1261" t="str">
        <f t="shared" si="1"/>
        <v>C.Chloracidobacterium</v>
      </c>
      <c r="B1261" s="5" t="s">
        <v>1282</v>
      </c>
      <c r="C1261" s="6" t="str">
        <f>IFERROR(__xludf.DUMMYFUNCTION("SPLIT('2. c'!B1261, "" "", True, True)"),"Candidatus")</f>
        <v>Candidatus</v>
      </c>
      <c r="D1261" t="str">
        <f>IFERROR(__xludf.DUMMYFUNCTION("""COMPUTED_VALUE"""),"Chloracidobacterium")</f>
        <v>Chloracidobacterium</v>
      </c>
      <c r="E1261" t="str">
        <f>IFERROR(__xludf.DUMMYFUNCTION("""COMPUTED_VALUE"""),"thermophilum")</f>
        <v>thermophilum</v>
      </c>
      <c r="F1261" t="str">
        <f>IFERROR(__xludf.DUMMYFUNCTION("""COMPUTED_VALUE"""),"B")</f>
        <v>B</v>
      </c>
    </row>
    <row r="1262" ht="15.75" customHeight="1">
      <c r="A1262" t="str">
        <f t="shared" si="1"/>
        <v>C.Cloacamonas</v>
      </c>
      <c r="B1262" s="5" t="s">
        <v>1283</v>
      </c>
      <c r="C1262" s="6" t="str">
        <f>IFERROR(__xludf.DUMMYFUNCTION("SPLIT('2. c'!B1262, "" "", True, True)"),"Candidatus")</f>
        <v>Candidatus</v>
      </c>
      <c r="D1262" t="str">
        <f>IFERROR(__xludf.DUMMYFUNCTION("""COMPUTED_VALUE"""),"Cloacamonas")</f>
        <v>Cloacamonas</v>
      </c>
      <c r="E1262" t="str">
        <f>IFERROR(__xludf.DUMMYFUNCTION("""COMPUTED_VALUE"""),"acidaminovorans")</f>
        <v>acidaminovorans</v>
      </c>
    </row>
    <row r="1263" ht="15.75" customHeight="1">
      <c r="A1263" t="str">
        <f t="shared" si="1"/>
        <v>C.Cloacimonas</v>
      </c>
      <c r="B1263" s="5" t="s">
        <v>1284</v>
      </c>
      <c r="C1263" s="6" t="str">
        <f>IFERROR(__xludf.DUMMYFUNCTION("SPLIT('2. c'!B1263, "" "", True, True)"),"Candidatus")</f>
        <v>Candidatus</v>
      </c>
      <c r="D1263" t="str">
        <f>IFERROR(__xludf.DUMMYFUNCTION("""COMPUTED_VALUE"""),"Cloacimonas")</f>
        <v>Cloacimonas</v>
      </c>
      <c r="E1263" t="str">
        <f>IFERROR(__xludf.DUMMYFUNCTION("""COMPUTED_VALUE"""),"acidaminovorans")</f>
        <v>acidaminovorans</v>
      </c>
      <c r="F1263" t="str">
        <f>IFERROR(__xludf.DUMMYFUNCTION("""COMPUTED_VALUE"""),"str.")</f>
        <v>str.</v>
      </c>
      <c r="G1263" t="str">
        <f>IFERROR(__xludf.DUMMYFUNCTION("""COMPUTED_VALUE"""),"Evry")</f>
        <v>Evry</v>
      </c>
    </row>
    <row r="1264" ht="15.75" customHeight="1">
      <c r="A1264" t="str">
        <f t="shared" si="1"/>
        <v>C.Desulforudis</v>
      </c>
      <c r="B1264" s="5" t="s">
        <v>1285</v>
      </c>
      <c r="C1264" s="6" t="str">
        <f>IFERROR(__xludf.DUMMYFUNCTION("SPLIT('2. c'!B1264, "" "", True, True)"),"Candidatus")</f>
        <v>Candidatus</v>
      </c>
      <c r="D1264" t="str">
        <f>IFERROR(__xludf.DUMMYFUNCTION("""COMPUTED_VALUE"""),"Desulforudis")</f>
        <v>Desulforudis</v>
      </c>
      <c r="E1264" t="str">
        <f>IFERROR(__xludf.DUMMYFUNCTION("""COMPUTED_VALUE"""),"audaxviator")</f>
        <v>audaxviator</v>
      </c>
      <c r="F1264" t="str">
        <f>IFERROR(__xludf.DUMMYFUNCTION("""COMPUTED_VALUE"""),"MP104C")</f>
        <v>MP104C</v>
      </c>
    </row>
    <row r="1265" ht="15.75" customHeight="1">
      <c r="A1265" t="str">
        <f t="shared" si="1"/>
        <v>C.Endolissoclinum</v>
      </c>
      <c r="B1265" s="5" t="s">
        <v>1286</v>
      </c>
      <c r="C1265" s="6" t="str">
        <f>IFERROR(__xludf.DUMMYFUNCTION("SPLIT('2. c'!B1265, "" "", True, True)"),"Candidatus")</f>
        <v>Candidatus</v>
      </c>
      <c r="D1265" t="str">
        <f>IFERROR(__xludf.DUMMYFUNCTION("""COMPUTED_VALUE"""),"Endolissoclinum")</f>
        <v>Endolissoclinum</v>
      </c>
      <c r="E1265" t="str">
        <f>IFERROR(__xludf.DUMMYFUNCTION("""COMPUTED_VALUE"""),"faulkneri")</f>
        <v>faulkneri</v>
      </c>
      <c r="F1265" t="str">
        <f>IFERROR(__xludf.DUMMYFUNCTION("""COMPUTED_VALUE"""),"L5")</f>
        <v>L5</v>
      </c>
    </row>
    <row r="1266" ht="15.75" customHeight="1">
      <c r="A1266" t="str">
        <f t="shared" si="1"/>
        <v>C.Endolissoclinum</v>
      </c>
      <c r="B1266" s="5" t="s">
        <v>1287</v>
      </c>
      <c r="C1266" s="6" t="str">
        <f>IFERROR(__xludf.DUMMYFUNCTION("SPLIT('2. c'!B1266, "" "", True, True)"),"Candidatus")</f>
        <v>Candidatus</v>
      </c>
      <c r="D1266" t="str">
        <f>IFERROR(__xludf.DUMMYFUNCTION("""COMPUTED_VALUE"""),"Endolissoclinum")</f>
        <v>Endolissoclinum</v>
      </c>
      <c r="E1266" t="str">
        <f>IFERROR(__xludf.DUMMYFUNCTION("""COMPUTED_VALUE"""),"patella")</f>
        <v>patella</v>
      </c>
      <c r="F1266" t="str">
        <f>IFERROR(__xludf.DUMMYFUNCTION("""COMPUTED_VALUE"""),"L2")</f>
        <v>L2</v>
      </c>
    </row>
    <row r="1267" ht="15.75" customHeight="1">
      <c r="A1267" t="str">
        <f t="shared" si="1"/>
        <v>C.Endomicrobium</v>
      </c>
      <c r="B1267" s="5" t="s">
        <v>1288</v>
      </c>
      <c r="C1267" s="6" t="str">
        <f>IFERROR(__xludf.DUMMYFUNCTION("SPLIT('2. c'!B1267, "" "", True, True)"),"Candidatus")</f>
        <v>Candidatus</v>
      </c>
      <c r="D1267" t="str">
        <f>IFERROR(__xludf.DUMMYFUNCTION("""COMPUTED_VALUE"""),"Endomicrobium")</f>
        <v>Endomicrobium</v>
      </c>
      <c r="E1267" t="str">
        <f>IFERROR(__xludf.DUMMYFUNCTION("""COMPUTED_VALUE"""),"sp.")</f>
        <v>sp.</v>
      </c>
      <c r="F1267" t="str">
        <f>IFERROR(__xludf.DUMMYFUNCTION("""COMPUTED_VALUE"""),"Rsa215")</f>
        <v>Rsa215</v>
      </c>
    </row>
    <row r="1268" ht="15.75" customHeight="1">
      <c r="A1268" t="str">
        <f t="shared" si="1"/>
        <v>C.Evansia</v>
      </c>
      <c r="B1268" s="5" t="s">
        <v>1289</v>
      </c>
      <c r="C1268" s="6" t="str">
        <f>IFERROR(__xludf.DUMMYFUNCTION("SPLIT('2. c'!B1268, "" "", True, True)"),"Candidatus")</f>
        <v>Candidatus</v>
      </c>
      <c r="D1268" t="str">
        <f>IFERROR(__xludf.DUMMYFUNCTION("""COMPUTED_VALUE"""),"Evansia")</f>
        <v>Evansia</v>
      </c>
      <c r="E1268" t="str">
        <f>IFERROR(__xludf.DUMMYFUNCTION("""COMPUTED_VALUE"""),"muelleri")</f>
        <v>muelleri</v>
      </c>
    </row>
    <row r="1269" ht="15.75" customHeight="1">
      <c r="A1269" t="str">
        <f t="shared" si="1"/>
        <v>C.Hamiltonella</v>
      </c>
      <c r="B1269" s="5" t="s">
        <v>1290</v>
      </c>
      <c r="C1269" s="6" t="str">
        <f>IFERROR(__xludf.DUMMYFUNCTION("SPLIT('2. c'!B1269, "" "", True, True)"),"Candidatus")</f>
        <v>Candidatus</v>
      </c>
      <c r="D1269" t="str">
        <f>IFERROR(__xludf.DUMMYFUNCTION("""COMPUTED_VALUE"""),"Hamiltonella")</f>
        <v>Hamiltonella</v>
      </c>
      <c r="E1269" t="str">
        <f>IFERROR(__xludf.DUMMYFUNCTION("""COMPUTED_VALUE"""),"defensa")</f>
        <v>defensa</v>
      </c>
      <c r="F1269" t="str">
        <f>IFERROR(__xludf.DUMMYFUNCTION("""COMPUTED_VALUE"""),"5AT")</f>
        <v>5AT</v>
      </c>
      <c r="G1269" t="str">
        <f>IFERROR(__xludf.DUMMYFUNCTION("""COMPUTED_VALUE"""),"(Acyrthosiphon")</f>
        <v>(Acyrthosiphon</v>
      </c>
      <c r="H1269" t="str">
        <f>IFERROR(__xludf.DUMMYFUNCTION("""COMPUTED_VALUE"""),"pisum)")</f>
        <v>pisum)</v>
      </c>
    </row>
    <row r="1270" ht="15.75" customHeight="1">
      <c r="A1270" t="str">
        <f t="shared" si="1"/>
        <v>C.Hepatoplasma</v>
      </c>
      <c r="B1270" s="5" t="s">
        <v>1291</v>
      </c>
      <c r="C1270" s="6" t="str">
        <f>IFERROR(__xludf.DUMMYFUNCTION("SPLIT('2. c'!B1270, "" "", True, True)"),"Candidatus")</f>
        <v>Candidatus</v>
      </c>
      <c r="D1270" t="str">
        <f>IFERROR(__xludf.DUMMYFUNCTION("""COMPUTED_VALUE"""),"Hepatoplasma")</f>
        <v>Hepatoplasma</v>
      </c>
      <c r="E1270" t="str">
        <f>IFERROR(__xludf.DUMMYFUNCTION("""COMPUTED_VALUE"""),"crinochetorum")</f>
        <v>crinochetorum</v>
      </c>
      <c r="F1270" t="str">
        <f>IFERROR(__xludf.DUMMYFUNCTION("""COMPUTED_VALUE"""),"Av")</f>
        <v>Av</v>
      </c>
    </row>
    <row r="1271" ht="15.75" customHeight="1">
      <c r="A1271" t="str">
        <f t="shared" si="1"/>
        <v>C.Hodgkinia</v>
      </c>
      <c r="B1271" s="5" t="s">
        <v>1292</v>
      </c>
      <c r="C1271" s="6" t="str">
        <f>IFERROR(__xludf.DUMMYFUNCTION("SPLIT('2. c'!B1271, "" "", True, True)"),"Candidatus")</f>
        <v>Candidatus</v>
      </c>
      <c r="D1271" t="str">
        <f>IFERROR(__xludf.DUMMYFUNCTION("""COMPUTED_VALUE"""),"Hodgkinia")</f>
        <v>Hodgkinia</v>
      </c>
      <c r="E1271" t="str">
        <f>IFERROR(__xludf.DUMMYFUNCTION("""COMPUTED_VALUE"""),"cicadicola")</f>
        <v>cicadicola</v>
      </c>
    </row>
    <row r="1272" ht="15.75" customHeight="1">
      <c r="A1272" t="str">
        <f t="shared" si="1"/>
        <v>C.Hodgkinia</v>
      </c>
      <c r="B1272" s="5" t="s">
        <v>1293</v>
      </c>
      <c r="C1272" s="6" t="str">
        <f>IFERROR(__xludf.DUMMYFUNCTION("SPLIT('2. c'!B1272, "" "", True, True)"),"Candidatus")</f>
        <v>Candidatus</v>
      </c>
      <c r="D1272" t="str">
        <f>IFERROR(__xludf.DUMMYFUNCTION("""COMPUTED_VALUE"""),"Hodgkinia")</f>
        <v>Hodgkinia</v>
      </c>
      <c r="E1272" t="str">
        <f>IFERROR(__xludf.DUMMYFUNCTION("""COMPUTED_VALUE"""),"cicadicola")</f>
        <v>cicadicola</v>
      </c>
      <c r="F1272" t="str">
        <f>IFERROR(__xludf.DUMMYFUNCTION("""COMPUTED_VALUE"""),"Dsem")</f>
        <v>Dsem</v>
      </c>
    </row>
    <row r="1273" ht="15.75" customHeight="1">
      <c r="A1273" t="str">
        <f t="shared" si="1"/>
        <v>C.Hodgkinia</v>
      </c>
      <c r="B1273" s="5" t="s">
        <v>1294</v>
      </c>
      <c r="C1273" s="6" t="str">
        <f>IFERROR(__xludf.DUMMYFUNCTION("SPLIT('2. c'!B1273, "" "", True, True)"),"Candidatus")</f>
        <v>Candidatus</v>
      </c>
      <c r="D1273" t="str">
        <f>IFERROR(__xludf.DUMMYFUNCTION("""COMPUTED_VALUE"""),"Hodgkinia")</f>
        <v>Hodgkinia</v>
      </c>
      <c r="E1273" t="str">
        <f>IFERROR(__xludf.DUMMYFUNCTION("""COMPUTED_VALUE"""),"cicadicola")</f>
        <v>cicadicola</v>
      </c>
      <c r="F1273" t="str">
        <f>IFERROR(__xludf.DUMMYFUNCTION("""COMPUTED_VALUE"""),"strain")</f>
        <v>strain</v>
      </c>
      <c r="G1273" t="str">
        <f>IFERROR(__xludf.DUMMYFUNCTION("""COMPUTED_VALUE"""),"TETUND2")</f>
        <v>TETUND2</v>
      </c>
    </row>
    <row r="1274" ht="15.75" customHeight="1">
      <c r="A1274" t="str">
        <f t="shared" si="1"/>
        <v>C.Hodgkinia</v>
      </c>
      <c r="B1274" s="5" t="s">
        <v>1294</v>
      </c>
      <c r="C1274" s="6" t="str">
        <f>IFERROR(__xludf.DUMMYFUNCTION("SPLIT('2. c'!B1274, "" "", True, True)"),"Candidatus")</f>
        <v>Candidatus</v>
      </c>
      <c r="D1274" t="str">
        <f>IFERROR(__xludf.DUMMYFUNCTION("""COMPUTED_VALUE"""),"Hodgkinia")</f>
        <v>Hodgkinia</v>
      </c>
      <c r="E1274" t="str">
        <f>IFERROR(__xludf.DUMMYFUNCTION("""COMPUTED_VALUE"""),"cicadicola")</f>
        <v>cicadicola</v>
      </c>
      <c r="F1274" t="str">
        <f>IFERROR(__xludf.DUMMYFUNCTION("""COMPUTED_VALUE"""),"strain")</f>
        <v>strain</v>
      </c>
      <c r="G1274" t="str">
        <f>IFERROR(__xludf.DUMMYFUNCTION("""COMPUTED_VALUE"""),"TETUND2")</f>
        <v>TETUND2</v>
      </c>
    </row>
    <row r="1275" ht="15.75" customHeight="1">
      <c r="A1275" t="str">
        <f t="shared" si="1"/>
        <v>C.Ishikawaella</v>
      </c>
      <c r="B1275" s="5" t="s">
        <v>1295</v>
      </c>
      <c r="C1275" s="6" t="str">
        <f>IFERROR(__xludf.DUMMYFUNCTION("SPLIT('2. c'!B1275, "" "", True, True)"),"Candidatus")</f>
        <v>Candidatus</v>
      </c>
      <c r="D1275" t="str">
        <f>IFERROR(__xludf.DUMMYFUNCTION("""COMPUTED_VALUE"""),"Ishikawaella")</f>
        <v>Ishikawaella</v>
      </c>
      <c r="E1275" t="str">
        <f>IFERROR(__xludf.DUMMYFUNCTION("""COMPUTED_VALUE"""),"capsulata")</f>
        <v>capsulata</v>
      </c>
      <c r="F1275" t="str">
        <f>IFERROR(__xludf.DUMMYFUNCTION("""COMPUTED_VALUE"""),"Mpkobe")</f>
        <v>Mpkobe</v>
      </c>
    </row>
    <row r="1276" ht="15.75" customHeight="1">
      <c r="A1276" t="str">
        <f t="shared" si="1"/>
        <v>C.Kinetoplastibacterium</v>
      </c>
      <c r="B1276" s="5" t="s">
        <v>1296</v>
      </c>
      <c r="C1276" s="6" t="str">
        <f>IFERROR(__xludf.DUMMYFUNCTION("SPLIT('2. c'!B1276, "" "", True, True)"),"Candidatus")</f>
        <v>Candidatus</v>
      </c>
      <c r="D1276" t="str">
        <f>IFERROR(__xludf.DUMMYFUNCTION("""COMPUTED_VALUE"""),"Kinetoplastibacterium")</f>
        <v>Kinetoplastibacterium</v>
      </c>
      <c r="E1276" t="str">
        <f>IFERROR(__xludf.DUMMYFUNCTION("""COMPUTED_VALUE"""),"blastocrithidii")</f>
        <v>blastocrithidii</v>
      </c>
      <c r="F1276" t="str">
        <f>IFERROR(__xludf.DUMMYFUNCTION("""COMPUTED_VALUE"""),"(ex")</f>
        <v>(ex</v>
      </c>
      <c r="G1276" t="str">
        <f>IFERROR(__xludf.DUMMYFUNCTION("""COMPUTED_VALUE"""),"Strigomonas")</f>
        <v>Strigomonas</v>
      </c>
      <c r="H1276" t="str">
        <f>IFERROR(__xludf.DUMMYFUNCTION("""COMPUTED_VALUE"""),"culicis)")</f>
        <v>culicis)</v>
      </c>
    </row>
    <row r="1277" ht="15.75" customHeight="1">
      <c r="A1277" t="str">
        <f t="shared" si="1"/>
        <v>C.Kinetoplastibacterium</v>
      </c>
      <c r="B1277" s="5" t="s">
        <v>1297</v>
      </c>
      <c r="C1277" s="6" t="str">
        <f>IFERROR(__xludf.DUMMYFUNCTION("SPLIT('2. c'!B1277, "" "", True, True)"),"Candidatus")</f>
        <v>Candidatus</v>
      </c>
      <c r="D1277" t="str">
        <f>IFERROR(__xludf.DUMMYFUNCTION("""COMPUTED_VALUE"""),"Kinetoplastibacterium")</f>
        <v>Kinetoplastibacterium</v>
      </c>
      <c r="E1277" t="str">
        <f>IFERROR(__xludf.DUMMYFUNCTION("""COMPUTED_VALUE"""),"blastocrithidii")</f>
        <v>blastocrithidii</v>
      </c>
      <c r="F1277" t="str">
        <f>IFERROR(__xludf.DUMMYFUNCTION("""COMPUTED_VALUE"""),"TCC012E")</f>
        <v>TCC012E</v>
      </c>
    </row>
    <row r="1278" ht="15.75" customHeight="1">
      <c r="A1278" t="str">
        <f t="shared" si="1"/>
        <v>C.Kinetoplastibacterium</v>
      </c>
      <c r="B1278" s="5" t="s">
        <v>1298</v>
      </c>
      <c r="C1278" s="6" t="str">
        <f>IFERROR(__xludf.DUMMYFUNCTION("SPLIT('2. c'!B1278, "" "", True, True)"),"Candidatus")</f>
        <v>Candidatus</v>
      </c>
      <c r="D1278" t="str">
        <f>IFERROR(__xludf.DUMMYFUNCTION("""COMPUTED_VALUE"""),"Kinetoplastibacterium")</f>
        <v>Kinetoplastibacterium</v>
      </c>
      <c r="E1278" t="str">
        <f>IFERROR(__xludf.DUMMYFUNCTION("""COMPUTED_VALUE"""),"crithidii")</f>
        <v>crithidii</v>
      </c>
      <c r="F1278" t="str">
        <f>IFERROR(__xludf.DUMMYFUNCTION("""COMPUTED_VALUE"""),"(ex")</f>
        <v>(ex</v>
      </c>
      <c r="G1278" t="str">
        <f>IFERROR(__xludf.DUMMYFUNCTION("""COMPUTED_VALUE"""),"Angomonas")</f>
        <v>Angomonas</v>
      </c>
      <c r="H1278" t="str">
        <f>IFERROR(__xludf.DUMMYFUNCTION("""COMPUTED_VALUE"""),"deanei")</f>
        <v>deanei</v>
      </c>
      <c r="I1278" t="str">
        <f>IFERROR(__xludf.DUMMYFUNCTION("""COMPUTED_VALUE"""),"ATCC")</f>
        <v>ATCC</v>
      </c>
      <c r="J1278" t="str">
        <f>IFERROR(__xludf.DUMMYFUNCTION("""COMPUTED_VALUE"""),"30255)")</f>
        <v>30255)</v>
      </c>
    </row>
    <row r="1279" ht="15.75" customHeight="1">
      <c r="A1279" t="str">
        <f t="shared" si="1"/>
        <v>C.Kinetoplastibacterium</v>
      </c>
      <c r="B1279" s="5" t="s">
        <v>1299</v>
      </c>
      <c r="C1279" s="6" t="str">
        <f>IFERROR(__xludf.DUMMYFUNCTION("SPLIT('2. c'!B1279, "" "", True, True)"),"Candidatus")</f>
        <v>Candidatus</v>
      </c>
      <c r="D1279" t="str">
        <f>IFERROR(__xludf.DUMMYFUNCTION("""COMPUTED_VALUE"""),"Kinetoplastibacterium")</f>
        <v>Kinetoplastibacterium</v>
      </c>
      <c r="E1279" t="str">
        <f>IFERROR(__xludf.DUMMYFUNCTION("""COMPUTED_VALUE"""),"crithidii")</f>
        <v>crithidii</v>
      </c>
      <c r="F1279" t="str">
        <f>IFERROR(__xludf.DUMMYFUNCTION("""COMPUTED_VALUE"""),"TCC036E")</f>
        <v>TCC036E</v>
      </c>
    </row>
    <row r="1280" ht="15.75" customHeight="1">
      <c r="A1280" t="str">
        <f t="shared" si="1"/>
        <v>C.Kinetoplastibacterium</v>
      </c>
      <c r="B1280" s="5" t="s">
        <v>1300</v>
      </c>
      <c r="C1280" s="6" t="str">
        <f>IFERROR(__xludf.DUMMYFUNCTION("SPLIT('2. c'!B1280, "" "", True, True)"),"Candidatus")</f>
        <v>Candidatus</v>
      </c>
      <c r="D1280" t="str">
        <f>IFERROR(__xludf.DUMMYFUNCTION("""COMPUTED_VALUE"""),"Kinetoplastibacterium")</f>
        <v>Kinetoplastibacterium</v>
      </c>
      <c r="E1280" t="str">
        <f>IFERROR(__xludf.DUMMYFUNCTION("""COMPUTED_VALUE"""),"desouzaii")</f>
        <v>desouzaii</v>
      </c>
      <c r="F1280" t="str">
        <f>IFERROR(__xludf.DUMMYFUNCTION("""COMPUTED_VALUE"""),"TCC079E")</f>
        <v>TCC079E</v>
      </c>
    </row>
    <row r="1281" ht="15.75" customHeight="1">
      <c r="A1281" t="str">
        <f t="shared" si="1"/>
        <v>C.Kinetoplastibacterium</v>
      </c>
      <c r="B1281" s="5" t="s">
        <v>1301</v>
      </c>
      <c r="C1281" s="6" t="str">
        <f>IFERROR(__xludf.DUMMYFUNCTION("SPLIT('2. c'!B1281, "" "", True, True)"),"Candidatus")</f>
        <v>Candidatus</v>
      </c>
      <c r="D1281" t="str">
        <f>IFERROR(__xludf.DUMMYFUNCTION("""COMPUTED_VALUE"""),"Kinetoplastibacterium")</f>
        <v>Kinetoplastibacterium</v>
      </c>
      <c r="E1281" t="str">
        <f>IFERROR(__xludf.DUMMYFUNCTION("""COMPUTED_VALUE"""),"galatii")</f>
        <v>galatii</v>
      </c>
      <c r="F1281" t="str">
        <f>IFERROR(__xludf.DUMMYFUNCTION("""COMPUTED_VALUE"""),"TCC219")</f>
        <v>TCC219</v>
      </c>
    </row>
    <row r="1282" ht="15.75" customHeight="1">
      <c r="A1282" t="str">
        <f t="shared" si="1"/>
        <v>C.Kinetoplastibacterium</v>
      </c>
      <c r="B1282" s="5" t="s">
        <v>1302</v>
      </c>
      <c r="C1282" s="6" t="str">
        <f>IFERROR(__xludf.DUMMYFUNCTION("SPLIT('2. c'!B1282, "" "", True, True)"),"Candidatus")</f>
        <v>Candidatus</v>
      </c>
      <c r="D1282" t="str">
        <f>IFERROR(__xludf.DUMMYFUNCTION("""COMPUTED_VALUE"""),"Kinetoplastibacterium")</f>
        <v>Kinetoplastibacterium</v>
      </c>
      <c r="E1282" t="str">
        <f>IFERROR(__xludf.DUMMYFUNCTION("""COMPUTED_VALUE"""),"oncopeltii")</f>
        <v>oncopeltii</v>
      </c>
      <c r="F1282" t="str">
        <f>IFERROR(__xludf.DUMMYFUNCTION("""COMPUTED_VALUE"""),"TCC290E")</f>
        <v>TCC290E</v>
      </c>
    </row>
    <row r="1283" ht="15.75" customHeight="1">
      <c r="A1283" t="str">
        <f t="shared" si="1"/>
        <v>C.Korarchaeum</v>
      </c>
      <c r="B1283" s="5" t="s">
        <v>1303</v>
      </c>
      <c r="C1283" s="6" t="str">
        <f>IFERROR(__xludf.DUMMYFUNCTION("SPLIT('2. c'!B1283, "" "", True, True)"),"Candidatus")</f>
        <v>Candidatus</v>
      </c>
      <c r="D1283" t="str">
        <f>IFERROR(__xludf.DUMMYFUNCTION("""COMPUTED_VALUE"""),"Korarchaeum")</f>
        <v>Korarchaeum</v>
      </c>
      <c r="E1283" t="str">
        <f>IFERROR(__xludf.DUMMYFUNCTION("""COMPUTED_VALUE"""),"cryptofilum")</f>
        <v>cryptofilum</v>
      </c>
      <c r="F1283" t="str">
        <f>IFERROR(__xludf.DUMMYFUNCTION("""COMPUTED_VALUE"""),"OPF8")</f>
        <v>OPF8</v>
      </c>
    </row>
    <row r="1284" ht="15.75" customHeight="1">
      <c r="A1284" t="str">
        <f t="shared" si="1"/>
        <v>C.Koribacter</v>
      </c>
      <c r="B1284" s="5" t="s">
        <v>1304</v>
      </c>
      <c r="C1284" s="6" t="str">
        <f>IFERROR(__xludf.DUMMYFUNCTION("SPLIT('2. c'!B1284, "" "", True, True)"),"Candidatus")</f>
        <v>Candidatus</v>
      </c>
      <c r="D1284" t="str">
        <f>IFERROR(__xludf.DUMMYFUNCTION("""COMPUTED_VALUE"""),"Koribacter")</f>
        <v>Koribacter</v>
      </c>
      <c r="E1284" t="str">
        <f>IFERROR(__xludf.DUMMYFUNCTION("""COMPUTED_VALUE"""),"versatilis")</f>
        <v>versatilis</v>
      </c>
      <c r="F1284" t="str">
        <f>IFERROR(__xludf.DUMMYFUNCTION("""COMPUTED_VALUE"""),"Ellin345")</f>
        <v>Ellin345</v>
      </c>
    </row>
    <row r="1285" ht="15.75" customHeight="1">
      <c r="A1285" t="str">
        <f t="shared" si="1"/>
        <v>C.Liberibacter</v>
      </c>
      <c r="B1285" s="5" t="s">
        <v>1305</v>
      </c>
      <c r="C1285" s="6" t="str">
        <f>IFERROR(__xludf.DUMMYFUNCTION("SPLIT('2. c'!B1285, "" "", True, True)"),"Candidatus")</f>
        <v>Candidatus</v>
      </c>
      <c r="D1285" t="str">
        <f>IFERROR(__xludf.DUMMYFUNCTION("""COMPUTED_VALUE"""),"Liberibacter")</f>
        <v>Liberibacter</v>
      </c>
      <c r="E1285" t="str">
        <f>IFERROR(__xludf.DUMMYFUNCTION("""COMPUTED_VALUE"""),"africanus")</f>
        <v>africanus</v>
      </c>
      <c r="F1285" t="str">
        <f>IFERROR(__xludf.DUMMYFUNCTION("""COMPUTED_VALUE"""),"PTSAPSY")</f>
        <v>PTSAPSY</v>
      </c>
    </row>
    <row r="1286" ht="15.75" customHeight="1">
      <c r="A1286" t="str">
        <f t="shared" si="1"/>
        <v>C.Liberibacter</v>
      </c>
      <c r="B1286" s="5" t="s">
        <v>1306</v>
      </c>
      <c r="C1286" s="6" t="str">
        <f>IFERROR(__xludf.DUMMYFUNCTION("SPLIT('2. c'!B1286, "" "", True, True)"),"Candidatus")</f>
        <v>Candidatus</v>
      </c>
      <c r="D1286" t="str">
        <f>IFERROR(__xludf.DUMMYFUNCTION("""COMPUTED_VALUE"""),"Liberibacter")</f>
        <v>Liberibacter</v>
      </c>
      <c r="E1286" t="str">
        <f>IFERROR(__xludf.DUMMYFUNCTION("""COMPUTED_VALUE"""),"americanus")</f>
        <v>americanus</v>
      </c>
      <c r="F1286" t="str">
        <f>IFERROR(__xludf.DUMMYFUNCTION("""COMPUTED_VALUE"""),"str.")</f>
        <v>str.</v>
      </c>
      <c r="G1286" t="str">
        <f>IFERROR(__xludf.DUMMYFUNCTION("""COMPUTED_VALUE"""),"Sao")</f>
        <v>Sao</v>
      </c>
      <c r="H1286" t="str">
        <f>IFERROR(__xludf.DUMMYFUNCTION("""COMPUTED_VALUE"""),"Paulo")</f>
        <v>Paulo</v>
      </c>
    </row>
    <row r="1287" ht="15.75" customHeight="1">
      <c r="A1287" t="str">
        <f t="shared" si="1"/>
        <v>C.Liberibacter</v>
      </c>
      <c r="B1287" s="5" t="s">
        <v>1307</v>
      </c>
      <c r="C1287" s="6" t="str">
        <f>IFERROR(__xludf.DUMMYFUNCTION("SPLIT('2. c'!B1287, "" "", True, True)"),"Candidatus")</f>
        <v>Candidatus</v>
      </c>
      <c r="D1287" t="str">
        <f>IFERROR(__xludf.DUMMYFUNCTION("""COMPUTED_VALUE"""),"Liberibacter")</f>
        <v>Liberibacter</v>
      </c>
      <c r="E1287" t="str">
        <f>IFERROR(__xludf.DUMMYFUNCTION("""COMPUTED_VALUE"""),"asiaticus")</f>
        <v>asiaticus</v>
      </c>
      <c r="F1287" t="str">
        <f>IFERROR(__xludf.DUMMYFUNCTION("""COMPUTED_VALUE"""),"str.")</f>
        <v>str.</v>
      </c>
      <c r="G1287" t="str">
        <f>IFERROR(__xludf.DUMMYFUNCTION("""COMPUTED_VALUE"""),"gxpsy")</f>
        <v>gxpsy</v>
      </c>
    </row>
    <row r="1288" ht="15.75" customHeight="1">
      <c r="A1288" t="str">
        <f t="shared" si="1"/>
        <v>C.Liberibacter</v>
      </c>
      <c r="B1288" s="5" t="s">
        <v>1308</v>
      </c>
      <c r="C1288" s="6" t="str">
        <f>IFERROR(__xludf.DUMMYFUNCTION("SPLIT('2. c'!B1288, "" "", True, True)"),"Candidatus")</f>
        <v>Candidatus</v>
      </c>
      <c r="D1288" t="str">
        <f>IFERROR(__xludf.DUMMYFUNCTION("""COMPUTED_VALUE"""),"Liberibacter")</f>
        <v>Liberibacter</v>
      </c>
      <c r="E1288" t="str">
        <f>IFERROR(__xludf.DUMMYFUNCTION("""COMPUTED_VALUE"""),"asiaticus")</f>
        <v>asiaticus</v>
      </c>
      <c r="F1288" t="str">
        <f>IFERROR(__xludf.DUMMYFUNCTION("""COMPUTED_VALUE"""),"str.")</f>
        <v>str.</v>
      </c>
      <c r="G1288" t="str">
        <f>IFERROR(__xludf.DUMMYFUNCTION("""COMPUTED_VALUE"""),"Ishi-1")</f>
        <v>Ishi-1</v>
      </c>
    </row>
    <row r="1289" ht="15.75" customHeight="1">
      <c r="A1289" t="str">
        <f t="shared" si="1"/>
        <v>C.Liberibacter</v>
      </c>
      <c r="B1289" s="5" t="s">
        <v>1309</v>
      </c>
      <c r="C1289" s="6" t="str">
        <f>IFERROR(__xludf.DUMMYFUNCTION("SPLIT('2. c'!B1289, "" "", True, True)"),"Candidatus")</f>
        <v>Candidatus</v>
      </c>
      <c r="D1289" t="str">
        <f>IFERROR(__xludf.DUMMYFUNCTION("""COMPUTED_VALUE"""),"Liberibacter")</f>
        <v>Liberibacter</v>
      </c>
      <c r="E1289" t="str">
        <f>IFERROR(__xludf.DUMMYFUNCTION("""COMPUTED_VALUE"""),"asiaticus")</f>
        <v>asiaticus</v>
      </c>
      <c r="F1289" t="str">
        <f>IFERROR(__xludf.DUMMYFUNCTION("""COMPUTED_VALUE"""),"str.")</f>
        <v>str.</v>
      </c>
      <c r="G1289" t="str">
        <f>IFERROR(__xludf.DUMMYFUNCTION("""COMPUTED_VALUE"""),"psy62")</f>
        <v>psy62</v>
      </c>
    </row>
    <row r="1290" ht="15.75" customHeight="1">
      <c r="A1290" t="str">
        <f t="shared" si="1"/>
        <v>C.Liberibacter</v>
      </c>
      <c r="B1290" s="5" t="s">
        <v>1310</v>
      </c>
      <c r="C1290" s="6" t="str">
        <f>IFERROR(__xludf.DUMMYFUNCTION("SPLIT('2. c'!B1290, "" "", True, True)"),"Candidatus")</f>
        <v>Candidatus</v>
      </c>
      <c r="D1290" t="str">
        <f>IFERROR(__xludf.DUMMYFUNCTION("""COMPUTED_VALUE"""),"Liberibacter")</f>
        <v>Liberibacter</v>
      </c>
      <c r="E1290" t="str">
        <f>IFERROR(__xludf.DUMMYFUNCTION("""COMPUTED_VALUE"""),"solanacearum")</f>
        <v>solanacearum</v>
      </c>
      <c r="F1290" t="str">
        <f>IFERROR(__xludf.DUMMYFUNCTION("""COMPUTED_VALUE"""),"CLso-ZC1")</f>
        <v>CLso-ZC1</v>
      </c>
    </row>
    <row r="1291" ht="15.75" customHeight="1">
      <c r="A1291" t="str">
        <f t="shared" si="1"/>
        <v>C.Methanomassiliicoccus</v>
      </c>
      <c r="B1291" s="5" t="s">
        <v>1311</v>
      </c>
      <c r="C1291" s="6" t="str">
        <f>IFERROR(__xludf.DUMMYFUNCTION("SPLIT('2. c'!B1291, "" "", True, True)"),"Candidatus")</f>
        <v>Candidatus</v>
      </c>
      <c r="D1291" t="str">
        <f>IFERROR(__xludf.DUMMYFUNCTION("""COMPUTED_VALUE"""),"Methanomassiliicoccus")</f>
        <v>Methanomassiliicoccus</v>
      </c>
      <c r="E1291" t="str">
        <f>IFERROR(__xludf.DUMMYFUNCTION("""COMPUTED_VALUE"""),"intestinalis")</f>
        <v>intestinalis</v>
      </c>
      <c r="F1291" t="str">
        <f>IFERROR(__xludf.DUMMYFUNCTION("""COMPUTED_VALUE"""),"Issoire-Mx1")</f>
        <v>Issoire-Mx1</v>
      </c>
    </row>
    <row r="1292" ht="15.75" customHeight="1">
      <c r="A1292" t="str">
        <f t="shared" si="1"/>
        <v>C.Methanomethylophilus</v>
      </c>
      <c r="B1292" s="5" t="s">
        <v>1312</v>
      </c>
      <c r="C1292" s="6" t="str">
        <f>IFERROR(__xludf.DUMMYFUNCTION("SPLIT('2. c'!B1292, "" "", True, True)"),"Candidatus")</f>
        <v>Candidatus</v>
      </c>
      <c r="D1292" t="str">
        <f>IFERROR(__xludf.DUMMYFUNCTION("""COMPUTED_VALUE"""),"Methanomethylophilus")</f>
        <v>Methanomethylophilus</v>
      </c>
      <c r="E1292" t="str">
        <f>IFERROR(__xludf.DUMMYFUNCTION("""COMPUTED_VALUE"""),"alvus")</f>
        <v>alvus</v>
      </c>
      <c r="F1292" t="str">
        <f>IFERROR(__xludf.DUMMYFUNCTION("""COMPUTED_VALUE"""),"Mx1201")</f>
        <v>Mx1201</v>
      </c>
    </row>
    <row r="1293" ht="15.75" customHeight="1">
      <c r="A1293" t="str">
        <f t="shared" si="1"/>
        <v>C.Methanoplasma</v>
      </c>
      <c r="B1293" s="5" t="s">
        <v>1313</v>
      </c>
      <c r="C1293" s="6" t="str">
        <f>IFERROR(__xludf.DUMMYFUNCTION("SPLIT('2. c'!B1293, "" "", True, True)"),"Candidatus")</f>
        <v>Candidatus</v>
      </c>
      <c r="D1293" t="str">
        <f>IFERROR(__xludf.DUMMYFUNCTION("""COMPUTED_VALUE"""),"Methanoplasma")</f>
        <v>Methanoplasma</v>
      </c>
      <c r="E1293" t="str">
        <f>IFERROR(__xludf.DUMMYFUNCTION("""COMPUTED_VALUE"""),"termitum")</f>
        <v>termitum</v>
      </c>
      <c r="F1293" t="str">
        <f>IFERROR(__xludf.DUMMYFUNCTION("""COMPUTED_VALUE"""),"MpT1")</f>
        <v>MpT1</v>
      </c>
    </row>
    <row r="1294" ht="15.75" customHeight="1">
      <c r="A1294" t="str">
        <f t="shared" si="1"/>
        <v>C.Methylomirabilis</v>
      </c>
      <c r="B1294" s="5" t="s">
        <v>1314</v>
      </c>
      <c r="C1294" s="6" t="str">
        <f>IFERROR(__xludf.DUMMYFUNCTION("SPLIT('2. c'!B1294, "" "", True, True)"),"Candidatus")</f>
        <v>Candidatus</v>
      </c>
      <c r="D1294" t="str">
        <f>IFERROR(__xludf.DUMMYFUNCTION("""COMPUTED_VALUE"""),"Methylomirabilis")</f>
        <v>Methylomirabilis</v>
      </c>
      <c r="E1294" t="str">
        <f>IFERROR(__xludf.DUMMYFUNCTION("""COMPUTED_VALUE"""),"oxyfera")</f>
        <v>oxyfera</v>
      </c>
    </row>
    <row r="1295" ht="15.75" customHeight="1">
      <c r="A1295" t="str">
        <f t="shared" si="1"/>
        <v>C.Methylopumilus</v>
      </c>
      <c r="B1295" s="5" t="s">
        <v>1315</v>
      </c>
      <c r="C1295" s="6" t="str">
        <f>IFERROR(__xludf.DUMMYFUNCTION("SPLIT('2. c'!B1295, "" "", True, True)"),"Candidatus")</f>
        <v>Candidatus</v>
      </c>
      <c r="D1295" t="str">
        <f>IFERROR(__xludf.DUMMYFUNCTION("""COMPUTED_VALUE"""),"Methylopumilus")</f>
        <v>Methylopumilus</v>
      </c>
      <c r="E1295" t="str">
        <f>IFERROR(__xludf.DUMMYFUNCTION("""COMPUTED_VALUE"""),"planktonicus")</f>
        <v>planktonicus</v>
      </c>
      <c r="F1295" t="str">
        <f>IFERROR(__xludf.DUMMYFUNCTION("""COMPUTED_VALUE"""),"strain")</f>
        <v>strain</v>
      </c>
      <c r="G1295" t="str">
        <f>IFERROR(__xludf.DUMMYFUNCTION("""COMPUTED_VALUE"""),"MMS-2-53")</f>
        <v>MMS-2-53</v>
      </c>
    </row>
    <row r="1296" ht="15.75" customHeight="1">
      <c r="A1296" t="str">
        <f t="shared" si="1"/>
        <v>C.Methylopumilus</v>
      </c>
      <c r="B1296" s="5" t="s">
        <v>1316</v>
      </c>
      <c r="C1296" s="6" t="str">
        <f>IFERROR(__xludf.DUMMYFUNCTION("SPLIT('2. c'!B1296, "" "", True, True)"),"Candidatus")</f>
        <v>Candidatus</v>
      </c>
      <c r="D1296" t="str">
        <f>IFERROR(__xludf.DUMMYFUNCTION("""COMPUTED_VALUE"""),"Methylopumilus")</f>
        <v>Methylopumilus</v>
      </c>
      <c r="E1296" t="str">
        <f>IFERROR(__xludf.DUMMYFUNCTION("""COMPUTED_VALUE"""),"turicensis")</f>
        <v>turicensis</v>
      </c>
      <c r="F1296" t="str">
        <f>IFERROR(__xludf.DUMMYFUNCTION("""COMPUTED_VALUE"""),"strain")</f>
        <v>strain</v>
      </c>
      <c r="G1296" t="str">
        <f>IFERROR(__xludf.DUMMYFUNCTION("""COMPUTED_VALUE"""),"MMS-10A-171")</f>
        <v>MMS-10A-171</v>
      </c>
    </row>
    <row r="1297" ht="15.75" customHeight="1">
      <c r="A1297" t="str">
        <f t="shared" si="1"/>
        <v>C.Midichloria</v>
      </c>
      <c r="B1297" s="5" t="s">
        <v>1317</v>
      </c>
      <c r="C1297" s="6" t="str">
        <f>IFERROR(__xludf.DUMMYFUNCTION("SPLIT('2. c'!B1297, "" "", True, True)"),"Candidatus")</f>
        <v>Candidatus</v>
      </c>
      <c r="D1297" t="str">
        <f>IFERROR(__xludf.DUMMYFUNCTION("""COMPUTED_VALUE"""),"Midichloria")</f>
        <v>Midichloria</v>
      </c>
      <c r="E1297" t="str">
        <f>IFERROR(__xludf.DUMMYFUNCTION("""COMPUTED_VALUE"""),"mitochondrii")</f>
        <v>mitochondrii</v>
      </c>
      <c r="F1297" t="str">
        <f>IFERROR(__xludf.DUMMYFUNCTION("""COMPUTED_VALUE"""),"IricVA")</f>
        <v>IricVA</v>
      </c>
    </row>
    <row r="1298" ht="15.75" customHeight="1">
      <c r="A1298" t="str">
        <f t="shared" si="1"/>
        <v>C.Moranella</v>
      </c>
      <c r="B1298" s="5" t="s">
        <v>1318</v>
      </c>
      <c r="C1298" s="6" t="str">
        <f>IFERROR(__xludf.DUMMYFUNCTION("SPLIT('2. c'!B1298, "" "", True, True)"),"Candidatus")</f>
        <v>Candidatus</v>
      </c>
      <c r="D1298" t="str">
        <f>IFERROR(__xludf.DUMMYFUNCTION("""COMPUTED_VALUE"""),"Moranella")</f>
        <v>Moranella</v>
      </c>
      <c r="E1298" t="str">
        <f>IFERROR(__xludf.DUMMYFUNCTION("""COMPUTED_VALUE"""),"endobia")</f>
        <v>endobia</v>
      </c>
      <c r="F1298" t="str">
        <f>IFERROR(__xludf.DUMMYFUNCTION("""COMPUTED_VALUE"""),"PCIT")</f>
        <v>PCIT</v>
      </c>
    </row>
    <row r="1299" ht="15.75" customHeight="1">
      <c r="A1299" t="str">
        <f t="shared" si="1"/>
        <v>C.Moranella</v>
      </c>
      <c r="B1299" s="5" t="s">
        <v>1319</v>
      </c>
      <c r="C1299" s="6" t="str">
        <f>IFERROR(__xludf.DUMMYFUNCTION("SPLIT('2. c'!B1299, "" "", True, True)"),"Candidatus")</f>
        <v>Candidatus</v>
      </c>
      <c r="D1299" t="str">
        <f>IFERROR(__xludf.DUMMYFUNCTION("""COMPUTED_VALUE"""),"Moranella")</f>
        <v>Moranella</v>
      </c>
      <c r="E1299" t="str">
        <f>IFERROR(__xludf.DUMMYFUNCTION("""COMPUTED_VALUE"""),"endobia")</f>
        <v>endobia</v>
      </c>
      <c r="F1299" t="str">
        <f>IFERROR(__xludf.DUMMYFUNCTION("""COMPUTED_VALUE"""),"PCVAL")</f>
        <v>PCVAL</v>
      </c>
    </row>
    <row r="1300" ht="15.75" customHeight="1">
      <c r="A1300" t="str">
        <f t="shared" si="1"/>
        <v>C.Mycoplasma</v>
      </c>
      <c r="B1300" s="5" t="s">
        <v>1320</v>
      </c>
      <c r="C1300" s="6" t="str">
        <f>IFERROR(__xludf.DUMMYFUNCTION("SPLIT('2. c'!B1300, "" "", True, True)"),"Candidatus")</f>
        <v>Candidatus</v>
      </c>
      <c r="D1300" t="str">
        <f>IFERROR(__xludf.DUMMYFUNCTION("""COMPUTED_VALUE"""),"Mycoplasma")</f>
        <v>Mycoplasma</v>
      </c>
      <c r="E1300" t="str">
        <f>IFERROR(__xludf.DUMMYFUNCTION("""COMPUTED_VALUE"""),"girerdii")</f>
        <v>girerdii</v>
      </c>
      <c r="F1300" t="str">
        <f>IFERROR(__xludf.DUMMYFUNCTION("""COMPUTED_VALUE"""),"VCU_M1")</f>
        <v>VCU_M1</v>
      </c>
    </row>
    <row r="1301" ht="15.75" customHeight="1">
      <c r="A1301" t="str">
        <f t="shared" si="1"/>
        <v>C.Mycoplasma</v>
      </c>
      <c r="B1301" s="5" t="s">
        <v>1321</v>
      </c>
      <c r="C1301" s="6" t="str">
        <f>IFERROR(__xludf.DUMMYFUNCTION("SPLIT('2. c'!B1301, "" "", True, True)"),"Candidatus")</f>
        <v>Candidatus</v>
      </c>
      <c r="D1301" t="str">
        <f>IFERROR(__xludf.DUMMYFUNCTION("""COMPUTED_VALUE"""),"Mycoplasma")</f>
        <v>Mycoplasma</v>
      </c>
      <c r="E1301" t="str">
        <f>IFERROR(__xludf.DUMMYFUNCTION("""COMPUTED_VALUE"""),"haemolamae")</f>
        <v>haemolamae</v>
      </c>
      <c r="F1301" t="str">
        <f>IFERROR(__xludf.DUMMYFUNCTION("""COMPUTED_VALUE"""),"str.")</f>
        <v>str.</v>
      </c>
      <c r="G1301" t="str">
        <f>IFERROR(__xludf.DUMMYFUNCTION("""COMPUTED_VALUE"""),"Purdue")</f>
        <v>Purdue</v>
      </c>
    </row>
    <row r="1302" ht="15.75" customHeight="1">
      <c r="A1302" t="str">
        <f t="shared" si="1"/>
        <v>C.Mycoplasma</v>
      </c>
      <c r="B1302" s="5" t="s">
        <v>1322</v>
      </c>
      <c r="C1302" s="6" t="str">
        <f>IFERROR(__xludf.DUMMYFUNCTION("SPLIT('2. c'!B1302, "" "", True, True)"),"Candidatus")</f>
        <v>Candidatus</v>
      </c>
      <c r="D1302" t="str">
        <f>IFERROR(__xludf.DUMMYFUNCTION("""COMPUTED_VALUE"""),"Mycoplasma")</f>
        <v>Mycoplasma</v>
      </c>
      <c r="E1302" t="str">
        <f>IFERROR(__xludf.DUMMYFUNCTION("""COMPUTED_VALUE"""),"haemominutum")</f>
        <v>haemominutum</v>
      </c>
      <c r="F1302" t="str">
        <f>IFERROR(__xludf.DUMMYFUNCTION("""COMPUTED_VALUE"""),"Birmingham")</f>
        <v>Birmingham</v>
      </c>
      <c r="G1302" t="str">
        <f>IFERROR(__xludf.DUMMYFUNCTION("""COMPUTED_VALUE"""),"1'")</f>
        <v>1'</v>
      </c>
    </row>
    <row r="1303" ht="15.75" customHeight="1">
      <c r="A1303" t="str">
        <f t="shared" si="1"/>
        <v>C.Nasuia</v>
      </c>
      <c r="B1303" s="5" t="s">
        <v>1323</v>
      </c>
      <c r="C1303" s="6" t="str">
        <f>IFERROR(__xludf.DUMMYFUNCTION("SPLIT('2. c'!B1303, "" "", True, True)"),"Candidatus")</f>
        <v>Candidatus</v>
      </c>
      <c r="D1303" t="str">
        <f>IFERROR(__xludf.DUMMYFUNCTION("""COMPUTED_VALUE"""),"Nasuia")</f>
        <v>Nasuia</v>
      </c>
      <c r="E1303" t="str">
        <f>IFERROR(__xludf.DUMMYFUNCTION("""COMPUTED_VALUE"""),"deltocephalinicola")</f>
        <v>deltocephalinicola</v>
      </c>
      <c r="F1303" t="str">
        <f>IFERROR(__xludf.DUMMYFUNCTION("""COMPUTED_VALUE"""),"str.")</f>
        <v>str.</v>
      </c>
      <c r="G1303" t="str">
        <f>IFERROR(__xludf.DUMMYFUNCTION("""COMPUTED_VALUE"""),"NAS-ALF")</f>
        <v>NAS-ALF</v>
      </c>
    </row>
    <row r="1304" ht="15.75" customHeight="1">
      <c r="A1304" t="str">
        <f t="shared" si="1"/>
        <v>C.Nasuia</v>
      </c>
      <c r="B1304" s="5" t="s">
        <v>1324</v>
      </c>
      <c r="C1304" s="6" t="str">
        <f>IFERROR(__xludf.DUMMYFUNCTION("SPLIT('2. c'!B1304, "" "", True, True)"),"Candidatus")</f>
        <v>Candidatus</v>
      </c>
      <c r="D1304" t="str">
        <f>IFERROR(__xludf.DUMMYFUNCTION("""COMPUTED_VALUE"""),"Nasuia")</f>
        <v>Nasuia</v>
      </c>
      <c r="E1304" t="str">
        <f>IFERROR(__xludf.DUMMYFUNCTION("""COMPUTED_VALUE"""),"deltocephalinicola")</f>
        <v>deltocephalinicola</v>
      </c>
      <c r="F1304" t="str">
        <f>IFERROR(__xludf.DUMMYFUNCTION("""COMPUTED_VALUE"""),"strain")</f>
        <v>strain</v>
      </c>
      <c r="G1304" t="str">
        <f>IFERROR(__xludf.DUMMYFUNCTION("""COMPUTED_VALUE"""),"PUNC")</f>
        <v>PUNC</v>
      </c>
    </row>
    <row r="1305" ht="15.75" customHeight="1">
      <c r="A1305" t="str">
        <f t="shared" si="1"/>
        <v>C.Neoehrlichia</v>
      </c>
      <c r="B1305" s="5" t="s">
        <v>1325</v>
      </c>
      <c r="C1305" s="6" t="str">
        <f>IFERROR(__xludf.DUMMYFUNCTION("SPLIT('2. c'!B1305, "" "", True, True)"),"Candidatus")</f>
        <v>Candidatus</v>
      </c>
      <c r="D1305" t="str">
        <f>IFERROR(__xludf.DUMMYFUNCTION("""COMPUTED_VALUE"""),"Neoehrlichia")</f>
        <v>Neoehrlichia</v>
      </c>
      <c r="E1305" t="str">
        <f>IFERROR(__xludf.DUMMYFUNCTION("""COMPUTED_VALUE"""),"lotoris")</f>
        <v>lotoris</v>
      </c>
      <c r="F1305" t="str">
        <f>IFERROR(__xludf.DUMMYFUNCTION("""COMPUTED_VALUE"""),"str.")</f>
        <v>str.</v>
      </c>
      <c r="G1305" t="str">
        <f>IFERROR(__xludf.DUMMYFUNCTION("""COMPUTED_VALUE"""),"RAC413")</f>
        <v>RAC413</v>
      </c>
    </row>
    <row r="1306" ht="15.75" customHeight="1">
      <c r="A1306" t="str">
        <f t="shared" si="1"/>
        <v>C.Nitrosoarchaeum</v>
      </c>
      <c r="B1306" s="5" t="s">
        <v>1326</v>
      </c>
      <c r="C1306" s="6" t="str">
        <f>IFERROR(__xludf.DUMMYFUNCTION("SPLIT('2. c'!B1306, "" "", True, True)"),"Candidatus")</f>
        <v>Candidatus</v>
      </c>
      <c r="D1306" t="str">
        <f>IFERROR(__xludf.DUMMYFUNCTION("""COMPUTED_VALUE"""),"Nitrosoarchaeum")</f>
        <v>Nitrosoarchaeum</v>
      </c>
      <c r="E1306" t="str">
        <f>IFERROR(__xludf.DUMMYFUNCTION("""COMPUTED_VALUE"""),"limnia")</f>
        <v>limnia</v>
      </c>
      <c r="F1306" t="str">
        <f>IFERROR(__xludf.DUMMYFUNCTION("""COMPUTED_VALUE"""),"SFB1")</f>
        <v>SFB1</v>
      </c>
    </row>
    <row r="1307" ht="15.75" customHeight="1">
      <c r="A1307" t="str">
        <f t="shared" si="1"/>
        <v>C.Nitrosopelagicus</v>
      </c>
      <c r="B1307" s="5" t="s">
        <v>1327</v>
      </c>
      <c r="C1307" s="6" t="str">
        <f>IFERROR(__xludf.DUMMYFUNCTION("SPLIT('2. c'!B1307, "" "", True, True)"),"Candidatus")</f>
        <v>Candidatus</v>
      </c>
      <c r="D1307" t="str">
        <f>IFERROR(__xludf.DUMMYFUNCTION("""COMPUTED_VALUE"""),"Nitrosopelagicus")</f>
        <v>Nitrosopelagicus</v>
      </c>
      <c r="E1307" t="str">
        <f>IFERROR(__xludf.DUMMYFUNCTION("""COMPUTED_VALUE"""),"brevis")</f>
        <v>brevis</v>
      </c>
      <c r="F1307" t="str">
        <f>IFERROR(__xludf.DUMMYFUNCTION("""COMPUTED_VALUE"""),"V2")</f>
        <v>V2</v>
      </c>
    </row>
    <row r="1308" ht="15.75" customHeight="1">
      <c r="A1308" t="str">
        <f t="shared" si="1"/>
        <v>C.Nitrosopumilus</v>
      </c>
      <c r="B1308" s="5" t="s">
        <v>1328</v>
      </c>
      <c r="C1308" s="6" t="str">
        <f>IFERROR(__xludf.DUMMYFUNCTION("SPLIT('2. c'!B1308, "" "", True, True)"),"Candidatus")</f>
        <v>Candidatus</v>
      </c>
      <c r="D1308" t="str">
        <f>IFERROR(__xludf.DUMMYFUNCTION("""COMPUTED_VALUE"""),"Nitrosopumilus")</f>
        <v>Nitrosopumilus</v>
      </c>
      <c r="E1308" t="str">
        <f>IFERROR(__xludf.DUMMYFUNCTION("""COMPUTED_VALUE"""),"koreensis")</f>
        <v>koreensis</v>
      </c>
      <c r="F1308" t="str">
        <f>IFERROR(__xludf.DUMMYFUNCTION("""COMPUTED_VALUE"""),"AR1")</f>
        <v>AR1</v>
      </c>
    </row>
    <row r="1309" ht="15.75" customHeight="1">
      <c r="A1309" t="str">
        <f t="shared" si="1"/>
        <v>C.Nitrosopumilus</v>
      </c>
      <c r="B1309" s="5" t="s">
        <v>1329</v>
      </c>
      <c r="C1309" s="6" t="str">
        <f>IFERROR(__xludf.DUMMYFUNCTION("SPLIT('2. c'!B1309, "" "", True, True)"),"Candidatus")</f>
        <v>Candidatus</v>
      </c>
      <c r="D1309" t="str">
        <f>IFERROR(__xludf.DUMMYFUNCTION("""COMPUTED_VALUE"""),"Nitrosopumilus")</f>
        <v>Nitrosopumilus</v>
      </c>
      <c r="E1309" t="str">
        <f>IFERROR(__xludf.DUMMYFUNCTION("""COMPUTED_VALUE"""),"sp.")</f>
        <v>sp.</v>
      </c>
      <c r="F1309" t="str">
        <f>IFERROR(__xludf.DUMMYFUNCTION("""COMPUTED_VALUE"""),"AR2")</f>
        <v>AR2</v>
      </c>
    </row>
    <row r="1310" ht="15.75" customHeight="1">
      <c r="A1310" t="str">
        <f t="shared" si="1"/>
        <v>C.Nitrosopumilus</v>
      </c>
      <c r="B1310" s="5" t="s">
        <v>1330</v>
      </c>
      <c r="C1310" s="6" t="str">
        <f>IFERROR(__xludf.DUMMYFUNCTION("SPLIT('2. c'!B1310, "" "", True, True)"),"Candidatus")</f>
        <v>Candidatus</v>
      </c>
      <c r="D1310" t="str">
        <f>IFERROR(__xludf.DUMMYFUNCTION("""COMPUTED_VALUE"""),"Nitrosopumilus")</f>
        <v>Nitrosopumilus</v>
      </c>
      <c r="E1310" t="str">
        <f>IFERROR(__xludf.DUMMYFUNCTION("""COMPUTED_VALUE"""),"sp.")</f>
        <v>sp.</v>
      </c>
      <c r="F1310" t="str">
        <f>IFERROR(__xludf.DUMMYFUNCTION("""COMPUTED_VALUE"""),"D3C")</f>
        <v>D3C</v>
      </c>
    </row>
    <row r="1311" ht="15.75" customHeight="1">
      <c r="A1311" t="str">
        <f t="shared" si="1"/>
        <v>C.Nitrosopumilus</v>
      </c>
      <c r="B1311" s="5" t="s">
        <v>1331</v>
      </c>
      <c r="C1311" s="6" t="str">
        <f>IFERROR(__xludf.DUMMYFUNCTION("SPLIT('2. c'!B1311, "" "", True, True)"),"Candidatus")</f>
        <v>Candidatus</v>
      </c>
      <c r="D1311" t="str">
        <f>IFERROR(__xludf.DUMMYFUNCTION("""COMPUTED_VALUE"""),"Nitrosopumilus")</f>
        <v>Nitrosopumilus</v>
      </c>
      <c r="E1311" t="str">
        <f>IFERROR(__xludf.DUMMYFUNCTION("""COMPUTED_VALUE"""),"sp.")</f>
        <v>sp.</v>
      </c>
      <c r="F1311" t="str">
        <f>IFERROR(__xludf.DUMMYFUNCTION("""COMPUTED_VALUE"""),"NF5")</f>
        <v>NF5</v>
      </c>
    </row>
    <row r="1312" ht="15.75" customHeight="1">
      <c r="A1312" t="str">
        <f t="shared" si="1"/>
        <v>C.Nitrososphaera</v>
      </c>
      <c r="B1312" s="5" t="s">
        <v>1332</v>
      </c>
      <c r="C1312" s="6" t="str">
        <f>IFERROR(__xludf.DUMMYFUNCTION("SPLIT('2. c'!B1312, "" "", True, True)"),"Candidatus")</f>
        <v>Candidatus</v>
      </c>
      <c r="D1312" t="str">
        <f>IFERROR(__xludf.DUMMYFUNCTION("""COMPUTED_VALUE"""),"Nitrososphaera")</f>
        <v>Nitrososphaera</v>
      </c>
      <c r="E1312" t="str">
        <f>IFERROR(__xludf.DUMMYFUNCTION("""COMPUTED_VALUE"""),"evergladensis")</f>
        <v>evergladensis</v>
      </c>
      <c r="F1312" t="str">
        <f>IFERROR(__xludf.DUMMYFUNCTION("""COMPUTED_VALUE"""),"SR1")</f>
        <v>SR1</v>
      </c>
    </row>
    <row r="1313" ht="15.75" customHeight="1">
      <c r="A1313" t="str">
        <f t="shared" si="1"/>
        <v>C.Nitrososphaera</v>
      </c>
      <c r="B1313" s="5" t="s">
        <v>1333</v>
      </c>
      <c r="C1313" s="6" t="str">
        <f>IFERROR(__xludf.DUMMYFUNCTION("SPLIT('2. c'!B1313, "" "", True, True)"),"Candidatus")</f>
        <v>Candidatus</v>
      </c>
      <c r="D1313" t="str">
        <f>IFERROR(__xludf.DUMMYFUNCTION("""COMPUTED_VALUE"""),"Nitrososphaera")</f>
        <v>Nitrososphaera</v>
      </c>
      <c r="E1313" t="str">
        <f>IFERROR(__xludf.DUMMYFUNCTION("""COMPUTED_VALUE"""),"gargensis")</f>
        <v>gargensis</v>
      </c>
      <c r="F1313" t="str">
        <f>IFERROR(__xludf.DUMMYFUNCTION("""COMPUTED_VALUE"""),"Ga9.2")</f>
        <v>Ga9.2</v>
      </c>
    </row>
    <row r="1314" ht="15.75" customHeight="1">
      <c r="A1314" t="str">
        <f t="shared" si="1"/>
        <v>C.Nitrospira</v>
      </c>
      <c r="B1314" s="5" t="s">
        <v>1334</v>
      </c>
      <c r="C1314" s="6" t="str">
        <f>IFERROR(__xludf.DUMMYFUNCTION("SPLIT('2. c'!B1314, "" "", True, True)"),"Candidatus")</f>
        <v>Candidatus</v>
      </c>
      <c r="D1314" t="str">
        <f>IFERROR(__xludf.DUMMYFUNCTION("""COMPUTED_VALUE"""),"Nitrospira")</f>
        <v>Nitrospira</v>
      </c>
      <c r="E1314" t="str">
        <f>IFERROR(__xludf.DUMMYFUNCTION("""COMPUTED_VALUE"""),"defluvii")</f>
        <v>defluvii</v>
      </c>
    </row>
    <row r="1315" ht="15.75" customHeight="1">
      <c r="A1315" t="str">
        <f t="shared" si="1"/>
        <v>C.Pantoea</v>
      </c>
      <c r="B1315" s="5" t="s">
        <v>1335</v>
      </c>
      <c r="C1315" s="6" t="str">
        <f>IFERROR(__xludf.DUMMYFUNCTION("SPLIT('2. c'!B1315, "" "", True, True)"),"Candidatus")</f>
        <v>Candidatus</v>
      </c>
      <c r="D1315" t="str">
        <f>IFERROR(__xludf.DUMMYFUNCTION("""COMPUTED_VALUE"""),"Pantoea")</f>
        <v>Pantoea</v>
      </c>
      <c r="E1315" t="str">
        <f>IFERROR(__xludf.DUMMYFUNCTION("""COMPUTED_VALUE"""),"carbekii")</f>
        <v>carbekii</v>
      </c>
    </row>
    <row r="1316" ht="15.75" customHeight="1">
      <c r="A1316" t="str">
        <f t="shared" si="1"/>
        <v>C.Paracaedibacter</v>
      </c>
      <c r="B1316" s="5" t="s">
        <v>1336</v>
      </c>
      <c r="C1316" s="6" t="str">
        <f>IFERROR(__xludf.DUMMYFUNCTION("SPLIT('2. c'!B1316, "" "", True, True)"),"Candidatus")</f>
        <v>Candidatus</v>
      </c>
      <c r="D1316" t="str">
        <f>IFERROR(__xludf.DUMMYFUNCTION("""COMPUTED_VALUE"""),"Paracaedibacter")</f>
        <v>Paracaedibacter</v>
      </c>
      <c r="E1316" t="str">
        <f>IFERROR(__xludf.DUMMYFUNCTION("""COMPUTED_VALUE"""),"acanthamoebae")</f>
        <v>acanthamoebae</v>
      </c>
    </row>
    <row r="1317" ht="15.75" customHeight="1">
      <c r="A1317" t="str">
        <f t="shared" si="1"/>
        <v>C.Pelagibacter</v>
      </c>
      <c r="B1317" s="5" t="s">
        <v>1337</v>
      </c>
      <c r="C1317" s="6" t="str">
        <f>IFERROR(__xludf.DUMMYFUNCTION("SPLIT('2. c'!B1317, "" "", True, True)"),"Candidatus")</f>
        <v>Candidatus</v>
      </c>
      <c r="D1317" t="str">
        <f>IFERROR(__xludf.DUMMYFUNCTION("""COMPUTED_VALUE"""),"Pelagibacter")</f>
        <v>Pelagibacter</v>
      </c>
      <c r="E1317" t="str">
        <f>IFERROR(__xludf.DUMMYFUNCTION("""COMPUTED_VALUE"""),"sp.")</f>
        <v>sp.</v>
      </c>
      <c r="F1317" t="str">
        <f>IFERROR(__xludf.DUMMYFUNCTION("""COMPUTED_VALUE"""),"IMCC9063")</f>
        <v>IMCC9063</v>
      </c>
    </row>
    <row r="1318" ht="15.75" customHeight="1">
      <c r="A1318" t="str">
        <f t="shared" si="1"/>
        <v>C.Pelagibacter</v>
      </c>
      <c r="B1318" s="5" t="s">
        <v>1338</v>
      </c>
      <c r="C1318" s="6" t="str">
        <f>IFERROR(__xludf.DUMMYFUNCTION("SPLIT('2. c'!B1318, "" "", True, True)"),"Candidatus")</f>
        <v>Candidatus</v>
      </c>
      <c r="D1318" t="str">
        <f>IFERROR(__xludf.DUMMYFUNCTION("""COMPUTED_VALUE"""),"Pelagibacter")</f>
        <v>Pelagibacter</v>
      </c>
      <c r="E1318" t="str">
        <f>IFERROR(__xludf.DUMMYFUNCTION("""COMPUTED_VALUE"""),"ubique")</f>
        <v>ubique</v>
      </c>
      <c r="F1318" t="str">
        <f>IFERROR(__xludf.DUMMYFUNCTION("""COMPUTED_VALUE"""),"HTCC1062")</f>
        <v>HTCC1062</v>
      </c>
    </row>
    <row r="1319" ht="15.75" customHeight="1">
      <c r="A1319" t="str">
        <f t="shared" si="1"/>
        <v>C.Phaeomarinobacter</v>
      </c>
      <c r="B1319" s="5" t="s">
        <v>1339</v>
      </c>
      <c r="C1319" s="6" t="str">
        <f>IFERROR(__xludf.DUMMYFUNCTION("SPLIT('2. c'!B1319, "" "", True, True)"),"Candidatus")</f>
        <v>Candidatus</v>
      </c>
      <c r="D1319" t="str">
        <f>IFERROR(__xludf.DUMMYFUNCTION("""COMPUTED_VALUE"""),"Phaeomarinobacter")</f>
        <v>Phaeomarinobacter</v>
      </c>
      <c r="E1319" t="str">
        <f>IFERROR(__xludf.DUMMYFUNCTION("""COMPUTED_VALUE"""),"ectocarpi")</f>
        <v>ectocarpi</v>
      </c>
      <c r="F1319" t="str">
        <f>IFERROR(__xludf.DUMMYFUNCTION("""COMPUTED_VALUE"""),"strain")</f>
        <v>strain</v>
      </c>
      <c r="G1319" t="str">
        <f>IFERROR(__xludf.DUMMYFUNCTION("""COMPUTED_VALUE"""),"Ec32")</f>
        <v>Ec32</v>
      </c>
    </row>
    <row r="1320" ht="15.75" customHeight="1">
      <c r="A1320" t="str">
        <f t="shared" si="1"/>
        <v>C.Phytoplasma</v>
      </c>
      <c r="B1320" s="5" t="s">
        <v>1340</v>
      </c>
      <c r="C1320" s="6" t="str">
        <f>IFERROR(__xludf.DUMMYFUNCTION("SPLIT('2. c'!B1320, "" "", True, True)"),"Candidatus")</f>
        <v>Candidatus</v>
      </c>
      <c r="D1320" t="str">
        <f>IFERROR(__xludf.DUMMYFUNCTION("""COMPUTED_VALUE"""),"Phytoplasma")</f>
        <v>Phytoplasma</v>
      </c>
      <c r="E1320" t="str">
        <f>IFERROR(__xludf.DUMMYFUNCTION("""COMPUTED_VALUE"""),"australiense")</f>
        <v>australiense</v>
      </c>
    </row>
    <row r="1321" ht="15.75" customHeight="1">
      <c r="A1321" t="str">
        <f t="shared" si="1"/>
        <v>C.Phytoplasma</v>
      </c>
      <c r="B1321" s="5" t="s">
        <v>1341</v>
      </c>
      <c r="C1321" s="6" t="str">
        <f>IFERROR(__xludf.DUMMYFUNCTION("SPLIT('2. c'!B1321, "" "", True, True)"),"Candidatus")</f>
        <v>Candidatus</v>
      </c>
      <c r="D1321" t="str">
        <f>IFERROR(__xludf.DUMMYFUNCTION("""COMPUTED_VALUE"""),"Phytoplasma")</f>
        <v>Phytoplasma</v>
      </c>
      <c r="E1321" t="str">
        <f>IFERROR(__xludf.DUMMYFUNCTION("""COMPUTED_VALUE"""),"mali")</f>
        <v>mali</v>
      </c>
    </row>
    <row r="1322" ht="15.75" customHeight="1">
      <c r="A1322" t="str">
        <f t="shared" si="1"/>
        <v>C.Phytoplasma</v>
      </c>
      <c r="B1322" s="5" t="s">
        <v>1342</v>
      </c>
      <c r="C1322" s="6" t="str">
        <f>IFERROR(__xludf.DUMMYFUNCTION("SPLIT('2. c'!B1322, "" "", True, True)"),"Candidatus")</f>
        <v>Candidatus</v>
      </c>
      <c r="D1322" t="str">
        <f>IFERROR(__xludf.DUMMYFUNCTION("""COMPUTED_VALUE"""),"Phytoplasma")</f>
        <v>Phytoplasma</v>
      </c>
      <c r="E1322" t="str">
        <f>IFERROR(__xludf.DUMMYFUNCTION("""COMPUTED_VALUE"""),"solani")</f>
        <v>solani</v>
      </c>
      <c r="F1322" t="str">
        <f>IFERROR(__xludf.DUMMYFUNCTION("""COMPUTED_VALUE"""),"strain")</f>
        <v>strain</v>
      </c>
      <c r="G1322" t="str">
        <f>IFERROR(__xludf.DUMMYFUNCTION("""COMPUTED_VALUE"""),"231/09")</f>
        <v>231/09</v>
      </c>
    </row>
    <row r="1323" ht="15.75" customHeight="1">
      <c r="A1323" t="str">
        <f t="shared" si="1"/>
        <v>C.Phytoplasma</v>
      </c>
      <c r="B1323" s="5" t="s">
        <v>1343</v>
      </c>
      <c r="C1323" s="6" t="str">
        <f>IFERROR(__xludf.DUMMYFUNCTION("SPLIT('2. c'!B1323, "" "", True, True)"),"Candidatus")</f>
        <v>Candidatus</v>
      </c>
      <c r="D1323" t="str">
        <f>IFERROR(__xludf.DUMMYFUNCTION("""COMPUTED_VALUE"""),"Phytoplasma")</f>
        <v>Phytoplasma</v>
      </c>
      <c r="E1323" t="str">
        <f>IFERROR(__xludf.DUMMYFUNCTION("""COMPUTED_VALUE"""),"solani")</f>
        <v>solani</v>
      </c>
      <c r="F1323" t="str">
        <f>IFERROR(__xludf.DUMMYFUNCTION("""COMPUTED_VALUE"""),"strain")</f>
        <v>strain</v>
      </c>
      <c r="G1323" t="str">
        <f>IFERROR(__xludf.DUMMYFUNCTION("""COMPUTED_VALUE"""),"284/09")</f>
        <v>284/09</v>
      </c>
    </row>
    <row r="1324" ht="15.75" customHeight="1">
      <c r="A1324" t="str">
        <f t="shared" si="1"/>
        <v>C.Portiera</v>
      </c>
      <c r="B1324" s="5" t="s">
        <v>1344</v>
      </c>
      <c r="C1324" s="6" t="str">
        <f>IFERROR(__xludf.DUMMYFUNCTION("SPLIT('2. c'!B1324, "" "", True, True)"),"Candidatus")</f>
        <v>Candidatus</v>
      </c>
      <c r="D1324" t="str">
        <f>IFERROR(__xludf.DUMMYFUNCTION("""COMPUTED_VALUE"""),"Portiera")</f>
        <v>Portiera</v>
      </c>
      <c r="E1324" t="str">
        <f>IFERROR(__xludf.DUMMYFUNCTION("""COMPUTED_VALUE"""),"aleyrodidarum")</f>
        <v>aleyrodidarum</v>
      </c>
      <c r="F1324" t="str">
        <f>IFERROR(__xludf.DUMMYFUNCTION("""COMPUTED_VALUE"""),"BT-B-HRs")</f>
        <v>BT-B-HRs</v>
      </c>
    </row>
    <row r="1325" ht="15.75" customHeight="1">
      <c r="A1325" t="str">
        <f t="shared" si="1"/>
        <v>C.Portiera</v>
      </c>
      <c r="B1325" s="5" t="s">
        <v>1344</v>
      </c>
      <c r="C1325" s="6" t="str">
        <f>IFERROR(__xludf.DUMMYFUNCTION("SPLIT('2. c'!B1325, "" "", True, True)"),"Candidatus")</f>
        <v>Candidatus</v>
      </c>
      <c r="D1325" t="str">
        <f>IFERROR(__xludf.DUMMYFUNCTION("""COMPUTED_VALUE"""),"Portiera")</f>
        <v>Portiera</v>
      </c>
      <c r="E1325" t="str">
        <f>IFERROR(__xludf.DUMMYFUNCTION("""COMPUTED_VALUE"""),"aleyrodidarum")</f>
        <v>aleyrodidarum</v>
      </c>
      <c r="F1325" t="str">
        <f>IFERROR(__xludf.DUMMYFUNCTION("""COMPUTED_VALUE"""),"BT-B-HRs")</f>
        <v>BT-B-HRs</v>
      </c>
    </row>
    <row r="1326" ht="15.75" customHeight="1">
      <c r="A1326" t="str">
        <f t="shared" si="1"/>
        <v>C.Portiera</v>
      </c>
      <c r="B1326" s="5" t="s">
        <v>1345</v>
      </c>
      <c r="C1326" s="6" t="str">
        <f>IFERROR(__xludf.DUMMYFUNCTION("SPLIT('2. c'!B1326, "" "", True, True)"),"Candidatus")</f>
        <v>Candidatus</v>
      </c>
      <c r="D1326" t="str">
        <f>IFERROR(__xludf.DUMMYFUNCTION("""COMPUTED_VALUE"""),"Portiera")</f>
        <v>Portiera</v>
      </c>
      <c r="E1326" t="str">
        <f>IFERROR(__xludf.DUMMYFUNCTION("""COMPUTED_VALUE"""),"aleyrodidarum")</f>
        <v>aleyrodidarum</v>
      </c>
      <c r="F1326" t="str">
        <f>IFERROR(__xludf.DUMMYFUNCTION("""COMPUTED_VALUE"""),"BT-QVLC")</f>
        <v>BT-QVLC</v>
      </c>
    </row>
    <row r="1327" ht="15.75" customHeight="1">
      <c r="A1327" t="str">
        <f t="shared" si="1"/>
        <v>C.Portiera</v>
      </c>
      <c r="B1327" s="5" t="s">
        <v>1345</v>
      </c>
      <c r="C1327" s="6" t="str">
        <f>IFERROR(__xludf.DUMMYFUNCTION("SPLIT('2. c'!B1327, "" "", True, True)"),"Candidatus")</f>
        <v>Candidatus</v>
      </c>
      <c r="D1327" t="str">
        <f>IFERROR(__xludf.DUMMYFUNCTION("""COMPUTED_VALUE"""),"Portiera")</f>
        <v>Portiera</v>
      </c>
      <c r="E1327" t="str">
        <f>IFERROR(__xludf.DUMMYFUNCTION("""COMPUTED_VALUE"""),"aleyrodidarum")</f>
        <v>aleyrodidarum</v>
      </c>
      <c r="F1327" t="str">
        <f>IFERROR(__xludf.DUMMYFUNCTION("""COMPUTED_VALUE"""),"BT-QVLC")</f>
        <v>BT-QVLC</v>
      </c>
    </row>
    <row r="1328" ht="15.75" customHeight="1">
      <c r="A1328" t="str">
        <f t="shared" si="1"/>
        <v>C.Portiera</v>
      </c>
      <c r="B1328" s="5" t="s">
        <v>1345</v>
      </c>
      <c r="C1328" s="6" t="str">
        <f>IFERROR(__xludf.DUMMYFUNCTION("SPLIT('2. c'!B1328, "" "", True, True)"),"Candidatus")</f>
        <v>Candidatus</v>
      </c>
      <c r="D1328" t="str">
        <f>IFERROR(__xludf.DUMMYFUNCTION("""COMPUTED_VALUE"""),"Portiera")</f>
        <v>Portiera</v>
      </c>
      <c r="E1328" t="str">
        <f>IFERROR(__xludf.DUMMYFUNCTION("""COMPUTED_VALUE"""),"aleyrodidarum")</f>
        <v>aleyrodidarum</v>
      </c>
      <c r="F1328" t="str">
        <f>IFERROR(__xludf.DUMMYFUNCTION("""COMPUTED_VALUE"""),"BT-QVLC")</f>
        <v>BT-QVLC</v>
      </c>
    </row>
    <row r="1329" ht="15.75" customHeight="1">
      <c r="A1329" t="str">
        <f t="shared" si="1"/>
        <v>C.Portiera</v>
      </c>
      <c r="B1329" s="5" t="s">
        <v>1346</v>
      </c>
      <c r="C1329" s="6" t="str">
        <f>IFERROR(__xludf.DUMMYFUNCTION("SPLIT('2. c'!B1329, "" "", True, True)"),"Candidatus")</f>
        <v>Candidatus</v>
      </c>
      <c r="D1329" t="str">
        <f>IFERROR(__xludf.DUMMYFUNCTION("""COMPUTED_VALUE"""),"Portiera")</f>
        <v>Portiera</v>
      </c>
      <c r="E1329" t="str">
        <f>IFERROR(__xludf.DUMMYFUNCTION("""COMPUTED_VALUE"""),"aleyrodidarum")</f>
        <v>aleyrodidarum</v>
      </c>
      <c r="F1329" t="str">
        <f>IFERROR(__xludf.DUMMYFUNCTION("""COMPUTED_VALUE"""),"MED")</f>
        <v>MED</v>
      </c>
      <c r="G1329" t="str">
        <f>IFERROR(__xludf.DUMMYFUNCTION("""COMPUTED_VALUE"""),"(Bemisia")</f>
        <v>(Bemisia</v>
      </c>
      <c r="H1329" t="str">
        <f>IFERROR(__xludf.DUMMYFUNCTION("""COMPUTED_VALUE"""),"tabaci)")</f>
        <v>tabaci)</v>
      </c>
      <c r="I1329" t="str">
        <f>IFERROR(__xludf.DUMMYFUNCTION("""COMPUTED_VALUE"""),"BT-Q")</f>
        <v>BT-Q</v>
      </c>
    </row>
    <row r="1330" ht="15.75" customHeight="1">
      <c r="A1330" t="str">
        <f t="shared" si="1"/>
        <v>C.Portiera</v>
      </c>
      <c r="B1330" s="5" t="s">
        <v>1347</v>
      </c>
      <c r="C1330" s="6" t="str">
        <f>IFERROR(__xludf.DUMMYFUNCTION("SPLIT('2. c'!B1330, "" "", True, True)"),"Candidatus")</f>
        <v>Candidatus</v>
      </c>
      <c r="D1330" t="str">
        <f>IFERROR(__xludf.DUMMYFUNCTION("""COMPUTED_VALUE"""),"Portiera")</f>
        <v>Portiera</v>
      </c>
      <c r="E1330" t="str">
        <f>IFERROR(__xludf.DUMMYFUNCTION("""COMPUTED_VALUE"""),"aleyrodidarum")</f>
        <v>aleyrodidarum</v>
      </c>
      <c r="F1330" t="str">
        <f>IFERROR(__xludf.DUMMYFUNCTION("""COMPUTED_VALUE"""),"strain")</f>
        <v>strain</v>
      </c>
      <c r="G1330" t="str">
        <f>IFERROR(__xludf.DUMMYFUNCTION("""COMPUTED_VALUE"""),"AD-CAI")</f>
        <v>AD-CAI</v>
      </c>
    </row>
    <row r="1331" ht="15.75" customHeight="1">
      <c r="A1331" t="str">
        <f t="shared" si="1"/>
        <v>C.Portiera</v>
      </c>
      <c r="B1331" s="5" t="s">
        <v>1348</v>
      </c>
      <c r="C1331" s="6" t="str">
        <f>IFERROR(__xludf.DUMMYFUNCTION("SPLIT('2. c'!B1331, "" "", True, True)"),"Candidatus")</f>
        <v>Candidatus</v>
      </c>
      <c r="D1331" t="str">
        <f>IFERROR(__xludf.DUMMYFUNCTION("""COMPUTED_VALUE"""),"Portiera")</f>
        <v>Portiera</v>
      </c>
      <c r="E1331" t="str">
        <f>IFERROR(__xludf.DUMMYFUNCTION("""COMPUTED_VALUE"""),"aleyrodidarum")</f>
        <v>aleyrodidarum</v>
      </c>
      <c r="F1331" t="str">
        <f>IFERROR(__xludf.DUMMYFUNCTION("""COMPUTED_VALUE"""),"strain")</f>
        <v>strain</v>
      </c>
      <c r="G1331" t="str">
        <f>IFERROR(__xludf.DUMMYFUNCTION("""COMPUTED_VALUE"""),"AF-CAI")</f>
        <v>AF-CAI</v>
      </c>
    </row>
    <row r="1332" ht="15.75" customHeight="1">
      <c r="A1332" t="str">
        <f t="shared" si="1"/>
        <v>C.Portiera</v>
      </c>
      <c r="B1332" s="5" t="s">
        <v>1348</v>
      </c>
      <c r="C1332" s="6" t="str">
        <f>IFERROR(__xludf.DUMMYFUNCTION("SPLIT('2. c'!B1332, "" "", True, True)"),"Candidatus")</f>
        <v>Candidatus</v>
      </c>
      <c r="D1332" t="str">
        <f>IFERROR(__xludf.DUMMYFUNCTION("""COMPUTED_VALUE"""),"Portiera")</f>
        <v>Portiera</v>
      </c>
      <c r="E1332" t="str">
        <f>IFERROR(__xludf.DUMMYFUNCTION("""COMPUTED_VALUE"""),"aleyrodidarum")</f>
        <v>aleyrodidarum</v>
      </c>
      <c r="F1332" t="str">
        <f>IFERROR(__xludf.DUMMYFUNCTION("""COMPUTED_VALUE"""),"strain")</f>
        <v>strain</v>
      </c>
      <c r="G1332" t="str">
        <f>IFERROR(__xludf.DUMMYFUNCTION("""COMPUTED_VALUE"""),"AF-CAI")</f>
        <v>AF-CAI</v>
      </c>
    </row>
    <row r="1333" ht="15.75" customHeight="1">
      <c r="A1333" t="str">
        <f t="shared" si="1"/>
        <v>C.Portiera</v>
      </c>
      <c r="B1333" s="5" t="s">
        <v>1349</v>
      </c>
      <c r="C1333" s="6" t="str">
        <f>IFERROR(__xludf.DUMMYFUNCTION("SPLIT('2. c'!B1333, "" "", True, True)"),"Candidatus")</f>
        <v>Candidatus</v>
      </c>
      <c r="D1333" t="str">
        <f>IFERROR(__xludf.DUMMYFUNCTION("""COMPUTED_VALUE"""),"Portiera")</f>
        <v>Portiera</v>
      </c>
      <c r="E1333" t="str">
        <f>IFERROR(__xludf.DUMMYFUNCTION("""COMPUTED_VALUE"""),"aleyrodidarum")</f>
        <v>aleyrodidarum</v>
      </c>
      <c r="F1333" t="str">
        <f>IFERROR(__xludf.DUMMYFUNCTION("""COMPUTED_VALUE"""),"TV")</f>
        <v>TV</v>
      </c>
    </row>
    <row r="1334" ht="15.75" customHeight="1">
      <c r="A1334" t="str">
        <f t="shared" si="1"/>
        <v>C.Profftella</v>
      </c>
      <c r="B1334" s="5" t="s">
        <v>1350</v>
      </c>
      <c r="C1334" s="6" t="str">
        <f>IFERROR(__xludf.DUMMYFUNCTION("SPLIT('2. c'!B1334, "" "", True, True)"),"Candidatus")</f>
        <v>Candidatus</v>
      </c>
      <c r="D1334" t="str">
        <f>IFERROR(__xludf.DUMMYFUNCTION("""COMPUTED_VALUE"""),"Profftella")</f>
        <v>Profftella</v>
      </c>
      <c r="E1334" t="str">
        <f>IFERROR(__xludf.DUMMYFUNCTION("""COMPUTED_VALUE"""),"armatura")</f>
        <v>armatura</v>
      </c>
      <c r="F1334" t="str">
        <f>IFERROR(__xludf.DUMMYFUNCTION("""COMPUTED_VALUE"""),"strain")</f>
        <v>strain</v>
      </c>
      <c r="G1334" t="str">
        <f>IFERROR(__xludf.DUMMYFUNCTION("""COMPUTED_VALUE"""),"DC")</f>
        <v>DC</v>
      </c>
    </row>
    <row r="1335" ht="15.75" customHeight="1">
      <c r="A1335" t="str">
        <f t="shared" si="1"/>
        <v>C.Profftella</v>
      </c>
      <c r="B1335" s="5" t="s">
        <v>1351</v>
      </c>
      <c r="C1335" s="6" t="str">
        <f>IFERROR(__xludf.DUMMYFUNCTION("SPLIT('2. c'!B1335, "" "", True, True)"),"Candidatus")</f>
        <v>Candidatus</v>
      </c>
      <c r="D1335" t="str">
        <f>IFERROR(__xludf.DUMMYFUNCTION("""COMPUTED_VALUE"""),"Profftella")</f>
        <v>Profftella</v>
      </c>
      <c r="E1335" t="str">
        <f>IFERROR(__xludf.DUMMYFUNCTION("""COMPUTED_VALUE"""),"armatura")</f>
        <v>armatura</v>
      </c>
      <c r="F1335" t="str">
        <f>IFERROR(__xludf.DUMMYFUNCTION("""COMPUTED_VALUE"""),"strain")</f>
        <v>strain</v>
      </c>
      <c r="G1335" t="str">
        <f>IFERROR(__xludf.DUMMYFUNCTION("""COMPUTED_VALUE"""),"YCPA")</f>
        <v>YCPA</v>
      </c>
    </row>
    <row r="1336" ht="15.75" customHeight="1">
      <c r="A1336" t="str">
        <f t="shared" si="1"/>
        <v>C.Protochlamydia</v>
      </c>
      <c r="B1336" s="5" t="s">
        <v>1352</v>
      </c>
      <c r="C1336" s="6" t="str">
        <f>IFERROR(__xludf.DUMMYFUNCTION("SPLIT('2. c'!B1336, "" "", True, True)"),"Candidatus")</f>
        <v>Candidatus</v>
      </c>
      <c r="D1336" t="str">
        <f>IFERROR(__xludf.DUMMYFUNCTION("""COMPUTED_VALUE"""),"Protochlamydia")</f>
        <v>Protochlamydia</v>
      </c>
      <c r="E1336" t="str">
        <f>IFERROR(__xludf.DUMMYFUNCTION("""COMPUTED_VALUE"""),"amoebophila")</f>
        <v>amoebophila</v>
      </c>
      <c r="F1336" t="str">
        <f>IFERROR(__xludf.DUMMYFUNCTION("""COMPUTED_VALUE"""),"UWE25")</f>
        <v>UWE25</v>
      </c>
    </row>
    <row r="1337" ht="15.75" customHeight="1">
      <c r="A1337" t="str">
        <f t="shared" si="1"/>
        <v>C.Puniceispirillum</v>
      </c>
      <c r="B1337" s="5" t="s">
        <v>1353</v>
      </c>
      <c r="C1337" s="6" t="str">
        <f>IFERROR(__xludf.DUMMYFUNCTION("SPLIT('2. c'!B1337, "" "", True, True)"),"Candidatus")</f>
        <v>Candidatus</v>
      </c>
      <c r="D1337" t="str">
        <f>IFERROR(__xludf.DUMMYFUNCTION("""COMPUTED_VALUE"""),"Puniceispirillum")</f>
        <v>Puniceispirillum</v>
      </c>
      <c r="E1337" t="str">
        <f>IFERROR(__xludf.DUMMYFUNCTION("""COMPUTED_VALUE"""),"marinum")</f>
        <v>marinum</v>
      </c>
      <c r="F1337" t="str">
        <f>IFERROR(__xludf.DUMMYFUNCTION("""COMPUTED_VALUE"""),"IMCC1322")</f>
        <v>IMCC1322</v>
      </c>
    </row>
    <row r="1338" ht="15.75" customHeight="1">
      <c r="A1338" t="str">
        <f t="shared" si="1"/>
        <v>C.Rhodoluna</v>
      </c>
      <c r="B1338" s="5" t="s">
        <v>1354</v>
      </c>
      <c r="C1338" s="6" t="str">
        <f>IFERROR(__xludf.DUMMYFUNCTION("SPLIT('2. c'!B1338, "" "", True, True)"),"Candidatus")</f>
        <v>Candidatus</v>
      </c>
      <c r="D1338" t="str">
        <f>IFERROR(__xludf.DUMMYFUNCTION("""COMPUTED_VALUE"""),"Rhodoluna")</f>
        <v>Rhodoluna</v>
      </c>
      <c r="E1338" t="str">
        <f>IFERROR(__xludf.DUMMYFUNCTION("""COMPUTED_VALUE"""),"lacicola")</f>
        <v>lacicola</v>
      </c>
      <c r="F1338" t="str">
        <f>IFERROR(__xludf.DUMMYFUNCTION("""COMPUTED_VALUE"""),"strain")</f>
        <v>strain</v>
      </c>
      <c r="G1338" t="str">
        <f>IFERROR(__xludf.DUMMYFUNCTION("""COMPUTED_VALUE"""),"MWH-Ta8")</f>
        <v>MWH-Ta8</v>
      </c>
    </row>
    <row r="1339" ht="15.75" customHeight="1">
      <c r="A1339" t="str">
        <f t="shared" si="1"/>
        <v>C.Rickettsia</v>
      </c>
      <c r="B1339" s="5" t="s">
        <v>1355</v>
      </c>
      <c r="C1339" s="6" t="str">
        <f>IFERROR(__xludf.DUMMYFUNCTION("SPLIT('2. c'!B1339, "" "", True, True)"),"Candidatus")</f>
        <v>Candidatus</v>
      </c>
      <c r="D1339" t="str">
        <f>IFERROR(__xludf.DUMMYFUNCTION("""COMPUTED_VALUE"""),"Rickettsia")</f>
        <v>Rickettsia</v>
      </c>
      <c r="E1339" t="str">
        <f>IFERROR(__xludf.DUMMYFUNCTION("""COMPUTED_VALUE"""),"amblyommii")</f>
        <v>amblyommii</v>
      </c>
      <c r="F1339" t="str">
        <f>IFERROR(__xludf.DUMMYFUNCTION("""COMPUTED_VALUE"""),"str.")</f>
        <v>str.</v>
      </c>
      <c r="G1339" t="str">
        <f>IFERROR(__xludf.DUMMYFUNCTION("""COMPUTED_VALUE"""),"Ac/Pa")</f>
        <v>Ac/Pa</v>
      </c>
    </row>
    <row r="1340" ht="15.75" customHeight="1">
      <c r="A1340" t="str">
        <f t="shared" si="1"/>
        <v>C.Rickettsia</v>
      </c>
      <c r="B1340" s="5" t="s">
        <v>1356</v>
      </c>
      <c r="C1340" s="6" t="str">
        <f>IFERROR(__xludf.DUMMYFUNCTION("SPLIT('2. c'!B1340, "" "", True, True)"),"Candidatus")</f>
        <v>Candidatus</v>
      </c>
      <c r="D1340" t="str">
        <f>IFERROR(__xludf.DUMMYFUNCTION("""COMPUTED_VALUE"""),"Rickettsia")</f>
        <v>Rickettsia</v>
      </c>
      <c r="E1340" t="str">
        <f>IFERROR(__xludf.DUMMYFUNCTION("""COMPUTED_VALUE"""),"amblyommii")</f>
        <v>amblyommii</v>
      </c>
      <c r="F1340" t="str">
        <f>IFERROR(__xludf.DUMMYFUNCTION("""COMPUTED_VALUE"""),"str.")</f>
        <v>str.</v>
      </c>
      <c r="G1340" t="str">
        <f>IFERROR(__xludf.DUMMYFUNCTION("""COMPUTED_VALUE"""),"GAT-30V")</f>
        <v>GAT-30V</v>
      </c>
    </row>
    <row r="1341" ht="15.75" customHeight="1">
      <c r="A1341" t="str">
        <f t="shared" si="1"/>
        <v>C.Rickettsia</v>
      </c>
      <c r="B1341" s="5" t="s">
        <v>1357</v>
      </c>
      <c r="C1341" s="6" t="str">
        <f>IFERROR(__xludf.DUMMYFUNCTION("SPLIT('2. c'!B1341, "" "", True, True)"),"Candidatus")</f>
        <v>Candidatus</v>
      </c>
      <c r="D1341" t="str">
        <f>IFERROR(__xludf.DUMMYFUNCTION("""COMPUTED_VALUE"""),"Rickettsia")</f>
        <v>Rickettsia</v>
      </c>
      <c r="E1341" t="str">
        <f>IFERROR(__xludf.DUMMYFUNCTION("""COMPUTED_VALUE"""),"amblyommii")</f>
        <v>amblyommii</v>
      </c>
      <c r="F1341" t="str">
        <f>IFERROR(__xludf.DUMMYFUNCTION("""COMPUTED_VALUE"""),"strain")</f>
        <v>strain</v>
      </c>
      <c r="G1341" t="str">
        <f>IFERROR(__xludf.DUMMYFUNCTION("""COMPUTED_VALUE"""),"Ac37")</f>
        <v>Ac37</v>
      </c>
    </row>
    <row r="1342" ht="15.75" customHeight="1">
      <c r="A1342" t="str">
        <f t="shared" si="1"/>
        <v>C.Riesia</v>
      </c>
      <c r="B1342" s="5" t="s">
        <v>1358</v>
      </c>
      <c r="C1342" s="6" t="str">
        <f>IFERROR(__xludf.DUMMYFUNCTION("SPLIT('2. c'!B1342, "" "", True, True)"),"Candidatus")</f>
        <v>Candidatus</v>
      </c>
      <c r="D1342" t="str">
        <f>IFERROR(__xludf.DUMMYFUNCTION("""COMPUTED_VALUE"""),"Riesia")</f>
        <v>Riesia</v>
      </c>
      <c r="E1342" t="str">
        <f>IFERROR(__xludf.DUMMYFUNCTION("""COMPUTED_VALUE"""),"pediculicola")</f>
        <v>pediculicola</v>
      </c>
      <c r="F1342" t="str">
        <f>IFERROR(__xludf.DUMMYFUNCTION("""COMPUTED_VALUE"""),"USDA")</f>
        <v>USDA</v>
      </c>
    </row>
    <row r="1343" ht="15.75" customHeight="1">
      <c r="A1343" t="str">
        <f t="shared" si="1"/>
        <v>C.Ruthia</v>
      </c>
      <c r="B1343" s="5" t="s">
        <v>1359</v>
      </c>
      <c r="C1343" s="6" t="str">
        <f>IFERROR(__xludf.DUMMYFUNCTION("SPLIT('2. c'!B1343, "" "", True, True)"),"Candidatus")</f>
        <v>Candidatus</v>
      </c>
      <c r="D1343" t="str">
        <f>IFERROR(__xludf.DUMMYFUNCTION("""COMPUTED_VALUE"""),"Ruthia")</f>
        <v>Ruthia</v>
      </c>
      <c r="E1343" t="str">
        <f>IFERROR(__xludf.DUMMYFUNCTION("""COMPUTED_VALUE"""),"magnifica")</f>
        <v>magnifica</v>
      </c>
      <c r="F1343" t="str">
        <f>IFERROR(__xludf.DUMMYFUNCTION("""COMPUTED_VALUE"""),"str.")</f>
        <v>str.</v>
      </c>
      <c r="G1343" t="str">
        <f>IFERROR(__xludf.DUMMYFUNCTION("""COMPUTED_VALUE"""),"Cm")</f>
        <v>Cm</v>
      </c>
      <c r="H1343" t="str">
        <f>IFERROR(__xludf.DUMMYFUNCTION("""COMPUTED_VALUE"""),"(Calyptogena")</f>
        <v>(Calyptogena</v>
      </c>
      <c r="I1343" t="str">
        <f>IFERROR(__xludf.DUMMYFUNCTION("""COMPUTED_VALUE"""),"magnifica)")</f>
        <v>magnifica)</v>
      </c>
    </row>
    <row r="1344" ht="15.75" customHeight="1">
      <c r="A1344" t="str">
        <f t="shared" si="1"/>
        <v>C.Saccharibacteria</v>
      </c>
      <c r="B1344" s="5" t="s">
        <v>1360</v>
      </c>
      <c r="C1344" s="6" t="str">
        <f>IFERROR(__xludf.DUMMYFUNCTION("SPLIT('2. c'!B1344, "" "", True, True)"),"Candidatus")</f>
        <v>Candidatus</v>
      </c>
      <c r="D1344" t="str">
        <f>IFERROR(__xludf.DUMMYFUNCTION("""COMPUTED_VALUE"""),"Saccharibacteria")</f>
        <v>Saccharibacteria</v>
      </c>
      <c r="E1344" t="str">
        <f>IFERROR(__xludf.DUMMYFUNCTION("""COMPUTED_VALUE"""),"bacterium")</f>
        <v>bacterium</v>
      </c>
      <c r="F1344" t="str">
        <f>IFERROR(__xludf.DUMMYFUNCTION("""COMPUTED_VALUE"""),"GW2011_GWC2_44_17")</f>
        <v>GW2011_GWC2_44_17</v>
      </c>
    </row>
    <row r="1345" ht="15.75" customHeight="1">
      <c r="A1345" t="str">
        <f t="shared" si="1"/>
        <v>C.Saccharibacteria</v>
      </c>
      <c r="B1345" s="5" t="s">
        <v>1361</v>
      </c>
      <c r="C1345" s="6" t="str">
        <f>IFERROR(__xludf.DUMMYFUNCTION("SPLIT('2. c'!B1345, "" "", True, True)"),"Candidatus")</f>
        <v>Candidatus</v>
      </c>
      <c r="D1345" t="str">
        <f>IFERROR(__xludf.DUMMYFUNCTION("""COMPUTED_VALUE"""),"Saccharibacteria")</f>
        <v>Saccharibacteria</v>
      </c>
      <c r="E1345" t="str">
        <f>IFERROR(__xludf.DUMMYFUNCTION("""COMPUTED_VALUE"""),"bacterium")</f>
        <v>bacterium</v>
      </c>
      <c r="F1345" t="str">
        <f>IFERROR(__xludf.DUMMYFUNCTION("""COMPUTED_VALUE"""),"RAAC3_TM7_1")</f>
        <v>RAAC3_TM7_1</v>
      </c>
    </row>
    <row r="1346" ht="15.75" customHeight="1">
      <c r="A1346" t="str">
        <f t="shared" si="1"/>
        <v>C.Saccharibacteria</v>
      </c>
      <c r="B1346" s="5" t="s">
        <v>1362</v>
      </c>
      <c r="C1346" s="6" t="str">
        <f>IFERROR(__xludf.DUMMYFUNCTION("SPLIT('2. c'!B1346, "" "", True, True)"),"Candidatus")</f>
        <v>Candidatus</v>
      </c>
      <c r="D1346" t="str">
        <f>IFERROR(__xludf.DUMMYFUNCTION("""COMPUTED_VALUE"""),"Saccharibacteria")</f>
        <v>Saccharibacteria</v>
      </c>
      <c r="E1346" t="str">
        <f>IFERROR(__xludf.DUMMYFUNCTION("""COMPUTED_VALUE"""),"oral")</f>
        <v>oral</v>
      </c>
      <c r="F1346" t="str">
        <f>IFERROR(__xludf.DUMMYFUNCTION("""COMPUTED_VALUE"""),"taxon")</f>
        <v>taxon</v>
      </c>
      <c r="G1346" t="str">
        <f>IFERROR(__xludf.DUMMYFUNCTION("""COMPUTED_VALUE"""),"TM7x")</f>
        <v>TM7x</v>
      </c>
    </row>
    <row r="1347" ht="15.75" customHeight="1">
      <c r="A1347" t="str">
        <f t="shared" si="1"/>
        <v>C.Saccharimonas</v>
      </c>
      <c r="B1347" s="5" t="s">
        <v>1363</v>
      </c>
      <c r="C1347" s="6" t="str">
        <f>IFERROR(__xludf.DUMMYFUNCTION("SPLIT('2. c'!B1347, "" "", True, True)"),"Candidatus")</f>
        <v>Candidatus</v>
      </c>
      <c r="D1347" t="str">
        <f>IFERROR(__xludf.DUMMYFUNCTION("""COMPUTED_VALUE"""),"Saccharimonas")</f>
        <v>Saccharimonas</v>
      </c>
      <c r="E1347" t="str">
        <f>IFERROR(__xludf.DUMMYFUNCTION("""COMPUTED_VALUE"""),"aalborgensis")</f>
        <v>aalborgensis</v>
      </c>
    </row>
    <row r="1348" ht="15.75" customHeight="1">
      <c r="A1348" t="str">
        <f t="shared" si="1"/>
        <v>C.Sodalis</v>
      </c>
      <c r="B1348" s="5" t="s">
        <v>1364</v>
      </c>
      <c r="C1348" s="6" t="str">
        <f>IFERROR(__xludf.DUMMYFUNCTION("SPLIT('2. c'!B1348, "" "", True, True)"),"Candidatus")</f>
        <v>Candidatus</v>
      </c>
      <c r="D1348" t="str">
        <f>IFERROR(__xludf.DUMMYFUNCTION("""COMPUTED_VALUE"""),"Sodalis")</f>
        <v>Sodalis</v>
      </c>
      <c r="E1348" t="str">
        <f>IFERROR(__xludf.DUMMYFUNCTION("""COMPUTED_VALUE"""),"pierantonius")</f>
        <v>pierantonius</v>
      </c>
      <c r="F1348" t="str">
        <f>IFERROR(__xludf.DUMMYFUNCTION("""COMPUTED_VALUE"""),"strain")</f>
        <v>strain</v>
      </c>
      <c r="G1348" t="str">
        <f>IFERROR(__xludf.DUMMYFUNCTION("""COMPUTED_VALUE"""),"SOPE")</f>
        <v>SOPE</v>
      </c>
    </row>
    <row r="1349" ht="15.75" customHeight="1">
      <c r="A1349" t="str">
        <f t="shared" si="1"/>
        <v>C.Solibacter</v>
      </c>
      <c r="B1349" s="5" t="s">
        <v>1365</v>
      </c>
      <c r="C1349" s="6" t="str">
        <f>IFERROR(__xludf.DUMMYFUNCTION("SPLIT('2. c'!B1349, "" "", True, True)"),"Candidatus")</f>
        <v>Candidatus</v>
      </c>
      <c r="D1349" t="str">
        <f>IFERROR(__xludf.DUMMYFUNCTION("""COMPUTED_VALUE"""),"Solibacter")</f>
        <v>Solibacter</v>
      </c>
      <c r="E1349" t="str">
        <f>IFERROR(__xludf.DUMMYFUNCTION("""COMPUTED_VALUE"""),"usitatus")</f>
        <v>usitatus</v>
      </c>
      <c r="F1349" t="str">
        <f>IFERROR(__xludf.DUMMYFUNCTION("""COMPUTED_VALUE"""),"Ellin6076")</f>
        <v>Ellin6076</v>
      </c>
    </row>
    <row r="1350" ht="15.75" customHeight="1">
      <c r="A1350" t="str">
        <f t="shared" si="1"/>
        <v>C.Sulcia</v>
      </c>
      <c r="B1350" s="5" t="s">
        <v>1366</v>
      </c>
      <c r="C1350" s="6" t="str">
        <f>IFERROR(__xludf.DUMMYFUNCTION("SPLIT('2. c'!B1350, "" "", True, True)"),"Candidatus")</f>
        <v>Candidatus</v>
      </c>
      <c r="D1350" t="str">
        <f>IFERROR(__xludf.DUMMYFUNCTION("""COMPUTED_VALUE"""),"Sulcia")</f>
        <v>Sulcia</v>
      </c>
      <c r="E1350" t="str">
        <f>IFERROR(__xludf.DUMMYFUNCTION("""COMPUTED_VALUE"""),"muelleri")</f>
        <v>muelleri</v>
      </c>
    </row>
    <row r="1351" ht="15.75" customHeight="1">
      <c r="A1351" t="str">
        <f t="shared" si="1"/>
        <v>C.Sulcia</v>
      </c>
      <c r="B1351" s="5" t="s">
        <v>1367</v>
      </c>
      <c r="C1351" s="6" t="str">
        <f>IFERROR(__xludf.DUMMYFUNCTION("SPLIT('2. c'!B1351, "" "", True, True)"),"Candidatus")</f>
        <v>Candidatus</v>
      </c>
      <c r="D1351" t="str">
        <f>IFERROR(__xludf.DUMMYFUNCTION("""COMPUTED_VALUE"""),"Sulcia")</f>
        <v>Sulcia</v>
      </c>
      <c r="E1351" t="str">
        <f>IFERROR(__xludf.DUMMYFUNCTION("""COMPUTED_VALUE"""),"muelleri")</f>
        <v>muelleri</v>
      </c>
      <c r="F1351" t="str">
        <f>IFERROR(__xludf.DUMMYFUNCTION("""COMPUTED_VALUE"""),"CARI")</f>
        <v>CARI</v>
      </c>
    </row>
    <row r="1352" ht="15.75" customHeight="1">
      <c r="A1352" t="str">
        <f t="shared" si="1"/>
        <v>C.Sulcia</v>
      </c>
      <c r="B1352" s="5" t="s">
        <v>1368</v>
      </c>
      <c r="C1352" s="6" t="str">
        <f>IFERROR(__xludf.DUMMYFUNCTION("SPLIT('2. c'!B1352, "" "", True, True)"),"Candidatus")</f>
        <v>Candidatus</v>
      </c>
      <c r="D1352" t="str">
        <f>IFERROR(__xludf.DUMMYFUNCTION("""COMPUTED_VALUE"""),"Sulcia")</f>
        <v>Sulcia</v>
      </c>
      <c r="E1352" t="str">
        <f>IFERROR(__xludf.DUMMYFUNCTION("""COMPUTED_VALUE"""),"muelleri")</f>
        <v>muelleri</v>
      </c>
      <c r="F1352" t="str">
        <f>IFERROR(__xludf.DUMMYFUNCTION("""COMPUTED_VALUE"""),"DMIN")</f>
        <v>DMIN</v>
      </c>
    </row>
    <row r="1353" ht="15.75" customHeight="1">
      <c r="A1353" t="str">
        <f t="shared" si="1"/>
        <v>C.Sulcia</v>
      </c>
      <c r="B1353" s="5" t="s">
        <v>1369</v>
      </c>
      <c r="C1353" s="6" t="str">
        <f>IFERROR(__xludf.DUMMYFUNCTION("SPLIT('2. c'!B1353, "" "", True, True)"),"Candidatus")</f>
        <v>Candidatus</v>
      </c>
      <c r="D1353" t="str">
        <f>IFERROR(__xludf.DUMMYFUNCTION("""COMPUTED_VALUE"""),"Sulcia")</f>
        <v>Sulcia</v>
      </c>
      <c r="E1353" t="str">
        <f>IFERROR(__xludf.DUMMYFUNCTION("""COMPUTED_VALUE"""),"muelleri")</f>
        <v>muelleri</v>
      </c>
      <c r="F1353" t="str">
        <f>IFERROR(__xludf.DUMMYFUNCTION("""COMPUTED_VALUE"""),"GWSS")</f>
        <v>GWSS</v>
      </c>
    </row>
    <row r="1354" ht="15.75" customHeight="1">
      <c r="A1354" t="str">
        <f t="shared" si="1"/>
        <v>C.Sulcia</v>
      </c>
      <c r="B1354" s="5" t="s">
        <v>1370</v>
      </c>
      <c r="C1354" s="6" t="str">
        <f>IFERROR(__xludf.DUMMYFUNCTION("SPLIT('2. c'!B1354, "" "", True, True)"),"Candidatus")</f>
        <v>Candidatus</v>
      </c>
      <c r="D1354" t="str">
        <f>IFERROR(__xludf.DUMMYFUNCTION("""COMPUTED_VALUE"""),"Sulcia")</f>
        <v>Sulcia</v>
      </c>
      <c r="E1354" t="str">
        <f>IFERROR(__xludf.DUMMYFUNCTION("""COMPUTED_VALUE"""),"muelleri")</f>
        <v>muelleri</v>
      </c>
      <c r="F1354" t="str">
        <f>IFERROR(__xludf.DUMMYFUNCTION("""COMPUTED_VALUE"""),"PSPU")</f>
        <v>PSPU</v>
      </c>
    </row>
    <row r="1355" ht="15.75" customHeight="1">
      <c r="A1355" t="str">
        <f t="shared" si="1"/>
        <v>C.Sulcia</v>
      </c>
      <c r="B1355" s="5" t="s">
        <v>1371</v>
      </c>
      <c r="C1355" s="6" t="str">
        <f>IFERROR(__xludf.DUMMYFUNCTION("SPLIT('2. c'!B1355, "" "", True, True)"),"Candidatus")</f>
        <v>Candidatus</v>
      </c>
      <c r="D1355" t="str">
        <f>IFERROR(__xludf.DUMMYFUNCTION("""COMPUTED_VALUE"""),"Sulcia")</f>
        <v>Sulcia</v>
      </c>
      <c r="E1355" t="str">
        <f>IFERROR(__xludf.DUMMYFUNCTION("""COMPUTED_VALUE"""),"muelleri")</f>
        <v>muelleri</v>
      </c>
      <c r="F1355" t="str">
        <f>IFERROR(__xludf.DUMMYFUNCTION("""COMPUTED_VALUE"""),"SMDSEM")</f>
        <v>SMDSEM</v>
      </c>
    </row>
    <row r="1356" ht="15.75" customHeight="1">
      <c r="A1356" t="str">
        <f t="shared" si="1"/>
        <v>C.Sulcia</v>
      </c>
      <c r="B1356" s="5" t="s">
        <v>1372</v>
      </c>
      <c r="C1356" s="6" t="str">
        <f>IFERROR(__xludf.DUMMYFUNCTION("SPLIT('2. c'!B1356, "" "", True, True)"),"Candidatus")</f>
        <v>Candidatus</v>
      </c>
      <c r="D1356" t="str">
        <f>IFERROR(__xludf.DUMMYFUNCTION("""COMPUTED_VALUE"""),"Sulcia")</f>
        <v>Sulcia</v>
      </c>
      <c r="E1356" t="str">
        <f>IFERROR(__xludf.DUMMYFUNCTION("""COMPUTED_VALUE"""),"muelleri")</f>
        <v>muelleri</v>
      </c>
      <c r="F1356" t="str">
        <f>IFERROR(__xludf.DUMMYFUNCTION("""COMPUTED_VALUE"""),"str.")</f>
        <v>str.</v>
      </c>
      <c r="G1356" t="str">
        <f>IFERROR(__xludf.DUMMYFUNCTION("""COMPUTED_VALUE"""),"Sulcia-ALF")</f>
        <v>Sulcia-ALF</v>
      </c>
    </row>
    <row r="1357" ht="15.75" customHeight="1">
      <c r="A1357" t="str">
        <f t="shared" si="1"/>
        <v>C.Sulcia</v>
      </c>
      <c r="B1357" s="5" t="s">
        <v>1373</v>
      </c>
      <c r="C1357" s="6" t="str">
        <f>IFERROR(__xludf.DUMMYFUNCTION("SPLIT('2. c'!B1357, "" "", True, True)"),"Candidatus")</f>
        <v>Candidatus</v>
      </c>
      <c r="D1357" t="str">
        <f>IFERROR(__xludf.DUMMYFUNCTION("""COMPUTED_VALUE"""),"Sulcia")</f>
        <v>Sulcia</v>
      </c>
      <c r="E1357" t="str">
        <f>IFERROR(__xludf.DUMMYFUNCTION("""COMPUTED_VALUE"""),"muelleri")</f>
        <v>muelleri</v>
      </c>
      <c r="F1357" t="str">
        <f>IFERROR(__xludf.DUMMYFUNCTION("""COMPUTED_VALUE"""),"strain")</f>
        <v>strain</v>
      </c>
      <c r="G1357" t="str">
        <f>IFERROR(__xludf.DUMMYFUNCTION("""COMPUTED_VALUE"""),"BGSS")</f>
        <v>BGSS</v>
      </c>
    </row>
    <row r="1358" ht="15.75" customHeight="1">
      <c r="A1358" t="str">
        <f t="shared" si="1"/>
        <v>C.Sulcia</v>
      </c>
      <c r="B1358" s="5" t="s">
        <v>1374</v>
      </c>
      <c r="C1358" s="6" t="str">
        <f>IFERROR(__xludf.DUMMYFUNCTION("SPLIT('2. c'!B1358, "" "", True, True)"),"Candidatus")</f>
        <v>Candidatus</v>
      </c>
      <c r="D1358" t="str">
        <f>IFERROR(__xludf.DUMMYFUNCTION("""COMPUTED_VALUE"""),"Sulcia")</f>
        <v>Sulcia</v>
      </c>
      <c r="E1358" t="str">
        <f>IFERROR(__xludf.DUMMYFUNCTION("""COMPUTED_VALUE"""),"muelleri")</f>
        <v>muelleri</v>
      </c>
      <c r="F1358" t="str">
        <f>IFERROR(__xludf.DUMMYFUNCTION("""COMPUTED_VALUE"""),"strain")</f>
        <v>strain</v>
      </c>
      <c r="G1358" t="str">
        <f>IFERROR(__xludf.DUMMYFUNCTION("""COMPUTED_VALUE"""),"ML")</f>
        <v>ML</v>
      </c>
    </row>
    <row r="1359" ht="15.75" customHeight="1">
      <c r="A1359" t="str">
        <f t="shared" si="1"/>
        <v>C.Sulcia</v>
      </c>
      <c r="B1359" s="5" t="s">
        <v>1375</v>
      </c>
      <c r="C1359" s="6" t="str">
        <f>IFERROR(__xludf.DUMMYFUNCTION("SPLIT('2. c'!B1359, "" "", True, True)"),"Candidatus")</f>
        <v>Candidatus</v>
      </c>
      <c r="D1359" t="str">
        <f>IFERROR(__xludf.DUMMYFUNCTION("""COMPUTED_VALUE"""),"Sulcia")</f>
        <v>Sulcia</v>
      </c>
      <c r="E1359" t="str">
        <f>IFERROR(__xludf.DUMMYFUNCTION("""COMPUTED_VALUE"""),"muelleri")</f>
        <v>muelleri</v>
      </c>
      <c r="F1359" t="str">
        <f>IFERROR(__xludf.DUMMYFUNCTION("""COMPUTED_VALUE"""),"strain")</f>
        <v>strain</v>
      </c>
      <c r="G1359" t="str">
        <f>IFERROR(__xludf.DUMMYFUNCTION("""COMPUTED_VALUE"""),"PUNC")</f>
        <v>PUNC</v>
      </c>
    </row>
    <row r="1360" ht="15.75" customHeight="1">
      <c r="A1360" t="str">
        <f t="shared" si="1"/>
        <v>C.Sulcia</v>
      </c>
      <c r="B1360" s="5" t="s">
        <v>1376</v>
      </c>
      <c r="C1360" s="6" t="str">
        <f>IFERROR(__xludf.DUMMYFUNCTION("SPLIT('2. c'!B1360, "" "", True, True)"),"Candidatus")</f>
        <v>Candidatus</v>
      </c>
      <c r="D1360" t="str">
        <f>IFERROR(__xludf.DUMMYFUNCTION("""COMPUTED_VALUE"""),"Sulcia")</f>
        <v>Sulcia</v>
      </c>
      <c r="E1360" t="str">
        <f>IFERROR(__xludf.DUMMYFUNCTION("""COMPUTED_VALUE"""),"muelleri")</f>
        <v>muelleri</v>
      </c>
      <c r="F1360" t="str">
        <f>IFERROR(__xludf.DUMMYFUNCTION("""COMPUTED_VALUE"""),"strain")</f>
        <v>strain</v>
      </c>
      <c r="G1360" t="str">
        <f>IFERROR(__xludf.DUMMYFUNCTION("""COMPUTED_VALUE"""),"TETUND")</f>
        <v>TETUND</v>
      </c>
    </row>
    <row r="1361" ht="15.75" customHeight="1">
      <c r="A1361" t="str">
        <f t="shared" si="1"/>
        <v>C.Symbiobacter</v>
      </c>
      <c r="B1361" s="5" t="s">
        <v>1377</v>
      </c>
      <c r="C1361" s="6" t="str">
        <f>IFERROR(__xludf.DUMMYFUNCTION("SPLIT('2. c'!B1361, "" "", True, True)"),"Candidatus")</f>
        <v>Candidatus</v>
      </c>
      <c r="D1361" t="str">
        <f>IFERROR(__xludf.DUMMYFUNCTION("""COMPUTED_VALUE"""),"Symbiobacter")</f>
        <v>Symbiobacter</v>
      </c>
      <c r="E1361" t="str">
        <f>IFERROR(__xludf.DUMMYFUNCTION("""COMPUTED_VALUE"""),"mobilis")</f>
        <v>mobilis</v>
      </c>
      <c r="F1361" t="str">
        <f>IFERROR(__xludf.DUMMYFUNCTION("""COMPUTED_VALUE"""),"CR")</f>
        <v>CR</v>
      </c>
    </row>
    <row r="1362" ht="15.75" customHeight="1">
      <c r="A1362" t="str">
        <f t="shared" si="1"/>
        <v>C.Thioglobus</v>
      </c>
      <c r="B1362" s="5" t="s">
        <v>1378</v>
      </c>
      <c r="C1362" s="6" t="str">
        <f>IFERROR(__xludf.DUMMYFUNCTION("SPLIT('2. c'!B1362, "" "", True, True)"),"Candidatus")</f>
        <v>Candidatus</v>
      </c>
      <c r="D1362" t="str">
        <f>IFERROR(__xludf.DUMMYFUNCTION("""COMPUTED_VALUE"""),"Thioglobus")</f>
        <v>Thioglobus</v>
      </c>
      <c r="E1362" t="str">
        <f>IFERROR(__xludf.DUMMYFUNCTION("""COMPUTED_VALUE"""),"singularis")</f>
        <v>singularis</v>
      </c>
      <c r="F1362" t="str">
        <f>IFERROR(__xludf.DUMMYFUNCTION("""COMPUTED_VALUE"""),"PS1")</f>
        <v>PS1</v>
      </c>
    </row>
    <row r="1363" ht="15.75" customHeight="1">
      <c r="A1363" t="str">
        <f t="shared" si="1"/>
        <v>C.Thioglobus</v>
      </c>
      <c r="B1363" s="5" t="s">
        <v>1379</v>
      </c>
      <c r="C1363" s="6" t="str">
        <f>IFERROR(__xludf.DUMMYFUNCTION("SPLIT('2. c'!B1363, "" "", True, True)"),"Candidatus")</f>
        <v>Candidatus</v>
      </c>
      <c r="D1363" t="str">
        <f>IFERROR(__xludf.DUMMYFUNCTION("""COMPUTED_VALUE"""),"Thioglobus")</f>
        <v>Thioglobus</v>
      </c>
      <c r="E1363" t="str">
        <f>IFERROR(__xludf.DUMMYFUNCTION("""COMPUTED_VALUE"""),"sp.")</f>
        <v>sp.</v>
      </c>
      <c r="F1363" t="str">
        <f>IFERROR(__xludf.DUMMYFUNCTION("""COMPUTED_VALUE"""),"EF1")</f>
        <v>EF1</v>
      </c>
    </row>
    <row r="1364" ht="15.75" customHeight="1">
      <c r="A1364" t="str">
        <f t="shared" si="1"/>
        <v>C.Tremblaya</v>
      </c>
      <c r="B1364" s="5" t="s">
        <v>1380</v>
      </c>
      <c r="C1364" s="6" t="str">
        <f>IFERROR(__xludf.DUMMYFUNCTION("SPLIT('2. c'!B1364, "" "", True, True)"),"Candidatus")</f>
        <v>Candidatus</v>
      </c>
      <c r="D1364" t="str">
        <f>IFERROR(__xludf.DUMMYFUNCTION("""COMPUTED_VALUE"""),"Tremblaya")</f>
        <v>Tremblaya</v>
      </c>
      <c r="E1364" t="str">
        <f>IFERROR(__xludf.DUMMYFUNCTION("""COMPUTED_VALUE"""),"phenacola")</f>
        <v>phenacola</v>
      </c>
      <c r="F1364" t="str">
        <f>IFERROR(__xludf.DUMMYFUNCTION("""COMPUTED_VALUE"""),"PAVE")</f>
        <v>PAVE</v>
      </c>
    </row>
    <row r="1365" ht="15.75" customHeight="1">
      <c r="A1365" t="str">
        <f t="shared" si="1"/>
        <v>C.Tremblaya</v>
      </c>
      <c r="B1365" s="5" t="s">
        <v>1381</v>
      </c>
      <c r="C1365" s="6" t="str">
        <f>IFERROR(__xludf.DUMMYFUNCTION("SPLIT('2. c'!B1365, "" "", True, True)"),"Candidatus")</f>
        <v>Candidatus</v>
      </c>
      <c r="D1365" t="str">
        <f>IFERROR(__xludf.DUMMYFUNCTION("""COMPUTED_VALUE"""),"Tremblaya")</f>
        <v>Tremblaya</v>
      </c>
      <c r="E1365" t="str">
        <f>IFERROR(__xludf.DUMMYFUNCTION("""COMPUTED_VALUE"""),"princeps")</f>
        <v>princeps</v>
      </c>
    </row>
    <row r="1366" ht="15.75" customHeight="1">
      <c r="A1366" t="str">
        <f t="shared" si="1"/>
        <v>C.Tremblaya</v>
      </c>
      <c r="B1366" s="5" t="s">
        <v>1381</v>
      </c>
      <c r="C1366" s="6" t="str">
        <f>IFERROR(__xludf.DUMMYFUNCTION("SPLIT('2. c'!B1366, "" "", True, True)"),"Candidatus")</f>
        <v>Candidatus</v>
      </c>
      <c r="D1366" t="str">
        <f>IFERROR(__xludf.DUMMYFUNCTION("""COMPUTED_VALUE"""),"Tremblaya")</f>
        <v>Tremblaya</v>
      </c>
      <c r="E1366" t="str">
        <f>IFERROR(__xludf.DUMMYFUNCTION("""COMPUTED_VALUE"""),"princeps")</f>
        <v>princeps</v>
      </c>
    </row>
    <row r="1367" ht="15.75" customHeight="1">
      <c r="A1367" t="str">
        <f t="shared" si="1"/>
        <v>C.Tremblaya</v>
      </c>
      <c r="B1367" s="5" t="s">
        <v>1381</v>
      </c>
      <c r="C1367" s="6" t="str">
        <f>IFERROR(__xludf.DUMMYFUNCTION("SPLIT('2. c'!B1367, "" "", True, True)"),"Candidatus")</f>
        <v>Candidatus</v>
      </c>
      <c r="D1367" t="str">
        <f>IFERROR(__xludf.DUMMYFUNCTION("""COMPUTED_VALUE"""),"Tremblaya")</f>
        <v>Tremblaya</v>
      </c>
      <c r="E1367" t="str">
        <f>IFERROR(__xludf.DUMMYFUNCTION("""COMPUTED_VALUE"""),"princeps")</f>
        <v>princeps</v>
      </c>
    </row>
    <row r="1368" ht="15.75" customHeight="1">
      <c r="A1368" t="str">
        <f t="shared" si="1"/>
        <v>C.Tremblaya</v>
      </c>
      <c r="B1368" s="5" t="s">
        <v>1381</v>
      </c>
      <c r="C1368" s="6" t="str">
        <f>IFERROR(__xludf.DUMMYFUNCTION("SPLIT('2. c'!B1368, "" "", True, True)"),"Candidatus")</f>
        <v>Candidatus</v>
      </c>
      <c r="D1368" t="str">
        <f>IFERROR(__xludf.DUMMYFUNCTION("""COMPUTED_VALUE"""),"Tremblaya")</f>
        <v>Tremblaya</v>
      </c>
      <c r="E1368" t="str">
        <f>IFERROR(__xludf.DUMMYFUNCTION("""COMPUTED_VALUE"""),"princeps")</f>
        <v>princeps</v>
      </c>
    </row>
    <row r="1369" ht="15.75" customHeight="1">
      <c r="A1369" t="str">
        <f t="shared" si="1"/>
        <v>C.Tremblaya</v>
      </c>
      <c r="B1369" s="5" t="s">
        <v>1381</v>
      </c>
      <c r="C1369" s="6" t="str">
        <f>IFERROR(__xludf.DUMMYFUNCTION("SPLIT('2. c'!B1369, "" "", True, True)"),"Candidatus")</f>
        <v>Candidatus</v>
      </c>
      <c r="D1369" t="str">
        <f>IFERROR(__xludf.DUMMYFUNCTION("""COMPUTED_VALUE"""),"Tremblaya")</f>
        <v>Tremblaya</v>
      </c>
      <c r="E1369" t="str">
        <f>IFERROR(__xludf.DUMMYFUNCTION("""COMPUTED_VALUE"""),"princeps")</f>
        <v>princeps</v>
      </c>
    </row>
    <row r="1370" ht="15.75" customHeight="1">
      <c r="A1370" t="str">
        <f t="shared" si="1"/>
        <v>C.Tremblaya</v>
      </c>
      <c r="B1370" s="5" t="s">
        <v>1382</v>
      </c>
      <c r="C1370" s="6" t="str">
        <f>IFERROR(__xludf.DUMMYFUNCTION("SPLIT('2. c'!B1370, "" "", True, True)"),"Candidatus")</f>
        <v>Candidatus</v>
      </c>
      <c r="D1370" t="str">
        <f>IFERROR(__xludf.DUMMYFUNCTION("""COMPUTED_VALUE"""),"Tremblaya")</f>
        <v>Tremblaya</v>
      </c>
      <c r="E1370" t="str">
        <f>IFERROR(__xludf.DUMMYFUNCTION("""COMPUTED_VALUE"""),"princeps")</f>
        <v>princeps</v>
      </c>
      <c r="F1370" t="str">
        <f>IFERROR(__xludf.DUMMYFUNCTION("""COMPUTED_VALUE"""),"PCIT")</f>
        <v>PCIT</v>
      </c>
    </row>
    <row r="1371" ht="15.75" customHeight="1">
      <c r="A1371" t="str">
        <f t="shared" si="1"/>
        <v>C.Tremblaya</v>
      </c>
      <c r="B1371" s="5" t="s">
        <v>1383</v>
      </c>
      <c r="C1371" s="6" t="str">
        <f>IFERROR(__xludf.DUMMYFUNCTION("SPLIT('2. c'!B1371, "" "", True, True)"),"Candidatus")</f>
        <v>Candidatus</v>
      </c>
      <c r="D1371" t="str">
        <f>IFERROR(__xludf.DUMMYFUNCTION("""COMPUTED_VALUE"""),"Tremblaya")</f>
        <v>Tremblaya</v>
      </c>
      <c r="E1371" t="str">
        <f>IFERROR(__xludf.DUMMYFUNCTION("""COMPUTED_VALUE"""),"princeps")</f>
        <v>princeps</v>
      </c>
      <c r="F1371" t="str">
        <f>IFERROR(__xludf.DUMMYFUNCTION("""COMPUTED_VALUE"""),"PCVAL")</f>
        <v>PCVAL</v>
      </c>
    </row>
    <row r="1372" ht="15.75" customHeight="1">
      <c r="A1372" t="str">
        <f t="shared" si="1"/>
        <v>C.Uzinura</v>
      </c>
      <c r="B1372" s="5" t="s">
        <v>1384</v>
      </c>
      <c r="C1372" s="6" t="str">
        <f>IFERROR(__xludf.DUMMYFUNCTION("SPLIT('2. c'!B1372, "" "", True, True)"),"Candidatus")</f>
        <v>Candidatus</v>
      </c>
      <c r="D1372" t="str">
        <f>IFERROR(__xludf.DUMMYFUNCTION("""COMPUTED_VALUE"""),"Uzinura")</f>
        <v>Uzinura</v>
      </c>
      <c r="E1372" t="str">
        <f>IFERROR(__xludf.DUMMYFUNCTION("""COMPUTED_VALUE"""),"diaspidicola")</f>
        <v>diaspidicola</v>
      </c>
      <c r="F1372" t="str">
        <f>IFERROR(__xludf.DUMMYFUNCTION("""COMPUTED_VALUE"""),"str.")</f>
        <v>str.</v>
      </c>
      <c r="G1372" t="str">
        <f>IFERROR(__xludf.DUMMYFUNCTION("""COMPUTED_VALUE"""),"ASNER")</f>
        <v>ASNER</v>
      </c>
    </row>
    <row r="1373" ht="15.75" customHeight="1">
      <c r="A1373" t="str">
        <f t="shared" si="1"/>
        <v>C.Vesicomyosocius</v>
      </c>
      <c r="B1373" s="5" t="s">
        <v>1385</v>
      </c>
      <c r="C1373" s="6" t="str">
        <f>IFERROR(__xludf.DUMMYFUNCTION("SPLIT('2. c'!B1373, "" "", True, True)"),"Candidatus")</f>
        <v>Candidatus</v>
      </c>
      <c r="D1373" t="str">
        <f>IFERROR(__xludf.DUMMYFUNCTION("""COMPUTED_VALUE"""),"Vesicomyosocius")</f>
        <v>Vesicomyosocius</v>
      </c>
      <c r="E1373" t="str">
        <f>IFERROR(__xludf.DUMMYFUNCTION("""COMPUTED_VALUE"""),"okutanii")</f>
        <v>okutanii</v>
      </c>
      <c r="F1373" t="str">
        <f>IFERROR(__xludf.DUMMYFUNCTION("""COMPUTED_VALUE"""),"HA")</f>
        <v>HA</v>
      </c>
    </row>
    <row r="1374" ht="15.75" customHeight="1">
      <c r="A1374" t="str">
        <f t="shared" si="1"/>
        <v>C.Xiphinematobacter</v>
      </c>
      <c r="B1374" s="5" t="s">
        <v>1386</v>
      </c>
      <c r="C1374" s="6" t="str">
        <f>IFERROR(__xludf.DUMMYFUNCTION("SPLIT('2. c'!B1374, "" "", True, True)"),"Candidatus")</f>
        <v>Candidatus</v>
      </c>
      <c r="D1374" t="str">
        <f>IFERROR(__xludf.DUMMYFUNCTION("""COMPUTED_VALUE"""),"Xiphinematobacter")</f>
        <v>Xiphinematobacter</v>
      </c>
      <c r="E1374" t="str">
        <f>IFERROR(__xludf.DUMMYFUNCTION("""COMPUTED_VALUE"""),"sp.")</f>
        <v>sp.</v>
      </c>
      <c r="F1374" t="str">
        <f>IFERROR(__xludf.DUMMYFUNCTION("""COMPUTED_VALUE"""),"Idaho")</f>
        <v>Idaho</v>
      </c>
      <c r="G1374" t="str">
        <f>IFERROR(__xludf.DUMMYFUNCTION("""COMPUTED_VALUE"""),"Grape")</f>
        <v>Grape</v>
      </c>
    </row>
    <row r="1375" ht="15.75" customHeight="1">
      <c r="A1375" t="str">
        <f t="shared" si="1"/>
        <v>C.Zinderia</v>
      </c>
      <c r="B1375" s="5" t="s">
        <v>1387</v>
      </c>
      <c r="C1375" s="6" t="str">
        <f>IFERROR(__xludf.DUMMYFUNCTION("SPLIT('2. c'!B1375, "" "", True, True)"),"Candidatus")</f>
        <v>Candidatus</v>
      </c>
      <c r="D1375" t="str">
        <f>IFERROR(__xludf.DUMMYFUNCTION("""COMPUTED_VALUE"""),"Zinderia")</f>
        <v>Zinderia</v>
      </c>
      <c r="E1375" t="str">
        <f>IFERROR(__xludf.DUMMYFUNCTION("""COMPUTED_VALUE"""),"insecticola")</f>
        <v>insecticola</v>
      </c>
      <c r="F1375" t="str">
        <f>IFERROR(__xludf.DUMMYFUNCTION("""COMPUTED_VALUE"""),"CARI")</f>
        <v>CARI</v>
      </c>
    </row>
    <row r="1376" ht="15.75" customHeight="1">
      <c r="A1376" t="str">
        <f t="shared" si="1"/>
        <v>C.canimorsus</v>
      </c>
      <c r="B1376" s="5" t="s">
        <v>1388</v>
      </c>
      <c r="C1376" s="6" t="str">
        <f>IFERROR(__xludf.DUMMYFUNCTION("SPLIT('2. c'!B1376, "" "", True, True)"),"Capnocytophaga")</f>
        <v>Capnocytophaga</v>
      </c>
      <c r="D1376" t="str">
        <f>IFERROR(__xludf.DUMMYFUNCTION("""COMPUTED_VALUE"""),"canimorsus")</f>
        <v>canimorsus</v>
      </c>
      <c r="E1376" t="str">
        <f>IFERROR(__xludf.DUMMYFUNCTION("""COMPUTED_VALUE"""),"Cc5")</f>
        <v>Cc5</v>
      </c>
    </row>
    <row r="1377" ht="15.75" customHeight="1">
      <c r="A1377" t="str">
        <f t="shared" si="1"/>
        <v>C.haemolytica</v>
      </c>
      <c r="B1377" s="5" t="s">
        <v>1389</v>
      </c>
      <c r="C1377" s="6" t="str">
        <f>IFERROR(__xludf.DUMMYFUNCTION("SPLIT('2. c'!B1377, "" "", True, True)"),"Capnocytophaga")</f>
        <v>Capnocytophaga</v>
      </c>
      <c r="D1377" t="str">
        <f>IFERROR(__xludf.DUMMYFUNCTION("""COMPUTED_VALUE"""),"haemolytica")</f>
        <v>haemolytica</v>
      </c>
      <c r="E1377" t="str">
        <f>IFERROR(__xludf.DUMMYFUNCTION("""COMPUTED_VALUE"""),"strain")</f>
        <v>strain</v>
      </c>
      <c r="F1377" t="str">
        <f>IFERROR(__xludf.DUMMYFUNCTION("""COMPUTED_VALUE"""),"CCUG")</f>
        <v>CCUG</v>
      </c>
      <c r="G1377">
        <f>IFERROR(__xludf.DUMMYFUNCTION("""COMPUTED_VALUE"""),32990.0)</f>
        <v>32990</v>
      </c>
    </row>
    <row r="1378" ht="15.75" customHeight="1">
      <c r="A1378" t="str">
        <f t="shared" si="1"/>
        <v>C.ochracea</v>
      </c>
      <c r="B1378" s="5" t="s">
        <v>1390</v>
      </c>
      <c r="C1378" s="6" t="str">
        <f>IFERROR(__xludf.DUMMYFUNCTION("SPLIT('2. c'!B1378, "" "", True, True)"),"Capnocytophaga")</f>
        <v>Capnocytophaga</v>
      </c>
      <c r="D1378" t="str">
        <f>IFERROR(__xludf.DUMMYFUNCTION("""COMPUTED_VALUE"""),"ochracea")</f>
        <v>ochracea</v>
      </c>
      <c r="E1378" t="str">
        <f>IFERROR(__xludf.DUMMYFUNCTION("""COMPUTED_VALUE"""),"DSM")</f>
        <v>DSM</v>
      </c>
      <c r="F1378">
        <f>IFERROR(__xludf.DUMMYFUNCTION("""COMPUTED_VALUE"""),7271.0)</f>
        <v>7271</v>
      </c>
    </row>
    <row r="1379" ht="15.75" customHeight="1">
      <c r="A1379" t="str">
        <f t="shared" si="1"/>
        <v>C.sp.</v>
      </c>
      <c r="B1379" s="5" t="s">
        <v>1391</v>
      </c>
      <c r="C1379" s="6" t="str">
        <f>IFERROR(__xludf.DUMMYFUNCTION("SPLIT('2. c'!B1379, "" "", True, True)"),"Capnocytophaga")</f>
        <v>Capnocytophaga</v>
      </c>
      <c r="D1379" t="str">
        <f>IFERROR(__xludf.DUMMYFUNCTION("""COMPUTED_VALUE"""),"sp.")</f>
        <v>sp.</v>
      </c>
      <c r="E1379" t="str">
        <f>IFERROR(__xludf.DUMMYFUNCTION("""COMPUTED_VALUE"""),"oral")</f>
        <v>oral</v>
      </c>
      <c r="F1379" t="str">
        <f>IFERROR(__xludf.DUMMYFUNCTION("""COMPUTED_VALUE"""),"taxon")</f>
        <v>taxon</v>
      </c>
      <c r="G1379">
        <f>IFERROR(__xludf.DUMMYFUNCTION("""COMPUTED_VALUE"""),323.0)</f>
        <v>323</v>
      </c>
      <c r="H1379" t="str">
        <f>IFERROR(__xludf.DUMMYFUNCTION("""COMPUTED_VALUE"""),"strain")</f>
        <v>strain</v>
      </c>
      <c r="I1379" t="str">
        <f>IFERROR(__xludf.DUMMYFUNCTION("""COMPUTED_VALUE"""),"F0383")</f>
        <v>F0383</v>
      </c>
    </row>
    <row r="1380" ht="15.75" customHeight="1">
      <c r="A1380" t="str">
        <f t="shared" si="1"/>
        <v>C.hydrogenoformans</v>
      </c>
      <c r="B1380" s="5" t="s">
        <v>1392</v>
      </c>
      <c r="C1380" s="6" t="str">
        <f>IFERROR(__xludf.DUMMYFUNCTION("SPLIT('2. c'!B1380, "" "", True, True)"),"Carboxydothermus")</f>
        <v>Carboxydothermus</v>
      </c>
      <c r="D1380" t="str">
        <f>IFERROR(__xludf.DUMMYFUNCTION("""COMPUTED_VALUE"""),"hydrogenoformans")</f>
        <v>hydrogenoformans</v>
      </c>
      <c r="E1380" t="str">
        <f>IFERROR(__xludf.DUMMYFUNCTION("""COMPUTED_VALUE"""),"Z-2901")</f>
        <v>Z-2901</v>
      </c>
    </row>
    <row r="1381" ht="15.75" customHeight="1">
      <c r="A1381" t="str">
        <f t="shared" si="1"/>
        <v>C.endosymbiont</v>
      </c>
      <c r="B1381" s="5" t="s">
        <v>1393</v>
      </c>
      <c r="C1381" s="6" t="str">
        <f>IFERROR(__xludf.DUMMYFUNCTION("SPLIT('2. c'!B1381, "" "", True, True)"),"Cardinium")</f>
        <v>Cardinium</v>
      </c>
      <c r="D1381" t="str">
        <f>IFERROR(__xludf.DUMMYFUNCTION("""COMPUTED_VALUE"""),"endosymbiont")</f>
        <v>endosymbiont</v>
      </c>
      <c r="E1381" t="str">
        <f>IFERROR(__xludf.DUMMYFUNCTION("""COMPUTED_VALUE"""),"cEper1")</f>
        <v>cEper1</v>
      </c>
      <c r="F1381" t="str">
        <f>IFERROR(__xludf.DUMMYFUNCTION("""COMPUTED_VALUE"""),"of")</f>
        <v>of</v>
      </c>
      <c r="G1381" t="str">
        <f>IFERROR(__xludf.DUMMYFUNCTION("""COMPUTED_VALUE"""),"Encarsia")</f>
        <v>Encarsia</v>
      </c>
      <c r="H1381" t="str">
        <f>IFERROR(__xludf.DUMMYFUNCTION("""COMPUTED_VALUE"""),"pergandiella")</f>
        <v>pergandiella</v>
      </c>
    </row>
    <row r="1382" ht="15.75" customHeight="1">
      <c r="A1382" t="str">
        <f t="shared" si="1"/>
        <v>C.maltaromaticum</v>
      </c>
      <c r="B1382" s="5" t="s">
        <v>1394</v>
      </c>
      <c r="C1382" s="6" t="str">
        <f>IFERROR(__xludf.DUMMYFUNCTION("SPLIT('2. c'!B1382, "" "", True, True)"),"Carnobacterium")</f>
        <v>Carnobacterium</v>
      </c>
      <c r="D1382" t="str">
        <f>IFERROR(__xludf.DUMMYFUNCTION("""COMPUTED_VALUE"""),"maltaromaticum")</f>
        <v>maltaromaticum</v>
      </c>
      <c r="E1382" t="str">
        <f>IFERROR(__xludf.DUMMYFUNCTION("""COMPUTED_VALUE"""),"LMA28")</f>
        <v>LMA28</v>
      </c>
    </row>
    <row r="1383" ht="15.75" customHeight="1">
      <c r="A1383" t="str">
        <f t="shared" si="1"/>
        <v>C.sp.</v>
      </c>
      <c r="B1383" s="5" t="s">
        <v>1395</v>
      </c>
      <c r="C1383" s="6" t="str">
        <f>IFERROR(__xludf.DUMMYFUNCTION("SPLIT('2. c'!B1383, "" "", True, True)"),"Carnobacterium")</f>
        <v>Carnobacterium</v>
      </c>
      <c r="D1383" t="str">
        <f>IFERROR(__xludf.DUMMYFUNCTION("""COMPUTED_VALUE"""),"sp.")</f>
        <v>sp.</v>
      </c>
      <c r="E1383" s="25">
        <f>IFERROR(__xludf.DUMMYFUNCTION("""COMPUTED_VALUE"""),43207.0)</f>
        <v>43207</v>
      </c>
    </row>
    <row r="1384" ht="15.75" customHeight="1">
      <c r="A1384" t="str">
        <f t="shared" si="1"/>
        <v>C.sp.</v>
      </c>
      <c r="B1384" s="5" t="s">
        <v>1396</v>
      </c>
      <c r="C1384" s="6" t="str">
        <f>IFERROR(__xludf.DUMMYFUNCTION("SPLIT('2. c'!B1384, "" "", True, True)"),"Carnobacterium")</f>
        <v>Carnobacterium</v>
      </c>
      <c r="D1384" t="str">
        <f>IFERROR(__xludf.DUMMYFUNCTION("""COMPUTED_VALUE"""),"sp.")</f>
        <v>sp.</v>
      </c>
      <c r="E1384" t="str">
        <f>IFERROR(__xludf.DUMMYFUNCTION("""COMPUTED_VALUE"""),"CP1")</f>
        <v>CP1</v>
      </c>
    </row>
    <row r="1385" ht="15.75" customHeight="1">
      <c r="A1385" t="str">
        <f t="shared" si="1"/>
        <v>C.sp.</v>
      </c>
      <c r="B1385" s="5" t="s">
        <v>1397</v>
      </c>
      <c r="C1385" s="6" t="str">
        <f>IFERROR(__xludf.DUMMYFUNCTION("SPLIT('2. c'!B1385, "" "", True, True)"),"Carnobacterium")</f>
        <v>Carnobacterium</v>
      </c>
      <c r="D1385" t="str">
        <f>IFERROR(__xludf.DUMMYFUNCTION("""COMPUTED_VALUE"""),"sp.")</f>
        <v>sp.</v>
      </c>
      <c r="E1385" t="str">
        <f>IFERROR(__xludf.DUMMYFUNCTION("""COMPUTED_VALUE"""),"WN1359")</f>
        <v>WN1359</v>
      </c>
    </row>
    <row r="1386" ht="15.75" customHeight="1">
      <c r="A1386" t="str">
        <f t="shared" si="1"/>
        <v>C.defragrans</v>
      </c>
      <c r="B1386" s="5" t="s">
        <v>1398</v>
      </c>
      <c r="C1386" s="6" t="str">
        <f>IFERROR(__xludf.DUMMYFUNCTION("SPLIT('2. c'!B1386, "" "", True, True)"),"Castellaniella")</f>
        <v>Castellaniella</v>
      </c>
      <c r="D1386" t="str">
        <f>IFERROR(__xludf.DUMMYFUNCTION("""COMPUTED_VALUE"""),"defragrans")</f>
        <v>defragrans</v>
      </c>
      <c r="E1386" t="str">
        <f>IFERROR(__xludf.DUMMYFUNCTION("""COMPUTED_VALUE"""),"65Phen")</f>
        <v>65Phen</v>
      </c>
    </row>
    <row r="1387" ht="15.75" customHeight="1">
      <c r="A1387" t="str">
        <f t="shared" si="1"/>
        <v>C.acidiphila</v>
      </c>
      <c r="B1387" s="5" t="s">
        <v>1399</v>
      </c>
      <c r="C1387" s="6" t="str">
        <f>IFERROR(__xludf.DUMMYFUNCTION("SPLIT('2. c'!B1387, "" "", True, True)"),"Catenulispora")</f>
        <v>Catenulispora</v>
      </c>
      <c r="D1387" t="str">
        <f>IFERROR(__xludf.DUMMYFUNCTION("""COMPUTED_VALUE"""),"acidiphila")</f>
        <v>acidiphila</v>
      </c>
      <c r="E1387" t="str">
        <f>IFERROR(__xludf.DUMMYFUNCTION("""COMPUTED_VALUE"""),"DSM")</f>
        <v>DSM</v>
      </c>
      <c r="F1387">
        <f>IFERROR(__xludf.DUMMYFUNCTION("""COMPUTED_VALUE"""),44928.0)</f>
        <v>44928</v>
      </c>
    </row>
    <row r="1388" ht="15.75" customHeight="1">
      <c r="A1388" t="str">
        <f t="shared" si="1"/>
        <v>C.crescentus</v>
      </c>
      <c r="B1388" s="5" t="s">
        <v>1400</v>
      </c>
      <c r="C1388" s="6" t="str">
        <f>IFERROR(__xludf.DUMMYFUNCTION("SPLIT('2. c'!B1388, "" "", True, True)"),"Caulobacter")</f>
        <v>Caulobacter</v>
      </c>
      <c r="D1388" t="str">
        <f>IFERROR(__xludf.DUMMYFUNCTION("""COMPUTED_VALUE"""),"crescentus")</f>
        <v>crescentus</v>
      </c>
      <c r="E1388" t="str">
        <f>IFERROR(__xludf.DUMMYFUNCTION("""COMPUTED_VALUE"""),"CB15")</f>
        <v>CB15</v>
      </c>
    </row>
    <row r="1389" ht="15.75" customHeight="1">
      <c r="A1389" t="str">
        <f t="shared" si="1"/>
        <v>C.crescentus</v>
      </c>
      <c r="B1389" s="5" t="s">
        <v>1401</v>
      </c>
      <c r="C1389" s="6" t="str">
        <f>IFERROR(__xludf.DUMMYFUNCTION("SPLIT('2. c'!B1389, "" "", True, True)"),"Caulobacter")</f>
        <v>Caulobacter</v>
      </c>
      <c r="D1389" t="str">
        <f>IFERROR(__xludf.DUMMYFUNCTION("""COMPUTED_VALUE"""),"crescentus")</f>
        <v>crescentus</v>
      </c>
      <c r="E1389" t="str">
        <f>IFERROR(__xludf.DUMMYFUNCTION("""COMPUTED_VALUE"""),"NA1000")</f>
        <v>NA1000</v>
      </c>
    </row>
    <row r="1390" ht="15.75" customHeight="1">
      <c r="A1390" t="str">
        <f t="shared" si="1"/>
        <v>C.henricii</v>
      </c>
      <c r="B1390" s="5" t="s">
        <v>1402</v>
      </c>
      <c r="C1390" s="6" t="str">
        <f>IFERROR(__xludf.DUMMYFUNCTION("SPLIT('2. c'!B1390, "" "", True, True)"),"Caulobacter")</f>
        <v>Caulobacter</v>
      </c>
      <c r="D1390" t="str">
        <f>IFERROR(__xludf.DUMMYFUNCTION("""COMPUTED_VALUE"""),"henricii")</f>
        <v>henricii</v>
      </c>
      <c r="E1390" t="str">
        <f>IFERROR(__xludf.DUMMYFUNCTION("""COMPUTED_VALUE"""),"strain")</f>
        <v>strain</v>
      </c>
      <c r="F1390" t="str">
        <f>IFERROR(__xludf.DUMMYFUNCTION("""COMPUTED_VALUE"""),"CB4")</f>
        <v>CB4</v>
      </c>
    </row>
    <row r="1391" ht="15.75" customHeight="1">
      <c r="A1391" t="str">
        <f t="shared" si="1"/>
        <v>C.segnis</v>
      </c>
      <c r="B1391" s="5" t="s">
        <v>1403</v>
      </c>
      <c r="C1391" s="6" t="str">
        <f>IFERROR(__xludf.DUMMYFUNCTION("SPLIT('2. c'!B1391, "" "", True, True)"),"Caulobacter")</f>
        <v>Caulobacter</v>
      </c>
      <c r="D1391" t="str">
        <f>IFERROR(__xludf.DUMMYFUNCTION("""COMPUTED_VALUE"""),"segnis")</f>
        <v>segnis</v>
      </c>
      <c r="E1391" t="str">
        <f>IFERROR(__xludf.DUMMYFUNCTION("""COMPUTED_VALUE"""),"ATCC")</f>
        <v>ATCC</v>
      </c>
      <c r="F1391">
        <f>IFERROR(__xludf.DUMMYFUNCTION("""COMPUTED_VALUE"""),21756.0)</f>
        <v>21756</v>
      </c>
    </row>
    <row r="1392" ht="15.75" customHeight="1">
      <c r="A1392" t="str">
        <f t="shared" si="1"/>
        <v>C.sp.</v>
      </c>
      <c r="B1392" s="5" t="s">
        <v>1404</v>
      </c>
      <c r="C1392" s="6" t="str">
        <f>IFERROR(__xludf.DUMMYFUNCTION("SPLIT('2. c'!B1392, "" "", True, True)"),"Caulobacter")</f>
        <v>Caulobacter</v>
      </c>
      <c r="D1392" t="str">
        <f>IFERROR(__xludf.DUMMYFUNCTION("""COMPUTED_VALUE"""),"sp.")</f>
        <v>sp.</v>
      </c>
      <c r="E1392" t="str">
        <f>IFERROR(__xludf.DUMMYFUNCTION("""COMPUTED_VALUE"""),"K31")</f>
        <v>K31</v>
      </c>
    </row>
    <row r="1393" ht="15.75" customHeight="1">
      <c r="A1393" t="str">
        <f t="shared" si="1"/>
        <v>C.neteri</v>
      </c>
      <c r="B1393" s="5" t="s">
        <v>1405</v>
      </c>
      <c r="C1393" s="6" t="str">
        <f>IFERROR(__xludf.DUMMYFUNCTION("SPLIT('2. c'!B1393, "" "", True, True)"),"Cedecea")</f>
        <v>Cedecea</v>
      </c>
      <c r="D1393" t="str">
        <f>IFERROR(__xludf.DUMMYFUNCTION("""COMPUTED_VALUE"""),"neteri")</f>
        <v>neteri</v>
      </c>
      <c r="E1393" t="str">
        <f>IFERROR(__xludf.DUMMYFUNCTION("""COMPUTED_VALUE"""),"M006")</f>
        <v>M006</v>
      </c>
    </row>
    <row r="1394" ht="15.75" customHeight="1">
      <c r="A1394" t="str">
        <f t="shared" si="1"/>
        <v>C.neteri</v>
      </c>
      <c r="B1394" s="5" t="s">
        <v>1406</v>
      </c>
      <c r="C1394" s="6" t="str">
        <f>IFERROR(__xludf.DUMMYFUNCTION("SPLIT('2. c'!B1394, "" "", True, True)"),"Cedecea")</f>
        <v>Cedecea</v>
      </c>
      <c r="D1394" t="str">
        <f>IFERROR(__xludf.DUMMYFUNCTION("""COMPUTED_VALUE"""),"neteri")</f>
        <v>neteri</v>
      </c>
      <c r="E1394" t="str">
        <f>IFERROR(__xludf.DUMMYFUNCTION("""COMPUTED_VALUE"""),"ND14a")</f>
        <v>ND14a</v>
      </c>
    </row>
    <row r="1395" ht="15.75" customHeight="1">
      <c r="A1395" t="str">
        <f t="shared" si="1"/>
        <v>C.neteri</v>
      </c>
      <c r="B1395" s="5" t="s">
        <v>1407</v>
      </c>
      <c r="C1395" s="6" t="str">
        <f>IFERROR(__xludf.DUMMYFUNCTION("SPLIT('2. c'!B1395, "" "", True, True)"),"Cedecea")</f>
        <v>Cedecea</v>
      </c>
      <c r="D1395" t="str">
        <f>IFERROR(__xludf.DUMMYFUNCTION("""COMPUTED_VALUE"""),"neteri")</f>
        <v>neteri</v>
      </c>
      <c r="E1395" t="str">
        <f>IFERROR(__xludf.DUMMYFUNCTION("""COMPUTED_VALUE"""),"ND14b")</f>
        <v>ND14b</v>
      </c>
    </row>
    <row r="1396" ht="15.75" customHeight="1">
      <c r="A1396" t="str">
        <f t="shared" si="1"/>
        <v>C.neteri</v>
      </c>
      <c r="B1396" s="5" t="s">
        <v>1408</v>
      </c>
      <c r="C1396" s="6" t="str">
        <f>IFERROR(__xludf.DUMMYFUNCTION("SPLIT('2. c'!B1396, "" "", True, True)"),"Cedecea")</f>
        <v>Cedecea</v>
      </c>
      <c r="D1396" t="str">
        <f>IFERROR(__xludf.DUMMYFUNCTION("""COMPUTED_VALUE"""),"neteri")</f>
        <v>neteri</v>
      </c>
      <c r="E1396" t="str">
        <f>IFERROR(__xludf.DUMMYFUNCTION("""COMPUTED_VALUE"""),"SSMD04")</f>
        <v>SSMD04</v>
      </c>
    </row>
    <row r="1397" ht="15.75" customHeight="1">
      <c r="A1397" t="str">
        <f t="shared" si="1"/>
        <v>C.neteri</v>
      </c>
      <c r="B1397" s="5" t="s">
        <v>1409</v>
      </c>
      <c r="C1397" s="6" t="str">
        <f>IFERROR(__xludf.DUMMYFUNCTION("SPLIT('2. c'!B1397, "" "", True, True)"),"Cedecea")</f>
        <v>Cedecea</v>
      </c>
      <c r="D1397" t="str">
        <f>IFERROR(__xludf.DUMMYFUNCTION("""COMPUTED_VALUE"""),"neteri")</f>
        <v>neteri</v>
      </c>
      <c r="E1397" t="str">
        <f>IFERROR(__xludf.DUMMYFUNCTION("""COMPUTED_VALUE"""),"strain")</f>
        <v>strain</v>
      </c>
      <c r="F1397" t="str">
        <f>IFERROR(__xludf.DUMMYFUNCTION("""COMPUTED_VALUE"""),"ND02")</f>
        <v>ND02</v>
      </c>
    </row>
    <row r="1398" ht="15.75" customHeight="1">
      <c r="A1398" t="str">
        <f t="shared" si="1"/>
        <v>C.indicus</v>
      </c>
      <c r="B1398" s="5" t="s">
        <v>1410</v>
      </c>
      <c r="C1398" s="6" t="str">
        <f>IFERROR(__xludf.DUMMYFUNCTION("SPLIT('2. c'!B1398, "" "", True, True)"),"Celeribacter")</f>
        <v>Celeribacter</v>
      </c>
      <c r="D1398" t="str">
        <f>IFERROR(__xludf.DUMMYFUNCTION("""COMPUTED_VALUE"""),"indicus")</f>
        <v>indicus</v>
      </c>
      <c r="E1398" t="str">
        <f>IFERROR(__xludf.DUMMYFUNCTION("""COMPUTED_VALUE"""),"P73")</f>
        <v>P73</v>
      </c>
    </row>
    <row r="1399" ht="15.75" customHeight="1">
      <c r="A1399" t="str">
        <f t="shared" si="1"/>
        <v>C.marinus</v>
      </c>
      <c r="B1399" s="5" t="s">
        <v>1411</v>
      </c>
      <c r="C1399" s="6" t="str">
        <f>IFERROR(__xludf.DUMMYFUNCTION("SPLIT('2. c'!B1399, "" "", True, True)"),"Celeribacter")</f>
        <v>Celeribacter</v>
      </c>
      <c r="D1399" t="str">
        <f>IFERROR(__xludf.DUMMYFUNCTION("""COMPUTED_VALUE"""),"marinus")</f>
        <v>marinus</v>
      </c>
      <c r="E1399" t="str">
        <f>IFERROR(__xludf.DUMMYFUNCTION("""COMPUTED_VALUE"""),"strain")</f>
        <v>strain</v>
      </c>
      <c r="F1399" t="str">
        <f>IFERROR(__xludf.DUMMYFUNCTION("""COMPUTED_VALUE"""),"IMCC12053")</f>
        <v>IMCC12053</v>
      </c>
    </row>
    <row r="1400" ht="15.75" customHeight="1">
      <c r="A1400" t="str">
        <f t="shared" si="1"/>
        <v>C.fimi</v>
      </c>
      <c r="B1400" s="5" t="s">
        <v>1412</v>
      </c>
      <c r="C1400" s="6" t="str">
        <f>IFERROR(__xludf.DUMMYFUNCTION("SPLIT('2. c'!B1400, "" "", True, True)"),"Cellulomonas")</f>
        <v>Cellulomonas</v>
      </c>
      <c r="D1400" t="str">
        <f>IFERROR(__xludf.DUMMYFUNCTION("""COMPUTED_VALUE"""),"fimi")</f>
        <v>fimi</v>
      </c>
      <c r="E1400" t="str">
        <f>IFERROR(__xludf.DUMMYFUNCTION("""COMPUTED_VALUE"""),"ATCC")</f>
        <v>ATCC</v>
      </c>
      <c r="F1400">
        <f>IFERROR(__xludf.DUMMYFUNCTION("""COMPUTED_VALUE"""),484.0)</f>
        <v>484</v>
      </c>
    </row>
    <row r="1401" ht="15.75" customHeight="1">
      <c r="A1401" t="str">
        <f t="shared" si="1"/>
        <v>C.flavigena</v>
      </c>
      <c r="B1401" s="5" t="s">
        <v>1413</v>
      </c>
      <c r="C1401" s="6" t="str">
        <f>IFERROR(__xludf.DUMMYFUNCTION("SPLIT('2. c'!B1401, "" "", True, True)"),"Cellulomonas")</f>
        <v>Cellulomonas</v>
      </c>
      <c r="D1401" t="str">
        <f>IFERROR(__xludf.DUMMYFUNCTION("""COMPUTED_VALUE"""),"flavigena")</f>
        <v>flavigena</v>
      </c>
      <c r="E1401" t="str">
        <f>IFERROR(__xludf.DUMMYFUNCTION("""COMPUTED_VALUE"""),"DSM")</f>
        <v>DSM</v>
      </c>
      <c r="F1401">
        <f>IFERROR(__xludf.DUMMYFUNCTION("""COMPUTED_VALUE"""),20109.0)</f>
        <v>20109</v>
      </c>
    </row>
    <row r="1402" ht="15.75" customHeight="1">
      <c r="A1402" t="str">
        <f t="shared" si="1"/>
        <v>C.sp.</v>
      </c>
      <c r="B1402" s="5" t="s">
        <v>1414</v>
      </c>
      <c r="C1402" s="6" t="str">
        <f>IFERROR(__xludf.DUMMYFUNCTION("SPLIT('2. c'!B1402, "" "", True, True)"),"Cellulomonas")</f>
        <v>Cellulomonas</v>
      </c>
      <c r="D1402" t="str">
        <f>IFERROR(__xludf.DUMMYFUNCTION("""COMPUTED_VALUE"""),"sp.")</f>
        <v>sp.</v>
      </c>
      <c r="E1402" t="str">
        <f>IFERROR(__xludf.DUMMYFUNCTION("""COMPUTED_VALUE"""),"FA1")</f>
        <v>FA1</v>
      </c>
    </row>
    <row r="1403" ht="15.75" customHeight="1">
      <c r="A1403" t="str">
        <f t="shared" si="1"/>
        <v>C.algicola</v>
      </c>
      <c r="B1403" s="5" t="s">
        <v>1415</v>
      </c>
      <c r="C1403" s="6" t="str">
        <f>IFERROR(__xludf.DUMMYFUNCTION("SPLIT('2. c'!B1403, "" "", True, True)"),"Cellulophaga")</f>
        <v>Cellulophaga</v>
      </c>
      <c r="D1403" t="str">
        <f>IFERROR(__xludf.DUMMYFUNCTION("""COMPUTED_VALUE"""),"algicola")</f>
        <v>algicola</v>
      </c>
      <c r="E1403" t="str">
        <f>IFERROR(__xludf.DUMMYFUNCTION("""COMPUTED_VALUE"""),"DSM")</f>
        <v>DSM</v>
      </c>
      <c r="F1403">
        <f>IFERROR(__xludf.DUMMYFUNCTION("""COMPUTED_VALUE"""),14237.0)</f>
        <v>14237</v>
      </c>
    </row>
    <row r="1404" ht="15.75" customHeight="1">
      <c r="A1404" t="str">
        <f t="shared" si="1"/>
        <v>C.lytica</v>
      </c>
      <c r="B1404" s="5" t="s">
        <v>1416</v>
      </c>
      <c r="C1404" s="6" t="str">
        <f>IFERROR(__xludf.DUMMYFUNCTION("SPLIT('2. c'!B1404, "" "", True, True)"),"Cellulophaga")</f>
        <v>Cellulophaga</v>
      </c>
      <c r="D1404" t="str">
        <f>IFERROR(__xludf.DUMMYFUNCTION("""COMPUTED_VALUE"""),"lytica")</f>
        <v>lytica</v>
      </c>
      <c r="E1404" t="str">
        <f>IFERROR(__xludf.DUMMYFUNCTION("""COMPUTED_VALUE"""),"DSM")</f>
        <v>DSM</v>
      </c>
      <c r="F1404">
        <f>IFERROR(__xludf.DUMMYFUNCTION("""COMPUTED_VALUE"""),7489.0)</f>
        <v>7489</v>
      </c>
    </row>
    <row r="1405" ht="15.75" customHeight="1">
      <c r="A1405" t="str">
        <f t="shared" si="1"/>
        <v>C.lytica</v>
      </c>
      <c r="B1405" s="5" t="s">
        <v>1417</v>
      </c>
      <c r="C1405" s="6" t="str">
        <f>IFERROR(__xludf.DUMMYFUNCTION("SPLIT('2. c'!B1405, "" "", True, True)"),"Cellulophaga")</f>
        <v>Cellulophaga</v>
      </c>
      <c r="D1405" t="str">
        <f>IFERROR(__xludf.DUMMYFUNCTION("""COMPUTED_VALUE"""),"lytica")</f>
        <v>lytica</v>
      </c>
      <c r="E1405" t="str">
        <f>IFERROR(__xludf.DUMMYFUNCTION("""COMPUTED_VALUE"""),"strain")</f>
        <v>strain</v>
      </c>
      <c r="F1405" t="str">
        <f>IFERROR(__xludf.DUMMYFUNCTION("""COMPUTED_VALUE"""),"HI1")</f>
        <v>HI1</v>
      </c>
    </row>
    <row r="1406" ht="15.75" customHeight="1">
      <c r="A1406" t="str">
        <f t="shared" si="1"/>
        <v>C.japonicus</v>
      </c>
      <c r="B1406" s="5" t="s">
        <v>1418</v>
      </c>
      <c r="C1406" s="6" t="str">
        <f>IFERROR(__xludf.DUMMYFUNCTION("SPLIT('2. c'!B1406, "" "", True, True)"),"Cellvibrio")</f>
        <v>Cellvibrio</v>
      </c>
      <c r="D1406" t="str">
        <f>IFERROR(__xludf.DUMMYFUNCTION("""COMPUTED_VALUE"""),"japonicus")</f>
        <v>japonicus</v>
      </c>
      <c r="E1406" t="str">
        <f>IFERROR(__xludf.DUMMYFUNCTION("""COMPUTED_VALUE"""),"Ueda107")</f>
        <v>Ueda107</v>
      </c>
    </row>
    <row r="1407" ht="15.75" customHeight="1">
      <c r="A1407" t="str">
        <f t="shared" si="1"/>
        <v>C.symbiosum</v>
      </c>
      <c r="B1407" s="5" t="s">
        <v>1419</v>
      </c>
      <c r="C1407" s="6" t="str">
        <f>IFERROR(__xludf.DUMMYFUNCTION("SPLIT('2. c'!B1407, "" "", True, True)"),"Cenarchaeum")</f>
        <v>Cenarchaeum</v>
      </c>
      <c r="D1407" t="str">
        <f>IFERROR(__xludf.DUMMYFUNCTION("""COMPUTED_VALUE"""),"symbiosum")</f>
        <v>symbiosum</v>
      </c>
      <c r="E1407" t="str">
        <f>IFERROR(__xludf.DUMMYFUNCTION("""COMPUTED_VALUE"""),"A")</f>
        <v>A</v>
      </c>
    </row>
    <row r="1408" ht="15.75" customHeight="1">
      <c r="A1408" t="str">
        <f t="shared" si="1"/>
        <v>C.minutus</v>
      </c>
      <c r="B1408" s="5" t="s">
        <v>1420</v>
      </c>
      <c r="C1408" s="6" t="str">
        <f>IFERROR(__xludf.DUMMYFUNCTION("SPLIT('2. c'!B1408, "" "", True, True)"),"Chamaesiphon")</f>
        <v>Chamaesiphon</v>
      </c>
      <c r="D1408" t="str">
        <f>IFERROR(__xludf.DUMMYFUNCTION("""COMPUTED_VALUE"""),"minutus")</f>
        <v>minutus</v>
      </c>
      <c r="E1408" t="str">
        <f>IFERROR(__xludf.DUMMYFUNCTION("""COMPUTED_VALUE"""),"PCC")</f>
        <v>PCC</v>
      </c>
      <c r="F1408">
        <f>IFERROR(__xludf.DUMMYFUNCTION("""COMPUTED_VALUE"""),6605.0)</f>
        <v>6605</v>
      </c>
    </row>
    <row r="1409" ht="15.75" customHeight="1">
      <c r="A1409" t="str">
        <f t="shared" si="1"/>
        <v>C.sp.</v>
      </c>
      <c r="B1409" s="5" t="s">
        <v>1421</v>
      </c>
      <c r="C1409" s="6" t="str">
        <f>IFERROR(__xludf.DUMMYFUNCTION("SPLIT('2. c'!B1409, "" "", True, True)"),"Chelativorans")</f>
        <v>Chelativorans</v>
      </c>
      <c r="D1409" t="str">
        <f>IFERROR(__xludf.DUMMYFUNCTION("""COMPUTED_VALUE"""),"sp.")</f>
        <v>sp.</v>
      </c>
      <c r="E1409" t="str">
        <f>IFERROR(__xludf.DUMMYFUNCTION("""COMPUTED_VALUE"""),"BNC1")</f>
        <v>BNC1</v>
      </c>
    </row>
    <row r="1410" ht="15.75" customHeight="1">
      <c r="A1410" t="str">
        <f t="shared" si="1"/>
        <v>C.sp.</v>
      </c>
      <c r="B1410" s="5" t="s">
        <v>1422</v>
      </c>
      <c r="C1410" s="6" t="str">
        <f>IFERROR(__xludf.DUMMYFUNCTION("SPLIT('2. c'!B1410, "" "", True, True)"),"Chelatococcus")</f>
        <v>Chelatococcus</v>
      </c>
      <c r="D1410" t="str">
        <f>IFERROR(__xludf.DUMMYFUNCTION("""COMPUTED_VALUE"""),"sp.")</f>
        <v>sp.</v>
      </c>
      <c r="E1410" t="str">
        <f>IFERROR(__xludf.DUMMYFUNCTION("""COMPUTED_VALUE"""),"CO-6")</f>
        <v>CO-6</v>
      </c>
    </row>
    <row r="1411" ht="15.75" customHeight="1">
      <c r="A1411" t="str">
        <f t="shared" si="1"/>
        <v>C.pinensis</v>
      </c>
      <c r="B1411" s="5" t="s">
        <v>1423</v>
      </c>
      <c r="C1411" s="6" t="str">
        <f>IFERROR(__xludf.DUMMYFUNCTION("SPLIT('2. c'!B1411, "" "", True, True)"),"Chitinophaga")</f>
        <v>Chitinophaga</v>
      </c>
      <c r="D1411" t="str">
        <f>IFERROR(__xludf.DUMMYFUNCTION("""COMPUTED_VALUE"""),"pinensis")</f>
        <v>pinensis</v>
      </c>
      <c r="E1411" t="str">
        <f>IFERROR(__xludf.DUMMYFUNCTION("""COMPUTED_VALUE"""),"DSM")</f>
        <v>DSM</v>
      </c>
      <c r="F1411">
        <f>IFERROR(__xludf.DUMMYFUNCTION("""COMPUTED_VALUE"""),2588.0)</f>
        <v>2588</v>
      </c>
    </row>
    <row r="1412" ht="15.75" customHeight="1">
      <c r="A1412" t="str">
        <f t="shared" si="1"/>
        <v>C.muridarum</v>
      </c>
      <c r="B1412" s="5" t="s">
        <v>1424</v>
      </c>
      <c r="C1412" s="6" t="str">
        <f>IFERROR(__xludf.DUMMYFUNCTION("SPLIT('2. c'!B1412, "" "", True, True)"),"Chlamydia")</f>
        <v>Chlamydia</v>
      </c>
      <c r="D1412" t="str">
        <f>IFERROR(__xludf.DUMMYFUNCTION("""COMPUTED_VALUE"""),"muridarum")</f>
        <v>muridarum</v>
      </c>
      <c r="E1412" t="str">
        <f>IFERROR(__xludf.DUMMYFUNCTION("""COMPUTED_VALUE"""),"Nigg")</f>
        <v>Nigg</v>
      </c>
    </row>
    <row r="1413" ht="15.75" customHeight="1">
      <c r="A1413" t="str">
        <f t="shared" si="1"/>
        <v>C.muridarum</v>
      </c>
      <c r="B1413" s="5" t="s">
        <v>1425</v>
      </c>
      <c r="C1413" s="6" t="str">
        <f>IFERROR(__xludf.DUMMYFUNCTION("SPLIT('2. c'!B1413, "" "", True, True)"),"Chlamydia")</f>
        <v>Chlamydia</v>
      </c>
      <c r="D1413" t="str">
        <f>IFERROR(__xludf.DUMMYFUNCTION("""COMPUTED_VALUE"""),"muridarum")</f>
        <v>muridarum</v>
      </c>
      <c r="E1413" t="str">
        <f>IFERROR(__xludf.DUMMYFUNCTION("""COMPUTED_VALUE"""),"str.")</f>
        <v>str.</v>
      </c>
      <c r="F1413" t="str">
        <f>IFERROR(__xludf.DUMMYFUNCTION("""COMPUTED_VALUE"""),"Nigg")</f>
        <v>Nigg</v>
      </c>
      <c r="G1413">
        <f>IFERROR(__xludf.DUMMYFUNCTION("""COMPUTED_VALUE"""),2.0)</f>
        <v>2</v>
      </c>
      <c r="H1413" t="str">
        <f>IFERROR(__xludf.DUMMYFUNCTION("""COMPUTED_VALUE"""),"MCR")</f>
        <v>MCR</v>
      </c>
    </row>
    <row r="1414" ht="15.75" customHeight="1">
      <c r="A1414" t="str">
        <f t="shared" si="1"/>
        <v>C.muridarum</v>
      </c>
      <c r="B1414" s="5" t="s">
        <v>1426</v>
      </c>
      <c r="C1414" s="6" t="str">
        <f>IFERROR(__xludf.DUMMYFUNCTION("SPLIT('2. c'!B1414, "" "", True, True)"),"Chlamydia")</f>
        <v>Chlamydia</v>
      </c>
      <c r="D1414" t="str">
        <f>IFERROR(__xludf.DUMMYFUNCTION("""COMPUTED_VALUE"""),"muridarum")</f>
        <v>muridarum</v>
      </c>
      <c r="E1414" t="str">
        <f>IFERROR(__xludf.DUMMYFUNCTION("""COMPUTED_VALUE"""),"str.")</f>
        <v>str.</v>
      </c>
      <c r="F1414" t="str">
        <f>IFERROR(__xludf.DUMMYFUNCTION("""COMPUTED_VALUE"""),"Nigg")</f>
        <v>Nigg</v>
      </c>
      <c r="G1414" t="str">
        <f>IFERROR(__xludf.DUMMYFUNCTION("""COMPUTED_VALUE"""),"CM972")</f>
        <v>CM972</v>
      </c>
    </row>
    <row r="1415" ht="15.75" customHeight="1">
      <c r="A1415" t="str">
        <f t="shared" si="1"/>
        <v>C.muridarum</v>
      </c>
      <c r="B1415" s="5" t="s">
        <v>1427</v>
      </c>
      <c r="C1415" s="6" t="str">
        <f>IFERROR(__xludf.DUMMYFUNCTION("SPLIT('2. c'!B1415, "" "", True, True)"),"Chlamydia")</f>
        <v>Chlamydia</v>
      </c>
      <c r="D1415" t="str">
        <f>IFERROR(__xludf.DUMMYFUNCTION("""COMPUTED_VALUE"""),"muridarum")</f>
        <v>muridarum</v>
      </c>
      <c r="E1415" t="str">
        <f>IFERROR(__xludf.DUMMYFUNCTION("""COMPUTED_VALUE"""),"str.")</f>
        <v>str.</v>
      </c>
      <c r="F1415" t="str">
        <f>IFERROR(__xludf.DUMMYFUNCTION("""COMPUTED_VALUE"""),"Nigg3")</f>
        <v>Nigg3</v>
      </c>
      <c r="G1415" t="str">
        <f>IFERROR(__xludf.DUMMYFUNCTION("""COMPUTED_VALUE"""),"CMUT3-5")</f>
        <v>CMUT3-5</v>
      </c>
    </row>
    <row r="1416" ht="15.75" customHeight="1">
      <c r="A1416" t="str">
        <f t="shared" si="1"/>
        <v>C.muridarum</v>
      </c>
      <c r="B1416" s="5" t="s">
        <v>1428</v>
      </c>
      <c r="C1416" s="6" t="str">
        <f>IFERROR(__xludf.DUMMYFUNCTION("SPLIT('2. c'!B1416, "" "", True, True)"),"Chlamydia")</f>
        <v>Chlamydia</v>
      </c>
      <c r="D1416" t="str">
        <f>IFERROR(__xludf.DUMMYFUNCTION("""COMPUTED_VALUE"""),"muridarum")</f>
        <v>muridarum</v>
      </c>
      <c r="E1416" t="str">
        <f>IFERROR(__xludf.DUMMYFUNCTION("""COMPUTED_VALUE"""),"strain")</f>
        <v>strain</v>
      </c>
      <c r="F1416" t="str">
        <f>IFERROR(__xludf.DUMMYFUNCTION("""COMPUTED_VALUE"""),"Nigg3")</f>
        <v>Nigg3</v>
      </c>
    </row>
    <row r="1417" ht="15.75" customHeight="1">
      <c r="A1417" t="str">
        <f t="shared" si="1"/>
        <v>C.muridarum</v>
      </c>
      <c r="B1417" s="5" t="s">
        <v>1428</v>
      </c>
      <c r="C1417" s="6" t="str">
        <f>IFERROR(__xludf.DUMMYFUNCTION("SPLIT('2. c'!B1417, "" "", True, True)"),"Chlamydia")</f>
        <v>Chlamydia</v>
      </c>
      <c r="D1417" t="str">
        <f>IFERROR(__xludf.DUMMYFUNCTION("""COMPUTED_VALUE"""),"muridarum")</f>
        <v>muridarum</v>
      </c>
      <c r="E1417" t="str">
        <f>IFERROR(__xludf.DUMMYFUNCTION("""COMPUTED_VALUE"""),"strain")</f>
        <v>strain</v>
      </c>
      <c r="F1417" t="str">
        <f>IFERROR(__xludf.DUMMYFUNCTION("""COMPUTED_VALUE"""),"Nigg3")</f>
        <v>Nigg3</v>
      </c>
    </row>
    <row r="1418" ht="15.75" customHeight="1">
      <c r="A1418" t="str">
        <f t="shared" si="1"/>
        <v>C.muridarum</v>
      </c>
      <c r="B1418" s="5" t="s">
        <v>1428</v>
      </c>
      <c r="C1418" s="6" t="str">
        <f>IFERROR(__xludf.DUMMYFUNCTION("SPLIT('2. c'!B1418, "" "", True, True)"),"Chlamydia")</f>
        <v>Chlamydia</v>
      </c>
      <c r="D1418" t="str">
        <f>IFERROR(__xludf.DUMMYFUNCTION("""COMPUTED_VALUE"""),"muridarum")</f>
        <v>muridarum</v>
      </c>
      <c r="E1418" t="str">
        <f>IFERROR(__xludf.DUMMYFUNCTION("""COMPUTED_VALUE"""),"strain")</f>
        <v>strain</v>
      </c>
      <c r="F1418" t="str">
        <f>IFERROR(__xludf.DUMMYFUNCTION("""COMPUTED_VALUE"""),"Nigg3")</f>
        <v>Nigg3</v>
      </c>
    </row>
    <row r="1419" ht="15.75" customHeight="1">
      <c r="A1419" t="str">
        <f t="shared" si="1"/>
        <v>C.pecorum</v>
      </c>
      <c r="B1419" s="5" t="s">
        <v>1429</v>
      </c>
      <c r="C1419" s="6" t="str">
        <f>IFERROR(__xludf.DUMMYFUNCTION("SPLIT('2. c'!B1419, "" "", True, True)"),"Chlamydia")</f>
        <v>Chlamydia</v>
      </c>
      <c r="D1419" t="str">
        <f>IFERROR(__xludf.DUMMYFUNCTION("""COMPUTED_VALUE"""),"pecorum")</f>
        <v>pecorum</v>
      </c>
      <c r="E1419" t="str">
        <f>IFERROR(__xludf.DUMMYFUNCTION("""COMPUTED_VALUE"""),"DBDeUG")</f>
        <v>DBDeUG</v>
      </c>
    </row>
    <row r="1420" ht="15.75" customHeight="1">
      <c r="A1420" t="str">
        <f t="shared" si="1"/>
        <v>C.pecorum</v>
      </c>
      <c r="B1420" s="5" t="s">
        <v>1430</v>
      </c>
      <c r="C1420" s="6" t="str">
        <f>IFERROR(__xludf.DUMMYFUNCTION("SPLIT('2. c'!B1420, "" "", True, True)"),"Chlamydia")</f>
        <v>Chlamydia</v>
      </c>
      <c r="D1420" t="str">
        <f>IFERROR(__xludf.DUMMYFUNCTION("""COMPUTED_VALUE"""),"pecorum")</f>
        <v>pecorum</v>
      </c>
      <c r="E1420" t="str">
        <f>IFERROR(__xludf.DUMMYFUNCTION("""COMPUTED_VALUE"""),"IPTaLE")</f>
        <v>IPTaLE</v>
      </c>
    </row>
    <row r="1421" ht="15.75" customHeight="1">
      <c r="A1421" t="str">
        <f t="shared" si="1"/>
        <v>C.pecorum</v>
      </c>
      <c r="B1421" s="5" t="s">
        <v>1431</v>
      </c>
      <c r="C1421" s="6" t="str">
        <f>IFERROR(__xludf.DUMMYFUNCTION("SPLIT('2. c'!B1421, "" "", True, True)"),"Chlamydia")</f>
        <v>Chlamydia</v>
      </c>
      <c r="D1421" t="str">
        <f>IFERROR(__xludf.DUMMYFUNCTION("""COMPUTED_VALUE"""),"pecorum")</f>
        <v>pecorum</v>
      </c>
      <c r="E1421" t="str">
        <f>IFERROR(__xludf.DUMMYFUNCTION("""COMPUTED_VALUE"""),"MC/MarsBar")</f>
        <v>MC/MarsBar</v>
      </c>
    </row>
    <row r="1422" ht="15.75" customHeight="1">
      <c r="A1422" t="str">
        <f t="shared" si="1"/>
        <v>C.pecorum</v>
      </c>
      <c r="B1422" s="5" t="s">
        <v>1432</v>
      </c>
      <c r="C1422" s="6" t="str">
        <f>IFERROR(__xludf.DUMMYFUNCTION("SPLIT('2. c'!B1422, "" "", True, True)"),"Chlamydia")</f>
        <v>Chlamydia</v>
      </c>
      <c r="D1422" t="str">
        <f>IFERROR(__xludf.DUMMYFUNCTION("""COMPUTED_VALUE"""),"pecorum")</f>
        <v>pecorum</v>
      </c>
      <c r="E1422" t="str">
        <f>IFERROR(__xludf.DUMMYFUNCTION("""COMPUTED_VALUE"""),"P787")</f>
        <v>P787</v>
      </c>
    </row>
    <row r="1423" ht="15.75" customHeight="1">
      <c r="A1423" t="str">
        <f t="shared" si="1"/>
        <v>C.pecorum</v>
      </c>
      <c r="B1423" s="5" t="s">
        <v>1433</v>
      </c>
      <c r="C1423" s="6" t="str">
        <f>IFERROR(__xludf.DUMMYFUNCTION("SPLIT('2. c'!B1423, "" "", True, True)"),"Chlamydia")</f>
        <v>Chlamydia</v>
      </c>
      <c r="D1423" t="str">
        <f>IFERROR(__xludf.DUMMYFUNCTION("""COMPUTED_VALUE"""),"pecorum")</f>
        <v>pecorum</v>
      </c>
      <c r="E1423" t="str">
        <f>IFERROR(__xludf.DUMMYFUNCTION("""COMPUTED_VALUE"""),"PV3056/3")</f>
        <v>PV3056/3</v>
      </c>
    </row>
    <row r="1424" ht="15.75" customHeight="1">
      <c r="A1424" t="str">
        <f t="shared" si="1"/>
        <v>C.pecorum</v>
      </c>
      <c r="B1424" s="5" t="s">
        <v>1434</v>
      </c>
      <c r="C1424" s="6" t="str">
        <f>IFERROR(__xludf.DUMMYFUNCTION("SPLIT('2. c'!B1424, "" "", True, True)"),"Chlamydia")</f>
        <v>Chlamydia</v>
      </c>
      <c r="D1424" t="str">
        <f>IFERROR(__xludf.DUMMYFUNCTION("""COMPUTED_VALUE"""),"pecorum")</f>
        <v>pecorum</v>
      </c>
      <c r="E1424" t="str">
        <f>IFERROR(__xludf.DUMMYFUNCTION("""COMPUTED_VALUE"""),"VR629")</f>
        <v>VR629</v>
      </c>
    </row>
    <row r="1425" ht="15.75" customHeight="1">
      <c r="A1425" t="str">
        <f t="shared" si="1"/>
        <v>C.pecorum</v>
      </c>
      <c r="B1425" s="5" t="s">
        <v>1435</v>
      </c>
      <c r="C1425" s="6" t="str">
        <f>IFERROR(__xludf.DUMMYFUNCTION("SPLIT('2. c'!B1425, "" "", True, True)"),"Chlamydia")</f>
        <v>Chlamydia</v>
      </c>
      <c r="D1425" t="str">
        <f>IFERROR(__xludf.DUMMYFUNCTION("""COMPUTED_VALUE"""),"pecorum")</f>
        <v>pecorum</v>
      </c>
      <c r="E1425" t="str">
        <f>IFERROR(__xludf.DUMMYFUNCTION("""COMPUTED_VALUE"""),"W73")</f>
        <v>W73</v>
      </c>
    </row>
    <row r="1426" ht="15.75" customHeight="1">
      <c r="A1426" t="str">
        <f t="shared" si="1"/>
        <v>C.pneumoniae</v>
      </c>
      <c r="B1426" s="5" t="s">
        <v>1436</v>
      </c>
      <c r="C1426" s="6" t="str">
        <f>IFERROR(__xludf.DUMMYFUNCTION("SPLIT('2. c'!B1426, "" "", True, True)"),"Chlamydia")</f>
        <v>Chlamydia</v>
      </c>
      <c r="D1426" t="str">
        <f>IFERROR(__xludf.DUMMYFUNCTION("""COMPUTED_VALUE"""),"pneumoniae")</f>
        <v>pneumoniae</v>
      </c>
    </row>
    <row r="1427" ht="15.75" customHeight="1">
      <c r="A1427" t="str">
        <f t="shared" si="1"/>
        <v>C.pneumoniae</v>
      </c>
      <c r="B1427" s="5" t="s">
        <v>1436</v>
      </c>
      <c r="C1427" s="6" t="str">
        <f>IFERROR(__xludf.DUMMYFUNCTION("SPLIT('2. c'!B1427, "" "", True, True)"),"Chlamydia")</f>
        <v>Chlamydia</v>
      </c>
      <c r="D1427" t="str">
        <f>IFERROR(__xludf.DUMMYFUNCTION("""COMPUTED_VALUE"""),"pneumoniae")</f>
        <v>pneumoniae</v>
      </c>
    </row>
    <row r="1428" ht="15.75" customHeight="1">
      <c r="A1428" t="str">
        <f t="shared" si="1"/>
        <v>C.pneumoniae</v>
      </c>
      <c r="B1428" s="5" t="s">
        <v>1436</v>
      </c>
      <c r="C1428" s="6" t="str">
        <f>IFERROR(__xludf.DUMMYFUNCTION("SPLIT('2. c'!B1428, "" "", True, True)"),"Chlamydia")</f>
        <v>Chlamydia</v>
      </c>
      <c r="D1428" t="str">
        <f>IFERROR(__xludf.DUMMYFUNCTION("""COMPUTED_VALUE"""),"pneumoniae")</f>
        <v>pneumoniae</v>
      </c>
    </row>
    <row r="1429" ht="15.75" customHeight="1">
      <c r="A1429" t="str">
        <f t="shared" si="1"/>
        <v>C.pneumoniae</v>
      </c>
      <c r="B1429" s="5" t="s">
        <v>1436</v>
      </c>
      <c r="C1429" s="6" t="str">
        <f>IFERROR(__xludf.DUMMYFUNCTION("SPLIT('2. c'!B1429, "" "", True, True)"),"Chlamydia")</f>
        <v>Chlamydia</v>
      </c>
      <c r="D1429" t="str">
        <f>IFERROR(__xludf.DUMMYFUNCTION("""COMPUTED_VALUE"""),"pneumoniae")</f>
        <v>pneumoniae</v>
      </c>
    </row>
    <row r="1430" ht="15.75" customHeight="1">
      <c r="A1430" t="str">
        <f t="shared" si="1"/>
        <v>C.pneumoniae</v>
      </c>
      <c r="B1430" s="5" t="s">
        <v>1436</v>
      </c>
      <c r="C1430" s="6" t="str">
        <f>IFERROR(__xludf.DUMMYFUNCTION("SPLIT('2. c'!B1430, "" "", True, True)"),"Chlamydia")</f>
        <v>Chlamydia</v>
      </c>
      <c r="D1430" t="str">
        <f>IFERROR(__xludf.DUMMYFUNCTION("""COMPUTED_VALUE"""),"pneumoniae")</f>
        <v>pneumoniae</v>
      </c>
    </row>
    <row r="1431" ht="15.75" customHeight="1">
      <c r="A1431" t="str">
        <f t="shared" si="1"/>
        <v>C.pneumoniae</v>
      </c>
      <c r="B1431" s="5" t="s">
        <v>1436</v>
      </c>
      <c r="C1431" s="6" t="str">
        <f>IFERROR(__xludf.DUMMYFUNCTION("SPLIT('2. c'!B1431, "" "", True, True)"),"Chlamydia")</f>
        <v>Chlamydia</v>
      </c>
      <c r="D1431" t="str">
        <f>IFERROR(__xludf.DUMMYFUNCTION("""COMPUTED_VALUE"""),"pneumoniae")</f>
        <v>pneumoniae</v>
      </c>
    </row>
    <row r="1432" ht="15.75" customHeight="1">
      <c r="A1432" t="str">
        <f t="shared" si="1"/>
        <v>C.pneumoniae</v>
      </c>
      <c r="B1432" s="5" t="s">
        <v>1436</v>
      </c>
      <c r="C1432" s="6" t="str">
        <f>IFERROR(__xludf.DUMMYFUNCTION("SPLIT('2. c'!B1432, "" "", True, True)"),"Chlamydia")</f>
        <v>Chlamydia</v>
      </c>
      <c r="D1432" t="str">
        <f>IFERROR(__xludf.DUMMYFUNCTION("""COMPUTED_VALUE"""),"pneumoniae")</f>
        <v>pneumoniae</v>
      </c>
    </row>
    <row r="1433" ht="15.75" customHeight="1">
      <c r="A1433" t="str">
        <f t="shared" si="1"/>
        <v>C.psittaci</v>
      </c>
      <c r="B1433" s="5" t="s">
        <v>1437</v>
      </c>
      <c r="C1433" s="6" t="str">
        <f>IFERROR(__xludf.DUMMYFUNCTION("SPLIT('2. c'!B1433, "" "", True, True)"),"Chlamydia")</f>
        <v>Chlamydia</v>
      </c>
      <c r="D1433" t="str">
        <f>IFERROR(__xludf.DUMMYFUNCTION("""COMPUTED_VALUE"""),"psittaci")</f>
        <v>psittaci</v>
      </c>
      <c r="E1433" t="str">
        <f>IFERROR(__xludf.DUMMYFUNCTION("""COMPUTED_VALUE"""),"01DC11")</f>
        <v>01DC11</v>
      </c>
    </row>
    <row r="1434" ht="15.75" customHeight="1">
      <c r="A1434" t="str">
        <f t="shared" si="1"/>
        <v>C.psittaci</v>
      </c>
      <c r="B1434" s="5" t="s">
        <v>1438</v>
      </c>
      <c r="C1434" s="6" t="str">
        <f>IFERROR(__xludf.DUMMYFUNCTION("SPLIT('2. c'!B1434, "" "", True, True)"),"Chlamydia")</f>
        <v>Chlamydia</v>
      </c>
      <c r="D1434" t="str">
        <f>IFERROR(__xludf.DUMMYFUNCTION("""COMPUTED_VALUE"""),"psittaci")</f>
        <v>psittaci</v>
      </c>
      <c r="E1434" t="str">
        <f>IFERROR(__xludf.DUMMYFUNCTION("""COMPUTED_VALUE"""),"01DC12")</f>
        <v>01DC12</v>
      </c>
    </row>
    <row r="1435" ht="15.75" customHeight="1">
      <c r="A1435" t="str">
        <f t="shared" si="1"/>
        <v>C.psittaci</v>
      </c>
      <c r="B1435" s="5" t="s">
        <v>1439</v>
      </c>
      <c r="C1435" s="6" t="str">
        <f>IFERROR(__xludf.DUMMYFUNCTION("SPLIT('2. c'!B1435, "" "", True, True)"),"Chlamydia")</f>
        <v>Chlamydia</v>
      </c>
      <c r="D1435" t="str">
        <f>IFERROR(__xludf.DUMMYFUNCTION("""COMPUTED_VALUE"""),"psittaci")</f>
        <v>psittaci</v>
      </c>
      <c r="E1435" t="str">
        <f>IFERROR(__xludf.DUMMYFUNCTION("""COMPUTED_VALUE"""),"02DC15")</f>
        <v>02DC15</v>
      </c>
    </row>
    <row r="1436" ht="15.75" customHeight="1">
      <c r="A1436" t="str">
        <f t="shared" si="1"/>
        <v>C.psittaci</v>
      </c>
      <c r="B1436" s="5" t="s">
        <v>1440</v>
      </c>
      <c r="C1436" s="6" t="str">
        <f>IFERROR(__xludf.DUMMYFUNCTION("SPLIT('2. c'!B1436, "" "", True, True)"),"Chlamydia")</f>
        <v>Chlamydia</v>
      </c>
      <c r="D1436" t="str">
        <f>IFERROR(__xludf.DUMMYFUNCTION("""COMPUTED_VALUE"""),"psittaci")</f>
        <v>psittaci</v>
      </c>
      <c r="E1436" t="str">
        <f>IFERROR(__xludf.DUMMYFUNCTION("""COMPUTED_VALUE"""),"08DC60")</f>
        <v>08DC60</v>
      </c>
    </row>
    <row r="1437" ht="15.75" customHeight="1">
      <c r="A1437" t="str">
        <f t="shared" si="1"/>
        <v>C.psittaci</v>
      </c>
      <c r="B1437" s="5" t="s">
        <v>1441</v>
      </c>
      <c r="C1437" s="6" t="str">
        <f>IFERROR(__xludf.DUMMYFUNCTION("SPLIT('2. c'!B1437, "" "", True, True)"),"Chlamydia")</f>
        <v>Chlamydia</v>
      </c>
      <c r="D1437" t="str">
        <f>IFERROR(__xludf.DUMMYFUNCTION("""COMPUTED_VALUE"""),"psittaci")</f>
        <v>psittaci</v>
      </c>
      <c r="E1437" t="str">
        <f>IFERROR(__xludf.DUMMYFUNCTION("""COMPUTED_VALUE"""),"84/55")</f>
        <v>84/55</v>
      </c>
    </row>
    <row r="1438" ht="15.75" customHeight="1">
      <c r="A1438" t="str">
        <f t="shared" si="1"/>
        <v>C.psittaci</v>
      </c>
      <c r="B1438" s="5" t="s">
        <v>1442</v>
      </c>
      <c r="C1438" s="6" t="str">
        <f>IFERROR(__xludf.DUMMYFUNCTION("SPLIT('2. c'!B1438, "" "", True, True)"),"Chlamydia")</f>
        <v>Chlamydia</v>
      </c>
      <c r="D1438" t="str">
        <f>IFERROR(__xludf.DUMMYFUNCTION("""COMPUTED_VALUE"""),"psittaci")</f>
        <v>psittaci</v>
      </c>
      <c r="E1438" t="str">
        <f>IFERROR(__xludf.DUMMYFUNCTION("""COMPUTED_VALUE"""),"C19/98")</f>
        <v>C19/98</v>
      </c>
    </row>
    <row r="1439" ht="15.75" customHeight="1">
      <c r="A1439" t="str">
        <f t="shared" si="1"/>
        <v>C.psittaci</v>
      </c>
      <c r="B1439" s="5" t="s">
        <v>1443</v>
      </c>
      <c r="C1439" s="6" t="str">
        <f>IFERROR(__xludf.DUMMYFUNCTION("SPLIT('2. c'!B1439, "" "", True, True)"),"Chlamydia")</f>
        <v>Chlamydia</v>
      </c>
      <c r="D1439" t="str">
        <f>IFERROR(__xludf.DUMMYFUNCTION("""COMPUTED_VALUE"""),"psittaci")</f>
        <v>psittaci</v>
      </c>
      <c r="E1439" t="str">
        <f>IFERROR(__xludf.DUMMYFUNCTION("""COMPUTED_VALUE"""),"CP3")</f>
        <v>CP3</v>
      </c>
    </row>
    <row r="1440" ht="15.75" customHeight="1">
      <c r="A1440" t="str">
        <f t="shared" si="1"/>
        <v>C.psittaci</v>
      </c>
      <c r="B1440" s="5" t="s">
        <v>1444</v>
      </c>
      <c r="C1440" s="6" t="str">
        <f>IFERROR(__xludf.DUMMYFUNCTION("SPLIT('2. c'!B1440, "" "", True, True)"),"Chlamydia")</f>
        <v>Chlamydia</v>
      </c>
      <c r="D1440" t="str">
        <f>IFERROR(__xludf.DUMMYFUNCTION("""COMPUTED_VALUE"""),"psittaci")</f>
        <v>psittaci</v>
      </c>
      <c r="E1440" t="str">
        <f>IFERROR(__xludf.DUMMYFUNCTION("""COMPUTED_VALUE"""),"GR9")</f>
        <v>GR9</v>
      </c>
    </row>
    <row r="1441" ht="15.75" customHeight="1">
      <c r="A1441" t="str">
        <f t="shared" si="1"/>
        <v>C.psittaci</v>
      </c>
      <c r="B1441" s="5" t="s">
        <v>1445</v>
      </c>
      <c r="C1441" s="6" t="str">
        <f>IFERROR(__xludf.DUMMYFUNCTION("SPLIT('2. c'!B1441, "" "", True, True)"),"Chlamydia")</f>
        <v>Chlamydia</v>
      </c>
      <c r="D1441" t="str">
        <f>IFERROR(__xludf.DUMMYFUNCTION("""COMPUTED_VALUE"""),"psittaci")</f>
        <v>psittaci</v>
      </c>
      <c r="E1441" t="str">
        <f>IFERROR(__xludf.DUMMYFUNCTION("""COMPUTED_VALUE"""),"M56")</f>
        <v>M56</v>
      </c>
    </row>
    <row r="1442" ht="15.75" customHeight="1">
      <c r="A1442" t="str">
        <f t="shared" si="1"/>
        <v>C.psittaci</v>
      </c>
      <c r="B1442" s="5" t="s">
        <v>1446</v>
      </c>
      <c r="C1442" s="6" t="str">
        <f>IFERROR(__xludf.DUMMYFUNCTION("SPLIT('2. c'!B1442, "" "", True, True)"),"Chlamydia")</f>
        <v>Chlamydia</v>
      </c>
      <c r="D1442" t="str">
        <f>IFERROR(__xludf.DUMMYFUNCTION("""COMPUTED_VALUE"""),"psittaci")</f>
        <v>psittaci</v>
      </c>
      <c r="E1442" t="str">
        <f>IFERROR(__xludf.DUMMYFUNCTION("""COMPUTED_VALUE"""),"MN")</f>
        <v>MN</v>
      </c>
    </row>
    <row r="1443" ht="15.75" customHeight="1">
      <c r="A1443" t="str">
        <f t="shared" si="1"/>
        <v>C.psittaci</v>
      </c>
      <c r="B1443" s="5" t="s">
        <v>1447</v>
      </c>
      <c r="C1443" s="6" t="str">
        <f>IFERROR(__xludf.DUMMYFUNCTION("SPLIT('2. c'!B1443, "" "", True, True)"),"Chlamydia")</f>
        <v>Chlamydia</v>
      </c>
      <c r="D1443" t="str">
        <f>IFERROR(__xludf.DUMMYFUNCTION("""COMPUTED_VALUE"""),"psittaci")</f>
        <v>psittaci</v>
      </c>
      <c r="E1443" t="str">
        <f>IFERROR(__xludf.DUMMYFUNCTION("""COMPUTED_VALUE"""),"NJ1")</f>
        <v>NJ1</v>
      </c>
    </row>
    <row r="1444" ht="15.75" customHeight="1">
      <c r="A1444" t="str">
        <f t="shared" si="1"/>
        <v>C.psittaci</v>
      </c>
      <c r="B1444" s="5" t="s">
        <v>1448</v>
      </c>
      <c r="C1444" s="6" t="str">
        <f>IFERROR(__xludf.DUMMYFUNCTION("SPLIT('2. c'!B1444, "" "", True, True)"),"Chlamydia")</f>
        <v>Chlamydia</v>
      </c>
      <c r="D1444" t="str">
        <f>IFERROR(__xludf.DUMMYFUNCTION("""COMPUTED_VALUE"""),"psittaci")</f>
        <v>psittaci</v>
      </c>
      <c r="E1444" t="str">
        <f>IFERROR(__xludf.DUMMYFUNCTION("""COMPUTED_VALUE"""),"VS225")</f>
        <v>VS225</v>
      </c>
    </row>
    <row r="1445" ht="15.75" customHeight="1">
      <c r="A1445" t="str">
        <f t="shared" si="1"/>
        <v>C.psittaci</v>
      </c>
      <c r="B1445" s="5" t="s">
        <v>1449</v>
      </c>
      <c r="C1445" s="6" t="str">
        <f>IFERROR(__xludf.DUMMYFUNCTION("SPLIT('2. c'!B1445, "" "", True, True)"),"Chlamydia")</f>
        <v>Chlamydia</v>
      </c>
      <c r="D1445" t="str">
        <f>IFERROR(__xludf.DUMMYFUNCTION("""COMPUTED_VALUE"""),"psittaci")</f>
        <v>psittaci</v>
      </c>
      <c r="E1445" t="str">
        <f>IFERROR(__xludf.DUMMYFUNCTION("""COMPUTED_VALUE"""),"WC")</f>
        <v>WC</v>
      </c>
    </row>
    <row r="1446" ht="15.75" customHeight="1">
      <c r="A1446" t="str">
        <f t="shared" si="1"/>
        <v>C.psittaci</v>
      </c>
      <c r="B1446" s="5" t="s">
        <v>1450</v>
      </c>
      <c r="C1446" s="6" t="str">
        <f>IFERROR(__xludf.DUMMYFUNCTION("SPLIT('2. c'!B1446, "" "", True, True)"),"Chlamydia")</f>
        <v>Chlamydia</v>
      </c>
      <c r="D1446" t="str">
        <f>IFERROR(__xludf.DUMMYFUNCTION("""COMPUTED_VALUE"""),"psittaci")</f>
        <v>psittaci</v>
      </c>
      <c r="E1446" t="str">
        <f>IFERROR(__xludf.DUMMYFUNCTION("""COMPUTED_VALUE"""),"WS/RT/E30")</f>
        <v>WS/RT/E30</v>
      </c>
    </row>
    <row r="1447" ht="15.75" customHeight="1">
      <c r="A1447" t="str">
        <f t="shared" si="1"/>
        <v>C.sp.</v>
      </c>
      <c r="B1447" s="5" t="s">
        <v>1451</v>
      </c>
      <c r="C1447" s="6" t="str">
        <f>IFERROR(__xludf.DUMMYFUNCTION("SPLIT('2. c'!B1447, "" "", True, True)"),"Chlamydia")</f>
        <v>Chlamydia</v>
      </c>
      <c r="D1447" t="str">
        <f>IFERROR(__xludf.DUMMYFUNCTION("""COMPUTED_VALUE"""),"sp.")</f>
        <v>sp.</v>
      </c>
      <c r="E1447" t="str">
        <f>IFERROR(__xludf.DUMMYFUNCTION("""COMPUTED_VALUE"""),"10DC88")</f>
        <v>10DC88</v>
      </c>
    </row>
    <row r="1448" ht="15.75" customHeight="1">
      <c r="A1448" t="str">
        <f t="shared" si="1"/>
        <v>C.sp.</v>
      </c>
      <c r="B1448" s="5" t="s">
        <v>1452</v>
      </c>
      <c r="C1448" s="6" t="str">
        <f>IFERROR(__xludf.DUMMYFUNCTION("SPLIT('2. c'!B1448, "" "", True, True)"),"Chlamydia")</f>
        <v>Chlamydia</v>
      </c>
      <c r="D1448" t="str">
        <f>IFERROR(__xludf.DUMMYFUNCTION("""COMPUTED_VALUE"""),"sp.")</f>
        <v>sp.</v>
      </c>
      <c r="E1448" t="str">
        <f>IFERROR(__xludf.DUMMYFUNCTION("""COMPUTED_VALUE"""),"2742-308")</f>
        <v>2742-308</v>
      </c>
    </row>
    <row r="1449" ht="15.75" customHeight="1">
      <c r="A1449" t="str">
        <f t="shared" si="1"/>
        <v>C.trachomatis</v>
      </c>
      <c r="B1449" s="5" t="s">
        <v>1453</v>
      </c>
      <c r="C1449" s="6" t="str">
        <f>IFERROR(__xludf.DUMMYFUNCTION("SPLIT('2. c'!B1449, "" "", True, True)"),"Chlamydia")</f>
        <v>Chlamydia</v>
      </c>
      <c r="D1449" t="str">
        <f>IFERROR(__xludf.DUMMYFUNCTION("""COMPUTED_VALUE"""),"trachomatis")</f>
        <v>trachomatis</v>
      </c>
    </row>
    <row r="1450" ht="15.75" customHeight="1">
      <c r="A1450" t="str">
        <f t="shared" si="1"/>
        <v>C.trachomatis</v>
      </c>
      <c r="B1450" s="5" t="s">
        <v>1453</v>
      </c>
      <c r="C1450" s="6" t="str">
        <f>IFERROR(__xludf.DUMMYFUNCTION("SPLIT('2. c'!B1450, "" "", True, True)"),"Chlamydia")</f>
        <v>Chlamydia</v>
      </c>
      <c r="D1450" t="str">
        <f>IFERROR(__xludf.DUMMYFUNCTION("""COMPUTED_VALUE"""),"trachomatis")</f>
        <v>trachomatis</v>
      </c>
    </row>
    <row r="1451" ht="15.75" customHeight="1">
      <c r="A1451" t="str">
        <f t="shared" si="1"/>
        <v>C.trachomatis</v>
      </c>
      <c r="B1451" s="5" t="s">
        <v>1453</v>
      </c>
      <c r="C1451" s="6" t="str">
        <f>IFERROR(__xludf.DUMMYFUNCTION("SPLIT('2. c'!B1451, "" "", True, True)"),"Chlamydia")</f>
        <v>Chlamydia</v>
      </c>
      <c r="D1451" t="str">
        <f>IFERROR(__xludf.DUMMYFUNCTION("""COMPUTED_VALUE"""),"trachomatis")</f>
        <v>trachomatis</v>
      </c>
    </row>
    <row r="1452" ht="15.75" customHeight="1">
      <c r="A1452" t="str">
        <f t="shared" si="1"/>
        <v>C.trachomatis</v>
      </c>
      <c r="B1452" s="5" t="s">
        <v>1453</v>
      </c>
      <c r="C1452" s="6" t="str">
        <f>IFERROR(__xludf.DUMMYFUNCTION("SPLIT('2. c'!B1452, "" "", True, True)"),"Chlamydia")</f>
        <v>Chlamydia</v>
      </c>
      <c r="D1452" t="str">
        <f>IFERROR(__xludf.DUMMYFUNCTION("""COMPUTED_VALUE"""),"trachomatis")</f>
        <v>trachomatis</v>
      </c>
    </row>
    <row r="1453" ht="15.75" customHeight="1">
      <c r="A1453" t="str">
        <f t="shared" si="1"/>
        <v>C.trachomatis</v>
      </c>
      <c r="B1453" s="5" t="s">
        <v>1453</v>
      </c>
      <c r="C1453" s="6" t="str">
        <f>IFERROR(__xludf.DUMMYFUNCTION("SPLIT('2. c'!B1453, "" "", True, True)"),"Chlamydia")</f>
        <v>Chlamydia</v>
      </c>
      <c r="D1453" t="str">
        <f>IFERROR(__xludf.DUMMYFUNCTION("""COMPUTED_VALUE"""),"trachomatis")</f>
        <v>trachomatis</v>
      </c>
    </row>
    <row r="1454" ht="15.75" customHeight="1">
      <c r="A1454" t="str">
        <f t="shared" si="1"/>
        <v>C.trachomatis</v>
      </c>
      <c r="B1454" s="5" t="s">
        <v>1453</v>
      </c>
      <c r="C1454" s="6" t="str">
        <f>IFERROR(__xludf.DUMMYFUNCTION("SPLIT('2. c'!B1454, "" "", True, True)"),"Chlamydia")</f>
        <v>Chlamydia</v>
      </c>
      <c r="D1454" t="str">
        <f>IFERROR(__xludf.DUMMYFUNCTION("""COMPUTED_VALUE"""),"trachomatis")</f>
        <v>trachomatis</v>
      </c>
    </row>
    <row r="1455" ht="15.75" customHeight="1">
      <c r="A1455" t="str">
        <f t="shared" si="1"/>
        <v>C.trachomatis</v>
      </c>
      <c r="B1455" s="5" t="s">
        <v>1453</v>
      </c>
      <c r="C1455" s="6" t="str">
        <f>IFERROR(__xludf.DUMMYFUNCTION("SPLIT('2. c'!B1455, "" "", True, True)"),"Chlamydia")</f>
        <v>Chlamydia</v>
      </c>
      <c r="D1455" t="str">
        <f>IFERROR(__xludf.DUMMYFUNCTION("""COMPUTED_VALUE"""),"trachomatis")</f>
        <v>trachomatis</v>
      </c>
    </row>
    <row r="1456" ht="15.75" customHeight="1">
      <c r="A1456" t="str">
        <f t="shared" si="1"/>
        <v>C.trachomatis</v>
      </c>
      <c r="B1456" s="5" t="s">
        <v>1453</v>
      </c>
      <c r="C1456" s="6" t="str">
        <f>IFERROR(__xludf.DUMMYFUNCTION("SPLIT('2. c'!B1456, "" "", True, True)"),"Chlamydia")</f>
        <v>Chlamydia</v>
      </c>
      <c r="D1456" t="str">
        <f>IFERROR(__xludf.DUMMYFUNCTION("""COMPUTED_VALUE"""),"trachomatis")</f>
        <v>trachomatis</v>
      </c>
    </row>
    <row r="1457" ht="15.75" customHeight="1">
      <c r="A1457" t="str">
        <f t="shared" si="1"/>
        <v>C.trachomatis</v>
      </c>
      <c r="B1457" s="5" t="s">
        <v>1453</v>
      </c>
      <c r="C1457" s="6" t="str">
        <f>IFERROR(__xludf.DUMMYFUNCTION("SPLIT('2. c'!B1457, "" "", True, True)"),"Chlamydia")</f>
        <v>Chlamydia</v>
      </c>
      <c r="D1457" t="str">
        <f>IFERROR(__xludf.DUMMYFUNCTION("""COMPUTED_VALUE"""),"trachomatis")</f>
        <v>trachomatis</v>
      </c>
    </row>
    <row r="1458" ht="15.75" customHeight="1">
      <c r="A1458" t="str">
        <f t="shared" si="1"/>
        <v>C.trachomatis</v>
      </c>
      <c r="B1458" s="5" t="s">
        <v>1454</v>
      </c>
      <c r="C1458" s="6" t="str">
        <f>IFERROR(__xludf.DUMMYFUNCTION("SPLIT('2. c'!B1458, "" "", True, True)"),"Chlamydia")</f>
        <v>Chlamydia</v>
      </c>
      <c r="D1458" t="str">
        <f>IFERROR(__xludf.DUMMYFUNCTION("""COMPUTED_VALUE"""),"trachomatis")</f>
        <v>trachomatis</v>
      </c>
      <c r="E1458" t="str">
        <f>IFERROR(__xludf.DUMMYFUNCTION("""COMPUTED_VALUE"""),"434/Bu")</f>
        <v>434/Bu</v>
      </c>
    </row>
    <row r="1459" ht="15.75" customHeight="1">
      <c r="A1459" t="str">
        <f t="shared" si="1"/>
        <v>C.trachomatis</v>
      </c>
      <c r="B1459" s="5" t="s">
        <v>1455</v>
      </c>
      <c r="C1459" s="6" t="str">
        <f>IFERROR(__xludf.DUMMYFUNCTION("SPLIT('2. c'!B1459, "" "", True, True)"),"Chlamydia")</f>
        <v>Chlamydia</v>
      </c>
      <c r="D1459" t="str">
        <f>IFERROR(__xludf.DUMMYFUNCTION("""COMPUTED_VALUE"""),"trachomatis")</f>
        <v>trachomatis</v>
      </c>
      <c r="E1459" t="str">
        <f>IFERROR(__xludf.DUMMYFUNCTION("""COMPUTED_VALUE"""),"A/363")</f>
        <v>A/363</v>
      </c>
    </row>
    <row r="1460" ht="15.75" customHeight="1">
      <c r="A1460" t="str">
        <f t="shared" si="1"/>
        <v>C.trachomatis</v>
      </c>
      <c r="B1460" s="5" t="s">
        <v>1456</v>
      </c>
      <c r="C1460" s="6" t="str">
        <f>IFERROR(__xludf.DUMMYFUNCTION("SPLIT('2. c'!B1460, "" "", True, True)"),"Chlamydia")</f>
        <v>Chlamydia</v>
      </c>
      <c r="D1460" t="str">
        <f>IFERROR(__xludf.DUMMYFUNCTION("""COMPUTED_VALUE"""),"trachomatis")</f>
        <v>trachomatis</v>
      </c>
      <c r="E1460" t="str">
        <f>IFERROR(__xludf.DUMMYFUNCTION("""COMPUTED_VALUE"""),"A/5291")</f>
        <v>A/5291</v>
      </c>
    </row>
    <row r="1461" ht="15.75" customHeight="1">
      <c r="A1461" t="str">
        <f t="shared" si="1"/>
        <v>C.trachomatis</v>
      </c>
      <c r="B1461" s="5" t="s">
        <v>1457</v>
      </c>
      <c r="C1461" s="6" t="str">
        <f>IFERROR(__xludf.DUMMYFUNCTION("SPLIT('2. c'!B1461, "" "", True, True)"),"Chlamydia")</f>
        <v>Chlamydia</v>
      </c>
      <c r="D1461" t="str">
        <f>IFERROR(__xludf.DUMMYFUNCTION("""COMPUTED_VALUE"""),"trachomatis")</f>
        <v>trachomatis</v>
      </c>
      <c r="E1461" t="str">
        <f>IFERROR(__xludf.DUMMYFUNCTION("""COMPUTED_VALUE"""),"A/7249")</f>
        <v>A/7249</v>
      </c>
    </row>
    <row r="1462" ht="15.75" customHeight="1">
      <c r="A1462" t="str">
        <f t="shared" si="1"/>
        <v>C.trachomatis</v>
      </c>
      <c r="B1462" s="5" t="s">
        <v>1458</v>
      </c>
      <c r="C1462" s="6" t="str">
        <f>IFERROR(__xludf.DUMMYFUNCTION("SPLIT('2. c'!B1462, "" "", True, True)"),"Chlamydia")</f>
        <v>Chlamydia</v>
      </c>
      <c r="D1462" t="str">
        <f>IFERROR(__xludf.DUMMYFUNCTION("""COMPUTED_VALUE"""),"trachomatis")</f>
        <v>trachomatis</v>
      </c>
      <c r="E1462" t="str">
        <f>IFERROR(__xludf.DUMMYFUNCTION("""COMPUTED_VALUE"""),"A/HAR-13")</f>
        <v>A/HAR-13</v>
      </c>
    </row>
    <row r="1463" ht="15.75" customHeight="1">
      <c r="A1463" t="str">
        <f t="shared" si="1"/>
        <v>C.trachomatis</v>
      </c>
      <c r="B1463" s="5" t="s">
        <v>1459</v>
      </c>
      <c r="C1463" s="6" t="str">
        <f>IFERROR(__xludf.DUMMYFUNCTION("SPLIT('2. c'!B1463, "" "", True, True)"),"Chlamydia")</f>
        <v>Chlamydia</v>
      </c>
      <c r="D1463" t="str">
        <f>IFERROR(__xludf.DUMMYFUNCTION("""COMPUTED_VALUE"""),"trachomatis")</f>
        <v>trachomatis</v>
      </c>
      <c r="E1463" t="str">
        <f>IFERROR(__xludf.DUMMYFUNCTION("""COMPUTED_VALUE"""),"A2497")</f>
        <v>A2497</v>
      </c>
    </row>
    <row r="1464" ht="15.75" customHeight="1">
      <c r="A1464" t="str">
        <f t="shared" si="1"/>
        <v>C.trachomatis</v>
      </c>
      <c r="B1464" s="5" t="s">
        <v>1459</v>
      </c>
      <c r="C1464" s="6" t="str">
        <f>IFERROR(__xludf.DUMMYFUNCTION("SPLIT('2. c'!B1464, "" "", True, True)"),"Chlamydia")</f>
        <v>Chlamydia</v>
      </c>
      <c r="D1464" t="str">
        <f>IFERROR(__xludf.DUMMYFUNCTION("""COMPUTED_VALUE"""),"trachomatis")</f>
        <v>trachomatis</v>
      </c>
      <c r="E1464" t="str">
        <f>IFERROR(__xludf.DUMMYFUNCTION("""COMPUTED_VALUE"""),"A2497")</f>
        <v>A2497</v>
      </c>
    </row>
    <row r="1465" ht="15.75" customHeight="1">
      <c r="A1465" t="str">
        <f t="shared" si="1"/>
        <v>C.trachomatis</v>
      </c>
      <c r="B1465" s="5" t="s">
        <v>1460</v>
      </c>
      <c r="C1465" s="6" t="str">
        <f>IFERROR(__xludf.DUMMYFUNCTION("SPLIT('2. c'!B1465, "" "", True, True)"),"Chlamydia")</f>
        <v>Chlamydia</v>
      </c>
      <c r="D1465" t="str">
        <f>IFERROR(__xludf.DUMMYFUNCTION("""COMPUTED_VALUE"""),"trachomatis")</f>
        <v>trachomatis</v>
      </c>
      <c r="E1465" t="str">
        <f>IFERROR(__xludf.DUMMYFUNCTION("""COMPUTED_VALUE"""),"B/Jali20/OT")</f>
        <v>B/Jali20/OT</v>
      </c>
    </row>
    <row r="1466" ht="15.75" customHeight="1">
      <c r="A1466" t="str">
        <f t="shared" si="1"/>
        <v>C.trachomatis</v>
      </c>
      <c r="B1466" s="5" t="s">
        <v>1461</v>
      </c>
      <c r="C1466" s="6" t="str">
        <f>IFERROR(__xludf.DUMMYFUNCTION("SPLIT('2. c'!B1466, "" "", True, True)"),"Chlamydia")</f>
        <v>Chlamydia</v>
      </c>
      <c r="D1466" t="str">
        <f>IFERROR(__xludf.DUMMYFUNCTION("""COMPUTED_VALUE"""),"trachomatis")</f>
        <v>trachomatis</v>
      </c>
      <c r="E1466" t="str">
        <f>IFERROR(__xludf.DUMMYFUNCTION("""COMPUTED_VALUE"""),"C/TW-3")</f>
        <v>C/TW-3</v>
      </c>
    </row>
    <row r="1467" ht="15.75" customHeight="1">
      <c r="A1467" t="str">
        <f t="shared" si="1"/>
        <v>C.trachomatis</v>
      </c>
      <c r="B1467" s="5" t="s">
        <v>1462</v>
      </c>
      <c r="C1467" s="6" t="str">
        <f>IFERROR(__xludf.DUMMYFUNCTION("SPLIT('2. c'!B1467, "" "", True, True)"),"Chlamydia")</f>
        <v>Chlamydia</v>
      </c>
      <c r="D1467" t="str">
        <f>IFERROR(__xludf.DUMMYFUNCTION("""COMPUTED_VALUE"""),"trachomatis")</f>
        <v>trachomatis</v>
      </c>
      <c r="E1467" t="str">
        <f>IFERROR(__xludf.DUMMYFUNCTION("""COMPUTED_VALUE"""),"D/CS637/11")</f>
        <v>D/CS637/11</v>
      </c>
    </row>
    <row r="1468" ht="15.75" customHeight="1">
      <c r="A1468" t="str">
        <f t="shared" si="1"/>
        <v>C.trachomatis</v>
      </c>
      <c r="B1468" s="5" t="s">
        <v>1463</v>
      </c>
      <c r="C1468" s="6" t="str">
        <f>IFERROR(__xludf.DUMMYFUNCTION("SPLIT('2. c'!B1468, "" "", True, True)"),"Chlamydia")</f>
        <v>Chlamydia</v>
      </c>
      <c r="D1468" t="str">
        <f>IFERROR(__xludf.DUMMYFUNCTION("""COMPUTED_VALUE"""),"trachomatis")</f>
        <v>trachomatis</v>
      </c>
      <c r="E1468" t="str">
        <f>IFERROR(__xludf.DUMMYFUNCTION("""COMPUTED_VALUE"""),"D/SotonD1")</f>
        <v>D/SotonD1</v>
      </c>
    </row>
    <row r="1469" ht="15.75" customHeight="1">
      <c r="A1469" t="str">
        <f t="shared" si="1"/>
        <v>C.trachomatis</v>
      </c>
      <c r="B1469" s="5" t="s">
        <v>1464</v>
      </c>
      <c r="C1469" s="6" t="str">
        <f>IFERROR(__xludf.DUMMYFUNCTION("SPLIT('2. c'!B1469, "" "", True, True)"),"Chlamydia")</f>
        <v>Chlamydia</v>
      </c>
      <c r="D1469" t="str">
        <f>IFERROR(__xludf.DUMMYFUNCTION("""COMPUTED_VALUE"""),"trachomatis")</f>
        <v>trachomatis</v>
      </c>
      <c r="E1469" t="str">
        <f>IFERROR(__xludf.DUMMYFUNCTION("""COMPUTED_VALUE"""),"D/SotonD5")</f>
        <v>D/SotonD5</v>
      </c>
    </row>
    <row r="1470" ht="15.75" customHeight="1">
      <c r="A1470" t="str">
        <f t="shared" si="1"/>
        <v>C.trachomatis</v>
      </c>
      <c r="B1470" s="5" t="s">
        <v>1465</v>
      </c>
      <c r="C1470" s="6" t="str">
        <f>IFERROR(__xludf.DUMMYFUNCTION("SPLIT('2. c'!B1470, "" "", True, True)"),"Chlamydia")</f>
        <v>Chlamydia</v>
      </c>
      <c r="D1470" t="str">
        <f>IFERROR(__xludf.DUMMYFUNCTION("""COMPUTED_VALUE"""),"trachomatis")</f>
        <v>trachomatis</v>
      </c>
      <c r="E1470" t="str">
        <f>IFERROR(__xludf.DUMMYFUNCTION("""COMPUTED_VALUE"""),"D/SotonD6")</f>
        <v>D/SotonD6</v>
      </c>
    </row>
    <row r="1471" ht="15.75" customHeight="1">
      <c r="A1471" t="str">
        <f t="shared" si="1"/>
        <v>C.trachomatis</v>
      </c>
      <c r="B1471" s="5" t="s">
        <v>1466</v>
      </c>
      <c r="C1471" s="6" t="str">
        <f>IFERROR(__xludf.DUMMYFUNCTION("SPLIT('2. c'!B1471, "" "", True, True)"),"Chlamydia")</f>
        <v>Chlamydia</v>
      </c>
      <c r="D1471" t="str">
        <f>IFERROR(__xludf.DUMMYFUNCTION("""COMPUTED_VALUE"""),"trachomatis")</f>
        <v>trachomatis</v>
      </c>
      <c r="E1471" t="str">
        <f>IFERROR(__xludf.DUMMYFUNCTION("""COMPUTED_VALUE"""),"D/UW-3/CX")</f>
        <v>D/UW-3/CX</v>
      </c>
    </row>
    <row r="1472" ht="15.75" customHeight="1">
      <c r="A1472" t="str">
        <f t="shared" si="1"/>
        <v>C.trachomatis</v>
      </c>
      <c r="B1472" s="5" t="s">
        <v>1467</v>
      </c>
      <c r="C1472" s="6" t="str">
        <f>IFERROR(__xludf.DUMMYFUNCTION("SPLIT('2. c'!B1472, "" "", True, True)"),"Chlamydia")</f>
        <v>Chlamydia</v>
      </c>
      <c r="D1472" t="str">
        <f>IFERROR(__xludf.DUMMYFUNCTION("""COMPUTED_VALUE"""),"trachomatis")</f>
        <v>trachomatis</v>
      </c>
      <c r="E1472" t="str">
        <f>IFERROR(__xludf.DUMMYFUNCTION("""COMPUTED_VALUE"""),"D-EC")</f>
        <v>D-EC</v>
      </c>
    </row>
    <row r="1473" ht="15.75" customHeight="1">
      <c r="A1473" t="str">
        <f t="shared" si="1"/>
        <v>C.trachomatis</v>
      </c>
      <c r="B1473" s="5" t="s">
        <v>1468</v>
      </c>
      <c r="C1473" s="6" t="str">
        <f>IFERROR(__xludf.DUMMYFUNCTION("SPLIT('2. c'!B1473, "" "", True, True)"),"Chlamydia")</f>
        <v>Chlamydia</v>
      </c>
      <c r="D1473" t="str">
        <f>IFERROR(__xludf.DUMMYFUNCTION("""COMPUTED_VALUE"""),"trachomatis")</f>
        <v>trachomatis</v>
      </c>
      <c r="E1473" t="str">
        <f>IFERROR(__xludf.DUMMYFUNCTION("""COMPUTED_VALUE"""),"D-LC")</f>
        <v>D-LC</v>
      </c>
    </row>
    <row r="1474" ht="15.75" customHeight="1">
      <c r="A1474" t="str">
        <f t="shared" si="1"/>
        <v>C.trachomatis</v>
      </c>
      <c r="B1474" s="5" t="s">
        <v>1469</v>
      </c>
      <c r="C1474" s="6" t="str">
        <f>IFERROR(__xludf.DUMMYFUNCTION("SPLIT('2. c'!B1474, "" "", True, True)"),"Chlamydia")</f>
        <v>Chlamydia</v>
      </c>
      <c r="D1474" t="str">
        <f>IFERROR(__xludf.DUMMYFUNCTION("""COMPUTED_VALUE"""),"trachomatis")</f>
        <v>trachomatis</v>
      </c>
      <c r="E1474" t="str">
        <f>IFERROR(__xludf.DUMMYFUNCTION("""COMPUTED_VALUE"""),"E/11023")</f>
        <v>E/11023</v>
      </c>
    </row>
    <row r="1475" ht="15.75" customHeight="1">
      <c r="A1475" t="str">
        <f t="shared" si="1"/>
        <v>C.trachomatis</v>
      </c>
      <c r="B1475" s="5" t="s">
        <v>1470</v>
      </c>
      <c r="C1475" s="6" t="str">
        <f>IFERROR(__xludf.DUMMYFUNCTION("SPLIT('2. c'!B1475, "" "", True, True)"),"Chlamydia")</f>
        <v>Chlamydia</v>
      </c>
      <c r="D1475" t="str">
        <f>IFERROR(__xludf.DUMMYFUNCTION("""COMPUTED_VALUE"""),"trachomatis")</f>
        <v>trachomatis</v>
      </c>
      <c r="E1475" t="str">
        <f>IFERROR(__xludf.DUMMYFUNCTION("""COMPUTED_VALUE"""),"E/150")</f>
        <v>E/150</v>
      </c>
    </row>
    <row r="1476" ht="15.75" customHeight="1">
      <c r="A1476" t="str">
        <f t="shared" si="1"/>
        <v>C.trachomatis</v>
      </c>
      <c r="B1476" s="5" t="s">
        <v>1471</v>
      </c>
      <c r="C1476" s="6" t="str">
        <f>IFERROR(__xludf.DUMMYFUNCTION("SPLIT('2. c'!B1476, "" "", True, True)"),"Chlamydia")</f>
        <v>Chlamydia</v>
      </c>
      <c r="D1476" t="str">
        <f>IFERROR(__xludf.DUMMYFUNCTION("""COMPUTED_VALUE"""),"trachomatis")</f>
        <v>trachomatis</v>
      </c>
      <c r="E1476" t="str">
        <f>IFERROR(__xludf.DUMMYFUNCTION("""COMPUTED_VALUE"""),"E/Bour")</f>
        <v>E/Bour</v>
      </c>
    </row>
    <row r="1477" ht="15.75" customHeight="1">
      <c r="A1477" t="str">
        <f t="shared" si="1"/>
        <v>C.trachomatis</v>
      </c>
      <c r="B1477" s="5" t="s">
        <v>1472</v>
      </c>
      <c r="C1477" s="6" t="str">
        <f>IFERROR(__xludf.DUMMYFUNCTION("SPLIT('2. c'!B1477, "" "", True, True)"),"Chlamydia")</f>
        <v>Chlamydia</v>
      </c>
      <c r="D1477" t="str">
        <f>IFERROR(__xludf.DUMMYFUNCTION("""COMPUTED_VALUE"""),"trachomatis")</f>
        <v>trachomatis</v>
      </c>
      <c r="E1477" t="str">
        <f>IFERROR(__xludf.DUMMYFUNCTION("""COMPUTED_VALUE"""),"E/C599")</f>
        <v>E/C599</v>
      </c>
    </row>
    <row r="1478" ht="15.75" customHeight="1">
      <c r="A1478" t="str">
        <f t="shared" si="1"/>
        <v>C.trachomatis</v>
      </c>
      <c r="B1478" s="5" t="s">
        <v>1473</v>
      </c>
      <c r="C1478" s="6" t="str">
        <f>IFERROR(__xludf.DUMMYFUNCTION("SPLIT('2. c'!B1478, "" "", True, True)"),"Chlamydia")</f>
        <v>Chlamydia</v>
      </c>
      <c r="D1478" t="str">
        <f>IFERROR(__xludf.DUMMYFUNCTION("""COMPUTED_VALUE"""),"trachomatis")</f>
        <v>trachomatis</v>
      </c>
      <c r="E1478" t="str">
        <f>IFERROR(__xludf.DUMMYFUNCTION("""COMPUTED_VALUE"""),"E/SotonE4")</f>
        <v>E/SotonE4</v>
      </c>
    </row>
    <row r="1479" ht="15.75" customHeight="1">
      <c r="A1479" t="str">
        <f t="shared" si="1"/>
        <v>C.trachomatis</v>
      </c>
      <c r="B1479" s="5" t="s">
        <v>1474</v>
      </c>
      <c r="C1479" s="6" t="str">
        <f>IFERROR(__xludf.DUMMYFUNCTION("SPLIT('2. c'!B1479, "" "", True, True)"),"Chlamydia")</f>
        <v>Chlamydia</v>
      </c>
      <c r="D1479" t="str">
        <f>IFERROR(__xludf.DUMMYFUNCTION("""COMPUTED_VALUE"""),"trachomatis")</f>
        <v>trachomatis</v>
      </c>
      <c r="E1479" t="str">
        <f>IFERROR(__xludf.DUMMYFUNCTION("""COMPUTED_VALUE"""),"E/SotonE8")</f>
        <v>E/SotonE8</v>
      </c>
    </row>
    <row r="1480" ht="15.75" customHeight="1">
      <c r="A1480" t="str">
        <f t="shared" si="1"/>
        <v>C.trachomatis</v>
      </c>
      <c r="B1480" s="5" t="s">
        <v>1475</v>
      </c>
      <c r="C1480" s="6" t="str">
        <f>IFERROR(__xludf.DUMMYFUNCTION("SPLIT('2. c'!B1480, "" "", True, True)"),"Chlamydia")</f>
        <v>Chlamydia</v>
      </c>
      <c r="D1480" t="str">
        <f>IFERROR(__xludf.DUMMYFUNCTION("""COMPUTED_VALUE"""),"trachomatis")</f>
        <v>trachomatis</v>
      </c>
      <c r="E1480" t="str">
        <f>IFERROR(__xludf.DUMMYFUNCTION("""COMPUTED_VALUE"""),"E/SW3")</f>
        <v>E/SW3</v>
      </c>
    </row>
    <row r="1481" ht="15.75" customHeight="1">
      <c r="A1481" t="str">
        <f t="shared" si="1"/>
        <v>C.trachomatis</v>
      </c>
      <c r="B1481" s="5" t="s">
        <v>1476</v>
      </c>
      <c r="C1481" s="6" t="str">
        <f>IFERROR(__xludf.DUMMYFUNCTION("SPLIT('2. c'!B1481, "" "", True, True)"),"Chlamydia")</f>
        <v>Chlamydia</v>
      </c>
      <c r="D1481" t="str">
        <f>IFERROR(__xludf.DUMMYFUNCTION("""COMPUTED_VALUE"""),"trachomatis")</f>
        <v>trachomatis</v>
      </c>
      <c r="E1481" t="str">
        <f>IFERROR(__xludf.DUMMYFUNCTION("""COMPUTED_VALUE"""),"F/11-96")</f>
        <v>F/11-96</v>
      </c>
    </row>
    <row r="1482" ht="15.75" customHeight="1">
      <c r="A1482" t="str">
        <f t="shared" si="1"/>
        <v>C.trachomatis</v>
      </c>
      <c r="B1482" s="5" t="s">
        <v>1477</v>
      </c>
      <c r="C1482" s="6" t="str">
        <f>IFERROR(__xludf.DUMMYFUNCTION("SPLIT('2. c'!B1482, "" "", True, True)"),"Chlamydia")</f>
        <v>Chlamydia</v>
      </c>
      <c r="D1482" t="str">
        <f>IFERROR(__xludf.DUMMYFUNCTION("""COMPUTED_VALUE"""),"trachomatis")</f>
        <v>trachomatis</v>
      </c>
      <c r="E1482" t="str">
        <f>IFERROR(__xludf.DUMMYFUNCTION("""COMPUTED_VALUE"""),"F/SotonF3")</f>
        <v>F/SotonF3</v>
      </c>
    </row>
    <row r="1483" ht="15.75" customHeight="1">
      <c r="A1483" t="str">
        <f t="shared" si="1"/>
        <v>C.trachomatis</v>
      </c>
      <c r="B1483" s="5" t="s">
        <v>1478</v>
      </c>
      <c r="C1483" s="6" t="str">
        <f>IFERROR(__xludf.DUMMYFUNCTION("SPLIT('2. c'!B1483, "" "", True, True)"),"Chlamydia")</f>
        <v>Chlamydia</v>
      </c>
      <c r="D1483" t="str">
        <f>IFERROR(__xludf.DUMMYFUNCTION("""COMPUTED_VALUE"""),"trachomatis")</f>
        <v>trachomatis</v>
      </c>
      <c r="E1483" t="str">
        <f>IFERROR(__xludf.DUMMYFUNCTION("""COMPUTED_VALUE"""),"F/SW4")</f>
        <v>F/SW4</v>
      </c>
    </row>
    <row r="1484" ht="15.75" customHeight="1">
      <c r="A1484" t="str">
        <f t="shared" si="1"/>
        <v>C.trachomatis</v>
      </c>
      <c r="B1484" s="5" t="s">
        <v>1479</v>
      </c>
      <c r="C1484" s="6" t="str">
        <f>IFERROR(__xludf.DUMMYFUNCTION("SPLIT('2. c'!B1484, "" "", True, True)"),"Chlamydia")</f>
        <v>Chlamydia</v>
      </c>
      <c r="D1484" t="str">
        <f>IFERROR(__xludf.DUMMYFUNCTION("""COMPUTED_VALUE"""),"trachomatis")</f>
        <v>trachomatis</v>
      </c>
      <c r="E1484" t="str">
        <f>IFERROR(__xludf.DUMMYFUNCTION("""COMPUTED_VALUE"""),"F/SW5")</f>
        <v>F/SW5</v>
      </c>
    </row>
    <row r="1485" ht="15.75" customHeight="1">
      <c r="A1485" t="str">
        <f t="shared" si="1"/>
        <v>C.trachomatis</v>
      </c>
      <c r="B1485" s="5" t="s">
        <v>1480</v>
      </c>
      <c r="C1485" s="6" t="str">
        <f>IFERROR(__xludf.DUMMYFUNCTION("SPLIT('2. c'!B1485, "" "", True, True)"),"Chlamydia")</f>
        <v>Chlamydia</v>
      </c>
      <c r="D1485" t="str">
        <f>IFERROR(__xludf.DUMMYFUNCTION("""COMPUTED_VALUE"""),"trachomatis")</f>
        <v>trachomatis</v>
      </c>
      <c r="E1485" t="str">
        <f>IFERROR(__xludf.DUMMYFUNCTION("""COMPUTED_VALUE"""),"F/SWFPminus")</f>
        <v>F/SWFPminus</v>
      </c>
    </row>
    <row r="1486" ht="15.75" customHeight="1">
      <c r="A1486" t="str">
        <f t="shared" si="1"/>
        <v>C.trachomatis</v>
      </c>
      <c r="B1486" s="5" t="s">
        <v>1481</v>
      </c>
      <c r="C1486" s="6" t="str">
        <f>IFERROR(__xludf.DUMMYFUNCTION("SPLIT('2. c'!B1486, "" "", True, True)"),"Chlamydia")</f>
        <v>Chlamydia</v>
      </c>
      <c r="D1486" t="str">
        <f>IFERROR(__xludf.DUMMYFUNCTION("""COMPUTED_VALUE"""),"trachomatis")</f>
        <v>trachomatis</v>
      </c>
      <c r="E1486" t="str">
        <f>IFERROR(__xludf.DUMMYFUNCTION("""COMPUTED_VALUE"""),"G/11074")</f>
        <v>G/11074</v>
      </c>
    </row>
    <row r="1487" ht="15.75" customHeight="1">
      <c r="A1487" t="str">
        <f t="shared" si="1"/>
        <v>C.trachomatis</v>
      </c>
      <c r="B1487" s="5" t="s">
        <v>1482</v>
      </c>
      <c r="C1487" s="6" t="str">
        <f>IFERROR(__xludf.DUMMYFUNCTION("SPLIT('2. c'!B1487, "" "", True, True)"),"Chlamydia")</f>
        <v>Chlamydia</v>
      </c>
      <c r="D1487" t="str">
        <f>IFERROR(__xludf.DUMMYFUNCTION("""COMPUTED_VALUE"""),"trachomatis")</f>
        <v>trachomatis</v>
      </c>
      <c r="E1487" t="str">
        <f>IFERROR(__xludf.DUMMYFUNCTION("""COMPUTED_VALUE"""),"G/11222")</f>
        <v>G/11222</v>
      </c>
    </row>
    <row r="1488" ht="15.75" customHeight="1">
      <c r="A1488" t="str">
        <f t="shared" si="1"/>
        <v>C.trachomatis</v>
      </c>
      <c r="B1488" s="5" t="s">
        <v>1483</v>
      </c>
      <c r="C1488" s="6" t="str">
        <f>IFERROR(__xludf.DUMMYFUNCTION("SPLIT('2. c'!B1488, "" "", True, True)"),"Chlamydia")</f>
        <v>Chlamydia</v>
      </c>
      <c r="D1488" t="str">
        <f>IFERROR(__xludf.DUMMYFUNCTION("""COMPUTED_VALUE"""),"trachomatis")</f>
        <v>trachomatis</v>
      </c>
      <c r="E1488" t="str">
        <f>IFERROR(__xludf.DUMMYFUNCTION("""COMPUTED_VALUE"""),"G/9301")</f>
        <v>G/9301</v>
      </c>
    </row>
    <row r="1489" ht="15.75" customHeight="1">
      <c r="A1489" t="str">
        <f t="shared" si="1"/>
        <v>C.trachomatis</v>
      </c>
      <c r="B1489" s="5" t="s">
        <v>1484</v>
      </c>
      <c r="C1489" s="6" t="str">
        <f>IFERROR(__xludf.DUMMYFUNCTION("SPLIT('2. c'!B1489, "" "", True, True)"),"Chlamydia")</f>
        <v>Chlamydia</v>
      </c>
      <c r="D1489" t="str">
        <f>IFERROR(__xludf.DUMMYFUNCTION("""COMPUTED_VALUE"""),"trachomatis")</f>
        <v>trachomatis</v>
      </c>
      <c r="E1489" t="str">
        <f>IFERROR(__xludf.DUMMYFUNCTION("""COMPUTED_VALUE"""),"G/9768")</f>
        <v>G/9768</v>
      </c>
    </row>
    <row r="1490" ht="15.75" customHeight="1">
      <c r="A1490" t="str">
        <f t="shared" si="1"/>
        <v>C.trachomatis</v>
      </c>
      <c r="B1490" s="5" t="s">
        <v>1485</v>
      </c>
      <c r="C1490" s="6" t="str">
        <f>IFERROR(__xludf.DUMMYFUNCTION("SPLIT('2. c'!B1490, "" "", True, True)"),"Chlamydia")</f>
        <v>Chlamydia</v>
      </c>
      <c r="D1490" t="str">
        <f>IFERROR(__xludf.DUMMYFUNCTION("""COMPUTED_VALUE"""),"trachomatis")</f>
        <v>trachomatis</v>
      </c>
      <c r="E1490" t="str">
        <f>IFERROR(__xludf.DUMMYFUNCTION("""COMPUTED_VALUE"""),"G/SotonG1")</f>
        <v>G/SotonG1</v>
      </c>
    </row>
    <row r="1491" ht="15.75" customHeight="1">
      <c r="A1491" t="str">
        <f t="shared" si="1"/>
        <v>C.trachomatis</v>
      </c>
      <c r="B1491" s="5" t="s">
        <v>1486</v>
      </c>
      <c r="C1491" s="6" t="str">
        <f>IFERROR(__xludf.DUMMYFUNCTION("SPLIT('2. c'!B1491, "" "", True, True)"),"Chlamydia")</f>
        <v>Chlamydia</v>
      </c>
      <c r="D1491" t="str">
        <f>IFERROR(__xludf.DUMMYFUNCTION("""COMPUTED_VALUE"""),"trachomatis")</f>
        <v>trachomatis</v>
      </c>
      <c r="E1491" t="str">
        <f>IFERROR(__xludf.DUMMYFUNCTION("""COMPUTED_VALUE"""),"Ia/SotonIa1")</f>
        <v>Ia/SotonIa1</v>
      </c>
    </row>
    <row r="1492" ht="15.75" customHeight="1">
      <c r="A1492" t="str">
        <f t="shared" si="1"/>
        <v>C.trachomatis</v>
      </c>
      <c r="B1492" s="5" t="s">
        <v>1487</v>
      </c>
      <c r="C1492" s="6" t="str">
        <f>IFERROR(__xludf.DUMMYFUNCTION("SPLIT('2. c'!B1492, "" "", True, True)"),"Chlamydia")</f>
        <v>Chlamydia</v>
      </c>
      <c r="D1492" t="str">
        <f>IFERROR(__xludf.DUMMYFUNCTION("""COMPUTED_VALUE"""),"trachomatis")</f>
        <v>trachomatis</v>
      </c>
      <c r="E1492" t="str">
        <f>IFERROR(__xludf.DUMMYFUNCTION("""COMPUTED_VALUE"""),"Ia/SotonIa3")</f>
        <v>Ia/SotonIa3</v>
      </c>
    </row>
    <row r="1493" ht="15.75" customHeight="1">
      <c r="A1493" t="str">
        <f t="shared" si="1"/>
        <v>C.trachomatis</v>
      </c>
      <c r="B1493" s="5" t="s">
        <v>1488</v>
      </c>
      <c r="C1493" s="6" t="str">
        <f>IFERROR(__xludf.DUMMYFUNCTION("SPLIT('2. c'!B1493, "" "", True, True)"),"Chlamydia")</f>
        <v>Chlamydia</v>
      </c>
      <c r="D1493" t="str">
        <f>IFERROR(__xludf.DUMMYFUNCTION("""COMPUTED_VALUE"""),"trachomatis")</f>
        <v>trachomatis</v>
      </c>
      <c r="E1493" t="str">
        <f>IFERROR(__xludf.DUMMYFUNCTION("""COMPUTED_VALUE"""),"IU824")</f>
        <v>IU824</v>
      </c>
    </row>
    <row r="1494" ht="15.75" customHeight="1">
      <c r="A1494" t="str">
        <f t="shared" si="1"/>
        <v>C.trachomatis</v>
      </c>
      <c r="B1494" s="5" t="s">
        <v>1489</v>
      </c>
      <c r="C1494" s="6" t="str">
        <f>IFERROR(__xludf.DUMMYFUNCTION("SPLIT('2. c'!B1494, "" "", True, True)"),"Chlamydia")</f>
        <v>Chlamydia</v>
      </c>
      <c r="D1494" t="str">
        <f>IFERROR(__xludf.DUMMYFUNCTION("""COMPUTED_VALUE"""),"trachomatis")</f>
        <v>trachomatis</v>
      </c>
      <c r="E1494" t="str">
        <f>IFERROR(__xludf.DUMMYFUNCTION("""COMPUTED_VALUE"""),"IU888")</f>
        <v>IU888</v>
      </c>
    </row>
    <row r="1495" ht="15.75" customHeight="1">
      <c r="A1495" t="str">
        <f t="shared" si="1"/>
        <v>C.trachomatis</v>
      </c>
      <c r="B1495" s="5" t="s">
        <v>1490</v>
      </c>
      <c r="C1495" s="6" t="str">
        <f>IFERROR(__xludf.DUMMYFUNCTION("SPLIT('2. c'!B1495, "" "", True, True)"),"Chlamydia")</f>
        <v>Chlamydia</v>
      </c>
      <c r="D1495" t="str">
        <f>IFERROR(__xludf.DUMMYFUNCTION("""COMPUTED_VALUE"""),"trachomatis")</f>
        <v>trachomatis</v>
      </c>
      <c r="E1495" t="str">
        <f>IFERROR(__xludf.DUMMYFUNCTION("""COMPUTED_VALUE"""),"J/6276tet1")</f>
        <v>J/6276tet1</v>
      </c>
    </row>
    <row r="1496" ht="15.75" customHeight="1">
      <c r="A1496" t="str">
        <f t="shared" si="1"/>
        <v>C.trachomatis</v>
      </c>
      <c r="B1496" s="5" t="s">
        <v>1491</v>
      </c>
      <c r="C1496" s="6" t="str">
        <f>IFERROR(__xludf.DUMMYFUNCTION("SPLIT('2. c'!B1496, "" "", True, True)"),"Chlamydia")</f>
        <v>Chlamydia</v>
      </c>
      <c r="D1496" t="str">
        <f>IFERROR(__xludf.DUMMYFUNCTION("""COMPUTED_VALUE"""),"trachomatis")</f>
        <v>trachomatis</v>
      </c>
      <c r="E1496" t="str">
        <f>IFERROR(__xludf.DUMMYFUNCTION("""COMPUTED_VALUE"""),"K/SotonK1")</f>
        <v>K/SotonK1</v>
      </c>
    </row>
    <row r="1497" ht="15.75" customHeight="1">
      <c r="A1497" t="str">
        <f t="shared" si="1"/>
        <v>C.trachomatis</v>
      </c>
      <c r="B1497" s="5" t="s">
        <v>1492</v>
      </c>
      <c r="C1497" s="6" t="str">
        <f>IFERROR(__xludf.DUMMYFUNCTION("SPLIT('2. c'!B1497, "" "", True, True)"),"Chlamydia")</f>
        <v>Chlamydia</v>
      </c>
      <c r="D1497" t="str">
        <f>IFERROR(__xludf.DUMMYFUNCTION("""COMPUTED_VALUE"""),"trachomatis")</f>
        <v>trachomatis</v>
      </c>
      <c r="E1497" t="str">
        <f>IFERROR(__xludf.DUMMYFUNCTION("""COMPUTED_VALUE"""),"L1/115")</f>
        <v>L1/115</v>
      </c>
    </row>
    <row r="1498" ht="15.75" customHeight="1">
      <c r="A1498" t="str">
        <f t="shared" si="1"/>
        <v>C.trachomatis</v>
      </c>
      <c r="B1498" s="5" t="s">
        <v>1493</v>
      </c>
      <c r="C1498" s="6" t="str">
        <f>IFERROR(__xludf.DUMMYFUNCTION("SPLIT('2. c'!B1498, "" "", True, True)"),"Chlamydia")</f>
        <v>Chlamydia</v>
      </c>
      <c r="D1498" t="str">
        <f>IFERROR(__xludf.DUMMYFUNCTION("""COMPUTED_VALUE"""),"trachomatis")</f>
        <v>trachomatis</v>
      </c>
      <c r="E1498" t="str">
        <f>IFERROR(__xludf.DUMMYFUNCTION("""COMPUTED_VALUE"""),"L1/1322/p2")</f>
        <v>L1/1322/p2</v>
      </c>
    </row>
    <row r="1499" ht="15.75" customHeight="1">
      <c r="A1499" t="str">
        <f t="shared" si="1"/>
        <v>C.trachomatis</v>
      </c>
      <c r="B1499" s="5" t="s">
        <v>1494</v>
      </c>
      <c r="C1499" s="6" t="str">
        <f>IFERROR(__xludf.DUMMYFUNCTION("SPLIT('2. c'!B1499, "" "", True, True)"),"Chlamydia")</f>
        <v>Chlamydia</v>
      </c>
      <c r="D1499" t="str">
        <f>IFERROR(__xludf.DUMMYFUNCTION("""COMPUTED_VALUE"""),"trachomatis")</f>
        <v>trachomatis</v>
      </c>
      <c r="E1499" t="str">
        <f>IFERROR(__xludf.DUMMYFUNCTION("""COMPUTED_VALUE"""),"L1/224")</f>
        <v>L1/224</v>
      </c>
    </row>
    <row r="1500" ht="15.75" customHeight="1">
      <c r="A1500" t="str">
        <f t="shared" si="1"/>
        <v>C.trachomatis</v>
      </c>
      <c r="B1500" s="5" t="s">
        <v>1495</v>
      </c>
      <c r="C1500" s="6" t="str">
        <f>IFERROR(__xludf.DUMMYFUNCTION("SPLIT('2. c'!B1500, "" "", True, True)"),"Chlamydia")</f>
        <v>Chlamydia</v>
      </c>
      <c r="D1500" t="str">
        <f>IFERROR(__xludf.DUMMYFUNCTION("""COMPUTED_VALUE"""),"trachomatis")</f>
        <v>trachomatis</v>
      </c>
      <c r="E1500" t="str">
        <f>IFERROR(__xludf.DUMMYFUNCTION("""COMPUTED_VALUE"""),"L1/440/LN")</f>
        <v>L1/440/LN</v>
      </c>
    </row>
    <row r="1501" ht="15.75" customHeight="1">
      <c r="A1501" t="str">
        <f t="shared" si="1"/>
        <v>C.trachomatis</v>
      </c>
      <c r="B1501" s="5" t="s">
        <v>1496</v>
      </c>
      <c r="C1501" s="6" t="str">
        <f>IFERROR(__xludf.DUMMYFUNCTION("SPLIT('2. c'!B1501, "" "", True, True)"),"Chlamydia")</f>
        <v>Chlamydia</v>
      </c>
      <c r="D1501" t="str">
        <f>IFERROR(__xludf.DUMMYFUNCTION("""COMPUTED_VALUE"""),"trachomatis")</f>
        <v>trachomatis</v>
      </c>
      <c r="E1501" t="str">
        <f>IFERROR(__xludf.DUMMYFUNCTION("""COMPUTED_VALUE"""),"L2/25667R")</f>
        <v>L2/25667R</v>
      </c>
    </row>
    <row r="1502" ht="15.75" customHeight="1">
      <c r="A1502" t="str">
        <f t="shared" si="1"/>
        <v>C.trachomatis</v>
      </c>
      <c r="B1502" s="5" t="s">
        <v>1497</v>
      </c>
      <c r="C1502" s="6" t="str">
        <f>IFERROR(__xludf.DUMMYFUNCTION("SPLIT('2. c'!B1502, "" "", True, True)"),"Chlamydia")</f>
        <v>Chlamydia</v>
      </c>
      <c r="D1502" t="str">
        <f>IFERROR(__xludf.DUMMYFUNCTION("""COMPUTED_VALUE"""),"trachomatis")</f>
        <v>trachomatis</v>
      </c>
      <c r="E1502" t="str">
        <f>IFERROR(__xludf.DUMMYFUNCTION("""COMPUTED_VALUE"""),"L2/434/Bu(f)")</f>
        <v>L2/434/Bu(f)</v>
      </c>
    </row>
    <row r="1503" ht="15.75" customHeight="1">
      <c r="A1503" t="str">
        <f t="shared" si="1"/>
        <v>C.trachomatis</v>
      </c>
      <c r="B1503" s="5" t="s">
        <v>1498</v>
      </c>
      <c r="C1503" s="6" t="str">
        <f>IFERROR(__xludf.DUMMYFUNCTION("SPLIT('2. c'!B1503, "" "", True, True)"),"Chlamydia")</f>
        <v>Chlamydia</v>
      </c>
      <c r="D1503" t="str">
        <f>IFERROR(__xludf.DUMMYFUNCTION("""COMPUTED_VALUE"""),"trachomatis")</f>
        <v>trachomatis</v>
      </c>
      <c r="E1503" t="str">
        <f>IFERROR(__xludf.DUMMYFUNCTION("""COMPUTED_VALUE"""),"L2/434/Bu(i)")</f>
        <v>L2/434/Bu(i)</v>
      </c>
    </row>
    <row r="1504" ht="15.75" customHeight="1">
      <c r="A1504" t="str">
        <f t="shared" si="1"/>
        <v>C.trachomatis</v>
      </c>
      <c r="B1504" s="5" t="s">
        <v>1499</v>
      </c>
      <c r="C1504" s="6" t="str">
        <f>IFERROR(__xludf.DUMMYFUNCTION("SPLIT('2. c'!B1504, "" "", True, True)"),"Chlamydia")</f>
        <v>Chlamydia</v>
      </c>
      <c r="D1504" t="str">
        <f>IFERROR(__xludf.DUMMYFUNCTION("""COMPUTED_VALUE"""),"trachomatis")</f>
        <v>trachomatis</v>
      </c>
      <c r="E1504" t="str">
        <f>IFERROR(__xludf.DUMMYFUNCTION("""COMPUTED_VALUE"""),"L2b/795")</f>
        <v>L2b/795</v>
      </c>
    </row>
    <row r="1505" ht="15.75" customHeight="1">
      <c r="A1505" t="str">
        <f t="shared" si="1"/>
        <v>C.trachomatis</v>
      </c>
      <c r="B1505" s="5" t="s">
        <v>1500</v>
      </c>
      <c r="C1505" s="6" t="str">
        <f>IFERROR(__xludf.DUMMYFUNCTION("SPLIT('2. c'!B1505, "" "", True, True)"),"Chlamydia")</f>
        <v>Chlamydia</v>
      </c>
      <c r="D1505" t="str">
        <f>IFERROR(__xludf.DUMMYFUNCTION("""COMPUTED_VALUE"""),"trachomatis")</f>
        <v>trachomatis</v>
      </c>
      <c r="E1505" t="str">
        <f>IFERROR(__xludf.DUMMYFUNCTION("""COMPUTED_VALUE"""),"L2b/8200/07")</f>
        <v>L2b/8200/07</v>
      </c>
    </row>
    <row r="1506" ht="15.75" customHeight="1">
      <c r="A1506" t="str">
        <f t="shared" si="1"/>
        <v>C.trachomatis</v>
      </c>
      <c r="B1506" s="5" t="s">
        <v>1501</v>
      </c>
      <c r="C1506" s="6" t="str">
        <f>IFERROR(__xludf.DUMMYFUNCTION("SPLIT('2. c'!B1506, "" "", True, True)"),"Chlamydia")</f>
        <v>Chlamydia</v>
      </c>
      <c r="D1506" t="str">
        <f>IFERROR(__xludf.DUMMYFUNCTION("""COMPUTED_VALUE"""),"trachomatis")</f>
        <v>trachomatis</v>
      </c>
      <c r="E1506" t="str">
        <f>IFERROR(__xludf.DUMMYFUNCTION("""COMPUTED_VALUE"""),"L2b/Ams1")</f>
        <v>L2b/Ams1</v>
      </c>
    </row>
    <row r="1507" ht="15.75" customHeight="1">
      <c r="A1507" t="str">
        <f t="shared" si="1"/>
        <v>C.trachomatis</v>
      </c>
      <c r="B1507" s="5" t="s">
        <v>1502</v>
      </c>
      <c r="C1507" s="6" t="str">
        <f>IFERROR(__xludf.DUMMYFUNCTION("SPLIT('2. c'!B1507, "" "", True, True)"),"Chlamydia")</f>
        <v>Chlamydia</v>
      </c>
      <c r="D1507" t="str">
        <f>IFERROR(__xludf.DUMMYFUNCTION("""COMPUTED_VALUE"""),"trachomatis")</f>
        <v>trachomatis</v>
      </c>
      <c r="E1507" t="str">
        <f>IFERROR(__xludf.DUMMYFUNCTION("""COMPUTED_VALUE"""),"L2b/Ams2")</f>
        <v>L2b/Ams2</v>
      </c>
    </row>
    <row r="1508" ht="15.75" customHeight="1">
      <c r="A1508" t="str">
        <f t="shared" si="1"/>
        <v>C.trachomatis</v>
      </c>
      <c r="B1508" s="5" t="s">
        <v>1503</v>
      </c>
      <c r="C1508" s="6" t="str">
        <f>IFERROR(__xludf.DUMMYFUNCTION("SPLIT('2. c'!B1508, "" "", True, True)"),"Chlamydia")</f>
        <v>Chlamydia</v>
      </c>
      <c r="D1508" t="str">
        <f>IFERROR(__xludf.DUMMYFUNCTION("""COMPUTED_VALUE"""),"trachomatis")</f>
        <v>trachomatis</v>
      </c>
      <c r="E1508" t="str">
        <f>IFERROR(__xludf.DUMMYFUNCTION("""COMPUTED_VALUE"""),"L2b/Ams3")</f>
        <v>L2b/Ams3</v>
      </c>
    </row>
    <row r="1509" ht="15.75" customHeight="1">
      <c r="A1509" t="str">
        <f t="shared" si="1"/>
        <v>C.trachomatis</v>
      </c>
      <c r="B1509" s="5" t="s">
        <v>1504</v>
      </c>
      <c r="C1509" s="6" t="str">
        <f>IFERROR(__xludf.DUMMYFUNCTION("SPLIT('2. c'!B1509, "" "", True, True)"),"Chlamydia")</f>
        <v>Chlamydia</v>
      </c>
      <c r="D1509" t="str">
        <f>IFERROR(__xludf.DUMMYFUNCTION("""COMPUTED_VALUE"""),"trachomatis")</f>
        <v>trachomatis</v>
      </c>
      <c r="E1509" t="str">
        <f>IFERROR(__xludf.DUMMYFUNCTION("""COMPUTED_VALUE"""),"L2b/Ams4")</f>
        <v>L2b/Ams4</v>
      </c>
    </row>
    <row r="1510" ht="15.75" customHeight="1">
      <c r="A1510" t="str">
        <f t="shared" si="1"/>
        <v>C.trachomatis</v>
      </c>
      <c r="B1510" s="5" t="s">
        <v>1505</v>
      </c>
      <c r="C1510" s="6" t="str">
        <f>IFERROR(__xludf.DUMMYFUNCTION("SPLIT('2. c'!B1510, "" "", True, True)"),"Chlamydia")</f>
        <v>Chlamydia</v>
      </c>
      <c r="D1510" t="str">
        <f>IFERROR(__xludf.DUMMYFUNCTION("""COMPUTED_VALUE"""),"trachomatis")</f>
        <v>trachomatis</v>
      </c>
      <c r="E1510" t="str">
        <f>IFERROR(__xludf.DUMMYFUNCTION("""COMPUTED_VALUE"""),"L2b/Ams5")</f>
        <v>L2b/Ams5</v>
      </c>
    </row>
    <row r="1511" ht="15.75" customHeight="1">
      <c r="A1511" t="str">
        <f t="shared" si="1"/>
        <v>C.trachomatis</v>
      </c>
      <c r="B1511" s="5" t="s">
        <v>1506</v>
      </c>
      <c r="C1511" s="6" t="str">
        <f>IFERROR(__xludf.DUMMYFUNCTION("SPLIT('2. c'!B1511, "" "", True, True)"),"Chlamydia")</f>
        <v>Chlamydia</v>
      </c>
      <c r="D1511" t="str">
        <f>IFERROR(__xludf.DUMMYFUNCTION("""COMPUTED_VALUE"""),"trachomatis")</f>
        <v>trachomatis</v>
      </c>
      <c r="E1511" t="str">
        <f>IFERROR(__xludf.DUMMYFUNCTION("""COMPUTED_VALUE"""),"L2b/Canada1")</f>
        <v>L2b/Canada1</v>
      </c>
    </row>
    <row r="1512" ht="15.75" customHeight="1">
      <c r="A1512" t="str">
        <f t="shared" si="1"/>
        <v>C.trachomatis</v>
      </c>
      <c r="B1512" s="5" t="s">
        <v>1507</v>
      </c>
      <c r="C1512" s="6" t="str">
        <f>IFERROR(__xludf.DUMMYFUNCTION("SPLIT('2. c'!B1512, "" "", True, True)"),"Chlamydia")</f>
        <v>Chlamydia</v>
      </c>
      <c r="D1512" t="str">
        <f>IFERROR(__xludf.DUMMYFUNCTION("""COMPUTED_VALUE"""),"trachomatis")</f>
        <v>trachomatis</v>
      </c>
      <c r="E1512" t="str">
        <f>IFERROR(__xludf.DUMMYFUNCTION("""COMPUTED_VALUE"""),"L2b/Canada2")</f>
        <v>L2b/Canada2</v>
      </c>
    </row>
    <row r="1513" ht="15.75" customHeight="1">
      <c r="A1513" t="str">
        <f t="shared" si="1"/>
        <v>C.trachomatis</v>
      </c>
      <c r="B1513" s="5" t="s">
        <v>1508</v>
      </c>
      <c r="C1513" s="6" t="str">
        <f>IFERROR(__xludf.DUMMYFUNCTION("SPLIT('2. c'!B1513, "" "", True, True)"),"Chlamydia")</f>
        <v>Chlamydia</v>
      </c>
      <c r="D1513" t="str">
        <f>IFERROR(__xludf.DUMMYFUNCTION("""COMPUTED_VALUE"""),"trachomatis")</f>
        <v>trachomatis</v>
      </c>
      <c r="E1513" t="str">
        <f>IFERROR(__xludf.DUMMYFUNCTION("""COMPUTED_VALUE"""),"L2b/CV204")</f>
        <v>L2b/CV204</v>
      </c>
    </row>
    <row r="1514" ht="15.75" customHeight="1">
      <c r="A1514" t="str">
        <f t="shared" si="1"/>
        <v>C.trachomatis</v>
      </c>
      <c r="B1514" s="5" t="s">
        <v>1509</v>
      </c>
      <c r="C1514" s="6" t="str">
        <f>IFERROR(__xludf.DUMMYFUNCTION("SPLIT('2. c'!B1514, "" "", True, True)"),"Chlamydia")</f>
        <v>Chlamydia</v>
      </c>
      <c r="D1514" t="str">
        <f>IFERROR(__xludf.DUMMYFUNCTION("""COMPUTED_VALUE"""),"trachomatis")</f>
        <v>trachomatis</v>
      </c>
      <c r="E1514" t="str">
        <f>IFERROR(__xludf.DUMMYFUNCTION("""COMPUTED_VALUE"""),"L2b/LST")</f>
        <v>L2b/LST</v>
      </c>
    </row>
    <row r="1515" ht="15.75" customHeight="1">
      <c r="A1515" t="str">
        <f t="shared" si="1"/>
        <v>C.trachomatis</v>
      </c>
      <c r="B1515" s="5" t="s">
        <v>1510</v>
      </c>
      <c r="C1515" s="6" t="str">
        <f>IFERROR(__xludf.DUMMYFUNCTION("SPLIT('2. c'!B1515, "" "", True, True)"),"Chlamydia")</f>
        <v>Chlamydia</v>
      </c>
      <c r="D1515" t="str">
        <f>IFERROR(__xludf.DUMMYFUNCTION("""COMPUTED_VALUE"""),"trachomatis")</f>
        <v>trachomatis</v>
      </c>
      <c r="E1515" t="str">
        <f>IFERROR(__xludf.DUMMYFUNCTION("""COMPUTED_VALUE"""),"L2b/UCH-1/proctitis")</f>
        <v>L2b/UCH-1/proctitis</v>
      </c>
    </row>
    <row r="1516" ht="15.75" customHeight="1">
      <c r="A1516" t="str">
        <f t="shared" si="1"/>
        <v>C.trachomatis</v>
      </c>
      <c r="B1516" s="5" t="s">
        <v>1511</v>
      </c>
      <c r="C1516" s="6" t="str">
        <f>IFERROR(__xludf.DUMMYFUNCTION("SPLIT('2. c'!B1516, "" "", True, True)"),"Chlamydia")</f>
        <v>Chlamydia</v>
      </c>
      <c r="D1516" t="str">
        <f>IFERROR(__xludf.DUMMYFUNCTION("""COMPUTED_VALUE"""),"trachomatis")</f>
        <v>trachomatis</v>
      </c>
      <c r="E1516" t="str">
        <f>IFERROR(__xludf.DUMMYFUNCTION("""COMPUTED_VALUE"""),"L2b/UCH-2")</f>
        <v>L2b/UCH-2</v>
      </c>
    </row>
    <row r="1517" ht="15.75" customHeight="1">
      <c r="A1517" t="str">
        <f t="shared" si="1"/>
        <v>C.trachomatis</v>
      </c>
      <c r="B1517" s="5" t="s">
        <v>1512</v>
      </c>
      <c r="C1517" s="6" t="str">
        <f>IFERROR(__xludf.DUMMYFUNCTION("SPLIT('2. c'!B1517, "" "", True, True)"),"Chlamydia")</f>
        <v>Chlamydia</v>
      </c>
      <c r="D1517" t="str">
        <f>IFERROR(__xludf.DUMMYFUNCTION("""COMPUTED_VALUE"""),"trachomatis")</f>
        <v>trachomatis</v>
      </c>
      <c r="E1517" t="str">
        <f>IFERROR(__xludf.DUMMYFUNCTION("""COMPUTED_VALUE"""),"L2c")</f>
        <v>L2c</v>
      </c>
    </row>
    <row r="1518" ht="15.75" customHeight="1">
      <c r="A1518" t="str">
        <f t="shared" si="1"/>
        <v>C.trachomatis</v>
      </c>
      <c r="B1518" s="5" t="s">
        <v>1513</v>
      </c>
      <c r="C1518" s="6" t="str">
        <f>IFERROR(__xludf.DUMMYFUNCTION("SPLIT('2. c'!B1518, "" "", True, True)"),"Chlamydia")</f>
        <v>Chlamydia</v>
      </c>
      <c r="D1518" t="str">
        <f>IFERROR(__xludf.DUMMYFUNCTION("""COMPUTED_VALUE"""),"trachomatis")</f>
        <v>trachomatis</v>
      </c>
      <c r="E1518" t="str">
        <f>IFERROR(__xludf.DUMMYFUNCTION("""COMPUTED_VALUE"""),"L3/404/LN")</f>
        <v>L3/404/LN</v>
      </c>
    </row>
    <row r="1519" ht="15.75" customHeight="1">
      <c r="A1519" t="str">
        <f t="shared" si="1"/>
        <v>C.trachomatis</v>
      </c>
      <c r="B1519" s="5" t="s">
        <v>1514</v>
      </c>
      <c r="C1519" s="6" t="str">
        <f>IFERROR(__xludf.DUMMYFUNCTION("SPLIT('2. c'!B1519, "" "", True, True)"),"Chlamydia")</f>
        <v>Chlamydia</v>
      </c>
      <c r="D1519" t="str">
        <f>IFERROR(__xludf.DUMMYFUNCTION("""COMPUTED_VALUE"""),"trachomatis")</f>
        <v>trachomatis</v>
      </c>
      <c r="E1519" t="str">
        <f>IFERROR(__xludf.DUMMYFUNCTION("""COMPUTED_VALUE"""),"RC-F(s)/342")</f>
        <v>RC-F(s)/342</v>
      </c>
    </row>
    <row r="1520" ht="15.75" customHeight="1">
      <c r="A1520" t="str">
        <f t="shared" si="1"/>
        <v>C.trachomatis</v>
      </c>
      <c r="B1520" s="5" t="s">
        <v>1515</v>
      </c>
      <c r="C1520" s="6" t="str">
        <f>IFERROR(__xludf.DUMMYFUNCTION("SPLIT('2. c'!B1520, "" "", True, True)"),"Chlamydia")</f>
        <v>Chlamydia</v>
      </c>
      <c r="D1520" t="str">
        <f>IFERROR(__xludf.DUMMYFUNCTION("""COMPUTED_VALUE"""),"trachomatis")</f>
        <v>trachomatis</v>
      </c>
      <c r="E1520" t="str">
        <f>IFERROR(__xludf.DUMMYFUNCTION("""COMPUTED_VALUE"""),"RC-F(s)/852")</f>
        <v>RC-F(s)/852</v>
      </c>
    </row>
    <row r="1521" ht="15.75" customHeight="1">
      <c r="A1521" t="str">
        <f t="shared" si="1"/>
        <v>C.trachomatis</v>
      </c>
      <c r="B1521" s="5" t="s">
        <v>1516</v>
      </c>
      <c r="C1521" s="6" t="str">
        <f>IFERROR(__xludf.DUMMYFUNCTION("SPLIT('2. c'!B1521, "" "", True, True)"),"Chlamydia")</f>
        <v>Chlamydia</v>
      </c>
      <c r="D1521" t="str">
        <f>IFERROR(__xludf.DUMMYFUNCTION("""COMPUTED_VALUE"""),"trachomatis")</f>
        <v>trachomatis</v>
      </c>
      <c r="E1521" t="str">
        <f>IFERROR(__xludf.DUMMYFUNCTION("""COMPUTED_VALUE"""),"RC-F/69")</f>
        <v>RC-F/69</v>
      </c>
    </row>
    <row r="1522" ht="15.75" customHeight="1">
      <c r="A1522" t="str">
        <f t="shared" si="1"/>
        <v>C.trachomatis</v>
      </c>
      <c r="B1522" s="5" t="s">
        <v>1517</v>
      </c>
      <c r="C1522" s="6" t="str">
        <f>IFERROR(__xludf.DUMMYFUNCTION("SPLIT('2. c'!B1522, "" "", True, True)"),"Chlamydia")</f>
        <v>Chlamydia</v>
      </c>
      <c r="D1522" t="str">
        <f>IFERROR(__xludf.DUMMYFUNCTION("""COMPUTED_VALUE"""),"trachomatis")</f>
        <v>trachomatis</v>
      </c>
      <c r="E1522" t="str">
        <f>IFERROR(__xludf.DUMMYFUNCTION("""COMPUTED_VALUE"""),"RC-J(s)/122")</f>
        <v>RC-J(s)/122</v>
      </c>
    </row>
    <row r="1523" ht="15.75" customHeight="1">
      <c r="A1523" t="str">
        <f t="shared" si="1"/>
        <v>C.trachomatis</v>
      </c>
      <c r="B1523" s="5" t="s">
        <v>1518</v>
      </c>
      <c r="C1523" s="6" t="str">
        <f>IFERROR(__xludf.DUMMYFUNCTION("SPLIT('2. c'!B1523, "" "", True, True)"),"Chlamydia")</f>
        <v>Chlamydia</v>
      </c>
      <c r="D1523" t="str">
        <f>IFERROR(__xludf.DUMMYFUNCTION("""COMPUTED_VALUE"""),"trachomatis")</f>
        <v>trachomatis</v>
      </c>
      <c r="E1523" t="str">
        <f>IFERROR(__xludf.DUMMYFUNCTION("""COMPUTED_VALUE"""),"RC-J/943")</f>
        <v>RC-J/943</v>
      </c>
    </row>
    <row r="1524" ht="15.75" customHeight="1">
      <c r="A1524" t="str">
        <f t="shared" si="1"/>
        <v>C.trachomatis</v>
      </c>
      <c r="B1524" s="5" t="s">
        <v>1519</v>
      </c>
      <c r="C1524" s="6" t="str">
        <f>IFERROR(__xludf.DUMMYFUNCTION("SPLIT('2. c'!B1524, "" "", True, True)"),"Chlamydia")</f>
        <v>Chlamydia</v>
      </c>
      <c r="D1524" t="str">
        <f>IFERROR(__xludf.DUMMYFUNCTION("""COMPUTED_VALUE"""),"trachomatis")</f>
        <v>trachomatis</v>
      </c>
      <c r="E1524" t="str">
        <f>IFERROR(__xludf.DUMMYFUNCTION("""COMPUTED_VALUE"""),"RC-J/953")</f>
        <v>RC-J/953</v>
      </c>
    </row>
    <row r="1525" ht="15.75" customHeight="1">
      <c r="A1525" t="str">
        <f t="shared" si="1"/>
        <v>C.trachomatis</v>
      </c>
      <c r="B1525" s="5" t="s">
        <v>1520</v>
      </c>
      <c r="C1525" s="6" t="str">
        <f>IFERROR(__xludf.DUMMYFUNCTION("SPLIT('2. c'!B1525, "" "", True, True)"),"Chlamydia")</f>
        <v>Chlamydia</v>
      </c>
      <c r="D1525" t="str">
        <f>IFERROR(__xludf.DUMMYFUNCTION("""COMPUTED_VALUE"""),"trachomatis")</f>
        <v>trachomatis</v>
      </c>
      <c r="E1525" t="str">
        <f>IFERROR(__xludf.DUMMYFUNCTION("""COMPUTED_VALUE"""),"RC-J/966")</f>
        <v>RC-J/966</v>
      </c>
    </row>
    <row r="1526" ht="15.75" customHeight="1">
      <c r="A1526" t="str">
        <f t="shared" si="1"/>
        <v>C.trachomatis</v>
      </c>
      <c r="B1526" s="5" t="s">
        <v>1521</v>
      </c>
      <c r="C1526" s="6" t="str">
        <f>IFERROR(__xludf.DUMMYFUNCTION("SPLIT('2. c'!B1526, "" "", True, True)"),"Chlamydia")</f>
        <v>Chlamydia</v>
      </c>
      <c r="D1526" t="str">
        <f>IFERROR(__xludf.DUMMYFUNCTION("""COMPUTED_VALUE"""),"trachomatis")</f>
        <v>trachomatis</v>
      </c>
      <c r="E1526" t="str">
        <f>IFERROR(__xludf.DUMMYFUNCTION("""COMPUTED_VALUE"""),"RC-J/971")</f>
        <v>RC-J/971</v>
      </c>
    </row>
    <row r="1527" ht="15.75" customHeight="1">
      <c r="A1527" t="str">
        <f t="shared" si="1"/>
        <v>C.trachomatis</v>
      </c>
      <c r="B1527" s="5" t="s">
        <v>1522</v>
      </c>
      <c r="C1527" s="6" t="str">
        <f>IFERROR(__xludf.DUMMYFUNCTION("SPLIT('2. c'!B1527, "" "", True, True)"),"Chlamydia")</f>
        <v>Chlamydia</v>
      </c>
      <c r="D1527" t="str">
        <f>IFERROR(__xludf.DUMMYFUNCTION("""COMPUTED_VALUE"""),"trachomatis")</f>
        <v>trachomatis</v>
      </c>
      <c r="E1527" t="str">
        <f>IFERROR(__xludf.DUMMYFUNCTION("""COMPUTED_VALUE"""),"RC-L2(s)/3")</f>
        <v>RC-L2(s)/3</v>
      </c>
    </row>
    <row r="1528" ht="15.75" customHeight="1">
      <c r="A1528" t="str">
        <f t="shared" si="1"/>
        <v>C.trachomatis</v>
      </c>
      <c r="B1528" s="5" t="s">
        <v>1523</v>
      </c>
      <c r="C1528" s="6" t="str">
        <f>IFERROR(__xludf.DUMMYFUNCTION("SPLIT('2. c'!B1528, "" "", True, True)"),"Chlamydia")</f>
        <v>Chlamydia</v>
      </c>
      <c r="D1528" t="str">
        <f>IFERROR(__xludf.DUMMYFUNCTION("""COMPUTED_VALUE"""),"trachomatis")</f>
        <v>trachomatis</v>
      </c>
      <c r="E1528" t="str">
        <f>IFERROR(__xludf.DUMMYFUNCTION("""COMPUTED_VALUE"""),"RC-L2(s)/46")</f>
        <v>RC-L2(s)/46</v>
      </c>
    </row>
    <row r="1529" ht="15.75" customHeight="1">
      <c r="A1529" t="str">
        <f t="shared" si="1"/>
        <v>C.trachomatis</v>
      </c>
      <c r="B1529" s="5" t="s">
        <v>1524</v>
      </c>
      <c r="C1529" s="6" t="str">
        <f>IFERROR(__xludf.DUMMYFUNCTION("SPLIT('2. c'!B1529, "" "", True, True)"),"Chlamydia")</f>
        <v>Chlamydia</v>
      </c>
      <c r="D1529" t="str">
        <f>IFERROR(__xludf.DUMMYFUNCTION("""COMPUTED_VALUE"""),"trachomatis")</f>
        <v>trachomatis</v>
      </c>
      <c r="E1529" t="str">
        <f>IFERROR(__xludf.DUMMYFUNCTION("""COMPUTED_VALUE"""),"RC-L2/55")</f>
        <v>RC-L2/55</v>
      </c>
    </row>
    <row r="1530" ht="15.75" customHeight="1">
      <c r="A1530" t="str">
        <f t="shared" si="1"/>
        <v>C.trachomatis</v>
      </c>
      <c r="B1530" s="5" t="s">
        <v>1525</v>
      </c>
      <c r="C1530" s="6" t="str">
        <f>IFERROR(__xludf.DUMMYFUNCTION("SPLIT('2. c'!B1530, "" "", True, True)"),"Chlamydia")</f>
        <v>Chlamydia</v>
      </c>
      <c r="D1530" t="str">
        <f>IFERROR(__xludf.DUMMYFUNCTION("""COMPUTED_VALUE"""),"trachomatis")</f>
        <v>trachomatis</v>
      </c>
      <c r="E1530" t="str">
        <f>IFERROR(__xludf.DUMMYFUNCTION("""COMPUTED_VALUE"""),"strain")</f>
        <v>strain</v>
      </c>
      <c r="F1530" t="str">
        <f>IFERROR(__xludf.DUMMYFUNCTION("""COMPUTED_VALUE"""),"B/TZ1A828/OT")</f>
        <v>B/TZ1A828/OT</v>
      </c>
    </row>
    <row r="1531" ht="15.75" customHeight="1">
      <c r="A1531" t="str">
        <f t="shared" si="1"/>
        <v>C.trachomatis</v>
      </c>
      <c r="B1531" s="5" t="s">
        <v>1526</v>
      </c>
      <c r="C1531" s="6" t="str">
        <f>IFERROR(__xludf.DUMMYFUNCTION("SPLIT('2. c'!B1531, "" "", True, True)"),"Chlamydia")</f>
        <v>Chlamydia</v>
      </c>
      <c r="D1531" t="str">
        <f>IFERROR(__xludf.DUMMYFUNCTION("""COMPUTED_VALUE"""),"trachomatis")</f>
        <v>trachomatis</v>
      </c>
      <c r="E1531" t="str">
        <f>IFERROR(__xludf.DUMMYFUNCTION("""COMPUTED_VALUE"""),"strain")</f>
        <v>strain</v>
      </c>
      <c r="F1531" t="str">
        <f>IFERROR(__xludf.DUMMYFUNCTION("""COMPUTED_VALUE"""),"E/CS1025/11")</f>
        <v>E/CS1025/11</v>
      </c>
    </row>
    <row r="1532" ht="15.75" customHeight="1">
      <c r="A1532" t="str">
        <f t="shared" si="1"/>
        <v>C.trachomatis</v>
      </c>
      <c r="B1532" s="5" t="s">
        <v>1527</v>
      </c>
      <c r="C1532" s="6" t="str">
        <f>IFERROR(__xludf.DUMMYFUNCTION("SPLIT('2. c'!B1532, "" "", True, True)"),"Chlamydia")</f>
        <v>Chlamydia</v>
      </c>
      <c r="D1532" t="str">
        <f>IFERROR(__xludf.DUMMYFUNCTION("""COMPUTED_VALUE"""),"trachomatis")</f>
        <v>trachomatis</v>
      </c>
      <c r="E1532" t="str">
        <f>IFERROR(__xludf.DUMMYFUNCTION("""COMPUTED_VALUE"""),"strain")</f>
        <v>strain</v>
      </c>
      <c r="F1532" t="str">
        <f>IFERROR(__xludf.DUMMYFUNCTION("""COMPUTED_VALUE"""),"E-103")</f>
        <v>E-103</v>
      </c>
    </row>
    <row r="1533" ht="15.75" customHeight="1">
      <c r="A1533" t="str">
        <f t="shared" si="1"/>
        <v>C.trachomatis</v>
      </c>
      <c r="B1533" s="5" t="s">
        <v>1528</v>
      </c>
      <c r="C1533" s="6" t="str">
        <f>IFERROR(__xludf.DUMMYFUNCTION("SPLIT('2. c'!B1533, "" "", True, True)"),"Chlamydia")</f>
        <v>Chlamydia</v>
      </c>
      <c r="D1533" t="str">
        <f>IFERROR(__xludf.DUMMYFUNCTION("""COMPUTED_VALUE"""),"trachomatis")</f>
        <v>trachomatis</v>
      </c>
      <c r="E1533" t="str">
        <f>IFERROR(__xludf.DUMMYFUNCTION("""COMPUTED_VALUE"""),"strain")</f>
        <v>strain</v>
      </c>
      <c r="F1533" t="str">
        <f>IFERROR(__xludf.DUMMYFUNCTION("""COMPUTED_VALUE"""),"E-160")</f>
        <v>E-160</v>
      </c>
    </row>
    <row r="1534" ht="15.75" customHeight="1">
      <c r="A1534" t="str">
        <f t="shared" si="1"/>
        <v>C.trachomatis</v>
      </c>
      <c r="B1534" s="5" t="s">
        <v>1536</v>
      </c>
      <c r="C1534" s="6" t="str">
        <f>IFERROR(__xludf.DUMMYFUNCTION("SPLIT('2. c'!B1534, "" "", True, True)"),"Chlamydia")</f>
        <v>Chlamydia</v>
      </c>
      <c r="D1534" t="str">
        <f>IFERROR(__xludf.DUMMYFUNCTION("""COMPUTED_VALUE"""),"trachomatis")</f>
        <v>trachomatis</v>
      </c>
      <c r="E1534" t="str">
        <f>IFERROR(__xludf.DUMMYFUNCTION("""COMPUTED_VALUE"""),"strain")</f>
        <v>strain</v>
      </c>
      <c r="F1534" t="str">
        <f>IFERROR(__xludf.DUMMYFUNCTION("""COMPUTED_VALUE"""),"E-32931")</f>
        <v>E-32931</v>
      </c>
    </row>
    <row r="1535" ht="15.75" customHeight="1">
      <c r="A1535" t="str">
        <f t="shared" si="1"/>
        <v>C.trachomatis</v>
      </c>
      <c r="B1535" s="5" t="s">
        <v>1538</v>
      </c>
      <c r="C1535" s="6" t="str">
        <f>IFERROR(__xludf.DUMMYFUNCTION("SPLIT('2. c'!B1535, "" "", True, True)"),"Chlamydia")</f>
        <v>Chlamydia</v>
      </c>
      <c r="D1535" t="str">
        <f>IFERROR(__xludf.DUMMYFUNCTION("""COMPUTED_VALUE"""),"trachomatis")</f>
        <v>trachomatis</v>
      </c>
      <c r="E1535" t="str">
        <f>IFERROR(__xludf.DUMMYFUNCTION("""COMPUTED_VALUE"""),"strain")</f>
        <v>strain</v>
      </c>
      <c r="F1535" t="str">
        <f>IFERROR(__xludf.DUMMYFUNCTION("""COMPUTED_VALUE"""),"E-547")</f>
        <v>E-547</v>
      </c>
    </row>
    <row r="1536" ht="15.75" customHeight="1">
      <c r="A1536" t="str">
        <f t="shared" si="1"/>
        <v>C.trachomatis</v>
      </c>
      <c r="B1536" s="5" t="s">
        <v>1549</v>
      </c>
      <c r="C1536" s="6" t="str">
        <f>IFERROR(__xludf.DUMMYFUNCTION("SPLIT('2. c'!B1536, "" "", True, True)"),"Chlamydia")</f>
        <v>Chlamydia</v>
      </c>
      <c r="D1536" t="str">
        <f>IFERROR(__xludf.DUMMYFUNCTION("""COMPUTED_VALUE"""),"trachomatis")</f>
        <v>trachomatis</v>
      </c>
      <c r="E1536" t="str">
        <f>IFERROR(__xludf.DUMMYFUNCTION("""COMPUTED_VALUE"""),"strain")</f>
        <v>strain</v>
      </c>
      <c r="F1536" t="str">
        <f>IFERROR(__xludf.DUMMYFUNCTION("""COMPUTED_VALUE"""),"E-8873")</f>
        <v>E-8873</v>
      </c>
    </row>
    <row r="1537" ht="15.75" customHeight="1">
      <c r="A1537" t="str">
        <f t="shared" si="1"/>
        <v>C.trachomatis</v>
      </c>
      <c r="B1537" s="5" t="s">
        <v>1562</v>
      </c>
      <c r="C1537" s="6" t="str">
        <f>IFERROR(__xludf.DUMMYFUNCTION("SPLIT('2. c'!B1537, "" "", True, True)"),"Chlamydia")</f>
        <v>Chlamydia</v>
      </c>
      <c r="D1537" t="str">
        <f>IFERROR(__xludf.DUMMYFUNCTION("""COMPUTED_VALUE"""),"trachomatis")</f>
        <v>trachomatis</v>
      </c>
      <c r="E1537" t="str">
        <f>IFERROR(__xludf.DUMMYFUNCTION("""COMPUTED_VALUE"""),"strain")</f>
        <v>strain</v>
      </c>
      <c r="F1537" t="str">
        <f>IFERROR(__xludf.DUMMYFUNCTION("""COMPUTED_VALUE"""),"E-DK-20")</f>
        <v>E-DK-20</v>
      </c>
    </row>
    <row r="1538" ht="15.75" customHeight="1">
      <c r="A1538" t="str">
        <f t="shared" si="1"/>
        <v>C.trachomatis</v>
      </c>
      <c r="B1538" s="5" t="s">
        <v>1575</v>
      </c>
      <c r="C1538" s="6" t="str">
        <f>IFERROR(__xludf.DUMMYFUNCTION("SPLIT('2. c'!B1538, "" "", True, True)"),"Chlamydia")</f>
        <v>Chlamydia</v>
      </c>
      <c r="D1538" t="str">
        <f>IFERROR(__xludf.DUMMYFUNCTION("""COMPUTED_VALUE"""),"trachomatis")</f>
        <v>trachomatis</v>
      </c>
      <c r="E1538" t="str">
        <f>IFERROR(__xludf.DUMMYFUNCTION("""COMPUTED_VALUE"""),"strain")</f>
        <v>strain</v>
      </c>
      <c r="F1538" t="str">
        <f>IFERROR(__xludf.DUMMYFUNCTION("""COMPUTED_VALUE"""),"F/CS847/08")</f>
        <v>F/CS847/08</v>
      </c>
    </row>
    <row r="1539" ht="15.75" customHeight="1">
      <c r="A1539" t="str">
        <f t="shared" si="1"/>
        <v>C.trachomatis</v>
      </c>
      <c r="B1539" s="5" t="s">
        <v>1584</v>
      </c>
      <c r="C1539" s="6" t="str">
        <f>IFERROR(__xludf.DUMMYFUNCTION("SPLIT('2. c'!B1539, "" "", True, True)"),"Chlamydia")</f>
        <v>Chlamydia</v>
      </c>
      <c r="D1539" t="str">
        <f>IFERROR(__xludf.DUMMYFUNCTION("""COMPUTED_VALUE"""),"trachomatis")</f>
        <v>trachomatis</v>
      </c>
      <c r="E1539" t="str">
        <f>IFERROR(__xludf.DUMMYFUNCTION("""COMPUTED_VALUE"""),"strain")</f>
        <v>strain</v>
      </c>
      <c r="F1539" t="str">
        <f>IFERROR(__xludf.DUMMYFUNCTION("""COMPUTED_VALUE"""),"F-6068")</f>
        <v>F-6068</v>
      </c>
    </row>
    <row r="1540" ht="15.75" customHeight="1">
      <c r="A1540" t="str">
        <f t="shared" si="1"/>
        <v>C.trachomatis</v>
      </c>
      <c r="B1540" s="5" t="s">
        <v>1593</v>
      </c>
      <c r="C1540" s="6" t="str">
        <f>IFERROR(__xludf.DUMMYFUNCTION("SPLIT('2. c'!B1540, "" "", True, True)"),"Chlamydia")</f>
        <v>Chlamydia</v>
      </c>
      <c r="D1540" t="str">
        <f>IFERROR(__xludf.DUMMYFUNCTION("""COMPUTED_VALUE"""),"trachomatis")</f>
        <v>trachomatis</v>
      </c>
      <c r="E1540" t="str">
        <f>IFERROR(__xludf.DUMMYFUNCTION("""COMPUTED_VALUE"""),"strain")</f>
        <v>strain</v>
      </c>
      <c r="F1540" t="str">
        <f>IFERROR(__xludf.DUMMYFUNCTION("""COMPUTED_VALUE"""),"Ia/CS190/96")</f>
        <v>Ia/CS190/96</v>
      </c>
    </row>
    <row r="1541" ht="15.75" customHeight="1">
      <c r="A1541" t="str">
        <f t="shared" si="1"/>
        <v>C.trachomatis</v>
      </c>
      <c r="B1541" s="5" t="s">
        <v>1601</v>
      </c>
      <c r="C1541" s="6" t="str">
        <f>IFERROR(__xludf.DUMMYFUNCTION("SPLIT('2. c'!B1541, "" "", True, True)"),"Chlamydia")</f>
        <v>Chlamydia</v>
      </c>
      <c r="D1541" t="str">
        <f>IFERROR(__xludf.DUMMYFUNCTION("""COMPUTED_VALUE"""),"trachomatis")</f>
        <v>trachomatis</v>
      </c>
      <c r="E1541" t="str">
        <f>IFERROR(__xludf.DUMMYFUNCTION("""COMPUTED_VALUE"""),"strain")</f>
        <v>strain</v>
      </c>
      <c r="F1541" t="str">
        <f>IFERROR(__xludf.DUMMYFUNCTION("""COMPUTED_VALUE"""),"L2b/CS19/08")</f>
        <v>L2b/CS19/08</v>
      </c>
    </row>
    <row r="1542" ht="15.75" customHeight="1">
      <c r="A1542" t="str">
        <f t="shared" si="1"/>
        <v>C.trachomatis</v>
      </c>
      <c r="B1542" s="5" t="s">
        <v>1612</v>
      </c>
      <c r="C1542" s="6" t="str">
        <f>IFERROR(__xludf.DUMMYFUNCTION("SPLIT('2. c'!B1542, "" "", True, True)"),"Chlamydia")</f>
        <v>Chlamydia</v>
      </c>
      <c r="D1542" t="str">
        <f>IFERROR(__xludf.DUMMYFUNCTION("""COMPUTED_VALUE"""),"trachomatis")</f>
        <v>trachomatis</v>
      </c>
      <c r="E1542" t="str">
        <f>IFERROR(__xludf.DUMMYFUNCTION("""COMPUTED_VALUE"""),"strain")</f>
        <v>strain</v>
      </c>
      <c r="F1542" t="str">
        <f>IFERROR(__xludf.DUMMYFUNCTION("""COMPUTED_VALUE"""),"L2b/CS784/08")</f>
        <v>L2b/CS784/08</v>
      </c>
    </row>
    <row r="1543" ht="15.75" customHeight="1">
      <c r="A1543" t="str">
        <f t="shared" si="1"/>
        <v>C.trachomatis</v>
      </c>
      <c r="B1543" s="5" t="s">
        <v>1623</v>
      </c>
      <c r="C1543" s="6" t="str">
        <f>IFERROR(__xludf.DUMMYFUNCTION("SPLIT('2. c'!B1543, "" "", True, True)"),"Chlamydia")</f>
        <v>Chlamydia</v>
      </c>
      <c r="D1543" t="str">
        <f>IFERROR(__xludf.DUMMYFUNCTION("""COMPUTED_VALUE"""),"trachomatis")</f>
        <v>trachomatis</v>
      </c>
      <c r="E1543" t="str">
        <f>IFERROR(__xludf.DUMMYFUNCTION("""COMPUTED_VALUE"""),"Sweden2")</f>
        <v>Sweden2</v>
      </c>
    </row>
    <row r="1544" ht="15.75" customHeight="1">
      <c r="A1544" t="str">
        <f t="shared" si="1"/>
        <v>C.abortus</v>
      </c>
      <c r="B1544" s="5" t="s">
        <v>1630</v>
      </c>
      <c r="C1544" s="6" t="str">
        <f>IFERROR(__xludf.DUMMYFUNCTION("SPLIT('2. c'!B1544, "" "", True, True)"),"Chlamydophila")</f>
        <v>Chlamydophila</v>
      </c>
      <c r="D1544" t="str">
        <f>IFERROR(__xludf.DUMMYFUNCTION("""COMPUTED_VALUE"""),"abortus")</f>
        <v>abortus</v>
      </c>
      <c r="E1544" t="str">
        <f>IFERROR(__xludf.DUMMYFUNCTION("""COMPUTED_VALUE"""),"S26/3")</f>
        <v>S26/3</v>
      </c>
    </row>
    <row r="1545" ht="15.75" customHeight="1">
      <c r="A1545" t="str">
        <f t="shared" si="1"/>
        <v>C.abortus</v>
      </c>
      <c r="B1545" s="5" t="s">
        <v>1642</v>
      </c>
      <c r="C1545" s="6" t="str">
        <f>IFERROR(__xludf.DUMMYFUNCTION("SPLIT('2. c'!B1545, "" "", True, True)"),"Chlamydophila")</f>
        <v>Chlamydophila</v>
      </c>
      <c r="D1545" t="str">
        <f>IFERROR(__xludf.DUMMYFUNCTION("""COMPUTED_VALUE"""),"abortus")</f>
        <v>abortus</v>
      </c>
      <c r="E1545" t="str">
        <f>IFERROR(__xludf.DUMMYFUNCTION("""COMPUTED_VALUE"""),"strain")</f>
        <v>strain</v>
      </c>
      <c r="F1545" t="str">
        <f>IFERROR(__xludf.DUMMYFUNCTION("""COMPUTED_VALUE"""),"AB7")</f>
        <v>AB7</v>
      </c>
    </row>
    <row r="1546" ht="15.75" customHeight="1">
      <c r="A1546" t="str">
        <f t="shared" si="1"/>
        <v>C.caviae</v>
      </c>
      <c r="B1546" s="5" t="s">
        <v>1652</v>
      </c>
      <c r="C1546" s="6" t="str">
        <f>IFERROR(__xludf.DUMMYFUNCTION("SPLIT('2. c'!B1546, "" "", True, True)"),"Chlamydophila")</f>
        <v>Chlamydophila</v>
      </c>
      <c r="D1546" t="str">
        <f>IFERROR(__xludf.DUMMYFUNCTION("""COMPUTED_VALUE"""),"caviae")</f>
        <v>caviae</v>
      </c>
      <c r="E1546" t="str">
        <f>IFERROR(__xludf.DUMMYFUNCTION("""COMPUTED_VALUE"""),"GPIC")</f>
        <v>GPIC</v>
      </c>
    </row>
    <row r="1547" ht="15.75" customHeight="1">
      <c r="A1547" t="str">
        <f t="shared" si="1"/>
        <v>C.felis</v>
      </c>
      <c r="B1547" s="5" t="s">
        <v>1660</v>
      </c>
      <c r="C1547" s="6" t="str">
        <f>IFERROR(__xludf.DUMMYFUNCTION("SPLIT('2. c'!B1547, "" "", True, True)"),"Chlamydophila")</f>
        <v>Chlamydophila</v>
      </c>
      <c r="D1547" t="str">
        <f>IFERROR(__xludf.DUMMYFUNCTION("""COMPUTED_VALUE"""),"felis")</f>
        <v>felis</v>
      </c>
      <c r="E1547" t="str">
        <f>IFERROR(__xludf.DUMMYFUNCTION("""COMPUTED_VALUE"""),"Fe/C-56")</f>
        <v>Fe/C-56</v>
      </c>
    </row>
    <row r="1548" ht="15.75" customHeight="1">
      <c r="A1548" t="str">
        <f t="shared" si="1"/>
        <v>C.pecorum</v>
      </c>
      <c r="B1548" s="5" t="s">
        <v>1672</v>
      </c>
      <c r="C1548" s="6" t="str">
        <f>IFERROR(__xludf.DUMMYFUNCTION("SPLIT('2. c'!B1548, "" "", True, True)"),"Chlamydophila")</f>
        <v>Chlamydophila</v>
      </c>
      <c r="D1548" t="str">
        <f>IFERROR(__xludf.DUMMYFUNCTION("""COMPUTED_VALUE"""),"pecorum")</f>
        <v>pecorum</v>
      </c>
      <c r="E1548" t="str">
        <f>IFERROR(__xludf.DUMMYFUNCTION("""COMPUTED_VALUE"""),"E58")</f>
        <v>E58</v>
      </c>
    </row>
    <row r="1549" ht="15.75" customHeight="1">
      <c r="A1549" t="str">
        <f t="shared" si="1"/>
        <v>C.pneumoniae</v>
      </c>
      <c r="B1549" s="5" t="s">
        <v>1683</v>
      </c>
      <c r="C1549" s="6" t="str">
        <f>IFERROR(__xludf.DUMMYFUNCTION("SPLIT('2. c'!B1549, "" "", True, True)"),"Chlamydophila")</f>
        <v>Chlamydophila</v>
      </c>
      <c r="D1549" t="str">
        <f>IFERROR(__xludf.DUMMYFUNCTION("""COMPUTED_VALUE"""),"pneumoniae")</f>
        <v>pneumoniae</v>
      </c>
      <c r="E1549" t="str">
        <f>IFERROR(__xludf.DUMMYFUNCTION("""COMPUTED_VALUE"""),"AR39")</f>
        <v>AR39</v>
      </c>
    </row>
    <row r="1550" ht="15.75" customHeight="1">
      <c r="A1550" t="str">
        <f t="shared" si="1"/>
        <v>C.pneumoniae</v>
      </c>
      <c r="B1550" s="5" t="s">
        <v>1694</v>
      </c>
      <c r="C1550" s="6" t="str">
        <f>IFERROR(__xludf.DUMMYFUNCTION("SPLIT('2. c'!B1550, "" "", True, True)"),"Chlamydophila")</f>
        <v>Chlamydophila</v>
      </c>
      <c r="D1550" t="str">
        <f>IFERROR(__xludf.DUMMYFUNCTION("""COMPUTED_VALUE"""),"pneumoniae")</f>
        <v>pneumoniae</v>
      </c>
      <c r="E1550" t="str">
        <f>IFERROR(__xludf.DUMMYFUNCTION("""COMPUTED_VALUE"""),"CWL029")</f>
        <v>CWL029</v>
      </c>
    </row>
    <row r="1551" ht="15.75" customHeight="1">
      <c r="A1551" t="str">
        <f t="shared" si="1"/>
        <v>C.pneumoniae</v>
      </c>
      <c r="B1551" s="5" t="s">
        <v>1704</v>
      </c>
      <c r="C1551" s="6" t="str">
        <f>IFERROR(__xludf.DUMMYFUNCTION("SPLIT('2. c'!B1551, "" "", True, True)"),"Chlamydophila")</f>
        <v>Chlamydophila</v>
      </c>
      <c r="D1551" t="str">
        <f>IFERROR(__xludf.DUMMYFUNCTION("""COMPUTED_VALUE"""),"pneumoniae")</f>
        <v>pneumoniae</v>
      </c>
      <c r="E1551" t="str">
        <f>IFERROR(__xludf.DUMMYFUNCTION("""COMPUTED_VALUE"""),"J138")</f>
        <v>J138</v>
      </c>
    </row>
    <row r="1552" ht="15.75" customHeight="1">
      <c r="A1552" t="str">
        <f t="shared" si="1"/>
        <v>C.pneumoniae</v>
      </c>
      <c r="B1552" s="5" t="s">
        <v>1716</v>
      </c>
      <c r="C1552" s="6" t="str">
        <f>IFERROR(__xludf.DUMMYFUNCTION("SPLIT('2. c'!B1552, "" "", True, True)"),"Chlamydophila")</f>
        <v>Chlamydophila</v>
      </c>
      <c r="D1552" t="str">
        <f>IFERROR(__xludf.DUMMYFUNCTION("""COMPUTED_VALUE"""),"pneumoniae")</f>
        <v>pneumoniae</v>
      </c>
      <c r="E1552" t="str">
        <f>IFERROR(__xludf.DUMMYFUNCTION("""COMPUTED_VALUE"""),"LPCoLN")</f>
        <v>LPCoLN</v>
      </c>
    </row>
    <row r="1553" ht="15.75" customHeight="1">
      <c r="A1553" t="str">
        <f t="shared" si="1"/>
        <v>C.pneumoniae</v>
      </c>
      <c r="B1553" s="5" t="s">
        <v>1723</v>
      </c>
      <c r="C1553" s="6" t="str">
        <f>IFERROR(__xludf.DUMMYFUNCTION("SPLIT('2. c'!B1553, "" "", True, True)"),"Chlamydophila")</f>
        <v>Chlamydophila</v>
      </c>
      <c r="D1553" t="str">
        <f>IFERROR(__xludf.DUMMYFUNCTION("""COMPUTED_VALUE"""),"pneumoniae")</f>
        <v>pneumoniae</v>
      </c>
      <c r="E1553" t="str">
        <f>IFERROR(__xludf.DUMMYFUNCTION("""COMPUTED_VALUE"""),"TW-183")</f>
        <v>TW-183</v>
      </c>
    </row>
    <row r="1554" ht="15.75" customHeight="1">
      <c r="A1554" t="str">
        <f t="shared" si="1"/>
        <v>C.psittaci</v>
      </c>
      <c r="B1554" s="5" t="s">
        <v>1732</v>
      </c>
      <c r="C1554" s="6" t="str">
        <f>IFERROR(__xludf.DUMMYFUNCTION("SPLIT('2. c'!B1554, "" "", True, True)"),"Chlamydophila")</f>
        <v>Chlamydophila</v>
      </c>
      <c r="D1554" t="str">
        <f>IFERROR(__xludf.DUMMYFUNCTION("""COMPUTED_VALUE"""),"psittaci")</f>
        <v>psittaci</v>
      </c>
      <c r="E1554" t="str">
        <f>IFERROR(__xludf.DUMMYFUNCTION("""COMPUTED_VALUE"""),"6BC")</f>
        <v>6BC</v>
      </c>
    </row>
    <row r="1555" ht="15.75" customHeight="1">
      <c r="A1555" t="str">
        <f t="shared" si="1"/>
        <v>C.psittaci</v>
      </c>
      <c r="B1555" s="5" t="s">
        <v>1743</v>
      </c>
      <c r="C1555" s="6" t="str">
        <f>IFERROR(__xludf.DUMMYFUNCTION("SPLIT('2. c'!B1555, "" "", True, True)"),"Chlamydophila")</f>
        <v>Chlamydophila</v>
      </c>
      <c r="D1555" t="str">
        <f>IFERROR(__xludf.DUMMYFUNCTION("""COMPUTED_VALUE"""),"psittaci")</f>
        <v>psittaci</v>
      </c>
      <c r="E1555" t="str">
        <f>IFERROR(__xludf.DUMMYFUNCTION("""COMPUTED_VALUE"""),"6BC")</f>
        <v>6BC</v>
      </c>
      <c r="F1555" t="str">
        <f>IFERROR(__xludf.DUMMYFUNCTION("""COMPUTED_VALUE"""),"(Prj:62889)")</f>
        <v>(Prj:62889)</v>
      </c>
    </row>
    <row r="1556" ht="15.75" customHeight="1">
      <c r="A1556" t="str">
        <f t="shared" si="1"/>
        <v>C.psittaci</v>
      </c>
      <c r="B1556" s="5" t="s">
        <v>1755</v>
      </c>
      <c r="C1556" s="6" t="str">
        <f>IFERROR(__xludf.DUMMYFUNCTION("SPLIT('2. c'!B1556, "" "", True, True)"),"Chlamydophila")</f>
        <v>Chlamydophila</v>
      </c>
      <c r="D1556" t="str">
        <f>IFERROR(__xludf.DUMMYFUNCTION("""COMPUTED_VALUE"""),"psittaci")</f>
        <v>psittaci</v>
      </c>
      <c r="E1556" t="str">
        <f>IFERROR(__xludf.DUMMYFUNCTION("""COMPUTED_VALUE"""),"Mat116")</f>
        <v>Mat116</v>
      </c>
    </row>
    <row r="1557" ht="15.75" customHeight="1">
      <c r="A1557" t="str">
        <f t="shared" si="1"/>
        <v>C.psittaci</v>
      </c>
      <c r="B1557" s="5" t="s">
        <v>1763</v>
      </c>
      <c r="C1557" s="6" t="str">
        <f>IFERROR(__xludf.DUMMYFUNCTION("SPLIT('2. c'!B1557, "" "", True, True)"),"Chlamydophila")</f>
        <v>Chlamydophila</v>
      </c>
      <c r="D1557" t="str">
        <f>IFERROR(__xludf.DUMMYFUNCTION("""COMPUTED_VALUE"""),"psittaci")</f>
        <v>psittaci</v>
      </c>
      <c r="E1557" t="str">
        <f>IFERROR(__xludf.DUMMYFUNCTION("""COMPUTED_VALUE"""),"RD1")</f>
        <v>RD1</v>
      </c>
    </row>
    <row r="1558" ht="15.75" customHeight="1">
      <c r="A1558" t="str">
        <f t="shared" si="1"/>
        <v>C.parvum</v>
      </c>
      <c r="B1558" s="5" t="s">
        <v>1777</v>
      </c>
      <c r="C1558" s="6" t="str">
        <f>IFERROR(__xludf.DUMMYFUNCTION("SPLIT('2. c'!B1558, "" "", True, True)"),"Chlorobaculum")</f>
        <v>Chlorobaculum</v>
      </c>
      <c r="D1558" t="str">
        <f>IFERROR(__xludf.DUMMYFUNCTION("""COMPUTED_VALUE"""),"parvum")</f>
        <v>parvum</v>
      </c>
      <c r="E1558" t="str">
        <f>IFERROR(__xludf.DUMMYFUNCTION("""COMPUTED_VALUE"""),"NCIB")</f>
        <v>NCIB</v>
      </c>
      <c r="F1558">
        <f>IFERROR(__xludf.DUMMYFUNCTION("""COMPUTED_VALUE"""),8327.0)</f>
        <v>8327</v>
      </c>
    </row>
    <row r="1559" ht="15.75" customHeight="1">
      <c r="A1559" t="str">
        <f t="shared" si="1"/>
        <v>C.chlorochromatii</v>
      </c>
      <c r="B1559" s="5" t="s">
        <v>1791</v>
      </c>
      <c r="C1559" s="6" t="str">
        <f>IFERROR(__xludf.DUMMYFUNCTION("SPLIT('2. c'!B1559, "" "", True, True)"),"Chlorobium")</f>
        <v>Chlorobium</v>
      </c>
      <c r="D1559" t="str">
        <f>IFERROR(__xludf.DUMMYFUNCTION("""COMPUTED_VALUE"""),"chlorochromatii")</f>
        <v>chlorochromatii</v>
      </c>
      <c r="E1559" t="str">
        <f>IFERROR(__xludf.DUMMYFUNCTION("""COMPUTED_VALUE"""),"CaD3")</f>
        <v>CaD3</v>
      </c>
    </row>
    <row r="1560" ht="15.75" customHeight="1">
      <c r="A1560" t="str">
        <f t="shared" si="1"/>
        <v>C.limicola</v>
      </c>
      <c r="B1560" s="5" t="s">
        <v>1805</v>
      </c>
      <c r="C1560" s="6" t="str">
        <f>IFERROR(__xludf.DUMMYFUNCTION("SPLIT('2. c'!B1560, "" "", True, True)"),"Chlorobium")</f>
        <v>Chlorobium</v>
      </c>
      <c r="D1560" t="str">
        <f>IFERROR(__xludf.DUMMYFUNCTION("""COMPUTED_VALUE"""),"limicola")</f>
        <v>limicola</v>
      </c>
      <c r="E1560" t="str">
        <f>IFERROR(__xludf.DUMMYFUNCTION("""COMPUTED_VALUE"""),"DSM")</f>
        <v>DSM</v>
      </c>
      <c r="F1560">
        <f>IFERROR(__xludf.DUMMYFUNCTION("""COMPUTED_VALUE"""),245.0)</f>
        <v>245</v>
      </c>
    </row>
    <row r="1561" ht="15.75" customHeight="1">
      <c r="A1561" t="str">
        <f t="shared" si="1"/>
        <v>C.luteolum</v>
      </c>
      <c r="B1561" s="5" t="s">
        <v>1816</v>
      </c>
      <c r="C1561" s="6" t="str">
        <f>IFERROR(__xludf.DUMMYFUNCTION("SPLIT('2. c'!B1561, "" "", True, True)"),"Chlorobium")</f>
        <v>Chlorobium</v>
      </c>
      <c r="D1561" t="str">
        <f>IFERROR(__xludf.DUMMYFUNCTION("""COMPUTED_VALUE"""),"luteolum")</f>
        <v>luteolum</v>
      </c>
      <c r="E1561" t="str">
        <f>IFERROR(__xludf.DUMMYFUNCTION("""COMPUTED_VALUE"""),"DSM")</f>
        <v>DSM</v>
      </c>
      <c r="F1561">
        <f>IFERROR(__xludf.DUMMYFUNCTION("""COMPUTED_VALUE"""),273.0)</f>
        <v>273</v>
      </c>
    </row>
    <row r="1562" ht="15.75" customHeight="1">
      <c r="A1562" t="str">
        <f t="shared" si="1"/>
        <v>C.phaeobacteroides</v>
      </c>
      <c r="B1562" s="5" t="s">
        <v>1830</v>
      </c>
      <c r="C1562" s="6" t="str">
        <f>IFERROR(__xludf.DUMMYFUNCTION("SPLIT('2. c'!B1562, "" "", True, True)"),"Chlorobium")</f>
        <v>Chlorobium</v>
      </c>
      <c r="D1562" t="str">
        <f>IFERROR(__xludf.DUMMYFUNCTION("""COMPUTED_VALUE"""),"phaeobacteroides")</f>
        <v>phaeobacteroides</v>
      </c>
      <c r="E1562" t="str">
        <f>IFERROR(__xludf.DUMMYFUNCTION("""COMPUTED_VALUE"""),"BS1")</f>
        <v>BS1</v>
      </c>
    </row>
    <row r="1563" ht="15.75" customHeight="1">
      <c r="A1563" t="str">
        <f t="shared" si="1"/>
        <v>C.phaeobacteroides</v>
      </c>
      <c r="B1563" s="5" t="s">
        <v>1841</v>
      </c>
      <c r="C1563" s="6" t="str">
        <f>IFERROR(__xludf.DUMMYFUNCTION("SPLIT('2. c'!B1563, "" "", True, True)"),"Chlorobium")</f>
        <v>Chlorobium</v>
      </c>
      <c r="D1563" t="str">
        <f>IFERROR(__xludf.DUMMYFUNCTION("""COMPUTED_VALUE"""),"phaeobacteroides")</f>
        <v>phaeobacteroides</v>
      </c>
      <c r="E1563" t="str">
        <f>IFERROR(__xludf.DUMMYFUNCTION("""COMPUTED_VALUE"""),"DSM")</f>
        <v>DSM</v>
      </c>
      <c r="F1563">
        <f>IFERROR(__xludf.DUMMYFUNCTION("""COMPUTED_VALUE"""),266.0)</f>
        <v>266</v>
      </c>
    </row>
    <row r="1564" ht="15.75" customHeight="1">
      <c r="A1564" t="str">
        <f t="shared" si="1"/>
        <v>C.phaeovibrioides</v>
      </c>
      <c r="B1564" s="5" t="s">
        <v>1852</v>
      </c>
      <c r="C1564" s="6" t="str">
        <f>IFERROR(__xludf.DUMMYFUNCTION("SPLIT('2. c'!B1564, "" "", True, True)"),"Chlorobium")</f>
        <v>Chlorobium</v>
      </c>
      <c r="D1564" t="str">
        <f>IFERROR(__xludf.DUMMYFUNCTION("""COMPUTED_VALUE"""),"phaeovibrioides")</f>
        <v>phaeovibrioides</v>
      </c>
      <c r="E1564" t="str">
        <f>IFERROR(__xludf.DUMMYFUNCTION("""COMPUTED_VALUE"""),"DSM")</f>
        <v>DSM</v>
      </c>
      <c r="F1564">
        <f>IFERROR(__xludf.DUMMYFUNCTION("""COMPUTED_VALUE"""),265.0)</f>
        <v>265</v>
      </c>
    </row>
    <row r="1565" ht="15.75" customHeight="1">
      <c r="A1565" t="str">
        <f t="shared" si="1"/>
        <v>C.tepidum</v>
      </c>
      <c r="B1565" s="5" t="s">
        <v>1866</v>
      </c>
      <c r="C1565" s="6" t="str">
        <f>IFERROR(__xludf.DUMMYFUNCTION("SPLIT('2. c'!B1565, "" "", True, True)"),"Chlorobium")</f>
        <v>Chlorobium</v>
      </c>
      <c r="D1565" t="str">
        <f>IFERROR(__xludf.DUMMYFUNCTION("""COMPUTED_VALUE"""),"tepidum")</f>
        <v>tepidum</v>
      </c>
      <c r="E1565" t="str">
        <f>IFERROR(__xludf.DUMMYFUNCTION("""COMPUTED_VALUE"""),"TLS")</f>
        <v>TLS</v>
      </c>
    </row>
    <row r="1566" ht="15.75" customHeight="1">
      <c r="A1566" t="str">
        <f t="shared" si="1"/>
        <v>C.aggregans</v>
      </c>
      <c r="B1566" s="5" t="s">
        <v>1876</v>
      </c>
      <c r="C1566" s="6" t="str">
        <f>IFERROR(__xludf.DUMMYFUNCTION("SPLIT('2. c'!B1566, "" "", True, True)"),"Chloroflexus")</f>
        <v>Chloroflexus</v>
      </c>
      <c r="D1566" t="str">
        <f>IFERROR(__xludf.DUMMYFUNCTION("""COMPUTED_VALUE"""),"aggregans")</f>
        <v>aggregans</v>
      </c>
      <c r="E1566" t="str">
        <f>IFERROR(__xludf.DUMMYFUNCTION("""COMPUTED_VALUE"""),"DSM")</f>
        <v>DSM</v>
      </c>
      <c r="F1566">
        <f>IFERROR(__xludf.DUMMYFUNCTION("""COMPUTED_VALUE"""),9485.0)</f>
        <v>9485</v>
      </c>
    </row>
    <row r="1567" ht="15.75" customHeight="1">
      <c r="A1567" t="str">
        <f t="shared" si="1"/>
        <v>C.aurantiacus</v>
      </c>
      <c r="B1567" s="5" t="s">
        <v>1887</v>
      </c>
      <c r="C1567" s="6" t="str">
        <f>IFERROR(__xludf.DUMMYFUNCTION("SPLIT('2. c'!B1567, "" "", True, True)"),"Chloroflexus")</f>
        <v>Chloroflexus</v>
      </c>
      <c r="D1567" t="str">
        <f>IFERROR(__xludf.DUMMYFUNCTION("""COMPUTED_VALUE"""),"aurantiacus")</f>
        <v>aurantiacus</v>
      </c>
      <c r="E1567" t="str">
        <f>IFERROR(__xludf.DUMMYFUNCTION("""COMPUTED_VALUE"""),"J-10-fl")</f>
        <v>J-10-fl</v>
      </c>
    </row>
    <row r="1568" ht="15.75" customHeight="1">
      <c r="A1568" t="str">
        <f t="shared" si="1"/>
        <v>C.sp.</v>
      </c>
      <c r="B1568" s="5" t="s">
        <v>1896</v>
      </c>
      <c r="C1568" s="6" t="str">
        <f>IFERROR(__xludf.DUMMYFUNCTION("SPLIT('2. c'!B1568, "" "", True, True)"),"Chloroflexus")</f>
        <v>Chloroflexus</v>
      </c>
      <c r="D1568" t="str">
        <f>IFERROR(__xludf.DUMMYFUNCTION("""COMPUTED_VALUE"""),"sp.")</f>
        <v>sp.</v>
      </c>
      <c r="E1568" t="str">
        <f>IFERROR(__xludf.DUMMYFUNCTION("""COMPUTED_VALUE"""),"Y-400-fl")</f>
        <v>Y-400-fl</v>
      </c>
    </row>
    <row r="1569" ht="15.75" customHeight="1">
      <c r="A1569" t="str">
        <f t="shared" si="1"/>
        <v>C.thalassium</v>
      </c>
      <c r="B1569" s="5" t="s">
        <v>1907</v>
      </c>
      <c r="C1569" s="6" t="str">
        <f>IFERROR(__xludf.DUMMYFUNCTION("SPLIT('2. c'!B1569, "" "", True, True)"),"Chloroherpeton")</f>
        <v>Chloroherpeton</v>
      </c>
      <c r="D1569" t="str">
        <f>IFERROR(__xludf.DUMMYFUNCTION("""COMPUTED_VALUE"""),"thalassium")</f>
        <v>thalassium</v>
      </c>
      <c r="E1569" t="str">
        <f>IFERROR(__xludf.DUMMYFUNCTION("""COMPUTED_VALUE"""),"ATCC")</f>
        <v>ATCC</v>
      </c>
      <c r="F1569">
        <f>IFERROR(__xludf.DUMMYFUNCTION("""COMPUTED_VALUE"""),35110.0)</f>
        <v>35110</v>
      </c>
    </row>
    <row r="1570" ht="15.75" customHeight="1">
      <c r="A1570" t="str">
        <f t="shared" si="1"/>
        <v>C.crocatus</v>
      </c>
      <c r="B1570" s="5" t="s">
        <v>1923</v>
      </c>
      <c r="C1570" s="6" t="str">
        <f>IFERROR(__xludf.DUMMYFUNCTION("SPLIT('2. c'!B1570, "" "", True, True)"),"Chondromyces")</f>
        <v>Chondromyces</v>
      </c>
      <c r="D1570" t="str">
        <f>IFERROR(__xludf.DUMMYFUNCTION("""COMPUTED_VALUE"""),"crocatus")</f>
        <v>crocatus</v>
      </c>
      <c r="E1570" t="str">
        <f>IFERROR(__xludf.DUMMYFUNCTION("""COMPUTED_VALUE"""),"strain")</f>
        <v>strain</v>
      </c>
      <c r="F1570" t="str">
        <f>IFERROR(__xludf.DUMMYFUNCTION("""COMPUTED_VALUE"""),"Cm")</f>
        <v>Cm</v>
      </c>
      <c r="G1570" t="str">
        <f>IFERROR(__xludf.DUMMYFUNCTION("""COMPUTED_VALUE"""),"c5")</f>
        <v>c5</v>
      </c>
    </row>
    <row r="1571" ht="15.75" customHeight="1">
      <c r="A1571" t="str">
        <f t="shared" si="1"/>
        <v>C.violaceum</v>
      </c>
      <c r="B1571" s="5" t="s">
        <v>1936</v>
      </c>
      <c r="C1571" s="6" t="str">
        <f>IFERROR(__xludf.DUMMYFUNCTION("SPLIT('2. c'!B1571, "" "", True, True)"),"Chromobacterium")</f>
        <v>Chromobacterium</v>
      </c>
      <c r="D1571" t="str">
        <f>IFERROR(__xludf.DUMMYFUNCTION("""COMPUTED_VALUE"""),"violaceum")</f>
        <v>violaceum</v>
      </c>
      <c r="E1571" t="str">
        <f>IFERROR(__xludf.DUMMYFUNCTION("""COMPUTED_VALUE"""),"ATCC")</f>
        <v>ATCC</v>
      </c>
      <c r="F1571">
        <f>IFERROR(__xludf.DUMMYFUNCTION("""COMPUTED_VALUE"""),12472.0)</f>
        <v>12472</v>
      </c>
    </row>
    <row r="1572" ht="15.75" customHeight="1">
      <c r="A1572" t="str">
        <f t="shared" si="1"/>
        <v>C.salexigens</v>
      </c>
      <c r="B1572" s="5" t="s">
        <v>1947</v>
      </c>
      <c r="C1572" s="6" t="str">
        <f>IFERROR(__xludf.DUMMYFUNCTION("SPLIT('2. c'!B1572, "" "", True, True)"),"Chromohalobacter")</f>
        <v>Chromohalobacter</v>
      </c>
      <c r="D1572" t="str">
        <f>IFERROR(__xludf.DUMMYFUNCTION("""COMPUTED_VALUE"""),"salexigens")</f>
        <v>salexigens</v>
      </c>
      <c r="E1572" t="str">
        <f>IFERROR(__xludf.DUMMYFUNCTION("""COMPUTED_VALUE"""),"DSM")</f>
        <v>DSM</v>
      </c>
      <c r="F1572">
        <f>IFERROR(__xludf.DUMMYFUNCTION("""COMPUTED_VALUE"""),3043.0)</f>
        <v>3043</v>
      </c>
    </row>
    <row r="1573" ht="15.75" customHeight="1">
      <c r="A1573" t="str">
        <f t="shared" si="1"/>
        <v>C.thermalis</v>
      </c>
      <c r="B1573" s="5" t="s">
        <v>1960</v>
      </c>
      <c r="C1573" s="6" t="str">
        <f>IFERROR(__xludf.DUMMYFUNCTION("SPLIT('2. c'!B1573, "" "", True, True)"),"Chroococcidiopsis")</f>
        <v>Chroococcidiopsis</v>
      </c>
      <c r="D1573" t="str">
        <f>IFERROR(__xludf.DUMMYFUNCTION("""COMPUTED_VALUE"""),"thermalis")</f>
        <v>thermalis</v>
      </c>
      <c r="E1573" t="str">
        <f>IFERROR(__xludf.DUMMYFUNCTION("""COMPUTED_VALUE"""),"PCC")</f>
        <v>PCC</v>
      </c>
      <c r="F1573">
        <f>IFERROR(__xludf.DUMMYFUNCTION("""COMPUTED_VALUE"""),7203.0)</f>
        <v>7203</v>
      </c>
    </row>
    <row r="1574" ht="15.75" customHeight="1">
      <c r="A1574" t="str">
        <f t="shared" si="1"/>
        <v>C.gallinarum</v>
      </c>
      <c r="B1574" s="5" t="s">
        <v>1970</v>
      </c>
      <c r="C1574" s="6" t="str">
        <f>IFERROR(__xludf.DUMMYFUNCTION("SPLIT('2. c'!B1574, "" "", True, True)"),"Chryseobacterium")</f>
        <v>Chryseobacterium</v>
      </c>
      <c r="D1574" t="str">
        <f>IFERROR(__xludf.DUMMYFUNCTION("""COMPUTED_VALUE"""),"gallinarum")</f>
        <v>gallinarum</v>
      </c>
      <c r="E1574" t="str">
        <f>IFERROR(__xludf.DUMMYFUNCTION("""COMPUTED_VALUE"""),"strain")</f>
        <v>strain</v>
      </c>
      <c r="F1574" t="str">
        <f>IFERROR(__xludf.DUMMYFUNCTION("""COMPUTED_VALUE"""),"DSM")</f>
        <v>DSM</v>
      </c>
      <c r="G1574">
        <f>IFERROR(__xludf.DUMMYFUNCTION("""COMPUTED_VALUE"""),27622.0)</f>
        <v>27622</v>
      </c>
    </row>
    <row r="1575" ht="15.75" customHeight="1">
      <c r="A1575" t="str">
        <f t="shared" si="1"/>
        <v>C.sp.</v>
      </c>
      <c r="B1575" s="5" t="s">
        <v>1979</v>
      </c>
      <c r="C1575" s="6" t="str">
        <f>IFERROR(__xludf.DUMMYFUNCTION("SPLIT('2. c'!B1575, "" "", True, True)"),"Chryseobacterium")</f>
        <v>Chryseobacterium</v>
      </c>
      <c r="D1575" t="str">
        <f>IFERROR(__xludf.DUMMYFUNCTION("""COMPUTED_VALUE"""),"sp.")</f>
        <v>sp.</v>
      </c>
      <c r="E1575" t="str">
        <f>IFERROR(__xludf.DUMMYFUNCTION("""COMPUTED_VALUE"""),"IHB")</f>
        <v>IHB</v>
      </c>
      <c r="F1575" t="str">
        <f>IFERROR(__xludf.DUMMYFUNCTION("""COMPUTED_VALUE"""),"B")</f>
        <v>B</v>
      </c>
      <c r="G1575">
        <f>IFERROR(__xludf.DUMMYFUNCTION("""COMPUTED_VALUE"""),10212.0)</f>
        <v>10212</v>
      </c>
    </row>
    <row r="1576" ht="15.75" customHeight="1">
      <c r="A1576" t="str">
        <f t="shared" si="1"/>
        <v>C.sp.</v>
      </c>
      <c r="B1576" s="5" t="s">
        <v>1989</v>
      </c>
      <c r="C1576" s="6" t="str">
        <f>IFERROR(__xludf.DUMMYFUNCTION("SPLIT('2. c'!B1576, "" "", True, True)"),"Chryseobacterium")</f>
        <v>Chryseobacterium</v>
      </c>
      <c r="D1576" t="str">
        <f>IFERROR(__xludf.DUMMYFUNCTION("""COMPUTED_VALUE"""),"sp.")</f>
        <v>sp.</v>
      </c>
      <c r="E1576" t="str">
        <f>IFERROR(__xludf.DUMMYFUNCTION("""COMPUTED_VALUE"""),"IHB")</f>
        <v>IHB</v>
      </c>
      <c r="F1576" t="str">
        <f>IFERROR(__xludf.DUMMYFUNCTION("""COMPUTED_VALUE"""),"B")</f>
        <v>B</v>
      </c>
      <c r="G1576">
        <f>IFERROR(__xludf.DUMMYFUNCTION("""COMPUTED_VALUE"""),17019.0)</f>
        <v>17019</v>
      </c>
    </row>
    <row r="1577" ht="15.75" customHeight="1">
      <c r="A1577" t="str">
        <f t="shared" si="1"/>
        <v>C.sp.</v>
      </c>
      <c r="B1577" s="5" t="s">
        <v>1993</v>
      </c>
      <c r="C1577" s="6" t="str">
        <f>IFERROR(__xludf.DUMMYFUNCTION("SPLIT('2. c'!B1577, "" "", True, True)"),"Chryseobacterium")</f>
        <v>Chryseobacterium</v>
      </c>
      <c r="D1577" t="str">
        <f>IFERROR(__xludf.DUMMYFUNCTION("""COMPUTED_VALUE"""),"sp.")</f>
        <v>sp.</v>
      </c>
      <c r="E1577" t="str">
        <f>IFERROR(__xludf.DUMMYFUNCTION("""COMPUTED_VALUE"""),"StRB126")</f>
        <v>StRB126</v>
      </c>
    </row>
    <row r="1578" ht="15.75" customHeight="1">
      <c r="A1578" t="str">
        <f t="shared" si="1"/>
        <v>C.calidirosea</v>
      </c>
      <c r="B1578" s="5" t="s">
        <v>1999</v>
      </c>
      <c r="C1578" s="6" t="str">
        <f>IFERROR(__xludf.DUMMYFUNCTION("SPLIT('2. c'!B1578, "" "", True, True)"),"Chthonomonas")</f>
        <v>Chthonomonas</v>
      </c>
      <c r="D1578" t="str">
        <f>IFERROR(__xludf.DUMMYFUNCTION("""COMPUTED_VALUE"""),"calidirosea")</f>
        <v>calidirosea</v>
      </c>
      <c r="E1578" t="str">
        <f>IFERROR(__xludf.DUMMYFUNCTION("""COMPUTED_VALUE"""),"strain")</f>
        <v>strain</v>
      </c>
      <c r="F1578" t="str">
        <f>IFERROR(__xludf.DUMMYFUNCTION("""COMPUTED_VALUE"""),"P488")</f>
        <v>P488</v>
      </c>
    </row>
    <row r="1579" ht="15.75" customHeight="1">
      <c r="A1579" t="str">
        <f t="shared" si="1"/>
        <v>C.calidirosea</v>
      </c>
      <c r="B1579" s="5" t="s">
        <v>2012</v>
      </c>
      <c r="C1579" s="6" t="str">
        <f>IFERROR(__xludf.DUMMYFUNCTION("SPLIT('2. c'!B1579, "" "", True, True)"),"Chthonomonas")</f>
        <v>Chthonomonas</v>
      </c>
      <c r="D1579" t="str">
        <f>IFERROR(__xludf.DUMMYFUNCTION("""COMPUTED_VALUE"""),"calidirosea")</f>
        <v>calidirosea</v>
      </c>
      <c r="E1579" t="str">
        <f>IFERROR(__xludf.DUMMYFUNCTION("""COMPUTED_VALUE"""),"strain")</f>
        <v>strain</v>
      </c>
      <c r="F1579" t="str">
        <f>IFERROR(__xludf.DUMMYFUNCTION("""COMPUTED_VALUE"""),"TKA4.10")</f>
        <v>TKA4.10</v>
      </c>
    </row>
    <row r="1580" ht="15.75" customHeight="1">
      <c r="A1580" t="str">
        <f t="shared" si="1"/>
        <v>C.calidirosea</v>
      </c>
      <c r="B1580" s="5" t="s">
        <v>2025</v>
      </c>
      <c r="C1580" s="6" t="str">
        <f>IFERROR(__xludf.DUMMYFUNCTION("SPLIT('2. c'!B1580, "" "", True, True)"),"Chthonomonas")</f>
        <v>Chthonomonas</v>
      </c>
      <c r="D1580" t="str">
        <f>IFERROR(__xludf.DUMMYFUNCTION("""COMPUTED_VALUE"""),"calidirosea")</f>
        <v>calidirosea</v>
      </c>
      <c r="E1580" t="str">
        <f>IFERROR(__xludf.DUMMYFUNCTION("""COMPUTED_VALUE"""),"strain")</f>
        <v>strain</v>
      </c>
      <c r="F1580" t="str">
        <f>IFERROR(__xludf.DUMMYFUNCTION("""COMPUTED_VALUE"""),"WRG1.2")</f>
        <v>WRG1.2</v>
      </c>
    </row>
    <row r="1581" ht="15.75" customHeight="1">
      <c r="A1581" t="str">
        <f t="shared" si="1"/>
        <v>C.calidirosea</v>
      </c>
      <c r="B1581" s="5" t="s">
        <v>2040</v>
      </c>
      <c r="C1581" s="6" t="str">
        <f>IFERROR(__xludf.DUMMYFUNCTION("SPLIT('2. c'!B1581, "" "", True, True)"),"Chthonomonas")</f>
        <v>Chthonomonas</v>
      </c>
      <c r="D1581" t="str">
        <f>IFERROR(__xludf.DUMMYFUNCTION("""COMPUTED_VALUE"""),"calidirosea")</f>
        <v>calidirosea</v>
      </c>
      <c r="E1581" t="str">
        <f>IFERROR(__xludf.DUMMYFUNCTION("""COMPUTED_VALUE"""),"T49")</f>
        <v>T49</v>
      </c>
    </row>
    <row r="1582" ht="15.75" customHeight="1">
      <c r="A1582" t="str">
        <f t="shared" si="1"/>
        <v>C.amalonaticus</v>
      </c>
      <c r="B1582" s="5" t="s">
        <v>2053</v>
      </c>
      <c r="C1582" s="6" t="str">
        <f>IFERROR(__xludf.DUMMYFUNCTION("SPLIT('2. c'!B1582, "" "", True, True)"),"Citrobacter")</f>
        <v>Citrobacter</v>
      </c>
      <c r="D1582" t="str">
        <f>IFERROR(__xludf.DUMMYFUNCTION("""COMPUTED_VALUE"""),"amalonaticus")</f>
        <v>amalonaticus</v>
      </c>
      <c r="E1582" t="str">
        <f>IFERROR(__xludf.DUMMYFUNCTION("""COMPUTED_VALUE"""),"strain")</f>
        <v>strain</v>
      </c>
      <c r="F1582" t="str">
        <f>IFERROR(__xludf.DUMMYFUNCTION("""COMPUTED_VALUE"""),"FDAARGOS_122")</f>
        <v>FDAARGOS_122</v>
      </c>
    </row>
    <row r="1583" ht="15.75" customHeight="1">
      <c r="A1583" t="str">
        <f t="shared" si="1"/>
        <v>C.amalonaticus</v>
      </c>
      <c r="B1583" s="5" t="s">
        <v>2066</v>
      </c>
      <c r="C1583" s="6" t="str">
        <f>IFERROR(__xludf.DUMMYFUNCTION("SPLIT('2. c'!B1583, "" "", True, True)"),"Citrobacter")</f>
        <v>Citrobacter</v>
      </c>
      <c r="D1583" t="str">
        <f>IFERROR(__xludf.DUMMYFUNCTION("""COMPUTED_VALUE"""),"amalonaticus")</f>
        <v>amalonaticus</v>
      </c>
      <c r="E1583" t="str">
        <f>IFERROR(__xludf.DUMMYFUNCTION("""COMPUTED_VALUE"""),"strain")</f>
        <v>strain</v>
      </c>
      <c r="F1583" t="str">
        <f>IFERROR(__xludf.DUMMYFUNCTION("""COMPUTED_VALUE"""),"FDAARGOS_165")</f>
        <v>FDAARGOS_165</v>
      </c>
    </row>
    <row r="1584" ht="15.75" customHeight="1">
      <c r="A1584" t="str">
        <f t="shared" si="1"/>
        <v>C.amalonaticus</v>
      </c>
      <c r="B1584" s="5" t="s">
        <v>2073</v>
      </c>
      <c r="C1584" s="6" t="str">
        <f>IFERROR(__xludf.DUMMYFUNCTION("SPLIT('2. c'!B1584, "" "", True, True)"),"Citrobacter")</f>
        <v>Citrobacter</v>
      </c>
      <c r="D1584" t="str">
        <f>IFERROR(__xludf.DUMMYFUNCTION("""COMPUTED_VALUE"""),"amalonaticus")</f>
        <v>amalonaticus</v>
      </c>
      <c r="E1584" t="str">
        <f>IFERROR(__xludf.DUMMYFUNCTION("""COMPUTED_VALUE"""),"strain")</f>
        <v>strain</v>
      </c>
      <c r="F1584" t="str">
        <f>IFERROR(__xludf.DUMMYFUNCTION("""COMPUTED_VALUE"""),"FDAARGOS_166")</f>
        <v>FDAARGOS_166</v>
      </c>
    </row>
    <row r="1585" ht="15.75" customHeight="1">
      <c r="A1585" t="str">
        <f t="shared" si="1"/>
        <v>C.amalonaticus</v>
      </c>
      <c r="B1585" s="5" t="s">
        <v>2082</v>
      </c>
      <c r="C1585" s="6" t="str">
        <f>IFERROR(__xludf.DUMMYFUNCTION("SPLIT('2. c'!B1585, "" "", True, True)"),"Citrobacter")</f>
        <v>Citrobacter</v>
      </c>
      <c r="D1585" t="str">
        <f>IFERROR(__xludf.DUMMYFUNCTION("""COMPUTED_VALUE"""),"amalonaticus")</f>
        <v>amalonaticus</v>
      </c>
      <c r="E1585" t="str">
        <f>IFERROR(__xludf.DUMMYFUNCTION("""COMPUTED_VALUE"""),"Y19")</f>
        <v>Y19</v>
      </c>
    </row>
    <row r="1586" ht="15.75" customHeight="1">
      <c r="A1586" t="str">
        <f t="shared" si="1"/>
        <v>C.freundii</v>
      </c>
      <c r="B1586" s="5" t="s">
        <v>2091</v>
      </c>
      <c r="C1586" s="6" t="str">
        <f>IFERROR(__xludf.DUMMYFUNCTION("SPLIT('2. c'!B1586, "" "", True, True)"),"Citrobacter")</f>
        <v>Citrobacter</v>
      </c>
      <c r="D1586" t="str">
        <f>IFERROR(__xludf.DUMMYFUNCTION("""COMPUTED_VALUE"""),"freundii")</f>
        <v>freundii</v>
      </c>
      <c r="E1586" t="str">
        <f>IFERROR(__xludf.DUMMYFUNCTION("""COMPUTED_VALUE"""),"CFNIH1")</f>
        <v>CFNIH1</v>
      </c>
    </row>
    <row r="1587" ht="15.75" customHeight="1">
      <c r="A1587" t="str">
        <f t="shared" si="1"/>
        <v>C.freundii</v>
      </c>
      <c r="B1587" s="5" t="s">
        <v>2101</v>
      </c>
      <c r="C1587" s="6" t="str">
        <f>IFERROR(__xludf.DUMMYFUNCTION("SPLIT('2. c'!B1587, "" "", True, True)"),"Citrobacter")</f>
        <v>Citrobacter</v>
      </c>
      <c r="D1587" t="str">
        <f>IFERROR(__xludf.DUMMYFUNCTION("""COMPUTED_VALUE"""),"freundii")</f>
        <v>freundii</v>
      </c>
      <c r="E1587" t="str">
        <f>IFERROR(__xludf.DUMMYFUNCTION("""COMPUTED_VALUE"""),"strain")</f>
        <v>strain</v>
      </c>
      <c r="F1587" t="str">
        <f>IFERROR(__xludf.DUMMYFUNCTION("""COMPUTED_VALUE"""),"CAV1321")</f>
        <v>CAV1321</v>
      </c>
    </row>
    <row r="1588" ht="15.75" customHeight="1">
      <c r="A1588" t="str">
        <f t="shared" si="1"/>
        <v>C.freundii</v>
      </c>
      <c r="B1588" s="5" t="s">
        <v>2111</v>
      </c>
      <c r="C1588" s="6" t="str">
        <f>IFERROR(__xludf.DUMMYFUNCTION("SPLIT('2. c'!B1588, "" "", True, True)"),"Citrobacter")</f>
        <v>Citrobacter</v>
      </c>
      <c r="D1588" t="str">
        <f>IFERROR(__xludf.DUMMYFUNCTION("""COMPUTED_VALUE"""),"freundii")</f>
        <v>freundii</v>
      </c>
      <c r="E1588" t="str">
        <f>IFERROR(__xludf.DUMMYFUNCTION("""COMPUTED_VALUE"""),"strain")</f>
        <v>strain</v>
      </c>
      <c r="F1588" t="str">
        <f>IFERROR(__xludf.DUMMYFUNCTION("""COMPUTED_VALUE"""),"CAV1741")</f>
        <v>CAV1741</v>
      </c>
    </row>
    <row r="1589" ht="15.75" customHeight="1">
      <c r="A1589" t="str">
        <f t="shared" si="1"/>
        <v>C.freundii</v>
      </c>
      <c r="B1589" s="5" t="s">
        <v>2120</v>
      </c>
      <c r="C1589" s="6" t="str">
        <f>IFERROR(__xludf.DUMMYFUNCTION("SPLIT('2. c'!B1589, "" "", True, True)"),"Citrobacter")</f>
        <v>Citrobacter</v>
      </c>
      <c r="D1589" t="str">
        <f>IFERROR(__xludf.DUMMYFUNCTION("""COMPUTED_VALUE"""),"freundii")</f>
        <v>freundii</v>
      </c>
      <c r="E1589" t="str">
        <f>IFERROR(__xludf.DUMMYFUNCTION("""COMPUTED_VALUE"""),"strain")</f>
        <v>strain</v>
      </c>
      <c r="F1589" t="str">
        <f>IFERROR(__xludf.DUMMYFUNCTION("""COMPUTED_VALUE"""),"FDAARGOS_61")</f>
        <v>FDAARGOS_61</v>
      </c>
    </row>
    <row r="1590" ht="15.75" customHeight="1">
      <c r="A1590" t="str">
        <f t="shared" si="1"/>
        <v>C.freundii</v>
      </c>
      <c r="B1590" s="5" t="s">
        <v>2130</v>
      </c>
      <c r="C1590" s="6" t="str">
        <f>IFERROR(__xludf.DUMMYFUNCTION("SPLIT('2. c'!B1590, "" "", True, True)"),"Citrobacter")</f>
        <v>Citrobacter</v>
      </c>
      <c r="D1590" t="str">
        <f>IFERROR(__xludf.DUMMYFUNCTION("""COMPUTED_VALUE"""),"freundii")</f>
        <v>freundii</v>
      </c>
      <c r="E1590" t="str">
        <f>IFERROR(__xludf.DUMMYFUNCTION("""COMPUTED_VALUE"""),"strain")</f>
        <v>strain</v>
      </c>
      <c r="F1590" t="str">
        <f>IFERROR(__xludf.DUMMYFUNCTION("""COMPUTED_VALUE"""),"P10159")</f>
        <v>P10159</v>
      </c>
    </row>
    <row r="1591" ht="15.75" customHeight="1">
      <c r="A1591" t="str">
        <f t="shared" si="1"/>
        <v>C.koseri</v>
      </c>
      <c r="B1591" s="5" t="s">
        <v>2143</v>
      </c>
      <c r="C1591" s="6" t="str">
        <f>IFERROR(__xludf.DUMMYFUNCTION("SPLIT('2. c'!B1591, "" "", True, True)"),"Citrobacter")</f>
        <v>Citrobacter</v>
      </c>
      <c r="D1591" t="str">
        <f>IFERROR(__xludf.DUMMYFUNCTION("""COMPUTED_VALUE"""),"koseri")</f>
        <v>koseri</v>
      </c>
      <c r="E1591" t="str">
        <f>IFERROR(__xludf.DUMMYFUNCTION("""COMPUTED_VALUE"""),"ATCC")</f>
        <v>ATCC</v>
      </c>
      <c r="F1591" t="str">
        <f>IFERROR(__xludf.DUMMYFUNCTION("""COMPUTED_VALUE"""),"BAA-895")</f>
        <v>BAA-895</v>
      </c>
    </row>
    <row r="1592" ht="15.75" customHeight="1">
      <c r="A1592" t="str">
        <f t="shared" si="1"/>
        <v>C.koseri</v>
      </c>
      <c r="B1592" s="5" t="s">
        <v>2153</v>
      </c>
      <c r="C1592" s="6" t="str">
        <f>IFERROR(__xludf.DUMMYFUNCTION("SPLIT('2. c'!B1592, "" "", True, True)"),"Citrobacter")</f>
        <v>Citrobacter</v>
      </c>
      <c r="D1592" t="str">
        <f>IFERROR(__xludf.DUMMYFUNCTION("""COMPUTED_VALUE"""),"koseri")</f>
        <v>koseri</v>
      </c>
      <c r="E1592" t="str">
        <f>IFERROR(__xludf.DUMMYFUNCTION("""COMPUTED_VALUE"""),"strain")</f>
        <v>strain</v>
      </c>
      <c r="F1592" t="str">
        <f>IFERROR(__xludf.DUMMYFUNCTION("""COMPUTED_VALUE"""),"FDAARGOS_86")</f>
        <v>FDAARGOS_86</v>
      </c>
    </row>
    <row r="1593" ht="15.75" customHeight="1">
      <c r="A1593" t="str">
        <f t="shared" si="1"/>
        <v>C.rodentium</v>
      </c>
      <c r="B1593" s="5" t="s">
        <v>2159</v>
      </c>
      <c r="C1593" s="6" t="str">
        <f>IFERROR(__xludf.DUMMYFUNCTION("SPLIT('2. c'!B1593, "" "", True, True)"),"Citrobacter")</f>
        <v>Citrobacter</v>
      </c>
      <c r="D1593" t="str">
        <f>IFERROR(__xludf.DUMMYFUNCTION("""COMPUTED_VALUE"""),"rodentium")</f>
        <v>rodentium</v>
      </c>
      <c r="E1593" t="str">
        <f>IFERROR(__xludf.DUMMYFUNCTION("""COMPUTED_VALUE"""),"ICC168")</f>
        <v>ICC168</v>
      </c>
    </row>
    <row r="1594" ht="15.75" customHeight="1">
      <c r="A1594" t="str">
        <f t="shared" si="1"/>
        <v>C.sp.</v>
      </c>
      <c r="B1594" s="5" t="s">
        <v>2167</v>
      </c>
      <c r="C1594" s="6" t="str">
        <f>IFERROR(__xludf.DUMMYFUNCTION("SPLIT('2. c'!B1594, "" "", True, True)"),"Citrobacter")</f>
        <v>Citrobacter</v>
      </c>
      <c r="D1594" t="str">
        <f>IFERROR(__xludf.DUMMYFUNCTION("""COMPUTED_VALUE"""),"sp.")</f>
        <v>sp.</v>
      </c>
      <c r="E1594" t="str">
        <f>IFERROR(__xludf.DUMMYFUNCTION("""COMPUTED_VALUE"""),"FDAARGOS_156")</f>
        <v>FDAARGOS_156</v>
      </c>
    </row>
    <row r="1595" ht="15.75" customHeight="1">
      <c r="A1595" t="str">
        <f t="shared" si="1"/>
        <v>C.sp.</v>
      </c>
      <c r="B1595" s="5" t="s">
        <v>2175</v>
      </c>
      <c r="C1595" s="6" t="str">
        <f>IFERROR(__xludf.DUMMYFUNCTION("SPLIT('2. c'!B1595, "" "", True, True)"),"Citromicrobium")</f>
        <v>Citromicrobium</v>
      </c>
      <c r="D1595" t="str">
        <f>IFERROR(__xludf.DUMMYFUNCTION("""COMPUTED_VALUE"""),"sp.")</f>
        <v>sp.</v>
      </c>
      <c r="E1595" t="str">
        <f>IFERROR(__xludf.DUMMYFUNCTION("""COMPUTED_VALUE"""),"JL477")</f>
        <v>JL477</v>
      </c>
    </row>
    <row r="1596" ht="15.75" customHeight="1">
      <c r="A1596" t="str">
        <f t="shared" si="1"/>
        <v>C.michiganensis</v>
      </c>
      <c r="B1596" s="5" t="s">
        <v>2185</v>
      </c>
      <c r="C1596" s="6" t="str">
        <f>IFERROR(__xludf.DUMMYFUNCTION("SPLIT('2. c'!B1596, "" "", True, True)"),"Clavibacter")</f>
        <v>Clavibacter</v>
      </c>
      <c r="D1596" t="str">
        <f>IFERROR(__xludf.DUMMYFUNCTION("""COMPUTED_VALUE"""),"michiganensis")</f>
        <v>michiganensis</v>
      </c>
      <c r="E1596" t="str">
        <f>IFERROR(__xludf.DUMMYFUNCTION("""COMPUTED_VALUE"""),"strain")</f>
        <v>strain</v>
      </c>
      <c r="F1596" t="str">
        <f>IFERROR(__xludf.DUMMYFUNCTION("""COMPUTED_VALUE"""),"PF008")</f>
        <v>PF008</v>
      </c>
    </row>
    <row r="1597" ht="15.75" customHeight="1">
      <c r="A1597" t="str">
        <f t="shared" si="1"/>
        <v>C.michiganensis</v>
      </c>
      <c r="B1597" s="5" t="s">
        <v>2195</v>
      </c>
      <c r="C1597" s="6" t="str">
        <f>IFERROR(__xludf.DUMMYFUNCTION("SPLIT('2. c'!B1597, "" "", True, True)"),"Clavibacter")</f>
        <v>Clavibacter</v>
      </c>
      <c r="D1597" t="str">
        <f>IFERROR(__xludf.DUMMYFUNCTION("""COMPUTED_VALUE"""),"michiganensis")</f>
        <v>michiganensis</v>
      </c>
      <c r="E1597" t="str">
        <f>IFERROR(__xludf.DUMMYFUNCTION("""COMPUTED_VALUE"""),"subsp.")</f>
        <v>subsp.</v>
      </c>
      <c r="F1597" t="str">
        <f>IFERROR(__xludf.DUMMYFUNCTION("""COMPUTED_VALUE"""),"insidiosus")</f>
        <v>insidiosus</v>
      </c>
      <c r="G1597" t="str">
        <f>IFERROR(__xludf.DUMMYFUNCTION("""COMPUTED_VALUE"""),"strain")</f>
        <v>strain</v>
      </c>
      <c r="H1597" t="str">
        <f>IFERROR(__xludf.DUMMYFUNCTION("""COMPUTED_VALUE"""),"R1-1")</f>
        <v>R1-1</v>
      </c>
    </row>
    <row r="1598" ht="15.75" customHeight="1">
      <c r="A1598" t="str">
        <f t="shared" si="1"/>
        <v>C.michiganensis</v>
      </c>
      <c r="B1598" s="5" t="s">
        <v>2205</v>
      </c>
      <c r="C1598" s="6" t="str">
        <f>IFERROR(__xludf.DUMMYFUNCTION("SPLIT('2. c'!B1598, "" "", True, True)"),"Clavibacter")</f>
        <v>Clavibacter</v>
      </c>
      <c r="D1598" t="str">
        <f>IFERROR(__xludf.DUMMYFUNCTION("""COMPUTED_VALUE"""),"michiganensis")</f>
        <v>michiganensis</v>
      </c>
      <c r="E1598" t="str">
        <f>IFERROR(__xludf.DUMMYFUNCTION("""COMPUTED_VALUE"""),"subsp.")</f>
        <v>subsp.</v>
      </c>
      <c r="F1598" t="str">
        <f>IFERROR(__xludf.DUMMYFUNCTION("""COMPUTED_VALUE"""),"michiganensis")</f>
        <v>michiganensis</v>
      </c>
      <c r="G1598" t="str">
        <f>IFERROR(__xludf.DUMMYFUNCTION("""COMPUTED_VALUE"""),"NCPPB")</f>
        <v>NCPPB</v>
      </c>
      <c r="H1598">
        <f>IFERROR(__xludf.DUMMYFUNCTION("""COMPUTED_VALUE"""),382.0)</f>
        <v>382</v>
      </c>
    </row>
    <row r="1599" ht="15.75" customHeight="1">
      <c r="A1599" t="str">
        <f t="shared" si="1"/>
        <v>C.michiganensis</v>
      </c>
      <c r="B1599" s="5" t="s">
        <v>2217</v>
      </c>
      <c r="C1599" s="6" t="str">
        <f>IFERROR(__xludf.DUMMYFUNCTION("SPLIT('2. c'!B1599, "" "", True, True)"),"Clavibacter")</f>
        <v>Clavibacter</v>
      </c>
      <c r="D1599" t="str">
        <f>IFERROR(__xludf.DUMMYFUNCTION("""COMPUTED_VALUE"""),"michiganensis")</f>
        <v>michiganensis</v>
      </c>
      <c r="E1599" t="str">
        <f>IFERROR(__xludf.DUMMYFUNCTION("""COMPUTED_VALUE"""),"subsp.")</f>
        <v>subsp.</v>
      </c>
      <c r="F1599" t="str">
        <f>IFERROR(__xludf.DUMMYFUNCTION("""COMPUTED_VALUE"""),"nebraskensis")</f>
        <v>nebraskensis</v>
      </c>
      <c r="G1599" t="str">
        <f>IFERROR(__xludf.DUMMYFUNCTION("""COMPUTED_VALUE"""),"NCPPB")</f>
        <v>NCPPB</v>
      </c>
      <c r="H1599">
        <f>IFERROR(__xludf.DUMMYFUNCTION("""COMPUTED_VALUE"""),2581.0)</f>
        <v>2581</v>
      </c>
    </row>
    <row r="1600" ht="15.75" customHeight="1">
      <c r="A1600" t="str">
        <f t="shared" si="1"/>
        <v>C.michiganensis</v>
      </c>
      <c r="B1600" s="5" t="s">
        <v>2230</v>
      </c>
      <c r="C1600" s="6" t="str">
        <f>IFERROR(__xludf.DUMMYFUNCTION("SPLIT('2. c'!B1600, "" "", True, True)"),"Clavibacter")</f>
        <v>Clavibacter</v>
      </c>
      <c r="D1600" t="str">
        <f>IFERROR(__xludf.DUMMYFUNCTION("""COMPUTED_VALUE"""),"michiganensis")</f>
        <v>michiganensis</v>
      </c>
      <c r="E1600" t="str">
        <f>IFERROR(__xludf.DUMMYFUNCTION("""COMPUTED_VALUE"""),"subsp.")</f>
        <v>subsp.</v>
      </c>
      <c r="F1600" t="str">
        <f>IFERROR(__xludf.DUMMYFUNCTION("""COMPUTED_VALUE"""),"sepedonicus")</f>
        <v>sepedonicus</v>
      </c>
    </row>
    <row r="1601" ht="15.75" customHeight="1">
      <c r="A1601" t="str">
        <f t="shared" si="1"/>
        <v>C.genomosp.</v>
      </c>
      <c r="B1601" s="5" t="s">
        <v>2243</v>
      </c>
      <c r="C1601" s="6" t="str">
        <f>IFERROR(__xludf.DUMMYFUNCTION("SPLIT('2. c'!B1601, "" "", True, True)"),"Clostridiales")</f>
        <v>Clostridiales</v>
      </c>
      <c r="D1601" t="str">
        <f>IFERROR(__xludf.DUMMYFUNCTION("""COMPUTED_VALUE"""),"genomosp.")</f>
        <v>genomosp.</v>
      </c>
      <c r="E1601" t="str">
        <f>IFERROR(__xludf.DUMMYFUNCTION("""COMPUTED_VALUE"""),"BVAB3")</f>
        <v>BVAB3</v>
      </c>
      <c r="F1601" t="str">
        <f>IFERROR(__xludf.DUMMYFUNCTION("""COMPUTED_VALUE"""),"str.")</f>
        <v>str.</v>
      </c>
      <c r="G1601" t="str">
        <f>IFERROR(__xludf.DUMMYFUNCTION("""COMPUTED_VALUE"""),"UPII9-5")</f>
        <v>UPII9-5</v>
      </c>
    </row>
    <row r="1602" ht="15.75" customHeight="1">
      <c r="A1602" t="str">
        <f t="shared" si="1"/>
        <v>C.aceticum</v>
      </c>
      <c r="B1602" s="5" t="s">
        <v>2252</v>
      </c>
      <c r="C1602" s="6" t="str">
        <f>IFERROR(__xludf.DUMMYFUNCTION("SPLIT('2. c'!B1602, "" "", True, True)"),"Clostridium")</f>
        <v>Clostridium</v>
      </c>
      <c r="D1602" t="str">
        <f>IFERROR(__xludf.DUMMYFUNCTION("""COMPUTED_VALUE"""),"aceticum")</f>
        <v>aceticum</v>
      </c>
      <c r="E1602" t="str">
        <f>IFERROR(__xludf.DUMMYFUNCTION("""COMPUTED_VALUE"""),"strain")</f>
        <v>strain</v>
      </c>
      <c r="F1602" t="str">
        <f>IFERROR(__xludf.DUMMYFUNCTION("""COMPUTED_VALUE"""),"DSM")</f>
        <v>DSM</v>
      </c>
      <c r="G1602">
        <f>IFERROR(__xludf.DUMMYFUNCTION("""COMPUTED_VALUE"""),1496.0)</f>
        <v>1496</v>
      </c>
    </row>
    <row r="1603" ht="15.75" customHeight="1">
      <c r="A1603" t="str">
        <f t="shared" si="1"/>
        <v>C.acetobutylicum</v>
      </c>
      <c r="B1603" s="5" t="s">
        <v>2260</v>
      </c>
      <c r="C1603" s="6" t="str">
        <f>IFERROR(__xludf.DUMMYFUNCTION("SPLIT('2. c'!B1603, "" "", True, True)"),"Clostridium")</f>
        <v>Clostridium</v>
      </c>
      <c r="D1603" t="str">
        <f>IFERROR(__xludf.DUMMYFUNCTION("""COMPUTED_VALUE"""),"acetobutylicum")</f>
        <v>acetobutylicum</v>
      </c>
      <c r="E1603" t="str">
        <f>IFERROR(__xludf.DUMMYFUNCTION("""COMPUTED_VALUE"""),"ATCC")</f>
        <v>ATCC</v>
      </c>
      <c r="F1603">
        <f>IFERROR(__xludf.DUMMYFUNCTION("""COMPUTED_VALUE"""),824.0)</f>
        <v>824</v>
      </c>
    </row>
    <row r="1604" ht="15.75" customHeight="1">
      <c r="A1604" t="str">
        <f t="shared" si="1"/>
        <v>C.acetobutylicum</v>
      </c>
      <c r="B1604" s="5" t="s">
        <v>2269</v>
      </c>
      <c r="C1604" s="6" t="str">
        <f>IFERROR(__xludf.DUMMYFUNCTION("SPLIT('2. c'!B1604, "" "", True, True)"),"Clostridium")</f>
        <v>Clostridium</v>
      </c>
      <c r="D1604" t="str">
        <f>IFERROR(__xludf.DUMMYFUNCTION("""COMPUTED_VALUE"""),"acetobutylicum")</f>
        <v>acetobutylicum</v>
      </c>
      <c r="E1604" t="str">
        <f>IFERROR(__xludf.DUMMYFUNCTION("""COMPUTED_VALUE"""),"DSM")</f>
        <v>DSM</v>
      </c>
      <c r="F1604">
        <f>IFERROR(__xludf.DUMMYFUNCTION("""COMPUTED_VALUE"""),1731.0)</f>
        <v>1731</v>
      </c>
    </row>
    <row r="1605" ht="15.75" customHeight="1">
      <c r="A1605" t="str">
        <f t="shared" si="1"/>
        <v>C.acetobutylicum</v>
      </c>
      <c r="B1605" s="5" t="s">
        <v>2281</v>
      </c>
      <c r="C1605" s="6" t="str">
        <f>IFERROR(__xludf.DUMMYFUNCTION("SPLIT('2. c'!B1605, "" "", True, True)"),"Clostridium")</f>
        <v>Clostridium</v>
      </c>
      <c r="D1605" t="str">
        <f>IFERROR(__xludf.DUMMYFUNCTION("""COMPUTED_VALUE"""),"acetobutylicum")</f>
        <v>acetobutylicum</v>
      </c>
      <c r="E1605" t="str">
        <f>IFERROR(__xludf.DUMMYFUNCTION("""COMPUTED_VALUE"""),"EA")</f>
        <v>EA</v>
      </c>
      <c r="F1605">
        <f>IFERROR(__xludf.DUMMYFUNCTION("""COMPUTED_VALUE"""),2018.0)</f>
        <v>2018</v>
      </c>
    </row>
    <row r="1606" ht="15.75" customHeight="1">
      <c r="A1606" t="str">
        <f t="shared" si="1"/>
        <v>C.acidurici</v>
      </c>
      <c r="B1606" s="5" t="s">
        <v>2294</v>
      </c>
      <c r="C1606" s="6" t="str">
        <f>IFERROR(__xludf.DUMMYFUNCTION("SPLIT('2. c'!B1606, "" "", True, True)"),"Clostridium")</f>
        <v>Clostridium</v>
      </c>
      <c r="D1606" t="str">
        <f>IFERROR(__xludf.DUMMYFUNCTION("""COMPUTED_VALUE"""),"acidurici")</f>
        <v>acidurici</v>
      </c>
      <c r="E1606" t="str">
        <f>IFERROR(__xludf.DUMMYFUNCTION("""COMPUTED_VALUE"""),"9a")</f>
        <v>9a</v>
      </c>
    </row>
    <row r="1607" ht="15.75" customHeight="1">
      <c r="A1607" t="str">
        <f t="shared" si="1"/>
        <v>C.autoethanogenum</v>
      </c>
      <c r="B1607" s="5" t="s">
        <v>2305</v>
      </c>
      <c r="C1607" s="6" t="str">
        <f>IFERROR(__xludf.DUMMYFUNCTION("SPLIT('2. c'!B1607, "" "", True, True)"),"Clostridium")</f>
        <v>Clostridium</v>
      </c>
      <c r="D1607" t="str">
        <f>IFERROR(__xludf.DUMMYFUNCTION("""COMPUTED_VALUE"""),"autoethanogenum")</f>
        <v>autoethanogenum</v>
      </c>
      <c r="E1607" t="str">
        <f>IFERROR(__xludf.DUMMYFUNCTION("""COMPUTED_VALUE"""),"DSM")</f>
        <v>DSM</v>
      </c>
      <c r="F1607">
        <f>IFERROR(__xludf.DUMMYFUNCTION("""COMPUTED_VALUE"""),10061.0)</f>
        <v>10061</v>
      </c>
    </row>
    <row r="1608" ht="15.75" customHeight="1">
      <c r="A1608" t="str">
        <f t="shared" si="1"/>
        <v>C.autoethanogenum</v>
      </c>
      <c r="B1608" s="5" t="s">
        <v>2305</v>
      </c>
      <c r="C1608" s="6" t="str">
        <f>IFERROR(__xludf.DUMMYFUNCTION("SPLIT('2. c'!B1608, "" "", True, True)"),"Clostridium")</f>
        <v>Clostridium</v>
      </c>
      <c r="D1608" t="str">
        <f>IFERROR(__xludf.DUMMYFUNCTION("""COMPUTED_VALUE"""),"autoethanogenum")</f>
        <v>autoethanogenum</v>
      </c>
      <c r="E1608" t="str">
        <f>IFERROR(__xludf.DUMMYFUNCTION("""COMPUTED_VALUE"""),"DSM")</f>
        <v>DSM</v>
      </c>
      <c r="F1608">
        <f>IFERROR(__xludf.DUMMYFUNCTION("""COMPUTED_VALUE"""),10061.0)</f>
        <v>10061</v>
      </c>
    </row>
    <row r="1609" ht="15.75" customHeight="1">
      <c r="A1609" t="str">
        <f t="shared" si="1"/>
        <v>C.autoethanogenum</v>
      </c>
      <c r="B1609" s="5" t="s">
        <v>2305</v>
      </c>
      <c r="C1609" s="6" t="str">
        <f>IFERROR(__xludf.DUMMYFUNCTION("SPLIT('2. c'!B1609, "" "", True, True)"),"Clostridium")</f>
        <v>Clostridium</v>
      </c>
      <c r="D1609" t="str">
        <f>IFERROR(__xludf.DUMMYFUNCTION("""COMPUTED_VALUE"""),"autoethanogenum")</f>
        <v>autoethanogenum</v>
      </c>
      <c r="E1609" t="str">
        <f>IFERROR(__xludf.DUMMYFUNCTION("""COMPUTED_VALUE"""),"DSM")</f>
        <v>DSM</v>
      </c>
      <c r="F1609">
        <f>IFERROR(__xludf.DUMMYFUNCTION("""COMPUTED_VALUE"""),10061.0)</f>
        <v>10061</v>
      </c>
    </row>
    <row r="1610" ht="15.75" customHeight="1">
      <c r="A1610" t="str">
        <f t="shared" si="1"/>
        <v>C.baratii</v>
      </c>
      <c r="B1610" s="5" t="s">
        <v>2338</v>
      </c>
      <c r="C1610" s="6" t="str">
        <f>IFERROR(__xludf.DUMMYFUNCTION("SPLIT('2. c'!B1610, "" "", True, True)"),"Clostridium")</f>
        <v>Clostridium</v>
      </c>
      <c r="D1610" t="str">
        <f>IFERROR(__xludf.DUMMYFUNCTION("""COMPUTED_VALUE"""),"baratii")</f>
        <v>baratii</v>
      </c>
      <c r="E1610" t="str">
        <f>IFERROR(__xludf.DUMMYFUNCTION("""COMPUTED_VALUE"""),"str.")</f>
        <v>str.</v>
      </c>
      <c r="F1610" t="str">
        <f>IFERROR(__xludf.DUMMYFUNCTION("""COMPUTED_VALUE"""),"Sullivan")</f>
        <v>Sullivan</v>
      </c>
    </row>
    <row r="1611" ht="15.75" customHeight="1">
      <c r="A1611" t="str">
        <f t="shared" si="1"/>
        <v>C.beijerinckii</v>
      </c>
      <c r="B1611" s="5" t="s">
        <v>2348</v>
      </c>
      <c r="C1611" s="6" t="str">
        <f>IFERROR(__xludf.DUMMYFUNCTION("SPLIT('2. c'!B1611, "" "", True, True)"),"Clostridium")</f>
        <v>Clostridium</v>
      </c>
      <c r="D1611" t="str">
        <f>IFERROR(__xludf.DUMMYFUNCTION("""COMPUTED_VALUE"""),"beijerinckii")</f>
        <v>beijerinckii</v>
      </c>
      <c r="E1611" t="str">
        <f>IFERROR(__xludf.DUMMYFUNCTION("""COMPUTED_VALUE"""),"59B")</f>
        <v>59B</v>
      </c>
    </row>
    <row r="1612" ht="15.75" customHeight="1">
      <c r="A1612" t="str">
        <f t="shared" si="1"/>
        <v>C.beijerinckii</v>
      </c>
      <c r="B1612" s="5" t="s">
        <v>2357</v>
      </c>
      <c r="C1612" s="6" t="str">
        <f>IFERROR(__xludf.DUMMYFUNCTION("SPLIT('2. c'!B1612, "" "", True, True)"),"Clostridium")</f>
        <v>Clostridium</v>
      </c>
      <c r="D1612" t="str">
        <f>IFERROR(__xludf.DUMMYFUNCTION("""COMPUTED_VALUE"""),"beijerinckii")</f>
        <v>beijerinckii</v>
      </c>
      <c r="E1612" t="str">
        <f>IFERROR(__xludf.DUMMYFUNCTION("""COMPUTED_VALUE"""),"ATCC")</f>
        <v>ATCC</v>
      </c>
      <c r="F1612">
        <f>IFERROR(__xludf.DUMMYFUNCTION("""COMPUTED_VALUE"""),35702.0)</f>
        <v>35702</v>
      </c>
      <c r="G1612" t="str">
        <f>IFERROR(__xludf.DUMMYFUNCTION("""COMPUTED_VALUE"""),"SA-1")</f>
        <v>SA-1</v>
      </c>
    </row>
    <row r="1613" ht="15.75" customHeight="1">
      <c r="A1613" t="str">
        <f t="shared" si="1"/>
        <v>C.beijerinckii</v>
      </c>
      <c r="B1613" s="5" t="s">
        <v>2369</v>
      </c>
      <c r="C1613" s="6" t="str">
        <f>IFERROR(__xludf.DUMMYFUNCTION("SPLIT('2. c'!B1613, "" "", True, True)"),"Clostridium")</f>
        <v>Clostridium</v>
      </c>
      <c r="D1613" t="str">
        <f>IFERROR(__xludf.DUMMYFUNCTION("""COMPUTED_VALUE"""),"beijerinckii")</f>
        <v>beijerinckii</v>
      </c>
      <c r="E1613" t="str">
        <f>IFERROR(__xludf.DUMMYFUNCTION("""COMPUTED_VALUE"""),"NCIMB")</f>
        <v>NCIMB</v>
      </c>
      <c r="F1613">
        <f>IFERROR(__xludf.DUMMYFUNCTION("""COMPUTED_VALUE"""),8052.0)</f>
        <v>8052</v>
      </c>
    </row>
    <row r="1614" ht="15.75" customHeight="1">
      <c r="A1614" t="str">
        <f t="shared" si="1"/>
        <v>C.botulinum</v>
      </c>
      <c r="B1614" s="5" t="s">
        <v>2383</v>
      </c>
      <c r="C1614" s="6" t="str">
        <f>IFERROR(__xludf.DUMMYFUNCTION("SPLIT('2. c'!B1614, "" "", True, True)"),"Clostridium")</f>
        <v>Clostridium</v>
      </c>
      <c r="D1614" t="str">
        <f>IFERROR(__xludf.DUMMYFUNCTION("""COMPUTED_VALUE"""),"botulinum")</f>
        <v>botulinum</v>
      </c>
      <c r="E1614">
        <f>IFERROR(__xludf.DUMMYFUNCTION("""COMPUTED_VALUE"""),111.0)</f>
        <v>111</v>
      </c>
    </row>
    <row r="1615" ht="15.75" customHeight="1">
      <c r="A1615" t="str">
        <f t="shared" si="1"/>
        <v>C.botulinum</v>
      </c>
      <c r="B1615" s="5" t="s">
        <v>2391</v>
      </c>
      <c r="C1615" s="6" t="str">
        <f>IFERROR(__xludf.DUMMYFUNCTION("SPLIT('2. c'!B1615, "" "", True, True)"),"Clostridium")</f>
        <v>Clostridium</v>
      </c>
      <c r="D1615" t="str">
        <f>IFERROR(__xludf.DUMMYFUNCTION("""COMPUTED_VALUE"""),"botulinum")</f>
        <v>botulinum</v>
      </c>
      <c r="E1615" t="str">
        <f>IFERROR(__xludf.DUMMYFUNCTION("""COMPUTED_VALUE"""),"202F")</f>
        <v>202F</v>
      </c>
    </row>
    <row r="1616" ht="15.75" customHeight="1">
      <c r="A1616" t="str">
        <f t="shared" si="1"/>
        <v>C.botulinum</v>
      </c>
      <c r="B1616" s="5" t="s">
        <v>2401</v>
      </c>
      <c r="C1616" s="6" t="str">
        <f>IFERROR(__xludf.DUMMYFUNCTION("SPLIT('2. c'!B1616, "" "", True, True)"),"Clostridium")</f>
        <v>Clostridium</v>
      </c>
      <c r="D1616" t="str">
        <f>IFERROR(__xludf.DUMMYFUNCTION("""COMPUTED_VALUE"""),"botulinum")</f>
        <v>botulinum</v>
      </c>
      <c r="E1616" t="str">
        <f>IFERROR(__xludf.DUMMYFUNCTION("""COMPUTED_VALUE"""),"A")</f>
        <v>A</v>
      </c>
      <c r="F1616" t="str">
        <f>IFERROR(__xludf.DUMMYFUNCTION("""COMPUTED_VALUE"""),"str.")</f>
        <v>str.</v>
      </c>
      <c r="G1616" t="str">
        <f>IFERROR(__xludf.DUMMYFUNCTION("""COMPUTED_VALUE"""),"ATCC")</f>
        <v>ATCC</v>
      </c>
      <c r="H1616">
        <f>IFERROR(__xludf.DUMMYFUNCTION("""COMPUTED_VALUE"""),19397.0)</f>
        <v>19397</v>
      </c>
    </row>
    <row r="1617" ht="15.75" customHeight="1">
      <c r="A1617" t="str">
        <f t="shared" si="1"/>
        <v>C.botulinum</v>
      </c>
      <c r="B1617" s="5" t="s">
        <v>2412</v>
      </c>
      <c r="C1617" s="6" t="str">
        <f>IFERROR(__xludf.DUMMYFUNCTION("SPLIT('2. c'!B1617, "" "", True, True)"),"Clostridium")</f>
        <v>Clostridium</v>
      </c>
      <c r="D1617" t="str">
        <f>IFERROR(__xludf.DUMMYFUNCTION("""COMPUTED_VALUE"""),"botulinum")</f>
        <v>botulinum</v>
      </c>
      <c r="E1617" t="str">
        <f>IFERROR(__xludf.DUMMYFUNCTION("""COMPUTED_VALUE"""),"A")</f>
        <v>A</v>
      </c>
      <c r="F1617" t="str">
        <f>IFERROR(__xludf.DUMMYFUNCTION("""COMPUTED_VALUE"""),"str.")</f>
        <v>str.</v>
      </c>
      <c r="G1617" t="str">
        <f>IFERROR(__xludf.DUMMYFUNCTION("""COMPUTED_VALUE"""),"ATCC")</f>
        <v>ATCC</v>
      </c>
      <c r="H1617">
        <f>IFERROR(__xludf.DUMMYFUNCTION("""COMPUTED_VALUE"""),3502.0)</f>
        <v>3502</v>
      </c>
    </row>
    <row r="1618" ht="15.75" customHeight="1">
      <c r="A1618" t="str">
        <f t="shared" si="1"/>
        <v>C.botulinum</v>
      </c>
      <c r="B1618" s="5" t="s">
        <v>2425</v>
      </c>
      <c r="C1618" s="6" t="str">
        <f>IFERROR(__xludf.DUMMYFUNCTION("SPLIT('2. c'!B1618, "" "", True, True)"),"Clostridium")</f>
        <v>Clostridium</v>
      </c>
      <c r="D1618" t="str">
        <f>IFERROR(__xludf.DUMMYFUNCTION("""COMPUTED_VALUE"""),"botulinum")</f>
        <v>botulinum</v>
      </c>
      <c r="E1618" t="str">
        <f>IFERROR(__xludf.DUMMYFUNCTION("""COMPUTED_VALUE"""),"A")</f>
        <v>A</v>
      </c>
      <c r="F1618" t="str">
        <f>IFERROR(__xludf.DUMMYFUNCTION("""COMPUTED_VALUE"""),"str.")</f>
        <v>str.</v>
      </c>
      <c r="G1618" t="str">
        <f>IFERROR(__xludf.DUMMYFUNCTION("""COMPUTED_VALUE"""),"Hall")</f>
        <v>Hall</v>
      </c>
    </row>
    <row r="1619" ht="15.75" customHeight="1">
      <c r="A1619" t="str">
        <f t="shared" si="1"/>
        <v>C.botulinum</v>
      </c>
      <c r="B1619" s="5" t="s">
        <v>2435</v>
      </c>
      <c r="C1619" s="6" t="str">
        <f>IFERROR(__xludf.DUMMYFUNCTION("SPLIT('2. c'!B1619, "" "", True, True)"),"Clostridium")</f>
        <v>Clostridium</v>
      </c>
      <c r="D1619" t="str">
        <f>IFERROR(__xludf.DUMMYFUNCTION("""COMPUTED_VALUE"""),"botulinum")</f>
        <v>botulinum</v>
      </c>
      <c r="E1619" t="str">
        <f>IFERROR(__xludf.DUMMYFUNCTION("""COMPUTED_VALUE"""),"A2")</f>
        <v>A2</v>
      </c>
      <c r="F1619" t="str">
        <f>IFERROR(__xludf.DUMMYFUNCTION("""COMPUTED_VALUE"""),"str.")</f>
        <v>str.</v>
      </c>
      <c r="G1619" t="str">
        <f>IFERROR(__xludf.DUMMYFUNCTION("""COMPUTED_VALUE"""),"Kyoto")</f>
        <v>Kyoto</v>
      </c>
    </row>
    <row r="1620" ht="15.75" customHeight="1">
      <c r="A1620" t="str">
        <f t="shared" si="1"/>
        <v>C.botulinum</v>
      </c>
      <c r="B1620" s="5" t="s">
        <v>2445</v>
      </c>
      <c r="C1620" s="6" t="str">
        <f>IFERROR(__xludf.DUMMYFUNCTION("SPLIT('2. c'!B1620, "" "", True, True)"),"Clostridium")</f>
        <v>Clostridium</v>
      </c>
      <c r="D1620" t="str">
        <f>IFERROR(__xludf.DUMMYFUNCTION("""COMPUTED_VALUE"""),"botulinum")</f>
        <v>botulinum</v>
      </c>
      <c r="E1620" t="str">
        <f>IFERROR(__xludf.DUMMYFUNCTION("""COMPUTED_VALUE"""),"A3")</f>
        <v>A3</v>
      </c>
      <c r="F1620" t="str">
        <f>IFERROR(__xludf.DUMMYFUNCTION("""COMPUTED_VALUE"""),"str.")</f>
        <v>str.</v>
      </c>
      <c r="G1620" t="str">
        <f>IFERROR(__xludf.DUMMYFUNCTION("""COMPUTED_VALUE"""),"Loch")</f>
        <v>Loch</v>
      </c>
      <c r="H1620" t="str">
        <f>IFERROR(__xludf.DUMMYFUNCTION("""COMPUTED_VALUE"""),"Maree")</f>
        <v>Maree</v>
      </c>
    </row>
    <row r="1621" ht="15.75" customHeight="1">
      <c r="A1621" t="str">
        <f t="shared" si="1"/>
        <v>C.botulinum</v>
      </c>
      <c r="B1621" s="5" t="s">
        <v>2455</v>
      </c>
      <c r="C1621" s="6" t="str">
        <f>IFERROR(__xludf.DUMMYFUNCTION("SPLIT('2. c'!B1621, "" "", True, True)"),"Clostridium")</f>
        <v>Clostridium</v>
      </c>
      <c r="D1621" t="str">
        <f>IFERROR(__xludf.DUMMYFUNCTION("""COMPUTED_VALUE"""),"botulinum")</f>
        <v>botulinum</v>
      </c>
      <c r="E1621" t="str">
        <f>IFERROR(__xludf.DUMMYFUNCTION("""COMPUTED_VALUE"""),"B")</f>
        <v>B</v>
      </c>
      <c r="F1621" t="str">
        <f>IFERROR(__xludf.DUMMYFUNCTION("""COMPUTED_VALUE"""),"str.")</f>
        <v>str.</v>
      </c>
      <c r="G1621" t="str">
        <f>IFERROR(__xludf.DUMMYFUNCTION("""COMPUTED_VALUE"""),"Eklund")</f>
        <v>Eklund</v>
      </c>
      <c r="H1621" t="str">
        <f>IFERROR(__xludf.DUMMYFUNCTION("""COMPUTED_VALUE"""),"17B")</f>
        <v>17B</v>
      </c>
      <c r="I1621" t="str">
        <f>IFERROR(__xludf.DUMMYFUNCTION("""COMPUTED_VALUE"""),"(NRP)")</f>
        <v>(NRP)</v>
      </c>
    </row>
    <row r="1622" ht="15.75" customHeight="1">
      <c r="A1622" t="str">
        <f t="shared" si="1"/>
        <v>C.botulinum</v>
      </c>
      <c r="B1622" s="5" t="s">
        <v>2470</v>
      </c>
      <c r="C1622" s="6" t="str">
        <f>IFERROR(__xludf.DUMMYFUNCTION("SPLIT('2. c'!B1622, "" "", True, True)"),"Clostridium")</f>
        <v>Clostridium</v>
      </c>
      <c r="D1622" t="str">
        <f>IFERROR(__xludf.DUMMYFUNCTION("""COMPUTED_VALUE"""),"botulinum")</f>
        <v>botulinum</v>
      </c>
      <c r="E1622" t="str">
        <f>IFERROR(__xludf.DUMMYFUNCTION("""COMPUTED_VALUE"""),"B1")</f>
        <v>B1</v>
      </c>
      <c r="F1622" t="str">
        <f>IFERROR(__xludf.DUMMYFUNCTION("""COMPUTED_VALUE"""),"str.")</f>
        <v>str.</v>
      </c>
      <c r="G1622" t="str">
        <f>IFERROR(__xludf.DUMMYFUNCTION("""COMPUTED_VALUE"""),"Okra")</f>
        <v>Okra</v>
      </c>
    </row>
    <row r="1623" ht="15.75" customHeight="1">
      <c r="A1623" t="str">
        <f t="shared" si="1"/>
        <v>C.botulinum</v>
      </c>
      <c r="B1623" s="5" t="s">
        <v>2480</v>
      </c>
      <c r="C1623" s="6" t="str">
        <f>IFERROR(__xludf.DUMMYFUNCTION("SPLIT('2. c'!B1623, "" "", True, True)"),"Clostridium")</f>
        <v>Clostridium</v>
      </c>
      <c r="D1623" t="str">
        <f>IFERROR(__xludf.DUMMYFUNCTION("""COMPUTED_VALUE"""),"botulinum")</f>
        <v>botulinum</v>
      </c>
      <c r="E1623" t="str">
        <f>IFERROR(__xludf.DUMMYFUNCTION("""COMPUTED_VALUE"""),"Ba4")</f>
        <v>Ba4</v>
      </c>
      <c r="F1623" t="str">
        <f>IFERROR(__xludf.DUMMYFUNCTION("""COMPUTED_VALUE"""),"str.")</f>
        <v>str.</v>
      </c>
      <c r="G1623">
        <f>IFERROR(__xludf.DUMMYFUNCTION("""COMPUTED_VALUE"""),657.0)</f>
        <v>657</v>
      </c>
    </row>
    <row r="1624" ht="15.75" customHeight="1">
      <c r="A1624" t="str">
        <f t="shared" si="1"/>
        <v>C.botulinum</v>
      </c>
      <c r="B1624" s="5" t="s">
        <v>2488</v>
      </c>
      <c r="C1624" s="6" t="str">
        <f>IFERROR(__xludf.DUMMYFUNCTION("SPLIT('2. c'!B1624, "" "", True, True)"),"Clostridium")</f>
        <v>Clostridium</v>
      </c>
      <c r="D1624" t="str">
        <f>IFERROR(__xludf.DUMMYFUNCTION("""COMPUTED_VALUE"""),"botulinum")</f>
        <v>botulinum</v>
      </c>
      <c r="E1624" t="str">
        <f>IFERROR(__xludf.DUMMYFUNCTION("""COMPUTED_VALUE"""),"BKT015925")</f>
        <v>BKT015925</v>
      </c>
    </row>
    <row r="1625" ht="15.75" customHeight="1">
      <c r="A1625" t="str">
        <f t="shared" si="1"/>
        <v>C.botulinum</v>
      </c>
      <c r="B1625" s="5" t="s">
        <v>2496</v>
      </c>
      <c r="C1625" s="6" t="str">
        <f>IFERROR(__xludf.DUMMYFUNCTION("SPLIT('2. c'!B1625, "" "", True, True)"),"Clostridium")</f>
        <v>Clostridium</v>
      </c>
      <c r="D1625" t="str">
        <f>IFERROR(__xludf.DUMMYFUNCTION("""COMPUTED_VALUE"""),"botulinum")</f>
        <v>botulinum</v>
      </c>
      <c r="E1625" t="str">
        <f>IFERROR(__xludf.DUMMYFUNCTION("""COMPUTED_VALUE"""),"CDC_1436")</f>
        <v>CDC_1436</v>
      </c>
    </row>
    <row r="1626" ht="15.75" customHeight="1">
      <c r="A1626" t="str">
        <f t="shared" si="1"/>
        <v>C.botulinum</v>
      </c>
      <c r="B1626" s="5" t="s">
        <v>2505</v>
      </c>
      <c r="C1626" s="6" t="str">
        <f>IFERROR(__xludf.DUMMYFUNCTION("SPLIT('2. c'!B1626, "" "", True, True)"),"Clostridium")</f>
        <v>Clostridium</v>
      </c>
      <c r="D1626" t="str">
        <f>IFERROR(__xludf.DUMMYFUNCTION("""COMPUTED_VALUE"""),"botulinum")</f>
        <v>botulinum</v>
      </c>
      <c r="E1626" t="str">
        <f>IFERROR(__xludf.DUMMYFUNCTION("""COMPUTED_VALUE"""),"CDC_297")</f>
        <v>CDC_297</v>
      </c>
    </row>
    <row r="1627" ht="15.75" customHeight="1">
      <c r="A1627" t="str">
        <f t="shared" si="1"/>
        <v>C.botulinum</v>
      </c>
      <c r="B1627" s="5" t="s">
        <v>2516</v>
      </c>
      <c r="C1627" s="6" t="str">
        <f>IFERROR(__xludf.DUMMYFUNCTION("SPLIT('2. c'!B1627, "" "", True, True)"),"Clostridium")</f>
        <v>Clostridium</v>
      </c>
      <c r="D1627" t="str">
        <f>IFERROR(__xludf.DUMMYFUNCTION("""COMPUTED_VALUE"""),"botulinum")</f>
        <v>botulinum</v>
      </c>
      <c r="E1627" t="str">
        <f>IFERROR(__xludf.DUMMYFUNCTION("""COMPUTED_VALUE"""),"E3")</f>
        <v>E3</v>
      </c>
      <c r="F1627" t="str">
        <f>IFERROR(__xludf.DUMMYFUNCTION("""COMPUTED_VALUE"""),"str.")</f>
        <v>str.</v>
      </c>
      <c r="G1627" t="str">
        <f>IFERROR(__xludf.DUMMYFUNCTION("""COMPUTED_VALUE"""),"Alaska")</f>
        <v>Alaska</v>
      </c>
      <c r="H1627" t="str">
        <f>IFERROR(__xludf.DUMMYFUNCTION("""COMPUTED_VALUE"""),"E43")</f>
        <v>E43</v>
      </c>
    </row>
    <row r="1628" ht="15.75" customHeight="1">
      <c r="A1628" t="str">
        <f t="shared" si="1"/>
        <v>C.botulinum</v>
      </c>
      <c r="B1628" s="5" t="s">
        <v>2528</v>
      </c>
      <c r="C1628" s="6" t="str">
        <f>IFERROR(__xludf.DUMMYFUNCTION("SPLIT('2. c'!B1628, "" "", True, True)"),"Clostridium")</f>
        <v>Clostridium</v>
      </c>
      <c r="D1628" t="str">
        <f>IFERROR(__xludf.DUMMYFUNCTION("""COMPUTED_VALUE"""),"botulinum")</f>
        <v>botulinum</v>
      </c>
      <c r="E1628" t="str">
        <f>IFERROR(__xludf.DUMMYFUNCTION("""COMPUTED_VALUE"""),"F")</f>
        <v>F</v>
      </c>
      <c r="F1628" t="str">
        <f>IFERROR(__xludf.DUMMYFUNCTION("""COMPUTED_VALUE"""),"str.")</f>
        <v>str.</v>
      </c>
      <c r="G1628">
        <f>IFERROR(__xludf.DUMMYFUNCTION("""COMPUTED_VALUE"""),230613.0)</f>
        <v>230613</v>
      </c>
    </row>
    <row r="1629" ht="15.75" customHeight="1">
      <c r="A1629" t="str">
        <f t="shared" si="1"/>
        <v>C.botulinum</v>
      </c>
      <c r="B1629" s="5" t="s">
        <v>2542</v>
      </c>
      <c r="C1629" s="6" t="str">
        <f>IFERROR(__xludf.DUMMYFUNCTION("SPLIT('2. c'!B1629, "" "", True, True)"),"Clostridium")</f>
        <v>Clostridium</v>
      </c>
      <c r="D1629" t="str">
        <f>IFERROR(__xludf.DUMMYFUNCTION("""COMPUTED_VALUE"""),"botulinum")</f>
        <v>botulinum</v>
      </c>
      <c r="E1629" t="str">
        <f>IFERROR(__xludf.DUMMYFUNCTION("""COMPUTED_VALUE"""),"F")</f>
        <v>F</v>
      </c>
      <c r="F1629" t="str">
        <f>IFERROR(__xludf.DUMMYFUNCTION("""COMPUTED_VALUE"""),"str.")</f>
        <v>str.</v>
      </c>
      <c r="G1629" t="str">
        <f>IFERROR(__xludf.DUMMYFUNCTION("""COMPUTED_VALUE"""),"Langeland")</f>
        <v>Langeland</v>
      </c>
    </row>
    <row r="1630" ht="15.75" customHeight="1">
      <c r="A1630" t="str">
        <f t="shared" si="1"/>
        <v>C.botulinum</v>
      </c>
      <c r="B1630" s="5" t="s">
        <v>2554</v>
      </c>
      <c r="C1630" s="6" t="str">
        <f>IFERROR(__xludf.DUMMYFUNCTION("SPLIT('2. c'!B1630, "" "", True, True)"),"Clostridium")</f>
        <v>Clostridium</v>
      </c>
      <c r="D1630" t="str">
        <f>IFERROR(__xludf.DUMMYFUNCTION("""COMPUTED_VALUE"""),"botulinum")</f>
        <v>botulinum</v>
      </c>
      <c r="E1630" t="str">
        <f>IFERROR(__xludf.DUMMYFUNCTION("""COMPUTED_VALUE"""),"H04402")</f>
        <v>H04402</v>
      </c>
      <c r="F1630">
        <f>IFERROR(__xludf.DUMMYFUNCTION("""COMPUTED_VALUE"""),65.0)</f>
        <v>65</v>
      </c>
    </row>
    <row r="1631" ht="15.75" customHeight="1">
      <c r="A1631" t="str">
        <f t="shared" si="1"/>
        <v>C.botulinum</v>
      </c>
      <c r="B1631" s="5" t="s">
        <v>2566</v>
      </c>
      <c r="C1631" s="6" t="str">
        <f>IFERROR(__xludf.DUMMYFUNCTION("SPLIT('2. c'!B1631, "" "", True, True)"),"Clostridium")</f>
        <v>Clostridium</v>
      </c>
      <c r="D1631" t="str">
        <f>IFERROR(__xludf.DUMMYFUNCTION("""COMPUTED_VALUE"""),"botulinum")</f>
        <v>botulinum</v>
      </c>
      <c r="E1631" t="str">
        <f>IFERROR(__xludf.DUMMYFUNCTION("""COMPUTED_VALUE"""),"NCTC")</f>
        <v>NCTC</v>
      </c>
      <c r="F1631">
        <f>IFERROR(__xludf.DUMMYFUNCTION("""COMPUTED_VALUE"""),8266.0)</f>
        <v>8266</v>
      </c>
    </row>
    <row r="1632" ht="15.75" customHeight="1">
      <c r="A1632" t="str">
        <f t="shared" si="1"/>
        <v>C.botulinum</v>
      </c>
      <c r="B1632" s="5" t="s">
        <v>2584</v>
      </c>
      <c r="C1632" s="6" t="str">
        <f>IFERROR(__xludf.DUMMYFUNCTION("SPLIT('2. c'!B1632, "" "", True, True)"),"Clostridium")</f>
        <v>Clostridium</v>
      </c>
      <c r="D1632" t="str">
        <f>IFERROR(__xludf.DUMMYFUNCTION("""COMPUTED_VALUE"""),"botulinum")</f>
        <v>botulinum</v>
      </c>
      <c r="E1632" t="str">
        <f>IFERROR(__xludf.DUMMYFUNCTION("""COMPUTED_VALUE"""),"NCTC")</f>
        <v>NCTC</v>
      </c>
      <c r="F1632">
        <f>IFERROR(__xludf.DUMMYFUNCTION("""COMPUTED_VALUE"""),8550.0)</f>
        <v>8550</v>
      </c>
    </row>
    <row r="1633" ht="15.75" customHeight="1">
      <c r="A1633" t="str">
        <f t="shared" si="1"/>
        <v>C.botulinum</v>
      </c>
      <c r="B1633" s="5" t="s">
        <v>2593</v>
      </c>
      <c r="C1633" s="6" t="str">
        <f>IFERROR(__xludf.DUMMYFUNCTION("SPLIT('2. c'!B1633, "" "", True, True)"),"Clostridium")</f>
        <v>Clostridium</v>
      </c>
      <c r="D1633" t="str">
        <f>IFERROR(__xludf.DUMMYFUNCTION("""COMPUTED_VALUE"""),"botulinum")</f>
        <v>botulinum</v>
      </c>
      <c r="E1633" t="str">
        <f>IFERROR(__xludf.DUMMYFUNCTION("""COMPUTED_VALUE"""),"Prevot_594")</f>
        <v>Prevot_594</v>
      </c>
    </row>
    <row r="1634" ht="15.75" customHeight="1">
      <c r="A1634" t="str">
        <f t="shared" si="1"/>
        <v>C.butyricum</v>
      </c>
      <c r="B1634" s="5" t="s">
        <v>2603</v>
      </c>
      <c r="C1634" s="6" t="str">
        <f>IFERROR(__xludf.DUMMYFUNCTION("SPLIT('2. c'!B1634, "" "", True, True)"),"Clostridium")</f>
        <v>Clostridium</v>
      </c>
      <c r="D1634" t="str">
        <f>IFERROR(__xludf.DUMMYFUNCTION("""COMPUTED_VALUE"""),"butyricum")</f>
        <v>butyricum</v>
      </c>
      <c r="E1634" t="str">
        <f>IFERROR(__xludf.DUMMYFUNCTION("""COMPUTED_VALUE"""),"strain")</f>
        <v>strain</v>
      </c>
      <c r="F1634" t="str">
        <f>IFERROR(__xludf.DUMMYFUNCTION("""COMPUTED_VALUE"""),"JKY6D1")</f>
        <v>JKY6D1</v>
      </c>
    </row>
    <row r="1635" ht="15.75" customHeight="1">
      <c r="A1635" t="str">
        <f t="shared" si="1"/>
        <v>C.butyricum</v>
      </c>
      <c r="B1635" s="5" t="s">
        <v>2611</v>
      </c>
      <c r="C1635" s="6" t="str">
        <f>IFERROR(__xludf.DUMMYFUNCTION("SPLIT('2. c'!B1635, "" "", True, True)"),"Clostridium")</f>
        <v>Clostridium</v>
      </c>
      <c r="D1635" t="str">
        <f>IFERROR(__xludf.DUMMYFUNCTION("""COMPUTED_VALUE"""),"butyricum")</f>
        <v>butyricum</v>
      </c>
      <c r="E1635" t="str">
        <f>IFERROR(__xludf.DUMMYFUNCTION("""COMPUTED_VALUE"""),"strain")</f>
        <v>strain</v>
      </c>
      <c r="F1635" t="str">
        <f>IFERROR(__xludf.DUMMYFUNCTION("""COMPUTED_VALUE"""),"KNU-L09")</f>
        <v>KNU-L09</v>
      </c>
    </row>
    <row r="1636" ht="15.75" customHeight="1">
      <c r="A1636" t="str">
        <f t="shared" si="1"/>
        <v>C.butyricum</v>
      </c>
      <c r="B1636" s="5" t="s">
        <v>2622</v>
      </c>
      <c r="C1636" s="6" t="str">
        <f>IFERROR(__xludf.DUMMYFUNCTION("SPLIT('2. c'!B1636, "" "", True, True)"),"Clostridium")</f>
        <v>Clostridium</v>
      </c>
      <c r="D1636" t="str">
        <f>IFERROR(__xludf.DUMMYFUNCTION("""COMPUTED_VALUE"""),"butyricum")</f>
        <v>butyricum</v>
      </c>
      <c r="E1636" t="str">
        <f>IFERROR(__xludf.DUMMYFUNCTION("""COMPUTED_VALUE"""),"strain")</f>
        <v>strain</v>
      </c>
      <c r="F1636" t="str">
        <f>IFERROR(__xludf.DUMMYFUNCTION("""COMPUTED_VALUE"""),"TOA")</f>
        <v>TOA</v>
      </c>
    </row>
    <row r="1637" ht="15.75" customHeight="1">
      <c r="A1637" t="str">
        <f t="shared" si="1"/>
        <v>C.carboxidivorans</v>
      </c>
      <c r="B1637" s="5" t="s">
        <v>2637</v>
      </c>
      <c r="C1637" s="6" t="str">
        <f>IFERROR(__xludf.DUMMYFUNCTION("SPLIT('2. c'!B1637, "" "", True, True)"),"Clostridium")</f>
        <v>Clostridium</v>
      </c>
      <c r="D1637" t="str">
        <f>IFERROR(__xludf.DUMMYFUNCTION("""COMPUTED_VALUE"""),"carboxidivorans")</f>
        <v>carboxidivorans</v>
      </c>
      <c r="E1637" t="str">
        <f>IFERROR(__xludf.DUMMYFUNCTION("""COMPUTED_VALUE"""),"P7")</f>
        <v>P7</v>
      </c>
    </row>
    <row r="1638" ht="15.75" customHeight="1">
      <c r="A1638" t="str">
        <f t="shared" si="1"/>
        <v>C.cellulolyticum</v>
      </c>
      <c r="B1638" s="5" t="s">
        <v>2646</v>
      </c>
      <c r="C1638" s="6" t="str">
        <f>IFERROR(__xludf.DUMMYFUNCTION("SPLIT('2. c'!B1638, "" "", True, True)"),"Clostridium")</f>
        <v>Clostridium</v>
      </c>
      <c r="D1638" t="str">
        <f>IFERROR(__xludf.DUMMYFUNCTION("""COMPUTED_VALUE"""),"cellulolyticum")</f>
        <v>cellulolyticum</v>
      </c>
      <c r="E1638" t="str">
        <f>IFERROR(__xludf.DUMMYFUNCTION("""COMPUTED_VALUE"""),"H10")</f>
        <v>H10</v>
      </c>
    </row>
    <row r="1639" ht="15.75" customHeight="1">
      <c r="A1639" t="str">
        <f t="shared" si="1"/>
        <v>C.cellulovorans</v>
      </c>
      <c r="B1639" s="5" t="s">
        <v>2657</v>
      </c>
      <c r="C1639" s="6" t="str">
        <f>IFERROR(__xludf.DUMMYFUNCTION("SPLIT('2. c'!B1639, "" "", True, True)"),"Clostridium")</f>
        <v>Clostridium</v>
      </c>
      <c r="D1639" t="str">
        <f>IFERROR(__xludf.DUMMYFUNCTION("""COMPUTED_VALUE"""),"cellulovorans")</f>
        <v>cellulovorans</v>
      </c>
      <c r="E1639" t="str">
        <f>IFERROR(__xludf.DUMMYFUNCTION("""COMPUTED_VALUE"""),"743B")</f>
        <v>743B</v>
      </c>
    </row>
    <row r="1640" ht="15.75" customHeight="1">
      <c r="A1640" t="str">
        <f t="shared" si="1"/>
        <v>C.cf.</v>
      </c>
      <c r="B1640" s="5" t="s">
        <v>2665</v>
      </c>
      <c r="C1640" s="6" t="str">
        <f>IFERROR(__xludf.DUMMYFUNCTION("SPLIT('2. c'!B1640, "" "", True, True)"),"Clostridium")</f>
        <v>Clostridium</v>
      </c>
      <c r="D1640" t="str">
        <f>IFERROR(__xludf.DUMMYFUNCTION("""COMPUTED_VALUE"""),"cf.")</f>
        <v>cf.</v>
      </c>
      <c r="E1640" t="str">
        <f>IFERROR(__xludf.DUMMYFUNCTION("""COMPUTED_VALUE"""),"saccharolyticum")</f>
        <v>saccharolyticum</v>
      </c>
      <c r="F1640" t="str">
        <f>IFERROR(__xludf.DUMMYFUNCTION("""COMPUTED_VALUE"""),"K10")</f>
        <v>K10</v>
      </c>
    </row>
    <row r="1641" ht="15.75" customHeight="1">
      <c r="A1641" t="str">
        <f t="shared" si="1"/>
        <v>C.clariflavum</v>
      </c>
      <c r="B1641" s="5" t="s">
        <v>2675</v>
      </c>
      <c r="C1641" s="6" t="str">
        <f>IFERROR(__xludf.DUMMYFUNCTION("SPLIT('2. c'!B1641, "" "", True, True)"),"Clostridium")</f>
        <v>Clostridium</v>
      </c>
      <c r="D1641" t="str">
        <f>IFERROR(__xludf.DUMMYFUNCTION("""COMPUTED_VALUE"""),"clariflavum")</f>
        <v>clariflavum</v>
      </c>
      <c r="E1641" t="str">
        <f>IFERROR(__xludf.DUMMYFUNCTION("""COMPUTED_VALUE"""),"DSM")</f>
        <v>DSM</v>
      </c>
      <c r="F1641">
        <f>IFERROR(__xludf.DUMMYFUNCTION("""COMPUTED_VALUE"""),19732.0)</f>
        <v>19732</v>
      </c>
    </row>
    <row r="1642" ht="15.75" customHeight="1">
      <c r="A1642" t="str">
        <f t="shared" si="1"/>
        <v>C.difficile</v>
      </c>
      <c r="B1642" s="5" t="s">
        <v>2687</v>
      </c>
      <c r="C1642" s="6" t="str">
        <f>IFERROR(__xludf.DUMMYFUNCTION("SPLIT('2. c'!B1642, "" "", True, True)"),"Clostridium")</f>
        <v>Clostridium</v>
      </c>
      <c r="D1642" t="str">
        <f>IFERROR(__xludf.DUMMYFUNCTION("""COMPUTED_VALUE"""),"difficile")</f>
        <v>difficile</v>
      </c>
      <c r="E1642">
        <f>IFERROR(__xludf.DUMMYFUNCTION("""COMPUTED_VALUE"""),2007855.0)</f>
        <v>2007855</v>
      </c>
    </row>
    <row r="1643" ht="15.75" customHeight="1">
      <c r="A1643" t="str">
        <f t="shared" si="1"/>
        <v>C.difficile</v>
      </c>
      <c r="B1643" s="5" t="s">
        <v>2698</v>
      </c>
      <c r="C1643" s="6" t="str">
        <f>IFERROR(__xludf.DUMMYFUNCTION("SPLIT('2. c'!B1643, "" "", True, True)"),"Clostridium")</f>
        <v>Clostridium</v>
      </c>
      <c r="D1643" t="str">
        <f>IFERROR(__xludf.DUMMYFUNCTION("""COMPUTED_VALUE"""),"difficile")</f>
        <v>difficile</v>
      </c>
      <c r="E1643">
        <f>IFERROR(__xludf.DUMMYFUNCTION("""COMPUTED_VALUE"""),630.0)</f>
        <v>630</v>
      </c>
    </row>
    <row r="1644" ht="15.75" customHeight="1">
      <c r="A1644" t="str">
        <f t="shared" si="1"/>
        <v>C.difficile</v>
      </c>
      <c r="B1644" s="5" t="s">
        <v>2707</v>
      </c>
      <c r="C1644" s="6" t="str">
        <f>IFERROR(__xludf.DUMMYFUNCTION("SPLIT('2. c'!B1644, "" "", True, True)"),"Clostridium")</f>
        <v>Clostridium</v>
      </c>
      <c r="D1644" t="str">
        <f>IFERROR(__xludf.DUMMYFUNCTION("""COMPUTED_VALUE"""),"difficile")</f>
        <v>difficile</v>
      </c>
      <c r="E1644" t="str">
        <f>IFERROR(__xludf.DUMMYFUNCTION("""COMPUTED_VALUE"""),"BI1")</f>
        <v>BI1</v>
      </c>
    </row>
    <row r="1645" ht="15.75" customHeight="1">
      <c r="A1645" t="str">
        <f t="shared" si="1"/>
        <v>C.difficile</v>
      </c>
      <c r="B1645" s="5" t="s">
        <v>2716</v>
      </c>
      <c r="C1645" s="6" t="str">
        <f>IFERROR(__xludf.DUMMYFUNCTION("SPLIT('2. c'!B1645, "" "", True, True)"),"Clostridium")</f>
        <v>Clostridium</v>
      </c>
      <c r="D1645" t="str">
        <f>IFERROR(__xludf.DUMMYFUNCTION("""COMPUTED_VALUE"""),"difficile")</f>
        <v>difficile</v>
      </c>
      <c r="E1645" t="str">
        <f>IFERROR(__xludf.DUMMYFUNCTION("""COMPUTED_VALUE"""),"CD196")</f>
        <v>CD196</v>
      </c>
    </row>
    <row r="1646" ht="15.75" customHeight="1">
      <c r="A1646" t="str">
        <f t="shared" si="1"/>
        <v>C.difficile</v>
      </c>
      <c r="B1646" s="5" t="s">
        <v>2724</v>
      </c>
      <c r="C1646" s="6" t="str">
        <f>IFERROR(__xludf.DUMMYFUNCTION("SPLIT('2. c'!B1646, "" "", True, True)"),"Clostridium")</f>
        <v>Clostridium</v>
      </c>
      <c r="D1646" t="str">
        <f>IFERROR(__xludf.DUMMYFUNCTION("""COMPUTED_VALUE"""),"difficile")</f>
        <v>difficile</v>
      </c>
      <c r="E1646" t="str">
        <f>IFERROR(__xludf.DUMMYFUNCTION("""COMPUTED_VALUE"""),"CF5")</f>
        <v>CF5</v>
      </c>
    </row>
    <row r="1647" ht="15.75" customHeight="1">
      <c r="A1647" t="str">
        <f t="shared" si="1"/>
        <v>C.difficile</v>
      </c>
      <c r="B1647" s="5" t="s">
        <v>2734</v>
      </c>
      <c r="C1647" s="6" t="str">
        <f>IFERROR(__xludf.DUMMYFUNCTION("SPLIT('2. c'!B1647, "" "", True, True)"),"Clostridium")</f>
        <v>Clostridium</v>
      </c>
      <c r="D1647" t="str">
        <f>IFERROR(__xludf.DUMMYFUNCTION("""COMPUTED_VALUE"""),"difficile")</f>
        <v>difficile</v>
      </c>
      <c r="E1647" t="str">
        <f>IFERROR(__xludf.DUMMYFUNCTION("""COMPUTED_VALUE"""),"M120")</f>
        <v>M120</v>
      </c>
    </row>
    <row r="1648" ht="15.75" customHeight="1">
      <c r="A1648" t="str">
        <f t="shared" si="1"/>
        <v>C.difficile</v>
      </c>
      <c r="B1648" s="5" t="s">
        <v>2742</v>
      </c>
      <c r="C1648" s="6" t="str">
        <f>IFERROR(__xludf.DUMMYFUNCTION("SPLIT('2. c'!B1648, "" "", True, True)"),"Clostridium")</f>
        <v>Clostridium</v>
      </c>
      <c r="D1648" t="str">
        <f>IFERROR(__xludf.DUMMYFUNCTION("""COMPUTED_VALUE"""),"difficile")</f>
        <v>difficile</v>
      </c>
      <c r="E1648" t="str">
        <f>IFERROR(__xludf.DUMMYFUNCTION("""COMPUTED_VALUE"""),"M68")</f>
        <v>M68</v>
      </c>
    </row>
    <row r="1649" ht="15.75" customHeight="1">
      <c r="A1649" t="str">
        <f t="shared" si="1"/>
        <v>C.difficile</v>
      </c>
      <c r="B1649" s="5" t="s">
        <v>2751</v>
      </c>
      <c r="C1649" s="6" t="str">
        <f>IFERROR(__xludf.DUMMYFUNCTION("SPLIT('2. c'!B1649, "" "", True, True)"),"Clostridium")</f>
        <v>Clostridium</v>
      </c>
      <c r="D1649" t="str">
        <f>IFERROR(__xludf.DUMMYFUNCTION("""COMPUTED_VALUE"""),"difficile")</f>
        <v>difficile</v>
      </c>
      <c r="E1649" t="str">
        <f>IFERROR(__xludf.DUMMYFUNCTION("""COMPUTED_VALUE"""),"R20291")</f>
        <v>R20291</v>
      </c>
    </row>
    <row r="1650" ht="15.75" customHeight="1">
      <c r="A1650" t="str">
        <f t="shared" si="1"/>
        <v>C.kluyveri</v>
      </c>
      <c r="B1650" s="5" t="s">
        <v>2759</v>
      </c>
      <c r="C1650" s="6" t="str">
        <f>IFERROR(__xludf.DUMMYFUNCTION("SPLIT('2. c'!B1650, "" "", True, True)"),"Clostridium")</f>
        <v>Clostridium</v>
      </c>
      <c r="D1650" t="str">
        <f>IFERROR(__xludf.DUMMYFUNCTION("""COMPUTED_VALUE"""),"kluyveri")</f>
        <v>kluyveri</v>
      </c>
      <c r="E1650" t="str">
        <f>IFERROR(__xludf.DUMMYFUNCTION("""COMPUTED_VALUE"""),"DSM")</f>
        <v>DSM</v>
      </c>
      <c r="F1650">
        <f>IFERROR(__xludf.DUMMYFUNCTION("""COMPUTED_VALUE"""),555.0)</f>
        <v>555</v>
      </c>
    </row>
    <row r="1651" ht="15.75" customHeight="1">
      <c r="A1651" t="str">
        <f t="shared" si="1"/>
        <v>C.kluyveri</v>
      </c>
      <c r="B1651" s="5" t="s">
        <v>2768</v>
      </c>
      <c r="C1651" s="6" t="str">
        <f>IFERROR(__xludf.DUMMYFUNCTION("SPLIT('2. c'!B1651, "" "", True, True)"),"Clostridium")</f>
        <v>Clostridium</v>
      </c>
      <c r="D1651" t="str">
        <f>IFERROR(__xludf.DUMMYFUNCTION("""COMPUTED_VALUE"""),"kluyveri")</f>
        <v>kluyveri</v>
      </c>
      <c r="E1651" t="str">
        <f>IFERROR(__xludf.DUMMYFUNCTION("""COMPUTED_VALUE"""),"NBRC")</f>
        <v>NBRC</v>
      </c>
      <c r="F1651">
        <f>IFERROR(__xludf.DUMMYFUNCTION("""COMPUTED_VALUE"""),12016.0)</f>
        <v>12016</v>
      </c>
    </row>
    <row r="1652" ht="15.75" customHeight="1">
      <c r="A1652" t="str">
        <f t="shared" si="1"/>
        <v>C.ljungdahlii</v>
      </c>
      <c r="B1652" s="5" t="s">
        <v>2779</v>
      </c>
      <c r="C1652" s="6" t="str">
        <f>IFERROR(__xludf.DUMMYFUNCTION("SPLIT('2. c'!B1652, "" "", True, True)"),"Clostridium")</f>
        <v>Clostridium</v>
      </c>
      <c r="D1652" t="str">
        <f>IFERROR(__xludf.DUMMYFUNCTION("""COMPUTED_VALUE"""),"ljungdahlii")</f>
        <v>ljungdahlii</v>
      </c>
      <c r="E1652" t="str">
        <f>IFERROR(__xludf.DUMMYFUNCTION("""COMPUTED_VALUE"""),"strain")</f>
        <v>strain</v>
      </c>
      <c r="F1652" t="str">
        <f>IFERROR(__xludf.DUMMYFUNCTION("""COMPUTED_VALUE"""),"DSM")</f>
        <v>DSM</v>
      </c>
      <c r="G1652">
        <f>IFERROR(__xludf.DUMMYFUNCTION("""COMPUTED_VALUE"""),13528.0)</f>
        <v>13528</v>
      </c>
    </row>
    <row r="1653" ht="15.75" customHeight="1">
      <c r="A1653" t="str">
        <f t="shared" si="1"/>
        <v>C.novyi</v>
      </c>
      <c r="B1653" s="5" t="s">
        <v>2791</v>
      </c>
      <c r="C1653" s="6" t="str">
        <f>IFERROR(__xludf.DUMMYFUNCTION("SPLIT('2. c'!B1653, "" "", True, True)"),"Clostridium")</f>
        <v>Clostridium</v>
      </c>
      <c r="D1653" t="str">
        <f>IFERROR(__xludf.DUMMYFUNCTION("""COMPUTED_VALUE"""),"novyi")</f>
        <v>novyi</v>
      </c>
      <c r="E1653" t="str">
        <f>IFERROR(__xludf.DUMMYFUNCTION("""COMPUTED_VALUE"""),"NT")</f>
        <v>NT</v>
      </c>
    </row>
    <row r="1654" ht="15.75" customHeight="1">
      <c r="A1654" t="str">
        <f t="shared" si="1"/>
        <v>C.pasteurianum</v>
      </c>
      <c r="B1654" s="5" t="s">
        <v>2800</v>
      </c>
      <c r="C1654" s="6" t="str">
        <f>IFERROR(__xludf.DUMMYFUNCTION("SPLIT('2. c'!B1654, "" "", True, True)"),"Clostridium")</f>
        <v>Clostridium</v>
      </c>
      <c r="D1654" t="str">
        <f>IFERROR(__xludf.DUMMYFUNCTION("""COMPUTED_VALUE"""),"pasteurianum")</f>
        <v>pasteurianum</v>
      </c>
      <c r="E1654" t="str">
        <f>IFERROR(__xludf.DUMMYFUNCTION("""COMPUTED_VALUE"""),"BC1")</f>
        <v>BC1</v>
      </c>
    </row>
    <row r="1655" ht="15.75" customHeight="1">
      <c r="A1655" t="str">
        <f t="shared" si="1"/>
        <v>C.pasteurianum</v>
      </c>
      <c r="B1655" s="5" t="s">
        <v>2808</v>
      </c>
      <c r="C1655" s="6" t="str">
        <f>IFERROR(__xludf.DUMMYFUNCTION("SPLIT('2. c'!B1655, "" "", True, True)"),"Clostridium")</f>
        <v>Clostridium</v>
      </c>
      <c r="D1655" t="str">
        <f>IFERROR(__xludf.DUMMYFUNCTION("""COMPUTED_VALUE"""),"pasteurianum")</f>
        <v>pasteurianum</v>
      </c>
      <c r="E1655" t="str">
        <f>IFERROR(__xludf.DUMMYFUNCTION("""COMPUTED_VALUE"""),"DSM")</f>
        <v>DSM</v>
      </c>
      <c r="F1655">
        <f>IFERROR(__xludf.DUMMYFUNCTION("""COMPUTED_VALUE"""),525.0)</f>
        <v>525</v>
      </c>
      <c r="G1655" t="str">
        <f>IFERROR(__xludf.DUMMYFUNCTION("""COMPUTED_VALUE"""),"=")</f>
        <v>=</v>
      </c>
      <c r="H1655" t="str">
        <f>IFERROR(__xludf.DUMMYFUNCTION("""COMPUTED_VALUE"""),"ATCC")</f>
        <v>ATCC</v>
      </c>
      <c r="I1655">
        <f>IFERROR(__xludf.DUMMYFUNCTION("""COMPUTED_VALUE"""),6013.0)</f>
        <v>6013</v>
      </c>
    </row>
    <row r="1656" ht="15.75" customHeight="1">
      <c r="A1656" t="str">
        <f t="shared" si="1"/>
        <v>C.pasteurianum</v>
      </c>
      <c r="B1656" s="5" t="s">
        <v>2808</v>
      </c>
      <c r="C1656" s="6" t="str">
        <f>IFERROR(__xludf.DUMMYFUNCTION("SPLIT('2. c'!B1656, "" "", True, True)"),"Clostridium")</f>
        <v>Clostridium</v>
      </c>
      <c r="D1656" t="str">
        <f>IFERROR(__xludf.DUMMYFUNCTION("""COMPUTED_VALUE"""),"pasteurianum")</f>
        <v>pasteurianum</v>
      </c>
      <c r="E1656" t="str">
        <f>IFERROR(__xludf.DUMMYFUNCTION("""COMPUTED_VALUE"""),"DSM")</f>
        <v>DSM</v>
      </c>
      <c r="F1656">
        <f>IFERROR(__xludf.DUMMYFUNCTION("""COMPUTED_VALUE"""),525.0)</f>
        <v>525</v>
      </c>
      <c r="G1656" t="str">
        <f>IFERROR(__xludf.DUMMYFUNCTION("""COMPUTED_VALUE"""),"=")</f>
        <v>=</v>
      </c>
      <c r="H1656" t="str">
        <f>IFERROR(__xludf.DUMMYFUNCTION("""COMPUTED_VALUE"""),"ATCC")</f>
        <v>ATCC</v>
      </c>
      <c r="I1656">
        <f>IFERROR(__xludf.DUMMYFUNCTION("""COMPUTED_VALUE"""),6013.0)</f>
        <v>6013</v>
      </c>
    </row>
    <row r="1657" ht="15.75" customHeight="1">
      <c r="A1657" t="str">
        <f t="shared" si="1"/>
        <v>C.perfringens</v>
      </c>
      <c r="B1657" s="5" t="s">
        <v>2833</v>
      </c>
      <c r="C1657" s="6" t="str">
        <f>IFERROR(__xludf.DUMMYFUNCTION("SPLIT('2. c'!B1657, "" "", True, True)"),"Clostridium")</f>
        <v>Clostridium</v>
      </c>
      <c r="D1657" t="str">
        <f>IFERROR(__xludf.DUMMYFUNCTION("""COMPUTED_VALUE"""),"perfringens")</f>
        <v>perfringens</v>
      </c>
      <c r="E1657" t="str">
        <f>IFERROR(__xludf.DUMMYFUNCTION("""COMPUTED_VALUE"""),"ATCC")</f>
        <v>ATCC</v>
      </c>
      <c r="F1657">
        <f>IFERROR(__xludf.DUMMYFUNCTION("""COMPUTED_VALUE"""),13124.0)</f>
        <v>13124</v>
      </c>
    </row>
    <row r="1658" ht="15.75" customHeight="1">
      <c r="A1658" t="str">
        <f t="shared" si="1"/>
        <v>C.perfringens</v>
      </c>
      <c r="B1658" s="5" t="s">
        <v>2845</v>
      </c>
      <c r="C1658" s="6" t="str">
        <f>IFERROR(__xludf.DUMMYFUNCTION("SPLIT('2. c'!B1658, "" "", True, True)"),"Clostridium")</f>
        <v>Clostridium</v>
      </c>
      <c r="D1658" t="str">
        <f>IFERROR(__xludf.DUMMYFUNCTION("""COMPUTED_VALUE"""),"perfringens")</f>
        <v>perfringens</v>
      </c>
      <c r="E1658" t="str">
        <f>IFERROR(__xludf.DUMMYFUNCTION("""COMPUTED_VALUE"""),"SM101")</f>
        <v>SM101</v>
      </c>
    </row>
    <row r="1659" ht="15.75" customHeight="1">
      <c r="A1659" t="str">
        <f t="shared" si="1"/>
        <v>C.perfringens</v>
      </c>
      <c r="B1659" s="5" t="s">
        <v>2854</v>
      </c>
      <c r="C1659" s="6" t="str">
        <f>IFERROR(__xludf.DUMMYFUNCTION("SPLIT('2. c'!B1659, "" "", True, True)"),"Clostridium")</f>
        <v>Clostridium</v>
      </c>
      <c r="D1659" t="str">
        <f>IFERROR(__xludf.DUMMYFUNCTION("""COMPUTED_VALUE"""),"perfringens")</f>
        <v>perfringens</v>
      </c>
      <c r="E1659" t="str">
        <f>IFERROR(__xludf.DUMMYFUNCTION("""COMPUTED_VALUE"""),"str.")</f>
        <v>str.</v>
      </c>
      <c r="F1659">
        <f>IFERROR(__xludf.DUMMYFUNCTION("""COMPUTED_VALUE"""),13.0)</f>
        <v>13</v>
      </c>
    </row>
    <row r="1660" ht="15.75" customHeight="1">
      <c r="A1660" t="str">
        <f t="shared" si="1"/>
        <v>C.perfringens</v>
      </c>
      <c r="B1660" s="5" t="s">
        <v>2866</v>
      </c>
      <c r="C1660" s="6" t="str">
        <f>IFERROR(__xludf.DUMMYFUNCTION("SPLIT('2. c'!B1660, "" "", True, True)"),"Clostridium")</f>
        <v>Clostridium</v>
      </c>
      <c r="D1660" t="str">
        <f>IFERROR(__xludf.DUMMYFUNCTION("""COMPUTED_VALUE"""),"perfringens")</f>
        <v>perfringens</v>
      </c>
      <c r="E1660" t="str">
        <f>IFERROR(__xludf.DUMMYFUNCTION("""COMPUTED_VALUE"""),"strain")</f>
        <v>strain</v>
      </c>
      <c r="F1660" t="str">
        <f>IFERROR(__xludf.DUMMYFUNCTION("""COMPUTED_VALUE"""),"FORC_003")</f>
        <v>FORC_003</v>
      </c>
    </row>
    <row r="1661" ht="15.75" customHeight="1">
      <c r="A1661" t="str">
        <f t="shared" si="1"/>
        <v>C.perfringens</v>
      </c>
      <c r="B1661" s="5" t="s">
        <v>2876</v>
      </c>
      <c r="C1661" s="6" t="str">
        <f>IFERROR(__xludf.DUMMYFUNCTION("SPLIT('2. c'!B1661, "" "", True, True)"),"Clostridium")</f>
        <v>Clostridium</v>
      </c>
      <c r="D1661" t="str">
        <f>IFERROR(__xludf.DUMMYFUNCTION("""COMPUTED_VALUE"""),"perfringens")</f>
        <v>perfringens</v>
      </c>
      <c r="E1661" t="str">
        <f>IFERROR(__xludf.DUMMYFUNCTION("""COMPUTED_VALUE"""),"strain")</f>
        <v>strain</v>
      </c>
      <c r="F1661" t="str">
        <f>IFERROR(__xludf.DUMMYFUNCTION("""COMPUTED_VALUE"""),"JP55")</f>
        <v>JP55</v>
      </c>
    </row>
    <row r="1662" ht="15.75" customHeight="1">
      <c r="A1662" t="str">
        <f t="shared" si="1"/>
        <v>C.perfringens</v>
      </c>
      <c r="B1662" s="5" t="s">
        <v>2884</v>
      </c>
      <c r="C1662" s="6" t="str">
        <f>IFERROR(__xludf.DUMMYFUNCTION("SPLIT('2. c'!B1662, "" "", True, True)"),"Clostridium")</f>
        <v>Clostridium</v>
      </c>
      <c r="D1662" t="str">
        <f>IFERROR(__xludf.DUMMYFUNCTION("""COMPUTED_VALUE"""),"perfringens")</f>
        <v>perfringens</v>
      </c>
      <c r="E1662" t="str">
        <f>IFERROR(__xludf.DUMMYFUNCTION("""COMPUTED_VALUE"""),"strain")</f>
        <v>strain</v>
      </c>
      <c r="F1662" t="str">
        <f>IFERROR(__xludf.DUMMYFUNCTION("""COMPUTED_VALUE"""),"JP838")</f>
        <v>JP838</v>
      </c>
    </row>
    <row r="1663" ht="15.75" customHeight="1">
      <c r="A1663" t="str">
        <f t="shared" si="1"/>
        <v>C.phytofermentans</v>
      </c>
      <c r="B1663" s="5" t="s">
        <v>2890</v>
      </c>
      <c r="C1663" s="6" t="str">
        <f>IFERROR(__xludf.DUMMYFUNCTION("SPLIT('2. c'!B1663, "" "", True, True)"),"Clostridium")</f>
        <v>Clostridium</v>
      </c>
      <c r="D1663" t="str">
        <f>IFERROR(__xludf.DUMMYFUNCTION("""COMPUTED_VALUE"""),"phytofermentans")</f>
        <v>phytofermentans</v>
      </c>
      <c r="E1663" t="str">
        <f>IFERROR(__xludf.DUMMYFUNCTION("""COMPUTED_VALUE"""),"ISDg")</f>
        <v>ISDg</v>
      </c>
    </row>
    <row r="1664" ht="15.75" customHeight="1">
      <c r="A1664" t="str">
        <f t="shared" si="1"/>
        <v>C.saccharobutylicum</v>
      </c>
      <c r="B1664" s="5" t="s">
        <v>2896</v>
      </c>
      <c r="C1664" s="6" t="str">
        <f>IFERROR(__xludf.DUMMYFUNCTION("SPLIT('2. c'!B1664, "" "", True, True)"),"Clostridium")</f>
        <v>Clostridium</v>
      </c>
      <c r="D1664" t="str">
        <f>IFERROR(__xludf.DUMMYFUNCTION("""COMPUTED_VALUE"""),"saccharobutylicum")</f>
        <v>saccharobutylicum</v>
      </c>
      <c r="E1664" t="str">
        <f>IFERROR(__xludf.DUMMYFUNCTION("""COMPUTED_VALUE"""),"DSM")</f>
        <v>DSM</v>
      </c>
      <c r="F1664">
        <f>IFERROR(__xludf.DUMMYFUNCTION("""COMPUTED_VALUE"""),13864.0)</f>
        <v>13864</v>
      </c>
    </row>
    <row r="1665" ht="15.75" customHeight="1">
      <c r="A1665" t="str">
        <f t="shared" si="1"/>
        <v>C.saccharolyticum</v>
      </c>
      <c r="B1665" s="5" t="s">
        <v>2906</v>
      </c>
      <c r="C1665" s="6" t="str">
        <f>IFERROR(__xludf.DUMMYFUNCTION("SPLIT('2. c'!B1665, "" "", True, True)"),"Clostridium")</f>
        <v>Clostridium</v>
      </c>
      <c r="D1665" t="str">
        <f>IFERROR(__xludf.DUMMYFUNCTION("""COMPUTED_VALUE"""),"saccharolyticum")</f>
        <v>saccharolyticum</v>
      </c>
      <c r="E1665" t="str">
        <f>IFERROR(__xludf.DUMMYFUNCTION("""COMPUTED_VALUE"""),"WM1")</f>
        <v>WM1</v>
      </c>
    </row>
    <row r="1666" ht="15.75" customHeight="1">
      <c r="A1666" t="str">
        <f t="shared" si="1"/>
        <v>C.saccharoperbutylacetonicum</v>
      </c>
      <c r="B1666" s="5" t="s">
        <v>2915</v>
      </c>
      <c r="C1666" s="6" t="str">
        <f>IFERROR(__xludf.DUMMYFUNCTION("SPLIT('2. c'!B1666, "" "", True, True)"),"Clostridium")</f>
        <v>Clostridium</v>
      </c>
      <c r="D1666" t="str">
        <f>IFERROR(__xludf.DUMMYFUNCTION("""COMPUTED_VALUE"""),"saccharoperbutylacetonicum")</f>
        <v>saccharoperbutylacetonicum</v>
      </c>
      <c r="E1666" t="str">
        <f>IFERROR(__xludf.DUMMYFUNCTION("""COMPUTED_VALUE"""),"N1-4(HMT)")</f>
        <v>N1-4(HMT)</v>
      </c>
    </row>
    <row r="1667" ht="15.75" customHeight="1">
      <c r="A1667" t="str">
        <f t="shared" si="1"/>
        <v>C.sp.</v>
      </c>
      <c r="B1667" s="5" t="s">
        <v>2923</v>
      </c>
      <c r="C1667" s="6" t="str">
        <f>IFERROR(__xludf.DUMMYFUNCTION("SPLIT('2. c'!B1667, "" "", True, True)"),"Clostridium")</f>
        <v>Clostridium</v>
      </c>
      <c r="D1667" t="str">
        <f>IFERROR(__xludf.DUMMYFUNCTION("""COMPUTED_VALUE"""),"sp.")</f>
        <v>sp.</v>
      </c>
      <c r="E1667" t="str">
        <f>IFERROR(__xludf.DUMMYFUNCTION("""COMPUTED_VALUE"""),"BNL1100")</f>
        <v>BNL1100</v>
      </c>
    </row>
    <row r="1668" ht="15.75" customHeight="1">
      <c r="A1668" t="str">
        <f t="shared" si="1"/>
        <v>C.sp.</v>
      </c>
      <c r="B1668" s="5" t="s">
        <v>2930</v>
      </c>
      <c r="C1668" s="6" t="str">
        <f>IFERROR(__xludf.DUMMYFUNCTION("SPLIT('2. c'!B1668, "" "", True, True)"),"Clostridium")</f>
        <v>Clostridium</v>
      </c>
      <c r="D1668" t="str">
        <f>IFERROR(__xludf.DUMMYFUNCTION("""COMPUTED_VALUE"""),"sp.")</f>
        <v>sp.</v>
      </c>
      <c r="E1668" t="str">
        <f>IFERROR(__xludf.DUMMYFUNCTION("""COMPUTED_VALUE"""),"M2/40")</f>
        <v>M2/40</v>
      </c>
    </row>
    <row r="1669" ht="15.75" customHeight="1">
      <c r="A1669" t="str">
        <f t="shared" si="1"/>
        <v>C.sp.</v>
      </c>
      <c r="B1669" s="5" t="s">
        <v>2938</v>
      </c>
      <c r="C1669" s="6" t="str">
        <f>IFERROR(__xludf.DUMMYFUNCTION("SPLIT('2. c'!B1669, "" "", True, True)"),"Clostridium")</f>
        <v>Clostridium</v>
      </c>
      <c r="D1669" t="str">
        <f>IFERROR(__xludf.DUMMYFUNCTION("""COMPUTED_VALUE"""),"sp.")</f>
        <v>sp.</v>
      </c>
      <c r="E1669" t="str">
        <f>IFERROR(__xludf.DUMMYFUNCTION("""COMPUTED_VALUE"""),"SY8519")</f>
        <v>SY8519</v>
      </c>
    </row>
    <row r="1670" ht="15.75" customHeight="1">
      <c r="A1670" t="str">
        <f t="shared" si="1"/>
        <v>C.sporogenes</v>
      </c>
      <c r="B1670" s="5" t="s">
        <v>2947</v>
      </c>
      <c r="C1670" s="6" t="str">
        <f>IFERROR(__xludf.DUMMYFUNCTION("SPLIT('2. c'!B1670, "" "", True, True)"),"Clostridium")</f>
        <v>Clostridium</v>
      </c>
      <c r="D1670" t="str">
        <f>IFERROR(__xludf.DUMMYFUNCTION("""COMPUTED_VALUE"""),"sporogenes")</f>
        <v>sporogenes</v>
      </c>
      <c r="E1670" t="str">
        <f>IFERROR(__xludf.DUMMYFUNCTION("""COMPUTED_VALUE"""),"strain")</f>
        <v>strain</v>
      </c>
      <c r="F1670" t="str">
        <f>IFERROR(__xludf.DUMMYFUNCTION("""COMPUTED_VALUE"""),"DSM")</f>
        <v>DSM</v>
      </c>
      <c r="G1670">
        <f>IFERROR(__xludf.DUMMYFUNCTION("""COMPUTED_VALUE"""),795.0)</f>
        <v>795</v>
      </c>
    </row>
    <row r="1671" ht="15.75" customHeight="1">
      <c r="A1671" t="str">
        <f t="shared" si="1"/>
        <v>C.sporogenes</v>
      </c>
      <c r="B1671" s="5" t="s">
        <v>2958</v>
      </c>
      <c r="C1671" s="6" t="str">
        <f>IFERROR(__xludf.DUMMYFUNCTION("SPLIT('2. c'!B1671, "" "", True, True)"),"Clostridium")</f>
        <v>Clostridium</v>
      </c>
      <c r="D1671" t="str">
        <f>IFERROR(__xludf.DUMMYFUNCTION("""COMPUTED_VALUE"""),"sporogenes")</f>
        <v>sporogenes</v>
      </c>
      <c r="E1671" t="str">
        <f>IFERROR(__xludf.DUMMYFUNCTION("""COMPUTED_VALUE"""),"strain")</f>
        <v>strain</v>
      </c>
      <c r="F1671" t="str">
        <f>IFERROR(__xludf.DUMMYFUNCTION("""COMPUTED_VALUE"""),"NCIMB")</f>
        <v>NCIMB</v>
      </c>
      <c r="G1671">
        <f>IFERROR(__xludf.DUMMYFUNCTION("""COMPUTED_VALUE"""),10696.0)</f>
        <v>10696</v>
      </c>
    </row>
    <row r="1672" ht="15.75" customHeight="1">
      <c r="A1672" t="str">
        <f t="shared" si="1"/>
        <v>C.stercorarium</v>
      </c>
      <c r="B1672" s="5" t="s">
        <v>2970</v>
      </c>
      <c r="C1672" s="6" t="str">
        <f>IFERROR(__xludf.DUMMYFUNCTION("SPLIT('2. c'!B1672, "" "", True, True)"),"Clostridium")</f>
        <v>Clostridium</v>
      </c>
      <c r="D1672" t="str">
        <f>IFERROR(__xludf.DUMMYFUNCTION("""COMPUTED_VALUE"""),"stercorarium")</f>
        <v>stercorarium</v>
      </c>
      <c r="E1672" t="str">
        <f>IFERROR(__xludf.DUMMYFUNCTION("""COMPUTED_VALUE"""),"subsp.")</f>
        <v>subsp.</v>
      </c>
      <c r="F1672" t="str">
        <f>IFERROR(__xludf.DUMMYFUNCTION("""COMPUTED_VALUE"""),"stercorarium")</f>
        <v>stercorarium</v>
      </c>
      <c r="G1672" t="str">
        <f>IFERROR(__xludf.DUMMYFUNCTION("""COMPUTED_VALUE"""),"DSM")</f>
        <v>DSM</v>
      </c>
      <c r="H1672">
        <f>IFERROR(__xludf.DUMMYFUNCTION("""COMPUTED_VALUE"""),8532.0)</f>
        <v>8532</v>
      </c>
    </row>
    <row r="1673" ht="15.75" customHeight="1">
      <c r="A1673" t="str">
        <f t="shared" si="1"/>
        <v>C.sticklandii</v>
      </c>
      <c r="B1673" s="5" t="s">
        <v>2986</v>
      </c>
      <c r="C1673" s="6" t="str">
        <f>IFERROR(__xludf.DUMMYFUNCTION("SPLIT('2. c'!B1673, "" "", True, True)"),"Clostridium")</f>
        <v>Clostridium</v>
      </c>
      <c r="D1673" t="str">
        <f>IFERROR(__xludf.DUMMYFUNCTION("""COMPUTED_VALUE"""),"sticklandii")</f>
        <v>sticklandii</v>
      </c>
      <c r="E1673" t="str">
        <f>IFERROR(__xludf.DUMMYFUNCTION("""COMPUTED_VALUE"""),"DSM")</f>
        <v>DSM</v>
      </c>
      <c r="F1673">
        <f>IFERROR(__xludf.DUMMYFUNCTION("""COMPUTED_VALUE"""),519.0)</f>
        <v>519</v>
      </c>
    </row>
    <row r="1674" ht="15.75" customHeight="1">
      <c r="A1674" t="str">
        <f t="shared" si="1"/>
        <v>C.tetani</v>
      </c>
      <c r="B1674" s="5" t="s">
        <v>2995</v>
      </c>
      <c r="C1674" s="6" t="str">
        <f>IFERROR(__xludf.DUMMYFUNCTION("SPLIT('2. c'!B1674, "" "", True, True)"),"Clostridium")</f>
        <v>Clostridium</v>
      </c>
      <c r="D1674" t="str">
        <f>IFERROR(__xludf.DUMMYFUNCTION("""COMPUTED_VALUE"""),"tetani")</f>
        <v>tetani</v>
      </c>
      <c r="E1674">
        <f>IFERROR(__xludf.DUMMYFUNCTION("""COMPUTED_VALUE"""),1.2124569E7)</f>
        <v>12124569</v>
      </c>
    </row>
    <row r="1675" ht="15.75" customHeight="1">
      <c r="A1675" t="str">
        <f t="shared" si="1"/>
        <v>C.tetani</v>
      </c>
      <c r="B1675" s="5" t="s">
        <v>3002</v>
      </c>
      <c r="C1675" s="6" t="str">
        <f>IFERROR(__xludf.DUMMYFUNCTION("SPLIT('2. c'!B1675, "" "", True, True)"),"Clostridium")</f>
        <v>Clostridium</v>
      </c>
      <c r="D1675" t="str">
        <f>IFERROR(__xludf.DUMMYFUNCTION("""COMPUTED_VALUE"""),"tetani")</f>
        <v>tetani</v>
      </c>
      <c r="E1675" t="str">
        <f>IFERROR(__xludf.DUMMYFUNCTION("""COMPUTED_VALUE"""),"E88")</f>
        <v>E88</v>
      </c>
    </row>
    <row r="1676" ht="15.75" customHeight="1">
      <c r="A1676" t="str">
        <f t="shared" si="1"/>
        <v>C.thermocellum</v>
      </c>
      <c r="B1676" s="5" t="s">
        <v>3011</v>
      </c>
      <c r="C1676" s="6" t="str">
        <f>IFERROR(__xludf.DUMMYFUNCTION("SPLIT('2. c'!B1676, "" "", True, True)"),"Clostridium")</f>
        <v>Clostridium</v>
      </c>
      <c r="D1676" t="str">
        <f>IFERROR(__xludf.DUMMYFUNCTION("""COMPUTED_VALUE"""),"thermocellum")</f>
        <v>thermocellum</v>
      </c>
      <c r="E1676" t="str">
        <f>IFERROR(__xludf.DUMMYFUNCTION("""COMPUTED_VALUE"""),"ATCC")</f>
        <v>ATCC</v>
      </c>
      <c r="F1676">
        <f>IFERROR(__xludf.DUMMYFUNCTION("""COMPUTED_VALUE"""),27405.0)</f>
        <v>27405</v>
      </c>
    </row>
    <row r="1677" ht="15.75" customHeight="1">
      <c r="A1677" t="str">
        <f t="shared" si="1"/>
        <v>C.thermocellum</v>
      </c>
      <c r="B1677" s="5" t="s">
        <v>3020</v>
      </c>
      <c r="C1677" s="6" t="str">
        <f>IFERROR(__xludf.DUMMYFUNCTION("SPLIT('2. c'!B1677, "" "", True, True)"),"Clostridium")</f>
        <v>Clostridium</v>
      </c>
      <c r="D1677" t="str">
        <f>IFERROR(__xludf.DUMMYFUNCTION("""COMPUTED_VALUE"""),"thermocellum")</f>
        <v>thermocellum</v>
      </c>
      <c r="E1677" t="str">
        <f>IFERROR(__xludf.DUMMYFUNCTION("""COMPUTED_VALUE"""),"DSM")</f>
        <v>DSM</v>
      </c>
      <c r="F1677">
        <f>IFERROR(__xludf.DUMMYFUNCTION("""COMPUTED_VALUE"""),1313.0)</f>
        <v>1313</v>
      </c>
    </row>
    <row r="1678" ht="15.75" customHeight="1">
      <c r="A1678" t="str">
        <f t="shared" si="1"/>
        <v>C.tyrobutyricum</v>
      </c>
      <c r="B1678" s="5" t="s">
        <v>3033</v>
      </c>
      <c r="C1678" s="6" t="str">
        <f>IFERROR(__xludf.DUMMYFUNCTION("SPLIT('2. c'!B1678, "" "", True, True)"),"Clostridium")</f>
        <v>Clostridium</v>
      </c>
      <c r="D1678" t="str">
        <f>IFERROR(__xludf.DUMMYFUNCTION("""COMPUTED_VALUE"""),"tyrobutyricum")</f>
        <v>tyrobutyricum</v>
      </c>
      <c r="E1678" t="str">
        <f>IFERROR(__xludf.DUMMYFUNCTION("""COMPUTED_VALUE"""),"strain")</f>
        <v>strain</v>
      </c>
      <c r="F1678" t="str">
        <f>IFERROR(__xludf.DUMMYFUNCTION("""COMPUTED_VALUE"""),"KCTC")</f>
        <v>KCTC</v>
      </c>
      <c r="G1678">
        <f>IFERROR(__xludf.DUMMYFUNCTION("""COMPUTED_VALUE"""),5387.0)</f>
        <v>5387</v>
      </c>
    </row>
    <row r="1679" ht="15.75" customHeight="1">
      <c r="A1679" t="str">
        <f t="shared" si="1"/>
        <v>C.arenae</v>
      </c>
      <c r="B1679" s="5" t="s">
        <v>3044</v>
      </c>
      <c r="C1679" s="6" t="str">
        <f>IFERROR(__xludf.DUMMYFUNCTION("SPLIT('2. c'!B1679, "" "", True, True)"),"Collimonas")</f>
        <v>Collimonas</v>
      </c>
      <c r="D1679" t="str">
        <f>IFERROR(__xludf.DUMMYFUNCTION("""COMPUTED_VALUE"""),"arenae")</f>
        <v>arenae</v>
      </c>
      <c r="E1679" t="str">
        <f>IFERROR(__xludf.DUMMYFUNCTION("""COMPUTED_VALUE"""),"Cal35")</f>
        <v>Cal35</v>
      </c>
    </row>
    <row r="1680" ht="15.75" customHeight="1">
      <c r="A1680" t="str">
        <f t="shared" si="1"/>
        <v>C.arenae</v>
      </c>
      <c r="B1680" s="5" t="s">
        <v>3053</v>
      </c>
      <c r="C1680" s="6" t="str">
        <f>IFERROR(__xludf.DUMMYFUNCTION("SPLIT('2. c'!B1680, "" "", True, True)"),"Collimonas")</f>
        <v>Collimonas</v>
      </c>
      <c r="D1680" t="str">
        <f>IFERROR(__xludf.DUMMYFUNCTION("""COMPUTED_VALUE"""),"arenae")</f>
        <v>arenae</v>
      </c>
      <c r="E1680" t="str">
        <f>IFERROR(__xludf.DUMMYFUNCTION("""COMPUTED_VALUE"""),"strain")</f>
        <v>strain</v>
      </c>
      <c r="F1680" t="str">
        <f>IFERROR(__xludf.DUMMYFUNCTION("""COMPUTED_VALUE"""),"Ter10")</f>
        <v>Ter10</v>
      </c>
    </row>
    <row r="1681" ht="15.75" customHeight="1">
      <c r="A1681" t="str">
        <f t="shared" si="1"/>
        <v>C.arenae</v>
      </c>
      <c r="B1681" s="5" t="s">
        <v>3062</v>
      </c>
      <c r="C1681" s="6" t="str">
        <f>IFERROR(__xludf.DUMMYFUNCTION("SPLIT('2. c'!B1681, "" "", True, True)"),"Collimonas")</f>
        <v>Collimonas</v>
      </c>
      <c r="D1681" t="str">
        <f>IFERROR(__xludf.DUMMYFUNCTION("""COMPUTED_VALUE"""),"arenae")</f>
        <v>arenae</v>
      </c>
      <c r="E1681" t="str">
        <f>IFERROR(__xludf.DUMMYFUNCTION("""COMPUTED_VALUE"""),"strain")</f>
        <v>strain</v>
      </c>
      <c r="F1681" t="str">
        <f>IFERROR(__xludf.DUMMYFUNCTION("""COMPUTED_VALUE"""),"Ter282")</f>
        <v>Ter282</v>
      </c>
    </row>
    <row r="1682" ht="15.75" customHeight="1">
      <c r="A1682" t="str">
        <f t="shared" si="1"/>
        <v>C.fungivorans</v>
      </c>
      <c r="B1682" s="5" t="s">
        <v>3071</v>
      </c>
      <c r="C1682" s="6" t="str">
        <f>IFERROR(__xludf.DUMMYFUNCTION("SPLIT('2. c'!B1682, "" "", True, True)"),"Collimonas")</f>
        <v>Collimonas</v>
      </c>
      <c r="D1682" t="str">
        <f>IFERROR(__xludf.DUMMYFUNCTION("""COMPUTED_VALUE"""),"fungivorans")</f>
        <v>fungivorans</v>
      </c>
      <c r="E1682" t="str">
        <f>IFERROR(__xludf.DUMMYFUNCTION("""COMPUTED_VALUE"""),"strain")</f>
        <v>strain</v>
      </c>
      <c r="F1682" t="str">
        <f>IFERROR(__xludf.DUMMYFUNCTION("""COMPUTED_VALUE"""),"Ter6")</f>
        <v>Ter6</v>
      </c>
    </row>
    <row r="1683" ht="15.75" customHeight="1">
      <c r="A1683" t="str">
        <f t="shared" si="1"/>
        <v>C.fungivorans</v>
      </c>
      <c r="B1683" s="5" t="s">
        <v>3078</v>
      </c>
      <c r="C1683" s="6" t="str">
        <f>IFERROR(__xludf.DUMMYFUNCTION("SPLIT('2. c'!B1683, "" "", True, True)"),"Collimonas")</f>
        <v>Collimonas</v>
      </c>
      <c r="D1683" t="str">
        <f>IFERROR(__xludf.DUMMYFUNCTION("""COMPUTED_VALUE"""),"fungivorans")</f>
        <v>fungivorans</v>
      </c>
      <c r="E1683" t="str">
        <f>IFERROR(__xludf.DUMMYFUNCTION("""COMPUTED_VALUE"""),"Ter331")</f>
        <v>Ter331</v>
      </c>
    </row>
    <row r="1684" ht="15.75" customHeight="1">
      <c r="A1684" t="str">
        <f t="shared" si="1"/>
        <v>C.pratensis</v>
      </c>
      <c r="B1684" s="5" t="s">
        <v>3091</v>
      </c>
      <c r="C1684" s="6" t="str">
        <f>IFERROR(__xludf.DUMMYFUNCTION("SPLIT('2. c'!B1684, "" "", True, True)"),"Collimonas")</f>
        <v>Collimonas</v>
      </c>
      <c r="D1684" t="str">
        <f>IFERROR(__xludf.DUMMYFUNCTION("""COMPUTED_VALUE"""),"pratensis")</f>
        <v>pratensis</v>
      </c>
      <c r="E1684" t="str">
        <f>IFERROR(__xludf.DUMMYFUNCTION("""COMPUTED_VALUE"""),"strain")</f>
        <v>strain</v>
      </c>
      <c r="F1684" t="str">
        <f>IFERROR(__xludf.DUMMYFUNCTION("""COMPUTED_VALUE"""),"Ter291")</f>
        <v>Ter291</v>
      </c>
    </row>
    <row r="1685" ht="15.75" customHeight="1">
      <c r="A1685" t="str">
        <f t="shared" si="1"/>
        <v>C.pratensis</v>
      </c>
      <c r="B1685" s="5" t="s">
        <v>3102</v>
      </c>
      <c r="C1685" s="6" t="str">
        <f>IFERROR(__xludf.DUMMYFUNCTION("SPLIT('2. c'!B1685, "" "", True, True)"),"Collimonas")</f>
        <v>Collimonas</v>
      </c>
      <c r="D1685" t="str">
        <f>IFERROR(__xludf.DUMMYFUNCTION("""COMPUTED_VALUE"""),"pratensis")</f>
        <v>pratensis</v>
      </c>
      <c r="E1685" t="str">
        <f>IFERROR(__xludf.DUMMYFUNCTION("""COMPUTED_VALUE"""),"strain")</f>
        <v>strain</v>
      </c>
      <c r="F1685" t="str">
        <f>IFERROR(__xludf.DUMMYFUNCTION("""COMPUTED_VALUE"""),"Ter91")</f>
        <v>Ter91</v>
      </c>
    </row>
    <row r="1686" ht="15.75" customHeight="1">
      <c r="A1686" t="str">
        <f t="shared" si="1"/>
        <v>C.psychrerythraea</v>
      </c>
      <c r="B1686" s="5" t="s">
        <v>3111</v>
      </c>
      <c r="C1686" s="6" t="str">
        <f>IFERROR(__xludf.DUMMYFUNCTION("SPLIT('2. c'!B1686, "" "", True, True)"),"Colwellia")</f>
        <v>Colwellia</v>
      </c>
      <c r="D1686" t="str">
        <f>IFERROR(__xludf.DUMMYFUNCTION("""COMPUTED_VALUE"""),"psychrerythraea")</f>
        <v>psychrerythraea</v>
      </c>
      <c r="E1686" t="str">
        <f>IFERROR(__xludf.DUMMYFUNCTION("""COMPUTED_VALUE"""),"34H")</f>
        <v>34H</v>
      </c>
    </row>
    <row r="1687" ht="15.75" customHeight="1">
      <c r="A1687" t="str">
        <f t="shared" si="1"/>
        <v>C.sp.</v>
      </c>
      <c r="B1687" s="5" t="s">
        <v>3123</v>
      </c>
      <c r="C1687" s="6" t="str">
        <f>IFERROR(__xludf.DUMMYFUNCTION("SPLIT('2. c'!B1687, "" "", True, True)"),"Colwellia")</f>
        <v>Colwellia</v>
      </c>
      <c r="D1687" t="str">
        <f>IFERROR(__xludf.DUMMYFUNCTION("""COMPUTED_VALUE"""),"sp.")</f>
        <v>sp.</v>
      </c>
      <c r="E1687" t="str">
        <f>IFERROR(__xludf.DUMMYFUNCTION("""COMPUTED_VALUE"""),"MT41")</f>
        <v>MT41</v>
      </c>
    </row>
    <row r="1688" ht="15.75" customHeight="1">
      <c r="A1688" t="str">
        <f t="shared" si="1"/>
        <v>C.bacterium</v>
      </c>
      <c r="B1688" s="5" t="s">
        <v>3131</v>
      </c>
      <c r="C1688" s="6" t="str">
        <f>IFERROR(__xludf.DUMMYFUNCTION("SPLIT('2. c'!B1688, "" "", True, True)"),"Comamonadaceae")</f>
        <v>Comamonadaceae</v>
      </c>
      <c r="D1688" t="str">
        <f>IFERROR(__xludf.DUMMYFUNCTION("""COMPUTED_VALUE"""),"bacterium")</f>
        <v>bacterium</v>
      </c>
      <c r="E1688" t="str">
        <f>IFERROR(__xludf.DUMMYFUNCTION("""COMPUTED_VALUE"""),"A1")</f>
        <v>A1</v>
      </c>
    </row>
    <row r="1689" ht="15.75" customHeight="1">
      <c r="A1689" t="str">
        <f t="shared" si="1"/>
        <v>C.bacterium</v>
      </c>
      <c r="B1689" s="5" t="s">
        <v>3141</v>
      </c>
      <c r="C1689" s="6" t="str">
        <f>IFERROR(__xludf.DUMMYFUNCTION("SPLIT('2. c'!B1689, "" "", True, True)"),"Comamonadaceae")</f>
        <v>Comamonadaceae</v>
      </c>
      <c r="D1689" t="str">
        <f>IFERROR(__xludf.DUMMYFUNCTION("""COMPUTED_VALUE"""),"bacterium")</f>
        <v>bacterium</v>
      </c>
      <c r="E1689" t="str">
        <f>IFERROR(__xludf.DUMMYFUNCTION("""COMPUTED_VALUE"""),"B1")</f>
        <v>B1</v>
      </c>
    </row>
    <row r="1690" ht="15.75" customHeight="1">
      <c r="A1690" t="str">
        <f t="shared" si="1"/>
        <v>C.aquatica</v>
      </c>
      <c r="B1690" s="5" t="s">
        <v>3147</v>
      </c>
      <c r="C1690" s="6" t="str">
        <f>IFERROR(__xludf.DUMMYFUNCTION("SPLIT('2. c'!B1690, "" "", True, True)"),"Comamonas")</f>
        <v>Comamonas</v>
      </c>
      <c r="D1690" t="str">
        <f>IFERROR(__xludf.DUMMYFUNCTION("""COMPUTED_VALUE"""),"aquatica")</f>
        <v>aquatica</v>
      </c>
      <c r="E1690" t="str">
        <f>IFERROR(__xludf.DUMMYFUNCTION("""COMPUTED_VALUE"""),"strain")</f>
        <v>strain</v>
      </c>
      <c r="F1690" t="str">
        <f>IFERROR(__xludf.DUMMYFUNCTION("""COMPUTED_VALUE"""),"CJG")</f>
        <v>CJG</v>
      </c>
    </row>
    <row r="1691" ht="15.75" customHeight="1">
      <c r="A1691" t="str">
        <f t="shared" si="1"/>
        <v>C.testosteroni</v>
      </c>
      <c r="B1691" s="5" t="s">
        <v>3155</v>
      </c>
      <c r="C1691" s="6" t="str">
        <f>IFERROR(__xludf.DUMMYFUNCTION("SPLIT('2. c'!B1691, "" "", True, True)"),"Comamonas")</f>
        <v>Comamonas</v>
      </c>
      <c r="D1691" t="str">
        <f>IFERROR(__xludf.DUMMYFUNCTION("""COMPUTED_VALUE"""),"testosteroni")</f>
        <v>testosteroni</v>
      </c>
      <c r="E1691" t="str">
        <f>IFERROR(__xludf.DUMMYFUNCTION("""COMPUTED_VALUE"""),"CNB-2")</f>
        <v>CNB-2</v>
      </c>
    </row>
    <row r="1692" ht="15.75" customHeight="1">
      <c r="A1692" t="str">
        <f t="shared" si="1"/>
        <v>C.testosteroni</v>
      </c>
      <c r="B1692" s="5" t="s">
        <v>3161</v>
      </c>
      <c r="C1692" s="6" t="str">
        <f>IFERROR(__xludf.DUMMYFUNCTION("SPLIT('2. c'!B1692, "" "", True, True)"),"Comamonas")</f>
        <v>Comamonas</v>
      </c>
      <c r="D1692" t="str">
        <f>IFERROR(__xludf.DUMMYFUNCTION("""COMPUTED_VALUE"""),"testosteroni")</f>
        <v>testosteroni</v>
      </c>
      <c r="E1692" t="str">
        <f>IFERROR(__xludf.DUMMYFUNCTION("""COMPUTED_VALUE"""),"P19")</f>
        <v>P19</v>
      </c>
    </row>
    <row r="1693" ht="15.75" customHeight="1">
      <c r="A1693" t="str">
        <f t="shared" si="1"/>
        <v>C.testosteroni</v>
      </c>
      <c r="B1693" s="5" t="s">
        <v>3168</v>
      </c>
      <c r="C1693" s="6" t="str">
        <f>IFERROR(__xludf.DUMMYFUNCTION("SPLIT('2. c'!B1693, "" "", True, True)"),"Comamonas")</f>
        <v>Comamonas</v>
      </c>
      <c r="D1693" t="str">
        <f>IFERROR(__xludf.DUMMYFUNCTION("""COMPUTED_VALUE"""),"testosteroni")</f>
        <v>testosteroni</v>
      </c>
      <c r="E1693" t="str">
        <f>IFERROR(__xludf.DUMMYFUNCTION("""COMPUTED_VALUE"""),"TK102")</f>
        <v>TK102</v>
      </c>
    </row>
    <row r="1694" ht="15.75" customHeight="1">
      <c r="A1694" t="str">
        <f t="shared" si="1"/>
        <v>C.woesei</v>
      </c>
      <c r="B1694" s="5" t="s">
        <v>3177</v>
      </c>
      <c r="C1694" s="6" t="str">
        <f>IFERROR(__xludf.DUMMYFUNCTION("SPLIT('2. c'!B1694, "" "", True, True)"),"Conexibacter")</f>
        <v>Conexibacter</v>
      </c>
      <c r="D1694" t="str">
        <f>IFERROR(__xludf.DUMMYFUNCTION("""COMPUTED_VALUE"""),"woesei")</f>
        <v>woesei</v>
      </c>
      <c r="E1694" t="str">
        <f>IFERROR(__xludf.DUMMYFUNCTION("""COMPUTED_VALUE"""),"DSM")</f>
        <v>DSM</v>
      </c>
      <c r="F1694">
        <f>IFERROR(__xludf.DUMMYFUNCTION("""COMPUTED_VALUE"""),14684.0)</f>
        <v>14684</v>
      </c>
    </row>
    <row r="1695" ht="15.75" customHeight="1">
      <c r="A1695" t="str">
        <f t="shared" si="1"/>
        <v>C.sp.</v>
      </c>
      <c r="B1695" s="5" t="s">
        <v>3186</v>
      </c>
      <c r="C1695" s="6" t="str">
        <f>IFERROR(__xludf.DUMMYFUNCTION("SPLIT('2. c'!B1695, "" "", True, True)"),"Confluentimicrobium")</f>
        <v>Confluentimicrobium</v>
      </c>
      <c r="D1695" t="str">
        <f>IFERROR(__xludf.DUMMYFUNCTION("""COMPUTED_VALUE"""),"sp.")</f>
        <v>sp.</v>
      </c>
      <c r="E1695" t="str">
        <f>IFERROR(__xludf.DUMMYFUNCTION("""COMPUTED_VALUE"""),"EMB200-NS6")</f>
        <v>EMB200-NS6</v>
      </c>
    </row>
    <row r="1696" ht="15.75" customHeight="1">
      <c r="A1696" t="str">
        <f t="shared" si="1"/>
        <v>C.catus</v>
      </c>
      <c r="B1696" s="5" t="s">
        <v>3193</v>
      </c>
      <c r="C1696" s="6" t="str">
        <f>IFERROR(__xludf.DUMMYFUNCTION("SPLIT('2. c'!B1696, "" "", True, True)"),"Coprococcus")</f>
        <v>Coprococcus</v>
      </c>
      <c r="D1696" t="str">
        <f>IFERROR(__xludf.DUMMYFUNCTION("""COMPUTED_VALUE"""),"catus")</f>
        <v>catus</v>
      </c>
      <c r="E1696" t="str">
        <f>IFERROR(__xludf.DUMMYFUNCTION("""COMPUTED_VALUE"""),"GD/7")</f>
        <v>GD/7</v>
      </c>
    </row>
    <row r="1697" ht="15.75" customHeight="1">
      <c r="A1697" t="str">
        <f t="shared" si="1"/>
        <v>C.sp.</v>
      </c>
      <c r="B1697" s="5" t="s">
        <v>3197</v>
      </c>
      <c r="C1697" s="6" t="str">
        <f>IFERROR(__xludf.DUMMYFUNCTION("SPLIT('2. c'!B1697, "" "", True, True)"),"Coprococcus")</f>
        <v>Coprococcus</v>
      </c>
      <c r="D1697" t="str">
        <f>IFERROR(__xludf.DUMMYFUNCTION("""COMPUTED_VALUE"""),"sp.")</f>
        <v>sp.</v>
      </c>
      <c r="E1697" t="str">
        <f>IFERROR(__xludf.DUMMYFUNCTION("""COMPUTED_VALUE"""),"ART55/1")</f>
        <v>ART55/1</v>
      </c>
    </row>
    <row r="1698" ht="15.75" customHeight="1">
      <c r="A1698" t="str">
        <f t="shared" si="1"/>
        <v>C.proteolyticus</v>
      </c>
      <c r="B1698" s="5" t="s">
        <v>3206</v>
      </c>
      <c r="C1698" s="6" t="str">
        <f>IFERROR(__xludf.DUMMYFUNCTION("SPLIT('2. c'!B1698, "" "", True, True)"),"Coprothermobacter")</f>
        <v>Coprothermobacter</v>
      </c>
      <c r="D1698" t="str">
        <f>IFERROR(__xludf.DUMMYFUNCTION("""COMPUTED_VALUE"""),"proteolyticus")</f>
        <v>proteolyticus</v>
      </c>
      <c r="E1698" t="str">
        <f>IFERROR(__xludf.DUMMYFUNCTION("""COMPUTED_VALUE"""),"DSM")</f>
        <v>DSM</v>
      </c>
      <c r="F1698">
        <f>IFERROR(__xludf.DUMMYFUNCTION("""COMPUTED_VALUE"""),5265.0)</f>
        <v>5265</v>
      </c>
    </row>
    <row r="1699" ht="15.75" customHeight="1">
      <c r="A1699" t="str">
        <f t="shared" si="1"/>
        <v>C.akajimensis</v>
      </c>
      <c r="B1699" s="5" t="s">
        <v>3217</v>
      </c>
      <c r="C1699" s="6" t="str">
        <f>IFERROR(__xludf.DUMMYFUNCTION("SPLIT('2. c'!B1699, "" "", True, True)"),"Coraliomargarita")</f>
        <v>Coraliomargarita</v>
      </c>
      <c r="D1699" t="str">
        <f>IFERROR(__xludf.DUMMYFUNCTION("""COMPUTED_VALUE"""),"akajimensis")</f>
        <v>akajimensis</v>
      </c>
      <c r="E1699" t="str">
        <f>IFERROR(__xludf.DUMMYFUNCTION("""COMPUTED_VALUE"""),"DSM")</f>
        <v>DSM</v>
      </c>
      <c r="F1699">
        <f>IFERROR(__xludf.DUMMYFUNCTION("""COMPUTED_VALUE"""),45221.0)</f>
        <v>45221</v>
      </c>
    </row>
    <row r="1700" ht="15.75" customHeight="1">
      <c r="A1700" t="str">
        <f t="shared" si="1"/>
        <v>C.coralloides</v>
      </c>
      <c r="B1700" s="5" t="s">
        <v>3229</v>
      </c>
      <c r="C1700" s="6" t="str">
        <f>IFERROR(__xludf.DUMMYFUNCTION("SPLIT('2. c'!B1700, "" "", True, True)"),"Corallococcus")</f>
        <v>Corallococcus</v>
      </c>
      <c r="D1700" t="str">
        <f>IFERROR(__xludf.DUMMYFUNCTION("""COMPUTED_VALUE"""),"coralloides")</f>
        <v>coralloides</v>
      </c>
      <c r="E1700" t="str">
        <f>IFERROR(__xludf.DUMMYFUNCTION("""COMPUTED_VALUE"""),"DSM")</f>
        <v>DSM</v>
      </c>
      <c r="F1700">
        <f>IFERROR(__xludf.DUMMYFUNCTION("""COMPUTED_VALUE"""),2259.0)</f>
        <v>2259</v>
      </c>
    </row>
    <row r="1701" ht="15.75" customHeight="1">
      <c r="A1701" t="str">
        <f t="shared" si="1"/>
        <v>C.bacterium</v>
      </c>
      <c r="B1701" s="5" t="s">
        <v>3239</v>
      </c>
      <c r="C1701" s="6" t="str">
        <f>IFERROR(__xludf.DUMMYFUNCTION("SPLIT('2. c'!B1701, "" "", True, True)"),"Coriobacteriaceae")</f>
        <v>Coriobacteriaceae</v>
      </c>
      <c r="D1701" t="str">
        <f>IFERROR(__xludf.DUMMYFUNCTION("""COMPUTED_VALUE"""),"bacterium")</f>
        <v>bacterium</v>
      </c>
      <c r="E1701" t="str">
        <f>IFERROR(__xludf.DUMMYFUNCTION("""COMPUTED_VALUE"""),"68-1-3")</f>
        <v>68-1-3</v>
      </c>
    </row>
    <row r="1702" ht="15.75" customHeight="1">
      <c r="A1702" t="str">
        <f t="shared" si="1"/>
        <v>C.glomerans</v>
      </c>
      <c r="B1702" s="5" t="s">
        <v>3249</v>
      </c>
      <c r="C1702" s="6" t="str">
        <f>IFERROR(__xludf.DUMMYFUNCTION("SPLIT('2. c'!B1702, "" "", True, True)"),"Coriobacterium")</f>
        <v>Coriobacterium</v>
      </c>
      <c r="D1702" t="str">
        <f>IFERROR(__xludf.DUMMYFUNCTION("""COMPUTED_VALUE"""),"glomerans")</f>
        <v>glomerans</v>
      </c>
      <c r="E1702" t="str">
        <f>IFERROR(__xludf.DUMMYFUNCTION("""COMPUTED_VALUE"""),"PW2")</f>
        <v>PW2</v>
      </c>
    </row>
    <row r="1703" ht="15.75" customHeight="1">
      <c r="A1703" t="str">
        <f t="shared" si="1"/>
        <v>C.bacterium</v>
      </c>
      <c r="B1703" s="5" t="s">
        <v>3257</v>
      </c>
      <c r="C1703" s="6" t="str">
        <f>IFERROR(__xludf.DUMMYFUNCTION("SPLIT('2. c'!B1703, "" "", True, True)"),"Corynebacteriales")</f>
        <v>Corynebacteriales</v>
      </c>
      <c r="D1703" t="str">
        <f>IFERROR(__xludf.DUMMYFUNCTION("""COMPUTED_VALUE"""),"bacterium")</f>
        <v>bacterium</v>
      </c>
      <c r="E1703" t="str">
        <f>IFERROR(__xludf.DUMMYFUNCTION("""COMPUTED_VALUE"""),"X1036")</f>
        <v>X1036</v>
      </c>
    </row>
    <row r="1704" ht="15.75" customHeight="1">
      <c r="A1704" t="str">
        <f t="shared" si="1"/>
        <v>C.bacterium</v>
      </c>
      <c r="B1704" s="5" t="s">
        <v>3267</v>
      </c>
      <c r="C1704" s="6" t="str">
        <f>IFERROR(__xludf.DUMMYFUNCTION("SPLIT('2. c'!B1704, "" "", True, True)"),"Corynebacteriales")</f>
        <v>Corynebacteriales</v>
      </c>
      <c r="D1704" t="str">
        <f>IFERROR(__xludf.DUMMYFUNCTION("""COMPUTED_VALUE"""),"bacterium")</f>
        <v>bacterium</v>
      </c>
      <c r="E1704" t="str">
        <f>IFERROR(__xludf.DUMMYFUNCTION("""COMPUTED_VALUE"""),"X1698")</f>
        <v>X1698</v>
      </c>
    </row>
    <row r="1705" ht="15.75" customHeight="1">
      <c r="A1705" t="str">
        <f t="shared" si="1"/>
        <v>C.argentoratense</v>
      </c>
      <c r="B1705" s="5" t="s">
        <v>3275</v>
      </c>
      <c r="C1705" s="6" t="str">
        <f>IFERROR(__xludf.DUMMYFUNCTION("SPLIT('2. c'!B1705, "" "", True, True)"),"Corynebacterium")</f>
        <v>Corynebacterium</v>
      </c>
      <c r="D1705" t="str">
        <f>IFERROR(__xludf.DUMMYFUNCTION("""COMPUTED_VALUE"""),"argentoratense")</f>
        <v>argentoratense</v>
      </c>
      <c r="E1705" t="str">
        <f>IFERROR(__xludf.DUMMYFUNCTION("""COMPUTED_VALUE"""),"DSM")</f>
        <v>DSM</v>
      </c>
      <c r="F1705">
        <f>IFERROR(__xludf.DUMMYFUNCTION("""COMPUTED_VALUE"""),44202.0)</f>
        <v>44202</v>
      </c>
    </row>
    <row r="1706" ht="15.75" customHeight="1">
      <c r="A1706" t="str">
        <f t="shared" si="1"/>
        <v>C.atypicum</v>
      </c>
      <c r="B1706" s="5" t="s">
        <v>3285</v>
      </c>
      <c r="C1706" s="6" t="str">
        <f>IFERROR(__xludf.DUMMYFUNCTION("SPLIT('2. c'!B1706, "" "", True, True)"),"Corynebacterium")</f>
        <v>Corynebacterium</v>
      </c>
      <c r="D1706" t="str">
        <f>IFERROR(__xludf.DUMMYFUNCTION("""COMPUTED_VALUE"""),"atypicum")</f>
        <v>atypicum</v>
      </c>
      <c r="E1706" t="str">
        <f>IFERROR(__xludf.DUMMYFUNCTION("""COMPUTED_VALUE"""),"strain")</f>
        <v>strain</v>
      </c>
      <c r="F1706" t="str">
        <f>IFERROR(__xludf.DUMMYFUNCTION("""COMPUTED_VALUE"""),"R2070")</f>
        <v>R2070</v>
      </c>
    </row>
    <row r="1707" ht="15.75" customHeight="1">
      <c r="A1707" t="str">
        <f t="shared" si="1"/>
        <v>C.aurimucosum</v>
      </c>
      <c r="B1707" s="5" t="s">
        <v>3295</v>
      </c>
      <c r="C1707" s="6" t="str">
        <f>IFERROR(__xludf.DUMMYFUNCTION("SPLIT('2. c'!B1707, "" "", True, True)"),"Corynebacterium")</f>
        <v>Corynebacterium</v>
      </c>
      <c r="D1707" t="str">
        <f>IFERROR(__xludf.DUMMYFUNCTION("""COMPUTED_VALUE"""),"aurimucosum")</f>
        <v>aurimucosum</v>
      </c>
      <c r="E1707" t="str">
        <f>IFERROR(__xludf.DUMMYFUNCTION("""COMPUTED_VALUE"""),"ATCC")</f>
        <v>ATCC</v>
      </c>
      <c r="F1707">
        <f>IFERROR(__xludf.DUMMYFUNCTION("""COMPUTED_VALUE"""),700975.0)</f>
        <v>700975</v>
      </c>
    </row>
    <row r="1708" ht="15.75" customHeight="1">
      <c r="A1708" t="str">
        <f t="shared" si="1"/>
        <v>C.callunae</v>
      </c>
      <c r="B1708" s="5" t="s">
        <v>3305</v>
      </c>
      <c r="C1708" s="6" t="str">
        <f>IFERROR(__xludf.DUMMYFUNCTION("SPLIT('2. c'!B1708, "" "", True, True)"),"Corynebacterium")</f>
        <v>Corynebacterium</v>
      </c>
      <c r="D1708" t="str">
        <f>IFERROR(__xludf.DUMMYFUNCTION("""COMPUTED_VALUE"""),"callunae")</f>
        <v>callunae</v>
      </c>
      <c r="E1708" t="str">
        <f>IFERROR(__xludf.DUMMYFUNCTION("""COMPUTED_VALUE"""),"DSM")</f>
        <v>DSM</v>
      </c>
      <c r="F1708">
        <f>IFERROR(__xludf.DUMMYFUNCTION("""COMPUTED_VALUE"""),20147.0)</f>
        <v>20147</v>
      </c>
    </row>
    <row r="1709" ht="15.75" customHeight="1">
      <c r="A1709" t="str">
        <f t="shared" si="1"/>
        <v>C.camporealensis</v>
      </c>
      <c r="B1709" s="5" t="s">
        <v>3313</v>
      </c>
      <c r="C1709" s="6" t="str">
        <f>IFERROR(__xludf.DUMMYFUNCTION("SPLIT('2. c'!B1709, "" "", True, True)"),"Corynebacterium")</f>
        <v>Corynebacterium</v>
      </c>
      <c r="D1709" t="str">
        <f>IFERROR(__xludf.DUMMYFUNCTION("""COMPUTED_VALUE"""),"camporealensis")</f>
        <v>camporealensis</v>
      </c>
      <c r="E1709" t="str">
        <f>IFERROR(__xludf.DUMMYFUNCTION("""COMPUTED_VALUE"""),"strain")</f>
        <v>strain</v>
      </c>
      <c r="F1709" t="str">
        <f>IFERROR(__xludf.DUMMYFUNCTION("""COMPUTED_VALUE"""),"DSM")</f>
        <v>DSM</v>
      </c>
      <c r="G1709">
        <f>IFERROR(__xludf.DUMMYFUNCTION("""COMPUTED_VALUE"""),44610.0)</f>
        <v>44610</v>
      </c>
    </row>
    <row r="1710" ht="15.75" customHeight="1">
      <c r="A1710" t="str">
        <f t="shared" si="1"/>
        <v>C.casei</v>
      </c>
      <c r="B1710" s="5" t="s">
        <v>3326</v>
      </c>
      <c r="C1710" s="6" t="str">
        <f>IFERROR(__xludf.DUMMYFUNCTION("SPLIT('2. c'!B1710, "" "", True, True)"),"Corynebacterium")</f>
        <v>Corynebacterium</v>
      </c>
      <c r="D1710" t="str">
        <f>IFERROR(__xludf.DUMMYFUNCTION("""COMPUTED_VALUE"""),"casei")</f>
        <v>casei</v>
      </c>
      <c r="E1710" t="str">
        <f>IFERROR(__xludf.DUMMYFUNCTION("""COMPUTED_VALUE"""),"LMG")</f>
        <v>LMG</v>
      </c>
      <c r="F1710" t="str">
        <f>IFERROR(__xludf.DUMMYFUNCTION("""COMPUTED_VALUE"""),"S-19264")</f>
        <v>S-19264</v>
      </c>
    </row>
    <row r="1711" ht="15.75" customHeight="1">
      <c r="A1711" t="str">
        <f t="shared" si="1"/>
        <v>C.deserti</v>
      </c>
      <c r="B1711" s="5" t="s">
        <v>3335</v>
      </c>
      <c r="C1711" s="6" t="str">
        <f>IFERROR(__xludf.DUMMYFUNCTION("SPLIT('2. c'!B1711, "" "", True, True)"),"Corynebacterium")</f>
        <v>Corynebacterium</v>
      </c>
      <c r="D1711" t="str">
        <f>IFERROR(__xludf.DUMMYFUNCTION("""COMPUTED_VALUE"""),"deserti")</f>
        <v>deserti</v>
      </c>
      <c r="E1711" t="str">
        <f>IFERROR(__xludf.DUMMYFUNCTION("""COMPUTED_VALUE"""),"GIMN1.010")</f>
        <v>GIMN1.010</v>
      </c>
    </row>
    <row r="1712" ht="15.75" customHeight="1">
      <c r="A1712" t="str">
        <f t="shared" si="1"/>
        <v>C.diphtheriae</v>
      </c>
      <c r="B1712" s="5" t="s">
        <v>3344</v>
      </c>
      <c r="C1712" s="6" t="str">
        <f>IFERROR(__xludf.DUMMYFUNCTION("SPLIT('2. c'!B1712, "" "", True, True)"),"Corynebacterium")</f>
        <v>Corynebacterium</v>
      </c>
      <c r="D1712" t="str">
        <f>IFERROR(__xludf.DUMMYFUNCTION("""COMPUTED_VALUE"""),"diphtheriae")</f>
        <v>diphtheriae</v>
      </c>
      <c r="E1712">
        <f>IFERROR(__xludf.DUMMYFUNCTION("""COMPUTED_VALUE"""),241.0)</f>
        <v>241</v>
      </c>
    </row>
    <row r="1713" ht="15.75" customHeight="1">
      <c r="A1713" t="str">
        <f t="shared" si="1"/>
        <v>C.diphtheriae</v>
      </c>
      <c r="B1713" s="5" t="s">
        <v>3355</v>
      </c>
      <c r="C1713" s="6" t="str">
        <f>IFERROR(__xludf.DUMMYFUNCTION("SPLIT('2. c'!B1713, "" "", True, True)"),"Corynebacterium")</f>
        <v>Corynebacterium</v>
      </c>
      <c r="D1713" t="str">
        <f>IFERROR(__xludf.DUMMYFUNCTION("""COMPUTED_VALUE"""),"diphtheriae")</f>
        <v>diphtheriae</v>
      </c>
      <c r="E1713" t="str">
        <f>IFERROR(__xludf.DUMMYFUNCTION("""COMPUTED_VALUE"""),"31A")</f>
        <v>31A</v>
      </c>
    </row>
    <row r="1714" ht="15.75" customHeight="1">
      <c r="A1714" t="str">
        <f t="shared" si="1"/>
        <v>C.diphtheriae</v>
      </c>
      <c r="B1714" s="5" t="s">
        <v>3364</v>
      </c>
      <c r="C1714" s="6" t="str">
        <f>IFERROR(__xludf.DUMMYFUNCTION("SPLIT('2. c'!B1714, "" "", True, True)"),"Corynebacterium")</f>
        <v>Corynebacterium</v>
      </c>
      <c r="D1714" t="str">
        <f>IFERROR(__xludf.DUMMYFUNCTION("""COMPUTED_VALUE"""),"diphtheriae")</f>
        <v>diphtheriae</v>
      </c>
      <c r="E1714" t="str">
        <f>IFERROR(__xludf.DUMMYFUNCTION("""COMPUTED_VALUE"""),"BH8")</f>
        <v>BH8</v>
      </c>
    </row>
    <row r="1715" ht="15.75" customHeight="1">
      <c r="A1715" t="str">
        <f t="shared" si="1"/>
        <v>C.diphtheriae</v>
      </c>
      <c r="B1715" s="5" t="s">
        <v>3373</v>
      </c>
      <c r="C1715" s="6" t="str">
        <f>IFERROR(__xludf.DUMMYFUNCTION("SPLIT('2. c'!B1715, "" "", True, True)"),"Corynebacterium")</f>
        <v>Corynebacterium</v>
      </c>
      <c r="D1715" t="str">
        <f>IFERROR(__xludf.DUMMYFUNCTION("""COMPUTED_VALUE"""),"diphtheriae")</f>
        <v>diphtheriae</v>
      </c>
      <c r="E1715" t="str">
        <f>IFERROR(__xludf.DUMMYFUNCTION("""COMPUTED_VALUE"""),"C7")</f>
        <v>C7</v>
      </c>
      <c r="F1715" t="str">
        <f>IFERROR(__xludf.DUMMYFUNCTION("""COMPUTED_VALUE"""),"(beta)")</f>
        <v>(beta)</v>
      </c>
    </row>
    <row r="1716" ht="15.75" customHeight="1">
      <c r="A1716" t="str">
        <f t="shared" si="1"/>
        <v>C.diphtheriae</v>
      </c>
      <c r="B1716" s="5" t="s">
        <v>3380</v>
      </c>
      <c r="C1716" s="6" t="str">
        <f>IFERROR(__xludf.DUMMYFUNCTION("SPLIT('2. c'!B1716, "" "", True, True)"),"Corynebacterium")</f>
        <v>Corynebacterium</v>
      </c>
      <c r="D1716" t="str">
        <f>IFERROR(__xludf.DUMMYFUNCTION("""COMPUTED_VALUE"""),"diphtheriae")</f>
        <v>diphtheriae</v>
      </c>
      <c r="E1716" t="str">
        <f>IFERROR(__xludf.DUMMYFUNCTION("""COMPUTED_VALUE"""),"CDCE")</f>
        <v>CDCE</v>
      </c>
      <c r="F1716">
        <f>IFERROR(__xludf.DUMMYFUNCTION("""COMPUTED_VALUE"""),8392.0)</f>
        <v>8392</v>
      </c>
    </row>
    <row r="1717" ht="15.75" customHeight="1">
      <c r="A1717" t="str">
        <f t="shared" si="1"/>
        <v>C.diphtheriae</v>
      </c>
      <c r="B1717" s="5" t="s">
        <v>3391</v>
      </c>
      <c r="C1717" s="6" t="str">
        <f>IFERROR(__xludf.DUMMYFUNCTION("SPLIT('2. c'!B1717, "" "", True, True)"),"Corynebacterium")</f>
        <v>Corynebacterium</v>
      </c>
      <c r="D1717" t="str">
        <f>IFERROR(__xludf.DUMMYFUNCTION("""COMPUTED_VALUE"""),"diphtheriae")</f>
        <v>diphtheriae</v>
      </c>
      <c r="E1717" t="str">
        <f>IFERROR(__xludf.DUMMYFUNCTION("""COMPUTED_VALUE"""),"HC01")</f>
        <v>HC01</v>
      </c>
    </row>
    <row r="1718" ht="15.75" customHeight="1">
      <c r="A1718" t="str">
        <f t="shared" si="1"/>
        <v>C.diphtheriae</v>
      </c>
      <c r="B1718" s="5" t="s">
        <v>3401</v>
      </c>
      <c r="C1718" s="6" t="str">
        <f>IFERROR(__xludf.DUMMYFUNCTION("SPLIT('2. c'!B1718, "" "", True, True)"),"Corynebacterium")</f>
        <v>Corynebacterium</v>
      </c>
      <c r="D1718" t="str">
        <f>IFERROR(__xludf.DUMMYFUNCTION("""COMPUTED_VALUE"""),"diphtheriae")</f>
        <v>diphtheriae</v>
      </c>
      <c r="E1718" t="str">
        <f>IFERROR(__xludf.DUMMYFUNCTION("""COMPUTED_VALUE"""),"HC02")</f>
        <v>HC02</v>
      </c>
    </row>
    <row r="1719" ht="15.75" customHeight="1">
      <c r="A1719" t="str">
        <f t="shared" si="1"/>
        <v>C.diphtheriae</v>
      </c>
      <c r="B1719" s="5" t="s">
        <v>3409</v>
      </c>
      <c r="C1719" s="6" t="str">
        <f>IFERROR(__xludf.DUMMYFUNCTION("SPLIT('2. c'!B1719, "" "", True, True)"),"Corynebacterium")</f>
        <v>Corynebacterium</v>
      </c>
      <c r="D1719" t="str">
        <f>IFERROR(__xludf.DUMMYFUNCTION("""COMPUTED_VALUE"""),"diphtheriae")</f>
        <v>diphtheriae</v>
      </c>
      <c r="E1719" t="str">
        <f>IFERROR(__xludf.DUMMYFUNCTION("""COMPUTED_VALUE"""),"HC03")</f>
        <v>HC03</v>
      </c>
    </row>
    <row r="1720" ht="15.75" customHeight="1">
      <c r="A1720" t="str">
        <f t="shared" si="1"/>
        <v>C.diphtheriae</v>
      </c>
      <c r="B1720" s="5" t="s">
        <v>3416</v>
      </c>
      <c r="C1720" s="6" t="str">
        <f>IFERROR(__xludf.DUMMYFUNCTION("SPLIT('2. c'!B1720, "" "", True, True)"),"Corynebacterium")</f>
        <v>Corynebacterium</v>
      </c>
      <c r="D1720" t="str">
        <f>IFERROR(__xludf.DUMMYFUNCTION("""COMPUTED_VALUE"""),"diphtheriae")</f>
        <v>diphtheriae</v>
      </c>
      <c r="E1720" t="str">
        <f>IFERROR(__xludf.DUMMYFUNCTION("""COMPUTED_VALUE"""),"HC04")</f>
        <v>HC04</v>
      </c>
    </row>
    <row r="1721" ht="15.75" customHeight="1">
      <c r="A1721" t="str">
        <f t="shared" si="1"/>
        <v>C.diphtheriae</v>
      </c>
      <c r="B1721" s="5" t="s">
        <v>3425</v>
      </c>
      <c r="C1721" s="6" t="str">
        <f>IFERROR(__xludf.DUMMYFUNCTION("SPLIT('2. c'!B1721, "" "", True, True)"),"Corynebacterium")</f>
        <v>Corynebacterium</v>
      </c>
      <c r="D1721" t="str">
        <f>IFERROR(__xludf.DUMMYFUNCTION("""COMPUTED_VALUE"""),"diphtheriae")</f>
        <v>diphtheriae</v>
      </c>
      <c r="E1721" t="str">
        <f>IFERROR(__xludf.DUMMYFUNCTION("""COMPUTED_VALUE"""),"INCA")</f>
        <v>INCA</v>
      </c>
      <c r="F1721">
        <f>IFERROR(__xludf.DUMMYFUNCTION("""COMPUTED_VALUE"""),402.0)</f>
        <v>402</v>
      </c>
    </row>
    <row r="1722" ht="15.75" customHeight="1">
      <c r="A1722" t="str">
        <f t="shared" si="1"/>
        <v>C.diphtheriae</v>
      </c>
      <c r="B1722" s="5" t="s">
        <v>3437</v>
      </c>
      <c r="C1722" s="6" t="str">
        <f>IFERROR(__xludf.DUMMYFUNCTION("SPLIT('2. c'!B1722, "" "", True, True)"),"Corynebacterium")</f>
        <v>Corynebacterium</v>
      </c>
      <c r="D1722" t="str">
        <f>IFERROR(__xludf.DUMMYFUNCTION("""COMPUTED_VALUE"""),"diphtheriae")</f>
        <v>diphtheriae</v>
      </c>
      <c r="E1722" t="str">
        <f>IFERROR(__xludf.DUMMYFUNCTION("""COMPUTED_VALUE"""),"NCTC")</f>
        <v>NCTC</v>
      </c>
      <c r="F1722">
        <f>IFERROR(__xludf.DUMMYFUNCTION("""COMPUTED_VALUE"""),13129.0)</f>
        <v>13129</v>
      </c>
    </row>
    <row r="1723" ht="15.75" customHeight="1">
      <c r="A1723" t="str">
        <f t="shared" si="1"/>
        <v>C.diphtheriae</v>
      </c>
      <c r="B1723" s="5" t="s">
        <v>3447</v>
      </c>
      <c r="C1723" s="6" t="str">
        <f>IFERROR(__xludf.DUMMYFUNCTION("SPLIT('2. c'!B1723, "" "", True, True)"),"Corynebacterium")</f>
        <v>Corynebacterium</v>
      </c>
      <c r="D1723" t="str">
        <f>IFERROR(__xludf.DUMMYFUNCTION("""COMPUTED_VALUE"""),"diphtheriae")</f>
        <v>diphtheriae</v>
      </c>
      <c r="E1723" t="str">
        <f>IFERROR(__xludf.DUMMYFUNCTION("""COMPUTED_VALUE"""),"PW8")</f>
        <v>PW8</v>
      </c>
    </row>
    <row r="1724" ht="15.75" customHeight="1">
      <c r="A1724" t="str">
        <f t="shared" si="1"/>
        <v>C.diphtheriae</v>
      </c>
      <c r="B1724" s="5" t="s">
        <v>3457</v>
      </c>
      <c r="C1724" s="6" t="str">
        <f>IFERROR(__xludf.DUMMYFUNCTION("SPLIT('2. c'!B1724, "" "", True, True)"),"Corynebacterium")</f>
        <v>Corynebacterium</v>
      </c>
      <c r="D1724" t="str">
        <f>IFERROR(__xludf.DUMMYFUNCTION("""COMPUTED_VALUE"""),"diphtheriae")</f>
        <v>diphtheriae</v>
      </c>
      <c r="E1724" t="str">
        <f>IFERROR(__xludf.DUMMYFUNCTION("""COMPUTED_VALUE"""),"strain")</f>
        <v>strain</v>
      </c>
      <c r="F1724" t="str">
        <f>IFERROR(__xludf.DUMMYFUNCTION("""COMPUTED_VALUE"""),"NCTC11397")</f>
        <v>NCTC11397</v>
      </c>
    </row>
    <row r="1725" ht="15.75" customHeight="1">
      <c r="A1725" t="str">
        <f t="shared" si="1"/>
        <v>C.diphtheriae</v>
      </c>
      <c r="B1725" s="5" t="s">
        <v>3467</v>
      </c>
      <c r="C1725" s="6" t="str">
        <f>IFERROR(__xludf.DUMMYFUNCTION("SPLIT('2. c'!B1725, "" "", True, True)"),"Corynebacterium")</f>
        <v>Corynebacterium</v>
      </c>
      <c r="D1725" t="str">
        <f>IFERROR(__xludf.DUMMYFUNCTION("""COMPUTED_VALUE"""),"diphtheriae")</f>
        <v>diphtheriae</v>
      </c>
      <c r="E1725" t="str">
        <f>IFERROR(__xludf.DUMMYFUNCTION("""COMPUTED_VALUE"""),"VA01")</f>
        <v>VA01</v>
      </c>
    </row>
    <row r="1726" ht="15.75" customHeight="1">
      <c r="A1726" t="str">
        <f t="shared" si="1"/>
        <v>C.doosanense</v>
      </c>
      <c r="B1726" s="5" t="s">
        <v>3474</v>
      </c>
      <c r="C1726" s="6" t="str">
        <f>IFERROR(__xludf.DUMMYFUNCTION("SPLIT('2. c'!B1726, "" "", True, True)"),"Corynebacterium")</f>
        <v>Corynebacterium</v>
      </c>
      <c r="D1726" t="str">
        <f>IFERROR(__xludf.DUMMYFUNCTION("""COMPUTED_VALUE"""),"doosanense")</f>
        <v>doosanense</v>
      </c>
      <c r="E1726" t="str">
        <f>IFERROR(__xludf.DUMMYFUNCTION("""COMPUTED_VALUE"""),"CAU")</f>
        <v>CAU</v>
      </c>
      <c r="F1726">
        <f>IFERROR(__xludf.DUMMYFUNCTION("""COMPUTED_VALUE"""),212.0)</f>
        <v>212</v>
      </c>
      <c r="G1726" t="str">
        <f>IFERROR(__xludf.DUMMYFUNCTION("""COMPUTED_VALUE"""),"=")</f>
        <v>=</v>
      </c>
      <c r="H1726" t="str">
        <f>IFERROR(__xludf.DUMMYFUNCTION("""COMPUTED_VALUE"""),"DSM")</f>
        <v>DSM</v>
      </c>
      <c r="I1726">
        <f>IFERROR(__xludf.DUMMYFUNCTION("""COMPUTED_VALUE"""),45436.0)</f>
        <v>45436</v>
      </c>
    </row>
    <row r="1727" ht="15.75" customHeight="1">
      <c r="A1727" t="str">
        <f t="shared" si="1"/>
        <v>C.efficiens</v>
      </c>
      <c r="B1727" s="5" t="s">
        <v>3485</v>
      </c>
      <c r="C1727" s="6" t="str">
        <f>IFERROR(__xludf.DUMMYFUNCTION("SPLIT('2. c'!B1727, "" "", True, True)"),"Corynebacterium")</f>
        <v>Corynebacterium</v>
      </c>
      <c r="D1727" t="str">
        <f>IFERROR(__xludf.DUMMYFUNCTION("""COMPUTED_VALUE"""),"efficiens")</f>
        <v>efficiens</v>
      </c>
      <c r="E1727" t="str">
        <f>IFERROR(__xludf.DUMMYFUNCTION("""COMPUTED_VALUE"""),"YS-314")</f>
        <v>YS-314</v>
      </c>
    </row>
    <row r="1728" ht="15.75" customHeight="1">
      <c r="A1728" t="str">
        <f t="shared" si="1"/>
        <v>C.epidermidicanis</v>
      </c>
      <c r="B1728" s="5" t="s">
        <v>3493</v>
      </c>
      <c r="C1728" s="6" t="str">
        <f>IFERROR(__xludf.DUMMYFUNCTION("SPLIT('2. c'!B1728, "" "", True, True)"),"Corynebacterium")</f>
        <v>Corynebacterium</v>
      </c>
      <c r="D1728" t="str">
        <f>IFERROR(__xludf.DUMMYFUNCTION("""COMPUTED_VALUE"""),"epidermidicanis")</f>
        <v>epidermidicanis</v>
      </c>
      <c r="E1728" t="str">
        <f>IFERROR(__xludf.DUMMYFUNCTION("""COMPUTED_VALUE"""),"strain")</f>
        <v>strain</v>
      </c>
      <c r="F1728" t="str">
        <f>IFERROR(__xludf.DUMMYFUNCTION("""COMPUTED_VALUE"""),"DSM")</f>
        <v>DSM</v>
      </c>
      <c r="G1728">
        <f>IFERROR(__xludf.DUMMYFUNCTION("""COMPUTED_VALUE"""),45586.0)</f>
        <v>45586</v>
      </c>
    </row>
    <row r="1729" ht="15.75" customHeight="1">
      <c r="A1729" t="str">
        <f t="shared" si="1"/>
        <v>C.falsenii</v>
      </c>
      <c r="B1729" s="5" t="s">
        <v>3503</v>
      </c>
      <c r="C1729" s="6" t="str">
        <f>IFERROR(__xludf.DUMMYFUNCTION("SPLIT('2. c'!B1729, "" "", True, True)"),"Corynebacterium")</f>
        <v>Corynebacterium</v>
      </c>
      <c r="D1729" t="str">
        <f>IFERROR(__xludf.DUMMYFUNCTION("""COMPUTED_VALUE"""),"falsenii")</f>
        <v>falsenii</v>
      </c>
      <c r="E1729" t="str">
        <f>IFERROR(__xludf.DUMMYFUNCTION("""COMPUTED_VALUE"""),"DSM")</f>
        <v>DSM</v>
      </c>
      <c r="F1729">
        <f>IFERROR(__xludf.DUMMYFUNCTION("""COMPUTED_VALUE"""),44353.0)</f>
        <v>44353</v>
      </c>
    </row>
    <row r="1730" ht="15.75" customHeight="1">
      <c r="A1730" t="str">
        <f t="shared" si="1"/>
        <v>C.glutamicum</v>
      </c>
      <c r="B1730" s="5" t="s">
        <v>3520</v>
      </c>
      <c r="C1730" s="6" t="str">
        <f>IFERROR(__xludf.DUMMYFUNCTION("SPLIT('2. c'!B1730, "" "", True, True)"),"Corynebacterium")</f>
        <v>Corynebacterium</v>
      </c>
      <c r="D1730" t="str">
        <f>IFERROR(__xludf.DUMMYFUNCTION("""COMPUTED_VALUE"""),"glutamicum")</f>
        <v>glutamicum</v>
      </c>
      <c r="E1730" t="str">
        <f>IFERROR(__xludf.DUMMYFUNCTION("""COMPUTED_VALUE"""),"ATCC")</f>
        <v>ATCC</v>
      </c>
      <c r="F1730">
        <f>IFERROR(__xludf.DUMMYFUNCTION("""COMPUTED_VALUE"""),13032.0)</f>
        <v>13032</v>
      </c>
    </row>
    <row r="1731" ht="15.75" customHeight="1">
      <c r="A1731" t="str">
        <f t="shared" si="1"/>
        <v>C.glutamicum</v>
      </c>
      <c r="B1731" s="5" t="s">
        <v>3530</v>
      </c>
      <c r="C1731" s="6" t="str">
        <f>IFERROR(__xludf.DUMMYFUNCTION("SPLIT('2. c'!B1731, "" "", True, True)"),"Corynebacterium")</f>
        <v>Corynebacterium</v>
      </c>
      <c r="D1731" t="str">
        <f>IFERROR(__xludf.DUMMYFUNCTION("""COMPUTED_VALUE"""),"glutamicum")</f>
        <v>glutamicum</v>
      </c>
      <c r="E1731" t="str">
        <f>IFERROR(__xludf.DUMMYFUNCTION("""COMPUTED_VALUE"""),"ATCC")</f>
        <v>ATCC</v>
      </c>
      <c r="F1731">
        <f>IFERROR(__xludf.DUMMYFUNCTION("""COMPUTED_VALUE"""),13032.0)</f>
        <v>13032</v>
      </c>
      <c r="G1731" t="str">
        <f>IFERROR(__xludf.DUMMYFUNCTION("""COMPUTED_VALUE"""),"(Prj:307)")</f>
        <v>(Prj:307)</v>
      </c>
    </row>
    <row r="1732" ht="15.75" customHeight="1">
      <c r="A1732" t="str">
        <f t="shared" si="1"/>
        <v>C.glutamicum</v>
      </c>
      <c r="B1732" s="5" t="s">
        <v>3537</v>
      </c>
      <c r="C1732" s="6" t="str">
        <f>IFERROR(__xludf.DUMMYFUNCTION("SPLIT('2. c'!B1732, "" "", True, True)"),"Corynebacterium")</f>
        <v>Corynebacterium</v>
      </c>
      <c r="D1732" t="str">
        <f>IFERROR(__xludf.DUMMYFUNCTION("""COMPUTED_VALUE"""),"glutamicum")</f>
        <v>glutamicum</v>
      </c>
      <c r="E1732" t="str">
        <f>IFERROR(__xludf.DUMMYFUNCTION("""COMPUTED_VALUE"""),"K051")</f>
        <v>K051</v>
      </c>
      <c r="F1732" t="str">
        <f>IFERROR(__xludf.DUMMYFUNCTION("""COMPUTED_VALUE"""),"strain")</f>
        <v>strain</v>
      </c>
      <c r="G1732" t="str">
        <f>IFERROR(__xludf.DUMMYFUNCTION("""COMPUTED_VALUE"""),"ATCC")</f>
        <v>ATCC</v>
      </c>
      <c r="H1732">
        <f>IFERROR(__xludf.DUMMYFUNCTION("""COMPUTED_VALUE"""),13032.0)</f>
        <v>13032</v>
      </c>
    </row>
    <row r="1733" ht="15.75" customHeight="1">
      <c r="A1733" t="str">
        <f t="shared" si="1"/>
        <v>C.glutamicum</v>
      </c>
      <c r="B1733" s="5" t="s">
        <v>3549</v>
      </c>
      <c r="C1733" s="6" t="str">
        <f>IFERROR(__xludf.DUMMYFUNCTION("SPLIT('2. c'!B1733, "" "", True, True)"),"Corynebacterium")</f>
        <v>Corynebacterium</v>
      </c>
      <c r="D1733" t="str">
        <f>IFERROR(__xludf.DUMMYFUNCTION("""COMPUTED_VALUE"""),"glutamicum")</f>
        <v>glutamicum</v>
      </c>
      <c r="E1733" t="str">
        <f>IFERROR(__xludf.DUMMYFUNCTION("""COMPUTED_VALUE"""),"MB001")</f>
        <v>MB001</v>
      </c>
    </row>
    <row r="1734" ht="15.75" customHeight="1">
      <c r="A1734" t="str">
        <f t="shared" si="1"/>
        <v>C.glutamicum</v>
      </c>
      <c r="B1734" s="5" t="s">
        <v>3559</v>
      </c>
      <c r="C1734" s="6" t="str">
        <f>IFERROR(__xludf.DUMMYFUNCTION("SPLIT('2. c'!B1734, "" "", True, True)"),"Corynebacterium")</f>
        <v>Corynebacterium</v>
      </c>
      <c r="D1734" t="str">
        <f>IFERROR(__xludf.DUMMYFUNCTION("""COMPUTED_VALUE"""),"glutamicum")</f>
        <v>glutamicum</v>
      </c>
      <c r="E1734" t="str">
        <f>IFERROR(__xludf.DUMMYFUNCTION("""COMPUTED_VALUE"""),"R")</f>
        <v>R</v>
      </c>
    </row>
    <row r="1735" ht="15.75" customHeight="1">
      <c r="A1735" t="str">
        <f t="shared" si="1"/>
        <v>C.glutamicum</v>
      </c>
      <c r="B1735" s="5" t="s">
        <v>3570</v>
      </c>
      <c r="C1735" s="6" t="str">
        <f>IFERROR(__xludf.DUMMYFUNCTION("SPLIT('2. c'!B1735, "" "", True, True)"),"Corynebacterium")</f>
        <v>Corynebacterium</v>
      </c>
      <c r="D1735" t="str">
        <f>IFERROR(__xludf.DUMMYFUNCTION("""COMPUTED_VALUE"""),"glutamicum")</f>
        <v>glutamicum</v>
      </c>
      <c r="E1735" t="str">
        <f>IFERROR(__xludf.DUMMYFUNCTION("""COMPUTED_VALUE"""),"SCgG1")</f>
        <v>SCgG1</v>
      </c>
    </row>
    <row r="1736" ht="15.75" customHeight="1">
      <c r="A1736" t="str">
        <f t="shared" si="1"/>
        <v>C.glutamicum</v>
      </c>
      <c r="B1736" s="5" t="s">
        <v>3578</v>
      </c>
      <c r="C1736" s="6" t="str">
        <f>IFERROR(__xludf.DUMMYFUNCTION("SPLIT('2. c'!B1736, "" "", True, True)"),"Corynebacterium")</f>
        <v>Corynebacterium</v>
      </c>
      <c r="D1736" t="str">
        <f>IFERROR(__xludf.DUMMYFUNCTION("""COMPUTED_VALUE"""),"glutamicum")</f>
        <v>glutamicum</v>
      </c>
      <c r="E1736" t="str">
        <f>IFERROR(__xludf.DUMMYFUNCTION("""COMPUTED_VALUE"""),"SCgG2")</f>
        <v>SCgG2</v>
      </c>
    </row>
    <row r="1737" ht="15.75" customHeight="1">
      <c r="A1737" t="str">
        <f t="shared" si="1"/>
        <v>C.glutamicum</v>
      </c>
      <c r="B1737" s="5" t="s">
        <v>3586</v>
      </c>
      <c r="C1737" s="6" t="str">
        <f>IFERROR(__xludf.DUMMYFUNCTION("SPLIT('2. c'!B1737, "" "", True, True)"),"Corynebacterium")</f>
        <v>Corynebacterium</v>
      </c>
      <c r="D1737" t="str">
        <f>IFERROR(__xludf.DUMMYFUNCTION("""COMPUTED_VALUE"""),"glutamicum")</f>
        <v>glutamicum</v>
      </c>
      <c r="E1737" t="str">
        <f>IFERROR(__xludf.DUMMYFUNCTION("""COMPUTED_VALUE"""),"strain")</f>
        <v>strain</v>
      </c>
      <c r="F1737" t="str">
        <f>IFERROR(__xludf.DUMMYFUNCTION("""COMPUTED_VALUE"""),"AR1")</f>
        <v>AR1</v>
      </c>
    </row>
    <row r="1738" ht="15.75" customHeight="1">
      <c r="A1738" t="str">
        <f t="shared" si="1"/>
        <v>C.glutamicum</v>
      </c>
      <c r="B1738" s="5" t="s">
        <v>3596</v>
      </c>
      <c r="C1738" s="6" t="str">
        <f>IFERROR(__xludf.DUMMYFUNCTION("SPLIT('2. c'!B1738, "" "", True, True)"),"Corynebacterium")</f>
        <v>Corynebacterium</v>
      </c>
      <c r="D1738" t="str">
        <f>IFERROR(__xludf.DUMMYFUNCTION("""COMPUTED_VALUE"""),"glutamicum")</f>
        <v>glutamicum</v>
      </c>
      <c r="E1738" t="str">
        <f>IFERROR(__xludf.DUMMYFUNCTION("""COMPUTED_VALUE"""),"strain")</f>
        <v>strain</v>
      </c>
      <c r="F1738" t="str">
        <f>IFERROR(__xludf.DUMMYFUNCTION("""COMPUTED_VALUE"""),"ATCC")</f>
        <v>ATCC</v>
      </c>
      <c r="G1738">
        <f>IFERROR(__xludf.DUMMYFUNCTION("""COMPUTED_VALUE"""),21831.0)</f>
        <v>21831</v>
      </c>
    </row>
    <row r="1739" ht="15.75" customHeight="1">
      <c r="A1739" t="str">
        <f t="shared" si="1"/>
        <v>C.glutamicum</v>
      </c>
      <c r="B1739" s="5" t="s">
        <v>3603</v>
      </c>
      <c r="C1739" s="6" t="str">
        <f>IFERROR(__xludf.DUMMYFUNCTION("SPLIT('2. c'!B1739, "" "", True, True)"),"Corynebacterium")</f>
        <v>Corynebacterium</v>
      </c>
      <c r="D1739" t="str">
        <f>IFERROR(__xludf.DUMMYFUNCTION("""COMPUTED_VALUE"""),"glutamicum")</f>
        <v>glutamicum</v>
      </c>
      <c r="E1739" t="str">
        <f>IFERROR(__xludf.DUMMYFUNCTION("""COMPUTED_VALUE"""),"strain")</f>
        <v>strain</v>
      </c>
      <c r="F1739" t="str">
        <f>IFERROR(__xludf.DUMMYFUNCTION("""COMPUTED_VALUE"""),"B253")</f>
        <v>B253</v>
      </c>
    </row>
    <row r="1740" ht="15.75" customHeight="1">
      <c r="A1740" t="str">
        <f t="shared" si="1"/>
        <v>C.glutamicum</v>
      </c>
      <c r="B1740" s="5" t="s">
        <v>3612</v>
      </c>
      <c r="C1740" s="6" t="str">
        <f>IFERROR(__xludf.DUMMYFUNCTION("SPLIT('2. c'!B1740, "" "", True, True)"),"Corynebacterium")</f>
        <v>Corynebacterium</v>
      </c>
      <c r="D1740" t="str">
        <f>IFERROR(__xludf.DUMMYFUNCTION("""COMPUTED_VALUE"""),"glutamicum")</f>
        <v>glutamicum</v>
      </c>
      <c r="E1740" t="str">
        <f>IFERROR(__xludf.DUMMYFUNCTION("""COMPUTED_VALUE"""),"strain")</f>
        <v>strain</v>
      </c>
      <c r="F1740" t="str">
        <f>IFERROR(__xludf.DUMMYFUNCTION("""COMPUTED_VALUE"""),"CP18")</f>
        <v>CP18</v>
      </c>
    </row>
    <row r="1741" ht="15.75" customHeight="1">
      <c r="A1741" t="str">
        <f t="shared" si="1"/>
        <v>C.glutamicum</v>
      </c>
      <c r="B1741" s="5" t="s">
        <v>3622</v>
      </c>
      <c r="C1741" s="6" t="str">
        <f>IFERROR(__xludf.DUMMYFUNCTION("SPLIT('2. c'!B1741, "" "", True, True)"),"Corynebacterium")</f>
        <v>Corynebacterium</v>
      </c>
      <c r="D1741" t="str">
        <f>IFERROR(__xludf.DUMMYFUNCTION("""COMPUTED_VALUE"""),"glutamicum")</f>
        <v>glutamicum</v>
      </c>
      <c r="E1741" t="str">
        <f>IFERROR(__xludf.DUMMYFUNCTION("""COMPUTED_VALUE"""),"strain")</f>
        <v>strain</v>
      </c>
      <c r="F1741" t="str">
        <f>IFERROR(__xludf.DUMMYFUNCTION("""COMPUTED_VALUE"""),"USDA-ARS-USMARC-56828")</f>
        <v>USDA-ARS-USMARC-56828</v>
      </c>
    </row>
    <row r="1742" ht="15.75" customHeight="1">
      <c r="A1742" t="str">
        <f t="shared" si="1"/>
        <v>C.glutamicum</v>
      </c>
      <c r="B1742" s="5" t="s">
        <v>3632</v>
      </c>
      <c r="C1742" s="6" t="str">
        <f>IFERROR(__xludf.DUMMYFUNCTION("SPLIT('2. c'!B1742, "" "", True, True)"),"Corynebacterium")</f>
        <v>Corynebacterium</v>
      </c>
      <c r="D1742" t="str">
        <f>IFERROR(__xludf.DUMMYFUNCTION("""COMPUTED_VALUE"""),"glutamicum")</f>
        <v>glutamicum</v>
      </c>
      <c r="E1742" t="str">
        <f>IFERROR(__xludf.DUMMYFUNCTION("""COMPUTED_VALUE"""),"strain")</f>
        <v>strain</v>
      </c>
      <c r="F1742" t="str">
        <f>IFERROR(__xludf.DUMMYFUNCTION("""COMPUTED_VALUE"""),"YI")</f>
        <v>YI</v>
      </c>
    </row>
    <row r="1743" ht="15.75" customHeight="1">
      <c r="A1743" t="str">
        <f t="shared" si="1"/>
        <v>C.glycinophilum</v>
      </c>
      <c r="B1743" s="5" t="s">
        <v>3642</v>
      </c>
      <c r="C1743" s="6" t="str">
        <f>IFERROR(__xludf.DUMMYFUNCTION("SPLIT('2. c'!B1743, "" "", True, True)"),"Corynebacterium")</f>
        <v>Corynebacterium</v>
      </c>
      <c r="D1743" t="str">
        <f>IFERROR(__xludf.DUMMYFUNCTION("""COMPUTED_VALUE"""),"glycinophilum")</f>
        <v>glycinophilum</v>
      </c>
      <c r="E1743" t="str">
        <f>IFERROR(__xludf.DUMMYFUNCTION("""COMPUTED_VALUE"""),"AJ")</f>
        <v>AJ</v>
      </c>
      <c r="F1743">
        <f>IFERROR(__xludf.DUMMYFUNCTION("""COMPUTED_VALUE"""),3170.0)</f>
        <v>3170</v>
      </c>
    </row>
    <row r="1744" ht="15.75" customHeight="1">
      <c r="A1744" t="str">
        <f t="shared" si="1"/>
        <v>C.halotolerans</v>
      </c>
      <c r="B1744" s="5" t="s">
        <v>3650</v>
      </c>
      <c r="C1744" s="6" t="str">
        <f>IFERROR(__xludf.DUMMYFUNCTION("SPLIT('2. c'!B1744, "" "", True, True)"),"Corynebacterium")</f>
        <v>Corynebacterium</v>
      </c>
      <c r="D1744" t="str">
        <f>IFERROR(__xludf.DUMMYFUNCTION("""COMPUTED_VALUE"""),"halotolerans")</f>
        <v>halotolerans</v>
      </c>
      <c r="E1744" t="str">
        <f>IFERROR(__xludf.DUMMYFUNCTION("""COMPUTED_VALUE"""),"YIM")</f>
        <v>YIM</v>
      </c>
      <c r="F1744">
        <f>IFERROR(__xludf.DUMMYFUNCTION("""COMPUTED_VALUE"""),70093.0)</f>
        <v>70093</v>
      </c>
      <c r="G1744" t="str">
        <f>IFERROR(__xludf.DUMMYFUNCTION("""COMPUTED_VALUE"""),"=")</f>
        <v>=</v>
      </c>
      <c r="H1744" t="str">
        <f>IFERROR(__xludf.DUMMYFUNCTION("""COMPUTED_VALUE"""),"DSM")</f>
        <v>DSM</v>
      </c>
      <c r="I1744">
        <f>IFERROR(__xludf.DUMMYFUNCTION("""COMPUTED_VALUE"""),44683.0)</f>
        <v>44683</v>
      </c>
    </row>
    <row r="1745" ht="15.75" customHeight="1">
      <c r="A1745" t="str">
        <f t="shared" si="1"/>
        <v>C.humireducens</v>
      </c>
      <c r="B1745" s="5" t="s">
        <v>3665</v>
      </c>
      <c r="C1745" s="6" t="str">
        <f>IFERROR(__xludf.DUMMYFUNCTION("SPLIT('2. c'!B1745, "" "", True, True)"),"Corynebacterium")</f>
        <v>Corynebacterium</v>
      </c>
      <c r="D1745" t="str">
        <f>IFERROR(__xludf.DUMMYFUNCTION("""COMPUTED_VALUE"""),"humireducens")</f>
        <v>humireducens</v>
      </c>
      <c r="E1745" t="str">
        <f>IFERROR(__xludf.DUMMYFUNCTION("""COMPUTED_VALUE"""),"NBRC")</f>
        <v>NBRC</v>
      </c>
      <c r="F1745">
        <f>IFERROR(__xludf.DUMMYFUNCTION("""COMPUTED_VALUE"""),106098.0)</f>
        <v>106098</v>
      </c>
      <c r="G1745" t="str">
        <f>IFERROR(__xludf.DUMMYFUNCTION("""COMPUTED_VALUE"""),"=")</f>
        <v>=</v>
      </c>
      <c r="H1745" t="str">
        <f>IFERROR(__xludf.DUMMYFUNCTION("""COMPUTED_VALUE"""),"DSM")</f>
        <v>DSM</v>
      </c>
      <c r="I1745">
        <f>IFERROR(__xludf.DUMMYFUNCTION("""COMPUTED_VALUE"""),45392.0)</f>
        <v>45392</v>
      </c>
    </row>
    <row r="1746" ht="15.75" customHeight="1">
      <c r="A1746" t="str">
        <f t="shared" si="1"/>
        <v>C.imitans</v>
      </c>
      <c r="B1746" s="5" t="s">
        <v>3676</v>
      </c>
      <c r="C1746" s="6" t="str">
        <f>IFERROR(__xludf.DUMMYFUNCTION("SPLIT('2. c'!B1746, "" "", True, True)"),"Corynebacterium")</f>
        <v>Corynebacterium</v>
      </c>
      <c r="D1746" t="str">
        <f>IFERROR(__xludf.DUMMYFUNCTION("""COMPUTED_VALUE"""),"imitans")</f>
        <v>imitans</v>
      </c>
      <c r="E1746" t="str">
        <f>IFERROR(__xludf.DUMMYFUNCTION("""COMPUTED_VALUE"""),"strain")</f>
        <v>strain</v>
      </c>
      <c r="F1746" t="str">
        <f>IFERROR(__xludf.DUMMYFUNCTION("""COMPUTED_VALUE"""),"DSM")</f>
        <v>DSM</v>
      </c>
      <c r="G1746">
        <f>IFERROR(__xludf.DUMMYFUNCTION("""COMPUTED_VALUE"""),44264.0)</f>
        <v>44264</v>
      </c>
    </row>
    <row r="1747" ht="15.75" customHeight="1">
      <c r="A1747" t="str">
        <f t="shared" si="1"/>
        <v>C.jeikeium</v>
      </c>
      <c r="B1747" s="5" t="s">
        <v>3690</v>
      </c>
      <c r="C1747" s="6" t="str">
        <f>IFERROR(__xludf.DUMMYFUNCTION("SPLIT('2. c'!B1747, "" "", True, True)"),"Corynebacterium")</f>
        <v>Corynebacterium</v>
      </c>
      <c r="D1747" t="str">
        <f>IFERROR(__xludf.DUMMYFUNCTION("""COMPUTED_VALUE"""),"jeikeium")</f>
        <v>jeikeium</v>
      </c>
      <c r="E1747" t="str">
        <f>IFERROR(__xludf.DUMMYFUNCTION("""COMPUTED_VALUE"""),"K411")</f>
        <v>K411</v>
      </c>
    </row>
    <row r="1748" ht="15.75" customHeight="1">
      <c r="A1748" t="str">
        <f t="shared" si="1"/>
        <v>C.kroppenstedtii</v>
      </c>
      <c r="B1748" s="5" t="s">
        <v>3701</v>
      </c>
      <c r="C1748" s="6" t="str">
        <f>IFERROR(__xludf.DUMMYFUNCTION("SPLIT('2. c'!B1748, "" "", True, True)"),"Corynebacterium")</f>
        <v>Corynebacterium</v>
      </c>
      <c r="D1748" t="str">
        <f>IFERROR(__xludf.DUMMYFUNCTION("""COMPUTED_VALUE"""),"kroppenstedtii")</f>
        <v>kroppenstedtii</v>
      </c>
      <c r="E1748" t="str">
        <f>IFERROR(__xludf.DUMMYFUNCTION("""COMPUTED_VALUE"""),"DSM")</f>
        <v>DSM</v>
      </c>
      <c r="F1748">
        <f>IFERROR(__xludf.DUMMYFUNCTION("""COMPUTED_VALUE"""),44385.0)</f>
        <v>44385</v>
      </c>
    </row>
    <row r="1749" ht="15.75" customHeight="1">
      <c r="A1749" t="str">
        <f t="shared" si="1"/>
        <v>C.kutscheri</v>
      </c>
      <c r="B1749" s="5" t="s">
        <v>3711</v>
      </c>
      <c r="C1749" s="6" t="str">
        <f>IFERROR(__xludf.DUMMYFUNCTION("SPLIT('2. c'!B1749, "" "", True, True)"),"Corynebacterium")</f>
        <v>Corynebacterium</v>
      </c>
      <c r="D1749" t="str">
        <f>IFERROR(__xludf.DUMMYFUNCTION("""COMPUTED_VALUE"""),"kutscheri")</f>
        <v>kutscheri</v>
      </c>
      <c r="E1749" t="str">
        <f>IFERROR(__xludf.DUMMYFUNCTION("""COMPUTED_VALUE"""),"strain")</f>
        <v>strain</v>
      </c>
      <c r="F1749" t="str">
        <f>IFERROR(__xludf.DUMMYFUNCTION("""COMPUTED_VALUE"""),"DSM")</f>
        <v>DSM</v>
      </c>
      <c r="G1749">
        <f>IFERROR(__xludf.DUMMYFUNCTION("""COMPUTED_VALUE"""),20755.0)</f>
        <v>20755</v>
      </c>
    </row>
    <row r="1750" ht="15.75" customHeight="1">
      <c r="A1750" t="str">
        <f t="shared" si="1"/>
        <v>C.lactis</v>
      </c>
      <c r="B1750" s="5" t="s">
        <v>3722</v>
      </c>
      <c r="C1750" s="6" t="str">
        <f>IFERROR(__xludf.DUMMYFUNCTION("SPLIT('2. c'!B1750, "" "", True, True)"),"Corynebacterium")</f>
        <v>Corynebacterium</v>
      </c>
      <c r="D1750" t="str">
        <f>IFERROR(__xludf.DUMMYFUNCTION("""COMPUTED_VALUE"""),"lactis")</f>
        <v>lactis</v>
      </c>
      <c r="E1750" t="str">
        <f>IFERROR(__xludf.DUMMYFUNCTION("""COMPUTED_VALUE"""),"RW2-5")</f>
        <v>RW2-5</v>
      </c>
    </row>
    <row r="1751" ht="15.75" customHeight="1">
      <c r="A1751" t="str">
        <f t="shared" si="1"/>
        <v>C.marinum</v>
      </c>
      <c r="B1751" s="5" t="s">
        <v>3732</v>
      </c>
      <c r="C1751" s="6" t="str">
        <f>IFERROR(__xludf.DUMMYFUNCTION("SPLIT('2. c'!B1751, "" "", True, True)"),"Corynebacterium")</f>
        <v>Corynebacterium</v>
      </c>
      <c r="D1751" t="str">
        <f>IFERROR(__xludf.DUMMYFUNCTION("""COMPUTED_VALUE"""),"marinum")</f>
        <v>marinum</v>
      </c>
      <c r="E1751" t="str">
        <f>IFERROR(__xludf.DUMMYFUNCTION("""COMPUTED_VALUE"""),"DSM")</f>
        <v>DSM</v>
      </c>
      <c r="F1751">
        <f>IFERROR(__xludf.DUMMYFUNCTION("""COMPUTED_VALUE"""),44953.0)</f>
        <v>44953</v>
      </c>
    </row>
    <row r="1752" ht="15.75" customHeight="1">
      <c r="A1752" t="str">
        <f t="shared" si="1"/>
        <v>C.maris</v>
      </c>
      <c r="B1752" s="5" t="s">
        <v>3742</v>
      </c>
      <c r="C1752" s="6" t="str">
        <f>IFERROR(__xludf.DUMMYFUNCTION("SPLIT('2. c'!B1752, "" "", True, True)"),"Corynebacterium")</f>
        <v>Corynebacterium</v>
      </c>
      <c r="D1752" t="str">
        <f>IFERROR(__xludf.DUMMYFUNCTION("""COMPUTED_VALUE"""),"maris")</f>
        <v>maris</v>
      </c>
      <c r="E1752" t="str">
        <f>IFERROR(__xludf.DUMMYFUNCTION("""COMPUTED_VALUE"""),"DSM")</f>
        <v>DSM</v>
      </c>
      <c r="F1752">
        <f>IFERROR(__xludf.DUMMYFUNCTION("""COMPUTED_VALUE"""),45190.0)</f>
        <v>45190</v>
      </c>
    </row>
    <row r="1753" ht="15.75" customHeight="1">
      <c r="A1753" t="str">
        <f t="shared" si="1"/>
        <v>C.mustelae</v>
      </c>
      <c r="B1753" s="5" t="s">
        <v>3751</v>
      </c>
      <c r="C1753" s="6" t="str">
        <f>IFERROR(__xludf.DUMMYFUNCTION("SPLIT('2. c'!B1753, "" "", True, True)"),"Corynebacterium")</f>
        <v>Corynebacterium</v>
      </c>
      <c r="D1753" t="str">
        <f>IFERROR(__xludf.DUMMYFUNCTION("""COMPUTED_VALUE"""),"mustelae")</f>
        <v>mustelae</v>
      </c>
      <c r="E1753" t="str">
        <f>IFERROR(__xludf.DUMMYFUNCTION("""COMPUTED_VALUE"""),"strain")</f>
        <v>strain</v>
      </c>
      <c r="F1753" t="str">
        <f>IFERROR(__xludf.DUMMYFUNCTION("""COMPUTED_VALUE"""),"DSM")</f>
        <v>DSM</v>
      </c>
      <c r="G1753">
        <f>IFERROR(__xludf.DUMMYFUNCTION("""COMPUTED_VALUE"""),45274.0)</f>
        <v>45274</v>
      </c>
    </row>
    <row r="1754" ht="15.75" customHeight="1">
      <c r="A1754" t="str">
        <f t="shared" si="1"/>
        <v>C.pseudotuberculosis</v>
      </c>
      <c r="B1754" s="5" t="s">
        <v>3762</v>
      </c>
      <c r="C1754" s="6" t="str">
        <f>IFERROR(__xludf.DUMMYFUNCTION("SPLIT('2. c'!B1754, "" "", True, True)"),"Corynebacterium")</f>
        <v>Corynebacterium</v>
      </c>
      <c r="D1754" t="str">
        <f>IFERROR(__xludf.DUMMYFUNCTION("""COMPUTED_VALUE"""),"pseudotuberculosis")</f>
        <v>pseudotuberculosis</v>
      </c>
      <c r="E1754" t="str">
        <f>IFERROR(__xludf.DUMMYFUNCTION("""COMPUTED_VALUE"""),"1/06-A")</f>
        <v>1/06-A</v>
      </c>
    </row>
    <row r="1755" ht="15.75" customHeight="1">
      <c r="A1755" t="str">
        <f t="shared" si="1"/>
        <v>C.pseudotuberculosis</v>
      </c>
      <c r="B1755" s="5" t="s">
        <v>3773</v>
      </c>
      <c r="C1755" s="6" t="str">
        <f>IFERROR(__xludf.DUMMYFUNCTION("SPLIT('2. c'!B1755, "" "", True, True)"),"Corynebacterium")</f>
        <v>Corynebacterium</v>
      </c>
      <c r="D1755" t="str">
        <f>IFERROR(__xludf.DUMMYFUNCTION("""COMPUTED_VALUE"""),"pseudotuberculosis")</f>
        <v>pseudotuberculosis</v>
      </c>
      <c r="E1755">
        <f>IFERROR(__xludf.DUMMYFUNCTION("""COMPUTED_VALUE"""),1002.0)</f>
        <v>1002</v>
      </c>
    </row>
    <row r="1756" ht="15.75" customHeight="1">
      <c r="A1756" t="str">
        <f t="shared" si="1"/>
        <v>C.pseudotuberculosis</v>
      </c>
      <c r="B1756" s="5" t="s">
        <v>3783</v>
      </c>
      <c r="C1756" s="6" t="str">
        <f>IFERROR(__xludf.DUMMYFUNCTION("SPLIT('2. c'!B1756, "" "", True, True)"),"Corynebacterium")</f>
        <v>Corynebacterium</v>
      </c>
      <c r="D1756" t="str">
        <f>IFERROR(__xludf.DUMMYFUNCTION("""COMPUTED_VALUE"""),"pseudotuberculosis")</f>
        <v>pseudotuberculosis</v>
      </c>
      <c r="E1756">
        <f>IFERROR(__xludf.DUMMYFUNCTION("""COMPUTED_VALUE"""),258.0)</f>
        <v>258</v>
      </c>
    </row>
    <row r="1757" ht="15.75" customHeight="1">
      <c r="A1757" t="str">
        <f t="shared" si="1"/>
        <v>C.pseudotuberculosis</v>
      </c>
      <c r="B1757" s="5" t="s">
        <v>3792</v>
      </c>
      <c r="C1757" s="6" t="str">
        <f>IFERROR(__xludf.DUMMYFUNCTION("SPLIT('2. c'!B1757, "" "", True, True)"),"Corynebacterium")</f>
        <v>Corynebacterium</v>
      </c>
      <c r="D1757" t="str">
        <f>IFERROR(__xludf.DUMMYFUNCTION("""COMPUTED_VALUE"""),"pseudotuberculosis")</f>
        <v>pseudotuberculosis</v>
      </c>
      <c r="E1757">
        <f>IFERROR(__xludf.DUMMYFUNCTION("""COMPUTED_VALUE"""),267.0)</f>
        <v>267</v>
      </c>
    </row>
    <row r="1758" ht="15.75" customHeight="1">
      <c r="A1758" t="str">
        <f t="shared" si="1"/>
        <v>C.pseudotuberculosis</v>
      </c>
      <c r="B1758" s="5" t="s">
        <v>3802</v>
      </c>
      <c r="C1758" s="6" t="str">
        <f>IFERROR(__xludf.DUMMYFUNCTION("SPLIT('2. c'!B1758, "" "", True, True)"),"Corynebacterium")</f>
        <v>Corynebacterium</v>
      </c>
      <c r="D1758" t="str">
        <f>IFERROR(__xludf.DUMMYFUNCTION("""COMPUTED_VALUE"""),"pseudotuberculosis")</f>
        <v>pseudotuberculosis</v>
      </c>
      <c r="E1758" t="str">
        <f>IFERROR(__xludf.DUMMYFUNCTION("""COMPUTED_VALUE"""),"3/99-5")</f>
        <v>3/99-5</v>
      </c>
    </row>
    <row r="1759" ht="15.75" customHeight="1">
      <c r="A1759" t="str">
        <f t="shared" si="1"/>
        <v>C.pseudotuberculosis</v>
      </c>
      <c r="B1759" s="5" t="s">
        <v>3811</v>
      </c>
      <c r="C1759" s="6" t="str">
        <f>IFERROR(__xludf.DUMMYFUNCTION("SPLIT('2. c'!B1759, "" "", True, True)"),"Corynebacterium")</f>
        <v>Corynebacterium</v>
      </c>
      <c r="D1759" t="str">
        <f>IFERROR(__xludf.DUMMYFUNCTION("""COMPUTED_VALUE"""),"pseudotuberculosis")</f>
        <v>pseudotuberculosis</v>
      </c>
      <c r="E1759">
        <f>IFERROR(__xludf.DUMMYFUNCTION("""COMPUTED_VALUE"""),31.0)</f>
        <v>31</v>
      </c>
    </row>
    <row r="1760" ht="15.75" customHeight="1">
      <c r="A1760" t="str">
        <f t="shared" si="1"/>
        <v>C.pseudotuberculosis</v>
      </c>
      <c r="B1760" s="5" t="s">
        <v>3820</v>
      </c>
      <c r="C1760" s="6" t="str">
        <f>IFERROR(__xludf.DUMMYFUNCTION("SPLIT('2. c'!B1760, "" "", True, True)"),"Corynebacterium")</f>
        <v>Corynebacterium</v>
      </c>
      <c r="D1760" t="str">
        <f>IFERROR(__xludf.DUMMYFUNCTION("""COMPUTED_VALUE"""),"pseudotuberculosis")</f>
        <v>pseudotuberculosis</v>
      </c>
      <c r="E1760">
        <f>IFERROR(__xludf.DUMMYFUNCTION("""COMPUTED_VALUE"""),316.0)</f>
        <v>316</v>
      </c>
    </row>
    <row r="1761" ht="15.75" customHeight="1">
      <c r="A1761" t="str">
        <f t="shared" si="1"/>
        <v>C.pseudotuberculosis</v>
      </c>
      <c r="B1761" s="5" t="s">
        <v>3831</v>
      </c>
      <c r="C1761" s="6" t="str">
        <f>IFERROR(__xludf.DUMMYFUNCTION("SPLIT('2. c'!B1761, "" "", True, True)"),"Corynebacterium")</f>
        <v>Corynebacterium</v>
      </c>
      <c r="D1761" t="str">
        <f>IFERROR(__xludf.DUMMYFUNCTION("""COMPUTED_VALUE"""),"pseudotuberculosis")</f>
        <v>pseudotuberculosis</v>
      </c>
      <c r="E1761" t="str">
        <f>IFERROR(__xludf.DUMMYFUNCTION("""COMPUTED_VALUE"""),"42/02-A")</f>
        <v>42/02-A</v>
      </c>
    </row>
    <row r="1762" ht="15.75" customHeight="1">
      <c r="A1762" t="str">
        <f t="shared" si="1"/>
        <v>C.pseudotuberculosis</v>
      </c>
      <c r="B1762" s="5" t="s">
        <v>3840</v>
      </c>
      <c r="C1762" s="6" t="str">
        <f>IFERROR(__xludf.DUMMYFUNCTION("SPLIT('2. c'!B1762, "" "", True, True)"),"Corynebacterium")</f>
        <v>Corynebacterium</v>
      </c>
      <c r="D1762" t="str">
        <f>IFERROR(__xludf.DUMMYFUNCTION("""COMPUTED_VALUE"""),"pseudotuberculosis")</f>
        <v>pseudotuberculosis</v>
      </c>
      <c r="E1762" t="str">
        <f>IFERROR(__xludf.DUMMYFUNCTION("""COMPUTED_VALUE"""),"C231")</f>
        <v>C231</v>
      </c>
    </row>
    <row r="1763" ht="15.75" customHeight="1">
      <c r="A1763" t="str">
        <f t="shared" si="1"/>
        <v>C.pseudotuberculosis</v>
      </c>
      <c r="B1763" s="5" t="s">
        <v>3848</v>
      </c>
      <c r="C1763" s="6" t="str">
        <f>IFERROR(__xludf.DUMMYFUNCTION("SPLIT('2. c'!B1763, "" "", True, True)"),"Corynebacterium")</f>
        <v>Corynebacterium</v>
      </c>
      <c r="D1763" t="str">
        <f>IFERROR(__xludf.DUMMYFUNCTION("""COMPUTED_VALUE"""),"pseudotuberculosis")</f>
        <v>pseudotuberculosis</v>
      </c>
      <c r="E1763" t="str">
        <f>IFERROR(__xludf.DUMMYFUNCTION("""COMPUTED_VALUE"""),"CIP")</f>
        <v>CIP</v>
      </c>
      <c r="F1763" t="str">
        <f>IFERROR(__xludf.DUMMYFUNCTION("""COMPUTED_VALUE"""),"52.97")</f>
        <v>52.97</v>
      </c>
    </row>
    <row r="1764" ht="15.75" customHeight="1">
      <c r="A1764" t="str">
        <f t="shared" si="1"/>
        <v>C.pseudotuberculosis</v>
      </c>
      <c r="B1764" s="5" t="s">
        <v>3856</v>
      </c>
      <c r="C1764" s="6" t="str">
        <f>IFERROR(__xludf.DUMMYFUNCTION("SPLIT('2. c'!B1764, "" "", True, True)"),"Corynebacterium")</f>
        <v>Corynebacterium</v>
      </c>
      <c r="D1764" t="str">
        <f>IFERROR(__xludf.DUMMYFUNCTION("""COMPUTED_VALUE"""),"pseudotuberculosis")</f>
        <v>pseudotuberculosis</v>
      </c>
      <c r="E1764" t="str">
        <f>IFERROR(__xludf.DUMMYFUNCTION("""COMPUTED_VALUE"""),"Cp162")</f>
        <v>Cp162</v>
      </c>
    </row>
    <row r="1765" ht="15.75" customHeight="1">
      <c r="A1765" t="str">
        <f t="shared" si="1"/>
        <v>C.pseudotuberculosis</v>
      </c>
      <c r="B1765" s="5" t="s">
        <v>3866</v>
      </c>
      <c r="C1765" s="6" t="str">
        <f>IFERROR(__xludf.DUMMYFUNCTION("SPLIT('2. c'!B1765, "" "", True, True)"),"Corynebacterium")</f>
        <v>Corynebacterium</v>
      </c>
      <c r="D1765" t="str">
        <f>IFERROR(__xludf.DUMMYFUNCTION("""COMPUTED_VALUE"""),"pseudotuberculosis")</f>
        <v>pseudotuberculosis</v>
      </c>
      <c r="E1765" t="str">
        <f>IFERROR(__xludf.DUMMYFUNCTION("""COMPUTED_VALUE"""),"FRC41")</f>
        <v>FRC41</v>
      </c>
    </row>
    <row r="1766" ht="15.75" customHeight="1">
      <c r="A1766" t="str">
        <f t="shared" si="1"/>
        <v>C.pseudotuberculosis</v>
      </c>
      <c r="B1766" s="5" t="s">
        <v>3872</v>
      </c>
      <c r="C1766" s="6" t="str">
        <f>IFERROR(__xludf.DUMMYFUNCTION("SPLIT('2. c'!B1766, "" "", True, True)"),"Corynebacterium")</f>
        <v>Corynebacterium</v>
      </c>
      <c r="D1766" t="str">
        <f>IFERROR(__xludf.DUMMYFUNCTION("""COMPUTED_VALUE"""),"pseudotuberculosis")</f>
        <v>pseudotuberculosis</v>
      </c>
      <c r="E1766" t="str">
        <f>IFERROR(__xludf.DUMMYFUNCTION("""COMPUTED_VALUE"""),"I19")</f>
        <v>I19</v>
      </c>
    </row>
    <row r="1767" ht="15.75" customHeight="1">
      <c r="A1767" t="str">
        <f t="shared" si="1"/>
        <v>C.pseudotuberculosis</v>
      </c>
      <c r="B1767" s="5" t="s">
        <v>3879</v>
      </c>
      <c r="C1767" s="6" t="str">
        <f>IFERROR(__xludf.DUMMYFUNCTION("SPLIT('2. c'!B1767, "" "", True, True)"),"Corynebacterium")</f>
        <v>Corynebacterium</v>
      </c>
      <c r="D1767" t="str">
        <f>IFERROR(__xludf.DUMMYFUNCTION("""COMPUTED_VALUE"""),"pseudotuberculosis")</f>
        <v>pseudotuberculosis</v>
      </c>
      <c r="E1767" t="str">
        <f>IFERROR(__xludf.DUMMYFUNCTION("""COMPUTED_VALUE"""),"P54B96")</f>
        <v>P54B96</v>
      </c>
    </row>
    <row r="1768" ht="15.75" customHeight="1">
      <c r="A1768" t="str">
        <f t="shared" si="1"/>
        <v>C.pseudotuberculosis</v>
      </c>
      <c r="B1768" s="5" t="s">
        <v>3887</v>
      </c>
      <c r="C1768" s="6" t="str">
        <f>IFERROR(__xludf.DUMMYFUNCTION("SPLIT('2. c'!B1768, "" "", True, True)"),"Corynebacterium")</f>
        <v>Corynebacterium</v>
      </c>
      <c r="D1768" t="str">
        <f>IFERROR(__xludf.DUMMYFUNCTION("""COMPUTED_VALUE"""),"pseudotuberculosis")</f>
        <v>pseudotuberculosis</v>
      </c>
      <c r="E1768" t="str">
        <f>IFERROR(__xludf.DUMMYFUNCTION("""COMPUTED_VALUE"""),"PAT10")</f>
        <v>PAT10</v>
      </c>
    </row>
    <row r="1769" ht="15.75" customHeight="1">
      <c r="A1769" t="str">
        <f t="shared" si="1"/>
        <v>C.pseudotuberculosis</v>
      </c>
      <c r="B1769" s="5" t="s">
        <v>3894</v>
      </c>
      <c r="C1769" s="6" t="str">
        <f>IFERROR(__xludf.DUMMYFUNCTION("SPLIT('2. c'!B1769, "" "", True, True)"),"Corynebacterium")</f>
        <v>Corynebacterium</v>
      </c>
      <c r="D1769" t="str">
        <f>IFERROR(__xludf.DUMMYFUNCTION("""COMPUTED_VALUE"""),"pseudotuberculosis")</f>
        <v>pseudotuberculosis</v>
      </c>
      <c r="E1769" t="str">
        <f>IFERROR(__xludf.DUMMYFUNCTION("""COMPUTED_VALUE"""),"strain")</f>
        <v>strain</v>
      </c>
      <c r="F1769" t="str">
        <f>IFERROR(__xludf.DUMMYFUNCTION("""COMPUTED_VALUE"""),"1002B")</f>
        <v>1002B</v>
      </c>
    </row>
    <row r="1770" ht="15.75" customHeight="1">
      <c r="A1770" t="str">
        <f t="shared" si="1"/>
        <v>C.pseudotuberculosis</v>
      </c>
      <c r="B1770" s="5" t="s">
        <v>3906</v>
      </c>
      <c r="C1770" s="6" t="str">
        <f>IFERROR(__xludf.DUMMYFUNCTION("SPLIT('2. c'!B1770, "" "", True, True)"),"Corynebacterium")</f>
        <v>Corynebacterium</v>
      </c>
      <c r="D1770" t="str">
        <f>IFERROR(__xludf.DUMMYFUNCTION("""COMPUTED_VALUE"""),"pseudotuberculosis")</f>
        <v>pseudotuberculosis</v>
      </c>
      <c r="E1770" t="str">
        <f>IFERROR(__xludf.DUMMYFUNCTION("""COMPUTED_VALUE"""),"strain")</f>
        <v>strain</v>
      </c>
      <c r="F1770" t="str">
        <f>IFERROR(__xludf.DUMMYFUNCTION("""COMPUTED_VALUE"""),"12C")</f>
        <v>12C</v>
      </c>
    </row>
    <row r="1771" ht="15.75" customHeight="1">
      <c r="A1771" t="str">
        <f t="shared" si="1"/>
        <v>C.pseudotuberculosis</v>
      </c>
      <c r="B1771" s="5" t="s">
        <v>3916</v>
      </c>
      <c r="C1771" s="6" t="str">
        <f>IFERROR(__xludf.DUMMYFUNCTION("SPLIT('2. c'!B1771, "" "", True, True)"),"Corynebacterium")</f>
        <v>Corynebacterium</v>
      </c>
      <c r="D1771" t="str">
        <f>IFERROR(__xludf.DUMMYFUNCTION("""COMPUTED_VALUE"""),"pseudotuberculosis")</f>
        <v>pseudotuberculosis</v>
      </c>
      <c r="E1771" t="str">
        <f>IFERROR(__xludf.DUMMYFUNCTION("""COMPUTED_VALUE"""),"strain")</f>
        <v>strain</v>
      </c>
      <c r="F1771">
        <f>IFERROR(__xludf.DUMMYFUNCTION("""COMPUTED_VALUE"""),226.0)</f>
        <v>226</v>
      </c>
    </row>
    <row r="1772" ht="15.75" customHeight="1">
      <c r="A1772" t="str">
        <f t="shared" si="1"/>
        <v>C.pseudotuberculosis</v>
      </c>
      <c r="B1772" s="5" t="s">
        <v>3927</v>
      </c>
      <c r="C1772" s="6" t="str">
        <f>IFERROR(__xludf.DUMMYFUNCTION("SPLIT('2. c'!B1772, "" "", True, True)"),"Corynebacterium")</f>
        <v>Corynebacterium</v>
      </c>
      <c r="D1772" t="str">
        <f>IFERROR(__xludf.DUMMYFUNCTION("""COMPUTED_VALUE"""),"pseudotuberculosis")</f>
        <v>pseudotuberculosis</v>
      </c>
      <c r="E1772" t="str">
        <f>IFERROR(__xludf.DUMMYFUNCTION("""COMPUTED_VALUE"""),"strain")</f>
        <v>strain</v>
      </c>
      <c r="F1772">
        <f>IFERROR(__xludf.DUMMYFUNCTION("""COMPUTED_VALUE"""),262.0)</f>
        <v>262</v>
      </c>
    </row>
    <row r="1773" ht="15.75" customHeight="1">
      <c r="A1773" t="str">
        <f t="shared" si="1"/>
        <v>C.pseudotuberculosis</v>
      </c>
      <c r="B1773" s="5" t="s">
        <v>3934</v>
      </c>
      <c r="C1773" s="6" t="str">
        <f>IFERROR(__xludf.DUMMYFUNCTION("SPLIT('2. c'!B1773, "" "", True, True)"),"Corynebacterium")</f>
        <v>Corynebacterium</v>
      </c>
      <c r="D1773" t="str">
        <f>IFERROR(__xludf.DUMMYFUNCTION("""COMPUTED_VALUE"""),"pseudotuberculosis")</f>
        <v>pseudotuberculosis</v>
      </c>
      <c r="E1773" t="str">
        <f>IFERROR(__xludf.DUMMYFUNCTION("""COMPUTED_VALUE"""),"strain")</f>
        <v>strain</v>
      </c>
      <c r="F1773">
        <f>IFERROR(__xludf.DUMMYFUNCTION("""COMPUTED_VALUE"""),29156.0)</f>
        <v>29156</v>
      </c>
    </row>
    <row r="1774" ht="15.75" customHeight="1">
      <c r="A1774" t="str">
        <f t="shared" si="1"/>
        <v>C.pseudotuberculosis</v>
      </c>
      <c r="B1774" s="5" t="s">
        <v>3941</v>
      </c>
      <c r="C1774" s="6" t="str">
        <f>IFERROR(__xludf.DUMMYFUNCTION("SPLIT('2. c'!B1774, "" "", True, True)"),"Corynebacterium")</f>
        <v>Corynebacterium</v>
      </c>
      <c r="D1774" t="str">
        <f>IFERROR(__xludf.DUMMYFUNCTION("""COMPUTED_VALUE"""),"pseudotuberculosis")</f>
        <v>pseudotuberculosis</v>
      </c>
      <c r="E1774" t="str">
        <f>IFERROR(__xludf.DUMMYFUNCTION("""COMPUTED_VALUE"""),"strain")</f>
        <v>strain</v>
      </c>
      <c r="F1774">
        <f>IFERROR(__xludf.DUMMYFUNCTION("""COMPUTED_VALUE"""),48252.0)</f>
        <v>48252</v>
      </c>
    </row>
    <row r="1775" ht="15.75" customHeight="1">
      <c r="A1775" t="str">
        <f t="shared" si="1"/>
        <v>C.pseudotuberculosis</v>
      </c>
      <c r="B1775" s="5" t="s">
        <v>3948</v>
      </c>
      <c r="C1775" s="6" t="str">
        <f>IFERROR(__xludf.DUMMYFUNCTION("SPLIT('2. c'!B1775, "" "", True, True)"),"Corynebacterium")</f>
        <v>Corynebacterium</v>
      </c>
      <c r="D1775" t="str">
        <f>IFERROR(__xludf.DUMMYFUNCTION("""COMPUTED_VALUE"""),"pseudotuberculosis")</f>
        <v>pseudotuberculosis</v>
      </c>
      <c r="E1775" t="str">
        <f>IFERROR(__xludf.DUMMYFUNCTION("""COMPUTED_VALUE"""),"strain")</f>
        <v>strain</v>
      </c>
      <c r="F1775" t="str">
        <f>IFERROR(__xludf.DUMMYFUNCTION("""COMPUTED_VALUE"""),"CS_10")</f>
        <v>CS_10</v>
      </c>
    </row>
    <row r="1776" ht="15.75" customHeight="1">
      <c r="A1776" t="str">
        <f t="shared" si="1"/>
        <v>C.pseudotuberculosis</v>
      </c>
      <c r="B1776" s="5" t="s">
        <v>3956</v>
      </c>
      <c r="C1776" s="6" t="str">
        <f>IFERROR(__xludf.DUMMYFUNCTION("SPLIT('2. c'!B1776, "" "", True, True)"),"Corynebacterium")</f>
        <v>Corynebacterium</v>
      </c>
      <c r="D1776" t="str">
        <f>IFERROR(__xludf.DUMMYFUNCTION("""COMPUTED_VALUE"""),"pseudotuberculosis")</f>
        <v>pseudotuberculosis</v>
      </c>
      <c r="E1776" t="str">
        <f>IFERROR(__xludf.DUMMYFUNCTION("""COMPUTED_VALUE"""),"strain")</f>
        <v>strain</v>
      </c>
      <c r="F1776" t="str">
        <f>IFERROR(__xludf.DUMMYFUNCTION("""COMPUTED_VALUE"""),"E19")</f>
        <v>E19</v>
      </c>
    </row>
    <row r="1777" ht="15.75" customHeight="1">
      <c r="A1777" t="str">
        <f t="shared" si="1"/>
        <v>C.pseudotuberculosis</v>
      </c>
      <c r="B1777" s="5" t="s">
        <v>3963</v>
      </c>
      <c r="C1777" s="6" t="str">
        <f>IFERROR(__xludf.DUMMYFUNCTION("SPLIT('2. c'!B1777, "" "", True, True)"),"Corynebacterium")</f>
        <v>Corynebacterium</v>
      </c>
      <c r="D1777" t="str">
        <f>IFERROR(__xludf.DUMMYFUNCTION("""COMPUTED_VALUE"""),"pseudotuberculosis")</f>
        <v>pseudotuberculosis</v>
      </c>
      <c r="E1777" t="str">
        <f>IFERROR(__xludf.DUMMYFUNCTION("""COMPUTED_VALUE"""),"strain")</f>
        <v>strain</v>
      </c>
      <c r="F1777" t="str">
        <f>IFERROR(__xludf.DUMMYFUNCTION("""COMPUTED_VALUE"""),"E55")</f>
        <v>E55</v>
      </c>
    </row>
    <row r="1778" ht="15.75" customHeight="1">
      <c r="A1778" t="str">
        <f t="shared" si="1"/>
        <v>C.pseudotuberculosis</v>
      </c>
      <c r="B1778" s="5" t="s">
        <v>3969</v>
      </c>
      <c r="C1778" s="6" t="str">
        <f>IFERROR(__xludf.DUMMYFUNCTION("SPLIT('2. c'!B1778, "" "", True, True)"),"Corynebacterium")</f>
        <v>Corynebacterium</v>
      </c>
      <c r="D1778" t="str">
        <f>IFERROR(__xludf.DUMMYFUNCTION("""COMPUTED_VALUE"""),"pseudotuberculosis")</f>
        <v>pseudotuberculosis</v>
      </c>
      <c r="E1778" t="str">
        <f>IFERROR(__xludf.DUMMYFUNCTION("""COMPUTED_VALUE"""),"strain")</f>
        <v>strain</v>
      </c>
      <c r="F1778" t="str">
        <f>IFERROR(__xludf.DUMMYFUNCTION("""COMPUTED_VALUE"""),"E56")</f>
        <v>E56</v>
      </c>
    </row>
    <row r="1779" ht="15.75" customHeight="1">
      <c r="A1779" t="str">
        <f t="shared" si="1"/>
        <v>C.pseudotuberculosis</v>
      </c>
      <c r="B1779" s="5" t="s">
        <v>3975</v>
      </c>
      <c r="C1779" s="6" t="str">
        <f>IFERROR(__xludf.DUMMYFUNCTION("SPLIT('2. c'!B1779, "" "", True, True)"),"Corynebacterium")</f>
        <v>Corynebacterium</v>
      </c>
      <c r="D1779" t="str">
        <f>IFERROR(__xludf.DUMMYFUNCTION("""COMPUTED_VALUE"""),"pseudotuberculosis")</f>
        <v>pseudotuberculosis</v>
      </c>
      <c r="E1779" t="str">
        <f>IFERROR(__xludf.DUMMYFUNCTION("""COMPUTED_VALUE"""),"strain")</f>
        <v>strain</v>
      </c>
      <c r="F1779" t="str">
        <f>IFERROR(__xludf.DUMMYFUNCTION("""COMPUTED_VALUE"""),"Ft_2193/67")</f>
        <v>Ft_2193/67</v>
      </c>
    </row>
    <row r="1780" ht="15.75" customHeight="1">
      <c r="A1780" t="str">
        <f t="shared" si="1"/>
        <v>C.pseudotuberculosis</v>
      </c>
      <c r="B1780" s="5" t="s">
        <v>3980</v>
      </c>
      <c r="C1780" s="6" t="str">
        <f>IFERROR(__xludf.DUMMYFUNCTION("SPLIT('2. c'!B1780, "" "", True, True)"),"Corynebacterium")</f>
        <v>Corynebacterium</v>
      </c>
      <c r="D1780" t="str">
        <f>IFERROR(__xludf.DUMMYFUNCTION("""COMPUTED_VALUE"""),"pseudotuberculosis")</f>
        <v>pseudotuberculosis</v>
      </c>
      <c r="E1780" t="str">
        <f>IFERROR(__xludf.DUMMYFUNCTION("""COMPUTED_VALUE"""),"strain")</f>
        <v>strain</v>
      </c>
      <c r="F1780" t="str">
        <f>IFERROR(__xludf.DUMMYFUNCTION("""COMPUTED_VALUE"""),"MB11")</f>
        <v>MB11</v>
      </c>
    </row>
    <row r="1781" ht="15.75" customHeight="1">
      <c r="A1781" t="str">
        <f t="shared" si="1"/>
        <v>C.pseudotuberculosis</v>
      </c>
      <c r="B1781" s="5" t="s">
        <v>3987</v>
      </c>
      <c r="C1781" s="6" t="str">
        <f>IFERROR(__xludf.DUMMYFUNCTION("SPLIT('2. c'!B1781, "" "", True, True)"),"Corynebacterium")</f>
        <v>Corynebacterium</v>
      </c>
      <c r="D1781" t="str">
        <f>IFERROR(__xludf.DUMMYFUNCTION("""COMPUTED_VALUE"""),"pseudotuberculosis")</f>
        <v>pseudotuberculosis</v>
      </c>
      <c r="E1781" t="str">
        <f>IFERROR(__xludf.DUMMYFUNCTION("""COMPUTED_VALUE"""),"strain")</f>
        <v>strain</v>
      </c>
      <c r="F1781" t="str">
        <f>IFERROR(__xludf.DUMMYFUNCTION("""COMPUTED_VALUE"""),"MB14")</f>
        <v>MB14</v>
      </c>
    </row>
    <row r="1782" ht="15.75" customHeight="1">
      <c r="A1782" t="str">
        <f t="shared" si="1"/>
        <v>C.pseudotuberculosis</v>
      </c>
      <c r="B1782" s="5" t="s">
        <v>3993</v>
      </c>
      <c r="C1782" s="6" t="str">
        <f>IFERROR(__xludf.DUMMYFUNCTION("SPLIT('2. c'!B1782, "" "", True, True)"),"Corynebacterium")</f>
        <v>Corynebacterium</v>
      </c>
      <c r="D1782" t="str">
        <f>IFERROR(__xludf.DUMMYFUNCTION("""COMPUTED_VALUE"""),"pseudotuberculosis")</f>
        <v>pseudotuberculosis</v>
      </c>
      <c r="E1782" t="str">
        <f>IFERROR(__xludf.DUMMYFUNCTION("""COMPUTED_VALUE"""),"strain")</f>
        <v>strain</v>
      </c>
      <c r="F1782" t="str">
        <f>IFERROR(__xludf.DUMMYFUNCTION("""COMPUTED_VALUE"""),"MB30")</f>
        <v>MB30</v>
      </c>
    </row>
    <row r="1783" ht="15.75" customHeight="1">
      <c r="A1783" t="str">
        <f t="shared" si="1"/>
        <v>C.pseudotuberculosis</v>
      </c>
      <c r="B1783" s="5" t="s">
        <v>4005</v>
      </c>
      <c r="C1783" s="6" t="str">
        <f>IFERROR(__xludf.DUMMYFUNCTION("SPLIT('2. c'!B1783, "" "", True, True)"),"Corynebacterium")</f>
        <v>Corynebacterium</v>
      </c>
      <c r="D1783" t="str">
        <f>IFERROR(__xludf.DUMMYFUNCTION("""COMPUTED_VALUE"""),"pseudotuberculosis")</f>
        <v>pseudotuberculosis</v>
      </c>
      <c r="E1783" t="str">
        <f>IFERROR(__xludf.DUMMYFUNCTION("""COMPUTED_VALUE"""),"strain")</f>
        <v>strain</v>
      </c>
      <c r="F1783" t="str">
        <f>IFERROR(__xludf.DUMMYFUNCTION("""COMPUTED_VALUE"""),"MB66")</f>
        <v>MB66</v>
      </c>
    </row>
    <row r="1784" ht="15.75" customHeight="1">
      <c r="A1784" t="str">
        <f t="shared" si="1"/>
        <v>C.pseudotuberculosis</v>
      </c>
      <c r="B1784" s="5" t="s">
        <v>4015</v>
      </c>
      <c r="C1784" s="6" t="str">
        <f>IFERROR(__xludf.DUMMYFUNCTION("SPLIT('2. c'!B1784, "" "", True, True)"),"Corynebacterium")</f>
        <v>Corynebacterium</v>
      </c>
      <c r="D1784" t="str">
        <f>IFERROR(__xludf.DUMMYFUNCTION("""COMPUTED_VALUE"""),"pseudotuberculosis")</f>
        <v>pseudotuberculosis</v>
      </c>
      <c r="E1784" t="str">
        <f>IFERROR(__xludf.DUMMYFUNCTION("""COMPUTED_VALUE"""),"strain")</f>
        <v>strain</v>
      </c>
      <c r="F1784" t="str">
        <f>IFERROR(__xludf.DUMMYFUNCTION("""COMPUTED_VALUE"""),"MEX25")</f>
        <v>MEX25</v>
      </c>
    </row>
    <row r="1785" ht="15.75" customHeight="1">
      <c r="A1785" t="str">
        <f t="shared" si="1"/>
        <v>C.pseudotuberculosis</v>
      </c>
      <c r="B1785" s="5" t="s">
        <v>4022</v>
      </c>
      <c r="C1785" s="6" t="str">
        <f>IFERROR(__xludf.DUMMYFUNCTION("SPLIT('2. c'!B1785, "" "", True, True)"),"Corynebacterium")</f>
        <v>Corynebacterium</v>
      </c>
      <c r="D1785" t="str">
        <f>IFERROR(__xludf.DUMMYFUNCTION("""COMPUTED_VALUE"""),"pseudotuberculosis")</f>
        <v>pseudotuberculosis</v>
      </c>
      <c r="E1785" t="str">
        <f>IFERROR(__xludf.DUMMYFUNCTION("""COMPUTED_VALUE"""),"strain")</f>
        <v>strain</v>
      </c>
      <c r="F1785" t="str">
        <f>IFERROR(__xludf.DUMMYFUNCTION("""COMPUTED_VALUE"""),"MEX9")</f>
        <v>MEX9</v>
      </c>
    </row>
    <row r="1786" ht="15.75" customHeight="1">
      <c r="A1786" t="str">
        <f t="shared" si="1"/>
        <v>C.pseudotuberculosis</v>
      </c>
      <c r="B1786" s="5" t="s">
        <v>4032</v>
      </c>
      <c r="C1786" s="6" t="str">
        <f>IFERROR(__xludf.DUMMYFUNCTION("SPLIT('2. c'!B1786, "" "", True, True)"),"Corynebacterium")</f>
        <v>Corynebacterium</v>
      </c>
      <c r="D1786" t="str">
        <f>IFERROR(__xludf.DUMMYFUNCTION("""COMPUTED_VALUE"""),"pseudotuberculosis")</f>
        <v>pseudotuberculosis</v>
      </c>
      <c r="E1786" t="str">
        <f>IFERROR(__xludf.DUMMYFUNCTION("""COMPUTED_VALUE"""),"strain")</f>
        <v>strain</v>
      </c>
      <c r="F1786" t="str">
        <f>IFERROR(__xludf.DUMMYFUNCTION("""COMPUTED_VALUE"""),"N1")</f>
        <v>N1</v>
      </c>
    </row>
    <row r="1787" ht="15.75" customHeight="1">
      <c r="A1787" t="str">
        <f t="shared" si="1"/>
        <v>C.pseudotuberculosis</v>
      </c>
      <c r="B1787" s="5" t="s">
        <v>4042</v>
      </c>
      <c r="C1787" s="6" t="str">
        <f>IFERROR(__xludf.DUMMYFUNCTION("SPLIT('2. c'!B1787, "" "", True, True)"),"Corynebacterium")</f>
        <v>Corynebacterium</v>
      </c>
      <c r="D1787" t="str">
        <f>IFERROR(__xludf.DUMMYFUNCTION("""COMPUTED_VALUE"""),"pseudotuberculosis")</f>
        <v>pseudotuberculosis</v>
      </c>
      <c r="E1787" t="str">
        <f>IFERROR(__xludf.DUMMYFUNCTION("""COMPUTED_VALUE"""),"strain")</f>
        <v>strain</v>
      </c>
      <c r="F1787" t="str">
        <f>IFERROR(__xludf.DUMMYFUNCTION("""COMPUTED_VALUE"""),"PA01")</f>
        <v>PA01</v>
      </c>
    </row>
    <row r="1788" ht="15.75" customHeight="1">
      <c r="A1788" t="str">
        <f t="shared" si="1"/>
        <v>C.pseudotuberculosis</v>
      </c>
      <c r="B1788" s="5" t="s">
        <v>4052</v>
      </c>
      <c r="C1788" s="6" t="str">
        <f>IFERROR(__xludf.DUMMYFUNCTION("SPLIT('2. c'!B1788, "" "", True, True)"),"Corynebacterium")</f>
        <v>Corynebacterium</v>
      </c>
      <c r="D1788" t="str">
        <f>IFERROR(__xludf.DUMMYFUNCTION("""COMPUTED_VALUE"""),"pseudotuberculosis")</f>
        <v>pseudotuberculosis</v>
      </c>
      <c r="E1788" t="str">
        <f>IFERROR(__xludf.DUMMYFUNCTION("""COMPUTED_VALUE"""),"strain")</f>
        <v>strain</v>
      </c>
      <c r="F1788" t="str">
        <f>IFERROR(__xludf.DUMMYFUNCTION("""COMPUTED_VALUE"""),"PA02")</f>
        <v>PA02</v>
      </c>
    </row>
    <row r="1789" ht="15.75" customHeight="1">
      <c r="A1789" t="str">
        <f t="shared" si="1"/>
        <v>C.pseudotuberculosis</v>
      </c>
      <c r="B1789" s="5" t="s">
        <v>4060</v>
      </c>
      <c r="C1789" s="6" t="str">
        <f>IFERROR(__xludf.DUMMYFUNCTION("SPLIT('2. c'!B1789, "" "", True, True)"),"Corynebacterium")</f>
        <v>Corynebacterium</v>
      </c>
      <c r="D1789" t="str">
        <f>IFERROR(__xludf.DUMMYFUNCTION("""COMPUTED_VALUE"""),"pseudotuberculosis")</f>
        <v>pseudotuberculosis</v>
      </c>
      <c r="E1789" t="str">
        <f>IFERROR(__xludf.DUMMYFUNCTION("""COMPUTED_VALUE"""),"strain")</f>
        <v>strain</v>
      </c>
      <c r="F1789" t="str">
        <f>IFERROR(__xludf.DUMMYFUNCTION("""COMPUTED_VALUE"""),"PO222/4-1")</f>
        <v>PO222/4-1</v>
      </c>
    </row>
    <row r="1790" ht="15.75" customHeight="1">
      <c r="A1790" t="str">
        <f t="shared" si="1"/>
        <v>C.pseudotuberculosis</v>
      </c>
      <c r="B1790" s="5" t="s">
        <v>4069</v>
      </c>
      <c r="C1790" s="6" t="str">
        <f>IFERROR(__xludf.DUMMYFUNCTION("SPLIT('2. c'!B1790, "" "", True, True)"),"Corynebacterium")</f>
        <v>Corynebacterium</v>
      </c>
      <c r="D1790" t="str">
        <f>IFERROR(__xludf.DUMMYFUNCTION("""COMPUTED_VALUE"""),"pseudotuberculosis")</f>
        <v>pseudotuberculosis</v>
      </c>
      <c r="E1790" t="str">
        <f>IFERROR(__xludf.DUMMYFUNCTION("""COMPUTED_VALUE"""),"strain")</f>
        <v>strain</v>
      </c>
      <c r="F1790" t="str">
        <f>IFERROR(__xludf.DUMMYFUNCTION("""COMPUTED_VALUE"""),"PO269-5")</f>
        <v>PO269-5</v>
      </c>
    </row>
    <row r="1791" ht="15.75" customHeight="1">
      <c r="A1791" t="str">
        <f t="shared" si="1"/>
        <v>C.pseudotuberculosis</v>
      </c>
      <c r="B1791" s="5" t="s">
        <v>4079</v>
      </c>
      <c r="C1791" s="6" t="str">
        <f>IFERROR(__xludf.DUMMYFUNCTION("SPLIT('2. c'!B1791, "" "", True, True)"),"Corynebacterium")</f>
        <v>Corynebacterium</v>
      </c>
      <c r="D1791" t="str">
        <f>IFERROR(__xludf.DUMMYFUNCTION("""COMPUTED_VALUE"""),"pseudotuberculosis")</f>
        <v>pseudotuberculosis</v>
      </c>
      <c r="E1791" t="str">
        <f>IFERROR(__xludf.DUMMYFUNCTION("""COMPUTED_VALUE"""),"strain")</f>
        <v>strain</v>
      </c>
      <c r="F1791" t="str">
        <f>IFERROR(__xludf.DUMMYFUNCTION("""COMPUTED_VALUE"""),"VD57")</f>
        <v>VD57</v>
      </c>
    </row>
    <row r="1792" ht="15.75" customHeight="1">
      <c r="A1792" t="str">
        <f t="shared" si="1"/>
        <v>C.riegelii</v>
      </c>
      <c r="B1792" s="5" t="s">
        <v>4088</v>
      </c>
      <c r="C1792" s="6" t="str">
        <f>IFERROR(__xludf.DUMMYFUNCTION("SPLIT('2. c'!B1792, "" "", True, True)"),"Corynebacterium")</f>
        <v>Corynebacterium</v>
      </c>
      <c r="D1792" t="str">
        <f>IFERROR(__xludf.DUMMYFUNCTION("""COMPUTED_VALUE"""),"riegelii")</f>
        <v>riegelii</v>
      </c>
      <c r="E1792" t="str">
        <f>IFERROR(__xludf.DUMMYFUNCTION("""COMPUTED_VALUE"""),"strain")</f>
        <v>strain</v>
      </c>
      <c r="F1792" t="str">
        <f>IFERROR(__xludf.DUMMYFUNCTION("""COMPUTED_VALUE"""),"PUDD_83A45")</f>
        <v>PUDD_83A45</v>
      </c>
    </row>
    <row r="1793" ht="15.75" customHeight="1">
      <c r="A1793" t="str">
        <f t="shared" si="1"/>
        <v>C.simulans</v>
      </c>
      <c r="B1793" s="5" t="s">
        <v>4093</v>
      </c>
      <c r="C1793" s="6" t="str">
        <f>IFERROR(__xludf.DUMMYFUNCTION("SPLIT('2. c'!B1793, "" "", True, True)"),"Corynebacterium")</f>
        <v>Corynebacterium</v>
      </c>
      <c r="D1793" t="str">
        <f>IFERROR(__xludf.DUMMYFUNCTION("""COMPUTED_VALUE"""),"simulans")</f>
        <v>simulans</v>
      </c>
      <c r="E1793" t="str">
        <f>IFERROR(__xludf.DUMMYFUNCTION("""COMPUTED_VALUE"""),"strain")</f>
        <v>strain</v>
      </c>
      <c r="F1793" t="str">
        <f>IFERROR(__xludf.DUMMYFUNCTION("""COMPUTED_VALUE"""),"PES1")</f>
        <v>PES1</v>
      </c>
    </row>
    <row r="1794" ht="15.75" customHeight="1">
      <c r="A1794" t="str">
        <f t="shared" si="1"/>
        <v>C.simulans</v>
      </c>
      <c r="B1794" s="5" t="s">
        <v>4101</v>
      </c>
      <c r="C1794" s="6" t="str">
        <f>IFERROR(__xludf.DUMMYFUNCTION("SPLIT('2. c'!B1794, "" "", True, True)"),"Corynebacterium")</f>
        <v>Corynebacterium</v>
      </c>
      <c r="D1794" t="str">
        <f>IFERROR(__xludf.DUMMYFUNCTION("""COMPUTED_VALUE"""),"simulans")</f>
        <v>simulans</v>
      </c>
      <c r="E1794" t="str">
        <f>IFERROR(__xludf.DUMMYFUNCTION("""COMPUTED_VALUE"""),"strain")</f>
        <v>strain</v>
      </c>
      <c r="F1794" t="str">
        <f>IFERROR(__xludf.DUMMYFUNCTION("""COMPUTED_VALUE"""),"Wattiau")</f>
        <v>Wattiau</v>
      </c>
    </row>
    <row r="1795" ht="15.75" customHeight="1">
      <c r="A1795" t="str">
        <f t="shared" si="1"/>
        <v>C.singulare</v>
      </c>
      <c r="B1795" s="5" t="s">
        <v>4109</v>
      </c>
      <c r="C1795" s="6" t="str">
        <f>IFERROR(__xludf.DUMMYFUNCTION("SPLIT('2. c'!B1795, "" "", True, True)"),"Corynebacterium")</f>
        <v>Corynebacterium</v>
      </c>
      <c r="D1795" t="str">
        <f>IFERROR(__xludf.DUMMYFUNCTION("""COMPUTED_VALUE"""),"singulare")</f>
        <v>singulare</v>
      </c>
      <c r="E1795" t="str">
        <f>IFERROR(__xludf.DUMMYFUNCTION("""COMPUTED_VALUE"""),"IBS")</f>
        <v>IBS</v>
      </c>
      <c r="F1795" t="str">
        <f>IFERROR(__xludf.DUMMYFUNCTION("""COMPUTED_VALUE"""),"B52218")</f>
        <v>B52218</v>
      </c>
    </row>
    <row r="1796" ht="15.75" customHeight="1">
      <c r="A1796" t="str">
        <f t="shared" si="1"/>
        <v>C.sp.</v>
      </c>
      <c r="B1796" s="5" t="s">
        <v>4119</v>
      </c>
      <c r="C1796" s="6" t="str">
        <f>IFERROR(__xludf.DUMMYFUNCTION("SPLIT('2. c'!B1796, "" "", True, True)"),"Corynebacterium")</f>
        <v>Corynebacterium</v>
      </c>
      <c r="D1796" t="str">
        <f>IFERROR(__xludf.DUMMYFUNCTION("""COMPUTED_VALUE"""),"sp.")</f>
        <v>sp.</v>
      </c>
      <c r="E1796" t="str">
        <f>IFERROR(__xludf.DUMMYFUNCTION("""COMPUTED_VALUE"""),"ATCC")</f>
        <v>ATCC</v>
      </c>
      <c r="F1796">
        <f>IFERROR(__xludf.DUMMYFUNCTION("""COMPUTED_VALUE"""),6931.0)</f>
        <v>6931</v>
      </c>
    </row>
    <row r="1797" ht="15.75" customHeight="1">
      <c r="A1797" t="str">
        <f t="shared" si="1"/>
        <v>C.stationis</v>
      </c>
      <c r="B1797" s="5" t="s">
        <v>4129</v>
      </c>
      <c r="C1797" s="6" t="str">
        <f>IFERROR(__xludf.DUMMYFUNCTION("SPLIT('2. c'!B1797, "" "", True, True)"),"Corynebacterium")</f>
        <v>Corynebacterium</v>
      </c>
      <c r="D1797" t="str">
        <f>IFERROR(__xludf.DUMMYFUNCTION("""COMPUTED_VALUE"""),"stationis")</f>
        <v>stationis</v>
      </c>
      <c r="E1797" t="str">
        <f>IFERROR(__xludf.DUMMYFUNCTION("""COMPUTED_VALUE"""),"strain")</f>
        <v>strain</v>
      </c>
      <c r="F1797" t="str">
        <f>IFERROR(__xludf.DUMMYFUNCTION("""COMPUTED_VALUE"""),"ATCC")</f>
        <v>ATCC</v>
      </c>
      <c r="G1797">
        <f>IFERROR(__xludf.DUMMYFUNCTION("""COMPUTED_VALUE"""),6872.0)</f>
        <v>6872</v>
      </c>
    </row>
    <row r="1798" ht="15.75" customHeight="1">
      <c r="A1798" t="str">
        <f t="shared" si="1"/>
        <v>C.terpenotabidum</v>
      </c>
      <c r="B1798" s="5" t="s">
        <v>4139</v>
      </c>
      <c r="C1798" s="6" t="str">
        <f>IFERROR(__xludf.DUMMYFUNCTION("SPLIT('2. c'!B1798, "" "", True, True)"),"Corynebacterium")</f>
        <v>Corynebacterium</v>
      </c>
      <c r="D1798" t="str">
        <f>IFERROR(__xludf.DUMMYFUNCTION("""COMPUTED_VALUE"""),"terpenotabidum")</f>
        <v>terpenotabidum</v>
      </c>
      <c r="E1798" t="str">
        <f>IFERROR(__xludf.DUMMYFUNCTION("""COMPUTED_VALUE"""),"Y-11")</f>
        <v>Y-11</v>
      </c>
    </row>
    <row r="1799" ht="15.75" customHeight="1">
      <c r="A1799" t="str">
        <f t="shared" si="1"/>
        <v>C.testudinoris</v>
      </c>
      <c r="B1799" s="5" t="s">
        <v>4147</v>
      </c>
      <c r="C1799" s="6" t="str">
        <f>IFERROR(__xludf.DUMMYFUNCTION("SPLIT('2. c'!B1799, "" "", True, True)"),"Corynebacterium")</f>
        <v>Corynebacterium</v>
      </c>
      <c r="D1799" t="str">
        <f>IFERROR(__xludf.DUMMYFUNCTION("""COMPUTED_VALUE"""),"testudinoris")</f>
        <v>testudinoris</v>
      </c>
      <c r="E1799" t="str">
        <f>IFERROR(__xludf.DUMMYFUNCTION("""COMPUTED_VALUE"""),"strain")</f>
        <v>strain</v>
      </c>
      <c r="F1799" t="str">
        <f>IFERROR(__xludf.DUMMYFUNCTION("""COMPUTED_VALUE"""),"DSM")</f>
        <v>DSM</v>
      </c>
      <c r="G1799">
        <f>IFERROR(__xludf.DUMMYFUNCTION("""COMPUTED_VALUE"""),44614.0)</f>
        <v>44614</v>
      </c>
    </row>
    <row r="1800" ht="15.75" customHeight="1">
      <c r="A1800" t="str">
        <f t="shared" si="1"/>
        <v>C.ulcerans</v>
      </c>
      <c r="B1800" s="5" t="s">
        <v>4159</v>
      </c>
      <c r="C1800" s="6" t="str">
        <f>IFERROR(__xludf.DUMMYFUNCTION("SPLIT('2. c'!B1800, "" "", True, True)"),"Corynebacterium")</f>
        <v>Corynebacterium</v>
      </c>
      <c r="D1800" t="str">
        <f>IFERROR(__xludf.DUMMYFUNCTION("""COMPUTED_VALUE"""),"ulcerans")</f>
        <v>ulcerans</v>
      </c>
      <c r="E1800">
        <f>IFERROR(__xludf.DUMMYFUNCTION("""COMPUTED_VALUE"""),102.0)</f>
        <v>102</v>
      </c>
    </row>
    <row r="1801" ht="15.75" customHeight="1">
      <c r="A1801" t="str">
        <f t="shared" si="1"/>
        <v>C.ulcerans</v>
      </c>
      <c r="B1801" s="5" t="s">
        <v>4167</v>
      </c>
      <c r="C1801" s="6" t="str">
        <f>IFERROR(__xludf.DUMMYFUNCTION("SPLIT('2. c'!B1801, "" "", True, True)"),"Corynebacterium")</f>
        <v>Corynebacterium</v>
      </c>
      <c r="D1801" t="str">
        <f>IFERROR(__xludf.DUMMYFUNCTION("""COMPUTED_VALUE"""),"ulcerans")</f>
        <v>ulcerans</v>
      </c>
      <c r="E1801">
        <f>IFERROR(__xludf.DUMMYFUNCTION("""COMPUTED_VALUE"""),5146.0)</f>
        <v>5146</v>
      </c>
    </row>
    <row r="1802" ht="15.75" customHeight="1">
      <c r="A1802" t="str">
        <f t="shared" si="1"/>
        <v>C.ulcerans</v>
      </c>
      <c r="B1802" s="5" t="s">
        <v>4176</v>
      </c>
      <c r="C1802" s="6" t="str">
        <f>IFERROR(__xludf.DUMMYFUNCTION("SPLIT('2. c'!B1802, "" "", True, True)"),"Corynebacterium")</f>
        <v>Corynebacterium</v>
      </c>
      <c r="D1802" t="str">
        <f>IFERROR(__xludf.DUMMYFUNCTION("""COMPUTED_VALUE"""),"ulcerans")</f>
        <v>ulcerans</v>
      </c>
      <c r="E1802">
        <f>IFERROR(__xludf.DUMMYFUNCTION("""COMPUTED_VALUE"""),210931.0)</f>
        <v>210931</v>
      </c>
    </row>
    <row r="1803" ht="15.75" customHeight="1">
      <c r="A1803" t="str">
        <f t="shared" si="1"/>
        <v>C.ulcerans</v>
      </c>
      <c r="B1803" s="5" t="s">
        <v>4183</v>
      </c>
      <c r="C1803" s="6" t="str">
        <f>IFERROR(__xludf.DUMMYFUNCTION("SPLIT('2. c'!B1803, "" "", True, True)"),"Corynebacterium")</f>
        <v>Corynebacterium</v>
      </c>
      <c r="D1803" t="str">
        <f>IFERROR(__xludf.DUMMYFUNCTION("""COMPUTED_VALUE"""),"ulcerans")</f>
        <v>ulcerans</v>
      </c>
      <c r="E1803">
        <f>IFERROR(__xludf.DUMMYFUNCTION("""COMPUTED_VALUE"""),210932.0)</f>
        <v>210932</v>
      </c>
    </row>
    <row r="1804" ht="15.75" customHeight="1">
      <c r="A1804" t="str">
        <f t="shared" si="1"/>
        <v>C.ulcerans</v>
      </c>
      <c r="B1804" s="5" t="s">
        <v>4194</v>
      </c>
      <c r="C1804" s="6" t="str">
        <f>IFERROR(__xludf.DUMMYFUNCTION("SPLIT('2. c'!B1804, "" "", True, True)"),"Corynebacterium")</f>
        <v>Corynebacterium</v>
      </c>
      <c r="D1804" t="str">
        <f>IFERROR(__xludf.DUMMYFUNCTION("""COMPUTED_VALUE"""),"ulcerans")</f>
        <v>ulcerans</v>
      </c>
      <c r="E1804">
        <f>IFERROR(__xludf.DUMMYFUNCTION("""COMPUTED_VALUE"""),809.0)</f>
        <v>809</v>
      </c>
    </row>
    <row r="1805" ht="15.75" customHeight="1">
      <c r="A1805" t="str">
        <f t="shared" si="1"/>
        <v>C.ulcerans</v>
      </c>
      <c r="B1805" s="5" t="s">
        <v>4208</v>
      </c>
      <c r="C1805" s="6" t="str">
        <f>IFERROR(__xludf.DUMMYFUNCTION("SPLIT('2. c'!B1805, "" "", True, True)"),"Corynebacterium")</f>
        <v>Corynebacterium</v>
      </c>
      <c r="D1805" t="str">
        <f>IFERROR(__xludf.DUMMYFUNCTION("""COMPUTED_VALUE"""),"ulcerans")</f>
        <v>ulcerans</v>
      </c>
      <c r="E1805" t="str">
        <f>IFERROR(__xludf.DUMMYFUNCTION("""COMPUTED_VALUE"""),"BR-AD22")</f>
        <v>BR-AD22</v>
      </c>
    </row>
    <row r="1806" ht="15.75" customHeight="1">
      <c r="A1806" t="str">
        <f t="shared" si="1"/>
        <v>C.ulcerans</v>
      </c>
      <c r="B1806" s="5" t="s">
        <v>4217</v>
      </c>
      <c r="C1806" s="6" t="str">
        <f>IFERROR(__xludf.DUMMYFUNCTION("SPLIT('2. c'!B1806, "" "", True, True)"),"Corynebacterium")</f>
        <v>Corynebacterium</v>
      </c>
      <c r="D1806" t="str">
        <f>IFERROR(__xludf.DUMMYFUNCTION("""COMPUTED_VALUE"""),"ulcerans")</f>
        <v>ulcerans</v>
      </c>
      <c r="E1806" t="str">
        <f>IFERROR(__xludf.DUMMYFUNCTION("""COMPUTED_VALUE"""),"FRC11")</f>
        <v>FRC11</v>
      </c>
    </row>
    <row r="1807" ht="15.75" customHeight="1">
      <c r="A1807" t="str">
        <f t="shared" si="1"/>
        <v>C.ulcerans</v>
      </c>
      <c r="B1807" s="5" t="s">
        <v>4224</v>
      </c>
      <c r="C1807" s="6" t="str">
        <f>IFERROR(__xludf.DUMMYFUNCTION("SPLIT('2. c'!B1807, "" "", True, True)"),"Corynebacterium")</f>
        <v>Corynebacterium</v>
      </c>
      <c r="D1807" t="str">
        <f>IFERROR(__xludf.DUMMYFUNCTION("""COMPUTED_VALUE"""),"ulcerans")</f>
        <v>ulcerans</v>
      </c>
      <c r="E1807" t="str">
        <f>IFERROR(__xludf.DUMMYFUNCTION("""COMPUTED_VALUE"""),"FRC58")</f>
        <v>FRC58</v>
      </c>
    </row>
    <row r="1808" ht="15.75" customHeight="1">
      <c r="A1808" t="str">
        <f t="shared" si="1"/>
        <v>C.ulcerans</v>
      </c>
      <c r="B1808" s="5" t="s">
        <v>4233</v>
      </c>
      <c r="C1808" s="6" t="str">
        <f>IFERROR(__xludf.DUMMYFUNCTION("SPLIT('2. c'!B1808, "" "", True, True)"),"Corynebacterium")</f>
        <v>Corynebacterium</v>
      </c>
      <c r="D1808" t="str">
        <f>IFERROR(__xludf.DUMMYFUNCTION("""COMPUTED_VALUE"""),"ulcerans")</f>
        <v>ulcerans</v>
      </c>
      <c r="E1808" t="str">
        <f>IFERROR(__xludf.DUMMYFUNCTION("""COMPUTED_VALUE"""),"strain")</f>
        <v>strain</v>
      </c>
      <c r="F1808">
        <f>IFERROR(__xludf.DUMMYFUNCTION("""COMPUTED_VALUE"""),131001.0)</f>
        <v>131001</v>
      </c>
    </row>
    <row r="1809" ht="15.75" customHeight="1">
      <c r="A1809" t="str">
        <f t="shared" si="1"/>
        <v>C.ulcerans</v>
      </c>
      <c r="B1809" s="5" t="s">
        <v>4244</v>
      </c>
      <c r="C1809" s="6" t="str">
        <f>IFERROR(__xludf.DUMMYFUNCTION("SPLIT('2. c'!B1809, "" "", True, True)"),"Corynebacterium")</f>
        <v>Corynebacterium</v>
      </c>
      <c r="D1809" t="str">
        <f>IFERROR(__xludf.DUMMYFUNCTION("""COMPUTED_VALUE"""),"ulcerans")</f>
        <v>ulcerans</v>
      </c>
      <c r="E1809" t="str">
        <f>IFERROR(__xludf.DUMMYFUNCTION("""COMPUTED_VALUE"""),"strain")</f>
        <v>strain</v>
      </c>
      <c r="F1809">
        <f>IFERROR(__xludf.DUMMYFUNCTION("""COMPUTED_VALUE"""),131002.0)</f>
        <v>131002</v>
      </c>
    </row>
    <row r="1810" ht="15.75" customHeight="1">
      <c r="A1810" t="str">
        <f t="shared" si="1"/>
        <v>C.urealyticum</v>
      </c>
      <c r="B1810" s="5" t="s">
        <v>4251</v>
      </c>
      <c r="C1810" s="6" t="str">
        <f>IFERROR(__xludf.DUMMYFUNCTION("SPLIT('2. c'!B1810, "" "", True, True)"),"Corynebacterium")</f>
        <v>Corynebacterium</v>
      </c>
      <c r="D1810" t="str">
        <f>IFERROR(__xludf.DUMMYFUNCTION("""COMPUTED_VALUE"""),"urealyticum")</f>
        <v>urealyticum</v>
      </c>
      <c r="E1810" t="str">
        <f>IFERROR(__xludf.DUMMYFUNCTION("""COMPUTED_VALUE"""),"DSM")</f>
        <v>DSM</v>
      </c>
      <c r="F1810">
        <f>IFERROR(__xludf.DUMMYFUNCTION("""COMPUTED_VALUE"""),7109.0)</f>
        <v>7109</v>
      </c>
    </row>
    <row r="1811" ht="15.75" customHeight="1">
      <c r="A1811" t="str">
        <f t="shared" si="1"/>
        <v>C.urealyticum</v>
      </c>
      <c r="B1811" s="5" t="s">
        <v>4259</v>
      </c>
      <c r="C1811" s="6" t="str">
        <f>IFERROR(__xludf.DUMMYFUNCTION("SPLIT('2. c'!B1811, "" "", True, True)"),"Corynebacterium")</f>
        <v>Corynebacterium</v>
      </c>
      <c r="D1811" t="str">
        <f>IFERROR(__xludf.DUMMYFUNCTION("""COMPUTED_VALUE"""),"urealyticum")</f>
        <v>urealyticum</v>
      </c>
      <c r="E1811" t="str">
        <f>IFERROR(__xludf.DUMMYFUNCTION("""COMPUTED_VALUE"""),"DSM")</f>
        <v>DSM</v>
      </c>
      <c r="F1811">
        <f>IFERROR(__xludf.DUMMYFUNCTION("""COMPUTED_VALUE"""),7111.0)</f>
        <v>7111</v>
      </c>
    </row>
    <row r="1812" ht="15.75" customHeight="1">
      <c r="A1812" t="str">
        <f t="shared" si="1"/>
        <v>C.ureicelerivorans</v>
      </c>
      <c r="B1812" s="5" t="s">
        <v>4277</v>
      </c>
      <c r="C1812" s="6" t="str">
        <f>IFERROR(__xludf.DUMMYFUNCTION("SPLIT('2. c'!B1812, "" "", True, True)"),"Corynebacterium")</f>
        <v>Corynebacterium</v>
      </c>
      <c r="D1812" t="str">
        <f>IFERROR(__xludf.DUMMYFUNCTION("""COMPUTED_VALUE"""),"ureicelerivorans")</f>
        <v>ureicelerivorans</v>
      </c>
      <c r="E1812" t="str">
        <f>IFERROR(__xludf.DUMMYFUNCTION("""COMPUTED_VALUE"""),"strain")</f>
        <v>strain</v>
      </c>
      <c r="F1812" t="str">
        <f>IFERROR(__xludf.DUMMYFUNCTION("""COMPUTED_VALUE"""),"IMMIB")</f>
        <v>IMMIB</v>
      </c>
      <c r="G1812" t="str">
        <f>IFERROR(__xludf.DUMMYFUNCTION("""COMPUTED_VALUE"""),"RIV-2301")</f>
        <v>RIV-2301</v>
      </c>
    </row>
    <row r="1813" ht="15.75" customHeight="1">
      <c r="A1813" t="str">
        <f t="shared" si="1"/>
        <v>C.uterequi</v>
      </c>
      <c r="B1813" s="5" t="s">
        <v>4289</v>
      </c>
      <c r="C1813" s="6" t="str">
        <f>IFERROR(__xludf.DUMMYFUNCTION("SPLIT('2. c'!B1813, "" "", True, True)"),"Corynebacterium")</f>
        <v>Corynebacterium</v>
      </c>
      <c r="D1813" t="str">
        <f>IFERROR(__xludf.DUMMYFUNCTION("""COMPUTED_VALUE"""),"uterequi")</f>
        <v>uterequi</v>
      </c>
      <c r="E1813" t="str">
        <f>IFERROR(__xludf.DUMMYFUNCTION("""COMPUTED_VALUE"""),"strain")</f>
        <v>strain</v>
      </c>
      <c r="F1813" t="str">
        <f>IFERROR(__xludf.DUMMYFUNCTION("""COMPUTED_VALUE"""),"DSM")</f>
        <v>DSM</v>
      </c>
      <c r="G1813">
        <f>IFERROR(__xludf.DUMMYFUNCTION("""COMPUTED_VALUE"""),45634.0)</f>
        <v>45634</v>
      </c>
    </row>
    <row r="1814" ht="15.75" customHeight="1">
      <c r="A1814" t="str">
        <f t="shared" si="1"/>
        <v>C.vitaeruminis</v>
      </c>
      <c r="B1814" s="5" t="s">
        <v>4301</v>
      </c>
      <c r="C1814" s="6" t="str">
        <f>IFERROR(__xludf.DUMMYFUNCTION("SPLIT('2. c'!B1814, "" "", True, True)"),"Corynebacterium")</f>
        <v>Corynebacterium</v>
      </c>
      <c r="D1814" t="str">
        <f>IFERROR(__xludf.DUMMYFUNCTION("""COMPUTED_VALUE"""),"vitaeruminis")</f>
        <v>vitaeruminis</v>
      </c>
      <c r="E1814" t="str">
        <f>IFERROR(__xludf.DUMMYFUNCTION("""COMPUTED_VALUE"""),"DSM")</f>
        <v>DSM</v>
      </c>
      <c r="F1814">
        <f>IFERROR(__xludf.DUMMYFUNCTION("""COMPUTED_VALUE"""),20294.0)</f>
        <v>20294</v>
      </c>
    </row>
    <row r="1815" ht="15.75" customHeight="1">
      <c r="A1815" t="str">
        <f t="shared" si="1"/>
        <v>C.burnetii</v>
      </c>
      <c r="B1815" s="5" t="s">
        <v>4309</v>
      </c>
      <c r="C1815" s="6" t="str">
        <f>IFERROR(__xludf.DUMMYFUNCTION("SPLIT('2. c'!B1815, "" "", True, True)"),"Coxiella")</f>
        <v>Coxiella</v>
      </c>
      <c r="D1815" t="str">
        <f>IFERROR(__xludf.DUMMYFUNCTION("""COMPUTED_VALUE"""),"burnetii")</f>
        <v>burnetii</v>
      </c>
      <c r="E1815" t="str">
        <f>IFERROR(__xludf.DUMMYFUNCTION("""COMPUTED_VALUE"""),"CbuG_Q212")</f>
        <v>CbuG_Q212</v>
      </c>
    </row>
    <row r="1816" ht="15.75" customHeight="1">
      <c r="A1816" t="str">
        <f t="shared" si="1"/>
        <v>C.burnetii</v>
      </c>
      <c r="B1816" s="5" t="s">
        <v>4315</v>
      </c>
      <c r="C1816" s="6" t="str">
        <f>IFERROR(__xludf.DUMMYFUNCTION("SPLIT('2. c'!B1816, "" "", True, True)"),"Coxiella")</f>
        <v>Coxiella</v>
      </c>
      <c r="D1816" t="str">
        <f>IFERROR(__xludf.DUMMYFUNCTION("""COMPUTED_VALUE"""),"burnetii")</f>
        <v>burnetii</v>
      </c>
      <c r="E1816" t="str">
        <f>IFERROR(__xludf.DUMMYFUNCTION("""COMPUTED_VALUE"""),"CbuK_Q154")</f>
        <v>CbuK_Q154</v>
      </c>
    </row>
    <row r="1817" ht="15.75" customHeight="1">
      <c r="A1817" t="str">
        <f t="shared" si="1"/>
        <v>C.burnetii</v>
      </c>
      <c r="B1817" s="5" t="s">
        <v>4326</v>
      </c>
      <c r="C1817" s="6" t="str">
        <f>IFERROR(__xludf.DUMMYFUNCTION("SPLIT('2. c'!B1817, "" "", True, True)"),"Coxiella")</f>
        <v>Coxiella</v>
      </c>
      <c r="D1817" t="str">
        <f>IFERROR(__xludf.DUMMYFUNCTION("""COMPUTED_VALUE"""),"burnetii")</f>
        <v>burnetii</v>
      </c>
      <c r="E1817" t="str">
        <f>IFERROR(__xludf.DUMMYFUNCTION("""COMPUTED_VALUE"""),"Dugway")</f>
        <v>Dugway</v>
      </c>
      <c r="F1817" t="str">
        <f>IFERROR(__xludf.DUMMYFUNCTION("""COMPUTED_VALUE"""),"5J108-111")</f>
        <v>5J108-111</v>
      </c>
    </row>
    <row r="1818" ht="15.75" customHeight="1">
      <c r="A1818" t="str">
        <f t="shared" si="1"/>
        <v>C.burnetii</v>
      </c>
      <c r="B1818" s="5" t="s">
        <v>4329</v>
      </c>
      <c r="C1818" s="6" t="str">
        <f>IFERROR(__xludf.DUMMYFUNCTION("SPLIT('2. c'!B1818, "" "", True, True)"),"Coxiella")</f>
        <v>Coxiella</v>
      </c>
      <c r="D1818" t="str">
        <f>IFERROR(__xludf.DUMMYFUNCTION("""COMPUTED_VALUE"""),"burnetii")</f>
        <v>burnetii</v>
      </c>
      <c r="E1818" t="str">
        <f>IFERROR(__xludf.DUMMYFUNCTION("""COMPUTED_VALUE"""),"RSA")</f>
        <v>RSA</v>
      </c>
      <c r="F1818">
        <f>IFERROR(__xludf.DUMMYFUNCTION("""COMPUTED_VALUE"""),331.0)</f>
        <v>331</v>
      </c>
    </row>
    <row r="1819" ht="15.75" customHeight="1">
      <c r="A1819" t="str">
        <f t="shared" si="1"/>
        <v>C.burnetii</v>
      </c>
      <c r="B1819" s="5" t="s">
        <v>4336</v>
      </c>
      <c r="C1819" s="6" t="str">
        <f>IFERROR(__xludf.DUMMYFUNCTION("SPLIT('2. c'!B1819, "" "", True, True)"),"Coxiella")</f>
        <v>Coxiella</v>
      </c>
      <c r="D1819" t="str">
        <f>IFERROR(__xludf.DUMMYFUNCTION("""COMPUTED_VALUE"""),"burnetii")</f>
        <v>burnetii</v>
      </c>
      <c r="E1819" t="str">
        <f>IFERROR(__xludf.DUMMYFUNCTION("""COMPUTED_VALUE"""),"RSA")</f>
        <v>RSA</v>
      </c>
      <c r="F1819">
        <f>IFERROR(__xludf.DUMMYFUNCTION("""COMPUTED_VALUE"""),493.0)</f>
        <v>493</v>
      </c>
    </row>
    <row r="1820" ht="15.75" customHeight="1">
      <c r="A1820" t="str">
        <f t="shared" si="1"/>
        <v>C.burnetii</v>
      </c>
      <c r="B1820" s="5" t="s">
        <v>4342</v>
      </c>
      <c r="C1820" s="6" t="str">
        <f>IFERROR(__xludf.DUMMYFUNCTION("SPLIT('2. c'!B1820, "" "", True, True)"),"Coxiella")</f>
        <v>Coxiella</v>
      </c>
      <c r="D1820" t="str">
        <f>IFERROR(__xludf.DUMMYFUNCTION("""COMPUTED_VALUE"""),"burnetii")</f>
        <v>burnetii</v>
      </c>
      <c r="E1820" t="str">
        <f>IFERROR(__xludf.DUMMYFUNCTION("""COMPUTED_VALUE"""),"RSA")</f>
        <v>RSA</v>
      </c>
      <c r="F1820">
        <f>IFERROR(__xludf.DUMMYFUNCTION("""COMPUTED_VALUE"""),493.0)</f>
        <v>493</v>
      </c>
      <c r="G1820" t="str">
        <f>IFERROR(__xludf.DUMMYFUNCTION("""COMPUTED_VALUE"""),"strain")</f>
        <v>strain</v>
      </c>
      <c r="H1820" t="str">
        <f>IFERROR(__xludf.DUMMYFUNCTION("""COMPUTED_VALUE"""),"Cb171_QLYMPHOMA")</f>
        <v>Cb171_QLYMPHOMA</v>
      </c>
    </row>
    <row r="1821" ht="15.75" customHeight="1">
      <c r="A1821" t="str">
        <f t="shared" si="1"/>
        <v>C.burnetii</v>
      </c>
      <c r="B1821" s="5" t="s">
        <v>4349</v>
      </c>
      <c r="C1821" s="6" t="str">
        <f>IFERROR(__xludf.DUMMYFUNCTION("SPLIT('2. c'!B1821, "" "", True, True)"),"Coxiella")</f>
        <v>Coxiella</v>
      </c>
      <c r="D1821" t="str">
        <f>IFERROR(__xludf.DUMMYFUNCTION("""COMPUTED_VALUE"""),"burnetii")</f>
        <v>burnetii</v>
      </c>
      <c r="E1821" t="str">
        <f>IFERROR(__xludf.DUMMYFUNCTION("""COMPUTED_VALUE"""),"str.")</f>
        <v>str.</v>
      </c>
      <c r="F1821" t="str">
        <f>IFERROR(__xludf.DUMMYFUNCTION("""COMPUTED_VALUE"""),"Namibia")</f>
        <v>Namibia</v>
      </c>
    </row>
    <row r="1822" ht="15.75" customHeight="1">
      <c r="A1822" t="str">
        <f t="shared" si="1"/>
        <v>C.burnetii</v>
      </c>
      <c r="B1822" s="5" t="s">
        <v>4359</v>
      </c>
      <c r="C1822" s="6" t="str">
        <f>IFERROR(__xludf.DUMMYFUNCTION("SPLIT('2. c'!B1822, "" "", True, True)"),"Coxiella")</f>
        <v>Coxiella</v>
      </c>
      <c r="D1822" t="str">
        <f>IFERROR(__xludf.DUMMYFUNCTION("""COMPUTED_VALUE"""),"burnetii")</f>
        <v>burnetii</v>
      </c>
      <c r="E1822" t="str">
        <f>IFERROR(__xludf.DUMMYFUNCTION("""COMPUTED_VALUE"""),"strain")</f>
        <v>strain</v>
      </c>
      <c r="F1822">
        <f>IFERROR(__xludf.DUMMYFUNCTION("""COMPUTED_VALUE"""),3262.0)</f>
        <v>3262</v>
      </c>
    </row>
    <row r="1823" ht="15.75" customHeight="1">
      <c r="A1823" t="str">
        <f t="shared" si="1"/>
        <v>C.burnetii</v>
      </c>
      <c r="B1823" s="5" t="s">
        <v>4370</v>
      </c>
      <c r="C1823" s="6" t="str">
        <f>IFERROR(__xludf.DUMMYFUNCTION("SPLIT('2. c'!B1823, "" "", True, True)"),"Coxiella")</f>
        <v>Coxiella</v>
      </c>
      <c r="D1823" t="str">
        <f>IFERROR(__xludf.DUMMYFUNCTION("""COMPUTED_VALUE"""),"burnetii")</f>
        <v>burnetii</v>
      </c>
      <c r="E1823" t="str">
        <f>IFERROR(__xludf.DUMMYFUNCTION("""COMPUTED_VALUE"""),"strain")</f>
        <v>strain</v>
      </c>
      <c r="F1823">
        <f>IFERROR(__xludf.DUMMYFUNCTION("""COMPUTED_VALUE"""),3345937.0)</f>
        <v>3345937</v>
      </c>
    </row>
    <row r="1824" ht="15.75" customHeight="1">
      <c r="A1824" t="str">
        <f t="shared" si="1"/>
        <v>C.endosymbiont</v>
      </c>
      <c r="B1824" s="5" t="s">
        <v>4382</v>
      </c>
      <c r="C1824" s="6" t="str">
        <f>IFERROR(__xludf.DUMMYFUNCTION("SPLIT('2. c'!B1824, "" "", True, True)"),"Coxiella")</f>
        <v>Coxiella</v>
      </c>
      <c r="D1824" t="str">
        <f>IFERROR(__xludf.DUMMYFUNCTION("""COMPUTED_VALUE"""),"endosymbiont")</f>
        <v>endosymbiont</v>
      </c>
      <c r="E1824" t="str">
        <f>IFERROR(__xludf.DUMMYFUNCTION("""COMPUTED_VALUE"""),"of")</f>
        <v>of</v>
      </c>
      <c r="F1824" t="str">
        <f>IFERROR(__xludf.DUMMYFUNCTION("""COMPUTED_VALUE"""),"Amblyomma")</f>
        <v>Amblyomma</v>
      </c>
      <c r="G1824" t="str">
        <f>IFERROR(__xludf.DUMMYFUNCTION("""COMPUTED_VALUE"""),"americanum")</f>
        <v>americanum</v>
      </c>
      <c r="H1824" t="str">
        <f>IFERROR(__xludf.DUMMYFUNCTION("""COMPUTED_VALUE"""),"C904")</f>
        <v>C904</v>
      </c>
    </row>
    <row r="1825" ht="15.75" customHeight="1">
      <c r="A1825" t="str">
        <f t="shared" si="1"/>
        <v>C.endosymbiont</v>
      </c>
      <c r="B1825" s="5" t="s">
        <v>4391</v>
      </c>
      <c r="C1825" s="6" t="str">
        <f>IFERROR(__xludf.DUMMYFUNCTION("SPLIT('2. c'!B1825, "" "", True, True)"),"Coxiella-like")</f>
        <v>Coxiella-like</v>
      </c>
      <c r="D1825" t="str">
        <f>IFERROR(__xludf.DUMMYFUNCTION("""COMPUTED_VALUE"""),"endosymbiont")</f>
        <v>endosymbiont</v>
      </c>
      <c r="E1825" t="str">
        <f>IFERROR(__xludf.DUMMYFUNCTION("""COMPUTED_VALUE"""),"strain")</f>
        <v>strain</v>
      </c>
      <c r="F1825" t="str">
        <f>IFERROR(__xludf.DUMMYFUNCTION("""COMPUTED_VALUE"""),"CRt")</f>
        <v>CRt</v>
      </c>
    </row>
    <row r="1826" ht="15.75" customHeight="1">
      <c r="A1826" t="str">
        <f t="shared" si="1"/>
        <v>C.epipsammum</v>
      </c>
      <c r="B1826" s="5" t="s">
        <v>4400</v>
      </c>
      <c r="C1826" s="6" t="str">
        <f>IFERROR(__xludf.DUMMYFUNCTION("SPLIT('2. c'!B1826, "" "", True, True)"),"Crinalium")</f>
        <v>Crinalium</v>
      </c>
      <c r="D1826" t="str">
        <f>IFERROR(__xludf.DUMMYFUNCTION("""COMPUTED_VALUE"""),"epipsammum")</f>
        <v>epipsammum</v>
      </c>
      <c r="E1826" t="str">
        <f>IFERROR(__xludf.DUMMYFUNCTION("""COMPUTED_VALUE"""),"PCC")</f>
        <v>PCC</v>
      </c>
      <c r="F1826">
        <f>IFERROR(__xludf.DUMMYFUNCTION("""COMPUTED_VALUE"""),9333.0)</f>
        <v>9333</v>
      </c>
    </row>
    <row r="1827" ht="15.75" customHeight="1">
      <c r="A1827" t="str">
        <f t="shared" si="1"/>
        <v>C.atlanticus</v>
      </c>
      <c r="B1827" s="5" t="s">
        <v>4411</v>
      </c>
      <c r="C1827" s="6" t="str">
        <f>IFERROR(__xludf.DUMMYFUNCTION("SPLIT('2. c'!B1827, "" "", True, True)"),"Croceibacter")</f>
        <v>Croceibacter</v>
      </c>
      <c r="D1827" t="str">
        <f>IFERROR(__xludf.DUMMYFUNCTION("""COMPUTED_VALUE"""),"atlanticus")</f>
        <v>atlanticus</v>
      </c>
      <c r="E1827" t="str">
        <f>IFERROR(__xludf.DUMMYFUNCTION("""COMPUTED_VALUE"""),"HTCC2559")</f>
        <v>HTCC2559</v>
      </c>
    </row>
    <row r="1828" ht="15.75" customHeight="1">
      <c r="A1828" t="str">
        <f t="shared" si="1"/>
        <v>C.naphthovorans</v>
      </c>
      <c r="B1828" s="5" t="s">
        <v>4422</v>
      </c>
      <c r="C1828" s="6" t="str">
        <f>IFERROR(__xludf.DUMMYFUNCTION("SPLIT('2. c'!B1828, "" "", True, True)"),"Croceicoccus")</f>
        <v>Croceicoccus</v>
      </c>
      <c r="D1828" t="str">
        <f>IFERROR(__xludf.DUMMYFUNCTION("""COMPUTED_VALUE"""),"naphthovorans")</f>
        <v>naphthovorans</v>
      </c>
      <c r="E1828" t="str">
        <f>IFERROR(__xludf.DUMMYFUNCTION("""COMPUTED_VALUE"""),"strain")</f>
        <v>strain</v>
      </c>
      <c r="F1828" t="str">
        <f>IFERROR(__xludf.DUMMYFUNCTION("""COMPUTED_VALUE"""),"PQ-2")</f>
        <v>PQ-2</v>
      </c>
    </row>
    <row r="1829" ht="15.75" customHeight="1">
      <c r="A1829" t="str">
        <f t="shared" si="1"/>
        <v>C.condimenti</v>
      </c>
      <c r="B1829" s="5" t="s">
        <v>4433</v>
      </c>
      <c r="C1829" s="6" t="str">
        <f>IFERROR(__xludf.DUMMYFUNCTION("SPLIT('2. c'!B1829, "" "", True, True)"),"Cronobacter")</f>
        <v>Cronobacter</v>
      </c>
      <c r="D1829" t="str">
        <f>IFERROR(__xludf.DUMMYFUNCTION("""COMPUTED_VALUE"""),"condimenti")</f>
        <v>condimenti</v>
      </c>
      <c r="E1829">
        <f>IFERROR(__xludf.DUMMYFUNCTION("""COMPUTED_VALUE"""),1330.0)</f>
        <v>1330</v>
      </c>
      <c r="F1829" t="str">
        <f>IFERROR(__xludf.DUMMYFUNCTION("""COMPUTED_VALUE"""),"strain")</f>
        <v>strain</v>
      </c>
      <c r="G1829" t="str">
        <f>IFERROR(__xludf.DUMMYFUNCTION("""COMPUTED_VALUE"""),"LMG")</f>
        <v>LMG</v>
      </c>
      <c r="H1829">
        <f>IFERROR(__xludf.DUMMYFUNCTION("""COMPUTED_VALUE"""),26250.0)</f>
        <v>26250</v>
      </c>
    </row>
    <row r="1830" ht="15.75" customHeight="1">
      <c r="A1830" t="str">
        <f t="shared" si="1"/>
        <v>C.dublinensis</v>
      </c>
      <c r="B1830" s="5" t="s">
        <v>4445</v>
      </c>
      <c r="C1830" s="6" t="str">
        <f>IFERROR(__xludf.DUMMYFUNCTION("SPLIT('2. c'!B1830, "" "", True, True)"),"Cronobacter")</f>
        <v>Cronobacter</v>
      </c>
      <c r="D1830" t="str">
        <f>IFERROR(__xludf.DUMMYFUNCTION("""COMPUTED_VALUE"""),"dublinensis")</f>
        <v>dublinensis</v>
      </c>
      <c r="E1830" t="str">
        <f>IFERROR(__xludf.DUMMYFUNCTION("""COMPUTED_VALUE"""),"subsp.")</f>
        <v>subsp.</v>
      </c>
      <c r="F1830" t="str">
        <f>IFERROR(__xludf.DUMMYFUNCTION("""COMPUTED_VALUE"""),"dublinensis")</f>
        <v>dublinensis</v>
      </c>
      <c r="G1830" t="str">
        <f>IFERROR(__xludf.DUMMYFUNCTION("""COMPUTED_VALUE"""),"LMG")</f>
        <v>LMG</v>
      </c>
      <c r="H1830">
        <f>IFERROR(__xludf.DUMMYFUNCTION("""COMPUTED_VALUE"""),23823.0)</f>
        <v>23823</v>
      </c>
    </row>
    <row r="1831" ht="15.75" customHeight="1">
      <c r="A1831" t="str">
        <f t="shared" si="1"/>
        <v>C.malonaticus</v>
      </c>
      <c r="B1831" s="5" t="s">
        <v>4454</v>
      </c>
      <c r="C1831" s="6" t="str">
        <f>IFERROR(__xludf.DUMMYFUNCTION("SPLIT('2. c'!B1831, "" "", True, True)"),"Cronobacter")</f>
        <v>Cronobacter</v>
      </c>
      <c r="D1831" t="str">
        <f>IFERROR(__xludf.DUMMYFUNCTION("""COMPUTED_VALUE"""),"malonaticus")</f>
        <v>malonaticus</v>
      </c>
      <c r="E1831" t="str">
        <f>IFERROR(__xludf.DUMMYFUNCTION("""COMPUTED_VALUE"""),"LMG")</f>
        <v>LMG</v>
      </c>
      <c r="F1831">
        <f>IFERROR(__xludf.DUMMYFUNCTION("""COMPUTED_VALUE"""),23826.0)</f>
        <v>23826</v>
      </c>
    </row>
    <row r="1832" ht="15.75" customHeight="1">
      <c r="A1832" t="str">
        <f t="shared" si="1"/>
        <v>C.muytjensii</v>
      </c>
      <c r="B1832" s="5" t="s">
        <v>4464</v>
      </c>
      <c r="C1832" s="6" t="str">
        <f>IFERROR(__xludf.DUMMYFUNCTION("SPLIT('2. c'!B1832, "" "", True, True)"),"Cronobacter")</f>
        <v>Cronobacter</v>
      </c>
      <c r="D1832" t="str">
        <f>IFERROR(__xludf.DUMMYFUNCTION("""COMPUTED_VALUE"""),"muytjensii")</f>
        <v>muytjensii</v>
      </c>
      <c r="E1832" t="str">
        <f>IFERROR(__xludf.DUMMYFUNCTION("""COMPUTED_VALUE"""),"ATCC")</f>
        <v>ATCC</v>
      </c>
      <c r="F1832">
        <f>IFERROR(__xludf.DUMMYFUNCTION("""COMPUTED_VALUE"""),51329.0)</f>
        <v>51329</v>
      </c>
    </row>
    <row r="1833" ht="15.75" customHeight="1">
      <c r="A1833" t="str">
        <f t="shared" si="1"/>
        <v>C.sakazakii</v>
      </c>
      <c r="B1833" s="5" t="s">
        <v>4473</v>
      </c>
      <c r="C1833" s="6" t="str">
        <f>IFERROR(__xludf.DUMMYFUNCTION("SPLIT('2. c'!B1833, "" "", True, True)"),"Cronobacter")</f>
        <v>Cronobacter</v>
      </c>
      <c r="D1833" t="str">
        <f>IFERROR(__xludf.DUMMYFUNCTION("""COMPUTED_VALUE"""),"sakazakii")</f>
        <v>sakazakii</v>
      </c>
      <c r="E1833" t="str">
        <f>IFERROR(__xludf.DUMMYFUNCTION("""COMPUTED_VALUE"""),"ATCC")</f>
        <v>ATCC</v>
      </c>
      <c r="F1833" t="str">
        <f>IFERROR(__xludf.DUMMYFUNCTION("""COMPUTED_VALUE"""),"BAA-894")</f>
        <v>BAA-894</v>
      </c>
    </row>
    <row r="1834" ht="15.75" customHeight="1">
      <c r="A1834" t="str">
        <f t="shared" si="1"/>
        <v>C.sakazakii</v>
      </c>
      <c r="B1834" s="5" t="s">
        <v>4487</v>
      </c>
      <c r="C1834" s="6" t="str">
        <f>IFERROR(__xludf.DUMMYFUNCTION("SPLIT('2. c'!B1834, "" "", True, True)"),"Cronobacter")</f>
        <v>Cronobacter</v>
      </c>
      <c r="D1834" t="str">
        <f>IFERROR(__xludf.DUMMYFUNCTION("""COMPUTED_VALUE"""),"sakazakii")</f>
        <v>sakazakii</v>
      </c>
      <c r="E1834" t="str">
        <f>IFERROR(__xludf.DUMMYFUNCTION("""COMPUTED_VALUE"""),"CMCC")</f>
        <v>CMCC</v>
      </c>
      <c r="F1834">
        <f>IFERROR(__xludf.DUMMYFUNCTION("""COMPUTED_VALUE"""),45402.0)</f>
        <v>45402</v>
      </c>
    </row>
    <row r="1835" ht="15.75" customHeight="1">
      <c r="A1835" t="str">
        <f t="shared" si="1"/>
        <v>C.sakazakii</v>
      </c>
      <c r="B1835" s="5" t="s">
        <v>4500</v>
      </c>
      <c r="C1835" s="6" t="str">
        <f>IFERROR(__xludf.DUMMYFUNCTION("SPLIT('2. c'!B1835, "" "", True, True)"),"Cronobacter")</f>
        <v>Cronobacter</v>
      </c>
      <c r="D1835" t="str">
        <f>IFERROR(__xludf.DUMMYFUNCTION("""COMPUTED_VALUE"""),"sakazakii")</f>
        <v>sakazakii</v>
      </c>
      <c r="E1835" t="str">
        <f>IFERROR(__xludf.DUMMYFUNCTION("""COMPUTED_VALUE"""),"ES15")</f>
        <v>ES15</v>
      </c>
    </row>
    <row r="1836" ht="15.75" customHeight="1">
      <c r="A1836" t="str">
        <f t="shared" si="1"/>
        <v>C.sakazakii</v>
      </c>
      <c r="B1836" s="5" t="s">
        <v>4508</v>
      </c>
      <c r="C1836" s="6" t="str">
        <f>IFERROR(__xludf.DUMMYFUNCTION("SPLIT('2. c'!B1836, "" "", True, True)"),"Cronobacter")</f>
        <v>Cronobacter</v>
      </c>
      <c r="D1836" t="str">
        <f>IFERROR(__xludf.DUMMYFUNCTION("""COMPUTED_VALUE"""),"sakazakii")</f>
        <v>sakazakii</v>
      </c>
      <c r="E1836" t="str">
        <f>IFERROR(__xludf.DUMMYFUNCTION("""COMPUTED_VALUE"""),"SP291")</f>
        <v>SP291</v>
      </c>
    </row>
    <row r="1837" ht="15.75" customHeight="1">
      <c r="A1837" t="str">
        <f t="shared" si="1"/>
        <v>C.sakazakii</v>
      </c>
      <c r="B1837" s="5" t="s">
        <v>4516</v>
      </c>
      <c r="C1837" s="6" t="str">
        <f>IFERROR(__xludf.DUMMYFUNCTION("SPLIT('2. c'!B1837, "" "", True, True)"),"Cronobacter")</f>
        <v>Cronobacter</v>
      </c>
      <c r="D1837" t="str">
        <f>IFERROR(__xludf.DUMMYFUNCTION("""COMPUTED_VALUE"""),"sakazakii")</f>
        <v>sakazakii</v>
      </c>
      <c r="E1837" t="str">
        <f>IFERROR(__xludf.DUMMYFUNCTION("""COMPUTED_VALUE"""),"strain")</f>
        <v>strain</v>
      </c>
      <c r="F1837" t="str">
        <f>IFERROR(__xludf.DUMMYFUNCTION("""COMPUTED_VALUE"""),"ATCC")</f>
        <v>ATCC</v>
      </c>
      <c r="G1837">
        <f>IFERROR(__xludf.DUMMYFUNCTION("""COMPUTED_VALUE"""),29544.0)</f>
        <v>29544</v>
      </c>
    </row>
    <row r="1838" ht="15.75" customHeight="1">
      <c r="A1838" t="str">
        <f t="shared" si="1"/>
        <v>C.sakazakii</v>
      </c>
      <c r="B1838" s="5" t="s">
        <v>4527</v>
      </c>
      <c r="C1838" s="6" t="str">
        <f>IFERROR(__xludf.DUMMYFUNCTION("SPLIT('2. c'!B1838, "" "", True, True)"),"Cronobacter")</f>
        <v>Cronobacter</v>
      </c>
      <c r="D1838" t="str">
        <f>IFERROR(__xludf.DUMMYFUNCTION("""COMPUTED_VALUE"""),"sakazakii")</f>
        <v>sakazakii</v>
      </c>
      <c r="E1838" t="str">
        <f>IFERROR(__xludf.DUMMYFUNCTION("""COMPUTED_VALUE"""),"strain")</f>
        <v>strain</v>
      </c>
      <c r="F1838" t="str">
        <f>IFERROR(__xludf.DUMMYFUNCTION("""COMPUTED_VALUE"""),"NCTC")</f>
        <v>NCTC</v>
      </c>
      <c r="G1838">
        <f>IFERROR(__xludf.DUMMYFUNCTION("""COMPUTED_VALUE"""),8155.0)</f>
        <v>8155</v>
      </c>
    </row>
    <row r="1839" ht="15.75" customHeight="1">
      <c r="A1839" t="str">
        <f t="shared" si="1"/>
        <v>C.turicensis</v>
      </c>
      <c r="B1839" s="5" t="s">
        <v>4534</v>
      </c>
      <c r="C1839" s="6" t="str">
        <f>IFERROR(__xludf.DUMMYFUNCTION("SPLIT('2. c'!B1839, "" "", True, True)"),"Cronobacter")</f>
        <v>Cronobacter</v>
      </c>
      <c r="D1839" t="str">
        <f>IFERROR(__xludf.DUMMYFUNCTION("""COMPUTED_VALUE"""),"turicensis")</f>
        <v>turicensis</v>
      </c>
      <c r="E1839" t="str">
        <f>IFERROR(__xludf.DUMMYFUNCTION("""COMPUTED_VALUE"""),"z3032")</f>
        <v>z3032</v>
      </c>
    </row>
    <row r="1840" ht="15.75" customHeight="1">
      <c r="A1840" t="str">
        <f t="shared" si="1"/>
        <v>C.universalis</v>
      </c>
      <c r="B1840" s="5" t="s">
        <v>4540</v>
      </c>
      <c r="C1840" s="6" t="str">
        <f>IFERROR(__xludf.DUMMYFUNCTION("SPLIT('2. c'!B1840, "" "", True, True)"),"Cronobacter")</f>
        <v>Cronobacter</v>
      </c>
      <c r="D1840" t="str">
        <f>IFERROR(__xludf.DUMMYFUNCTION("""COMPUTED_VALUE"""),"universalis")</f>
        <v>universalis</v>
      </c>
      <c r="E1840" t="str">
        <f>IFERROR(__xludf.DUMMYFUNCTION("""COMPUTED_VALUE"""),"NCTC")</f>
        <v>NCTC</v>
      </c>
      <c r="F1840">
        <f>IFERROR(__xludf.DUMMYFUNCTION("""COMPUTED_VALUE"""),9529.0)</f>
        <v>9529</v>
      </c>
    </row>
    <row r="1841" ht="15.75" customHeight="1">
      <c r="A1841" t="str">
        <f t="shared" si="1"/>
        <v>C.curtum</v>
      </c>
      <c r="B1841" s="5" t="s">
        <v>4547</v>
      </c>
      <c r="C1841" s="6" t="str">
        <f>IFERROR(__xludf.DUMMYFUNCTION("SPLIT('2. c'!B1841, "" "", True, True)"),"Cryptobacterium")</f>
        <v>Cryptobacterium</v>
      </c>
      <c r="D1841" t="str">
        <f>IFERROR(__xludf.DUMMYFUNCTION("""COMPUTED_VALUE"""),"curtum")</f>
        <v>curtum</v>
      </c>
      <c r="E1841" t="str">
        <f>IFERROR(__xludf.DUMMYFUNCTION("""COMPUTED_VALUE"""),"DSM")</f>
        <v>DSM</v>
      </c>
      <c r="F1841">
        <f>IFERROR(__xludf.DUMMYFUNCTION("""COMPUTED_VALUE"""),15641.0)</f>
        <v>15641</v>
      </c>
    </row>
    <row r="1842" ht="15.75" customHeight="1">
      <c r="A1842" t="str">
        <f t="shared" si="1"/>
        <v>C.basilensis</v>
      </c>
      <c r="B1842" s="5" t="s">
        <v>4556</v>
      </c>
      <c r="C1842" s="6" t="str">
        <f>IFERROR(__xludf.DUMMYFUNCTION("SPLIT('2. c'!B1842, "" "", True, True)"),"Cupriavidus")</f>
        <v>Cupriavidus</v>
      </c>
      <c r="D1842" t="str">
        <f>IFERROR(__xludf.DUMMYFUNCTION("""COMPUTED_VALUE"""),"basilensis")</f>
        <v>basilensis</v>
      </c>
      <c r="E1842" t="str">
        <f>IFERROR(__xludf.DUMMYFUNCTION("""COMPUTED_VALUE"""),"4G11")</f>
        <v>4G11</v>
      </c>
    </row>
    <row r="1843" ht="15.75" customHeight="1">
      <c r="A1843" t="str">
        <f t="shared" si="1"/>
        <v>C.gilardii</v>
      </c>
      <c r="B1843" s="5" t="s">
        <v>4561</v>
      </c>
      <c r="C1843" s="6" t="str">
        <f>IFERROR(__xludf.DUMMYFUNCTION("SPLIT('2. c'!B1843, "" "", True, True)"),"Cupriavidus")</f>
        <v>Cupriavidus</v>
      </c>
      <c r="D1843" t="str">
        <f>IFERROR(__xludf.DUMMYFUNCTION("""COMPUTED_VALUE"""),"gilardii")</f>
        <v>gilardii</v>
      </c>
      <c r="E1843" t="str">
        <f>IFERROR(__xludf.DUMMYFUNCTION("""COMPUTED_VALUE"""),"CR3")</f>
        <v>CR3</v>
      </c>
    </row>
    <row r="1844" ht="15.75" customHeight="1">
      <c r="A1844" t="str">
        <f t="shared" si="1"/>
        <v>C.metallidurans</v>
      </c>
      <c r="B1844" s="5" t="s">
        <v>4567</v>
      </c>
      <c r="C1844" s="6" t="str">
        <f>IFERROR(__xludf.DUMMYFUNCTION("SPLIT('2. c'!B1844, "" "", True, True)"),"Cupriavidus")</f>
        <v>Cupriavidus</v>
      </c>
      <c r="D1844" t="str">
        <f>IFERROR(__xludf.DUMMYFUNCTION("""COMPUTED_VALUE"""),"metallidurans")</f>
        <v>metallidurans</v>
      </c>
      <c r="E1844" t="str">
        <f>IFERROR(__xludf.DUMMYFUNCTION("""COMPUTED_VALUE"""),"CH34")</f>
        <v>CH34</v>
      </c>
    </row>
    <row r="1845" ht="15.75" customHeight="1">
      <c r="A1845" t="str">
        <f t="shared" si="1"/>
        <v>C.nantongensis</v>
      </c>
      <c r="B1845" s="5" t="s">
        <v>4572</v>
      </c>
      <c r="C1845" s="6" t="str">
        <f>IFERROR(__xludf.DUMMYFUNCTION("SPLIT('2. c'!B1845, "" "", True, True)"),"Cupriavidus")</f>
        <v>Cupriavidus</v>
      </c>
      <c r="D1845" t="str">
        <f>IFERROR(__xludf.DUMMYFUNCTION("""COMPUTED_VALUE"""),"nantongensis")</f>
        <v>nantongensis</v>
      </c>
      <c r="E1845" t="str">
        <f>IFERROR(__xludf.DUMMYFUNCTION("""COMPUTED_VALUE"""),"strain")</f>
        <v>strain</v>
      </c>
      <c r="F1845" t="str">
        <f>IFERROR(__xludf.DUMMYFUNCTION("""COMPUTED_VALUE"""),"X1")</f>
        <v>X1</v>
      </c>
    </row>
    <row r="1846" ht="15.75" customHeight="1">
      <c r="A1846" t="str">
        <f t="shared" si="1"/>
        <v>C.necator</v>
      </c>
      <c r="B1846" s="5" t="s">
        <v>4580</v>
      </c>
      <c r="C1846" s="6" t="str">
        <f>IFERROR(__xludf.DUMMYFUNCTION("SPLIT('2. c'!B1846, "" "", True, True)"),"Cupriavidus")</f>
        <v>Cupriavidus</v>
      </c>
      <c r="D1846" t="str">
        <f>IFERROR(__xludf.DUMMYFUNCTION("""COMPUTED_VALUE"""),"necator")</f>
        <v>necator</v>
      </c>
      <c r="E1846" t="str">
        <f>IFERROR(__xludf.DUMMYFUNCTION("""COMPUTED_VALUE"""),"N-1")</f>
        <v>N-1</v>
      </c>
    </row>
    <row r="1847" ht="15.75" customHeight="1">
      <c r="A1847" t="str">
        <f t="shared" si="1"/>
        <v>C.taiwanensis</v>
      </c>
      <c r="B1847" s="5" t="s">
        <v>4588</v>
      </c>
      <c r="C1847" s="6" t="str">
        <f>IFERROR(__xludf.DUMMYFUNCTION("SPLIT('2. c'!B1847, "" "", True, True)"),"Cupriavidus")</f>
        <v>Cupriavidus</v>
      </c>
      <c r="D1847" t="str">
        <f>IFERROR(__xludf.DUMMYFUNCTION("""COMPUTED_VALUE"""),"taiwanensis")</f>
        <v>taiwanensis</v>
      </c>
      <c r="E1847" t="str">
        <f>IFERROR(__xludf.DUMMYFUNCTION("""COMPUTED_VALUE"""),"strain")</f>
        <v>strain</v>
      </c>
      <c r="F1847" t="str">
        <f>IFERROR(__xludf.DUMMYFUNCTION("""COMPUTED_VALUE"""),"LMG")</f>
        <v>LMG</v>
      </c>
      <c r="G1847">
        <f>IFERROR(__xludf.DUMMYFUNCTION("""COMPUTED_VALUE"""),19424.0)</f>
        <v>19424</v>
      </c>
    </row>
    <row r="1848" ht="15.75" customHeight="1">
      <c r="A1848" t="str">
        <f t="shared" si="1"/>
        <v>C.sp.</v>
      </c>
      <c r="B1848" s="5" t="s">
        <v>4600</v>
      </c>
      <c r="C1848" s="6" t="str">
        <f>IFERROR(__xludf.DUMMYFUNCTION("SPLIT('2. c'!B1848, "" "", True, True)"),"Curtobacterium")</f>
        <v>Curtobacterium</v>
      </c>
      <c r="D1848" t="str">
        <f>IFERROR(__xludf.DUMMYFUNCTION("""COMPUTED_VALUE"""),"sp.")</f>
        <v>sp.</v>
      </c>
      <c r="E1848" t="str">
        <f>IFERROR(__xludf.DUMMYFUNCTION("""COMPUTED_VALUE"""),"MR_MD2014")</f>
        <v>MR_MD2014</v>
      </c>
    </row>
    <row r="1849" ht="15.75" customHeight="1">
      <c r="A1849" t="str">
        <f t="shared" si="1"/>
        <v>C.aponinum</v>
      </c>
      <c r="B1849" s="5" t="s">
        <v>4608</v>
      </c>
      <c r="C1849" s="6" t="str">
        <f>IFERROR(__xludf.DUMMYFUNCTION("SPLIT('2. c'!B1849, "" "", True, True)"),"Cyanobacterium")</f>
        <v>Cyanobacterium</v>
      </c>
      <c r="D1849" t="str">
        <f>IFERROR(__xludf.DUMMYFUNCTION("""COMPUTED_VALUE"""),"aponinum")</f>
        <v>aponinum</v>
      </c>
      <c r="E1849" t="str">
        <f>IFERROR(__xludf.DUMMYFUNCTION("""COMPUTED_VALUE"""),"PCC")</f>
        <v>PCC</v>
      </c>
      <c r="F1849">
        <f>IFERROR(__xludf.DUMMYFUNCTION("""COMPUTED_VALUE"""),10605.0)</f>
        <v>10605</v>
      </c>
    </row>
    <row r="1850" ht="15.75" customHeight="1">
      <c r="A1850" t="str">
        <f t="shared" si="1"/>
        <v>c.endosymbiont</v>
      </c>
      <c r="B1850" s="5" t="s">
        <v>4616</v>
      </c>
      <c r="C1850" s="6" t="str">
        <f>IFERROR(__xludf.DUMMYFUNCTION("SPLIT('2. c'!B1850, "" "", True, True)"),"cyanobacterium")</f>
        <v>cyanobacterium</v>
      </c>
      <c r="D1850" t="str">
        <f>IFERROR(__xludf.DUMMYFUNCTION("""COMPUTED_VALUE"""),"endosymbiont")</f>
        <v>endosymbiont</v>
      </c>
      <c r="E1850" t="str">
        <f>IFERROR(__xludf.DUMMYFUNCTION("""COMPUTED_VALUE"""),"of")</f>
        <v>of</v>
      </c>
      <c r="F1850" t="str">
        <f>IFERROR(__xludf.DUMMYFUNCTION("""COMPUTED_VALUE"""),"Epithemia")</f>
        <v>Epithemia</v>
      </c>
      <c r="G1850" t="str">
        <f>IFERROR(__xludf.DUMMYFUNCTION("""COMPUTED_VALUE"""),"turgida")</f>
        <v>turgida</v>
      </c>
      <c r="H1850" t="str">
        <f>IFERROR(__xludf.DUMMYFUNCTION("""COMPUTED_VALUE"""),"isolate")</f>
        <v>isolate</v>
      </c>
      <c r="I1850" t="str">
        <f>IFERROR(__xludf.DUMMYFUNCTION("""COMPUTED_VALUE"""),"EtSB")</f>
        <v>EtSB</v>
      </c>
      <c r="J1850" t="str">
        <f>IFERROR(__xludf.DUMMYFUNCTION("""COMPUTED_VALUE"""),"Lake")</f>
        <v>Lake</v>
      </c>
      <c r="K1850" t="str">
        <f>IFERROR(__xludf.DUMMYFUNCTION("""COMPUTED_VALUE"""),"Yunoko")</f>
        <v>Yunoko</v>
      </c>
      <c r="L1850" t="str">
        <f>IFERROR(__xludf.DUMMYFUNCTION("""COMPUTED_VALUE"""),"ETSB")</f>
        <v>ETSB</v>
      </c>
      <c r="M1850" t="str">
        <f>IFERROR(__xludf.DUMMYFUNCTION("""COMPUTED_VALUE"""),"Lake")</f>
        <v>Lake</v>
      </c>
      <c r="N1850" t="str">
        <f>IFERROR(__xludf.DUMMYFUNCTION("""COMPUTED_VALUE"""),"Yunoko")</f>
        <v>Yunoko</v>
      </c>
    </row>
    <row r="1851" ht="15.75" customHeight="1">
      <c r="A1851" t="str">
        <f t="shared" si="1"/>
        <v>C.stanieri</v>
      </c>
      <c r="B1851" s="5" t="s">
        <v>4626</v>
      </c>
      <c r="C1851" s="6" t="str">
        <f>IFERROR(__xludf.DUMMYFUNCTION("SPLIT('2. c'!B1851, "" "", True, True)"),"Cyanobacterium")</f>
        <v>Cyanobacterium</v>
      </c>
      <c r="D1851" t="str">
        <f>IFERROR(__xludf.DUMMYFUNCTION("""COMPUTED_VALUE"""),"stanieri")</f>
        <v>stanieri</v>
      </c>
      <c r="E1851" t="str">
        <f>IFERROR(__xludf.DUMMYFUNCTION("""COMPUTED_VALUE"""),"PCC")</f>
        <v>PCC</v>
      </c>
      <c r="F1851">
        <f>IFERROR(__xludf.DUMMYFUNCTION("""COMPUTED_VALUE"""),7202.0)</f>
        <v>7202</v>
      </c>
    </row>
    <row r="1852" ht="15.75" customHeight="1">
      <c r="A1852" t="str">
        <f t="shared" si="1"/>
        <v>C.gracile</v>
      </c>
      <c r="B1852" s="5" t="s">
        <v>4633</v>
      </c>
      <c r="C1852" s="6" t="str">
        <f>IFERROR(__xludf.DUMMYFUNCTION("SPLIT('2. c'!B1852, "" "", True, True)"),"Cyanobium")</f>
        <v>Cyanobium</v>
      </c>
      <c r="D1852" t="str">
        <f>IFERROR(__xludf.DUMMYFUNCTION("""COMPUTED_VALUE"""),"gracile")</f>
        <v>gracile</v>
      </c>
      <c r="E1852" t="str">
        <f>IFERROR(__xludf.DUMMYFUNCTION("""COMPUTED_VALUE"""),"PCC")</f>
        <v>PCC</v>
      </c>
      <c r="F1852">
        <f>IFERROR(__xludf.DUMMYFUNCTION("""COMPUTED_VALUE"""),6307.0)</f>
        <v>6307</v>
      </c>
    </row>
    <row r="1853" ht="15.75" customHeight="1">
      <c r="A1853" t="str">
        <f t="shared" si="1"/>
        <v>C.sp.</v>
      </c>
      <c r="B1853" s="5" t="s">
        <v>4640</v>
      </c>
      <c r="C1853" s="6" t="str">
        <f>IFERROR(__xludf.DUMMYFUNCTION("SPLIT('2. c'!B1853, "" "", True, True)"),"Cyanothece")</f>
        <v>Cyanothece</v>
      </c>
      <c r="D1853" t="str">
        <f>IFERROR(__xludf.DUMMYFUNCTION("""COMPUTED_VALUE"""),"sp.")</f>
        <v>sp.</v>
      </c>
      <c r="E1853" t="str">
        <f>IFERROR(__xludf.DUMMYFUNCTION("""COMPUTED_VALUE"""),"ATCC")</f>
        <v>ATCC</v>
      </c>
      <c r="F1853">
        <f>IFERROR(__xludf.DUMMYFUNCTION("""COMPUTED_VALUE"""),51142.0)</f>
        <v>51142</v>
      </c>
    </row>
    <row r="1854" ht="15.75" customHeight="1">
      <c r="A1854" t="str">
        <f t="shared" si="1"/>
        <v>C.sp.</v>
      </c>
      <c r="B1854" s="5" t="s">
        <v>4649</v>
      </c>
      <c r="C1854" s="6" t="str">
        <f>IFERROR(__xludf.DUMMYFUNCTION("SPLIT('2. c'!B1854, "" "", True, True)"),"Cyanothece")</f>
        <v>Cyanothece</v>
      </c>
      <c r="D1854" t="str">
        <f>IFERROR(__xludf.DUMMYFUNCTION("""COMPUTED_VALUE"""),"sp.")</f>
        <v>sp.</v>
      </c>
      <c r="E1854" t="str">
        <f>IFERROR(__xludf.DUMMYFUNCTION("""COMPUTED_VALUE"""),"PCC")</f>
        <v>PCC</v>
      </c>
      <c r="F1854">
        <f>IFERROR(__xludf.DUMMYFUNCTION("""COMPUTED_VALUE"""),7424.0)</f>
        <v>7424</v>
      </c>
    </row>
    <row r="1855" ht="15.75" customHeight="1">
      <c r="A1855" t="str">
        <f t="shared" si="1"/>
        <v>C.sp.</v>
      </c>
      <c r="B1855" s="5" t="s">
        <v>4658</v>
      </c>
      <c r="C1855" s="6" t="str">
        <f>IFERROR(__xludf.DUMMYFUNCTION("SPLIT('2. c'!B1855, "" "", True, True)"),"Cyanothece")</f>
        <v>Cyanothece</v>
      </c>
      <c r="D1855" t="str">
        <f>IFERROR(__xludf.DUMMYFUNCTION("""COMPUTED_VALUE"""),"sp.")</f>
        <v>sp.</v>
      </c>
      <c r="E1855" t="str">
        <f>IFERROR(__xludf.DUMMYFUNCTION("""COMPUTED_VALUE"""),"PCC")</f>
        <v>PCC</v>
      </c>
      <c r="F1855">
        <f>IFERROR(__xludf.DUMMYFUNCTION("""COMPUTED_VALUE"""),7425.0)</f>
        <v>7425</v>
      </c>
    </row>
    <row r="1856" ht="15.75" customHeight="1">
      <c r="A1856" t="str">
        <f t="shared" si="1"/>
        <v>C.sp.</v>
      </c>
      <c r="B1856" s="5" t="s">
        <v>4666</v>
      </c>
      <c r="C1856" s="6" t="str">
        <f>IFERROR(__xludf.DUMMYFUNCTION("SPLIT('2. c'!B1856, "" "", True, True)"),"Cyanothece")</f>
        <v>Cyanothece</v>
      </c>
      <c r="D1856" t="str">
        <f>IFERROR(__xludf.DUMMYFUNCTION("""COMPUTED_VALUE"""),"sp.")</f>
        <v>sp.</v>
      </c>
      <c r="E1856" t="str">
        <f>IFERROR(__xludf.DUMMYFUNCTION("""COMPUTED_VALUE"""),"PCC")</f>
        <v>PCC</v>
      </c>
      <c r="F1856">
        <f>IFERROR(__xludf.DUMMYFUNCTION("""COMPUTED_VALUE"""),7822.0)</f>
        <v>7822</v>
      </c>
    </row>
    <row r="1857" ht="15.75" customHeight="1">
      <c r="A1857" t="str">
        <f t="shared" si="1"/>
        <v>C.sp.</v>
      </c>
      <c r="B1857" s="5" t="s">
        <v>4678</v>
      </c>
      <c r="C1857" s="6" t="str">
        <f>IFERROR(__xludf.DUMMYFUNCTION("SPLIT('2. c'!B1857, "" "", True, True)"),"Cyanothece")</f>
        <v>Cyanothece</v>
      </c>
      <c r="D1857" t="str">
        <f>IFERROR(__xludf.DUMMYFUNCTION("""COMPUTED_VALUE"""),"sp.")</f>
        <v>sp.</v>
      </c>
      <c r="E1857" t="str">
        <f>IFERROR(__xludf.DUMMYFUNCTION("""COMPUTED_VALUE"""),"PCC")</f>
        <v>PCC</v>
      </c>
      <c r="F1857">
        <f>IFERROR(__xludf.DUMMYFUNCTION("""COMPUTED_VALUE"""),8801.0)</f>
        <v>8801</v>
      </c>
    </row>
    <row r="1858" ht="15.75" customHeight="1">
      <c r="A1858" t="str">
        <f t="shared" si="1"/>
        <v>C.sp.</v>
      </c>
      <c r="B1858" s="5" t="s">
        <v>4687</v>
      </c>
      <c r="C1858" s="6" t="str">
        <f>IFERROR(__xludf.DUMMYFUNCTION("SPLIT('2. c'!B1858, "" "", True, True)"),"Cyanothece")</f>
        <v>Cyanothece</v>
      </c>
      <c r="D1858" t="str">
        <f>IFERROR(__xludf.DUMMYFUNCTION("""COMPUTED_VALUE"""),"sp.")</f>
        <v>sp.</v>
      </c>
      <c r="E1858" t="str">
        <f>IFERROR(__xludf.DUMMYFUNCTION("""COMPUTED_VALUE"""),"PCC")</f>
        <v>PCC</v>
      </c>
      <c r="F1858">
        <f>IFERROR(__xludf.DUMMYFUNCTION("""COMPUTED_VALUE"""),8802.0)</f>
        <v>8802</v>
      </c>
    </row>
    <row r="1859" ht="15.75" customHeight="1">
      <c r="A1859" t="str">
        <f t="shared" si="1"/>
        <v>C.amurskyense</v>
      </c>
      <c r="B1859" s="5" t="s">
        <v>4696</v>
      </c>
      <c r="C1859" s="6" t="str">
        <f>IFERROR(__xludf.DUMMYFUNCTION("SPLIT('2. c'!B1859, "" "", True, True)"),"Cyclobacterium")</f>
        <v>Cyclobacterium</v>
      </c>
      <c r="D1859" t="str">
        <f>IFERROR(__xludf.DUMMYFUNCTION("""COMPUTED_VALUE"""),"amurskyense")</f>
        <v>amurskyense</v>
      </c>
      <c r="E1859" t="str">
        <f>IFERROR(__xludf.DUMMYFUNCTION("""COMPUTED_VALUE"""),"strain")</f>
        <v>strain</v>
      </c>
      <c r="F1859" t="str">
        <f>IFERROR(__xludf.DUMMYFUNCTION("""COMPUTED_VALUE"""),"KCTC")</f>
        <v>KCTC</v>
      </c>
      <c r="G1859">
        <f>IFERROR(__xludf.DUMMYFUNCTION("""COMPUTED_VALUE"""),12363.0)</f>
        <v>12363</v>
      </c>
    </row>
    <row r="1860" ht="15.75" customHeight="1">
      <c r="A1860" t="str">
        <f t="shared" si="1"/>
        <v>C.marinum</v>
      </c>
      <c r="B1860" s="5" t="s">
        <v>4703</v>
      </c>
      <c r="C1860" s="6" t="str">
        <f>IFERROR(__xludf.DUMMYFUNCTION("SPLIT('2. c'!B1860, "" "", True, True)"),"Cyclobacterium")</f>
        <v>Cyclobacterium</v>
      </c>
      <c r="D1860" t="str">
        <f>IFERROR(__xludf.DUMMYFUNCTION("""COMPUTED_VALUE"""),"marinum")</f>
        <v>marinum</v>
      </c>
      <c r="E1860" t="str">
        <f>IFERROR(__xludf.DUMMYFUNCTION("""COMPUTED_VALUE"""),"DSM")</f>
        <v>DSM</v>
      </c>
      <c r="F1860">
        <f>IFERROR(__xludf.DUMMYFUNCTION("""COMPUTED_VALUE"""),745.0)</f>
        <v>745</v>
      </c>
    </row>
    <row r="1861" ht="15.75" customHeight="1">
      <c r="A1861" t="str">
        <f t="shared" si="1"/>
        <v>C.sp.</v>
      </c>
      <c r="B1861" s="5" t="s">
        <v>4709</v>
      </c>
      <c r="C1861" s="6" t="str">
        <f>IFERROR(__xludf.DUMMYFUNCTION("SPLIT('2. c'!B1861, "" "", True, True)"),"Cycloclasticus")</f>
        <v>Cycloclasticus</v>
      </c>
      <c r="D1861" t="str">
        <f>IFERROR(__xludf.DUMMYFUNCTION("""COMPUTED_VALUE"""),"sp.")</f>
        <v>sp.</v>
      </c>
      <c r="E1861" t="str">
        <f>IFERROR(__xludf.DUMMYFUNCTION("""COMPUTED_VALUE"""),"P1")</f>
        <v>P1</v>
      </c>
    </row>
    <row r="1862" ht="15.75" customHeight="1">
      <c r="A1862" t="str">
        <f t="shared" si="1"/>
        <v>C.zancles</v>
      </c>
      <c r="B1862" s="5" t="s">
        <v>4716</v>
      </c>
      <c r="C1862" s="6" t="str">
        <f>IFERROR(__xludf.DUMMYFUNCTION("SPLIT('2. c'!B1862, "" "", True, True)"),"Cycloclasticus")</f>
        <v>Cycloclasticus</v>
      </c>
      <c r="D1862" t="str">
        <f>IFERROR(__xludf.DUMMYFUNCTION("""COMPUTED_VALUE"""),"zancles")</f>
        <v>zancles</v>
      </c>
      <c r="E1862" t="str">
        <f>IFERROR(__xludf.DUMMYFUNCTION("""COMPUTED_VALUE"""),"7-ME")</f>
        <v>7-ME</v>
      </c>
    </row>
    <row r="1863" ht="15.75" customHeight="1">
      <c r="A1863" t="str">
        <f t="shared" si="1"/>
        <v>C.stagnale</v>
      </c>
      <c r="B1863" s="5" t="s">
        <v>4724</v>
      </c>
      <c r="C1863" s="6" t="str">
        <f>IFERROR(__xludf.DUMMYFUNCTION("SPLIT('2. c'!B1863, "" "", True, True)"),"Cylindrospermum")</f>
        <v>Cylindrospermum</v>
      </c>
      <c r="D1863" t="str">
        <f>IFERROR(__xludf.DUMMYFUNCTION("""COMPUTED_VALUE"""),"stagnale")</f>
        <v>stagnale</v>
      </c>
      <c r="E1863" t="str">
        <f>IFERROR(__xludf.DUMMYFUNCTION("""COMPUTED_VALUE"""),"PCC")</f>
        <v>PCC</v>
      </c>
      <c r="F1863">
        <f>IFERROR(__xludf.DUMMYFUNCTION("""COMPUTED_VALUE"""),7417.0)</f>
        <v>7417</v>
      </c>
    </row>
    <row r="1864" ht="15.75" customHeight="1">
      <c r="A1864" t="str">
        <f t="shared" si="1"/>
        <v>C.hutchinsonii</v>
      </c>
      <c r="B1864" s="5" t="s">
        <v>4730</v>
      </c>
      <c r="C1864" s="6" t="str">
        <f>IFERROR(__xludf.DUMMYFUNCTION("SPLIT('2. c'!B1864, "" "", True, True)"),"Cytophaga")</f>
        <v>Cytophaga</v>
      </c>
      <c r="D1864" t="str">
        <f>IFERROR(__xludf.DUMMYFUNCTION("""COMPUTED_VALUE"""),"hutchinsonii")</f>
        <v>hutchinsonii</v>
      </c>
      <c r="E1864" t="str">
        <f>IFERROR(__xludf.DUMMYFUNCTION("""COMPUTED_VALUE"""),"ATCC")</f>
        <v>ATCC</v>
      </c>
      <c r="F1864">
        <f>IFERROR(__xludf.DUMMYFUNCTION("""COMPUTED_VALUE"""),33406.0)</f>
        <v>33406</v>
      </c>
    </row>
    <row r="1865" ht="15.75" customHeight="1">
      <c r="A1865" t="str">
        <f t="shared" si="1"/>
        <v>D.salina</v>
      </c>
      <c r="B1865" s="5" t="s">
        <v>4740</v>
      </c>
      <c r="C1865" s="6" t="str">
        <f>IFERROR(__xludf.DUMMYFUNCTION("SPLIT('2. c'!B1865, "" "", True, True)"),"Dactylococcopsis")</f>
        <v>Dactylococcopsis</v>
      </c>
      <c r="D1865" t="str">
        <f>IFERROR(__xludf.DUMMYFUNCTION("""COMPUTED_VALUE"""),"salina")</f>
        <v>salina</v>
      </c>
      <c r="E1865" t="str">
        <f>IFERROR(__xludf.DUMMYFUNCTION("""COMPUTED_VALUE"""),"PCC")</f>
        <v>PCC</v>
      </c>
      <c r="F1865">
        <f>IFERROR(__xludf.DUMMYFUNCTION("""COMPUTED_VALUE"""),8305.0)</f>
        <v>8305</v>
      </c>
    </row>
    <row r="1866" ht="15.75" customHeight="1">
      <c r="A1866" t="str">
        <f t="shared" si="1"/>
        <v>D.aromatica</v>
      </c>
      <c r="B1866" s="5" t="s">
        <v>4746</v>
      </c>
      <c r="C1866" s="6" t="str">
        <f>IFERROR(__xludf.DUMMYFUNCTION("SPLIT('2. c'!B1866, "" "", True, True)"),"Dechloromonas")</f>
        <v>Dechloromonas</v>
      </c>
      <c r="D1866" t="str">
        <f>IFERROR(__xludf.DUMMYFUNCTION("""COMPUTED_VALUE"""),"aromatica")</f>
        <v>aromatica</v>
      </c>
      <c r="E1866" t="str">
        <f>IFERROR(__xludf.DUMMYFUNCTION("""COMPUTED_VALUE"""),"RCB")</f>
        <v>RCB</v>
      </c>
    </row>
    <row r="1867" ht="15.75" customHeight="1">
      <c r="A1867" t="str">
        <f t="shared" si="1"/>
        <v>D.suillum</v>
      </c>
      <c r="B1867" s="5" t="s">
        <v>4755</v>
      </c>
      <c r="C1867" s="6" t="str">
        <f>IFERROR(__xludf.DUMMYFUNCTION("SPLIT('2. c'!B1867, "" "", True, True)"),"Dechlorosoma")</f>
        <v>Dechlorosoma</v>
      </c>
      <c r="D1867" t="str">
        <f>IFERROR(__xludf.DUMMYFUNCTION("""COMPUTED_VALUE"""),"suillum")</f>
        <v>suillum</v>
      </c>
      <c r="E1867" t="str">
        <f>IFERROR(__xludf.DUMMYFUNCTION("""COMPUTED_VALUE"""),"PS")</f>
        <v>PS</v>
      </c>
    </row>
    <row r="1868" ht="15.75" customHeight="1">
      <c r="A1868" t="str">
        <f t="shared" si="1"/>
        <v>D.desulfuricans</v>
      </c>
      <c r="B1868" s="5" t="s">
        <v>4763</v>
      </c>
      <c r="C1868" s="6" t="str">
        <f>IFERROR(__xludf.DUMMYFUNCTION("SPLIT('2. c'!B1868, "" "", True, True)"),"Deferribacter")</f>
        <v>Deferribacter</v>
      </c>
      <c r="D1868" t="str">
        <f>IFERROR(__xludf.DUMMYFUNCTION("""COMPUTED_VALUE"""),"desulfuricans")</f>
        <v>desulfuricans</v>
      </c>
      <c r="E1868" t="str">
        <f>IFERROR(__xludf.DUMMYFUNCTION("""COMPUTED_VALUE"""),"SSM1")</f>
        <v>SSM1</v>
      </c>
    </row>
    <row r="1869" ht="15.75" customHeight="1">
      <c r="A1869" t="str">
        <f t="shared" si="1"/>
        <v>D.alba</v>
      </c>
      <c r="B1869" s="5" t="s">
        <v>4772</v>
      </c>
      <c r="C1869" s="6" t="str">
        <f>IFERROR(__xludf.DUMMYFUNCTION("SPLIT('2. c'!B1869, "" "", True, True)"),"Defluviimonas")</f>
        <v>Defluviimonas</v>
      </c>
      <c r="D1869" t="str">
        <f>IFERROR(__xludf.DUMMYFUNCTION("""COMPUTED_VALUE"""),"alba")</f>
        <v>alba</v>
      </c>
      <c r="E1869" t="str">
        <f>IFERROR(__xludf.DUMMYFUNCTION("""COMPUTED_VALUE"""),"strain")</f>
        <v>strain</v>
      </c>
      <c r="F1869" t="str">
        <f>IFERROR(__xludf.DUMMYFUNCTION("""COMPUTED_VALUE"""),"cai42")</f>
        <v>cai42</v>
      </c>
    </row>
    <row r="1870" ht="15.75" customHeight="1">
      <c r="A1870" t="str">
        <f t="shared" si="1"/>
        <v>D.tunisiensis</v>
      </c>
      <c r="B1870" s="5" t="s">
        <v>4781</v>
      </c>
      <c r="C1870" s="6" t="str">
        <f>IFERROR(__xludf.DUMMYFUNCTION("SPLIT('2. c'!B1870, "" "", True, True)"),"Defluviitoga")</f>
        <v>Defluviitoga</v>
      </c>
      <c r="D1870" t="str">
        <f>IFERROR(__xludf.DUMMYFUNCTION("""COMPUTED_VALUE"""),"tunisiensis")</f>
        <v>tunisiensis</v>
      </c>
      <c r="E1870" t="str">
        <f>IFERROR(__xludf.DUMMYFUNCTION("""COMPUTED_VALUE"""),"strain")</f>
        <v>strain</v>
      </c>
      <c r="F1870" t="str">
        <f>IFERROR(__xludf.DUMMYFUNCTION("""COMPUTED_VALUE"""),"L3")</f>
        <v>L3</v>
      </c>
    </row>
    <row r="1871" ht="15.75" customHeight="1">
      <c r="A1871" t="str">
        <f t="shared" si="1"/>
        <v>D.tunisiensis</v>
      </c>
      <c r="B1871" s="5" t="s">
        <v>4781</v>
      </c>
      <c r="C1871" s="6" t="str">
        <f>IFERROR(__xludf.DUMMYFUNCTION("SPLIT('2. c'!B1871, "" "", True, True)"),"Defluviitoga")</f>
        <v>Defluviitoga</v>
      </c>
      <c r="D1871" t="str">
        <f>IFERROR(__xludf.DUMMYFUNCTION("""COMPUTED_VALUE"""),"tunisiensis")</f>
        <v>tunisiensis</v>
      </c>
      <c r="E1871" t="str">
        <f>IFERROR(__xludf.DUMMYFUNCTION("""COMPUTED_VALUE"""),"strain")</f>
        <v>strain</v>
      </c>
      <c r="F1871" t="str">
        <f>IFERROR(__xludf.DUMMYFUNCTION("""COMPUTED_VALUE"""),"L3")</f>
        <v>L3</v>
      </c>
    </row>
    <row r="1872" ht="15.75" customHeight="1">
      <c r="A1872" t="str">
        <f t="shared" si="1"/>
        <v>D.restrictus</v>
      </c>
      <c r="B1872" s="5" t="s">
        <v>4794</v>
      </c>
      <c r="C1872" s="6" t="str">
        <f>IFERROR(__xludf.DUMMYFUNCTION("SPLIT('2. c'!B1872, "" "", True, True)"),"Dehalobacter")</f>
        <v>Dehalobacter</v>
      </c>
      <c r="D1872" t="str">
        <f>IFERROR(__xludf.DUMMYFUNCTION("""COMPUTED_VALUE"""),"restrictus")</f>
        <v>restrictus</v>
      </c>
      <c r="E1872" t="str">
        <f>IFERROR(__xludf.DUMMYFUNCTION("""COMPUTED_VALUE"""),"DSM")</f>
        <v>DSM</v>
      </c>
      <c r="F1872">
        <f>IFERROR(__xludf.DUMMYFUNCTION("""COMPUTED_VALUE"""),9455.0)</f>
        <v>9455</v>
      </c>
    </row>
    <row r="1873" ht="15.75" customHeight="1">
      <c r="A1873" t="str">
        <f t="shared" si="1"/>
        <v>D.sp.</v>
      </c>
      <c r="B1873" s="5" t="s">
        <v>4801</v>
      </c>
      <c r="C1873" s="6" t="str">
        <f>IFERROR(__xludf.DUMMYFUNCTION("SPLIT('2. c'!B1873, "" "", True, True)"),"Dehalobacter")</f>
        <v>Dehalobacter</v>
      </c>
      <c r="D1873" t="str">
        <f>IFERROR(__xludf.DUMMYFUNCTION("""COMPUTED_VALUE"""),"sp.")</f>
        <v>sp.</v>
      </c>
      <c r="E1873" t="str">
        <f>IFERROR(__xludf.DUMMYFUNCTION("""COMPUTED_VALUE"""),"CF")</f>
        <v>CF</v>
      </c>
    </row>
    <row r="1874" ht="15.75" customHeight="1">
      <c r="A1874" t="str">
        <f t="shared" si="1"/>
        <v>D.sp.</v>
      </c>
      <c r="B1874" s="5" t="s">
        <v>4808</v>
      </c>
      <c r="C1874" s="6" t="str">
        <f>IFERROR(__xludf.DUMMYFUNCTION("SPLIT('2. c'!B1874, "" "", True, True)"),"Dehalobacter")</f>
        <v>Dehalobacter</v>
      </c>
      <c r="D1874" t="str">
        <f>IFERROR(__xludf.DUMMYFUNCTION("""COMPUTED_VALUE"""),"sp.")</f>
        <v>sp.</v>
      </c>
      <c r="E1874" t="str">
        <f>IFERROR(__xludf.DUMMYFUNCTION("""COMPUTED_VALUE"""),"DCA")</f>
        <v>DCA</v>
      </c>
    </row>
    <row r="1875" ht="15.75" customHeight="1">
      <c r="A1875" t="str">
        <f t="shared" si="1"/>
        <v>D.ethenogenes</v>
      </c>
      <c r="B1875" s="5" t="s">
        <v>4813</v>
      </c>
      <c r="C1875" s="6" t="str">
        <f>IFERROR(__xludf.DUMMYFUNCTION("SPLIT('2. c'!B1875, "" "", True, True)"),"Dehalococcoides")</f>
        <v>Dehalococcoides</v>
      </c>
      <c r="D1875" t="str">
        <f>IFERROR(__xludf.DUMMYFUNCTION("""COMPUTED_VALUE"""),"ethenogenes")</f>
        <v>ethenogenes</v>
      </c>
      <c r="E1875">
        <f>IFERROR(__xludf.DUMMYFUNCTION("""COMPUTED_VALUE"""),195.0)</f>
        <v>195</v>
      </c>
    </row>
    <row r="1876" ht="15.75" customHeight="1">
      <c r="A1876" t="str">
        <f t="shared" si="1"/>
        <v>D.mccartyi</v>
      </c>
      <c r="B1876" s="5" t="s">
        <v>4819</v>
      </c>
      <c r="C1876" s="6" t="str">
        <f>IFERROR(__xludf.DUMMYFUNCTION("SPLIT('2. c'!B1876, "" "", True, True)"),"Dehalococcoides")</f>
        <v>Dehalococcoides</v>
      </c>
      <c r="D1876" t="str">
        <f>IFERROR(__xludf.DUMMYFUNCTION("""COMPUTED_VALUE"""),"mccartyi")</f>
        <v>mccartyi</v>
      </c>
      <c r="E1876" t="str">
        <f>IFERROR(__xludf.DUMMYFUNCTION("""COMPUTED_VALUE"""),"BAV1")</f>
        <v>BAV1</v>
      </c>
    </row>
    <row r="1877" ht="15.75" customHeight="1">
      <c r="A1877" t="str">
        <f t="shared" si="1"/>
        <v>D.mccartyi</v>
      </c>
      <c r="B1877" s="5" t="s">
        <v>4825</v>
      </c>
      <c r="C1877" s="6" t="str">
        <f>IFERROR(__xludf.DUMMYFUNCTION("SPLIT('2. c'!B1877, "" "", True, True)"),"Dehalococcoides")</f>
        <v>Dehalococcoides</v>
      </c>
      <c r="D1877" t="str">
        <f>IFERROR(__xludf.DUMMYFUNCTION("""COMPUTED_VALUE"""),"mccartyi")</f>
        <v>mccartyi</v>
      </c>
      <c r="E1877" t="str">
        <f>IFERROR(__xludf.DUMMYFUNCTION("""COMPUTED_VALUE"""),"BTF08")</f>
        <v>BTF08</v>
      </c>
    </row>
    <row r="1878" ht="15.75" customHeight="1">
      <c r="A1878" t="str">
        <f t="shared" si="1"/>
        <v>D.mccartyi</v>
      </c>
      <c r="B1878" s="5" t="s">
        <v>4831</v>
      </c>
      <c r="C1878" s="6" t="str">
        <f>IFERROR(__xludf.DUMMYFUNCTION("SPLIT('2. c'!B1878, "" "", True, True)"),"Dehalococcoides")</f>
        <v>Dehalococcoides</v>
      </c>
      <c r="D1878" t="str">
        <f>IFERROR(__xludf.DUMMYFUNCTION("""COMPUTED_VALUE"""),"mccartyi")</f>
        <v>mccartyi</v>
      </c>
      <c r="E1878" t="str">
        <f>IFERROR(__xludf.DUMMYFUNCTION("""COMPUTED_VALUE"""),"CG1")</f>
        <v>CG1</v>
      </c>
    </row>
    <row r="1879" ht="15.75" customHeight="1">
      <c r="A1879" t="str">
        <f t="shared" si="1"/>
        <v>D.mccartyi</v>
      </c>
      <c r="B1879" s="5" t="s">
        <v>4839</v>
      </c>
      <c r="C1879" s="6" t="str">
        <f>IFERROR(__xludf.DUMMYFUNCTION("SPLIT('2. c'!B1879, "" "", True, True)"),"Dehalococcoides")</f>
        <v>Dehalococcoides</v>
      </c>
      <c r="D1879" t="str">
        <f>IFERROR(__xludf.DUMMYFUNCTION("""COMPUTED_VALUE"""),"mccartyi")</f>
        <v>mccartyi</v>
      </c>
      <c r="E1879" t="str">
        <f>IFERROR(__xludf.DUMMYFUNCTION("""COMPUTED_VALUE"""),"CG4")</f>
        <v>CG4</v>
      </c>
    </row>
    <row r="1880" ht="15.75" customHeight="1">
      <c r="A1880" t="str">
        <f t="shared" si="1"/>
        <v>D.mccartyi</v>
      </c>
      <c r="B1880" s="5" t="s">
        <v>4848</v>
      </c>
      <c r="C1880" s="6" t="str">
        <f>IFERROR(__xludf.DUMMYFUNCTION("SPLIT('2. c'!B1880, "" "", True, True)"),"Dehalococcoides")</f>
        <v>Dehalococcoides</v>
      </c>
      <c r="D1880" t="str">
        <f>IFERROR(__xludf.DUMMYFUNCTION("""COMPUTED_VALUE"""),"mccartyi")</f>
        <v>mccartyi</v>
      </c>
      <c r="E1880" t="str">
        <f>IFERROR(__xludf.DUMMYFUNCTION("""COMPUTED_VALUE"""),"CG5")</f>
        <v>CG5</v>
      </c>
    </row>
    <row r="1881" ht="15.75" customHeight="1">
      <c r="A1881" t="str">
        <f t="shared" si="1"/>
        <v>D.mccartyi</v>
      </c>
      <c r="B1881" s="5" t="s">
        <v>4863</v>
      </c>
      <c r="C1881" s="6" t="str">
        <f>IFERROR(__xludf.DUMMYFUNCTION("SPLIT('2. c'!B1881, "" "", True, True)"),"Dehalococcoides")</f>
        <v>Dehalococcoides</v>
      </c>
      <c r="D1881" t="str">
        <f>IFERROR(__xludf.DUMMYFUNCTION("""COMPUTED_VALUE"""),"mccartyi")</f>
        <v>mccartyi</v>
      </c>
      <c r="E1881" t="str">
        <f>IFERROR(__xludf.DUMMYFUNCTION("""COMPUTED_VALUE"""),"DCMB5")</f>
        <v>DCMB5</v>
      </c>
    </row>
    <row r="1882" ht="15.75" customHeight="1">
      <c r="A1882" t="str">
        <f t="shared" si="1"/>
        <v>D.mccartyi</v>
      </c>
      <c r="B1882" s="5" t="s">
        <v>4869</v>
      </c>
      <c r="C1882" s="6" t="str">
        <f>IFERROR(__xludf.DUMMYFUNCTION("SPLIT('2. c'!B1882, "" "", True, True)"),"Dehalococcoides")</f>
        <v>Dehalococcoides</v>
      </c>
      <c r="D1882" t="str">
        <f>IFERROR(__xludf.DUMMYFUNCTION("""COMPUTED_VALUE"""),"mccartyi")</f>
        <v>mccartyi</v>
      </c>
      <c r="E1882" t="str">
        <f>IFERROR(__xludf.DUMMYFUNCTION("""COMPUTED_VALUE"""),"GY50")</f>
        <v>GY50</v>
      </c>
    </row>
    <row r="1883" ht="15.75" customHeight="1">
      <c r="A1883" t="str">
        <f t="shared" si="1"/>
        <v>D.mccartyi</v>
      </c>
      <c r="B1883" s="5" t="s">
        <v>4872</v>
      </c>
      <c r="C1883" s="6" t="str">
        <f>IFERROR(__xludf.DUMMYFUNCTION("SPLIT('2. c'!B1883, "" "", True, True)"),"Dehalococcoides")</f>
        <v>Dehalococcoides</v>
      </c>
      <c r="D1883" t="str">
        <f>IFERROR(__xludf.DUMMYFUNCTION("""COMPUTED_VALUE"""),"mccartyi")</f>
        <v>mccartyi</v>
      </c>
      <c r="E1883" t="str">
        <f>IFERROR(__xludf.DUMMYFUNCTION("""COMPUTED_VALUE"""),"IBARAKI")</f>
        <v>IBARAKI</v>
      </c>
    </row>
    <row r="1884" ht="15.75" customHeight="1">
      <c r="A1884" t="str">
        <f t="shared" si="1"/>
        <v>D.mccartyi</v>
      </c>
      <c r="B1884" s="5" t="s">
        <v>4877</v>
      </c>
      <c r="C1884" s="6" t="str">
        <f>IFERROR(__xludf.DUMMYFUNCTION("SPLIT('2. c'!B1884, "" "", True, True)"),"Dehalococcoides")</f>
        <v>Dehalococcoides</v>
      </c>
      <c r="D1884" t="str">
        <f>IFERROR(__xludf.DUMMYFUNCTION("""COMPUTED_VALUE"""),"mccartyi")</f>
        <v>mccartyi</v>
      </c>
      <c r="E1884" t="str">
        <f>IFERROR(__xludf.DUMMYFUNCTION("""COMPUTED_VALUE"""),"strain")</f>
        <v>strain</v>
      </c>
      <c r="F1884" t="str">
        <f>IFERROR(__xludf.DUMMYFUNCTION("""COMPUTED_VALUE"""),"11a5")</f>
        <v>11a5</v>
      </c>
    </row>
    <row r="1885" ht="15.75" customHeight="1">
      <c r="A1885" t="str">
        <f t="shared" si="1"/>
        <v>D.sp.</v>
      </c>
      <c r="B1885" s="5" t="s">
        <v>4883</v>
      </c>
      <c r="C1885" s="6" t="str">
        <f>IFERROR(__xludf.DUMMYFUNCTION("SPLIT('2. c'!B1885, "" "", True, True)"),"Dehalococcoides")</f>
        <v>Dehalococcoides</v>
      </c>
      <c r="D1885" t="str">
        <f>IFERROR(__xludf.DUMMYFUNCTION("""COMPUTED_VALUE"""),"sp.")</f>
        <v>sp.</v>
      </c>
      <c r="E1885" t="str">
        <f>IFERROR(__xludf.DUMMYFUNCTION("""COMPUTED_VALUE"""),"BAV1")</f>
        <v>BAV1</v>
      </c>
    </row>
    <row r="1886" ht="15.75" customHeight="1">
      <c r="A1886" t="str">
        <f t="shared" si="1"/>
        <v>D.sp.</v>
      </c>
      <c r="B1886" s="5" t="s">
        <v>4889</v>
      </c>
      <c r="C1886" s="6" t="str">
        <f>IFERROR(__xludf.DUMMYFUNCTION("SPLIT('2. c'!B1886, "" "", True, True)"),"Dehalococcoides")</f>
        <v>Dehalococcoides</v>
      </c>
      <c r="D1886" t="str">
        <f>IFERROR(__xludf.DUMMYFUNCTION("""COMPUTED_VALUE"""),"sp.")</f>
        <v>sp.</v>
      </c>
      <c r="E1886" t="str">
        <f>IFERROR(__xludf.DUMMYFUNCTION("""COMPUTED_VALUE"""),"CBDB1")</f>
        <v>CBDB1</v>
      </c>
    </row>
    <row r="1887" ht="15.75" customHeight="1">
      <c r="A1887" t="str">
        <f t="shared" si="1"/>
        <v>D.sp.</v>
      </c>
      <c r="B1887" s="5" t="s">
        <v>4894</v>
      </c>
      <c r="C1887" s="6" t="str">
        <f>IFERROR(__xludf.DUMMYFUNCTION("SPLIT('2. c'!B1887, "" "", True, True)"),"Dehalococcoides")</f>
        <v>Dehalococcoides</v>
      </c>
      <c r="D1887" t="str">
        <f>IFERROR(__xludf.DUMMYFUNCTION("""COMPUTED_VALUE"""),"sp.")</f>
        <v>sp.</v>
      </c>
      <c r="E1887" t="str">
        <f>IFERROR(__xludf.DUMMYFUNCTION("""COMPUTED_VALUE"""),"GT")</f>
        <v>GT</v>
      </c>
    </row>
    <row r="1888" ht="15.75" customHeight="1">
      <c r="A1888" t="str">
        <f t="shared" si="1"/>
        <v>D.sp.</v>
      </c>
      <c r="B1888" s="5" t="s">
        <v>4903</v>
      </c>
      <c r="C1888" s="6" t="str">
        <f>IFERROR(__xludf.DUMMYFUNCTION("SPLIT('2. c'!B1888, "" "", True, True)"),"Dehalococcoides")</f>
        <v>Dehalococcoides</v>
      </c>
      <c r="D1888" t="str">
        <f>IFERROR(__xludf.DUMMYFUNCTION("""COMPUTED_VALUE"""),"sp.")</f>
        <v>sp.</v>
      </c>
      <c r="E1888" t="str">
        <f>IFERROR(__xludf.DUMMYFUNCTION("""COMPUTED_VALUE"""),"UCH007")</f>
        <v>UCH007</v>
      </c>
    </row>
    <row r="1889" ht="15.75" customHeight="1">
      <c r="A1889" t="str">
        <f t="shared" si="1"/>
        <v>D.sp.</v>
      </c>
      <c r="B1889" s="5" t="s">
        <v>4907</v>
      </c>
      <c r="C1889" s="6" t="str">
        <f>IFERROR(__xludf.DUMMYFUNCTION("SPLIT('2. c'!B1889, "" "", True, True)"),"Dehalococcoides")</f>
        <v>Dehalococcoides</v>
      </c>
      <c r="D1889" t="str">
        <f>IFERROR(__xludf.DUMMYFUNCTION("""COMPUTED_VALUE"""),"sp.")</f>
        <v>sp.</v>
      </c>
      <c r="E1889" t="str">
        <f>IFERROR(__xludf.DUMMYFUNCTION("""COMPUTED_VALUE"""),"VS")</f>
        <v>VS</v>
      </c>
    </row>
    <row r="1890" ht="15.75" customHeight="1">
      <c r="A1890" t="str">
        <f t="shared" si="1"/>
        <v>D.alkenigignens</v>
      </c>
      <c r="B1890" s="5" t="s">
        <v>4912</v>
      </c>
      <c r="C1890" s="6" t="str">
        <f>IFERROR(__xludf.DUMMYFUNCTION("SPLIT('2. c'!B1890, "" "", True, True)"),"Dehalogenimonas")</f>
        <v>Dehalogenimonas</v>
      </c>
      <c r="D1890" t="str">
        <f>IFERROR(__xludf.DUMMYFUNCTION("""COMPUTED_VALUE"""),"alkenigignens")</f>
        <v>alkenigignens</v>
      </c>
      <c r="E1890" t="str">
        <f>IFERROR(__xludf.DUMMYFUNCTION("""COMPUTED_VALUE"""),"strain")</f>
        <v>strain</v>
      </c>
      <c r="F1890" t="str">
        <f>IFERROR(__xludf.DUMMYFUNCTION("""COMPUTED_VALUE"""),"IP3-3")</f>
        <v>IP3-3</v>
      </c>
    </row>
    <row r="1891" ht="15.75" customHeight="1">
      <c r="A1891" t="str">
        <f t="shared" si="1"/>
        <v>D.lykanthroporepellens</v>
      </c>
      <c r="B1891" s="5" t="s">
        <v>4921</v>
      </c>
      <c r="C1891" s="6" t="str">
        <f>IFERROR(__xludf.DUMMYFUNCTION("SPLIT('2. c'!B1891, "" "", True, True)"),"Dehalogenimonas")</f>
        <v>Dehalogenimonas</v>
      </c>
      <c r="D1891" t="str">
        <f>IFERROR(__xludf.DUMMYFUNCTION("""COMPUTED_VALUE"""),"lykanthroporepellens")</f>
        <v>lykanthroporepellens</v>
      </c>
      <c r="E1891" t="str">
        <f>IFERROR(__xludf.DUMMYFUNCTION("""COMPUTED_VALUE"""),"BL-DC-9")</f>
        <v>BL-DC-9</v>
      </c>
    </row>
    <row r="1892" ht="15.75" customHeight="1">
      <c r="A1892" t="str">
        <f t="shared" si="1"/>
        <v>D.sp.</v>
      </c>
      <c r="B1892" s="5" t="s">
        <v>4931</v>
      </c>
      <c r="C1892" s="6" t="str">
        <f>IFERROR(__xludf.DUMMYFUNCTION("SPLIT('2. c'!B1892, "" "", True, True)"),"Dehalogenimonas")</f>
        <v>Dehalogenimonas</v>
      </c>
      <c r="D1892" t="str">
        <f>IFERROR(__xludf.DUMMYFUNCTION("""COMPUTED_VALUE"""),"sp.")</f>
        <v>sp.</v>
      </c>
      <c r="E1892" t="str">
        <f>IFERROR(__xludf.DUMMYFUNCTION("""COMPUTED_VALUE"""),"WBC-2")</f>
        <v>WBC-2</v>
      </c>
    </row>
    <row r="1893" ht="15.75" customHeight="1">
      <c r="A1893" t="str">
        <f t="shared" si="1"/>
        <v>D.actinosclerus</v>
      </c>
      <c r="B1893" s="5" t="s">
        <v>4941</v>
      </c>
      <c r="C1893" s="6" t="str">
        <f>IFERROR(__xludf.DUMMYFUNCTION("SPLIT('2. c'!B1893, "" "", True, True)"),"Deinococcus")</f>
        <v>Deinococcus</v>
      </c>
      <c r="D1893" t="str">
        <f>IFERROR(__xludf.DUMMYFUNCTION("""COMPUTED_VALUE"""),"actinosclerus")</f>
        <v>actinosclerus</v>
      </c>
      <c r="E1893" t="str">
        <f>IFERROR(__xludf.DUMMYFUNCTION("""COMPUTED_VALUE"""),"strain")</f>
        <v>strain</v>
      </c>
      <c r="F1893" t="str">
        <f>IFERROR(__xludf.DUMMYFUNCTION("""COMPUTED_VALUE"""),"BM2")</f>
        <v>BM2</v>
      </c>
    </row>
    <row r="1894" ht="15.75" customHeight="1">
      <c r="A1894" t="str">
        <f t="shared" si="1"/>
        <v>D.deserti</v>
      </c>
      <c r="B1894" s="5" t="s">
        <v>4951</v>
      </c>
      <c r="C1894" s="6" t="str">
        <f>IFERROR(__xludf.DUMMYFUNCTION("SPLIT('2. c'!B1894, "" "", True, True)"),"Deinococcus")</f>
        <v>Deinococcus</v>
      </c>
      <c r="D1894" t="str">
        <f>IFERROR(__xludf.DUMMYFUNCTION("""COMPUTED_VALUE"""),"deserti")</f>
        <v>deserti</v>
      </c>
      <c r="E1894" t="str">
        <f>IFERROR(__xludf.DUMMYFUNCTION("""COMPUTED_VALUE"""),"VCD115")</f>
        <v>VCD115</v>
      </c>
    </row>
    <row r="1895" ht="15.75" customHeight="1">
      <c r="A1895" t="str">
        <f t="shared" si="1"/>
        <v>D.geothermalis</v>
      </c>
      <c r="B1895" s="5" t="s">
        <v>4961</v>
      </c>
      <c r="C1895" s="6" t="str">
        <f>IFERROR(__xludf.DUMMYFUNCTION("SPLIT('2. c'!B1895, "" "", True, True)"),"Deinococcus")</f>
        <v>Deinococcus</v>
      </c>
      <c r="D1895" t="str">
        <f>IFERROR(__xludf.DUMMYFUNCTION("""COMPUTED_VALUE"""),"geothermalis")</f>
        <v>geothermalis</v>
      </c>
      <c r="E1895" t="str">
        <f>IFERROR(__xludf.DUMMYFUNCTION("""COMPUTED_VALUE"""),"DSM")</f>
        <v>DSM</v>
      </c>
      <c r="F1895">
        <f>IFERROR(__xludf.DUMMYFUNCTION("""COMPUTED_VALUE"""),11300.0)</f>
        <v>11300</v>
      </c>
    </row>
    <row r="1896" ht="15.75" customHeight="1">
      <c r="A1896" t="str">
        <f t="shared" si="1"/>
        <v>D.gobiensis</v>
      </c>
      <c r="B1896" s="5" t="s">
        <v>4971</v>
      </c>
      <c r="C1896" s="6" t="str">
        <f>IFERROR(__xludf.DUMMYFUNCTION("SPLIT('2. c'!B1896, "" "", True, True)"),"Deinococcus")</f>
        <v>Deinococcus</v>
      </c>
      <c r="D1896" t="str">
        <f>IFERROR(__xludf.DUMMYFUNCTION("""COMPUTED_VALUE"""),"gobiensis")</f>
        <v>gobiensis</v>
      </c>
      <c r="E1896" t="str">
        <f>IFERROR(__xludf.DUMMYFUNCTION("""COMPUTED_VALUE"""),"I-0")</f>
        <v>I-0</v>
      </c>
    </row>
    <row r="1897" ht="15.75" customHeight="1">
      <c r="A1897" t="str">
        <f t="shared" si="1"/>
        <v>D.maricopensis</v>
      </c>
      <c r="B1897" s="5" t="s">
        <v>4979</v>
      </c>
      <c r="C1897" s="6" t="str">
        <f>IFERROR(__xludf.DUMMYFUNCTION("SPLIT('2. c'!B1897, "" "", True, True)"),"Deinococcus")</f>
        <v>Deinococcus</v>
      </c>
      <c r="D1897" t="str">
        <f>IFERROR(__xludf.DUMMYFUNCTION("""COMPUTED_VALUE"""),"maricopensis")</f>
        <v>maricopensis</v>
      </c>
      <c r="E1897" t="str">
        <f>IFERROR(__xludf.DUMMYFUNCTION("""COMPUTED_VALUE"""),"DSM")</f>
        <v>DSM</v>
      </c>
      <c r="F1897">
        <f>IFERROR(__xludf.DUMMYFUNCTION("""COMPUTED_VALUE"""),21211.0)</f>
        <v>21211</v>
      </c>
    </row>
    <row r="1898" ht="15.75" customHeight="1">
      <c r="A1898" t="str">
        <f t="shared" si="1"/>
        <v>D.peraridilitoris</v>
      </c>
      <c r="B1898" s="5" t="s">
        <v>4991</v>
      </c>
      <c r="C1898" s="6" t="str">
        <f>IFERROR(__xludf.DUMMYFUNCTION("SPLIT('2. c'!B1898, "" "", True, True)"),"Deinococcus")</f>
        <v>Deinococcus</v>
      </c>
      <c r="D1898" t="str">
        <f>IFERROR(__xludf.DUMMYFUNCTION("""COMPUTED_VALUE"""),"peraridilitoris")</f>
        <v>peraridilitoris</v>
      </c>
      <c r="E1898" t="str">
        <f>IFERROR(__xludf.DUMMYFUNCTION("""COMPUTED_VALUE"""),"DSM")</f>
        <v>DSM</v>
      </c>
      <c r="F1898">
        <f>IFERROR(__xludf.DUMMYFUNCTION("""COMPUTED_VALUE"""),19664.0)</f>
        <v>19664</v>
      </c>
    </row>
    <row r="1899" ht="15.75" customHeight="1">
      <c r="A1899" t="str">
        <f t="shared" si="1"/>
        <v>D.proteolyticus</v>
      </c>
      <c r="B1899" s="5" t="s">
        <v>5003</v>
      </c>
      <c r="C1899" s="6" t="str">
        <f>IFERROR(__xludf.DUMMYFUNCTION("SPLIT('2. c'!B1899, "" "", True, True)"),"Deinococcus")</f>
        <v>Deinococcus</v>
      </c>
      <c r="D1899" t="str">
        <f>IFERROR(__xludf.DUMMYFUNCTION("""COMPUTED_VALUE"""),"proteolyticus")</f>
        <v>proteolyticus</v>
      </c>
      <c r="E1899" t="str">
        <f>IFERROR(__xludf.DUMMYFUNCTION("""COMPUTED_VALUE"""),"MRP")</f>
        <v>MRP</v>
      </c>
    </row>
    <row r="1900" ht="15.75" customHeight="1">
      <c r="A1900" t="str">
        <f t="shared" si="1"/>
        <v>D.puniceus</v>
      </c>
      <c r="B1900" s="5" t="s">
        <v>5013</v>
      </c>
      <c r="C1900" s="6" t="str">
        <f>IFERROR(__xludf.DUMMYFUNCTION("SPLIT('2. c'!B1900, "" "", True, True)"),"Deinococcus")</f>
        <v>Deinococcus</v>
      </c>
      <c r="D1900" t="str">
        <f>IFERROR(__xludf.DUMMYFUNCTION("""COMPUTED_VALUE"""),"puniceus")</f>
        <v>puniceus</v>
      </c>
      <c r="E1900" t="str">
        <f>IFERROR(__xludf.DUMMYFUNCTION("""COMPUTED_VALUE"""),"strain")</f>
        <v>strain</v>
      </c>
      <c r="F1900" t="str">
        <f>IFERROR(__xludf.DUMMYFUNCTION("""COMPUTED_VALUE"""),"DY1")</f>
        <v>DY1</v>
      </c>
    </row>
    <row r="1901" ht="15.75" customHeight="1">
      <c r="A1901" t="str">
        <f t="shared" si="1"/>
        <v>D.radiodurans</v>
      </c>
      <c r="B1901" s="5" t="s">
        <v>5023</v>
      </c>
      <c r="C1901" s="6" t="str">
        <f>IFERROR(__xludf.DUMMYFUNCTION("SPLIT('2. c'!B1901, "" "", True, True)"),"Deinococcus")</f>
        <v>Deinococcus</v>
      </c>
      <c r="D1901" t="str">
        <f>IFERROR(__xludf.DUMMYFUNCTION("""COMPUTED_VALUE"""),"radiodurans")</f>
        <v>radiodurans</v>
      </c>
      <c r="E1901" t="str">
        <f>IFERROR(__xludf.DUMMYFUNCTION("""COMPUTED_VALUE"""),"R1")</f>
        <v>R1</v>
      </c>
    </row>
    <row r="1902" ht="15.75" customHeight="1">
      <c r="A1902" t="str">
        <f t="shared" si="1"/>
        <v>D.radiodurans</v>
      </c>
      <c r="B1902" s="5" t="s">
        <v>5023</v>
      </c>
      <c r="C1902" s="6" t="str">
        <f>IFERROR(__xludf.DUMMYFUNCTION("SPLIT('2. c'!B1902, "" "", True, True)"),"Deinococcus")</f>
        <v>Deinococcus</v>
      </c>
      <c r="D1902" t="str">
        <f>IFERROR(__xludf.DUMMYFUNCTION("""COMPUTED_VALUE"""),"radiodurans")</f>
        <v>radiodurans</v>
      </c>
      <c r="E1902" t="str">
        <f>IFERROR(__xludf.DUMMYFUNCTION("""COMPUTED_VALUE"""),"R1")</f>
        <v>R1</v>
      </c>
    </row>
    <row r="1903" ht="15.75" customHeight="1">
      <c r="A1903" t="str">
        <f t="shared" si="1"/>
        <v>D.soli'</v>
      </c>
      <c r="B1903" s="5" t="s">
        <v>5045</v>
      </c>
      <c r="C1903" s="6" t="str">
        <f>IFERROR(__xludf.DUMMYFUNCTION("SPLIT('2. c'!B1903, "" "", True, True)"),"Deinococcus")</f>
        <v>Deinococcus</v>
      </c>
      <c r="D1903" t="str">
        <f>IFERROR(__xludf.DUMMYFUNCTION("""COMPUTED_VALUE"""),"soli'")</f>
        <v>soli'</v>
      </c>
      <c r="E1903" t="str">
        <f>IFERROR(__xludf.DUMMYFUNCTION("""COMPUTED_VALUE"""),"Cha")</f>
        <v>Cha</v>
      </c>
      <c r="F1903" t="str">
        <f>IFERROR(__xludf.DUMMYFUNCTION("""COMPUTED_VALUE"""),"et")</f>
        <v>et</v>
      </c>
      <c r="G1903" t="str">
        <f>IFERROR(__xludf.DUMMYFUNCTION("""COMPUTED_VALUE"""),"al.")</f>
        <v>al.</v>
      </c>
      <c r="H1903">
        <f>IFERROR(__xludf.DUMMYFUNCTION("""COMPUTED_VALUE"""),2014.0)</f>
        <v>2014</v>
      </c>
      <c r="I1903" t="str">
        <f>IFERROR(__xludf.DUMMYFUNCTION("""COMPUTED_VALUE"""),"strain")</f>
        <v>strain</v>
      </c>
      <c r="J1903" t="str">
        <f>IFERROR(__xludf.DUMMYFUNCTION("""COMPUTED_VALUE"""),"N5")</f>
        <v>N5</v>
      </c>
    </row>
    <row r="1904" ht="15.75" customHeight="1">
      <c r="A1904" t="str">
        <f t="shared" si="1"/>
        <v>D.swuensis</v>
      </c>
      <c r="B1904" s="5" t="s">
        <v>5058</v>
      </c>
      <c r="C1904" s="6" t="str">
        <f>IFERROR(__xludf.DUMMYFUNCTION("SPLIT('2. c'!B1904, "" "", True, True)"),"Deinococcus")</f>
        <v>Deinococcus</v>
      </c>
      <c r="D1904" t="str">
        <f>IFERROR(__xludf.DUMMYFUNCTION("""COMPUTED_VALUE"""),"swuensis")</f>
        <v>swuensis</v>
      </c>
      <c r="E1904" t="str">
        <f>IFERROR(__xludf.DUMMYFUNCTION("""COMPUTED_VALUE"""),"DY59")</f>
        <v>DY59</v>
      </c>
    </row>
    <row r="1905" ht="15.75" customHeight="1">
      <c r="A1905" t="str">
        <f t="shared" si="1"/>
        <v>D.acidovorans</v>
      </c>
      <c r="B1905" s="5" t="s">
        <v>5068</v>
      </c>
      <c r="C1905" s="6" t="str">
        <f>IFERROR(__xludf.DUMMYFUNCTION("SPLIT('2. c'!B1905, "" "", True, True)"),"Delftia")</f>
        <v>Delftia</v>
      </c>
      <c r="D1905" t="str">
        <f>IFERROR(__xludf.DUMMYFUNCTION("""COMPUTED_VALUE"""),"acidovorans")</f>
        <v>acidovorans</v>
      </c>
      <c r="E1905" t="str">
        <f>IFERROR(__xludf.DUMMYFUNCTION("""COMPUTED_VALUE"""),"SPH-1")</f>
        <v>SPH-1</v>
      </c>
    </row>
    <row r="1906" ht="15.75" customHeight="1">
      <c r="A1906" t="str">
        <f t="shared" si="1"/>
        <v>D.acidovorans</v>
      </c>
      <c r="B1906" s="5" t="s">
        <v>5078</v>
      </c>
      <c r="C1906" s="6" t="str">
        <f>IFERROR(__xludf.DUMMYFUNCTION("SPLIT('2. c'!B1906, "" "", True, True)"),"Delftia")</f>
        <v>Delftia</v>
      </c>
      <c r="D1906" t="str">
        <f>IFERROR(__xludf.DUMMYFUNCTION("""COMPUTED_VALUE"""),"acidovorans")</f>
        <v>acidovorans</v>
      </c>
      <c r="E1906" t="str">
        <f>IFERROR(__xludf.DUMMYFUNCTION("""COMPUTED_VALUE"""),"strain")</f>
        <v>strain</v>
      </c>
      <c r="F1906">
        <f>IFERROR(__xludf.DUMMYFUNCTION("""COMPUTED_VALUE"""),2167.0)</f>
        <v>2167</v>
      </c>
    </row>
    <row r="1907" ht="15.75" customHeight="1">
      <c r="A1907" t="str">
        <f t="shared" si="1"/>
        <v>D.sp.</v>
      </c>
      <c r="B1907" s="5" t="s">
        <v>5090</v>
      </c>
      <c r="C1907" s="6" t="str">
        <f>IFERROR(__xludf.DUMMYFUNCTION("SPLIT('2. c'!B1907, "" "", True, True)"),"Delftia")</f>
        <v>Delftia</v>
      </c>
      <c r="D1907" t="str">
        <f>IFERROR(__xludf.DUMMYFUNCTION("""COMPUTED_VALUE"""),"sp.")</f>
        <v>sp.</v>
      </c>
      <c r="E1907" t="str">
        <f>IFERROR(__xludf.DUMMYFUNCTION("""COMPUTED_VALUE"""),"Cs1-4")</f>
        <v>Cs1-4</v>
      </c>
    </row>
    <row r="1908" ht="15.75" customHeight="1">
      <c r="A1908" t="str">
        <f t="shared" si="1"/>
        <v>d.proteobacterium</v>
      </c>
      <c r="B1908" s="5" t="s">
        <v>5100</v>
      </c>
      <c r="C1908" s="6" t="str">
        <f>IFERROR(__xludf.DUMMYFUNCTION("SPLIT('2. c'!B1908, "" "", True, True)"),"delta")</f>
        <v>delta</v>
      </c>
      <c r="D1908" t="str">
        <f>IFERROR(__xludf.DUMMYFUNCTION("""COMPUTED_VALUE"""),"proteobacterium")</f>
        <v>proteobacterium</v>
      </c>
      <c r="E1908" t="str">
        <f>IFERROR(__xludf.DUMMYFUNCTION("""COMPUTED_VALUE"""),"BABL1")</f>
        <v>BABL1</v>
      </c>
    </row>
    <row r="1909" ht="15.75" customHeight="1">
      <c r="A1909" t="str">
        <f t="shared" si="1"/>
        <v>d.proteobacterium</v>
      </c>
      <c r="B1909" s="5" t="s">
        <v>5109</v>
      </c>
      <c r="C1909" s="6" t="str">
        <f>IFERROR(__xludf.DUMMYFUNCTION("SPLIT('2. c'!B1909, "" "", True, True)"),"delta")</f>
        <v>delta</v>
      </c>
      <c r="D1909" t="str">
        <f>IFERROR(__xludf.DUMMYFUNCTION("""COMPUTED_VALUE"""),"proteobacterium")</f>
        <v>proteobacterium</v>
      </c>
      <c r="E1909" t="str">
        <f>IFERROR(__xludf.DUMMYFUNCTION("""COMPUTED_VALUE"""),"HotSeep1")</f>
        <v>HotSeep1</v>
      </c>
    </row>
    <row r="1910" ht="15.75" customHeight="1">
      <c r="A1910" t="str">
        <f t="shared" si="1"/>
        <v>D.detoxificans</v>
      </c>
      <c r="B1910" s="5" t="s">
        <v>5115</v>
      </c>
      <c r="C1910" s="6" t="str">
        <f>IFERROR(__xludf.DUMMYFUNCTION("SPLIT('2. c'!B1910, "" "", True, True)"),"Denitrobacterium")</f>
        <v>Denitrobacterium</v>
      </c>
      <c r="D1910" t="str">
        <f>IFERROR(__xludf.DUMMYFUNCTION("""COMPUTED_VALUE"""),"detoxificans")</f>
        <v>detoxificans</v>
      </c>
      <c r="E1910" t="str">
        <f>IFERROR(__xludf.DUMMYFUNCTION("""COMPUTED_VALUE"""),"strain")</f>
        <v>strain</v>
      </c>
      <c r="F1910" t="str">
        <f>IFERROR(__xludf.DUMMYFUNCTION("""COMPUTED_VALUE"""),"NPOH1")</f>
        <v>NPOH1</v>
      </c>
    </row>
    <row r="1911" ht="15.75" customHeight="1">
      <c r="A1911" t="str">
        <f t="shared" si="1"/>
        <v>D.acetiphilus</v>
      </c>
      <c r="B1911" s="5" t="s">
        <v>5124</v>
      </c>
      <c r="C1911" s="6" t="str">
        <f>IFERROR(__xludf.DUMMYFUNCTION("SPLIT('2. c'!B1911, "" "", True, True)"),"Denitrovibrio")</f>
        <v>Denitrovibrio</v>
      </c>
      <c r="D1911" t="str">
        <f>IFERROR(__xludf.DUMMYFUNCTION("""COMPUTED_VALUE"""),"acetiphilus")</f>
        <v>acetiphilus</v>
      </c>
      <c r="E1911" t="str">
        <f>IFERROR(__xludf.DUMMYFUNCTION("""COMPUTED_VALUE"""),"DSM")</f>
        <v>DSM</v>
      </c>
      <c r="F1911">
        <f>IFERROR(__xludf.DUMMYFUNCTION("""COMPUTED_VALUE"""),12809.0)</f>
        <v>12809</v>
      </c>
    </row>
    <row r="1912" ht="15.75" customHeight="1">
      <c r="A1912" t="str">
        <f t="shared" si="1"/>
        <v>D.nishinomiyaensis</v>
      </c>
      <c r="B1912" s="5" t="s">
        <v>5133</v>
      </c>
      <c r="C1912" s="6" t="str">
        <f>IFERROR(__xludf.DUMMYFUNCTION("SPLIT('2. c'!B1912, "" "", True, True)"),"Dermacoccus")</f>
        <v>Dermacoccus</v>
      </c>
      <c r="D1912" t="str">
        <f>IFERROR(__xludf.DUMMYFUNCTION("""COMPUTED_VALUE"""),"nishinomiyaensis")</f>
        <v>nishinomiyaensis</v>
      </c>
      <c r="E1912" t="str">
        <f>IFERROR(__xludf.DUMMYFUNCTION("""COMPUTED_VALUE"""),"strain")</f>
        <v>strain</v>
      </c>
      <c r="F1912" t="str">
        <f>IFERROR(__xludf.DUMMYFUNCTION("""COMPUTED_VALUE"""),"M25")</f>
        <v>M25</v>
      </c>
    </row>
    <row r="1913" ht="15.75" customHeight="1">
      <c r="A1913" t="str">
        <f t="shared" si="1"/>
        <v>D.baarsii</v>
      </c>
      <c r="B1913" s="5" t="s">
        <v>5141</v>
      </c>
      <c r="C1913" s="6" t="str">
        <f>IFERROR(__xludf.DUMMYFUNCTION("SPLIT('2. c'!B1913, "" "", True, True)"),"Desulfarculus")</f>
        <v>Desulfarculus</v>
      </c>
      <c r="D1913" t="str">
        <f>IFERROR(__xludf.DUMMYFUNCTION("""COMPUTED_VALUE"""),"baarsii")</f>
        <v>baarsii</v>
      </c>
      <c r="E1913" t="str">
        <f>IFERROR(__xludf.DUMMYFUNCTION("""COMPUTED_VALUE"""),"DSM")</f>
        <v>DSM</v>
      </c>
      <c r="F1913">
        <f>IFERROR(__xludf.DUMMYFUNCTION("""COMPUTED_VALUE"""),2075.0)</f>
        <v>2075</v>
      </c>
    </row>
    <row r="1914" ht="15.75" customHeight="1">
      <c r="A1914" t="str">
        <f t="shared" si="1"/>
        <v>D.alkenivorans</v>
      </c>
      <c r="B1914" s="5" t="s">
        <v>5151</v>
      </c>
      <c r="C1914" s="6" t="str">
        <f>IFERROR(__xludf.DUMMYFUNCTION("SPLIT('2. c'!B1914, "" "", True, True)"),"Desulfatibacillum")</f>
        <v>Desulfatibacillum</v>
      </c>
      <c r="D1914" t="str">
        <f>IFERROR(__xludf.DUMMYFUNCTION("""COMPUTED_VALUE"""),"alkenivorans")</f>
        <v>alkenivorans</v>
      </c>
      <c r="E1914" t="str">
        <f>IFERROR(__xludf.DUMMYFUNCTION("""COMPUTED_VALUE"""),"AK-01")</f>
        <v>AK-01</v>
      </c>
    </row>
    <row r="1915" ht="15.75" customHeight="1">
      <c r="A1915" t="str">
        <f t="shared" si="1"/>
        <v>D.hafniense</v>
      </c>
      <c r="B1915" s="5" t="s">
        <v>5160</v>
      </c>
      <c r="C1915" s="6" t="str">
        <f>IFERROR(__xludf.DUMMYFUNCTION("SPLIT('2. c'!B1915, "" "", True, True)"),"Desulfitobacterium")</f>
        <v>Desulfitobacterium</v>
      </c>
      <c r="D1915" t="str">
        <f>IFERROR(__xludf.DUMMYFUNCTION("""COMPUTED_VALUE"""),"hafniense")</f>
        <v>hafniense</v>
      </c>
      <c r="E1915" t="str">
        <f>IFERROR(__xludf.DUMMYFUNCTION("""COMPUTED_VALUE"""),"DCB-2")</f>
        <v>DCB-2</v>
      </c>
    </row>
    <row r="1916" ht="15.75" customHeight="1">
      <c r="A1916" t="str">
        <f t="shared" si="1"/>
        <v>D.hafniense</v>
      </c>
      <c r="B1916" s="5" t="s">
        <v>5170</v>
      </c>
      <c r="C1916" s="6" t="str">
        <f>IFERROR(__xludf.DUMMYFUNCTION("SPLIT('2. c'!B1916, "" "", True, True)"),"Desulfitobacterium")</f>
        <v>Desulfitobacterium</v>
      </c>
      <c r="D1916" t="str">
        <f>IFERROR(__xludf.DUMMYFUNCTION("""COMPUTED_VALUE"""),"hafniense")</f>
        <v>hafniense</v>
      </c>
      <c r="E1916" t="str">
        <f>IFERROR(__xludf.DUMMYFUNCTION("""COMPUTED_VALUE"""),"Y51")</f>
        <v>Y51</v>
      </c>
    </row>
    <row r="1917" ht="15.75" customHeight="1">
      <c r="A1917" t="str">
        <f t="shared" si="1"/>
        <v>D.acetoxidans</v>
      </c>
      <c r="B1917" s="5" t="s">
        <v>5176</v>
      </c>
      <c r="C1917" s="6" t="str">
        <f>IFERROR(__xludf.DUMMYFUNCTION("SPLIT('2. c'!B1917, "" "", True, True)"),"Desulfobacca")</f>
        <v>Desulfobacca</v>
      </c>
      <c r="D1917" t="str">
        <f>IFERROR(__xludf.DUMMYFUNCTION("""COMPUTED_VALUE"""),"acetoxidans")</f>
        <v>acetoxidans</v>
      </c>
      <c r="E1917" t="str">
        <f>IFERROR(__xludf.DUMMYFUNCTION("""COMPUTED_VALUE"""),"DSM")</f>
        <v>DSM</v>
      </c>
      <c r="F1917">
        <f>IFERROR(__xludf.DUMMYFUNCTION("""COMPUTED_VALUE"""),11109.0)</f>
        <v>11109</v>
      </c>
    </row>
    <row r="1918" ht="15.75" customHeight="1">
      <c r="A1918" t="str">
        <f t="shared" si="1"/>
        <v>D.autotrophicum</v>
      </c>
      <c r="B1918" s="5" t="s">
        <v>5189</v>
      </c>
      <c r="C1918" s="6" t="str">
        <f>IFERROR(__xludf.DUMMYFUNCTION("SPLIT('2. c'!B1918, "" "", True, True)"),"Desulfobacterium")</f>
        <v>Desulfobacterium</v>
      </c>
      <c r="D1918" t="str">
        <f>IFERROR(__xludf.DUMMYFUNCTION("""COMPUTED_VALUE"""),"autotrophicum")</f>
        <v>autotrophicum</v>
      </c>
      <c r="E1918" t="str">
        <f>IFERROR(__xludf.DUMMYFUNCTION("""COMPUTED_VALUE"""),"HRM2")</f>
        <v>HRM2</v>
      </c>
    </row>
    <row r="1919" ht="15.75" customHeight="1">
      <c r="A1919" t="str">
        <f t="shared" si="1"/>
        <v>D.toluolica</v>
      </c>
      <c r="B1919" s="5" t="s">
        <v>5196</v>
      </c>
      <c r="C1919" s="6" t="str">
        <f>IFERROR(__xludf.DUMMYFUNCTION("SPLIT('2. c'!B1919, "" "", True, True)"),"Desulfobacula")</f>
        <v>Desulfobacula</v>
      </c>
      <c r="D1919" t="str">
        <f>IFERROR(__xludf.DUMMYFUNCTION("""COMPUTED_VALUE"""),"toluolica")</f>
        <v>toluolica</v>
      </c>
      <c r="E1919" t="str">
        <f>IFERROR(__xludf.DUMMYFUNCTION("""COMPUTED_VALUE"""),"Tol2")</f>
        <v>Tol2</v>
      </c>
    </row>
    <row r="1920" ht="15.75" customHeight="1">
      <c r="A1920" t="str">
        <f t="shared" si="1"/>
        <v>D.propionicus</v>
      </c>
      <c r="B1920" s="5" t="s">
        <v>5206</v>
      </c>
      <c r="C1920" s="6" t="str">
        <f>IFERROR(__xludf.DUMMYFUNCTION("SPLIT('2. c'!B1920, "" "", True, True)"),"Desulfobulbus")</f>
        <v>Desulfobulbus</v>
      </c>
      <c r="D1920" t="str">
        <f>IFERROR(__xludf.DUMMYFUNCTION("""COMPUTED_VALUE"""),"propionicus")</f>
        <v>propionicus</v>
      </c>
      <c r="E1920" t="str">
        <f>IFERROR(__xludf.DUMMYFUNCTION("""COMPUTED_VALUE"""),"DSM")</f>
        <v>DSM</v>
      </c>
      <c r="F1920">
        <f>IFERROR(__xludf.DUMMYFUNCTION("""COMPUTED_VALUE"""),2032.0)</f>
        <v>2032</v>
      </c>
    </row>
    <row r="1921" ht="15.75" customHeight="1">
      <c r="A1921" t="str">
        <f t="shared" si="1"/>
        <v>D.sulfexigens</v>
      </c>
      <c r="B1921" s="5" t="s">
        <v>5214</v>
      </c>
      <c r="C1921" s="6" t="str">
        <f>IFERROR(__xludf.DUMMYFUNCTION("SPLIT('2. c'!B1921, "" "", True, True)"),"Desulfocapsa")</f>
        <v>Desulfocapsa</v>
      </c>
      <c r="D1921" t="str">
        <f>IFERROR(__xludf.DUMMYFUNCTION("""COMPUTED_VALUE"""),"sulfexigens")</f>
        <v>sulfexigens</v>
      </c>
      <c r="E1921" t="str">
        <f>IFERROR(__xludf.DUMMYFUNCTION("""COMPUTED_VALUE"""),"DSM")</f>
        <v>DSM</v>
      </c>
      <c r="F1921">
        <f>IFERROR(__xludf.DUMMYFUNCTION("""COMPUTED_VALUE"""),10523.0)</f>
        <v>10523</v>
      </c>
    </row>
    <row r="1922" ht="15.75" customHeight="1">
      <c r="A1922" t="str">
        <f t="shared" si="1"/>
        <v>D.oleovorans</v>
      </c>
      <c r="B1922" s="5" t="s">
        <v>5222</v>
      </c>
      <c r="C1922" s="6" t="str">
        <f>IFERROR(__xludf.DUMMYFUNCTION("SPLIT('2. c'!B1922, "" "", True, True)"),"Desulfococcus")</f>
        <v>Desulfococcus</v>
      </c>
      <c r="D1922" t="str">
        <f>IFERROR(__xludf.DUMMYFUNCTION("""COMPUTED_VALUE"""),"oleovorans")</f>
        <v>oleovorans</v>
      </c>
      <c r="E1922" t="str">
        <f>IFERROR(__xludf.DUMMYFUNCTION("""COMPUTED_VALUE"""),"Hxd3")</f>
        <v>Hxd3</v>
      </c>
    </row>
    <row r="1923" ht="15.75" customHeight="1">
      <c r="A1923" t="str">
        <f t="shared" si="1"/>
        <v>D.retbaense</v>
      </c>
      <c r="B1923" s="5" t="s">
        <v>5231</v>
      </c>
      <c r="C1923" s="6" t="str">
        <f>IFERROR(__xludf.DUMMYFUNCTION("SPLIT('2. c'!B1923, "" "", True, True)"),"Desulfohalobium")</f>
        <v>Desulfohalobium</v>
      </c>
      <c r="D1923" t="str">
        <f>IFERROR(__xludf.DUMMYFUNCTION("""COMPUTED_VALUE"""),"retbaense")</f>
        <v>retbaense</v>
      </c>
      <c r="E1923" t="str">
        <f>IFERROR(__xludf.DUMMYFUNCTION("""COMPUTED_VALUE"""),"DSM")</f>
        <v>DSM</v>
      </c>
      <c r="F1923">
        <f>IFERROR(__xludf.DUMMYFUNCTION("""COMPUTED_VALUE"""),5692.0)</f>
        <v>5692</v>
      </c>
    </row>
    <row r="1924" ht="15.75" customHeight="1">
      <c r="A1924" t="str">
        <f t="shared" si="1"/>
        <v>D.baculatum</v>
      </c>
      <c r="B1924" s="5" t="s">
        <v>5239</v>
      </c>
      <c r="C1924" s="6" t="str">
        <f>IFERROR(__xludf.DUMMYFUNCTION("SPLIT('2. c'!B1924, "" "", True, True)"),"Desulfomicrobium")</f>
        <v>Desulfomicrobium</v>
      </c>
      <c r="D1924" t="str">
        <f>IFERROR(__xludf.DUMMYFUNCTION("""COMPUTED_VALUE"""),"baculatum")</f>
        <v>baculatum</v>
      </c>
      <c r="E1924" t="str">
        <f>IFERROR(__xludf.DUMMYFUNCTION("""COMPUTED_VALUE"""),"DSM")</f>
        <v>DSM</v>
      </c>
      <c r="F1924">
        <f>IFERROR(__xludf.DUMMYFUNCTION("""COMPUTED_VALUE"""),4028.0)</f>
        <v>4028</v>
      </c>
    </row>
    <row r="1925" ht="15.75" customHeight="1">
      <c r="A1925" t="str">
        <f t="shared" si="1"/>
        <v>D.orale</v>
      </c>
      <c r="B1925" s="5" t="s">
        <v>5251</v>
      </c>
      <c r="C1925" s="6" t="str">
        <f>IFERROR(__xludf.DUMMYFUNCTION("SPLIT('2. c'!B1925, "" "", True, True)"),"Desulfomicrobium")</f>
        <v>Desulfomicrobium</v>
      </c>
      <c r="D1925" t="str">
        <f>IFERROR(__xludf.DUMMYFUNCTION("""COMPUTED_VALUE"""),"orale")</f>
        <v>orale</v>
      </c>
      <c r="E1925" t="str">
        <f>IFERROR(__xludf.DUMMYFUNCTION("""COMPUTED_VALUE"""),"DSM")</f>
        <v>DSM</v>
      </c>
      <c r="F1925">
        <f>IFERROR(__xludf.DUMMYFUNCTION("""COMPUTED_VALUE"""),12838.0)</f>
        <v>12838</v>
      </c>
    </row>
    <row r="1926" ht="15.75" customHeight="1">
      <c r="A1926" t="str">
        <f t="shared" si="1"/>
        <v>D.tiedjei</v>
      </c>
      <c r="B1926" s="5" t="s">
        <v>5263</v>
      </c>
      <c r="C1926" s="6" t="str">
        <f>IFERROR(__xludf.DUMMYFUNCTION("SPLIT('2. c'!B1926, "" "", True, True)"),"Desulfomonile")</f>
        <v>Desulfomonile</v>
      </c>
      <c r="D1926" t="str">
        <f>IFERROR(__xludf.DUMMYFUNCTION("""COMPUTED_VALUE"""),"tiedjei")</f>
        <v>tiedjei</v>
      </c>
      <c r="E1926" t="str">
        <f>IFERROR(__xludf.DUMMYFUNCTION("""COMPUTED_VALUE"""),"DSM")</f>
        <v>DSM</v>
      </c>
      <c r="F1926">
        <f>IFERROR(__xludf.DUMMYFUNCTION("""COMPUTED_VALUE"""),6799.0)</f>
        <v>6799</v>
      </c>
    </row>
    <row r="1927" ht="15.75" customHeight="1">
      <c r="A1927" t="str">
        <f t="shared" si="1"/>
        <v>D.orientis</v>
      </c>
      <c r="B1927" s="5" t="s">
        <v>5269</v>
      </c>
      <c r="C1927" s="6" t="str">
        <f>IFERROR(__xludf.DUMMYFUNCTION("SPLIT('2. c'!B1927, "" "", True, True)"),"Desulfosporosinus")</f>
        <v>Desulfosporosinus</v>
      </c>
      <c r="D1927" t="str">
        <f>IFERROR(__xludf.DUMMYFUNCTION("""COMPUTED_VALUE"""),"orientis")</f>
        <v>orientis</v>
      </c>
      <c r="E1927" t="str">
        <f>IFERROR(__xludf.DUMMYFUNCTION("""COMPUTED_VALUE"""),"DSM")</f>
        <v>DSM</v>
      </c>
      <c r="F1927">
        <f>IFERROR(__xludf.DUMMYFUNCTION("""COMPUTED_VALUE"""),765.0)</f>
        <v>765</v>
      </c>
    </row>
    <row r="1928" ht="15.75" customHeight="1">
      <c r="A1928" t="str">
        <f t="shared" si="1"/>
        <v>D.psychrophila</v>
      </c>
      <c r="B1928" s="5" t="s">
        <v>5280</v>
      </c>
      <c r="C1928" s="6" t="str">
        <f>IFERROR(__xludf.DUMMYFUNCTION("SPLIT('2. c'!B1928, "" "", True, True)"),"Desulfotalea")</f>
        <v>Desulfotalea</v>
      </c>
      <c r="D1928" t="str">
        <f>IFERROR(__xludf.DUMMYFUNCTION("""COMPUTED_VALUE"""),"psychrophila")</f>
        <v>psychrophila</v>
      </c>
      <c r="E1928" t="str">
        <f>IFERROR(__xludf.DUMMYFUNCTION("""COMPUTED_VALUE"""),"LSv54")</f>
        <v>LSv54</v>
      </c>
    </row>
    <row r="1929" ht="15.75" customHeight="1">
      <c r="A1929" t="str">
        <f t="shared" si="1"/>
        <v>D.acetoxidans</v>
      </c>
      <c r="B1929" s="5" t="s">
        <v>5295</v>
      </c>
      <c r="C1929" s="6" t="str">
        <f>IFERROR(__xludf.DUMMYFUNCTION("SPLIT('2. c'!B1929, "" "", True, True)"),"Desulfotomaculum")</f>
        <v>Desulfotomaculum</v>
      </c>
      <c r="D1929" t="str">
        <f>IFERROR(__xludf.DUMMYFUNCTION("""COMPUTED_VALUE"""),"acetoxidans")</f>
        <v>acetoxidans</v>
      </c>
      <c r="E1929" t="str">
        <f>IFERROR(__xludf.DUMMYFUNCTION("""COMPUTED_VALUE"""),"DSM")</f>
        <v>DSM</v>
      </c>
      <c r="F1929">
        <f>IFERROR(__xludf.DUMMYFUNCTION("""COMPUTED_VALUE"""),771.0)</f>
        <v>771</v>
      </c>
    </row>
    <row r="1930" ht="15.75" customHeight="1">
      <c r="A1930" t="str">
        <f t="shared" si="1"/>
        <v>D.carboxydivorans</v>
      </c>
      <c r="B1930" s="5" t="s">
        <v>5309</v>
      </c>
      <c r="C1930" s="6" t="str">
        <f>IFERROR(__xludf.DUMMYFUNCTION("SPLIT('2. c'!B1930, "" "", True, True)"),"Desulfotomaculum")</f>
        <v>Desulfotomaculum</v>
      </c>
      <c r="D1930" t="str">
        <f>IFERROR(__xludf.DUMMYFUNCTION("""COMPUTED_VALUE"""),"carboxydivorans")</f>
        <v>carboxydivorans</v>
      </c>
      <c r="E1930" t="str">
        <f>IFERROR(__xludf.DUMMYFUNCTION("""COMPUTED_VALUE"""),"CO-1-SRB")</f>
        <v>CO-1-SRB</v>
      </c>
    </row>
    <row r="1931" ht="15.75" customHeight="1">
      <c r="A1931" t="str">
        <f t="shared" si="1"/>
        <v>D.kuznetsovii</v>
      </c>
      <c r="B1931" s="5" t="s">
        <v>5322</v>
      </c>
      <c r="C1931" s="6" t="str">
        <f>IFERROR(__xludf.DUMMYFUNCTION("SPLIT('2. c'!B1931, "" "", True, True)"),"Desulfotomaculum")</f>
        <v>Desulfotomaculum</v>
      </c>
      <c r="D1931" t="str">
        <f>IFERROR(__xludf.DUMMYFUNCTION("""COMPUTED_VALUE"""),"kuznetsovii")</f>
        <v>kuznetsovii</v>
      </c>
      <c r="E1931" t="str">
        <f>IFERROR(__xludf.DUMMYFUNCTION("""COMPUTED_VALUE"""),"DSM")</f>
        <v>DSM</v>
      </c>
      <c r="F1931">
        <f>IFERROR(__xludf.DUMMYFUNCTION("""COMPUTED_VALUE"""),6115.0)</f>
        <v>6115</v>
      </c>
    </row>
    <row r="1932" ht="15.75" customHeight="1">
      <c r="A1932" t="str">
        <f t="shared" si="1"/>
        <v>D.reducens</v>
      </c>
      <c r="B1932" s="5" t="s">
        <v>5333</v>
      </c>
      <c r="C1932" s="6" t="str">
        <f>IFERROR(__xludf.DUMMYFUNCTION("SPLIT('2. c'!B1932, "" "", True, True)"),"Desulfotomaculum")</f>
        <v>Desulfotomaculum</v>
      </c>
      <c r="D1932" t="str">
        <f>IFERROR(__xludf.DUMMYFUNCTION("""COMPUTED_VALUE"""),"reducens")</f>
        <v>reducens</v>
      </c>
      <c r="E1932" t="str">
        <f>IFERROR(__xludf.DUMMYFUNCTION("""COMPUTED_VALUE"""),"MI-1")</f>
        <v>MI-1</v>
      </c>
    </row>
    <row r="1933" ht="15.75" customHeight="1">
      <c r="A1933" t="str">
        <f t="shared" si="1"/>
        <v>D.ruminis</v>
      </c>
      <c r="B1933" s="5" t="s">
        <v>5343</v>
      </c>
      <c r="C1933" s="6" t="str">
        <f>IFERROR(__xludf.DUMMYFUNCTION("SPLIT('2. c'!B1933, "" "", True, True)"),"Desulfotomaculum")</f>
        <v>Desulfotomaculum</v>
      </c>
      <c r="D1933" t="str">
        <f>IFERROR(__xludf.DUMMYFUNCTION("""COMPUTED_VALUE"""),"ruminis")</f>
        <v>ruminis</v>
      </c>
      <c r="E1933" t="str">
        <f>IFERROR(__xludf.DUMMYFUNCTION("""COMPUTED_VALUE"""),"DSM")</f>
        <v>DSM</v>
      </c>
      <c r="F1933">
        <f>IFERROR(__xludf.DUMMYFUNCTION("""COMPUTED_VALUE"""),2154.0)</f>
        <v>2154</v>
      </c>
    </row>
    <row r="1934" ht="15.75" customHeight="1">
      <c r="A1934" t="str">
        <f t="shared" si="1"/>
        <v>D.aespoeensis</v>
      </c>
      <c r="B1934" s="5" t="s">
        <v>5352</v>
      </c>
      <c r="C1934" s="6" t="str">
        <f>IFERROR(__xludf.DUMMYFUNCTION("SPLIT('2. c'!B1934, "" "", True, True)"),"Desulfovibrio")</f>
        <v>Desulfovibrio</v>
      </c>
      <c r="D1934" t="str">
        <f>IFERROR(__xludf.DUMMYFUNCTION("""COMPUTED_VALUE"""),"aespoeensis")</f>
        <v>aespoeensis</v>
      </c>
      <c r="E1934" t="str">
        <f>IFERROR(__xludf.DUMMYFUNCTION("""COMPUTED_VALUE"""),"Aspo-2")</f>
        <v>Aspo-2</v>
      </c>
    </row>
    <row r="1935" ht="15.75" customHeight="1">
      <c r="A1935" t="str">
        <f t="shared" si="1"/>
        <v>D.alaskensis</v>
      </c>
      <c r="B1935" s="5" t="s">
        <v>5358</v>
      </c>
      <c r="C1935" s="6" t="str">
        <f>IFERROR(__xludf.DUMMYFUNCTION("SPLIT('2. c'!B1935, "" "", True, True)"),"Desulfovibrio")</f>
        <v>Desulfovibrio</v>
      </c>
      <c r="D1935" t="str">
        <f>IFERROR(__xludf.DUMMYFUNCTION("""COMPUTED_VALUE"""),"alaskensis")</f>
        <v>alaskensis</v>
      </c>
      <c r="E1935" t="str">
        <f>IFERROR(__xludf.DUMMYFUNCTION("""COMPUTED_VALUE"""),"G20")</f>
        <v>G20</v>
      </c>
    </row>
    <row r="1936" ht="15.75" customHeight="1">
      <c r="A1936" t="str">
        <f t="shared" si="1"/>
        <v>D.desulfuricans</v>
      </c>
      <c r="B1936" s="5" t="s">
        <v>5365</v>
      </c>
      <c r="C1936" s="6" t="str">
        <f>IFERROR(__xludf.DUMMYFUNCTION("SPLIT('2. c'!B1936, "" "", True, True)"),"Desulfovibrio")</f>
        <v>Desulfovibrio</v>
      </c>
      <c r="D1936" t="str">
        <f>IFERROR(__xludf.DUMMYFUNCTION("""COMPUTED_VALUE"""),"desulfuricans")</f>
        <v>desulfuricans</v>
      </c>
      <c r="E1936" t="str">
        <f>IFERROR(__xludf.DUMMYFUNCTION("""COMPUTED_VALUE"""),"subsp.")</f>
        <v>subsp.</v>
      </c>
      <c r="F1936" t="str">
        <f>IFERROR(__xludf.DUMMYFUNCTION("""COMPUTED_VALUE"""),"desulfuricans")</f>
        <v>desulfuricans</v>
      </c>
      <c r="G1936" t="str">
        <f>IFERROR(__xludf.DUMMYFUNCTION("""COMPUTED_VALUE"""),"str.")</f>
        <v>str.</v>
      </c>
      <c r="H1936" t="str">
        <f>IFERROR(__xludf.DUMMYFUNCTION("""COMPUTED_VALUE"""),"ATCC")</f>
        <v>ATCC</v>
      </c>
      <c r="I1936">
        <f>IFERROR(__xludf.DUMMYFUNCTION("""COMPUTED_VALUE"""),27774.0)</f>
        <v>27774</v>
      </c>
    </row>
    <row r="1937" ht="15.75" customHeight="1">
      <c r="A1937" t="str">
        <f t="shared" si="1"/>
        <v>D.fairfieldensis</v>
      </c>
      <c r="B1937" s="5" t="s">
        <v>5373</v>
      </c>
      <c r="C1937" s="6" t="str">
        <f>IFERROR(__xludf.DUMMYFUNCTION("SPLIT('2. c'!B1937, "" "", True, True)"),"Desulfovibrio")</f>
        <v>Desulfovibrio</v>
      </c>
      <c r="D1937" t="str">
        <f>IFERROR(__xludf.DUMMYFUNCTION("""COMPUTED_VALUE"""),"fairfieldensis")</f>
        <v>fairfieldensis</v>
      </c>
      <c r="E1937" t="str">
        <f>IFERROR(__xludf.DUMMYFUNCTION("""COMPUTED_VALUE"""),"strain")</f>
        <v>strain</v>
      </c>
      <c r="F1937" t="str">
        <f>IFERROR(__xludf.DUMMYFUNCTION("""COMPUTED_VALUE"""),"CCUG")</f>
        <v>CCUG</v>
      </c>
      <c r="G1937">
        <f>IFERROR(__xludf.DUMMYFUNCTION("""COMPUTED_VALUE"""),45958.0)</f>
        <v>45958</v>
      </c>
    </row>
    <row r="1938" ht="15.75" customHeight="1">
      <c r="A1938" t="str">
        <f t="shared" si="1"/>
        <v>D.gigas</v>
      </c>
      <c r="B1938" s="5" t="s">
        <v>5383</v>
      </c>
      <c r="C1938" s="6" t="str">
        <f>IFERROR(__xludf.DUMMYFUNCTION("SPLIT('2. c'!B1938, "" "", True, True)"),"Desulfovibrio")</f>
        <v>Desulfovibrio</v>
      </c>
      <c r="D1938" t="str">
        <f>IFERROR(__xludf.DUMMYFUNCTION("""COMPUTED_VALUE"""),"gigas")</f>
        <v>gigas</v>
      </c>
      <c r="E1938" t="str">
        <f>IFERROR(__xludf.DUMMYFUNCTION("""COMPUTED_VALUE"""),"DSM")</f>
        <v>DSM</v>
      </c>
      <c r="F1938">
        <f>IFERROR(__xludf.DUMMYFUNCTION("""COMPUTED_VALUE"""),1382.0)</f>
        <v>1382</v>
      </c>
      <c r="G1938" t="str">
        <f>IFERROR(__xludf.DUMMYFUNCTION("""COMPUTED_VALUE"""),"=")</f>
        <v>=</v>
      </c>
      <c r="H1938" t="str">
        <f>IFERROR(__xludf.DUMMYFUNCTION("""COMPUTED_VALUE"""),"ATCC")</f>
        <v>ATCC</v>
      </c>
      <c r="I1938">
        <f>IFERROR(__xludf.DUMMYFUNCTION("""COMPUTED_VALUE"""),19364.0)</f>
        <v>19364</v>
      </c>
    </row>
    <row r="1939" ht="15.75" customHeight="1">
      <c r="A1939" t="str">
        <f t="shared" si="1"/>
        <v>D.gigas</v>
      </c>
      <c r="B1939" s="5" t="s">
        <v>5383</v>
      </c>
      <c r="C1939" s="6" t="str">
        <f>IFERROR(__xludf.DUMMYFUNCTION("SPLIT('2. c'!B1939, "" "", True, True)"),"Desulfovibrio")</f>
        <v>Desulfovibrio</v>
      </c>
      <c r="D1939" t="str">
        <f>IFERROR(__xludf.DUMMYFUNCTION("""COMPUTED_VALUE"""),"gigas")</f>
        <v>gigas</v>
      </c>
      <c r="E1939" t="str">
        <f>IFERROR(__xludf.DUMMYFUNCTION("""COMPUTED_VALUE"""),"DSM")</f>
        <v>DSM</v>
      </c>
      <c r="F1939">
        <f>IFERROR(__xludf.DUMMYFUNCTION("""COMPUTED_VALUE"""),1382.0)</f>
        <v>1382</v>
      </c>
      <c r="G1939" t="str">
        <f>IFERROR(__xludf.DUMMYFUNCTION("""COMPUTED_VALUE"""),"=")</f>
        <v>=</v>
      </c>
      <c r="H1939" t="str">
        <f>IFERROR(__xludf.DUMMYFUNCTION("""COMPUTED_VALUE"""),"ATCC")</f>
        <v>ATCC</v>
      </c>
      <c r="I1939">
        <f>IFERROR(__xludf.DUMMYFUNCTION("""COMPUTED_VALUE"""),19364.0)</f>
        <v>19364</v>
      </c>
    </row>
    <row r="1940" ht="15.75" customHeight="1">
      <c r="A1940" t="str">
        <f t="shared" si="1"/>
        <v>D.hydrothermalis</v>
      </c>
      <c r="B1940" s="5" t="s">
        <v>5408</v>
      </c>
      <c r="C1940" s="6" t="str">
        <f>IFERROR(__xludf.DUMMYFUNCTION("SPLIT('2. c'!B1940, "" "", True, True)"),"Desulfovibrio")</f>
        <v>Desulfovibrio</v>
      </c>
      <c r="D1940" t="str">
        <f>IFERROR(__xludf.DUMMYFUNCTION("""COMPUTED_VALUE"""),"hydrothermalis")</f>
        <v>hydrothermalis</v>
      </c>
      <c r="E1940" t="str">
        <f>IFERROR(__xludf.DUMMYFUNCTION("""COMPUTED_VALUE"""),"AM13")</f>
        <v>AM13</v>
      </c>
      <c r="F1940" t="str">
        <f>IFERROR(__xludf.DUMMYFUNCTION("""COMPUTED_VALUE"""),"=")</f>
        <v>=</v>
      </c>
      <c r="G1940" t="str">
        <f>IFERROR(__xludf.DUMMYFUNCTION("""COMPUTED_VALUE"""),"DSM")</f>
        <v>DSM</v>
      </c>
      <c r="H1940">
        <f>IFERROR(__xludf.DUMMYFUNCTION("""COMPUTED_VALUE"""),14728.0)</f>
        <v>14728</v>
      </c>
    </row>
    <row r="1941" ht="15.75" customHeight="1">
      <c r="A1941" t="str">
        <f t="shared" si="1"/>
        <v>D.magneticus</v>
      </c>
      <c r="B1941" s="5" t="s">
        <v>5421</v>
      </c>
      <c r="C1941" s="6" t="str">
        <f>IFERROR(__xludf.DUMMYFUNCTION("SPLIT('2. c'!B1941, "" "", True, True)"),"Desulfovibrio")</f>
        <v>Desulfovibrio</v>
      </c>
      <c r="D1941" t="str">
        <f>IFERROR(__xludf.DUMMYFUNCTION("""COMPUTED_VALUE"""),"magneticus")</f>
        <v>magneticus</v>
      </c>
      <c r="E1941" t="str">
        <f>IFERROR(__xludf.DUMMYFUNCTION("""COMPUTED_VALUE"""),"RS-1")</f>
        <v>RS-1</v>
      </c>
    </row>
    <row r="1942" ht="15.75" customHeight="1">
      <c r="A1942" t="str">
        <f t="shared" si="1"/>
        <v>D.piezophilus</v>
      </c>
      <c r="B1942" s="5" t="s">
        <v>5429</v>
      </c>
      <c r="C1942" s="6" t="str">
        <f>IFERROR(__xludf.DUMMYFUNCTION("SPLIT('2. c'!B1942, "" "", True, True)"),"Desulfovibrio")</f>
        <v>Desulfovibrio</v>
      </c>
      <c r="D1942" t="str">
        <f>IFERROR(__xludf.DUMMYFUNCTION("""COMPUTED_VALUE"""),"piezophilus")</f>
        <v>piezophilus</v>
      </c>
      <c r="E1942" t="str">
        <f>IFERROR(__xludf.DUMMYFUNCTION("""COMPUTED_VALUE"""),"strain")</f>
        <v>strain</v>
      </c>
      <c r="F1942" t="str">
        <f>IFERROR(__xludf.DUMMYFUNCTION("""COMPUTED_VALUE"""),"C1TLV30")</f>
        <v>C1TLV30</v>
      </c>
    </row>
    <row r="1943" ht="15.75" customHeight="1">
      <c r="A1943" t="str">
        <f t="shared" si="1"/>
        <v>D.salexigens</v>
      </c>
      <c r="B1943" s="5" t="s">
        <v>5438</v>
      </c>
      <c r="C1943" s="6" t="str">
        <f>IFERROR(__xludf.DUMMYFUNCTION("SPLIT('2. c'!B1943, "" "", True, True)"),"Desulfovibrio")</f>
        <v>Desulfovibrio</v>
      </c>
      <c r="D1943" t="str">
        <f>IFERROR(__xludf.DUMMYFUNCTION("""COMPUTED_VALUE"""),"salexigens")</f>
        <v>salexigens</v>
      </c>
      <c r="E1943" t="str">
        <f>IFERROR(__xludf.DUMMYFUNCTION("""COMPUTED_VALUE"""),"DSM")</f>
        <v>DSM</v>
      </c>
      <c r="F1943">
        <f>IFERROR(__xludf.DUMMYFUNCTION("""COMPUTED_VALUE"""),2638.0)</f>
        <v>2638</v>
      </c>
    </row>
    <row r="1944" ht="15.75" customHeight="1">
      <c r="A1944" t="str">
        <f t="shared" si="1"/>
        <v>D.sp.</v>
      </c>
      <c r="B1944" s="5" t="s">
        <v>5448</v>
      </c>
      <c r="C1944" s="6" t="str">
        <f>IFERROR(__xludf.DUMMYFUNCTION("SPLIT('2. c'!B1944, "" "", True, True)"),"Desulfovibrio")</f>
        <v>Desulfovibrio</v>
      </c>
      <c r="D1944" t="str">
        <f>IFERROR(__xludf.DUMMYFUNCTION("""COMPUTED_VALUE"""),"sp.")</f>
        <v>sp.</v>
      </c>
      <c r="E1944" t="str">
        <f>IFERROR(__xludf.DUMMYFUNCTION("""COMPUTED_VALUE"""),"J2")</f>
        <v>J2</v>
      </c>
    </row>
    <row r="1945" ht="15.75" customHeight="1">
      <c r="A1945" t="str">
        <f t="shared" si="1"/>
        <v>D.vulgaris</v>
      </c>
      <c r="B1945" s="5" t="s">
        <v>5456</v>
      </c>
      <c r="C1945" s="6" t="str">
        <f>IFERROR(__xludf.DUMMYFUNCTION("SPLIT('2. c'!B1945, "" "", True, True)"),"Desulfovibrio")</f>
        <v>Desulfovibrio</v>
      </c>
      <c r="D1945" t="str">
        <f>IFERROR(__xludf.DUMMYFUNCTION("""COMPUTED_VALUE"""),"vulgaris")</f>
        <v>vulgaris</v>
      </c>
      <c r="E1945" t="str">
        <f>IFERROR(__xludf.DUMMYFUNCTION("""COMPUTED_VALUE"""),"DP4")</f>
        <v>DP4</v>
      </c>
    </row>
    <row r="1946" ht="15.75" customHeight="1">
      <c r="A1946" t="str">
        <f t="shared" si="1"/>
        <v>D.vulgaris</v>
      </c>
      <c r="B1946" s="5" t="s">
        <v>5464</v>
      </c>
      <c r="C1946" s="6" t="str">
        <f>IFERROR(__xludf.DUMMYFUNCTION("SPLIT('2. c'!B1946, "" "", True, True)"),"Desulfovibrio")</f>
        <v>Desulfovibrio</v>
      </c>
      <c r="D1946" t="str">
        <f>IFERROR(__xludf.DUMMYFUNCTION("""COMPUTED_VALUE"""),"vulgaris")</f>
        <v>vulgaris</v>
      </c>
      <c r="E1946" t="str">
        <f>IFERROR(__xludf.DUMMYFUNCTION("""COMPUTED_VALUE"""),"RCH1")</f>
        <v>RCH1</v>
      </c>
    </row>
    <row r="1947" ht="15.75" customHeight="1">
      <c r="A1947" t="str">
        <f t="shared" si="1"/>
        <v>D.vulgaris</v>
      </c>
      <c r="B1947" s="5" t="s">
        <v>5472</v>
      </c>
      <c r="C1947" s="6" t="str">
        <f>IFERROR(__xludf.DUMMYFUNCTION("SPLIT('2. c'!B1947, "" "", True, True)"),"Desulfovibrio")</f>
        <v>Desulfovibrio</v>
      </c>
      <c r="D1947" t="str">
        <f>IFERROR(__xludf.DUMMYFUNCTION("""COMPUTED_VALUE"""),"vulgaris")</f>
        <v>vulgaris</v>
      </c>
      <c r="E1947" t="str">
        <f>IFERROR(__xludf.DUMMYFUNCTION("""COMPUTED_VALUE"""),"str.")</f>
        <v>str.</v>
      </c>
      <c r="F1947" t="str">
        <f>IFERROR(__xludf.DUMMYFUNCTION("""COMPUTED_VALUE"""),"Hildenborough")</f>
        <v>Hildenborough</v>
      </c>
    </row>
    <row r="1948" ht="15.75" customHeight="1">
      <c r="A1948" t="str">
        <f t="shared" si="1"/>
        <v>D.vulgaris</v>
      </c>
      <c r="B1948" s="5" t="s">
        <v>5477</v>
      </c>
      <c r="C1948" s="6" t="str">
        <f>IFERROR(__xludf.DUMMYFUNCTION("SPLIT('2. c'!B1948, "" "", True, True)"),"Desulfovibrio")</f>
        <v>Desulfovibrio</v>
      </c>
      <c r="D1948" t="str">
        <f>IFERROR(__xludf.DUMMYFUNCTION("""COMPUTED_VALUE"""),"vulgaris")</f>
        <v>vulgaris</v>
      </c>
      <c r="E1948" t="str">
        <f>IFERROR(__xludf.DUMMYFUNCTION("""COMPUTED_VALUE"""),"str.")</f>
        <v>str.</v>
      </c>
      <c r="F1948" t="str">
        <f>IFERROR(__xludf.DUMMYFUNCTION("""COMPUTED_VALUE"""),"Miyazaki")</f>
        <v>Miyazaki</v>
      </c>
      <c r="G1948" t="str">
        <f>IFERROR(__xludf.DUMMYFUNCTION("""COMPUTED_VALUE"""),"F'")</f>
        <v>F'</v>
      </c>
    </row>
    <row r="1949" ht="15.75" customHeight="1">
      <c r="A1949" t="str">
        <f t="shared" si="1"/>
        <v>D.acetivorans</v>
      </c>
      <c r="B1949" s="5" t="s">
        <v>5487</v>
      </c>
      <c r="C1949" s="6" t="str">
        <f>IFERROR(__xludf.DUMMYFUNCTION("SPLIT('2. c'!B1949, "" "", True, True)"),"Desulfurella")</f>
        <v>Desulfurella</v>
      </c>
      <c r="D1949" t="str">
        <f>IFERROR(__xludf.DUMMYFUNCTION("""COMPUTED_VALUE"""),"acetivorans")</f>
        <v>acetivorans</v>
      </c>
      <c r="E1949" t="str">
        <f>IFERROR(__xludf.DUMMYFUNCTION("""COMPUTED_VALUE"""),"A63")</f>
        <v>A63</v>
      </c>
    </row>
    <row r="1950" ht="15.75" customHeight="1">
      <c r="A1950" t="str">
        <f t="shared" si="1"/>
        <v>D.indicum</v>
      </c>
      <c r="B1950" s="5" t="s">
        <v>5496</v>
      </c>
      <c r="C1950" s="6" t="str">
        <f>IFERROR(__xludf.DUMMYFUNCTION("SPLIT('2. c'!B1950, "" "", True, True)"),"Desulfurispirillum")</f>
        <v>Desulfurispirillum</v>
      </c>
      <c r="D1950" t="str">
        <f>IFERROR(__xludf.DUMMYFUNCTION("""COMPUTED_VALUE"""),"indicum")</f>
        <v>indicum</v>
      </c>
      <c r="E1950" t="str">
        <f>IFERROR(__xludf.DUMMYFUNCTION("""COMPUTED_VALUE"""),"S5")</f>
        <v>S5</v>
      </c>
    </row>
    <row r="1951" ht="15.75" customHeight="1">
      <c r="A1951" t="str">
        <f t="shared" si="1"/>
        <v>D.alkaliphilus</v>
      </c>
      <c r="B1951" s="5" t="s">
        <v>5505</v>
      </c>
      <c r="C1951" s="6" t="str">
        <f>IFERROR(__xludf.DUMMYFUNCTION("SPLIT('2. c'!B1951, "" "", True, True)"),"Desulfurivibrio")</f>
        <v>Desulfurivibrio</v>
      </c>
      <c r="D1951" t="str">
        <f>IFERROR(__xludf.DUMMYFUNCTION("""COMPUTED_VALUE"""),"alkaliphilus")</f>
        <v>alkaliphilus</v>
      </c>
      <c r="E1951" t="str">
        <f>IFERROR(__xludf.DUMMYFUNCTION("""COMPUTED_VALUE"""),"AHT2")</f>
        <v>AHT2</v>
      </c>
    </row>
    <row r="1952" ht="15.75" customHeight="1">
      <c r="A1952" t="str">
        <f t="shared" si="1"/>
        <v>D.thermolithotrophum</v>
      </c>
      <c r="B1952" s="5" t="s">
        <v>5512</v>
      </c>
      <c r="C1952" s="6" t="str">
        <f>IFERROR(__xludf.DUMMYFUNCTION("SPLIT('2. c'!B1952, "" "", True, True)"),"Desulfurobacterium")</f>
        <v>Desulfurobacterium</v>
      </c>
      <c r="D1952" t="str">
        <f>IFERROR(__xludf.DUMMYFUNCTION("""COMPUTED_VALUE"""),"thermolithotrophum")</f>
        <v>thermolithotrophum</v>
      </c>
      <c r="E1952" t="str">
        <f>IFERROR(__xludf.DUMMYFUNCTION("""COMPUTED_VALUE"""),"DSM")</f>
        <v>DSM</v>
      </c>
      <c r="F1952">
        <f>IFERROR(__xludf.DUMMYFUNCTION("""COMPUTED_VALUE"""),11699.0)</f>
        <v>11699</v>
      </c>
    </row>
    <row r="1953" ht="15.75" customHeight="1">
      <c r="A1953" t="str">
        <f t="shared" si="1"/>
        <v>D.fermentans</v>
      </c>
      <c r="B1953" s="5" t="s">
        <v>5520</v>
      </c>
      <c r="C1953" s="6" t="str">
        <f>IFERROR(__xludf.DUMMYFUNCTION("SPLIT('2. c'!B1953, "" "", True, True)"),"Desulfurococcus")</f>
        <v>Desulfurococcus</v>
      </c>
      <c r="D1953" t="str">
        <f>IFERROR(__xludf.DUMMYFUNCTION("""COMPUTED_VALUE"""),"fermentans")</f>
        <v>fermentans</v>
      </c>
      <c r="E1953" t="str">
        <f>IFERROR(__xludf.DUMMYFUNCTION("""COMPUTED_VALUE"""),"DSM")</f>
        <v>DSM</v>
      </c>
      <c r="F1953">
        <f>IFERROR(__xludf.DUMMYFUNCTION("""COMPUTED_VALUE"""),16532.0)</f>
        <v>16532</v>
      </c>
    </row>
    <row r="1954" ht="15.75" customHeight="1">
      <c r="A1954" t="str">
        <f t="shared" si="1"/>
        <v>D.kamchatkensis</v>
      </c>
      <c r="B1954" s="5" t="s">
        <v>5527</v>
      </c>
      <c r="C1954" s="6" t="str">
        <f>IFERROR(__xludf.DUMMYFUNCTION("SPLIT('2. c'!B1954, "" "", True, True)"),"Desulfurococcus")</f>
        <v>Desulfurococcus</v>
      </c>
      <c r="D1954" t="str">
        <f>IFERROR(__xludf.DUMMYFUNCTION("""COMPUTED_VALUE"""),"kamchatkensis")</f>
        <v>kamchatkensis</v>
      </c>
      <c r="E1954" t="str">
        <f>IFERROR(__xludf.DUMMYFUNCTION("""COMPUTED_VALUE"""),"1221n")</f>
        <v>1221n</v>
      </c>
    </row>
    <row r="1955" ht="15.75" customHeight="1">
      <c r="A1955" t="str">
        <f t="shared" si="1"/>
        <v>D.mucosus</v>
      </c>
      <c r="B1955" s="5" t="s">
        <v>5534</v>
      </c>
      <c r="C1955" s="6" t="str">
        <f>IFERROR(__xludf.DUMMYFUNCTION("SPLIT('2. c'!B1955, "" "", True, True)"),"Desulfurococcus")</f>
        <v>Desulfurococcus</v>
      </c>
      <c r="D1955" t="str">
        <f>IFERROR(__xludf.DUMMYFUNCTION("""COMPUTED_VALUE"""),"mucosus")</f>
        <v>mucosus</v>
      </c>
      <c r="E1955" t="str">
        <f>IFERROR(__xludf.DUMMYFUNCTION("""COMPUTED_VALUE"""),"DSM")</f>
        <v>DSM</v>
      </c>
      <c r="F1955">
        <f>IFERROR(__xludf.DUMMYFUNCTION("""COMPUTED_VALUE"""),2162.0)</f>
        <v>2162</v>
      </c>
    </row>
    <row r="1956" ht="15.75" customHeight="1">
      <c r="A1956" t="str">
        <f t="shared" si="1"/>
        <v>D.sp.</v>
      </c>
      <c r="B1956" s="5" t="s">
        <v>5543</v>
      </c>
      <c r="C1956" s="6" t="str">
        <f>IFERROR(__xludf.DUMMYFUNCTION("SPLIT('2. c'!B1956, "" "", True, True)"),"Desulfuromonas")</f>
        <v>Desulfuromonas</v>
      </c>
      <c r="D1956" t="str">
        <f>IFERROR(__xludf.DUMMYFUNCTION("""COMPUTED_VALUE"""),"sp.")</f>
        <v>sp.</v>
      </c>
      <c r="E1956" t="str">
        <f>IFERROR(__xludf.DUMMYFUNCTION("""COMPUTED_VALUE"""),"DDH964")</f>
        <v>DDH964</v>
      </c>
    </row>
    <row r="1957" ht="15.75" customHeight="1">
      <c r="A1957" t="str">
        <f t="shared" si="1"/>
        <v>D.sp.</v>
      </c>
      <c r="B1957" s="5" t="s">
        <v>5551</v>
      </c>
      <c r="C1957" s="6" t="str">
        <f>IFERROR(__xludf.DUMMYFUNCTION("SPLIT('2. c'!B1957, "" "", True, True)"),"Desulfuromonas")</f>
        <v>Desulfuromonas</v>
      </c>
      <c r="D1957" t="str">
        <f>IFERROR(__xludf.DUMMYFUNCTION("""COMPUTED_VALUE"""),"sp.")</f>
        <v>sp.</v>
      </c>
      <c r="E1957" t="str">
        <f>IFERROR(__xludf.DUMMYFUNCTION("""COMPUTED_VALUE"""),"WTL")</f>
        <v>WTL</v>
      </c>
    </row>
    <row r="1958" ht="15.75" customHeight="1">
      <c r="A1958" t="str">
        <f t="shared" si="1"/>
        <v>D.sp.</v>
      </c>
      <c r="B1958" s="5" t="s">
        <v>5560</v>
      </c>
      <c r="C1958" s="6" t="str">
        <f>IFERROR(__xludf.DUMMYFUNCTION("SPLIT('2. c'!B1958, "" "", True, True)"),"Devosia")</f>
        <v>Devosia</v>
      </c>
      <c r="D1958" t="str">
        <f>IFERROR(__xludf.DUMMYFUNCTION("""COMPUTED_VALUE"""),"sp.")</f>
        <v>sp.</v>
      </c>
      <c r="E1958" t="str">
        <f>IFERROR(__xludf.DUMMYFUNCTION("""COMPUTED_VALUE"""),"DDS-1")</f>
        <v>DDS-1</v>
      </c>
      <c r="F1958" t="str">
        <f>IFERROR(__xludf.DUMMYFUNCTION("""COMPUTED_VALUE"""),"strain")</f>
        <v>strain</v>
      </c>
      <c r="G1958" t="str">
        <f>IFERROR(__xludf.DUMMYFUNCTION("""COMPUTED_VALUE"""),"A16")</f>
        <v>A16</v>
      </c>
    </row>
    <row r="1959" ht="15.75" customHeight="1">
      <c r="A1959" t="str">
        <f t="shared" si="1"/>
        <v>D.sp.</v>
      </c>
      <c r="B1959" s="5" t="s">
        <v>5569</v>
      </c>
      <c r="C1959" s="6" t="str">
        <f>IFERROR(__xludf.DUMMYFUNCTION("SPLIT('2. c'!B1959, "" "", True, True)"),"Devosia")</f>
        <v>Devosia</v>
      </c>
      <c r="D1959" t="str">
        <f>IFERROR(__xludf.DUMMYFUNCTION("""COMPUTED_VALUE"""),"sp.")</f>
        <v>sp.</v>
      </c>
      <c r="E1959" t="str">
        <f>IFERROR(__xludf.DUMMYFUNCTION("""COMPUTED_VALUE"""),"H5989")</f>
        <v>H5989</v>
      </c>
    </row>
    <row r="1960" ht="15.75" customHeight="1">
      <c r="A1960" t="str">
        <f t="shared" si="1"/>
        <v>D.agamarum</v>
      </c>
      <c r="B1960" s="5" t="s">
        <v>5575</v>
      </c>
      <c r="C1960" s="6" t="str">
        <f>IFERROR(__xludf.DUMMYFUNCTION("SPLIT('2. c'!B1960, "" "", True, True)"),"Devriesea")</f>
        <v>Devriesea</v>
      </c>
      <c r="D1960" t="str">
        <f>IFERROR(__xludf.DUMMYFUNCTION("""COMPUTED_VALUE"""),"agamarum")</f>
        <v>agamarum</v>
      </c>
      <c r="E1960" t="str">
        <f>IFERROR(__xludf.DUMMYFUNCTION("""COMPUTED_VALUE"""),"strain")</f>
        <v>strain</v>
      </c>
      <c r="F1960" t="str">
        <f>IFERROR(__xludf.DUMMYFUNCTION("""COMPUTED_VALUE"""),"IMP2")</f>
        <v>IMP2</v>
      </c>
    </row>
    <row r="1961" ht="15.75" customHeight="1">
      <c r="A1961" t="str">
        <f t="shared" si="1"/>
        <v>D.nodosus</v>
      </c>
      <c r="B1961" s="5" t="s">
        <v>5580</v>
      </c>
      <c r="C1961" s="6" t="str">
        <f>IFERROR(__xludf.DUMMYFUNCTION("SPLIT('2. c'!B1961, "" "", True, True)"),"Dichelobacter")</f>
        <v>Dichelobacter</v>
      </c>
      <c r="D1961" t="str">
        <f>IFERROR(__xludf.DUMMYFUNCTION("""COMPUTED_VALUE"""),"nodosus")</f>
        <v>nodosus</v>
      </c>
      <c r="E1961" t="str">
        <f>IFERROR(__xludf.DUMMYFUNCTION("""COMPUTED_VALUE"""),"VCS1703A")</f>
        <v>VCS1703A</v>
      </c>
    </row>
    <row r="1962" ht="15.75" customHeight="1">
      <c r="A1962" t="str">
        <f t="shared" si="1"/>
        <v>D.dadantii</v>
      </c>
      <c r="B1962" s="5" t="s">
        <v>5590</v>
      </c>
      <c r="C1962" s="6" t="str">
        <f>IFERROR(__xludf.DUMMYFUNCTION("SPLIT('2. c'!B1962, "" "", True, True)"),"Dickeya")</f>
        <v>Dickeya</v>
      </c>
      <c r="D1962" t="str">
        <f>IFERROR(__xludf.DUMMYFUNCTION("""COMPUTED_VALUE"""),"dadantii")</f>
        <v>dadantii</v>
      </c>
      <c r="E1962">
        <f>IFERROR(__xludf.DUMMYFUNCTION("""COMPUTED_VALUE"""),3937.0)</f>
        <v>3937</v>
      </c>
    </row>
    <row r="1963" ht="15.75" customHeight="1">
      <c r="A1963" t="str">
        <f t="shared" si="1"/>
        <v>D.dadantii</v>
      </c>
      <c r="B1963" s="5" t="s">
        <v>5600</v>
      </c>
      <c r="C1963" s="6" t="str">
        <f>IFERROR(__xludf.DUMMYFUNCTION("SPLIT('2. c'!B1963, "" "", True, True)"),"Dickeya")</f>
        <v>Dickeya</v>
      </c>
      <c r="D1963" t="str">
        <f>IFERROR(__xludf.DUMMYFUNCTION("""COMPUTED_VALUE"""),"dadantii")</f>
        <v>dadantii</v>
      </c>
      <c r="E1963" t="str">
        <f>IFERROR(__xludf.DUMMYFUNCTION("""COMPUTED_VALUE"""),"Ech586")</f>
        <v>Ech586</v>
      </c>
    </row>
    <row r="1964" ht="15.75" customHeight="1">
      <c r="A1964" t="str">
        <f t="shared" si="1"/>
        <v>D.dadantii</v>
      </c>
      <c r="B1964" s="5" t="s">
        <v>5609</v>
      </c>
      <c r="C1964" s="6" t="str">
        <f>IFERROR(__xludf.DUMMYFUNCTION("SPLIT('2. c'!B1964, "" "", True, True)"),"Dickeya")</f>
        <v>Dickeya</v>
      </c>
      <c r="D1964" t="str">
        <f>IFERROR(__xludf.DUMMYFUNCTION("""COMPUTED_VALUE"""),"dadantii")</f>
        <v>dadantii</v>
      </c>
      <c r="E1964" t="str">
        <f>IFERROR(__xludf.DUMMYFUNCTION("""COMPUTED_VALUE"""),"Ech703")</f>
        <v>Ech703</v>
      </c>
    </row>
    <row r="1965" ht="15.75" customHeight="1">
      <c r="A1965" t="str">
        <f t="shared" si="1"/>
        <v>D.dianthicola</v>
      </c>
      <c r="B1965" s="5" t="s">
        <v>5619</v>
      </c>
      <c r="C1965" s="6" t="str">
        <f>IFERROR(__xludf.DUMMYFUNCTION("SPLIT('2. c'!B1965, "" "", True, True)"),"Dickeya")</f>
        <v>Dickeya</v>
      </c>
      <c r="D1965" t="str">
        <f>IFERROR(__xludf.DUMMYFUNCTION("""COMPUTED_VALUE"""),"dianthicola")</f>
        <v>dianthicola</v>
      </c>
      <c r="E1965" t="str">
        <f>IFERROR(__xludf.DUMMYFUNCTION("""COMPUTED_VALUE"""),"IPO")</f>
        <v>IPO</v>
      </c>
      <c r="F1965">
        <f>IFERROR(__xludf.DUMMYFUNCTION("""COMPUTED_VALUE"""),980.0)</f>
        <v>980</v>
      </c>
    </row>
    <row r="1966" ht="15.75" customHeight="1">
      <c r="A1966" t="str">
        <f t="shared" si="1"/>
        <v>D.dianthicola</v>
      </c>
      <c r="B1966" s="5" t="s">
        <v>5629</v>
      </c>
      <c r="C1966" s="6" t="str">
        <f>IFERROR(__xludf.DUMMYFUNCTION("SPLIT('2. c'!B1966, "" "", True, True)"),"Dickeya")</f>
        <v>Dickeya</v>
      </c>
      <c r="D1966" t="str">
        <f>IFERROR(__xludf.DUMMYFUNCTION("""COMPUTED_VALUE"""),"dianthicola")</f>
        <v>dianthicola</v>
      </c>
      <c r="E1966" t="str">
        <f>IFERROR(__xludf.DUMMYFUNCTION("""COMPUTED_VALUE"""),"RNS04.9")</f>
        <v>RNS04.9</v>
      </c>
    </row>
    <row r="1967" ht="15.75" customHeight="1">
      <c r="A1967" t="str">
        <f t="shared" si="1"/>
        <v>D.paradisiaca</v>
      </c>
      <c r="B1967" s="5" t="s">
        <v>5637</v>
      </c>
      <c r="C1967" s="6" t="str">
        <f>IFERROR(__xludf.DUMMYFUNCTION("SPLIT('2. c'!B1967, "" "", True, True)"),"Dickeya")</f>
        <v>Dickeya</v>
      </c>
      <c r="D1967" t="str">
        <f>IFERROR(__xludf.DUMMYFUNCTION("""COMPUTED_VALUE"""),"paradisiaca")</f>
        <v>paradisiaca</v>
      </c>
      <c r="E1967" t="str">
        <f>IFERROR(__xludf.DUMMYFUNCTION("""COMPUTED_VALUE"""),"NCPPB")</f>
        <v>NCPPB</v>
      </c>
      <c r="F1967">
        <f>IFERROR(__xludf.DUMMYFUNCTION("""COMPUTED_VALUE"""),2511.0)</f>
        <v>2511</v>
      </c>
    </row>
    <row r="1968" ht="15.75" customHeight="1">
      <c r="A1968" t="str">
        <f t="shared" si="1"/>
        <v>D.solani</v>
      </c>
      <c r="B1968" s="5" t="s">
        <v>5648</v>
      </c>
      <c r="C1968" s="6" t="str">
        <f>IFERROR(__xludf.DUMMYFUNCTION("SPLIT('2. c'!B1968, "" "", True, True)"),"Dickeya")</f>
        <v>Dickeya</v>
      </c>
      <c r="D1968" t="str">
        <f>IFERROR(__xludf.DUMMYFUNCTION("""COMPUTED_VALUE"""),"solani")</f>
        <v>solani</v>
      </c>
      <c r="E1968" t="str">
        <f>IFERROR(__xludf.DUMMYFUNCTION("""COMPUTED_VALUE"""),"IPO")</f>
        <v>IPO</v>
      </c>
      <c r="F1968">
        <f>IFERROR(__xludf.DUMMYFUNCTION("""COMPUTED_VALUE"""),2222.0)</f>
        <v>2222</v>
      </c>
    </row>
    <row r="1969" ht="15.75" customHeight="1">
      <c r="A1969" t="str">
        <f t="shared" si="1"/>
        <v>D.zeae</v>
      </c>
      <c r="B1969" s="5" t="s">
        <v>5658</v>
      </c>
      <c r="C1969" s="6" t="str">
        <f>IFERROR(__xludf.DUMMYFUNCTION("SPLIT('2. c'!B1969, "" "", True, True)"),"Dickeya")</f>
        <v>Dickeya</v>
      </c>
      <c r="D1969" t="str">
        <f>IFERROR(__xludf.DUMMYFUNCTION("""COMPUTED_VALUE"""),"zeae")</f>
        <v>zeae</v>
      </c>
      <c r="E1969" t="str">
        <f>IFERROR(__xludf.DUMMYFUNCTION("""COMPUTED_VALUE"""),"EC1")</f>
        <v>EC1</v>
      </c>
    </row>
    <row r="1970" ht="15.75" customHeight="1">
      <c r="A1970" t="str">
        <f t="shared" si="1"/>
        <v>D.zeae</v>
      </c>
      <c r="B1970" s="5" t="s">
        <v>5667</v>
      </c>
      <c r="C1970" s="6" t="str">
        <f>IFERROR(__xludf.DUMMYFUNCTION("SPLIT('2. c'!B1970, "" "", True, True)"),"Dickeya")</f>
        <v>Dickeya</v>
      </c>
      <c r="D1970" t="str">
        <f>IFERROR(__xludf.DUMMYFUNCTION("""COMPUTED_VALUE"""),"zeae")</f>
        <v>zeae</v>
      </c>
      <c r="E1970" t="str">
        <f>IFERROR(__xludf.DUMMYFUNCTION("""COMPUTED_VALUE"""),"Ech1591")</f>
        <v>Ech1591</v>
      </c>
    </row>
    <row r="1971" ht="15.75" customHeight="1">
      <c r="A1971" t="str">
        <f t="shared" si="1"/>
        <v>D.thermophilum</v>
      </c>
      <c r="B1971" s="5" t="s">
        <v>5676</v>
      </c>
      <c r="C1971" s="6" t="str">
        <f>IFERROR(__xludf.DUMMYFUNCTION("SPLIT('2. c'!B1971, "" "", True, True)"),"Dictyoglomus")</f>
        <v>Dictyoglomus</v>
      </c>
      <c r="D1971" t="str">
        <f>IFERROR(__xludf.DUMMYFUNCTION("""COMPUTED_VALUE"""),"thermophilum")</f>
        <v>thermophilum</v>
      </c>
      <c r="E1971" t="str">
        <f>IFERROR(__xludf.DUMMYFUNCTION("""COMPUTED_VALUE"""),"H-6-12")</f>
        <v>H-6-12</v>
      </c>
    </row>
    <row r="1972" ht="15.75" customHeight="1">
      <c r="A1972" t="str">
        <f t="shared" si="1"/>
        <v>D.turgidum</v>
      </c>
      <c r="B1972" s="5" t="s">
        <v>5684</v>
      </c>
      <c r="C1972" s="6" t="str">
        <f>IFERROR(__xludf.DUMMYFUNCTION("SPLIT('2. c'!B1972, "" "", True, True)"),"Dictyoglomus")</f>
        <v>Dictyoglomus</v>
      </c>
      <c r="D1972" t="str">
        <f>IFERROR(__xludf.DUMMYFUNCTION("""COMPUTED_VALUE"""),"turgidum")</f>
        <v>turgidum</v>
      </c>
      <c r="E1972" t="str">
        <f>IFERROR(__xludf.DUMMYFUNCTION("""COMPUTED_VALUE"""),"DSM")</f>
        <v>DSM</v>
      </c>
      <c r="F1972">
        <f>IFERROR(__xludf.DUMMYFUNCTION("""COMPUTED_VALUE"""),6724.0)</f>
        <v>6724</v>
      </c>
    </row>
    <row r="1973" ht="15.75" customHeight="1">
      <c r="A1973" t="str">
        <f t="shared" si="1"/>
        <v>D.shibae</v>
      </c>
      <c r="B1973" s="5" t="s">
        <v>5693</v>
      </c>
      <c r="C1973" s="6" t="str">
        <f>IFERROR(__xludf.DUMMYFUNCTION("SPLIT('2. c'!B1973, "" "", True, True)"),"Dinoroseobacter")</f>
        <v>Dinoroseobacter</v>
      </c>
      <c r="D1973" t="str">
        <f>IFERROR(__xludf.DUMMYFUNCTION("""COMPUTED_VALUE"""),"shibae")</f>
        <v>shibae</v>
      </c>
      <c r="E1973" t="str">
        <f>IFERROR(__xludf.DUMMYFUNCTION("""COMPUTED_VALUE"""),"DFL")</f>
        <v>DFL</v>
      </c>
      <c r="F1973">
        <f>IFERROR(__xludf.DUMMYFUNCTION("""COMPUTED_VALUE"""),12.0)</f>
        <v>12</v>
      </c>
    </row>
    <row r="1974" ht="15.75" customHeight="1">
      <c r="A1974" t="str">
        <f t="shared" si="1"/>
        <v>D.koreensis</v>
      </c>
      <c r="B1974" s="5" t="s">
        <v>5699</v>
      </c>
      <c r="C1974" s="6" t="str">
        <f>IFERROR(__xludf.DUMMYFUNCTION("SPLIT('2. c'!B1974, "" "", True, True)"),"Dokdonella")</f>
        <v>Dokdonella</v>
      </c>
      <c r="D1974" t="str">
        <f>IFERROR(__xludf.DUMMYFUNCTION("""COMPUTED_VALUE"""),"koreensis")</f>
        <v>koreensis</v>
      </c>
      <c r="E1974" t="str">
        <f>IFERROR(__xludf.DUMMYFUNCTION("""COMPUTED_VALUE"""),"DS-123")</f>
        <v>DS-123</v>
      </c>
    </row>
    <row r="1975" ht="15.75" customHeight="1">
      <c r="A1975" t="str">
        <f t="shared" si="1"/>
        <v>D.donghaensis</v>
      </c>
      <c r="B1975" s="5" t="s">
        <v>5704</v>
      </c>
      <c r="C1975" s="6" t="str">
        <f>IFERROR(__xludf.DUMMYFUNCTION("SPLIT('2. c'!B1975, "" "", True, True)"),"Dokdonia")</f>
        <v>Dokdonia</v>
      </c>
      <c r="D1975" t="str">
        <f>IFERROR(__xludf.DUMMYFUNCTION("""COMPUTED_VALUE"""),"donghaensis")</f>
        <v>donghaensis</v>
      </c>
      <c r="E1975" t="str">
        <f>IFERROR(__xludf.DUMMYFUNCTION("""COMPUTED_VALUE"""),"DSW-1")</f>
        <v>DSW-1</v>
      </c>
    </row>
    <row r="1976" ht="15.75" customHeight="1">
      <c r="A1976" t="str">
        <f t="shared" si="1"/>
        <v>D.sp.</v>
      </c>
      <c r="B1976" s="5" t="s">
        <v>5714</v>
      </c>
      <c r="C1976" s="6" t="str">
        <f>IFERROR(__xludf.DUMMYFUNCTION("SPLIT('2. c'!B1976, "" "", True, True)"),"Dokdonia")</f>
        <v>Dokdonia</v>
      </c>
      <c r="D1976" t="str">
        <f>IFERROR(__xludf.DUMMYFUNCTION("""COMPUTED_VALUE"""),"sp.")</f>
        <v>sp.</v>
      </c>
      <c r="E1976" t="str">
        <f>IFERROR(__xludf.DUMMYFUNCTION("""COMPUTED_VALUE"""),"MED134")</f>
        <v>MED134</v>
      </c>
    </row>
    <row r="1977" ht="15.75" customHeight="1">
      <c r="A1977" t="str">
        <f t="shared" si="1"/>
        <v>D.sp.</v>
      </c>
      <c r="B1977" s="5" t="s">
        <v>5723</v>
      </c>
      <c r="C1977" s="6" t="str">
        <f>IFERROR(__xludf.DUMMYFUNCTION("SPLIT('2. c'!B1977, "" "", True, True)"),"Dokdonia")</f>
        <v>Dokdonia</v>
      </c>
      <c r="D1977" t="str">
        <f>IFERROR(__xludf.DUMMYFUNCTION("""COMPUTED_VALUE"""),"sp.")</f>
        <v>sp.</v>
      </c>
      <c r="E1977" t="str">
        <f>IFERROR(__xludf.DUMMYFUNCTION("""COMPUTED_VALUE"""),"PRO95")</f>
        <v>PRO95</v>
      </c>
    </row>
    <row r="1978" ht="15.75" customHeight="1">
      <c r="A1978" t="str">
        <f t="shared" si="1"/>
        <v>D.orientale</v>
      </c>
      <c r="B1978" s="5" t="s">
        <v>5735</v>
      </c>
      <c r="C1978" s="6" t="str">
        <f>IFERROR(__xludf.DUMMYFUNCTION("SPLIT('2. c'!B1978, "" "", True, True)"),"Draconibacterium")</f>
        <v>Draconibacterium</v>
      </c>
      <c r="D1978" t="str">
        <f>IFERROR(__xludf.DUMMYFUNCTION("""COMPUTED_VALUE"""),"orientale")</f>
        <v>orientale</v>
      </c>
      <c r="E1978" t="str">
        <f>IFERROR(__xludf.DUMMYFUNCTION("""COMPUTED_VALUE"""),"strain")</f>
        <v>strain</v>
      </c>
      <c r="F1978" t="str">
        <f>IFERROR(__xludf.DUMMYFUNCTION("""COMPUTED_VALUE"""),"FH5")</f>
        <v>FH5</v>
      </c>
    </row>
    <row r="1979" ht="15.75" customHeight="1">
      <c r="A1979" t="str">
        <f t="shared" si="1"/>
        <v>D.fermentans</v>
      </c>
      <c r="B1979" s="5" t="s">
        <v>5742</v>
      </c>
      <c r="C1979" s="6" t="str">
        <f>IFERROR(__xludf.DUMMYFUNCTION("SPLIT('2. c'!B1979, "" "", True, True)"),"Dyadobacter")</f>
        <v>Dyadobacter</v>
      </c>
      <c r="D1979" t="str">
        <f>IFERROR(__xludf.DUMMYFUNCTION("""COMPUTED_VALUE"""),"fermentans")</f>
        <v>fermentans</v>
      </c>
      <c r="E1979" t="str">
        <f>IFERROR(__xludf.DUMMYFUNCTION("""COMPUTED_VALUE"""),"DSM")</f>
        <v>DSM</v>
      </c>
      <c r="F1979">
        <f>IFERROR(__xludf.DUMMYFUNCTION("""COMPUTED_VALUE"""),18053.0)</f>
        <v>18053</v>
      </c>
    </row>
    <row r="1980" ht="15.75" customHeight="1">
      <c r="A1980" t="str">
        <f t="shared" si="1"/>
        <v>D.japonica</v>
      </c>
      <c r="B1980" s="5" t="s">
        <v>5749</v>
      </c>
      <c r="C1980" s="6" t="str">
        <f>IFERROR(__xludf.DUMMYFUNCTION("SPLIT('2. c'!B1980, "" "", True, True)"),"Dyella")</f>
        <v>Dyella</v>
      </c>
      <c r="D1980" t="str">
        <f>IFERROR(__xludf.DUMMYFUNCTION("""COMPUTED_VALUE"""),"japonica")</f>
        <v>japonica</v>
      </c>
      <c r="E1980" t="str">
        <f>IFERROR(__xludf.DUMMYFUNCTION("""COMPUTED_VALUE"""),"A8")</f>
        <v>A8</v>
      </c>
    </row>
    <row r="1981" ht="15.75" customHeight="1">
      <c r="A1981" t="str">
        <f t="shared" si="1"/>
        <v>D.jiangningensis</v>
      </c>
      <c r="B1981" s="5" t="s">
        <v>5755</v>
      </c>
      <c r="C1981" s="6" t="str">
        <f>IFERROR(__xludf.DUMMYFUNCTION("SPLIT('2. c'!B1981, "" "", True, True)"),"Dyella")</f>
        <v>Dyella</v>
      </c>
      <c r="D1981" t="str">
        <f>IFERROR(__xludf.DUMMYFUNCTION("""COMPUTED_VALUE"""),"jiangningensis")</f>
        <v>jiangningensis</v>
      </c>
      <c r="E1981" t="str">
        <f>IFERROR(__xludf.DUMMYFUNCTION("""COMPUTED_VALUE"""),"strain")</f>
        <v>strain</v>
      </c>
      <c r="F1981" t="str">
        <f>IFERROR(__xludf.DUMMYFUNCTION("""COMPUTED_VALUE"""),"SBZ")</f>
        <v>SBZ</v>
      </c>
      <c r="G1981" s="25">
        <f>IFERROR(__xludf.DUMMYFUNCTION("""COMPUTED_VALUE"""),43437.0)</f>
        <v>43437</v>
      </c>
    </row>
    <row r="1982" ht="15.75" customHeight="1">
      <c r="A1982" t="str">
        <f t="shared" si="1"/>
        <v>D.thiooxydans</v>
      </c>
      <c r="B1982" s="5" t="s">
        <v>5764</v>
      </c>
      <c r="C1982" s="6" t="str">
        <f>IFERROR(__xludf.DUMMYFUNCTION("SPLIT('2. c'!B1982, "" "", True, True)"),"Dyella")</f>
        <v>Dyella</v>
      </c>
      <c r="D1982" t="str">
        <f>IFERROR(__xludf.DUMMYFUNCTION("""COMPUTED_VALUE"""),"thiooxydans")</f>
        <v>thiooxydans</v>
      </c>
      <c r="E1982" t="str">
        <f>IFERROR(__xludf.DUMMYFUNCTION("""COMPUTED_VALUE"""),"strain")</f>
        <v>strain</v>
      </c>
      <c r="F1982" t="str">
        <f>IFERROR(__xludf.DUMMYFUNCTION("""COMPUTED_VALUE"""),"ATSB10")</f>
        <v>ATSB10</v>
      </c>
    </row>
    <row r="1983" ht="15.75" customHeight="1">
      <c r="A1983" t="str">
        <f t="shared" si="1"/>
        <v>E.vietnamensis</v>
      </c>
      <c r="B1983" s="5" t="s">
        <v>5771</v>
      </c>
      <c r="C1983" s="6" t="str">
        <f>IFERROR(__xludf.DUMMYFUNCTION("SPLIT('2. c'!B1983, "" "", True, True)"),"Echinicola")</f>
        <v>Echinicola</v>
      </c>
      <c r="D1983" t="str">
        <f>IFERROR(__xludf.DUMMYFUNCTION("""COMPUTED_VALUE"""),"vietnamensis")</f>
        <v>vietnamensis</v>
      </c>
      <c r="E1983" t="str">
        <f>IFERROR(__xludf.DUMMYFUNCTION("""COMPUTED_VALUE"""),"DSM")</f>
        <v>DSM</v>
      </c>
      <c r="F1983">
        <f>IFERROR(__xludf.DUMMYFUNCTION("""COMPUTED_VALUE"""),17526.0)</f>
        <v>17526</v>
      </c>
    </row>
    <row r="1984" ht="15.75" customHeight="1">
      <c r="A1984" t="str">
        <f t="shared" si="1"/>
        <v>E.sp.</v>
      </c>
      <c r="B1984" s="5" t="s">
        <v>5777</v>
      </c>
      <c r="C1984" s="6" t="str">
        <f>IFERROR(__xludf.DUMMYFUNCTION("SPLIT('2. c'!B1984, "" "", True, True)"),"Ectothiorhodospira")</f>
        <v>Ectothiorhodospira</v>
      </c>
      <c r="D1984" t="str">
        <f>IFERROR(__xludf.DUMMYFUNCTION("""COMPUTED_VALUE"""),"sp.")</f>
        <v>sp.</v>
      </c>
      <c r="E1984" t="str">
        <f>IFERROR(__xludf.DUMMYFUNCTION("""COMPUTED_VALUE"""),"BSL-9")</f>
        <v>BSL-9</v>
      </c>
    </row>
    <row r="1985" ht="15.75" customHeight="1">
      <c r="A1985" t="str">
        <f t="shared" si="1"/>
        <v>E.ictaluri</v>
      </c>
      <c r="B1985" s="5" t="s">
        <v>5783</v>
      </c>
      <c r="C1985" s="6" t="str">
        <f>IFERROR(__xludf.DUMMYFUNCTION("SPLIT('2. c'!B1985, "" "", True, True)"),"Edwardsiella")</f>
        <v>Edwardsiella</v>
      </c>
      <c r="D1985" t="str">
        <f>IFERROR(__xludf.DUMMYFUNCTION("""COMPUTED_VALUE"""),"ictaluri")</f>
        <v>ictaluri</v>
      </c>
      <c r="E1985" t="str">
        <f>IFERROR(__xludf.DUMMYFUNCTION("""COMPUTED_VALUE"""),"93-146")</f>
        <v>93-146</v>
      </c>
    </row>
    <row r="1986" ht="15.75" customHeight="1">
      <c r="A1986" t="str">
        <f t="shared" si="1"/>
        <v>E.sp.</v>
      </c>
      <c r="B1986" s="5" t="s">
        <v>5790</v>
      </c>
      <c r="C1986" s="6" t="str">
        <f>IFERROR(__xludf.DUMMYFUNCTION("SPLIT('2. c'!B1986, "" "", True, True)"),"Edwardsiella")</f>
        <v>Edwardsiella</v>
      </c>
      <c r="D1986" t="str">
        <f>IFERROR(__xludf.DUMMYFUNCTION("""COMPUTED_VALUE"""),"sp.")</f>
        <v>sp.</v>
      </c>
      <c r="E1986" t="str">
        <f>IFERROR(__xludf.DUMMYFUNCTION("""COMPUTED_VALUE"""),"LADL05-105")</f>
        <v>LADL05-105</v>
      </c>
    </row>
    <row r="1987" ht="15.75" customHeight="1">
      <c r="A1987" t="str">
        <f t="shared" si="1"/>
        <v>E.tarda</v>
      </c>
      <c r="B1987" s="5" t="s">
        <v>5794</v>
      </c>
      <c r="C1987" s="6" t="str">
        <f>IFERROR(__xludf.DUMMYFUNCTION("SPLIT('2. c'!B1987, "" "", True, True)"),"Edwardsiella")</f>
        <v>Edwardsiella</v>
      </c>
      <c r="D1987" t="str">
        <f>IFERROR(__xludf.DUMMYFUNCTION("""COMPUTED_VALUE"""),"tarda")</f>
        <v>tarda</v>
      </c>
      <c r="E1987" t="str">
        <f>IFERROR(__xludf.DUMMYFUNCTION("""COMPUTED_VALUE"""),"C07-087")</f>
        <v>C07-087</v>
      </c>
    </row>
    <row r="1988" ht="15.75" customHeight="1">
      <c r="A1988" t="str">
        <f t="shared" si="1"/>
        <v>E.tarda</v>
      </c>
      <c r="B1988" s="5" t="s">
        <v>5802</v>
      </c>
      <c r="C1988" s="6" t="str">
        <f>IFERROR(__xludf.DUMMYFUNCTION("SPLIT('2. c'!B1988, "" "", True, True)"),"Edwardsiella")</f>
        <v>Edwardsiella</v>
      </c>
      <c r="D1988" t="str">
        <f>IFERROR(__xludf.DUMMYFUNCTION("""COMPUTED_VALUE"""),"tarda")</f>
        <v>tarda</v>
      </c>
      <c r="E1988" t="str">
        <f>IFERROR(__xludf.DUMMYFUNCTION("""COMPUTED_VALUE"""),"EIB202")</f>
        <v>EIB202</v>
      </c>
    </row>
    <row r="1989" ht="15.75" customHeight="1">
      <c r="A1989" t="str">
        <f t="shared" si="1"/>
        <v>E.tarda</v>
      </c>
      <c r="B1989" s="5" t="s">
        <v>5810</v>
      </c>
      <c r="C1989" s="6" t="str">
        <f>IFERROR(__xludf.DUMMYFUNCTION("SPLIT('2. c'!B1989, "" "", True, True)"),"Edwardsiella")</f>
        <v>Edwardsiella</v>
      </c>
      <c r="D1989" t="str">
        <f>IFERROR(__xludf.DUMMYFUNCTION("""COMPUTED_VALUE"""),"tarda")</f>
        <v>tarda</v>
      </c>
      <c r="E1989" t="str">
        <f>IFERROR(__xludf.DUMMYFUNCTION("""COMPUTED_VALUE"""),"FL6-60")</f>
        <v>FL6-60</v>
      </c>
    </row>
    <row r="1990" ht="15.75" customHeight="1">
      <c r="A1990" t="str">
        <f t="shared" si="1"/>
        <v>E.tarda</v>
      </c>
      <c r="B1990" s="5" t="s">
        <v>5819</v>
      </c>
      <c r="C1990" s="6" t="str">
        <f>IFERROR(__xludf.DUMMYFUNCTION("SPLIT('2. c'!B1990, "" "", True, True)"),"Edwardsiella")</f>
        <v>Edwardsiella</v>
      </c>
      <c r="D1990" t="str">
        <f>IFERROR(__xludf.DUMMYFUNCTION("""COMPUTED_VALUE"""),"tarda")</f>
        <v>tarda</v>
      </c>
      <c r="E1990" t="str">
        <f>IFERROR(__xludf.DUMMYFUNCTION("""COMPUTED_VALUE"""),"strain")</f>
        <v>strain</v>
      </c>
      <c r="F1990" t="str">
        <f>IFERROR(__xludf.DUMMYFUNCTION("""COMPUTED_VALUE"""),"FL95-01")</f>
        <v>FL95-01</v>
      </c>
    </row>
    <row r="1991" ht="15.75" customHeight="1">
      <c r="A1991" t="str">
        <f t="shared" si="1"/>
        <v>E.lenta</v>
      </c>
      <c r="B1991" s="5" t="s">
        <v>5829</v>
      </c>
      <c r="C1991" s="6" t="str">
        <f>IFERROR(__xludf.DUMMYFUNCTION("SPLIT('2. c'!B1991, "" "", True, True)"),"Eggerthella")</f>
        <v>Eggerthella</v>
      </c>
      <c r="D1991" t="str">
        <f>IFERROR(__xludf.DUMMYFUNCTION("""COMPUTED_VALUE"""),"lenta")</f>
        <v>lenta</v>
      </c>
      <c r="E1991" t="str">
        <f>IFERROR(__xludf.DUMMYFUNCTION("""COMPUTED_VALUE"""),"DSM")</f>
        <v>DSM</v>
      </c>
      <c r="F1991">
        <f>IFERROR(__xludf.DUMMYFUNCTION("""COMPUTED_VALUE"""),2243.0)</f>
        <v>2243</v>
      </c>
    </row>
    <row r="1992" ht="15.75" customHeight="1">
      <c r="A1992" t="str">
        <f t="shared" si="1"/>
        <v>E.sp.</v>
      </c>
      <c r="B1992" s="5" t="s">
        <v>5837</v>
      </c>
      <c r="C1992" s="6" t="str">
        <f>IFERROR(__xludf.DUMMYFUNCTION("SPLIT('2. c'!B1992, "" "", True, True)"),"Eggerthella")</f>
        <v>Eggerthella</v>
      </c>
      <c r="D1992" t="str">
        <f>IFERROR(__xludf.DUMMYFUNCTION("""COMPUTED_VALUE"""),"sp.")</f>
        <v>sp.</v>
      </c>
      <c r="E1992" t="str">
        <f>IFERROR(__xludf.DUMMYFUNCTION("""COMPUTED_VALUE"""),"YY7918")</f>
        <v>YY7918</v>
      </c>
    </row>
    <row r="1993" ht="15.75" customHeight="1">
      <c r="A1993" t="str">
        <f t="shared" si="1"/>
        <v>E.canis</v>
      </c>
      <c r="B1993" s="5" t="s">
        <v>5848</v>
      </c>
      <c r="C1993" s="6" t="str">
        <f>IFERROR(__xludf.DUMMYFUNCTION("SPLIT('2. c'!B1993, "" "", True, True)"),"Ehrlichia")</f>
        <v>Ehrlichia</v>
      </c>
      <c r="D1993" t="str">
        <f>IFERROR(__xludf.DUMMYFUNCTION("""COMPUTED_VALUE"""),"canis")</f>
        <v>canis</v>
      </c>
      <c r="E1993" t="str">
        <f>IFERROR(__xludf.DUMMYFUNCTION("""COMPUTED_VALUE"""),"str.")</f>
        <v>str.</v>
      </c>
      <c r="F1993" t="str">
        <f>IFERROR(__xludf.DUMMYFUNCTION("""COMPUTED_VALUE"""),"Jake")</f>
        <v>Jake</v>
      </c>
    </row>
    <row r="1994" ht="15.75" customHeight="1">
      <c r="A1994" t="str">
        <f t="shared" si="1"/>
        <v>E.chaffeensis</v>
      </c>
      <c r="B1994" s="5" t="s">
        <v>5856</v>
      </c>
      <c r="C1994" s="6" t="str">
        <f>IFERROR(__xludf.DUMMYFUNCTION("SPLIT('2. c'!B1994, "" "", True, True)"),"Ehrlichia")</f>
        <v>Ehrlichia</v>
      </c>
      <c r="D1994" t="str">
        <f>IFERROR(__xludf.DUMMYFUNCTION("""COMPUTED_VALUE"""),"chaffeensis")</f>
        <v>chaffeensis</v>
      </c>
      <c r="E1994" t="str">
        <f>IFERROR(__xludf.DUMMYFUNCTION("""COMPUTED_VALUE"""),"str.")</f>
        <v>str.</v>
      </c>
      <c r="F1994" t="str">
        <f>IFERROR(__xludf.DUMMYFUNCTION("""COMPUTED_VALUE"""),"Arkansas")</f>
        <v>Arkansas</v>
      </c>
    </row>
    <row r="1995" ht="15.75" customHeight="1">
      <c r="A1995" t="str">
        <f t="shared" si="1"/>
        <v>E.chaffeensis</v>
      </c>
      <c r="B1995" s="5" t="s">
        <v>5867</v>
      </c>
      <c r="C1995" s="6" t="str">
        <f>IFERROR(__xludf.DUMMYFUNCTION("SPLIT('2. c'!B1995, "" "", True, True)"),"Ehrlichia")</f>
        <v>Ehrlichia</v>
      </c>
      <c r="D1995" t="str">
        <f>IFERROR(__xludf.DUMMYFUNCTION("""COMPUTED_VALUE"""),"chaffeensis")</f>
        <v>chaffeensis</v>
      </c>
      <c r="E1995" t="str">
        <f>IFERROR(__xludf.DUMMYFUNCTION("""COMPUTED_VALUE"""),"str.")</f>
        <v>str.</v>
      </c>
      <c r="F1995" t="str">
        <f>IFERROR(__xludf.DUMMYFUNCTION("""COMPUTED_VALUE"""),"Heartland")</f>
        <v>Heartland</v>
      </c>
    </row>
    <row r="1996" ht="15.75" customHeight="1">
      <c r="A1996" t="str">
        <f t="shared" si="1"/>
        <v>E.chaffeensis</v>
      </c>
      <c r="B1996" s="5" t="s">
        <v>5877</v>
      </c>
      <c r="C1996" s="6" t="str">
        <f>IFERROR(__xludf.DUMMYFUNCTION("SPLIT('2. c'!B1996, "" "", True, True)"),"Ehrlichia")</f>
        <v>Ehrlichia</v>
      </c>
      <c r="D1996" t="str">
        <f>IFERROR(__xludf.DUMMYFUNCTION("""COMPUTED_VALUE"""),"chaffeensis")</f>
        <v>chaffeensis</v>
      </c>
      <c r="E1996" t="str">
        <f>IFERROR(__xludf.DUMMYFUNCTION("""COMPUTED_VALUE"""),"str.")</f>
        <v>str.</v>
      </c>
      <c r="F1996" t="str">
        <f>IFERROR(__xludf.DUMMYFUNCTION("""COMPUTED_VALUE"""),"Jax")</f>
        <v>Jax</v>
      </c>
    </row>
    <row r="1997" ht="15.75" customHeight="1">
      <c r="A1997" t="str">
        <f t="shared" si="1"/>
        <v>E.chaffeensis</v>
      </c>
      <c r="B1997" s="5" t="s">
        <v>5888</v>
      </c>
      <c r="C1997" s="6" t="str">
        <f>IFERROR(__xludf.DUMMYFUNCTION("SPLIT('2. c'!B1997, "" "", True, True)"),"Ehrlichia")</f>
        <v>Ehrlichia</v>
      </c>
      <c r="D1997" t="str">
        <f>IFERROR(__xludf.DUMMYFUNCTION("""COMPUTED_VALUE"""),"chaffeensis")</f>
        <v>chaffeensis</v>
      </c>
      <c r="E1997" t="str">
        <f>IFERROR(__xludf.DUMMYFUNCTION("""COMPUTED_VALUE"""),"str.")</f>
        <v>str.</v>
      </c>
      <c r="F1997" t="str">
        <f>IFERROR(__xludf.DUMMYFUNCTION("""COMPUTED_VALUE"""),"Liberty")</f>
        <v>Liberty</v>
      </c>
    </row>
    <row r="1998" ht="15.75" customHeight="1">
      <c r="A1998" t="str">
        <f t="shared" si="1"/>
        <v>E.chaffeensis</v>
      </c>
      <c r="B1998" s="5" t="s">
        <v>5897</v>
      </c>
      <c r="C1998" s="6" t="str">
        <f>IFERROR(__xludf.DUMMYFUNCTION("SPLIT('2. c'!B1998, "" "", True, True)"),"Ehrlichia")</f>
        <v>Ehrlichia</v>
      </c>
      <c r="D1998" t="str">
        <f>IFERROR(__xludf.DUMMYFUNCTION("""COMPUTED_VALUE"""),"chaffeensis")</f>
        <v>chaffeensis</v>
      </c>
      <c r="E1998" t="str">
        <f>IFERROR(__xludf.DUMMYFUNCTION("""COMPUTED_VALUE"""),"str.")</f>
        <v>str.</v>
      </c>
      <c r="F1998" t="str">
        <f>IFERROR(__xludf.DUMMYFUNCTION("""COMPUTED_VALUE"""),"Osceola")</f>
        <v>Osceola</v>
      </c>
    </row>
    <row r="1999" ht="15.75" customHeight="1">
      <c r="A1999" t="str">
        <f t="shared" si="1"/>
        <v>E.chaffeensis</v>
      </c>
      <c r="B1999" s="5" t="s">
        <v>5904</v>
      </c>
      <c r="C1999" s="6" t="str">
        <f>IFERROR(__xludf.DUMMYFUNCTION("SPLIT('2. c'!B1999, "" "", True, True)"),"Ehrlichia")</f>
        <v>Ehrlichia</v>
      </c>
      <c r="D1999" t="str">
        <f>IFERROR(__xludf.DUMMYFUNCTION("""COMPUTED_VALUE"""),"chaffeensis")</f>
        <v>chaffeensis</v>
      </c>
      <c r="E1999" t="str">
        <f>IFERROR(__xludf.DUMMYFUNCTION("""COMPUTED_VALUE"""),"str.")</f>
        <v>str.</v>
      </c>
      <c r="F1999" t="str">
        <f>IFERROR(__xludf.DUMMYFUNCTION("""COMPUTED_VALUE"""),"Saint")</f>
        <v>Saint</v>
      </c>
      <c r="G1999" t="str">
        <f>IFERROR(__xludf.DUMMYFUNCTION("""COMPUTED_VALUE"""),"Vincent")</f>
        <v>Vincent</v>
      </c>
    </row>
    <row r="2000" ht="15.75" customHeight="1">
      <c r="A2000" t="str">
        <f t="shared" si="1"/>
        <v>E.chaffeensis</v>
      </c>
      <c r="B2000" s="5" t="s">
        <v>5914</v>
      </c>
      <c r="C2000" s="6" t="str">
        <f>IFERROR(__xludf.DUMMYFUNCTION("SPLIT('2. c'!B2000, "" "", True, True)"),"Ehrlichia")</f>
        <v>Ehrlichia</v>
      </c>
      <c r="D2000" t="str">
        <f>IFERROR(__xludf.DUMMYFUNCTION("""COMPUTED_VALUE"""),"chaffeensis")</f>
        <v>chaffeensis</v>
      </c>
      <c r="E2000" t="str">
        <f>IFERROR(__xludf.DUMMYFUNCTION("""COMPUTED_VALUE"""),"str.")</f>
        <v>str.</v>
      </c>
      <c r="F2000" t="str">
        <f>IFERROR(__xludf.DUMMYFUNCTION("""COMPUTED_VALUE"""),"Wakulla")</f>
        <v>Wakulla</v>
      </c>
    </row>
    <row r="2001" ht="15.75" customHeight="1">
      <c r="A2001" t="str">
        <f t="shared" si="1"/>
        <v>E.chaffeensis</v>
      </c>
      <c r="B2001" s="5" t="s">
        <v>5923</v>
      </c>
      <c r="C2001" s="6" t="str">
        <f>IFERROR(__xludf.DUMMYFUNCTION("SPLIT('2. c'!B2001, "" "", True, True)"),"Ehrlichia")</f>
        <v>Ehrlichia</v>
      </c>
      <c r="D2001" t="str">
        <f>IFERROR(__xludf.DUMMYFUNCTION("""COMPUTED_VALUE"""),"chaffeensis")</f>
        <v>chaffeensis</v>
      </c>
      <c r="E2001" t="str">
        <f>IFERROR(__xludf.DUMMYFUNCTION("""COMPUTED_VALUE"""),"str.")</f>
        <v>str.</v>
      </c>
      <c r="F2001" t="str">
        <f>IFERROR(__xludf.DUMMYFUNCTION("""COMPUTED_VALUE"""),"West")</f>
        <v>West</v>
      </c>
      <c r="G2001" t="str">
        <f>IFERROR(__xludf.DUMMYFUNCTION("""COMPUTED_VALUE"""),"Paces")</f>
        <v>Paces</v>
      </c>
    </row>
    <row r="2002" ht="15.75" customHeight="1">
      <c r="A2002" t="str">
        <f t="shared" si="1"/>
        <v>E.muris</v>
      </c>
      <c r="B2002" s="5" t="s">
        <v>5931</v>
      </c>
      <c r="C2002" s="6" t="str">
        <f>IFERROR(__xludf.DUMMYFUNCTION("SPLIT('2. c'!B2002, "" "", True, True)"),"Ehrlichia")</f>
        <v>Ehrlichia</v>
      </c>
      <c r="D2002" t="str">
        <f>IFERROR(__xludf.DUMMYFUNCTION("""COMPUTED_VALUE"""),"muris")</f>
        <v>muris</v>
      </c>
      <c r="E2002" t="str">
        <f>IFERROR(__xludf.DUMMYFUNCTION("""COMPUTED_VALUE"""),"AS145")</f>
        <v>AS145</v>
      </c>
    </row>
    <row r="2003" ht="15.75" customHeight="1">
      <c r="A2003" t="str">
        <f t="shared" si="1"/>
        <v>E.ruminantium</v>
      </c>
      <c r="B2003" s="5" t="s">
        <v>5941</v>
      </c>
      <c r="C2003" s="6" t="str">
        <f>IFERROR(__xludf.DUMMYFUNCTION("SPLIT('2. c'!B2003, "" "", True, True)"),"Ehrlichia")</f>
        <v>Ehrlichia</v>
      </c>
      <c r="D2003" t="str">
        <f>IFERROR(__xludf.DUMMYFUNCTION("""COMPUTED_VALUE"""),"ruminantium")</f>
        <v>ruminantium</v>
      </c>
      <c r="E2003" t="str">
        <f>IFERROR(__xludf.DUMMYFUNCTION("""COMPUTED_VALUE"""),"str.")</f>
        <v>str.</v>
      </c>
      <c r="F2003" t="str">
        <f>IFERROR(__xludf.DUMMYFUNCTION("""COMPUTED_VALUE"""),"Gardel")</f>
        <v>Gardel</v>
      </c>
    </row>
    <row r="2004" ht="15.75" customHeight="1">
      <c r="A2004" t="str">
        <f t="shared" si="1"/>
        <v>E.ruminantium</v>
      </c>
      <c r="B2004" s="5" t="s">
        <v>5949</v>
      </c>
      <c r="C2004" s="6" t="str">
        <f>IFERROR(__xludf.DUMMYFUNCTION("SPLIT('2. c'!B2004, "" "", True, True)"),"Ehrlichia")</f>
        <v>Ehrlichia</v>
      </c>
      <c r="D2004" t="str">
        <f>IFERROR(__xludf.DUMMYFUNCTION("""COMPUTED_VALUE"""),"ruminantium")</f>
        <v>ruminantium</v>
      </c>
      <c r="E2004" t="str">
        <f>IFERROR(__xludf.DUMMYFUNCTION("""COMPUTED_VALUE"""),"str.")</f>
        <v>str.</v>
      </c>
      <c r="F2004" t="str">
        <f>IFERROR(__xludf.DUMMYFUNCTION("""COMPUTED_VALUE"""),"Welgevonden")</f>
        <v>Welgevonden</v>
      </c>
    </row>
    <row r="2005" ht="15.75" customHeight="1">
      <c r="A2005" t="str">
        <f t="shared" si="1"/>
        <v>E.ruminantium</v>
      </c>
      <c r="B2005" s="5" t="s">
        <v>5957</v>
      </c>
      <c r="C2005" s="6" t="str">
        <f>IFERROR(__xludf.DUMMYFUNCTION("SPLIT('2. c'!B2005, "" "", True, True)"),"Ehrlichia")</f>
        <v>Ehrlichia</v>
      </c>
      <c r="D2005" t="str">
        <f>IFERROR(__xludf.DUMMYFUNCTION("""COMPUTED_VALUE"""),"ruminantium")</f>
        <v>ruminantium</v>
      </c>
      <c r="E2005" t="str">
        <f>IFERROR(__xludf.DUMMYFUNCTION("""COMPUTED_VALUE"""),"str.")</f>
        <v>str.</v>
      </c>
      <c r="F2005" t="str">
        <f>IFERROR(__xludf.DUMMYFUNCTION("""COMPUTED_VALUE"""),"Welgevonden")</f>
        <v>Welgevonden</v>
      </c>
      <c r="G2005" t="str">
        <f>IFERROR(__xludf.DUMMYFUNCTION("""COMPUTED_VALUE"""),"(Prj:9614)")</f>
        <v>(Prj:9614)</v>
      </c>
    </row>
    <row r="2006" ht="15.75" customHeight="1">
      <c r="A2006" t="str">
        <f t="shared" si="1"/>
        <v>E.sp.</v>
      </c>
      <c r="B2006" s="5" t="s">
        <v>5971</v>
      </c>
      <c r="C2006" s="6" t="str">
        <f>IFERROR(__xludf.DUMMYFUNCTION("SPLIT('2. c'!B2006, "" "", True, True)"),"Ehrlichia")</f>
        <v>Ehrlichia</v>
      </c>
      <c r="D2006" t="str">
        <f>IFERROR(__xludf.DUMMYFUNCTION("""COMPUTED_VALUE"""),"sp.")</f>
        <v>sp.</v>
      </c>
      <c r="E2006" t="str">
        <f>IFERROR(__xludf.DUMMYFUNCTION("""COMPUTED_VALUE"""),"HF")</f>
        <v>HF</v>
      </c>
    </row>
    <row r="2007" ht="15.75" customHeight="1">
      <c r="A2007" t="str">
        <f t="shared" si="1"/>
        <v>E.anophelis</v>
      </c>
      <c r="B2007" s="5" t="s">
        <v>5978</v>
      </c>
      <c r="C2007" s="6" t="str">
        <f>IFERROR(__xludf.DUMMYFUNCTION("SPLIT('2. c'!B2007, "" "", True, True)"),"Elizabethkingia")</f>
        <v>Elizabethkingia</v>
      </c>
      <c r="D2007" t="str">
        <f>IFERROR(__xludf.DUMMYFUNCTION("""COMPUTED_VALUE"""),"anophelis")</f>
        <v>anophelis</v>
      </c>
      <c r="E2007" t="str">
        <f>IFERROR(__xludf.DUMMYFUNCTION("""COMPUTED_VALUE"""),"strain")</f>
        <v>strain</v>
      </c>
      <c r="F2007" t="str">
        <f>IFERROR(__xludf.DUMMYFUNCTION("""COMPUTED_VALUE"""),"CSID_3000521207")</f>
        <v>CSID_3000521207</v>
      </c>
    </row>
    <row r="2008" ht="15.75" customHeight="1">
      <c r="A2008" t="str">
        <f t="shared" si="1"/>
        <v>E.anophelis</v>
      </c>
      <c r="B2008" s="5" t="s">
        <v>5986</v>
      </c>
      <c r="C2008" s="6" t="str">
        <f>IFERROR(__xludf.DUMMYFUNCTION("SPLIT('2. c'!B2008, "" "", True, True)"),"Elizabethkingia")</f>
        <v>Elizabethkingia</v>
      </c>
      <c r="D2008" t="str">
        <f>IFERROR(__xludf.DUMMYFUNCTION("""COMPUTED_VALUE"""),"anophelis")</f>
        <v>anophelis</v>
      </c>
      <c r="E2008" t="str">
        <f>IFERROR(__xludf.DUMMYFUNCTION("""COMPUTED_VALUE"""),"strain")</f>
        <v>strain</v>
      </c>
      <c r="F2008" t="str">
        <f>IFERROR(__xludf.DUMMYFUNCTION("""COMPUTED_VALUE"""),"CSID_3015183678")</f>
        <v>CSID_3015183678</v>
      </c>
    </row>
    <row r="2009" ht="15.75" customHeight="1">
      <c r="A2009" t="str">
        <f t="shared" si="1"/>
        <v>E.anophelis</v>
      </c>
      <c r="B2009" s="5" t="s">
        <v>5993</v>
      </c>
      <c r="C2009" s="6" t="str">
        <f>IFERROR(__xludf.DUMMYFUNCTION("SPLIT('2. c'!B2009, "" "", True, True)"),"Elizabethkingia")</f>
        <v>Elizabethkingia</v>
      </c>
      <c r="D2009" t="str">
        <f>IFERROR(__xludf.DUMMYFUNCTION("""COMPUTED_VALUE"""),"anophelis")</f>
        <v>anophelis</v>
      </c>
      <c r="E2009" t="str">
        <f>IFERROR(__xludf.DUMMYFUNCTION("""COMPUTED_VALUE"""),"strain")</f>
        <v>strain</v>
      </c>
      <c r="F2009" t="str">
        <f>IFERROR(__xludf.DUMMYFUNCTION("""COMPUTED_VALUE"""),"CSID_3015183681")</f>
        <v>CSID_3015183681</v>
      </c>
    </row>
    <row r="2010" ht="15.75" customHeight="1">
      <c r="A2010" t="str">
        <f t="shared" si="1"/>
        <v>E.anophelis</v>
      </c>
      <c r="B2010" s="5" t="s">
        <v>5998</v>
      </c>
      <c r="C2010" s="6" t="str">
        <f>IFERROR(__xludf.DUMMYFUNCTION("SPLIT('2. c'!B2010, "" "", True, True)"),"Elizabethkingia")</f>
        <v>Elizabethkingia</v>
      </c>
      <c r="D2010" t="str">
        <f>IFERROR(__xludf.DUMMYFUNCTION("""COMPUTED_VALUE"""),"anophelis")</f>
        <v>anophelis</v>
      </c>
      <c r="E2010" t="str">
        <f>IFERROR(__xludf.DUMMYFUNCTION("""COMPUTED_VALUE"""),"strain")</f>
        <v>strain</v>
      </c>
      <c r="F2010" t="str">
        <f>IFERROR(__xludf.DUMMYFUNCTION("""COMPUTED_VALUE"""),"CSID_3015183684")</f>
        <v>CSID_3015183684</v>
      </c>
    </row>
    <row r="2011" ht="15.75" customHeight="1">
      <c r="A2011" t="str">
        <f t="shared" si="1"/>
        <v>E.meningoseptica</v>
      </c>
      <c r="B2011" s="5" t="s">
        <v>6005</v>
      </c>
      <c r="C2011" s="6" t="str">
        <f>IFERROR(__xludf.DUMMYFUNCTION("SPLIT('2. c'!B2011, "" "", True, True)"),"Elizabethkingia")</f>
        <v>Elizabethkingia</v>
      </c>
      <c r="D2011" t="str">
        <f>IFERROR(__xludf.DUMMYFUNCTION("""COMPUTED_VALUE"""),"meningoseptica")</f>
        <v>meningoseptica</v>
      </c>
      <c r="E2011" t="str">
        <f>IFERROR(__xludf.DUMMYFUNCTION("""COMPUTED_VALUE"""),"FMS-007")</f>
        <v>FMS-007</v>
      </c>
    </row>
    <row r="2012" ht="15.75" customHeight="1">
      <c r="A2012" t="str">
        <f t="shared" si="1"/>
        <v>E.sp.</v>
      </c>
      <c r="B2012" s="5" t="s">
        <v>6010</v>
      </c>
      <c r="C2012" s="6" t="str">
        <f>IFERROR(__xludf.DUMMYFUNCTION("SPLIT('2. c'!B2012, "" "", True, True)"),"Elizabethkingia")</f>
        <v>Elizabethkingia</v>
      </c>
      <c r="D2012" t="str">
        <f>IFERROR(__xludf.DUMMYFUNCTION("""COMPUTED_VALUE"""),"sp.")</f>
        <v>sp.</v>
      </c>
      <c r="E2012" t="str">
        <f>IFERROR(__xludf.DUMMYFUNCTION("""COMPUTED_VALUE"""),"BM10")</f>
        <v>BM10</v>
      </c>
    </row>
    <row r="2013" ht="15.75" customHeight="1">
      <c r="A2013" t="str">
        <f t="shared" si="1"/>
        <v>E.minutum</v>
      </c>
      <c r="B2013" s="5" t="s">
        <v>6015</v>
      </c>
      <c r="C2013" s="6" t="str">
        <f>IFERROR(__xludf.DUMMYFUNCTION("SPLIT('2. c'!B2013, "" "", True, True)"),"Elusimicrobium")</f>
        <v>Elusimicrobium</v>
      </c>
      <c r="D2013" t="str">
        <f>IFERROR(__xludf.DUMMYFUNCTION("""COMPUTED_VALUE"""),"minutum")</f>
        <v>minutum</v>
      </c>
      <c r="E2013" t="str">
        <f>IFERROR(__xludf.DUMMYFUNCTION("""COMPUTED_VALUE"""),"Pei191")</f>
        <v>Pei191</v>
      </c>
    </row>
    <row r="2014" ht="15.75" customHeight="1">
      <c r="A2014" t="str">
        <f t="shared" si="1"/>
        <v>E.oligotrophica</v>
      </c>
      <c r="B2014" s="5" t="s">
        <v>6020</v>
      </c>
      <c r="C2014" s="6" t="str">
        <f>IFERROR(__xludf.DUMMYFUNCTION("SPLIT('2. c'!B2014, "" "", True, True)"),"Emticicia")</f>
        <v>Emticicia</v>
      </c>
      <c r="D2014" t="str">
        <f>IFERROR(__xludf.DUMMYFUNCTION("""COMPUTED_VALUE"""),"oligotrophica")</f>
        <v>oligotrophica</v>
      </c>
      <c r="E2014" t="str">
        <f>IFERROR(__xludf.DUMMYFUNCTION("""COMPUTED_VALUE"""),"DSM")</f>
        <v>DSM</v>
      </c>
      <c r="F2014">
        <f>IFERROR(__xludf.DUMMYFUNCTION("""COMPUTED_VALUE"""),17448.0)</f>
        <v>17448</v>
      </c>
    </row>
    <row r="2015" ht="15.75" customHeight="1">
      <c r="A2015" t="str">
        <f t="shared" si="1"/>
        <v>E.montiporae</v>
      </c>
      <c r="B2015" s="5" t="s">
        <v>6027</v>
      </c>
      <c r="C2015" s="6" t="str">
        <f>IFERROR(__xludf.DUMMYFUNCTION("SPLIT('2. c'!B2015, "" "", True, True)"),"Endozoicomonas")</f>
        <v>Endozoicomonas</v>
      </c>
      <c r="D2015" t="str">
        <f>IFERROR(__xludf.DUMMYFUNCTION("""COMPUTED_VALUE"""),"montiporae")</f>
        <v>montiporae</v>
      </c>
      <c r="E2015" t="str">
        <f>IFERROR(__xludf.DUMMYFUNCTION("""COMPUTED_VALUE"""),"CL-33")</f>
        <v>CL-33</v>
      </c>
    </row>
    <row r="2016" ht="15.75" customHeight="1">
      <c r="A2016" t="str">
        <f t="shared" si="1"/>
        <v>E.adhaerens</v>
      </c>
      <c r="B2016" s="5" t="s">
        <v>6036</v>
      </c>
      <c r="C2016" s="6" t="str">
        <f>IFERROR(__xludf.DUMMYFUNCTION("SPLIT('2. c'!B2016, "" "", True, True)"),"Ensifer")</f>
        <v>Ensifer</v>
      </c>
      <c r="D2016" t="str">
        <f>IFERROR(__xludf.DUMMYFUNCTION("""COMPUTED_VALUE"""),"adhaerens")</f>
        <v>adhaerens</v>
      </c>
      <c r="E2016" t="str">
        <f>IFERROR(__xludf.DUMMYFUNCTION("""COMPUTED_VALUE"""),"OV14")</f>
        <v>OV14</v>
      </c>
    </row>
    <row r="2017" ht="15.75" customHeight="1">
      <c r="A2017" t="str">
        <f t="shared" si="1"/>
        <v>E.aerogenes</v>
      </c>
      <c r="B2017" s="5" t="s">
        <v>6045</v>
      </c>
      <c r="C2017" s="6" t="str">
        <f>IFERROR(__xludf.DUMMYFUNCTION("SPLIT('2. c'!B2017, "" "", True, True)"),"Enterobacter")</f>
        <v>Enterobacter</v>
      </c>
      <c r="D2017" t="str">
        <f>IFERROR(__xludf.DUMMYFUNCTION("""COMPUTED_VALUE"""),"aerogenes")</f>
        <v>aerogenes</v>
      </c>
      <c r="E2017" t="str">
        <f>IFERROR(__xludf.DUMMYFUNCTION("""COMPUTED_VALUE"""),"EA1509E")</f>
        <v>EA1509E</v>
      </c>
    </row>
    <row r="2018" ht="15.75" customHeight="1">
      <c r="A2018" t="str">
        <f t="shared" si="1"/>
        <v>E.aerogenes</v>
      </c>
      <c r="B2018" s="5" t="s">
        <v>6052</v>
      </c>
      <c r="C2018" s="6" t="str">
        <f>IFERROR(__xludf.DUMMYFUNCTION("SPLIT('2. c'!B2018, "" "", True, True)"),"Enterobacter")</f>
        <v>Enterobacter</v>
      </c>
      <c r="D2018" t="str">
        <f>IFERROR(__xludf.DUMMYFUNCTION("""COMPUTED_VALUE"""),"aerogenes")</f>
        <v>aerogenes</v>
      </c>
      <c r="E2018" t="str">
        <f>IFERROR(__xludf.DUMMYFUNCTION("""COMPUTED_VALUE"""),"KCTC")</f>
        <v>KCTC</v>
      </c>
      <c r="F2018">
        <f>IFERROR(__xludf.DUMMYFUNCTION("""COMPUTED_VALUE"""),2190.0)</f>
        <v>2190</v>
      </c>
    </row>
    <row r="2019" ht="15.75" customHeight="1">
      <c r="A2019" t="str">
        <f t="shared" si="1"/>
        <v>E.aerogenes</v>
      </c>
      <c r="B2019" s="5" t="s">
        <v>6062</v>
      </c>
      <c r="C2019" s="6" t="str">
        <f>IFERROR(__xludf.DUMMYFUNCTION("SPLIT('2. c'!B2019, "" "", True, True)"),"Enterobacter")</f>
        <v>Enterobacter</v>
      </c>
      <c r="D2019" t="str">
        <f>IFERROR(__xludf.DUMMYFUNCTION("""COMPUTED_VALUE"""),"aerogenes")</f>
        <v>aerogenes</v>
      </c>
      <c r="E2019" t="str">
        <f>IFERROR(__xludf.DUMMYFUNCTION("""COMPUTED_VALUE"""),"strain")</f>
        <v>strain</v>
      </c>
      <c r="F2019" t="str">
        <f>IFERROR(__xludf.DUMMYFUNCTION("""COMPUTED_VALUE"""),"CAV1320")</f>
        <v>CAV1320</v>
      </c>
    </row>
    <row r="2020" ht="15.75" customHeight="1">
      <c r="A2020" t="str">
        <f t="shared" si="1"/>
        <v>E.aerogenes</v>
      </c>
      <c r="B2020" s="5" t="s">
        <v>6067</v>
      </c>
      <c r="C2020" s="6" t="str">
        <f>IFERROR(__xludf.DUMMYFUNCTION("SPLIT('2. c'!B2020, "" "", True, True)"),"Enterobacter")</f>
        <v>Enterobacter</v>
      </c>
      <c r="D2020" t="str">
        <f>IFERROR(__xludf.DUMMYFUNCTION("""COMPUTED_VALUE"""),"aerogenes")</f>
        <v>aerogenes</v>
      </c>
      <c r="E2020" t="str">
        <f>IFERROR(__xludf.DUMMYFUNCTION("""COMPUTED_VALUE"""),"strain")</f>
        <v>strain</v>
      </c>
      <c r="F2020" t="str">
        <f>IFERROR(__xludf.DUMMYFUNCTION("""COMPUTED_VALUE"""),"FDAARGOS_139")</f>
        <v>FDAARGOS_139</v>
      </c>
    </row>
    <row r="2021" ht="15.75" customHeight="1">
      <c r="A2021" t="str">
        <f t="shared" si="1"/>
        <v>E.aerogenes</v>
      </c>
      <c r="B2021" s="5" t="s">
        <v>6074</v>
      </c>
      <c r="C2021" s="6" t="str">
        <f>IFERROR(__xludf.DUMMYFUNCTION("SPLIT('2. c'!B2021, "" "", True, True)"),"Enterobacter")</f>
        <v>Enterobacter</v>
      </c>
      <c r="D2021" t="str">
        <f>IFERROR(__xludf.DUMMYFUNCTION("""COMPUTED_VALUE"""),"aerogenes")</f>
        <v>aerogenes</v>
      </c>
      <c r="E2021" t="str">
        <f>IFERROR(__xludf.DUMMYFUNCTION("""COMPUTED_VALUE"""),"strain")</f>
        <v>strain</v>
      </c>
      <c r="F2021" t="str">
        <f>IFERROR(__xludf.DUMMYFUNCTION("""COMPUTED_VALUE"""),"FDAARGOS_152")</f>
        <v>FDAARGOS_152</v>
      </c>
    </row>
    <row r="2022" ht="15.75" customHeight="1">
      <c r="A2022" t="str">
        <f t="shared" si="1"/>
        <v>E.aerogenes</v>
      </c>
      <c r="B2022" s="5" t="s">
        <v>6082</v>
      </c>
      <c r="C2022" s="6" t="str">
        <f>IFERROR(__xludf.DUMMYFUNCTION("SPLIT('2. c'!B2022, "" "", True, True)"),"Enterobacter")</f>
        <v>Enterobacter</v>
      </c>
      <c r="D2022" t="str">
        <f>IFERROR(__xludf.DUMMYFUNCTION("""COMPUTED_VALUE"""),"aerogenes")</f>
        <v>aerogenes</v>
      </c>
      <c r="E2022" t="str">
        <f>IFERROR(__xludf.DUMMYFUNCTION("""COMPUTED_VALUE"""),"strain")</f>
        <v>strain</v>
      </c>
      <c r="F2022" t="str">
        <f>IFERROR(__xludf.DUMMYFUNCTION("""COMPUTED_VALUE"""),"G7")</f>
        <v>G7</v>
      </c>
    </row>
    <row r="2023" ht="15.75" customHeight="1">
      <c r="A2023" t="str">
        <f t="shared" si="1"/>
        <v>E.asburiae</v>
      </c>
      <c r="B2023" s="5" t="s">
        <v>6092</v>
      </c>
      <c r="C2023" s="6" t="str">
        <f>IFERROR(__xludf.DUMMYFUNCTION("SPLIT('2. c'!B2023, "" "", True, True)"),"Enterobacter")</f>
        <v>Enterobacter</v>
      </c>
      <c r="D2023" t="str">
        <f>IFERROR(__xludf.DUMMYFUNCTION("""COMPUTED_VALUE"""),"asburiae")</f>
        <v>asburiae</v>
      </c>
      <c r="E2023" t="str">
        <f>IFERROR(__xludf.DUMMYFUNCTION("""COMPUTED_VALUE"""),"L1")</f>
        <v>L1</v>
      </c>
    </row>
    <row r="2024" ht="15.75" customHeight="1">
      <c r="A2024" t="str">
        <f t="shared" si="1"/>
        <v>E.asburiae</v>
      </c>
      <c r="B2024" s="5" t="s">
        <v>6098</v>
      </c>
      <c r="C2024" s="6" t="str">
        <f>IFERROR(__xludf.DUMMYFUNCTION("SPLIT('2. c'!B2024, "" "", True, True)"),"Enterobacter")</f>
        <v>Enterobacter</v>
      </c>
      <c r="D2024" t="str">
        <f>IFERROR(__xludf.DUMMYFUNCTION("""COMPUTED_VALUE"""),"asburiae")</f>
        <v>asburiae</v>
      </c>
      <c r="E2024" t="str">
        <f>IFERROR(__xludf.DUMMYFUNCTION("""COMPUTED_VALUE"""),"LF7a")</f>
        <v>LF7a</v>
      </c>
    </row>
    <row r="2025" ht="15.75" customHeight="1">
      <c r="A2025" t="str">
        <f t="shared" si="1"/>
        <v>E.asburiae</v>
      </c>
      <c r="B2025" s="5" t="s">
        <v>6103</v>
      </c>
      <c r="C2025" s="6" t="str">
        <f>IFERROR(__xludf.DUMMYFUNCTION("SPLIT('2. c'!B2025, "" "", True, True)"),"Enterobacter")</f>
        <v>Enterobacter</v>
      </c>
      <c r="D2025" t="str">
        <f>IFERROR(__xludf.DUMMYFUNCTION("""COMPUTED_VALUE"""),"asburiae")</f>
        <v>asburiae</v>
      </c>
      <c r="E2025" t="str">
        <f>IFERROR(__xludf.DUMMYFUNCTION("""COMPUTED_VALUE"""),"strain")</f>
        <v>strain</v>
      </c>
      <c r="F2025">
        <f>IFERROR(__xludf.DUMMYFUNCTION("""COMPUTED_VALUE"""),35734.0)</f>
        <v>35734</v>
      </c>
    </row>
    <row r="2026" ht="15.75" customHeight="1">
      <c r="A2026" t="str">
        <f t="shared" si="1"/>
        <v>E.asburiae</v>
      </c>
      <c r="B2026" s="5" t="s">
        <v>6110</v>
      </c>
      <c r="C2026" s="6" t="str">
        <f>IFERROR(__xludf.DUMMYFUNCTION("SPLIT('2. c'!B2026, "" "", True, True)"),"Enterobacter")</f>
        <v>Enterobacter</v>
      </c>
      <c r="D2026" t="str">
        <f>IFERROR(__xludf.DUMMYFUNCTION("""COMPUTED_VALUE"""),"asburiae")</f>
        <v>asburiae</v>
      </c>
      <c r="E2026" t="str">
        <f>IFERROR(__xludf.DUMMYFUNCTION("""COMPUTED_VALUE"""),"strain")</f>
        <v>strain</v>
      </c>
      <c r="F2026" t="str">
        <f>IFERROR(__xludf.DUMMYFUNCTION("""COMPUTED_VALUE"""),"ATCC")</f>
        <v>ATCC</v>
      </c>
      <c r="G2026">
        <f>IFERROR(__xludf.DUMMYFUNCTION("""COMPUTED_VALUE"""),35953.0)</f>
        <v>35953</v>
      </c>
    </row>
    <row r="2027" ht="15.75" customHeight="1">
      <c r="A2027" t="str">
        <f t="shared" si="1"/>
        <v>E.asburiae</v>
      </c>
      <c r="B2027" s="5" t="s">
        <v>6116</v>
      </c>
      <c r="C2027" s="6" t="str">
        <f>IFERROR(__xludf.DUMMYFUNCTION("SPLIT('2. c'!B2027, "" "", True, True)"),"Enterobacter")</f>
        <v>Enterobacter</v>
      </c>
      <c r="D2027" t="str">
        <f>IFERROR(__xludf.DUMMYFUNCTION("""COMPUTED_VALUE"""),"asburiae")</f>
        <v>asburiae</v>
      </c>
      <c r="E2027" t="str">
        <f>IFERROR(__xludf.DUMMYFUNCTION("""COMPUTED_VALUE"""),"strain")</f>
        <v>strain</v>
      </c>
      <c r="F2027" t="str">
        <f>IFERROR(__xludf.DUMMYFUNCTION("""COMPUTED_VALUE"""),"CAV1043")</f>
        <v>CAV1043</v>
      </c>
    </row>
    <row r="2028" ht="15.75" customHeight="1">
      <c r="A2028" t="str">
        <f t="shared" si="1"/>
        <v>E.asburiae</v>
      </c>
      <c r="B2028" s="5" t="s">
        <v>6122</v>
      </c>
      <c r="C2028" s="6" t="str">
        <f>IFERROR(__xludf.DUMMYFUNCTION("SPLIT('2. c'!B2028, "" "", True, True)"),"Enterobacter")</f>
        <v>Enterobacter</v>
      </c>
      <c r="D2028" t="str">
        <f>IFERROR(__xludf.DUMMYFUNCTION("""COMPUTED_VALUE"""),"asburiae")</f>
        <v>asburiae</v>
      </c>
      <c r="E2028" t="str">
        <f>IFERROR(__xludf.DUMMYFUNCTION("""COMPUTED_VALUE"""),"strain")</f>
        <v>strain</v>
      </c>
      <c r="F2028" t="str">
        <f>IFERROR(__xludf.DUMMYFUNCTION("""COMPUTED_VALUE"""),"ENIPBJ-CG1")</f>
        <v>ENIPBJ-CG1</v>
      </c>
    </row>
    <row r="2029" ht="15.75" customHeight="1">
      <c r="A2029" t="str">
        <f t="shared" si="1"/>
        <v>E.cloacae</v>
      </c>
      <c r="B2029" s="5" t="s">
        <v>6129</v>
      </c>
      <c r="C2029" s="6" t="str">
        <f>IFERROR(__xludf.DUMMYFUNCTION("SPLIT('2. c'!B2029, "" "", True, True)"),"Enterobacter")</f>
        <v>Enterobacter</v>
      </c>
      <c r="D2029" t="str">
        <f>IFERROR(__xludf.DUMMYFUNCTION("""COMPUTED_VALUE"""),"cloacae")</f>
        <v>cloacae</v>
      </c>
      <c r="E2029">
        <f>IFERROR(__xludf.DUMMYFUNCTION("""COMPUTED_VALUE"""),34399.0)</f>
        <v>34399</v>
      </c>
    </row>
    <row r="2030" ht="15.75" customHeight="1">
      <c r="A2030" t="str">
        <f t="shared" si="1"/>
        <v>E.cloacae</v>
      </c>
      <c r="B2030" s="5" t="s">
        <v>6134</v>
      </c>
      <c r="C2030" s="6" t="str">
        <f>IFERROR(__xludf.DUMMYFUNCTION("SPLIT('2. c'!B2030, "" "", True, True)"),"Enterobacter")</f>
        <v>Enterobacter</v>
      </c>
      <c r="D2030" t="str">
        <f>IFERROR(__xludf.DUMMYFUNCTION("""COMPUTED_VALUE"""),"cloacae")</f>
        <v>cloacae</v>
      </c>
      <c r="E2030">
        <f>IFERROR(__xludf.DUMMYFUNCTION("""COMPUTED_VALUE"""),34977.0)</f>
        <v>34977</v>
      </c>
    </row>
    <row r="2031" ht="15.75" customHeight="1">
      <c r="A2031" t="str">
        <f t="shared" si="1"/>
        <v>E.cloacae</v>
      </c>
      <c r="B2031" s="5" t="s">
        <v>6141</v>
      </c>
      <c r="C2031" s="6" t="str">
        <f>IFERROR(__xludf.DUMMYFUNCTION("SPLIT('2. c'!B2031, "" "", True, True)"),"Enterobacter")</f>
        <v>Enterobacter</v>
      </c>
      <c r="D2031" t="str">
        <f>IFERROR(__xludf.DUMMYFUNCTION("""COMPUTED_VALUE"""),"cloacae")</f>
        <v>cloacae</v>
      </c>
      <c r="E2031">
        <f>IFERROR(__xludf.DUMMYFUNCTION("""COMPUTED_VALUE"""),34983.0)</f>
        <v>34983</v>
      </c>
    </row>
    <row r="2032" ht="15.75" customHeight="1">
      <c r="A2032" t="str">
        <f t="shared" si="1"/>
        <v>E.cloacae</v>
      </c>
      <c r="B2032" s="5" t="s">
        <v>6155</v>
      </c>
      <c r="C2032" s="6" t="str">
        <f>IFERROR(__xludf.DUMMYFUNCTION("SPLIT('2. c'!B2032, "" "", True, True)"),"Enterobacter")</f>
        <v>Enterobacter</v>
      </c>
      <c r="D2032" t="str">
        <f>IFERROR(__xludf.DUMMYFUNCTION("""COMPUTED_VALUE"""),"cloacae")</f>
        <v>cloacae</v>
      </c>
      <c r="E2032" t="str">
        <f>IFERROR(__xludf.DUMMYFUNCTION("""COMPUTED_VALUE"""),"ECNIH2")</f>
        <v>ECNIH2</v>
      </c>
    </row>
    <row r="2033" ht="15.75" customHeight="1">
      <c r="A2033" t="str">
        <f t="shared" si="1"/>
        <v>E.cloacae</v>
      </c>
      <c r="B2033" s="5" t="s">
        <v>6172</v>
      </c>
      <c r="C2033" s="6" t="str">
        <f>IFERROR(__xludf.DUMMYFUNCTION("SPLIT('2. c'!B2033, "" "", True, True)"),"Enterobacter")</f>
        <v>Enterobacter</v>
      </c>
      <c r="D2033" t="str">
        <f>IFERROR(__xludf.DUMMYFUNCTION("""COMPUTED_VALUE"""),"cloacae")</f>
        <v>cloacae</v>
      </c>
      <c r="E2033" t="str">
        <f>IFERROR(__xludf.DUMMYFUNCTION("""COMPUTED_VALUE"""),"ECNIH3")</f>
        <v>ECNIH3</v>
      </c>
    </row>
    <row r="2034" ht="15.75" customHeight="1">
      <c r="A2034" t="str">
        <f t="shared" si="1"/>
        <v>E.cloacae</v>
      </c>
      <c r="B2034" s="5" t="s">
        <v>6188</v>
      </c>
      <c r="C2034" s="6" t="str">
        <f>IFERROR(__xludf.DUMMYFUNCTION("SPLIT('2. c'!B2034, "" "", True, True)"),"Enterobacter")</f>
        <v>Enterobacter</v>
      </c>
      <c r="D2034" t="str">
        <f>IFERROR(__xludf.DUMMYFUNCTION("""COMPUTED_VALUE"""),"cloacae")</f>
        <v>cloacae</v>
      </c>
      <c r="E2034" t="str">
        <f>IFERROR(__xludf.DUMMYFUNCTION("""COMPUTED_VALUE"""),"ECNIH4")</f>
        <v>ECNIH4</v>
      </c>
    </row>
    <row r="2035" ht="15.75" customHeight="1">
      <c r="A2035" t="str">
        <f t="shared" si="1"/>
        <v>E.cloacae</v>
      </c>
      <c r="B2035" s="5" t="s">
        <v>6198</v>
      </c>
      <c r="C2035" s="6" t="str">
        <f>IFERROR(__xludf.DUMMYFUNCTION("SPLIT('2. c'!B2035, "" "", True, True)"),"Enterobacter")</f>
        <v>Enterobacter</v>
      </c>
      <c r="D2035" t="str">
        <f>IFERROR(__xludf.DUMMYFUNCTION("""COMPUTED_VALUE"""),"cloacae")</f>
        <v>cloacae</v>
      </c>
      <c r="E2035" t="str">
        <f>IFERROR(__xludf.DUMMYFUNCTION("""COMPUTED_VALUE"""),"ECNIH5")</f>
        <v>ECNIH5</v>
      </c>
    </row>
    <row r="2036" ht="15.75" customHeight="1">
      <c r="A2036" t="str">
        <f t="shared" si="1"/>
        <v>E.cloacae</v>
      </c>
      <c r="B2036" s="5" t="s">
        <v>6208</v>
      </c>
      <c r="C2036" s="6" t="str">
        <f>IFERROR(__xludf.DUMMYFUNCTION("SPLIT('2. c'!B2036, "" "", True, True)"),"Enterobacter")</f>
        <v>Enterobacter</v>
      </c>
      <c r="D2036" t="str">
        <f>IFERROR(__xludf.DUMMYFUNCTION("""COMPUTED_VALUE"""),"cloacae")</f>
        <v>cloacae</v>
      </c>
      <c r="E2036" t="str">
        <f>IFERROR(__xludf.DUMMYFUNCTION("""COMPUTED_VALUE"""),"ECR091")</f>
        <v>ECR091</v>
      </c>
    </row>
    <row r="2037" ht="15.75" customHeight="1">
      <c r="A2037" t="str">
        <f t="shared" si="1"/>
        <v>E.cloacae</v>
      </c>
      <c r="B2037" s="5" t="s">
        <v>6218</v>
      </c>
      <c r="C2037" s="6" t="str">
        <f>IFERROR(__xludf.DUMMYFUNCTION("SPLIT('2. c'!B2037, "" "", True, True)"),"Enterobacter")</f>
        <v>Enterobacter</v>
      </c>
      <c r="D2037" t="str">
        <f>IFERROR(__xludf.DUMMYFUNCTION("""COMPUTED_VALUE"""),"cloacae")</f>
        <v>cloacae</v>
      </c>
      <c r="E2037" t="str">
        <f>IFERROR(__xludf.DUMMYFUNCTION("""COMPUTED_VALUE"""),"EcWSU1")</f>
        <v>EcWSU1</v>
      </c>
    </row>
    <row r="2038" ht="15.75" customHeight="1">
      <c r="A2038" t="str">
        <f t="shared" si="1"/>
        <v>E.cloacae</v>
      </c>
      <c r="B2038" s="5" t="s">
        <v>6227</v>
      </c>
      <c r="C2038" s="6" t="str">
        <f>IFERROR(__xludf.DUMMYFUNCTION("SPLIT('2. c'!B2038, "" "", True, True)"),"Enterobacter")</f>
        <v>Enterobacter</v>
      </c>
      <c r="D2038" t="str">
        <f>IFERROR(__xludf.DUMMYFUNCTION("""COMPUTED_VALUE"""),"cloacae")</f>
        <v>cloacae</v>
      </c>
      <c r="E2038" t="str">
        <f>IFERROR(__xludf.DUMMYFUNCTION("""COMPUTED_VALUE"""),"GGT036")</f>
        <v>GGT036</v>
      </c>
    </row>
    <row r="2039" ht="15.75" customHeight="1">
      <c r="A2039" t="str">
        <f t="shared" si="1"/>
        <v>E.cloacae</v>
      </c>
      <c r="B2039" s="5" t="s">
        <v>6237</v>
      </c>
      <c r="C2039" s="6" t="str">
        <f>IFERROR(__xludf.DUMMYFUNCTION("SPLIT('2. c'!B2039, "" "", True, True)"),"Enterobacter")</f>
        <v>Enterobacter</v>
      </c>
      <c r="D2039" t="str">
        <f>IFERROR(__xludf.DUMMYFUNCTION("""COMPUTED_VALUE"""),"cloacae")</f>
        <v>cloacae</v>
      </c>
      <c r="E2039" t="str">
        <f>IFERROR(__xludf.DUMMYFUNCTION("""COMPUTED_VALUE"""),"P101")</f>
        <v>P101</v>
      </c>
    </row>
    <row r="2040" ht="15.75" customHeight="1">
      <c r="A2040" t="str">
        <f t="shared" si="1"/>
        <v>E.cloacae</v>
      </c>
      <c r="B2040" s="5" t="s">
        <v>6243</v>
      </c>
      <c r="C2040" s="6" t="str">
        <f>IFERROR(__xludf.DUMMYFUNCTION("SPLIT('2. c'!B2040, "" "", True, True)"),"Enterobacter")</f>
        <v>Enterobacter</v>
      </c>
      <c r="D2040" t="str">
        <f>IFERROR(__xludf.DUMMYFUNCTION("""COMPUTED_VALUE"""),"cloacae")</f>
        <v>cloacae</v>
      </c>
      <c r="E2040" t="str">
        <f>IFERROR(__xludf.DUMMYFUNCTION("""COMPUTED_VALUE"""),"strain")</f>
        <v>strain</v>
      </c>
      <c r="F2040">
        <f>IFERROR(__xludf.DUMMYFUNCTION("""COMPUTED_VALUE"""),34978.0)</f>
        <v>34978</v>
      </c>
    </row>
    <row r="2041" ht="15.75" customHeight="1">
      <c r="A2041" t="str">
        <f t="shared" si="1"/>
        <v>E.cloacae</v>
      </c>
      <c r="B2041" s="5" t="s">
        <v>6253</v>
      </c>
      <c r="C2041" s="6" t="str">
        <f>IFERROR(__xludf.DUMMYFUNCTION("SPLIT('2. c'!B2041, "" "", True, True)"),"Enterobacter")</f>
        <v>Enterobacter</v>
      </c>
      <c r="D2041" t="str">
        <f>IFERROR(__xludf.DUMMYFUNCTION("""COMPUTED_VALUE"""),"cloacae")</f>
        <v>cloacae</v>
      </c>
      <c r="E2041" t="str">
        <f>IFERROR(__xludf.DUMMYFUNCTION("""COMPUTED_VALUE"""),"strain")</f>
        <v>strain</v>
      </c>
      <c r="F2041">
        <f>IFERROR(__xludf.DUMMYFUNCTION("""COMPUTED_VALUE"""),34998.0)</f>
        <v>34998</v>
      </c>
    </row>
    <row r="2042" ht="15.75" customHeight="1">
      <c r="A2042" t="str">
        <f t="shared" si="1"/>
        <v>E.cloacae</v>
      </c>
      <c r="B2042" s="5" t="s">
        <v>6265</v>
      </c>
      <c r="C2042" s="6" t="str">
        <f>IFERROR(__xludf.DUMMYFUNCTION("SPLIT('2. c'!B2042, "" "", True, True)"),"Enterobacter")</f>
        <v>Enterobacter</v>
      </c>
      <c r="D2042" t="str">
        <f>IFERROR(__xludf.DUMMYFUNCTION("""COMPUTED_VALUE"""),"cloacae")</f>
        <v>cloacae</v>
      </c>
      <c r="E2042" t="str">
        <f>IFERROR(__xludf.DUMMYFUNCTION("""COMPUTED_VALUE"""),"strain")</f>
        <v>strain</v>
      </c>
      <c r="F2042" t="str">
        <f>IFERROR(__xludf.DUMMYFUNCTION("""COMPUTED_VALUE"""),"CAV1311")</f>
        <v>CAV1311</v>
      </c>
    </row>
    <row r="2043" ht="15.75" customHeight="1">
      <c r="A2043" t="str">
        <f t="shared" si="1"/>
        <v>E.cloacae</v>
      </c>
      <c r="B2043" s="5" t="s">
        <v>6276</v>
      </c>
      <c r="C2043" s="6" t="str">
        <f>IFERROR(__xludf.DUMMYFUNCTION("SPLIT('2. c'!B2043, "" "", True, True)"),"Enterobacter")</f>
        <v>Enterobacter</v>
      </c>
      <c r="D2043" t="str">
        <f>IFERROR(__xludf.DUMMYFUNCTION("""COMPUTED_VALUE"""),"cloacae")</f>
        <v>cloacae</v>
      </c>
      <c r="E2043" t="str">
        <f>IFERROR(__xludf.DUMMYFUNCTION("""COMPUTED_VALUE"""),"strain")</f>
        <v>strain</v>
      </c>
      <c r="F2043" t="str">
        <f>IFERROR(__xludf.DUMMYFUNCTION("""COMPUTED_VALUE"""),"CAV1411")</f>
        <v>CAV1411</v>
      </c>
    </row>
    <row r="2044" ht="15.75" customHeight="1">
      <c r="A2044" t="str">
        <f t="shared" si="1"/>
        <v>E.cloacae</v>
      </c>
      <c r="B2044" s="5" t="s">
        <v>6286</v>
      </c>
      <c r="C2044" s="6" t="str">
        <f>IFERROR(__xludf.DUMMYFUNCTION("SPLIT('2. c'!B2044, "" "", True, True)"),"Enterobacter")</f>
        <v>Enterobacter</v>
      </c>
      <c r="D2044" t="str">
        <f>IFERROR(__xludf.DUMMYFUNCTION("""COMPUTED_VALUE"""),"cloacae")</f>
        <v>cloacae</v>
      </c>
      <c r="E2044" t="str">
        <f>IFERROR(__xludf.DUMMYFUNCTION("""COMPUTED_VALUE"""),"strain")</f>
        <v>strain</v>
      </c>
      <c r="F2044" t="str">
        <f>IFERROR(__xludf.DUMMYFUNCTION("""COMPUTED_VALUE"""),"CAV1668")</f>
        <v>CAV1668</v>
      </c>
    </row>
    <row r="2045" ht="15.75" customHeight="1">
      <c r="A2045" t="str">
        <f t="shared" si="1"/>
        <v>E.cloacae</v>
      </c>
      <c r="B2045" s="5" t="s">
        <v>6312</v>
      </c>
      <c r="C2045" s="6" t="str">
        <f>IFERROR(__xludf.DUMMYFUNCTION("SPLIT('2. c'!B2045, "" "", True, True)"),"Enterobacter")</f>
        <v>Enterobacter</v>
      </c>
      <c r="D2045" t="str">
        <f>IFERROR(__xludf.DUMMYFUNCTION("""COMPUTED_VALUE"""),"cloacae")</f>
        <v>cloacae</v>
      </c>
      <c r="E2045" t="str">
        <f>IFERROR(__xludf.DUMMYFUNCTION("""COMPUTED_VALUE"""),"strain")</f>
        <v>strain</v>
      </c>
      <c r="F2045" t="str">
        <f>IFERROR(__xludf.DUMMYFUNCTION("""COMPUTED_VALUE"""),"CAV1669")</f>
        <v>CAV1669</v>
      </c>
    </row>
    <row r="2046" ht="15.75" customHeight="1">
      <c r="A2046" t="str">
        <f t="shared" si="1"/>
        <v>E.cloacae</v>
      </c>
      <c r="B2046" s="5" t="s">
        <v>6321</v>
      </c>
      <c r="C2046" s="6" t="str">
        <f>IFERROR(__xludf.DUMMYFUNCTION("SPLIT('2. c'!B2046, "" "", True, True)"),"Enterobacter")</f>
        <v>Enterobacter</v>
      </c>
      <c r="D2046" t="str">
        <f>IFERROR(__xludf.DUMMYFUNCTION("""COMPUTED_VALUE"""),"cloacae")</f>
        <v>cloacae</v>
      </c>
      <c r="E2046" t="str">
        <f>IFERROR(__xludf.DUMMYFUNCTION("""COMPUTED_VALUE"""),"strain")</f>
        <v>strain</v>
      </c>
      <c r="F2046" t="str">
        <f>IFERROR(__xludf.DUMMYFUNCTION("""COMPUTED_VALUE"""),"colR/S")</f>
        <v>colR/S</v>
      </c>
    </row>
    <row r="2047" ht="15.75" customHeight="1">
      <c r="A2047" t="str">
        <f t="shared" si="1"/>
        <v>E.cloacae</v>
      </c>
      <c r="B2047" s="5" t="s">
        <v>6330</v>
      </c>
      <c r="C2047" s="6" t="str">
        <f>IFERROR(__xludf.DUMMYFUNCTION("SPLIT('2. c'!B2047, "" "", True, True)"),"Enterobacter")</f>
        <v>Enterobacter</v>
      </c>
      <c r="D2047" t="str">
        <f>IFERROR(__xludf.DUMMYFUNCTION("""COMPUTED_VALUE"""),"cloacae")</f>
        <v>cloacae</v>
      </c>
      <c r="E2047" t="str">
        <f>IFERROR(__xludf.DUMMYFUNCTION("""COMPUTED_VALUE"""),"strain")</f>
        <v>strain</v>
      </c>
      <c r="F2047" t="str">
        <f>IFERROR(__xludf.DUMMYFUNCTION("""COMPUTED_VALUE"""),"FDAARGOS_68")</f>
        <v>FDAARGOS_68</v>
      </c>
    </row>
    <row r="2048" ht="15.75" customHeight="1">
      <c r="A2048" t="str">
        <f t="shared" si="1"/>
        <v>E.cloacae</v>
      </c>
      <c r="B2048" s="5" t="s">
        <v>6340</v>
      </c>
      <c r="C2048" s="6" t="str">
        <f>IFERROR(__xludf.DUMMYFUNCTION("SPLIT('2. c'!B2048, "" "", True, True)"),"Enterobacter")</f>
        <v>Enterobacter</v>
      </c>
      <c r="D2048" t="str">
        <f>IFERROR(__xludf.DUMMYFUNCTION("""COMPUTED_VALUE"""),"cloacae")</f>
        <v>cloacae</v>
      </c>
      <c r="E2048" t="str">
        <f>IFERROR(__xludf.DUMMYFUNCTION("""COMPUTED_VALUE"""),"strain")</f>
        <v>strain</v>
      </c>
      <c r="F2048" t="str">
        <f>IFERROR(__xludf.DUMMYFUNCTION("""COMPUTED_VALUE"""),"MBRL1077")</f>
        <v>MBRL1077</v>
      </c>
    </row>
    <row r="2049" ht="15.75" customHeight="1">
      <c r="A2049" t="str">
        <f t="shared" si="1"/>
        <v>E.cloacae</v>
      </c>
      <c r="B2049" s="5" t="s">
        <v>6352</v>
      </c>
      <c r="C2049" s="6" t="str">
        <f>IFERROR(__xludf.DUMMYFUNCTION("SPLIT('2. c'!B2049, "" "", True, True)"),"Enterobacter")</f>
        <v>Enterobacter</v>
      </c>
      <c r="D2049" t="str">
        <f>IFERROR(__xludf.DUMMYFUNCTION("""COMPUTED_VALUE"""),"cloacae")</f>
        <v>cloacae</v>
      </c>
      <c r="E2049" t="str">
        <f>IFERROR(__xludf.DUMMYFUNCTION("""COMPUTED_VALUE"""),"strain")</f>
        <v>strain</v>
      </c>
      <c r="F2049" t="str">
        <f>IFERROR(__xludf.DUMMYFUNCTION("""COMPUTED_VALUE"""),"NH52")</f>
        <v>NH52</v>
      </c>
    </row>
    <row r="2050" ht="15.75" customHeight="1">
      <c r="A2050" t="str">
        <f t="shared" si="1"/>
        <v>E.cloacae</v>
      </c>
      <c r="B2050" s="5" t="s">
        <v>6363</v>
      </c>
      <c r="C2050" s="6" t="str">
        <f>IFERROR(__xludf.DUMMYFUNCTION("SPLIT('2. c'!B2050, "" "", True, True)"),"Enterobacter")</f>
        <v>Enterobacter</v>
      </c>
      <c r="D2050" t="str">
        <f>IFERROR(__xludf.DUMMYFUNCTION("""COMPUTED_VALUE"""),"cloacae")</f>
        <v>cloacae</v>
      </c>
      <c r="E2050" t="str">
        <f>IFERROR(__xludf.DUMMYFUNCTION("""COMPUTED_VALUE"""),"strain")</f>
        <v>strain</v>
      </c>
      <c r="F2050" t="str">
        <f>IFERROR(__xludf.DUMMYFUNCTION("""COMPUTED_VALUE"""),"UW5")</f>
        <v>UW5</v>
      </c>
    </row>
    <row r="2051" ht="15.75" customHeight="1">
      <c r="A2051" t="str">
        <f t="shared" si="1"/>
        <v>E.cloacae</v>
      </c>
      <c r="B2051" s="5" t="s">
        <v>6374</v>
      </c>
      <c r="C2051" s="6" t="str">
        <f>IFERROR(__xludf.DUMMYFUNCTION("SPLIT('2. c'!B2051, "" "", True, True)"),"Enterobacter")</f>
        <v>Enterobacter</v>
      </c>
      <c r="D2051" t="str">
        <f>IFERROR(__xludf.DUMMYFUNCTION("""COMPUTED_VALUE"""),"cloacae")</f>
        <v>cloacae</v>
      </c>
      <c r="E2051" t="str">
        <f>IFERROR(__xludf.DUMMYFUNCTION("""COMPUTED_VALUE"""),"subsp.")</f>
        <v>subsp.</v>
      </c>
      <c r="F2051" t="str">
        <f>IFERROR(__xludf.DUMMYFUNCTION("""COMPUTED_VALUE"""),"cloacae")</f>
        <v>cloacae</v>
      </c>
      <c r="G2051" t="str">
        <f>IFERROR(__xludf.DUMMYFUNCTION("""COMPUTED_VALUE"""),"ATCC")</f>
        <v>ATCC</v>
      </c>
      <c r="H2051">
        <f>IFERROR(__xludf.DUMMYFUNCTION("""COMPUTED_VALUE"""),13047.0)</f>
        <v>13047</v>
      </c>
    </row>
    <row r="2052" ht="15.75" customHeight="1">
      <c r="A2052" t="str">
        <f t="shared" si="1"/>
        <v>E.cloacae</v>
      </c>
      <c r="B2052" s="5" t="s">
        <v>6384</v>
      </c>
      <c r="C2052" s="6" t="str">
        <f>IFERROR(__xludf.DUMMYFUNCTION("SPLIT('2. c'!B2052, "" "", True, True)"),"Enterobacter")</f>
        <v>Enterobacter</v>
      </c>
      <c r="D2052" t="str">
        <f>IFERROR(__xludf.DUMMYFUNCTION("""COMPUTED_VALUE"""),"cloacae")</f>
        <v>cloacae</v>
      </c>
      <c r="E2052" t="str">
        <f>IFERROR(__xludf.DUMMYFUNCTION("""COMPUTED_VALUE"""),"subsp.")</f>
        <v>subsp.</v>
      </c>
      <c r="F2052" t="str">
        <f>IFERROR(__xludf.DUMMYFUNCTION("""COMPUTED_VALUE"""),"cloacae")</f>
        <v>cloacae</v>
      </c>
      <c r="G2052" t="str">
        <f>IFERROR(__xludf.DUMMYFUNCTION("""COMPUTED_VALUE"""),"ENHKU01")</f>
        <v>ENHKU01</v>
      </c>
    </row>
    <row r="2053" ht="15.75" customHeight="1">
      <c r="A2053" t="str">
        <f t="shared" si="1"/>
        <v>E.cloacae</v>
      </c>
      <c r="B2053" s="5" t="s">
        <v>6395</v>
      </c>
      <c r="C2053" s="6" t="str">
        <f>IFERROR(__xludf.DUMMYFUNCTION("SPLIT('2. c'!B2053, "" "", True, True)"),"Enterobacter")</f>
        <v>Enterobacter</v>
      </c>
      <c r="D2053" t="str">
        <f>IFERROR(__xludf.DUMMYFUNCTION("""COMPUTED_VALUE"""),"cloacae")</f>
        <v>cloacae</v>
      </c>
      <c r="E2053" t="str">
        <f>IFERROR(__xludf.DUMMYFUNCTION("""COMPUTED_VALUE"""),"subsp.")</f>
        <v>subsp.</v>
      </c>
      <c r="F2053" t="str">
        <f>IFERROR(__xludf.DUMMYFUNCTION("""COMPUTED_VALUE"""),"cloacae")</f>
        <v>cloacae</v>
      </c>
      <c r="G2053" t="str">
        <f>IFERROR(__xludf.DUMMYFUNCTION("""COMPUTED_VALUE"""),"NCTC")</f>
        <v>NCTC</v>
      </c>
      <c r="H2053">
        <f>IFERROR(__xludf.DUMMYFUNCTION("""COMPUTED_VALUE"""),9394.0)</f>
        <v>9394</v>
      </c>
    </row>
    <row r="2054" ht="15.75" customHeight="1">
      <c r="A2054" t="str">
        <f t="shared" si="1"/>
        <v>E.lignolyticus</v>
      </c>
      <c r="B2054" s="5" t="s">
        <v>6411</v>
      </c>
      <c r="C2054" s="6" t="str">
        <f>IFERROR(__xludf.DUMMYFUNCTION("SPLIT('2. c'!B2054, "" "", True, True)"),"Enterobacter")</f>
        <v>Enterobacter</v>
      </c>
      <c r="D2054" t="str">
        <f>IFERROR(__xludf.DUMMYFUNCTION("""COMPUTED_VALUE"""),"lignolyticus")</f>
        <v>lignolyticus</v>
      </c>
      <c r="E2054" t="str">
        <f>IFERROR(__xludf.DUMMYFUNCTION("""COMPUTED_VALUE"""),"SCF1")</f>
        <v>SCF1</v>
      </c>
    </row>
    <row r="2055" ht="15.75" customHeight="1">
      <c r="A2055" t="str">
        <f t="shared" si="1"/>
        <v>E.sp.</v>
      </c>
      <c r="B2055" s="5" t="s">
        <v>6421</v>
      </c>
      <c r="C2055" s="6" t="str">
        <f>IFERROR(__xludf.DUMMYFUNCTION("SPLIT('2. c'!B2055, "" "", True, True)"),"Enterobacter")</f>
        <v>Enterobacter</v>
      </c>
      <c r="D2055" t="str">
        <f>IFERROR(__xludf.DUMMYFUNCTION("""COMPUTED_VALUE"""),"sp.")</f>
        <v>sp.</v>
      </c>
      <c r="E2055">
        <f>IFERROR(__xludf.DUMMYFUNCTION("""COMPUTED_VALUE"""),638.0)</f>
        <v>638</v>
      </c>
    </row>
    <row r="2056" ht="15.75" customHeight="1">
      <c r="A2056" t="str">
        <f t="shared" si="1"/>
        <v>E.sp.</v>
      </c>
      <c r="B2056" s="5" t="s">
        <v>6441</v>
      </c>
      <c r="C2056" s="6" t="str">
        <f>IFERROR(__xludf.DUMMYFUNCTION("SPLIT('2. c'!B2056, "" "", True, True)"),"Enterobacter")</f>
        <v>Enterobacter</v>
      </c>
      <c r="D2056" t="str">
        <f>IFERROR(__xludf.DUMMYFUNCTION("""COMPUTED_VALUE"""),"sp.")</f>
        <v>sp.</v>
      </c>
      <c r="E2056" t="str">
        <f>IFERROR(__xludf.DUMMYFUNCTION("""COMPUTED_VALUE"""),"BIDMC93")</f>
        <v>BIDMC93</v>
      </c>
    </row>
    <row r="2057" ht="15.75" customHeight="1">
      <c r="A2057" t="str">
        <f t="shared" si="1"/>
        <v>E.sp.</v>
      </c>
      <c r="B2057" s="5" t="s">
        <v>6451</v>
      </c>
      <c r="C2057" s="6" t="str">
        <f>IFERROR(__xludf.DUMMYFUNCTION("SPLIT('2. c'!B2057, "" "", True, True)"),"Enterobacter")</f>
        <v>Enterobacter</v>
      </c>
      <c r="D2057" t="str">
        <f>IFERROR(__xludf.DUMMYFUNCTION("""COMPUTED_VALUE"""),"sp.")</f>
        <v>sp.</v>
      </c>
      <c r="E2057" t="str">
        <f>IFERROR(__xludf.DUMMYFUNCTION("""COMPUTED_VALUE"""),"FY-07")</f>
        <v>FY-07</v>
      </c>
    </row>
    <row r="2058" ht="15.75" customHeight="1">
      <c r="A2058" t="str">
        <f t="shared" si="1"/>
        <v>E.sp.</v>
      </c>
      <c r="B2058" s="5" t="s">
        <v>6461</v>
      </c>
      <c r="C2058" s="6" t="str">
        <f>IFERROR(__xludf.DUMMYFUNCTION("SPLIT('2. c'!B2058, "" "", True, True)"),"Enterobacter")</f>
        <v>Enterobacter</v>
      </c>
      <c r="D2058" t="str">
        <f>IFERROR(__xludf.DUMMYFUNCTION("""COMPUTED_VALUE"""),"sp.")</f>
        <v>sp.</v>
      </c>
      <c r="E2058" t="str">
        <f>IFERROR(__xludf.DUMMYFUNCTION("""COMPUTED_VALUE"""),"MGH120")</f>
        <v>MGH120</v>
      </c>
    </row>
    <row r="2059" ht="15.75" customHeight="1">
      <c r="A2059" t="str">
        <f t="shared" si="1"/>
        <v>E.sp.</v>
      </c>
      <c r="B2059" s="5" t="s">
        <v>6472</v>
      </c>
      <c r="C2059" s="6" t="str">
        <f>IFERROR(__xludf.DUMMYFUNCTION("SPLIT('2. c'!B2059, "" "", True, True)"),"Enterobacter")</f>
        <v>Enterobacter</v>
      </c>
      <c r="D2059" t="str">
        <f>IFERROR(__xludf.DUMMYFUNCTION("""COMPUTED_VALUE"""),"sp.")</f>
        <v>sp.</v>
      </c>
      <c r="E2059" t="str">
        <f>IFERROR(__xludf.DUMMYFUNCTION("""COMPUTED_VALUE"""),"ODB01")</f>
        <v>ODB01</v>
      </c>
    </row>
    <row r="2060" ht="15.75" customHeight="1">
      <c r="A2060" t="str">
        <f t="shared" si="1"/>
        <v>E.sp.</v>
      </c>
      <c r="B2060" s="5" t="s">
        <v>6483</v>
      </c>
      <c r="C2060" s="6" t="str">
        <f>IFERROR(__xludf.DUMMYFUNCTION("SPLIT('2. c'!B2060, "" "", True, True)"),"Enterobacter")</f>
        <v>Enterobacter</v>
      </c>
      <c r="D2060" t="str">
        <f>IFERROR(__xludf.DUMMYFUNCTION("""COMPUTED_VALUE"""),"sp.")</f>
        <v>sp.</v>
      </c>
      <c r="E2060" t="str">
        <f>IFERROR(__xludf.DUMMYFUNCTION("""COMPUTED_VALUE"""),"R4-368")</f>
        <v>R4-368</v>
      </c>
    </row>
    <row r="2061" ht="15.75" customHeight="1">
      <c r="A2061" t="str">
        <f t="shared" si="1"/>
        <v>E.sp.</v>
      </c>
      <c r="B2061" s="5" t="s">
        <v>6493</v>
      </c>
      <c r="C2061" s="6" t="str">
        <f>IFERROR(__xludf.DUMMYFUNCTION("SPLIT('2. c'!B2061, "" "", True, True)"),"Enterobacter")</f>
        <v>Enterobacter</v>
      </c>
      <c r="D2061" t="str">
        <f>IFERROR(__xludf.DUMMYFUNCTION("""COMPUTED_VALUE"""),"sp.")</f>
        <v>sp.</v>
      </c>
      <c r="E2061" t="str">
        <f>IFERROR(__xludf.DUMMYFUNCTION("""COMPUTED_VALUE"""),"YD4")</f>
        <v>YD4</v>
      </c>
    </row>
    <row r="2062" ht="15.75" customHeight="1">
      <c r="A2062" t="str">
        <f t="shared" si="1"/>
        <v>E.bacterium</v>
      </c>
      <c r="B2062" s="5" t="s">
        <v>6505</v>
      </c>
      <c r="C2062" s="6" t="str">
        <f>IFERROR(__xludf.DUMMYFUNCTION("SPLIT('2. c'!B2062, "" "", True, True)"),"Enterobacteriaceae")</f>
        <v>Enterobacteriaceae</v>
      </c>
      <c r="D2062" t="str">
        <f>IFERROR(__xludf.DUMMYFUNCTION("""COMPUTED_VALUE"""),"bacterium")</f>
        <v>bacterium</v>
      </c>
      <c r="E2062" t="str">
        <f>IFERROR(__xludf.DUMMYFUNCTION("""COMPUTED_VALUE"""),"strain")</f>
        <v>strain</v>
      </c>
      <c r="F2062" t="str">
        <f>IFERROR(__xludf.DUMMYFUNCTION("""COMPUTED_VALUE"""),"FGI")</f>
        <v>FGI</v>
      </c>
      <c r="G2062">
        <f>IFERROR(__xludf.DUMMYFUNCTION("""COMPUTED_VALUE"""),57.0)</f>
        <v>57</v>
      </c>
    </row>
    <row r="2063" ht="15.75" customHeight="1">
      <c r="A2063" t="str">
        <f t="shared" si="1"/>
        <v>E.bacterium</v>
      </c>
      <c r="B2063" s="5" t="s">
        <v>6518</v>
      </c>
      <c r="C2063" s="6" t="str">
        <f>IFERROR(__xludf.DUMMYFUNCTION("SPLIT('2. c'!B2063, "" "", True, True)"),"Enterobacteriaceae")</f>
        <v>Enterobacteriaceae</v>
      </c>
      <c r="D2063" t="str">
        <f>IFERROR(__xludf.DUMMYFUNCTION("""COMPUTED_VALUE"""),"bacterium")</f>
        <v>bacterium</v>
      </c>
      <c r="E2063" t="str">
        <f>IFERROR(__xludf.DUMMYFUNCTION("""COMPUTED_VALUE"""),"symbiont")</f>
        <v>symbiont</v>
      </c>
      <c r="F2063" t="str">
        <f>IFERROR(__xludf.DUMMYFUNCTION("""COMPUTED_VALUE"""),"of")</f>
        <v>of</v>
      </c>
      <c r="G2063" t="str">
        <f>IFERROR(__xludf.DUMMYFUNCTION("""COMPUTED_VALUE"""),"Ferrisia")</f>
        <v>Ferrisia</v>
      </c>
      <c r="H2063" t="str">
        <f>IFERROR(__xludf.DUMMYFUNCTION("""COMPUTED_VALUE"""),"virgata")</f>
        <v>virgata</v>
      </c>
    </row>
    <row r="2064" ht="15.75" customHeight="1">
      <c r="A2064" t="str">
        <f t="shared" si="1"/>
        <v>E.bacterium</v>
      </c>
      <c r="B2064" s="5" t="s">
        <v>6531</v>
      </c>
      <c r="C2064" s="6" t="str">
        <f>IFERROR(__xludf.DUMMYFUNCTION("SPLIT('2. c'!B2064, "" "", True, True)"),"Enterobacteriaceae")</f>
        <v>Enterobacteriaceae</v>
      </c>
      <c r="D2064" t="str">
        <f>IFERROR(__xludf.DUMMYFUNCTION("""COMPUTED_VALUE"""),"bacterium")</f>
        <v>bacterium</v>
      </c>
      <c r="E2064" t="str">
        <f>IFERROR(__xludf.DUMMYFUNCTION("""COMPUTED_VALUE"""),"symbiont")</f>
        <v>symbiont</v>
      </c>
      <c r="F2064" t="str">
        <f>IFERROR(__xludf.DUMMYFUNCTION("""COMPUTED_VALUE"""),"of")</f>
        <v>of</v>
      </c>
      <c r="G2064" t="str">
        <f>IFERROR(__xludf.DUMMYFUNCTION("""COMPUTED_VALUE"""),"Maconellicoccus")</f>
        <v>Maconellicoccus</v>
      </c>
      <c r="H2064" t="str">
        <f>IFERROR(__xludf.DUMMYFUNCTION("""COMPUTED_VALUE"""),"hirsutus")</f>
        <v>hirsutus</v>
      </c>
    </row>
    <row r="2065" ht="15.75" customHeight="1">
      <c r="A2065" t="str">
        <f t="shared" si="1"/>
        <v>E.bacterium</v>
      </c>
      <c r="B2065" s="5" t="s">
        <v>6545</v>
      </c>
      <c r="C2065" s="6" t="str">
        <f>IFERROR(__xludf.DUMMYFUNCTION("SPLIT('2. c'!B2065, "" "", True, True)"),"Enterobacteriaceae")</f>
        <v>Enterobacteriaceae</v>
      </c>
      <c r="D2065" t="str">
        <f>IFERROR(__xludf.DUMMYFUNCTION("""COMPUTED_VALUE"""),"bacterium")</f>
        <v>bacterium</v>
      </c>
      <c r="E2065" t="str">
        <f>IFERROR(__xludf.DUMMYFUNCTION("""COMPUTED_VALUE"""),"symbiont")</f>
        <v>symbiont</v>
      </c>
      <c r="F2065" t="str">
        <f>IFERROR(__xludf.DUMMYFUNCTION("""COMPUTED_VALUE"""),"of")</f>
        <v>of</v>
      </c>
      <c r="G2065" t="str">
        <f>IFERROR(__xludf.DUMMYFUNCTION("""COMPUTED_VALUE"""),"Paracoccus")</f>
        <v>Paracoccus</v>
      </c>
      <c r="H2065" t="str">
        <f>IFERROR(__xludf.DUMMYFUNCTION("""COMPUTED_VALUE"""),"marginatus")</f>
        <v>marginatus</v>
      </c>
    </row>
    <row r="2066" ht="15.75" customHeight="1">
      <c r="A2066" t="str">
        <f t="shared" si="1"/>
        <v>E.bacterium</v>
      </c>
      <c r="B2066" s="5" t="s">
        <v>6558</v>
      </c>
      <c r="C2066" s="6" t="str">
        <f>IFERROR(__xludf.DUMMYFUNCTION("SPLIT('2. c'!B2066, "" "", True, True)"),"Enterobacteriaceae")</f>
        <v>Enterobacteriaceae</v>
      </c>
      <c r="D2066" t="str">
        <f>IFERROR(__xludf.DUMMYFUNCTION("""COMPUTED_VALUE"""),"bacterium")</f>
        <v>bacterium</v>
      </c>
      <c r="E2066" t="str">
        <f>IFERROR(__xludf.DUMMYFUNCTION("""COMPUTED_VALUE"""),"symbiont")</f>
        <v>symbiont</v>
      </c>
      <c r="F2066" t="str">
        <f>IFERROR(__xludf.DUMMYFUNCTION("""COMPUTED_VALUE"""),"of")</f>
        <v>of</v>
      </c>
      <c r="G2066" t="str">
        <f>IFERROR(__xludf.DUMMYFUNCTION("""COMPUTED_VALUE"""),"Trionymus")</f>
        <v>Trionymus</v>
      </c>
      <c r="H2066" t="str">
        <f>IFERROR(__xludf.DUMMYFUNCTION("""COMPUTED_VALUE"""),"perrisii")</f>
        <v>perrisii</v>
      </c>
    </row>
    <row r="2067" ht="15.75" customHeight="1">
      <c r="A2067" t="str">
        <f t="shared" si="1"/>
        <v>E.casseliflavus</v>
      </c>
      <c r="B2067" s="5" t="s">
        <v>6572</v>
      </c>
      <c r="C2067" s="6" t="str">
        <f>IFERROR(__xludf.DUMMYFUNCTION("SPLIT('2. c'!B2067, "" "", True, True)"),"Enterococcus")</f>
        <v>Enterococcus</v>
      </c>
      <c r="D2067" t="str">
        <f>IFERROR(__xludf.DUMMYFUNCTION("""COMPUTED_VALUE"""),"casseliflavus")</f>
        <v>casseliflavus</v>
      </c>
      <c r="E2067" t="str">
        <f>IFERROR(__xludf.DUMMYFUNCTION("""COMPUTED_VALUE"""),"EC20")</f>
        <v>EC20</v>
      </c>
    </row>
    <row r="2068" ht="15.75" customHeight="1">
      <c r="A2068" t="str">
        <f t="shared" si="1"/>
        <v>E.cecorum</v>
      </c>
      <c r="B2068" s="5" t="s">
        <v>6584</v>
      </c>
      <c r="C2068" s="6" t="str">
        <f>IFERROR(__xludf.DUMMYFUNCTION("SPLIT('2. c'!B2068, "" "", True, True)"),"Enterococcus")</f>
        <v>Enterococcus</v>
      </c>
      <c r="D2068" t="str">
        <f>IFERROR(__xludf.DUMMYFUNCTION("""COMPUTED_VALUE"""),"cecorum")</f>
        <v>cecorum</v>
      </c>
      <c r="E2068" t="str">
        <f>IFERROR(__xludf.DUMMYFUNCTION("""COMPUTED_VALUE"""),"strain")</f>
        <v>strain</v>
      </c>
      <c r="F2068" t="str">
        <f>IFERROR(__xludf.DUMMYFUNCTION("""COMPUTED_VALUE"""),"CE1")</f>
        <v>CE1</v>
      </c>
    </row>
    <row r="2069" ht="15.75" customHeight="1">
      <c r="A2069" t="str">
        <f t="shared" si="1"/>
        <v>E.cecorum</v>
      </c>
      <c r="B2069" s="5" t="s">
        <v>6595</v>
      </c>
      <c r="C2069" s="6" t="str">
        <f>IFERROR(__xludf.DUMMYFUNCTION("SPLIT('2. c'!B2069, "" "", True, True)"),"Enterococcus")</f>
        <v>Enterococcus</v>
      </c>
      <c r="D2069" t="str">
        <f>IFERROR(__xludf.DUMMYFUNCTION("""COMPUTED_VALUE"""),"cecorum")</f>
        <v>cecorum</v>
      </c>
      <c r="E2069" t="str">
        <f>IFERROR(__xludf.DUMMYFUNCTION("""COMPUTED_VALUE"""),"strain")</f>
        <v>strain</v>
      </c>
      <c r="F2069" t="str">
        <f>IFERROR(__xludf.DUMMYFUNCTION("""COMPUTED_VALUE"""),"CE2")</f>
        <v>CE2</v>
      </c>
    </row>
    <row r="2070" ht="15.75" customHeight="1">
      <c r="A2070" t="str">
        <f t="shared" si="1"/>
        <v>E.cecorum</v>
      </c>
      <c r="B2070" s="5" t="s">
        <v>6603</v>
      </c>
      <c r="C2070" s="6" t="str">
        <f>IFERROR(__xludf.DUMMYFUNCTION("SPLIT('2. c'!B2070, "" "", True, True)"),"Enterococcus")</f>
        <v>Enterococcus</v>
      </c>
      <c r="D2070" t="str">
        <f>IFERROR(__xludf.DUMMYFUNCTION("""COMPUTED_VALUE"""),"cecorum")</f>
        <v>cecorum</v>
      </c>
      <c r="E2070" t="str">
        <f>IFERROR(__xludf.DUMMYFUNCTION("""COMPUTED_VALUE"""),"strain")</f>
        <v>strain</v>
      </c>
      <c r="F2070" t="str">
        <f>IFERROR(__xludf.DUMMYFUNCTION("""COMPUTED_VALUE"""),"CE3")</f>
        <v>CE3</v>
      </c>
    </row>
    <row r="2071" ht="15.75" customHeight="1">
      <c r="A2071" t="str">
        <f t="shared" si="1"/>
        <v>E.cecorum</v>
      </c>
      <c r="B2071" s="5" t="s">
        <v>6614</v>
      </c>
      <c r="C2071" s="6" t="str">
        <f>IFERROR(__xludf.DUMMYFUNCTION("SPLIT('2. c'!B2071, "" "", True, True)"),"Enterococcus")</f>
        <v>Enterococcus</v>
      </c>
      <c r="D2071" t="str">
        <f>IFERROR(__xludf.DUMMYFUNCTION("""COMPUTED_VALUE"""),"cecorum")</f>
        <v>cecorum</v>
      </c>
      <c r="E2071" t="str">
        <f>IFERROR(__xludf.DUMMYFUNCTION("""COMPUTED_VALUE"""),"strain")</f>
        <v>strain</v>
      </c>
      <c r="F2071" t="str">
        <f>IFERROR(__xludf.DUMMYFUNCTION("""COMPUTED_VALUE"""),"SA1")</f>
        <v>SA1</v>
      </c>
    </row>
    <row r="2072" ht="15.75" customHeight="1">
      <c r="A2072" t="str">
        <f t="shared" si="1"/>
        <v>E.cecorum</v>
      </c>
      <c r="B2072" s="5" t="s">
        <v>6625</v>
      </c>
      <c r="C2072" s="6" t="str">
        <f>IFERROR(__xludf.DUMMYFUNCTION("SPLIT('2. c'!B2072, "" "", True, True)"),"Enterococcus")</f>
        <v>Enterococcus</v>
      </c>
      <c r="D2072" t="str">
        <f>IFERROR(__xludf.DUMMYFUNCTION("""COMPUTED_VALUE"""),"cecorum")</f>
        <v>cecorum</v>
      </c>
      <c r="E2072" t="str">
        <f>IFERROR(__xludf.DUMMYFUNCTION("""COMPUTED_VALUE"""),"strain")</f>
        <v>strain</v>
      </c>
      <c r="F2072" t="str">
        <f>IFERROR(__xludf.DUMMYFUNCTION("""COMPUTED_VALUE"""),"SA2")</f>
        <v>SA2</v>
      </c>
    </row>
    <row r="2073" ht="15.75" customHeight="1">
      <c r="A2073" t="str">
        <f t="shared" si="1"/>
        <v>E.cecorum</v>
      </c>
      <c r="B2073" s="5" t="s">
        <v>6635</v>
      </c>
      <c r="C2073" s="6" t="str">
        <f>IFERROR(__xludf.DUMMYFUNCTION("SPLIT('2. c'!B2073, "" "", True, True)"),"Enterococcus")</f>
        <v>Enterococcus</v>
      </c>
      <c r="D2073" t="str">
        <f>IFERROR(__xludf.DUMMYFUNCTION("""COMPUTED_VALUE"""),"cecorum")</f>
        <v>cecorum</v>
      </c>
      <c r="E2073" t="str">
        <f>IFERROR(__xludf.DUMMYFUNCTION("""COMPUTED_VALUE"""),"strain")</f>
        <v>strain</v>
      </c>
      <c r="F2073" t="str">
        <f>IFERROR(__xludf.DUMMYFUNCTION("""COMPUTED_VALUE"""),"SA3")</f>
        <v>SA3</v>
      </c>
    </row>
    <row r="2074" ht="15.75" customHeight="1">
      <c r="A2074" t="str">
        <f t="shared" si="1"/>
        <v>E.durans</v>
      </c>
      <c r="B2074" s="5" t="s">
        <v>6647</v>
      </c>
      <c r="C2074" s="6" t="str">
        <f>IFERROR(__xludf.DUMMYFUNCTION("SPLIT('2. c'!B2074, "" "", True, True)"),"Enterococcus")</f>
        <v>Enterococcus</v>
      </c>
      <c r="D2074" t="str">
        <f>IFERROR(__xludf.DUMMYFUNCTION("""COMPUTED_VALUE"""),"durans")</f>
        <v>durans</v>
      </c>
      <c r="E2074" t="str">
        <f>IFERROR(__xludf.DUMMYFUNCTION("""COMPUTED_VALUE"""),"strain")</f>
        <v>strain</v>
      </c>
      <c r="F2074" t="str">
        <f>IFERROR(__xludf.DUMMYFUNCTION("""COMPUTED_VALUE"""),"KLDS6.0930")</f>
        <v>KLDS6.0930</v>
      </c>
    </row>
    <row r="2075" ht="15.75" customHeight="1">
      <c r="A2075" t="str">
        <f t="shared" si="1"/>
        <v>E.durans</v>
      </c>
      <c r="B2075" s="5" t="s">
        <v>6657</v>
      </c>
      <c r="C2075" s="6" t="str">
        <f>IFERROR(__xludf.DUMMYFUNCTION("SPLIT('2. c'!B2075, "" "", True, True)"),"Enterococcus")</f>
        <v>Enterococcus</v>
      </c>
      <c r="D2075" t="str">
        <f>IFERROR(__xludf.DUMMYFUNCTION("""COMPUTED_VALUE"""),"durans")</f>
        <v>durans</v>
      </c>
      <c r="E2075" t="str">
        <f>IFERROR(__xludf.DUMMYFUNCTION("""COMPUTED_VALUE"""),"strain")</f>
        <v>strain</v>
      </c>
      <c r="F2075" t="str">
        <f>IFERROR(__xludf.DUMMYFUNCTION("""COMPUTED_VALUE"""),"KLDS6.0933")</f>
        <v>KLDS6.0933</v>
      </c>
    </row>
    <row r="2076" ht="15.75" customHeight="1">
      <c r="A2076" t="str">
        <f t="shared" si="1"/>
        <v>E.faecalis</v>
      </c>
      <c r="B2076" s="5" t="s">
        <v>6668</v>
      </c>
      <c r="C2076" s="6" t="str">
        <f>IFERROR(__xludf.DUMMYFUNCTION("SPLIT('2. c'!B2076, "" "", True, True)"),"Enterococcus")</f>
        <v>Enterococcus</v>
      </c>
      <c r="D2076" t="str">
        <f>IFERROR(__xludf.DUMMYFUNCTION("""COMPUTED_VALUE"""),"faecalis")</f>
        <v>faecalis</v>
      </c>
      <c r="E2076">
        <f>IFERROR(__xludf.DUMMYFUNCTION("""COMPUTED_VALUE"""),62.0)</f>
        <v>62</v>
      </c>
    </row>
    <row r="2077" ht="15.75" customHeight="1">
      <c r="A2077" t="str">
        <f t="shared" si="1"/>
        <v>E.faecalis</v>
      </c>
      <c r="B2077" s="5" t="s">
        <v>6680</v>
      </c>
      <c r="C2077" s="6" t="str">
        <f>IFERROR(__xludf.DUMMYFUNCTION("SPLIT('2. c'!B2077, "" "", True, True)"),"Enterococcus")</f>
        <v>Enterococcus</v>
      </c>
      <c r="D2077" t="str">
        <f>IFERROR(__xludf.DUMMYFUNCTION("""COMPUTED_VALUE"""),"faecalis")</f>
        <v>faecalis</v>
      </c>
      <c r="E2077" t="str">
        <f>IFERROR(__xludf.DUMMYFUNCTION("""COMPUTED_VALUE"""),"ATCC")</f>
        <v>ATCC</v>
      </c>
      <c r="F2077">
        <f>IFERROR(__xludf.DUMMYFUNCTION("""COMPUTED_VALUE"""),29212.0)</f>
        <v>29212</v>
      </c>
    </row>
    <row r="2078" ht="15.75" customHeight="1">
      <c r="A2078" t="str">
        <f t="shared" si="1"/>
        <v>E.faecalis</v>
      </c>
      <c r="B2078" s="5" t="s">
        <v>6692</v>
      </c>
      <c r="C2078" s="6" t="str">
        <f>IFERROR(__xludf.DUMMYFUNCTION("SPLIT('2. c'!B2078, "" "", True, True)"),"Enterococcus")</f>
        <v>Enterococcus</v>
      </c>
      <c r="D2078" t="str">
        <f>IFERROR(__xludf.DUMMYFUNCTION("""COMPUTED_VALUE"""),"faecalis")</f>
        <v>faecalis</v>
      </c>
      <c r="E2078" t="str">
        <f>IFERROR(__xludf.DUMMYFUNCTION("""COMPUTED_VALUE"""),"D32")</f>
        <v>D32</v>
      </c>
    </row>
    <row r="2079" ht="15.75" customHeight="1">
      <c r="A2079" t="str">
        <f t="shared" si="1"/>
        <v>E.faecalis</v>
      </c>
      <c r="B2079" s="5" t="s">
        <v>6701</v>
      </c>
      <c r="C2079" s="6" t="str">
        <f>IFERROR(__xludf.DUMMYFUNCTION("SPLIT('2. c'!B2079, "" "", True, True)"),"Enterococcus")</f>
        <v>Enterococcus</v>
      </c>
      <c r="D2079" t="str">
        <f>IFERROR(__xludf.DUMMYFUNCTION("""COMPUTED_VALUE"""),"faecalis")</f>
        <v>faecalis</v>
      </c>
      <c r="E2079" t="str">
        <f>IFERROR(__xludf.DUMMYFUNCTION("""COMPUTED_VALUE"""),"DENG1")</f>
        <v>DENG1</v>
      </c>
    </row>
    <row r="2080" ht="15.75" customHeight="1">
      <c r="A2080" t="str">
        <f t="shared" si="1"/>
        <v>E.faecalis</v>
      </c>
      <c r="B2080" s="5" t="s">
        <v>6709</v>
      </c>
      <c r="C2080" s="6" t="str">
        <f>IFERROR(__xludf.DUMMYFUNCTION("SPLIT('2. c'!B2080, "" "", True, True)"),"Enterococcus")</f>
        <v>Enterococcus</v>
      </c>
      <c r="D2080" t="str">
        <f>IFERROR(__xludf.DUMMYFUNCTION("""COMPUTED_VALUE"""),"faecalis")</f>
        <v>faecalis</v>
      </c>
      <c r="E2080" t="str">
        <f>IFERROR(__xludf.DUMMYFUNCTION("""COMPUTED_VALUE"""),"str.")</f>
        <v>str.</v>
      </c>
      <c r="F2080" t="str">
        <f>IFERROR(__xludf.DUMMYFUNCTION("""COMPUTED_VALUE"""),"Symbioflor")</f>
        <v>Symbioflor</v>
      </c>
      <c r="G2080">
        <f>IFERROR(__xludf.DUMMYFUNCTION("""COMPUTED_VALUE"""),1.0)</f>
        <v>1</v>
      </c>
    </row>
    <row r="2081" ht="15.75" customHeight="1">
      <c r="A2081" t="str">
        <f t="shared" si="1"/>
        <v>E.faecalis</v>
      </c>
      <c r="B2081" s="5" t="s">
        <v>6721</v>
      </c>
      <c r="C2081" s="6" t="str">
        <f>IFERROR(__xludf.DUMMYFUNCTION("SPLIT('2. c'!B2081, "" "", True, True)"),"Enterococcus")</f>
        <v>Enterococcus</v>
      </c>
      <c r="D2081" t="str">
        <f>IFERROR(__xludf.DUMMYFUNCTION("""COMPUTED_VALUE"""),"faecalis")</f>
        <v>faecalis</v>
      </c>
      <c r="E2081" t="str">
        <f>IFERROR(__xludf.DUMMYFUNCTION("""COMPUTED_VALUE"""),"strain")</f>
        <v>strain</v>
      </c>
      <c r="F2081" t="str">
        <f>IFERROR(__xludf.DUMMYFUNCTION("""COMPUTED_VALUE"""),"LD33")</f>
        <v>LD33</v>
      </c>
    </row>
    <row r="2082" ht="15.75" customHeight="1">
      <c r="A2082" t="str">
        <f t="shared" si="1"/>
        <v>E.faecalis</v>
      </c>
      <c r="B2082" s="5" t="s">
        <v>6734</v>
      </c>
      <c r="C2082" s="6" t="str">
        <f>IFERROR(__xludf.DUMMYFUNCTION("SPLIT('2. c'!B2082, "" "", True, True)"),"Enterococcus")</f>
        <v>Enterococcus</v>
      </c>
      <c r="D2082" t="str">
        <f>IFERROR(__xludf.DUMMYFUNCTION("""COMPUTED_VALUE"""),"faecalis")</f>
        <v>faecalis</v>
      </c>
      <c r="E2082" t="str">
        <f>IFERROR(__xludf.DUMMYFUNCTION("""COMPUTED_VALUE"""),"V583")</f>
        <v>V583</v>
      </c>
    </row>
    <row r="2083" ht="15.75" customHeight="1">
      <c r="A2083" t="str">
        <f t="shared" si="1"/>
        <v>E.faecium</v>
      </c>
      <c r="B2083" s="5" t="s">
        <v>6743</v>
      </c>
      <c r="C2083" s="6" t="str">
        <f>IFERROR(__xludf.DUMMYFUNCTION("SPLIT('2. c'!B2083, "" "", True, True)"),"Enterococcus")</f>
        <v>Enterococcus</v>
      </c>
      <c r="D2083" t="str">
        <f>IFERROR(__xludf.DUMMYFUNCTION("""COMPUTED_VALUE"""),"faecium")</f>
        <v>faecium</v>
      </c>
      <c r="E2083" t="str">
        <f>IFERROR(__xludf.DUMMYFUNCTION("""COMPUTED_VALUE"""),"Aus0004")</f>
        <v>Aus0004</v>
      </c>
    </row>
    <row r="2084" ht="15.75" customHeight="1">
      <c r="A2084" t="str">
        <f t="shared" si="1"/>
        <v>E.faecium</v>
      </c>
      <c r="B2084" s="5" t="s">
        <v>6751</v>
      </c>
      <c r="C2084" s="6" t="str">
        <f>IFERROR(__xludf.DUMMYFUNCTION("SPLIT('2. c'!B2084, "" "", True, True)"),"Enterococcus")</f>
        <v>Enterococcus</v>
      </c>
      <c r="D2084" t="str">
        <f>IFERROR(__xludf.DUMMYFUNCTION("""COMPUTED_VALUE"""),"faecium")</f>
        <v>faecium</v>
      </c>
      <c r="E2084" t="str">
        <f>IFERROR(__xludf.DUMMYFUNCTION("""COMPUTED_VALUE"""),"Aus0085")</f>
        <v>Aus0085</v>
      </c>
    </row>
    <row r="2085" ht="15.75" customHeight="1">
      <c r="A2085" t="str">
        <f t="shared" si="1"/>
        <v>E.faecium</v>
      </c>
      <c r="B2085" s="5" t="s">
        <v>6763</v>
      </c>
      <c r="C2085" s="6" t="str">
        <f>IFERROR(__xludf.DUMMYFUNCTION("SPLIT('2. c'!B2085, "" "", True, True)"),"Enterococcus")</f>
        <v>Enterococcus</v>
      </c>
      <c r="D2085" t="str">
        <f>IFERROR(__xludf.DUMMYFUNCTION("""COMPUTED_VALUE"""),"faecium")</f>
        <v>faecium</v>
      </c>
      <c r="E2085" t="str">
        <f>IFERROR(__xludf.DUMMYFUNCTION("""COMPUTED_VALUE"""),"NRRL")</f>
        <v>NRRL</v>
      </c>
      <c r="F2085" t="str">
        <f>IFERROR(__xludf.DUMMYFUNCTION("""COMPUTED_VALUE"""),"B-2354")</f>
        <v>B-2354</v>
      </c>
    </row>
    <row r="2086" ht="15.75" customHeight="1">
      <c r="A2086" t="str">
        <f t="shared" si="1"/>
        <v>E.faecium</v>
      </c>
      <c r="B2086" s="5" t="s">
        <v>6773</v>
      </c>
      <c r="C2086" s="6" t="str">
        <f>IFERROR(__xludf.DUMMYFUNCTION("SPLIT('2. c'!B2086, "" "", True, True)"),"Enterococcus")</f>
        <v>Enterococcus</v>
      </c>
      <c r="D2086" t="str">
        <f>IFERROR(__xludf.DUMMYFUNCTION("""COMPUTED_VALUE"""),"faecium")</f>
        <v>faecium</v>
      </c>
      <c r="E2086" t="str">
        <f>IFERROR(__xludf.DUMMYFUNCTION("""COMPUTED_VALUE"""),"strain")</f>
        <v>strain</v>
      </c>
      <c r="F2086" t="str">
        <f>IFERROR(__xludf.DUMMYFUNCTION("""COMPUTED_VALUE"""),"64/3")</f>
        <v>64/3</v>
      </c>
    </row>
    <row r="2087" ht="15.75" customHeight="1">
      <c r="A2087" t="str">
        <f t="shared" si="1"/>
        <v>E.faecium</v>
      </c>
      <c r="B2087" s="5" t="s">
        <v>6781</v>
      </c>
      <c r="C2087" s="6" t="str">
        <f>IFERROR(__xludf.DUMMYFUNCTION("SPLIT('2. c'!B2087, "" "", True, True)"),"Enterococcus")</f>
        <v>Enterococcus</v>
      </c>
      <c r="D2087" t="str">
        <f>IFERROR(__xludf.DUMMYFUNCTION("""COMPUTED_VALUE"""),"faecium")</f>
        <v>faecium</v>
      </c>
      <c r="E2087" t="str">
        <f>IFERROR(__xludf.DUMMYFUNCTION("""COMPUTED_VALUE"""),"strain")</f>
        <v>strain</v>
      </c>
      <c r="F2087" s="35">
        <f>IFERROR(__xludf.DUMMYFUNCTION("""COMPUTED_VALUE"""),6000000.0)</f>
        <v>6000000</v>
      </c>
    </row>
    <row r="2088" ht="15.75" customHeight="1">
      <c r="A2088" t="str">
        <f t="shared" si="1"/>
        <v>E.faecium</v>
      </c>
      <c r="B2088" s="5" t="s">
        <v>6795</v>
      </c>
      <c r="C2088" s="6" t="str">
        <f>IFERROR(__xludf.DUMMYFUNCTION("SPLIT('2. c'!B2088, "" "", True, True)"),"Enterococcus")</f>
        <v>Enterococcus</v>
      </c>
      <c r="D2088" t="str">
        <f>IFERROR(__xludf.DUMMYFUNCTION("""COMPUTED_VALUE"""),"faecium")</f>
        <v>faecium</v>
      </c>
      <c r="E2088" t="str">
        <f>IFERROR(__xludf.DUMMYFUNCTION("""COMPUTED_VALUE"""),"strain")</f>
        <v>strain</v>
      </c>
      <c r="F2088" t="str">
        <f>IFERROR(__xludf.DUMMYFUNCTION("""COMPUTED_VALUE"""),"ATCC")</f>
        <v>ATCC</v>
      </c>
      <c r="G2088">
        <f>IFERROR(__xludf.DUMMYFUNCTION("""COMPUTED_VALUE"""),700221.0)</f>
        <v>700221</v>
      </c>
    </row>
    <row r="2089" ht="15.75" customHeight="1">
      <c r="A2089" t="str">
        <f t="shared" si="1"/>
        <v>E.faecium</v>
      </c>
      <c r="B2089" s="5" t="s">
        <v>6811</v>
      </c>
      <c r="C2089" s="6" t="str">
        <f>IFERROR(__xludf.DUMMYFUNCTION("SPLIT('2. c'!B2089, "" "", True, True)"),"Enterococcus")</f>
        <v>Enterococcus</v>
      </c>
      <c r="D2089" t="str">
        <f>IFERROR(__xludf.DUMMYFUNCTION("""COMPUTED_VALUE"""),"faecium")</f>
        <v>faecium</v>
      </c>
      <c r="E2089" t="str">
        <f>IFERROR(__xludf.DUMMYFUNCTION("""COMPUTED_VALUE"""),"strain")</f>
        <v>strain</v>
      </c>
      <c r="F2089" t="str">
        <f>IFERROR(__xludf.DUMMYFUNCTION("""COMPUTED_VALUE"""),"E39")</f>
        <v>E39</v>
      </c>
    </row>
    <row r="2090" ht="15.75" customHeight="1">
      <c r="A2090" t="str">
        <f t="shared" si="1"/>
        <v>E.faecium</v>
      </c>
      <c r="B2090" s="5" t="s">
        <v>6821</v>
      </c>
      <c r="C2090" s="6" t="str">
        <f>IFERROR(__xludf.DUMMYFUNCTION("SPLIT('2. c'!B2090, "" "", True, True)"),"Enterococcus")</f>
        <v>Enterococcus</v>
      </c>
      <c r="D2090" t="str">
        <f>IFERROR(__xludf.DUMMYFUNCTION("""COMPUTED_VALUE"""),"faecium")</f>
        <v>faecium</v>
      </c>
      <c r="E2090" t="str">
        <f>IFERROR(__xludf.DUMMYFUNCTION("""COMPUTED_VALUE"""),"strain")</f>
        <v>strain</v>
      </c>
      <c r="F2090" t="str">
        <f>IFERROR(__xludf.DUMMYFUNCTION("""COMPUTED_VALUE"""),"EFE10021")</f>
        <v>EFE10021</v>
      </c>
    </row>
    <row r="2091" ht="15.75" customHeight="1">
      <c r="A2091" t="str">
        <f t="shared" si="1"/>
        <v>E.faecium</v>
      </c>
      <c r="B2091" s="5" t="s">
        <v>6838</v>
      </c>
      <c r="C2091" s="6" t="str">
        <f>IFERROR(__xludf.DUMMYFUNCTION("SPLIT('2. c'!B2091, "" "", True, True)"),"Enterococcus")</f>
        <v>Enterococcus</v>
      </c>
      <c r="D2091" t="str">
        <f>IFERROR(__xludf.DUMMYFUNCTION("""COMPUTED_VALUE"""),"faecium")</f>
        <v>faecium</v>
      </c>
      <c r="E2091" t="str">
        <f>IFERROR(__xludf.DUMMYFUNCTION("""COMPUTED_VALUE"""),"strain")</f>
        <v>strain</v>
      </c>
      <c r="F2091" t="str">
        <f>IFERROR(__xludf.DUMMYFUNCTION("""COMPUTED_VALUE"""),"UW8175")</f>
        <v>UW8175</v>
      </c>
    </row>
    <row r="2092" ht="15.75" customHeight="1">
      <c r="A2092" t="str">
        <f t="shared" si="1"/>
        <v>E.faecium</v>
      </c>
      <c r="B2092" s="5" t="s">
        <v>6850</v>
      </c>
      <c r="C2092" s="6" t="str">
        <f>IFERROR(__xludf.DUMMYFUNCTION("SPLIT('2. c'!B2092, "" "", True, True)"),"Enterococcus")</f>
        <v>Enterococcus</v>
      </c>
      <c r="D2092" t="str">
        <f>IFERROR(__xludf.DUMMYFUNCTION("""COMPUTED_VALUE"""),"faecium")</f>
        <v>faecium</v>
      </c>
      <c r="E2092" t="str">
        <f>IFERROR(__xludf.DUMMYFUNCTION("""COMPUTED_VALUE"""),"strain")</f>
        <v>strain</v>
      </c>
      <c r="F2092" t="str">
        <f>IFERROR(__xludf.DUMMYFUNCTION("""COMPUTED_VALUE"""),"WCF-TC1")</f>
        <v>WCF-TC1</v>
      </c>
    </row>
    <row r="2093" ht="15.75" customHeight="1">
      <c r="A2093" t="str">
        <f t="shared" si="1"/>
        <v>E.faecium</v>
      </c>
      <c r="B2093" s="5" t="s">
        <v>6864</v>
      </c>
      <c r="C2093" s="6" t="str">
        <f>IFERROR(__xludf.DUMMYFUNCTION("SPLIT('2. c'!B2093, "" "", True, True)"),"Enterococcus")</f>
        <v>Enterococcus</v>
      </c>
      <c r="D2093" t="str">
        <f>IFERROR(__xludf.DUMMYFUNCTION("""COMPUTED_VALUE"""),"faecium")</f>
        <v>faecium</v>
      </c>
      <c r="E2093" t="str">
        <f>IFERROR(__xludf.DUMMYFUNCTION("""COMPUTED_VALUE"""),"T110")</f>
        <v>T110</v>
      </c>
    </row>
    <row r="2094" ht="15.75" customHeight="1">
      <c r="A2094" t="str">
        <f t="shared" si="1"/>
        <v>E.gallinarum</v>
      </c>
      <c r="B2094" s="5" t="s">
        <v>6873</v>
      </c>
      <c r="C2094" s="6" t="str">
        <f>IFERROR(__xludf.DUMMYFUNCTION("SPLIT('2. c'!B2094, "" "", True, True)"),"Enterococcus")</f>
        <v>Enterococcus</v>
      </c>
      <c r="D2094" t="str">
        <f>IFERROR(__xludf.DUMMYFUNCTION("""COMPUTED_VALUE"""),"gallinarum")</f>
        <v>gallinarum</v>
      </c>
      <c r="E2094" t="str">
        <f>IFERROR(__xludf.DUMMYFUNCTION("""COMPUTED_VALUE"""),"strain")</f>
        <v>strain</v>
      </c>
      <c r="F2094" t="str">
        <f>IFERROR(__xludf.DUMMYFUNCTION("""COMPUTED_VALUE"""),"FDAARGOS_163")</f>
        <v>FDAARGOS_163</v>
      </c>
    </row>
    <row r="2095" ht="15.75" customHeight="1">
      <c r="A2095" t="str">
        <f t="shared" si="1"/>
        <v>E.hirae</v>
      </c>
      <c r="B2095" s="5" t="s">
        <v>6877</v>
      </c>
      <c r="C2095" s="6" t="str">
        <f>IFERROR(__xludf.DUMMYFUNCTION("SPLIT('2. c'!B2095, "" "", True, True)"),"Enterococcus")</f>
        <v>Enterococcus</v>
      </c>
      <c r="D2095" t="str">
        <f>IFERROR(__xludf.DUMMYFUNCTION("""COMPUTED_VALUE"""),"hirae")</f>
        <v>hirae</v>
      </c>
      <c r="E2095" t="str">
        <f>IFERROR(__xludf.DUMMYFUNCTION("""COMPUTED_VALUE"""),"ATCC")</f>
        <v>ATCC</v>
      </c>
      <c r="F2095">
        <f>IFERROR(__xludf.DUMMYFUNCTION("""COMPUTED_VALUE"""),9790.0)</f>
        <v>9790</v>
      </c>
    </row>
    <row r="2096" ht="15.75" customHeight="1">
      <c r="A2096" t="str">
        <f t="shared" si="1"/>
        <v>E.hirae</v>
      </c>
      <c r="B2096" s="5" t="s">
        <v>6885</v>
      </c>
      <c r="C2096" s="6" t="str">
        <f>IFERROR(__xludf.DUMMYFUNCTION("SPLIT('2. c'!B2096, "" "", True, True)"),"Enterococcus")</f>
        <v>Enterococcus</v>
      </c>
      <c r="D2096" t="str">
        <f>IFERROR(__xludf.DUMMYFUNCTION("""COMPUTED_VALUE"""),"hirae")</f>
        <v>hirae</v>
      </c>
      <c r="E2096" t="str">
        <f>IFERROR(__xludf.DUMMYFUNCTION("""COMPUTED_VALUE"""),"strain")</f>
        <v>strain</v>
      </c>
      <c r="F2096" t="str">
        <f>IFERROR(__xludf.DUMMYFUNCTION("""COMPUTED_VALUE"""),"R17")</f>
        <v>R17</v>
      </c>
    </row>
    <row r="2097" ht="15.75" customHeight="1">
      <c r="A2097" t="str">
        <f t="shared" si="1"/>
        <v>E.mundtii</v>
      </c>
      <c r="B2097" s="5" t="s">
        <v>6892</v>
      </c>
      <c r="C2097" s="6" t="str">
        <f>IFERROR(__xludf.DUMMYFUNCTION("SPLIT('2. c'!B2097, "" "", True, True)"),"Enterococcus")</f>
        <v>Enterococcus</v>
      </c>
      <c r="D2097" t="str">
        <f>IFERROR(__xludf.DUMMYFUNCTION("""COMPUTED_VALUE"""),"mundtii")</f>
        <v>mundtii</v>
      </c>
      <c r="E2097" t="str">
        <f>IFERROR(__xludf.DUMMYFUNCTION("""COMPUTED_VALUE"""),"QU")</f>
        <v>QU</v>
      </c>
      <c r="F2097">
        <f>IFERROR(__xludf.DUMMYFUNCTION("""COMPUTED_VALUE"""),25.0)</f>
        <v>25</v>
      </c>
    </row>
    <row r="2098" ht="15.75" customHeight="1">
      <c r="A2098" t="str">
        <f t="shared" si="1"/>
        <v>E.rotai</v>
      </c>
      <c r="B2098" s="5" t="s">
        <v>6902</v>
      </c>
      <c r="C2098" s="6" t="str">
        <f>IFERROR(__xludf.DUMMYFUNCTION("SPLIT('2. c'!B2098, "" "", True, True)"),"Enterococcus")</f>
        <v>Enterococcus</v>
      </c>
      <c r="D2098" t="str">
        <f>IFERROR(__xludf.DUMMYFUNCTION("""COMPUTED_VALUE"""),"rotai")</f>
        <v>rotai</v>
      </c>
      <c r="E2098" t="str">
        <f>IFERROR(__xludf.DUMMYFUNCTION("""COMPUTED_VALUE"""),"strain")</f>
        <v>strain</v>
      </c>
      <c r="F2098" t="str">
        <f>IFERROR(__xludf.DUMMYFUNCTION("""COMPUTED_VALUE"""),"LMG")</f>
        <v>LMG</v>
      </c>
      <c r="G2098">
        <f>IFERROR(__xludf.DUMMYFUNCTION("""COMPUTED_VALUE"""),26678.0)</f>
        <v>26678</v>
      </c>
    </row>
    <row r="2099" ht="15.75" customHeight="1">
      <c r="A2099" t="str">
        <f t="shared" si="1"/>
        <v>E.silesiacus</v>
      </c>
      <c r="B2099" s="5" t="s">
        <v>6913</v>
      </c>
      <c r="C2099" s="6" t="str">
        <f>IFERROR(__xludf.DUMMYFUNCTION("SPLIT('2. c'!B2099, "" "", True, True)"),"Enterococcus")</f>
        <v>Enterococcus</v>
      </c>
      <c r="D2099" t="str">
        <f>IFERROR(__xludf.DUMMYFUNCTION("""COMPUTED_VALUE"""),"silesiacus")</f>
        <v>silesiacus</v>
      </c>
      <c r="E2099" t="str">
        <f>IFERROR(__xludf.DUMMYFUNCTION("""COMPUTED_VALUE"""),"strain")</f>
        <v>strain</v>
      </c>
      <c r="F2099" t="str">
        <f>IFERROR(__xludf.DUMMYFUNCTION("""COMPUTED_VALUE"""),"LMG")</f>
        <v>LMG</v>
      </c>
      <c r="G2099">
        <f>IFERROR(__xludf.DUMMYFUNCTION("""COMPUTED_VALUE"""),23085.0)</f>
        <v>23085</v>
      </c>
    </row>
    <row r="2100" ht="15.75" customHeight="1">
      <c r="A2100" t="str">
        <f t="shared" si="1"/>
        <v>E.sp.</v>
      </c>
      <c r="B2100" s="5" t="s">
        <v>6922</v>
      </c>
      <c r="C2100" s="6" t="str">
        <f>IFERROR(__xludf.DUMMYFUNCTION("SPLIT('2. c'!B2100, "" "", True, True)"),"Enterococcus")</f>
        <v>Enterococcus</v>
      </c>
      <c r="D2100" t="str">
        <f>IFERROR(__xludf.DUMMYFUNCTION("""COMPUTED_VALUE"""),"sp.")</f>
        <v>sp.</v>
      </c>
      <c r="E2100" t="str">
        <f>IFERROR(__xludf.DUMMYFUNCTION("""COMPUTED_VALUE"""),"7L76")</f>
        <v>7L76</v>
      </c>
    </row>
    <row r="2101" ht="15.75" customHeight="1">
      <c r="A2101" t="str">
        <f t="shared" si="1"/>
        <v>E.sp.</v>
      </c>
      <c r="B2101" s="5" t="s">
        <v>6935</v>
      </c>
      <c r="C2101" s="6" t="str">
        <f>IFERROR(__xludf.DUMMYFUNCTION("SPLIT('2. c'!B2101, "" "", True, True)"),"Enterococcus")</f>
        <v>Enterococcus</v>
      </c>
      <c r="D2101" t="str">
        <f>IFERROR(__xludf.DUMMYFUNCTION("""COMPUTED_VALUE"""),"sp.")</f>
        <v>sp.</v>
      </c>
      <c r="E2101" t="str">
        <f>IFERROR(__xludf.DUMMYFUNCTION("""COMPUTED_VALUE"""),"HSIEG1")</f>
        <v>HSIEG1</v>
      </c>
    </row>
    <row r="2102" ht="15.75" customHeight="1">
      <c r="A2102" t="str">
        <f t="shared" si="1"/>
        <v>E.amylovora</v>
      </c>
      <c r="B2102" s="5" t="s">
        <v>6944</v>
      </c>
      <c r="C2102" s="6" t="str">
        <f>IFERROR(__xludf.DUMMYFUNCTION("SPLIT('2. c'!B2102, "" "", True, True)"),"Erwinia")</f>
        <v>Erwinia</v>
      </c>
      <c r="D2102" t="str">
        <f>IFERROR(__xludf.DUMMYFUNCTION("""COMPUTED_VALUE"""),"amylovora")</f>
        <v>amylovora</v>
      </c>
      <c r="E2102" t="str">
        <f>IFERROR(__xludf.DUMMYFUNCTION("""COMPUTED_VALUE"""),"ATCC")</f>
        <v>ATCC</v>
      </c>
      <c r="F2102">
        <f>IFERROR(__xludf.DUMMYFUNCTION("""COMPUTED_VALUE"""),49946.0)</f>
        <v>49946</v>
      </c>
    </row>
    <row r="2103" ht="15.75" customHeight="1">
      <c r="A2103" t="str">
        <f t="shared" si="1"/>
        <v>E.amylovora</v>
      </c>
      <c r="B2103" s="5" t="s">
        <v>6955</v>
      </c>
      <c r="C2103" s="6" t="str">
        <f>IFERROR(__xludf.DUMMYFUNCTION("SPLIT('2. c'!B2103, "" "", True, True)"),"Erwinia")</f>
        <v>Erwinia</v>
      </c>
      <c r="D2103" t="str">
        <f>IFERROR(__xludf.DUMMYFUNCTION("""COMPUTED_VALUE"""),"amylovora")</f>
        <v>amylovora</v>
      </c>
      <c r="E2103" t="str">
        <f>IFERROR(__xludf.DUMMYFUNCTION("""COMPUTED_VALUE"""),"CFBP1430")</f>
        <v>CFBP1430</v>
      </c>
    </row>
    <row r="2104" ht="15.75" customHeight="1">
      <c r="A2104" t="str">
        <f t="shared" si="1"/>
        <v>E.billingiae</v>
      </c>
      <c r="B2104" s="5" t="s">
        <v>6964</v>
      </c>
      <c r="C2104" s="6" t="str">
        <f>IFERROR(__xludf.DUMMYFUNCTION("SPLIT('2. c'!B2104, "" "", True, True)"),"Erwinia")</f>
        <v>Erwinia</v>
      </c>
      <c r="D2104" t="str">
        <f>IFERROR(__xludf.DUMMYFUNCTION("""COMPUTED_VALUE"""),"billingiae")</f>
        <v>billingiae</v>
      </c>
      <c r="E2104" t="str">
        <f>IFERROR(__xludf.DUMMYFUNCTION("""COMPUTED_VALUE"""),"Eb661")</f>
        <v>Eb661</v>
      </c>
    </row>
    <row r="2105" ht="15.75" customHeight="1">
      <c r="A2105" t="str">
        <f t="shared" si="1"/>
        <v>E.pyrifoliae</v>
      </c>
      <c r="B2105" s="5" t="s">
        <v>6972</v>
      </c>
      <c r="C2105" s="6" t="str">
        <f>IFERROR(__xludf.DUMMYFUNCTION("SPLIT('2. c'!B2105, "" "", True, True)"),"Erwinia")</f>
        <v>Erwinia</v>
      </c>
      <c r="D2105" t="str">
        <f>IFERROR(__xludf.DUMMYFUNCTION("""COMPUTED_VALUE"""),"pyrifoliae")</f>
        <v>pyrifoliae</v>
      </c>
      <c r="E2105" t="str">
        <f>IFERROR(__xludf.DUMMYFUNCTION("""COMPUTED_VALUE"""),"DSM")</f>
        <v>DSM</v>
      </c>
      <c r="F2105">
        <f>IFERROR(__xludf.DUMMYFUNCTION("""COMPUTED_VALUE"""),12163.0)</f>
        <v>12163</v>
      </c>
    </row>
    <row r="2106" ht="15.75" customHeight="1">
      <c r="A2106" t="str">
        <f t="shared" si="1"/>
        <v>E.pyrifoliae</v>
      </c>
      <c r="B2106" s="5" t="s">
        <v>6982</v>
      </c>
      <c r="C2106" s="6" t="str">
        <f>IFERROR(__xludf.DUMMYFUNCTION("SPLIT('2. c'!B2106, "" "", True, True)"),"Erwinia")</f>
        <v>Erwinia</v>
      </c>
      <c r="D2106" t="str">
        <f>IFERROR(__xludf.DUMMYFUNCTION("""COMPUTED_VALUE"""),"pyrifoliae")</f>
        <v>pyrifoliae</v>
      </c>
      <c r="E2106" t="str">
        <f>IFERROR(__xludf.DUMMYFUNCTION("""COMPUTED_VALUE"""),"Ep1/96")</f>
        <v>Ep1/96</v>
      </c>
    </row>
    <row r="2107" ht="15.75" customHeight="1">
      <c r="A2107" t="str">
        <f t="shared" si="1"/>
        <v>E.sp.</v>
      </c>
      <c r="B2107" s="5" t="s">
        <v>6992</v>
      </c>
      <c r="C2107" s="6" t="str">
        <f>IFERROR(__xludf.DUMMYFUNCTION("SPLIT('2. c'!B2107, "" "", True, True)"),"Erwinia")</f>
        <v>Erwinia</v>
      </c>
      <c r="D2107" t="str">
        <f>IFERROR(__xludf.DUMMYFUNCTION("""COMPUTED_VALUE"""),"sp.")</f>
        <v>sp.</v>
      </c>
      <c r="E2107" t="str">
        <f>IFERROR(__xludf.DUMMYFUNCTION("""COMPUTED_VALUE"""),"Ejp617")</f>
        <v>Ejp617</v>
      </c>
    </row>
    <row r="2108" ht="15.75" customHeight="1">
      <c r="A2108" t="str">
        <f t="shared" si="1"/>
        <v>E.sp.</v>
      </c>
      <c r="B2108" s="5" t="s">
        <v>7000</v>
      </c>
      <c r="C2108" s="6" t="str">
        <f>IFERROR(__xludf.DUMMYFUNCTION("SPLIT('2. c'!B2108, "" "", True, True)"),"Erwinia")</f>
        <v>Erwinia</v>
      </c>
      <c r="D2108" t="str">
        <f>IFERROR(__xludf.DUMMYFUNCTION("""COMPUTED_VALUE"""),"sp.")</f>
        <v>sp.</v>
      </c>
      <c r="E2108" t="str">
        <f>IFERROR(__xludf.DUMMYFUNCTION("""COMPUTED_VALUE"""),"EM595")</f>
        <v>EM595</v>
      </c>
    </row>
    <row r="2109" ht="15.75" customHeight="1">
      <c r="A2109" t="str">
        <f t="shared" si="1"/>
        <v>E.tasmaniensis</v>
      </c>
      <c r="B2109" s="5" t="s">
        <v>7007</v>
      </c>
      <c r="C2109" s="6" t="str">
        <f>IFERROR(__xludf.DUMMYFUNCTION("SPLIT('2. c'!B2109, "" "", True, True)"),"Erwinia")</f>
        <v>Erwinia</v>
      </c>
      <c r="D2109" t="str">
        <f>IFERROR(__xludf.DUMMYFUNCTION("""COMPUTED_VALUE"""),"tasmaniensis")</f>
        <v>tasmaniensis</v>
      </c>
      <c r="E2109" t="str">
        <f>IFERROR(__xludf.DUMMYFUNCTION("""COMPUTED_VALUE"""),"Et1/99")</f>
        <v>Et1/99</v>
      </c>
    </row>
    <row r="2110" ht="15.75" customHeight="1">
      <c r="A2110" t="str">
        <f t="shared" si="1"/>
        <v>E.rhusiopathiae</v>
      </c>
      <c r="B2110" s="5" t="s">
        <v>7017</v>
      </c>
      <c r="C2110" s="6" t="str">
        <f>IFERROR(__xludf.DUMMYFUNCTION("SPLIT('2. c'!B2110, "" "", True, True)"),"Erysipelothrix")</f>
        <v>Erysipelothrix</v>
      </c>
      <c r="D2110" t="str">
        <f>IFERROR(__xludf.DUMMYFUNCTION("""COMPUTED_VALUE"""),"rhusiopathiae")</f>
        <v>rhusiopathiae</v>
      </c>
      <c r="E2110" t="str">
        <f>IFERROR(__xludf.DUMMYFUNCTION("""COMPUTED_VALUE"""),"str.")</f>
        <v>str.</v>
      </c>
      <c r="F2110" t="str">
        <f>IFERROR(__xludf.DUMMYFUNCTION("""COMPUTED_VALUE"""),"Fujisawa")</f>
        <v>Fujisawa</v>
      </c>
    </row>
    <row r="2111" ht="15.75" customHeight="1">
      <c r="A2111" t="str">
        <f t="shared" si="1"/>
        <v>E.rhusiopathiae</v>
      </c>
      <c r="B2111" s="5" t="s">
        <v>7029</v>
      </c>
      <c r="C2111" s="6" t="str">
        <f>IFERROR(__xludf.DUMMYFUNCTION("SPLIT('2. c'!B2111, "" "", True, True)"),"Erysipelothrix")</f>
        <v>Erysipelothrix</v>
      </c>
      <c r="D2111" t="str">
        <f>IFERROR(__xludf.DUMMYFUNCTION("""COMPUTED_VALUE"""),"rhusiopathiae")</f>
        <v>rhusiopathiae</v>
      </c>
      <c r="E2111" t="str">
        <f>IFERROR(__xludf.DUMMYFUNCTION("""COMPUTED_VALUE"""),"strain")</f>
        <v>strain</v>
      </c>
      <c r="F2111" t="str">
        <f>IFERROR(__xludf.DUMMYFUNCTION("""COMPUTED_VALUE"""),"GXBY-1")</f>
        <v>GXBY-1</v>
      </c>
    </row>
    <row r="2112" ht="15.75" customHeight="1">
      <c r="A2112" t="str">
        <f t="shared" si="1"/>
        <v>E.rhusiopathiae</v>
      </c>
      <c r="B2112" s="5" t="s">
        <v>7039</v>
      </c>
      <c r="C2112" s="6" t="str">
        <f>IFERROR(__xludf.DUMMYFUNCTION("SPLIT('2. c'!B2112, "" "", True, True)"),"Erysipelothrix")</f>
        <v>Erysipelothrix</v>
      </c>
      <c r="D2112" t="str">
        <f>IFERROR(__xludf.DUMMYFUNCTION("""COMPUTED_VALUE"""),"rhusiopathiae")</f>
        <v>rhusiopathiae</v>
      </c>
      <c r="E2112" t="str">
        <f>IFERROR(__xludf.DUMMYFUNCTION("""COMPUTED_VALUE"""),"SY1027")</f>
        <v>SY1027</v>
      </c>
    </row>
    <row r="2113" ht="15.75" customHeight="1">
      <c r="A2113" t="str">
        <f t="shared" si="1"/>
        <v>E.sp.</v>
      </c>
      <c r="B2113" s="5" t="s">
        <v>7052</v>
      </c>
      <c r="C2113" s="6" t="str">
        <f>IFERROR(__xludf.DUMMYFUNCTION("SPLIT('2. c'!B2113, "" "", True, True)"),"Erysipelothrix")</f>
        <v>Erysipelothrix</v>
      </c>
      <c r="D2113" t="str">
        <f>IFERROR(__xludf.DUMMYFUNCTION("""COMPUTED_VALUE"""),"sp.")</f>
        <v>sp.</v>
      </c>
      <c r="E2113" t="str">
        <f>IFERROR(__xludf.DUMMYFUNCTION("""COMPUTED_VALUE"""),"LV19")</f>
        <v>LV19</v>
      </c>
    </row>
    <row r="2114" ht="15.75" customHeight="1">
      <c r="A2114" t="str">
        <f t="shared" si="1"/>
        <v>E.litoralis</v>
      </c>
      <c r="B2114" s="5" t="s">
        <v>7066</v>
      </c>
      <c r="C2114" s="6" t="str">
        <f>IFERROR(__xludf.DUMMYFUNCTION("SPLIT('2. c'!B2114, "" "", True, True)"),"Erythrobacter")</f>
        <v>Erythrobacter</v>
      </c>
      <c r="D2114" t="str">
        <f>IFERROR(__xludf.DUMMYFUNCTION("""COMPUTED_VALUE"""),"litoralis")</f>
        <v>litoralis</v>
      </c>
      <c r="E2114" t="str">
        <f>IFERROR(__xludf.DUMMYFUNCTION("""COMPUTED_VALUE"""),"HTCC2594")</f>
        <v>HTCC2594</v>
      </c>
    </row>
    <row r="2115" ht="15.75" customHeight="1">
      <c r="A2115" t="str">
        <f t="shared" si="1"/>
        <v>E.sp.</v>
      </c>
      <c r="B2115" s="5" t="s">
        <v>7081</v>
      </c>
      <c r="C2115" s="6" t="str">
        <f>IFERROR(__xludf.DUMMYFUNCTION("SPLIT('2. c'!B2115, "" "", True, True)"),"Erythrobacter")</f>
        <v>Erythrobacter</v>
      </c>
      <c r="D2115" t="str">
        <f>IFERROR(__xludf.DUMMYFUNCTION("""COMPUTED_VALUE"""),"sp.")</f>
        <v>sp.</v>
      </c>
      <c r="E2115" t="str">
        <f>IFERROR(__xludf.DUMMYFUNCTION("""COMPUTED_VALUE"""),"s21-N3")</f>
        <v>s21-N3</v>
      </c>
    </row>
    <row r="2116" ht="15.75" customHeight="1">
      <c r="A2116" t="str">
        <f t="shared" si="1"/>
        <v>E.albertii</v>
      </c>
      <c r="B2116" s="5" t="s">
        <v>7095</v>
      </c>
      <c r="C2116" s="6" t="str">
        <f>IFERROR(__xludf.DUMMYFUNCTION("SPLIT('2. c'!B2116, "" "", True, True)"),"Escherichia")</f>
        <v>Escherichia</v>
      </c>
      <c r="D2116" t="str">
        <f>IFERROR(__xludf.DUMMYFUNCTION("""COMPUTED_VALUE"""),"albertii")</f>
        <v>albertii</v>
      </c>
      <c r="E2116" t="str">
        <f>IFERROR(__xludf.DUMMYFUNCTION("""COMPUTED_VALUE"""),"KF1")</f>
        <v>KF1</v>
      </c>
    </row>
    <row r="2117" ht="15.75" customHeight="1">
      <c r="A2117" t="str">
        <f t="shared" si="1"/>
        <v>E.albertii</v>
      </c>
      <c r="B2117" s="5" t="s">
        <v>7111</v>
      </c>
      <c r="C2117" s="6" t="str">
        <f>IFERROR(__xludf.DUMMYFUNCTION("SPLIT('2. c'!B2117, "" "", True, True)"),"Escherichia")</f>
        <v>Escherichia</v>
      </c>
      <c r="D2117" t="str">
        <f>IFERROR(__xludf.DUMMYFUNCTION("""COMPUTED_VALUE"""),"albertii")</f>
        <v>albertii</v>
      </c>
      <c r="E2117" t="str">
        <f>IFERROR(__xludf.DUMMYFUNCTION("""COMPUTED_VALUE"""),"strain")</f>
        <v>strain</v>
      </c>
      <c r="F2117" t="str">
        <f>IFERROR(__xludf.DUMMYFUNCTION("""COMPUTED_VALUE"""),"EC06-170")</f>
        <v>EC06-170</v>
      </c>
    </row>
    <row r="2118" ht="15.75" customHeight="1">
      <c r="A2118" t="str">
        <f t="shared" si="1"/>
        <v>E.coli</v>
      </c>
      <c r="B2118" s="5" t="s">
        <v>7129</v>
      </c>
      <c r="C2118" s="6" t="str">
        <f>IFERROR(__xludf.DUMMYFUNCTION("SPLIT('2. c'!B2118, "" "", True, True)"),"Escherichia")</f>
        <v>Escherichia</v>
      </c>
      <c r="D2118" t="str">
        <f>IFERROR(__xludf.DUMMYFUNCTION("""COMPUTED_VALUE"""),"coli")</f>
        <v>coli</v>
      </c>
      <c r="E2118">
        <f>IFERROR(__xludf.DUMMYFUNCTION("""COMPUTED_VALUE"""),42.0)</f>
        <v>42</v>
      </c>
    </row>
    <row r="2119" ht="15.75" customHeight="1">
      <c r="A2119" t="str">
        <f t="shared" si="1"/>
        <v>E.coli</v>
      </c>
      <c r="B2119" s="5" t="s">
        <v>7144</v>
      </c>
      <c r="C2119" s="6" t="str">
        <f>IFERROR(__xludf.DUMMYFUNCTION("SPLIT('2. c'!B2119, "" "", True, True)"),"Escherichia")</f>
        <v>Escherichia</v>
      </c>
      <c r="D2119" t="str">
        <f>IFERROR(__xludf.DUMMYFUNCTION("""COMPUTED_VALUE"""),"coli")</f>
        <v>coli</v>
      </c>
      <c r="E2119">
        <f>IFERROR(__xludf.DUMMYFUNCTION("""COMPUTED_VALUE"""),1303.0)</f>
        <v>1303</v>
      </c>
    </row>
    <row r="2120" ht="15.75" customHeight="1">
      <c r="A2120" t="str">
        <f t="shared" si="1"/>
        <v>E.coli</v>
      </c>
      <c r="B2120" s="5" t="s">
        <v>7163</v>
      </c>
      <c r="C2120" s="6" t="str">
        <f>IFERROR(__xludf.DUMMYFUNCTION("SPLIT('2. c'!B2120, "" "", True, True)"),"Escherichia")</f>
        <v>Escherichia</v>
      </c>
      <c r="D2120" t="str">
        <f>IFERROR(__xludf.DUMMYFUNCTION("""COMPUTED_VALUE"""),"coli")</f>
        <v>coli</v>
      </c>
      <c r="E2120">
        <f>IFERROR(__xludf.DUMMYFUNCTION("""COMPUTED_VALUE"""),536.0)</f>
        <v>536</v>
      </c>
    </row>
    <row r="2121" ht="15.75" customHeight="1">
      <c r="A2121" t="str">
        <f t="shared" si="1"/>
        <v>E.coli</v>
      </c>
      <c r="B2121" s="5" t="s">
        <v>7172</v>
      </c>
      <c r="C2121" s="6" t="str">
        <f>IFERROR(__xludf.DUMMYFUNCTION("SPLIT('2. c'!B2121, "" "", True, True)"),"Escherichia")</f>
        <v>Escherichia</v>
      </c>
      <c r="D2121" t="str">
        <f>IFERROR(__xludf.DUMMYFUNCTION("""COMPUTED_VALUE"""),"coli")</f>
        <v>coli</v>
      </c>
      <c r="E2121">
        <f>IFERROR(__xludf.DUMMYFUNCTION("""COMPUTED_VALUE"""),55989.0)</f>
        <v>55989</v>
      </c>
    </row>
    <row r="2122" ht="15.75" customHeight="1">
      <c r="A2122" t="str">
        <f t="shared" si="1"/>
        <v>E.coli</v>
      </c>
      <c r="B2122" s="5" t="s">
        <v>7181</v>
      </c>
      <c r="C2122" s="6" t="str">
        <f>IFERROR(__xludf.DUMMYFUNCTION("SPLIT('2. c'!B2122, "" "", True, True)"),"Escherichia")</f>
        <v>Escherichia</v>
      </c>
      <c r="D2122" t="str">
        <f>IFERROR(__xludf.DUMMYFUNCTION("""COMPUTED_VALUE"""),"coli")</f>
        <v>coli</v>
      </c>
      <c r="E2122">
        <f>IFERROR(__xludf.DUMMYFUNCTION("""COMPUTED_VALUE"""),789.0)</f>
        <v>789</v>
      </c>
    </row>
    <row r="2123" ht="15.75" customHeight="1">
      <c r="A2123" t="str">
        <f t="shared" si="1"/>
        <v>E.coli</v>
      </c>
      <c r="B2123" s="5" t="s">
        <v>7190</v>
      </c>
      <c r="C2123" s="6" t="str">
        <f>IFERROR(__xludf.DUMMYFUNCTION("SPLIT('2. c'!B2123, "" "", True, True)"),"Escherichia")</f>
        <v>Escherichia</v>
      </c>
      <c r="D2123" t="str">
        <f>IFERROR(__xludf.DUMMYFUNCTION("""COMPUTED_VALUE"""),"coli")</f>
        <v>coli</v>
      </c>
      <c r="E2123" t="str">
        <f>IFERROR(__xludf.DUMMYFUNCTION("""COMPUTED_VALUE"""),"94-3024")</f>
        <v>94-3024</v>
      </c>
    </row>
    <row r="2124" ht="15.75" customHeight="1">
      <c r="A2124" t="str">
        <f t="shared" si="1"/>
        <v>E.coli</v>
      </c>
      <c r="B2124" s="5" t="s">
        <v>7199</v>
      </c>
      <c r="C2124" s="6" t="str">
        <f>IFERROR(__xludf.DUMMYFUNCTION("SPLIT('2. c'!B2124, "" "", True, True)"),"Escherichia")</f>
        <v>Escherichia</v>
      </c>
      <c r="D2124" t="str">
        <f>IFERROR(__xludf.DUMMYFUNCTION("""COMPUTED_VALUE"""),"coli")</f>
        <v>coli</v>
      </c>
      <c r="E2124" t="str">
        <f>IFERROR(__xludf.DUMMYFUNCTION("""COMPUTED_VALUE"""),"ABU")</f>
        <v>ABU</v>
      </c>
      <c r="F2124">
        <f>IFERROR(__xludf.DUMMYFUNCTION("""COMPUTED_VALUE"""),83972.0)</f>
        <v>83972</v>
      </c>
    </row>
    <row r="2125" ht="15.75" customHeight="1">
      <c r="A2125" t="str">
        <f t="shared" si="1"/>
        <v>E.coli</v>
      </c>
      <c r="B2125" s="5" t="s">
        <v>7209</v>
      </c>
      <c r="C2125" s="6" t="str">
        <f>IFERROR(__xludf.DUMMYFUNCTION("SPLIT('2. c'!B2125, "" "", True, True)"),"Escherichia")</f>
        <v>Escherichia</v>
      </c>
      <c r="D2125" t="str">
        <f>IFERROR(__xludf.DUMMYFUNCTION("""COMPUTED_VALUE"""),"coli")</f>
        <v>coli</v>
      </c>
      <c r="E2125" t="str">
        <f>IFERROR(__xludf.DUMMYFUNCTION("""COMPUTED_VALUE"""),"ACN001")</f>
        <v>ACN001</v>
      </c>
    </row>
    <row r="2126" ht="15.75" customHeight="1">
      <c r="A2126" t="str">
        <f t="shared" si="1"/>
        <v>E.coli</v>
      </c>
      <c r="B2126" s="5" t="s">
        <v>7217</v>
      </c>
      <c r="C2126" s="6" t="str">
        <f>IFERROR(__xludf.DUMMYFUNCTION("SPLIT('2. c'!B2126, "" "", True, True)"),"Escherichia")</f>
        <v>Escherichia</v>
      </c>
      <c r="D2126" t="str">
        <f>IFERROR(__xludf.DUMMYFUNCTION("""COMPUTED_VALUE"""),"coli")</f>
        <v>coli</v>
      </c>
      <c r="E2126" t="str">
        <f>IFERROR(__xludf.DUMMYFUNCTION("""COMPUTED_VALUE"""),"APEC")</f>
        <v>APEC</v>
      </c>
      <c r="F2126" t="str">
        <f>IFERROR(__xludf.DUMMYFUNCTION("""COMPUTED_VALUE"""),"IMT5155")</f>
        <v>IMT5155</v>
      </c>
    </row>
    <row r="2127" ht="15.75" customHeight="1">
      <c r="A2127" t="str">
        <f t="shared" si="1"/>
        <v>E.coli</v>
      </c>
      <c r="B2127" s="5" t="s">
        <v>7225</v>
      </c>
      <c r="C2127" s="6" t="str">
        <f>IFERROR(__xludf.DUMMYFUNCTION("SPLIT('2. c'!B2127, "" "", True, True)"),"Escherichia")</f>
        <v>Escherichia</v>
      </c>
      <c r="D2127" t="str">
        <f>IFERROR(__xludf.DUMMYFUNCTION("""COMPUTED_VALUE"""),"coli")</f>
        <v>coli</v>
      </c>
      <c r="E2127" t="str">
        <f>IFERROR(__xludf.DUMMYFUNCTION("""COMPUTED_VALUE"""),"APEC")</f>
        <v>APEC</v>
      </c>
      <c r="F2127" t="str">
        <f>IFERROR(__xludf.DUMMYFUNCTION("""COMPUTED_VALUE"""),"O1")</f>
        <v>O1</v>
      </c>
    </row>
    <row r="2128" ht="15.75" customHeight="1">
      <c r="A2128" t="str">
        <f t="shared" si="1"/>
        <v>E.coli</v>
      </c>
      <c r="B2128" s="5" t="s">
        <v>7234</v>
      </c>
      <c r="C2128" s="6" t="str">
        <f>IFERROR(__xludf.DUMMYFUNCTION("SPLIT('2. c'!B2128, "" "", True, True)"),"Escherichia")</f>
        <v>Escherichia</v>
      </c>
      <c r="D2128" t="str">
        <f>IFERROR(__xludf.DUMMYFUNCTION("""COMPUTED_VALUE"""),"coli")</f>
        <v>coli</v>
      </c>
      <c r="E2128" t="str">
        <f>IFERROR(__xludf.DUMMYFUNCTION("""COMPUTED_VALUE"""),"APEC")</f>
        <v>APEC</v>
      </c>
      <c r="F2128" t="str">
        <f>IFERROR(__xludf.DUMMYFUNCTION("""COMPUTED_VALUE"""),"O78")</f>
        <v>O78</v>
      </c>
    </row>
    <row r="2129" ht="15.75" customHeight="1">
      <c r="A2129" t="str">
        <f t="shared" si="1"/>
        <v>E.coli</v>
      </c>
      <c r="B2129" s="5" t="s">
        <v>7243</v>
      </c>
      <c r="C2129" s="6" t="str">
        <f>IFERROR(__xludf.DUMMYFUNCTION("SPLIT('2. c'!B2129, "" "", True, True)"),"Escherichia")</f>
        <v>Escherichia</v>
      </c>
      <c r="D2129" t="str">
        <f>IFERROR(__xludf.DUMMYFUNCTION("""COMPUTED_VALUE"""),"coli")</f>
        <v>coli</v>
      </c>
      <c r="E2129" t="str">
        <f>IFERROR(__xludf.DUMMYFUNCTION("""COMPUTED_VALUE"""),"ATCC")</f>
        <v>ATCC</v>
      </c>
      <c r="F2129">
        <f>IFERROR(__xludf.DUMMYFUNCTION("""COMPUTED_VALUE"""),25922.0)</f>
        <v>25922</v>
      </c>
    </row>
    <row r="2130" ht="15.75" customHeight="1">
      <c r="A2130" t="str">
        <f t="shared" si="1"/>
        <v>E.coli</v>
      </c>
      <c r="B2130" s="5" t="s">
        <v>7253</v>
      </c>
      <c r="C2130" s="6" t="str">
        <f>IFERROR(__xludf.DUMMYFUNCTION("SPLIT('2. c'!B2130, "" "", True, True)"),"Escherichia")</f>
        <v>Escherichia</v>
      </c>
      <c r="D2130" t="str">
        <f>IFERROR(__xludf.DUMMYFUNCTION("""COMPUTED_VALUE"""),"coli")</f>
        <v>coli</v>
      </c>
      <c r="E2130" t="str">
        <f>IFERROR(__xludf.DUMMYFUNCTION("""COMPUTED_VALUE"""),"ATCC")</f>
        <v>ATCC</v>
      </c>
      <c r="F2130">
        <f>IFERROR(__xludf.DUMMYFUNCTION("""COMPUTED_VALUE"""),8739.0)</f>
        <v>8739</v>
      </c>
    </row>
    <row r="2131" ht="15.75" customHeight="1">
      <c r="A2131" t="str">
        <f t="shared" si="1"/>
        <v>E.coli</v>
      </c>
      <c r="B2131" s="5" t="s">
        <v>7262</v>
      </c>
      <c r="C2131" s="6" t="str">
        <f>IFERROR(__xludf.DUMMYFUNCTION("SPLIT('2. c'!B2131, "" "", True, True)"),"Escherichia")</f>
        <v>Escherichia</v>
      </c>
      <c r="D2131" t="str">
        <f>IFERROR(__xludf.DUMMYFUNCTION("""COMPUTED_VALUE"""),"coli")</f>
        <v>coli</v>
      </c>
      <c r="E2131" t="str">
        <f>IFERROR(__xludf.DUMMYFUNCTION("""COMPUTED_VALUE"""),"B")</f>
        <v>B</v>
      </c>
    </row>
    <row r="2132" ht="15.75" customHeight="1">
      <c r="A2132" t="str">
        <f t="shared" si="1"/>
        <v>E.coli</v>
      </c>
      <c r="B2132" s="5" t="s">
        <v>7262</v>
      </c>
      <c r="C2132" s="6" t="str">
        <f>IFERROR(__xludf.DUMMYFUNCTION("SPLIT('2. c'!B2132, "" "", True, True)"),"Escherichia")</f>
        <v>Escherichia</v>
      </c>
      <c r="D2132" t="str">
        <f>IFERROR(__xludf.DUMMYFUNCTION("""COMPUTED_VALUE"""),"coli")</f>
        <v>coli</v>
      </c>
      <c r="E2132" t="str">
        <f>IFERROR(__xludf.DUMMYFUNCTION("""COMPUTED_VALUE"""),"B")</f>
        <v>B</v>
      </c>
    </row>
    <row r="2133" ht="15.75" customHeight="1">
      <c r="A2133" t="str">
        <f t="shared" si="1"/>
        <v>E.coli</v>
      </c>
      <c r="B2133" s="5" t="s">
        <v>7272</v>
      </c>
      <c r="C2133" s="6" t="str">
        <f>IFERROR(__xludf.DUMMYFUNCTION("SPLIT('2. c'!B2133, "" "", True, True)"),"Escherichia")</f>
        <v>Escherichia</v>
      </c>
      <c r="D2133" t="str">
        <f>IFERROR(__xludf.DUMMYFUNCTION("""COMPUTED_VALUE"""),"coli")</f>
        <v>coli</v>
      </c>
      <c r="E2133" t="str">
        <f>IFERROR(__xludf.DUMMYFUNCTION("""COMPUTED_VALUE"""),"B")</f>
        <v>B</v>
      </c>
      <c r="F2133" t="str">
        <f>IFERROR(__xludf.DUMMYFUNCTION("""COMPUTED_VALUE"""),"str.")</f>
        <v>str.</v>
      </c>
      <c r="G2133" t="str">
        <f>IFERROR(__xludf.DUMMYFUNCTION("""COMPUTED_VALUE"""),"REL606")</f>
        <v>REL606</v>
      </c>
    </row>
    <row r="2134" ht="15.75" customHeight="1">
      <c r="A2134" t="str">
        <f t="shared" si="1"/>
        <v>E.coli</v>
      </c>
      <c r="B2134" s="5" t="s">
        <v>7277</v>
      </c>
      <c r="C2134" s="6" t="str">
        <f>IFERROR(__xludf.DUMMYFUNCTION("SPLIT('2. c'!B2134, "" "", True, True)"),"Escherichia")</f>
        <v>Escherichia</v>
      </c>
      <c r="D2134" t="str">
        <f>IFERROR(__xludf.DUMMYFUNCTION("""COMPUTED_VALUE"""),"coli")</f>
        <v>coli</v>
      </c>
      <c r="E2134" t="str">
        <f>IFERROR(__xludf.DUMMYFUNCTION("""COMPUTED_VALUE"""),"B7A")</f>
        <v>B7A</v>
      </c>
    </row>
    <row r="2135" ht="15.75" customHeight="1">
      <c r="A2135" t="str">
        <f t="shared" si="1"/>
        <v>E.coli</v>
      </c>
      <c r="B2135" s="5" t="s">
        <v>7286</v>
      </c>
      <c r="C2135" s="6" t="str">
        <f>IFERROR(__xludf.DUMMYFUNCTION("SPLIT('2. c'!B2135, "" "", True, True)"),"Escherichia")</f>
        <v>Escherichia</v>
      </c>
      <c r="D2135" t="str">
        <f>IFERROR(__xludf.DUMMYFUNCTION("""COMPUTED_VALUE"""),"coli")</f>
        <v>coli</v>
      </c>
      <c r="E2135" t="str">
        <f>IFERROR(__xludf.DUMMYFUNCTION("""COMPUTED_VALUE"""),"BL21")</f>
        <v>BL21</v>
      </c>
      <c r="F2135" t="str">
        <f>IFERROR(__xludf.DUMMYFUNCTION("""COMPUTED_VALUE"""),"(TaKaRa)")</f>
        <v>(TaKaRa)</v>
      </c>
    </row>
    <row r="2136" ht="15.75" customHeight="1">
      <c r="A2136" t="str">
        <f t="shared" si="1"/>
        <v>E.coli</v>
      </c>
      <c r="B2136" s="5" t="s">
        <v>7293</v>
      </c>
      <c r="C2136" s="6" t="str">
        <f>IFERROR(__xludf.DUMMYFUNCTION("SPLIT('2. c'!B2136, "" "", True, True)"),"Escherichia")</f>
        <v>Escherichia</v>
      </c>
      <c r="D2136" t="str">
        <f>IFERROR(__xludf.DUMMYFUNCTION("""COMPUTED_VALUE"""),"coli")</f>
        <v>coli</v>
      </c>
      <c r="E2136" t="str">
        <f>IFERROR(__xludf.DUMMYFUNCTION("""COMPUTED_VALUE"""),"BL21(DE3)")</f>
        <v>BL21(DE3)</v>
      </c>
      <c r="F2136" t="str">
        <f>IFERROR(__xludf.DUMMYFUNCTION("""COMPUTED_VALUE"""),"(Prj:20713)")</f>
        <v>(Prj:20713)</v>
      </c>
    </row>
    <row r="2137" ht="15.75" customHeight="1">
      <c r="A2137" t="str">
        <f t="shared" si="1"/>
        <v>E.coli</v>
      </c>
      <c r="B2137" s="5" t="s">
        <v>7298</v>
      </c>
      <c r="C2137" s="6" t="str">
        <f>IFERROR(__xludf.DUMMYFUNCTION("SPLIT('2. c'!B2137, "" "", True, True)"),"Escherichia")</f>
        <v>Escherichia</v>
      </c>
      <c r="D2137" t="str">
        <f>IFERROR(__xludf.DUMMYFUNCTION("""COMPUTED_VALUE"""),"coli")</f>
        <v>coli</v>
      </c>
      <c r="E2137" t="str">
        <f>IFERROR(__xludf.DUMMYFUNCTION("""COMPUTED_VALUE"""),"BL21(DE3)")</f>
        <v>BL21(DE3)</v>
      </c>
      <c r="F2137" t="str">
        <f>IFERROR(__xludf.DUMMYFUNCTION("""COMPUTED_VALUE"""),"(Prj:28965)")</f>
        <v>(Prj:28965)</v>
      </c>
    </row>
    <row r="2138" ht="15.75" customHeight="1">
      <c r="A2138" t="str">
        <f t="shared" si="1"/>
        <v>E.coli</v>
      </c>
      <c r="B2138" s="5" t="s">
        <v>7306</v>
      </c>
      <c r="C2138" s="6" t="str">
        <f>IFERROR(__xludf.DUMMYFUNCTION("SPLIT('2. c'!B2138, "" "", True, True)"),"Escherichia")</f>
        <v>Escherichia</v>
      </c>
      <c r="D2138" t="str">
        <f>IFERROR(__xludf.DUMMYFUNCTION("""COMPUTED_VALUE"""),"coli")</f>
        <v>coli</v>
      </c>
      <c r="E2138" t="str">
        <f>IFERROR(__xludf.DUMMYFUNCTION("""COMPUTED_VALUE"""),"BL21-Gold(DE3)pLysS")</f>
        <v>BL21-Gold(DE3)pLysS</v>
      </c>
      <c r="F2138" t="str">
        <f>IFERROR(__xludf.DUMMYFUNCTION("""COMPUTED_VALUE"""),"AG'")</f>
        <v>AG'</v>
      </c>
    </row>
    <row r="2139" ht="15.75" customHeight="1">
      <c r="A2139" t="str">
        <f t="shared" si="1"/>
        <v>E.coli</v>
      </c>
      <c r="B2139" s="5" t="s">
        <v>7316</v>
      </c>
      <c r="C2139" s="6" t="str">
        <f>IFERROR(__xludf.DUMMYFUNCTION("SPLIT('2. c'!B2139, "" "", True, True)"),"Escherichia")</f>
        <v>Escherichia</v>
      </c>
      <c r="D2139" t="str">
        <f>IFERROR(__xludf.DUMMYFUNCTION("""COMPUTED_VALUE"""),"coli")</f>
        <v>coli</v>
      </c>
      <c r="E2139" t="str">
        <f>IFERROR(__xludf.DUMMYFUNCTION("""COMPUTED_VALUE"""),"BW25113")</f>
        <v>BW25113</v>
      </c>
    </row>
    <row r="2140" ht="15.75" customHeight="1">
      <c r="A2140" t="str">
        <f t="shared" si="1"/>
        <v>E.coli</v>
      </c>
      <c r="B2140" s="5" t="s">
        <v>7325</v>
      </c>
      <c r="C2140" s="6" t="str">
        <f>IFERROR(__xludf.DUMMYFUNCTION("SPLIT('2. c'!B2140, "" "", True, True)"),"Escherichia")</f>
        <v>Escherichia</v>
      </c>
      <c r="D2140" t="str">
        <f>IFERROR(__xludf.DUMMYFUNCTION("""COMPUTED_VALUE"""),"coli")</f>
        <v>coli</v>
      </c>
      <c r="E2140" t="str">
        <f>IFERROR(__xludf.DUMMYFUNCTION("""COMPUTED_VALUE"""),"BW2952")</f>
        <v>BW2952</v>
      </c>
    </row>
    <row r="2141" ht="15.75" customHeight="1">
      <c r="A2141" t="str">
        <f t="shared" si="1"/>
        <v>E.coli</v>
      </c>
      <c r="B2141" s="5" t="s">
        <v>7332</v>
      </c>
      <c r="C2141" s="6" t="str">
        <f>IFERROR(__xludf.DUMMYFUNCTION("SPLIT('2. c'!B2141, "" "", True, True)"),"Escherichia")</f>
        <v>Escherichia</v>
      </c>
      <c r="D2141" t="str">
        <f>IFERROR(__xludf.DUMMYFUNCTION("""COMPUTED_VALUE"""),"coli")</f>
        <v>coli</v>
      </c>
      <c r="E2141" t="str">
        <f>IFERROR(__xludf.DUMMYFUNCTION("""COMPUTED_VALUE"""),"C321.deltaA")</f>
        <v>C321.deltaA</v>
      </c>
    </row>
    <row r="2142" ht="15.75" customHeight="1">
      <c r="A2142" t="str">
        <f t="shared" si="1"/>
        <v>E.coli</v>
      </c>
      <c r="B2142" s="5" t="s">
        <v>7341</v>
      </c>
      <c r="C2142" s="6" t="str">
        <f>IFERROR(__xludf.DUMMYFUNCTION("SPLIT('2. c'!B2142, "" "", True, True)"),"Escherichia")</f>
        <v>Escherichia</v>
      </c>
      <c r="D2142" t="str">
        <f>IFERROR(__xludf.DUMMYFUNCTION("""COMPUTED_VALUE"""),"coli")</f>
        <v>coli</v>
      </c>
      <c r="E2142" t="str">
        <f>IFERROR(__xludf.DUMMYFUNCTION("""COMPUTED_VALUE"""),"C41(DE3)")</f>
        <v>C41(DE3)</v>
      </c>
    </row>
    <row r="2143" ht="15.75" customHeight="1">
      <c r="A2143" t="str">
        <f t="shared" si="1"/>
        <v>E.coli</v>
      </c>
      <c r="B2143" s="5" t="s">
        <v>7350</v>
      </c>
      <c r="C2143" s="6" t="str">
        <f>IFERROR(__xludf.DUMMYFUNCTION("SPLIT('2. c'!B2143, "" "", True, True)"),"Escherichia")</f>
        <v>Escherichia</v>
      </c>
      <c r="D2143" t="str">
        <f>IFERROR(__xludf.DUMMYFUNCTION("""COMPUTED_VALUE"""),"coli")</f>
        <v>coli</v>
      </c>
      <c r="E2143" t="str">
        <f>IFERROR(__xludf.DUMMYFUNCTION("""COMPUTED_VALUE"""),"CFT073")</f>
        <v>CFT073</v>
      </c>
    </row>
    <row r="2144" ht="15.75" customHeight="1">
      <c r="A2144" t="str">
        <f t="shared" si="1"/>
        <v>E.coli</v>
      </c>
      <c r="B2144" s="5" t="s">
        <v>7357</v>
      </c>
      <c r="C2144" s="6" t="str">
        <f>IFERROR(__xludf.DUMMYFUNCTION("SPLIT('2. c'!B2144, "" "", True, True)"),"Escherichia")</f>
        <v>Escherichia</v>
      </c>
      <c r="D2144" t="str">
        <f>IFERROR(__xludf.DUMMYFUNCTION("""COMPUTED_VALUE"""),"coli")</f>
        <v>coli</v>
      </c>
      <c r="E2144" t="str">
        <f>IFERROR(__xludf.DUMMYFUNCTION("""COMPUTED_VALUE"""),"DH1")</f>
        <v>DH1</v>
      </c>
    </row>
    <row r="2145" ht="15.75" customHeight="1">
      <c r="A2145" t="str">
        <f t="shared" si="1"/>
        <v>E.coli</v>
      </c>
      <c r="B2145" s="5" t="s">
        <v>7357</v>
      </c>
      <c r="C2145" s="6" t="str">
        <f>IFERROR(__xludf.DUMMYFUNCTION("SPLIT('2. c'!B2145, "" "", True, True)"),"Escherichia")</f>
        <v>Escherichia</v>
      </c>
      <c r="D2145" t="str">
        <f>IFERROR(__xludf.DUMMYFUNCTION("""COMPUTED_VALUE"""),"coli")</f>
        <v>coli</v>
      </c>
      <c r="E2145" t="str">
        <f>IFERROR(__xludf.DUMMYFUNCTION("""COMPUTED_VALUE"""),"DH1")</f>
        <v>DH1</v>
      </c>
    </row>
    <row r="2146" ht="15.75" customHeight="1">
      <c r="A2146" t="str">
        <f t="shared" si="1"/>
        <v>E.coli</v>
      </c>
      <c r="B2146" s="5" t="s">
        <v>7372</v>
      </c>
      <c r="C2146" s="6" t="str">
        <f>IFERROR(__xludf.DUMMYFUNCTION("SPLIT('2. c'!B2146, "" "", True, True)"),"Escherichia")</f>
        <v>Escherichia</v>
      </c>
      <c r="D2146" t="str">
        <f>IFERROR(__xludf.DUMMYFUNCTION("""COMPUTED_VALUE"""),"coli")</f>
        <v>coli</v>
      </c>
      <c r="E2146" t="str">
        <f>IFERROR(__xludf.DUMMYFUNCTION("""COMPUTED_VALUE"""),"E24377A")</f>
        <v>E24377A</v>
      </c>
    </row>
    <row r="2147" ht="15.75" customHeight="1">
      <c r="A2147" t="str">
        <f t="shared" si="1"/>
        <v>E.coli</v>
      </c>
      <c r="B2147" s="5" t="s">
        <v>7379</v>
      </c>
      <c r="C2147" s="6" t="str">
        <f>IFERROR(__xludf.DUMMYFUNCTION("SPLIT('2. c'!B2147, "" "", True, True)"),"Escherichia")</f>
        <v>Escherichia</v>
      </c>
      <c r="D2147" t="str">
        <f>IFERROR(__xludf.DUMMYFUNCTION("""COMPUTED_VALUE"""),"coli")</f>
        <v>coli</v>
      </c>
      <c r="E2147" t="str">
        <f>IFERROR(__xludf.DUMMYFUNCTION("""COMPUTED_VALUE"""),"ECC-1470")</f>
        <v>ECC-1470</v>
      </c>
    </row>
    <row r="2148" ht="15.75" customHeight="1">
      <c r="A2148" t="str">
        <f t="shared" si="1"/>
        <v>E.coli</v>
      </c>
      <c r="B2148" s="5" t="s">
        <v>7388</v>
      </c>
      <c r="C2148" s="6" t="str">
        <f>IFERROR(__xludf.DUMMYFUNCTION("SPLIT('2. c'!B2148, "" "", True, True)"),"Escherichia")</f>
        <v>Escherichia</v>
      </c>
      <c r="D2148" t="str">
        <f>IFERROR(__xludf.DUMMYFUNCTION("""COMPUTED_VALUE"""),"coli")</f>
        <v>coli</v>
      </c>
      <c r="E2148" t="str">
        <f>IFERROR(__xludf.DUMMYFUNCTION("""COMPUTED_VALUE"""),"ECONIH1")</f>
        <v>ECONIH1</v>
      </c>
    </row>
    <row r="2149" ht="15.75" customHeight="1">
      <c r="A2149" t="str">
        <f t="shared" si="1"/>
        <v>E.coli</v>
      </c>
      <c r="B2149" s="5" t="s">
        <v>7396</v>
      </c>
      <c r="C2149" s="6" t="str">
        <f>IFERROR(__xludf.DUMMYFUNCTION("SPLIT('2. c'!B2149, "" "", True, True)"),"Escherichia")</f>
        <v>Escherichia</v>
      </c>
      <c r="D2149" t="str">
        <f>IFERROR(__xludf.DUMMYFUNCTION("""COMPUTED_VALUE"""),"coli")</f>
        <v>coli</v>
      </c>
      <c r="E2149" t="str">
        <f>IFERROR(__xludf.DUMMYFUNCTION("""COMPUTED_VALUE"""),"ED1a")</f>
        <v>ED1a</v>
      </c>
    </row>
    <row r="2150" ht="15.75" customHeight="1">
      <c r="A2150" t="str">
        <f t="shared" si="1"/>
        <v>E.coli</v>
      </c>
      <c r="B2150" s="5" t="s">
        <v>7404</v>
      </c>
      <c r="C2150" s="6" t="str">
        <f>IFERROR(__xludf.DUMMYFUNCTION("SPLIT('2. c'!B2150, "" "", True, True)"),"Escherichia")</f>
        <v>Escherichia</v>
      </c>
      <c r="D2150" t="str">
        <f>IFERROR(__xludf.DUMMYFUNCTION("""COMPUTED_VALUE"""),"coli")</f>
        <v>coli</v>
      </c>
      <c r="E2150" t="str">
        <f>IFERROR(__xludf.DUMMYFUNCTION("""COMPUTED_VALUE"""),"ER2796")</f>
        <v>ER2796</v>
      </c>
    </row>
    <row r="2151" ht="15.75" customHeight="1">
      <c r="A2151" t="str">
        <f t="shared" si="1"/>
        <v>E.coli</v>
      </c>
      <c r="B2151" s="5" t="s">
        <v>7413</v>
      </c>
      <c r="C2151" s="6" t="str">
        <f>IFERROR(__xludf.DUMMYFUNCTION("SPLIT('2. c'!B2151, "" "", True, True)"),"Escherichia")</f>
        <v>Escherichia</v>
      </c>
      <c r="D2151" t="str">
        <f>IFERROR(__xludf.DUMMYFUNCTION("""COMPUTED_VALUE"""),"coli")</f>
        <v>coli</v>
      </c>
      <c r="E2151" t="str">
        <f>IFERROR(__xludf.DUMMYFUNCTION("""COMPUTED_VALUE"""),"ETEC")</f>
        <v>ETEC</v>
      </c>
      <c r="F2151" t="str">
        <f>IFERROR(__xludf.DUMMYFUNCTION("""COMPUTED_VALUE"""),"H10407")</f>
        <v>H10407</v>
      </c>
    </row>
    <row r="2152" ht="15.75" customHeight="1">
      <c r="A2152" t="str">
        <f t="shared" si="1"/>
        <v>E.coli</v>
      </c>
      <c r="B2152" s="5" t="s">
        <v>7423</v>
      </c>
      <c r="C2152" s="6" t="str">
        <f>IFERROR(__xludf.DUMMYFUNCTION("SPLIT('2. c'!B2152, "" "", True, True)"),"Escherichia")</f>
        <v>Escherichia</v>
      </c>
      <c r="D2152" t="str">
        <f>IFERROR(__xludf.DUMMYFUNCTION("""COMPUTED_VALUE"""),"coli")</f>
        <v>coli</v>
      </c>
      <c r="E2152" t="str">
        <f>IFERROR(__xludf.DUMMYFUNCTION("""COMPUTED_VALUE"""),"FAP1")</f>
        <v>FAP1</v>
      </c>
    </row>
    <row r="2153" ht="15.75" customHeight="1">
      <c r="A2153" t="str">
        <f t="shared" si="1"/>
        <v>E.coli</v>
      </c>
      <c r="B2153" s="5" t="s">
        <v>7431</v>
      </c>
      <c r="C2153" s="6" t="str">
        <f>IFERROR(__xludf.DUMMYFUNCTION("SPLIT('2. c'!B2153, "" "", True, True)"),"Escherichia")</f>
        <v>Escherichia</v>
      </c>
      <c r="D2153" t="str">
        <f>IFERROR(__xludf.DUMMYFUNCTION("""COMPUTED_VALUE"""),"coli")</f>
        <v>coli</v>
      </c>
      <c r="E2153" t="str">
        <f>IFERROR(__xludf.DUMMYFUNCTION("""COMPUTED_VALUE"""),"HS")</f>
        <v>HS</v>
      </c>
    </row>
    <row r="2154" ht="15.75" customHeight="1">
      <c r="A2154" t="str">
        <f t="shared" si="1"/>
        <v>E.coli</v>
      </c>
      <c r="B2154" s="5" t="s">
        <v>7438</v>
      </c>
      <c r="C2154" s="6" t="str">
        <f>IFERROR(__xludf.DUMMYFUNCTION("SPLIT('2. c'!B2154, "" "", True, True)"),"Escherichia")</f>
        <v>Escherichia</v>
      </c>
      <c r="D2154" t="str">
        <f>IFERROR(__xludf.DUMMYFUNCTION("""COMPUTED_VALUE"""),"coli")</f>
        <v>coli</v>
      </c>
      <c r="E2154" t="str">
        <f>IFERROR(__xludf.DUMMYFUNCTION("""COMPUTED_VALUE"""),"IAI1")</f>
        <v>IAI1</v>
      </c>
    </row>
    <row r="2155" ht="15.75" customHeight="1">
      <c r="A2155" t="str">
        <f t="shared" si="1"/>
        <v>E.coli</v>
      </c>
      <c r="B2155" s="5" t="s">
        <v>7443</v>
      </c>
      <c r="C2155" s="6" t="str">
        <f>IFERROR(__xludf.DUMMYFUNCTION("SPLIT('2. c'!B2155, "" "", True, True)"),"Escherichia")</f>
        <v>Escherichia</v>
      </c>
      <c r="D2155" t="str">
        <f>IFERROR(__xludf.DUMMYFUNCTION("""COMPUTED_VALUE"""),"coli")</f>
        <v>coli</v>
      </c>
      <c r="E2155" t="str">
        <f>IFERROR(__xludf.DUMMYFUNCTION("""COMPUTED_VALUE"""),"IAI39")</f>
        <v>IAI39</v>
      </c>
    </row>
    <row r="2156" ht="15.75" customHeight="1">
      <c r="A2156" t="str">
        <f t="shared" si="1"/>
        <v>E.coli</v>
      </c>
      <c r="B2156" s="5" t="s">
        <v>7448</v>
      </c>
      <c r="C2156" s="6" t="str">
        <f>IFERROR(__xludf.DUMMYFUNCTION("SPLIT('2. c'!B2156, "" "", True, True)"),"Escherichia")</f>
        <v>Escherichia</v>
      </c>
      <c r="D2156" t="str">
        <f>IFERROR(__xludf.DUMMYFUNCTION("""COMPUTED_VALUE"""),"coli")</f>
        <v>coli</v>
      </c>
      <c r="E2156" t="str">
        <f>IFERROR(__xludf.DUMMYFUNCTION("""COMPUTED_VALUE"""),"IHE3034")</f>
        <v>IHE3034</v>
      </c>
    </row>
    <row r="2157" ht="15.75" customHeight="1">
      <c r="A2157" t="str">
        <f t="shared" si="1"/>
        <v>E.coli</v>
      </c>
      <c r="B2157" s="5" t="s">
        <v>7457</v>
      </c>
      <c r="C2157" s="6" t="str">
        <f>IFERROR(__xludf.DUMMYFUNCTION("SPLIT('2. c'!B2157, "" "", True, True)"),"Escherichia")</f>
        <v>Escherichia</v>
      </c>
      <c r="D2157" t="str">
        <f>IFERROR(__xludf.DUMMYFUNCTION("""COMPUTED_VALUE"""),"coli")</f>
        <v>coli</v>
      </c>
      <c r="E2157" t="str">
        <f>IFERROR(__xludf.DUMMYFUNCTION("""COMPUTED_VALUE"""),"JJ1886")</f>
        <v>JJ1886</v>
      </c>
    </row>
    <row r="2158" ht="15.75" customHeight="1">
      <c r="A2158" t="str">
        <f t="shared" si="1"/>
        <v>E.coli</v>
      </c>
      <c r="B2158" s="5" t="s">
        <v>7465</v>
      </c>
      <c r="C2158" s="6" t="str">
        <f>IFERROR(__xludf.DUMMYFUNCTION("SPLIT('2. c'!B2158, "" "", True, True)"),"Escherichia")</f>
        <v>Escherichia</v>
      </c>
      <c r="D2158" t="str">
        <f>IFERROR(__xludf.DUMMYFUNCTION("""COMPUTED_VALUE"""),"coli")</f>
        <v>coli</v>
      </c>
      <c r="E2158" t="str">
        <f>IFERROR(__xludf.DUMMYFUNCTION("""COMPUTED_VALUE"""),"JJ1887")</f>
        <v>JJ1887</v>
      </c>
    </row>
    <row r="2159" ht="15.75" customHeight="1">
      <c r="A2159" t="str">
        <f t="shared" si="1"/>
        <v>E.coli</v>
      </c>
      <c r="B2159" s="5" t="s">
        <v>7472</v>
      </c>
      <c r="C2159" s="6" t="str">
        <f>IFERROR(__xludf.DUMMYFUNCTION("SPLIT('2. c'!B2159, "" "", True, True)"),"Escherichia")</f>
        <v>Escherichia</v>
      </c>
      <c r="D2159" t="str">
        <f>IFERROR(__xludf.DUMMYFUNCTION("""COMPUTED_VALUE"""),"coli")</f>
        <v>coli</v>
      </c>
      <c r="E2159" t="str">
        <f>IFERROR(__xludf.DUMMYFUNCTION("""COMPUTED_VALUE"""),"K-12")</f>
        <v>K-12</v>
      </c>
    </row>
    <row r="2160" ht="15.75" customHeight="1">
      <c r="A2160" t="str">
        <f t="shared" si="1"/>
        <v>E.coli</v>
      </c>
      <c r="B2160" s="5" t="s">
        <v>7472</v>
      </c>
      <c r="C2160" s="6" t="str">
        <f>IFERROR(__xludf.DUMMYFUNCTION("SPLIT('2. c'!B2160, "" "", True, True)"),"Escherichia")</f>
        <v>Escherichia</v>
      </c>
      <c r="D2160" t="str">
        <f>IFERROR(__xludf.DUMMYFUNCTION("""COMPUTED_VALUE"""),"coli")</f>
        <v>coli</v>
      </c>
      <c r="E2160" t="str">
        <f>IFERROR(__xludf.DUMMYFUNCTION("""COMPUTED_VALUE"""),"K-12")</f>
        <v>K-12</v>
      </c>
    </row>
    <row r="2161" ht="15.75" customHeight="1">
      <c r="A2161" t="str">
        <f t="shared" si="1"/>
        <v>E.coli</v>
      </c>
      <c r="B2161" s="5" t="s">
        <v>7472</v>
      </c>
      <c r="C2161" s="6" t="str">
        <f>IFERROR(__xludf.DUMMYFUNCTION("SPLIT('2. c'!B2161, "" "", True, True)"),"Escherichia")</f>
        <v>Escherichia</v>
      </c>
      <c r="D2161" t="str">
        <f>IFERROR(__xludf.DUMMYFUNCTION("""COMPUTED_VALUE"""),"coli")</f>
        <v>coli</v>
      </c>
      <c r="E2161" t="str">
        <f>IFERROR(__xludf.DUMMYFUNCTION("""COMPUTED_VALUE"""),"K-12")</f>
        <v>K-12</v>
      </c>
    </row>
    <row r="2162" ht="15.75" customHeight="1">
      <c r="A2162" t="str">
        <f t="shared" si="1"/>
        <v>E.coli</v>
      </c>
      <c r="B2162" s="5" t="s">
        <v>7472</v>
      </c>
      <c r="C2162" s="6" t="str">
        <f>IFERROR(__xludf.DUMMYFUNCTION("SPLIT('2. c'!B2162, "" "", True, True)"),"Escherichia")</f>
        <v>Escherichia</v>
      </c>
      <c r="D2162" t="str">
        <f>IFERROR(__xludf.DUMMYFUNCTION("""COMPUTED_VALUE"""),"coli")</f>
        <v>coli</v>
      </c>
      <c r="E2162" t="str">
        <f>IFERROR(__xludf.DUMMYFUNCTION("""COMPUTED_VALUE"""),"K-12")</f>
        <v>K-12</v>
      </c>
    </row>
    <row r="2163" ht="15.75" customHeight="1">
      <c r="A2163" t="str">
        <f t="shared" si="1"/>
        <v>E.coli</v>
      </c>
      <c r="B2163" s="5" t="s">
        <v>7504</v>
      </c>
      <c r="C2163" s="6" t="str">
        <f>IFERROR(__xludf.DUMMYFUNCTION("SPLIT('2. c'!B2163, "" "", True, True)"),"Escherichia")</f>
        <v>Escherichia</v>
      </c>
      <c r="D2163" t="str">
        <f>IFERROR(__xludf.DUMMYFUNCTION("""COMPUTED_VALUE"""),"coli")</f>
        <v>coli</v>
      </c>
      <c r="E2163" t="str">
        <f>IFERROR(__xludf.DUMMYFUNCTION("""COMPUTED_VALUE"""),"K-12")</f>
        <v>K-12</v>
      </c>
      <c r="F2163" t="str">
        <f>IFERROR(__xludf.DUMMYFUNCTION("""COMPUTED_VALUE"""),"ER3413")</f>
        <v>ER3413</v>
      </c>
    </row>
    <row r="2164" ht="15.75" customHeight="1">
      <c r="A2164" t="str">
        <f t="shared" si="1"/>
        <v>E.coli</v>
      </c>
      <c r="B2164" s="5" t="s">
        <v>7511</v>
      </c>
      <c r="C2164" s="6" t="str">
        <f>IFERROR(__xludf.DUMMYFUNCTION("SPLIT('2. c'!B2164, "" "", True, True)"),"Escherichia")</f>
        <v>Escherichia</v>
      </c>
      <c r="D2164" t="str">
        <f>IFERROR(__xludf.DUMMYFUNCTION("""COMPUTED_VALUE"""),"coli")</f>
        <v>coli</v>
      </c>
      <c r="E2164" t="str">
        <f>IFERROR(__xludf.DUMMYFUNCTION("""COMPUTED_VALUE"""),"K-12")</f>
        <v>K-12</v>
      </c>
      <c r="F2164" t="str">
        <f>IFERROR(__xludf.DUMMYFUNCTION("""COMPUTED_VALUE"""),"GM4792")</f>
        <v>GM4792</v>
      </c>
    </row>
    <row r="2165" ht="15.75" customHeight="1">
      <c r="A2165" t="str">
        <f t="shared" si="1"/>
        <v>E.coli</v>
      </c>
      <c r="B2165" s="5" t="s">
        <v>7520</v>
      </c>
      <c r="C2165" s="6" t="str">
        <f>IFERROR(__xludf.DUMMYFUNCTION("SPLIT('2. c'!B2165, "" "", True, True)"),"Escherichia")</f>
        <v>Escherichia</v>
      </c>
      <c r="D2165" t="str">
        <f>IFERROR(__xludf.DUMMYFUNCTION("""COMPUTED_VALUE"""),"coli")</f>
        <v>coli</v>
      </c>
      <c r="E2165" t="str">
        <f>IFERROR(__xludf.DUMMYFUNCTION("""COMPUTED_VALUE"""),"K-12")</f>
        <v>K-12</v>
      </c>
      <c r="F2165" t="str">
        <f>IFERROR(__xludf.DUMMYFUNCTION("""COMPUTED_VALUE"""),"strain")</f>
        <v>strain</v>
      </c>
      <c r="G2165" t="str">
        <f>IFERROR(__xludf.DUMMYFUNCTION("""COMPUTED_VALUE"""),"ER3435")</f>
        <v>ER3435</v>
      </c>
    </row>
    <row r="2166" ht="15.75" customHeight="1">
      <c r="A2166" t="str">
        <f t="shared" si="1"/>
        <v>E.coli</v>
      </c>
      <c r="B2166" s="5" t="s">
        <v>7531</v>
      </c>
      <c r="C2166" s="6" t="str">
        <f>IFERROR(__xludf.DUMMYFUNCTION("SPLIT('2. c'!B2166, "" "", True, True)"),"Escherichia")</f>
        <v>Escherichia</v>
      </c>
      <c r="D2166" t="str">
        <f>IFERROR(__xludf.DUMMYFUNCTION("""COMPUTED_VALUE"""),"coli")</f>
        <v>coli</v>
      </c>
      <c r="E2166" t="str">
        <f>IFERROR(__xludf.DUMMYFUNCTION("""COMPUTED_VALUE"""),"K-12")</f>
        <v>K-12</v>
      </c>
      <c r="F2166" t="str">
        <f>IFERROR(__xludf.DUMMYFUNCTION("""COMPUTED_VALUE"""),"strain")</f>
        <v>strain</v>
      </c>
      <c r="G2166" t="str">
        <f>IFERROR(__xludf.DUMMYFUNCTION("""COMPUTED_VALUE"""),"ER3440")</f>
        <v>ER3440</v>
      </c>
    </row>
    <row r="2167" ht="15.75" customHeight="1">
      <c r="A2167" t="str">
        <f t="shared" si="1"/>
        <v>E.coli</v>
      </c>
      <c r="B2167" s="5" t="s">
        <v>7540</v>
      </c>
      <c r="C2167" s="6" t="str">
        <f>IFERROR(__xludf.DUMMYFUNCTION("SPLIT('2. c'!B2167, "" "", True, True)"),"Escherichia")</f>
        <v>Escherichia</v>
      </c>
      <c r="D2167" t="str">
        <f>IFERROR(__xludf.DUMMYFUNCTION("""COMPUTED_VALUE"""),"coli")</f>
        <v>coli</v>
      </c>
      <c r="E2167" t="str">
        <f>IFERROR(__xludf.DUMMYFUNCTION("""COMPUTED_VALUE"""),"K-12")</f>
        <v>K-12</v>
      </c>
      <c r="F2167" t="str">
        <f>IFERROR(__xludf.DUMMYFUNCTION("""COMPUTED_VALUE"""),"strain")</f>
        <v>strain</v>
      </c>
      <c r="G2167" t="str">
        <f>IFERROR(__xludf.DUMMYFUNCTION("""COMPUTED_VALUE"""),"ER3445")</f>
        <v>ER3445</v>
      </c>
    </row>
    <row r="2168" ht="15.75" customHeight="1">
      <c r="A2168" t="str">
        <f t="shared" si="1"/>
        <v>E.coli</v>
      </c>
      <c r="B2168" s="5" t="s">
        <v>7544</v>
      </c>
      <c r="C2168" s="6" t="str">
        <f>IFERROR(__xludf.DUMMYFUNCTION("SPLIT('2. c'!B2168, "" "", True, True)"),"Escherichia")</f>
        <v>Escherichia</v>
      </c>
      <c r="D2168" t="str">
        <f>IFERROR(__xludf.DUMMYFUNCTION("""COMPUTED_VALUE"""),"coli")</f>
        <v>coli</v>
      </c>
      <c r="E2168" t="str">
        <f>IFERROR(__xludf.DUMMYFUNCTION("""COMPUTED_VALUE"""),"K-12")</f>
        <v>K-12</v>
      </c>
      <c r="F2168" t="str">
        <f>IFERROR(__xludf.DUMMYFUNCTION("""COMPUTED_VALUE"""),"strain")</f>
        <v>strain</v>
      </c>
      <c r="G2168" t="str">
        <f>IFERROR(__xludf.DUMMYFUNCTION("""COMPUTED_VALUE"""),"ER3446")</f>
        <v>ER3446</v>
      </c>
    </row>
    <row r="2169" ht="15.75" customHeight="1">
      <c r="A2169" t="str">
        <f t="shared" si="1"/>
        <v>E.coli</v>
      </c>
      <c r="B2169" s="5" t="s">
        <v>7553</v>
      </c>
      <c r="C2169" s="6" t="str">
        <f>IFERROR(__xludf.DUMMYFUNCTION("SPLIT('2. c'!B2169, "" "", True, True)"),"Escherichia")</f>
        <v>Escherichia</v>
      </c>
      <c r="D2169" t="str">
        <f>IFERROR(__xludf.DUMMYFUNCTION("""COMPUTED_VALUE"""),"coli")</f>
        <v>coli</v>
      </c>
      <c r="E2169" t="str">
        <f>IFERROR(__xludf.DUMMYFUNCTION("""COMPUTED_VALUE"""),"K-12")</f>
        <v>K-12</v>
      </c>
      <c r="F2169" t="str">
        <f>IFERROR(__xludf.DUMMYFUNCTION("""COMPUTED_VALUE"""),"strain")</f>
        <v>strain</v>
      </c>
      <c r="G2169" t="str">
        <f>IFERROR(__xludf.DUMMYFUNCTION("""COMPUTED_VALUE"""),"ER3454")</f>
        <v>ER3454</v>
      </c>
    </row>
    <row r="2170" ht="15.75" customHeight="1">
      <c r="A2170" t="str">
        <f t="shared" si="1"/>
        <v>E.coli</v>
      </c>
      <c r="B2170" s="5" t="s">
        <v>7563</v>
      </c>
      <c r="C2170" s="6" t="str">
        <f>IFERROR(__xludf.DUMMYFUNCTION("SPLIT('2. c'!B2170, "" "", True, True)"),"Escherichia")</f>
        <v>Escherichia</v>
      </c>
      <c r="D2170" t="str">
        <f>IFERROR(__xludf.DUMMYFUNCTION("""COMPUTED_VALUE"""),"coli")</f>
        <v>coli</v>
      </c>
      <c r="E2170" t="str">
        <f>IFERROR(__xludf.DUMMYFUNCTION("""COMPUTED_VALUE"""),"K-12")</f>
        <v>K-12</v>
      </c>
      <c r="F2170" t="str">
        <f>IFERROR(__xludf.DUMMYFUNCTION("""COMPUTED_VALUE"""),"strain")</f>
        <v>strain</v>
      </c>
      <c r="G2170" t="str">
        <f>IFERROR(__xludf.DUMMYFUNCTION("""COMPUTED_VALUE"""),"ER3466")</f>
        <v>ER3466</v>
      </c>
    </row>
    <row r="2171" ht="15.75" customHeight="1">
      <c r="A2171" t="str">
        <f t="shared" si="1"/>
        <v>E.coli</v>
      </c>
      <c r="B2171" s="5" t="s">
        <v>7574</v>
      </c>
      <c r="C2171" s="6" t="str">
        <f>IFERROR(__xludf.DUMMYFUNCTION("SPLIT('2. c'!B2171, "" "", True, True)"),"Escherichia")</f>
        <v>Escherichia</v>
      </c>
      <c r="D2171" t="str">
        <f>IFERROR(__xludf.DUMMYFUNCTION("""COMPUTED_VALUE"""),"coli")</f>
        <v>coli</v>
      </c>
      <c r="E2171" t="str">
        <f>IFERROR(__xludf.DUMMYFUNCTION("""COMPUTED_VALUE"""),"K-12")</f>
        <v>K-12</v>
      </c>
      <c r="F2171" t="str">
        <f>IFERROR(__xludf.DUMMYFUNCTION("""COMPUTED_VALUE"""),"strain")</f>
        <v>strain</v>
      </c>
      <c r="G2171" t="str">
        <f>IFERROR(__xludf.DUMMYFUNCTION("""COMPUTED_VALUE"""),"ER3475")</f>
        <v>ER3475</v>
      </c>
    </row>
    <row r="2172" ht="15.75" customHeight="1">
      <c r="A2172" t="str">
        <f t="shared" si="1"/>
        <v>E.coli</v>
      </c>
      <c r="B2172" s="5" t="s">
        <v>7584</v>
      </c>
      <c r="C2172" s="6" t="str">
        <f>IFERROR(__xludf.DUMMYFUNCTION("SPLIT('2. c'!B2172, "" "", True, True)"),"Escherichia")</f>
        <v>Escherichia</v>
      </c>
      <c r="D2172" t="str">
        <f>IFERROR(__xludf.DUMMYFUNCTION("""COMPUTED_VALUE"""),"coli")</f>
        <v>coli</v>
      </c>
      <c r="E2172" t="str">
        <f>IFERROR(__xludf.DUMMYFUNCTION("""COMPUTED_VALUE"""),"K-12")</f>
        <v>K-12</v>
      </c>
      <c r="F2172" t="str">
        <f>IFERROR(__xludf.DUMMYFUNCTION("""COMPUTED_VALUE"""),"strain")</f>
        <v>strain</v>
      </c>
      <c r="G2172" t="str">
        <f>IFERROR(__xludf.DUMMYFUNCTION("""COMPUTED_VALUE"""),"ER3476")</f>
        <v>ER3476</v>
      </c>
    </row>
    <row r="2173" ht="15.75" customHeight="1">
      <c r="A2173" t="str">
        <f t="shared" si="1"/>
        <v>E.coli</v>
      </c>
      <c r="B2173" s="5" t="s">
        <v>7594</v>
      </c>
      <c r="C2173" s="6" t="str">
        <f>IFERROR(__xludf.DUMMYFUNCTION("SPLIT('2. c'!B2173, "" "", True, True)"),"Escherichia")</f>
        <v>Escherichia</v>
      </c>
      <c r="D2173" t="str">
        <f>IFERROR(__xludf.DUMMYFUNCTION("""COMPUTED_VALUE"""),"coli")</f>
        <v>coli</v>
      </c>
      <c r="E2173" t="str">
        <f>IFERROR(__xludf.DUMMYFUNCTION("""COMPUTED_VALUE"""),"KLY")</f>
        <v>KLY</v>
      </c>
    </row>
    <row r="2174" ht="15.75" customHeight="1">
      <c r="A2174" t="str">
        <f t="shared" si="1"/>
        <v>E.coli</v>
      </c>
      <c r="B2174" s="5" t="s">
        <v>7603</v>
      </c>
      <c r="C2174" s="6" t="str">
        <f>IFERROR(__xludf.DUMMYFUNCTION("SPLIT('2. c'!B2174, "" "", True, True)"),"Escherichia")</f>
        <v>Escherichia</v>
      </c>
      <c r="D2174" t="str">
        <f>IFERROR(__xludf.DUMMYFUNCTION("""COMPUTED_VALUE"""),"coli")</f>
        <v>coli</v>
      </c>
      <c r="E2174" t="str">
        <f>IFERROR(__xludf.DUMMYFUNCTION("""COMPUTED_VALUE"""),"KO11FL")</f>
        <v>KO11FL</v>
      </c>
    </row>
    <row r="2175" ht="15.75" customHeight="1">
      <c r="A2175" t="str">
        <f t="shared" si="1"/>
        <v>E.coli</v>
      </c>
      <c r="B2175" s="5" t="s">
        <v>7603</v>
      </c>
      <c r="C2175" s="6" t="str">
        <f>IFERROR(__xludf.DUMMYFUNCTION("SPLIT('2. c'!B2175, "" "", True, True)"),"Escherichia")</f>
        <v>Escherichia</v>
      </c>
      <c r="D2175" t="str">
        <f>IFERROR(__xludf.DUMMYFUNCTION("""COMPUTED_VALUE"""),"coli")</f>
        <v>coli</v>
      </c>
      <c r="E2175" t="str">
        <f>IFERROR(__xludf.DUMMYFUNCTION("""COMPUTED_VALUE"""),"KO11FL")</f>
        <v>KO11FL</v>
      </c>
    </row>
    <row r="2176" ht="15.75" customHeight="1">
      <c r="A2176" t="str">
        <f t="shared" si="1"/>
        <v>E.coli</v>
      </c>
      <c r="B2176" s="5" t="s">
        <v>7620</v>
      </c>
      <c r="C2176" s="6" t="str">
        <f>IFERROR(__xludf.DUMMYFUNCTION("SPLIT('2. c'!B2176, "" "", True, True)"),"Escherichia")</f>
        <v>Escherichia</v>
      </c>
      <c r="D2176" t="str">
        <f>IFERROR(__xludf.DUMMYFUNCTION("""COMPUTED_VALUE"""),"coli")</f>
        <v>coli</v>
      </c>
      <c r="E2176" t="str">
        <f>IFERROR(__xludf.DUMMYFUNCTION("""COMPUTED_VALUE"""),"LF82")</f>
        <v>LF82</v>
      </c>
    </row>
    <row r="2177" ht="15.75" customHeight="1">
      <c r="A2177" t="str">
        <f t="shared" si="1"/>
        <v>E.coli</v>
      </c>
      <c r="B2177" s="5" t="s">
        <v>7627</v>
      </c>
      <c r="C2177" s="6" t="str">
        <f>IFERROR(__xludf.DUMMYFUNCTION("SPLIT('2. c'!B2177, "" "", True, True)"),"Escherichia")</f>
        <v>Escherichia</v>
      </c>
      <c r="D2177" t="str">
        <f>IFERROR(__xludf.DUMMYFUNCTION("""COMPUTED_VALUE"""),"coli")</f>
        <v>coli</v>
      </c>
      <c r="E2177" t="str">
        <f>IFERROR(__xludf.DUMMYFUNCTION("""COMPUTED_VALUE"""),"LY180")</f>
        <v>LY180</v>
      </c>
    </row>
    <row r="2178" ht="15.75" customHeight="1">
      <c r="A2178" t="str">
        <f t="shared" si="1"/>
        <v>E.coli</v>
      </c>
      <c r="B2178" s="5" t="s">
        <v>7634</v>
      </c>
      <c r="C2178" s="6" t="str">
        <f>IFERROR(__xludf.DUMMYFUNCTION("SPLIT('2. c'!B2178, "" "", True, True)"),"Escherichia")</f>
        <v>Escherichia</v>
      </c>
      <c r="D2178" t="str">
        <f>IFERROR(__xludf.DUMMYFUNCTION("""COMPUTED_VALUE"""),"coli")</f>
        <v>coli</v>
      </c>
      <c r="E2178" t="str">
        <f>IFERROR(__xludf.DUMMYFUNCTION("""COMPUTED_VALUE"""),"NA114")</f>
        <v>NA114</v>
      </c>
    </row>
    <row r="2179" ht="15.75" customHeight="1">
      <c r="A2179" t="str">
        <f t="shared" si="1"/>
        <v>E.coli</v>
      </c>
      <c r="B2179" s="5" t="s">
        <v>7644</v>
      </c>
      <c r="C2179" s="6" t="str">
        <f>IFERROR(__xludf.DUMMYFUNCTION("SPLIT('2. c'!B2179, "" "", True, True)"),"Escherichia")</f>
        <v>Escherichia</v>
      </c>
      <c r="D2179" t="str">
        <f>IFERROR(__xludf.DUMMYFUNCTION("""COMPUTED_VALUE"""),"coli")</f>
        <v>coli</v>
      </c>
      <c r="E2179" t="str">
        <f>IFERROR(__xludf.DUMMYFUNCTION("""COMPUTED_VALUE"""),"Nissle")</f>
        <v>Nissle</v>
      </c>
      <c r="F2179">
        <f>IFERROR(__xludf.DUMMYFUNCTION("""COMPUTED_VALUE"""),1917.0)</f>
        <v>1917</v>
      </c>
    </row>
    <row r="2180" ht="15.75" customHeight="1">
      <c r="A2180" t="str">
        <f t="shared" si="1"/>
        <v>E.coli</v>
      </c>
      <c r="B2180" s="5" t="s">
        <v>7657</v>
      </c>
      <c r="C2180" s="6" t="str">
        <f>IFERROR(__xludf.DUMMYFUNCTION("SPLIT('2. c'!B2180, "" "", True, True)"),"Escherichia")</f>
        <v>Escherichia</v>
      </c>
      <c r="D2180" t="str">
        <f>IFERROR(__xludf.DUMMYFUNCTION("""COMPUTED_VALUE"""),"coli")</f>
        <v>coli</v>
      </c>
      <c r="E2180" t="str">
        <f>IFERROR(__xludf.DUMMYFUNCTION("""COMPUTED_VALUE"""),"O103:H2")</f>
        <v>O103:H2</v>
      </c>
      <c r="F2180" t="str">
        <f>IFERROR(__xludf.DUMMYFUNCTION("""COMPUTED_VALUE"""),"str.")</f>
        <v>str.</v>
      </c>
      <c r="G2180">
        <f>IFERROR(__xludf.DUMMYFUNCTION("""COMPUTED_VALUE"""),12009.0)</f>
        <v>12009</v>
      </c>
    </row>
    <row r="2181" ht="15.75" customHeight="1">
      <c r="A2181" t="str">
        <f t="shared" si="1"/>
        <v>E.coli</v>
      </c>
      <c r="B2181" s="5" t="s">
        <v>7667</v>
      </c>
      <c r="C2181" s="6" t="str">
        <f>IFERROR(__xludf.DUMMYFUNCTION("SPLIT('2. c'!B2181, "" "", True, True)"),"Escherichia")</f>
        <v>Escherichia</v>
      </c>
      <c r="D2181" t="str">
        <f>IFERROR(__xludf.DUMMYFUNCTION("""COMPUTED_VALUE"""),"coli")</f>
        <v>coli</v>
      </c>
      <c r="E2181" t="str">
        <f>IFERROR(__xludf.DUMMYFUNCTION("""COMPUTED_VALUE"""),"O104:H4")</f>
        <v>O104:H4</v>
      </c>
      <c r="F2181" t="str">
        <f>IFERROR(__xludf.DUMMYFUNCTION("""COMPUTED_VALUE"""),"str.")</f>
        <v>str.</v>
      </c>
      <c r="G2181" t="str">
        <f>IFERROR(__xludf.DUMMYFUNCTION("""COMPUTED_VALUE"""),"2009EL-2050")</f>
        <v>2009EL-2050</v>
      </c>
    </row>
    <row r="2182" ht="15.75" customHeight="1">
      <c r="A2182" t="str">
        <f t="shared" si="1"/>
        <v>E.coli</v>
      </c>
      <c r="B2182" s="5" t="s">
        <v>7677</v>
      </c>
      <c r="C2182" s="6" t="str">
        <f>IFERROR(__xludf.DUMMYFUNCTION("SPLIT('2. c'!B2182, "" "", True, True)"),"Escherichia")</f>
        <v>Escherichia</v>
      </c>
      <c r="D2182" t="str">
        <f>IFERROR(__xludf.DUMMYFUNCTION("""COMPUTED_VALUE"""),"coli")</f>
        <v>coli</v>
      </c>
      <c r="E2182" t="str">
        <f>IFERROR(__xludf.DUMMYFUNCTION("""COMPUTED_VALUE"""),"O104:H4")</f>
        <v>O104:H4</v>
      </c>
      <c r="F2182" t="str">
        <f>IFERROR(__xludf.DUMMYFUNCTION("""COMPUTED_VALUE"""),"str.")</f>
        <v>str.</v>
      </c>
      <c r="G2182" t="str">
        <f>IFERROR(__xludf.DUMMYFUNCTION("""COMPUTED_VALUE"""),"2009EL-2071")</f>
        <v>2009EL-2071</v>
      </c>
    </row>
    <row r="2183" ht="15.75" customHeight="1">
      <c r="A2183" t="str">
        <f t="shared" si="1"/>
        <v>E.coli</v>
      </c>
      <c r="B2183" s="5" t="s">
        <v>7686</v>
      </c>
      <c r="C2183" s="6" t="str">
        <f>IFERROR(__xludf.DUMMYFUNCTION("SPLIT('2. c'!B2183, "" "", True, True)"),"Escherichia")</f>
        <v>Escherichia</v>
      </c>
      <c r="D2183" t="str">
        <f>IFERROR(__xludf.DUMMYFUNCTION("""COMPUTED_VALUE"""),"coli")</f>
        <v>coli</v>
      </c>
      <c r="E2183" t="str">
        <f>IFERROR(__xludf.DUMMYFUNCTION("""COMPUTED_VALUE"""),"O104:H4")</f>
        <v>O104:H4</v>
      </c>
      <c r="F2183" t="str">
        <f>IFERROR(__xludf.DUMMYFUNCTION("""COMPUTED_VALUE"""),"str.")</f>
        <v>str.</v>
      </c>
      <c r="G2183" t="str">
        <f>IFERROR(__xludf.DUMMYFUNCTION("""COMPUTED_VALUE"""),"2011C-3493")</f>
        <v>2011C-3493</v>
      </c>
    </row>
    <row r="2184" ht="15.75" customHeight="1">
      <c r="A2184" t="str">
        <f t="shared" si="1"/>
        <v>E.coli</v>
      </c>
      <c r="B2184" s="5" t="s">
        <v>7697</v>
      </c>
      <c r="C2184" s="6" t="str">
        <f>IFERROR(__xludf.DUMMYFUNCTION("SPLIT('2. c'!B2184, "" "", True, True)"),"Escherichia")</f>
        <v>Escherichia</v>
      </c>
      <c r="D2184" t="str">
        <f>IFERROR(__xludf.DUMMYFUNCTION("""COMPUTED_VALUE"""),"coli")</f>
        <v>coli</v>
      </c>
      <c r="E2184" t="str">
        <f>IFERROR(__xludf.DUMMYFUNCTION("""COMPUTED_VALUE"""),"O104:H4")</f>
        <v>O104:H4</v>
      </c>
      <c r="F2184" t="str">
        <f>IFERROR(__xludf.DUMMYFUNCTION("""COMPUTED_VALUE"""),"str.")</f>
        <v>str.</v>
      </c>
      <c r="G2184" t="str">
        <f>IFERROR(__xludf.DUMMYFUNCTION("""COMPUTED_VALUE"""),"C227-11")</f>
        <v>C227-11</v>
      </c>
    </row>
    <row r="2185" ht="15.75" customHeight="1">
      <c r="A2185" t="str">
        <f t="shared" si="1"/>
        <v>E.coli</v>
      </c>
      <c r="B2185" s="5" t="s">
        <v>7707</v>
      </c>
      <c r="C2185" s="6" t="str">
        <f>IFERROR(__xludf.DUMMYFUNCTION("SPLIT('2. c'!B2185, "" "", True, True)"),"Escherichia")</f>
        <v>Escherichia</v>
      </c>
      <c r="D2185" t="str">
        <f>IFERROR(__xludf.DUMMYFUNCTION("""COMPUTED_VALUE"""),"coli")</f>
        <v>coli</v>
      </c>
      <c r="E2185" t="str">
        <f>IFERROR(__xludf.DUMMYFUNCTION("""COMPUTED_VALUE"""),"O111:H-")</f>
        <v>O111:H-</v>
      </c>
      <c r="F2185" t="str">
        <f>IFERROR(__xludf.DUMMYFUNCTION("""COMPUTED_VALUE"""),"str.")</f>
        <v>str.</v>
      </c>
      <c r="G2185">
        <f>IFERROR(__xludf.DUMMYFUNCTION("""COMPUTED_VALUE"""),11128.0)</f>
        <v>11128</v>
      </c>
    </row>
    <row r="2186" ht="15.75" customHeight="1">
      <c r="A2186" t="str">
        <f t="shared" si="1"/>
        <v>E.coli</v>
      </c>
      <c r="B2186" s="5" t="s">
        <v>7719</v>
      </c>
      <c r="C2186" s="6" t="str">
        <f>IFERROR(__xludf.DUMMYFUNCTION("SPLIT('2. c'!B2186, "" "", True, True)"),"Escherichia")</f>
        <v>Escherichia</v>
      </c>
      <c r="D2186" t="str">
        <f>IFERROR(__xludf.DUMMYFUNCTION("""COMPUTED_VALUE"""),"coli")</f>
        <v>coli</v>
      </c>
      <c r="E2186" t="str">
        <f>IFERROR(__xludf.DUMMYFUNCTION("""COMPUTED_VALUE"""),"O127:H6")</f>
        <v>O127:H6</v>
      </c>
      <c r="F2186" t="str">
        <f>IFERROR(__xludf.DUMMYFUNCTION("""COMPUTED_VALUE"""),"str.")</f>
        <v>str.</v>
      </c>
      <c r="G2186" t="str">
        <f>IFERROR(__xludf.DUMMYFUNCTION("""COMPUTED_VALUE"""),"E2348/69")</f>
        <v>E2348/69</v>
      </c>
    </row>
    <row r="2187" ht="15.75" customHeight="1">
      <c r="A2187" t="str">
        <f t="shared" si="1"/>
        <v>E.coli</v>
      </c>
      <c r="B2187" s="5" t="s">
        <v>7728</v>
      </c>
      <c r="C2187" s="6" t="str">
        <f>IFERROR(__xludf.DUMMYFUNCTION("SPLIT('2. c'!B2187, "" "", True, True)"),"Escherichia")</f>
        <v>Escherichia</v>
      </c>
      <c r="D2187" t="str">
        <f>IFERROR(__xludf.DUMMYFUNCTION("""COMPUTED_VALUE"""),"coli")</f>
        <v>coli</v>
      </c>
      <c r="E2187" t="str">
        <f>IFERROR(__xludf.DUMMYFUNCTION("""COMPUTED_VALUE"""),"O145:H28")</f>
        <v>O145:H28</v>
      </c>
      <c r="F2187" t="str">
        <f>IFERROR(__xludf.DUMMYFUNCTION("""COMPUTED_VALUE"""),"str.")</f>
        <v>str.</v>
      </c>
      <c r="G2187" t="str">
        <f>IFERROR(__xludf.DUMMYFUNCTION("""COMPUTED_VALUE"""),"RM12581")</f>
        <v>RM12581</v>
      </c>
    </row>
    <row r="2188" ht="15.75" customHeight="1">
      <c r="A2188" t="str">
        <f t="shared" si="1"/>
        <v>E.coli</v>
      </c>
      <c r="B2188" s="5" t="s">
        <v>7734</v>
      </c>
      <c r="C2188" s="6" t="str">
        <f>IFERROR(__xludf.DUMMYFUNCTION("SPLIT('2. c'!B2188, "" "", True, True)"),"Escherichia")</f>
        <v>Escherichia</v>
      </c>
      <c r="D2188" t="str">
        <f>IFERROR(__xludf.DUMMYFUNCTION("""COMPUTED_VALUE"""),"coli")</f>
        <v>coli</v>
      </c>
      <c r="E2188" t="str">
        <f>IFERROR(__xludf.DUMMYFUNCTION("""COMPUTED_VALUE"""),"O145:H28")</f>
        <v>O145:H28</v>
      </c>
      <c r="F2188" t="str">
        <f>IFERROR(__xludf.DUMMYFUNCTION("""COMPUTED_VALUE"""),"str.")</f>
        <v>str.</v>
      </c>
      <c r="G2188" t="str">
        <f>IFERROR(__xludf.DUMMYFUNCTION("""COMPUTED_VALUE"""),"RM12761")</f>
        <v>RM12761</v>
      </c>
    </row>
    <row r="2189" ht="15.75" customHeight="1">
      <c r="A2189" t="str">
        <f t="shared" si="1"/>
        <v>E.coli</v>
      </c>
      <c r="B2189" s="5" t="s">
        <v>7742</v>
      </c>
      <c r="C2189" s="6" t="str">
        <f>IFERROR(__xludf.DUMMYFUNCTION("SPLIT('2. c'!B2189, "" "", True, True)"),"Escherichia")</f>
        <v>Escherichia</v>
      </c>
      <c r="D2189" t="str">
        <f>IFERROR(__xludf.DUMMYFUNCTION("""COMPUTED_VALUE"""),"coli")</f>
        <v>coli</v>
      </c>
      <c r="E2189" t="str">
        <f>IFERROR(__xludf.DUMMYFUNCTION("""COMPUTED_VALUE"""),"O145:H28")</f>
        <v>O145:H28</v>
      </c>
      <c r="F2189" t="str">
        <f>IFERROR(__xludf.DUMMYFUNCTION("""COMPUTED_VALUE"""),"str.")</f>
        <v>str.</v>
      </c>
      <c r="G2189" t="str">
        <f>IFERROR(__xludf.DUMMYFUNCTION("""COMPUTED_VALUE"""),"RM13514")</f>
        <v>RM13514</v>
      </c>
    </row>
    <row r="2190" ht="15.75" customHeight="1">
      <c r="A2190" t="str">
        <f t="shared" si="1"/>
        <v>E.coli</v>
      </c>
      <c r="B2190" s="5" t="s">
        <v>7747</v>
      </c>
      <c r="C2190" s="6" t="str">
        <f>IFERROR(__xludf.DUMMYFUNCTION("SPLIT('2. c'!B2190, "" "", True, True)"),"Escherichia")</f>
        <v>Escherichia</v>
      </c>
      <c r="D2190" t="str">
        <f>IFERROR(__xludf.DUMMYFUNCTION("""COMPUTED_VALUE"""),"coli")</f>
        <v>coli</v>
      </c>
      <c r="E2190" t="str">
        <f>IFERROR(__xludf.DUMMYFUNCTION("""COMPUTED_VALUE"""),"O145:H28")</f>
        <v>O145:H28</v>
      </c>
      <c r="F2190" t="str">
        <f>IFERROR(__xludf.DUMMYFUNCTION("""COMPUTED_VALUE"""),"str.")</f>
        <v>str.</v>
      </c>
      <c r="G2190" t="str">
        <f>IFERROR(__xludf.DUMMYFUNCTION("""COMPUTED_VALUE"""),"RM13516")</f>
        <v>RM13516</v>
      </c>
    </row>
    <row r="2191" ht="15.75" customHeight="1">
      <c r="A2191" t="str">
        <f t="shared" si="1"/>
        <v>E.coli</v>
      </c>
      <c r="B2191" s="5" t="s">
        <v>7753</v>
      </c>
      <c r="C2191" s="6" t="str">
        <f>IFERROR(__xludf.DUMMYFUNCTION("SPLIT('2. c'!B2191, "" "", True, True)"),"Escherichia")</f>
        <v>Escherichia</v>
      </c>
      <c r="D2191" t="str">
        <f>IFERROR(__xludf.DUMMYFUNCTION("""COMPUTED_VALUE"""),"coli")</f>
        <v>coli</v>
      </c>
      <c r="E2191" t="str">
        <f>IFERROR(__xludf.DUMMYFUNCTION("""COMPUTED_VALUE"""),"O157")</f>
        <v>O157</v>
      </c>
    </row>
    <row r="2192" ht="15.75" customHeight="1">
      <c r="A2192" t="str">
        <f t="shared" si="1"/>
        <v>E.coli</v>
      </c>
      <c r="B2192" s="5" t="s">
        <v>7753</v>
      </c>
      <c r="C2192" s="6" t="str">
        <f>IFERROR(__xludf.DUMMYFUNCTION("SPLIT('2. c'!B2192, "" "", True, True)"),"Escherichia")</f>
        <v>Escherichia</v>
      </c>
      <c r="D2192" t="str">
        <f>IFERROR(__xludf.DUMMYFUNCTION("""COMPUTED_VALUE"""),"coli")</f>
        <v>coli</v>
      </c>
      <c r="E2192" t="str">
        <f>IFERROR(__xludf.DUMMYFUNCTION("""COMPUTED_VALUE"""),"O157")</f>
        <v>O157</v>
      </c>
    </row>
    <row r="2193" ht="15.75" customHeight="1">
      <c r="A2193" t="str">
        <f t="shared" si="1"/>
        <v>E.coli</v>
      </c>
      <c r="B2193" s="5" t="s">
        <v>7763</v>
      </c>
      <c r="C2193" s="6" t="str">
        <f>IFERROR(__xludf.DUMMYFUNCTION("SPLIT('2. c'!B2193, "" "", True, True)"),"Escherichia")</f>
        <v>Escherichia</v>
      </c>
      <c r="D2193" t="str">
        <f>IFERROR(__xludf.DUMMYFUNCTION("""COMPUTED_VALUE"""),"coli")</f>
        <v>coli</v>
      </c>
      <c r="E2193" t="str">
        <f>IFERROR(__xludf.DUMMYFUNCTION("""COMPUTED_VALUE"""),"O157:H16")</f>
        <v>O157:H16</v>
      </c>
      <c r="F2193" t="str">
        <f>IFERROR(__xludf.DUMMYFUNCTION("""COMPUTED_VALUE"""),"Santai")</f>
        <v>Santai</v>
      </c>
    </row>
    <row r="2194" ht="15.75" customHeight="1">
      <c r="A2194" t="str">
        <f t="shared" si="1"/>
        <v>E.coli</v>
      </c>
      <c r="B2194" s="5" t="s">
        <v>7768</v>
      </c>
      <c r="C2194" s="6" t="str">
        <f>IFERROR(__xludf.DUMMYFUNCTION("SPLIT('2. c'!B2194, "" "", True, True)"),"Escherichia")</f>
        <v>Escherichia</v>
      </c>
      <c r="D2194" t="str">
        <f>IFERROR(__xludf.DUMMYFUNCTION("""COMPUTED_VALUE"""),"coli")</f>
        <v>coli</v>
      </c>
      <c r="E2194" t="str">
        <f>IFERROR(__xludf.DUMMYFUNCTION("""COMPUTED_VALUE"""),"O157:H7")</f>
        <v>O157:H7</v>
      </c>
    </row>
    <row r="2195" ht="15.75" customHeight="1">
      <c r="A2195" t="str">
        <f t="shared" si="1"/>
        <v>E.coli</v>
      </c>
      <c r="B2195" s="5" t="s">
        <v>7768</v>
      </c>
      <c r="C2195" s="6" t="str">
        <f>IFERROR(__xludf.DUMMYFUNCTION("SPLIT('2. c'!B2195, "" "", True, True)"),"Escherichia")</f>
        <v>Escherichia</v>
      </c>
      <c r="D2195" t="str">
        <f>IFERROR(__xludf.DUMMYFUNCTION("""COMPUTED_VALUE"""),"coli")</f>
        <v>coli</v>
      </c>
      <c r="E2195" t="str">
        <f>IFERROR(__xludf.DUMMYFUNCTION("""COMPUTED_VALUE"""),"O157:H7")</f>
        <v>O157:H7</v>
      </c>
    </row>
    <row r="2196" ht="15.75" customHeight="1">
      <c r="A2196" t="str">
        <f t="shared" si="1"/>
        <v>E.coli</v>
      </c>
      <c r="B2196" s="5" t="s">
        <v>7768</v>
      </c>
      <c r="C2196" s="6" t="str">
        <f>IFERROR(__xludf.DUMMYFUNCTION("SPLIT('2. c'!B2196, "" "", True, True)"),"Escherichia")</f>
        <v>Escherichia</v>
      </c>
      <c r="D2196" t="str">
        <f>IFERROR(__xludf.DUMMYFUNCTION("""COMPUTED_VALUE"""),"coli")</f>
        <v>coli</v>
      </c>
      <c r="E2196" t="str">
        <f>IFERROR(__xludf.DUMMYFUNCTION("""COMPUTED_VALUE"""),"O157:H7")</f>
        <v>O157:H7</v>
      </c>
    </row>
    <row r="2197" ht="15.75" customHeight="1">
      <c r="A2197" t="str">
        <f t="shared" si="1"/>
        <v>E.coli</v>
      </c>
      <c r="B2197" s="5" t="s">
        <v>7783</v>
      </c>
      <c r="C2197" s="6" t="str">
        <f>IFERROR(__xludf.DUMMYFUNCTION("SPLIT('2. c'!B2197, "" "", True, True)"),"Escherichia")</f>
        <v>Escherichia</v>
      </c>
      <c r="D2197" t="str">
        <f>IFERROR(__xludf.DUMMYFUNCTION("""COMPUTED_VALUE"""),"coli")</f>
        <v>coli</v>
      </c>
      <c r="E2197" t="str">
        <f>IFERROR(__xludf.DUMMYFUNCTION("""COMPUTED_VALUE"""),"O157:H7")</f>
        <v>O157:H7</v>
      </c>
      <c r="F2197" t="str">
        <f>IFERROR(__xludf.DUMMYFUNCTION("""COMPUTED_VALUE"""),"str.")</f>
        <v>str.</v>
      </c>
      <c r="G2197" t="str">
        <f>IFERROR(__xludf.DUMMYFUNCTION("""COMPUTED_VALUE"""),"EC4115")</f>
        <v>EC4115</v>
      </c>
    </row>
    <row r="2198" ht="15.75" customHeight="1">
      <c r="A2198" t="str">
        <f t="shared" si="1"/>
        <v>E.coli</v>
      </c>
      <c r="B2198" s="5" t="s">
        <v>7789</v>
      </c>
      <c r="C2198" s="6" t="str">
        <f>IFERROR(__xludf.DUMMYFUNCTION("SPLIT('2. c'!B2198, "" "", True, True)"),"Escherichia")</f>
        <v>Escherichia</v>
      </c>
      <c r="D2198" t="str">
        <f>IFERROR(__xludf.DUMMYFUNCTION("""COMPUTED_VALUE"""),"coli")</f>
        <v>coli</v>
      </c>
      <c r="E2198" t="str">
        <f>IFERROR(__xludf.DUMMYFUNCTION("""COMPUTED_VALUE"""),"O157:H7")</f>
        <v>O157:H7</v>
      </c>
      <c r="F2198" t="str">
        <f>IFERROR(__xludf.DUMMYFUNCTION("""COMPUTED_VALUE"""),"str.")</f>
        <v>str.</v>
      </c>
      <c r="G2198" t="str">
        <f>IFERROR(__xludf.DUMMYFUNCTION("""COMPUTED_VALUE"""),"EDL933")</f>
        <v>EDL933</v>
      </c>
    </row>
    <row r="2199" ht="15.75" customHeight="1">
      <c r="A2199" t="str">
        <f t="shared" si="1"/>
        <v>E.coli</v>
      </c>
      <c r="B2199" s="5" t="s">
        <v>7789</v>
      </c>
      <c r="C2199" s="6" t="str">
        <f>IFERROR(__xludf.DUMMYFUNCTION("SPLIT('2. c'!B2199, "" "", True, True)"),"Escherichia")</f>
        <v>Escherichia</v>
      </c>
      <c r="D2199" t="str">
        <f>IFERROR(__xludf.DUMMYFUNCTION("""COMPUTED_VALUE"""),"coli")</f>
        <v>coli</v>
      </c>
      <c r="E2199" t="str">
        <f>IFERROR(__xludf.DUMMYFUNCTION("""COMPUTED_VALUE"""),"O157:H7")</f>
        <v>O157:H7</v>
      </c>
      <c r="F2199" t="str">
        <f>IFERROR(__xludf.DUMMYFUNCTION("""COMPUTED_VALUE"""),"str.")</f>
        <v>str.</v>
      </c>
      <c r="G2199" t="str">
        <f>IFERROR(__xludf.DUMMYFUNCTION("""COMPUTED_VALUE"""),"EDL933")</f>
        <v>EDL933</v>
      </c>
    </row>
    <row r="2200" ht="15.75" customHeight="1">
      <c r="A2200" t="str">
        <f t="shared" si="1"/>
        <v>E.coli</v>
      </c>
      <c r="B2200" s="5" t="s">
        <v>7807</v>
      </c>
      <c r="C2200" s="6" t="str">
        <f>IFERROR(__xludf.DUMMYFUNCTION("SPLIT('2. c'!B2200, "" "", True, True)"),"Escherichia")</f>
        <v>Escherichia</v>
      </c>
      <c r="D2200" t="str">
        <f>IFERROR(__xludf.DUMMYFUNCTION("""COMPUTED_VALUE"""),"coli")</f>
        <v>coli</v>
      </c>
      <c r="E2200" t="str">
        <f>IFERROR(__xludf.DUMMYFUNCTION("""COMPUTED_VALUE"""),"O157:H7")</f>
        <v>O157:H7</v>
      </c>
      <c r="F2200" t="str">
        <f>IFERROR(__xludf.DUMMYFUNCTION("""COMPUTED_VALUE"""),"str.")</f>
        <v>str.</v>
      </c>
      <c r="G2200" t="str">
        <f>IFERROR(__xludf.DUMMYFUNCTION("""COMPUTED_VALUE"""),"Sakai")</f>
        <v>Sakai</v>
      </c>
    </row>
    <row r="2201" ht="15.75" customHeight="1">
      <c r="A2201" t="str">
        <f t="shared" si="1"/>
        <v>E.coli</v>
      </c>
      <c r="B2201" s="5" t="s">
        <v>7817</v>
      </c>
      <c r="C2201" s="6" t="str">
        <f>IFERROR(__xludf.DUMMYFUNCTION("SPLIT('2. c'!B2201, "" "", True, True)"),"Escherichia")</f>
        <v>Escherichia</v>
      </c>
      <c r="D2201" t="str">
        <f>IFERROR(__xludf.DUMMYFUNCTION("""COMPUTED_VALUE"""),"coli")</f>
        <v>coli</v>
      </c>
      <c r="E2201" t="str">
        <f>IFERROR(__xludf.DUMMYFUNCTION("""COMPUTED_VALUE"""),"O157:H7")</f>
        <v>O157:H7</v>
      </c>
      <c r="F2201" t="str">
        <f>IFERROR(__xludf.DUMMYFUNCTION("""COMPUTED_VALUE"""),"str.")</f>
        <v>str.</v>
      </c>
      <c r="G2201" t="str">
        <f>IFERROR(__xludf.DUMMYFUNCTION("""COMPUTED_VALUE"""),"SS17")</f>
        <v>SS17</v>
      </c>
    </row>
    <row r="2202" ht="15.75" customHeight="1">
      <c r="A2202" t="str">
        <f t="shared" si="1"/>
        <v>E.coli</v>
      </c>
      <c r="B2202" s="5" t="s">
        <v>7827</v>
      </c>
      <c r="C2202" s="6" t="str">
        <f>IFERROR(__xludf.DUMMYFUNCTION("SPLIT('2. c'!B2202, "" "", True, True)"),"Escherichia")</f>
        <v>Escherichia</v>
      </c>
      <c r="D2202" t="str">
        <f>IFERROR(__xludf.DUMMYFUNCTION("""COMPUTED_VALUE"""),"coli")</f>
        <v>coli</v>
      </c>
      <c r="E2202" t="str">
        <f>IFERROR(__xludf.DUMMYFUNCTION("""COMPUTED_VALUE"""),"O157:H7")</f>
        <v>O157:H7</v>
      </c>
      <c r="F2202" t="str">
        <f>IFERROR(__xludf.DUMMYFUNCTION("""COMPUTED_VALUE"""),"str.")</f>
        <v>str.</v>
      </c>
      <c r="G2202" t="str">
        <f>IFERROR(__xludf.DUMMYFUNCTION("""COMPUTED_VALUE"""),"SS52")</f>
        <v>SS52</v>
      </c>
    </row>
    <row r="2203" ht="15.75" customHeight="1">
      <c r="A2203" t="str">
        <f t="shared" si="1"/>
        <v>E.coli</v>
      </c>
      <c r="B2203" s="5" t="s">
        <v>7837</v>
      </c>
      <c r="C2203" s="6" t="str">
        <f>IFERROR(__xludf.DUMMYFUNCTION("SPLIT('2. c'!B2203, "" "", True, True)"),"Escherichia")</f>
        <v>Escherichia</v>
      </c>
      <c r="D2203" t="str">
        <f>IFERROR(__xludf.DUMMYFUNCTION("""COMPUTED_VALUE"""),"coli")</f>
        <v>coli</v>
      </c>
      <c r="E2203" t="str">
        <f>IFERROR(__xludf.DUMMYFUNCTION("""COMPUTED_VALUE"""),"O157:H7")</f>
        <v>O157:H7</v>
      </c>
      <c r="F2203" t="str">
        <f>IFERROR(__xludf.DUMMYFUNCTION("""COMPUTED_VALUE"""),"str.")</f>
        <v>str.</v>
      </c>
      <c r="G2203" t="str">
        <f>IFERROR(__xludf.DUMMYFUNCTION("""COMPUTED_VALUE"""),"TW14359")</f>
        <v>TW14359</v>
      </c>
    </row>
    <row r="2204" ht="15.75" customHeight="1">
      <c r="A2204" t="str">
        <f t="shared" si="1"/>
        <v>E.coli</v>
      </c>
      <c r="B2204" s="5" t="s">
        <v>7846</v>
      </c>
      <c r="C2204" s="6" t="str">
        <f>IFERROR(__xludf.DUMMYFUNCTION("SPLIT('2. c'!B2204, "" "", True, True)"),"Escherichia")</f>
        <v>Escherichia</v>
      </c>
      <c r="D2204" t="str">
        <f>IFERROR(__xludf.DUMMYFUNCTION("""COMPUTED_VALUE"""),"coli")</f>
        <v>coli</v>
      </c>
      <c r="E2204" t="str">
        <f>IFERROR(__xludf.DUMMYFUNCTION("""COMPUTED_VALUE"""),"O157:H7")</f>
        <v>O157:H7</v>
      </c>
      <c r="F2204" t="str">
        <f>IFERROR(__xludf.DUMMYFUNCTION("""COMPUTED_VALUE"""),"strain")</f>
        <v>strain</v>
      </c>
      <c r="G2204" t="str">
        <f>IFERROR(__xludf.DUMMYFUNCTION("""COMPUTED_VALUE"""),"WS4202")</f>
        <v>WS4202</v>
      </c>
    </row>
    <row r="2205" ht="15.75" customHeight="1">
      <c r="A2205" t="str">
        <f t="shared" si="1"/>
        <v>E.coli</v>
      </c>
      <c r="B2205" s="5" t="s">
        <v>7857</v>
      </c>
      <c r="C2205" s="6" t="str">
        <f>IFERROR(__xludf.DUMMYFUNCTION("SPLIT('2. c'!B2205, "" "", True, True)"),"Escherichia")</f>
        <v>Escherichia</v>
      </c>
      <c r="D2205" t="str">
        <f>IFERROR(__xludf.DUMMYFUNCTION("""COMPUTED_VALUE"""),"coli")</f>
        <v>coli</v>
      </c>
      <c r="E2205" t="str">
        <f>IFERROR(__xludf.DUMMYFUNCTION("""COMPUTED_VALUE"""),"O26:H11")</f>
        <v>O26:H11</v>
      </c>
      <c r="F2205" t="str">
        <f>IFERROR(__xludf.DUMMYFUNCTION("""COMPUTED_VALUE"""),"str.")</f>
        <v>str.</v>
      </c>
      <c r="G2205">
        <f>IFERROR(__xludf.DUMMYFUNCTION("""COMPUTED_VALUE"""),11368.0)</f>
        <v>11368</v>
      </c>
    </row>
    <row r="2206" ht="15.75" customHeight="1">
      <c r="A2206" t="str">
        <f t="shared" si="1"/>
        <v>E.coli</v>
      </c>
      <c r="B2206" s="5" t="s">
        <v>7869</v>
      </c>
      <c r="C2206" s="6" t="str">
        <f>IFERROR(__xludf.DUMMYFUNCTION("SPLIT('2. c'!B2206, "" "", True, True)"),"Escherichia")</f>
        <v>Escherichia</v>
      </c>
      <c r="D2206" t="str">
        <f>IFERROR(__xludf.DUMMYFUNCTION("""COMPUTED_VALUE"""),"coli")</f>
        <v>coli</v>
      </c>
      <c r="E2206" t="str">
        <f>IFERROR(__xludf.DUMMYFUNCTION("""COMPUTED_VALUE"""),"O55:H7")</f>
        <v>O55:H7</v>
      </c>
      <c r="F2206" t="str">
        <f>IFERROR(__xludf.DUMMYFUNCTION("""COMPUTED_VALUE"""),"str.")</f>
        <v>str.</v>
      </c>
      <c r="G2206" t="str">
        <f>IFERROR(__xludf.DUMMYFUNCTION("""COMPUTED_VALUE"""),"CB9615")</f>
        <v>CB9615</v>
      </c>
    </row>
    <row r="2207" ht="15.75" customHeight="1">
      <c r="A2207" t="str">
        <f t="shared" si="1"/>
        <v>E.coli</v>
      </c>
      <c r="B2207" s="5" t="s">
        <v>7876</v>
      </c>
      <c r="C2207" s="6" t="str">
        <f>IFERROR(__xludf.DUMMYFUNCTION("SPLIT('2. c'!B2207, "" "", True, True)"),"Escherichia")</f>
        <v>Escherichia</v>
      </c>
      <c r="D2207" t="str">
        <f>IFERROR(__xludf.DUMMYFUNCTION("""COMPUTED_VALUE"""),"coli")</f>
        <v>coli</v>
      </c>
      <c r="E2207" t="str">
        <f>IFERROR(__xludf.DUMMYFUNCTION("""COMPUTED_VALUE"""),"O55:H7")</f>
        <v>O55:H7</v>
      </c>
      <c r="F2207" t="str">
        <f>IFERROR(__xludf.DUMMYFUNCTION("""COMPUTED_VALUE"""),"str.")</f>
        <v>str.</v>
      </c>
      <c r="G2207" t="str">
        <f>IFERROR(__xludf.DUMMYFUNCTION("""COMPUTED_VALUE"""),"RM12579")</f>
        <v>RM12579</v>
      </c>
    </row>
    <row r="2208" ht="15.75" customHeight="1">
      <c r="A2208" t="str">
        <f t="shared" si="1"/>
        <v>E.coli</v>
      </c>
      <c r="B2208" s="5" t="s">
        <v>7884</v>
      </c>
      <c r="C2208" s="6" t="str">
        <f>IFERROR(__xludf.DUMMYFUNCTION("SPLIT('2. c'!B2208, "" "", True, True)"),"Escherichia")</f>
        <v>Escherichia</v>
      </c>
      <c r="D2208" t="str">
        <f>IFERROR(__xludf.DUMMYFUNCTION("""COMPUTED_VALUE"""),"coli")</f>
        <v>coli</v>
      </c>
      <c r="E2208" t="str">
        <f>IFERROR(__xludf.DUMMYFUNCTION("""COMPUTED_VALUE"""),"O7:K1")</f>
        <v>O7:K1</v>
      </c>
      <c r="F2208" t="str">
        <f>IFERROR(__xludf.DUMMYFUNCTION("""COMPUTED_VALUE"""),"str.")</f>
        <v>str.</v>
      </c>
      <c r="G2208" t="str">
        <f>IFERROR(__xludf.DUMMYFUNCTION("""COMPUTED_VALUE"""),"CE10")</f>
        <v>CE10</v>
      </c>
    </row>
    <row r="2209" ht="15.75" customHeight="1">
      <c r="A2209" t="str">
        <f t="shared" si="1"/>
        <v>E.coli</v>
      </c>
      <c r="B2209" s="5" t="s">
        <v>7894</v>
      </c>
      <c r="C2209" s="6" t="str">
        <f>IFERROR(__xludf.DUMMYFUNCTION("SPLIT('2. c'!B2209, "" "", True, True)"),"Escherichia")</f>
        <v>Escherichia</v>
      </c>
      <c r="D2209" t="str">
        <f>IFERROR(__xludf.DUMMYFUNCTION("""COMPUTED_VALUE"""),"coli")</f>
        <v>coli</v>
      </c>
      <c r="E2209" t="str">
        <f>IFERROR(__xludf.DUMMYFUNCTION("""COMPUTED_VALUE"""),"O83:H1")</f>
        <v>O83:H1</v>
      </c>
      <c r="F2209" t="str">
        <f>IFERROR(__xludf.DUMMYFUNCTION("""COMPUTED_VALUE"""),"str.")</f>
        <v>str.</v>
      </c>
      <c r="G2209" t="str">
        <f>IFERROR(__xludf.DUMMYFUNCTION("""COMPUTED_VALUE"""),"NRG")</f>
        <v>NRG</v>
      </c>
      <c r="H2209" t="str">
        <f>IFERROR(__xludf.DUMMYFUNCTION("""COMPUTED_VALUE"""),"857C")</f>
        <v>857C</v>
      </c>
    </row>
    <row r="2210" ht="15.75" customHeight="1">
      <c r="A2210" t="str">
        <f t="shared" si="1"/>
        <v>E.coli</v>
      </c>
      <c r="B2210" s="5" t="s">
        <v>7902</v>
      </c>
      <c r="C2210" s="6" t="str">
        <f>IFERROR(__xludf.DUMMYFUNCTION("SPLIT('2. c'!B2210, "" "", True, True)"),"Escherichia")</f>
        <v>Escherichia</v>
      </c>
      <c r="D2210" t="str">
        <f>IFERROR(__xludf.DUMMYFUNCTION("""COMPUTED_VALUE"""),"coli")</f>
        <v>coli</v>
      </c>
      <c r="E2210" t="str">
        <f>IFERROR(__xludf.DUMMYFUNCTION("""COMPUTED_VALUE"""),"P12b")</f>
        <v>P12b</v>
      </c>
    </row>
    <row r="2211" ht="15.75" customHeight="1">
      <c r="A2211" t="str">
        <f t="shared" si="1"/>
        <v>E.coli</v>
      </c>
      <c r="B2211" s="5" t="s">
        <v>7912</v>
      </c>
      <c r="C2211" s="6" t="str">
        <f>IFERROR(__xludf.DUMMYFUNCTION("SPLIT('2. c'!B2211, "" "", True, True)"),"Escherichia")</f>
        <v>Escherichia</v>
      </c>
      <c r="D2211" t="str">
        <f>IFERROR(__xludf.DUMMYFUNCTION("""COMPUTED_VALUE"""),"coli")</f>
        <v>coli</v>
      </c>
      <c r="E2211" t="str">
        <f>IFERROR(__xludf.DUMMYFUNCTION("""COMPUTED_VALUE"""),"PCN061")</f>
        <v>PCN061</v>
      </c>
    </row>
    <row r="2212" ht="15.75" customHeight="1">
      <c r="A2212" t="str">
        <f t="shared" si="1"/>
        <v>E.coli</v>
      </c>
      <c r="B2212" s="5" t="s">
        <v>7922</v>
      </c>
      <c r="C2212" s="6" t="str">
        <f>IFERROR(__xludf.DUMMYFUNCTION("SPLIT('2. c'!B2212, "" "", True, True)"),"Escherichia")</f>
        <v>Escherichia</v>
      </c>
      <c r="D2212" t="str">
        <f>IFERROR(__xludf.DUMMYFUNCTION("""COMPUTED_VALUE"""),"coli")</f>
        <v>coli</v>
      </c>
      <c r="E2212" t="str">
        <f>IFERROR(__xludf.DUMMYFUNCTION("""COMPUTED_VALUE"""),"pHNSHP45-2")</f>
        <v>pHNSHP45-2</v>
      </c>
    </row>
    <row r="2213" ht="15.75" customHeight="1">
      <c r="A2213" t="str">
        <f t="shared" si="1"/>
        <v>E.coli</v>
      </c>
      <c r="B2213" s="5" t="s">
        <v>7935</v>
      </c>
      <c r="C2213" s="6" t="str">
        <f>IFERROR(__xludf.DUMMYFUNCTION("SPLIT('2. c'!B2213, "" "", True, True)"),"Escherichia")</f>
        <v>Escherichia</v>
      </c>
      <c r="D2213" t="str">
        <f>IFERROR(__xludf.DUMMYFUNCTION("""COMPUTED_VALUE"""),"coli")</f>
        <v>coli</v>
      </c>
      <c r="E2213" t="str">
        <f>IFERROR(__xludf.DUMMYFUNCTION("""COMPUTED_VALUE"""),"PMV-1")</f>
        <v>PMV-1</v>
      </c>
    </row>
    <row r="2214" ht="15.75" customHeight="1">
      <c r="A2214" t="str">
        <f t="shared" si="1"/>
        <v>E.coli</v>
      </c>
      <c r="B2214" s="5" t="s">
        <v>7943</v>
      </c>
      <c r="C2214" s="6" t="str">
        <f>IFERROR(__xludf.DUMMYFUNCTION("SPLIT('2. c'!B2214, "" "", True, True)"),"Escherichia")</f>
        <v>Escherichia</v>
      </c>
      <c r="D2214" t="str">
        <f>IFERROR(__xludf.DUMMYFUNCTION("""COMPUTED_VALUE"""),"coli")</f>
        <v>coli</v>
      </c>
      <c r="E2214" t="str">
        <f>IFERROR(__xludf.DUMMYFUNCTION("""COMPUTED_VALUE"""),"RM9387")</f>
        <v>RM9387</v>
      </c>
    </row>
    <row r="2215" ht="15.75" customHeight="1">
      <c r="A2215" t="str">
        <f t="shared" si="1"/>
        <v>E.coli</v>
      </c>
      <c r="B2215" s="5" t="s">
        <v>7952</v>
      </c>
      <c r="C2215" s="6" t="str">
        <f>IFERROR(__xludf.DUMMYFUNCTION("SPLIT('2. c'!B2215, "" "", True, True)"),"Escherichia")</f>
        <v>Escherichia</v>
      </c>
      <c r="D2215" t="str">
        <f>IFERROR(__xludf.DUMMYFUNCTION("""COMPUTED_VALUE"""),"coli")</f>
        <v>coli</v>
      </c>
      <c r="E2215" t="str">
        <f>IFERROR(__xludf.DUMMYFUNCTION("""COMPUTED_VALUE"""),"RS218")</f>
        <v>RS218</v>
      </c>
    </row>
    <row r="2216" ht="15.75" customHeight="1">
      <c r="A2216" t="str">
        <f t="shared" si="1"/>
        <v>E.coli</v>
      </c>
      <c r="B2216" s="5" t="s">
        <v>7961</v>
      </c>
      <c r="C2216" s="6" t="str">
        <f>IFERROR(__xludf.DUMMYFUNCTION("SPLIT('2. c'!B2216, "" "", True, True)"),"Escherichia")</f>
        <v>Escherichia</v>
      </c>
      <c r="D2216" t="str">
        <f>IFERROR(__xludf.DUMMYFUNCTION("""COMPUTED_VALUE"""),"coli")</f>
        <v>coli</v>
      </c>
      <c r="E2216" t="str">
        <f>IFERROR(__xludf.DUMMYFUNCTION("""COMPUTED_VALUE"""),"S88")</f>
        <v>S88</v>
      </c>
    </row>
    <row r="2217" ht="15.75" customHeight="1">
      <c r="A2217" t="str">
        <f t="shared" si="1"/>
        <v>E.coli</v>
      </c>
      <c r="B2217" s="5" t="s">
        <v>7972</v>
      </c>
      <c r="C2217" s="6" t="str">
        <f>IFERROR(__xludf.DUMMYFUNCTION("SPLIT('2. c'!B2217, "" "", True, True)"),"Escherichia")</f>
        <v>Escherichia</v>
      </c>
      <c r="D2217" t="str">
        <f>IFERROR(__xludf.DUMMYFUNCTION("""COMPUTED_VALUE"""),"coli")</f>
        <v>coli</v>
      </c>
      <c r="E2217" t="str">
        <f>IFERROR(__xludf.DUMMYFUNCTION("""COMPUTED_VALUE"""),"SE11")</f>
        <v>SE11</v>
      </c>
    </row>
    <row r="2218" ht="15.75" customHeight="1">
      <c r="A2218" t="str">
        <f t="shared" si="1"/>
        <v>E.coli</v>
      </c>
      <c r="B2218" s="5" t="s">
        <v>7982</v>
      </c>
      <c r="C2218" s="6" t="str">
        <f>IFERROR(__xludf.DUMMYFUNCTION("SPLIT('2. c'!B2218, "" "", True, True)"),"Escherichia")</f>
        <v>Escherichia</v>
      </c>
      <c r="D2218" t="str">
        <f>IFERROR(__xludf.DUMMYFUNCTION("""COMPUTED_VALUE"""),"coli")</f>
        <v>coli</v>
      </c>
      <c r="E2218" t="str">
        <f>IFERROR(__xludf.DUMMYFUNCTION("""COMPUTED_VALUE"""),"SE15")</f>
        <v>SE15</v>
      </c>
    </row>
    <row r="2219" ht="15.75" customHeight="1">
      <c r="A2219" t="str">
        <f t="shared" si="1"/>
        <v>E.coli</v>
      </c>
      <c r="B2219" s="5" t="s">
        <v>7991</v>
      </c>
      <c r="C2219" s="6" t="str">
        <f>IFERROR(__xludf.DUMMYFUNCTION("SPLIT('2. c'!B2219, "" "", True, True)"),"Escherichia")</f>
        <v>Escherichia</v>
      </c>
      <c r="D2219" t="str">
        <f>IFERROR(__xludf.DUMMYFUNCTION("""COMPUTED_VALUE"""),"coli")</f>
        <v>coli</v>
      </c>
      <c r="E2219" t="str">
        <f>IFERROR(__xludf.DUMMYFUNCTION("""COMPUTED_VALUE"""),"SMS-3-5")</f>
        <v>SMS-3-5</v>
      </c>
    </row>
    <row r="2220" ht="15.75" customHeight="1">
      <c r="A2220" t="str">
        <f t="shared" si="1"/>
        <v>E.coli</v>
      </c>
      <c r="B2220" s="5" t="s">
        <v>8000</v>
      </c>
      <c r="C2220" s="6" t="str">
        <f>IFERROR(__xludf.DUMMYFUNCTION("SPLIT('2. c'!B2220, "" "", True, True)"),"Escherichia")</f>
        <v>Escherichia</v>
      </c>
      <c r="D2220" t="str">
        <f>IFERROR(__xludf.DUMMYFUNCTION("""COMPUTED_VALUE"""),"coli")</f>
        <v>coli</v>
      </c>
      <c r="E2220" t="str">
        <f>IFERROR(__xludf.DUMMYFUNCTION("""COMPUTED_VALUE"""),"str.")</f>
        <v>str.</v>
      </c>
      <c r="F2220" t="str">
        <f>IFERROR(__xludf.DUMMYFUNCTION("""COMPUTED_VALUE"""),"clone")</f>
        <v>clone</v>
      </c>
      <c r="G2220" t="str">
        <f>IFERROR(__xludf.DUMMYFUNCTION("""COMPUTED_VALUE"""),"D")</f>
        <v>D</v>
      </c>
      <c r="H2220" t="str">
        <f>IFERROR(__xludf.DUMMYFUNCTION("""COMPUTED_VALUE"""),"i14'")</f>
        <v>i14'</v>
      </c>
    </row>
    <row r="2221" ht="15.75" customHeight="1">
      <c r="A2221" t="str">
        <f t="shared" si="1"/>
        <v>E.coli</v>
      </c>
      <c r="B2221" s="5" t="s">
        <v>8010</v>
      </c>
      <c r="C2221" s="6" t="str">
        <f>IFERROR(__xludf.DUMMYFUNCTION("SPLIT('2. c'!B2221, "" "", True, True)"),"Escherichia")</f>
        <v>Escherichia</v>
      </c>
      <c r="D2221" t="str">
        <f>IFERROR(__xludf.DUMMYFUNCTION("""COMPUTED_VALUE"""),"coli")</f>
        <v>coli</v>
      </c>
      <c r="E2221" t="str">
        <f>IFERROR(__xludf.DUMMYFUNCTION("""COMPUTED_VALUE"""),"str.")</f>
        <v>str.</v>
      </c>
      <c r="F2221" t="str">
        <f>IFERROR(__xludf.DUMMYFUNCTION("""COMPUTED_VALUE"""),"clone")</f>
        <v>clone</v>
      </c>
      <c r="G2221" t="str">
        <f>IFERROR(__xludf.DUMMYFUNCTION("""COMPUTED_VALUE"""),"D")</f>
        <v>D</v>
      </c>
      <c r="H2221" t="str">
        <f>IFERROR(__xludf.DUMMYFUNCTION("""COMPUTED_VALUE"""),"i2'")</f>
        <v>i2'</v>
      </c>
    </row>
    <row r="2222" ht="15.75" customHeight="1">
      <c r="A2222" t="str">
        <f t="shared" si="1"/>
        <v>E.coli</v>
      </c>
      <c r="B2222" s="5" t="s">
        <v>8019</v>
      </c>
      <c r="C2222" s="6" t="str">
        <f>IFERROR(__xludf.DUMMYFUNCTION("SPLIT('2. c'!B2222, "" "", True, True)"),"Escherichia")</f>
        <v>Escherichia</v>
      </c>
      <c r="D2222" t="str">
        <f>IFERROR(__xludf.DUMMYFUNCTION("""COMPUTED_VALUE"""),"coli")</f>
        <v>coli</v>
      </c>
      <c r="E2222" t="str">
        <f>IFERROR(__xludf.DUMMYFUNCTION("""COMPUTED_VALUE"""),"str.")</f>
        <v>str.</v>
      </c>
      <c r="F2222" t="str">
        <f>IFERROR(__xludf.DUMMYFUNCTION("""COMPUTED_VALUE"""),"K-12")</f>
        <v>K-12</v>
      </c>
      <c r="G2222" t="str">
        <f>IFERROR(__xludf.DUMMYFUNCTION("""COMPUTED_VALUE"""),"substr.")</f>
        <v>substr.</v>
      </c>
      <c r="H2222" t="str">
        <f>IFERROR(__xludf.DUMMYFUNCTION("""COMPUTED_VALUE"""),"DH10B")</f>
        <v>DH10B</v>
      </c>
    </row>
    <row r="2223" ht="15.75" customHeight="1">
      <c r="A2223" t="str">
        <f t="shared" si="1"/>
        <v>E.coli</v>
      </c>
      <c r="B2223" s="5" t="s">
        <v>8028</v>
      </c>
      <c r="C2223" s="6" t="str">
        <f>IFERROR(__xludf.DUMMYFUNCTION("SPLIT('2. c'!B2223, "" "", True, True)"),"Escherichia")</f>
        <v>Escherichia</v>
      </c>
      <c r="D2223" t="str">
        <f>IFERROR(__xludf.DUMMYFUNCTION("""COMPUTED_VALUE"""),"coli")</f>
        <v>coli</v>
      </c>
      <c r="E2223" t="str">
        <f>IFERROR(__xludf.DUMMYFUNCTION("""COMPUTED_VALUE"""),"str.")</f>
        <v>str.</v>
      </c>
      <c r="F2223" t="str">
        <f>IFERROR(__xludf.DUMMYFUNCTION("""COMPUTED_VALUE"""),"K-12")</f>
        <v>K-12</v>
      </c>
      <c r="G2223" t="str">
        <f>IFERROR(__xludf.DUMMYFUNCTION("""COMPUTED_VALUE"""),"substr.")</f>
        <v>substr.</v>
      </c>
      <c r="H2223" t="str">
        <f>IFERROR(__xludf.DUMMYFUNCTION("""COMPUTED_VALUE"""),"MC4100")</f>
        <v>MC4100</v>
      </c>
    </row>
    <row r="2224" ht="15.75" customHeight="1">
      <c r="A2224" t="str">
        <f t="shared" si="1"/>
        <v>E.coli</v>
      </c>
      <c r="B2224" s="5" t="s">
        <v>8040</v>
      </c>
      <c r="C2224" s="6" t="str">
        <f>IFERROR(__xludf.DUMMYFUNCTION("SPLIT('2. c'!B2224, "" "", True, True)"),"Escherichia")</f>
        <v>Escherichia</v>
      </c>
      <c r="D2224" t="str">
        <f>IFERROR(__xludf.DUMMYFUNCTION("""COMPUTED_VALUE"""),"coli")</f>
        <v>coli</v>
      </c>
      <c r="E2224" t="str">
        <f>IFERROR(__xludf.DUMMYFUNCTION("""COMPUTED_VALUE"""),"str.")</f>
        <v>str.</v>
      </c>
      <c r="F2224" t="str">
        <f>IFERROR(__xludf.DUMMYFUNCTION("""COMPUTED_VALUE"""),"K-12")</f>
        <v>K-12</v>
      </c>
      <c r="G2224" t="str">
        <f>IFERROR(__xludf.DUMMYFUNCTION("""COMPUTED_VALUE"""),"substr.")</f>
        <v>substr.</v>
      </c>
      <c r="H2224" t="str">
        <f>IFERROR(__xludf.DUMMYFUNCTION("""COMPUTED_VALUE"""),"MDS42")</f>
        <v>MDS42</v>
      </c>
    </row>
    <row r="2225" ht="15.75" customHeight="1">
      <c r="A2225" t="str">
        <f t="shared" si="1"/>
        <v>E.coli</v>
      </c>
      <c r="B2225" s="5" t="s">
        <v>8050</v>
      </c>
      <c r="C2225" s="6" t="str">
        <f>IFERROR(__xludf.DUMMYFUNCTION("SPLIT('2. c'!B2225, "" "", True, True)"),"Escherichia")</f>
        <v>Escherichia</v>
      </c>
      <c r="D2225" t="str">
        <f>IFERROR(__xludf.DUMMYFUNCTION("""COMPUTED_VALUE"""),"coli")</f>
        <v>coli</v>
      </c>
      <c r="E2225" t="str">
        <f>IFERROR(__xludf.DUMMYFUNCTION("""COMPUTED_VALUE"""),"str.")</f>
        <v>str.</v>
      </c>
      <c r="F2225" t="str">
        <f>IFERROR(__xludf.DUMMYFUNCTION("""COMPUTED_VALUE"""),"K-12")</f>
        <v>K-12</v>
      </c>
      <c r="G2225" t="str">
        <f>IFERROR(__xludf.DUMMYFUNCTION("""COMPUTED_VALUE"""),"substr.")</f>
        <v>substr.</v>
      </c>
      <c r="H2225" t="str">
        <f>IFERROR(__xludf.DUMMYFUNCTION("""COMPUTED_VALUE"""),"MG1655")</f>
        <v>MG1655</v>
      </c>
    </row>
    <row r="2226" ht="15.75" customHeight="1">
      <c r="A2226" t="str">
        <f t="shared" si="1"/>
        <v>E.coli</v>
      </c>
      <c r="B2226" s="5" t="s">
        <v>8050</v>
      </c>
      <c r="C2226" s="6" t="str">
        <f>IFERROR(__xludf.DUMMYFUNCTION("SPLIT('2. c'!B2226, "" "", True, True)"),"Escherichia")</f>
        <v>Escherichia</v>
      </c>
      <c r="D2226" t="str">
        <f>IFERROR(__xludf.DUMMYFUNCTION("""COMPUTED_VALUE"""),"coli")</f>
        <v>coli</v>
      </c>
      <c r="E2226" t="str">
        <f>IFERROR(__xludf.DUMMYFUNCTION("""COMPUTED_VALUE"""),"str.")</f>
        <v>str.</v>
      </c>
      <c r="F2226" t="str">
        <f>IFERROR(__xludf.DUMMYFUNCTION("""COMPUTED_VALUE"""),"K-12")</f>
        <v>K-12</v>
      </c>
      <c r="G2226" t="str">
        <f>IFERROR(__xludf.DUMMYFUNCTION("""COMPUTED_VALUE"""),"substr.")</f>
        <v>substr.</v>
      </c>
      <c r="H2226" t="str">
        <f>IFERROR(__xludf.DUMMYFUNCTION("""COMPUTED_VALUE"""),"MG1655")</f>
        <v>MG1655</v>
      </c>
    </row>
    <row r="2227" ht="15.75" customHeight="1">
      <c r="A2227" t="str">
        <f t="shared" si="1"/>
        <v>E.coli</v>
      </c>
      <c r="B2227" s="5" t="s">
        <v>8050</v>
      </c>
      <c r="C2227" s="6" t="str">
        <f>IFERROR(__xludf.DUMMYFUNCTION("SPLIT('2. c'!B2227, "" "", True, True)"),"Escherichia")</f>
        <v>Escherichia</v>
      </c>
      <c r="D2227" t="str">
        <f>IFERROR(__xludf.DUMMYFUNCTION("""COMPUTED_VALUE"""),"coli")</f>
        <v>coli</v>
      </c>
      <c r="E2227" t="str">
        <f>IFERROR(__xludf.DUMMYFUNCTION("""COMPUTED_VALUE"""),"str.")</f>
        <v>str.</v>
      </c>
      <c r="F2227" t="str">
        <f>IFERROR(__xludf.DUMMYFUNCTION("""COMPUTED_VALUE"""),"K-12")</f>
        <v>K-12</v>
      </c>
      <c r="G2227" t="str">
        <f>IFERROR(__xludf.DUMMYFUNCTION("""COMPUTED_VALUE"""),"substr.")</f>
        <v>substr.</v>
      </c>
      <c r="H2227" t="str">
        <f>IFERROR(__xludf.DUMMYFUNCTION("""COMPUTED_VALUE"""),"MG1655")</f>
        <v>MG1655</v>
      </c>
    </row>
    <row r="2228" ht="15.75" customHeight="1">
      <c r="A2228" t="str">
        <f t="shared" si="1"/>
        <v>E.coli</v>
      </c>
      <c r="B2228" s="5" t="s">
        <v>8050</v>
      </c>
      <c r="C2228" s="6" t="str">
        <f>IFERROR(__xludf.DUMMYFUNCTION("SPLIT('2. c'!B2228, "" "", True, True)"),"Escherichia")</f>
        <v>Escherichia</v>
      </c>
      <c r="D2228" t="str">
        <f>IFERROR(__xludf.DUMMYFUNCTION("""COMPUTED_VALUE"""),"coli")</f>
        <v>coli</v>
      </c>
      <c r="E2228" t="str">
        <f>IFERROR(__xludf.DUMMYFUNCTION("""COMPUTED_VALUE"""),"str.")</f>
        <v>str.</v>
      </c>
      <c r="F2228" t="str">
        <f>IFERROR(__xludf.DUMMYFUNCTION("""COMPUTED_VALUE"""),"K-12")</f>
        <v>K-12</v>
      </c>
      <c r="G2228" t="str">
        <f>IFERROR(__xludf.DUMMYFUNCTION("""COMPUTED_VALUE"""),"substr.")</f>
        <v>substr.</v>
      </c>
      <c r="H2228" t="str">
        <f>IFERROR(__xludf.DUMMYFUNCTION("""COMPUTED_VALUE"""),"MG1655")</f>
        <v>MG1655</v>
      </c>
    </row>
    <row r="2229" ht="15.75" customHeight="1">
      <c r="A2229" t="str">
        <f t="shared" si="1"/>
        <v>E.coli</v>
      </c>
      <c r="B2229" s="5" t="s">
        <v>8050</v>
      </c>
      <c r="C2229" s="6" t="str">
        <f>IFERROR(__xludf.DUMMYFUNCTION("SPLIT('2. c'!B2229, "" "", True, True)"),"Escherichia")</f>
        <v>Escherichia</v>
      </c>
      <c r="D2229" t="str">
        <f>IFERROR(__xludf.DUMMYFUNCTION("""COMPUTED_VALUE"""),"coli")</f>
        <v>coli</v>
      </c>
      <c r="E2229" t="str">
        <f>IFERROR(__xludf.DUMMYFUNCTION("""COMPUTED_VALUE"""),"str.")</f>
        <v>str.</v>
      </c>
      <c r="F2229" t="str">
        <f>IFERROR(__xludf.DUMMYFUNCTION("""COMPUTED_VALUE"""),"K-12")</f>
        <v>K-12</v>
      </c>
      <c r="G2229" t="str">
        <f>IFERROR(__xludf.DUMMYFUNCTION("""COMPUTED_VALUE"""),"substr.")</f>
        <v>substr.</v>
      </c>
      <c r="H2229" t="str">
        <f>IFERROR(__xludf.DUMMYFUNCTION("""COMPUTED_VALUE"""),"MG1655")</f>
        <v>MG1655</v>
      </c>
    </row>
    <row r="2230" ht="15.75" customHeight="1">
      <c r="A2230" t="str">
        <f t="shared" si="1"/>
        <v>E.coli</v>
      </c>
      <c r="B2230" s="5" t="s">
        <v>8050</v>
      </c>
      <c r="C2230" s="6" t="str">
        <f>IFERROR(__xludf.DUMMYFUNCTION("SPLIT('2. c'!B2230, "" "", True, True)"),"Escherichia")</f>
        <v>Escherichia</v>
      </c>
      <c r="D2230" t="str">
        <f>IFERROR(__xludf.DUMMYFUNCTION("""COMPUTED_VALUE"""),"coli")</f>
        <v>coli</v>
      </c>
      <c r="E2230" t="str">
        <f>IFERROR(__xludf.DUMMYFUNCTION("""COMPUTED_VALUE"""),"str.")</f>
        <v>str.</v>
      </c>
      <c r="F2230" t="str">
        <f>IFERROR(__xludf.DUMMYFUNCTION("""COMPUTED_VALUE"""),"K-12")</f>
        <v>K-12</v>
      </c>
      <c r="G2230" t="str">
        <f>IFERROR(__xludf.DUMMYFUNCTION("""COMPUTED_VALUE"""),"substr.")</f>
        <v>substr.</v>
      </c>
      <c r="H2230" t="str">
        <f>IFERROR(__xludf.DUMMYFUNCTION("""COMPUTED_VALUE"""),"MG1655")</f>
        <v>MG1655</v>
      </c>
    </row>
    <row r="2231" ht="15.75" customHeight="1">
      <c r="A2231" t="str">
        <f t="shared" si="1"/>
        <v>E.coli</v>
      </c>
      <c r="B2231" s="5" t="s">
        <v>8050</v>
      </c>
      <c r="C2231" s="6" t="str">
        <f>IFERROR(__xludf.DUMMYFUNCTION("SPLIT('2. c'!B2231, "" "", True, True)"),"Escherichia")</f>
        <v>Escherichia</v>
      </c>
      <c r="D2231" t="str">
        <f>IFERROR(__xludf.DUMMYFUNCTION("""COMPUTED_VALUE"""),"coli")</f>
        <v>coli</v>
      </c>
      <c r="E2231" t="str">
        <f>IFERROR(__xludf.DUMMYFUNCTION("""COMPUTED_VALUE"""),"str.")</f>
        <v>str.</v>
      </c>
      <c r="F2231" t="str">
        <f>IFERROR(__xludf.DUMMYFUNCTION("""COMPUTED_VALUE"""),"K-12")</f>
        <v>K-12</v>
      </c>
      <c r="G2231" t="str">
        <f>IFERROR(__xludf.DUMMYFUNCTION("""COMPUTED_VALUE"""),"substr.")</f>
        <v>substr.</v>
      </c>
      <c r="H2231" t="str">
        <f>IFERROR(__xludf.DUMMYFUNCTION("""COMPUTED_VALUE"""),"MG1655")</f>
        <v>MG1655</v>
      </c>
    </row>
    <row r="2232" ht="15.75" customHeight="1">
      <c r="A2232" t="str">
        <f t="shared" si="1"/>
        <v>E.coli</v>
      </c>
      <c r="B2232" s="5" t="s">
        <v>8050</v>
      </c>
      <c r="C2232" s="6" t="str">
        <f>IFERROR(__xludf.DUMMYFUNCTION("SPLIT('2. c'!B2232, "" "", True, True)"),"Escherichia")</f>
        <v>Escherichia</v>
      </c>
      <c r="D2232" t="str">
        <f>IFERROR(__xludf.DUMMYFUNCTION("""COMPUTED_VALUE"""),"coli")</f>
        <v>coli</v>
      </c>
      <c r="E2232" t="str">
        <f>IFERROR(__xludf.DUMMYFUNCTION("""COMPUTED_VALUE"""),"str.")</f>
        <v>str.</v>
      </c>
      <c r="F2232" t="str">
        <f>IFERROR(__xludf.DUMMYFUNCTION("""COMPUTED_VALUE"""),"K-12")</f>
        <v>K-12</v>
      </c>
      <c r="G2232" t="str">
        <f>IFERROR(__xludf.DUMMYFUNCTION("""COMPUTED_VALUE"""),"substr.")</f>
        <v>substr.</v>
      </c>
      <c r="H2232" t="str">
        <f>IFERROR(__xludf.DUMMYFUNCTION("""COMPUTED_VALUE"""),"MG1655")</f>
        <v>MG1655</v>
      </c>
    </row>
    <row r="2233" ht="15.75" customHeight="1">
      <c r="A2233" t="str">
        <f t="shared" si="1"/>
        <v>E.coli</v>
      </c>
      <c r="B2233" s="5" t="s">
        <v>8127</v>
      </c>
      <c r="C2233" s="6" t="str">
        <f>IFERROR(__xludf.DUMMYFUNCTION("SPLIT('2. c'!B2233, "" "", True, True)"),"Escherichia")</f>
        <v>Escherichia</v>
      </c>
      <c r="D2233" t="str">
        <f>IFERROR(__xludf.DUMMYFUNCTION("""COMPUTED_VALUE"""),"coli")</f>
        <v>coli</v>
      </c>
      <c r="E2233" t="str">
        <f>IFERROR(__xludf.DUMMYFUNCTION("""COMPUTED_VALUE"""),"str.")</f>
        <v>str.</v>
      </c>
      <c r="F2233" t="str">
        <f>IFERROR(__xludf.DUMMYFUNCTION("""COMPUTED_VALUE"""),"K-12")</f>
        <v>K-12</v>
      </c>
      <c r="G2233" t="str">
        <f>IFERROR(__xludf.DUMMYFUNCTION("""COMPUTED_VALUE"""),"substr.")</f>
        <v>substr.</v>
      </c>
      <c r="H2233" t="str">
        <f>IFERROR(__xludf.DUMMYFUNCTION("""COMPUTED_VALUE"""),"W3110")</f>
        <v>W3110</v>
      </c>
    </row>
    <row r="2234" ht="15.75" customHeight="1">
      <c r="A2234" t="str">
        <f t="shared" si="1"/>
        <v>E.coli</v>
      </c>
      <c r="B2234" s="5" t="s">
        <v>8137</v>
      </c>
      <c r="C2234" s="6" t="str">
        <f>IFERROR(__xludf.DUMMYFUNCTION("SPLIT('2. c'!B2234, "" "", True, True)"),"Escherichia")</f>
        <v>Escherichia</v>
      </c>
      <c r="D2234" t="str">
        <f>IFERROR(__xludf.DUMMYFUNCTION("""COMPUTED_VALUE"""),"coli")</f>
        <v>coli</v>
      </c>
      <c r="E2234" t="str">
        <f>IFERROR(__xludf.DUMMYFUNCTION("""COMPUTED_VALUE"""),"str.")</f>
        <v>str.</v>
      </c>
      <c r="F2234" t="str">
        <f>IFERROR(__xludf.DUMMYFUNCTION("""COMPUTED_VALUE"""),"Sanji")</f>
        <v>Sanji</v>
      </c>
    </row>
    <row r="2235" ht="15.75" customHeight="1">
      <c r="A2235" t="str">
        <f t="shared" si="1"/>
        <v>E.coli</v>
      </c>
      <c r="B2235" s="5" t="s">
        <v>8148</v>
      </c>
      <c r="C2235" s="6" t="str">
        <f>IFERROR(__xludf.DUMMYFUNCTION("SPLIT('2. c'!B2235, "" "", True, True)"),"Escherichia")</f>
        <v>Escherichia</v>
      </c>
      <c r="D2235" t="str">
        <f>IFERROR(__xludf.DUMMYFUNCTION("""COMPUTED_VALUE"""),"coli")</f>
        <v>coli</v>
      </c>
      <c r="E2235" t="str">
        <f>IFERROR(__xludf.DUMMYFUNCTION("""COMPUTED_VALUE"""),"strain")</f>
        <v>strain</v>
      </c>
      <c r="F2235" t="str">
        <f>IFERROR(__xludf.DUMMYFUNCTION("""COMPUTED_VALUE"""),"2009C-3133")</f>
        <v>2009C-3133</v>
      </c>
    </row>
    <row r="2236" ht="15.75" customHeight="1">
      <c r="A2236" t="str">
        <f t="shared" si="1"/>
        <v>E.coli</v>
      </c>
      <c r="B2236" s="5" t="s">
        <v>8159</v>
      </c>
      <c r="C2236" s="6" t="str">
        <f>IFERROR(__xludf.DUMMYFUNCTION("SPLIT('2. c'!B2236, "" "", True, True)"),"Escherichia")</f>
        <v>Escherichia</v>
      </c>
      <c r="D2236" t="str">
        <f>IFERROR(__xludf.DUMMYFUNCTION("""COMPUTED_VALUE"""),"coli")</f>
        <v>coli</v>
      </c>
      <c r="E2236" t="str">
        <f>IFERROR(__xludf.DUMMYFUNCTION("""COMPUTED_VALUE"""),"strain")</f>
        <v>strain</v>
      </c>
      <c r="F2236" t="str">
        <f>IFERROR(__xludf.DUMMYFUNCTION("""COMPUTED_VALUE"""),"2011C-3911")</f>
        <v>2011C-3911</v>
      </c>
    </row>
    <row r="2237" ht="15.75" customHeight="1">
      <c r="A2237" t="str">
        <f t="shared" si="1"/>
        <v>E.coli</v>
      </c>
      <c r="B2237" s="5" t="s">
        <v>8168</v>
      </c>
      <c r="C2237" s="6" t="str">
        <f>IFERROR(__xludf.DUMMYFUNCTION("SPLIT('2. c'!B2237, "" "", True, True)"),"Escherichia")</f>
        <v>Escherichia</v>
      </c>
      <c r="D2237" t="str">
        <f>IFERROR(__xludf.DUMMYFUNCTION("""COMPUTED_VALUE"""),"coli")</f>
        <v>coli</v>
      </c>
      <c r="E2237" t="str">
        <f>IFERROR(__xludf.DUMMYFUNCTION("""COMPUTED_VALUE"""),"strain")</f>
        <v>strain</v>
      </c>
      <c r="F2237" t="str">
        <f>IFERROR(__xludf.DUMMYFUNCTION("""COMPUTED_VALUE"""),"2012C-4227")</f>
        <v>2012C-4227</v>
      </c>
    </row>
    <row r="2238" ht="15.75" customHeight="1">
      <c r="A2238" t="str">
        <f t="shared" si="1"/>
        <v>E.coli</v>
      </c>
      <c r="B2238" s="5" t="s">
        <v>8176</v>
      </c>
      <c r="C2238" s="6" t="str">
        <f>IFERROR(__xludf.DUMMYFUNCTION("SPLIT('2. c'!B2238, "" "", True, True)"),"Escherichia")</f>
        <v>Escherichia</v>
      </c>
      <c r="D2238" t="str">
        <f>IFERROR(__xludf.DUMMYFUNCTION("""COMPUTED_VALUE"""),"coli")</f>
        <v>coli</v>
      </c>
      <c r="E2238" t="str">
        <f>IFERROR(__xludf.DUMMYFUNCTION("""COMPUTED_VALUE"""),"strain")</f>
        <v>strain</v>
      </c>
      <c r="F2238" t="str">
        <f>IFERROR(__xludf.DUMMYFUNCTION("""COMPUTED_VALUE"""),"2013C-4465")</f>
        <v>2013C-4465</v>
      </c>
    </row>
    <row r="2239" ht="15.75" customHeight="1">
      <c r="A2239" t="str">
        <f t="shared" si="1"/>
        <v>E.coli</v>
      </c>
      <c r="B2239" s="5" t="s">
        <v>8187</v>
      </c>
      <c r="C2239" s="6" t="str">
        <f>IFERROR(__xludf.DUMMYFUNCTION("SPLIT('2. c'!B2239, "" "", True, True)"),"Escherichia")</f>
        <v>Escherichia</v>
      </c>
      <c r="D2239" t="str">
        <f>IFERROR(__xludf.DUMMYFUNCTION("""COMPUTED_VALUE"""),"coli")</f>
        <v>coli</v>
      </c>
      <c r="E2239" t="str">
        <f>IFERROR(__xludf.DUMMYFUNCTION("""COMPUTED_VALUE"""),"strain")</f>
        <v>strain</v>
      </c>
      <c r="F2239" t="str">
        <f>IFERROR(__xludf.DUMMYFUNCTION("""COMPUTED_VALUE"""),"268-78-1")</f>
        <v>268-78-1</v>
      </c>
    </row>
    <row r="2240" ht="15.75" customHeight="1">
      <c r="A2240" t="str">
        <f t="shared" si="1"/>
        <v>E.coli</v>
      </c>
      <c r="B2240" s="5" t="s">
        <v>8197</v>
      </c>
      <c r="C2240" s="6" t="str">
        <f>IFERROR(__xludf.DUMMYFUNCTION("SPLIT('2. c'!B2240, "" "", True, True)"),"Escherichia")</f>
        <v>Escherichia</v>
      </c>
      <c r="D2240" t="str">
        <f>IFERROR(__xludf.DUMMYFUNCTION("""COMPUTED_VALUE"""),"coli")</f>
        <v>coli</v>
      </c>
      <c r="E2240" t="str">
        <f>IFERROR(__xludf.DUMMYFUNCTION("""COMPUTED_VALUE"""),"strain")</f>
        <v>strain</v>
      </c>
      <c r="F2240" t="str">
        <f>IFERROR(__xludf.DUMMYFUNCTION("""COMPUTED_VALUE"""),"28RC1")</f>
        <v>28RC1</v>
      </c>
    </row>
    <row r="2241" ht="15.75" customHeight="1">
      <c r="A2241" t="str">
        <f t="shared" si="1"/>
        <v>E.coli</v>
      </c>
      <c r="B2241" s="5" t="s">
        <v>8209</v>
      </c>
      <c r="C2241" s="6" t="str">
        <f>IFERROR(__xludf.DUMMYFUNCTION("SPLIT('2. c'!B2241, "" "", True, True)"),"Escherichia")</f>
        <v>Escherichia</v>
      </c>
      <c r="D2241" t="str">
        <f>IFERROR(__xludf.DUMMYFUNCTION("""COMPUTED_VALUE"""),"coli")</f>
        <v>coli</v>
      </c>
      <c r="E2241" t="str">
        <f>IFERROR(__xludf.DUMMYFUNCTION("""COMPUTED_VALUE"""),"strain")</f>
        <v>strain</v>
      </c>
      <c r="F2241">
        <f>IFERROR(__xludf.DUMMYFUNCTION("""COMPUTED_VALUE"""),300073.0)</f>
        <v>300073</v>
      </c>
    </row>
    <row r="2242" ht="15.75" customHeight="1">
      <c r="A2242" t="str">
        <f t="shared" si="1"/>
        <v>E.coli</v>
      </c>
      <c r="B2242" s="5" t="s">
        <v>8222</v>
      </c>
      <c r="C2242" s="6" t="str">
        <f>IFERROR(__xludf.DUMMYFUNCTION("SPLIT('2. c'!B2242, "" "", True, True)"),"Escherichia")</f>
        <v>Escherichia</v>
      </c>
      <c r="D2242" t="str">
        <f>IFERROR(__xludf.DUMMYFUNCTION("""COMPUTED_VALUE"""),"coli")</f>
        <v>coli</v>
      </c>
      <c r="E2242" t="str">
        <f>IFERROR(__xludf.DUMMYFUNCTION("""COMPUTED_VALUE"""),"strain")</f>
        <v>strain</v>
      </c>
      <c r="F2242">
        <f>IFERROR(__xludf.DUMMYFUNCTION("""COMPUTED_VALUE"""),401907.0)</f>
        <v>401907</v>
      </c>
    </row>
    <row r="2243" ht="15.75" customHeight="1">
      <c r="A2243" t="str">
        <f t="shared" si="1"/>
        <v>E.coli</v>
      </c>
      <c r="B2243" s="5" t="s">
        <v>8230</v>
      </c>
      <c r="C2243" s="6" t="str">
        <f>IFERROR(__xludf.DUMMYFUNCTION("SPLIT('2. c'!B2243, "" "", True, True)"),"Escherichia")</f>
        <v>Escherichia</v>
      </c>
      <c r="D2243" t="str">
        <f>IFERROR(__xludf.DUMMYFUNCTION("""COMPUTED_VALUE"""),"coli")</f>
        <v>coli</v>
      </c>
      <c r="E2243" t="str">
        <f>IFERROR(__xludf.DUMMYFUNCTION("""COMPUTED_VALUE"""),"strain")</f>
        <v>strain</v>
      </c>
      <c r="F2243">
        <f>IFERROR(__xludf.DUMMYFUNCTION("""COMPUTED_VALUE"""),703273.0)</f>
        <v>703273</v>
      </c>
    </row>
    <row r="2244" ht="15.75" customHeight="1">
      <c r="A2244" t="str">
        <f t="shared" si="1"/>
        <v>E.coli</v>
      </c>
      <c r="B2244" s="5" t="s">
        <v>8237</v>
      </c>
      <c r="C2244" s="6" t="str">
        <f>IFERROR(__xludf.DUMMYFUNCTION("SPLIT('2. c'!B2244, "" "", True, True)"),"Escherichia")</f>
        <v>Escherichia</v>
      </c>
      <c r="D2244" t="str">
        <f>IFERROR(__xludf.DUMMYFUNCTION("""COMPUTED_VALUE"""),"coli")</f>
        <v>coli</v>
      </c>
      <c r="E2244" t="str">
        <f>IFERROR(__xludf.DUMMYFUNCTION("""COMPUTED_VALUE"""),"strain")</f>
        <v>strain</v>
      </c>
      <c r="F2244" t="str">
        <f>IFERROR(__xludf.DUMMYFUNCTION("""COMPUTED_VALUE"""),"ACN002")</f>
        <v>ACN002</v>
      </c>
    </row>
    <row r="2245" ht="15.75" customHeight="1">
      <c r="A2245" t="str">
        <f t="shared" si="1"/>
        <v>E.coli</v>
      </c>
      <c r="B2245" s="5" t="s">
        <v>8244</v>
      </c>
      <c r="C2245" s="6" t="str">
        <f>IFERROR(__xludf.DUMMYFUNCTION("SPLIT('2. c'!B2245, "" "", True, True)"),"Escherichia")</f>
        <v>Escherichia</v>
      </c>
      <c r="D2245" t="str">
        <f>IFERROR(__xludf.DUMMYFUNCTION("""COMPUTED_VALUE"""),"coli")</f>
        <v>coli</v>
      </c>
      <c r="E2245" t="str">
        <f>IFERROR(__xludf.DUMMYFUNCTION("""COMPUTED_VALUE"""),"strain")</f>
        <v>strain</v>
      </c>
      <c r="F2245" t="str">
        <f>IFERROR(__xludf.DUMMYFUNCTION("""COMPUTED_VALUE"""),"C43(DE3)")</f>
        <v>C43(DE3)</v>
      </c>
    </row>
    <row r="2246" ht="15.75" customHeight="1">
      <c r="A2246" t="str">
        <f t="shared" si="1"/>
        <v>E.coli</v>
      </c>
      <c r="B2246" s="5" t="s">
        <v>8249</v>
      </c>
      <c r="C2246" s="6" t="str">
        <f>IFERROR(__xludf.DUMMYFUNCTION("SPLIT('2. c'!B2246, "" "", True, True)"),"Escherichia")</f>
        <v>Escherichia</v>
      </c>
      <c r="D2246" t="str">
        <f>IFERROR(__xludf.DUMMYFUNCTION("""COMPUTED_VALUE"""),"coli")</f>
        <v>coli</v>
      </c>
      <c r="E2246" t="str">
        <f>IFERROR(__xludf.DUMMYFUNCTION("""COMPUTED_VALUE"""),"strain")</f>
        <v>strain</v>
      </c>
      <c r="F2246" t="str">
        <f>IFERROR(__xludf.DUMMYFUNCTION("""COMPUTED_VALUE"""),"CD306")</f>
        <v>CD306</v>
      </c>
    </row>
    <row r="2247" ht="15.75" customHeight="1">
      <c r="A2247" t="str">
        <f t="shared" si="1"/>
        <v>E.coli</v>
      </c>
      <c r="B2247" s="5" t="s">
        <v>8258</v>
      </c>
      <c r="C2247" s="6" t="str">
        <f>IFERROR(__xludf.DUMMYFUNCTION("SPLIT('2. c'!B2247, "" "", True, True)"),"Escherichia")</f>
        <v>Escherichia</v>
      </c>
      <c r="D2247" t="str">
        <f>IFERROR(__xludf.DUMMYFUNCTION("""COMPUTED_VALUE"""),"coli")</f>
        <v>coli</v>
      </c>
      <c r="E2247" t="str">
        <f>IFERROR(__xludf.DUMMYFUNCTION("""COMPUTED_VALUE"""),"strain")</f>
        <v>strain</v>
      </c>
      <c r="F2247" t="str">
        <f>IFERROR(__xludf.DUMMYFUNCTION("""COMPUTED_VALUE"""),"CFSAN029787")</f>
        <v>CFSAN029787</v>
      </c>
    </row>
    <row r="2248" ht="15.75" customHeight="1">
      <c r="A2248" t="str">
        <f t="shared" si="1"/>
        <v>E.coli</v>
      </c>
      <c r="B2248" s="5" t="s">
        <v>8267</v>
      </c>
      <c r="C2248" s="6" t="str">
        <f>IFERROR(__xludf.DUMMYFUNCTION("SPLIT('2. c'!B2248, "" "", True, True)"),"Escherichia")</f>
        <v>Escherichia</v>
      </c>
      <c r="D2248" t="str">
        <f>IFERROR(__xludf.DUMMYFUNCTION("""COMPUTED_VALUE"""),"coli")</f>
        <v>coli</v>
      </c>
      <c r="E2248" t="str">
        <f>IFERROR(__xludf.DUMMYFUNCTION("""COMPUTED_VALUE"""),"strain")</f>
        <v>strain</v>
      </c>
      <c r="F2248" t="str">
        <f>IFERROR(__xludf.DUMMYFUNCTION("""COMPUTED_VALUE"""),"CI5")</f>
        <v>CI5</v>
      </c>
    </row>
    <row r="2249" ht="15.75" customHeight="1">
      <c r="A2249" t="str">
        <f t="shared" si="1"/>
        <v>E.coli</v>
      </c>
      <c r="B2249" s="5" t="s">
        <v>8277</v>
      </c>
      <c r="C2249" s="6" t="str">
        <f>IFERROR(__xludf.DUMMYFUNCTION("SPLIT('2. c'!B2249, "" "", True, True)"),"Escherichia")</f>
        <v>Escherichia</v>
      </c>
      <c r="D2249" t="str">
        <f>IFERROR(__xludf.DUMMYFUNCTION("""COMPUTED_VALUE"""),"coli")</f>
        <v>coli</v>
      </c>
      <c r="E2249" t="str">
        <f>IFERROR(__xludf.DUMMYFUNCTION("""COMPUTED_VALUE"""),"strain")</f>
        <v>strain</v>
      </c>
      <c r="F2249" t="str">
        <f>IFERROR(__xludf.DUMMYFUNCTION("""COMPUTED_VALUE"""),"Co6114")</f>
        <v>Co6114</v>
      </c>
    </row>
    <row r="2250" ht="15.75" customHeight="1">
      <c r="A2250" t="str">
        <f t="shared" si="1"/>
        <v>E.coli</v>
      </c>
      <c r="B2250" s="5" t="s">
        <v>8287</v>
      </c>
      <c r="C2250" s="6" t="str">
        <f>IFERROR(__xludf.DUMMYFUNCTION("SPLIT('2. c'!B2250, "" "", True, True)"),"Escherichia")</f>
        <v>Escherichia</v>
      </c>
      <c r="D2250" t="str">
        <f>IFERROR(__xludf.DUMMYFUNCTION("""COMPUTED_VALUE"""),"coli")</f>
        <v>coli</v>
      </c>
      <c r="E2250" t="str">
        <f>IFERROR(__xludf.DUMMYFUNCTION("""COMPUTED_VALUE"""),"strain")</f>
        <v>strain</v>
      </c>
      <c r="F2250" t="str">
        <f>IFERROR(__xludf.DUMMYFUNCTION("""COMPUTED_VALUE"""),"CQSW20")</f>
        <v>CQSW20</v>
      </c>
    </row>
    <row r="2251" ht="15.75" customHeight="1">
      <c r="A2251" t="str">
        <f t="shared" si="1"/>
        <v>E.coli</v>
      </c>
      <c r="B2251" s="5" t="s">
        <v>8295</v>
      </c>
      <c r="C2251" s="6" t="str">
        <f>IFERROR(__xludf.DUMMYFUNCTION("SPLIT('2. c'!B2251, "" "", True, True)"),"Escherichia")</f>
        <v>Escherichia</v>
      </c>
      <c r="D2251" t="str">
        <f>IFERROR(__xludf.DUMMYFUNCTION("""COMPUTED_VALUE"""),"coli")</f>
        <v>coli</v>
      </c>
      <c r="E2251" t="str">
        <f>IFERROR(__xludf.DUMMYFUNCTION("""COMPUTED_VALUE"""),"strain")</f>
        <v>strain</v>
      </c>
      <c r="F2251" t="str">
        <f>IFERROR(__xludf.DUMMYFUNCTION("""COMPUTED_VALUE"""),"DH1Ec095")</f>
        <v>DH1Ec095</v>
      </c>
    </row>
    <row r="2252" ht="15.75" customHeight="1">
      <c r="A2252" t="str">
        <f t="shared" si="1"/>
        <v>E.coli</v>
      </c>
      <c r="B2252" s="5" t="s">
        <v>8306</v>
      </c>
      <c r="C2252" s="6" t="str">
        <f>IFERROR(__xludf.DUMMYFUNCTION("SPLIT('2. c'!B2252, "" "", True, True)"),"Escherichia")</f>
        <v>Escherichia</v>
      </c>
      <c r="D2252" t="str">
        <f>IFERROR(__xludf.DUMMYFUNCTION("""COMPUTED_VALUE"""),"coli")</f>
        <v>coli</v>
      </c>
      <c r="E2252" t="str">
        <f>IFERROR(__xludf.DUMMYFUNCTION("""COMPUTED_VALUE"""),"strain")</f>
        <v>strain</v>
      </c>
      <c r="F2252" t="str">
        <f>IFERROR(__xludf.DUMMYFUNCTION("""COMPUTED_VALUE"""),"DH1Ec104")</f>
        <v>DH1Ec104</v>
      </c>
    </row>
    <row r="2253" ht="15.75" customHeight="1">
      <c r="A2253" t="str">
        <f t="shared" si="1"/>
        <v>E.coli</v>
      </c>
      <c r="B2253" s="5" t="s">
        <v>8315</v>
      </c>
      <c r="C2253" s="6" t="str">
        <f>IFERROR(__xludf.DUMMYFUNCTION("SPLIT('2. c'!B2253, "" "", True, True)"),"Escherichia")</f>
        <v>Escherichia</v>
      </c>
      <c r="D2253" t="str">
        <f>IFERROR(__xludf.DUMMYFUNCTION("""COMPUTED_VALUE"""),"coli")</f>
        <v>coli</v>
      </c>
      <c r="E2253" t="str">
        <f>IFERROR(__xludf.DUMMYFUNCTION("""COMPUTED_VALUE"""),"strain")</f>
        <v>strain</v>
      </c>
      <c r="F2253" t="str">
        <f>IFERROR(__xludf.DUMMYFUNCTION("""COMPUTED_VALUE"""),"DH1Ec169")</f>
        <v>DH1Ec169</v>
      </c>
    </row>
    <row r="2254" ht="15.75" customHeight="1">
      <c r="A2254" t="str">
        <f t="shared" si="1"/>
        <v>E.coli</v>
      </c>
      <c r="B2254" s="5" t="s">
        <v>8320</v>
      </c>
      <c r="C2254" s="6" t="str">
        <f>IFERROR(__xludf.DUMMYFUNCTION("SPLIT('2. c'!B2254, "" "", True, True)"),"Escherichia")</f>
        <v>Escherichia</v>
      </c>
      <c r="D2254" t="str">
        <f>IFERROR(__xludf.DUMMYFUNCTION("""COMPUTED_VALUE"""),"coli")</f>
        <v>coli</v>
      </c>
      <c r="E2254" t="str">
        <f>IFERROR(__xludf.DUMMYFUNCTION("""COMPUTED_VALUE"""),"strain")</f>
        <v>strain</v>
      </c>
      <c r="F2254" t="str">
        <f>IFERROR(__xludf.DUMMYFUNCTION("""COMPUTED_VALUE"""),"Eco889")</f>
        <v>Eco889</v>
      </c>
    </row>
    <row r="2255" ht="15.75" customHeight="1">
      <c r="A2255" t="str">
        <f t="shared" si="1"/>
        <v>E.coli</v>
      </c>
      <c r="B2255" s="5" t="s">
        <v>8321</v>
      </c>
      <c r="C2255" s="6" t="str">
        <f>IFERROR(__xludf.DUMMYFUNCTION("SPLIT('2. c'!B2255, "" "", True, True)"),"Escherichia")</f>
        <v>Escherichia</v>
      </c>
      <c r="D2255" t="str">
        <f>IFERROR(__xludf.DUMMYFUNCTION("""COMPUTED_VALUE"""),"coli")</f>
        <v>coli</v>
      </c>
      <c r="E2255" t="str">
        <f>IFERROR(__xludf.DUMMYFUNCTION("""COMPUTED_VALUE"""),"strain")</f>
        <v>strain</v>
      </c>
      <c r="F2255" t="str">
        <f>IFERROR(__xludf.DUMMYFUNCTION("""COMPUTED_VALUE"""),"Ecol_448")</f>
        <v>Ecol_448</v>
      </c>
    </row>
    <row r="2256" ht="15.75" customHeight="1">
      <c r="A2256" t="str">
        <f t="shared" si="1"/>
        <v>E.coli</v>
      </c>
      <c r="B2256" s="5" t="s">
        <v>8327</v>
      </c>
      <c r="C2256" s="6" t="str">
        <f>IFERROR(__xludf.DUMMYFUNCTION("SPLIT('2. c'!B2256, "" "", True, True)"),"Escherichia")</f>
        <v>Escherichia</v>
      </c>
      <c r="D2256" t="str">
        <f>IFERROR(__xludf.DUMMYFUNCTION("""COMPUTED_VALUE"""),"coli")</f>
        <v>coli</v>
      </c>
      <c r="E2256" t="str">
        <f>IFERROR(__xludf.DUMMYFUNCTION("""COMPUTED_VALUE"""),"strain")</f>
        <v>strain</v>
      </c>
      <c r="F2256" t="str">
        <f>IFERROR(__xludf.DUMMYFUNCTION("""COMPUTED_VALUE"""),"Ecol_732")</f>
        <v>Ecol_732</v>
      </c>
    </row>
    <row r="2257" ht="15.75" customHeight="1">
      <c r="A2257" t="str">
        <f t="shared" si="1"/>
        <v>E.coli</v>
      </c>
      <c r="B2257" s="5" t="s">
        <v>8335</v>
      </c>
      <c r="C2257" s="6" t="str">
        <f>IFERROR(__xludf.DUMMYFUNCTION("SPLIT('2. c'!B2257, "" "", True, True)"),"Escherichia")</f>
        <v>Escherichia</v>
      </c>
      <c r="D2257" t="str">
        <f>IFERROR(__xludf.DUMMYFUNCTION("""COMPUTED_VALUE"""),"coli")</f>
        <v>coli</v>
      </c>
      <c r="E2257" t="str">
        <f>IFERROR(__xludf.DUMMYFUNCTION("""COMPUTED_VALUE"""),"strain")</f>
        <v>strain</v>
      </c>
      <c r="F2257" t="str">
        <f>IFERROR(__xludf.DUMMYFUNCTION("""COMPUTED_VALUE"""),"Ecol_743")</f>
        <v>Ecol_743</v>
      </c>
    </row>
    <row r="2258" ht="15.75" customHeight="1">
      <c r="A2258" t="str">
        <f t="shared" si="1"/>
        <v>E.coli</v>
      </c>
      <c r="B2258" s="5" t="s">
        <v>8344</v>
      </c>
      <c r="C2258" s="6" t="str">
        <f>IFERROR(__xludf.DUMMYFUNCTION("SPLIT('2. c'!B2258, "" "", True, True)"),"Escherichia")</f>
        <v>Escherichia</v>
      </c>
      <c r="D2258" t="str">
        <f>IFERROR(__xludf.DUMMYFUNCTION("""COMPUTED_VALUE"""),"coli")</f>
        <v>coli</v>
      </c>
      <c r="E2258" t="str">
        <f>IFERROR(__xludf.DUMMYFUNCTION("""COMPUTED_VALUE"""),"strain")</f>
        <v>strain</v>
      </c>
      <c r="F2258" t="str">
        <f>IFERROR(__xludf.DUMMYFUNCTION("""COMPUTED_VALUE"""),"Ecol_745")</f>
        <v>Ecol_745</v>
      </c>
    </row>
    <row r="2259" ht="15.75" customHeight="1">
      <c r="A2259" t="str">
        <f t="shared" si="1"/>
        <v>E.coli</v>
      </c>
      <c r="B2259" s="5" t="s">
        <v>8353</v>
      </c>
      <c r="C2259" s="6" t="str">
        <f>IFERROR(__xludf.DUMMYFUNCTION("SPLIT('2. c'!B2259, "" "", True, True)"),"Escherichia")</f>
        <v>Escherichia</v>
      </c>
      <c r="D2259" t="str">
        <f>IFERROR(__xludf.DUMMYFUNCTION("""COMPUTED_VALUE"""),"coli")</f>
        <v>coli</v>
      </c>
      <c r="E2259" t="str">
        <f>IFERROR(__xludf.DUMMYFUNCTION("""COMPUTED_VALUE"""),"strain")</f>
        <v>strain</v>
      </c>
      <c r="F2259" t="str">
        <f>IFERROR(__xludf.DUMMYFUNCTION("""COMPUTED_VALUE"""),"ECONIH2")</f>
        <v>ECONIH2</v>
      </c>
    </row>
    <row r="2260" ht="15.75" customHeight="1">
      <c r="A2260" t="str">
        <f t="shared" si="1"/>
        <v>E.coli</v>
      </c>
      <c r="B2260" s="5" t="s">
        <v>8365</v>
      </c>
      <c r="C2260" s="6" t="str">
        <f>IFERROR(__xludf.DUMMYFUNCTION("SPLIT('2. c'!B2260, "" "", True, True)"),"Escherichia")</f>
        <v>Escherichia</v>
      </c>
      <c r="D2260" t="str">
        <f>IFERROR(__xludf.DUMMYFUNCTION("""COMPUTED_VALUE"""),"coli")</f>
        <v>coli</v>
      </c>
      <c r="E2260" t="str">
        <f>IFERROR(__xludf.DUMMYFUNCTION("""COMPUTED_VALUE"""),"strain")</f>
        <v>strain</v>
      </c>
      <c r="F2260" t="str">
        <f>IFERROR(__xludf.DUMMYFUNCTION("""COMPUTED_VALUE"""),"ER1821R")</f>
        <v>ER1821R</v>
      </c>
    </row>
    <row r="2261" ht="15.75" customHeight="1">
      <c r="A2261" t="str">
        <f t="shared" si="1"/>
        <v>E.coli</v>
      </c>
      <c r="B2261" s="5" t="s">
        <v>8374</v>
      </c>
      <c r="C2261" s="6" t="str">
        <f>IFERROR(__xludf.DUMMYFUNCTION("SPLIT('2. c'!B2261, "" "", True, True)"),"Escherichia")</f>
        <v>Escherichia</v>
      </c>
      <c r="D2261" t="str">
        <f>IFERROR(__xludf.DUMMYFUNCTION("""COMPUTED_VALUE"""),"coli")</f>
        <v>coli</v>
      </c>
      <c r="E2261" t="str">
        <f>IFERROR(__xludf.DUMMYFUNCTION("""COMPUTED_VALUE"""),"strain")</f>
        <v>strain</v>
      </c>
      <c r="F2261" t="str">
        <f>IFERROR(__xludf.DUMMYFUNCTION("""COMPUTED_VALUE"""),"G749")</f>
        <v>G749</v>
      </c>
    </row>
    <row r="2262" ht="15.75" customHeight="1">
      <c r="A2262" t="str">
        <f t="shared" si="1"/>
        <v>E.coli</v>
      </c>
      <c r="B2262" s="5" t="s">
        <v>8381</v>
      </c>
      <c r="C2262" s="6" t="str">
        <f>IFERROR(__xludf.DUMMYFUNCTION("SPLIT('2. c'!B2262, "" "", True, True)"),"Escherichia")</f>
        <v>Escherichia</v>
      </c>
      <c r="D2262" t="str">
        <f>IFERROR(__xludf.DUMMYFUNCTION("""COMPUTED_VALUE"""),"coli")</f>
        <v>coli</v>
      </c>
      <c r="E2262" t="str">
        <f>IFERROR(__xludf.DUMMYFUNCTION("""COMPUTED_VALUE"""),"strain")</f>
        <v>strain</v>
      </c>
      <c r="F2262" t="str">
        <f>IFERROR(__xludf.DUMMYFUNCTION("""COMPUTED_VALUE"""),"HUSEC2011")</f>
        <v>HUSEC2011</v>
      </c>
    </row>
    <row r="2263" ht="15.75" customHeight="1">
      <c r="A2263" t="str">
        <f t="shared" si="1"/>
        <v>E.coli</v>
      </c>
      <c r="B2263" s="5" t="s">
        <v>8396</v>
      </c>
      <c r="C2263" s="6" t="str">
        <f>IFERROR(__xludf.DUMMYFUNCTION("SPLIT('2. c'!B2263, "" "", True, True)"),"Escherichia")</f>
        <v>Escherichia</v>
      </c>
      <c r="D2263" t="str">
        <f>IFERROR(__xludf.DUMMYFUNCTION("""COMPUTED_VALUE"""),"coli")</f>
        <v>coli</v>
      </c>
      <c r="E2263" t="str">
        <f>IFERROR(__xludf.DUMMYFUNCTION("""COMPUTED_VALUE"""),"strain")</f>
        <v>strain</v>
      </c>
      <c r="F2263" t="str">
        <f>IFERROR(__xludf.DUMMYFUNCTION("""COMPUTED_VALUE"""),"JEONG-1266")</f>
        <v>JEONG-1266</v>
      </c>
    </row>
    <row r="2264" ht="15.75" customHeight="1">
      <c r="A2264" t="str">
        <f t="shared" si="1"/>
        <v>E.coli</v>
      </c>
      <c r="B2264" s="5" t="s">
        <v>8405</v>
      </c>
      <c r="C2264" s="6" t="str">
        <f>IFERROR(__xludf.DUMMYFUNCTION("SPLIT('2. c'!B2264, "" "", True, True)"),"Escherichia")</f>
        <v>Escherichia</v>
      </c>
      <c r="D2264" t="str">
        <f>IFERROR(__xludf.DUMMYFUNCTION("""COMPUTED_VALUE"""),"coli")</f>
        <v>coli</v>
      </c>
      <c r="E2264" t="str">
        <f>IFERROR(__xludf.DUMMYFUNCTION("""COMPUTED_VALUE"""),"strain")</f>
        <v>strain</v>
      </c>
      <c r="F2264" t="str">
        <f>IFERROR(__xludf.DUMMYFUNCTION("""COMPUTED_VALUE"""),"JJ1897")</f>
        <v>JJ1897</v>
      </c>
    </row>
    <row r="2265" ht="15.75" customHeight="1">
      <c r="A2265" t="str">
        <f t="shared" si="1"/>
        <v>E.coli</v>
      </c>
      <c r="B2265" s="5" t="s">
        <v>8415</v>
      </c>
      <c r="C2265" s="6" t="str">
        <f>IFERROR(__xludf.DUMMYFUNCTION("SPLIT('2. c'!B2265, "" "", True, True)"),"Escherichia")</f>
        <v>Escherichia</v>
      </c>
      <c r="D2265" t="str">
        <f>IFERROR(__xludf.DUMMYFUNCTION("""COMPUTED_VALUE"""),"coli")</f>
        <v>coli</v>
      </c>
      <c r="E2265" t="str">
        <f>IFERROR(__xludf.DUMMYFUNCTION("""COMPUTED_VALUE"""),"strain")</f>
        <v>strain</v>
      </c>
      <c r="F2265" t="str">
        <f>IFERROR(__xludf.DUMMYFUNCTION("""COMPUTED_VALUE"""),"JJ2434")</f>
        <v>JJ2434</v>
      </c>
    </row>
    <row r="2266" ht="15.75" customHeight="1">
      <c r="A2266" t="str">
        <f t="shared" si="1"/>
        <v>E.coli</v>
      </c>
      <c r="B2266" s="5" t="s">
        <v>8422</v>
      </c>
      <c r="C2266" s="6" t="str">
        <f>IFERROR(__xludf.DUMMYFUNCTION("SPLIT('2. c'!B2266, "" "", True, True)"),"Escherichia")</f>
        <v>Escherichia</v>
      </c>
      <c r="D2266" t="str">
        <f>IFERROR(__xludf.DUMMYFUNCTION("""COMPUTED_VALUE"""),"coli")</f>
        <v>coli</v>
      </c>
      <c r="E2266" t="str">
        <f>IFERROR(__xludf.DUMMYFUNCTION("""COMPUTED_VALUE"""),"strain")</f>
        <v>strain</v>
      </c>
      <c r="F2266" t="str">
        <f>IFERROR(__xludf.DUMMYFUNCTION("""COMPUTED_VALUE"""),"K-12")</f>
        <v>K-12</v>
      </c>
      <c r="G2266" t="str">
        <f>IFERROR(__xludf.DUMMYFUNCTION("""COMPUTED_VALUE"""),"substr.")</f>
        <v>substr.</v>
      </c>
      <c r="H2266" t="str">
        <f>IFERROR(__xludf.DUMMYFUNCTION("""COMPUTED_VALUE"""),"HMS174")</f>
        <v>HMS174</v>
      </c>
    </row>
    <row r="2267" ht="15.75" customHeight="1">
      <c r="A2267" t="str">
        <f t="shared" si="1"/>
        <v>E.coli</v>
      </c>
      <c r="B2267" s="5" t="s">
        <v>8429</v>
      </c>
      <c r="C2267" s="6" t="str">
        <f>IFERROR(__xludf.DUMMYFUNCTION("SPLIT('2. c'!B2267, "" "", True, True)"),"Escherichia")</f>
        <v>Escherichia</v>
      </c>
      <c r="D2267" t="str">
        <f>IFERROR(__xludf.DUMMYFUNCTION("""COMPUTED_VALUE"""),"coli")</f>
        <v>coli</v>
      </c>
      <c r="E2267" t="str">
        <f>IFERROR(__xludf.DUMMYFUNCTION("""COMPUTED_VALUE"""),"strain")</f>
        <v>strain</v>
      </c>
      <c r="F2267" t="str">
        <f>IFERROR(__xludf.DUMMYFUNCTION("""COMPUTED_VALUE"""),"K-12")</f>
        <v>K-12</v>
      </c>
      <c r="G2267" t="str">
        <f>IFERROR(__xludf.DUMMYFUNCTION("""COMPUTED_VALUE"""),"substr.")</f>
        <v>substr.</v>
      </c>
      <c r="H2267" t="str">
        <f>IFERROR(__xludf.DUMMYFUNCTION("""COMPUTED_VALUE"""),"RV308")</f>
        <v>RV308</v>
      </c>
    </row>
    <row r="2268" ht="15.75" customHeight="1">
      <c r="A2268" t="str">
        <f t="shared" si="1"/>
        <v>E.coli</v>
      </c>
      <c r="B2268" s="5" t="s">
        <v>8439</v>
      </c>
      <c r="C2268" s="6" t="str">
        <f>IFERROR(__xludf.DUMMYFUNCTION("SPLIT('2. c'!B2268, "" "", True, True)"),"Escherichia")</f>
        <v>Escherichia</v>
      </c>
      <c r="D2268" t="str">
        <f>IFERROR(__xludf.DUMMYFUNCTION("""COMPUTED_VALUE"""),"coli")</f>
        <v>coli</v>
      </c>
      <c r="E2268" t="str">
        <f>IFERROR(__xludf.DUMMYFUNCTION("""COMPUTED_VALUE"""),"strain")</f>
        <v>strain</v>
      </c>
      <c r="F2268" t="str">
        <f>IFERROR(__xludf.DUMMYFUNCTION("""COMPUTED_VALUE"""),"K-12")</f>
        <v>K-12</v>
      </c>
      <c r="G2268" t="str">
        <f>IFERROR(__xludf.DUMMYFUNCTION("""COMPUTED_VALUE"""),"substrain")</f>
        <v>substrain</v>
      </c>
      <c r="H2268" t="str">
        <f>IFERROR(__xludf.DUMMYFUNCTION("""COMPUTED_VALUE"""),"MG1655_TMP32XR1")</f>
        <v>MG1655_TMP32XR1</v>
      </c>
    </row>
    <row r="2269" ht="15.75" customHeight="1">
      <c r="A2269" t="str">
        <f t="shared" si="1"/>
        <v>E.coli</v>
      </c>
      <c r="B2269" s="5" t="s">
        <v>8448</v>
      </c>
      <c r="C2269" s="6" t="str">
        <f>IFERROR(__xludf.DUMMYFUNCTION("SPLIT('2. c'!B2269, "" "", True, True)"),"Escherichia")</f>
        <v>Escherichia</v>
      </c>
      <c r="D2269" t="str">
        <f>IFERROR(__xludf.DUMMYFUNCTION("""COMPUTED_VALUE"""),"coli")</f>
        <v>coli</v>
      </c>
      <c r="E2269" t="str">
        <f>IFERROR(__xludf.DUMMYFUNCTION("""COMPUTED_VALUE"""),"strain")</f>
        <v>strain</v>
      </c>
      <c r="F2269" t="str">
        <f>IFERROR(__xludf.DUMMYFUNCTION("""COMPUTED_VALUE"""),"K-12")</f>
        <v>K-12</v>
      </c>
      <c r="G2269" t="str">
        <f>IFERROR(__xludf.DUMMYFUNCTION("""COMPUTED_VALUE"""),"substrain")</f>
        <v>substrain</v>
      </c>
      <c r="H2269" t="str">
        <f>IFERROR(__xludf.DUMMYFUNCTION("""COMPUTED_VALUE"""),"MG1655_TMP32XR2")</f>
        <v>MG1655_TMP32XR2</v>
      </c>
    </row>
    <row r="2270" ht="15.75" customHeight="1">
      <c r="A2270" t="str">
        <f t="shared" si="1"/>
        <v>E.coli</v>
      </c>
      <c r="B2270" s="5" t="s">
        <v>8456</v>
      </c>
      <c r="C2270" s="6" t="str">
        <f>IFERROR(__xludf.DUMMYFUNCTION("SPLIT('2. c'!B2270, "" "", True, True)"),"Escherichia")</f>
        <v>Escherichia</v>
      </c>
      <c r="D2270" t="str">
        <f>IFERROR(__xludf.DUMMYFUNCTION("""COMPUTED_VALUE"""),"coli")</f>
        <v>coli</v>
      </c>
      <c r="E2270" t="str">
        <f>IFERROR(__xludf.DUMMYFUNCTION("""COMPUTED_VALUE"""),"strain")</f>
        <v>strain</v>
      </c>
      <c r="F2270" t="str">
        <f>IFERROR(__xludf.DUMMYFUNCTION("""COMPUTED_VALUE"""),"MC1061")</f>
        <v>MC1061</v>
      </c>
    </row>
    <row r="2271" ht="15.75" customHeight="1">
      <c r="A2271" t="str">
        <f t="shared" si="1"/>
        <v>E.coli</v>
      </c>
      <c r="B2271" s="5" t="s">
        <v>8464</v>
      </c>
      <c r="C2271" s="6" t="str">
        <f>IFERROR(__xludf.DUMMYFUNCTION("SPLIT('2. c'!B2271, "" "", True, True)"),"Escherichia")</f>
        <v>Escherichia</v>
      </c>
      <c r="D2271" t="str">
        <f>IFERROR(__xludf.DUMMYFUNCTION("""COMPUTED_VALUE"""),"coli")</f>
        <v>coli</v>
      </c>
      <c r="E2271" t="str">
        <f>IFERROR(__xludf.DUMMYFUNCTION("""COMPUTED_VALUE"""),"strain")</f>
        <v>strain</v>
      </c>
      <c r="F2271" t="str">
        <f>IFERROR(__xludf.DUMMYFUNCTION("""COMPUTED_VALUE"""),"MNCRE44")</f>
        <v>MNCRE44</v>
      </c>
    </row>
    <row r="2272" ht="15.75" customHeight="1">
      <c r="A2272" t="str">
        <f t="shared" si="1"/>
        <v>E.coli</v>
      </c>
      <c r="B2272" s="5" t="s">
        <v>8473</v>
      </c>
      <c r="C2272" s="6" t="str">
        <f>IFERROR(__xludf.DUMMYFUNCTION("SPLIT('2. c'!B2272, "" "", True, True)"),"Escherichia")</f>
        <v>Escherichia</v>
      </c>
      <c r="D2272" t="str">
        <f>IFERROR(__xludf.DUMMYFUNCTION("""COMPUTED_VALUE"""),"coli")</f>
        <v>coli</v>
      </c>
      <c r="E2272" t="str">
        <f>IFERROR(__xludf.DUMMYFUNCTION("""COMPUTED_VALUE"""),"strain")</f>
        <v>strain</v>
      </c>
      <c r="F2272" t="str">
        <f>IFERROR(__xludf.DUMMYFUNCTION("""COMPUTED_VALUE"""),"MRE600")</f>
        <v>MRE600</v>
      </c>
    </row>
    <row r="2273" ht="15.75" customHeight="1">
      <c r="A2273" t="str">
        <f t="shared" si="1"/>
        <v>E.coli</v>
      </c>
      <c r="B2273" s="5" t="s">
        <v>8482</v>
      </c>
      <c r="C2273" s="6" t="str">
        <f>IFERROR(__xludf.DUMMYFUNCTION("SPLIT('2. c'!B2273, "" "", True, True)"),"Escherichia")</f>
        <v>Escherichia</v>
      </c>
      <c r="D2273" t="str">
        <f>IFERROR(__xludf.DUMMYFUNCTION("""COMPUTED_VALUE"""),"coli")</f>
        <v>coli</v>
      </c>
      <c r="E2273" t="str">
        <f>IFERROR(__xludf.DUMMYFUNCTION("""COMPUTED_VALUE"""),"strain")</f>
        <v>strain</v>
      </c>
      <c r="F2273" t="str">
        <f>IFERROR(__xludf.DUMMYFUNCTION("""COMPUTED_VALUE"""),"MVAST0167")</f>
        <v>MVAST0167</v>
      </c>
    </row>
    <row r="2274" ht="15.75" customHeight="1">
      <c r="A2274" t="str">
        <f t="shared" si="1"/>
        <v>E.coli</v>
      </c>
      <c r="B2274" s="5" t="s">
        <v>8489</v>
      </c>
      <c r="C2274" s="6" t="str">
        <f>IFERROR(__xludf.DUMMYFUNCTION("SPLIT('2. c'!B2274, "" "", True, True)"),"Escherichia")</f>
        <v>Escherichia</v>
      </c>
      <c r="D2274" t="str">
        <f>IFERROR(__xludf.DUMMYFUNCTION("""COMPUTED_VALUE"""),"coli")</f>
        <v>coli</v>
      </c>
      <c r="E2274" t="str">
        <f>IFERROR(__xludf.DUMMYFUNCTION("""COMPUTED_VALUE"""),"strain")</f>
        <v>strain</v>
      </c>
      <c r="F2274" t="str">
        <f>IFERROR(__xludf.DUMMYFUNCTION("""COMPUTED_VALUE"""),"NCM3722")</f>
        <v>NCM3722</v>
      </c>
    </row>
    <row r="2275" ht="15.75" customHeight="1">
      <c r="A2275" t="str">
        <f t="shared" si="1"/>
        <v>E.coli</v>
      </c>
      <c r="B2275" s="5" t="s">
        <v>8494</v>
      </c>
      <c r="C2275" s="6" t="str">
        <f>IFERROR(__xludf.DUMMYFUNCTION("SPLIT('2. c'!B2275, "" "", True, True)"),"Escherichia")</f>
        <v>Escherichia</v>
      </c>
      <c r="D2275" t="str">
        <f>IFERROR(__xludf.DUMMYFUNCTION("""COMPUTED_VALUE"""),"coli")</f>
        <v>coli</v>
      </c>
      <c r="E2275" t="str">
        <f>IFERROR(__xludf.DUMMYFUNCTION("""COMPUTED_VALUE"""),"strain")</f>
        <v>strain</v>
      </c>
      <c r="F2275" t="str">
        <f>IFERROR(__xludf.DUMMYFUNCTION("""COMPUTED_VALUE"""),"NCTC9001")</f>
        <v>NCTC9001</v>
      </c>
    </row>
    <row r="2276" ht="15.75" customHeight="1">
      <c r="A2276" t="str">
        <f t="shared" si="1"/>
        <v>E.coli</v>
      </c>
      <c r="B2276" s="5" t="s">
        <v>8506</v>
      </c>
      <c r="C2276" s="6" t="str">
        <f>IFERROR(__xludf.DUMMYFUNCTION("SPLIT('2. c'!B2276, "" "", True, True)"),"Escherichia")</f>
        <v>Escherichia</v>
      </c>
      <c r="D2276" t="str">
        <f>IFERROR(__xludf.DUMMYFUNCTION("""COMPUTED_VALUE"""),"coli")</f>
        <v>coli</v>
      </c>
      <c r="E2276" t="str">
        <f>IFERROR(__xludf.DUMMYFUNCTION("""COMPUTED_VALUE"""),"strain")</f>
        <v>strain</v>
      </c>
      <c r="F2276" t="str">
        <f>IFERROR(__xludf.DUMMYFUNCTION("""COMPUTED_VALUE"""),"NGF1")</f>
        <v>NGF1</v>
      </c>
    </row>
    <row r="2277" ht="15.75" customHeight="1">
      <c r="A2277" t="str">
        <f t="shared" si="1"/>
        <v>E.coli</v>
      </c>
      <c r="B2277" s="5" t="s">
        <v>8513</v>
      </c>
      <c r="C2277" s="6" t="str">
        <f>IFERROR(__xludf.DUMMYFUNCTION("SPLIT('2. c'!B2277, "" "", True, True)"),"Escherichia")</f>
        <v>Escherichia</v>
      </c>
      <c r="D2277" t="str">
        <f>IFERROR(__xludf.DUMMYFUNCTION("""COMPUTED_VALUE"""),"coli")</f>
        <v>coli</v>
      </c>
      <c r="E2277" t="str">
        <f>IFERROR(__xludf.DUMMYFUNCTION("""COMPUTED_VALUE"""),"strain")</f>
        <v>strain</v>
      </c>
      <c r="F2277" t="str">
        <f>IFERROR(__xludf.DUMMYFUNCTION("""COMPUTED_VALUE"""),"PPECC42")</f>
        <v>PPECC42</v>
      </c>
    </row>
    <row r="2278" ht="15.75" customHeight="1">
      <c r="A2278" t="str">
        <f t="shared" si="1"/>
        <v>E.coli</v>
      </c>
      <c r="B2278" s="5" t="s">
        <v>8523</v>
      </c>
      <c r="C2278" s="6" t="str">
        <f>IFERROR(__xludf.DUMMYFUNCTION("SPLIT('2. c'!B2278, "" "", True, True)"),"Escherichia")</f>
        <v>Escherichia</v>
      </c>
      <c r="D2278" t="str">
        <f>IFERROR(__xludf.DUMMYFUNCTION("""COMPUTED_VALUE"""),"coli")</f>
        <v>coli</v>
      </c>
      <c r="E2278" t="str">
        <f>IFERROR(__xludf.DUMMYFUNCTION("""COMPUTED_VALUE"""),"strain")</f>
        <v>strain</v>
      </c>
      <c r="F2278" t="str">
        <f>IFERROR(__xludf.DUMMYFUNCTION("""COMPUTED_VALUE"""),"RR1")</f>
        <v>RR1</v>
      </c>
    </row>
    <row r="2279" ht="15.75" customHeight="1">
      <c r="A2279" t="str">
        <f t="shared" si="1"/>
        <v>E.coli</v>
      </c>
      <c r="B2279" s="5" t="s">
        <v>8533</v>
      </c>
      <c r="C2279" s="6" t="str">
        <f>IFERROR(__xludf.DUMMYFUNCTION("SPLIT('2. c'!B2279, "" "", True, True)"),"Escherichia")</f>
        <v>Escherichia</v>
      </c>
      <c r="D2279" t="str">
        <f>IFERROR(__xludf.DUMMYFUNCTION("""COMPUTED_VALUE"""),"coli")</f>
        <v>coli</v>
      </c>
      <c r="E2279" t="str">
        <f>IFERROR(__xludf.DUMMYFUNCTION("""COMPUTED_VALUE"""),"strain")</f>
        <v>strain</v>
      </c>
      <c r="F2279" t="str">
        <f>IFERROR(__xludf.DUMMYFUNCTION("""COMPUTED_VALUE"""),"RS76")</f>
        <v>RS76</v>
      </c>
    </row>
    <row r="2280" ht="15.75" customHeight="1">
      <c r="A2280" t="str">
        <f t="shared" si="1"/>
        <v>E.coli</v>
      </c>
      <c r="B2280" s="5" t="s">
        <v>8539</v>
      </c>
      <c r="C2280" s="6" t="str">
        <f>IFERROR(__xludf.DUMMYFUNCTION("SPLIT('2. c'!B2280, "" "", True, True)"),"Escherichia")</f>
        <v>Escherichia</v>
      </c>
      <c r="D2280" t="str">
        <f>IFERROR(__xludf.DUMMYFUNCTION("""COMPUTED_VALUE"""),"coli")</f>
        <v>coli</v>
      </c>
      <c r="E2280" t="str">
        <f>IFERROR(__xludf.DUMMYFUNCTION("""COMPUTED_VALUE"""),"strain")</f>
        <v>strain</v>
      </c>
      <c r="F2280" t="str">
        <f>IFERROR(__xludf.DUMMYFUNCTION("""COMPUTED_VALUE"""),"S51")</f>
        <v>S51</v>
      </c>
    </row>
    <row r="2281" ht="15.75" customHeight="1">
      <c r="A2281" t="str">
        <f t="shared" si="1"/>
        <v>E.coli</v>
      </c>
      <c r="B2281" s="5" t="s">
        <v>8544</v>
      </c>
      <c r="C2281" s="6" t="str">
        <f>IFERROR(__xludf.DUMMYFUNCTION("SPLIT('2. c'!B2281, "" "", True, True)"),"Escherichia")</f>
        <v>Escherichia</v>
      </c>
      <c r="D2281" t="str">
        <f>IFERROR(__xludf.DUMMYFUNCTION("""COMPUTED_VALUE"""),"coli")</f>
        <v>coli</v>
      </c>
      <c r="E2281" t="str">
        <f>IFERROR(__xludf.DUMMYFUNCTION("""COMPUTED_VALUE"""),"strain")</f>
        <v>strain</v>
      </c>
      <c r="F2281" t="str">
        <f>IFERROR(__xludf.DUMMYFUNCTION("""COMPUTED_VALUE"""),"SaT040")</f>
        <v>SaT040</v>
      </c>
    </row>
    <row r="2282" ht="15.75" customHeight="1">
      <c r="A2282" t="str">
        <f t="shared" si="1"/>
        <v>E.coli</v>
      </c>
      <c r="B2282" s="5" t="s">
        <v>8552</v>
      </c>
      <c r="C2282" s="6" t="str">
        <f>IFERROR(__xludf.DUMMYFUNCTION("SPLIT('2. c'!B2282, "" "", True, True)"),"Escherichia")</f>
        <v>Escherichia</v>
      </c>
      <c r="D2282" t="str">
        <f>IFERROR(__xludf.DUMMYFUNCTION("""COMPUTED_VALUE"""),"coli")</f>
        <v>coli</v>
      </c>
      <c r="E2282" t="str">
        <f>IFERROR(__xludf.DUMMYFUNCTION("""COMPUTED_VALUE"""),"strain")</f>
        <v>strain</v>
      </c>
      <c r="F2282" t="str">
        <f>IFERROR(__xludf.DUMMYFUNCTION("""COMPUTED_VALUE"""),"SEC470")</f>
        <v>SEC470</v>
      </c>
    </row>
    <row r="2283" ht="15.75" customHeight="1">
      <c r="A2283" t="str">
        <f t="shared" si="1"/>
        <v>E.coli</v>
      </c>
      <c r="B2283" s="5" t="s">
        <v>8552</v>
      </c>
      <c r="C2283" s="6" t="str">
        <f>IFERROR(__xludf.DUMMYFUNCTION("SPLIT('2. c'!B2283, "" "", True, True)"),"Escherichia")</f>
        <v>Escherichia</v>
      </c>
      <c r="D2283" t="str">
        <f>IFERROR(__xludf.DUMMYFUNCTION("""COMPUTED_VALUE"""),"coli")</f>
        <v>coli</v>
      </c>
      <c r="E2283" t="str">
        <f>IFERROR(__xludf.DUMMYFUNCTION("""COMPUTED_VALUE"""),"strain")</f>
        <v>strain</v>
      </c>
      <c r="F2283" t="str">
        <f>IFERROR(__xludf.DUMMYFUNCTION("""COMPUTED_VALUE"""),"SEC470")</f>
        <v>SEC470</v>
      </c>
    </row>
    <row r="2284" ht="15.75" customHeight="1">
      <c r="A2284" t="str">
        <f t="shared" si="1"/>
        <v>E.coli</v>
      </c>
      <c r="B2284" s="5" t="s">
        <v>8568</v>
      </c>
      <c r="C2284" s="6" t="str">
        <f>IFERROR(__xludf.DUMMYFUNCTION("SPLIT('2. c'!B2284, "" "", True, True)"),"Escherichia")</f>
        <v>Escherichia</v>
      </c>
      <c r="D2284" t="str">
        <f>IFERROR(__xludf.DUMMYFUNCTION("""COMPUTED_VALUE"""),"coli")</f>
        <v>coli</v>
      </c>
      <c r="E2284" t="str">
        <f>IFERROR(__xludf.DUMMYFUNCTION("""COMPUTED_VALUE"""),"strain")</f>
        <v>strain</v>
      </c>
      <c r="F2284" t="str">
        <f>IFERROR(__xludf.DUMMYFUNCTION("""COMPUTED_VALUE"""),"SF-088")</f>
        <v>SF-088</v>
      </c>
    </row>
    <row r="2285" ht="15.75" customHeight="1">
      <c r="A2285" t="str">
        <f t="shared" si="1"/>
        <v>E.coli</v>
      </c>
      <c r="B2285" s="5" t="s">
        <v>8577</v>
      </c>
      <c r="C2285" s="6" t="str">
        <f>IFERROR(__xludf.DUMMYFUNCTION("SPLIT('2. c'!B2285, "" "", True, True)"),"Escherichia")</f>
        <v>Escherichia</v>
      </c>
      <c r="D2285" t="str">
        <f>IFERROR(__xludf.DUMMYFUNCTION("""COMPUTED_VALUE"""),"coli")</f>
        <v>coli</v>
      </c>
      <c r="E2285" t="str">
        <f>IFERROR(__xludf.DUMMYFUNCTION("""COMPUTED_VALUE"""),"strain")</f>
        <v>strain</v>
      </c>
      <c r="F2285" t="str">
        <f>IFERROR(__xludf.DUMMYFUNCTION("""COMPUTED_VALUE"""),"SF-166")</f>
        <v>SF-166</v>
      </c>
    </row>
    <row r="2286" ht="15.75" customHeight="1">
      <c r="A2286" t="str">
        <f t="shared" si="1"/>
        <v>E.coli</v>
      </c>
      <c r="B2286" s="5" t="s">
        <v>8583</v>
      </c>
      <c r="C2286" s="6" t="str">
        <f>IFERROR(__xludf.DUMMYFUNCTION("SPLIT('2. c'!B2286, "" "", True, True)"),"Escherichia")</f>
        <v>Escherichia</v>
      </c>
      <c r="D2286" t="str">
        <f>IFERROR(__xludf.DUMMYFUNCTION("""COMPUTED_VALUE"""),"coli")</f>
        <v>coli</v>
      </c>
      <c r="E2286" t="str">
        <f>IFERROR(__xludf.DUMMYFUNCTION("""COMPUTED_VALUE"""),"strain")</f>
        <v>strain</v>
      </c>
      <c r="F2286" t="str">
        <f>IFERROR(__xludf.DUMMYFUNCTION("""COMPUTED_VALUE"""),"SF-173")</f>
        <v>SF-173</v>
      </c>
    </row>
    <row r="2287" ht="15.75" customHeight="1">
      <c r="A2287" t="str">
        <f t="shared" si="1"/>
        <v>E.coli</v>
      </c>
      <c r="B2287" s="5" t="s">
        <v>8590</v>
      </c>
      <c r="C2287" s="6" t="str">
        <f>IFERROR(__xludf.DUMMYFUNCTION("SPLIT('2. c'!B2287, "" "", True, True)"),"Escherichia")</f>
        <v>Escherichia</v>
      </c>
      <c r="D2287" t="str">
        <f>IFERROR(__xludf.DUMMYFUNCTION("""COMPUTED_VALUE"""),"coli")</f>
        <v>coli</v>
      </c>
      <c r="E2287" t="str">
        <f>IFERROR(__xludf.DUMMYFUNCTION("""COMPUTED_VALUE"""),"strain")</f>
        <v>strain</v>
      </c>
      <c r="F2287" t="str">
        <f>IFERROR(__xludf.DUMMYFUNCTION("""COMPUTED_VALUE"""),"SF-468")</f>
        <v>SF-468</v>
      </c>
    </row>
    <row r="2288" ht="15.75" customHeight="1">
      <c r="A2288" t="str">
        <f t="shared" si="1"/>
        <v>E.coli</v>
      </c>
      <c r="B2288" s="5" t="s">
        <v>8594</v>
      </c>
      <c r="C2288" s="6" t="str">
        <f>IFERROR(__xludf.DUMMYFUNCTION("SPLIT('2. c'!B2288, "" "", True, True)"),"Escherichia")</f>
        <v>Escherichia</v>
      </c>
      <c r="D2288" t="str">
        <f>IFERROR(__xludf.DUMMYFUNCTION("""COMPUTED_VALUE"""),"coli")</f>
        <v>coli</v>
      </c>
      <c r="E2288" t="str">
        <f>IFERROR(__xludf.DUMMYFUNCTION("""COMPUTED_VALUE"""),"strain")</f>
        <v>strain</v>
      </c>
      <c r="F2288" t="str">
        <f>IFERROR(__xludf.DUMMYFUNCTION("""COMPUTED_VALUE"""),"SQ110")</f>
        <v>SQ110</v>
      </c>
    </row>
    <row r="2289" ht="15.75" customHeight="1">
      <c r="A2289" t="str">
        <f t="shared" si="1"/>
        <v>E.coli</v>
      </c>
      <c r="B2289" s="5" t="s">
        <v>8599</v>
      </c>
      <c r="C2289" s="6" t="str">
        <f>IFERROR(__xludf.DUMMYFUNCTION("SPLIT('2. c'!B2289, "" "", True, True)"),"Escherichia")</f>
        <v>Escherichia</v>
      </c>
      <c r="D2289" t="str">
        <f>IFERROR(__xludf.DUMMYFUNCTION("""COMPUTED_VALUE"""),"coli")</f>
        <v>coli</v>
      </c>
      <c r="E2289" t="str">
        <f>IFERROR(__xludf.DUMMYFUNCTION("""COMPUTED_VALUE"""),"strain")</f>
        <v>strain</v>
      </c>
      <c r="F2289" t="str">
        <f>IFERROR(__xludf.DUMMYFUNCTION("""COMPUTED_VALUE"""),"SQ171")</f>
        <v>SQ171</v>
      </c>
    </row>
    <row r="2290" ht="15.75" customHeight="1">
      <c r="A2290" t="str">
        <f t="shared" si="1"/>
        <v>E.coli</v>
      </c>
      <c r="B2290" s="5" t="s">
        <v>8609</v>
      </c>
      <c r="C2290" s="6" t="str">
        <f>IFERROR(__xludf.DUMMYFUNCTION("SPLIT('2. c'!B2290, "" "", True, True)"),"Escherichia")</f>
        <v>Escherichia</v>
      </c>
      <c r="D2290" t="str">
        <f>IFERROR(__xludf.DUMMYFUNCTION("""COMPUTED_VALUE"""),"coli")</f>
        <v>coli</v>
      </c>
      <c r="E2290" t="str">
        <f>IFERROR(__xludf.DUMMYFUNCTION("""COMPUTED_VALUE"""),"strain")</f>
        <v>strain</v>
      </c>
      <c r="F2290" t="str">
        <f>IFERROR(__xludf.DUMMYFUNCTION("""COMPUTED_VALUE"""),"SQ2203")</f>
        <v>SQ2203</v>
      </c>
    </row>
    <row r="2291" ht="15.75" customHeight="1">
      <c r="A2291" t="str">
        <f t="shared" si="1"/>
        <v>E.coli</v>
      </c>
      <c r="B2291" s="5" t="s">
        <v>8617</v>
      </c>
      <c r="C2291" s="6" t="str">
        <f>IFERROR(__xludf.DUMMYFUNCTION("SPLIT('2. c'!B2291, "" "", True, True)"),"Escherichia")</f>
        <v>Escherichia</v>
      </c>
      <c r="D2291" t="str">
        <f>IFERROR(__xludf.DUMMYFUNCTION("""COMPUTED_VALUE"""),"coli")</f>
        <v>coli</v>
      </c>
      <c r="E2291" t="str">
        <f>IFERROR(__xludf.DUMMYFUNCTION("""COMPUTED_VALUE"""),"strain")</f>
        <v>strain</v>
      </c>
      <c r="F2291" t="str">
        <f>IFERROR(__xludf.DUMMYFUNCTION("""COMPUTED_VALUE"""),"SQ37")</f>
        <v>SQ37</v>
      </c>
    </row>
    <row r="2292" ht="15.75" customHeight="1">
      <c r="A2292" t="str">
        <f t="shared" si="1"/>
        <v>E.coli</v>
      </c>
      <c r="B2292" s="5" t="s">
        <v>8625</v>
      </c>
      <c r="C2292" s="6" t="str">
        <f>IFERROR(__xludf.DUMMYFUNCTION("SPLIT('2. c'!B2292, "" "", True, True)"),"Escherichia")</f>
        <v>Escherichia</v>
      </c>
      <c r="D2292" t="str">
        <f>IFERROR(__xludf.DUMMYFUNCTION("""COMPUTED_VALUE"""),"coli")</f>
        <v>coli</v>
      </c>
      <c r="E2292" t="str">
        <f>IFERROR(__xludf.DUMMYFUNCTION("""COMPUTED_VALUE"""),"strain")</f>
        <v>strain</v>
      </c>
      <c r="F2292" t="str">
        <f>IFERROR(__xludf.DUMMYFUNCTION("""COMPUTED_VALUE"""),"SQ88")</f>
        <v>SQ88</v>
      </c>
    </row>
    <row r="2293" ht="15.75" customHeight="1">
      <c r="A2293" t="str">
        <f t="shared" si="1"/>
        <v>E.coli</v>
      </c>
      <c r="B2293" s="5" t="s">
        <v>8633</v>
      </c>
      <c r="C2293" s="6" t="str">
        <f>IFERROR(__xludf.DUMMYFUNCTION("SPLIT('2. c'!B2293, "" "", True, True)"),"Escherichia")</f>
        <v>Escherichia</v>
      </c>
      <c r="D2293" t="str">
        <f>IFERROR(__xludf.DUMMYFUNCTION("""COMPUTED_VALUE"""),"coli")</f>
        <v>coli</v>
      </c>
      <c r="E2293" t="str">
        <f>IFERROR(__xludf.DUMMYFUNCTION("""COMPUTED_VALUE"""),"strain")</f>
        <v>strain</v>
      </c>
      <c r="F2293" t="str">
        <f>IFERROR(__xludf.DUMMYFUNCTION("""COMPUTED_VALUE"""),"ST2747")</f>
        <v>ST2747</v>
      </c>
    </row>
    <row r="2294" ht="15.75" customHeight="1">
      <c r="A2294" t="str">
        <f t="shared" si="1"/>
        <v>E.coli</v>
      </c>
      <c r="B2294" s="5" t="s">
        <v>8633</v>
      </c>
      <c r="C2294" s="6" t="str">
        <f>IFERROR(__xludf.DUMMYFUNCTION("SPLIT('2. c'!B2294, "" "", True, True)"),"Escherichia")</f>
        <v>Escherichia</v>
      </c>
      <c r="D2294" t="str">
        <f>IFERROR(__xludf.DUMMYFUNCTION("""COMPUTED_VALUE"""),"coli")</f>
        <v>coli</v>
      </c>
      <c r="E2294" t="str">
        <f>IFERROR(__xludf.DUMMYFUNCTION("""COMPUTED_VALUE"""),"strain")</f>
        <v>strain</v>
      </c>
      <c r="F2294" t="str">
        <f>IFERROR(__xludf.DUMMYFUNCTION("""COMPUTED_VALUE"""),"ST2747")</f>
        <v>ST2747</v>
      </c>
    </row>
    <row r="2295" ht="15.75" customHeight="1">
      <c r="A2295" t="str">
        <f t="shared" si="1"/>
        <v>E.coli</v>
      </c>
      <c r="B2295" s="5" t="s">
        <v>8633</v>
      </c>
      <c r="C2295" s="6" t="str">
        <f>IFERROR(__xludf.DUMMYFUNCTION("SPLIT('2. c'!B2295, "" "", True, True)"),"Escherichia")</f>
        <v>Escherichia</v>
      </c>
      <c r="D2295" t="str">
        <f>IFERROR(__xludf.DUMMYFUNCTION("""COMPUTED_VALUE"""),"coli")</f>
        <v>coli</v>
      </c>
      <c r="E2295" t="str">
        <f>IFERROR(__xludf.DUMMYFUNCTION("""COMPUTED_VALUE"""),"strain")</f>
        <v>strain</v>
      </c>
      <c r="F2295" t="str">
        <f>IFERROR(__xludf.DUMMYFUNCTION("""COMPUTED_VALUE"""),"ST2747")</f>
        <v>ST2747</v>
      </c>
    </row>
    <row r="2296" ht="15.75" customHeight="1">
      <c r="A2296" t="str">
        <f t="shared" si="1"/>
        <v>E.coli</v>
      </c>
      <c r="B2296" s="5" t="s">
        <v>8656</v>
      </c>
      <c r="C2296" s="6" t="str">
        <f>IFERROR(__xludf.DUMMYFUNCTION("SPLIT('2. c'!B2296, "" "", True, True)"),"Escherichia")</f>
        <v>Escherichia</v>
      </c>
      <c r="D2296" t="str">
        <f>IFERROR(__xludf.DUMMYFUNCTION("""COMPUTED_VALUE"""),"coli")</f>
        <v>coli</v>
      </c>
      <c r="E2296" t="str">
        <f>IFERROR(__xludf.DUMMYFUNCTION("""COMPUTED_VALUE"""),"strain")</f>
        <v>strain</v>
      </c>
      <c r="F2296" t="str">
        <f>IFERROR(__xludf.DUMMYFUNCTION("""COMPUTED_VALUE"""),"ST540")</f>
        <v>ST540</v>
      </c>
    </row>
    <row r="2297" ht="15.75" customHeight="1">
      <c r="A2297" t="str">
        <f t="shared" si="1"/>
        <v>E.coli</v>
      </c>
      <c r="B2297" s="5" t="s">
        <v>8656</v>
      </c>
      <c r="C2297" s="6" t="str">
        <f>IFERROR(__xludf.DUMMYFUNCTION("SPLIT('2. c'!B2297, "" "", True, True)"),"Escherichia")</f>
        <v>Escherichia</v>
      </c>
      <c r="D2297" t="str">
        <f>IFERROR(__xludf.DUMMYFUNCTION("""COMPUTED_VALUE"""),"coli")</f>
        <v>coli</v>
      </c>
      <c r="E2297" t="str">
        <f>IFERROR(__xludf.DUMMYFUNCTION("""COMPUTED_VALUE"""),"strain")</f>
        <v>strain</v>
      </c>
      <c r="F2297" t="str">
        <f>IFERROR(__xludf.DUMMYFUNCTION("""COMPUTED_VALUE"""),"ST540")</f>
        <v>ST540</v>
      </c>
    </row>
    <row r="2298" ht="15.75" customHeight="1">
      <c r="A2298" t="str">
        <f t="shared" si="1"/>
        <v>E.coli</v>
      </c>
      <c r="B2298" s="5" t="s">
        <v>8656</v>
      </c>
      <c r="C2298" s="6" t="str">
        <f>IFERROR(__xludf.DUMMYFUNCTION("SPLIT('2. c'!B2298, "" "", True, True)"),"Escherichia")</f>
        <v>Escherichia</v>
      </c>
      <c r="D2298" t="str">
        <f>IFERROR(__xludf.DUMMYFUNCTION("""COMPUTED_VALUE"""),"coli")</f>
        <v>coli</v>
      </c>
      <c r="E2298" t="str">
        <f>IFERROR(__xludf.DUMMYFUNCTION("""COMPUTED_VALUE"""),"strain")</f>
        <v>strain</v>
      </c>
      <c r="F2298" t="str">
        <f>IFERROR(__xludf.DUMMYFUNCTION("""COMPUTED_VALUE"""),"ST540")</f>
        <v>ST540</v>
      </c>
    </row>
    <row r="2299" ht="15.75" customHeight="1">
      <c r="A2299" t="str">
        <f t="shared" si="1"/>
        <v>E.coli</v>
      </c>
      <c r="B2299" s="5" t="s">
        <v>8677</v>
      </c>
      <c r="C2299" s="6" t="str">
        <f>IFERROR(__xludf.DUMMYFUNCTION("SPLIT('2. c'!B2299, "" "", True, True)"),"Escherichia")</f>
        <v>Escherichia</v>
      </c>
      <c r="D2299" t="str">
        <f>IFERROR(__xludf.DUMMYFUNCTION("""COMPUTED_VALUE"""),"coli")</f>
        <v>coli</v>
      </c>
      <c r="E2299" t="str">
        <f>IFERROR(__xludf.DUMMYFUNCTION("""COMPUTED_VALUE"""),"strain")</f>
        <v>strain</v>
      </c>
      <c r="F2299" t="str">
        <f>IFERROR(__xludf.DUMMYFUNCTION("""COMPUTED_VALUE"""),"ST648")</f>
        <v>ST648</v>
      </c>
    </row>
    <row r="2300" ht="15.75" customHeight="1">
      <c r="A2300" t="str">
        <f t="shared" si="1"/>
        <v>E.coli</v>
      </c>
      <c r="B2300" s="5" t="s">
        <v>8687</v>
      </c>
      <c r="C2300" s="6" t="str">
        <f>IFERROR(__xludf.DUMMYFUNCTION("SPLIT('2. c'!B2300, "" "", True, True)"),"Escherichia")</f>
        <v>Escherichia</v>
      </c>
      <c r="D2300" t="str">
        <f>IFERROR(__xludf.DUMMYFUNCTION("""COMPUTED_VALUE"""),"coli")</f>
        <v>coli</v>
      </c>
      <c r="E2300" t="str">
        <f>IFERROR(__xludf.DUMMYFUNCTION("""COMPUTED_VALUE"""),"strain")</f>
        <v>strain</v>
      </c>
      <c r="F2300" t="str">
        <f>IFERROR(__xludf.DUMMYFUNCTION("""COMPUTED_VALUE"""),"uk_P46212")</f>
        <v>uk_P46212</v>
      </c>
    </row>
    <row r="2301" ht="15.75" customHeight="1">
      <c r="A2301" t="str">
        <f t="shared" si="1"/>
        <v>E.coli</v>
      </c>
      <c r="B2301" s="5" t="s">
        <v>8699</v>
      </c>
      <c r="C2301" s="6" t="str">
        <f>IFERROR(__xludf.DUMMYFUNCTION("SPLIT('2. c'!B2301, "" "", True, True)"),"Escherichia")</f>
        <v>Escherichia</v>
      </c>
      <c r="D2301" t="str">
        <f>IFERROR(__xludf.DUMMYFUNCTION("""COMPUTED_VALUE"""),"coli")</f>
        <v>coli</v>
      </c>
      <c r="E2301" t="str">
        <f>IFERROR(__xludf.DUMMYFUNCTION("""COMPUTED_VALUE"""),"strain")</f>
        <v>strain</v>
      </c>
      <c r="F2301" t="str">
        <f>IFERROR(__xludf.DUMMYFUNCTION("""COMPUTED_VALUE"""),"YD786")</f>
        <v>YD786</v>
      </c>
    </row>
    <row r="2302" ht="15.75" customHeight="1">
      <c r="A2302" t="str">
        <f t="shared" si="1"/>
        <v>E.coli</v>
      </c>
      <c r="B2302" s="5" t="s">
        <v>8708</v>
      </c>
      <c r="C2302" s="6" t="str">
        <f>IFERROR(__xludf.DUMMYFUNCTION("SPLIT('2. c'!B2302, "" "", True, True)"),"Escherichia")</f>
        <v>Escherichia</v>
      </c>
      <c r="D2302" t="str">
        <f>IFERROR(__xludf.DUMMYFUNCTION("""COMPUTED_VALUE"""),"coli")</f>
        <v>coli</v>
      </c>
      <c r="E2302" t="str">
        <f>IFERROR(__xludf.DUMMYFUNCTION("""COMPUTED_VALUE"""),"strain")</f>
        <v>strain</v>
      </c>
      <c r="F2302" t="str">
        <f>IFERROR(__xludf.DUMMYFUNCTION("""COMPUTED_VALUE"""),"ZH063")</f>
        <v>ZH063</v>
      </c>
    </row>
    <row r="2303" ht="15.75" customHeight="1">
      <c r="A2303" t="str">
        <f t="shared" si="1"/>
        <v>E.coli</v>
      </c>
      <c r="B2303" s="5" t="s">
        <v>8719</v>
      </c>
      <c r="C2303" s="6" t="str">
        <f>IFERROR(__xludf.DUMMYFUNCTION("SPLIT('2. c'!B2303, "" "", True, True)"),"Escherichia")</f>
        <v>Escherichia</v>
      </c>
      <c r="D2303" t="str">
        <f>IFERROR(__xludf.DUMMYFUNCTION("""COMPUTED_VALUE"""),"coli")</f>
        <v>coli</v>
      </c>
      <c r="E2303" t="str">
        <f>IFERROR(__xludf.DUMMYFUNCTION("""COMPUTED_VALUE"""),"strain")</f>
        <v>strain</v>
      </c>
      <c r="F2303" t="str">
        <f>IFERROR(__xludf.DUMMYFUNCTION("""COMPUTED_VALUE"""),"ZH193")</f>
        <v>ZH193</v>
      </c>
    </row>
    <row r="2304" ht="15.75" customHeight="1">
      <c r="A2304" t="str">
        <f t="shared" si="1"/>
        <v>E.coli</v>
      </c>
      <c r="B2304" s="5" t="s">
        <v>8731</v>
      </c>
      <c r="C2304" s="6" t="str">
        <f>IFERROR(__xludf.DUMMYFUNCTION("SPLIT('2. c'!B2304, "" "", True, True)"),"Escherichia")</f>
        <v>Escherichia</v>
      </c>
      <c r="D2304" t="str">
        <f>IFERROR(__xludf.DUMMYFUNCTION("""COMPUTED_VALUE"""),"coli")</f>
        <v>coli</v>
      </c>
      <c r="E2304" t="str">
        <f>IFERROR(__xludf.DUMMYFUNCTION("""COMPUTED_VALUE"""),"UM146")</f>
        <v>UM146</v>
      </c>
    </row>
    <row r="2305" ht="15.75" customHeight="1">
      <c r="A2305" t="str">
        <f t="shared" si="1"/>
        <v>E.coli</v>
      </c>
      <c r="B2305" s="5" t="s">
        <v>8740</v>
      </c>
      <c r="C2305" s="6" t="str">
        <f>IFERROR(__xludf.DUMMYFUNCTION("SPLIT('2. c'!B2305, "" "", True, True)"),"Escherichia")</f>
        <v>Escherichia</v>
      </c>
      <c r="D2305" t="str">
        <f>IFERROR(__xludf.DUMMYFUNCTION("""COMPUTED_VALUE"""),"coli")</f>
        <v>coli</v>
      </c>
      <c r="E2305" t="str">
        <f>IFERROR(__xludf.DUMMYFUNCTION("""COMPUTED_VALUE"""),"UMN026")</f>
        <v>UMN026</v>
      </c>
    </row>
    <row r="2306" ht="15.75" customHeight="1">
      <c r="A2306" t="str">
        <f t="shared" si="1"/>
        <v>E.coli</v>
      </c>
      <c r="B2306" s="5" t="s">
        <v>8747</v>
      </c>
      <c r="C2306" s="6" t="str">
        <f>IFERROR(__xludf.DUMMYFUNCTION("SPLIT('2. c'!B2306, "" "", True, True)"),"Escherichia")</f>
        <v>Escherichia</v>
      </c>
      <c r="D2306" t="str">
        <f>IFERROR(__xludf.DUMMYFUNCTION("""COMPUTED_VALUE"""),"coli")</f>
        <v>coli</v>
      </c>
      <c r="E2306" t="str">
        <f>IFERROR(__xludf.DUMMYFUNCTION("""COMPUTED_VALUE"""),"UMNF18")</f>
        <v>UMNF18</v>
      </c>
    </row>
    <row r="2307" ht="15.75" customHeight="1">
      <c r="A2307" t="str">
        <f t="shared" si="1"/>
        <v>E.coli</v>
      </c>
      <c r="B2307" s="5" t="s">
        <v>8756</v>
      </c>
      <c r="C2307" s="6" t="str">
        <f>IFERROR(__xludf.DUMMYFUNCTION("SPLIT('2. c'!B2307, "" "", True, True)"),"Escherichia")</f>
        <v>Escherichia</v>
      </c>
      <c r="D2307" t="str">
        <f>IFERROR(__xludf.DUMMYFUNCTION("""COMPUTED_VALUE"""),"coli")</f>
        <v>coli</v>
      </c>
      <c r="E2307" t="str">
        <f>IFERROR(__xludf.DUMMYFUNCTION("""COMPUTED_VALUE"""),"UMNK88")</f>
        <v>UMNK88</v>
      </c>
    </row>
    <row r="2308" ht="15.75" customHeight="1">
      <c r="A2308" t="str">
        <f t="shared" si="1"/>
        <v>E.coli</v>
      </c>
      <c r="B2308" s="5" t="s">
        <v>8764</v>
      </c>
      <c r="C2308" s="6" t="str">
        <f>IFERROR(__xludf.DUMMYFUNCTION("SPLIT('2. c'!B2308, "" "", True, True)"),"Escherichia")</f>
        <v>Escherichia</v>
      </c>
      <c r="D2308" t="str">
        <f>IFERROR(__xludf.DUMMYFUNCTION("""COMPUTED_VALUE"""),"coli")</f>
        <v>coli</v>
      </c>
      <c r="E2308" t="str">
        <f>IFERROR(__xludf.DUMMYFUNCTION("""COMPUTED_VALUE"""),"UTI89")</f>
        <v>UTI89</v>
      </c>
    </row>
    <row r="2309" ht="15.75" customHeight="1">
      <c r="A2309" t="str">
        <f t="shared" si="1"/>
        <v>E.coli</v>
      </c>
      <c r="B2309" s="5" t="s">
        <v>8773</v>
      </c>
      <c r="C2309" s="6" t="str">
        <f>IFERROR(__xludf.DUMMYFUNCTION("SPLIT('2. c'!B2309, "" "", True, True)"),"Escherichia")</f>
        <v>Escherichia</v>
      </c>
      <c r="D2309" t="str">
        <f>IFERROR(__xludf.DUMMYFUNCTION("""COMPUTED_VALUE"""),"coli")</f>
        <v>coli</v>
      </c>
      <c r="E2309" t="str">
        <f>IFERROR(__xludf.DUMMYFUNCTION("""COMPUTED_VALUE"""),"VR50")</f>
        <v>VR50</v>
      </c>
    </row>
    <row r="2310" ht="15.75" customHeight="1">
      <c r="A2310" t="str">
        <f t="shared" si="1"/>
        <v>E.coli</v>
      </c>
      <c r="B2310" s="5" t="s">
        <v>8780</v>
      </c>
      <c r="C2310" s="6" t="str">
        <f>IFERROR(__xludf.DUMMYFUNCTION("SPLIT('2. c'!B2310, "" "", True, True)"),"Escherichia")</f>
        <v>Escherichia</v>
      </c>
      <c r="D2310" t="str">
        <f>IFERROR(__xludf.DUMMYFUNCTION("""COMPUTED_VALUE"""),"coli")</f>
        <v>coli</v>
      </c>
      <c r="E2310" t="str">
        <f>IFERROR(__xludf.DUMMYFUNCTION("""COMPUTED_VALUE"""),"W")</f>
        <v>W</v>
      </c>
    </row>
    <row r="2311" ht="15.75" customHeight="1">
      <c r="A2311" t="str">
        <f t="shared" si="1"/>
        <v>E.coli</v>
      </c>
      <c r="B2311" s="5" t="s">
        <v>8780</v>
      </c>
      <c r="C2311" s="6" t="str">
        <f>IFERROR(__xludf.DUMMYFUNCTION("SPLIT('2. c'!B2311, "" "", True, True)"),"Escherichia")</f>
        <v>Escherichia</v>
      </c>
      <c r="D2311" t="str">
        <f>IFERROR(__xludf.DUMMYFUNCTION("""COMPUTED_VALUE"""),"coli")</f>
        <v>coli</v>
      </c>
      <c r="E2311" t="str">
        <f>IFERROR(__xludf.DUMMYFUNCTION("""COMPUTED_VALUE"""),"W")</f>
        <v>W</v>
      </c>
    </row>
    <row r="2312" ht="15.75" customHeight="1">
      <c r="A2312" t="str">
        <f t="shared" si="1"/>
        <v>E.coli</v>
      </c>
      <c r="B2312" s="5" t="s">
        <v>8799</v>
      </c>
      <c r="C2312" s="6" t="str">
        <f>IFERROR(__xludf.DUMMYFUNCTION("SPLIT('2. c'!B2312, "" "", True, True)"),"Escherichia")</f>
        <v>Escherichia</v>
      </c>
      <c r="D2312" t="str">
        <f>IFERROR(__xludf.DUMMYFUNCTION("""COMPUTED_VALUE"""),"coli")</f>
        <v>coli</v>
      </c>
      <c r="E2312" t="str">
        <f>IFERROR(__xludf.DUMMYFUNCTION("""COMPUTED_VALUE"""),"Xuzhou21")</f>
        <v>Xuzhou21</v>
      </c>
    </row>
    <row r="2313" ht="15.75" customHeight="1">
      <c r="A2313" t="str">
        <f t="shared" si="1"/>
        <v>E.fergusonii</v>
      </c>
      <c r="B2313" s="5" t="s">
        <v>8811</v>
      </c>
      <c r="C2313" s="6" t="str">
        <f>IFERROR(__xludf.DUMMYFUNCTION("SPLIT('2. c'!B2313, "" "", True, True)"),"Escherichia")</f>
        <v>Escherichia</v>
      </c>
      <c r="D2313" t="str">
        <f>IFERROR(__xludf.DUMMYFUNCTION("""COMPUTED_VALUE"""),"fergusonii")</f>
        <v>fergusonii</v>
      </c>
      <c r="E2313" t="str">
        <f>IFERROR(__xludf.DUMMYFUNCTION("""COMPUTED_VALUE"""),"ATCC")</f>
        <v>ATCC</v>
      </c>
      <c r="F2313">
        <f>IFERROR(__xludf.DUMMYFUNCTION("""COMPUTED_VALUE"""),35469.0)</f>
        <v>35469</v>
      </c>
    </row>
    <row r="2314" ht="15.75" customHeight="1">
      <c r="A2314" t="str">
        <f t="shared" si="1"/>
        <v>E.fergusonii</v>
      </c>
      <c r="B2314" s="5" t="s">
        <v>8824</v>
      </c>
      <c r="C2314" s="6" t="str">
        <f>IFERROR(__xludf.DUMMYFUNCTION("SPLIT('2. c'!B2314, "" "", True, True)"),"Escherichia")</f>
        <v>Escherichia</v>
      </c>
      <c r="D2314" t="str">
        <f>IFERROR(__xludf.DUMMYFUNCTION("""COMPUTED_VALUE"""),"fergusonii")</f>
        <v>fergusonii</v>
      </c>
      <c r="E2314" t="str">
        <f>IFERROR(__xludf.DUMMYFUNCTION("""COMPUTED_VALUE"""),"strain")</f>
        <v>strain</v>
      </c>
      <c r="F2314" t="str">
        <f>IFERROR(__xludf.DUMMYFUNCTION("""COMPUTED_VALUE"""),"FDAARGOS_170")</f>
        <v>FDAARGOS_170</v>
      </c>
    </row>
    <row r="2315" ht="15.75" customHeight="1">
      <c r="A2315" t="str">
        <f t="shared" si="1"/>
        <v>E.harbinense</v>
      </c>
      <c r="B2315" s="5" t="s">
        <v>8834</v>
      </c>
      <c r="C2315" s="6" t="str">
        <f>IFERROR(__xludf.DUMMYFUNCTION("SPLIT('2. c'!B2315, "" "", True, True)"),"Ethanoligenens")</f>
        <v>Ethanoligenens</v>
      </c>
      <c r="D2315" t="str">
        <f>IFERROR(__xludf.DUMMYFUNCTION("""COMPUTED_VALUE"""),"harbinense")</f>
        <v>harbinense</v>
      </c>
      <c r="E2315" t="str">
        <f>IFERROR(__xludf.DUMMYFUNCTION("""COMPUTED_VALUE"""),"YUAN-3")</f>
        <v>YUAN-3</v>
      </c>
    </row>
    <row r="2316" ht="15.75" customHeight="1">
      <c r="A2316" t="str">
        <f t="shared" si="1"/>
        <v>E.acidaminophilum</v>
      </c>
      <c r="B2316" s="5" t="s">
        <v>8844</v>
      </c>
      <c r="C2316" s="6" t="str">
        <f>IFERROR(__xludf.DUMMYFUNCTION("SPLIT('2. c'!B2316, "" "", True, True)"),"Eubacterium")</f>
        <v>Eubacterium</v>
      </c>
      <c r="D2316" t="str">
        <f>IFERROR(__xludf.DUMMYFUNCTION("""COMPUTED_VALUE"""),"acidaminophilum")</f>
        <v>acidaminophilum</v>
      </c>
      <c r="E2316" t="str">
        <f>IFERROR(__xludf.DUMMYFUNCTION("""COMPUTED_VALUE"""),"DSM")</f>
        <v>DSM</v>
      </c>
      <c r="F2316">
        <f>IFERROR(__xludf.DUMMYFUNCTION("""COMPUTED_VALUE"""),3953.0)</f>
        <v>3953</v>
      </c>
    </row>
    <row r="2317" ht="15.75" customHeight="1">
      <c r="A2317" t="str">
        <f t="shared" si="1"/>
        <v>E.eligens</v>
      </c>
      <c r="B2317" s="5" t="s">
        <v>8855</v>
      </c>
      <c r="C2317" s="6" t="str">
        <f>IFERROR(__xludf.DUMMYFUNCTION("SPLIT('2. c'!B2317, "" "", True, True)"),"Eubacterium")</f>
        <v>Eubacterium</v>
      </c>
      <c r="D2317" t="str">
        <f>IFERROR(__xludf.DUMMYFUNCTION("""COMPUTED_VALUE"""),"eligens")</f>
        <v>eligens</v>
      </c>
      <c r="E2317" t="str">
        <f>IFERROR(__xludf.DUMMYFUNCTION("""COMPUTED_VALUE"""),"ATCC")</f>
        <v>ATCC</v>
      </c>
      <c r="F2317">
        <f>IFERROR(__xludf.DUMMYFUNCTION("""COMPUTED_VALUE"""),27750.0)</f>
        <v>27750</v>
      </c>
    </row>
    <row r="2318" ht="15.75" customHeight="1">
      <c r="A2318" t="str">
        <f t="shared" si="1"/>
        <v>E.limosum</v>
      </c>
      <c r="B2318" s="5" t="s">
        <v>8866</v>
      </c>
      <c r="C2318" s="6" t="str">
        <f>IFERROR(__xludf.DUMMYFUNCTION("SPLIT('2. c'!B2318, "" "", True, True)"),"Eubacterium")</f>
        <v>Eubacterium</v>
      </c>
      <c r="D2318" t="str">
        <f>IFERROR(__xludf.DUMMYFUNCTION("""COMPUTED_VALUE"""),"limosum")</f>
        <v>limosum</v>
      </c>
      <c r="E2318" t="str">
        <f>IFERROR(__xludf.DUMMYFUNCTION("""COMPUTED_VALUE"""),"KIST612")</f>
        <v>KIST612</v>
      </c>
    </row>
    <row r="2319" ht="15.75" customHeight="1">
      <c r="A2319" t="str">
        <f t="shared" si="1"/>
        <v>E.limosum</v>
      </c>
      <c r="B2319" s="5" t="s">
        <v>8876</v>
      </c>
      <c r="C2319" s="6" t="str">
        <f>IFERROR(__xludf.DUMMYFUNCTION("SPLIT('2. c'!B2319, "" "", True, True)"),"Eubacterium")</f>
        <v>Eubacterium</v>
      </c>
      <c r="D2319" t="str">
        <f>IFERROR(__xludf.DUMMYFUNCTION("""COMPUTED_VALUE"""),"limosum")</f>
        <v>limosum</v>
      </c>
      <c r="E2319" t="str">
        <f>IFERROR(__xludf.DUMMYFUNCTION("""COMPUTED_VALUE"""),"strain")</f>
        <v>strain</v>
      </c>
      <c r="F2319" t="str">
        <f>IFERROR(__xludf.DUMMYFUNCTION("""COMPUTED_VALUE"""),"SA11")</f>
        <v>SA11</v>
      </c>
    </row>
    <row r="2320" ht="15.75" customHeight="1">
      <c r="A2320" t="str">
        <f t="shared" si="1"/>
        <v>E.rectale</v>
      </c>
      <c r="B2320" s="5" t="s">
        <v>8886</v>
      </c>
      <c r="C2320" s="6" t="str">
        <f>IFERROR(__xludf.DUMMYFUNCTION("SPLIT('2. c'!B2320, "" "", True, True)"),"Eubacterium")</f>
        <v>Eubacterium</v>
      </c>
      <c r="D2320" t="str">
        <f>IFERROR(__xludf.DUMMYFUNCTION("""COMPUTED_VALUE"""),"rectale")</f>
        <v>rectale</v>
      </c>
      <c r="E2320" t="str">
        <f>IFERROR(__xludf.DUMMYFUNCTION("""COMPUTED_VALUE"""),"ATCC")</f>
        <v>ATCC</v>
      </c>
      <c r="F2320">
        <f>IFERROR(__xludf.DUMMYFUNCTION("""COMPUTED_VALUE"""),33656.0)</f>
        <v>33656</v>
      </c>
    </row>
    <row r="2321" ht="15.75" customHeight="1">
      <c r="A2321" t="str">
        <f t="shared" si="1"/>
        <v>E.rectale</v>
      </c>
      <c r="B2321" s="5" t="s">
        <v>8897</v>
      </c>
      <c r="C2321" s="6" t="str">
        <f>IFERROR(__xludf.DUMMYFUNCTION("SPLIT('2. c'!B2321, "" "", True, True)"),"Eubacterium")</f>
        <v>Eubacterium</v>
      </c>
      <c r="D2321" t="str">
        <f>IFERROR(__xludf.DUMMYFUNCTION("""COMPUTED_VALUE"""),"rectale")</f>
        <v>rectale</v>
      </c>
      <c r="E2321" t="str">
        <f>IFERROR(__xludf.DUMMYFUNCTION("""COMPUTED_VALUE"""),"DSM")</f>
        <v>DSM</v>
      </c>
      <c r="F2321">
        <f>IFERROR(__xludf.DUMMYFUNCTION("""COMPUTED_VALUE"""),17629.0)</f>
        <v>17629</v>
      </c>
    </row>
    <row r="2322" ht="15.75" customHeight="1">
      <c r="A2322" t="str">
        <f t="shared" si="1"/>
        <v>E.rectale</v>
      </c>
      <c r="B2322" s="5" t="s">
        <v>8907</v>
      </c>
      <c r="C2322" s="6" t="str">
        <f>IFERROR(__xludf.DUMMYFUNCTION("SPLIT('2. c'!B2322, "" "", True, True)"),"Eubacterium")</f>
        <v>Eubacterium</v>
      </c>
      <c r="D2322" t="str">
        <f>IFERROR(__xludf.DUMMYFUNCTION("""COMPUTED_VALUE"""),"rectale")</f>
        <v>rectale</v>
      </c>
      <c r="E2322" t="str">
        <f>IFERROR(__xludf.DUMMYFUNCTION("""COMPUTED_VALUE"""),"M104/1")</f>
        <v>M104/1</v>
      </c>
    </row>
    <row r="2323" ht="15.75" customHeight="1">
      <c r="A2323" t="str">
        <f t="shared" si="1"/>
        <v>E.siraeum</v>
      </c>
      <c r="B2323" s="5" t="s">
        <v>8915</v>
      </c>
      <c r="C2323" s="6" t="str">
        <f>IFERROR(__xludf.DUMMYFUNCTION("SPLIT('2. c'!B2323, "" "", True, True)"),"Eubacterium")</f>
        <v>Eubacterium</v>
      </c>
      <c r="D2323" t="str">
        <f>IFERROR(__xludf.DUMMYFUNCTION("""COMPUTED_VALUE"""),"siraeum")</f>
        <v>siraeum</v>
      </c>
      <c r="E2323" t="str">
        <f>IFERROR(__xludf.DUMMYFUNCTION("""COMPUTED_VALUE"""),"70/3")</f>
        <v>70/3</v>
      </c>
    </row>
    <row r="2324" ht="15.75" customHeight="1">
      <c r="A2324" t="str">
        <f t="shared" si="1"/>
        <v>E.siraeum</v>
      </c>
      <c r="B2324" s="5" t="s">
        <v>8925</v>
      </c>
      <c r="C2324" s="6" t="str">
        <f>IFERROR(__xludf.DUMMYFUNCTION("SPLIT('2. c'!B2324, "" "", True, True)"),"Eubacterium")</f>
        <v>Eubacterium</v>
      </c>
      <c r="D2324" t="str">
        <f>IFERROR(__xludf.DUMMYFUNCTION("""COMPUTED_VALUE"""),"siraeum")</f>
        <v>siraeum</v>
      </c>
      <c r="E2324" t="str">
        <f>IFERROR(__xludf.DUMMYFUNCTION("""COMPUTED_VALUE"""),"V10Sc8a")</f>
        <v>V10Sc8a</v>
      </c>
    </row>
    <row r="2325" ht="15.75" customHeight="1">
      <c r="A2325" t="str">
        <f t="shared" si="1"/>
        <v>E.sulci</v>
      </c>
      <c r="B2325" s="5" t="s">
        <v>8935</v>
      </c>
      <c r="C2325" s="6" t="str">
        <f>IFERROR(__xludf.DUMMYFUNCTION("SPLIT('2. c'!B2325, "" "", True, True)"),"Eubacterium")</f>
        <v>Eubacterium</v>
      </c>
      <c r="D2325" t="str">
        <f>IFERROR(__xludf.DUMMYFUNCTION("""COMPUTED_VALUE"""),"sulci")</f>
        <v>sulci</v>
      </c>
      <c r="E2325" t="str">
        <f>IFERROR(__xludf.DUMMYFUNCTION("""COMPUTED_VALUE"""),"ATCC")</f>
        <v>ATCC</v>
      </c>
      <c r="F2325">
        <f>IFERROR(__xludf.DUMMYFUNCTION("""COMPUTED_VALUE"""),35585.0)</f>
        <v>35585</v>
      </c>
    </row>
    <row r="2326" ht="15.75" customHeight="1">
      <c r="A2326" t="str">
        <f t="shared" si="1"/>
        <v>E.antarcticum</v>
      </c>
      <c r="B2326" s="5" t="s">
        <v>8947</v>
      </c>
      <c r="C2326" s="6" t="str">
        <f>IFERROR(__xludf.DUMMYFUNCTION("SPLIT('2. c'!B2326, "" "", True, True)"),"Exiguobacterium")</f>
        <v>Exiguobacterium</v>
      </c>
      <c r="D2326" t="str">
        <f>IFERROR(__xludf.DUMMYFUNCTION("""COMPUTED_VALUE"""),"antarcticum")</f>
        <v>antarcticum</v>
      </c>
      <c r="E2326" t="str">
        <f>IFERROR(__xludf.DUMMYFUNCTION("""COMPUTED_VALUE"""),"B7")</f>
        <v>B7</v>
      </c>
    </row>
    <row r="2327" ht="15.75" customHeight="1">
      <c r="A2327" t="str">
        <f t="shared" si="1"/>
        <v>E.sibiricum</v>
      </c>
      <c r="B2327" s="5" t="s">
        <v>8955</v>
      </c>
      <c r="C2327" s="6" t="str">
        <f>IFERROR(__xludf.DUMMYFUNCTION("SPLIT('2. c'!B2327, "" "", True, True)"),"Exiguobacterium")</f>
        <v>Exiguobacterium</v>
      </c>
      <c r="D2327" t="str">
        <f>IFERROR(__xludf.DUMMYFUNCTION("""COMPUTED_VALUE"""),"sibiricum")</f>
        <v>sibiricum</v>
      </c>
      <c r="E2327" t="str">
        <f>IFERROR(__xludf.DUMMYFUNCTION("""COMPUTED_VALUE"""),"255-15")</f>
        <v>255-15</v>
      </c>
    </row>
    <row r="2328" ht="15.75" customHeight="1">
      <c r="A2328" t="str">
        <f t="shared" si="1"/>
        <v>E.sp.</v>
      </c>
      <c r="B2328" s="5" t="s">
        <v>8967</v>
      </c>
      <c r="C2328" s="6" t="str">
        <f>IFERROR(__xludf.DUMMYFUNCTION("SPLIT('2. c'!B2328, "" "", True, True)"),"Exiguobacterium")</f>
        <v>Exiguobacterium</v>
      </c>
      <c r="D2328" t="str">
        <f>IFERROR(__xludf.DUMMYFUNCTION("""COMPUTED_VALUE"""),"sp.")</f>
        <v>sp.</v>
      </c>
      <c r="E2328" t="str">
        <f>IFERROR(__xludf.DUMMYFUNCTION("""COMPUTED_VALUE"""),"AT1b")</f>
        <v>AT1b</v>
      </c>
    </row>
    <row r="2329" ht="15.75" customHeight="1">
      <c r="A2329" t="str">
        <f t="shared" si="1"/>
        <v>E.sp.</v>
      </c>
      <c r="B2329" s="5" t="s">
        <v>8977</v>
      </c>
      <c r="C2329" s="6" t="str">
        <f>IFERROR(__xludf.DUMMYFUNCTION("SPLIT('2. c'!B2329, "" "", True, True)"),"Exiguobacterium")</f>
        <v>Exiguobacterium</v>
      </c>
      <c r="D2329" t="str">
        <f>IFERROR(__xludf.DUMMYFUNCTION("""COMPUTED_VALUE"""),"sp.")</f>
        <v>sp.</v>
      </c>
      <c r="E2329" t="str">
        <f>IFERROR(__xludf.DUMMYFUNCTION("""COMPUTED_VALUE"""),"MH3")</f>
        <v>MH3</v>
      </c>
    </row>
    <row r="2330" ht="15.75" customHeight="1">
      <c r="A2330" t="str">
        <f t="shared" si="1"/>
        <v>F.prausnitzii</v>
      </c>
      <c r="B2330" s="5" t="s">
        <v>8986</v>
      </c>
      <c r="C2330" s="6" t="str">
        <f>IFERROR(__xludf.DUMMYFUNCTION("SPLIT('2. c'!B2330, "" "", True, True)"),"Faecalibacterium")</f>
        <v>Faecalibacterium</v>
      </c>
      <c r="D2330" t="str">
        <f>IFERROR(__xludf.DUMMYFUNCTION("""COMPUTED_VALUE"""),"prausnitzii")</f>
        <v>prausnitzii</v>
      </c>
      <c r="E2330" t="str">
        <f>IFERROR(__xludf.DUMMYFUNCTION("""COMPUTED_VALUE"""),"L2-6")</f>
        <v>L2-6</v>
      </c>
    </row>
    <row r="2331" ht="15.75" customHeight="1">
      <c r="A2331" t="str">
        <f t="shared" si="1"/>
        <v>F.prausnitzii</v>
      </c>
      <c r="B2331" s="5" t="s">
        <v>8995</v>
      </c>
      <c r="C2331" s="6" t="str">
        <f>IFERROR(__xludf.DUMMYFUNCTION("SPLIT('2. c'!B2331, "" "", True, True)"),"Faecalibacterium")</f>
        <v>Faecalibacterium</v>
      </c>
      <c r="D2331" t="str">
        <f>IFERROR(__xludf.DUMMYFUNCTION("""COMPUTED_VALUE"""),"prausnitzii")</f>
        <v>prausnitzii</v>
      </c>
      <c r="E2331" t="str">
        <f>IFERROR(__xludf.DUMMYFUNCTION("""COMPUTED_VALUE"""),"SL3/3")</f>
        <v>SL3/3</v>
      </c>
    </row>
    <row r="2332" ht="15.75" customHeight="1">
      <c r="A2332" t="str">
        <f t="shared" si="1"/>
        <v>F.rodentium</v>
      </c>
      <c r="B2332" s="5" t="s">
        <v>9006</v>
      </c>
      <c r="C2332" s="6" t="str">
        <f>IFERROR(__xludf.DUMMYFUNCTION("SPLIT('2. c'!B2332, "" "", True, True)"),"Faecalibaculum")</f>
        <v>Faecalibaculum</v>
      </c>
      <c r="D2332" t="str">
        <f>IFERROR(__xludf.DUMMYFUNCTION("""COMPUTED_VALUE"""),"rodentium")</f>
        <v>rodentium</v>
      </c>
      <c r="E2332" t="str">
        <f>IFERROR(__xludf.DUMMYFUNCTION("""COMPUTED_VALUE"""),"strain")</f>
        <v>strain</v>
      </c>
      <c r="F2332" t="str">
        <f>IFERROR(__xludf.DUMMYFUNCTION("""COMPUTED_VALUE"""),"Alo17")</f>
        <v>Alo17</v>
      </c>
    </row>
    <row r="2333" ht="15.75" customHeight="1">
      <c r="A2333" t="str">
        <f t="shared" si="1"/>
        <v>F.balearica</v>
      </c>
      <c r="B2333" s="5" t="s">
        <v>9014</v>
      </c>
      <c r="C2333" s="6" t="str">
        <f>IFERROR(__xludf.DUMMYFUNCTION("SPLIT('2. c'!B2333, "" "", True, True)"),"Ferrimonas")</f>
        <v>Ferrimonas</v>
      </c>
      <c r="D2333" t="str">
        <f>IFERROR(__xludf.DUMMYFUNCTION("""COMPUTED_VALUE"""),"balearica")</f>
        <v>balearica</v>
      </c>
      <c r="E2333" t="str">
        <f>IFERROR(__xludf.DUMMYFUNCTION("""COMPUTED_VALUE"""),"DSM")</f>
        <v>DSM</v>
      </c>
      <c r="F2333">
        <f>IFERROR(__xludf.DUMMYFUNCTION("""COMPUTED_VALUE"""),9799.0)</f>
        <v>9799</v>
      </c>
    </row>
    <row r="2334" ht="15.75" customHeight="1">
      <c r="A2334" t="str">
        <f t="shared" si="1"/>
        <v>F.placidus</v>
      </c>
      <c r="B2334" s="5" t="s">
        <v>9024</v>
      </c>
      <c r="C2334" s="6" t="str">
        <f>IFERROR(__xludf.DUMMYFUNCTION("SPLIT('2. c'!B2334, "" "", True, True)"),"Ferroglobus")</f>
        <v>Ferroglobus</v>
      </c>
      <c r="D2334" t="str">
        <f>IFERROR(__xludf.DUMMYFUNCTION("""COMPUTED_VALUE"""),"placidus")</f>
        <v>placidus</v>
      </c>
      <c r="E2334" t="str">
        <f>IFERROR(__xludf.DUMMYFUNCTION("""COMPUTED_VALUE"""),"DSM")</f>
        <v>DSM</v>
      </c>
      <c r="F2334">
        <f>IFERROR(__xludf.DUMMYFUNCTION("""COMPUTED_VALUE"""),10642.0)</f>
        <v>10642</v>
      </c>
    </row>
    <row r="2335" ht="15.75" customHeight="1">
      <c r="A2335" t="str">
        <f t="shared" si="1"/>
        <v>F.acidarmanus</v>
      </c>
      <c r="B2335" s="5" t="s">
        <v>9038</v>
      </c>
      <c r="C2335" s="6" t="str">
        <f>IFERROR(__xludf.DUMMYFUNCTION("SPLIT('2. c'!B2335, "" "", True, True)"),"Ferroplasma")</f>
        <v>Ferroplasma</v>
      </c>
      <c r="D2335" t="str">
        <f>IFERROR(__xludf.DUMMYFUNCTION("""COMPUTED_VALUE"""),"acidarmanus")</f>
        <v>acidarmanus</v>
      </c>
      <c r="E2335" t="str">
        <f>IFERROR(__xludf.DUMMYFUNCTION("""COMPUTED_VALUE"""),"fer1")</f>
        <v>fer1</v>
      </c>
    </row>
    <row r="2336" ht="15.75" customHeight="1">
      <c r="A2336" t="str">
        <f t="shared" si="1"/>
        <v>F.fontis</v>
      </c>
      <c r="B2336" s="5" t="s">
        <v>9046</v>
      </c>
      <c r="C2336" s="6" t="str">
        <f>IFERROR(__xludf.DUMMYFUNCTION("SPLIT('2. c'!B2336, "" "", True, True)"),"Fervidicoccus")</f>
        <v>Fervidicoccus</v>
      </c>
      <c r="D2336" t="str">
        <f>IFERROR(__xludf.DUMMYFUNCTION("""COMPUTED_VALUE"""),"fontis")</f>
        <v>fontis</v>
      </c>
      <c r="E2336" t="str">
        <f>IFERROR(__xludf.DUMMYFUNCTION("""COMPUTED_VALUE"""),"Kam940")</f>
        <v>Kam940</v>
      </c>
    </row>
    <row r="2337" ht="15.75" customHeight="1">
      <c r="A2337" t="str">
        <f t="shared" si="1"/>
        <v>F.nodosum</v>
      </c>
      <c r="B2337" s="5" t="s">
        <v>9057</v>
      </c>
      <c r="C2337" s="6" t="str">
        <f>IFERROR(__xludf.DUMMYFUNCTION("SPLIT('2. c'!B2337, "" "", True, True)"),"Fervidobacterium")</f>
        <v>Fervidobacterium</v>
      </c>
      <c r="D2337" t="str">
        <f>IFERROR(__xludf.DUMMYFUNCTION("""COMPUTED_VALUE"""),"nodosum")</f>
        <v>nodosum</v>
      </c>
      <c r="E2337" t="str">
        <f>IFERROR(__xludf.DUMMYFUNCTION("""COMPUTED_VALUE"""),"Rt17-B1")</f>
        <v>Rt17-B1</v>
      </c>
    </row>
    <row r="2338" ht="15.75" customHeight="1">
      <c r="A2338" t="str">
        <f t="shared" si="1"/>
        <v>F.pennivorans</v>
      </c>
      <c r="B2338" s="5" t="s">
        <v>9066</v>
      </c>
      <c r="C2338" s="6" t="str">
        <f>IFERROR(__xludf.DUMMYFUNCTION("SPLIT('2. c'!B2338, "" "", True, True)"),"Fervidobacterium")</f>
        <v>Fervidobacterium</v>
      </c>
      <c r="D2338" t="str">
        <f>IFERROR(__xludf.DUMMYFUNCTION("""COMPUTED_VALUE"""),"pennivorans")</f>
        <v>pennivorans</v>
      </c>
      <c r="E2338" t="str">
        <f>IFERROR(__xludf.DUMMYFUNCTION("""COMPUTED_VALUE"""),"DSM")</f>
        <v>DSM</v>
      </c>
      <c r="F2338">
        <f>IFERROR(__xludf.DUMMYFUNCTION("""COMPUTED_VALUE"""),9078.0)</f>
        <v>9078</v>
      </c>
    </row>
    <row r="2339" ht="15.75" customHeight="1">
      <c r="A2339" t="str">
        <f t="shared" si="1"/>
        <v>F.pennivorans</v>
      </c>
      <c r="B2339" s="5" t="s">
        <v>9077</v>
      </c>
      <c r="C2339" s="6" t="str">
        <f>IFERROR(__xludf.DUMMYFUNCTION("SPLIT('2. c'!B2339, "" "", True, True)"),"Fervidobacterium")</f>
        <v>Fervidobacterium</v>
      </c>
      <c r="D2339" t="str">
        <f>IFERROR(__xludf.DUMMYFUNCTION("""COMPUTED_VALUE"""),"pennivorans")</f>
        <v>pennivorans</v>
      </c>
      <c r="E2339" t="str">
        <f>IFERROR(__xludf.DUMMYFUNCTION("""COMPUTED_VALUE"""),"strain")</f>
        <v>strain</v>
      </c>
      <c r="F2339" t="str">
        <f>IFERROR(__xludf.DUMMYFUNCTION("""COMPUTED_VALUE"""),"DYC")</f>
        <v>DYC</v>
      </c>
    </row>
    <row r="2340" ht="15.75" customHeight="1">
      <c r="A2340" t="str">
        <f t="shared" si="1"/>
        <v>F.aestuarina</v>
      </c>
      <c r="B2340" s="5" t="s">
        <v>9087</v>
      </c>
      <c r="C2340" s="6" t="str">
        <f>IFERROR(__xludf.DUMMYFUNCTION("SPLIT('2. c'!B2340, "" "", True, True)"),"Fibrella")</f>
        <v>Fibrella</v>
      </c>
      <c r="D2340" t="str">
        <f>IFERROR(__xludf.DUMMYFUNCTION("""COMPUTED_VALUE"""),"aestuarina")</f>
        <v>aestuarina</v>
      </c>
      <c r="E2340" t="str">
        <f>IFERROR(__xludf.DUMMYFUNCTION("""COMPUTED_VALUE"""),"strain")</f>
        <v>strain</v>
      </c>
      <c r="F2340" t="str">
        <f>IFERROR(__xludf.DUMMYFUNCTION("""COMPUTED_VALUE"""),"BUZ")</f>
        <v>BUZ</v>
      </c>
      <c r="G2340" t="str">
        <f>IFERROR(__xludf.DUMMYFUNCTION("""COMPUTED_VALUE"""),"2T")</f>
        <v>2T</v>
      </c>
    </row>
    <row r="2341" ht="15.75" customHeight="1">
      <c r="A2341" t="str">
        <f t="shared" si="1"/>
        <v>F.succinogenes</v>
      </c>
      <c r="B2341" s="5" t="s">
        <v>9098</v>
      </c>
      <c r="C2341" s="6" t="str">
        <f>IFERROR(__xludf.DUMMYFUNCTION("SPLIT('2. c'!B2341, "" "", True, True)"),"Fibrobacter")</f>
        <v>Fibrobacter</v>
      </c>
      <c r="D2341" t="str">
        <f>IFERROR(__xludf.DUMMYFUNCTION("""COMPUTED_VALUE"""),"succinogenes")</f>
        <v>succinogenes</v>
      </c>
      <c r="E2341" t="str">
        <f>IFERROR(__xludf.DUMMYFUNCTION("""COMPUTED_VALUE"""),"subsp.")</f>
        <v>subsp.</v>
      </c>
      <c r="F2341" t="str">
        <f>IFERROR(__xludf.DUMMYFUNCTION("""COMPUTED_VALUE"""),"succinogenes")</f>
        <v>succinogenes</v>
      </c>
      <c r="G2341" t="str">
        <f>IFERROR(__xludf.DUMMYFUNCTION("""COMPUTED_VALUE"""),"S85")</f>
        <v>S85</v>
      </c>
    </row>
    <row r="2342" ht="15.75" customHeight="1">
      <c r="A2342" t="str">
        <f t="shared" si="1"/>
        <v>F.succinogenes</v>
      </c>
      <c r="B2342" s="5" t="s">
        <v>9109</v>
      </c>
      <c r="C2342" s="6" t="str">
        <f>IFERROR(__xludf.DUMMYFUNCTION("SPLIT('2. c'!B2342, "" "", True, True)"),"Fibrobacter")</f>
        <v>Fibrobacter</v>
      </c>
      <c r="D2342" t="str">
        <f>IFERROR(__xludf.DUMMYFUNCTION("""COMPUTED_VALUE"""),"succinogenes")</f>
        <v>succinogenes</v>
      </c>
      <c r="E2342" t="str">
        <f>IFERROR(__xludf.DUMMYFUNCTION("""COMPUTED_VALUE"""),"subsp.")</f>
        <v>subsp.</v>
      </c>
      <c r="F2342" t="str">
        <f>IFERROR(__xludf.DUMMYFUNCTION("""COMPUTED_VALUE"""),"succinogenes")</f>
        <v>succinogenes</v>
      </c>
      <c r="G2342" t="str">
        <f>IFERROR(__xludf.DUMMYFUNCTION("""COMPUTED_VALUE"""),"S85")</f>
        <v>S85</v>
      </c>
      <c r="H2342" t="str">
        <f>IFERROR(__xludf.DUMMYFUNCTION("""COMPUTED_VALUE"""),"(Prj:47)")</f>
        <v>(Prj:47)</v>
      </c>
    </row>
    <row r="2343" ht="15.75" customHeight="1">
      <c r="A2343" t="str">
        <f t="shared" si="1"/>
        <v>F.alocis</v>
      </c>
      <c r="B2343" s="5" t="s">
        <v>9119</v>
      </c>
      <c r="C2343" s="6" t="str">
        <f>IFERROR(__xludf.DUMMYFUNCTION("SPLIT('2. c'!B2343, "" "", True, True)"),"Filifactor")</f>
        <v>Filifactor</v>
      </c>
      <c r="D2343" t="str">
        <f>IFERROR(__xludf.DUMMYFUNCTION("""COMPUTED_VALUE"""),"alocis")</f>
        <v>alocis</v>
      </c>
      <c r="E2343" t="str">
        <f>IFERROR(__xludf.DUMMYFUNCTION("""COMPUTED_VALUE"""),"ATCC")</f>
        <v>ATCC</v>
      </c>
      <c r="F2343">
        <f>IFERROR(__xludf.DUMMYFUNCTION("""COMPUTED_VALUE"""),35896.0)</f>
        <v>35896</v>
      </c>
    </row>
    <row r="2344" ht="15.75" customHeight="1">
      <c r="A2344" t="str">
        <f t="shared" si="1"/>
        <v>F.sp.</v>
      </c>
      <c r="B2344" s="5" t="s">
        <v>9130</v>
      </c>
      <c r="C2344" s="6" t="str">
        <f>IFERROR(__xludf.DUMMYFUNCTION("SPLIT('2. c'!B2344, "" "", True, True)"),"Filomicrobium")</f>
        <v>Filomicrobium</v>
      </c>
      <c r="D2344" t="str">
        <f>IFERROR(__xludf.DUMMYFUNCTION("""COMPUTED_VALUE"""),"sp.")</f>
        <v>sp.</v>
      </c>
      <c r="E2344" t="str">
        <f>IFERROR(__xludf.DUMMYFUNCTION("""COMPUTED_VALUE"""),"W")</f>
        <v>W</v>
      </c>
    </row>
    <row r="2345" ht="15.75" customHeight="1">
      <c r="A2345" t="str">
        <f t="shared" si="1"/>
        <v>F.ginsengisoli</v>
      </c>
      <c r="B2345" s="5" t="s">
        <v>9140</v>
      </c>
      <c r="C2345" s="6" t="str">
        <f>IFERROR(__xludf.DUMMYFUNCTION("SPLIT('2. c'!B2345, "" "", True, True)"),"Fimbriimonas")</f>
        <v>Fimbriimonas</v>
      </c>
      <c r="D2345" t="str">
        <f>IFERROR(__xludf.DUMMYFUNCTION("""COMPUTED_VALUE"""),"ginsengisoli")</f>
        <v>ginsengisoli</v>
      </c>
      <c r="E2345" t="str">
        <f>IFERROR(__xludf.DUMMYFUNCTION("""COMPUTED_VALUE"""),"Gsoil")</f>
        <v>Gsoil</v>
      </c>
      <c r="F2345">
        <f>IFERROR(__xludf.DUMMYFUNCTION("""COMPUTED_VALUE"""),348.0)</f>
        <v>348</v>
      </c>
    </row>
    <row r="2346" ht="15.75" customHeight="1">
      <c r="A2346" t="str">
        <f t="shared" si="1"/>
        <v>F.magna</v>
      </c>
      <c r="B2346" s="5" t="s">
        <v>9148</v>
      </c>
      <c r="C2346" s="6" t="str">
        <f>IFERROR(__xludf.DUMMYFUNCTION("SPLIT('2. c'!B2346, "" "", True, True)"),"Finegoldia")</f>
        <v>Finegoldia</v>
      </c>
      <c r="D2346" t="str">
        <f>IFERROR(__xludf.DUMMYFUNCTION("""COMPUTED_VALUE"""),"magna")</f>
        <v>magna</v>
      </c>
      <c r="E2346" t="str">
        <f>IFERROR(__xludf.DUMMYFUNCTION("""COMPUTED_VALUE"""),"ATCC")</f>
        <v>ATCC</v>
      </c>
      <c r="F2346">
        <f>IFERROR(__xludf.DUMMYFUNCTION("""COMPUTED_VALUE"""),29328.0)</f>
        <v>29328</v>
      </c>
    </row>
    <row r="2347" ht="15.75" customHeight="1">
      <c r="A2347" t="str">
        <f t="shared" si="1"/>
        <v>F.sp.</v>
      </c>
      <c r="B2347" s="5" t="s">
        <v>9157</v>
      </c>
      <c r="C2347" s="6" t="str">
        <f>IFERROR(__xludf.DUMMYFUNCTION("SPLIT('2. c'!B2347, "" "", True, True)"),"Fischerella")</f>
        <v>Fischerella</v>
      </c>
      <c r="D2347" t="str">
        <f>IFERROR(__xludf.DUMMYFUNCTION("""COMPUTED_VALUE"""),"sp.")</f>
        <v>sp.</v>
      </c>
      <c r="E2347" t="str">
        <f>IFERROR(__xludf.DUMMYFUNCTION("""COMPUTED_VALUE"""),"NIES-3754")</f>
        <v>NIES-3754</v>
      </c>
    </row>
    <row r="2348" ht="15.75" customHeight="1">
      <c r="A2348" t="str">
        <f t="shared" si="1"/>
        <v>F.bacterium</v>
      </c>
      <c r="B2348" s="5" t="s">
        <v>9167</v>
      </c>
      <c r="C2348" s="6" t="str">
        <f>IFERROR(__xludf.DUMMYFUNCTION("SPLIT('2. c'!B2348, "" "", True, True)"),"Flammeovirgaceae")</f>
        <v>Flammeovirgaceae</v>
      </c>
      <c r="D2348" t="str">
        <f>IFERROR(__xludf.DUMMYFUNCTION("""COMPUTED_VALUE"""),"bacterium")</f>
        <v>bacterium</v>
      </c>
      <c r="E2348">
        <f>IFERROR(__xludf.DUMMYFUNCTION("""COMPUTED_VALUE"""),311.0)</f>
        <v>311</v>
      </c>
    </row>
    <row r="2349" ht="15.75" customHeight="1">
      <c r="A2349" t="str">
        <f t="shared" si="1"/>
        <v>F.sp.</v>
      </c>
      <c r="B2349" s="5" t="s">
        <v>9180</v>
      </c>
      <c r="C2349" s="6" t="str">
        <f>IFERROR(__xludf.DUMMYFUNCTION("SPLIT('2. c'!B2349, "" "", True, True)"),"Flavisolibacter")</f>
        <v>Flavisolibacter</v>
      </c>
      <c r="D2349" t="str">
        <f>IFERROR(__xludf.DUMMYFUNCTION("""COMPUTED_VALUE"""),"sp.")</f>
        <v>sp.</v>
      </c>
      <c r="E2349" t="str">
        <f>IFERROR(__xludf.DUMMYFUNCTION("""COMPUTED_VALUE"""),"LCS9")</f>
        <v>LCS9</v>
      </c>
    </row>
    <row r="2350" ht="15.75" customHeight="1">
      <c r="A2350" t="str">
        <f t="shared" si="1"/>
        <v>F.bacterium</v>
      </c>
      <c r="B2350" s="5" t="s">
        <v>9189</v>
      </c>
      <c r="C2350" s="6" t="str">
        <f>IFERROR(__xludf.DUMMYFUNCTION("SPLIT('2. c'!B2350, "" "", True, True)"),"Flavobacteriaceae")</f>
        <v>Flavobacteriaceae</v>
      </c>
      <c r="D2350" t="str">
        <f>IFERROR(__xludf.DUMMYFUNCTION("""COMPUTED_VALUE"""),"bacterium")</f>
        <v>bacterium</v>
      </c>
      <c r="E2350" s="12">
        <f>IFERROR(__xludf.DUMMYFUNCTION("""COMPUTED_VALUE"""),591602.0)</f>
        <v>591602</v>
      </c>
    </row>
    <row r="2351" ht="15.75" customHeight="1">
      <c r="A2351" t="str">
        <f t="shared" si="1"/>
        <v>F.branchiophilum</v>
      </c>
      <c r="B2351" s="5" t="s">
        <v>9201</v>
      </c>
      <c r="C2351" s="6" t="str">
        <f>IFERROR(__xludf.DUMMYFUNCTION("SPLIT('2. c'!B2351, "" "", True, True)"),"Flavobacterium")</f>
        <v>Flavobacterium</v>
      </c>
      <c r="D2351" t="str">
        <f>IFERROR(__xludf.DUMMYFUNCTION("""COMPUTED_VALUE"""),"branchiophilum")</f>
        <v>branchiophilum</v>
      </c>
      <c r="E2351" t="str">
        <f>IFERROR(__xludf.DUMMYFUNCTION("""COMPUTED_VALUE"""),"strain")</f>
        <v>strain</v>
      </c>
      <c r="F2351" t="str">
        <f>IFERROR(__xludf.DUMMYFUNCTION("""COMPUTED_VALUE"""),"FL-15")</f>
        <v>FL-15</v>
      </c>
    </row>
    <row r="2352" ht="15.75" customHeight="1">
      <c r="A2352" t="str">
        <f t="shared" si="1"/>
        <v>F.columnare</v>
      </c>
      <c r="B2352" s="5" t="s">
        <v>9215</v>
      </c>
      <c r="C2352" s="6" t="str">
        <f>IFERROR(__xludf.DUMMYFUNCTION("SPLIT('2. c'!B2352, "" "", True, True)"),"Flavobacterium")</f>
        <v>Flavobacterium</v>
      </c>
      <c r="D2352" t="str">
        <f>IFERROR(__xludf.DUMMYFUNCTION("""COMPUTED_VALUE"""),"columnare")</f>
        <v>columnare</v>
      </c>
      <c r="E2352" t="str">
        <f>IFERROR(__xludf.DUMMYFUNCTION("""COMPUTED_VALUE"""),"ATCC")</f>
        <v>ATCC</v>
      </c>
      <c r="F2352">
        <f>IFERROR(__xludf.DUMMYFUNCTION("""COMPUTED_VALUE"""),49512.0)</f>
        <v>49512</v>
      </c>
    </row>
    <row r="2353" ht="15.75" customHeight="1">
      <c r="A2353" t="str">
        <f t="shared" si="1"/>
        <v>F.columnare</v>
      </c>
      <c r="B2353" s="5" t="s">
        <v>9225</v>
      </c>
      <c r="C2353" s="6" t="str">
        <f>IFERROR(__xludf.DUMMYFUNCTION("SPLIT('2. c'!B2353, "" "", True, True)"),"Flavobacterium")</f>
        <v>Flavobacterium</v>
      </c>
      <c r="D2353" t="str">
        <f>IFERROR(__xludf.DUMMYFUNCTION("""COMPUTED_VALUE"""),"columnare")</f>
        <v>columnare</v>
      </c>
      <c r="E2353" t="str">
        <f>IFERROR(__xludf.DUMMYFUNCTION("""COMPUTED_VALUE"""),"strain")</f>
        <v>strain</v>
      </c>
      <c r="F2353" t="str">
        <f>IFERROR(__xludf.DUMMYFUNCTION("""COMPUTED_VALUE"""),"94-081")</f>
        <v>94-081</v>
      </c>
    </row>
    <row r="2354" ht="15.75" customHeight="1">
      <c r="A2354" t="str">
        <f t="shared" si="1"/>
        <v>F.columnare</v>
      </c>
      <c r="B2354" s="5" t="s">
        <v>9235</v>
      </c>
      <c r="C2354" s="6" t="str">
        <f>IFERROR(__xludf.DUMMYFUNCTION("SPLIT('2. c'!B2354, "" "", True, True)"),"Flavobacterium")</f>
        <v>Flavobacterium</v>
      </c>
      <c r="D2354" t="str">
        <f>IFERROR(__xludf.DUMMYFUNCTION("""COMPUTED_VALUE"""),"columnare")</f>
        <v>columnare</v>
      </c>
      <c r="E2354" t="str">
        <f>IFERROR(__xludf.DUMMYFUNCTION("""COMPUTED_VALUE"""),"strain")</f>
        <v>strain</v>
      </c>
      <c r="F2354" t="str">
        <f>IFERROR(__xludf.DUMMYFUNCTION("""COMPUTED_VALUE"""),"C#2")</f>
        <v>C#2</v>
      </c>
    </row>
    <row r="2355" ht="15.75" customHeight="1">
      <c r="A2355" t="str">
        <f t="shared" si="1"/>
        <v>F.indicum</v>
      </c>
      <c r="B2355" s="5" t="s">
        <v>9244</v>
      </c>
      <c r="C2355" s="6" t="str">
        <f>IFERROR(__xludf.DUMMYFUNCTION("SPLIT('2. c'!B2355, "" "", True, True)"),"Flavobacterium")</f>
        <v>Flavobacterium</v>
      </c>
      <c r="D2355" t="str">
        <f>IFERROR(__xludf.DUMMYFUNCTION("""COMPUTED_VALUE"""),"indicum")</f>
        <v>indicum</v>
      </c>
      <c r="E2355" t="str">
        <f>IFERROR(__xludf.DUMMYFUNCTION("""COMPUTED_VALUE"""),"GPTSA100-9")</f>
        <v>GPTSA100-9</v>
      </c>
    </row>
    <row r="2356" ht="15.75" customHeight="1">
      <c r="A2356" t="str">
        <f t="shared" si="1"/>
        <v>F.indicum</v>
      </c>
      <c r="B2356" s="5" t="s">
        <v>9252</v>
      </c>
      <c r="C2356" s="6" t="str">
        <f>IFERROR(__xludf.DUMMYFUNCTION("SPLIT('2. c'!B2356, "" "", True, True)"),"Flavobacterium")</f>
        <v>Flavobacterium</v>
      </c>
      <c r="D2356" t="str">
        <f>IFERROR(__xludf.DUMMYFUNCTION("""COMPUTED_VALUE"""),"indicum")</f>
        <v>indicum</v>
      </c>
      <c r="E2356" t="str">
        <f>IFERROR(__xludf.DUMMYFUNCTION("""COMPUTED_VALUE"""),"GPTSA100-9")</f>
        <v>GPTSA100-9</v>
      </c>
      <c r="F2356" t="str">
        <f>IFERROR(__xludf.DUMMYFUNCTION("""COMPUTED_VALUE"""),"=")</f>
        <v>=</v>
      </c>
      <c r="G2356" t="str">
        <f>IFERROR(__xludf.DUMMYFUNCTION("""COMPUTED_VALUE"""),"DSM")</f>
        <v>DSM</v>
      </c>
      <c r="H2356">
        <f>IFERROR(__xludf.DUMMYFUNCTION("""COMPUTED_VALUE"""),17447.0)</f>
        <v>17447</v>
      </c>
    </row>
    <row r="2357" ht="15.75" customHeight="1">
      <c r="A2357" t="str">
        <f t="shared" si="1"/>
        <v>F.johnsoniae</v>
      </c>
      <c r="B2357" s="5" t="s">
        <v>9263</v>
      </c>
      <c r="C2357" s="6" t="str">
        <f>IFERROR(__xludf.DUMMYFUNCTION("SPLIT('2. c'!B2357, "" "", True, True)"),"Flavobacterium")</f>
        <v>Flavobacterium</v>
      </c>
      <c r="D2357" t="str">
        <f>IFERROR(__xludf.DUMMYFUNCTION("""COMPUTED_VALUE"""),"johnsoniae")</f>
        <v>johnsoniae</v>
      </c>
      <c r="E2357" t="str">
        <f>IFERROR(__xludf.DUMMYFUNCTION("""COMPUTED_VALUE"""),"UW101")</f>
        <v>UW101</v>
      </c>
    </row>
    <row r="2358" ht="15.75" customHeight="1">
      <c r="A2358" t="str">
        <f t="shared" si="1"/>
        <v>F.psychrophilum</v>
      </c>
      <c r="B2358" s="5" t="s">
        <v>9271</v>
      </c>
      <c r="C2358" s="6" t="str">
        <f>IFERROR(__xludf.DUMMYFUNCTION("SPLIT('2. c'!B2358, "" "", True, True)"),"Flavobacterium")</f>
        <v>Flavobacterium</v>
      </c>
      <c r="D2358" t="str">
        <f>IFERROR(__xludf.DUMMYFUNCTION("""COMPUTED_VALUE"""),"psychrophilum")</f>
        <v>psychrophilum</v>
      </c>
      <c r="E2358" t="str">
        <f>IFERROR(__xludf.DUMMYFUNCTION("""COMPUTED_VALUE"""),"950106-1/1")</f>
        <v>950106-1/1</v>
      </c>
    </row>
    <row r="2359" ht="15.75" customHeight="1">
      <c r="A2359" t="str">
        <f t="shared" si="1"/>
        <v>F.psychrophilum</v>
      </c>
      <c r="B2359" s="5" t="s">
        <v>9276</v>
      </c>
      <c r="C2359" s="6" t="str">
        <f>IFERROR(__xludf.DUMMYFUNCTION("SPLIT('2. c'!B2359, "" "", True, True)"),"Flavobacterium")</f>
        <v>Flavobacterium</v>
      </c>
      <c r="D2359" t="str">
        <f>IFERROR(__xludf.DUMMYFUNCTION("""COMPUTED_VALUE"""),"psychrophilum")</f>
        <v>psychrophilum</v>
      </c>
      <c r="E2359" t="str">
        <f>IFERROR(__xludf.DUMMYFUNCTION("""COMPUTED_VALUE"""),"FPG101")</f>
        <v>FPG101</v>
      </c>
    </row>
    <row r="2360" ht="15.75" customHeight="1">
      <c r="A2360" t="str">
        <f t="shared" si="1"/>
        <v>F.psychrophilum</v>
      </c>
      <c r="B2360" s="5" t="s">
        <v>9283</v>
      </c>
      <c r="C2360" s="6" t="str">
        <f>IFERROR(__xludf.DUMMYFUNCTION("SPLIT('2. c'!B2360, "" "", True, True)"),"Flavobacterium")</f>
        <v>Flavobacterium</v>
      </c>
      <c r="D2360" t="str">
        <f>IFERROR(__xludf.DUMMYFUNCTION("""COMPUTED_VALUE"""),"psychrophilum")</f>
        <v>psychrophilum</v>
      </c>
      <c r="E2360" t="str">
        <f>IFERROR(__xludf.DUMMYFUNCTION("""COMPUTED_VALUE"""),"FPG3")</f>
        <v>FPG3</v>
      </c>
    </row>
    <row r="2361" ht="15.75" customHeight="1">
      <c r="A2361" t="str">
        <f t="shared" si="1"/>
        <v>F.psychrophilum</v>
      </c>
      <c r="B2361" s="5" t="s">
        <v>9287</v>
      </c>
      <c r="C2361" s="6" t="str">
        <f>IFERROR(__xludf.DUMMYFUNCTION("SPLIT('2. c'!B2361, "" "", True, True)"),"Flavobacterium")</f>
        <v>Flavobacterium</v>
      </c>
      <c r="D2361" t="str">
        <f>IFERROR(__xludf.DUMMYFUNCTION("""COMPUTED_VALUE"""),"psychrophilum")</f>
        <v>psychrophilum</v>
      </c>
      <c r="E2361" t="str">
        <f>IFERROR(__xludf.DUMMYFUNCTION("""COMPUTED_VALUE"""),"JIP02/86")</f>
        <v>JIP02/86</v>
      </c>
    </row>
    <row r="2362" ht="15.75" customHeight="1">
      <c r="A2362" t="str">
        <f t="shared" si="1"/>
        <v>F.psychrophilum</v>
      </c>
      <c r="B2362" s="5" t="s">
        <v>9295</v>
      </c>
      <c r="C2362" s="6" t="str">
        <f>IFERROR(__xludf.DUMMYFUNCTION("SPLIT('2. c'!B2362, "" "", True, True)"),"Flavobacterium")</f>
        <v>Flavobacterium</v>
      </c>
      <c r="D2362" t="str">
        <f>IFERROR(__xludf.DUMMYFUNCTION("""COMPUTED_VALUE"""),"psychrophilum")</f>
        <v>psychrophilum</v>
      </c>
      <c r="E2362" t="str">
        <f>IFERROR(__xludf.DUMMYFUNCTION("""COMPUTED_VALUE"""),"strain")</f>
        <v>strain</v>
      </c>
      <c r="F2362">
        <f>IFERROR(__xludf.DUMMYFUNCTION("""COMPUTED_VALUE"""),3.0)</f>
        <v>3</v>
      </c>
    </row>
    <row r="2363" ht="15.75" customHeight="1">
      <c r="A2363" t="str">
        <f t="shared" si="1"/>
        <v>F.psychrophilum</v>
      </c>
      <c r="B2363" s="5" t="s">
        <v>9306</v>
      </c>
      <c r="C2363" s="6" t="str">
        <f>IFERROR(__xludf.DUMMYFUNCTION("SPLIT('2. c'!B2363, "" "", True, True)"),"Flavobacterium")</f>
        <v>Flavobacterium</v>
      </c>
      <c r="D2363" t="str">
        <f>IFERROR(__xludf.DUMMYFUNCTION("""COMPUTED_VALUE"""),"psychrophilum")</f>
        <v>psychrophilum</v>
      </c>
      <c r="E2363" t="str">
        <f>IFERROR(__xludf.DUMMYFUNCTION("""COMPUTED_VALUE"""),"strain")</f>
        <v>strain</v>
      </c>
      <c r="F2363">
        <f>IFERROR(__xludf.DUMMYFUNCTION("""COMPUTED_VALUE"""),4.0)</f>
        <v>4</v>
      </c>
    </row>
    <row r="2364" ht="15.75" customHeight="1">
      <c r="A2364" t="str">
        <f t="shared" si="1"/>
        <v>F.psychrophilum</v>
      </c>
      <c r="B2364" s="5" t="s">
        <v>9317</v>
      </c>
      <c r="C2364" s="6" t="str">
        <f>IFERROR(__xludf.DUMMYFUNCTION("SPLIT('2. c'!B2364, "" "", True, True)"),"Flavobacterium")</f>
        <v>Flavobacterium</v>
      </c>
      <c r="D2364" t="str">
        <f>IFERROR(__xludf.DUMMYFUNCTION("""COMPUTED_VALUE"""),"psychrophilum")</f>
        <v>psychrophilum</v>
      </c>
      <c r="E2364" t="str">
        <f>IFERROR(__xludf.DUMMYFUNCTION("""COMPUTED_VALUE"""),"strain")</f>
        <v>strain</v>
      </c>
      <c r="F2364">
        <f>IFERROR(__xludf.DUMMYFUNCTION("""COMPUTED_VALUE"""),5.0)</f>
        <v>5</v>
      </c>
    </row>
    <row r="2365" ht="15.75" customHeight="1">
      <c r="A2365" t="str">
        <f t="shared" si="1"/>
        <v>F.psychrophilum</v>
      </c>
      <c r="B2365" s="5" t="s">
        <v>9329</v>
      </c>
      <c r="C2365" s="6" t="str">
        <f>IFERROR(__xludf.DUMMYFUNCTION("SPLIT('2. c'!B2365, "" "", True, True)"),"Flavobacterium")</f>
        <v>Flavobacterium</v>
      </c>
      <c r="D2365" t="str">
        <f>IFERROR(__xludf.DUMMYFUNCTION("""COMPUTED_VALUE"""),"psychrophilum")</f>
        <v>psychrophilum</v>
      </c>
      <c r="E2365" t="str">
        <f>IFERROR(__xludf.DUMMYFUNCTION("""COMPUTED_VALUE"""),"strain")</f>
        <v>strain</v>
      </c>
      <c r="F2365" t="str">
        <f>IFERROR(__xludf.DUMMYFUNCTION("""COMPUTED_VALUE"""),"CSF259-93")</f>
        <v>CSF259-93</v>
      </c>
    </row>
    <row r="2366" ht="15.75" customHeight="1">
      <c r="A2366" t="str">
        <f t="shared" si="1"/>
        <v>F.psychrophilum</v>
      </c>
      <c r="B2366" s="5" t="s">
        <v>9340</v>
      </c>
      <c r="C2366" s="6" t="str">
        <f>IFERROR(__xludf.DUMMYFUNCTION("SPLIT('2. c'!B2366, "" "", True, True)"),"Flavobacterium")</f>
        <v>Flavobacterium</v>
      </c>
      <c r="D2366" t="str">
        <f>IFERROR(__xludf.DUMMYFUNCTION("""COMPUTED_VALUE"""),"psychrophilum")</f>
        <v>psychrophilum</v>
      </c>
      <c r="E2366" t="str">
        <f>IFERROR(__xludf.DUMMYFUNCTION("""COMPUTED_VALUE"""),"strain")</f>
        <v>strain</v>
      </c>
      <c r="F2366" t="str">
        <f>IFERROR(__xludf.DUMMYFUNCTION("""COMPUTED_VALUE"""),"MH1")</f>
        <v>MH1</v>
      </c>
    </row>
    <row r="2367" ht="15.75" customHeight="1">
      <c r="A2367" t="str">
        <f t="shared" si="1"/>
        <v>F.psychrophilum</v>
      </c>
      <c r="B2367" s="5" t="s">
        <v>9349</v>
      </c>
      <c r="C2367" s="6" t="str">
        <f>IFERROR(__xludf.DUMMYFUNCTION("SPLIT('2. c'!B2367, "" "", True, True)"),"Flavobacterium")</f>
        <v>Flavobacterium</v>
      </c>
      <c r="D2367" t="str">
        <f>IFERROR(__xludf.DUMMYFUNCTION("""COMPUTED_VALUE"""),"psychrophilum")</f>
        <v>psychrophilum</v>
      </c>
      <c r="E2367" t="str">
        <f>IFERROR(__xludf.DUMMYFUNCTION("""COMPUTED_VALUE"""),"strain")</f>
        <v>strain</v>
      </c>
      <c r="F2367" t="str">
        <f>IFERROR(__xludf.DUMMYFUNCTION("""COMPUTED_VALUE"""),"PG2")</f>
        <v>PG2</v>
      </c>
    </row>
    <row r="2368" ht="15.75" customHeight="1">
      <c r="A2368" t="str">
        <f t="shared" si="1"/>
        <v>F.psychrophilum</v>
      </c>
      <c r="B2368" s="5" t="s">
        <v>9362</v>
      </c>
      <c r="C2368" s="6" t="str">
        <f>IFERROR(__xludf.DUMMYFUNCTION("SPLIT('2. c'!B2368, "" "", True, True)"),"Flavobacterium")</f>
        <v>Flavobacterium</v>
      </c>
      <c r="D2368" t="str">
        <f>IFERROR(__xludf.DUMMYFUNCTION("""COMPUTED_VALUE"""),"psychrophilum")</f>
        <v>psychrophilum</v>
      </c>
      <c r="E2368" t="str">
        <f>IFERROR(__xludf.DUMMYFUNCTION("""COMPUTED_VALUE"""),"strain")</f>
        <v>strain</v>
      </c>
      <c r="F2368" t="str">
        <f>IFERROR(__xludf.DUMMYFUNCTION("""COMPUTED_VALUE"""),"VQ50")</f>
        <v>VQ50</v>
      </c>
    </row>
    <row r="2369" ht="15.75" customHeight="1">
      <c r="A2369" t="str">
        <f t="shared" si="1"/>
        <v>F.psychrophilum</v>
      </c>
      <c r="B2369" s="5" t="s">
        <v>9374</v>
      </c>
      <c r="C2369" s="6" t="str">
        <f>IFERROR(__xludf.DUMMYFUNCTION("SPLIT('2. c'!B2369, "" "", True, True)"),"Flavobacterium")</f>
        <v>Flavobacterium</v>
      </c>
      <c r="D2369" t="str">
        <f>IFERROR(__xludf.DUMMYFUNCTION("""COMPUTED_VALUE"""),"psychrophilum")</f>
        <v>psychrophilum</v>
      </c>
      <c r="E2369" t="str">
        <f>IFERROR(__xludf.DUMMYFUNCTION("""COMPUTED_VALUE"""),"strain")</f>
        <v>strain</v>
      </c>
      <c r="F2369" t="str">
        <f>IFERROR(__xludf.DUMMYFUNCTION("""COMPUTED_VALUE"""),"Z2")</f>
        <v>Z2</v>
      </c>
    </row>
    <row r="2370" ht="15.75" customHeight="1">
      <c r="A2370" t="str">
        <f t="shared" si="1"/>
        <v>F.psychrophilum</v>
      </c>
      <c r="B2370" s="5" t="s">
        <v>9382</v>
      </c>
      <c r="C2370" s="6" t="str">
        <f>IFERROR(__xludf.DUMMYFUNCTION("SPLIT('2. c'!B2370, "" "", True, True)"),"Flavobacterium")</f>
        <v>Flavobacterium</v>
      </c>
      <c r="D2370" t="str">
        <f>IFERROR(__xludf.DUMMYFUNCTION("""COMPUTED_VALUE"""),"psychrophilum")</f>
        <v>psychrophilum</v>
      </c>
      <c r="E2370" t="str">
        <f>IFERROR(__xludf.DUMMYFUNCTION("""COMPUTED_VALUE"""),"V3-5")</f>
        <v>V3-5</v>
      </c>
    </row>
    <row r="2371" ht="15.75" customHeight="1">
      <c r="A2371" t="str">
        <f t="shared" si="1"/>
        <v>F.psychrophilum</v>
      </c>
      <c r="B2371" s="5" t="s">
        <v>9392</v>
      </c>
      <c r="C2371" s="6" t="str">
        <f>IFERROR(__xludf.DUMMYFUNCTION("SPLIT('2. c'!B2371, "" "", True, True)"),"Flavobacterium")</f>
        <v>Flavobacterium</v>
      </c>
      <c r="D2371" t="str">
        <f>IFERROR(__xludf.DUMMYFUNCTION("""COMPUTED_VALUE"""),"psychrophilum")</f>
        <v>psychrophilum</v>
      </c>
      <c r="E2371" t="str">
        <f>IFERROR(__xludf.DUMMYFUNCTION("""COMPUTED_VALUE"""),"V4-24")</f>
        <v>V4-24</v>
      </c>
    </row>
    <row r="2372" ht="15.75" customHeight="1">
      <c r="A2372" t="str">
        <f t="shared" si="1"/>
        <v>F.psychrophilum</v>
      </c>
      <c r="B2372" s="5" t="s">
        <v>9397</v>
      </c>
      <c r="C2372" s="6" t="str">
        <f>IFERROR(__xludf.DUMMYFUNCTION("SPLIT('2. c'!B2372, "" "", True, True)"),"Flavobacterium")</f>
        <v>Flavobacterium</v>
      </c>
      <c r="D2372" t="str">
        <f>IFERROR(__xludf.DUMMYFUNCTION("""COMPUTED_VALUE"""),"psychrophilum")</f>
        <v>psychrophilum</v>
      </c>
      <c r="E2372" t="str">
        <f>IFERROR(__xludf.DUMMYFUNCTION("""COMPUTED_VALUE"""),"v4-33")</f>
        <v>v4-33</v>
      </c>
    </row>
    <row r="2373" ht="15.75" customHeight="1">
      <c r="A2373" t="str">
        <f t="shared" si="1"/>
        <v>F.litoralis</v>
      </c>
      <c r="B2373" s="5" t="s">
        <v>9406</v>
      </c>
      <c r="C2373" s="6" t="str">
        <f>IFERROR(__xludf.DUMMYFUNCTION("SPLIT('2. c'!B2373, "" "", True, True)"),"Flexibacter")</f>
        <v>Flexibacter</v>
      </c>
      <c r="D2373" t="str">
        <f>IFERROR(__xludf.DUMMYFUNCTION("""COMPUTED_VALUE"""),"litoralis")</f>
        <v>litoralis</v>
      </c>
      <c r="E2373" t="str">
        <f>IFERROR(__xludf.DUMMYFUNCTION("""COMPUTED_VALUE"""),"DSM")</f>
        <v>DSM</v>
      </c>
      <c r="F2373">
        <f>IFERROR(__xludf.DUMMYFUNCTION("""COMPUTED_VALUE"""),6794.0)</f>
        <v>6794</v>
      </c>
    </row>
    <row r="2374" ht="15.75" customHeight="1">
      <c r="A2374" t="str">
        <f t="shared" si="1"/>
        <v>F.sinusarabici</v>
      </c>
      <c r="B2374" s="5" t="s">
        <v>9416</v>
      </c>
      <c r="C2374" s="6" t="str">
        <f>IFERROR(__xludf.DUMMYFUNCTION("SPLIT('2. c'!B2374, "" "", True, True)"),"Flexistipes")</f>
        <v>Flexistipes</v>
      </c>
      <c r="D2374" t="str">
        <f>IFERROR(__xludf.DUMMYFUNCTION("""COMPUTED_VALUE"""),"sinusarabici")</f>
        <v>sinusarabici</v>
      </c>
      <c r="E2374" t="str">
        <f>IFERROR(__xludf.DUMMYFUNCTION("""COMPUTED_VALUE"""),"DSM")</f>
        <v>DSM</v>
      </c>
      <c r="F2374">
        <f>IFERROR(__xludf.DUMMYFUNCTION("""COMPUTED_VALUE"""),4947.0)</f>
        <v>4947</v>
      </c>
    </row>
    <row r="2375" ht="15.75" customHeight="1">
      <c r="A2375" t="str">
        <f t="shared" si="1"/>
        <v>F.taffensis</v>
      </c>
      <c r="B2375" s="5" t="s">
        <v>9427</v>
      </c>
      <c r="C2375" s="6" t="str">
        <f>IFERROR(__xludf.DUMMYFUNCTION("SPLIT('2. c'!B2375, "" "", True, True)"),"Fluviicola")</f>
        <v>Fluviicola</v>
      </c>
      <c r="D2375" t="str">
        <f>IFERROR(__xludf.DUMMYFUNCTION("""COMPUTED_VALUE"""),"taffensis")</f>
        <v>taffensis</v>
      </c>
      <c r="E2375" t="str">
        <f>IFERROR(__xludf.DUMMYFUNCTION("""COMPUTED_VALUE"""),"DSM")</f>
        <v>DSM</v>
      </c>
      <c r="F2375">
        <f>IFERROR(__xludf.DUMMYFUNCTION("""COMPUTED_VALUE"""),16823.0)</f>
        <v>16823</v>
      </c>
    </row>
    <row r="2376" ht="15.75" customHeight="1">
      <c r="A2376" t="str">
        <f t="shared" si="1"/>
        <v>F.agariphila</v>
      </c>
      <c r="B2376" s="5" t="s">
        <v>9437</v>
      </c>
      <c r="C2376" s="6" t="str">
        <f>IFERROR(__xludf.DUMMYFUNCTION("SPLIT('2. c'!B2376, "" "", True, True)"),"Formosa")</f>
        <v>Formosa</v>
      </c>
      <c r="D2376" t="str">
        <f>IFERROR(__xludf.DUMMYFUNCTION("""COMPUTED_VALUE"""),"agariphila")</f>
        <v>agariphila</v>
      </c>
      <c r="E2376" t="str">
        <f>IFERROR(__xludf.DUMMYFUNCTION("""COMPUTED_VALUE"""),"KMM")</f>
        <v>KMM</v>
      </c>
      <c r="F2376">
        <f>IFERROR(__xludf.DUMMYFUNCTION("""COMPUTED_VALUE"""),3901.0)</f>
        <v>3901</v>
      </c>
    </row>
    <row r="2377" ht="15.75" customHeight="1">
      <c r="A2377" t="str">
        <f t="shared" si="1"/>
        <v>F.cf.</v>
      </c>
      <c r="B2377" s="5" t="s">
        <v>9450</v>
      </c>
      <c r="C2377" s="6" t="str">
        <f>IFERROR(__xludf.DUMMYFUNCTION("SPLIT('2. c'!B2377, "" "", True, True)"),"Francisella")</f>
        <v>Francisella</v>
      </c>
      <c r="D2377" t="str">
        <f>IFERROR(__xludf.DUMMYFUNCTION("""COMPUTED_VALUE"""),"cf.")</f>
        <v>cf.</v>
      </c>
      <c r="E2377" t="str">
        <f>IFERROR(__xludf.DUMMYFUNCTION("""COMPUTED_VALUE"""),"novicida")</f>
        <v>novicida</v>
      </c>
      <c r="F2377">
        <f>IFERROR(__xludf.DUMMYFUNCTION("""COMPUTED_VALUE"""),3523.0)</f>
        <v>3523</v>
      </c>
    </row>
    <row r="2378" ht="15.75" customHeight="1">
      <c r="A2378" t="str">
        <f t="shared" si="1"/>
        <v>F.cf.</v>
      </c>
      <c r="B2378" s="5" t="s">
        <v>9460</v>
      </c>
      <c r="C2378" s="6" t="str">
        <f>IFERROR(__xludf.DUMMYFUNCTION("SPLIT('2. c'!B2378, "" "", True, True)"),"Francisella")</f>
        <v>Francisella</v>
      </c>
      <c r="D2378" t="str">
        <f>IFERROR(__xludf.DUMMYFUNCTION("""COMPUTED_VALUE"""),"cf.")</f>
        <v>cf.</v>
      </c>
      <c r="E2378" t="str">
        <f>IFERROR(__xludf.DUMMYFUNCTION("""COMPUTED_VALUE"""),"novicida")</f>
        <v>novicida</v>
      </c>
      <c r="F2378" t="str">
        <f>IFERROR(__xludf.DUMMYFUNCTION("""COMPUTED_VALUE"""),"Fx1")</f>
        <v>Fx1</v>
      </c>
    </row>
    <row r="2379" ht="15.75" customHeight="1">
      <c r="A2379" t="str">
        <f t="shared" si="1"/>
        <v>F.guangzhouensis</v>
      </c>
      <c r="B2379" s="5" t="s">
        <v>9470</v>
      </c>
      <c r="C2379" s="6" t="str">
        <f>IFERROR(__xludf.DUMMYFUNCTION("SPLIT('2. c'!B2379, "" "", True, True)"),"Francisella")</f>
        <v>Francisella</v>
      </c>
      <c r="D2379" t="str">
        <f>IFERROR(__xludf.DUMMYFUNCTION("""COMPUTED_VALUE"""),"guangzhouensis")</f>
        <v>guangzhouensis</v>
      </c>
      <c r="E2379" t="str">
        <f>IFERROR(__xludf.DUMMYFUNCTION("""COMPUTED_VALUE"""),"08HL01032")</f>
        <v>08HL01032</v>
      </c>
    </row>
    <row r="2380" ht="15.75" customHeight="1">
      <c r="A2380" t="str">
        <f t="shared" si="1"/>
        <v>F.noatunensis</v>
      </c>
      <c r="B2380" s="5" t="s">
        <v>9482</v>
      </c>
      <c r="C2380" s="6" t="str">
        <f>IFERROR(__xludf.DUMMYFUNCTION("SPLIT('2. c'!B2380, "" "", True, True)"),"Francisella")</f>
        <v>Francisella</v>
      </c>
      <c r="D2380" t="str">
        <f>IFERROR(__xludf.DUMMYFUNCTION("""COMPUTED_VALUE"""),"noatunensis")</f>
        <v>noatunensis</v>
      </c>
      <c r="E2380" t="str">
        <f>IFERROR(__xludf.DUMMYFUNCTION("""COMPUTED_VALUE"""),"subsp.")</f>
        <v>subsp.</v>
      </c>
      <c r="F2380" t="str">
        <f>IFERROR(__xludf.DUMMYFUNCTION("""COMPUTED_VALUE"""),"orientalis")</f>
        <v>orientalis</v>
      </c>
      <c r="G2380" t="str">
        <f>IFERROR(__xludf.DUMMYFUNCTION("""COMPUTED_VALUE"""),"FNO12")</f>
        <v>FNO12</v>
      </c>
    </row>
    <row r="2381" ht="15.75" customHeight="1">
      <c r="A2381" t="str">
        <f t="shared" si="1"/>
        <v>F.noatunensis</v>
      </c>
      <c r="B2381" s="5" t="s">
        <v>9492</v>
      </c>
      <c r="C2381" s="6" t="str">
        <f>IFERROR(__xludf.DUMMYFUNCTION("SPLIT('2. c'!B2381, "" "", True, True)"),"Francisella")</f>
        <v>Francisella</v>
      </c>
      <c r="D2381" t="str">
        <f>IFERROR(__xludf.DUMMYFUNCTION("""COMPUTED_VALUE"""),"noatunensis")</f>
        <v>noatunensis</v>
      </c>
      <c r="E2381" t="str">
        <f>IFERROR(__xludf.DUMMYFUNCTION("""COMPUTED_VALUE"""),"subsp.")</f>
        <v>subsp.</v>
      </c>
      <c r="F2381" t="str">
        <f>IFERROR(__xludf.DUMMYFUNCTION("""COMPUTED_VALUE"""),"orientalis")</f>
        <v>orientalis</v>
      </c>
      <c r="G2381" t="str">
        <f>IFERROR(__xludf.DUMMYFUNCTION("""COMPUTED_VALUE"""),"FNO24")</f>
        <v>FNO24</v>
      </c>
    </row>
    <row r="2382" ht="15.75" customHeight="1">
      <c r="A2382" t="str">
        <f t="shared" si="1"/>
        <v>F.noatunensis</v>
      </c>
      <c r="B2382" s="5" t="s">
        <v>9504</v>
      </c>
      <c r="C2382" s="6" t="str">
        <f>IFERROR(__xludf.DUMMYFUNCTION("SPLIT('2. c'!B2382, "" "", True, True)"),"Francisella")</f>
        <v>Francisella</v>
      </c>
      <c r="D2382" t="str">
        <f>IFERROR(__xludf.DUMMYFUNCTION("""COMPUTED_VALUE"""),"noatunensis")</f>
        <v>noatunensis</v>
      </c>
      <c r="E2382" t="str">
        <f>IFERROR(__xludf.DUMMYFUNCTION("""COMPUTED_VALUE"""),"subsp.")</f>
        <v>subsp.</v>
      </c>
      <c r="F2382" t="str">
        <f>IFERROR(__xludf.DUMMYFUNCTION("""COMPUTED_VALUE"""),"orientalis")</f>
        <v>orientalis</v>
      </c>
      <c r="G2382" t="str">
        <f>IFERROR(__xludf.DUMMYFUNCTION("""COMPUTED_VALUE"""),"LADL--07-285A")</f>
        <v>LADL--07-285A</v>
      </c>
    </row>
    <row r="2383" ht="15.75" customHeight="1">
      <c r="A2383" t="str">
        <f t="shared" si="1"/>
        <v>F.noatunensis</v>
      </c>
      <c r="B2383" s="5" t="s">
        <v>9512</v>
      </c>
      <c r="C2383" s="6" t="str">
        <f>IFERROR(__xludf.DUMMYFUNCTION("SPLIT('2. c'!B2383, "" "", True, True)"),"Francisella")</f>
        <v>Francisella</v>
      </c>
      <c r="D2383" t="str">
        <f>IFERROR(__xludf.DUMMYFUNCTION("""COMPUTED_VALUE"""),"noatunensis")</f>
        <v>noatunensis</v>
      </c>
      <c r="E2383" t="str">
        <f>IFERROR(__xludf.DUMMYFUNCTION("""COMPUTED_VALUE"""),"subsp.")</f>
        <v>subsp.</v>
      </c>
      <c r="F2383" t="str">
        <f>IFERROR(__xludf.DUMMYFUNCTION("""COMPUTED_VALUE"""),"orientalis")</f>
        <v>orientalis</v>
      </c>
      <c r="G2383" t="str">
        <f>IFERROR(__xludf.DUMMYFUNCTION("""COMPUTED_VALUE"""),"str.")</f>
        <v>str.</v>
      </c>
      <c r="H2383" t="str">
        <f>IFERROR(__xludf.DUMMYFUNCTION("""COMPUTED_VALUE"""),"Toba")</f>
        <v>Toba</v>
      </c>
      <c r="I2383">
        <f>IFERROR(__xludf.DUMMYFUNCTION("""COMPUTED_VALUE"""),4.0)</f>
        <v>4</v>
      </c>
    </row>
    <row r="2384" ht="15.75" customHeight="1">
      <c r="A2384" t="str">
        <f t="shared" si="1"/>
        <v>F.noatunensis</v>
      </c>
      <c r="B2384" s="5" t="s">
        <v>9519</v>
      </c>
      <c r="C2384" s="6" t="str">
        <f>IFERROR(__xludf.DUMMYFUNCTION("SPLIT('2. c'!B2384, "" "", True, True)"),"Francisella")</f>
        <v>Francisella</v>
      </c>
      <c r="D2384" t="str">
        <f>IFERROR(__xludf.DUMMYFUNCTION("""COMPUTED_VALUE"""),"noatunensis")</f>
        <v>noatunensis</v>
      </c>
      <c r="E2384" t="str">
        <f>IFERROR(__xludf.DUMMYFUNCTION("""COMPUTED_VALUE"""),"subsp.")</f>
        <v>subsp.</v>
      </c>
      <c r="F2384" t="str">
        <f>IFERROR(__xludf.DUMMYFUNCTION("""COMPUTED_VALUE"""),"orientalis")</f>
        <v>orientalis</v>
      </c>
      <c r="G2384" t="str">
        <f>IFERROR(__xludf.DUMMYFUNCTION("""COMPUTED_VALUE"""),"strain")</f>
        <v>strain</v>
      </c>
      <c r="H2384" t="str">
        <f>IFERROR(__xludf.DUMMYFUNCTION("""COMPUTED_VALUE"""),"FNO01")</f>
        <v>FNO01</v>
      </c>
    </row>
    <row r="2385" ht="15.75" customHeight="1">
      <c r="A2385" t="str">
        <f t="shared" si="1"/>
        <v>F.noatunensis</v>
      </c>
      <c r="B2385" s="5" t="s">
        <v>9527</v>
      </c>
      <c r="C2385" s="6" t="str">
        <f>IFERROR(__xludf.DUMMYFUNCTION("SPLIT('2. c'!B2385, "" "", True, True)"),"Francisella")</f>
        <v>Francisella</v>
      </c>
      <c r="D2385" t="str">
        <f>IFERROR(__xludf.DUMMYFUNCTION("""COMPUTED_VALUE"""),"noatunensis")</f>
        <v>noatunensis</v>
      </c>
      <c r="E2385" t="str">
        <f>IFERROR(__xludf.DUMMYFUNCTION("""COMPUTED_VALUE"""),"subsp.")</f>
        <v>subsp.</v>
      </c>
      <c r="F2385" t="str">
        <f>IFERROR(__xludf.DUMMYFUNCTION("""COMPUTED_VALUE"""),"orientalis")</f>
        <v>orientalis</v>
      </c>
      <c r="G2385" t="str">
        <f>IFERROR(__xludf.DUMMYFUNCTION("""COMPUTED_VALUE"""),"strain")</f>
        <v>strain</v>
      </c>
      <c r="H2385" t="str">
        <f>IFERROR(__xludf.DUMMYFUNCTION("""COMPUTED_VALUE"""),"FNO190")</f>
        <v>FNO190</v>
      </c>
    </row>
    <row r="2386" ht="15.75" customHeight="1">
      <c r="A2386" t="str">
        <f t="shared" si="1"/>
        <v>F.novicida</v>
      </c>
      <c r="B2386" s="5" t="s">
        <v>9540</v>
      </c>
      <c r="C2386" s="6" t="str">
        <f>IFERROR(__xludf.DUMMYFUNCTION("SPLIT('2. c'!B2386, "" "", True, True)"),"Francisella")</f>
        <v>Francisella</v>
      </c>
      <c r="D2386" t="str">
        <f>IFERROR(__xludf.DUMMYFUNCTION("""COMPUTED_VALUE"""),"novicida")</f>
        <v>novicida</v>
      </c>
      <c r="E2386" t="str">
        <f>IFERROR(__xludf.DUMMYFUNCTION("""COMPUTED_VALUE"""),"U112")</f>
        <v>U112</v>
      </c>
    </row>
    <row r="2387" ht="15.75" customHeight="1">
      <c r="A2387" t="str">
        <f t="shared" si="1"/>
        <v>F.persica</v>
      </c>
      <c r="B2387" s="5" t="s">
        <v>9544</v>
      </c>
      <c r="C2387" s="6" t="str">
        <f>IFERROR(__xludf.DUMMYFUNCTION("SPLIT('2. c'!B2387, "" "", True, True)"),"Francisella")</f>
        <v>Francisella</v>
      </c>
      <c r="D2387" t="str">
        <f>IFERROR(__xludf.DUMMYFUNCTION("""COMPUTED_VALUE"""),"persica")</f>
        <v>persica</v>
      </c>
      <c r="E2387" t="str">
        <f>IFERROR(__xludf.DUMMYFUNCTION("""COMPUTED_VALUE"""),"ATCC")</f>
        <v>ATCC</v>
      </c>
      <c r="F2387" t="str">
        <f>IFERROR(__xludf.DUMMYFUNCTION("""COMPUTED_VALUE"""),"VR-331")</f>
        <v>VR-331</v>
      </c>
    </row>
    <row r="2388" ht="15.75" customHeight="1">
      <c r="A2388" t="str">
        <f t="shared" si="1"/>
        <v>F.persica</v>
      </c>
      <c r="B2388" s="5" t="s">
        <v>9544</v>
      </c>
      <c r="C2388" s="6" t="str">
        <f>IFERROR(__xludf.DUMMYFUNCTION("SPLIT('2. c'!B2388, "" "", True, True)"),"Francisella")</f>
        <v>Francisella</v>
      </c>
      <c r="D2388" t="str">
        <f>IFERROR(__xludf.DUMMYFUNCTION("""COMPUTED_VALUE"""),"persica")</f>
        <v>persica</v>
      </c>
      <c r="E2388" t="str">
        <f>IFERROR(__xludf.DUMMYFUNCTION("""COMPUTED_VALUE"""),"ATCC")</f>
        <v>ATCC</v>
      </c>
      <c r="F2388" t="str">
        <f>IFERROR(__xludf.DUMMYFUNCTION("""COMPUTED_VALUE"""),"VR-331")</f>
        <v>VR-331</v>
      </c>
    </row>
    <row r="2389" ht="15.75" customHeight="1">
      <c r="A2389" t="str">
        <f t="shared" si="1"/>
        <v>F.philomiragia</v>
      </c>
      <c r="B2389" s="5" t="s">
        <v>9563</v>
      </c>
      <c r="C2389" s="6" t="str">
        <f>IFERROR(__xludf.DUMMYFUNCTION("SPLIT('2. c'!B2389, "" "", True, True)"),"Francisella")</f>
        <v>Francisella</v>
      </c>
      <c r="D2389" t="str">
        <f>IFERROR(__xludf.DUMMYFUNCTION("""COMPUTED_VALUE"""),"philomiragia")</f>
        <v>philomiragia</v>
      </c>
      <c r="E2389" t="str">
        <f>IFERROR(__xludf.DUMMYFUNCTION("""COMPUTED_VALUE"""),"GA01-2794")</f>
        <v>GA01-2794</v>
      </c>
    </row>
    <row r="2390" ht="15.75" customHeight="1">
      <c r="A2390" t="str">
        <f t="shared" si="1"/>
        <v>F.philomiragia</v>
      </c>
      <c r="B2390" s="5" t="s">
        <v>9571</v>
      </c>
      <c r="C2390" s="6" t="str">
        <f>IFERROR(__xludf.DUMMYFUNCTION("SPLIT('2. c'!B2390, "" "", True, True)"),"Francisella")</f>
        <v>Francisella</v>
      </c>
      <c r="D2390" t="str">
        <f>IFERROR(__xludf.DUMMYFUNCTION("""COMPUTED_VALUE"""),"philomiragia")</f>
        <v>philomiragia</v>
      </c>
      <c r="E2390" t="str">
        <f>IFERROR(__xludf.DUMMYFUNCTION("""COMPUTED_VALUE"""),"GA01-2801")</f>
        <v>GA01-2801</v>
      </c>
    </row>
    <row r="2391" ht="15.75" customHeight="1">
      <c r="A2391" t="str">
        <f t="shared" si="1"/>
        <v>F.philomiragia</v>
      </c>
      <c r="B2391" s="5" t="s">
        <v>9580</v>
      </c>
      <c r="C2391" s="6" t="str">
        <f>IFERROR(__xludf.DUMMYFUNCTION("SPLIT('2. c'!B2391, "" "", True, True)"),"Francisella")</f>
        <v>Francisella</v>
      </c>
      <c r="D2391" t="str">
        <f>IFERROR(__xludf.DUMMYFUNCTION("""COMPUTED_VALUE"""),"philomiragia")</f>
        <v>philomiragia</v>
      </c>
      <c r="E2391" t="str">
        <f>IFERROR(__xludf.DUMMYFUNCTION("""COMPUTED_VALUE"""),"O#319-029")</f>
        <v>O#319-029</v>
      </c>
    </row>
    <row r="2392" ht="15.75" customHeight="1">
      <c r="A2392" t="str">
        <f t="shared" si="1"/>
        <v>F.philomiragia</v>
      </c>
      <c r="B2392" s="5" t="s">
        <v>9588</v>
      </c>
      <c r="C2392" s="6" t="str">
        <f>IFERROR(__xludf.DUMMYFUNCTION("SPLIT('2. c'!B2392, "" "", True, True)"),"Francisella")</f>
        <v>Francisella</v>
      </c>
      <c r="D2392" t="str">
        <f>IFERROR(__xludf.DUMMYFUNCTION("""COMPUTED_VALUE"""),"philomiragia")</f>
        <v>philomiragia</v>
      </c>
      <c r="E2392" t="str">
        <f>IFERROR(__xludf.DUMMYFUNCTION("""COMPUTED_VALUE"""),"O#319-067")</f>
        <v>O#319-067</v>
      </c>
    </row>
    <row r="2393" ht="15.75" customHeight="1">
      <c r="A2393" t="str">
        <f t="shared" si="1"/>
        <v>F.philomiragia</v>
      </c>
      <c r="B2393" s="5" t="s">
        <v>9599</v>
      </c>
      <c r="C2393" s="6" t="str">
        <f>IFERROR(__xludf.DUMMYFUNCTION("SPLIT('2. c'!B2393, "" "", True, True)"),"Francisella")</f>
        <v>Francisella</v>
      </c>
      <c r="D2393" t="str">
        <f>IFERROR(__xludf.DUMMYFUNCTION("""COMPUTED_VALUE"""),"philomiragia")</f>
        <v>philomiragia</v>
      </c>
      <c r="E2393" t="str">
        <f>IFERROR(__xludf.DUMMYFUNCTION("""COMPUTED_VALUE"""),"subsp.")</f>
        <v>subsp.</v>
      </c>
      <c r="F2393" t="str">
        <f>IFERROR(__xludf.DUMMYFUNCTION("""COMPUTED_VALUE"""),"philomiragia")</f>
        <v>philomiragia</v>
      </c>
      <c r="G2393" t="str">
        <f>IFERROR(__xludf.DUMMYFUNCTION("""COMPUTED_VALUE"""),"ATCC")</f>
        <v>ATCC</v>
      </c>
      <c r="H2393">
        <f>IFERROR(__xludf.DUMMYFUNCTION("""COMPUTED_VALUE"""),25015.0)</f>
        <v>25015</v>
      </c>
      <c r="I2393" t="str">
        <f>IFERROR(__xludf.DUMMYFUNCTION("""COMPUTED_VALUE"""),"strain")</f>
        <v>strain</v>
      </c>
      <c r="J2393" t="str">
        <f>IFERROR(__xludf.DUMMYFUNCTION("""COMPUTED_VALUE"""),"O#319L")</f>
        <v>O#319L</v>
      </c>
    </row>
    <row r="2394" ht="15.75" customHeight="1">
      <c r="A2394" t="str">
        <f t="shared" si="1"/>
        <v>F.philomiragia</v>
      </c>
      <c r="B2394" s="5" t="s">
        <v>9611</v>
      </c>
      <c r="C2394" s="6" t="str">
        <f>IFERROR(__xludf.DUMMYFUNCTION("SPLIT('2. c'!B2394, "" "", True, True)"),"Francisella")</f>
        <v>Francisella</v>
      </c>
      <c r="D2394" t="str">
        <f>IFERROR(__xludf.DUMMYFUNCTION("""COMPUTED_VALUE"""),"philomiragia")</f>
        <v>philomiragia</v>
      </c>
      <c r="E2394" t="str">
        <f>IFERROR(__xludf.DUMMYFUNCTION("""COMPUTED_VALUE"""),"subsp.")</f>
        <v>subsp.</v>
      </c>
      <c r="F2394" t="str">
        <f>IFERROR(__xludf.DUMMYFUNCTION("""COMPUTED_VALUE"""),"philomiragia")</f>
        <v>philomiragia</v>
      </c>
      <c r="G2394" t="str">
        <f>IFERROR(__xludf.DUMMYFUNCTION("""COMPUTED_VALUE"""),"ATCC")</f>
        <v>ATCC</v>
      </c>
      <c r="H2394">
        <f>IFERROR(__xludf.DUMMYFUNCTION("""COMPUTED_VALUE"""),25017.0)</f>
        <v>25017</v>
      </c>
    </row>
    <row r="2395" ht="15.75" customHeight="1">
      <c r="A2395" t="str">
        <f t="shared" si="1"/>
        <v>F.sp.</v>
      </c>
      <c r="B2395" s="5" t="s">
        <v>9624</v>
      </c>
      <c r="C2395" s="6" t="str">
        <f>IFERROR(__xludf.DUMMYFUNCTION("SPLIT('2. c'!B2395, "" "", True, True)"),"Francisella")</f>
        <v>Francisella</v>
      </c>
      <c r="D2395" t="str">
        <f>IFERROR(__xludf.DUMMYFUNCTION("""COMPUTED_VALUE"""),"sp.")</f>
        <v>sp.</v>
      </c>
      <c r="E2395" t="str">
        <f>IFERROR(__xludf.DUMMYFUNCTION("""COMPUTED_VALUE"""),"FSC1006")</f>
        <v>FSC1006</v>
      </c>
    </row>
    <row r="2396" ht="15.75" customHeight="1">
      <c r="A2396" t="str">
        <f t="shared" si="1"/>
        <v>F.sp.</v>
      </c>
      <c r="B2396" s="5" t="s">
        <v>9634</v>
      </c>
      <c r="C2396" s="6" t="str">
        <f>IFERROR(__xludf.DUMMYFUNCTION("SPLIT('2. c'!B2396, "" "", True, True)"),"Francisella")</f>
        <v>Francisella</v>
      </c>
      <c r="D2396" t="str">
        <f>IFERROR(__xludf.DUMMYFUNCTION("""COMPUTED_VALUE"""),"sp.")</f>
        <v>sp.</v>
      </c>
      <c r="E2396" t="str">
        <f>IFERROR(__xludf.DUMMYFUNCTION("""COMPUTED_VALUE"""),"TX077308")</f>
        <v>TX077308</v>
      </c>
    </row>
    <row r="2397" ht="15.75" customHeight="1">
      <c r="A2397" t="str">
        <f t="shared" si="1"/>
        <v>F.tularensis</v>
      </c>
      <c r="B2397" s="5" t="s">
        <v>9642</v>
      </c>
      <c r="C2397" s="6" t="str">
        <f>IFERROR(__xludf.DUMMYFUNCTION("SPLIT('2. c'!B2397, "" "", True, True)"),"Francisella")</f>
        <v>Francisella</v>
      </c>
      <c r="D2397" t="str">
        <f>IFERROR(__xludf.DUMMYFUNCTION("""COMPUTED_VALUE"""),"tularensis")</f>
        <v>tularensis</v>
      </c>
      <c r="E2397" t="str">
        <f>IFERROR(__xludf.DUMMYFUNCTION("""COMPUTED_VALUE"""),"strain")</f>
        <v>strain</v>
      </c>
      <c r="F2397" t="str">
        <f>IFERROR(__xludf.DUMMYFUNCTION("""COMPUTED_VALUE"""),"FAE")</f>
        <v>FAE</v>
      </c>
    </row>
    <row r="2398" ht="15.75" customHeight="1">
      <c r="A2398" t="str">
        <f t="shared" si="1"/>
        <v>F.tularensis</v>
      </c>
      <c r="B2398" s="5" t="s">
        <v>9653</v>
      </c>
      <c r="C2398" s="6" t="str">
        <f>IFERROR(__xludf.DUMMYFUNCTION("SPLIT('2. c'!B2398, "" "", True, True)"),"Francisella")</f>
        <v>Francisella</v>
      </c>
      <c r="D2398" t="str">
        <f>IFERROR(__xludf.DUMMYFUNCTION("""COMPUTED_VALUE"""),"tularensis")</f>
        <v>tularensis</v>
      </c>
      <c r="E2398" t="str">
        <f>IFERROR(__xludf.DUMMYFUNCTION("""COMPUTED_VALUE"""),"strain")</f>
        <v>strain</v>
      </c>
      <c r="F2398" t="str">
        <f>IFERROR(__xludf.DUMMYFUNCTION("""COMPUTED_VALUE"""),"FTU")</f>
        <v>FTU</v>
      </c>
    </row>
    <row r="2399" ht="15.75" customHeight="1">
      <c r="A2399" t="str">
        <f t="shared" si="1"/>
        <v>F.tularensis</v>
      </c>
      <c r="B2399" s="5" t="s">
        <v>9661</v>
      </c>
      <c r="C2399" s="6" t="str">
        <f>IFERROR(__xludf.DUMMYFUNCTION("SPLIT('2. c'!B2399, "" "", True, True)"),"Francisella")</f>
        <v>Francisella</v>
      </c>
      <c r="D2399" t="str">
        <f>IFERROR(__xludf.DUMMYFUNCTION("""COMPUTED_VALUE"""),"tularensis")</f>
        <v>tularensis</v>
      </c>
      <c r="E2399" t="str">
        <f>IFERROR(__xludf.DUMMYFUNCTION("""COMPUTED_VALUE"""),"strain")</f>
        <v>strain</v>
      </c>
      <c r="F2399" t="str">
        <f>IFERROR(__xludf.DUMMYFUNCTION("""COMPUTED_VALUE"""),"FTV")</f>
        <v>FTV</v>
      </c>
    </row>
    <row r="2400" ht="15.75" customHeight="1">
      <c r="A2400" t="str">
        <f t="shared" si="1"/>
        <v>F.tularensis</v>
      </c>
      <c r="B2400" s="5" t="s">
        <v>9671</v>
      </c>
      <c r="C2400" s="6" t="str">
        <f>IFERROR(__xludf.DUMMYFUNCTION("SPLIT('2. c'!B2400, "" "", True, True)"),"Francisella")</f>
        <v>Francisella</v>
      </c>
      <c r="D2400" t="str">
        <f>IFERROR(__xludf.DUMMYFUNCTION("""COMPUTED_VALUE"""),"tularensis")</f>
        <v>tularensis</v>
      </c>
      <c r="E2400" t="str">
        <f>IFERROR(__xludf.DUMMYFUNCTION("""COMPUTED_VALUE"""),"strain")</f>
        <v>strain</v>
      </c>
      <c r="F2400" t="str">
        <f>IFERROR(__xludf.DUMMYFUNCTION("""COMPUTED_VALUE"""),"FTX")</f>
        <v>FTX</v>
      </c>
    </row>
    <row r="2401" ht="15.75" customHeight="1">
      <c r="A2401" t="str">
        <f t="shared" si="1"/>
        <v>F.tularensis</v>
      </c>
      <c r="B2401" s="5" t="s">
        <v>9681</v>
      </c>
      <c r="C2401" s="6" t="str">
        <f>IFERROR(__xludf.DUMMYFUNCTION("SPLIT('2. c'!B2401, "" "", True, True)"),"Francisella")</f>
        <v>Francisella</v>
      </c>
      <c r="D2401" t="str">
        <f>IFERROR(__xludf.DUMMYFUNCTION("""COMPUTED_VALUE"""),"tularensis")</f>
        <v>tularensis</v>
      </c>
      <c r="E2401" t="str">
        <f>IFERROR(__xludf.DUMMYFUNCTION("""COMPUTED_VALUE"""),"strain")</f>
        <v>strain</v>
      </c>
      <c r="F2401" t="str">
        <f>IFERROR(__xludf.DUMMYFUNCTION("""COMPUTED_VALUE"""),"FTZ")</f>
        <v>FTZ</v>
      </c>
    </row>
    <row r="2402" ht="15.75" customHeight="1">
      <c r="A2402" t="str">
        <f t="shared" si="1"/>
        <v>F.tularensis</v>
      </c>
      <c r="B2402" s="5" t="s">
        <v>9689</v>
      </c>
      <c r="C2402" s="6" t="str">
        <f>IFERROR(__xludf.DUMMYFUNCTION("SPLIT('2. c'!B2402, "" "", True, True)"),"Francisella")</f>
        <v>Francisella</v>
      </c>
      <c r="D2402" t="str">
        <f>IFERROR(__xludf.DUMMYFUNCTION("""COMPUTED_VALUE"""),"tularensis")</f>
        <v>tularensis</v>
      </c>
      <c r="E2402" t="str">
        <f>IFERROR(__xludf.DUMMYFUNCTION("""COMPUTED_VALUE"""),"strain")</f>
        <v>strain</v>
      </c>
      <c r="F2402" t="str">
        <f>IFERROR(__xludf.DUMMYFUNCTION("""COMPUTED_VALUE"""),"Larsen")</f>
        <v>Larsen</v>
      </c>
    </row>
    <row r="2403" ht="15.75" customHeight="1">
      <c r="A2403" t="str">
        <f t="shared" si="1"/>
        <v>F.tularensis</v>
      </c>
      <c r="B2403" s="5" t="s">
        <v>9700</v>
      </c>
      <c r="C2403" s="6" t="str">
        <f>IFERROR(__xludf.DUMMYFUNCTION("SPLIT('2. c'!B2403, "" "", True, True)"),"Francisella")</f>
        <v>Francisella</v>
      </c>
      <c r="D2403" t="str">
        <f>IFERROR(__xludf.DUMMYFUNCTION("""COMPUTED_VALUE"""),"tularensis")</f>
        <v>tularensis</v>
      </c>
      <c r="E2403" t="str">
        <f>IFERROR(__xludf.DUMMYFUNCTION("""COMPUTED_VALUE"""),"strain")</f>
        <v>strain</v>
      </c>
      <c r="F2403" t="str">
        <f>IFERROR(__xludf.DUMMYFUNCTION("""COMPUTED_VALUE"""),"T01")</f>
        <v>T01</v>
      </c>
    </row>
    <row r="2404" ht="15.75" customHeight="1">
      <c r="A2404" t="str">
        <f t="shared" si="1"/>
        <v>F.tularensis</v>
      </c>
      <c r="B2404" s="5" t="s">
        <v>9709</v>
      </c>
      <c r="C2404" s="6" t="str">
        <f>IFERROR(__xludf.DUMMYFUNCTION("SPLIT('2. c'!B2404, "" "", True, True)"),"Francisella")</f>
        <v>Francisella</v>
      </c>
      <c r="D2404" t="str">
        <f>IFERROR(__xludf.DUMMYFUNCTION("""COMPUTED_VALUE"""),"tularensis")</f>
        <v>tularensis</v>
      </c>
      <c r="E2404" t="str">
        <f>IFERROR(__xludf.DUMMYFUNCTION("""COMPUTED_VALUE"""),"subsp.")</f>
        <v>subsp.</v>
      </c>
      <c r="F2404" t="str">
        <f>IFERROR(__xludf.DUMMYFUNCTION("""COMPUTED_VALUE"""),"holarctica")</f>
        <v>holarctica</v>
      </c>
      <c r="G2404" t="str">
        <f>IFERROR(__xludf.DUMMYFUNCTION("""COMPUTED_VALUE"""),"F92")</f>
        <v>F92</v>
      </c>
    </row>
    <row r="2405" ht="15.75" customHeight="1">
      <c r="A2405" t="str">
        <f t="shared" si="1"/>
        <v>F.tularensis</v>
      </c>
      <c r="B2405" s="5" t="s">
        <v>9721</v>
      </c>
      <c r="C2405" s="6" t="str">
        <f>IFERROR(__xludf.DUMMYFUNCTION("SPLIT('2. c'!B2405, "" "", True, True)"),"Francisella")</f>
        <v>Francisella</v>
      </c>
      <c r="D2405" t="str">
        <f>IFERROR(__xludf.DUMMYFUNCTION("""COMPUTED_VALUE"""),"tularensis")</f>
        <v>tularensis</v>
      </c>
      <c r="E2405" t="str">
        <f>IFERROR(__xludf.DUMMYFUNCTION("""COMPUTED_VALUE"""),"subsp.")</f>
        <v>subsp.</v>
      </c>
      <c r="F2405" t="str">
        <f>IFERROR(__xludf.DUMMYFUNCTION("""COMPUTED_VALUE"""),"holarctica")</f>
        <v>holarctica</v>
      </c>
      <c r="G2405" t="str">
        <f>IFERROR(__xludf.DUMMYFUNCTION("""COMPUTED_VALUE"""),"FTNF002-00")</f>
        <v>FTNF002-00</v>
      </c>
    </row>
    <row r="2406" ht="15.75" customHeight="1">
      <c r="A2406" t="str">
        <f t="shared" si="1"/>
        <v>F.tularensis</v>
      </c>
      <c r="B2406" s="5" t="s">
        <v>9733</v>
      </c>
      <c r="C2406" s="6" t="str">
        <f>IFERROR(__xludf.DUMMYFUNCTION("SPLIT('2. c'!B2406, "" "", True, True)"),"Francisella")</f>
        <v>Francisella</v>
      </c>
      <c r="D2406" t="str">
        <f>IFERROR(__xludf.DUMMYFUNCTION("""COMPUTED_VALUE"""),"tularensis")</f>
        <v>tularensis</v>
      </c>
      <c r="E2406" t="str">
        <f>IFERROR(__xludf.DUMMYFUNCTION("""COMPUTED_VALUE"""),"subsp.")</f>
        <v>subsp.</v>
      </c>
      <c r="F2406" t="str">
        <f>IFERROR(__xludf.DUMMYFUNCTION("""COMPUTED_VALUE"""),"holarctica")</f>
        <v>holarctica</v>
      </c>
      <c r="G2406" t="str">
        <f>IFERROR(__xludf.DUMMYFUNCTION("""COMPUTED_VALUE"""),"LVS")</f>
        <v>LVS</v>
      </c>
    </row>
    <row r="2407" ht="15.75" customHeight="1">
      <c r="A2407" t="str">
        <f t="shared" si="1"/>
        <v>F.tularensis</v>
      </c>
      <c r="B2407" s="5" t="s">
        <v>9743</v>
      </c>
      <c r="C2407" s="6" t="str">
        <f>IFERROR(__xludf.DUMMYFUNCTION("SPLIT('2. c'!B2407, "" "", True, True)"),"Francisella")</f>
        <v>Francisella</v>
      </c>
      <c r="D2407" t="str">
        <f>IFERROR(__xludf.DUMMYFUNCTION("""COMPUTED_VALUE"""),"tularensis")</f>
        <v>tularensis</v>
      </c>
      <c r="E2407" t="str">
        <f>IFERROR(__xludf.DUMMYFUNCTION("""COMPUTED_VALUE"""),"subsp.")</f>
        <v>subsp.</v>
      </c>
      <c r="F2407" t="str">
        <f>IFERROR(__xludf.DUMMYFUNCTION("""COMPUTED_VALUE"""),"holarctica")</f>
        <v>holarctica</v>
      </c>
      <c r="G2407" t="str">
        <f>IFERROR(__xludf.DUMMYFUNCTION("""COMPUTED_VALUE"""),"OSU18")</f>
        <v>OSU18</v>
      </c>
    </row>
    <row r="2408" ht="15.75" customHeight="1">
      <c r="A2408" t="str">
        <f t="shared" si="1"/>
        <v>F.tularensis</v>
      </c>
      <c r="B2408" s="5" t="s">
        <v>9753</v>
      </c>
      <c r="C2408" s="6" t="str">
        <f>IFERROR(__xludf.DUMMYFUNCTION("SPLIT('2. c'!B2408, "" "", True, True)"),"Francisella")</f>
        <v>Francisella</v>
      </c>
      <c r="D2408" t="str">
        <f>IFERROR(__xludf.DUMMYFUNCTION("""COMPUTED_VALUE"""),"tularensis")</f>
        <v>tularensis</v>
      </c>
      <c r="E2408" t="str">
        <f>IFERROR(__xludf.DUMMYFUNCTION("""COMPUTED_VALUE"""),"subsp.")</f>
        <v>subsp.</v>
      </c>
      <c r="F2408" t="str">
        <f>IFERROR(__xludf.DUMMYFUNCTION("""COMPUTED_VALUE"""),"holarctica")</f>
        <v>holarctica</v>
      </c>
      <c r="G2408" t="str">
        <f>IFERROR(__xludf.DUMMYFUNCTION("""COMPUTED_VALUE"""),"OSU18")</f>
        <v>OSU18</v>
      </c>
      <c r="H2408" t="str">
        <f>IFERROR(__xludf.DUMMYFUNCTION("""COMPUTED_VALUE"""),"(Prj:32025)")</f>
        <v>(Prj:32025)</v>
      </c>
    </row>
    <row r="2409" ht="15.75" customHeight="1">
      <c r="A2409" t="str">
        <f t="shared" si="1"/>
        <v>F.tularensis</v>
      </c>
      <c r="B2409" s="5" t="s">
        <v>9763</v>
      </c>
      <c r="C2409" s="6" t="str">
        <f>IFERROR(__xludf.DUMMYFUNCTION("SPLIT('2. c'!B2409, "" "", True, True)"),"Francisella")</f>
        <v>Francisella</v>
      </c>
      <c r="D2409" t="str">
        <f>IFERROR(__xludf.DUMMYFUNCTION("""COMPUTED_VALUE"""),"tularensis")</f>
        <v>tularensis</v>
      </c>
      <c r="E2409" t="str">
        <f>IFERROR(__xludf.DUMMYFUNCTION("""COMPUTED_VALUE"""),"subsp.")</f>
        <v>subsp.</v>
      </c>
      <c r="F2409" t="str">
        <f>IFERROR(__xludf.DUMMYFUNCTION("""COMPUTED_VALUE"""),"holarctica")</f>
        <v>holarctica</v>
      </c>
      <c r="G2409" t="str">
        <f>IFERROR(__xludf.DUMMYFUNCTION("""COMPUTED_VALUE"""),"PHIT-FT049")</f>
        <v>PHIT-FT049</v>
      </c>
    </row>
    <row r="2410" ht="15.75" customHeight="1">
      <c r="A2410" t="str">
        <f t="shared" si="1"/>
        <v>F.tularensis</v>
      </c>
      <c r="B2410" s="5" t="s">
        <v>9771</v>
      </c>
      <c r="C2410" s="6" t="str">
        <f>IFERROR(__xludf.DUMMYFUNCTION("SPLIT('2. c'!B2410, "" "", True, True)"),"Francisella")</f>
        <v>Francisella</v>
      </c>
      <c r="D2410" t="str">
        <f>IFERROR(__xludf.DUMMYFUNCTION("""COMPUTED_VALUE"""),"tularensis")</f>
        <v>tularensis</v>
      </c>
      <c r="E2410" t="str">
        <f>IFERROR(__xludf.DUMMYFUNCTION("""COMPUTED_VALUE"""),"subsp.")</f>
        <v>subsp.</v>
      </c>
      <c r="F2410" t="str">
        <f>IFERROR(__xludf.DUMMYFUNCTION("""COMPUTED_VALUE"""),"holarctica")</f>
        <v>holarctica</v>
      </c>
      <c r="G2410" t="str">
        <f>IFERROR(__xludf.DUMMYFUNCTION("""COMPUTED_VALUE"""),"strain")</f>
        <v>strain</v>
      </c>
      <c r="H2410">
        <f>IFERROR(__xludf.DUMMYFUNCTION("""COMPUTED_VALUE"""),425.0)</f>
        <v>425</v>
      </c>
    </row>
    <row r="2411" ht="15.75" customHeight="1">
      <c r="A2411" t="str">
        <f t="shared" si="1"/>
        <v>F.tularensis</v>
      </c>
      <c r="B2411" s="5" t="s">
        <v>9782</v>
      </c>
      <c r="C2411" s="6" t="str">
        <f>IFERROR(__xludf.DUMMYFUNCTION("SPLIT('2. c'!B2411, "" "", True, True)"),"Francisella")</f>
        <v>Francisella</v>
      </c>
      <c r="D2411" t="str">
        <f>IFERROR(__xludf.DUMMYFUNCTION("""COMPUTED_VALUE"""),"tularensis")</f>
        <v>tularensis</v>
      </c>
      <c r="E2411" t="str">
        <f>IFERROR(__xludf.DUMMYFUNCTION("""COMPUTED_VALUE"""),"subsp.")</f>
        <v>subsp.</v>
      </c>
      <c r="F2411" t="str">
        <f>IFERROR(__xludf.DUMMYFUNCTION("""COMPUTED_VALUE"""),"holarctica")</f>
        <v>holarctica</v>
      </c>
      <c r="G2411" t="str">
        <f>IFERROR(__xludf.DUMMYFUNCTION("""COMPUTED_VALUE"""),"strain")</f>
        <v>strain</v>
      </c>
      <c r="H2411" t="str">
        <f>IFERROR(__xludf.DUMMYFUNCTION("""COMPUTED_VALUE"""),"FTT_1")</f>
        <v>FTT_1</v>
      </c>
    </row>
    <row r="2412" ht="15.75" customHeight="1">
      <c r="A2412" t="str">
        <f t="shared" si="1"/>
        <v>F.tularensis</v>
      </c>
      <c r="B2412" s="5" t="s">
        <v>9792</v>
      </c>
      <c r="C2412" s="6" t="str">
        <f>IFERROR(__xludf.DUMMYFUNCTION("SPLIT('2. c'!B2412, "" "", True, True)"),"Francisella")</f>
        <v>Francisella</v>
      </c>
      <c r="D2412" t="str">
        <f>IFERROR(__xludf.DUMMYFUNCTION("""COMPUTED_VALUE"""),"tularensis")</f>
        <v>tularensis</v>
      </c>
      <c r="E2412" t="str">
        <f>IFERROR(__xludf.DUMMYFUNCTION("""COMPUTED_VALUE"""),"subsp.")</f>
        <v>subsp.</v>
      </c>
      <c r="F2412" t="str">
        <f>IFERROR(__xludf.DUMMYFUNCTION("""COMPUTED_VALUE"""),"holarctica")</f>
        <v>holarctica</v>
      </c>
      <c r="G2412" t="str">
        <f>IFERROR(__xludf.DUMMYFUNCTION("""COMPUTED_VALUE"""),"strain")</f>
        <v>strain</v>
      </c>
      <c r="H2412" t="str">
        <f>IFERROR(__xludf.DUMMYFUNCTION("""COMPUTED_VALUE"""),"LVS")</f>
        <v>LVS</v>
      </c>
    </row>
    <row r="2413" ht="15.75" customHeight="1">
      <c r="A2413" t="str">
        <f t="shared" si="1"/>
        <v>F.tularensis</v>
      </c>
      <c r="B2413" s="5" t="s">
        <v>9802</v>
      </c>
      <c r="C2413" s="6" t="str">
        <f>IFERROR(__xludf.DUMMYFUNCTION("SPLIT('2. c'!B2413, "" "", True, True)"),"Francisella")</f>
        <v>Francisella</v>
      </c>
      <c r="D2413" t="str">
        <f>IFERROR(__xludf.DUMMYFUNCTION("""COMPUTED_VALUE"""),"tularensis")</f>
        <v>tularensis</v>
      </c>
      <c r="E2413" t="str">
        <f>IFERROR(__xludf.DUMMYFUNCTION("""COMPUTED_VALUE"""),"subsp.")</f>
        <v>subsp.</v>
      </c>
      <c r="F2413" t="str">
        <f>IFERROR(__xludf.DUMMYFUNCTION("""COMPUTED_VALUE"""),"holarctica")</f>
        <v>holarctica</v>
      </c>
      <c r="G2413" t="str">
        <f>IFERROR(__xludf.DUMMYFUNCTION("""COMPUTED_VALUE"""),"strain")</f>
        <v>strain</v>
      </c>
      <c r="H2413" t="str">
        <f>IFERROR(__xludf.DUMMYFUNCTION("""COMPUTED_VALUE"""),"OR96-0246")</f>
        <v>OR96-0246</v>
      </c>
    </row>
    <row r="2414" ht="15.75" customHeight="1">
      <c r="A2414" t="str">
        <f t="shared" si="1"/>
        <v>F.tularensis</v>
      </c>
      <c r="B2414" s="5" t="s">
        <v>9812</v>
      </c>
      <c r="C2414" s="6" t="str">
        <f>IFERROR(__xludf.DUMMYFUNCTION("SPLIT('2. c'!B2414, "" "", True, True)"),"Francisella")</f>
        <v>Francisella</v>
      </c>
      <c r="D2414" t="str">
        <f>IFERROR(__xludf.DUMMYFUNCTION("""COMPUTED_VALUE"""),"tularensis")</f>
        <v>tularensis</v>
      </c>
      <c r="E2414" t="str">
        <f>IFERROR(__xludf.DUMMYFUNCTION("""COMPUTED_VALUE"""),"subsp.")</f>
        <v>subsp.</v>
      </c>
      <c r="F2414" t="str">
        <f>IFERROR(__xludf.DUMMYFUNCTION("""COMPUTED_VALUE"""),"holarctica")</f>
        <v>holarctica</v>
      </c>
      <c r="G2414" t="str">
        <f>IFERROR(__xludf.DUMMYFUNCTION("""COMPUTED_VALUE"""),"strain")</f>
        <v>strain</v>
      </c>
      <c r="H2414" t="str">
        <f>IFERROR(__xludf.DUMMYFUNCTION("""COMPUTED_VALUE"""),"VT68")</f>
        <v>VT68</v>
      </c>
    </row>
    <row r="2415" ht="15.75" customHeight="1">
      <c r="A2415" t="str">
        <f t="shared" si="1"/>
        <v>F.tularensis</v>
      </c>
      <c r="B2415" s="5" t="s">
        <v>9821</v>
      </c>
      <c r="C2415" s="6" t="str">
        <f>IFERROR(__xludf.DUMMYFUNCTION("SPLIT('2. c'!B2415, "" "", True, True)"),"Francisella")</f>
        <v>Francisella</v>
      </c>
      <c r="D2415" t="str">
        <f>IFERROR(__xludf.DUMMYFUNCTION("""COMPUTED_VALUE"""),"tularensis")</f>
        <v>tularensis</v>
      </c>
      <c r="E2415" t="str">
        <f>IFERROR(__xludf.DUMMYFUNCTION("""COMPUTED_VALUE"""),"subsp.")</f>
        <v>subsp.</v>
      </c>
      <c r="F2415" t="str">
        <f>IFERROR(__xludf.DUMMYFUNCTION("""COMPUTED_VALUE"""),"mediasiatica")</f>
        <v>mediasiatica</v>
      </c>
      <c r="G2415" t="str">
        <f>IFERROR(__xludf.DUMMYFUNCTION("""COMPUTED_VALUE"""),"FSC147")</f>
        <v>FSC147</v>
      </c>
    </row>
    <row r="2416" ht="15.75" customHeight="1">
      <c r="A2416" t="str">
        <f t="shared" si="1"/>
        <v>F.tularensis</v>
      </c>
      <c r="B2416" s="5" t="s">
        <v>9831</v>
      </c>
      <c r="C2416" s="6" t="str">
        <f>IFERROR(__xludf.DUMMYFUNCTION("SPLIT('2. c'!B2416, "" "", True, True)"),"Francisella")</f>
        <v>Francisella</v>
      </c>
      <c r="D2416" t="str">
        <f>IFERROR(__xludf.DUMMYFUNCTION("""COMPUTED_VALUE"""),"tularensis")</f>
        <v>tularensis</v>
      </c>
      <c r="E2416" t="str">
        <f>IFERROR(__xludf.DUMMYFUNCTION("""COMPUTED_VALUE"""),"subsp.")</f>
        <v>subsp.</v>
      </c>
      <c r="F2416" t="str">
        <f>IFERROR(__xludf.DUMMYFUNCTION("""COMPUTED_VALUE"""),"novicida")</f>
        <v>novicida</v>
      </c>
      <c r="G2416" t="str">
        <f>IFERROR(__xludf.DUMMYFUNCTION("""COMPUTED_VALUE"""),"D9876")</f>
        <v>D9876</v>
      </c>
    </row>
    <row r="2417" ht="15.75" customHeight="1">
      <c r="A2417" t="str">
        <f t="shared" si="1"/>
        <v>F.tularensis</v>
      </c>
      <c r="B2417" s="5" t="s">
        <v>9841</v>
      </c>
      <c r="C2417" s="6" t="str">
        <f>IFERROR(__xludf.DUMMYFUNCTION("SPLIT('2. c'!B2417, "" "", True, True)"),"Francisella")</f>
        <v>Francisella</v>
      </c>
      <c r="D2417" t="str">
        <f>IFERROR(__xludf.DUMMYFUNCTION("""COMPUTED_VALUE"""),"tularensis")</f>
        <v>tularensis</v>
      </c>
      <c r="E2417" t="str">
        <f>IFERROR(__xludf.DUMMYFUNCTION("""COMPUTED_VALUE"""),"subsp.")</f>
        <v>subsp.</v>
      </c>
      <c r="F2417" t="str">
        <f>IFERROR(__xludf.DUMMYFUNCTION("""COMPUTED_VALUE"""),"novicida")</f>
        <v>novicida</v>
      </c>
      <c r="G2417" t="str">
        <f>IFERROR(__xludf.DUMMYFUNCTION("""COMPUTED_VALUE"""),"F6168")</f>
        <v>F6168</v>
      </c>
    </row>
    <row r="2418" ht="15.75" customHeight="1">
      <c r="A2418" t="str">
        <f t="shared" si="1"/>
        <v>F.tularensis</v>
      </c>
      <c r="B2418" s="5" t="s">
        <v>9850</v>
      </c>
      <c r="C2418" s="6" t="str">
        <f>IFERROR(__xludf.DUMMYFUNCTION("SPLIT('2. c'!B2418, "" "", True, True)"),"Francisella")</f>
        <v>Francisella</v>
      </c>
      <c r="D2418" t="str">
        <f>IFERROR(__xludf.DUMMYFUNCTION("""COMPUTED_VALUE"""),"tularensis")</f>
        <v>tularensis</v>
      </c>
      <c r="E2418" t="str">
        <f>IFERROR(__xludf.DUMMYFUNCTION("""COMPUTED_VALUE"""),"subsp.")</f>
        <v>subsp.</v>
      </c>
      <c r="F2418" t="str">
        <f>IFERROR(__xludf.DUMMYFUNCTION("""COMPUTED_VALUE"""),"novicida")</f>
        <v>novicida</v>
      </c>
      <c r="G2418" t="str">
        <f>IFERROR(__xludf.DUMMYFUNCTION("""COMPUTED_VALUE"""),"strain")</f>
        <v>strain</v>
      </c>
      <c r="H2418" t="str">
        <f>IFERROR(__xludf.DUMMYFUNCTION("""COMPUTED_VALUE"""),"DPG")</f>
        <v>DPG</v>
      </c>
      <c r="I2418" t="str">
        <f>IFERROR(__xludf.DUMMYFUNCTION("""COMPUTED_VALUE"""),"3A-IS")</f>
        <v>3A-IS</v>
      </c>
    </row>
    <row r="2419" ht="15.75" customHeight="1">
      <c r="A2419" t="str">
        <f t="shared" si="1"/>
        <v>F.tularensis</v>
      </c>
      <c r="B2419" s="5" t="s">
        <v>9861</v>
      </c>
      <c r="C2419" s="6" t="str">
        <f>IFERROR(__xludf.DUMMYFUNCTION("SPLIT('2. c'!B2419, "" "", True, True)"),"Francisella")</f>
        <v>Francisella</v>
      </c>
      <c r="D2419" t="str">
        <f>IFERROR(__xludf.DUMMYFUNCTION("""COMPUTED_VALUE"""),"tularensis")</f>
        <v>tularensis</v>
      </c>
      <c r="E2419" t="str">
        <f>IFERROR(__xludf.DUMMYFUNCTION("""COMPUTED_VALUE"""),"subsp.")</f>
        <v>subsp.</v>
      </c>
      <c r="F2419" t="str">
        <f>IFERROR(__xludf.DUMMYFUNCTION("""COMPUTED_VALUE"""),"novicida")</f>
        <v>novicida</v>
      </c>
      <c r="G2419" t="str">
        <f>IFERROR(__xludf.DUMMYFUNCTION("""COMPUTED_VALUE"""),"U112")</f>
        <v>U112</v>
      </c>
    </row>
    <row r="2420" ht="15.75" customHeight="1">
      <c r="A2420" t="str">
        <f t="shared" si="1"/>
        <v>F.tularensis</v>
      </c>
      <c r="B2420" s="5" t="s">
        <v>9872</v>
      </c>
      <c r="C2420" s="6" t="str">
        <f>IFERROR(__xludf.DUMMYFUNCTION("SPLIT('2. c'!B2420, "" "", True, True)"),"Francisella")</f>
        <v>Francisella</v>
      </c>
      <c r="D2420" t="str">
        <f>IFERROR(__xludf.DUMMYFUNCTION("""COMPUTED_VALUE"""),"tularensis")</f>
        <v>tularensis</v>
      </c>
      <c r="E2420" t="str">
        <f>IFERROR(__xludf.DUMMYFUNCTION("""COMPUTED_VALUE"""),"subsp.")</f>
        <v>subsp.</v>
      </c>
      <c r="F2420" t="str">
        <f>IFERROR(__xludf.DUMMYFUNCTION("""COMPUTED_VALUE"""),"tularensis")</f>
        <v>tularensis</v>
      </c>
      <c r="G2420" t="str">
        <f>IFERROR(__xludf.DUMMYFUNCTION("""COMPUTED_VALUE"""),"FSC198")</f>
        <v>FSC198</v>
      </c>
    </row>
    <row r="2421" ht="15.75" customHeight="1">
      <c r="A2421" t="str">
        <f t="shared" si="1"/>
        <v>F.tularensis</v>
      </c>
      <c r="B2421" s="5" t="s">
        <v>9880</v>
      </c>
      <c r="C2421" s="6" t="str">
        <f>IFERROR(__xludf.DUMMYFUNCTION("SPLIT('2. c'!B2421, "" "", True, True)"),"Francisella")</f>
        <v>Francisella</v>
      </c>
      <c r="D2421" t="str">
        <f>IFERROR(__xludf.DUMMYFUNCTION("""COMPUTED_VALUE"""),"tularensis")</f>
        <v>tularensis</v>
      </c>
      <c r="E2421" t="str">
        <f>IFERROR(__xludf.DUMMYFUNCTION("""COMPUTED_VALUE"""),"subsp.")</f>
        <v>subsp.</v>
      </c>
      <c r="F2421" t="str">
        <f>IFERROR(__xludf.DUMMYFUNCTION("""COMPUTED_VALUE"""),"tularensis")</f>
        <v>tularensis</v>
      </c>
      <c r="G2421" t="str">
        <f>IFERROR(__xludf.DUMMYFUNCTION("""COMPUTED_VALUE"""),"NE061598")</f>
        <v>NE061598</v>
      </c>
    </row>
    <row r="2422" ht="15.75" customHeight="1">
      <c r="A2422" t="str">
        <f t="shared" si="1"/>
        <v>F.tularensis</v>
      </c>
      <c r="B2422" s="5" t="s">
        <v>9885</v>
      </c>
      <c r="C2422" s="6" t="str">
        <f>IFERROR(__xludf.DUMMYFUNCTION("SPLIT('2. c'!B2422, "" "", True, True)"),"Francisella")</f>
        <v>Francisella</v>
      </c>
      <c r="D2422" t="str">
        <f>IFERROR(__xludf.DUMMYFUNCTION("""COMPUTED_VALUE"""),"tularensis")</f>
        <v>tularensis</v>
      </c>
      <c r="E2422" t="str">
        <f>IFERROR(__xludf.DUMMYFUNCTION("""COMPUTED_VALUE"""),"subsp.")</f>
        <v>subsp.</v>
      </c>
      <c r="F2422" t="str">
        <f>IFERROR(__xludf.DUMMYFUNCTION("""COMPUTED_VALUE"""),"tularensis")</f>
        <v>tularensis</v>
      </c>
      <c r="G2422" t="str">
        <f>IFERROR(__xludf.DUMMYFUNCTION("""COMPUTED_VALUE"""),"NIH")</f>
        <v>NIH</v>
      </c>
      <c r="H2422" t="str">
        <f>IFERROR(__xludf.DUMMYFUNCTION("""COMPUTED_VALUE"""),"B-38")</f>
        <v>B-38</v>
      </c>
    </row>
    <row r="2423" ht="15.75" customHeight="1">
      <c r="A2423" t="str">
        <f t="shared" si="1"/>
        <v>F.tularensis</v>
      </c>
      <c r="B2423" s="5" t="s">
        <v>9892</v>
      </c>
      <c r="C2423" s="6" t="str">
        <f>IFERROR(__xludf.DUMMYFUNCTION("SPLIT('2. c'!B2423, "" "", True, True)"),"Francisella")</f>
        <v>Francisella</v>
      </c>
      <c r="D2423" t="str">
        <f>IFERROR(__xludf.DUMMYFUNCTION("""COMPUTED_VALUE"""),"tularensis")</f>
        <v>tularensis</v>
      </c>
      <c r="E2423" t="str">
        <f>IFERROR(__xludf.DUMMYFUNCTION("""COMPUTED_VALUE"""),"subsp.")</f>
        <v>subsp.</v>
      </c>
      <c r="F2423" t="str">
        <f>IFERROR(__xludf.DUMMYFUNCTION("""COMPUTED_VALUE"""),"tularensis")</f>
        <v>tularensis</v>
      </c>
      <c r="G2423" t="str">
        <f>IFERROR(__xludf.DUMMYFUNCTION("""COMPUTED_VALUE"""),"Scherm")</f>
        <v>Scherm</v>
      </c>
    </row>
    <row r="2424" ht="15.75" customHeight="1">
      <c r="A2424" t="str">
        <f t="shared" si="1"/>
        <v>F.tularensis</v>
      </c>
      <c r="B2424" s="5" t="s">
        <v>9902</v>
      </c>
      <c r="C2424" s="6" t="str">
        <f>IFERROR(__xludf.DUMMYFUNCTION("SPLIT('2. c'!B2424, "" "", True, True)"),"Francisella")</f>
        <v>Francisella</v>
      </c>
      <c r="D2424" t="str">
        <f>IFERROR(__xludf.DUMMYFUNCTION("""COMPUTED_VALUE"""),"tularensis")</f>
        <v>tularensis</v>
      </c>
      <c r="E2424" t="str">
        <f>IFERROR(__xludf.DUMMYFUNCTION("""COMPUTED_VALUE"""),"subsp.")</f>
        <v>subsp.</v>
      </c>
      <c r="F2424" t="str">
        <f>IFERROR(__xludf.DUMMYFUNCTION("""COMPUTED_VALUE"""),"tularensis")</f>
        <v>tularensis</v>
      </c>
      <c r="G2424" t="str">
        <f>IFERROR(__xludf.DUMMYFUNCTION("""COMPUTED_VALUE"""),"SCHU")</f>
        <v>SCHU</v>
      </c>
      <c r="H2424" t="str">
        <f>IFERROR(__xludf.DUMMYFUNCTION("""COMPUTED_VALUE"""),"S4")</f>
        <v>S4</v>
      </c>
    </row>
    <row r="2425" ht="15.75" customHeight="1">
      <c r="A2425" t="str">
        <f t="shared" si="1"/>
        <v>F.tularensis</v>
      </c>
      <c r="B2425" s="5" t="s">
        <v>9910</v>
      </c>
      <c r="C2425" s="6" t="str">
        <f>IFERROR(__xludf.DUMMYFUNCTION("SPLIT('2. c'!B2425, "" "", True, True)"),"Francisella")</f>
        <v>Francisella</v>
      </c>
      <c r="D2425" t="str">
        <f>IFERROR(__xludf.DUMMYFUNCTION("""COMPUTED_VALUE"""),"tularensis")</f>
        <v>tularensis</v>
      </c>
      <c r="E2425" t="str">
        <f>IFERROR(__xludf.DUMMYFUNCTION("""COMPUTED_VALUE"""),"subsp.")</f>
        <v>subsp.</v>
      </c>
      <c r="F2425" t="str">
        <f>IFERROR(__xludf.DUMMYFUNCTION("""COMPUTED_VALUE"""),"tularensis")</f>
        <v>tularensis</v>
      </c>
      <c r="G2425" t="str">
        <f>IFERROR(__xludf.DUMMYFUNCTION("""COMPUTED_VALUE"""),"SCHU")</f>
        <v>SCHU</v>
      </c>
      <c r="H2425" t="str">
        <f>IFERROR(__xludf.DUMMYFUNCTION("""COMPUTED_VALUE"""),"S4")</f>
        <v>S4</v>
      </c>
      <c r="I2425" t="str">
        <f>IFERROR(__xludf.DUMMYFUNCTION("""COMPUTED_VALUE"""),"strain")</f>
        <v>strain</v>
      </c>
      <c r="J2425" t="str">
        <f>IFERROR(__xludf.DUMMYFUNCTION("""COMPUTED_VALUE"""),"SHU-S4")</f>
        <v>SHU-S4</v>
      </c>
    </row>
    <row r="2426" ht="15.75" customHeight="1">
      <c r="A2426" t="str">
        <f t="shared" si="1"/>
        <v>F.tularensis</v>
      </c>
      <c r="B2426" s="5" t="s">
        <v>9919</v>
      </c>
      <c r="C2426" s="6" t="str">
        <f>IFERROR(__xludf.DUMMYFUNCTION("SPLIT('2. c'!B2426, "" "", True, True)"),"Francisella")</f>
        <v>Francisella</v>
      </c>
      <c r="D2426" t="str">
        <f>IFERROR(__xludf.DUMMYFUNCTION("""COMPUTED_VALUE"""),"tularensis")</f>
        <v>tularensis</v>
      </c>
      <c r="E2426" t="str">
        <f>IFERROR(__xludf.DUMMYFUNCTION("""COMPUTED_VALUE"""),"subsp.")</f>
        <v>subsp.</v>
      </c>
      <c r="F2426" t="str">
        <f>IFERROR(__xludf.DUMMYFUNCTION("""COMPUTED_VALUE"""),"tularensis")</f>
        <v>tularensis</v>
      </c>
      <c r="G2426" t="str">
        <f>IFERROR(__xludf.DUMMYFUNCTION("""COMPUTED_VALUE"""),"str.")</f>
        <v>str.</v>
      </c>
      <c r="H2426" t="str">
        <f>IFERROR(__xludf.DUMMYFUNCTION("""COMPUTED_VALUE"""),"SCHU")</f>
        <v>SCHU</v>
      </c>
      <c r="I2426" t="str">
        <f>IFERROR(__xludf.DUMMYFUNCTION("""COMPUTED_VALUE"""),"S4")</f>
        <v>S4</v>
      </c>
      <c r="J2426" t="str">
        <f>IFERROR(__xludf.DUMMYFUNCTION("""COMPUTED_VALUE"""),"substr.")</f>
        <v>substr.</v>
      </c>
      <c r="K2426" t="str">
        <f>IFERROR(__xludf.DUMMYFUNCTION("""COMPUTED_VALUE"""),"NR-28534")</f>
        <v>NR-28534</v>
      </c>
    </row>
    <row r="2427" ht="15.75" customHeight="1">
      <c r="A2427" t="str">
        <f t="shared" si="1"/>
        <v>F.tularensis</v>
      </c>
      <c r="B2427" s="5" t="s">
        <v>9936</v>
      </c>
      <c r="C2427" s="6" t="str">
        <f>IFERROR(__xludf.DUMMYFUNCTION("SPLIT('2. c'!B2427, "" "", True, True)"),"Francisella")</f>
        <v>Francisella</v>
      </c>
      <c r="D2427" t="str">
        <f>IFERROR(__xludf.DUMMYFUNCTION("""COMPUTED_VALUE"""),"tularensis")</f>
        <v>tularensis</v>
      </c>
      <c r="E2427" t="str">
        <f>IFERROR(__xludf.DUMMYFUNCTION("""COMPUTED_VALUE"""),"subsp.")</f>
        <v>subsp.</v>
      </c>
      <c r="F2427" t="str">
        <f>IFERROR(__xludf.DUMMYFUNCTION("""COMPUTED_VALUE"""),"tularensis")</f>
        <v>tularensis</v>
      </c>
      <c r="G2427" t="str">
        <f>IFERROR(__xludf.DUMMYFUNCTION("""COMPUTED_VALUE"""),"TI0902")</f>
        <v>TI0902</v>
      </c>
    </row>
    <row r="2428" ht="15.75" customHeight="1">
      <c r="A2428" t="str">
        <f t="shared" si="1"/>
        <v>F.tularensis</v>
      </c>
      <c r="B2428" s="5" t="s">
        <v>9947</v>
      </c>
      <c r="C2428" s="6" t="str">
        <f>IFERROR(__xludf.DUMMYFUNCTION("SPLIT('2. c'!B2428, "" "", True, True)"),"Francisella")</f>
        <v>Francisella</v>
      </c>
      <c r="D2428" t="str">
        <f>IFERROR(__xludf.DUMMYFUNCTION("""COMPUTED_VALUE"""),"tularensis")</f>
        <v>tularensis</v>
      </c>
      <c r="E2428" t="str">
        <f>IFERROR(__xludf.DUMMYFUNCTION("""COMPUTED_VALUE"""),"subsp.")</f>
        <v>subsp.</v>
      </c>
      <c r="F2428" t="str">
        <f>IFERROR(__xludf.DUMMYFUNCTION("""COMPUTED_VALUE"""),"tularensis")</f>
        <v>tularensis</v>
      </c>
      <c r="G2428" t="str">
        <f>IFERROR(__xludf.DUMMYFUNCTION("""COMPUTED_VALUE"""),"TIGB03")</f>
        <v>TIGB03</v>
      </c>
    </row>
    <row r="2429" ht="15.75" customHeight="1">
      <c r="A2429" t="str">
        <f t="shared" si="1"/>
        <v>F.tularensis</v>
      </c>
      <c r="B2429" s="5" t="s">
        <v>9957</v>
      </c>
      <c r="C2429" s="6" t="str">
        <f>IFERROR(__xludf.DUMMYFUNCTION("SPLIT('2. c'!B2429, "" "", True, True)"),"Francisella")</f>
        <v>Francisella</v>
      </c>
      <c r="D2429" t="str">
        <f>IFERROR(__xludf.DUMMYFUNCTION("""COMPUTED_VALUE"""),"tularensis")</f>
        <v>tularensis</v>
      </c>
      <c r="E2429" t="str">
        <f>IFERROR(__xludf.DUMMYFUNCTION("""COMPUTED_VALUE"""),"subsp.")</f>
        <v>subsp.</v>
      </c>
      <c r="F2429" t="str">
        <f>IFERROR(__xludf.DUMMYFUNCTION("""COMPUTED_VALUE"""),"tularensis")</f>
        <v>tularensis</v>
      </c>
      <c r="G2429" t="str">
        <f>IFERROR(__xludf.DUMMYFUNCTION("""COMPUTED_VALUE"""),"WY-00W4114")</f>
        <v>WY-00W4114</v>
      </c>
    </row>
    <row r="2430" ht="15.75" customHeight="1">
      <c r="A2430" t="str">
        <f t="shared" si="1"/>
        <v>F.tularensis</v>
      </c>
      <c r="B2430" s="5" t="s">
        <v>9962</v>
      </c>
      <c r="C2430" s="6" t="str">
        <f>IFERROR(__xludf.DUMMYFUNCTION("SPLIT('2. c'!B2430, "" "", True, True)"),"Francisella")</f>
        <v>Francisella</v>
      </c>
      <c r="D2430" t="str">
        <f>IFERROR(__xludf.DUMMYFUNCTION("""COMPUTED_VALUE"""),"tularensis")</f>
        <v>tularensis</v>
      </c>
      <c r="E2430" t="str">
        <f>IFERROR(__xludf.DUMMYFUNCTION("""COMPUTED_VALUE"""),"subsp.")</f>
        <v>subsp.</v>
      </c>
      <c r="F2430" t="str">
        <f>IFERROR(__xludf.DUMMYFUNCTION("""COMPUTED_VALUE"""),"tularensis")</f>
        <v>tularensis</v>
      </c>
      <c r="G2430" t="str">
        <f>IFERROR(__xludf.DUMMYFUNCTION("""COMPUTED_VALUE"""),"WY96")</f>
        <v>WY96</v>
      </c>
    </row>
    <row r="2431" ht="15.75" customHeight="1">
      <c r="A2431" t="str">
        <f t="shared" si="1"/>
        <v>F.tularensis</v>
      </c>
      <c r="B2431" s="5" t="s">
        <v>9969</v>
      </c>
      <c r="C2431" s="6" t="str">
        <f>IFERROR(__xludf.DUMMYFUNCTION("SPLIT('2. c'!B2431, "" "", True, True)"),"Francisella")</f>
        <v>Francisella</v>
      </c>
      <c r="D2431" t="str">
        <f>IFERROR(__xludf.DUMMYFUNCTION("""COMPUTED_VALUE"""),"tularensis")</f>
        <v>tularensis</v>
      </c>
      <c r="E2431" t="str">
        <f>IFERROR(__xludf.DUMMYFUNCTION("""COMPUTED_VALUE"""),"subsp.")</f>
        <v>subsp.</v>
      </c>
      <c r="F2431" t="str">
        <f>IFERROR(__xludf.DUMMYFUNCTION("""COMPUTED_VALUE"""),"tularensis")</f>
        <v>tularensis</v>
      </c>
      <c r="G2431" t="str">
        <f>IFERROR(__xludf.DUMMYFUNCTION("""COMPUTED_VALUE"""),"WY96-3418")</f>
        <v>WY96-3418</v>
      </c>
    </row>
    <row r="2432" ht="15.75" customHeight="1">
      <c r="A2432" t="str">
        <f t="shared" si="1"/>
        <v>F.alni</v>
      </c>
      <c r="B2432" s="5" t="s">
        <v>9974</v>
      </c>
      <c r="C2432" s="6" t="str">
        <f>IFERROR(__xludf.DUMMYFUNCTION("SPLIT('2. c'!B2432, "" "", True, True)"),"Frankia")</f>
        <v>Frankia</v>
      </c>
      <c r="D2432" t="str">
        <f>IFERROR(__xludf.DUMMYFUNCTION("""COMPUTED_VALUE"""),"alni")</f>
        <v>alni</v>
      </c>
      <c r="E2432" t="str">
        <f>IFERROR(__xludf.DUMMYFUNCTION("""COMPUTED_VALUE"""),"ACN14a")</f>
        <v>ACN14a</v>
      </c>
    </row>
    <row r="2433" ht="15.75" customHeight="1">
      <c r="A2433" t="str">
        <f t="shared" si="1"/>
        <v>F.sp.</v>
      </c>
      <c r="B2433" s="5" t="s">
        <v>9981</v>
      </c>
      <c r="C2433" s="6" t="str">
        <f>IFERROR(__xludf.DUMMYFUNCTION("SPLIT('2. c'!B2433, "" "", True, True)"),"Frankia")</f>
        <v>Frankia</v>
      </c>
      <c r="D2433" t="str">
        <f>IFERROR(__xludf.DUMMYFUNCTION("""COMPUTED_VALUE"""),"sp.")</f>
        <v>sp.</v>
      </c>
      <c r="E2433" t="str">
        <f>IFERROR(__xludf.DUMMYFUNCTION("""COMPUTED_VALUE"""),"CcI3")</f>
        <v>CcI3</v>
      </c>
    </row>
    <row r="2434" ht="15.75" customHeight="1">
      <c r="A2434" t="str">
        <f t="shared" si="1"/>
        <v>F.sp.</v>
      </c>
      <c r="B2434" s="5" t="s">
        <v>9989</v>
      </c>
      <c r="C2434" s="6" t="str">
        <f>IFERROR(__xludf.DUMMYFUNCTION("SPLIT('2. c'!B2434, "" "", True, True)"),"Frankia")</f>
        <v>Frankia</v>
      </c>
      <c r="D2434" t="str">
        <f>IFERROR(__xludf.DUMMYFUNCTION("""COMPUTED_VALUE"""),"sp.")</f>
        <v>sp.</v>
      </c>
      <c r="E2434" t="str">
        <f>IFERROR(__xludf.DUMMYFUNCTION("""COMPUTED_VALUE"""),"DC12")</f>
        <v>DC12</v>
      </c>
    </row>
    <row r="2435" ht="15.75" customHeight="1">
      <c r="A2435" t="str">
        <f t="shared" si="1"/>
        <v>F.sp.</v>
      </c>
      <c r="B2435" s="5" t="s">
        <v>9999</v>
      </c>
      <c r="C2435" s="6" t="str">
        <f>IFERROR(__xludf.DUMMYFUNCTION("SPLIT('2. c'!B2435, "" "", True, True)"),"Frankia")</f>
        <v>Frankia</v>
      </c>
      <c r="D2435" t="str">
        <f>IFERROR(__xludf.DUMMYFUNCTION("""COMPUTED_VALUE"""),"sp.")</f>
        <v>sp.</v>
      </c>
      <c r="E2435" t="str">
        <f>IFERROR(__xludf.DUMMYFUNCTION("""COMPUTED_VALUE"""),"EAN1pec")</f>
        <v>EAN1pec</v>
      </c>
    </row>
    <row r="2436" ht="15.75" customHeight="1">
      <c r="A2436" t="str">
        <f t="shared" si="1"/>
        <v>F.sp.</v>
      </c>
      <c r="B2436" s="5" t="s">
        <v>10007</v>
      </c>
      <c r="C2436" s="6" t="str">
        <f>IFERROR(__xludf.DUMMYFUNCTION("SPLIT('2. c'!B2436, "" "", True, True)"),"Frankia")</f>
        <v>Frankia</v>
      </c>
      <c r="D2436" t="str">
        <f>IFERROR(__xludf.DUMMYFUNCTION("""COMPUTED_VALUE"""),"sp.")</f>
        <v>sp.</v>
      </c>
      <c r="E2436" t="str">
        <f>IFERROR(__xludf.DUMMYFUNCTION("""COMPUTED_VALUE"""),"EuI1c")</f>
        <v>EuI1c</v>
      </c>
    </row>
    <row r="2437" ht="15.75" customHeight="1">
      <c r="A2437" t="str">
        <f t="shared" si="1"/>
        <v>F.sp.</v>
      </c>
      <c r="B2437" s="5" t="s">
        <v>10016</v>
      </c>
      <c r="C2437" s="6" t="str">
        <f>IFERROR(__xludf.DUMMYFUNCTION("SPLIT('2. c'!B2437, "" "", True, True)"),"Frankia")</f>
        <v>Frankia</v>
      </c>
      <c r="D2437" t="str">
        <f>IFERROR(__xludf.DUMMYFUNCTION("""COMPUTED_VALUE"""),"sp.")</f>
        <v>sp.</v>
      </c>
      <c r="E2437" t="str">
        <f>IFERROR(__xludf.DUMMYFUNCTION("""COMPUTED_VALUE"""),"QA3")</f>
        <v>QA3</v>
      </c>
    </row>
    <row r="2438" ht="15.75" customHeight="1">
      <c r="A2438" t="str">
        <f t="shared" si="1"/>
        <v>F.aurantia</v>
      </c>
      <c r="B2438" s="5" t="s">
        <v>10025</v>
      </c>
      <c r="C2438" s="6" t="str">
        <f>IFERROR(__xludf.DUMMYFUNCTION("SPLIT('2. c'!B2438, "" "", True, True)"),"Frateuria")</f>
        <v>Frateuria</v>
      </c>
      <c r="D2438" t="str">
        <f>IFERROR(__xludf.DUMMYFUNCTION("""COMPUTED_VALUE"""),"aurantia")</f>
        <v>aurantia</v>
      </c>
      <c r="E2438" t="str">
        <f>IFERROR(__xludf.DUMMYFUNCTION("""COMPUTED_VALUE"""),"DSM")</f>
        <v>DSM</v>
      </c>
      <c r="F2438">
        <f>IFERROR(__xludf.DUMMYFUNCTION("""COMPUTED_VALUE"""),6220.0)</f>
        <v>6220</v>
      </c>
    </row>
    <row r="2439" ht="15.75" customHeight="1">
      <c r="A2439" t="str">
        <f t="shared" si="1"/>
        <v>F.perrara</v>
      </c>
      <c r="B2439" s="5" t="s">
        <v>10035</v>
      </c>
      <c r="C2439" s="6" t="str">
        <f>IFERROR(__xludf.DUMMYFUNCTION("SPLIT('2. c'!B2439, "" "", True, True)"),"Frischella")</f>
        <v>Frischella</v>
      </c>
      <c r="D2439" t="str">
        <f>IFERROR(__xludf.DUMMYFUNCTION("""COMPUTED_VALUE"""),"perrara")</f>
        <v>perrara</v>
      </c>
      <c r="E2439" t="str">
        <f>IFERROR(__xludf.DUMMYFUNCTION("""COMPUTED_VALUE"""),"PEB0191")</f>
        <v>PEB0191</v>
      </c>
    </row>
    <row r="2440" ht="15.75" customHeight="1">
      <c r="A2440" t="str">
        <f t="shared" si="1"/>
        <v>F.sp.</v>
      </c>
      <c r="B2440" s="5" t="s">
        <v>10043</v>
      </c>
      <c r="C2440" s="6" t="str">
        <f>IFERROR(__xludf.DUMMYFUNCTION("SPLIT('2. c'!B2440, "" "", True, True)"),"Frondihabitans")</f>
        <v>Frondihabitans</v>
      </c>
      <c r="D2440" t="str">
        <f>IFERROR(__xludf.DUMMYFUNCTION("""COMPUTED_VALUE"""),"sp.")</f>
        <v>sp.</v>
      </c>
      <c r="E2440" t="str">
        <f>IFERROR(__xludf.DUMMYFUNCTION("""COMPUTED_VALUE"""),"PAMC28766")</f>
        <v>PAMC28766</v>
      </c>
    </row>
    <row r="2441" ht="15.75" customHeight="1">
      <c r="A2441" t="str">
        <f t="shared" si="1"/>
        <v>F.hwasookii</v>
      </c>
      <c r="B2441" s="5" t="s">
        <v>10052</v>
      </c>
      <c r="C2441" s="6" t="str">
        <f>IFERROR(__xludf.DUMMYFUNCTION("SPLIT('2. c'!B2441, "" "", True, True)"),"Fusobacterium")</f>
        <v>Fusobacterium</v>
      </c>
      <c r="D2441" t="str">
        <f>IFERROR(__xludf.DUMMYFUNCTION("""COMPUTED_VALUE"""),"hwasookii")</f>
        <v>hwasookii</v>
      </c>
      <c r="E2441" t="str">
        <f>IFERROR(__xludf.DUMMYFUNCTION("""COMPUTED_VALUE"""),"ChDC")</f>
        <v>ChDC</v>
      </c>
      <c r="F2441" t="str">
        <f>IFERROR(__xludf.DUMMYFUNCTION("""COMPUTED_VALUE"""),"F174")</f>
        <v>F174</v>
      </c>
    </row>
    <row r="2442" ht="15.75" customHeight="1">
      <c r="A2442" t="str">
        <f t="shared" si="1"/>
        <v>F.hwasookii</v>
      </c>
      <c r="B2442" s="5" t="s">
        <v>10060</v>
      </c>
      <c r="C2442" s="6" t="str">
        <f>IFERROR(__xludf.DUMMYFUNCTION("SPLIT('2. c'!B2442, "" "", True, True)"),"Fusobacterium")</f>
        <v>Fusobacterium</v>
      </c>
      <c r="D2442" t="str">
        <f>IFERROR(__xludf.DUMMYFUNCTION("""COMPUTED_VALUE"""),"hwasookii")</f>
        <v>hwasookii</v>
      </c>
      <c r="E2442" t="str">
        <f>IFERROR(__xludf.DUMMYFUNCTION("""COMPUTED_VALUE"""),"ChDC")</f>
        <v>ChDC</v>
      </c>
      <c r="F2442" t="str">
        <f>IFERROR(__xludf.DUMMYFUNCTION("""COMPUTED_VALUE"""),"F206")</f>
        <v>F206</v>
      </c>
    </row>
    <row r="2443" ht="15.75" customHeight="1">
      <c r="A2443" t="str">
        <f t="shared" si="1"/>
        <v>F.hwasookii</v>
      </c>
      <c r="B2443" s="5" t="s">
        <v>10069</v>
      </c>
      <c r="C2443" s="6" t="str">
        <f>IFERROR(__xludf.DUMMYFUNCTION("SPLIT('2. c'!B2443, "" "", True, True)"),"Fusobacterium")</f>
        <v>Fusobacterium</v>
      </c>
      <c r="D2443" t="str">
        <f>IFERROR(__xludf.DUMMYFUNCTION("""COMPUTED_VALUE"""),"hwasookii")</f>
        <v>hwasookii</v>
      </c>
      <c r="E2443" t="str">
        <f>IFERROR(__xludf.DUMMYFUNCTION("""COMPUTED_VALUE"""),"ChDC")</f>
        <v>ChDC</v>
      </c>
      <c r="F2443" t="str">
        <f>IFERROR(__xludf.DUMMYFUNCTION("""COMPUTED_VALUE"""),"F300")</f>
        <v>F300</v>
      </c>
    </row>
    <row r="2444" ht="15.75" customHeight="1">
      <c r="A2444" t="str">
        <f t="shared" si="1"/>
        <v>F.nucleatum</v>
      </c>
      <c r="B2444" s="5" t="s">
        <v>10077</v>
      </c>
      <c r="C2444" s="6" t="str">
        <f>IFERROR(__xludf.DUMMYFUNCTION("SPLIT('2. c'!B2444, "" "", True, True)"),"Fusobacterium")</f>
        <v>Fusobacterium</v>
      </c>
      <c r="D2444" t="str">
        <f>IFERROR(__xludf.DUMMYFUNCTION("""COMPUTED_VALUE"""),"nucleatum")</f>
        <v>nucleatum</v>
      </c>
      <c r="E2444" t="str">
        <f>IFERROR(__xludf.DUMMYFUNCTION("""COMPUTED_VALUE"""),"subsp.")</f>
        <v>subsp.</v>
      </c>
      <c r="F2444" t="str">
        <f>IFERROR(__xludf.DUMMYFUNCTION("""COMPUTED_VALUE"""),"animalis")</f>
        <v>animalis</v>
      </c>
      <c r="G2444" t="str">
        <f>IFERROR(__xludf.DUMMYFUNCTION("""COMPUTED_VALUE"""),"4_8")</f>
        <v>4_8</v>
      </c>
    </row>
    <row r="2445" ht="15.75" customHeight="1">
      <c r="A2445" t="str">
        <f t="shared" si="1"/>
        <v>F.nucleatum</v>
      </c>
      <c r="B2445" s="5" t="s">
        <v>10087</v>
      </c>
      <c r="C2445" s="6" t="str">
        <f>IFERROR(__xludf.DUMMYFUNCTION("SPLIT('2. c'!B2445, "" "", True, True)"),"Fusobacterium")</f>
        <v>Fusobacterium</v>
      </c>
      <c r="D2445" t="str">
        <f>IFERROR(__xludf.DUMMYFUNCTION("""COMPUTED_VALUE"""),"nucleatum")</f>
        <v>nucleatum</v>
      </c>
      <c r="E2445" t="str">
        <f>IFERROR(__xludf.DUMMYFUNCTION("""COMPUTED_VALUE"""),"subsp.")</f>
        <v>subsp.</v>
      </c>
      <c r="F2445" t="str">
        <f>IFERROR(__xludf.DUMMYFUNCTION("""COMPUTED_VALUE"""),"animalis")</f>
        <v>animalis</v>
      </c>
      <c r="G2445" t="str">
        <f>IFERROR(__xludf.DUMMYFUNCTION("""COMPUTED_VALUE"""),"strain")</f>
        <v>strain</v>
      </c>
      <c r="H2445" t="str">
        <f>IFERROR(__xludf.DUMMYFUNCTION("""COMPUTED_VALUE"""),"KCOM")</f>
        <v>KCOM</v>
      </c>
      <c r="I2445">
        <f>IFERROR(__xludf.DUMMYFUNCTION("""COMPUTED_VALUE"""),1279.0)</f>
        <v>1279</v>
      </c>
    </row>
    <row r="2446" ht="15.75" customHeight="1">
      <c r="A2446" t="str">
        <f t="shared" si="1"/>
        <v>F.nucleatum</v>
      </c>
      <c r="B2446" s="5" t="s">
        <v>10099</v>
      </c>
      <c r="C2446" s="6" t="str">
        <f>IFERROR(__xludf.DUMMYFUNCTION("SPLIT('2. c'!B2446, "" "", True, True)"),"Fusobacterium")</f>
        <v>Fusobacterium</v>
      </c>
      <c r="D2446" t="str">
        <f>IFERROR(__xludf.DUMMYFUNCTION("""COMPUTED_VALUE"""),"nucleatum")</f>
        <v>nucleatum</v>
      </c>
      <c r="E2446" t="str">
        <f>IFERROR(__xludf.DUMMYFUNCTION("""COMPUTED_VALUE"""),"subsp.")</f>
        <v>subsp.</v>
      </c>
      <c r="F2446" t="str">
        <f>IFERROR(__xludf.DUMMYFUNCTION("""COMPUTED_VALUE"""),"animalis")</f>
        <v>animalis</v>
      </c>
      <c r="G2446" t="str">
        <f>IFERROR(__xludf.DUMMYFUNCTION("""COMPUTED_VALUE"""),"strain")</f>
        <v>strain</v>
      </c>
      <c r="H2446" t="str">
        <f>IFERROR(__xludf.DUMMYFUNCTION("""COMPUTED_VALUE"""),"KCOM")</f>
        <v>KCOM</v>
      </c>
      <c r="I2446">
        <f>IFERROR(__xludf.DUMMYFUNCTION("""COMPUTED_VALUE"""),1325.0)</f>
        <v>1325</v>
      </c>
    </row>
    <row r="2447" ht="15.75" customHeight="1">
      <c r="A2447" t="str">
        <f t="shared" si="1"/>
        <v>F.nucleatum</v>
      </c>
      <c r="B2447" s="5" t="s">
        <v>10108</v>
      </c>
      <c r="C2447" s="6" t="str">
        <f>IFERROR(__xludf.DUMMYFUNCTION("SPLIT('2. c'!B2447, "" "", True, True)"),"Fusobacterium")</f>
        <v>Fusobacterium</v>
      </c>
      <c r="D2447" t="str">
        <f>IFERROR(__xludf.DUMMYFUNCTION("""COMPUTED_VALUE"""),"nucleatum")</f>
        <v>nucleatum</v>
      </c>
      <c r="E2447" t="str">
        <f>IFERROR(__xludf.DUMMYFUNCTION("""COMPUTED_VALUE"""),"subsp.")</f>
        <v>subsp.</v>
      </c>
      <c r="F2447" t="str">
        <f>IFERROR(__xludf.DUMMYFUNCTION("""COMPUTED_VALUE"""),"nucleatum")</f>
        <v>nucleatum</v>
      </c>
      <c r="G2447" t="str">
        <f>IFERROR(__xludf.DUMMYFUNCTION("""COMPUTED_VALUE"""),"ATCC")</f>
        <v>ATCC</v>
      </c>
      <c r="H2447">
        <f>IFERROR(__xludf.DUMMYFUNCTION("""COMPUTED_VALUE"""),25586.0)</f>
        <v>25586</v>
      </c>
    </row>
    <row r="2448" ht="15.75" customHeight="1">
      <c r="A2448" t="str">
        <f t="shared" si="1"/>
        <v>F.nucleatum</v>
      </c>
      <c r="B2448" s="5" t="s">
        <v>10117</v>
      </c>
      <c r="C2448" s="6" t="str">
        <f>IFERROR(__xludf.DUMMYFUNCTION("SPLIT('2. c'!B2448, "" "", True, True)"),"Fusobacterium")</f>
        <v>Fusobacterium</v>
      </c>
      <c r="D2448" t="str">
        <f>IFERROR(__xludf.DUMMYFUNCTION("""COMPUTED_VALUE"""),"nucleatum")</f>
        <v>nucleatum</v>
      </c>
      <c r="E2448" t="str">
        <f>IFERROR(__xludf.DUMMYFUNCTION("""COMPUTED_VALUE"""),"subsp.")</f>
        <v>subsp.</v>
      </c>
      <c r="F2448" t="str">
        <f>IFERROR(__xludf.DUMMYFUNCTION("""COMPUTED_VALUE"""),"nucleatum")</f>
        <v>nucleatum</v>
      </c>
      <c r="G2448" t="str">
        <f>IFERROR(__xludf.DUMMYFUNCTION("""COMPUTED_VALUE"""),"ChDC")</f>
        <v>ChDC</v>
      </c>
      <c r="H2448" t="str">
        <f>IFERROR(__xludf.DUMMYFUNCTION("""COMPUTED_VALUE"""),"F316")</f>
        <v>F316</v>
      </c>
      <c r="I2448" t="str">
        <f>IFERROR(__xludf.DUMMYFUNCTION("""COMPUTED_VALUE"""),"strain")</f>
        <v>strain</v>
      </c>
      <c r="J2448" t="str">
        <f>IFERROR(__xludf.DUMMYFUNCTION("""COMPUTED_VALUE"""),"KCOM")</f>
        <v>KCOM</v>
      </c>
      <c r="K2448">
        <f>IFERROR(__xludf.DUMMYFUNCTION("""COMPUTED_VALUE"""),1322.0)</f>
        <v>1322</v>
      </c>
    </row>
    <row r="2449" ht="15.75" customHeight="1">
      <c r="A2449" t="str">
        <f t="shared" si="1"/>
        <v>F.nucleatum</v>
      </c>
      <c r="B2449" s="5" t="s">
        <v>10125</v>
      </c>
      <c r="C2449" s="6" t="str">
        <f>IFERROR(__xludf.DUMMYFUNCTION("SPLIT('2. c'!B2449, "" "", True, True)"),"Fusobacterium")</f>
        <v>Fusobacterium</v>
      </c>
      <c r="D2449" t="str">
        <f>IFERROR(__xludf.DUMMYFUNCTION("""COMPUTED_VALUE"""),"nucleatum")</f>
        <v>nucleatum</v>
      </c>
      <c r="E2449" t="str">
        <f>IFERROR(__xludf.DUMMYFUNCTION("""COMPUTED_VALUE"""),"subsp.")</f>
        <v>subsp.</v>
      </c>
      <c r="F2449" t="str">
        <f>IFERROR(__xludf.DUMMYFUNCTION("""COMPUTED_VALUE"""),"nucleatum")</f>
        <v>nucleatum</v>
      </c>
      <c r="G2449" t="str">
        <f>IFERROR(__xludf.DUMMYFUNCTION("""COMPUTED_VALUE"""),"strain")</f>
        <v>strain</v>
      </c>
      <c r="H2449" t="str">
        <f>IFERROR(__xludf.DUMMYFUNCTION("""COMPUTED_VALUE"""),"KCOM")</f>
        <v>KCOM</v>
      </c>
      <c r="I2449">
        <f>IFERROR(__xludf.DUMMYFUNCTION("""COMPUTED_VALUE"""),1250.0)</f>
        <v>1250</v>
      </c>
    </row>
    <row r="2450" ht="15.75" customHeight="1">
      <c r="A2450" t="str">
        <f t="shared" si="1"/>
        <v>F.nucleatum</v>
      </c>
      <c r="B2450" s="5" t="s">
        <v>10136</v>
      </c>
      <c r="C2450" s="6" t="str">
        <f>IFERROR(__xludf.DUMMYFUNCTION("SPLIT('2. c'!B2450, "" "", True, True)"),"Fusobacterium")</f>
        <v>Fusobacterium</v>
      </c>
      <c r="D2450" t="str">
        <f>IFERROR(__xludf.DUMMYFUNCTION("""COMPUTED_VALUE"""),"nucleatum")</f>
        <v>nucleatum</v>
      </c>
      <c r="E2450" t="str">
        <f>IFERROR(__xludf.DUMMYFUNCTION("""COMPUTED_VALUE"""),"subsp.")</f>
        <v>subsp.</v>
      </c>
      <c r="F2450" t="str">
        <f>IFERROR(__xludf.DUMMYFUNCTION("""COMPUTED_VALUE"""),"polymorphum")</f>
        <v>polymorphum</v>
      </c>
    </row>
    <row r="2451" ht="15.75" customHeight="1">
      <c r="A2451" t="str">
        <f t="shared" si="1"/>
        <v>F.nucleatum</v>
      </c>
      <c r="B2451" s="5" t="s">
        <v>10136</v>
      </c>
      <c r="C2451" s="6" t="str">
        <f>IFERROR(__xludf.DUMMYFUNCTION("SPLIT('2. c'!B2451, "" "", True, True)"),"Fusobacterium")</f>
        <v>Fusobacterium</v>
      </c>
      <c r="D2451" t="str">
        <f>IFERROR(__xludf.DUMMYFUNCTION("""COMPUTED_VALUE"""),"nucleatum")</f>
        <v>nucleatum</v>
      </c>
      <c r="E2451" t="str">
        <f>IFERROR(__xludf.DUMMYFUNCTION("""COMPUTED_VALUE"""),"subsp.")</f>
        <v>subsp.</v>
      </c>
      <c r="F2451" t="str">
        <f>IFERROR(__xludf.DUMMYFUNCTION("""COMPUTED_VALUE"""),"polymorphum")</f>
        <v>polymorphum</v>
      </c>
    </row>
    <row r="2452" ht="15.75" customHeight="1">
      <c r="A2452" t="str">
        <f t="shared" si="1"/>
        <v>F.nucleatum</v>
      </c>
      <c r="B2452" s="5" t="s">
        <v>10152</v>
      </c>
      <c r="C2452" s="6" t="str">
        <f>IFERROR(__xludf.DUMMYFUNCTION("SPLIT('2. c'!B2452, "" "", True, True)"),"Fusobacterium")</f>
        <v>Fusobacterium</v>
      </c>
      <c r="D2452" t="str">
        <f>IFERROR(__xludf.DUMMYFUNCTION("""COMPUTED_VALUE"""),"nucleatum")</f>
        <v>nucleatum</v>
      </c>
      <c r="E2452" t="str">
        <f>IFERROR(__xludf.DUMMYFUNCTION("""COMPUTED_VALUE"""),"subsp.")</f>
        <v>subsp.</v>
      </c>
      <c r="F2452" t="str">
        <f>IFERROR(__xludf.DUMMYFUNCTION("""COMPUTED_VALUE"""),"polymorphum")</f>
        <v>polymorphum</v>
      </c>
      <c r="G2452" t="str">
        <f>IFERROR(__xludf.DUMMYFUNCTION("""COMPUTED_VALUE"""),"strain")</f>
        <v>strain</v>
      </c>
      <c r="H2452" t="str">
        <f>IFERROR(__xludf.DUMMYFUNCTION("""COMPUTED_VALUE"""),"ChDC")</f>
        <v>ChDC</v>
      </c>
      <c r="I2452" t="str">
        <f>IFERROR(__xludf.DUMMYFUNCTION("""COMPUTED_VALUE"""),"F306")</f>
        <v>F306</v>
      </c>
    </row>
    <row r="2453" ht="15.75" customHeight="1">
      <c r="A2453" t="str">
        <f t="shared" si="1"/>
        <v>F.nucleatum</v>
      </c>
      <c r="B2453" s="5" t="s">
        <v>10163</v>
      </c>
      <c r="C2453" s="6" t="str">
        <f>IFERROR(__xludf.DUMMYFUNCTION("SPLIT('2. c'!B2453, "" "", True, True)"),"Fusobacterium")</f>
        <v>Fusobacterium</v>
      </c>
      <c r="D2453" t="str">
        <f>IFERROR(__xludf.DUMMYFUNCTION("""COMPUTED_VALUE"""),"nucleatum")</f>
        <v>nucleatum</v>
      </c>
      <c r="E2453" t="str">
        <f>IFERROR(__xludf.DUMMYFUNCTION("""COMPUTED_VALUE"""),"subsp.")</f>
        <v>subsp.</v>
      </c>
      <c r="F2453" t="str">
        <f>IFERROR(__xludf.DUMMYFUNCTION("""COMPUTED_VALUE"""),"vincentii")</f>
        <v>vincentii</v>
      </c>
      <c r="G2453" t="str">
        <f>IFERROR(__xludf.DUMMYFUNCTION("""COMPUTED_VALUE"""),"ChDC")</f>
        <v>ChDC</v>
      </c>
      <c r="H2453" t="str">
        <f>IFERROR(__xludf.DUMMYFUNCTION("""COMPUTED_VALUE"""),"F8")</f>
        <v>F8</v>
      </c>
      <c r="I2453" t="str">
        <f>IFERROR(__xludf.DUMMYFUNCTION("""COMPUTED_VALUE"""),"strain")</f>
        <v>strain</v>
      </c>
      <c r="J2453" t="str">
        <f>IFERROR(__xludf.DUMMYFUNCTION("""COMPUTED_VALUE"""),"KCOM")</f>
        <v>KCOM</v>
      </c>
      <c r="K2453">
        <f>IFERROR(__xludf.DUMMYFUNCTION("""COMPUTED_VALUE"""),1231.0)</f>
        <v>1231</v>
      </c>
    </row>
    <row r="2454" ht="15.75" customHeight="1">
      <c r="A2454" t="str">
        <f t="shared" si="1"/>
        <v>G.anatis</v>
      </c>
      <c r="B2454" s="5" t="s">
        <v>10181</v>
      </c>
      <c r="C2454" s="6" t="str">
        <f>IFERROR(__xludf.DUMMYFUNCTION("SPLIT('2. c'!B2454, "" "", True, True)"),"Gallibacterium")</f>
        <v>Gallibacterium</v>
      </c>
      <c r="D2454" t="str">
        <f>IFERROR(__xludf.DUMMYFUNCTION("""COMPUTED_VALUE"""),"anatis")</f>
        <v>anatis</v>
      </c>
      <c r="E2454" t="str">
        <f>IFERROR(__xludf.DUMMYFUNCTION("""COMPUTED_VALUE"""),"UMN179")</f>
        <v>UMN179</v>
      </c>
    </row>
    <row r="2455" ht="15.75" customHeight="1">
      <c r="A2455" t="str">
        <f t="shared" si="1"/>
        <v>G.capsiferriformans</v>
      </c>
      <c r="B2455" s="5" t="s">
        <v>10192</v>
      </c>
      <c r="C2455" s="6" t="str">
        <f>IFERROR(__xludf.DUMMYFUNCTION("SPLIT('2. c'!B2455, "" "", True, True)"),"Gallionella")</f>
        <v>Gallionella</v>
      </c>
      <c r="D2455" t="str">
        <f>IFERROR(__xludf.DUMMYFUNCTION("""COMPUTED_VALUE"""),"capsiferriformans")</f>
        <v>capsiferriformans</v>
      </c>
      <c r="E2455" t="str">
        <f>IFERROR(__xludf.DUMMYFUNCTION("""COMPUTED_VALUE"""),"ES-2")</f>
        <v>ES-2</v>
      </c>
    </row>
    <row r="2456" ht="15.75" customHeight="1">
      <c r="A2456" t="str">
        <f t="shared" si="1"/>
        <v>g.proteobacterium</v>
      </c>
      <c r="B2456" s="5" t="s">
        <v>10198</v>
      </c>
      <c r="C2456" s="6" t="str">
        <f>IFERROR(__xludf.DUMMYFUNCTION("SPLIT('2. c'!B2456, "" "", True, True)"),"gamma")</f>
        <v>gamma</v>
      </c>
      <c r="D2456" t="str">
        <f>IFERROR(__xludf.DUMMYFUNCTION("""COMPUTED_VALUE"""),"proteobacterium")</f>
        <v>proteobacterium</v>
      </c>
      <c r="E2456" t="str">
        <f>IFERROR(__xludf.DUMMYFUNCTION("""COMPUTED_VALUE"""),"HdN1")</f>
        <v>HdN1</v>
      </c>
    </row>
    <row r="2457" ht="15.75" customHeight="1">
      <c r="A2457" t="str">
        <f t="shared" si="1"/>
        <v>G.bacterium</v>
      </c>
      <c r="B2457" s="5" t="s">
        <v>10205</v>
      </c>
      <c r="C2457" s="6" t="str">
        <f>IFERROR(__xludf.DUMMYFUNCTION("SPLIT('2. c'!B2457, "" "", True, True)"),"Gammaproteobacteria")</f>
        <v>Gammaproteobacteria</v>
      </c>
      <c r="D2457" t="str">
        <f>IFERROR(__xludf.DUMMYFUNCTION("""COMPUTED_VALUE"""),"bacterium")</f>
        <v>bacterium</v>
      </c>
      <c r="E2457" t="str">
        <f>IFERROR(__xludf.DUMMYFUNCTION("""COMPUTED_VALUE"""),"NRL1")</f>
        <v>NRL1</v>
      </c>
    </row>
    <row r="2458" ht="15.75" customHeight="1">
      <c r="A2458" t="str">
        <f t="shared" si="1"/>
        <v>G.vaginalis</v>
      </c>
      <c r="B2458" s="5" t="s">
        <v>10214</v>
      </c>
      <c r="C2458" s="6" t="str">
        <f>IFERROR(__xludf.DUMMYFUNCTION("SPLIT('2. c'!B2458, "" "", True, True)"),"Gardnerella")</f>
        <v>Gardnerella</v>
      </c>
      <c r="D2458" t="str">
        <f>IFERROR(__xludf.DUMMYFUNCTION("""COMPUTED_VALUE"""),"vaginalis")</f>
        <v>vaginalis</v>
      </c>
      <c r="E2458" t="str">
        <f>IFERROR(__xludf.DUMMYFUNCTION("""COMPUTED_VALUE"""),"409-05")</f>
        <v>409-05</v>
      </c>
    </row>
    <row r="2459" ht="15.75" customHeight="1">
      <c r="A2459" t="str">
        <f t="shared" si="1"/>
        <v>G.vaginalis</v>
      </c>
      <c r="B2459" s="5" t="s">
        <v>10222</v>
      </c>
      <c r="C2459" s="6" t="str">
        <f>IFERROR(__xludf.DUMMYFUNCTION("SPLIT('2. c'!B2459, "" "", True, True)"),"Gardnerella")</f>
        <v>Gardnerella</v>
      </c>
      <c r="D2459" t="str">
        <f>IFERROR(__xludf.DUMMYFUNCTION("""COMPUTED_VALUE"""),"vaginalis")</f>
        <v>vaginalis</v>
      </c>
      <c r="E2459" t="str">
        <f>IFERROR(__xludf.DUMMYFUNCTION("""COMPUTED_VALUE"""),"ATCC")</f>
        <v>ATCC</v>
      </c>
      <c r="F2459">
        <f>IFERROR(__xludf.DUMMYFUNCTION("""COMPUTED_VALUE"""),14018.0)</f>
        <v>14018</v>
      </c>
      <c r="G2459" t="str">
        <f>IFERROR(__xludf.DUMMYFUNCTION("""COMPUTED_VALUE"""),"=")</f>
        <v>=</v>
      </c>
      <c r="H2459" t="str">
        <f>IFERROR(__xludf.DUMMYFUNCTION("""COMPUTED_VALUE"""),"JCM")</f>
        <v>JCM</v>
      </c>
      <c r="I2459">
        <f>IFERROR(__xludf.DUMMYFUNCTION("""COMPUTED_VALUE"""),11026.0)</f>
        <v>11026</v>
      </c>
    </row>
    <row r="2460" ht="15.75" customHeight="1">
      <c r="A2460" t="str">
        <f t="shared" si="1"/>
        <v>G.vaginalis</v>
      </c>
      <c r="B2460" s="5" t="s">
        <v>10240</v>
      </c>
      <c r="C2460" s="6" t="str">
        <f>IFERROR(__xludf.DUMMYFUNCTION("SPLIT('2. c'!B2460, "" "", True, True)"),"Gardnerella")</f>
        <v>Gardnerella</v>
      </c>
      <c r="D2460" t="str">
        <f>IFERROR(__xludf.DUMMYFUNCTION("""COMPUTED_VALUE"""),"vaginalis")</f>
        <v>vaginalis</v>
      </c>
      <c r="E2460" t="str">
        <f>IFERROR(__xludf.DUMMYFUNCTION("""COMPUTED_VALUE"""),"ATCC")</f>
        <v>ATCC</v>
      </c>
      <c r="F2460">
        <f>IFERROR(__xludf.DUMMYFUNCTION("""COMPUTED_VALUE"""),14019.0)</f>
        <v>14019</v>
      </c>
    </row>
    <row r="2461" ht="15.75" customHeight="1">
      <c r="A2461" t="str">
        <f t="shared" si="1"/>
        <v>G.vaginalis</v>
      </c>
      <c r="B2461" s="5" t="s">
        <v>10252</v>
      </c>
      <c r="C2461" s="6" t="str">
        <f>IFERROR(__xludf.DUMMYFUNCTION("SPLIT('2. c'!B2461, "" "", True, True)"),"Gardnerella")</f>
        <v>Gardnerella</v>
      </c>
      <c r="D2461" t="str">
        <f>IFERROR(__xludf.DUMMYFUNCTION("""COMPUTED_VALUE"""),"vaginalis")</f>
        <v>vaginalis</v>
      </c>
      <c r="E2461" t="str">
        <f>IFERROR(__xludf.DUMMYFUNCTION("""COMPUTED_VALUE"""),"HMP9231")</f>
        <v>HMP9231</v>
      </c>
    </row>
    <row r="2462" ht="15.75" customHeight="1">
      <c r="A2462" t="str">
        <f t="shared" si="1"/>
        <v>G.sp.</v>
      </c>
      <c r="B2462" s="5" t="s">
        <v>10261</v>
      </c>
      <c r="C2462" s="6" t="str">
        <f>IFERROR(__xludf.DUMMYFUNCTION("SPLIT('2. c'!B2462, "" "", True, True)"),"Geitlerinema")</f>
        <v>Geitlerinema</v>
      </c>
      <c r="D2462" t="str">
        <f>IFERROR(__xludf.DUMMYFUNCTION("""COMPUTED_VALUE"""),"sp.")</f>
        <v>sp.</v>
      </c>
      <c r="E2462" t="str">
        <f>IFERROR(__xludf.DUMMYFUNCTION("""COMPUTED_VALUE"""),"PCC")</f>
        <v>PCC</v>
      </c>
      <c r="F2462">
        <f>IFERROR(__xludf.DUMMYFUNCTION("""COMPUTED_VALUE"""),7407.0)</f>
        <v>7407</v>
      </c>
    </row>
    <row r="2463" ht="15.75" customHeight="1">
      <c r="A2463" t="str">
        <f t="shared" si="1"/>
        <v>G.sp.</v>
      </c>
      <c r="B2463" s="5" t="s">
        <v>10270</v>
      </c>
      <c r="C2463" s="6" t="str">
        <f>IFERROR(__xludf.DUMMYFUNCTION("SPLIT('2. c'!B2463, "" "", True, True)"),"Gemella")</f>
        <v>Gemella</v>
      </c>
      <c r="D2463" t="str">
        <f>IFERROR(__xludf.DUMMYFUNCTION("""COMPUTED_VALUE"""),"sp.")</f>
        <v>sp.</v>
      </c>
      <c r="E2463" t="str">
        <f>IFERROR(__xludf.DUMMYFUNCTION("""COMPUTED_VALUE"""),"oral")</f>
        <v>oral</v>
      </c>
      <c r="F2463" t="str">
        <f>IFERROR(__xludf.DUMMYFUNCTION("""COMPUTED_VALUE"""),"taxon")</f>
        <v>taxon</v>
      </c>
      <c r="G2463">
        <f>IFERROR(__xludf.DUMMYFUNCTION("""COMPUTED_VALUE"""),928.0)</f>
        <v>928</v>
      </c>
    </row>
    <row r="2464" ht="15.75" customHeight="1">
      <c r="A2464" t="str">
        <f t="shared" si="1"/>
        <v>G.sp.</v>
      </c>
      <c r="B2464" s="5" t="s">
        <v>10282</v>
      </c>
      <c r="C2464" s="6" t="str">
        <f>IFERROR(__xludf.DUMMYFUNCTION("SPLIT('2. c'!B2464, "" "", True, True)"),"Geminocystis")</f>
        <v>Geminocystis</v>
      </c>
      <c r="D2464" t="str">
        <f>IFERROR(__xludf.DUMMYFUNCTION("""COMPUTED_VALUE"""),"sp.")</f>
        <v>sp.</v>
      </c>
      <c r="E2464" t="str">
        <f>IFERROR(__xludf.DUMMYFUNCTION("""COMPUTED_VALUE"""),"NIES-3708")</f>
        <v>NIES-3708</v>
      </c>
    </row>
    <row r="2465" ht="15.75" customHeight="1">
      <c r="A2465" t="str">
        <f t="shared" si="1"/>
        <v>G.sp.</v>
      </c>
      <c r="B2465" s="5" t="s">
        <v>10293</v>
      </c>
      <c r="C2465" s="6" t="str">
        <f>IFERROR(__xludf.DUMMYFUNCTION("SPLIT('2. c'!B2465, "" "", True, True)"),"Geminocystis")</f>
        <v>Geminocystis</v>
      </c>
      <c r="D2465" t="str">
        <f>IFERROR(__xludf.DUMMYFUNCTION("""COMPUTED_VALUE"""),"sp.")</f>
        <v>sp.</v>
      </c>
      <c r="E2465" t="str">
        <f>IFERROR(__xludf.DUMMYFUNCTION("""COMPUTED_VALUE"""),"NIES-3709")</f>
        <v>NIES-3709</v>
      </c>
    </row>
    <row r="2466" ht="15.75" customHeight="1">
      <c r="A2466" t="str">
        <f t="shared" si="1"/>
        <v>G.sp.</v>
      </c>
      <c r="B2466" s="5" t="s">
        <v>10301</v>
      </c>
      <c r="C2466" s="6" t="str">
        <f>IFERROR(__xludf.DUMMYFUNCTION("SPLIT('2. c'!B2466, "" "", True, True)"),"Gemmata")</f>
        <v>Gemmata</v>
      </c>
      <c r="D2466" t="str">
        <f>IFERROR(__xludf.DUMMYFUNCTION("""COMPUTED_VALUE"""),"sp.")</f>
        <v>sp.</v>
      </c>
      <c r="E2466" t="str">
        <f>IFERROR(__xludf.DUMMYFUNCTION("""COMPUTED_VALUE"""),"SH-PL17")</f>
        <v>SH-PL17</v>
      </c>
    </row>
    <row r="2467" ht="15.75" customHeight="1">
      <c r="A2467" t="str">
        <f t="shared" si="1"/>
        <v>G.bacterium</v>
      </c>
      <c r="B2467" s="5" t="s">
        <v>10309</v>
      </c>
      <c r="C2467" s="6" t="str">
        <f>IFERROR(__xludf.DUMMYFUNCTION("SPLIT('2. c'!B2467, "" "", True, True)"),"Gemmatimonadetes")</f>
        <v>Gemmatimonadetes</v>
      </c>
      <c r="D2467" t="str">
        <f>IFERROR(__xludf.DUMMYFUNCTION("""COMPUTED_VALUE"""),"bacterium")</f>
        <v>bacterium</v>
      </c>
      <c r="E2467" t="str">
        <f>IFERROR(__xludf.DUMMYFUNCTION("""COMPUTED_VALUE"""),"KBS708")</f>
        <v>KBS708</v>
      </c>
    </row>
    <row r="2468" ht="15.75" customHeight="1">
      <c r="A2468" t="str">
        <f t="shared" si="1"/>
        <v>G.aurantiaca</v>
      </c>
      <c r="B2468" s="5" t="s">
        <v>10320</v>
      </c>
      <c r="C2468" s="6" t="str">
        <f>IFERROR(__xludf.DUMMYFUNCTION("SPLIT('2. c'!B2468, "" "", True, True)"),"Gemmatimonas")</f>
        <v>Gemmatimonas</v>
      </c>
      <c r="D2468" t="str">
        <f>IFERROR(__xludf.DUMMYFUNCTION("""COMPUTED_VALUE"""),"aurantiaca")</f>
        <v>aurantiaca</v>
      </c>
      <c r="E2468" t="str">
        <f>IFERROR(__xludf.DUMMYFUNCTION("""COMPUTED_VALUE"""),"T-27")</f>
        <v>T-27</v>
      </c>
    </row>
    <row r="2469" ht="15.75" customHeight="1">
      <c r="A2469" t="str">
        <f t="shared" si="1"/>
        <v>G.subterraneus</v>
      </c>
      <c r="B2469" s="5" t="s">
        <v>10328</v>
      </c>
      <c r="C2469" s="6" t="str">
        <f>IFERROR(__xludf.DUMMYFUNCTION("SPLIT('2. c'!B2469, "" "", True, True)"),"Geoalkalibacter")</f>
        <v>Geoalkalibacter</v>
      </c>
      <c r="D2469" t="str">
        <f>IFERROR(__xludf.DUMMYFUNCTION("""COMPUTED_VALUE"""),"subterraneus")</f>
        <v>subterraneus</v>
      </c>
      <c r="E2469" t="str">
        <f>IFERROR(__xludf.DUMMYFUNCTION("""COMPUTED_VALUE"""),"Red1")</f>
        <v>Red1</v>
      </c>
    </row>
    <row r="2470" ht="15.75" customHeight="1">
      <c r="A2470" t="str">
        <f t="shared" si="1"/>
        <v>G.kaustophilus</v>
      </c>
      <c r="B2470" s="5" t="s">
        <v>10337</v>
      </c>
      <c r="C2470" s="6" t="str">
        <f>IFERROR(__xludf.DUMMYFUNCTION("SPLIT('2. c'!B2470, "" "", True, True)"),"Geobacillus")</f>
        <v>Geobacillus</v>
      </c>
      <c r="D2470" t="str">
        <f>IFERROR(__xludf.DUMMYFUNCTION("""COMPUTED_VALUE"""),"kaustophilus")</f>
        <v>kaustophilus</v>
      </c>
      <c r="E2470" t="str">
        <f>IFERROR(__xludf.DUMMYFUNCTION("""COMPUTED_VALUE"""),"HTA426")</f>
        <v>HTA426</v>
      </c>
    </row>
    <row r="2471" ht="15.75" customHeight="1">
      <c r="A2471" t="str">
        <f t="shared" si="1"/>
        <v>G.sp.</v>
      </c>
      <c r="B2471" s="5" t="s">
        <v>10346</v>
      </c>
      <c r="C2471" s="6" t="str">
        <f>IFERROR(__xludf.DUMMYFUNCTION("SPLIT('2. c'!B2471, "" "", True, True)"),"Geobacillus")</f>
        <v>Geobacillus</v>
      </c>
      <c r="D2471" t="str">
        <f>IFERROR(__xludf.DUMMYFUNCTION("""COMPUTED_VALUE"""),"sp.")</f>
        <v>sp.</v>
      </c>
      <c r="E2471" t="str">
        <f>IFERROR(__xludf.DUMMYFUNCTION("""COMPUTED_VALUE"""),"12AMOR1")</f>
        <v>12AMOR1</v>
      </c>
    </row>
    <row r="2472" ht="15.75" customHeight="1">
      <c r="A2472" t="str">
        <f t="shared" si="1"/>
        <v>G.sp.</v>
      </c>
      <c r="B2472" s="5" t="s">
        <v>10355</v>
      </c>
      <c r="C2472" s="6" t="str">
        <f>IFERROR(__xludf.DUMMYFUNCTION("SPLIT('2. c'!B2472, "" "", True, True)"),"Geobacillus")</f>
        <v>Geobacillus</v>
      </c>
      <c r="D2472" t="str">
        <f>IFERROR(__xludf.DUMMYFUNCTION("""COMPUTED_VALUE"""),"sp.")</f>
        <v>sp.</v>
      </c>
      <c r="E2472" t="str">
        <f>IFERROR(__xludf.DUMMYFUNCTION("""COMPUTED_VALUE"""),"C56-T3")</f>
        <v>C56-T3</v>
      </c>
    </row>
    <row r="2473" ht="15.75" customHeight="1">
      <c r="A2473" t="str">
        <f t="shared" si="1"/>
        <v>G.sp.</v>
      </c>
      <c r="B2473" s="5" t="s">
        <v>10361</v>
      </c>
      <c r="C2473" s="6" t="str">
        <f>IFERROR(__xludf.DUMMYFUNCTION("SPLIT('2. c'!B2473, "" "", True, True)"),"Geobacillus")</f>
        <v>Geobacillus</v>
      </c>
      <c r="D2473" t="str">
        <f>IFERROR(__xludf.DUMMYFUNCTION("""COMPUTED_VALUE"""),"sp.")</f>
        <v>sp.</v>
      </c>
      <c r="E2473" t="str">
        <f>IFERROR(__xludf.DUMMYFUNCTION("""COMPUTED_VALUE"""),"GHH01")</f>
        <v>GHH01</v>
      </c>
    </row>
    <row r="2474" ht="15.75" customHeight="1">
      <c r="A2474" t="str">
        <f t="shared" si="1"/>
        <v>G.sp.</v>
      </c>
      <c r="B2474" s="5" t="s">
        <v>10369</v>
      </c>
      <c r="C2474" s="6" t="str">
        <f>IFERROR(__xludf.DUMMYFUNCTION("SPLIT('2. c'!B2474, "" "", True, True)"),"Geobacillus")</f>
        <v>Geobacillus</v>
      </c>
      <c r="D2474" t="str">
        <f>IFERROR(__xludf.DUMMYFUNCTION("""COMPUTED_VALUE"""),"sp.")</f>
        <v>sp.</v>
      </c>
      <c r="E2474" t="str">
        <f>IFERROR(__xludf.DUMMYFUNCTION("""COMPUTED_VALUE"""),"JF8")</f>
        <v>JF8</v>
      </c>
    </row>
    <row r="2475" ht="15.75" customHeight="1">
      <c r="A2475" t="str">
        <f t="shared" si="1"/>
        <v>G.sp.</v>
      </c>
      <c r="B2475" s="5" t="s">
        <v>10388</v>
      </c>
      <c r="C2475" s="6" t="str">
        <f>IFERROR(__xludf.DUMMYFUNCTION("SPLIT('2. c'!B2475, "" "", True, True)"),"Geobacillus")</f>
        <v>Geobacillus</v>
      </c>
      <c r="D2475" t="str">
        <f>IFERROR(__xludf.DUMMYFUNCTION("""COMPUTED_VALUE"""),"sp.")</f>
        <v>sp.</v>
      </c>
      <c r="E2475" t="str">
        <f>IFERROR(__xludf.DUMMYFUNCTION("""COMPUTED_VALUE"""),"JS12")</f>
        <v>JS12</v>
      </c>
    </row>
    <row r="2476" ht="15.75" customHeight="1">
      <c r="A2476" t="str">
        <f t="shared" si="1"/>
        <v>G.sp.</v>
      </c>
      <c r="B2476" s="5" t="s">
        <v>10396</v>
      </c>
      <c r="C2476" s="6" t="str">
        <f>IFERROR(__xludf.DUMMYFUNCTION("SPLIT('2. c'!B2476, "" "", True, True)"),"Geobacillus")</f>
        <v>Geobacillus</v>
      </c>
      <c r="D2476" t="str">
        <f>IFERROR(__xludf.DUMMYFUNCTION("""COMPUTED_VALUE"""),"sp.")</f>
        <v>sp.</v>
      </c>
      <c r="E2476" t="str">
        <f>IFERROR(__xludf.DUMMYFUNCTION("""COMPUTED_VALUE"""),"LC300")</f>
        <v>LC300</v>
      </c>
    </row>
    <row r="2477" ht="15.75" customHeight="1">
      <c r="A2477" t="str">
        <f t="shared" si="1"/>
        <v>G.sp.</v>
      </c>
      <c r="B2477" s="5" t="s">
        <v>10414</v>
      </c>
      <c r="C2477" s="6" t="str">
        <f>IFERROR(__xludf.DUMMYFUNCTION("SPLIT('2. c'!B2477, "" "", True, True)"),"Geobacillus")</f>
        <v>Geobacillus</v>
      </c>
      <c r="D2477" t="str">
        <f>IFERROR(__xludf.DUMMYFUNCTION("""COMPUTED_VALUE"""),"sp.")</f>
        <v>sp.</v>
      </c>
      <c r="E2477" t="str">
        <f>IFERROR(__xludf.DUMMYFUNCTION("""COMPUTED_VALUE"""),"WCH70")</f>
        <v>WCH70</v>
      </c>
    </row>
    <row r="2478" ht="15.75" customHeight="1">
      <c r="A2478" t="str">
        <f t="shared" si="1"/>
        <v>G.sp.</v>
      </c>
      <c r="B2478" s="5" t="s">
        <v>10422</v>
      </c>
      <c r="C2478" s="6" t="str">
        <f>IFERROR(__xludf.DUMMYFUNCTION("SPLIT('2. c'!B2478, "" "", True, True)"),"Geobacillus")</f>
        <v>Geobacillus</v>
      </c>
      <c r="D2478" t="str">
        <f>IFERROR(__xludf.DUMMYFUNCTION("""COMPUTED_VALUE"""),"sp.")</f>
        <v>sp.</v>
      </c>
      <c r="E2478" t="str">
        <f>IFERROR(__xludf.DUMMYFUNCTION("""COMPUTED_VALUE"""),"Y4.1MC1")</f>
        <v>Y4.1MC1</v>
      </c>
    </row>
    <row r="2479" ht="15.75" customHeight="1">
      <c r="A2479" t="str">
        <f t="shared" si="1"/>
        <v>G.sp.</v>
      </c>
      <c r="B2479" s="5" t="s">
        <v>10433</v>
      </c>
      <c r="C2479" s="6" t="str">
        <f>IFERROR(__xludf.DUMMYFUNCTION("SPLIT('2. c'!B2479, "" "", True, True)"),"Geobacillus")</f>
        <v>Geobacillus</v>
      </c>
      <c r="D2479" t="str">
        <f>IFERROR(__xludf.DUMMYFUNCTION("""COMPUTED_VALUE"""),"sp.")</f>
        <v>sp.</v>
      </c>
      <c r="E2479" t="str">
        <f>IFERROR(__xludf.DUMMYFUNCTION("""COMPUTED_VALUE"""),"Y412MC52")</f>
        <v>Y412MC52</v>
      </c>
    </row>
    <row r="2480" ht="15.75" customHeight="1">
      <c r="A2480" t="str">
        <f t="shared" si="1"/>
        <v>G.sp.</v>
      </c>
      <c r="B2480" s="5" t="s">
        <v>10440</v>
      </c>
      <c r="C2480" s="6" t="str">
        <f>IFERROR(__xludf.DUMMYFUNCTION("SPLIT('2. c'!B2480, "" "", True, True)"),"Geobacillus")</f>
        <v>Geobacillus</v>
      </c>
      <c r="D2480" t="str">
        <f>IFERROR(__xludf.DUMMYFUNCTION("""COMPUTED_VALUE"""),"sp.")</f>
        <v>sp.</v>
      </c>
      <c r="E2480" t="str">
        <f>IFERROR(__xludf.DUMMYFUNCTION("""COMPUTED_VALUE"""),"Y412MC61")</f>
        <v>Y412MC61</v>
      </c>
    </row>
    <row r="2481" ht="15.75" customHeight="1">
      <c r="A2481" t="str">
        <f t="shared" si="1"/>
        <v>G.stearothermophilus</v>
      </c>
      <c r="B2481" s="5" t="s">
        <v>10449</v>
      </c>
      <c r="C2481" s="6" t="str">
        <f>IFERROR(__xludf.DUMMYFUNCTION("SPLIT('2. c'!B2481, "" "", True, True)"),"Geobacillus")</f>
        <v>Geobacillus</v>
      </c>
      <c r="D2481" t="str">
        <f>IFERROR(__xludf.DUMMYFUNCTION("""COMPUTED_VALUE"""),"stearothermophilus")</f>
        <v>stearothermophilus</v>
      </c>
      <c r="E2481">
        <f>IFERROR(__xludf.DUMMYFUNCTION("""COMPUTED_VALUE"""),10.0)</f>
        <v>10</v>
      </c>
    </row>
    <row r="2482" ht="15.75" customHeight="1">
      <c r="A2482" t="str">
        <f t="shared" si="1"/>
        <v>G.stearothermophilus</v>
      </c>
      <c r="B2482" s="5" t="s">
        <v>10460</v>
      </c>
      <c r="C2482" s="6" t="str">
        <f>IFERROR(__xludf.DUMMYFUNCTION("SPLIT('2. c'!B2482, "" "", True, True)"),"Geobacillus")</f>
        <v>Geobacillus</v>
      </c>
      <c r="D2482" t="str">
        <f>IFERROR(__xludf.DUMMYFUNCTION("""COMPUTED_VALUE"""),"stearothermophilus")</f>
        <v>stearothermophilus</v>
      </c>
      <c r="E2482" t="str">
        <f>IFERROR(__xludf.DUMMYFUNCTION("""COMPUTED_VALUE"""),"NUB3621")</f>
        <v>NUB3621</v>
      </c>
    </row>
    <row r="2483" ht="15.75" customHeight="1">
      <c r="A2483" t="str">
        <f t="shared" si="1"/>
        <v>G.subterraneus</v>
      </c>
      <c r="B2483" s="5" t="s">
        <v>10469</v>
      </c>
      <c r="C2483" s="6" t="str">
        <f>IFERROR(__xludf.DUMMYFUNCTION("SPLIT('2. c'!B2483, "" "", True, True)"),"Geobacillus")</f>
        <v>Geobacillus</v>
      </c>
      <c r="D2483" t="str">
        <f>IFERROR(__xludf.DUMMYFUNCTION("""COMPUTED_VALUE"""),"subterraneus")</f>
        <v>subterraneus</v>
      </c>
      <c r="E2483" t="str">
        <f>IFERROR(__xludf.DUMMYFUNCTION("""COMPUTED_VALUE"""),"strain")</f>
        <v>strain</v>
      </c>
      <c r="F2483" t="str">
        <f>IFERROR(__xludf.DUMMYFUNCTION("""COMPUTED_VALUE"""),"KCTC")</f>
        <v>KCTC</v>
      </c>
      <c r="G2483">
        <f>IFERROR(__xludf.DUMMYFUNCTION("""COMPUTED_VALUE"""),3922.0)</f>
        <v>3922</v>
      </c>
    </row>
    <row r="2484" ht="15.75" customHeight="1">
      <c r="A2484" t="str">
        <f t="shared" si="1"/>
        <v>G.thermodenitrificans</v>
      </c>
      <c r="B2484" s="5" t="s">
        <v>10480</v>
      </c>
      <c r="C2484" s="6" t="str">
        <f>IFERROR(__xludf.DUMMYFUNCTION("SPLIT('2. c'!B2484, "" "", True, True)"),"Geobacillus")</f>
        <v>Geobacillus</v>
      </c>
      <c r="D2484" t="str">
        <f>IFERROR(__xludf.DUMMYFUNCTION("""COMPUTED_VALUE"""),"thermodenitrificans")</f>
        <v>thermodenitrificans</v>
      </c>
      <c r="E2484" t="str">
        <f>IFERROR(__xludf.DUMMYFUNCTION("""COMPUTED_VALUE"""),"NG80-2")</f>
        <v>NG80-2</v>
      </c>
    </row>
    <row r="2485" ht="15.75" customHeight="1">
      <c r="A2485" t="str">
        <f t="shared" si="1"/>
        <v>G.thermoglucosidans</v>
      </c>
      <c r="B2485" s="5" t="s">
        <v>10491</v>
      </c>
      <c r="C2485" s="6" t="str">
        <f>IFERROR(__xludf.DUMMYFUNCTION("SPLIT('2. c'!B2485, "" "", True, True)"),"Geobacillus")</f>
        <v>Geobacillus</v>
      </c>
      <c r="D2485" t="str">
        <f>IFERROR(__xludf.DUMMYFUNCTION("""COMPUTED_VALUE"""),"thermoglucosidans")</f>
        <v>thermoglucosidans</v>
      </c>
      <c r="E2485" t="str">
        <f>IFERROR(__xludf.DUMMYFUNCTION("""COMPUTED_VALUE"""),"TNO-09.020")</f>
        <v>TNO-09.020</v>
      </c>
    </row>
    <row r="2486" ht="15.75" customHeight="1">
      <c r="A2486" t="str">
        <f t="shared" si="1"/>
        <v>G.thermoglucosidasius</v>
      </c>
      <c r="B2486" s="5" t="s">
        <v>10500</v>
      </c>
      <c r="C2486" s="6" t="str">
        <f>IFERROR(__xludf.DUMMYFUNCTION("SPLIT('2. c'!B2486, "" "", True, True)"),"Geobacillus")</f>
        <v>Geobacillus</v>
      </c>
      <c r="D2486" t="str">
        <f>IFERROR(__xludf.DUMMYFUNCTION("""COMPUTED_VALUE"""),"thermoglucosidasius")</f>
        <v>thermoglucosidasius</v>
      </c>
      <c r="E2486" t="str">
        <f>IFERROR(__xludf.DUMMYFUNCTION("""COMPUTED_VALUE"""),"strain")</f>
        <v>strain</v>
      </c>
      <c r="F2486" t="str">
        <f>IFERROR(__xludf.DUMMYFUNCTION("""COMPUTED_VALUE"""),"DSM")</f>
        <v>DSM</v>
      </c>
      <c r="G2486">
        <f>IFERROR(__xludf.DUMMYFUNCTION("""COMPUTED_VALUE"""),2542.0)</f>
        <v>2542</v>
      </c>
    </row>
    <row r="2487" ht="15.75" customHeight="1">
      <c r="A2487" t="str">
        <f t="shared" si="1"/>
        <v>G.thermoleovorans</v>
      </c>
      <c r="B2487" s="5" t="s">
        <v>10510</v>
      </c>
      <c r="C2487" s="6" t="str">
        <f>IFERROR(__xludf.DUMMYFUNCTION("SPLIT('2. c'!B2487, "" "", True, True)"),"Geobacillus")</f>
        <v>Geobacillus</v>
      </c>
      <c r="D2487" t="str">
        <f>IFERROR(__xludf.DUMMYFUNCTION("""COMPUTED_VALUE"""),"thermoleovorans")</f>
        <v>thermoleovorans</v>
      </c>
      <c r="E2487" t="str">
        <f>IFERROR(__xludf.DUMMYFUNCTION("""COMPUTED_VALUE"""),"CCB_US3_UF5")</f>
        <v>CCB_US3_UF5</v>
      </c>
    </row>
    <row r="2488" ht="15.75" customHeight="1">
      <c r="A2488" t="str">
        <f t="shared" si="1"/>
        <v>G.thermoleovorans</v>
      </c>
      <c r="B2488" s="5" t="s">
        <v>10519</v>
      </c>
      <c r="C2488" s="6" t="str">
        <f>IFERROR(__xludf.DUMMYFUNCTION("SPLIT('2. c'!B2488, "" "", True, True)"),"Geobacillus")</f>
        <v>Geobacillus</v>
      </c>
      <c r="D2488" t="str">
        <f>IFERROR(__xludf.DUMMYFUNCTION("""COMPUTED_VALUE"""),"thermoleovorans")</f>
        <v>thermoleovorans</v>
      </c>
      <c r="E2488" t="str">
        <f>IFERROR(__xludf.DUMMYFUNCTION("""COMPUTED_VALUE"""),"strain")</f>
        <v>strain</v>
      </c>
      <c r="F2488" t="str">
        <f>IFERROR(__xludf.DUMMYFUNCTION("""COMPUTED_VALUE"""),"KCTC")</f>
        <v>KCTC</v>
      </c>
      <c r="G2488">
        <f>IFERROR(__xludf.DUMMYFUNCTION("""COMPUTED_VALUE"""),3570.0)</f>
        <v>3570</v>
      </c>
    </row>
    <row r="2489" ht="15.75" customHeight="1">
      <c r="A2489" t="str">
        <f t="shared" si="1"/>
        <v>G.anodireducens</v>
      </c>
      <c r="B2489" s="5" t="s">
        <v>10528</v>
      </c>
      <c r="C2489" s="6" t="str">
        <f>IFERROR(__xludf.DUMMYFUNCTION("SPLIT('2. c'!B2489, "" "", True, True)"),"Geobacter")</f>
        <v>Geobacter</v>
      </c>
      <c r="D2489" t="str">
        <f>IFERROR(__xludf.DUMMYFUNCTION("""COMPUTED_VALUE"""),"anodireducens")</f>
        <v>anodireducens</v>
      </c>
      <c r="E2489" t="str">
        <f>IFERROR(__xludf.DUMMYFUNCTION("""COMPUTED_VALUE"""),"strain")</f>
        <v>strain</v>
      </c>
      <c r="F2489" t="str">
        <f>IFERROR(__xludf.DUMMYFUNCTION("""COMPUTED_VALUE"""),"SD-1")</f>
        <v>SD-1</v>
      </c>
    </row>
    <row r="2490" ht="15.75" customHeight="1">
      <c r="A2490" t="str">
        <f t="shared" si="1"/>
        <v>G.bemidjiensis</v>
      </c>
      <c r="B2490" s="5" t="s">
        <v>10536</v>
      </c>
      <c r="C2490" s="6" t="str">
        <f>IFERROR(__xludf.DUMMYFUNCTION("SPLIT('2. c'!B2490, "" "", True, True)"),"Geobacter")</f>
        <v>Geobacter</v>
      </c>
      <c r="D2490" t="str">
        <f>IFERROR(__xludf.DUMMYFUNCTION("""COMPUTED_VALUE"""),"bemidjiensis")</f>
        <v>bemidjiensis</v>
      </c>
      <c r="E2490" t="str">
        <f>IFERROR(__xludf.DUMMYFUNCTION("""COMPUTED_VALUE"""),"Bem")</f>
        <v>Bem</v>
      </c>
    </row>
    <row r="2491" ht="15.75" customHeight="1">
      <c r="A2491" t="str">
        <f t="shared" si="1"/>
        <v>G.daltonii</v>
      </c>
      <c r="B2491" s="5" t="s">
        <v>10546</v>
      </c>
      <c r="C2491" s="6" t="str">
        <f>IFERROR(__xludf.DUMMYFUNCTION("SPLIT('2. c'!B2491, "" "", True, True)"),"Geobacter")</f>
        <v>Geobacter</v>
      </c>
      <c r="D2491" t="str">
        <f>IFERROR(__xludf.DUMMYFUNCTION("""COMPUTED_VALUE"""),"daltonii")</f>
        <v>daltonii</v>
      </c>
      <c r="E2491" t="str">
        <f>IFERROR(__xludf.DUMMYFUNCTION("""COMPUTED_VALUE"""),"FRC-32")</f>
        <v>FRC-32</v>
      </c>
    </row>
    <row r="2492" ht="15.75" customHeight="1">
      <c r="A2492" t="str">
        <f t="shared" si="1"/>
        <v>G.lovleyi</v>
      </c>
      <c r="B2492" s="5" t="s">
        <v>10554</v>
      </c>
      <c r="C2492" s="6" t="str">
        <f>IFERROR(__xludf.DUMMYFUNCTION("SPLIT('2. c'!B2492, "" "", True, True)"),"Geobacter")</f>
        <v>Geobacter</v>
      </c>
      <c r="D2492" t="str">
        <f>IFERROR(__xludf.DUMMYFUNCTION("""COMPUTED_VALUE"""),"lovleyi")</f>
        <v>lovleyi</v>
      </c>
      <c r="E2492" t="str">
        <f>IFERROR(__xludf.DUMMYFUNCTION("""COMPUTED_VALUE"""),"SZ")</f>
        <v>SZ</v>
      </c>
    </row>
    <row r="2493" ht="15.75" customHeight="1">
      <c r="A2493" t="str">
        <f t="shared" si="1"/>
        <v>G.metallireducens</v>
      </c>
      <c r="B2493" s="5" t="s">
        <v>10560</v>
      </c>
      <c r="C2493" s="6" t="str">
        <f>IFERROR(__xludf.DUMMYFUNCTION("SPLIT('2. c'!B2493, "" "", True, True)"),"Geobacter")</f>
        <v>Geobacter</v>
      </c>
      <c r="D2493" t="str">
        <f>IFERROR(__xludf.DUMMYFUNCTION("""COMPUTED_VALUE"""),"metallireducens")</f>
        <v>metallireducens</v>
      </c>
      <c r="E2493" t="str">
        <f>IFERROR(__xludf.DUMMYFUNCTION("""COMPUTED_VALUE"""),"GS-15")</f>
        <v>GS-15</v>
      </c>
    </row>
    <row r="2494" ht="15.75" customHeight="1">
      <c r="A2494" t="str">
        <f t="shared" si="1"/>
        <v>G.pickeringii</v>
      </c>
      <c r="B2494" s="5" t="s">
        <v>10565</v>
      </c>
      <c r="C2494" s="6" t="str">
        <f>IFERROR(__xludf.DUMMYFUNCTION("SPLIT('2. c'!B2494, "" "", True, True)"),"Geobacter")</f>
        <v>Geobacter</v>
      </c>
      <c r="D2494" t="str">
        <f>IFERROR(__xludf.DUMMYFUNCTION("""COMPUTED_VALUE"""),"pickeringii")</f>
        <v>pickeringii</v>
      </c>
      <c r="E2494" t="str">
        <f>IFERROR(__xludf.DUMMYFUNCTION("""COMPUTED_VALUE"""),"G13")</f>
        <v>G13</v>
      </c>
    </row>
    <row r="2495" ht="15.75" customHeight="1">
      <c r="A2495" t="str">
        <f t="shared" si="1"/>
        <v>G.sp.</v>
      </c>
      <c r="B2495" s="5" t="s">
        <v>10575</v>
      </c>
      <c r="C2495" s="6" t="str">
        <f>IFERROR(__xludf.DUMMYFUNCTION("SPLIT('2. c'!B2495, "" "", True, True)"),"Geobacter")</f>
        <v>Geobacter</v>
      </c>
      <c r="D2495" t="str">
        <f>IFERROR(__xludf.DUMMYFUNCTION("""COMPUTED_VALUE"""),"sp.")</f>
        <v>sp.</v>
      </c>
      <c r="E2495" t="str">
        <f>IFERROR(__xludf.DUMMYFUNCTION("""COMPUTED_VALUE"""),"M18")</f>
        <v>M18</v>
      </c>
    </row>
    <row r="2496" ht="15.75" customHeight="1">
      <c r="A2496" t="str">
        <f t="shared" si="1"/>
        <v>G.sp.</v>
      </c>
      <c r="B2496" s="5" t="s">
        <v>10579</v>
      </c>
      <c r="C2496" s="6" t="str">
        <f>IFERROR(__xludf.DUMMYFUNCTION("SPLIT('2. c'!B2496, "" "", True, True)"),"Geobacter")</f>
        <v>Geobacter</v>
      </c>
      <c r="D2496" t="str">
        <f>IFERROR(__xludf.DUMMYFUNCTION("""COMPUTED_VALUE"""),"sp.")</f>
        <v>sp.</v>
      </c>
      <c r="E2496" t="str">
        <f>IFERROR(__xludf.DUMMYFUNCTION("""COMPUTED_VALUE"""),"M21")</f>
        <v>M21</v>
      </c>
    </row>
    <row r="2497" ht="15.75" customHeight="1">
      <c r="A2497" t="str">
        <f t="shared" si="1"/>
        <v>G.sulfurreducens</v>
      </c>
      <c r="B2497" s="5" t="s">
        <v>10588</v>
      </c>
      <c r="C2497" s="6" t="str">
        <f>IFERROR(__xludf.DUMMYFUNCTION("SPLIT('2. c'!B2497, "" "", True, True)"),"Geobacter")</f>
        <v>Geobacter</v>
      </c>
      <c r="D2497" t="str">
        <f>IFERROR(__xludf.DUMMYFUNCTION("""COMPUTED_VALUE"""),"sulfurreducens")</f>
        <v>sulfurreducens</v>
      </c>
      <c r="E2497" t="str">
        <f>IFERROR(__xludf.DUMMYFUNCTION("""COMPUTED_VALUE"""),"KN400")</f>
        <v>KN400</v>
      </c>
    </row>
    <row r="2498" ht="15.75" customHeight="1">
      <c r="A2498" t="str">
        <f t="shared" si="1"/>
        <v>G.sulfurreducens</v>
      </c>
      <c r="B2498" s="5" t="s">
        <v>10602</v>
      </c>
      <c r="C2498" s="6" t="str">
        <f>IFERROR(__xludf.DUMMYFUNCTION("SPLIT('2. c'!B2498, "" "", True, True)"),"Geobacter")</f>
        <v>Geobacter</v>
      </c>
      <c r="D2498" t="str">
        <f>IFERROR(__xludf.DUMMYFUNCTION("""COMPUTED_VALUE"""),"sulfurreducens")</f>
        <v>sulfurreducens</v>
      </c>
      <c r="E2498" t="str">
        <f>IFERROR(__xludf.DUMMYFUNCTION("""COMPUTED_VALUE"""),"PCA")</f>
        <v>PCA</v>
      </c>
    </row>
    <row r="2499" ht="15.75" customHeight="1">
      <c r="A2499" t="str">
        <f t="shared" si="1"/>
        <v>G.sulfurreducens</v>
      </c>
      <c r="B2499" s="5" t="s">
        <v>10611</v>
      </c>
      <c r="C2499" s="6" t="str">
        <f>IFERROR(__xludf.DUMMYFUNCTION("SPLIT('2. c'!B2499, "" "", True, True)"),"Geobacter")</f>
        <v>Geobacter</v>
      </c>
      <c r="D2499" t="str">
        <f>IFERROR(__xludf.DUMMYFUNCTION("""COMPUTED_VALUE"""),"sulfurreducens")</f>
        <v>sulfurreducens</v>
      </c>
      <c r="E2499" t="str">
        <f>IFERROR(__xludf.DUMMYFUNCTION("""COMPUTED_VALUE"""),"strain")</f>
        <v>strain</v>
      </c>
      <c r="F2499" t="str">
        <f>IFERROR(__xludf.DUMMYFUNCTION("""COMPUTED_VALUE"""),"AM-1")</f>
        <v>AM-1</v>
      </c>
    </row>
    <row r="2500" ht="15.75" customHeight="1">
      <c r="A2500" t="str">
        <f t="shared" si="1"/>
        <v>G.uraniireducens</v>
      </c>
      <c r="B2500" s="5" t="s">
        <v>10620</v>
      </c>
      <c r="C2500" s="6" t="str">
        <f>IFERROR(__xludf.DUMMYFUNCTION("SPLIT('2. c'!B2500, "" "", True, True)"),"Geobacter")</f>
        <v>Geobacter</v>
      </c>
      <c r="D2500" t="str">
        <f>IFERROR(__xludf.DUMMYFUNCTION("""COMPUTED_VALUE"""),"uraniireducens")</f>
        <v>uraniireducens</v>
      </c>
      <c r="E2500" t="str">
        <f>IFERROR(__xludf.DUMMYFUNCTION("""COMPUTED_VALUE"""),"Rf4")</f>
        <v>Rf4</v>
      </c>
    </row>
    <row r="2501" ht="15.75" customHeight="1">
      <c r="A2501" t="str">
        <f t="shared" si="1"/>
        <v>G.obscurus</v>
      </c>
      <c r="B2501" s="5" t="s">
        <v>10628</v>
      </c>
      <c r="C2501" s="6" t="str">
        <f>IFERROR(__xludf.DUMMYFUNCTION("SPLIT('2. c'!B2501, "" "", True, True)"),"Geodermatophilus")</f>
        <v>Geodermatophilus</v>
      </c>
      <c r="D2501" t="str">
        <f>IFERROR(__xludf.DUMMYFUNCTION("""COMPUTED_VALUE"""),"obscurus")</f>
        <v>obscurus</v>
      </c>
      <c r="E2501" t="str">
        <f>IFERROR(__xludf.DUMMYFUNCTION("""COMPUTED_VALUE"""),"DSM")</f>
        <v>DSM</v>
      </c>
      <c r="F2501">
        <f>IFERROR(__xludf.DUMMYFUNCTION("""COMPUTED_VALUE"""),43160.0)</f>
        <v>43160</v>
      </c>
    </row>
    <row r="2502" ht="15.75" customHeight="1">
      <c r="A2502" t="str">
        <f t="shared" si="1"/>
        <v>G.acetivorans</v>
      </c>
      <c r="B2502" s="5" t="s">
        <v>10641</v>
      </c>
      <c r="C2502" s="6" t="str">
        <f>IFERROR(__xludf.DUMMYFUNCTION("SPLIT('2. c'!B2502, "" "", True, True)"),"Geoglobus")</f>
        <v>Geoglobus</v>
      </c>
      <c r="D2502" t="str">
        <f>IFERROR(__xludf.DUMMYFUNCTION("""COMPUTED_VALUE"""),"acetivorans")</f>
        <v>acetivorans</v>
      </c>
      <c r="E2502" t="str">
        <f>IFERROR(__xludf.DUMMYFUNCTION("""COMPUTED_VALUE"""),"SBH6")</f>
        <v>SBH6</v>
      </c>
    </row>
    <row r="2503" ht="15.75" customHeight="1">
      <c r="A2503" t="str">
        <f t="shared" si="1"/>
        <v>G.ahangari</v>
      </c>
      <c r="B2503" s="5" t="s">
        <v>10650</v>
      </c>
      <c r="C2503" s="6" t="str">
        <f>IFERROR(__xludf.DUMMYFUNCTION("SPLIT('2. c'!B2503, "" "", True, True)"),"Geoglobus")</f>
        <v>Geoglobus</v>
      </c>
      <c r="D2503" t="str">
        <f>IFERROR(__xludf.DUMMYFUNCTION("""COMPUTED_VALUE"""),"ahangari")</f>
        <v>ahangari</v>
      </c>
      <c r="E2503" t="str">
        <f>IFERROR(__xludf.DUMMYFUNCTION("""COMPUTED_VALUE"""),"strain")</f>
        <v>strain</v>
      </c>
      <c r="F2503">
        <f>IFERROR(__xludf.DUMMYFUNCTION("""COMPUTED_VALUE"""),234.0)</f>
        <v>234</v>
      </c>
    </row>
    <row r="2504" ht="15.75" customHeight="1">
      <c r="A2504" t="str">
        <f t="shared" si="1"/>
        <v>G.apicola</v>
      </c>
      <c r="B2504" s="5" t="s">
        <v>10659</v>
      </c>
      <c r="C2504" s="6" t="str">
        <f>IFERROR(__xludf.DUMMYFUNCTION("SPLIT('2. c'!B2504, "" "", True, True)"),"Gilliamella")</f>
        <v>Gilliamella</v>
      </c>
      <c r="D2504" t="str">
        <f>IFERROR(__xludf.DUMMYFUNCTION("""COMPUTED_VALUE"""),"apicola")</f>
        <v>apicola</v>
      </c>
      <c r="E2504" t="str">
        <f>IFERROR(__xludf.DUMMYFUNCTION("""COMPUTED_VALUE"""),"strain")</f>
        <v>strain</v>
      </c>
      <c r="F2504" t="str">
        <f>IFERROR(__xludf.DUMMYFUNCTION("""COMPUTED_VALUE"""),"wkB1")</f>
        <v>wkB1</v>
      </c>
    </row>
    <row r="2505" ht="15.75" customHeight="1">
      <c r="A2505" t="str">
        <f t="shared" si="1"/>
        <v>G.nitratireducens</v>
      </c>
      <c r="B2505" s="5" t="s">
        <v>10668</v>
      </c>
      <c r="C2505" s="6" t="str">
        <f>IFERROR(__xludf.DUMMYFUNCTION("SPLIT('2. c'!B2505, "" "", True, True)"),"Glaciecola")</f>
        <v>Glaciecola</v>
      </c>
      <c r="D2505" t="str">
        <f>IFERROR(__xludf.DUMMYFUNCTION("""COMPUTED_VALUE"""),"nitratireducens")</f>
        <v>nitratireducens</v>
      </c>
      <c r="E2505" t="str">
        <f>IFERROR(__xludf.DUMMYFUNCTION("""COMPUTED_VALUE"""),"FR1064")</f>
        <v>FR1064</v>
      </c>
    </row>
    <row r="2506" ht="15.75" customHeight="1">
      <c r="A2506" t="str">
        <f t="shared" si="1"/>
        <v>G.sp.</v>
      </c>
      <c r="B2506" s="5" t="s">
        <v>10676</v>
      </c>
      <c r="C2506" s="6" t="str">
        <f>IFERROR(__xludf.DUMMYFUNCTION("SPLIT('2. c'!B2506, "" "", True, True)"),"Glaciecola")</f>
        <v>Glaciecola</v>
      </c>
      <c r="D2506" t="str">
        <f>IFERROR(__xludf.DUMMYFUNCTION("""COMPUTED_VALUE"""),"sp.")</f>
        <v>sp.</v>
      </c>
      <c r="E2506" t="str">
        <f>IFERROR(__xludf.DUMMYFUNCTION("""COMPUTED_VALUE"""),"4H-3-7+YE-5")</f>
        <v>4H-3-7+YE-5</v>
      </c>
    </row>
    <row r="2507" ht="15.75" customHeight="1">
      <c r="A2507" t="str">
        <f t="shared" si="1"/>
        <v>G.kilaueensis</v>
      </c>
      <c r="B2507" s="5" t="s">
        <v>10683</v>
      </c>
      <c r="C2507" s="6" t="str">
        <f>IFERROR(__xludf.DUMMYFUNCTION("SPLIT('2. c'!B2507, "" "", True, True)"),"Gloeobacter")</f>
        <v>Gloeobacter</v>
      </c>
      <c r="D2507" t="str">
        <f>IFERROR(__xludf.DUMMYFUNCTION("""COMPUTED_VALUE"""),"kilaueensis")</f>
        <v>kilaueensis</v>
      </c>
      <c r="E2507" t="str">
        <f>IFERROR(__xludf.DUMMYFUNCTION("""COMPUTED_VALUE"""),"JS1")</f>
        <v>JS1</v>
      </c>
    </row>
    <row r="2508" ht="15.75" customHeight="1">
      <c r="A2508" t="str">
        <f t="shared" si="1"/>
        <v>G.violaceus</v>
      </c>
      <c r="B2508" s="5" t="s">
        <v>10692</v>
      </c>
      <c r="C2508" s="6" t="str">
        <f>IFERROR(__xludf.DUMMYFUNCTION("SPLIT('2. c'!B2508, "" "", True, True)"),"Gloeobacter")</f>
        <v>Gloeobacter</v>
      </c>
      <c r="D2508" t="str">
        <f>IFERROR(__xludf.DUMMYFUNCTION("""COMPUTED_VALUE"""),"violaceus")</f>
        <v>violaceus</v>
      </c>
      <c r="E2508" t="str">
        <f>IFERROR(__xludf.DUMMYFUNCTION("""COMPUTED_VALUE"""),"PCC")</f>
        <v>PCC</v>
      </c>
      <c r="F2508">
        <f>IFERROR(__xludf.DUMMYFUNCTION("""COMPUTED_VALUE"""),7421.0)</f>
        <v>7421</v>
      </c>
    </row>
    <row r="2509" ht="15.75" customHeight="1">
      <c r="A2509" t="str">
        <f t="shared" si="1"/>
        <v>G.sp.</v>
      </c>
      <c r="B2509" s="5" t="s">
        <v>10702</v>
      </c>
      <c r="C2509" s="6" t="str">
        <f>IFERROR(__xludf.DUMMYFUNCTION("SPLIT('2. c'!B2509, "" "", True, True)"),"Gloeocapsa")</f>
        <v>Gloeocapsa</v>
      </c>
      <c r="D2509" t="str">
        <f>IFERROR(__xludf.DUMMYFUNCTION("""COMPUTED_VALUE"""),"sp.")</f>
        <v>sp.</v>
      </c>
      <c r="E2509" t="str">
        <f>IFERROR(__xludf.DUMMYFUNCTION("""COMPUTED_VALUE"""),"PCC")</f>
        <v>PCC</v>
      </c>
      <c r="F2509">
        <f>IFERROR(__xludf.DUMMYFUNCTION("""COMPUTED_VALUE"""),7428.0)</f>
        <v>7428</v>
      </c>
    </row>
    <row r="2510" ht="15.75" customHeight="1">
      <c r="A2510" t="str">
        <f t="shared" si="1"/>
        <v>G.diazotrophicus</v>
      </c>
      <c r="B2510" s="5" t="s">
        <v>10715</v>
      </c>
      <c r="C2510" s="6" t="str">
        <f>IFERROR(__xludf.DUMMYFUNCTION("SPLIT('2. c'!B2510, "" "", True, True)"),"Gluconacetobacter")</f>
        <v>Gluconacetobacter</v>
      </c>
      <c r="D2510" t="str">
        <f>IFERROR(__xludf.DUMMYFUNCTION("""COMPUTED_VALUE"""),"diazotrophicus")</f>
        <v>diazotrophicus</v>
      </c>
      <c r="E2510" t="str">
        <f>IFERROR(__xludf.DUMMYFUNCTION("""COMPUTED_VALUE"""),"PAl")</f>
        <v>PAl</v>
      </c>
      <c r="F2510">
        <f>IFERROR(__xludf.DUMMYFUNCTION("""COMPUTED_VALUE"""),5.0)</f>
        <v>5</v>
      </c>
    </row>
    <row r="2511" ht="15.75" customHeight="1">
      <c r="A2511" t="str">
        <f t="shared" si="1"/>
        <v>G.diazotrophicus</v>
      </c>
      <c r="B2511" s="5" t="s">
        <v>10726</v>
      </c>
      <c r="C2511" s="6" t="str">
        <f>IFERROR(__xludf.DUMMYFUNCTION("SPLIT('2. c'!B2511, "" "", True, True)"),"Gluconacetobacter")</f>
        <v>Gluconacetobacter</v>
      </c>
      <c r="D2511" t="str">
        <f>IFERROR(__xludf.DUMMYFUNCTION("""COMPUTED_VALUE"""),"diazotrophicus")</f>
        <v>diazotrophicus</v>
      </c>
      <c r="E2511" t="str">
        <f>IFERROR(__xludf.DUMMYFUNCTION("""COMPUTED_VALUE"""),"PAl")</f>
        <v>PAl</v>
      </c>
      <c r="F2511">
        <f>IFERROR(__xludf.DUMMYFUNCTION("""COMPUTED_VALUE"""),5.0)</f>
        <v>5</v>
      </c>
      <c r="G2511" t="str">
        <f>IFERROR(__xludf.DUMMYFUNCTION("""COMPUTED_VALUE"""),"(Prj:21071)")</f>
        <v>(Prj:21071)</v>
      </c>
    </row>
    <row r="2512" ht="15.75" customHeight="1">
      <c r="A2512" t="str">
        <f t="shared" si="1"/>
        <v>G.xylinus</v>
      </c>
      <c r="B2512" s="5" t="s">
        <v>10742</v>
      </c>
      <c r="C2512" s="6" t="str">
        <f>IFERROR(__xludf.DUMMYFUNCTION("SPLIT('2. c'!B2512, "" "", True, True)"),"Gluconacetobacter")</f>
        <v>Gluconacetobacter</v>
      </c>
      <c r="D2512" t="str">
        <f>IFERROR(__xludf.DUMMYFUNCTION("""COMPUTED_VALUE"""),"xylinus")</f>
        <v>xylinus</v>
      </c>
      <c r="E2512" t="str">
        <f>IFERROR(__xludf.DUMMYFUNCTION("""COMPUTED_VALUE"""),"E25")</f>
        <v>E25</v>
      </c>
    </row>
    <row r="2513" ht="15.75" customHeight="1">
      <c r="A2513" t="str">
        <f t="shared" si="1"/>
        <v>G.xylinus</v>
      </c>
      <c r="B2513" s="5" t="s">
        <v>10754</v>
      </c>
      <c r="C2513" s="6" t="str">
        <f>IFERROR(__xludf.DUMMYFUNCTION("SPLIT('2. c'!B2513, "" "", True, True)"),"Gluconacetobacter")</f>
        <v>Gluconacetobacter</v>
      </c>
      <c r="D2513" t="str">
        <f>IFERROR(__xludf.DUMMYFUNCTION("""COMPUTED_VALUE"""),"xylinus")</f>
        <v>xylinus</v>
      </c>
      <c r="E2513" t="str">
        <f>IFERROR(__xludf.DUMMYFUNCTION("""COMPUTED_VALUE"""),"NBRC")</f>
        <v>NBRC</v>
      </c>
      <c r="F2513">
        <f>IFERROR(__xludf.DUMMYFUNCTION("""COMPUTED_VALUE"""),3288.0)</f>
        <v>3288</v>
      </c>
    </row>
    <row r="2514" ht="15.75" customHeight="1">
      <c r="A2514" t="str">
        <f t="shared" si="1"/>
        <v>G.oxydans</v>
      </c>
      <c r="B2514" s="5" t="s">
        <v>10763</v>
      </c>
      <c r="C2514" s="6" t="str">
        <f>IFERROR(__xludf.DUMMYFUNCTION("SPLIT('2. c'!B2514, "" "", True, True)"),"Gluconobacter")</f>
        <v>Gluconobacter</v>
      </c>
      <c r="D2514" t="str">
        <f>IFERROR(__xludf.DUMMYFUNCTION("""COMPUTED_VALUE"""),"oxydans")</f>
        <v>oxydans</v>
      </c>
      <c r="E2514" t="str">
        <f>IFERROR(__xludf.DUMMYFUNCTION("""COMPUTED_VALUE"""),"621H")</f>
        <v>621H</v>
      </c>
    </row>
    <row r="2515" ht="15.75" customHeight="1">
      <c r="A2515" t="str">
        <f t="shared" si="1"/>
        <v>G.oxydans</v>
      </c>
      <c r="B2515" s="5" t="s">
        <v>10772</v>
      </c>
      <c r="C2515" s="6" t="str">
        <f>IFERROR(__xludf.DUMMYFUNCTION("SPLIT('2. c'!B2515, "" "", True, True)"),"Gluconobacter")</f>
        <v>Gluconobacter</v>
      </c>
      <c r="D2515" t="str">
        <f>IFERROR(__xludf.DUMMYFUNCTION("""COMPUTED_VALUE"""),"oxydans")</f>
        <v>oxydans</v>
      </c>
      <c r="E2515" t="str">
        <f>IFERROR(__xludf.DUMMYFUNCTION("""COMPUTED_VALUE"""),"DSM")</f>
        <v>DSM</v>
      </c>
      <c r="F2515">
        <f>IFERROR(__xludf.DUMMYFUNCTION("""COMPUTED_VALUE"""),3504.0)</f>
        <v>3504</v>
      </c>
    </row>
    <row r="2516" ht="15.75" customHeight="1">
      <c r="A2516" t="str">
        <f t="shared" si="1"/>
        <v>G.oxydans</v>
      </c>
      <c r="B2516" s="5" t="s">
        <v>10785</v>
      </c>
      <c r="C2516" s="6" t="str">
        <f>IFERROR(__xludf.DUMMYFUNCTION("SPLIT('2. c'!B2516, "" "", True, True)"),"Gluconobacter")</f>
        <v>Gluconobacter</v>
      </c>
      <c r="D2516" t="str">
        <f>IFERROR(__xludf.DUMMYFUNCTION("""COMPUTED_VALUE"""),"oxydans")</f>
        <v>oxydans</v>
      </c>
      <c r="E2516" t="str">
        <f>IFERROR(__xludf.DUMMYFUNCTION("""COMPUTED_VALUE"""),"H24")</f>
        <v>H24</v>
      </c>
    </row>
    <row r="2517" ht="15.75" customHeight="1">
      <c r="A2517" t="str">
        <f t="shared" si="1"/>
        <v>G.bronchialis</v>
      </c>
      <c r="B2517" s="5" t="s">
        <v>10795</v>
      </c>
      <c r="C2517" s="6" t="str">
        <f>IFERROR(__xludf.DUMMYFUNCTION("SPLIT('2. c'!B2517, "" "", True, True)"),"Gordonia")</f>
        <v>Gordonia</v>
      </c>
      <c r="D2517" t="str">
        <f>IFERROR(__xludf.DUMMYFUNCTION("""COMPUTED_VALUE"""),"bronchialis")</f>
        <v>bronchialis</v>
      </c>
      <c r="E2517" t="str">
        <f>IFERROR(__xludf.DUMMYFUNCTION("""COMPUTED_VALUE"""),"DSM")</f>
        <v>DSM</v>
      </c>
      <c r="F2517">
        <f>IFERROR(__xludf.DUMMYFUNCTION("""COMPUTED_VALUE"""),43247.0)</f>
        <v>43247</v>
      </c>
    </row>
    <row r="2518" ht="15.75" customHeight="1">
      <c r="A2518" t="str">
        <f t="shared" si="1"/>
        <v>G.polyisoprenivorans</v>
      </c>
      <c r="B2518" s="5" t="s">
        <v>10805</v>
      </c>
      <c r="C2518" s="6" t="str">
        <f>IFERROR(__xludf.DUMMYFUNCTION("SPLIT('2. c'!B2518, "" "", True, True)"),"Gordonia")</f>
        <v>Gordonia</v>
      </c>
      <c r="D2518" t="str">
        <f>IFERROR(__xludf.DUMMYFUNCTION("""COMPUTED_VALUE"""),"polyisoprenivorans")</f>
        <v>polyisoprenivorans</v>
      </c>
      <c r="E2518" t="str">
        <f>IFERROR(__xludf.DUMMYFUNCTION("""COMPUTED_VALUE"""),"VH2")</f>
        <v>VH2</v>
      </c>
    </row>
    <row r="2519" ht="15.75" customHeight="1">
      <c r="A2519" t="str">
        <f t="shared" si="1"/>
        <v>G.sp.</v>
      </c>
      <c r="B2519" s="5" t="s">
        <v>10814</v>
      </c>
      <c r="C2519" s="6" t="str">
        <f>IFERROR(__xludf.DUMMYFUNCTION("SPLIT('2. c'!B2519, "" "", True, True)"),"Gordonia")</f>
        <v>Gordonia</v>
      </c>
      <c r="D2519" t="str">
        <f>IFERROR(__xludf.DUMMYFUNCTION("""COMPUTED_VALUE"""),"sp.")</f>
        <v>sp.</v>
      </c>
      <c r="E2519" t="str">
        <f>IFERROR(__xludf.DUMMYFUNCTION("""COMPUTED_VALUE"""),"KTR9")</f>
        <v>KTR9</v>
      </c>
    </row>
    <row r="2520" ht="15.75" customHeight="1">
      <c r="A2520" t="str">
        <f t="shared" si="1"/>
        <v>G.sp.</v>
      </c>
      <c r="B2520" s="5" t="s">
        <v>10824</v>
      </c>
      <c r="C2520" s="6" t="str">
        <f>IFERROR(__xludf.DUMMYFUNCTION("SPLIT('2. c'!B2520, "" "", True, True)"),"Gordonia")</f>
        <v>Gordonia</v>
      </c>
      <c r="D2520" t="str">
        <f>IFERROR(__xludf.DUMMYFUNCTION("""COMPUTED_VALUE"""),"sp.")</f>
        <v>sp.</v>
      </c>
      <c r="E2520" t="str">
        <f>IFERROR(__xludf.DUMMYFUNCTION("""COMPUTED_VALUE"""),"QH-11")</f>
        <v>QH-11</v>
      </c>
    </row>
    <row r="2521" ht="15.75" customHeight="1">
      <c r="A2521" t="str">
        <f t="shared" si="1"/>
        <v>G.pamelaeae</v>
      </c>
      <c r="B2521" s="5" t="s">
        <v>10832</v>
      </c>
      <c r="C2521" s="6" t="str">
        <f>IFERROR(__xludf.DUMMYFUNCTION("SPLIT('2. c'!B2521, "" "", True, True)"),"Gordonibacter")</f>
        <v>Gordonibacter</v>
      </c>
      <c r="D2521" t="str">
        <f>IFERROR(__xludf.DUMMYFUNCTION("""COMPUTED_VALUE"""),"pamelaeae")</f>
        <v>pamelaeae</v>
      </c>
      <c r="E2521" t="str">
        <f>IFERROR(__xludf.DUMMYFUNCTION("""COMPUTED_VALUE"""),"7-10-1-b")</f>
        <v>7-10-1-b</v>
      </c>
    </row>
    <row r="2522" ht="15.75" customHeight="1">
      <c r="A2522" t="str">
        <f t="shared" si="1"/>
        <v>G.forsetii</v>
      </c>
      <c r="B2522" s="5" t="s">
        <v>10842</v>
      </c>
      <c r="C2522" s="6" t="str">
        <f>IFERROR(__xludf.DUMMYFUNCTION("SPLIT('2. c'!B2522, "" "", True, True)"),"Gramella")</f>
        <v>Gramella</v>
      </c>
      <c r="D2522" t="str">
        <f>IFERROR(__xludf.DUMMYFUNCTION("""COMPUTED_VALUE"""),"forsetii")</f>
        <v>forsetii</v>
      </c>
      <c r="E2522" t="str">
        <f>IFERROR(__xludf.DUMMYFUNCTION("""COMPUTED_VALUE"""),"KT0803")</f>
        <v>KT0803</v>
      </c>
    </row>
    <row r="2523" ht="15.75" customHeight="1">
      <c r="A2523" t="str">
        <f t="shared" si="1"/>
        <v>G.bethesdensis</v>
      </c>
      <c r="B2523" s="5" t="s">
        <v>10852</v>
      </c>
      <c r="C2523" s="6" t="str">
        <f>IFERROR(__xludf.DUMMYFUNCTION("SPLIT('2. c'!B2523, "" "", True, True)"),"Granulibacter")</f>
        <v>Granulibacter</v>
      </c>
      <c r="D2523" t="str">
        <f>IFERROR(__xludf.DUMMYFUNCTION("""COMPUTED_VALUE"""),"bethesdensis")</f>
        <v>bethesdensis</v>
      </c>
      <c r="E2523" t="str">
        <f>IFERROR(__xludf.DUMMYFUNCTION("""COMPUTED_VALUE"""),"CGDNIH1")</f>
        <v>CGDNIH1</v>
      </c>
    </row>
    <row r="2524" ht="15.75" customHeight="1">
      <c r="A2524" t="str">
        <f t="shared" si="1"/>
        <v>G.bethesdensis</v>
      </c>
      <c r="B2524" s="5" t="s">
        <v>10859</v>
      </c>
      <c r="C2524" s="6" t="str">
        <f>IFERROR(__xludf.DUMMYFUNCTION("SPLIT('2. c'!B2524, "" "", True, True)"),"Granulibacter")</f>
        <v>Granulibacter</v>
      </c>
      <c r="D2524" t="str">
        <f>IFERROR(__xludf.DUMMYFUNCTION("""COMPUTED_VALUE"""),"bethesdensis")</f>
        <v>bethesdensis</v>
      </c>
      <c r="E2524" t="str">
        <f>IFERROR(__xludf.DUMMYFUNCTION("""COMPUTED_VALUE"""),"CGDNIH2")</f>
        <v>CGDNIH2</v>
      </c>
    </row>
    <row r="2525" ht="15.75" customHeight="1">
      <c r="A2525" t="str">
        <f t="shared" si="1"/>
        <v>G.bethesdensis</v>
      </c>
      <c r="B2525" s="5" t="s">
        <v>10868</v>
      </c>
      <c r="C2525" s="6" t="str">
        <f>IFERROR(__xludf.DUMMYFUNCTION("SPLIT('2. c'!B2525, "" "", True, True)"),"Granulibacter")</f>
        <v>Granulibacter</v>
      </c>
      <c r="D2525" t="str">
        <f>IFERROR(__xludf.DUMMYFUNCTION("""COMPUTED_VALUE"""),"bethesdensis")</f>
        <v>bethesdensis</v>
      </c>
      <c r="E2525" t="str">
        <f>IFERROR(__xludf.DUMMYFUNCTION("""COMPUTED_VALUE"""),"CGDNIH3")</f>
        <v>CGDNIH3</v>
      </c>
    </row>
    <row r="2526" ht="15.75" customHeight="1">
      <c r="A2526" t="str">
        <f t="shared" si="1"/>
        <v>G.bethesdensis</v>
      </c>
      <c r="B2526" s="5" t="s">
        <v>10877</v>
      </c>
      <c r="C2526" s="6" t="str">
        <f>IFERROR(__xludf.DUMMYFUNCTION("SPLIT('2. c'!B2526, "" "", True, True)"),"Granulibacter")</f>
        <v>Granulibacter</v>
      </c>
      <c r="D2526" t="str">
        <f>IFERROR(__xludf.DUMMYFUNCTION("""COMPUTED_VALUE"""),"bethesdensis")</f>
        <v>bethesdensis</v>
      </c>
      <c r="E2526" t="str">
        <f>IFERROR(__xludf.DUMMYFUNCTION("""COMPUTED_VALUE"""),"CGDNIH4")</f>
        <v>CGDNIH4</v>
      </c>
    </row>
    <row r="2527" ht="15.75" customHeight="1">
      <c r="A2527" t="str">
        <f t="shared" si="1"/>
        <v>G.hollisae</v>
      </c>
      <c r="B2527" s="5" t="s">
        <v>10883</v>
      </c>
      <c r="C2527" s="6" t="str">
        <f>IFERROR(__xludf.DUMMYFUNCTION("SPLIT('2. c'!B2527, "" "", True, True)"),"Grimontia")</f>
        <v>Grimontia</v>
      </c>
      <c r="D2527" t="str">
        <f>IFERROR(__xludf.DUMMYFUNCTION("""COMPUTED_VALUE"""),"hollisae")</f>
        <v>hollisae</v>
      </c>
      <c r="E2527" t="str">
        <f>IFERROR(__xludf.DUMMYFUNCTION("""COMPUTED_VALUE"""),"strain")</f>
        <v>strain</v>
      </c>
      <c r="F2527" t="str">
        <f>IFERROR(__xludf.DUMMYFUNCTION("""COMPUTED_VALUE"""),"ATCC")</f>
        <v>ATCC</v>
      </c>
      <c r="G2527">
        <f>IFERROR(__xludf.DUMMYFUNCTION("""COMPUTED_VALUE"""),33564.0)</f>
        <v>33564</v>
      </c>
    </row>
    <row r="2528" ht="15.75" customHeight="1">
      <c r="A2528" t="str">
        <f t="shared" si="1"/>
        <v>G.sunshinyii</v>
      </c>
      <c r="B2528" s="5" t="s">
        <v>10891</v>
      </c>
      <c r="C2528" s="6" t="str">
        <f>IFERROR(__xludf.DUMMYFUNCTION("SPLIT('2. c'!B2528, "" "", True, True)"),"Gynuella")</f>
        <v>Gynuella</v>
      </c>
      <c r="D2528" t="str">
        <f>IFERROR(__xludf.DUMMYFUNCTION("""COMPUTED_VALUE"""),"sunshinyii")</f>
        <v>sunshinyii</v>
      </c>
      <c r="E2528" t="str">
        <f>IFERROR(__xludf.DUMMYFUNCTION("""COMPUTED_VALUE"""),"YC6258")</f>
        <v>YC6258</v>
      </c>
    </row>
    <row r="2529" ht="15.75" customHeight="1">
      <c r="A2529" t="str">
        <f t="shared" si="1"/>
        <v>H.jordaniae</v>
      </c>
      <c r="B2529" s="5" t="s">
        <v>10900</v>
      </c>
      <c r="C2529" s="6" t="str">
        <f>IFERROR(__xludf.DUMMYFUNCTION("SPLIT('2. c'!B2529, "" "", True, True)"),"Haematospirillum")</f>
        <v>Haematospirillum</v>
      </c>
      <c r="D2529" t="str">
        <f>IFERROR(__xludf.DUMMYFUNCTION("""COMPUTED_VALUE"""),"jordaniae")</f>
        <v>jordaniae</v>
      </c>
      <c r="E2529" t="str">
        <f>IFERROR(__xludf.DUMMYFUNCTION("""COMPUTED_VALUE"""),"strain")</f>
        <v>strain</v>
      </c>
      <c r="F2529" t="str">
        <f>IFERROR(__xludf.DUMMYFUNCTION("""COMPUTED_VALUE"""),"H5569")</f>
        <v>H5569</v>
      </c>
    </row>
    <row r="2530" ht="15.75" customHeight="1">
      <c r="A2530" t="str">
        <f t="shared" si="1"/>
        <v>H.ducreyi</v>
      </c>
      <c r="B2530" s="5" t="s">
        <v>10907</v>
      </c>
      <c r="C2530" s="6" t="str">
        <f>IFERROR(__xludf.DUMMYFUNCTION("SPLIT('2. c'!B2530, "" "", True, True)"),"Haemophilus")</f>
        <v>Haemophilus</v>
      </c>
      <c r="D2530" t="str">
        <f>IFERROR(__xludf.DUMMYFUNCTION("""COMPUTED_VALUE"""),"ducreyi")</f>
        <v>ducreyi</v>
      </c>
      <c r="E2530" t="str">
        <f>IFERROR(__xludf.DUMMYFUNCTION("""COMPUTED_VALUE"""),"35000HP")</f>
        <v>35000HP</v>
      </c>
    </row>
    <row r="2531" ht="15.75" customHeight="1">
      <c r="A2531" t="str">
        <f t="shared" si="1"/>
        <v>H.influenzae</v>
      </c>
      <c r="B2531" s="5" t="s">
        <v>10917</v>
      </c>
      <c r="C2531" s="6" t="str">
        <f>IFERROR(__xludf.DUMMYFUNCTION("SPLIT('2. c'!B2531, "" "", True, True)"),"Haemophilus")</f>
        <v>Haemophilus</v>
      </c>
      <c r="D2531" t="str">
        <f>IFERROR(__xludf.DUMMYFUNCTION("""COMPUTED_VALUE"""),"influenzae")</f>
        <v>influenzae</v>
      </c>
      <c r="E2531">
        <f>IFERROR(__xludf.DUMMYFUNCTION("""COMPUTED_VALUE"""),10810.0)</f>
        <v>10810</v>
      </c>
    </row>
    <row r="2532" ht="15.75" customHeight="1">
      <c r="A2532" t="str">
        <f t="shared" si="1"/>
        <v>H.influenzae</v>
      </c>
      <c r="B2532" s="5" t="s">
        <v>10926</v>
      </c>
      <c r="C2532" s="6" t="str">
        <f>IFERROR(__xludf.DUMMYFUNCTION("SPLIT('2. c'!B2532, "" "", True, True)"),"Haemophilus")</f>
        <v>Haemophilus</v>
      </c>
      <c r="D2532" t="str">
        <f>IFERROR(__xludf.DUMMYFUNCTION("""COMPUTED_VALUE"""),"influenzae")</f>
        <v>influenzae</v>
      </c>
      <c r="E2532">
        <f>IFERROR(__xludf.DUMMYFUNCTION("""COMPUTED_VALUE"""),2019.0)</f>
        <v>2019</v>
      </c>
    </row>
    <row r="2533" ht="15.75" customHeight="1">
      <c r="A2533" t="str">
        <f t="shared" si="1"/>
        <v>H.influenzae</v>
      </c>
      <c r="B2533" s="5" t="s">
        <v>10935</v>
      </c>
      <c r="C2533" s="6" t="str">
        <f>IFERROR(__xludf.DUMMYFUNCTION("SPLIT('2. c'!B2533, "" "", True, True)"),"Haemophilus")</f>
        <v>Haemophilus</v>
      </c>
      <c r="D2533" t="str">
        <f>IFERROR(__xludf.DUMMYFUNCTION("""COMPUTED_VALUE"""),"influenzae")</f>
        <v>influenzae</v>
      </c>
      <c r="E2533" t="str">
        <f>IFERROR(__xludf.DUMMYFUNCTION("""COMPUTED_VALUE"""),"86-028NP")</f>
        <v>86-028NP</v>
      </c>
    </row>
    <row r="2534" ht="15.75" customHeight="1">
      <c r="A2534" t="str">
        <f t="shared" si="1"/>
        <v>H.influenzae</v>
      </c>
      <c r="B2534" s="5" t="s">
        <v>10945</v>
      </c>
      <c r="C2534" s="6" t="str">
        <f>IFERROR(__xludf.DUMMYFUNCTION("SPLIT('2. c'!B2534, "" "", True, True)"),"Haemophilus")</f>
        <v>Haemophilus</v>
      </c>
      <c r="D2534" t="str">
        <f>IFERROR(__xludf.DUMMYFUNCTION("""COMPUTED_VALUE"""),"influenzae")</f>
        <v>influenzae</v>
      </c>
      <c r="E2534" t="str">
        <f>IFERROR(__xludf.DUMMYFUNCTION("""COMPUTED_VALUE"""),"CGSHiCZ412602")</f>
        <v>CGSHiCZ412602</v>
      </c>
    </row>
    <row r="2535" ht="15.75" customHeight="1">
      <c r="A2535" t="str">
        <f t="shared" si="1"/>
        <v>H.influenzae</v>
      </c>
      <c r="B2535" s="5" t="s">
        <v>10955</v>
      </c>
      <c r="C2535" s="6" t="str">
        <f>IFERROR(__xludf.DUMMYFUNCTION("SPLIT('2. c'!B2535, "" "", True, True)"),"Haemophilus")</f>
        <v>Haemophilus</v>
      </c>
      <c r="D2535" t="str">
        <f>IFERROR(__xludf.DUMMYFUNCTION("""COMPUTED_VALUE"""),"influenzae")</f>
        <v>influenzae</v>
      </c>
      <c r="E2535" t="str">
        <f>IFERROR(__xludf.DUMMYFUNCTION("""COMPUTED_VALUE"""),"F3031")</f>
        <v>F3031</v>
      </c>
    </row>
    <row r="2536" ht="15.75" customHeight="1">
      <c r="A2536" t="str">
        <f t="shared" si="1"/>
        <v>H.influenzae</v>
      </c>
      <c r="B2536" s="5" t="s">
        <v>10962</v>
      </c>
      <c r="C2536" s="6" t="str">
        <f>IFERROR(__xludf.DUMMYFUNCTION("SPLIT('2. c'!B2536, "" "", True, True)"),"Haemophilus")</f>
        <v>Haemophilus</v>
      </c>
      <c r="D2536" t="str">
        <f>IFERROR(__xludf.DUMMYFUNCTION("""COMPUTED_VALUE"""),"influenzae")</f>
        <v>influenzae</v>
      </c>
      <c r="E2536" t="str">
        <f>IFERROR(__xludf.DUMMYFUNCTION("""COMPUTED_VALUE"""),"F3047")</f>
        <v>F3047</v>
      </c>
    </row>
    <row r="2537" ht="15.75" customHeight="1">
      <c r="A2537" t="str">
        <f t="shared" si="1"/>
        <v>H.influenzae</v>
      </c>
      <c r="B2537" s="5" t="s">
        <v>10967</v>
      </c>
      <c r="C2537" s="6" t="str">
        <f>IFERROR(__xludf.DUMMYFUNCTION("SPLIT('2. c'!B2537, "" "", True, True)"),"Haemophilus")</f>
        <v>Haemophilus</v>
      </c>
      <c r="D2537" t="str">
        <f>IFERROR(__xludf.DUMMYFUNCTION("""COMPUTED_VALUE"""),"influenzae")</f>
        <v>influenzae</v>
      </c>
      <c r="E2537" t="str">
        <f>IFERROR(__xludf.DUMMYFUNCTION("""COMPUTED_VALUE"""),"Hi375")</f>
        <v>Hi375</v>
      </c>
    </row>
    <row r="2538" ht="15.75" customHeight="1">
      <c r="A2538" t="str">
        <f t="shared" si="1"/>
        <v>H.influenzae</v>
      </c>
      <c r="B2538" s="5" t="s">
        <v>10975</v>
      </c>
      <c r="C2538" s="6" t="str">
        <f>IFERROR(__xludf.DUMMYFUNCTION("SPLIT('2. c'!B2538, "" "", True, True)"),"Haemophilus")</f>
        <v>Haemophilus</v>
      </c>
      <c r="D2538" t="str">
        <f>IFERROR(__xludf.DUMMYFUNCTION("""COMPUTED_VALUE"""),"influenzae")</f>
        <v>influenzae</v>
      </c>
      <c r="E2538" t="str">
        <f>IFERROR(__xludf.DUMMYFUNCTION("""COMPUTED_VALUE"""),"KR494")</f>
        <v>KR494</v>
      </c>
    </row>
    <row r="2539" ht="15.75" customHeight="1">
      <c r="A2539" t="str">
        <f t="shared" si="1"/>
        <v>H.influenzae</v>
      </c>
      <c r="B2539" s="5" t="s">
        <v>10985</v>
      </c>
      <c r="C2539" s="6" t="str">
        <f>IFERROR(__xludf.DUMMYFUNCTION("SPLIT('2. c'!B2539, "" "", True, True)"),"Haemophilus")</f>
        <v>Haemophilus</v>
      </c>
      <c r="D2539" t="str">
        <f>IFERROR(__xludf.DUMMYFUNCTION("""COMPUTED_VALUE"""),"influenzae")</f>
        <v>influenzae</v>
      </c>
      <c r="E2539" t="str">
        <f>IFERROR(__xludf.DUMMYFUNCTION("""COMPUTED_VALUE"""),"PittEE")</f>
        <v>PittEE</v>
      </c>
    </row>
    <row r="2540" ht="15.75" customHeight="1">
      <c r="A2540" t="str">
        <f t="shared" si="1"/>
        <v>H.influenzae</v>
      </c>
      <c r="B2540" s="5" t="s">
        <v>10993</v>
      </c>
      <c r="C2540" s="6" t="str">
        <f>IFERROR(__xludf.DUMMYFUNCTION("SPLIT('2. c'!B2540, "" "", True, True)"),"Haemophilus")</f>
        <v>Haemophilus</v>
      </c>
      <c r="D2540" t="str">
        <f>IFERROR(__xludf.DUMMYFUNCTION("""COMPUTED_VALUE"""),"influenzae")</f>
        <v>influenzae</v>
      </c>
      <c r="E2540" t="str">
        <f>IFERROR(__xludf.DUMMYFUNCTION("""COMPUTED_VALUE"""),"PittGG")</f>
        <v>PittGG</v>
      </c>
    </row>
    <row r="2541" ht="15.75" customHeight="1">
      <c r="A2541" t="str">
        <f t="shared" si="1"/>
        <v>H.influenzae</v>
      </c>
      <c r="B2541" s="5" t="s">
        <v>11000</v>
      </c>
      <c r="C2541" s="6" t="str">
        <f>IFERROR(__xludf.DUMMYFUNCTION("SPLIT('2. c'!B2541, "" "", True, True)"),"Haemophilus")</f>
        <v>Haemophilus</v>
      </c>
      <c r="D2541" t="str">
        <f>IFERROR(__xludf.DUMMYFUNCTION("""COMPUTED_VALUE"""),"influenzae")</f>
        <v>influenzae</v>
      </c>
      <c r="E2541" t="str">
        <f>IFERROR(__xludf.DUMMYFUNCTION("""COMPUTED_VALUE"""),"R2846")</f>
        <v>R2846</v>
      </c>
    </row>
    <row r="2542" ht="15.75" customHeight="1">
      <c r="A2542" t="str">
        <f t="shared" si="1"/>
        <v>H.influenzae</v>
      </c>
      <c r="B2542" s="5" t="s">
        <v>11008</v>
      </c>
      <c r="C2542" s="6" t="str">
        <f>IFERROR(__xludf.DUMMYFUNCTION("SPLIT('2. c'!B2542, "" "", True, True)"),"Haemophilus")</f>
        <v>Haemophilus</v>
      </c>
      <c r="D2542" t="str">
        <f>IFERROR(__xludf.DUMMYFUNCTION("""COMPUTED_VALUE"""),"influenzae")</f>
        <v>influenzae</v>
      </c>
      <c r="E2542" t="str">
        <f>IFERROR(__xludf.DUMMYFUNCTION("""COMPUTED_VALUE"""),"R2866")</f>
        <v>R2866</v>
      </c>
    </row>
    <row r="2543" ht="15.75" customHeight="1">
      <c r="A2543" t="str">
        <f t="shared" si="1"/>
        <v>H.influenzae</v>
      </c>
      <c r="B2543" s="5" t="s">
        <v>11015</v>
      </c>
      <c r="C2543" s="6" t="str">
        <f>IFERROR(__xludf.DUMMYFUNCTION("SPLIT('2. c'!B2543, "" "", True, True)"),"Haemophilus")</f>
        <v>Haemophilus</v>
      </c>
      <c r="D2543" t="str">
        <f>IFERROR(__xludf.DUMMYFUNCTION("""COMPUTED_VALUE"""),"influenzae")</f>
        <v>influenzae</v>
      </c>
      <c r="E2543" t="str">
        <f>IFERROR(__xludf.DUMMYFUNCTION("""COMPUTED_VALUE"""),"Rd")</f>
        <v>Rd</v>
      </c>
      <c r="F2543" t="str">
        <f>IFERROR(__xludf.DUMMYFUNCTION("""COMPUTED_VALUE"""),"KW20")</f>
        <v>KW20</v>
      </c>
    </row>
    <row r="2544" ht="15.75" customHeight="1">
      <c r="A2544" t="str">
        <f t="shared" si="1"/>
        <v>H.influenzae</v>
      </c>
      <c r="B2544" s="5" t="s">
        <v>11025</v>
      </c>
      <c r="C2544" s="6" t="str">
        <f>IFERROR(__xludf.DUMMYFUNCTION("SPLIT('2. c'!B2544, "" "", True, True)"),"Haemophilus")</f>
        <v>Haemophilus</v>
      </c>
      <c r="D2544" t="str">
        <f>IFERROR(__xludf.DUMMYFUNCTION("""COMPUTED_VALUE"""),"influenzae")</f>
        <v>influenzae</v>
      </c>
      <c r="E2544" t="str">
        <f>IFERROR(__xludf.DUMMYFUNCTION("""COMPUTED_VALUE"""),"strain")</f>
        <v>strain</v>
      </c>
      <c r="F2544">
        <f>IFERROR(__xludf.DUMMYFUNCTION("""COMPUTED_VALUE"""),477.0)</f>
        <v>477</v>
      </c>
    </row>
    <row r="2545" ht="15.75" customHeight="1">
      <c r="A2545" t="str">
        <f t="shared" si="1"/>
        <v>H.influenzae</v>
      </c>
      <c r="B2545" s="5" t="s">
        <v>11033</v>
      </c>
      <c r="C2545" s="6" t="str">
        <f>IFERROR(__xludf.DUMMYFUNCTION("SPLIT('2. c'!B2545, "" "", True, True)"),"Haemophilus")</f>
        <v>Haemophilus</v>
      </c>
      <c r="D2545" t="str">
        <f>IFERROR(__xludf.DUMMYFUNCTION("""COMPUTED_VALUE"""),"influenzae")</f>
        <v>influenzae</v>
      </c>
      <c r="E2545" t="str">
        <f>IFERROR(__xludf.DUMMYFUNCTION("""COMPUTED_VALUE"""),"strain")</f>
        <v>strain</v>
      </c>
      <c r="F2545">
        <f>IFERROR(__xludf.DUMMYFUNCTION("""COMPUTED_VALUE"""),723.0)</f>
        <v>723</v>
      </c>
    </row>
    <row r="2546" ht="15.75" customHeight="1">
      <c r="A2546" t="str">
        <f t="shared" si="1"/>
        <v>H.influenzae</v>
      </c>
      <c r="B2546" s="5" t="s">
        <v>11043</v>
      </c>
      <c r="C2546" s="6" t="str">
        <f>IFERROR(__xludf.DUMMYFUNCTION("SPLIT('2. c'!B2546, "" "", True, True)"),"Haemophilus")</f>
        <v>Haemophilus</v>
      </c>
      <c r="D2546" t="str">
        <f>IFERROR(__xludf.DUMMYFUNCTION("""COMPUTED_VALUE"""),"influenzae")</f>
        <v>influenzae</v>
      </c>
      <c r="E2546" t="str">
        <f>IFERROR(__xludf.DUMMYFUNCTION("""COMPUTED_VALUE"""),"strain")</f>
        <v>strain</v>
      </c>
      <c r="F2546" t="str">
        <f>IFERROR(__xludf.DUMMYFUNCTION("""COMPUTED_VALUE"""),"C486")</f>
        <v>C486</v>
      </c>
    </row>
    <row r="2547" ht="15.75" customHeight="1">
      <c r="A2547" t="str">
        <f t="shared" si="1"/>
        <v>H.influenzae</v>
      </c>
      <c r="B2547" s="5" t="s">
        <v>11050</v>
      </c>
      <c r="C2547" s="6" t="str">
        <f>IFERROR(__xludf.DUMMYFUNCTION("SPLIT('2. c'!B2547, "" "", True, True)"),"Haemophilus")</f>
        <v>Haemophilus</v>
      </c>
      <c r="D2547" t="str">
        <f>IFERROR(__xludf.DUMMYFUNCTION("""COMPUTED_VALUE"""),"influenzae")</f>
        <v>influenzae</v>
      </c>
      <c r="E2547" t="str">
        <f>IFERROR(__xludf.DUMMYFUNCTION("""COMPUTED_VALUE"""),"strain")</f>
        <v>strain</v>
      </c>
      <c r="F2547" t="str">
        <f>IFERROR(__xludf.DUMMYFUNCTION("""COMPUTED_VALUE"""),"NCTC8143")</f>
        <v>NCTC8143</v>
      </c>
    </row>
    <row r="2548" ht="15.75" customHeight="1">
      <c r="A2548" t="str">
        <f t="shared" si="1"/>
        <v>H.parainfluenzae</v>
      </c>
      <c r="B2548" s="5" t="s">
        <v>11056</v>
      </c>
      <c r="C2548" s="6" t="str">
        <f>IFERROR(__xludf.DUMMYFUNCTION("SPLIT('2. c'!B2548, "" "", True, True)"),"Haemophilus")</f>
        <v>Haemophilus</v>
      </c>
      <c r="D2548" t="str">
        <f>IFERROR(__xludf.DUMMYFUNCTION("""COMPUTED_VALUE"""),"parainfluenzae")</f>
        <v>parainfluenzae</v>
      </c>
      <c r="E2548" t="str">
        <f>IFERROR(__xludf.DUMMYFUNCTION("""COMPUTED_VALUE"""),"T3T1")</f>
        <v>T3T1</v>
      </c>
    </row>
    <row r="2549" ht="15.75" customHeight="1">
      <c r="A2549" t="str">
        <f t="shared" si="1"/>
        <v>H.parasuis</v>
      </c>
      <c r="B2549" s="5" t="s">
        <v>11061</v>
      </c>
      <c r="C2549" s="6" t="str">
        <f>IFERROR(__xludf.DUMMYFUNCTION("SPLIT('2. c'!B2549, "" "", True, True)"),"Haemophilus")</f>
        <v>Haemophilus</v>
      </c>
      <c r="D2549" t="str">
        <f>IFERROR(__xludf.DUMMYFUNCTION("""COMPUTED_VALUE"""),"parasuis")</f>
        <v>parasuis</v>
      </c>
      <c r="E2549" t="str">
        <f>IFERROR(__xludf.DUMMYFUNCTION("""COMPUTED_VALUE"""),"SH0165")</f>
        <v>SH0165</v>
      </c>
    </row>
    <row r="2550" ht="15.75" customHeight="1">
      <c r="A2550" t="str">
        <f t="shared" si="1"/>
        <v>H.parasuis</v>
      </c>
      <c r="B2550" s="5" t="s">
        <v>11067</v>
      </c>
      <c r="C2550" s="6" t="str">
        <f>IFERROR(__xludf.DUMMYFUNCTION("SPLIT('2. c'!B2550, "" "", True, True)"),"Haemophilus")</f>
        <v>Haemophilus</v>
      </c>
      <c r="D2550" t="str">
        <f>IFERROR(__xludf.DUMMYFUNCTION("""COMPUTED_VALUE"""),"parasuis")</f>
        <v>parasuis</v>
      </c>
      <c r="E2550" t="str">
        <f>IFERROR(__xludf.DUMMYFUNCTION("""COMPUTED_VALUE"""),"ZJ0906")</f>
        <v>ZJ0906</v>
      </c>
    </row>
    <row r="2551" ht="15.75" customHeight="1">
      <c r="A2551" t="str">
        <f t="shared" si="1"/>
        <v>H.somnus</v>
      </c>
      <c r="B2551" s="5" t="s">
        <v>11072</v>
      </c>
      <c r="C2551" s="6" t="str">
        <f>IFERROR(__xludf.DUMMYFUNCTION("SPLIT('2. c'!B2551, "" "", True, True)"),"Haemophilus")</f>
        <v>Haemophilus</v>
      </c>
      <c r="D2551" t="str">
        <f>IFERROR(__xludf.DUMMYFUNCTION("""COMPUTED_VALUE"""),"somnus")</f>
        <v>somnus</v>
      </c>
      <c r="E2551" t="str">
        <f>IFERROR(__xludf.DUMMYFUNCTION("""COMPUTED_VALUE"""),"129PT")</f>
        <v>129PT</v>
      </c>
    </row>
    <row r="2552" ht="15.75" customHeight="1">
      <c r="A2552" t="str">
        <f t="shared" si="1"/>
        <v>H.somnus</v>
      </c>
      <c r="B2552" s="5" t="s">
        <v>11076</v>
      </c>
      <c r="C2552" s="6" t="str">
        <f>IFERROR(__xludf.DUMMYFUNCTION("SPLIT('2. c'!B2552, "" "", True, True)"),"Haemophilus")</f>
        <v>Haemophilus</v>
      </c>
      <c r="D2552" t="str">
        <f>IFERROR(__xludf.DUMMYFUNCTION("""COMPUTED_VALUE"""),"somnus")</f>
        <v>somnus</v>
      </c>
      <c r="E2552">
        <f>IFERROR(__xludf.DUMMYFUNCTION("""COMPUTED_VALUE"""),2336.0)</f>
        <v>2336</v>
      </c>
    </row>
    <row r="2553" ht="15.75" customHeight="1">
      <c r="A2553" t="str">
        <f t="shared" si="1"/>
        <v>H.alvei</v>
      </c>
      <c r="B2553" s="5" t="s">
        <v>11085</v>
      </c>
      <c r="C2553" s="6" t="str">
        <f>IFERROR(__xludf.DUMMYFUNCTION("SPLIT('2. c'!B2553, "" "", True, True)"),"Hafnia")</f>
        <v>Hafnia</v>
      </c>
      <c r="D2553" t="str">
        <f>IFERROR(__xludf.DUMMYFUNCTION("""COMPUTED_VALUE"""),"alvei")</f>
        <v>alvei</v>
      </c>
      <c r="E2553" t="str">
        <f>IFERROR(__xludf.DUMMYFUNCTION("""COMPUTED_VALUE"""),"FB1")</f>
        <v>FB1</v>
      </c>
    </row>
    <row r="2554" ht="15.75" customHeight="1">
      <c r="A2554" t="str">
        <f t="shared" si="1"/>
        <v>H.alvei</v>
      </c>
      <c r="B2554" s="5" t="s">
        <v>11093</v>
      </c>
      <c r="C2554" s="6" t="str">
        <f>IFERROR(__xludf.DUMMYFUNCTION("SPLIT('2. c'!B2554, "" "", True, True)"),"Hafnia")</f>
        <v>Hafnia</v>
      </c>
      <c r="D2554" t="str">
        <f>IFERROR(__xludf.DUMMYFUNCTION("""COMPUTED_VALUE"""),"alvei")</f>
        <v>alvei</v>
      </c>
      <c r="E2554" t="str">
        <f>IFERROR(__xludf.DUMMYFUNCTION("""COMPUTED_VALUE"""),"strain")</f>
        <v>strain</v>
      </c>
      <c r="F2554" t="str">
        <f>IFERROR(__xludf.DUMMYFUNCTION("""COMPUTED_VALUE"""),"FDAARGOS_158")</f>
        <v>FDAARGOS_158</v>
      </c>
    </row>
    <row r="2555" ht="15.75" customHeight="1">
      <c r="A2555" t="str">
        <f t="shared" si="1"/>
        <v>H.alvei</v>
      </c>
      <c r="B2555" s="5" t="s">
        <v>11104</v>
      </c>
      <c r="C2555" s="6" t="str">
        <f>IFERROR(__xludf.DUMMYFUNCTION("SPLIT('2. c'!B2555, "" "", True, True)"),"Hafnia")</f>
        <v>Hafnia</v>
      </c>
      <c r="D2555" t="str">
        <f>IFERROR(__xludf.DUMMYFUNCTION("""COMPUTED_VALUE"""),"alvei")</f>
        <v>alvei</v>
      </c>
      <c r="E2555" t="str">
        <f>IFERROR(__xludf.DUMMYFUNCTION("""COMPUTED_VALUE"""),"strain")</f>
        <v>strain</v>
      </c>
      <c r="F2555" t="str">
        <f>IFERROR(__xludf.DUMMYFUNCTION("""COMPUTED_VALUE"""),"HUMV-5920")</f>
        <v>HUMV-5920</v>
      </c>
    </row>
    <row r="2556" ht="15.75" customHeight="1">
      <c r="A2556" t="str">
        <f t="shared" si="1"/>
        <v>H.chejuensis</v>
      </c>
      <c r="B2556" s="5" t="s">
        <v>11110</v>
      </c>
      <c r="C2556" s="6" t="str">
        <f>IFERROR(__xludf.DUMMYFUNCTION("SPLIT('2. c'!B2556, "" "", True, True)"),"Hahella")</f>
        <v>Hahella</v>
      </c>
      <c r="D2556" t="str">
        <f>IFERROR(__xludf.DUMMYFUNCTION("""COMPUTED_VALUE"""),"chejuensis")</f>
        <v>chejuensis</v>
      </c>
      <c r="E2556" t="str">
        <f>IFERROR(__xludf.DUMMYFUNCTION("""COMPUTED_VALUE"""),"KCTC")</f>
        <v>KCTC</v>
      </c>
      <c r="F2556">
        <f>IFERROR(__xludf.DUMMYFUNCTION("""COMPUTED_VALUE"""),2396.0)</f>
        <v>2396</v>
      </c>
    </row>
    <row r="2557" ht="15.75" customHeight="1">
      <c r="A2557" t="str">
        <f t="shared" si="1"/>
        <v>H.jeotgali</v>
      </c>
      <c r="B2557" s="5" t="s">
        <v>11119</v>
      </c>
      <c r="C2557" s="6" t="str">
        <f>IFERROR(__xludf.DUMMYFUNCTION("SPLIT('2. c'!B2557, "" "", True, True)"),"Halalkalicoccus")</f>
        <v>Halalkalicoccus</v>
      </c>
      <c r="D2557" t="str">
        <f>IFERROR(__xludf.DUMMYFUNCTION("""COMPUTED_VALUE"""),"jeotgali")</f>
        <v>jeotgali</v>
      </c>
      <c r="E2557" t="str">
        <f>IFERROR(__xludf.DUMMYFUNCTION("""COMPUTED_VALUE"""),"B3")</f>
        <v>B3</v>
      </c>
    </row>
    <row r="2558" ht="15.75" customHeight="1">
      <c r="A2558" t="str">
        <f t="shared" si="1"/>
        <v>H.sulfurireducens</v>
      </c>
      <c r="B2558" s="5" t="s">
        <v>11127</v>
      </c>
      <c r="C2558" s="6" t="str">
        <f>IFERROR(__xludf.DUMMYFUNCTION("SPLIT('2. c'!B2558, "" "", True, True)"),"Halanaeroarchaeum")</f>
        <v>Halanaeroarchaeum</v>
      </c>
      <c r="D2558" t="str">
        <f>IFERROR(__xludf.DUMMYFUNCTION("""COMPUTED_VALUE"""),"sulfurireducens")</f>
        <v>sulfurireducens</v>
      </c>
      <c r="E2558" t="str">
        <f>IFERROR(__xludf.DUMMYFUNCTION("""COMPUTED_VALUE"""),"strain")</f>
        <v>strain</v>
      </c>
      <c r="F2558" t="str">
        <f>IFERROR(__xludf.DUMMYFUNCTION("""COMPUTED_VALUE"""),"HSR2")</f>
        <v>HSR2</v>
      </c>
    </row>
    <row r="2559" ht="15.75" customHeight="1">
      <c r="A2559" t="str">
        <f t="shared" si="1"/>
        <v>H.sulfurireducens</v>
      </c>
      <c r="B2559" s="5" t="s">
        <v>11135</v>
      </c>
      <c r="C2559" s="6" t="str">
        <f>IFERROR(__xludf.DUMMYFUNCTION("SPLIT('2. c'!B2559, "" "", True, True)"),"Halanaeroarchaeum")</f>
        <v>Halanaeroarchaeum</v>
      </c>
      <c r="D2559" t="str">
        <f>IFERROR(__xludf.DUMMYFUNCTION("""COMPUTED_VALUE"""),"sulfurireducens")</f>
        <v>sulfurireducens</v>
      </c>
      <c r="E2559" t="str">
        <f>IFERROR(__xludf.DUMMYFUNCTION("""COMPUTED_VALUE"""),"strain")</f>
        <v>strain</v>
      </c>
      <c r="F2559" t="str">
        <f>IFERROR(__xludf.DUMMYFUNCTION("""COMPUTED_VALUE"""),"M27-SA2")</f>
        <v>M27-SA2</v>
      </c>
    </row>
    <row r="2560" ht="15.75" customHeight="1">
      <c r="A2560" t="str">
        <f t="shared" si="1"/>
        <v>H.hydrogeniformans</v>
      </c>
      <c r="B2560" s="5" t="s">
        <v>11144</v>
      </c>
      <c r="C2560" s="6" t="str">
        <f>IFERROR(__xludf.DUMMYFUNCTION("SPLIT('2. c'!B2560, "" "", True, True)"),"Halanaerobium")</f>
        <v>Halanaerobium</v>
      </c>
      <c r="D2560" t="str">
        <f>IFERROR(__xludf.DUMMYFUNCTION("""COMPUTED_VALUE"""),"hydrogeniformans")</f>
        <v>hydrogeniformans</v>
      </c>
      <c r="E2560" t="str">
        <f>IFERROR(__xludf.DUMMYFUNCTION("""COMPUTED_VALUE"""),"strain")</f>
        <v>strain</v>
      </c>
      <c r="F2560" t="str">
        <f>IFERROR(__xludf.DUMMYFUNCTION("""COMPUTED_VALUE"""),"sapolanicus'")</f>
        <v>sapolanicus'</v>
      </c>
    </row>
    <row r="2561" ht="15.75" customHeight="1">
      <c r="A2561" t="str">
        <f t="shared" si="1"/>
        <v>H.praevalens</v>
      </c>
      <c r="B2561" s="5" t="s">
        <v>11152</v>
      </c>
      <c r="C2561" s="6" t="str">
        <f>IFERROR(__xludf.DUMMYFUNCTION("SPLIT('2. c'!B2561, "" "", True, True)"),"Halanaerobium")</f>
        <v>Halanaerobium</v>
      </c>
      <c r="D2561" t="str">
        <f>IFERROR(__xludf.DUMMYFUNCTION("""COMPUTED_VALUE"""),"praevalens")</f>
        <v>praevalens</v>
      </c>
      <c r="E2561" t="str">
        <f>IFERROR(__xludf.DUMMYFUNCTION("""COMPUTED_VALUE"""),"DSM")</f>
        <v>DSM</v>
      </c>
      <c r="F2561">
        <f>IFERROR(__xludf.DUMMYFUNCTION("""COMPUTED_VALUE"""),2228.0)</f>
        <v>2228</v>
      </c>
    </row>
    <row r="2562" ht="15.75" customHeight="1">
      <c r="A2562" t="str">
        <f t="shared" si="1"/>
        <v>H.ochraceum</v>
      </c>
      <c r="B2562" s="5" t="s">
        <v>11161</v>
      </c>
      <c r="C2562" s="6" t="str">
        <f>IFERROR(__xludf.DUMMYFUNCTION("SPLIT('2. c'!B2562, "" "", True, True)"),"Haliangium")</f>
        <v>Haliangium</v>
      </c>
      <c r="D2562" t="str">
        <f>IFERROR(__xludf.DUMMYFUNCTION("""COMPUTED_VALUE"""),"ochraceum")</f>
        <v>ochraceum</v>
      </c>
      <c r="E2562" t="str">
        <f>IFERROR(__xludf.DUMMYFUNCTION("""COMPUTED_VALUE"""),"DSM")</f>
        <v>DSM</v>
      </c>
      <c r="F2562">
        <f>IFERROR(__xludf.DUMMYFUNCTION("""COMPUTED_VALUE"""),14365.0)</f>
        <v>14365</v>
      </c>
    </row>
    <row r="2563" ht="15.75" customHeight="1">
      <c r="A2563" t="str">
        <f t="shared" si="1"/>
        <v>H.hydrossis</v>
      </c>
      <c r="B2563" s="5" t="s">
        <v>11167</v>
      </c>
      <c r="C2563" s="6" t="str">
        <f>IFERROR(__xludf.DUMMYFUNCTION("SPLIT('2. c'!B2563, "" "", True, True)"),"Haliscomenobacter")</f>
        <v>Haliscomenobacter</v>
      </c>
      <c r="D2563" t="str">
        <f>IFERROR(__xludf.DUMMYFUNCTION("""COMPUTED_VALUE"""),"hydrossis")</f>
        <v>hydrossis</v>
      </c>
      <c r="E2563" t="str">
        <f>IFERROR(__xludf.DUMMYFUNCTION("""COMPUTED_VALUE"""),"DSM")</f>
        <v>DSM</v>
      </c>
      <c r="F2563">
        <f>IFERROR(__xludf.DUMMYFUNCTION("""COMPUTED_VALUE"""),1100.0)</f>
        <v>1100</v>
      </c>
    </row>
    <row r="2564" ht="15.75" customHeight="1">
      <c r="A2564" t="str">
        <f t="shared" si="1"/>
        <v>H.hispanica</v>
      </c>
      <c r="B2564" s="5" t="s">
        <v>11174</v>
      </c>
      <c r="C2564" s="6" t="str">
        <f>IFERROR(__xludf.DUMMYFUNCTION("SPLIT('2. c'!B2564, "" "", True, True)"),"Haloarcula")</f>
        <v>Haloarcula</v>
      </c>
      <c r="D2564" t="str">
        <f>IFERROR(__xludf.DUMMYFUNCTION("""COMPUTED_VALUE"""),"hispanica")</f>
        <v>hispanica</v>
      </c>
      <c r="E2564" t="str">
        <f>IFERROR(__xludf.DUMMYFUNCTION("""COMPUTED_VALUE"""),"ATCC")</f>
        <v>ATCC</v>
      </c>
      <c r="F2564">
        <f>IFERROR(__xludf.DUMMYFUNCTION("""COMPUTED_VALUE"""),33960.0)</f>
        <v>33960</v>
      </c>
    </row>
    <row r="2565" ht="15.75" customHeight="1">
      <c r="A2565" t="str">
        <f t="shared" si="1"/>
        <v>H.hispanica</v>
      </c>
      <c r="B2565" s="5" t="s">
        <v>11184</v>
      </c>
      <c r="C2565" s="6" t="str">
        <f>IFERROR(__xludf.DUMMYFUNCTION("SPLIT('2. c'!B2565, "" "", True, True)"),"Haloarcula")</f>
        <v>Haloarcula</v>
      </c>
      <c r="D2565" t="str">
        <f>IFERROR(__xludf.DUMMYFUNCTION("""COMPUTED_VALUE"""),"hispanica")</f>
        <v>hispanica</v>
      </c>
      <c r="E2565" t="str">
        <f>IFERROR(__xludf.DUMMYFUNCTION("""COMPUTED_VALUE"""),"N601")</f>
        <v>N601</v>
      </c>
    </row>
    <row r="2566" ht="15.75" customHeight="1">
      <c r="A2566" t="str">
        <f t="shared" si="1"/>
        <v>H.marismortui</v>
      </c>
      <c r="B2566" s="5" t="s">
        <v>11193</v>
      </c>
      <c r="C2566" s="6" t="str">
        <f>IFERROR(__xludf.DUMMYFUNCTION("SPLIT('2. c'!B2566, "" "", True, True)"),"Haloarcula")</f>
        <v>Haloarcula</v>
      </c>
      <c r="D2566" t="str">
        <f>IFERROR(__xludf.DUMMYFUNCTION("""COMPUTED_VALUE"""),"marismortui")</f>
        <v>marismortui</v>
      </c>
      <c r="E2566" t="str">
        <f>IFERROR(__xludf.DUMMYFUNCTION("""COMPUTED_VALUE"""),"ATCC")</f>
        <v>ATCC</v>
      </c>
      <c r="F2566">
        <f>IFERROR(__xludf.DUMMYFUNCTION("""COMPUTED_VALUE"""),43049.0)</f>
        <v>43049</v>
      </c>
    </row>
    <row r="2567" ht="15.75" customHeight="1">
      <c r="A2567" t="str">
        <f t="shared" si="1"/>
        <v>H.sp.</v>
      </c>
      <c r="B2567" s="5" t="s">
        <v>11204</v>
      </c>
      <c r="C2567" s="6" t="str">
        <f>IFERROR(__xludf.DUMMYFUNCTION("SPLIT('2. c'!B2567, "" "", True, True)"),"Haloarcula")</f>
        <v>Haloarcula</v>
      </c>
      <c r="D2567" t="str">
        <f>IFERROR(__xludf.DUMMYFUNCTION("""COMPUTED_VALUE"""),"sp.")</f>
        <v>sp.</v>
      </c>
      <c r="E2567" t="str">
        <f>IFERROR(__xludf.DUMMYFUNCTION("""COMPUTED_VALUE"""),"CBA1115")</f>
        <v>CBA1115</v>
      </c>
    </row>
    <row r="2568" ht="15.75" customHeight="1">
      <c r="A2568" t="str">
        <f t="shared" si="1"/>
        <v>H.halophilus</v>
      </c>
      <c r="B2568" s="5" t="s">
        <v>11211</v>
      </c>
      <c r="C2568" s="6" t="str">
        <f>IFERROR(__xludf.DUMMYFUNCTION("SPLIT('2. c'!B2568, "" "", True, True)"),"Halobacillus")</f>
        <v>Halobacillus</v>
      </c>
      <c r="D2568" t="str">
        <f>IFERROR(__xludf.DUMMYFUNCTION("""COMPUTED_VALUE"""),"halophilus")</f>
        <v>halophilus</v>
      </c>
      <c r="E2568" t="str">
        <f>IFERROR(__xludf.DUMMYFUNCTION("""COMPUTED_VALUE"""),"DSM")</f>
        <v>DSM</v>
      </c>
      <c r="F2568">
        <f>IFERROR(__xludf.DUMMYFUNCTION("""COMPUTED_VALUE"""),2266.0)</f>
        <v>2266</v>
      </c>
    </row>
    <row r="2569" ht="15.75" customHeight="1">
      <c r="A2569" t="str">
        <f t="shared" si="1"/>
        <v>H.salinarum</v>
      </c>
      <c r="B2569" s="5" t="s">
        <v>11219</v>
      </c>
      <c r="C2569" s="6" t="str">
        <f>IFERROR(__xludf.DUMMYFUNCTION("SPLIT('2. c'!B2569, "" "", True, True)"),"Halobacterium")</f>
        <v>Halobacterium</v>
      </c>
      <c r="D2569" t="str">
        <f>IFERROR(__xludf.DUMMYFUNCTION("""COMPUTED_VALUE"""),"salinarum")</f>
        <v>salinarum</v>
      </c>
      <c r="E2569" t="str">
        <f>IFERROR(__xludf.DUMMYFUNCTION("""COMPUTED_VALUE"""),"R1")</f>
        <v>R1</v>
      </c>
    </row>
    <row r="2570" ht="15.75" customHeight="1">
      <c r="A2570" t="str">
        <f t="shared" si="1"/>
        <v>H.sp.</v>
      </c>
      <c r="B2570" s="5" t="s">
        <v>11228</v>
      </c>
      <c r="C2570" s="6" t="str">
        <f>IFERROR(__xludf.DUMMYFUNCTION("SPLIT('2. c'!B2570, "" "", True, True)"),"Halobacterium")</f>
        <v>Halobacterium</v>
      </c>
      <c r="D2570" t="str">
        <f>IFERROR(__xludf.DUMMYFUNCTION("""COMPUTED_VALUE"""),"sp.")</f>
        <v>sp.</v>
      </c>
      <c r="E2570" t="str">
        <f>IFERROR(__xludf.DUMMYFUNCTION("""COMPUTED_VALUE"""),"JI20-1")</f>
        <v>JI20-1</v>
      </c>
    </row>
    <row r="2571" ht="15.75" customHeight="1">
      <c r="A2571" t="str">
        <f t="shared" si="1"/>
        <v>H.sp.</v>
      </c>
      <c r="B2571" s="5" t="s">
        <v>11236</v>
      </c>
      <c r="C2571" s="6" t="str">
        <f>IFERROR(__xludf.DUMMYFUNCTION("SPLIT('2. c'!B2571, "" "", True, True)"),"Halobacterium")</f>
        <v>Halobacterium</v>
      </c>
      <c r="D2571" t="str">
        <f>IFERROR(__xludf.DUMMYFUNCTION("""COMPUTED_VALUE"""),"sp.")</f>
        <v>sp.</v>
      </c>
      <c r="E2571" t="str">
        <f>IFERROR(__xludf.DUMMYFUNCTION("""COMPUTED_VALUE"""),"NRC-1")</f>
        <v>NRC-1</v>
      </c>
    </row>
    <row r="2572" ht="15.75" customHeight="1">
      <c r="A2572" t="str">
        <f t="shared" si="1"/>
        <v>H.halobius</v>
      </c>
      <c r="B2572" s="5" t="s">
        <v>11245</v>
      </c>
      <c r="C2572" s="6" t="str">
        <f>IFERROR(__xludf.DUMMYFUNCTION("SPLIT('2. c'!B2572, "" "", True, True)"),"Halobacteroides")</f>
        <v>Halobacteroides</v>
      </c>
      <c r="D2572" t="str">
        <f>IFERROR(__xludf.DUMMYFUNCTION("""COMPUTED_VALUE"""),"halobius")</f>
        <v>halobius</v>
      </c>
      <c r="E2572" t="str">
        <f>IFERROR(__xludf.DUMMYFUNCTION("""COMPUTED_VALUE"""),"DSM")</f>
        <v>DSM</v>
      </c>
      <c r="F2572">
        <f>IFERROR(__xludf.DUMMYFUNCTION("""COMPUTED_VALUE"""),5150.0)</f>
        <v>5150</v>
      </c>
    </row>
    <row r="2573" ht="15.75" customHeight="1">
      <c r="A2573" t="str">
        <f t="shared" si="1"/>
        <v>H.gibbonsii</v>
      </c>
      <c r="B2573" s="5" t="s">
        <v>11255</v>
      </c>
      <c r="C2573" s="6" t="str">
        <f>IFERROR(__xludf.DUMMYFUNCTION("SPLIT('2. c'!B2573, "" "", True, True)"),"Haloferax")</f>
        <v>Haloferax</v>
      </c>
      <c r="D2573" t="str">
        <f>IFERROR(__xludf.DUMMYFUNCTION("""COMPUTED_VALUE"""),"gibbonsii")</f>
        <v>gibbonsii</v>
      </c>
      <c r="E2573" t="str">
        <f>IFERROR(__xludf.DUMMYFUNCTION("""COMPUTED_VALUE"""),"strain")</f>
        <v>strain</v>
      </c>
      <c r="F2573" t="str">
        <f>IFERROR(__xludf.DUMMYFUNCTION("""COMPUTED_VALUE"""),"ARA6")</f>
        <v>ARA6</v>
      </c>
    </row>
    <row r="2574" ht="15.75" customHeight="1">
      <c r="A2574" t="str">
        <f t="shared" si="1"/>
        <v>H.mediterranei</v>
      </c>
      <c r="B2574" s="5" t="s">
        <v>11260</v>
      </c>
      <c r="C2574" s="6" t="str">
        <f>IFERROR(__xludf.DUMMYFUNCTION("SPLIT('2. c'!B2574, "" "", True, True)"),"Haloferax")</f>
        <v>Haloferax</v>
      </c>
      <c r="D2574" t="str">
        <f>IFERROR(__xludf.DUMMYFUNCTION("""COMPUTED_VALUE"""),"mediterranei")</f>
        <v>mediterranei</v>
      </c>
      <c r="E2574" t="str">
        <f>IFERROR(__xludf.DUMMYFUNCTION("""COMPUTED_VALUE"""),"ATCC")</f>
        <v>ATCC</v>
      </c>
      <c r="F2574">
        <f>IFERROR(__xludf.DUMMYFUNCTION("""COMPUTED_VALUE"""),33500.0)</f>
        <v>33500</v>
      </c>
    </row>
    <row r="2575" ht="15.75" customHeight="1">
      <c r="A2575" t="str">
        <f t="shared" si="1"/>
        <v>H.mediterranei</v>
      </c>
      <c r="B2575" s="5" t="s">
        <v>11260</v>
      </c>
      <c r="C2575" s="6" t="str">
        <f>IFERROR(__xludf.DUMMYFUNCTION("SPLIT('2. c'!B2575, "" "", True, True)"),"Haloferax")</f>
        <v>Haloferax</v>
      </c>
      <c r="D2575" t="str">
        <f>IFERROR(__xludf.DUMMYFUNCTION("""COMPUTED_VALUE"""),"mediterranei")</f>
        <v>mediterranei</v>
      </c>
      <c r="E2575" t="str">
        <f>IFERROR(__xludf.DUMMYFUNCTION("""COMPUTED_VALUE"""),"ATCC")</f>
        <v>ATCC</v>
      </c>
      <c r="F2575">
        <f>IFERROR(__xludf.DUMMYFUNCTION("""COMPUTED_VALUE"""),33500.0)</f>
        <v>33500</v>
      </c>
    </row>
    <row r="2576" ht="15.75" customHeight="1">
      <c r="A2576" t="str">
        <f t="shared" si="1"/>
        <v>H.volcanii</v>
      </c>
      <c r="B2576" s="5" t="s">
        <v>11280</v>
      </c>
      <c r="C2576" s="6" t="str">
        <f>IFERROR(__xludf.DUMMYFUNCTION("SPLIT('2. c'!B2576, "" "", True, True)"),"Haloferax")</f>
        <v>Haloferax</v>
      </c>
      <c r="D2576" t="str">
        <f>IFERROR(__xludf.DUMMYFUNCTION("""COMPUTED_VALUE"""),"volcanii")</f>
        <v>volcanii</v>
      </c>
      <c r="E2576" t="str">
        <f>IFERROR(__xludf.DUMMYFUNCTION("""COMPUTED_VALUE"""),"DS2")</f>
        <v>DS2</v>
      </c>
    </row>
    <row r="2577" ht="15.75" customHeight="1">
      <c r="A2577" t="str">
        <f t="shared" si="1"/>
        <v>H.borinquense</v>
      </c>
      <c r="B2577" s="5" t="s">
        <v>11289</v>
      </c>
      <c r="C2577" s="6" t="str">
        <f>IFERROR(__xludf.DUMMYFUNCTION("SPLIT('2. c'!B2577, "" "", True, True)"),"Halogeometricum")</f>
        <v>Halogeometricum</v>
      </c>
      <c r="D2577" t="str">
        <f>IFERROR(__xludf.DUMMYFUNCTION("""COMPUTED_VALUE"""),"borinquense")</f>
        <v>borinquense</v>
      </c>
      <c r="E2577" t="str">
        <f>IFERROR(__xludf.DUMMYFUNCTION("""COMPUTED_VALUE"""),"DSM")</f>
        <v>DSM</v>
      </c>
      <c r="F2577">
        <f>IFERROR(__xludf.DUMMYFUNCTION("""COMPUTED_VALUE"""),11551.0)</f>
        <v>11551</v>
      </c>
    </row>
    <row r="2578" ht="15.75" customHeight="1">
      <c r="A2578" t="str">
        <f t="shared" si="1"/>
        <v>H.sediminis</v>
      </c>
      <c r="B2578" s="5" t="s">
        <v>11299</v>
      </c>
      <c r="C2578" s="6" t="str">
        <f>IFERROR(__xludf.DUMMYFUNCTION("SPLIT('2. c'!B2578, "" "", True, True)"),"Halolamina")</f>
        <v>Halolamina</v>
      </c>
      <c r="D2578" t="str">
        <f>IFERROR(__xludf.DUMMYFUNCTION("""COMPUTED_VALUE"""),"sediminis")</f>
        <v>sediminis</v>
      </c>
      <c r="E2578" t="str">
        <f>IFERROR(__xludf.DUMMYFUNCTION("""COMPUTED_VALUE"""),"strain")</f>
        <v>strain</v>
      </c>
      <c r="F2578" t="str">
        <f>IFERROR(__xludf.DUMMYFUNCTION("""COMPUTED_VALUE"""),"halo7")</f>
        <v>halo7</v>
      </c>
    </row>
    <row r="2579" ht="15.75" customHeight="1">
      <c r="A2579" t="str">
        <f t="shared" si="1"/>
        <v>H.mukohataei</v>
      </c>
      <c r="B2579" s="5" t="s">
        <v>11309</v>
      </c>
      <c r="C2579" s="6" t="str">
        <f>IFERROR(__xludf.DUMMYFUNCTION("SPLIT('2. c'!B2579, "" "", True, True)"),"Halomicrobium")</f>
        <v>Halomicrobium</v>
      </c>
      <c r="D2579" t="str">
        <f>IFERROR(__xludf.DUMMYFUNCTION("""COMPUTED_VALUE"""),"mukohataei")</f>
        <v>mukohataei</v>
      </c>
      <c r="E2579" t="str">
        <f>IFERROR(__xludf.DUMMYFUNCTION("""COMPUTED_VALUE"""),"DSM")</f>
        <v>DSM</v>
      </c>
      <c r="F2579">
        <f>IFERROR(__xludf.DUMMYFUNCTION("""COMPUTED_VALUE"""),12286.0)</f>
        <v>12286</v>
      </c>
    </row>
    <row r="2580" ht="15.75" customHeight="1">
      <c r="A2580" t="str">
        <f t="shared" si="1"/>
        <v>H.campaniensis</v>
      </c>
      <c r="B2580" s="5" t="s">
        <v>11318</v>
      </c>
      <c r="C2580" s="6" t="str">
        <f>IFERROR(__xludf.DUMMYFUNCTION("SPLIT('2. c'!B2580, "" "", True, True)"),"Halomonas")</f>
        <v>Halomonas</v>
      </c>
      <c r="D2580" t="str">
        <f>IFERROR(__xludf.DUMMYFUNCTION("""COMPUTED_VALUE"""),"campaniensis")</f>
        <v>campaniensis</v>
      </c>
      <c r="E2580" t="str">
        <f>IFERROR(__xludf.DUMMYFUNCTION("""COMPUTED_VALUE"""),"strain")</f>
        <v>strain</v>
      </c>
      <c r="F2580" t="str">
        <f>IFERROR(__xludf.DUMMYFUNCTION("""COMPUTED_VALUE"""),"LS21")</f>
        <v>LS21</v>
      </c>
    </row>
    <row r="2581" ht="15.75" customHeight="1">
      <c r="A2581" t="str">
        <f t="shared" si="1"/>
        <v>H.chromatireducens</v>
      </c>
      <c r="B2581" s="5" t="s">
        <v>11326</v>
      </c>
      <c r="C2581" s="6" t="str">
        <f>IFERROR(__xludf.DUMMYFUNCTION("SPLIT('2. c'!B2581, "" "", True, True)"),"Halomonas")</f>
        <v>Halomonas</v>
      </c>
      <c r="D2581" t="str">
        <f>IFERROR(__xludf.DUMMYFUNCTION("""COMPUTED_VALUE"""),"chromatireducens")</f>
        <v>chromatireducens</v>
      </c>
      <c r="E2581" t="str">
        <f>IFERROR(__xludf.DUMMYFUNCTION("""COMPUTED_VALUE"""),"strain")</f>
        <v>strain</v>
      </c>
      <c r="F2581" t="str">
        <f>IFERROR(__xludf.DUMMYFUNCTION("""COMPUTED_VALUE"""),"AGD")</f>
        <v>AGD</v>
      </c>
      <c r="G2581" s="25">
        <f>IFERROR(__xludf.DUMMYFUNCTION("""COMPUTED_VALUE"""),43167.0)</f>
        <v>43167</v>
      </c>
    </row>
    <row r="2582" ht="15.75" customHeight="1">
      <c r="A2582" t="str">
        <f t="shared" si="1"/>
        <v>H.elongata</v>
      </c>
      <c r="B2582" s="5" t="s">
        <v>11337</v>
      </c>
      <c r="C2582" s="6" t="str">
        <f>IFERROR(__xludf.DUMMYFUNCTION("SPLIT('2. c'!B2582, "" "", True, True)"),"Halomonas")</f>
        <v>Halomonas</v>
      </c>
      <c r="D2582" t="str">
        <f>IFERROR(__xludf.DUMMYFUNCTION("""COMPUTED_VALUE"""),"elongata")</f>
        <v>elongata</v>
      </c>
      <c r="E2582" t="str">
        <f>IFERROR(__xludf.DUMMYFUNCTION("""COMPUTED_VALUE"""),"DSM")</f>
        <v>DSM</v>
      </c>
      <c r="F2582">
        <f>IFERROR(__xludf.DUMMYFUNCTION("""COMPUTED_VALUE"""),2581.0)</f>
        <v>2581</v>
      </c>
    </row>
    <row r="2583" ht="15.75" customHeight="1">
      <c r="A2583" t="str">
        <f t="shared" si="1"/>
        <v>H.huangheensis</v>
      </c>
      <c r="B2583" s="5" t="s">
        <v>11347</v>
      </c>
      <c r="C2583" s="6" t="str">
        <f>IFERROR(__xludf.DUMMYFUNCTION("SPLIT('2. c'!B2583, "" "", True, True)"),"Halomonas")</f>
        <v>Halomonas</v>
      </c>
      <c r="D2583" t="str">
        <f>IFERROR(__xludf.DUMMYFUNCTION("""COMPUTED_VALUE"""),"huangheensis")</f>
        <v>huangheensis</v>
      </c>
      <c r="E2583" t="str">
        <f>IFERROR(__xludf.DUMMYFUNCTION("""COMPUTED_VALUE"""),"strain")</f>
        <v>strain</v>
      </c>
      <c r="F2583" t="str">
        <f>IFERROR(__xludf.DUMMYFUNCTION("""COMPUTED_VALUE"""),"BJGMM-B45")</f>
        <v>BJGMM-B45</v>
      </c>
    </row>
    <row r="2584" ht="15.75" customHeight="1">
      <c r="A2584" t="str">
        <f t="shared" si="1"/>
        <v>H.sp.</v>
      </c>
      <c r="B2584" s="5" t="s">
        <v>11355</v>
      </c>
      <c r="C2584" s="6" t="str">
        <f>IFERROR(__xludf.DUMMYFUNCTION("SPLIT('2. c'!B2584, "" "", True, True)"),"Halomonas")</f>
        <v>Halomonas</v>
      </c>
      <c r="D2584" t="str">
        <f>IFERROR(__xludf.DUMMYFUNCTION("""COMPUTED_VALUE"""),"sp.")</f>
        <v>sp.</v>
      </c>
      <c r="E2584" t="str">
        <f>IFERROR(__xludf.DUMMYFUNCTION("""COMPUTED_VALUE"""),"A3H3")</f>
        <v>A3H3</v>
      </c>
    </row>
    <row r="2585" ht="15.75" customHeight="1">
      <c r="A2585" t="str">
        <f t="shared" si="1"/>
        <v>H.sp.</v>
      </c>
      <c r="B2585" s="5" t="s">
        <v>11363</v>
      </c>
      <c r="C2585" s="6" t="str">
        <f>IFERROR(__xludf.DUMMYFUNCTION("SPLIT('2. c'!B2585, "" "", True, True)"),"Halomonas")</f>
        <v>Halomonas</v>
      </c>
      <c r="D2585" t="str">
        <f>IFERROR(__xludf.DUMMYFUNCTION("""COMPUTED_VALUE"""),"sp.")</f>
        <v>sp.</v>
      </c>
      <c r="E2585" t="str">
        <f>IFERROR(__xludf.DUMMYFUNCTION("""COMPUTED_VALUE"""),"HL-93")</f>
        <v>HL-93</v>
      </c>
    </row>
    <row r="2586" ht="15.75" customHeight="1">
      <c r="A2586" t="str">
        <f t="shared" si="1"/>
        <v>H.sp.</v>
      </c>
      <c r="B2586" s="5" t="s">
        <v>11372</v>
      </c>
      <c r="C2586" s="6" t="str">
        <f>IFERROR(__xludf.DUMMYFUNCTION("SPLIT('2. c'!B2586, "" "", True, True)"),"Halomonas")</f>
        <v>Halomonas</v>
      </c>
      <c r="D2586" t="str">
        <f>IFERROR(__xludf.DUMMYFUNCTION("""COMPUTED_VALUE"""),"sp.")</f>
        <v>sp.</v>
      </c>
      <c r="E2586" t="str">
        <f>IFERROR(__xludf.DUMMYFUNCTION("""COMPUTED_VALUE"""),"R57-5")</f>
        <v>R57-5</v>
      </c>
    </row>
    <row r="2587" ht="15.75" customHeight="1">
      <c r="A2587" t="str">
        <f t="shared" si="1"/>
        <v>h.archaeon</v>
      </c>
      <c r="B2587" s="5" t="s">
        <v>11379</v>
      </c>
      <c r="C2587" s="6" t="str">
        <f>IFERROR(__xludf.DUMMYFUNCTION("SPLIT('2. c'!B2587, "" "", True, True)"),"halophilic")</f>
        <v>halophilic</v>
      </c>
      <c r="D2587" t="str">
        <f>IFERROR(__xludf.DUMMYFUNCTION("""COMPUTED_VALUE"""),"archaeon")</f>
        <v>archaeon</v>
      </c>
      <c r="E2587" t="str">
        <f>IFERROR(__xludf.DUMMYFUNCTION("""COMPUTED_VALUE"""),"DL31")</f>
        <v>DL31</v>
      </c>
    </row>
    <row r="2588" ht="15.75" customHeight="1">
      <c r="A2588" t="str">
        <f t="shared" si="1"/>
        <v>H.xanaduensis</v>
      </c>
      <c r="B2588" s="5" t="s">
        <v>11389</v>
      </c>
      <c r="C2588" s="6" t="str">
        <f>IFERROR(__xludf.DUMMYFUNCTION("SPLIT('2. c'!B2588, "" "", True, True)"),"Halopiger")</f>
        <v>Halopiger</v>
      </c>
      <c r="D2588" t="str">
        <f>IFERROR(__xludf.DUMMYFUNCTION("""COMPUTED_VALUE"""),"xanaduensis")</f>
        <v>xanaduensis</v>
      </c>
      <c r="E2588" t="str">
        <f>IFERROR(__xludf.DUMMYFUNCTION("""COMPUTED_VALUE"""),"SH-6")</f>
        <v>SH-6</v>
      </c>
    </row>
    <row r="2589" ht="15.75" customHeight="1">
      <c r="A2589" t="str">
        <f t="shared" si="1"/>
        <v>H.walsbyi</v>
      </c>
      <c r="B2589" s="5" t="s">
        <v>11397</v>
      </c>
      <c r="C2589" s="6" t="str">
        <f>IFERROR(__xludf.DUMMYFUNCTION("SPLIT('2. c'!B2589, "" "", True, True)"),"Haloquadratum")</f>
        <v>Haloquadratum</v>
      </c>
      <c r="D2589" t="str">
        <f>IFERROR(__xludf.DUMMYFUNCTION("""COMPUTED_VALUE"""),"walsbyi")</f>
        <v>walsbyi</v>
      </c>
      <c r="E2589" t="str">
        <f>IFERROR(__xludf.DUMMYFUNCTION("""COMPUTED_VALUE"""),"C23")</f>
        <v>C23</v>
      </c>
    </row>
    <row r="2590" ht="15.75" customHeight="1">
      <c r="A2590" t="str">
        <f t="shared" si="1"/>
        <v>H.walsbyi</v>
      </c>
      <c r="B2590" s="5" t="s">
        <v>11407</v>
      </c>
      <c r="C2590" s="6" t="str">
        <f>IFERROR(__xludf.DUMMYFUNCTION("SPLIT('2. c'!B2590, "" "", True, True)"),"Haloquadratum")</f>
        <v>Haloquadratum</v>
      </c>
      <c r="D2590" t="str">
        <f>IFERROR(__xludf.DUMMYFUNCTION("""COMPUTED_VALUE"""),"walsbyi")</f>
        <v>walsbyi</v>
      </c>
      <c r="E2590" t="str">
        <f>IFERROR(__xludf.DUMMYFUNCTION("""COMPUTED_VALUE"""),"DSM")</f>
        <v>DSM</v>
      </c>
      <c r="F2590">
        <f>IFERROR(__xludf.DUMMYFUNCTION("""COMPUTED_VALUE"""),16790.0)</f>
        <v>16790</v>
      </c>
    </row>
    <row r="2591" ht="15.75" customHeight="1">
      <c r="A2591" t="str">
        <f t="shared" si="1"/>
        <v>H.tiamatea</v>
      </c>
      <c r="B2591" s="5" t="s">
        <v>11416</v>
      </c>
      <c r="C2591" s="6" t="str">
        <f>IFERROR(__xludf.DUMMYFUNCTION("SPLIT('2. c'!B2591, "" "", True, True)"),"Halorhabdus")</f>
        <v>Halorhabdus</v>
      </c>
      <c r="D2591" t="str">
        <f>IFERROR(__xludf.DUMMYFUNCTION("""COMPUTED_VALUE"""),"tiamatea")</f>
        <v>tiamatea</v>
      </c>
      <c r="E2591" t="str">
        <f>IFERROR(__xludf.DUMMYFUNCTION("""COMPUTED_VALUE"""),"SARL4B")</f>
        <v>SARL4B</v>
      </c>
    </row>
    <row r="2592" ht="15.75" customHeight="1">
      <c r="A2592" t="str">
        <f t="shared" si="1"/>
        <v>H.utahensis</v>
      </c>
      <c r="B2592" s="5" t="s">
        <v>11422</v>
      </c>
      <c r="C2592" s="6" t="str">
        <f>IFERROR(__xludf.DUMMYFUNCTION("SPLIT('2. c'!B2592, "" "", True, True)"),"Halorhabdus")</f>
        <v>Halorhabdus</v>
      </c>
      <c r="D2592" t="str">
        <f>IFERROR(__xludf.DUMMYFUNCTION("""COMPUTED_VALUE"""),"utahensis")</f>
        <v>utahensis</v>
      </c>
      <c r="E2592" t="str">
        <f>IFERROR(__xludf.DUMMYFUNCTION("""COMPUTED_VALUE"""),"DSM")</f>
        <v>DSM</v>
      </c>
      <c r="F2592">
        <f>IFERROR(__xludf.DUMMYFUNCTION("""COMPUTED_VALUE"""),12940.0)</f>
        <v>12940</v>
      </c>
    </row>
    <row r="2593" ht="15.75" customHeight="1">
      <c r="A2593" t="str">
        <f t="shared" si="1"/>
        <v>H.halochloris</v>
      </c>
      <c r="B2593" s="5" t="s">
        <v>11428</v>
      </c>
      <c r="C2593" s="6" t="str">
        <f>IFERROR(__xludf.DUMMYFUNCTION("SPLIT('2. c'!B2593, "" "", True, True)"),"Halorhodospira")</f>
        <v>Halorhodospira</v>
      </c>
      <c r="D2593" t="str">
        <f>IFERROR(__xludf.DUMMYFUNCTION("""COMPUTED_VALUE"""),"halochloris")</f>
        <v>halochloris</v>
      </c>
      <c r="E2593" t="str">
        <f>IFERROR(__xludf.DUMMYFUNCTION("""COMPUTED_VALUE"""),"str.")</f>
        <v>str.</v>
      </c>
      <c r="F2593" t="str">
        <f>IFERROR(__xludf.DUMMYFUNCTION("""COMPUTED_VALUE"""),"A")</f>
        <v>A</v>
      </c>
    </row>
    <row r="2594" ht="15.75" customHeight="1">
      <c r="A2594" t="str">
        <f t="shared" si="1"/>
        <v>H.halophila</v>
      </c>
      <c r="B2594" s="5" t="s">
        <v>11433</v>
      </c>
      <c r="C2594" s="6" t="str">
        <f>IFERROR(__xludf.DUMMYFUNCTION("SPLIT('2. c'!B2594, "" "", True, True)"),"Halorhodospira")</f>
        <v>Halorhodospira</v>
      </c>
      <c r="D2594" t="str">
        <f>IFERROR(__xludf.DUMMYFUNCTION("""COMPUTED_VALUE"""),"halophila")</f>
        <v>halophila</v>
      </c>
      <c r="E2594" t="str">
        <f>IFERROR(__xludf.DUMMYFUNCTION("""COMPUTED_VALUE"""),"SL1")</f>
        <v>SL1</v>
      </c>
    </row>
    <row r="2595" ht="15.75" customHeight="1">
      <c r="A2595" t="str">
        <f t="shared" si="1"/>
        <v>H.lacusprofundi</v>
      </c>
      <c r="B2595" s="5" t="s">
        <v>11441</v>
      </c>
      <c r="C2595" s="6" t="str">
        <f>IFERROR(__xludf.DUMMYFUNCTION("SPLIT('2. c'!B2595, "" "", True, True)"),"Halorubrum")</f>
        <v>Halorubrum</v>
      </c>
      <c r="D2595" t="str">
        <f>IFERROR(__xludf.DUMMYFUNCTION("""COMPUTED_VALUE"""),"lacusprofundi")</f>
        <v>lacusprofundi</v>
      </c>
      <c r="E2595" t="str">
        <f>IFERROR(__xludf.DUMMYFUNCTION("""COMPUTED_VALUE"""),"ATCC")</f>
        <v>ATCC</v>
      </c>
      <c r="F2595">
        <f>IFERROR(__xludf.DUMMYFUNCTION("""COMPUTED_VALUE"""),49239.0)</f>
        <v>49239</v>
      </c>
    </row>
    <row r="2596" ht="15.75" customHeight="1">
      <c r="A2596" t="str">
        <f t="shared" si="1"/>
        <v>H.larsenii</v>
      </c>
      <c r="B2596" s="5" t="s">
        <v>11451</v>
      </c>
      <c r="C2596" s="6" t="str">
        <f>IFERROR(__xludf.DUMMYFUNCTION("SPLIT('2. c'!B2596, "" "", True, True)"),"Halostagnicola")</f>
        <v>Halostagnicola</v>
      </c>
      <c r="D2596" t="str">
        <f>IFERROR(__xludf.DUMMYFUNCTION("""COMPUTED_VALUE"""),"larsenii")</f>
        <v>larsenii</v>
      </c>
      <c r="E2596" t="str">
        <f>IFERROR(__xludf.DUMMYFUNCTION("""COMPUTED_VALUE"""),"XH-48")</f>
        <v>XH-48</v>
      </c>
    </row>
    <row r="2597" ht="15.75" customHeight="1">
      <c r="A2597" t="str">
        <f t="shared" si="1"/>
        <v>H.alkalilenta</v>
      </c>
      <c r="B2597" s="5" t="s">
        <v>11456</v>
      </c>
      <c r="C2597" s="6" t="str">
        <f>IFERROR(__xludf.DUMMYFUNCTION("SPLIT('2. c'!B2597, "" "", True, True)"),"Halotalea")</f>
        <v>Halotalea</v>
      </c>
      <c r="D2597" t="str">
        <f>IFERROR(__xludf.DUMMYFUNCTION("""COMPUTED_VALUE"""),"alkalilenta")</f>
        <v>alkalilenta</v>
      </c>
      <c r="E2597" t="str">
        <f>IFERROR(__xludf.DUMMYFUNCTION("""COMPUTED_VALUE"""),"strain")</f>
        <v>strain</v>
      </c>
      <c r="F2597" t="str">
        <f>IFERROR(__xludf.DUMMYFUNCTION("""COMPUTED_VALUE"""),"IHB")</f>
        <v>IHB</v>
      </c>
      <c r="G2597" t="str">
        <f>IFERROR(__xludf.DUMMYFUNCTION("""COMPUTED_VALUE"""),"B")</f>
        <v>B</v>
      </c>
      <c r="H2597">
        <f>IFERROR(__xludf.DUMMYFUNCTION("""COMPUTED_VALUE"""),13600.0)</f>
        <v>13600</v>
      </c>
    </row>
    <row r="2598" ht="15.75" customHeight="1">
      <c r="A2598" t="str">
        <f t="shared" si="1"/>
        <v>H.turkmenica</v>
      </c>
      <c r="B2598" s="5" t="s">
        <v>11465</v>
      </c>
      <c r="C2598" s="6" t="str">
        <f>IFERROR(__xludf.DUMMYFUNCTION("SPLIT('2. c'!B2598, "" "", True, True)"),"Haloterrigena")</f>
        <v>Haloterrigena</v>
      </c>
      <c r="D2598" t="str">
        <f>IFERROR(__xludf.DUMMYFUNCTION("""COMPUTED_VALUE"""),"turkmenica")</f>
        <v>turkmenica</v>
      </c>
      <c r="E2598" t="str">
        <f>IFERROR(__xludf.DUMMYFUNCTION("""COMPUTED_VALUE"""),"DSM")</f>
        <v>DSM</v>
      </c>
      <c r="F2598">
        <f>IFERROR(__xludf.DUMMYFUNCTION("""COMPUTED_VALUE"""),5511.0)</f>
        <v>5511</v>
      </c>
    </row>
    <row r="2599" ht="15.75" customHeight="1">
      <c r="A2599" t="str">
        <f t="shared" si="1"/>
        <v>H.sp.</v>
      </c>
      <c r="B2599" s="5" t="s">
        <v>11475</v>
      </c>
      <c r="C2599" s="6" t="str">
        <f>IFERROR(__xludf.DUMMYFUNCTION("SPLIT('2. c'!B2599, "" "", True, True)"),"Halothece")</f>
        <v>Halothece</v>
      </c>
      <c r="D2599" t="str">
        <f>IFERROR(__xludf.DUMMYFUNCTION("""COMPUTED_VALUE"""),"sp.")</f>
        <v>sp.</v>
      </c>
      <c r="E2599" t="str">
        <f>IFERROR(__xludf.DUMMYFUNCTION("""COMPUTED_VALUE"""),"PCC")</f>
        <v>PCC</v>
      </c>
      <c r="F2599">
        <f>IFERROR(__xludf.DUMMYFUNCTION("""COMPUTED_VALUE"""),7418.0)</f>
        <v>7418</v>
      </c>
    </row>
    <row r="2600" ht="15.75" customHeight="1">
      <c r="A2600" t="str">
        <f t="shared" si="1"/>
        <v>H.orenii</v>
      </c>
      <c r="B2600" s="5" t="s">
        <v>11483</v>
      </c>
      <c r="C2600" s="6" t="str">
        <f>IFERROR(__xludf.DUMMYFUNCTION("SPLIT('2. c'!B2600, "" "", True, True)"),"Halothermothrix")</f>
        <v>Halothermothrix</v>
      </c>
      <c r="D2600" t="str">
        <f>IFERROR(__xludf.DUMMYFUNCTION("""COMPUTED_VALUE"""),"orenii")</f>
        <v>orenii</v>
      </c>
      <c r="E2600" t="str">
        <f>IFERROR(__xludf.DUMMYFUNCTION("""COMPUTED_VALUE"""),"H")</f>
        <v>H</v>
      </c>
      <c r="F2600">
        <f>IFERROR(__xludf.DUMMYFUNCTION("""COMPUTED_VALUE"""),168.0)</f>
        <v>168</v>
      </c>
    </row>
    <row r="2601" ht="15.75" customHeight="1">
      <c r="A2601" t="str">
        <f t="shared" si="1"/>
        <v>H.neapolitanus</v>
      </c>
      <c r="B2601" s="5" t="s">
        <v>11490</v>
      </c>
      <c r="C2601" s="6" t="str">
        <f>IFERROR(__xludf.DUMMYFUNCTION("SPLIT('2. c'!B2601, "" "", True, True)"),"Halothiobacillus")</f>
        <v>Halothiobacillus</v>
      </c>
      <c r="D2601" t="str">
        <f>IFERROR(__xludf.DUMMYFUNCTION("""COMPUTED_VALUE"""),"neapolitanus")</f>
        <v>neapolitanus</v>
      </c>
      <c r="E2601" t="str">
        <f>IFERROR(__xludf.DUMMYFUNCTION("""COMPUTED_VALUE"""),"c2")</f>
        <v>c2</v>
      </c>
    </row>
    <row r="2602" ht="15.75" customHeight="1">
      <c r="A2602" t="str">
        <f t="shared" si="1"/>
        <v>H.ruber</v>
      </c>
      <c r="B2602" s="5" t="s">
        <v>11497</v>
      </c>
      <c r="C2602" s="6" t="str">
        <f>IFERROR(__xludf.DUMMYFUNCTION("SPLIT('2. c'!B2602, "" "", True, True)"),"Halovivax")</f>
        <v>Halovivax</v>
      </c>
      <c r="D2602" t="str">
        <f>IFERROR(__xludf.DUMMYFUNCTION("""COMPUTED_VALUE"""),"ruber")</f>
        <v>ruber</v>
      </c>
      <c r="E2602" t="str">
        <f>IFERROR(__xludf.DUMMYFUNCTION("""COMPUTED_VALUE"""),"XH-70")</f>
        <v>XH-70</v>
      </c>
    </row>
    <row r="2603" ht="15.75" customHeight="1">
      <c r="A2603" t="str">
        <f t="shared" si="1"/>
        <v>H.halys</v>
      </c>
      <c r="B2603" s="5" t="s">
        <v>11503</v>
      </c>
      <c r="C2603" s="6" t="str">
        <f>IFERROR(__xludf.DUMMYFUNCTION("SPLIT('2. c'!B2603, "" "", True, True)"),"Halyomorpha")</f>
        <v>Halyomorpha</v>
      </c>
      <c r="D2603" t="str">
        <f>IFERROR(__xludf.DUMMYFUNCTION("""COMPUTED_VALUE"""),"halys")</f>
        <v>halys</v>
      </c>
      <c r="E2603" t="str">
        <f>IFERROR(__xludf.DUMMYFUNCTION("""COMPUTED_VALUE"""),"symbiont")</f>
        <v>symbiont</v>
      </c>
    </row>
    <row r="2604" ht="15.75" customHeight="1">
      <c r="A2604" t="str">
        <f t="shared" si="1"/>
        <v>H.acinonychis</v>
      </c>
      <c r="B2604" s="5" t="s">
        <v>11511</v>
      </c>
      <c r="C2604" s="6" t="str">
        <f>IFERROR(__xludf.DUMMYFUNCTION("SPLIT('2. c'!B2604, "" "", True, True)"),"Helicobacter")</f>
        <v>Helicobacter</v>
      </c>
      <c r="D2604" t="str">
        <f>IFERROR(__xludf.DUMMYFUNCTION("""COMPUTED_VALUE"""),"acinonychis")</f>
        <v>acinonychis</v>
      </c>
      <c r="E2604" t="str">
        <f>IFERROR(__xludf.DUMMYFUNCTION("""COMPUTED_VALUE"""),"str.")</f>
        <v>str.</v>
      </c>
      <c r="F2604" t="str">
        <f>IFERROR(__xludf.DUMMYFUNCTION("""COMPUTED_VALUE"""),"Sheeba")</f>
        <v>Sheeba</v>
      </c>
    </row>
    <row r="2605" ht="15.75" customHeight="1">
      <c r="A2605" t="str">
        <f t="shared" si="1"/>
        <v>H.bizzozeronii</v>
      </c>
      <c r="B2605" s="5" t="s">
        <v>11520</v>
      </c>
      <c r="C2605" s="6" t="str">
        <f>IFERROR(__xludf.DUMMYFUNCTION("SPLIT('2. c'!B2605, "" "", True, True)"),"Helicobacter")</f>
        <v>Helicobacter</v>
      </c>
      <c r="D2605" t="str">
        <f>IFERROR(__xludf.DUMMYFUNCTION("""COMPUTED_VALUE"""),"bizzozeronii")</f>
        <v>bizzozeronii</v>
      </c>
      <c r="E2605" t="str">
        <f>IFERROR(__xludf.DUMMYFUNCTION("""COMPUTED_VALUE"""),"CIII-1")</f>
        <v>CIII-1</v>
      </c>
    </row>
    <row r="2606" ht="15.75" customHeight="1">
      <c r="A2606" t="str">
        <f t="shared" si="1"/>
        <v>H.cetorum</v>
      </c>
      <c r="B2606" s="5" t="s">
        <v>11527</v>
      </c>
      <c r="C2606" s="6" t="str">
        <f>IFERROR(__xludf.DUMMYFUNCTION("SPLIT('2. c'!B2606, "" "", True, True)"),"Helicobacter")</f>
        <v>Helicobacter</v>
      </c>
      <c r="D2606" t="str">
        <f>IFERROR(__xludf.DUMMYFUNCTION("""COMPUTED_VALUE"""),"cetorum")</f>
        <v>cetorum</v>
      </c>
      <c r="E2606" t="str">
        <f>IFERROR(__xludf.DUMMYFUNCTION("""COMPUTED_VALUE"""),"MIT")</f>
        <v>MIT</v>
      </c>
      <c r="F2606" t="str">
        <f>IFERROR(__xludf.DUMMYFUNCTION("""COMPUTED_VALUE"""),"00-7128")</f>
        <v>00-7128</v>
      </c>
    </row>
    <row r="2607" ht="15.75" customHeight="1">
      <c r="A2607" t="str">
        <f t="shared" si="1"/>
        <v>H.cetorum</v>
      </c>
      <c r="B2607" s="5" t="s">
        <v>11535</v>
      </c>
      <c r="C2607" s="6" t="str">
        <f>IFERROR(__xludf.DUMMYFUNCTION("SPLIT('2. c'!B2607, "" "", True, True)"),"Helicobacter")</f>
        <v>Helicobacter</v>
      </c>
      <c r="D2607" t="str">
        <f>IFERROR(__xludf.DUMMYFUNCTION("""COMPUTED_VALUE"""),"cetorum")</f>
        <v>cetorum</v>
      </c>
      <c r="E2607" t="str">
        <f>IFERROR(__xludf.DUMMYFUNCTION("""COMPUTED_VALUE"""),"MIT")</f>
        <v>MIT</v>
      </c>
      <c r="F2607" t="str">
        <f>IFERROR(__xludf.DUMMYFUNCTION("""COMPUTED_VALUE"""),"99-5656")</f>
        <v>99-5656</v>
      </c>
    </row>
    <row r="2608" ht="15.75" customHeight="1">
      <c r="A2608" t="str">
        <f t="shared" si="1"/>
        <v>H.cinaedi</v>
      </c>
      <c r="B2608" s="5" t="s">
        <v>11543</v>
      </c>
      <c r="C2608" s="6" t="str">
        <f>IFERROR(__xludf.DUMMYFUNCTION("SPLIT('2. c'!B2608, "" "", True, True)"),"Helicobacter")</f>
        <v>Helicobacter</v>
      </c>
      <c r="D2608" t="str">
        <f>IFERROR(__xludf.DUMMYFUNCTION("""COMPUTED_VALUE"""),"cinaedi")</f>
        <v>cinaedi</v>
      </c>
      <c r="E2608" t="str">
        <f>IFERROR(__xludf.DUMMYFUNCTION("""COMPUTED_VALUE"""),"PAGU611")</f>
        <v>PAGU611</v>
      </c>
    </row>
    <row r="2609" ht="15.75" customHeight="1">
      <c r="A2609" t="str">
        <f t="shared" si="1"/>
        <v>H.felis</v>
      </c>
      <c r="B2609" s="5" t="s">
        <v>11551</v>
      </c>
      <c r="C2609" s="6" t="str">
        <f>IFERROR(__xludf.DUMMYFUNCTION("SPLIT('2. c'!B2609, "" "", True, True)"),"Helicobacter")</f>
        <v>Helicobacter</v>
      </c>
      <c r="D2609" t="str">
        <f>IFERROR(__xludf.DUMMYFUNCTION("""COMPUTED_VALUE"""),"felis")</f>
        <v>felis</v>
      </c>
      <c r="E2609" t="str">
        <f>IFERROR(__xludf.DUMMYFUNCTION("""COMPUTED_VALUE"""),"ATCC")</f>
        <v>ATCC</v>
      </c>
      <c r="F2609">
        <f>IFERROR(__xludf.DUMMYFUNCTION("""COMPUTED_VALUE"""),49179.0)</f>
        <v>49179</v>
      </c>
    </row>
    <row r="2610" ht="15.75" customHeight="1">
      <c r="A2610" t="str">
        <f t="shared" si="1"/>
        <v>H.heilmannii</v>
      </c>
      <c r="B2610" s="5" t="s">
        <v>11558</v>
      </c>
      <c r="C2610" s="6" t="str">
        <f>IFERROR(__xludf.DUMMYFUNCTION("SPLIT('2. c'!B2610, "" "", True, True)"),"Helicobacter")</f>
        <v>Helicobacter</v>
      </c>
      <c r="D2610" t="str">
        <f>IFERROR(__xludf.DUMMYFUNCTION("""COMPUTED_VALUE"""),"heilmannii")</f>
        <v>heilmannii</v>
      </c>
      <c r="E2610" t="str">
        <f>IFERROR(__xludf.DUMMYFUNCTION("""COMPUTED_VALUE"""),"ASB1.4")</f>
        <v>ASB1.4</v>
      </c>
    </row>
    <row r="2611" ht="15.75" customHeight="1">
      <c r="A2611" t="str">
        <f t="shared" si="1"/>
        <v>H.hepaticus</v>
      </c>
      <c r="B2611" s="5" t="s">
        <v>11566</v>
      </c>
      <c r="C2611" s="6" t="str">
        <f>IFERROR(__xludf.DUMMYFUNCTION("SPLIT('2. c'!B2611, "" "", True, True)"),"Helicobacter")</f>
        <v>Helicobacter</v>
      </c>
      <c r="D2611" t="str">
        <f>IFERROR(__xludf.DUMMYFUNCTION("""COMPUTED_VALUE"""),"hepaticus")</f>
        <v>hepaticus</v>
      </c>
      <c r="E2611" t="str">
        <f>IFERROR(__xludf.DUMMYFUNCTION("""COMPUTED_VALUE"""),"ATCC")</f>
        <v>ATCC</v>
      </c>
      <c r="F2611">
        <f>IFERROR(__xludf.DUMMYFUNCTION("""COMPUTED_VALUE"""),51449.0)</f>
        <v>51449</v>
      </c>
    </row>
    <row r="2612" ht="15.75" customHeight="1">
      <c r="A2612" t="str">
        <f t="shared" si="1"/>
        <v>H.himalayensis</v>
      </c>
      <c r="B2612" s="5" t="s">
        <v>11577</v>
      </c>
      <c r="C2612" s="6" t="str">
        <f>IFERROR(__xludf.DUMMYFUNCTION("SPLIT('2. c'!B2612, "" "", True, True)"),"Helicobacter")</f>
        <v>Helicobacter</v>
      </c>
      <c r="D2612" t="str">
        <f>IFERROR(__xludf.DUMMYFUNCTION("""COMPUTED_VALUE"""),"himalayensis")</f>
        <v>himalayensis</v>
      </c>
      <c r="E2612" t="str">
        <f>IFERROR(__xludf.DUMMYFUNCTION("""COMPUTED_VALUE"""),"strain")</f>
        <v>strain</v>
      </c>
      <c r="F2612" t="str">
        <f>IFERROR(__xludf.DUMMYFUNCTION("""COMPUTED_VALUE"""),"YS1")</f>
        <v>YS1</v>
      </c>
    </row>
    <row r="2613" ht="15.75" customHeight="1">
      <c r="A2613" t="str">
        <f t="shared" si="1"/>
        <v>H.mustelae</v>
      </c>
      <c r="B2613" s="5" t="s">
        <v>11584</v>
      </c>
      <c r="C2613" s="6" t="str">
        <f>IFERROR(__xludf.DUMMYFUNCTION("SPLIT('2. c'!B2613, "" "", True, True)"),"Helicobacter")</f>
        <v>Helicobacter</v>
      </c>
      <c r="D2613" t="str">
        <f>IFERROR(__xludf.DUMMYFUNCTION("""COMPUTED_VALUE"""),"mustelae")</f>
        <v>mustelae</v>
      </c>
      <c r="E2613">
        <f>IFERROR(__xludf.DUMMYFUNCTION("""COMPUTED_VALUE"""),12198.0)</f>
        <v>12198</v>
      </c>
    </row>
    <row r="2614" ht="15.75" customHeight="1">
      <c r="A2614" t="str">
        <f t="shared" si="1"/>
        <v>H.pylori</v>
      </c>
      <c r="B2614" s="5" t="s">
        <v>11594</v>
      </c>
      <c r="C2614" s="6" t="str">
        <f>IFERROR(__xludf.DUMMYFUNCTION("SPLIT('2. c'!B2614, "" "", True, True)"),"Helicobacter")</f>
        <v>Helicobacter</v>
      </c>
      <c r="D2614" t="str">
        <f>IFERROR(__xludf.DUMMYFUNCTION("""COMPUTED_VALUE"""),"pylori")</f>
        <v>pylori</v>
      </c>
      <c r="E2614">
        <f>IFERROR(__xludf.DUMMYFUNCTION("""COMPUTED_VALUE"""),2017.0)</f>
        <v>2017</v>
      </c>
    </row>
    <row r="2615" ht="15.75" customHeight="1">
      <c r="A2615" t="str">
        <f t="shared" si="1"/>
        <v>H.pylori</v>
      </c>
      <c r="B2615" s="5" t="s">
        <v>11602</v>
      </c>
      <c r="C2615" s="6" t="str">
        <f>IFERROR(__xludf.DUMMYFUNCTION("SPLIT('2. c'!B2615, "" "", True, True)"),"Helicobacter")</f>
        <v>Helicobacter</v>
      </c>
      <c r="D2615" t="str">
        <f>IFERROR(__xludf.DUMMYFUNCTION("""COMPUTED_VALUE"""),"pylori")</f>
        <v>pylori</v>
      </c>
      <c r="E2615">
        <f>IFERROR(__xludf.DUMMYFUNCTION("""COMPUTED_VALUE"""),2018.0)</f>
        <v>2018</v>
      </c>
    </row>
    <row r="2616" ht="15.75" customHeight="1">
      <c r="A2616" t="str">
        <f t="shared" si="1"/>
        <v>H.pylori</v>
      </c>
      <c r="B2616" s="5" t="s">
        <v>11611</v>
      </c>
      <c r="C2616" s="6" t="str">
        <f>IFERROR(__xludf.DUMMYFUNCTION("SPLIT('2. c'!B2616, "" "", True, True)"),"Helicobacter")</f>
        <v>Helicobacter</v>
      </c>
      <c r="D2616" t="str">
        <f>IFERROR(__xludf.DUMMYFUNCTION("""COMPUTED_VALUE"""),"pylori")</f>
        <v>pylori</v>
      </c>
      <c r="E2616">
        <f>IFERROR(__xludf.DUMMYFUNCTION("""COMPUTED_VALUE"""),26695.0)</f>
        <v>26695</v>
      </c>
    </row>
    <row r="2617" ht="15.75" customHeight="1">
      <c r="A2617" t="str">
        <f t="shared" si="1"/>
        <v>H.pylori</v>
      </c>
      <c r="B2617" s="5" t="s">
        <v>11611</v>
      </c>
      <c r="C2617" s="6" t="str">
        <f>IFERROR(__xludf.DUMMYFUNCTION("SPLIT('2. c'!B2617, "" "", True, True)"),"Helicobacter")</f>
        <v>Helicobacter</v>
      </c>
      <c r="D2617" t="str">
        <f>IFERROR(__xludf.DUMMYFUNCTION("""COMPUTED_VALUE"""),"pylori")</f>
        <v>pylori</v>
      </c>
      <c r="E2617">
        <f>IFERROR(__xludf.DUMMYFUNCTION("""COMPUTED_VALUE"""),26695.0)</f>
        <v>26695</v>
      </c>
    </row>
    <row r="2618" ht="15.75" customHeight="1">
      <c r="A2618" t="str">
        <f t="shared" si="1"/>
        <v>H.pylori</v>
      </c>
      <c r="B2618" s="5" t="s">
        <v>11625</v>
      </c>
      <c r="C2618" s="6" t="str">
        <f>IFERROR(__xludf.DUMMYFUNCTION("SPLIT('2. c'!B2618, "" "", True, True)"),"Helicobacter")</f>
        <v>Helicobacter</v>
      </c>
      <c r="D2618" t="str">
        <f>IFERROR(__xludf.DUMMYFUNCTION("""COMPUTED_VALUE"""),"pylori")</f>
        <v>pylori</v>
      </c>
      <c r="E2618" t="str">
        <f>IFERROR(__xludf.DUMMYFUNCTION("""COMPUTED_VALUE"""),"26695-1")</f>
        <v>26695-1</v>
      </c>
    </row>
    <row r="2619" ht="15.75" customHeight="1">
      <c r="A2619" t="str">
        <f t="shared" si="1"/>
        <v>H.pylori</v>
      </c>
      <c r="B2619" s="5" t="s">
        <v>11625</v>
      </c>
      <c r="C2619" s="6" t="str">
        <f>IFERROR(__xludf.DUMMYFUNCTION("SPLIT('2. c'!B2619, "" "", True, True)"),"Helicobacter")</f>
        <v>Helicobacter</v>
      </c>
      <c r="D2619" t="str">
        <f>IFERROR(__xludf.DUMMYFUNCTION("""COMPUTED_VALUE"""),"pylori")</f>
        <v>pylori</v>
      </c>
      <c r="E2619" t="str">
        <f>IFERROR(__xludf.DUMMYFUNCTION("""COMPUTED_VALUE"""),"26695-1")</f>
        <v>26695-1</v>
      </c>
    </row>
    <row r="2620" ht="15.75" customHeight="1">
      <c r="A2620" t="str">
        <f t="shared" si="1"/>
        <v>H.pylori</v>
      </c>
      <c r="B2620" s="5" t="s">
        <v>11641</v>
      </c>
      <c r="C2620" s="6" t="str">
        <f>IFERROR(__xludf.DUMMYFUNCTION("SPLIT('2. c'!B2620, "" "", True, True)"),"Helicobacter")</f>
        <v>Helicobacter</v>
      </c>
      <c r="D2620" t="str">
        <f>IFERROR(__xludf.DUMMYFUNCTION("""COMPUTED_VALUE"""),"pylori")</f>
        <v>pylori</v>
      </c>
      <c r="E2620" t="str">
        <f>IFERROR(__xludf.DUMMYFUNCTION("""COMPUTED_VALUE"""),"26695-1CH")</f>
        <v>26695-1CH</v>
      </c>
    </row>
    <row r="2621" ht="15.75" customHeight="1">
      <c r="A2621" t="str">
        <f t="shared" si="1"/>
        <v>H.pylori</v>
      </c>
      <c r="B2621" s="5" t="s">
        <v>11648</v>
      </c>
      <c r="C2621" s="6" t="str">
        <f>IFERROR(__xludf.DUMMYFUNCTION("SPLIT('2. c'!B2621, "" "", True, True)"),"Helicobacter")</f>
        <v>Helicobacter</v>
      </c>
      <c r="D2621" t="str">
        <f>IFERROR(__xludf.DUMMYFUNCTION("""COMPUTED_VALUE"""),"pylori")</f>
        <v>pylori</v>
      </c>
      <c r="E2621" t="str">
        <f>IFERROR(__xludf.DUMMYFUNCTION("""COMPUTED_VALUE"""),"26695-1CL")</f>
        <v>26695-1CL</v>
      </c>
    </row>
    <row r="2622" ht="15.75" customHeight="1">
      <c r="A2622" t="str">
        <f t="shared" si="1"/>
        <v>H.pylori</v>
      </c>
      <c r="B2622" s="5" t="s">
        <v>11657</v>
      </c>
      <c r="C2622" s="6" t="str">
        <f>IFERROR(__xludf.DUMMYFUNCTION("SPLIT('2. c'!B2622, "" "", True, True)"),"Helicobacter")</f>
        <v>Helicobacter</v>
      </c>
      <c r="D2622" t="str">
        <f>IFERROR(__xludf.DUMMYFUNCTION("""COMPUTED_VALUE"""),"pylori")</f>
        <v>pylori</v>
      </c>
      <c r="E2622" t="str">
        <f>IFERROR(__xludf.DUMMYFUNCTION("""COMPUTED_VALUE"""),"26695-1MET")</f>
        <v>26695-1MET</v>
      </c>
    </row>
    <row r="2623" ht="15.75" customHeight="1">
      <c r="A2623" t="str">
        <f t="shared" si="1"/>
        <v>H.pylori</v>
      </c>
      <c r="B2623" s="5" t="s">
        <v>11663</v>
      </c>
      <c r="C2623" s="6" t="str">
        <f>IFERROR(__xludf.DUMMYFUNCTION("SPLIT('2. c'!B2623, "" "", True, True)"),"Helicobacter")</f>
        <v>Helicobacter</v>
      </c>
      <c r="D2623" t="str">
        <f>IFERROR(__xludf.DUMMYFUNCTION("""COMPUTED_VALUE"""),"pylori")</f>
        <v>pylori</v>
      </c>
      <c r="E2623" t="str">
        <f>IFERROR(__xludf.DUMMYFUNCTION("""COMPUTED_VALUE"""),"35A")</f>
        <v>35A</v>
      </c>
    </row>
    <row r="2624" ht="15.75" customHeight="1">
      <c r="A2624" t="str">
        <f t="shared" si="1"/>
        <v>H.pylori</v>
      </c>
      <c r="B2624" s="5" t="s">
        <v>11671</v>
      </c>
      <c r="C2624" s="6" t="str">
        <f>IFERROR(__xludf.DUMMYFUNCTION("SPLIT('2. c'!B2624, "" "", True, True)"),"Helicobacter")</f>
        <v>Helicobacter</v>
      </c>
      <c r="D2624" t="str">
        <f>IFERROR(__xludf.DUMMYFUNCTION("""COMPUTED_VALUE"""),"pylori")</f>
        <v>pylori</v>
      </c>
      <c r="E2624">
        <f>IFERROR(__xludf.DUMMYFUNCTION("""COMPUTED_VALUE"""),51.0)</f>
        <v>51</v>
      </c>
    </row>
    <row r="2625" ht="15.75" customHeight="1">
      <c r="A2625" t="str">
        <f t="shared" si="1"/>
        <v>H.pylori</v>
      </c>
      <c r="B2625" s="5" t="s">
        <v>11679</v>
      </c>
      <c r="C2625" s="6" t="str">
        <f>IFERROR(__xludf.DUMMYFUNCTION("SPLIT('2. c'!B2625, "" "", True, True)"),"Helicobacter")</f>
        <v>Helicobacter</v>
      </c>
      <c r="D2625" t="str">
        <f>IFERROR(__xludf.DUMMYFUNCTION("""COMPUTED_VALUE"""),"pylori")</f>
        <v>pylori</v>
      </c>
      <c r="E2625">
        <f>IFERROR(__xludf.DUMMYFUNCTION("""COMPUTED_VALUE"""),52.0)</f>
        <v>52</v>
      </c>
    </row>
    <row r="2626" ht="15.75" customHeight="1">
      <c r="A2626" t="str">
        <f t="shared" si="1"/>
        <v>H.pylori</v>
      </c>
      <c r="B2626" s="5" t="s">
        <v>11685</v>
      </c>
      <c r="C2626" s="6" t="str">
        <f>IFERROR(__xludf.DUMMYFUNCTION("SPLIT('2. c'!B2626, "" "", True, True)"),"Helicobacter")</f>
        <v>Helicobacter</v>
      </c>
      <c r="D2626" t="str">
        <f>IFERROR(__xludf.DUMMYFUNCTION("""COMPUTED_VALUE"""),"pylori")</f>
        <v>pylori</v>
      </c>
      <c r="E2626">
        <f>IFERROR(__xludf.DUMMYFUNCTION("""COMPUTED_VALUE"""),83.0)</f>
        <v>83</v>
      </c>
    </row>
    <row r="2627" ht="15.75" customHeight="1">
      <c r="A2627" t="str">
        <f t="shared" si="1"/>
        <v>H.pylori</v>
      </c>
      <c r="B2627" s="5" t="s">
        <v>11692</v>
      </c>
      <c r="C2627" s="6" t="str">
        <f>IFERROR(__xludf.DUMMYFUNCTION("SPLIT('2. c'!B2627, "" "", True, True)"),"Helicobacter")</f>
        <v>Helicobacter</v>
      </c>
      <c r="D2627" t="str">
        <f>IFERROR(__xludf.DUMMYFUNCTION("""COMPUTED_VALUE"""),"pylori")</f>
        <v>pylori</v>
      </c>
      <c r="E2627">
        <f>IFERROR(__xludf.DUMMYFUNCTION("""COMPUTED_VALUE"""),908.0)</f>
        <v>908</v>
      </c>
    </row>
    <row r="2628" ht="15.75" customHeight="1">
      <c r="A2628" t="str">
        <f t="shared" si="1"/>
        <v>H.pylori</v>
      </c>
      <c r="B2628" s="5" t="s">
        <v>11702</v>
      </c>
      <c r="C2628" s="6" t="str">
        <f>IFERROR(__xludf.DUMMYFUNCTION("SPLIT('2. c'!B2628, "" "", True, True)"),"Helicobacter")</f>
        <v>Helicobacter</v>
      </c>
      <c r="D2628" t="str">
        <f>IFERROR(__xludf.DUMMYFUNCTION("""COMPUTED_VALUE"""),"pylori")</f>
        <v>pylori</v>
      </c>
      <c r="E2628" t="str">
        <f>IFERROR(__xludf.DUMMYFUNCTION("""COMPUTED_VALUE"""),"Aklavik117")</f>
        <v>Aklavik117</v>
      </c>
    </row>
    <row r="2629" ht="15.75" customHeight="1">
      <c r="A2629" t="str">
        <f t="shared" si="1"/>
        <v>H.pylori</v>
      </c>
      <c r="B2629" s="5" t="s">
        <v>11707</v>
      </c>
      <c r="C2629" s="6" t="str">
        <f>IFERROR(__xludf.DUMMYFUNCTION("SPLIT('2. c'!B2629, "" "", True, True)"),"Helicobacter")</f>
        <v>Helicobacter</v>
      </c>
      <c r="D2629" t="str">
        <f>IFERROR(__xludf.DUMMYFUNCTION("""COMPUTED_VALUE"""),"pylori")</f>
        <v>pylori</v>
      </c>
      <c r="E2629" t="str">
        <f>IFERROR(__xludf.DUMMYFUNCTION("""COMPUTED_VALUE"""),"Aklavik86")</f>
        <v>Aklavik86</v>
      </c>
    </row>
    <row r="2630" ht="15.75" customHeight="1">
      <c r="A2630" t="str">
        <f t="shared" si="1"/>
        <v>H.pylori</v>
      </c>
      <c r="B2630" s="5" t="s">
        <v>11714</v>
      </c>
      <c r="C2630" s="6" t="str">
        <f>IFERROR(__xludf.DUMMYFUNCTION("SPLIT('2. c'!B2630, "" "", True, True)"),"Helicobacter")</f>
        <v>Helicobacter</v>
      </c>
      <c r="D2630" t="str">
        <f>IFERROR(__xludf.DUMMYFUNCTION("""COMPUTED_VALUE"""),"pylori")</f>
        <v>pylori</v>
      </c>
      <c r="E2630" t="str">
        <f>IFERROR(__xludf.DUMMYFUNCTION("""COMPUTED_VALUE"""),"B38")</f>
        <v>B38</v>
      </c>
    </row>
    <row r="2631" ht="15.75" customHeight="1">
      <c r="A2631" t="str">
        <f t="shared" si="1"/>
        <v>H.pylori</v>
      </c>
      <c r="B2631" s="5" t="s">
        <v>11720</v>
      </c>
      <c r="C2631" s="6" t="str">
        <f>IFERROR(__xludf.DUMMYFUNCTION("SPLIT('2. c'!B2631, "" "", True, True)"),"Helicobacter")</f>
        <v>Helicobacter</v>
      </c>
      <c r="D2631" t="str">
        <f>IFERROR(__xludf.DUMMYFUNCTION("""COMPUTED_VALUE"""),"pylori")</f>
        <v>pylori</v>
      </c>
      <c r="E2631" t="str">
        <f>IFERROR(__xludf.DUMMYFUNCTION("""COMPUTED_VALUE"""),"B8")</f>
        <v>B8</v>
      </c>
    </row>
    <row r="2632" ht="15.75" customHeight="1">
      <c r="A2632" t="str">
        <f t="shared" si="1"/>
        <v>H.pylori</v>
      </c>
      <c r="B2632" s="5" t="s">
        <v>11729</v>
      </c>
      <c r="C2632" s="6" t="str">
        <f>IFERROR(__xludf.DUMMYFUNCTION("SPLIT('2. c'!B2632, "" "", True, True)"),"Helicobacter")</f>
        <v>Helicobacter</v>
      </c>
      <c r="D2632" t="str">
        <f>IFERROR(__xludf.DUMMYFUNCTION("""COMPUTED_VALUE"""),"pylori")</f>
        <v>pylori</v>
      </c>
      <c r="E2632" t="str">
        <f>IFERROR(__xludf.DUMMYFUNCTION("""COMPUTED_VALUE"""),"BM012A")</f>
        <v>BM012A</v>
      </c>
    </row>
    <row r="2633" ht="15.75" customHeight="1">
      <c r="A2633" t="str">
        <f t="shared" si="1"/>
        <v>H.pylori</v>
      </c>
      <c r="B2633" s="5" t="s">
        <v>11737</v>
      </c>
      <c r="C2633" s="6" t="str">
        <f>IFERROR(__xludf.DUMMYFUNCTION("SPLIT('2. c'!B2633, "" "", True, True)"),"Helicobacter")</f>
        <v>Helicobacter</v>
      </c>
      <c r="D2633" t="str">
        <f>IFERROR(__xludf.DUMMYFUNCTION("""COMPUTED_VALUE"""),"pylori")</f>
        <v>pylori</v>
      </c>
      <c r="E2633" t="str">
        <f>IFERROR(__xludf.DUMMYFUNCTION("""COMPUTED_VALUE"""),"BM012S")</f>
        <v>BM012S</v>
      </c>
    </row>
    <row r="2634" ht="15.75" customHeight="1">
      <c r="A2634" t="str">
        <f t="shared" si="1"/>
        <v>H.pylori</v>
      </c>
      <c r="B2634" s="5" t="s">
        <v>11746</v>
      </c>
      <c r="C2634" s="6" t="str">
        <f>IFERROR(__xludf.DUMMYFUNCTION("SPLIT('2. c'!B2634, "" "", True, True)"),"Helicobacter")</f>
        <v>Helicobacter</v>
      </c>
      <c r="D2634" t="str">
        <f>IFERROR(__xludf.DUMMYFUNCTION("""COMPUTED_VALUE"""),"pylori")</f>
        <v>pylori</v>
      </c>
      <c r="E2634" t="str">
        <f>IFERROR(__xludf.DUMMYFUNCTION("""COMPUTED_VALUE"""),"Cuz20")</f>
        <v>Cuz20</v>
      </c>
    </row>
    <row r="2635" ht="15.75" customHeight="1">
      <c r="A2635" t="str">
        <f t="shared" si="1"/>
        <v>H.pylori</v>
      </c>
      <c r="B2635" s="5" t="s">
        <v>11755</v>
      </c>
      <c r="C2635" s="6" t="str">
        <f>IFERROR(__xludf.DUMMYFUNCTION("SPLIT('2. c'!B2635, "" "", True, True)"),"Helicobacter")</f>
        <v>Helicobacter</v>
      </c>
      <c r="D2635" t="str">
        <f>IFERROR(__xludf.DUMMYFUNCTION("""COMPUTED_VALUE"""),"pylori")</f>
        <v>pylori</v>
      </c>
      <c r="E2635" t="str">
        <f>IFERROR(__xludf.DUMMYFUNCTION("""COMPUTED_VALUE"""),"ELS37")</f>
        <v>ELS37</v>
      </c>
    </row>
    <row r="2636" ht="15.75" customHeight="1">
      <c r="A2636" t="str">
        <f t="shared" si="1"/>
        <v>H.pylori</v>
      </c>
      <c r="B2636" s="5" t="s">
        <v>11763</v>
      </c>
      <c r="C2636" s="6" t="str">
        <f>IFERROR(__xludf.DUMMYFUNCTION("SPLIT('2. c'!B2636, "" "", True, True)"),"Helicobacter")</f>
        <v>Helicobacter</v>
      </c>
      <c r="D2636" t="str">
        <f>IFERROR(__xludf.DUMMYFUNCTION("""COMPUTED_VALUE"""),"pylori")</f>
        <v>pylori</v>
      </c>
      <c r="E2636" t="str">
        <f>IFERROR(__xludf.DUMMYFUNCTION("""COMPUTED_VALUE"""),"F16")</f>
        <v>F16</v>
      </c>
    </row>
    <row r="2637" ht="15.75" customHeight="1">
      <c r="A2637" t="str">
        <f t="shared" si="1"/>
        <v>H.pylori</v>
      </c>
      <c r="B2637" s="5" t="s">
        <v>11771</v>
      </c>
      <c r="C2637" s="6" t="str">
        <f>IFERROR(__xludf.DUMMYFUNCTION("SPLIT('2. c'!B2637, "" "", True, True)"),"Helicobacter")</f>
        <v>Helicobacter</v>
      </c>
      <c r="D2637" t="str">
        <f>IFERROR(__xludf.DUMMYFUNCTION("""COMPUTED_VALUE"""),"pylori")</f>
        <v>pylori</v>
      </c>
      <c r="E2637" t="str">
        <f>IFERROR(__xludf.DUMMYFUNCTION("""COMPUTED_VALUE"""),"F30")</f>
        <v>F30</v>
      </c>
    </row>
    <row r="2638" ht="15.75" customHeight="1">
      <c r="A2638" t="str">
        <f t="shared" si="1"/>
        <v>H.pylori</v>
      </c>
      <c r="B2638" s="5" t="s">
        <v>11779</v>
      </c>
      <c r="C2638" s="6" t="str">
        <f>IFERROR(__xludf.DUMMYFUNCTION("SPLIT('2. c'!B2638, "" "", True, True)"),"Helicobacter")</f>
        <v>Helicobacter</v>
      </c>
      <c r="D2638" t="str">
        <f>IFERROR(__xludf.DUMMYFUNCTION("""COMPUTED_VALUE"""),"pylori")</f>
        <v>pylori</v>
      </c>
      <c r="E2638" t="str">
        <f>IFERROR(__xludf.DUMMYFUNCTION("""COMPUTED_VALUE"""),"F32")</f>
        <v>F32</v>
      </c>
    </row>
    <row r="2639" ht="15.75" customHeight="1">
      <c r="A2639" t="str">
        <f t="shared" si="1"/>
        <v>H.pylori</v>
      </c>
      <c r="B2639" s="5" t="s">
        <v>11787</v>
      </c>
      <c r="C2639" s="6" t="str">
        <f>IFERROR(__xludf.DUMMYFUNCTION("SPLIT('2. c'!B2639, "" "", True, True)"),"Helicobacter")</f>
        <v>Helicobacter</v>
      </c>
      <c r="D2639" t="str">
        <f>IFERROR(__xludf.DUMMYFUNCTION("""COMPUTED_VALUE"""),"pylori")</f>
        <v>pylori</v>
      </c>
      <c r="E2639" t="str">
        <f>IFERROR(__xludf.DUMMYFUNCTION("""COMPUTED_VALUE"""),"F57")</f>
        <v>F57</v>
      </c>
    </row>
    <row r="2640" ht="15.75" customHeight="1">
      <c r="A2640" t="str">
        <f t="shared" si="1"/>
        <v>H.pylori</v>
      </c>
      <c r="B2640" s="5" t="s">
        <v>11796</v>
      </c>
      <c r="C2640" s="6" t="str">
        <f>IFERROR(__xludf.DUMMYFUNCTION("SPLIT('2. c'!B2640, "" "", True, True)"),"Helicobacter")</f>
        <v>Helicobacter</v>
      </c>
      <c r="D2640" t="str">
        <f>IFERROR(__xludf.DUMMYFUNCTION("""COMPUTED_VALUE"""),"pylori")</f>
        <v>pylori</v>
      </c>
      <c r="E2640" t="str">
        <f>IFERROR(__xludf.DUMMYFUNCTION("""COMPUTED_VALUE"""),"G27")</f>
        <v>G27</v>
      </c>
    </row>
    <row r="2641" ht="15.75" customHeight="1">
      <c r="A2641" t="str">
        <f t="shared" si="1"/>
        <v>H.pylori</v>
      </c>
      <c r="B2641" s="5" t="s">
        <v>11805</v>
      </c>
      <c r="C2641" s="6" t="str">
        <f>IFERROR(__xludf.DUMMYFUNCTION("SPLIT('2. c'!B2641, "" "", True, True)"),"Helicobacter")</f>
        <v>Helicobacter</v>
      </c>
      <c r="D2641" t="str">
        <f>IFERROR(__xludf.DUMMYFUNCTION("""COMPUTED_VALUE"""),"pylori")</f>
        <v>pylori</v>
      </c>
      <c r="E2641" t="str">
        <f>IFERROR(__xludf.DUMMYFUNCTION("""COMPUTED_VALUE"""),"Gambia94/24")</f>
        <v>Gambia94/24</v>
      </c>
    </row>
    <row r="2642" ht="15.75" customHeight="1">
      <c r="A2642" t="str">
        <f t="shared" si="1"/>
        <v>H.pylori</v>
      </c>
      <c r="B2642" s="5" t="s">
        <v>11813</v>
      </c>
      <c r="C2642" s="6" t="str">
        <f>IFERROR(__xludf.DUMMYFUNCTION("SPLIT('2. c'!B2642, "" "", True, True)"),"Helicobacter")</f>
        <v>Helicobacter</v>
      </c>
      <c r="D2642" t="str">
        <f>IFERROR(__xludf.DUMMYFUNCTION("""COMPUTED_VALUE"""),"pylori")</f>
        <v>pylori</v>
      </c>
      <c r="E2642" t="str">
        <f>IFERROR(__xludf.DUMMYFUNCTION("""COMPUTED_VALUE"""),"Hp238")</f>
        <v>Hp238</v>
      </c>
    </row>
    <row r="2643" ht="15.75" customHeight="1">
      <c r="A2643" t="str">
        <f t="shared" si="1"/>
        <v>H.pylori</v>
      </c>
      <c r="B2643" s="5" t="s">
        <v>11825</v>
      </c>
      <c r="C2643" s="6" t="str">
        <f>IFERROR(__xludf.DUMMYFUNCTION("SPLIT('2. c'!B2643, "" "", True, True)"),"Helicobacter")</f>
        <v>Helicobacter</v>
      </c>
      <c r="D2643" t="str">
        <f>IFERROR(__xludf.DUMMYFUNCTION("""COMPUTED_VALUE"""),"pylori")</f>
        <v>pylori</v>
      </c>
      <c r="E2643" t="str">
        <f>IFERROR(__xludf.DUMMYFUNCTION("""COMPUTED_VALUE"""),"HPAG1")</f>
        <v>HPAG1</v>
      </c>
    </row>
    <row r="2644" ht="15.75" customHeight="1">
      <c r="A2644" t="str">
        <f t="shared" si="1"/>
        <v>H.pylori</v>
      </c>
      <c r="B2644" s="5" t="s">
        <v>11833</v>
      </c>
      <c r="C2644" s="6" t="str">
        <f>IFERROR(__xludf.DUMMYFUNCTION("SPLIT('2. c'!B2644, "" "", True, True)"),"Helicobacter")</f>
        <v>Helicobacter</v>
      </c>
      <c r="D2644" t="str">
        <f>IFERROR(__xludf.DUMMYFUNCTION("""COMPUTED_VALUE"""),"pylori")</f>
        <v>pylori</v>
      </c>
      <c r="E2644" t="str">
        <f>IFERROR(__xludf.DUMMYFUNCTION("""COMPUTED_VALUE"""),"HUP-B14")</f>
        <v>HUP-B14</v>
      </c>
    </row>
    <row r="2645" ht="15.75" customHeight="1">
      <c r="A2645" t="str">
        <f t="shared" si="1"/>
        <v>H.pylori</v>
      </c>
      <c r="B2645" s="5" t="s">
        <v>11840</v>
      </c>
      <c r="C2645" s="6" t="str">
        <f>IFERROR(__xludf.DUMMYFUNCTION("SPLIT('2. c'!B2645, "" "", True, True)"),"Helicobacter")</f>
        <v>Helicobacter</v>
      </c>
      <c r="D2645" t="str">
        <f>IFERROR(__xludf.DUMMYFUNCTION("""COMPUTED_VALUE"""),"pylori")</f>
        <v>pylori</v>
      </c>
      <c r="E2645" t="str">
        <f>IFERROR(__xludf.DUMMYFUNCTION("""COMPUTED_VALUE"""),"India7")</f>
        <v>India7</v>
      </c>
    </row>
    <row r="2646" ht="15.75" customHeight="1">
      <c r="A2646" t="str">
        <f t="shared" si="1"/>
        <v>H.pylori</v>
      </c>
      <c r="B2646" s="5" t="s">
        <v>11847</v>
      </c>
      <c r="C2646" s="6" t="str">
        <f>IFERROR(__xludf.DUMMYFUNCTION("SPLIT('2. c'!B2646, "" "", True, True)"),"Helicobacter")</f>
        <v>Helicobacter</v>
      </c>
      <c r="D2646" t="str">
        <f>IFERROR(__xludf.DUMMYFUNCTION("""COMPUTED_VALUE"""),"pylori")</f>
        <v>pylori</v>
      </c>
      <c r="E2646" t="str">
        <f>IFERROR(__xludf.DUMMYFUNCTION("""COMPUTED_VALUE"""),"J166")</f>
        <v>J166</v>
      </c>
    </row>
    <row r="2647" ht="15.75" customHeight="1">
      <c r="A2647" t="str">
        <f t="shared" si="1"/>
        <v>H.pylori</v>
      </c>
      <c r="B2647" s="5" t="s">
        <v>11862</v>
      </c>
      <c r="C2647" s="6" t="str">
        <f>IFERROR(__xludf.DUMMYFUNCTION("SPLIT('2. c'!B2647, "" "", True, True)"),"Helicobacter")</f>
        <v>Helicobacter</v>
      </c>
      <c r="D2647" t="str">
        <f>IFERROR(__xludf.DUMMYFUNCTION("""COMPUTED_VALUE"""),"pylori")</f>
        <v>pylori</v>
      </c>
      <c r="E2647" t="str">
        <f>IFERROR(__xludf.DUMMYFUNCTION("""COMPUTED_VALUE"""),"J99")</f>
        <v>J99</v>
      </c>
    </row>
    <row r="2648" ht="15.75" customHeight="1">
      <c r="A2648" t="str">
        <f t="shared" si="1"/>
        <v>H.pylori</v>
      </c>
      <c r="B2648" s="5" t="s">
        <v>11862</v>
      </c>
      <c r="C2648" s="6" t="str">
        <f>IFERROR(__xludf.DUMMYFUNCTION("SPLIT('2. c'!B2648, "" "", True, True)"),"Helicobacter")</f>
        <v>Helicobacter</v>
      </c>
      <c r="D2648" t="str">
        <f>IFERROR(__xludf.DUMMYFUNCTION("""COMPUTED_VALUE"""),"pylori")</f>
        <v>pylori</v>
      </c>
      <c r="E2648" t="str">
        <f>IFERROR(__xludf.DUMMYFUNCTION("""COMPUTED_VALUE"""),"J99")</f>
        <v>J99</v>
      </c>
    </row>
    <row r="2649" ht="15.75" customHeight="1">
      <c r="A2649" t="str">
        <f t="shared" si="1"/>
        <v>H.pylori</v>
      </c>
      <c r="B2649" s="5" t="s">
        <v>11883</v>
      </c>
      <c r="C2649" s="6" t="str">
        <f>IFERROR(__xludf.DUMMYFUNCTION("SPLIT('2. c'!B2649, "" "", True, True)"),"Helicobacter")</f>
        <v>Helicobacter</v>
      </c>
      <c r="D2649" t="str">
        <f>IFERROR(__xludf.DUMMYFUNCTION("""COMPUTED_VALUE"""),"pylori")</f>
        <v>pylori</v>
      </c>
      <c r="E2649" t="str">
        <f>IFERROR(__xludf.DUMMYFUNCTION("""COMPUTED_VALUE"""),"Lithuania75")</f>
        <v>Lithuania75</v>
      </c>
    </row>
    <row r="2650" ht="15.75" customHeight="1">
      <c r="A2650" t="str">
        <f t="shared" si="1"/>
        <v>H.pylori</v>
      </c>
      <c r="B2650" s="5" t="s">
        <v>11894</v>
      </c>
      <c r="C2650" s="6" t="str">
        <f>IFERROR(__xludf.DUMMYFUNCTION("SPLIT('2. c'!B2650, "" "", True, True)"),"Helicobacter")</f>
        <v>Helicobacter</v>
      </c>
      <c r="D2650" t="str">
        <f>IFERROR(__xludf.DUMMYFUNCTION("""COMPUTED_VALUE"""),"pylori")</f>
        <v>pylori</v>
      </c>
      <c r="E2650" t="str">
        <f>IFERROR(__xludf.DUMMYFUNCTION("""COMPUTED_VALUE"""),"NY40")</f>
        <v>NY40</v>
      </c>
    </row>
    <row r="2651" ht="15.75" customHeight="1">
      <c r="A2651" t="str">
        <f t="shared" si="1"/>
        <v>H.pylori</v>
      </c>
      <c r="B2651" s="5" t="s">
        <v>11900</v>
      </c>
      <c r="C2651" s="6" t="str">
        <f>IFERROR(__xludf.DUMMYFUNCTION("SPLIT('2. c'!B2651, "" "", True, True)"),"Helicobacter")</f>
        <v>Helicobacter</v>
      </c>
      <c r="D2651" t="str">
        <f>IFERROR(__xludf.DUMMYFUNCTION("""COMPUTED_VALUE"""),"pylori")</f>
        <v>pylori</v>
      </c>
      <c r="E2651" t="str">
        <f>IFERROR(__xludf.DUMMYFUNCTION("""COMPUTED_VALUE"""),"OK113")</f>
        <v>OK113</v>
      </c>
    </row>
    <row r="2652" ht="15.75" customHeight="1">
      <c r="A2652" t="str">
        <f t="shared" si="1"/>
        <v>H.pylori</v>
      </c>
      <c r="B2652" s="5" t="s">
        <v>11905</v>
      </c>
      <c r="C2652" s="6" t="str">
        <f>IFERROR(__xludf.DUMMYFUNCTION("SPLIT('2. c'!B2652, "" "", True, True)"),"Helicobacter")</f>
        <v>Helicobacter</v>
      </c>
      <c r="D2652" t="str">
        <f>IFERROR(__xludf.DUMMYFUNCTION("""COMPUTED_VALUE"""),"pylori")</f>
        <v>pylori</v>
      </c>
      <c r="E2652" t="str">
        <f>IFERROR(__xludf.DUMMYFUNCTION("""COMPUTED_VALUE"""),"OK310")</f>
        <v>OK310</v>
      </c>
    </row>
    <row r="2653" ht="15.75" customHeight="1">
      <c r="A2653" t="str">
        <f t="shared" si="1"/>
        <v>H.pylori</v>
      </c>
      <c r="B2653" s="5" t="s">
        <v>11910</v>
      </c>
      <c r="C2653" s="6" t="str">
        <f>IFERROR(__xludf.DUMMYFUNCTION("SPLIT('2. c'!B2653, "" "", True, True)"),"Helicobacter")</f>
        <v>Helicobacter</v>
      </c>
      <c r="D2653" t="str">
        <f>IFERROR(__xludf.DUMMYFUNCTION("""COMPUTED_VALUE"""),"pylori")</f>
        <v>pylori</v>
      </c>
      <c r="E2653" t="str">
        <f>IFERROR(__xludf.DUMMYFUNCTION("""COMPUTED_VALUE"""),"oki102")</f>
        <v>oki102</v>
      </c>
    </row>
    <row r="2654" ht="15.75" customHeight="1">
      <c r="A2654" t="str">
        <f t="shared" si="1"/>
        <v>H.pylori</v>
      </c>
      <c r="B2654" s="5" t="s">
        <v>11916</v>
      </c>
      <c r="C2654" s="6" t="str">
        <f>IFERROR(__xludf.DUMMYFUNCTION("SPLIT('2. c'!B2654, "" "", True, True)"),"Helicobacter")</f>
        <v>Helicobacter</v>
      </c>
      <c r="D2654" t="str">
        <f>IFERROR(__xludf.DUMMYFUNCTION("""COMPUTED_VALUE"""),"pylori")</f>
        <v>pylori</v>
      </c>
      <c r="E2654" t="str">
        <f>IFERROR(__xludf.DUMMYFUNCTION("""COMPUTED_VALUE"""),"oki112")</f>
        <v>oki112</v>
      </c>
    </row>
    <row r="2655" ht="15.75" customHeight="1">
      <c r="A2655" t="str">
        <f t="shared" si="1"/>
        <v>H.pylori</v>
      </c>
      <c r="B2655" s="5" t="s">
        <v>11921</v>
      </c>
      <c r="C2655" s="6" t="str">
        <f>IFERROR(__xludf.DUMMYFUNCTION("SPLIT('2. c'!B2655, "" "", True, True)"),"Helicobacter")</f>
        <v>Helicobacter</v>
      </c>
      <c r="D2655" t="str">
        <f>IFERROR(__xludf.DUMMYFUNCTION("""COMPUTED_VALUE"""),"pylori")</f>
        <v>pylori</v>
      </c>
      <c r="E2655" t="str">
        <f>IFERROR(__xludf.DUMMYFUNCTION("""COMPUTED_VALUE"""),"oki128")</f>
        <v>oki128</v>
      </c>
    </row>
    <row r="2656" ht="15.75" customHeight="1">
      <c r="A2656" t="str">
        <f t="shared" si="1"/>
        <v>H.pylori</v>
      </c>
      <c r="B2656" s="5" t="s">
        <v>11927</v>
      </c>
      <c r="C2656" s="6" t="str">
        <f>IFERROR(__xludf.DUMMYFUNCTION("SPLIT('2. c'!B2656, "" "", True, True)"),"Helicobacter")</f>
        <v>Helicobacter</v>
      </c>
      <c r="D2656" t="str">
        <f>IFERROR(__xludf.DUMMYFUNCTION("""COMPUTED_VALUE"""),"pylori")</f>
        <v>pylori</v>
      </c>
      <c r="E2656" t="str">
        <f>IFERROR(__xludf.DUMMYFUNCTION("""COMPUTED_VALUE"""),"oki154")</f>
        <v>oki154</v>
      </c>
    </row>
    <row r="2657" ht="15.75" customHeight="1">
      <c r="A2657" t="str">
        <f t="shared" si="1"/>
        <v>H.pylori</v>
      </c>
      <c r="B2657" s="5" t="s">
        <v>11934</v>
      </c>
      <c r="C2657" s="6" t="str">
        <f>IFERROR(__xludf.DUMMYFUNCTION("SPLIT('2. c'!B2657, "" "", True, True)"),"Helicobacter")</f>
        <v>Helicobacter</v>
      </c>
      <c r="D2657" t="str">
        <f>IFERROR(__xludf.DUMMYFUNCTION("""COMPUTED_VALUE"""),"pylori")</f>
        <v>pylori</v>
      </c>
      <c r="E2657" t="str">
        <f>IFERROR(__xludf.DUMMYFUNCTION("""COMPUTED_VALUE"""),"oki422")</f>
        <v>oki422</v>
      </c>
    </row>
    <row r="2658" ht="15.75" customHeight="1">
      <c r="A2658" t="str">
        <f t="shared" si="1"/>
        <v>H.pylori</v>
      </c>
      <c r="B2658" s="5" t="s">
        <v>11945</v>
      </c>
      <c r="C2658" s="6" t="str">
        <f>IFERROR(__xludf.DUMMYFUNCTION("SPLIT('2. c'!B2658, "" "", True, True)"),"Helicobacter")</f>
        <v>Helicobacter</v>
      </c>
      <c r="D2658" t="str">
        <f>IFERROR(__xludf.DUMMYFUNCTION("""COMPUTED_VALUE"""),"pylori")</f>
        <v>pylori</v>
      </c>
      <c r="E2658" t="str">
        <f>IFERROR(__xludf.DUMMYFUNCTION("""COMPUTED_VALUE"""),"oki673")</f>
        <v>oki673</v>
      </c>
    </row>
    <row r="2659" ht="15.75" customHeight="1">
      <c r="A2659" t="str">
        <f t="shared" si="1"/>
        <v>H.pylori</v>
      </c>
      <c r="B2659" s="5" t="s">
        <v>11958</v>
      </c>
      <c r="C2659" s="6" t="str">
        <f>IFERROR(__xludf.DUMMYFUNCTION("SPLIT('2. c'!B2659, "" "", True, True)"),"Helicobacter")</f>
        <v>Helicobacter</v>
      </c>
      <c r="D2659" t="str">
        <f>IFERROR(__xludf.DUMMYFUNCTION("""COMPUTED_VALUE"""),"pylori")</f>
        <v>pylori</v>
      </c>
      <c r="E2659" t="str">
        <f>IFERROR(__xludf.DUMMYFUNCTION("""COMPUTED_VALUE"""),"oki828")</f>
        <v>oki828</v>
      </c>
    </row>
    <row r="2660" ht="15.75" customHeight="1">
      <c r="A2660" t="str">
        <f t="shared" si="1"/>
        <v>H.pylori</v>
      </c>
      <c r="B2660" s="5" t="s">
        <v>11965</v>
      </c>
      <c r="C2660" s="6" t="str">
        <f>IFERROR(__xludf.DUMMYFUNCTION("SPLIT('2. c'!B2660, "" "", True, True)"),"Helicobacter")</f>
        <v>Helicobacter</v>
      </c>
      <c r="D2660" t="str">
        <f>IFERROR(__xludf.DUMMYFUNCTION("""COMPUTED_VALUE"""),"pylori")</f>
        <v>pylori</v>
      </c>
      <c r="E2660" t="str">
        <f>IFERROR(__xludf.DUMMYFUNCTION("""COMPUTED_VALUE"""),"oki898")</f>
        <v>oki898</v>
      </c>
    </row>
    <row r="2661" ht="15.75" customHeight="1">
      <c r="A2661" t="str">
        <f t="shared" si="1"/>
        <v>H.pylori</v>
      </c>
      <c r="B2661" s="5" t="s">
        <v>11973</v>
      </c>
      <c r="C2661" s="6" t="str">
        <f>IFERROR(__xludf.DUMMYFUNCTION("SPLIT('2. c'!B2661, "" "", True, True)"),"Helicobacter")</f>
        <v>Helicobacter</v>
      </c>
      <c r="D2661" t="str">
        <f>IFERROR(__xludf.DUMMYFUNCTION("""COMPUTED_VALUE"""),"pylori")</f>
        <v>pylori</v>
      </c>
      <c r="E2661" t="str">
        <f>IFERROR(__xludf.DUMMYFUNCTION("""COMPUTED_VALUE"""),"P12")</f>
        <v>P12</v>
      </c>
    </row>
    <row r="2662" ht="15.75" customHeight="1">
      <c r="A2662" t="str">
        <f t="shared" si="1"/>
        <v>H.pylori</v>
      </c>
      <c r="B2662" s="5" t="s">
        <v>11978</v>
      </c>
      <c r="C2662" s="6" t="str">
        <f>IFERROR(__xludf.DUMMYFUNCTION("SPLIT('2. c'!B2662, "" "", True, True)"),"Helicobacter")</f>
        <v>Helicobacter</v>
      </c>
      <c r="D2662" t="str">
        <f>IFERROR(__xludf.DUMMYFUNCTION("""COMPUTED_VALUE"""),"pylori")</f>
        <v>pylori</v>
      </c>
      <c r="E2662" t="str">
        <f>IFERROR(__xludf.DUMMYFUNCTION("""COMPUTED_VALUE"""),"PeCan18")</f>
        <v>PeCan18</v>
      </c>
    </row>
    <row r="2663" ht="15.75" customHeight="1">
      <c r="A2663" t="str">
        <f t="shared" si="1"/>
        <v>H.pylori</v>
      </c>
      <c r="B2663" s="5" t="s">
        <v>11984</v>
      </c>
      <c r="C2663" s="6" t="str">
        <f>IFERROR(__xludf.DUMMYFUNCTION("SPLIT('2. c'!B2663, "" "", True, True)"),"Helicobacter")</f>
        <v>Helicobacter</v>
      </c>
      <c r="D2663" t="str">
        <f>IFERROR(__xludf.DUMMYFUNCTION("""COMPUTED_VALUE"""),"pylori")</f>
        <v>pylori</v>
      </c>
      <c r="E2663" t="str">
        <f>IFERROR(__xludf.DUMMYFUNCTION("""COMPUTED_VALUE"""),"PeCan4")</f>
        <v>PeCan4</v>
      </c>
    </row>
    <row r="2664" ht="15.75" customHeight="1">
      <c r="A2664" t="str">
        <f t="shared" si="1"/>
        <v>H.pylori</v>
      </c>
      <c r="B2664" s="5" t="s">
        <v>11993</v>
      </c>
      <c r="C2664" s="6" t="str">
        <f>IFERROR(__xludf.DUMMYFUNCTION("SPLIT('2. c'!B2664, "" "", True, True)"),"Helicobacter")</f>
        <v>Helicobacter</v>
      </c>
      <c r="D2664" t="str">
        <f>IFERROR(__xludf.DUMMYFUNCTION("""COMPUTED_VALUE"""),"pylori")</f>
        <v>pylori</v>
      </c>
      <c r="E2664" t="str">
        <f>IFERROR(__xludf.DUMMYFUNCTION("""COMPUTED_VALUE"""),"Puno120")</f>
        <v>Puno120</v>
      </c>
    </row>
    <row r="2665" ht="15.75" customHeight="1">
      <c r="A2665" t="str">
        <f t="shared" si="1"/>
        <v>H.pylori</v>
      </c>
      <c r="B2665" s="5" t="s">
        <v>11999</v>
      </c>
      <c r="C2665" s="6" t="str">
        <f>IFERROR(__xludf.DUMMYFUNCTION("SPLIT('2. c'!B2665, "" "", True, True)"),"Helicobacter")</f>
        <v>Helicobacter</v>
      </c>
      <c r="D2665" t="str">
        <f>IFERROR(__xludf.DUMMYFUNCTION("""COMPUTED_VALUE"""),"pylori")</f>
        <v>pylori</v>
      </c>
      <c r="E2665" t="str">
        <f>IFERROR(__xludf.DUMMYFUNCTION("""COMPUTED_VALUE"""),"Puno135")</f>
        <v>Puno135</v>
      </c>
    </row>
    <row r="2666" ht="15.75" customHeight="1">
      <c r="A2666" t="str">
        <f t="shared" si="1"/>
        <v>H.pylori</v>
      </c>
      <c r="B2666" s="5" t="s">
        <v>12005</v>
      </c>
      <c r="C2666" s="6" t="str">
        <f>IFERROR(__xludf.DUMMYFUNCTION("SPLIT('2. c'!B2666, "" "", True, True)"),"Helicobacter")</f>
        <v>Helicobacter</v>
      </c>
      <c r="D2666" t="str">
        <f>IFERROR(__xludf.DUMMYFUNCTION("""COMPUTED_VALUE"""),"pylori")</f>
        <v>pylori</v>
      </c>
      <c r="E2666" t="str">
        <f>IFERROR(__xludf.DUMMYFUNCTION("""COMPUTED_VALUE"""),"Rif1")</f>
        <v>Rif1</v>
      </c>
    </row>
    <row r="2667" ht="15.75" customHeight="1">
      <c r="A2667" t="str">
        <f t="shared" si="1"/>
        <v>H.pylori</v>
      </c>
      <c r="B2667" s="5" t="s">
        <v>12013</v>
      </c>
      <c r="C2667" s="6" t="str">
        <f>IFERROR(__xludf.DUMMYFUNCTION("SPLIT('2. c'!B2667, "" "", True, True)"),"Helicobacter")</f>
        <v>Helicobacter</v>
      </c>
      <c r="D2667" t="str">
        <f>IFERROR(__xludf.DUMMYFUNCTION("""COMPUTED_VALUE"""),"pylori")</f>
        <v>pylori</v>
      </c>
      <c r="E2667" t="str">
        <f>IFERROR(__xludf.DUMMYFUNCTION("""COMPUTED_VALUE"""),"Rif2")</f>
        <v>Rif2</v>
      </c>
    </row>
    <row r="2668" ht="15.75" customHeight="1">
      <c r="A2668" t="str">
        <f t="shared" si="1"/>
        <v>H.pylori</v>
      </c>
      <c r="B2668" s="5" t="s">
        <v>12020</v>
      </c>
      <c r="C2668" s="6" t="str">
        <f>IFERROR(__xludf.DUMMYFUNCTION("SPLIT('2. c'!B2668, "" "", True, True)"),"Helicobacter")</f>
        <v>Helicobacter</v>
      </c>
      <c r="D2668" t="str">
        <f>IFERROR(__xludf.DUMMYFUNCTION("""COMPUTED_VALUE"""),"pylori")</f>
        <v>pylori</v>
      </c>
      <c r="E2668" t="str">
        <f>IFERROR(__xludf.DUMMYFUNCTION("""COMPUTED_VALUE"""),"Sat464")</f>
        <v>Sat464</v>
      </c>
    </row>
    <row r="2669" ht="15.75" customHeight="1">
      <c r="A2669" t="str">
        <f t="shared" si="1"/>
        <v>H.pylori</v>
      </c>
      <c r="B2669" s="5" t="s">
        <v>12025</v>
      </c>
      <c r="C2669" s="6" t="str">
        <f>IFERROR(__xludf.DUMMYFUNCTION("SPLIT('2. c'!B2669, "" "", True, True)"),"Helicobacter")</f>
        <v>Helicobacter</v>
      </c>
      <c r="D2669" t="str">
        <f>IFERROR(__xludf.DUMMYFUNCTION("""COMPUTED_VALUE"""),"pylori")</f>
        <v>pylori</v>
      </c>
      <c r="E2669" t="str">
        <f>IFERROR(__xludf.DUMMYFUNCTION("""COMPUTED_VALUE"""),"Shi112")</f>
        <v>Shi112</v>
      </c>
    </row>
    <row r="2670" ht="15.75" customHeight="1">
      <c r="A2670" t="str">
        <f t="shared" si="1"/>
        <v>H.pylori</v>
      </c>
      <c r="B2670" s="5" t="s">
        <v>12029</v>
      </c>
      <c r="C2670" s="6" t="str">
        <f>IFERROR(__xludf.DUMMYFUNCTION("SPLIT('2. c'!B2670, "" "", True, True)"),"Helicobacter")</f>
        <v>Helicobacter</v>
      </c>
      <c r="D2670" t="str">
        <f>IFERROR(__xludf.DUMMYFUNCTION("""COMPUTED_VALUE"""),"pylori")</f>
        <v>pylori</v>
      </c>
      <c r="E2670" t="str">
        <f>IFERROR(__xludf.DUMMYFUNCTION("""COMPUTED_VALUE"""),"Shi169")</f>
        <v>Shi169</v>
      </c>
    </row>
    <row r="2671" ht="15.75" customHeight="1">
      <c r="A2671" t="str">
        <f t="shared" si="1"/>
        <v>H.pylori</v>
      </c>
      <c r="B2671" s="5" t="s">
        <v>12034</v>
      </c>
      <c r="C2671" s="6" t="str">
        <f>IFERROR(__xludf.DUMMYFUNCTION("SPLIT('2. c'!B2671, "" "", True, True)"),"Helicobacter")</f>
        <v>Helicobacter</v>
      </c>
      <c r="D2671" t="str">
        <f>IFERROR(__xludf.DUMMYFUNCTION("""COMPUTED_VALUE"""),"pylori")</f>
        <v>pylori</v>
      </c>
      <c r="E2671" t="str">
        <f>IFERROR(__xludf.DUMMYFUNCTION("""COMPUTED_VALUE"""),"Shi417")</f>
        <v>Shi417</v>
      </c>
    </row>
    <row r="2672" ht="15.75" customHeight="1">
      <c r="A2672" t="str">
        <f t="shared" si="1"/>
        <v>H.pylori</v>
      </c>
      <c r="B2672" s="5" t="s">
        <v>12039</v>
      </c>
      <c r="C2672" s="6" t="str">
        <f>IFERROR(__xludf.DUMMYFUNCTION("SPLIT('2. c'!B2672, "" "", True, True)"),"Helicobacter")</f>
        <v>Helicobacter</v>
      </c>
      <c r="D2672" t="str">
        <f>IFERROR(__xludf.DUMMYFUNCTION("""COMPUTED_VALUE"""),"pylori")</f>
        <v>pylori</v>
      </c>
      <c r="E2672" t="str">
        <f>IFERROR(__xludf.DUMMYFUNCTION("""COMPUTED_VALUE"""),"Shi470")</f>
        <v>Shi470</v>
      </c>
    </row>
    <row r="2673" ht="15.75" customHeight="1">
      <c r="A2673" t="str">
        <f t="shared" si="1"/>
        <v>H.pylori</v>
      </c>
      <c r="B2673" s="5" t="s">
        <v>12048</v>
      </c>
      <c r="C2673" s="6" t="str">
        <f>IFERROR(__xludf.DUMMYFUNCTION("SPLIT('2. c'!B2673, "" "", True, True)"),"Helicobacter")</f>
        <v>Helicobacter</v>
      </c>
      <c r="D2673" t="str">
        <f>IFERROR(__xludf.DUMMYFUNCTION("""COMPUTED_VALUE"""),"pylori")</f>
        <v>pylori</v>
      </c>
      <c r="E2673" t="str">
        <f>IFERROR(__xludf.DUMMYFUNCTION("""COMPUTED_VALUE"""),"SJM180")</f>
        <v>SJM180</v>
      </c>
    </row>
    <row r="2674" ht="15.75" customHeight="1">
      <c r="A2674" t="str">
        <f t="shared" si="1"/>
        <v>H.pylori</v>
      </c>
      <c r="B2674" s="5" t="s">
        <v>12057</v>
      </c>
      <c r="C2674" s="6" t="str">
        <f>IFERROR(__xludf.DUMMYFUNCTION("SPLIT('2. c'!B2674, "" "", True, True)"),"Helicobacter")</f>
        <v>Helicobacter</v>
      </c>
      <c r="D2674" t="str">
        <f>IFERROR(__xludf.DUMMYFUNCTION("""COMPUTED_VALUE"""),"pylori")</f>
        <v>pylori</v>
      </c>
      <c r="E2674" t="str">
        <f>IFERROR(__xludf.DUMMYFUNCTION("""COMPUTED_VALUE"""),"SNT49")</f>
        <v>SNT49</v>
      </c>
    </row>
    <row r="2675" ht="15.75" customHeight="1">
      <c r="A2675" t="str">
        <f t="shared" si="1"/>
        <v>H.pylori</v>
      </c>
      <c r="B2675" s="5" t="s">
        <v>12066</v>
      </c>
      <c r="C2675" s="6" t="str">
        <f>IFERROR(__xludf.DUMMYFUNCTION("SPLIT('2. c'!B2675, "" "", True, True)"),"Helicobacter")</f>
        <v>Helicobacter</v>
      </c>
      <c r="D2675" t="str">
        <f>IFERROR(__xludf.DUMMYFUNCTION("""COMPUTED_VALUE"""),"pylori")</f>
        <v>pylori</v>
      </c>
      <c r="E2675" t="str">
        <f>IFERROR(__xludf.DUMMYFUNCTION("""COMPUTED_VALUE"""),"SouthAfrica20")</f>
        <v>SouthAfrica20</v>
      </c>
    </row>
    <row r="2676" ht="15.75" customHeight="1">
      <c r="A2676" t="str">
        <f t="shared" si="1"/>
        <v>H.pylori</v>
      </c>
      <c r="B2676" s="5" t="s">
        <v>12074</v>
      </c>
      <c r="C2676" s="6" t="str">
        <f>IFERROR(__xludf.DUMMYFUNCTION("SPLIT('2. c'!B2676, "" "", True, True)"),"Helicobacter")</f>
        <v>Helicobacter</v>
      </c>
      <c r="D2676" t="str">
        <f>IFERROR(__xludf.DUMMYFUNCTION("""COMPUTED_VALUE"""),"pylori")</f>
        <v>pylori</v>
      </c>
      <c r="E2676" t="str">
        <f>IFERROR(__xludf.DUMMYFUNCTION("""COMPUTED_VALUE"""),"SouthAfrica7")</f>
        <v>SouthAfrica7</v>
      </c>
    </row>
    <row r="2677" ht="15.75" customHeight="1">
      <c r="A2677" t="str">
        <f t="shared" si="1"/>
        <v>H.pylori</v>
      </c>
      <c r="B2677" s="5" t="s">
        <v>12086</v>
      </c>
      <c r="C2677" s="6" t="str">
        <f>IFERROR(__xludf.DUMMYFUNCTION("SPLIT('2. c'!B2677, "" "", True, True)"),"Helicobacter")</f>
        <v>Helicobacter</v>
      </c>
      <c r="D2677" t="str">
        <f>IFERROR(__xludf.DUMMYFUNCTION("""COMPUTED_VALUE"""),"pylori")</f>
        <v>pylori</v>
      </c>
      <c r="E2677" t="str">
        <f>IFERROR(__xludf.DUMMYFUNCTION("""COMPUTED_VALUE"""),"strain")</f>
        <v>strain</v>
      </c>
      <c r="F2677" t="str">
        <f>IFERROR(__xludf.DUMMYFUNCTION("""COMPUTED_VALUE"""),"29CaP")</f>
        <v>29CaP</v>
      </c>
    </row>
    <row r="2678" ht="15.75" customHeight="1">
      <c r="A2678" t="str">
        <f t="shared" si="1"/>
        <v>H.pylori</v>
      </c>
      <c r="B2678" s="5" t="s">
        <v>12095</v>
      </c>
      <c r="C2678" s="6" t="str">
        <f>IFERROR(__xludf.DUMMYFUNCTION("SPLIT('2. c'!B2678, "" "", True, True)"),"Helicobacter")</f>
        <v>Helicobacter</v>
      </c>
      <c r="D2678" t="str">
        <f>IFERROR(__xludf.DUMMYFUNCTION("""COMPUTED_VALUE"""),"pylori")</f>
        <v>pylori</v>
      </c>
      <c r="E2678" t="str">
        <f>IFERROR(__xludf.DUMMYFUNCTION("""COMPUTED_VALUE"""),"strain")</f>
        <v>strain</v>
      </c>
      <c r="F2678" t="str">
        <f>IFERROR(__xludf.DUMMYFUNCTION("""COMPUTED_VALUE"""),"7C")</f>
        <v>7C</v>
      </c>
    </row>
    <row r="2679" ht="15.75" customHeight="1">
      <c r="A2679" t="str">
        <f t="shared" si="1"/>
        <v>H.pylori</v>
      </c>
      <c r="B2679" s="5" t="s">
        <v>12103</v>
      </c>
      <c r="C2679" s="6" t="str">
        <f>IFERROR(__xludf.DUMMYFUNCTION("SPLIT('2. c'!B2679, "" "", True, True)"),"Helicobacter")</f>
        <v>Helicobacter</v>
      </c>
      <c r="D2679" t="str">
        <f>IFERROR(__xludf.DUMMYFUNCTION("""COMPUTED_VALUE"""),"pylori")</f>
        <v>pylori</v>
      </c>
      <c r="E2679" t="str">
        <f>IFERROR(__xludf.DUMMYFUNCTION("""COMPUTED_VALUE"""),"strain")</f>
        <v>strain</v>
      </c>
      <c r="F2679" t="str">
        <f>IFERROR(__xludf.DUMMYFUNCTION("""COMPUTED_VALUE"""),"ausabrJ05")</f>
        <v>ausabrJ05</v>
      </c>
    </row>
    <row r="2680" ht="15.75" customHeight="1">
      <c r="A2680" t="str">
        <f t="shared" si="1"/>
        <v>H.pylori</v>
      </c>
      <c r="B2680" s="5" t="s">
        <v>12112</v>
      </c>
      <c r="C2680" s="6" t="str">
        <f>IFERROR(__xludf.DUMMYFUNCTION("SPLIT('2. c'!B2680, "" "", True, True)"),"Helicobacter")</f>
        <v>Helicobacter</v>
      </c>
      <c r="D2680" t="str">
        <f>IFERROR(__xludf.DUMMYFUNCTION("""COMPUTED_VALUE"""),"pylori")</f>
        <v>pylori</v>
      </c>
      <c r="E2680" t="str">
        <f>IFERROR(__xludf.DUMMYFUNCTION("""COMPUTED_VALUE"""),"strain")</f>
        <v>strain</v>
      </c>
      <c r="F2680" t="str">
        <f>IFERROR(__xludf.DUMMYFUNCTION("""COMPUTED_VALUE"""),"BM012B")</f>
        <v>BM012B</v>
      </c>
    </row>
    <row r="2681" ht="15.75" customHeight="1">
      <c r="A2681" t="str">
        <f t="shared" si="1"/>
        <v>H.pylori</v>
      </c>
      <c r="B2681" s="5" t="s">
        <v>12120</v>
      </c>
      <c r="C2681" s="6" t="str">
        <f>IFERROR(__xludf.DUMMYFUNCTION("SPLIT('2. c'!B2681, "" "", True, True)"),"Helicobacter")</f>
        <v>Helicobacter</v>
      </c>
      <c r="D2681" t="str">
        <f>IFERROR(__xludf.DUMMYFUNCTION("""COMPUTED_VALUE"""),"pylori")</f>
        <v>pylori</v>
      </c>
      <c r="E2681" t="str">
        <f>IFERROR(__xludf.DUMMYFUNCTION("""COMPUTED_VALUE"""),"strain")</f>
        <v>strain</v>
      </c>
      <c r="F2681" t="str">
        <f>IFERROR(__xludf.DUMMYFUNCTION("""COMPUTED_VALUE"""),"BM013A")</f>
        <v>BM013A</v>
      </c>
    </row>
    <row r="2682" ht="15.75" customHeight="1">
      <c r="A2682" t="str">
        <f t="shared" si="1"/>
        <v>H.pylori</v>
      </c>
      <c r="B2682" s="5" t="s">
        <v>12128</v>
      </c>
      <c r="C2682" s="6" t="str">
        <f>IFERROR(__xludf.DUMMYFUNCTION("SPLIT('2. c'!B2682, "" "", True, True)"),"Helicobacter")</f>
        <v>Helicobacter</v>
      </c>
      <c r="D2682" t="str">
        <f>IFERROR(__xludf.DUMMYFUNCTION("""COMPUTED_VALUE"""),"pylori")</f>
        <v>pylori</v>
      </c>
      <c r="E2682" t="str">
        <f>IFERROR(__xludf.DUMMYFUNCTION("""COMPUTED_VALUE"""),"strain")</f>
        <v>strain</v>
      </c>
      <c r="F2682" t="str">
        <f>IFERROR(__xludf.DUMMYFUNCTION("""COMPUTED_VALUE"""),"BM013B")</f>
        <v>BM013B</v>
      </c>
    </row>
    <row r="2683" ht="15.75" customHeight="1">
      <c r="A2683" t="str">
        <f t="shared" si="1"/>
        <v>H.pylori</v>
      </c>
      <c r="B2683" s="5" t="s">
        <v>12139</v>
      </c>
      <c r="C2683" s="6" t="str">
        <f>IFERROR(__xludf.DUMMYFUNCTION("SPLIT('2. c'!B2683, "" "", True, True)"),"Helicobacter")</f>
        <v>Helicobacter</v>
      </c>
      <c r="D2683" t="str">
        <f>IFERROR(__xludf.DUMMYFUNCTION("""COMPUTED_VALUE"""),"pylori")</f>
        <v>pylori</v>
      </c>
      <c r="E2683" t="str">
        <f>IFERROR(__xludf.DUMMYFUNCTION("""COMPUTED_VALUE"""),"strain")</f>
        <v>strain</v>
      </c>
      <c r="F2683" t="str">
        <f>IFERROR(__xludf.DUMMYFUNCTION("""COMPUTED_VALUE"""),"CC33C")</f>
        <v>CC33C</v>
      </c>
    </row>
    <row r="2684" ht="15.75" customHeight="1">
      <c r="A2684" t="str">
        <f t="shared" si="1"/>
        <v>H.pylori</v>
      </c>
      <c r="B2684" s="5" t="s">
        <v>12148</v>
      </c>
      <c r="C2684" s="6" t="str">
        <f>IFERROR(__xludf.DUMMYFUNCTION("SPLIT('2. c'!B2684, "" "", True, True)"),"Helicobacter")</f>
        <v>Helicobacter</v>
      </c>
      <c r="D2684" t="str">
        <f>IFERROR(__xludf.DUMMYFUNCTION("""COMPUTED_VALUE"""),"pylori")</f>
        <v>pylori</v>
      </c>
      <c r="E2684" t="str">
        <f>IFERROR(__xludf.DUMMYFUNCTION("""COMPUTED_VALUE"""),"strain")</f>
        <v>strain</v>
      </c>
      <c r="F2684" t="str">
        <f>IFERROR(__xludf.DUMMYFUNCTION("""COMPUTED_VALUE"""),"DU15")</f>
        <v>DU15</v>
      </c>
    </row>
    <row r="2685" ht="15.75" customHeight="1">
      <c r="A2685" t="str">
        <f t="shared" si="1"/>
        <v>H.pylori</v>
      </c>
      <c r="B2685" s="5" t="s">
        <v>12156</v>
      </c>
      <c r="C2685" s="6" t="str">
        <f>IFERROR(__xludf.DUMMYFUNCTION("SPLIT('2. c'!B2685, "" "", True, True)"),"Helicobacter")</f>
        <v>Helicobacter</v>
      </c>
      <c r="D2685" t="str">
        <f>IFERROR(__xludf.DUMMYFUNCTION("""COMPUTED_VALUE"""),"pylori")</f>
        <v>pylori</v>
      </c>
      <c r="E2685" t="str">
        <f>IFERROR(__xludf.DUMMYFUNCTION("""COMPUTED_VALUE"""),"strain")</f>
        <v>strain</v>
      </c>
      <c r="F2685" t="str">
        <f>IFERROR(__xludf.DUMMYFUNCTION("""COMPUTED_VALUE"""),"K26A1")</f>
        <v>K26A1</v>
      </c>
    </row>
    <row r="2686" ht="15.75" customHeight="1">
      <c r="A2686" t="str">
        <f t="shared" si="1"/>
        <v>H.pylori</v>
      </c>
      <c r="B2686" s="5" t="s">
        <v>12163</v>
      </c>
      <c r="C2686" s="6" t="str">
        <f>IFERROR(__xludf.DUMMYFUNCTION("SPLIT('2. c'!B2686, "" "", True, True)"),"Helicobacter")</f>
        <v>Helicobacter</v>
      </c>
      <c r="D2686" t="str">
        <f>IFERROR(__xludf.DUMMYFUNCTION("""COMPUTED_VALUE"""),"pylori")</f>
        <v>pylori</v>
      </c>
      <c r="E2686" t="str">
        <f>IFERROR(__xludf.DUMMYFUNCTION("""COMPUTED_VALUE"""),"strain")</f>
        <v>strain</v>
      </c>
      <c r="F2686" t="str">
        <f>IFERROR(__xludf.DUMMYFUNCTION("""COMPUTED_VALUE"""),"L7")</f>
        <v>L7</v>
      </c>
    </row>
    <row r="2687" ht="15.75" customHeight="1">
      <c r="A2687" t="str">
        <f t="shared" si="1"/>
        <v>H.pylori</v>
      </c>
      <c r="B2687" s="5" t="s">
        <v>12170</v>
      </c>
      <c r="C2687" s="6" t="str">
        <f>IFERROR(__xludf.DUMMYFUNCTION("SPLIT('2. c'!B2687, "" "", True, True)"),"Helicobacter")</f>
        <v>Helicobacter</v>
      </c>
      <c r="D2687" t="str">
        <f>IFERROR(__xludf.DUMMYFUNCTION("""COMPUTED_VALUE"""),"pylori")</f>
        <v>pylori</v>
      </c>
      <c r="E2687" t="str">
        <f>IFERROR(__xludf.DUMMYFUNCTION("""COMPUTED_VALUE"""),"strain")</f>
        <v>strain</v>
      </c>
      <c r="F2687" t="str">
        <f>IFERROR(__xludf.DUMMYFUNCTION("""COMPUTED_VALUE"""),"ML1")</f>
        <v>ML1</v>
      </c>
    </row>
    <row r="2688" ht="15.75" customHeight="1">
      <c r="A2688" t="str">
        <f t="shared" si="1"/>
        <v>H.pylori</v>
      </c>
      <c r="B2688" s="5" t="s">
        <v>12178</v>
      </c>
      <c r="C2688" s="6" t="str">
        <f>IFERROR(__xludf.DUMMYFUNCTION("SPLIT('2. c'!B2688, "" "", True, True)"),"Helicobacter")</f>
        <v>Helicobacter</v>
      </c>
      <c r="D2688" t="str">
        <f>IFERROR(__xludf.DUMMYFUNCTION("""COMPUTED_VALUE"""),"pylori")</f>
        <v>pylori</v>
      </c>
      <c r="E2688" t="str">
        <f>IFERROR(__xludf.DUMMYFUNCTION("""COMPUTED_VALUE"""),"strain")</f>
        <v>strain</v>
      </c>
      <c r="F2688" t="str">
        <f>IFERROR(__xludf.DUMMYFUNCTION("""COMPUTED_VALUE"""),"ML2")</f>
        <v>ML2</v>
      </c>
    </row>
    <row r="2689" ht="15.75" customHeight="1">
      <c r="A2689" t="str">
        <f t="shared" si="1"/>
        <v>H.pylori</v>
      </c>
      <c r="B2689" s="5" t="s">
        <v>12187</v>
      </c>
      <c r="C2689" s="6" t="str">
        <f>IFERROR(__xludf.DUMMYFUNCTION("SPLIT('2. c'!B2689, "" "", True, True)"),"Helicobacter")</f>
        <v>Helicobacter</v>
      </c>
      <c r="D2689" t="str">
        <f>IFERROR(__xludf.DUMMYFUNCTION("""COMPUTED_VALUE"""),"pylori")</f>
        <v>pylori</v>
      </c>
      <c r="E2689" t="str">
        <f>IFERROR(__xludf.DUMMYFUNCTION("""COMPUTED_VALUE"""),"strain")</f>
        <v>strain</v>
      </c>
      <c r="F2689" t="str">
        <f>IFERROR(__xludf.DUMMYFUNCTION("""COMPUTED_VALUE"""),"ML3")</f>
        <v>ML3</v>
      </c>
    </row>
    <row r="2690" ht="15.75" customHeight="1">
      <c r="A2690" t="str">
        <f t="shared" si="1"/>
        <v>H.pylori</v>
      </c>
      <c r="B2690" s="5" t="s">
        <v>12195</v>
      </c>
      <c r="C2690" s="6" t="str">
        <f>IFERROR(__xludf.DUMMYFUNCTION("SPLIT('2. c'!B2690, "" "", True, True)"),"Helicobacter")</f>
        <v>Helicobacter</v>
      </c>
      <c r="D2690" t="str">
        <f>IFERROR(__xludf.DUMMYFUNCTION("""COMPUTED_VALUE"""),"pylori")</f>
        <v>pylori</v>
      </c>
      <c r="E2690" t="str">
        <f>IFERROR(__xludf.DUMMYFUNCTION("""COMPUTED_VALUE"""),"strain")</f>
        <v>strain</v>
      </c>
      <c r="F2690" t="str">
        <f>IFERROR(__xludf.DUMMYFUNCTION("""COMPUTED_VALUE"""),"PNG84A")</f>
        <v>PNG84A</v>
      </c>
    </row>
    <row r="2691" ht="15.75" customHeight="1">
      <c r="A2691" t="str">
        <f t="shared" si="1"/>
        <v>H.pylori</v>
      </c>
      <c r="B2691" s="5" t="s">
        <v>12206</v>
      </c>
      <c r="C2691" s="6" t="str">
        <f>IFERROR(__xludf.DUMMYFUNCTION("SPLIT('2. c'!B2691, "" "", True, True)"),"Helicobacter")</f>
        <v>Helicobacter</v>
      </c>
      <c r="D2691" t="str">
        <f>IFERROR(__xludf.DUMMYFUNCTION("""COMPUTED_VALUE"""),"pylori")</f>
        <v>pylori</v>
      </c>
      <c r="E2691" t="str">
        <f>IFERROR(__xludf.DUMMYFUNCTION("""COMPUTED_VALUE"""),"UM032")</f>
        <v>UM032</v>
      </c>
    </row>
    <row r="2692" ht="15.75" customHeight="1">
      <c r="A2692" t="str">
        <f t="shared" si="1"/>
        <v>H.pylori</v>
      </c>
      <c r="B2692" s="5" t="s">
        <v>12214</v>
      </c>
      <c r="C2692" s="6" t="str">
        <f>IFERROR(__xludf.DUMMYFUNCTION("SPLIT('2. c'!B2692, "" "", True, True)"),"Helicobacter")</f>
        <v>Helicobacter</v>
      </c>
      <c r="D2692" t="str">
        <f>IFERROR(__xludf.DUMMYFUNCTION("""COMPUTED_VALUE"""),"pylori")</f>
        <v>pylori</v>
      </c>
      <c r="E2692" t="str">
        <f>IFERROR(__xludf.DUMMYFUNCTION("""COMPUTED_VALUE"""),"UM037")</f>
        <v>UM037</v>
      </c>
    </row>
    <row r="2693" ht="15.75" customHeight="1">
      <c r="A2693" t="str">
        <f t="shared" si="1"/>
        <v>H.pylori</v>
      </c>
      <c r="B2693" s="5" t="s">
        <v>12229</v>
      </c>
      <c r="C2693" s="6" t="str">
        <f>IFERROR(__xludf.DUMMYFUNCTION("SPLIT('2. c'!B2693, "" "", True, True)"),"Helicobacter")</f>
        <v>Helicobacter</v>
      </c>
      <c r="D2693" t="str">
        <f>IFERROR(__xludf.DUMMYFUNCTION("""COMPUTED_VALUE"""),"pylori")</f>
        <v>pylori</v>
      </c>
      <c r="E2693" t="str">
        <f>IFERROR(__xludf.DUMMYFUNCTION("""COMPUTED_VALUE"""),"UM066")</f>
        <v>UM066</v>
      </c>
    </row>
    <row r="2694" ht="15.75" customHeight="1">
      <c r="A2694" t="str">
        <f t="shared" si="1"/>
        <v>H.pylori</v>
      </c>
      <c r="B2694" s="5" t="s">
        <v>12238</v>
      </c>
      <c r="C2694" s="6" t="str">
        <f>IFERROR(__xludf.DUMMYFUNCTION("SPLIT('2. c'!B2694, "" "", True, True)"),"Helicobacter")</f>
        <v>Helicobacter</v>
      </c>
      <c r="D2694" t="str">
        <f>IFERROR(__xludf.DUMMYFUNCTION("""COMPUTED_VALUE"""),"pylori")</f>
        <v>pylori</v>
      </c>
      <c r="E2694" t="str">
        <f>IFERROR(__xludf.DUMMYFUNCTION("""COMPUTED_VALUE"""),"UM298")</f>
        <v>UM298</v>
      </c>
    </row>
    <row r="2695" ht="15.75" customHeight="1">
      <c r="A2695" t="str">
        <f t="shared" si="1"/>
        <v>H.pylori</v>
      </c>
      <c r="B2695" s="5" t="s">
        <v>12246</v>
      </c>
      <c r="C2695" s="6" t="str">
        <f>IFERROR(__xludf.DUMMYFUNCTION("SPLIT('2. c'!B2695, "" "", True, True)"),"Helicobacter")</f>
        <v>Helicobacter</v>
      </c>
      <c r="D2695" t="str">
        <f>IFERROR(__xludf.DUMMYFUNCTION("""COMPUTED_VALUE"""),"pylori")</f>
        <v>pylori</v>
      </c>
      <c r="E2695" t="str">
        <f>IFERROR(__xludf.DUMMYFUNCTION("""COMPUTED_VALUE"""),"UM299")</f>
        <v>UM299</v>
      </c>
    </row>
    <row r="2696" ht="15.75" customHeight="1">
      <c r="A2696" t="str">
        <f t="shared" si="1"/>
        <v>H.pylori</v>
      </c>
      <c r="B2696" s="5" t="s">
        <v>12254</v>
      </c>
      <c r="C2696" s="6" t="str">
        <f>IFERROR(__xludf.DUMMYFUNCTION("SPLIT('2. c'!B2696, "" "", True, True)"),"Helicobacter")</f>
        <v>Helicobacter</v>
      </c>
      <c r="D2696" t="str">
        <f>IFERROR(__xludf.DUMMYFUNCTION("""COMPUTED_VALUE"""),"pylori")</f>
        <v>pylori</v>
      </c>
      <c r="E2696" t="str">
        <f>IFERROR(__xludf.DUMMYFUNCTION("""COMPUTED_VALUE"""),"v225d")</f>
        <v>v225d</v>
      </c>
    </row>
    <row r="2697" ht="15.75" customHeight="1">
      <c r="A2697" t="str">
        <f t="shared" si="1"/>
        <v>H.pylori</v>
      </c>
      <c r="B2697" s="5" t="s">
        <v>12259</v>
      </c>
      <c r="C2697" s="6" t="str">
        <f>IFERROR(__xludf.DUMMYFUNCTION("SPLIT('2. c'!B2697, "" "", True, True)"),"Helicobacter")</f>
        <v>Helicobacter</v>
      </c>
      <c r="D2697" t="str">
        <f>IFERROR(__xludf.DUMMYFUNCTION("""COMPUTED_VALUE"""),"pylori")</f>
        <v>pylori</v>
      </c>
      <c r="E2697" t="str">
        <f>IFERROR(__xludf.DUMMYFUNCTION("""COMPUTED_VALUE"""),"XZ274")</f>
        <v>XZ274</v>
      </c>
    </row>
    <row r="2698" ht="15.75" customHeight="1">
      <c r="A2698" t="str">
        <f t="shared" si="1"/>
        <v>H.typhlonius</v>
      </c>
      <c r="B2698" s="5" t="s">
        <v>12264</v>
      </c>
      <c r="C2698" s="6" t="str">
        <f>IFERROR(__xludf.DUMMYFUNCTION("SPLIT('2. c'!B2698, "" "", True, True)"),"Helicobacter")</f>
        <v>Helicobacter</v>
      </c>
      <c r="D2698" t="str">
        <f>IFERROR(__xludf.DUMMYFUNCTION("""COMPUTED_VALUE"""),"typhlonius")</f>
        <v>typhlonius</v>
      </c>
    </row>
    <row r="2699" ht="15.75" customHeight="1">
      <c r="A2699" t="str">
        <f t="shared" si="1"/>
        <v>H.modesticaldum</v>
      </c>
      <c r="B2699" s="5" t="s">
        <v>12270</v>
      </c>
      <c r="C2699" s="6" t="str">
        <f>IFERROR(__xludf.DUMMYFUNCTION("SPLIT('2. c'!B2699, "" "", True, True)"),"Heliobacterium")</f>
        <v>Heliobacterium</v>
      </c>
      <c r="D2699" t="str">
        <f>IFERROR(__xludf.DUMMYFUNCTION("""COMPUTED_VALUE"""),"modesticaldum")</f>
        <v>modesticaldum</v>
      </c>
      <c r="E2699" t="str">
        <f>IFERROR(__xludf.DUMMYFUNCTION("""COMPUTED_VALUE"""),"Ice1")</f>
        <v>Ice1</v>
      </c>
    </row>
    <row r="2700" ht="15.75" customHeight="1">
      <c r="A2700" t="str">
        <f t="shared" si="1"/>
        <v>H.hiltneri</v>
      </c>
      <c r="B2700" s="5" t="s">
        <v>12275</v>
      </c>
      <c r="C2700" s="6" t="str">
        <f>IFERROR(__xludf.DUMMYFUNCTION("SPLIT('2. c'!B2700, "" "", True, True)"),"Herbaspirillum")</f>
        <v>Herbaspirillum</v>
      </c>
      <c r="D2700" t="str">
        <f>IFERROR(__xludf.DUMMYFUNCTION("""COMPUTED_VALUE"""),"hiltneri")</f>
        <v>hiltneri</v>
      </c>
      <c r="E2700" t="str">
        <f>IFERROR(__xludf.DUMMYFUNCTION("""COMPUTED_VALUE"""),"N3")</f>
        <v>N3</v>
      </c>
    </row>
    <row r="2701" ht="15.75" customHeight="1">
      <c r="A2701" t="str">
        <f t="shared" si="1"/>
        <v>H.rubrisubalbicans</v>
      </c>
      <c r="B2701" s="5" t="s">
        <v>12280</v>
      </c>
      <c r="C2701" s="6" t="str">
        <f>IFERROR(__xludf.DUMMYFUNCTION("SPLIT('2. c'!B2701, "" "", True, True)"),"Herbaspirillum")</f>
        <v>Herbaspirillum</v>
      </c>
      <c r="D2701" t="str">
        <f>IFERROR(__xludf.DUMMYFUNCTION("""COMPUTED_VALUE"""),"rubrisubalbicans")</f>
        <v>rubrisubalbicans</v>
      </c>
      <c r="E2701" t="str">
        <f>IFERROR(__xludf.DUMMYFUNCTION("""COMPUTED_VALUE"""),"M1")</f>
        <v>M1</v>
      </c>
    </row>
    <row r="2702" ht="15.75" customHeight="1">
      <c r="A2702" t="str">
        <f t="shared" si="1"/>
        <v>H.seropedicae</v>
      </c>
      <c r="B2702" s="5" t="s">
        <v>12285</v>
      </c>
      <c r="C2702" s="6" t="str">
        <f>IFERROR(__xludf.DUMMYFUNCTION("SPLIT('2. c'!B2702, "" "", True, True)"),"Herbaspirillum")</f>
        <v>Herbaspirillum</v>
      </c>
      <c r="D2702" t="str">
        <f>IFERROR(__xludf.DUMMYFUNCTION("""COMPUTED_VALUE"""),"seropedicae")</f>
        <v>seropedicae</v>
      </c>
      <c r="E2702" t="str">
        <f>IFERROR(__xludf.DUMMYFUNCTION("""COMPUTED_VALUE"""),"SmR1")</f>
        <v>SmR1</v>
      </c>
    </row>
    <row r="2703" ht="15.75" customHeight="1">
      <c r="A2703" t="str">
        <f t="shared" si="1"/>
        <v>H.seropedicae</v>
      </c>
      <c r="B2703" s="5" t="s">
        <v>12289</v>
      </c>
      <c r="C2703" s="6" t="str">
        <f>IFERROR(__xludf.DUMMYFUNCTION("SPLIT('2. c'!B2703, "" "", True, True)"),"Herbaspirillum")</f>
        <v>Herbaspirillum</v>
      </c>
      <c r="D2703" t="str">
        <f>IFERROR(__xludf.DUMMYFUNCTION("""COMPUTED_VALUE"""),"seropedicae")</f>
        <v>seropedicae</v>
      </c>
      <c r="E2703" t="str">
        <f>IFERROR(__xludf.DUMMYFUNCTION("""COMPUTED_VALUE"""),"strain")</f>
        <v>strain</v>
      </c>
      <c r="F2703" t="str">
        <f>IFERROR(__xludf.DUMMYFUNCTION("""COMPUTED_VALUE"""),"Z67")</f>
        <v>Z67</v>
      </c>
    </row>
    <row r="2704" ht="15.75" customHeight="1">
      <c r="A2704" t="str">
        <f t="shared" si="1"/>
        <v>H.arsenicoxydans</v>
      </c>
      <c r="B2704" s="5" t="s">
        <v>12301</v>
      </c>
      <c r="C2704" s="6" t="str">
        <f>IFERROR(__xludf.DUMMYFUNCTION("SPLIT('2. c'!B2704, "" "", True, True)"),"Herminiimonas")</f>
        <v>Herminiimonas</v>
      </c>
      <c r="D2704" t="str">
        <f>IFERROR(__xludf.DUMMYFUNCTION("""COMPUTED_VALUE"""),"arsenicoxydans")</f>
        <v>arsenicoxydans</v>
      </c>
    </row>
    <row r="2705" ht="15.75" customHeight="1">
      <c r="A2705" t="str">
        <f t="shared" si="1"/>
        <v>H.aurantiacus</v>
      </c>
      <c r="B2705" s="5" t="s">
        <v>12314</v>
      </c>
      <c r="C2705" s="6" t="str">
        <f>IFERROR(__xludf.DUMMYFUNCTION("SPLIT('2. c'!B2705, "" "", True, True)"),"Herpetosiphon")</f>
        <v>Herpetosiphon</v>
      </c>
      <c r="D2705" t="str">
        <f>IFERROR(__xludf.DUMMYFUNCTION("""COMPUTED_VALUE"""),"aurantiacus")</f>
        <v>aurantiacus</v>
      </c>
      <c r="E2705" t="str">
        <f>IFERROR(__xludf.DUMMYFUNCTION("""COMPUTED_VALUE"""),"DSM")</f>
        <v>DSM</v>
      </c>
      <c r="F2705">
        <f>IFERROR(__xludf.DUMMYFUNCTION("""COMPUTED_VALUE"""),785.0)</f>
        <v>785</v>
      </c>
    </row>
    <row r="2706" ht="15.75" customHeight="1">
      <c r="A2706" t="str">
        <f t="shared" si="1"/>
        <v>H.maritima</v>
      </c>
      <c r="B2706" s="5" t="s">
        <v>12324</v>
      </c>
      <c r="C2706" s="6" t="str">
        <f>IFERROR(__xludf.DUMMYFUNCTION("SPLIT('2. c'!B2706, "" "", True, True)"),"Hippea")</f>
        <v>Hippea</v>
      </c>
      <c r="D2706" t="str">
        <f>IFERROR(__xludf.DUMMYFUNCTION("""COMPUTED_VALUE"""),"maritima")</f>
        <v>maritima</v>
      </c>
      <c r="E2706" t="str">
        <f>IFERROR(__xludf.DUMMYFUNCTION("""COMPUTED_VALUE"""),"DSM")</f>
        <v>DSM</v>
      </c>
      <c r="F2706">
        <f>IFERROR(__xludf.DUMMYFUNCTION("""COMPUTED_VALUE"""),10411.0)</f>
        <v>10411</v>
      </c>
    </row>
    <row r="2707" ht="15.75" customHeight="1">
      <c r="A2707" t="str">
        <f t="shared" si="1"/>
        <v>H.baltica</v>
      </c>
      <c r="B2707" s="5" t="s">
        <v>12331</v>
      </c>
      <c r="C2707" s="6" t="str">
        <f>IFERROR(__xludf.DUMMYFUNCTION("SPLIT('2. c'!B2707, "" "", True, True)"),"Hirschia")</f>
        <v>Hirschia</v>
      </c>
      <c r="D2707" t="str">
        <f>IFERROR(__xludf.DUMMYFUNCTION("""COMPUTED_VALUE"""),"baltica")</f>
        <v>baltica</v>
      </c>
      <c r="E2707" t="str">
        <f>IFERROR(__xludf.DUMMYFUNCTION("""COMPUTED_VALUE"""),"ATCC")</f>
        <v>ATCC</v>
      </c>
      <c r="F2707">
        <f>IFERROR(__xludf.DUMMYFUNCTION("""COMPUTED_VALUE"""),49814.0)</f>
        <v>49814</v>
      </c>
    </row>
    <row r="2708" ht="15.75" customHeight="1">
      <c r="A2708" t="str">
        <f t="shared" si="1"/>
        <v>H.sp.</v>
      </c>
      <c r="B2708" s="5" t="s">
        <v>12337</v>
      </c>
      <c r="C2708" s="6" t="str">
        <f>IFERROR(__xludf.DUMMYFUNCTION("SPLIT('2. c'!B2708, "" "", True, True)"),"Hoeflea")</f>
        <v>Hoeflea</v>
      </c>
      <c r="D2708" t="str">
        <f>IFERROR(__xludf.DUMMYFUNCTION("""COMPUTED_VALUE"""),"sp.")</f>
        <v>sp.</v>
      </c>
      <c r="E2708" t="str">
        <f>IFERROR(__xludf.DUMMYFUNCTION("""COMPUTED_VALUE"""),"IMCC20628")</f>
        <v>IMCC20628</v>
      </c>
    </row>
    <row r="2709" ht="15.75" customHeight="1">
      <c r="A2709" t="str">
        <f t="shared" si="1"/>
        <v>H.thermophilus</v>
      </c>
      <c r="B2709" s="5" t="s">
        <v>12342</v>
      </c>
      <c r="C2709" s="6" t="str">
        <f>IFERROR(__xludf.DUMMYFUNCTION("SPLIT('2. c'!B2709, "" "", True, True)"),"Hydrogenobacter")</f>
        <v>Hydrogenobacter</v>
      </c>
      <c r="D2709" t="str">
        <f>IFERROR(__xludf.DUMMYFUNCTION("""COMPUTED_VALUE"""),"thermophilus")</f>
        <v>thermophilus</v>
      </c>
      <c r="E2709" t="str">
        <f>IFERROR(__xludf.DUMMYFUNCTION("""COMPUTED_VALUE"""),"TK-6")</f>
        <v>TK-6</v>
      </c>
    </row>
    <row r="2710" ht="15.75" customHeight="1">
      <c r="A2710" t="str">
        <f t="shared" si="1"/>
        <v>H.thermophilus</v>
      </c>
      <c r="B2710" s="5" t="s">
        <v>12347</v>
      </c>
      <c r="C2710" s="6" t="str">
        <f>IFERROR(__xludf.DUMMYFUNCTION("SPLIT('2. c'!B2710, "" "", True, True)"),"Hydrogenobacter")</f>
        <v>Hydrogenobacter</v>
      </c>
      <c r="D2710" t="str">
        <f>IFERROR(__xludf.DUMMYFUNCTION("""COMPUTED_VALUE"""),"thermophilus")</f>
        <v>thermophilus</v>
      </c>
      <c r="E2710" t="str">
        <f>IFERROR(__xludf.DUMMYFUNCTION("""COMPUTED_VALUE"""),"TK-6")</f>
        <v>TK-6</v>
      </c>
      <c r="F2710" t="str">
        <f>IFERROR(__xludf.DUMMYFUNCTION("""COMPUTED_VALUE"""),"(Prj:41547)")</f>
        <v>(Prj:41547)</v>
      </c>
    </row>
    <row r="2711" ht="15.75" customHeight="1">
      <c r="A2711" t="str">
        <f t="shared" si="1"/>
        <v>H.sp.</v>
      </c>
      <c r="B2711" s="5" t="s">
        <v>12352</v>
      </c>
      <c r="C2711" s="6" t="str">
        <f>IFERROR(__xludf.DUMMYFUNCTION("SPLIT('2. c'!B2711, "" "", True, True)"),"Hydrogenobaculum")</f>
        <v>Hydrogenobaculum</v>
      </c>
      <c r="D2711" t="str">
        <f>IFERROR(__xludf.DUMMYFUNCTION("""COMPUTED_VALUE"""),"sp.")</f>
        <v>sp.</v>
      </c>
      <c r="E2711">
        <f>IFERROR(__xludf.DUMMYFUNCTION("""COMPUTED_VALUE"""),3684.0)</f>
        <v>3684</v>
      </c>
    </row>
    <row r="2712" ht="15.75" customHeight="1">
      <c r="A2712" t="str">
        <f t="shared" si="1"/>
        <v>H.sp.</v>
      </c>
      <c r="B2712" s="5" t="s">
        <v>12357</v>
      </c>
      <c r="C2712" s="6" t="str">
        <f>IFERROR(__xludf.DUMMYFUNCTION("SPLIT('2. c'!B2712, "" "", True, True)"),"Hydrogenobaculum")</f>
        <v>Hydrogenobaculum</v>
      </c>
      <c r="D2712" t="str">
        <f>IFERROR(__xludf.DUMMYFUNCTION("""COMPUTED_VALUE"""),"sp.")</f>
        <v>sp.</v>
      </c>
      <c r="E2712" t="str">
        <f>IFERROR(__xludf.DUMMYFUNCTION("""COMPUTED_VALUE"""),"HO")</f>
        <v>HO</v>
      </c>
    </row>
    <row r="2713" ht="15.75" customHeight="1">
      <c r="A2713" t="str">
        <f t="shared" si="1"/>
        <v>H.sp.</v>
      </c>
      <c r="B2713" s="5" t="s">
        <v>12361</v>
      </c>
      <c r="C2713" s="6" t="str">
        <f>IFERROR(__xludf.DUMMYFUNCTION("SPLIT('2. c'!B2713, "" "", True, True)"),"Hydrogenobaculum")</f>
        <v>Hydrogenobaculum</v>
      </c>
      <c r="D2713" t="str">
        <f>IFERROR(__xludf.DUMMYFUNCTION("""COMPUTED_VALUE"""),"sp.")</f>
        <v>sp.</v>
      </c>
      <c r="E2713" t="str">
        <f>IFERROR(__xludf.DUMMYFUNCTION("""COMPUTED_VALUE"""),"SHO")</f>
        <v>SHO</v>
      </c>
    </row>
    <row r="2714" ht="15.75" customHeight="1">
      <c r="A2714" t="str">
        <f t="shared" si="1"/>
        <v>H.sp.</v>
      </c>
      <c r="B2714" s="5" t="s">
        <v>12367</v>
      </c>
      <c r="C2714" s="6" t="str">
        <f>IFERROR(__xludf.DUMMYFUNCTION("SPLIT('2. c'!B2714, "" "", True, True)"),"Hydrogenobaculum")</f>
        <v>Hydrogenobaculum</v>
      </c>
      <c r="D2714" t="str">
        <f>IFERROR(__xludf.DUMMYFUNCTION("""COMPUTED_VALUE"""),"sp.")</f>
        <v>sp.</v>
      </c>
      <c r="E2714" t="str">
        <f>IFERROR(__xludf.DUMMYFUNCTION("""COMPUTED_VALUE"""),"SN")</f>
        <v>SN</v>
      </c>
    </row>
    <row r="2715" ht="15.75" customHeight="1">
      <c r="A2715" t="str">
        <f t="shared" si="1"/>
        <v>H.sp.</v>
      </c>
      <c r="B2715" s="5" t="s">
        <v>12371</v>
      </c>
      <c r="C2715" s="6" t="str">
        <f>IFERROR(__xludf.DUMMYFUNCTION("SPLIT('2. c'!B2715, "" "", True, True)"),"Hydrogenobaculum")</f>
        <v>Hydrogenobaculum</v>
      </c>
      <c r="D2715" t="str">
        <f>IFERROR(__xludf.DUMMYFUNCTION("""COMPUTED_VALUE"""),"sp.")</f>
        <v>sp.</v>
      </c>
      <c r="E2715" t="str">
        <f>IFERROR(__xludf.DUMMYFUNCTION("""COMPUTED_VALUE"""),"Y04AAS1")</f>
        <v>Y04AAS1</v>
      </c>
    </row>
    <row r="2716" ht="15.75" customHeight="1">
      <c r="A2716" t="str">
        <f t="shared" si="1"/>
        <v>H.sp.</v>
      </c>
      <c r="B2716" s="5" t="s">
        <v>12376</v>
      </c>
      <c r="C2716" s="6" t="str">
        <f>IFERROR(__xludf.DUMMYFUNCTION("SPLIT('2. c'!B2716, "" "", True, True)"),"Hymenobacter")</f>
        <v>Hymenobacter</v>
      </c>
      <c r="D2716" t="str">
        <f>IFERROR(__xludf.DUMMYFUNCTION("""COMPUTED_VALUE"""),"sp.")</f>
        <v>sp.</v>
      </c>
      <c r="E2716" t="str">
        <f>IFERROR(__xludf.DUMMYFUNCTION("""COMPUTED_VALUE"""),"APR13")</f>
        <v>APR13</v>
      </c>
    </row>
    <row r="2717" ht="15.75" customHeight="1">
      <c r="A2717" t="str">
        <f t="shared" si="1"/>
        <v>H.sp.</v>
      </c>
      <c r="B2717" s="5" t="s">
        <v>12380</v>
      </c>
      <c r="C2717" s="6" t="str">
        <f>IFERROR(__xludf.DUMMYFUNCTION("SPLIT('2. c'!B2717, "" "", True, True)"),"Hymenobacter")</f>
        <v>Hymenobacter</v>
      </c>
      <c r="D2717" t="str">
        <f>IFERROR(__xludf.DUMMYFUNCTION("""COMPUTED_VALUE"""),"sp.")</f>
        <v>sp.</v>
      </c>
      <c r="E2717" t="str">
        <f>IFERROR(__xludf.DUMMYFUNCTION("""COMPUTED_VALUE"""),"DG25A")</f>
        <v>DG25A</v>
      </c>
    </row>
    <row r="2718" ht="15.75" customHeight="1">
      <c r="A2718" t="str">
        <f t="shared" si="1"/>
        <v>H.sp.</v>
      </c>
      <c r="B2718" s="5" t="s">
        <v>12386</v>
      </c>
      <c r="C2718" s="6" t="str">
        <f>IFERROR(__xludf.DUMMYFUNCTION("SPLIT('2. c'!B2718, "" "", True, True)"),"Hymenobacter")</f>
        <v>Hymenobacter</v>
      </c>
      <c r="D2718" t="str">
        <f>IFERROR(__xludf.DUMMYFUNCTION("""COMPUTED_VALUE"""),"sp.")</f>
        <v>sp.</v>
      </c>
      <c r="E2718" t="str">
        <f>IFERROR(__xludf.DUMMYFUNCTION("""COMPUTED_VALUE"""),"DG25B")</f>
        <v>DG25B</v>
      </c>
    </row>
    <row r="2719" ht="15.75" customHeight="1">
      <c r="A2719" t="str">
        <f t="shared" si="1"/>
        <v>H.sp.</v>
      </c>
      <c r="B2719" s="5" t="s">
        <v>12390</v>
      </c>
      <c r="C2719" s="6" t="str">
        <f>IFERROR(__xludf.DUMMYFUNCTION("SPLIT('2. c'!B2719, "" "", True, True)"),"Hymenobacter")</f>
        <v>Hymenobacter</v>
      </c>
      <c r="D2719" t="str">
        <f>IFERROR(__xludf.DUMMYFUNCTION("""COMPUTED_VALUE"""),"sp.")</f>
        <v>sp.</v>
      </c>
      <c r="E2719" t="str">
        <f>IFERROR(__xludf.DUMMYFUNCTION("""COMPUTED_VALUE"""),"DG5B")</f>
        <v>DG5B</v>
      </c>
    </row>
    <row r="2720" ht="15.75" customHeight="1">
      <c r="A2720" t="str">
        <f t="shared" si="1"/>
        <v>H.sp.</v>
      </c>
      <c r="B2720" s="5" t="s">
        <v>12398</v>
      </c>
      <c r="C2720" s="6" t="str">
        <f>IFERROR(__xludf.DUMMYFUNCTION("SPLIT('2. c'!B2720, "" "", True, True)"),"Hymenobacter")</f>
        <v>Hymenobacter</v>
      </c>
      <c r="D2720" t="str">
        <f>IFERROR(__xludf.DUMMYFUNCTION("""COMPUTED_VALUE"""),"sp.")</f>
        <v>sp.</v>
      </c>
      <c r="E2720" t="str">
        <f>IFERROR(__xludf.DUMMYFUNCTION("""COMPUTED_VALUE"""),"DY53")</f>
        <v>DY53</v>
      </c>
    </row>
    <row r="2721" ht="15.75" customHeight="1">
      <c r="A2721" t="str">
        <f t="shared" si="1"/>
        <v>H.sp.</v>
      </c>
      <c r="B2721" s="5" t="s">
        <v>12405</v>
      </c>
      <c r="C2721" s="6" t="str">
        <f>IFERROR(__xludf.DUMMYFUNCTION("SPLIT('2. c'!B2721, "" "", True, True)"),"Hymenobacter")</f>
        <v>Hymenobacter</v>
      </c>
      <c r="D2721" t="str">
        <f>IFERROR(__xludf.DUMMYFUNCTION("""COMPUTED_VALUE"""),"sp.")</f>
        <v>sp.</v>
      </c>
      <c r="E2721" t="str">
        <f>IFERROR(__xludf.DUMMYFUNCTION("""COMPUTED_VALUE"""),"PAMC26628")</f>
        <v>PAMC26628</v>
      </c>
    </row>
    <row r="2722" ht="15.75" customHeight="1">
      <c r="A2722" t="str">
        <f t="shared" si="1"/>
        <v>H.butylicus</v>
      </c>
      <c r="B2722" s="5" t="s">
        <v>12413</v>
      </c>
      <c r="C2722" s="6" t="str">
        <f>IFERROR(__xludf.DUMMYFUNCTION("SPLIT('2. c'!B2722, "" "", True, True)"),"Hyperthermus")</f>
        <v>Hyperthermus</v>
      </c>
      <c r="D2722" t="str">
        <f>IFERROR(__xludf.DUMMYFUNCTION("""COMPUTED_VALUE"""),"butylicus")</f>
        <v>butylicus</v>
      </c>
      <c r="E2722" t="str">
        <f>IFERROR(__xludf.DUMMYFUNCTION("""COMPUTED_VALUE"""),"DSM")</f>
        <v>DSM</v>
      </c>
      <c r="F2722">
        <f>IFERROR(__xludf.DUMMYFUNCTION("""COMPUTED_VALUE"""),5456.0)</f>
        <v>5456</v>
      </c>
    </row>
    <row r="2723" ht="15.75" customHeight="1">
      <c r="A2723" t="str">
        <f t="shared" si="1"/>
        <v>H.denitrificans</v>
      </c>
      <c r="B2723" s="5" t="s">
        <v>12420</v>
      </c>
      <c r="C2723" s="6" t="str">
        <f>IFERROR(__xludf.DUMMYFUNCTION("SPLIT('2. c'!B2723, "" "", True, True)"),"Hyphomicrobium")</f>
        <v>Hyphomicrobium</v>
      </c>
      <c r="D2723" t="str">
        <f>IFERROR(__xludf.DUMMYFUNCTION("""COMPUTED_VALUE"""),"denitrificans")</f>
        <v>denitrificans</v>
      </c>
      <c r="E2723" t="str">
        <f>IFERROR(__xludf.DUMMYFUNCTION("""COMPUTED_VALUE"""),"ATCC")</f>
        <v>ATCC</v>
      </c>
      <c r="F2723">
        <f>IFERROR(__xludf.DUMMYFUNCTION("""COMPUTED_VALUE"""),51888.0)</f>
        <v>51888</v>
      </c>
    </row>
    <row r="2724" ht="15.75" customHeight="1">
      <c r="A2724" t="str">
        <f t="shared" si="1"/>
        <v>H.nitrativorans</v>
      </c>
      <c r="B2724" s="5" t="s">
        <v>12426</v>
      </c>
      <c r="C2724" s="6" t="str">
        <f>IFERROR(__xludf.DUMMYFUNCTION("SPLIT('2. c'!B2724, "" "", True, True)"),"Hyphomicrobium")</f>
        <v>Hyphomicrobium</v>
      </c>
      <c r="D2724" t="str">
        <f>IFERROR(__xludf.DUMMYFUNCTION("""COMPUTED_VALUE"""),"nitrativorans")</f>
        <v>nitrativorans</v>
      </c>
      <c r="E2724" t="str">
        <f>IFERROR(__xludf.DUMMYFUNCTION("""COMPUTED_VALUE"""),"NL23")</f>
        <v>NL23</v>
      </c>
    </row>
    <row r="2725" ht="15.75" customHeight="1">
      <c r="A2725" t="str">
        <f t="shared" si="1"/>
        <v>H.sp.</v>
      </c>
      <c r="B2725" s="5" t="s">
        <v>12433</v>
      </c>
      <c r="C2725" s="6" t="str">
        <f>IFERROR(__xludf.DUMMYFUNCTION("SPLIT('2. c'!B2725, "" "", True, True)"),"Hyphomicrobium")</f>
        <v>Hyphomicrobium</v>
      </c>
      <c r="D2725" t="str">
        <f>IFERROR(__xludf.DUMMYFUNCTION("""COMPUTED_VALUE"""),"sp.")</f>
        <v>sp.</v>
      </c>
      <c r="E2725" t="str">
        <f>IFERROR(__xludf.DUMMYFUNCTION("""COMPUTED_VALUE"""),"MC1")</f>
        <v>MC1</v>
      </c>
    </row>
    <row r="2726" ht="15.75" customHeight="1">
      <c r="A2726" t="str">
        <f t="shared" si="1"/>
        <v>H.bacterium</v>
      </c>
      <c r="B2726" s="5" t="s">
        <v>12441</v>
      </c>
      <c r="C2726" s="6" t="str">
        <f>IFERROR(__xludf.DUMMYFUNCTION("SPLIT('2. c'!B2726, "" "", True, True)"),"Hyphomonadaceae")</f>
        <v>Hyphomonadaceae</v>
      </c>
      <c r="D2726" t="str">
        <f>IFERROR(__xludf.DUMMYFUNCTION("""COMPUTED_VALUE"""),"bacterium")</f>
        <v>bacterium</v>
      </c>
      <c r="E2726" t="str">
        <f>IFERROR(__xludf.DUMMYFUNCTION("""COMPUTED_VALUE"""),"UKL13-1")</f>
        <v>UKL13-1</v>
      </c>
    </row>
    <row r="2727" ht="15.75" customHeight="1">
      <c r="A2727" t="str">
        <f t="shared" si="1"/>
        <v>H.neptunium</v>
      </c>
      <c r="B2727" s="5" t="s">
        <v>12449</v>
      </c>
      <c r="C2727" s="6" t="str">
        <f>IFERROR(__xludf.DUMMYFUNCTION("SPLIT('2. c'!B2727, "" "", True, True)"),"Hyphomonas")</f>
        <v>Hyphomonas</v>
      </c>
      <c r="D2727" t="str">
        <f>IFERROR(__xludf.DUMMYFUNCTION("""COMPUTED_VALUE"""),"neptunium")</f>
        <v>neptunium</v>
      </c>
      <c r="E2727" t="str">
        <f>IFERROR(__xludf.DUMMYFUNCTION("""COMPUTED_VALUE"""),"ATCC")</f>
        <v>ATCC</v>
      </c>
      <c r="F2727">
        <f>IFERROR(__xludf.DUMMYFUNCTION("""COMPUTED_VALUE"""),15444.0)</f>
        <v>15444</v>
      </c>
    </row>
    <row r="2728" ht="15.75" customHeight="1">
      <c r="A2728" t="str">
        <f t="shared" si="1"/>
        <v>I.loihiensis</v>
      </c>
      <c r="B2728" s="5" t="s">
        <v>12456</v>
      </c>
      <c r="C2728" s="6" t="str">
        <f>IFERROR(__xludf.DUMMYFUNCTION("SPLIT('2. c'!B2728, "" "", True, True)"),"Idiomarina")</f>
        <v>Idiomarina</v>
      </c>
      <c r="D2728" t="str">
        <f>IFERROR(__xludf.DUMMYFUNCTION("""COMPUTED_VALUE"""),"loihiensis")</f>
        <v>loihiensis</v>
      </c>
      <c r="E2728" t="str">
        <f>IFERROR(__xludf.DUMMYFUNCTION("""COMPUTED_VALUE"""),"GSL")</f>
        <v>GSL</v>
      </c>
      <c r="F2728">
        <f>IFERROR(__xludf.DUMMYFUNCTION("""COMPUTED_VALUE"""),199.0)</f>
        <v>199</v>
      </c>
    </row>
    <row r="2729" ht="15.75" customHeight="1">
      <c r="A2729" t="str">
        <f t="shared" si="1"/>
        <v>I.loihiensis</v>
      </c>
      <c r="B2729" s="5" t="s">
        <v>12463</v>
      </c>
      <c r="C2729" s="6" t="str">
        <f>IFERROR(__xludf.DUMMYFUNCTION("SPLIT('2. c'!B2729, "" "", True, True)"),"Idiomarina")</f>
        <v>Idiomarina</v>
      </c>
      <c r="D2729" t="str">
        <f>IFERROR(__xludf.DUMMYFUNCTION("""COMPUTED_VALUE"""),"loihiensis")</f>
        <v>loihiensis</v>
      </c>
      <c r="E2729" t="str">
        <f>IFERROR(__xludf.DUMMYFUNCTION("""COMPUTED_VALUE"""),"L2TR")</f>
        <v>L2TR</v>
      </c>
    </row>
    <row r="2730" ht="15.75" customHeight="1">
      <c r="A2730" t="str">
        <f t="shared" si="1"/>
        <v>I.bacterium</v>
      </c>
      <c r="B2730" s="5" t="s">
        <v>12470</v>
      </c>
      <c r="C2730" s="6" t="str">
        <f>IFERROR(__xludf.DUMMYFUNCTION("SPLIT('2. c'!B2730, "" "", True, True)"),"Idiomarinaceae")</f>
        <v>Idiomarinaceae</v>
      </c>
      <c r="D2730" t="str">
        <f>IFERROR(__xludf.DUMMYFUNCTION("""COMPUTED_VALUE"""),"bacterium")</f>
        <v>bacterium</v>
      </c>
      <c r="E2730" t="str">
        <f>IFERROR(__xludf.DUMMYFUNCTION("""COMPUTED_VALUE"""),"HL-53")</f>
        <v>HL-53</v>
      </c>
    </row>
    <row r="2731" ht="15.75" customHeight="1">
      <c r="A2731" t="str">
        <f t="shared" si="1"/>
        <v>I.album</v>
      </c>
      <c r="B2731" s="5" t="s">
        <v>12474</v>
      </c>
      <c r="C2731" s="6" t="str">
        <f>IFERROR(__xludf.DUMMYFUNCTION("SPLIT('2. c'!B2731, "" "", True, True)"),"Ignavibacterium")</f>
        <v>Ignavibacterium</v>
      </c>
      <c r="D2731" t="str">
        <f>IFERROR(__xludf.DUMMYFUNCTION("""COMPUTED_VALUE"""),"album")</f>
        <v>album</v>
      </c>
      <c r="E2731" t="str">
        <f>IFERROR(__xludf.DUMMYFUNCTION("""COMPUTED_VALUE"""),"JCM")</f>
        <v>JCM</v>
      </c>
      <c r="F2731">
        <f>IFERROR(__xludf.DUMMYFUNCTION("""COMPUTED_VALUE"""),16511.0)</f>
        <v>16511</v>
      </c>
    </row>
    <row r="2732" ht="15.75" customHeight="1">
      <c r="A2732" t="str">
        <f t="shared" si="1"/>
        <v>I.hospitalis</v>
      </c>
      <c r="B2732" s="5" t="s">
        <v>12479</v>
      </c>
      <c r="C2732" s="6" t="str">
        <f>IFERROR(__xludf.DUMMYFUNCTION("SPLIT('2. c'!B2732, "" "", True, True)"),"Ignicoccus")</f>
        <v>Ignicoccus</v>
      </c>
      <c r="D2732" t="str">
        <f>IFERROR(__xludf.DUMMYFUNCTION("""COMPUTED_VALUE"""),"hospitalis")</f>
        <v>hospitalis</v>
      </c>
      <c r="E2732" t="str">
        <f>IFERROR(__xludf.DUMMYFUNCTION("""COMPUTED_VALUE"""),"KIN4/I")</f>
        <v>KIN4/I</v>
      </c>
    </row>
    <row r="2733" ht="15.75" customHeight="1">
      <c r="A2733" t="str">
        <f t="shared" si="1"/>
        <v>I.islandicus</v>
      </c>
      <c r="B2733" s="5" t="s">
        <v>12509</v>
      </c>
      <c r="C2733" s="6" t="str">
        <f>IFERROR(__xludf.DUMMYFUNCTION("SPLIT('2. c'!B2733, "" "", True, True)"),"Ignicoccus")</f>
        <v>Ignicoccus</v>
      </c>
      <c r="D2733" t="str">
        <f>IFERROR(__xludf.DUMMYFUNCTION("""COMPUTED_VALUE"""),"islandicus")</f>
        <v>islandicus</v>
      </c>
      <c r="E2733" t="str">
        <f>IFERROR(__xludf.DUMMYFUNCTION("""COMPUTED_VALUE"""),"DSM")</f>
        <v>DSM</v>
      </c>
      <c r="F2733">
        <f>IFERROR(__xludf.DUMMYFUNCTION("""COMPUTED_VALUE"""),13165.0)</f>
        <v>13165</v>
      </c>
    </row>
    <row r="2734" ht="15.75" customHeight="1">
      <c r="A2734" t="str">
        <f t="shared" si="1"/>
        <v>I.aggregans</v>
      </c>
      <c r="B2734" s="5" t="s">
        <v>12531</v>
      </c>
      <c r="C2734" s="6" t="str">
        <f>IFERROR(__xludf.DUMMYFUNCTION("SPLIT('2. c'!B2734, "" "", True, True)"),"Ignisphaera")</f>
        <v>Ignisphaera</v>
      </c>
      <c r="D2734" t="str">
        <f>IFERROR(__xludf.DUMMYFUNCTION("""COMPUTED_VALUE"""),"aggregans")</f>
        <v>aggregans</v>
      </c>
      <c r="E2734" t="str">
        <f>IFERROR(__xludf.DUMMYFUNCTION("""COMPUTED_VALUE"""),"DSM")</f>
        <v>DSM</v>
      </c>
      <c r="F2734">
        <f>IFERROR(__xludf.DUMMYFUNCTION("""COMPUTED_VALUE"""),17230.0)</f>
        <v>17230</v>
      </c>
    </row>
    <row r="2735" ht="15.75" customHeight="1">
      <c r="A2735" t="str">
        <f t="shared" si="1"/>
        <v>I.coccineum</v>
      </c>
      <c r="B2735" s="5" t="s">
        <v>12544</v>
      </c>
      <c r="C2735" s="6" t="str">
        <f>IFERROR(__xludf.DUMMYFUNCTION("SPLIT('2. c'!B2735, "" "", True, True)"),"Ilumatobacter")</f>
        <v>Ilumatobacter</v>
      </c>
      <c r="D2735" t="str">
        <f>IFERROR(__xludf.DUMMYFUNCTION("""COMPUTED_VALUE"""),"coccineum")</f>
        <v>coccineum</v>
      </c>
      <c r="E2735" t="str">
        <f>IFERROR(__xludf.DUMMYFUNCTION("""COMPUTED_VALUE"""),"YM16-304")</f>
        <v>YM16-304</v>
      </c>
    </row>
    <row r="2736" ht="15.75" customHeight="1">
      <c r="A2736" t="str">
        <f t="shared" si="1"/>
        <v>I.polytropus</v>
      </c>
      <c r="B2736" s="5" t="s">
        <v>12554</v>
      </c>
      <c r="C2736" s="6" t="str">
        <f>IFERROR(__xludf.DUMMYFUNCTION("SPLIT('2. c'!B2736, "" "", True, True)"),"Ilyobacter")</f>
        <v>Ilyobacter</v>
      </c>
      <c r="D2736" t="str">
        <f>IFERROR(__xludf.DUMMYFUNCTION("""COMPUTED_VALUE"""),"polytropus")</f>
        <v>polytropus</v>
      </c>
      <c r="E2736" t="str">
        <f>IFERROR(__xludf.DUMMYFUNCTION("""COMPUTED_VALUE"""),"DSM")</f>
        <v>DSM</v>
      </c>
      <c r="F2736">
        <f>IFERROR(__xludf.DUMMYFUNCTION("""COMPUTED_VALUE"""),2926.0)</f>
        <v>2926</v>
      </c>
    </row>
    <row r="2737" ht="15.75" customHeight="1">
      <c r="A2737" t="str">
        <f t="shared" si="1"/>
        <v>I.butyriciproducens</v>
      </c>
      <c r="B2737" s="5" t="s">
        <v>12562</v>
      </c>
      <c r="C2737" s="6" t="str">
        <f>IFERROR(__xludf.DUMMYFUNCTION("SPLIT('2. c'!B2737, "" "", True, True)"),"Intestinimonas")</f>
        <v>Intestinimonas</v>
      </c>
      <c r="D2737" t="str">
        <f>IFERROR(__xludf.DUMMYFUNCTION("""COMPUTED_VALUE"""),"butyriciproducens")</f>
        <v>butyriciproducens</v>
      </c>
      <c r="E2737" t="str">
        <f>IFERROR(__xludf.DUMMYFUNCTION("""COMPUTED_VALUE"""),"strain")</f>
        <v>strain</v>
      </c>
      <c r="F2737" t="str">
        <f>IFERROR(__xludf.DUMMYFUNCTION("""COMPUTED_VALUE"""),"af211")</f>
        <v>af211</v>
      </c>
    </row>
    <row r="2738" ht="15.75" customHeight="1">
      <c r="A2738" t="str">
        <f t="shared" si="1"/>
        <v>I.calvum</v>
      </c>
      <c r="B2738" s="5" t="s">
        <v>12572</v>
      </c>
      <c r="C2738" s="6" t="str">
        <f>IFERROR(__xludf.DUMMYFUNCTION("SPLIT('2. c'!B2738, "" "", True, True)"),"Intrasporangium")</f>
        <v>Intrasporangium</v>
      </c>
      <c r="D2738" t="str">
        <f>IFERROR(__xludf.DUMMYFUNCTION("""COMPUTED_VALUE"""),"calvum")</f>
        <v>calvum</v>
      </c>
      <c r="E2738" t="str">
        <f>IFERROR(__xludf.DUMMYFUNCTION("""COMPUTED_VALUE"""),"DSM")</f>
        <v>DSM</v>
      </c>
      <c r="F2738">
        <f>IFERROR(__xludf.DUMMYFUNCTION("""COMPUTED_VALUE"""),43043.0)</f>
        <v>43043</v>
      </c>
    </row>
    <row r="2739" ht="15.75" customHeight="1">
      <c r="A2739" t="str">
        <f t="shared" si="1"/>
        <v>I.dokdonensis</v>
      </c>
      <c r="B2739" s="5" t="s">
        <v>12581</v>
      </c>
      <c r="C2739" s="6" t="str">
        <f>IFERROR(__xludf.DUMMYFUNCTION("SPLIT('2. c'!B2739, "" "", True, True)"),"Isoptericola")</f>
        <v>Isoptericola</v>
      </c>
      <c r="D2739" t="str">
        <f>IFERROR(__xludf.DUMMYFUNCTION("""COMPUTED_VALUE"""),"dokdonensis")</f>
        <v>dokdonensis</v>
      </c>
      <c r="E2739" t="str">
        <f>IFERROR(__xludf.DUMMYFUNCTION("""COMPUTED_VALUE"""),"DS-3")</f>
        <v>DS-3</v>
      </c>
    </row>
    <row r="2740" ht="15.75" customHeight="1">
      <c r="A2740" t="str">
        <f t="shared" si="1"/>
        <v>I.variabilis</v>
      </c>
      <c r="B2740" s="5" t="s">
        <v>12589</v>
      </c>
      <c r="C2740" s="6" t="str">
        <f>IFERROR(__xludf.DUMMYFUNCTION("SPLIT('2. c'!B2740, "" "", True, True)"),"Isoptericola")</f>
        <v>Isoptericola</v>
      </c>
      <c r="D2740" t="str">
        <f>IFERROR(__xludf.DUMMYFUNCTION("""COMPUTED_VALUE"""),"variabilis")</f>
        <v>variabilis</v>
      </c>
      <c r="E2740">
        <f>IFERROR(__xludf.DUMMYFUNCTION("""COMPUTED_VALUE"""),225.0)</f>
        <v>225</v>
      </c>
    </row>
    <row r="2741" ht="15.75" customHeight="1">
      <c r="A2741" t="str">
        <f t="shared" si="1"/>
        <v>I.pallida</v>
      </c>
      <c r="B2741" s="5" t="s">
        <v>12599</v>
      </c>
      <c r="C2741" s="6" t="str">
        <f>IFERROR(__xludf.DUMMYFUNCTION("SPLIT('2. c'!B2741, "" "", True, True)"),"Isosphaera")</f>
        <v>Isosphaera</v>
      </c>
      <c r="D2741" t="str">
        <f>IFERROR(__xludf.DUMMYFUNCTION("""COMPUTED_VALUE"""),"pallida")</f>
        <v>pallida</v>
      </c>
      <c r="E2741" t="str">
        <f>IFERROR(__xludf.DUMMYFUNCTION("""COMPUTED_VALUE"""),"ATCC")</f>
        <v>ATCC</v>
      </c>
      <c r="F2741">
        <f>IFERROR(__xludf.DUMMYFUNCTION("""COMPUTED_VALUE"""),43644.0)</f>
        <v>43644</v>
      </c>
    </row>
    <row r="2742" ht="15.75" customHeight="1">
      <c r="A2742" t="str">
        <f t="shared" si="1"/>
        <v>J.sp.</v>
      </c>
      <c r="B2742" s="5" t="s">
        <v>12610</v>
      </c>
      <c r="C2742" s="6" t="str">
        <f>IFERROR(__xludf.DUMMYFUNCTION("SPLIT('2. c'!B2742, "" "", True, True)"),"Jannaschia")</f>
        <v>Jannaschia</v>
      </c>
      <c r="D2742" t="str">
        <f>IFERROR(__xludf.DUMMYFUNCTION("""COMPUTED_VALUE"""),"sp.")</f>
        <v>sp.</v>
      </c>
      <c r="E2742" t="str">
        <f>IFERROR(__xludf.DUMMYFUNCTION("""COMPUTED_VALUE"""),"CCS1")</f>
        <v>CCS1</v>
      </c>
    </row>
    <row r="2743" ht="15.75" customHeight="1">
      <c r="A2743" t="str">
        <f t="shared" si="1"/>
        <v>J.agaricidamnosum</v>
      </c>
      <c r="B2743" s="5" t="s">
        <v>12617</v>
      </c>
      <c r="C2743" s="6" t="str">
        <f>IFERROR(__xludf.DUMMYFUNCTION("SPLIT('2. c'!B2743, "" "", True, True)"),"Janthinobacterium")</f>
        <v>Janthinobacterium</v>
      </c>
      <c r="D2743" t="str">
        <f>IFERROR(__xludf.DUMMYFUNCTION("""COMPUTED_VALUE"""),"agaricidamnosum")</f>
        <v>agaricidamnosum</v>
      </c>
      <c r="E2743" t="str">
        <f>IFERROR(__xludf.DUMMYFUNCTION("""COMPUTED_VALUE"""),"NBRC")</f>
        <v>NBRC</v>
      </c>
      <c r="F2743">
        <f>IFERROR(__xludf.DUMMYFUNCTION("""COMPUTED_VALUE"""),102515.0)</f>
        <v>102515</v>
      </c>
      <c r="G2743" t="str">
        <f>IFERROR(__xludf.DUMMYFUNCTION("""COMPUTED_VALUE"""),"=")</f>
        <v>=</v>
      </c>
      <c r="H2743" t="str">
        <f>IFERROR(__xludf.DUMMYFUNCTION("""COMPUTED_VALUE"""),"DSM")</f>
        <v>DSM</v>
      </c>
      <c r="I2743">
        <f>IFERROR(__xludf.DUMMYFUNCTION("""COMPUTED_VALUE"""),9628.0)</f>
        <v>9628</v>
      </c>
    </row>
    <row r="2744" ht="15.75" customHeight="1">
      <c r="A2744" t="str">
        <f t="shared" si="1"/>
        <v>J.sp.</v>
      </c>
      <c r="B2744" s="5" t="s">
        <v>12629</v>
      </c>
      <c r="C2744" s="6" t="str">
        <f>IFERROR(__xludf.DUMMYFUNCTION("SPLIT('2. c'!B2744, "" "", True, True)"),"Janthinobacterium")</f>
        <v>Janthinobacterium</v>
      </c>
      <c r="D2744" t="str">
        <f>IFERROR(__xludf.DUMMYFUNCTION("""COMPUTED_VALUE"""),"sp.")</f>
        <v>sp.</v>
      </c>
      <c r="E2744" t="str">
        <f>IFERROR(__xludf.DUMMYFUNCTION("""COMPUTED_VALUE"""),"Marseille")</f>
        <v>Marseille</v>
      </c>
    </row>
    <row r="2745" ht="15.75" customHeight="1">
      <c r="A2745" t="str">
        <f t="shared" si="1"/>
        <v>J.sp.</v>
      </c>
      <c r="B2745" s="5" t="s">
        <v>12635</v>
      </c>
      <c r="C2745" s="6" t="str">
        <f>IFERROR(__xludf.DUMMYFUNCTION("SPLIT('2. c'!B2745, "" "", True, True)"),"Jeotgalibacillus")</f>
        <v>Jeotgalibacillus</v>
      </c>
      <c r="D2745" t="str">
        <f>IFERROR(__xludf.DUMMYFUNCTION("""COMPUTED_VALUE"""),"sp.")</f>
        <v>sp.</v>
      </c>
      <c r="E2745" t="str">
        <f>IFERROR(__xludf.DUMMYFUNCTION("""COMPUTED_VALUE"""),"D5")</f>
        <v>D5</v>
      </c>
    </row>
    <row r="2746" ht="15.75" customHeight="1">
      <c r="A2746" t="str">
        <f t="shared" si="1"/>
        <v>J.sp.</v>
      </c>
      <c r="B2746" s="5" t="s">
        <v>12644</v>
      </c>
      <c r="C2746" s="6" t="str">
        <f>IFERROR(__xludf.DUMMYFUNCTION("SPLIT('2. c'!B2746, "" "", True, True)"),"Jeotgalicoccus")</f>
        <v>Jeotgalicoccus</v>
      </c>
      <c r="D2746" t="str">
        <f>IFERROR(__xludf.DUMMYFUNCTION("""COMPUTED_VALUE"""),"sp.")</f>
        <v>sp.</v>
      </c>
      <c r="E2746" t="str">
        <f>IFERROR(__xludf.DUMMYFUNCTION("""COMPUTED_VALUE"""),"13MG44_air")</f>
        <v>13MG44_air</v>
      </c>
    </row>
    <row r="2747" ht="15.75" customHeight="1">
      <c r="A2747" t="str">
        <f t="shared" si="1"/>
        <v>J.denitrificans</v>
      </c>
      <c r="B2747" s="5" t="s">
        <v>12653</v>
      </c>
      <c r="C2747" s="6" t="str">
        <f>IFERROR(__xludf.DUMMYFUNCTION("SPLIT('2. c'!B2747, "" "", True, True)"),"Jonesia")</f>
        <v>Jonesia</v>
      </c>
      <c r="D2747" t="str">
        <f>IFERROR(__xludf.DUMMYFUNCTION("""COMPUTED_VALUE"""),"denitrificans")</f>
        <v>denitrificans</v>
      </c>
      <c r="E2747" t="str">
        <f>IFERROR(__xludf.DUMMYFUNCTION("""COMPUTED_VALUE"""),"DSM")</f>
        <v>DSM</v>
      </c>
      <c r="F2747">
        <f>IFERROR(__xludf.DUMMYFUNCTION("""COMPUTED_VALUE"""),20603.0)</f>
        <v>20603</v>
      </c>
    </row>
    <row r="2748" ht="15.75" customHeight="1">
      <c r="A2748" t="str">
        <f t="shared" si="1"/>
        <v>K.geojedonensis</v>
      </c>
      <c r="B2748" s="5" t="s">
        <v>12661</v>
      </c>
      <c r="C2748" s="6" t="str">
        <f>IFERROR(__xludf.DUMMYFUNCTION("SPLIT('2. c'!B2748, "" "", True, True)"),"Kangiella")</f>
        <v>Kangiella</v>
      </c>
      <c r="D2748" t="str">
        <f>IFERROR(__xludf.DUMMYFUNCTION("""COMPUTED_VALUE"""),"geojedonensis")</f>
        <v>geojedonensis</v>
      </c>
      <c r="E2748" t="str">
        <f>IFERROR(__xludf.DUMMYFUNCTION("""COMPUTED_VALUE"""),"strain")</f>
        <v>strain</v>
      </c>
      <c r="F2748" t="str">
        <f>IFERROR(__xludf.DUMMYFUNCTION("""COMPUTED_VALUE"""),"YCS-5")</f>
        <v>YCS-5</v>
      </c>
    </row>
    <row r="2749" ht="15.75" customHeight="1">
      <c r="A2749" t="str">
        <f t="shared" si="1"/>
        <v>K.koreensis</v>
      </c>
      <c r="B2749" s="5" t="s">
        <v>12669</v>
      </c>
      <c r="C2749" s="6" t="str">
        <f>IFERROR(__xludf.DUMMYFUNCTION("SPLIT('2. c'!B2749, "" "", True, True)"),"Kangiella")</f>
        <v>Kangiella</v>
      </c>
      <c r="D2749" t="str">
        <f>IFERROR(__xludf.DUMMYFUNCTION("""COMPUTED_VALUE"""),"koreensis")</f>
        <v>koreensis</v>
      </c>
      <c r="E2749" t="str">
        <f>IFERROR(__xludf.DUMMYFUNCTION("""COMPUTED_VALUE"""),"DSM")</f>
        <v>DSM</v>
      </c>
      <c r="F2749">
        <f>IFERROR(__xludf.DUMMYFUNCTION("""COMPUTED_VALUE"""),16069.0)</f>
        <v>16069</v>
      </c>
    </row>
    <row r="2750" ht="15.75" customHeight="1">
      <c r="A2750" t="str">
        <f t="shared" si="1"/>
        <v>K.vulgare</v>
      </c>
      <c r="B2750" s="5" t="s">
        <v>12679</v>
      </c>
      <c r="C2750" s="6" t="str">
        <f>IFERROR(__xludf.DUMMYFUNCTION("SPLIT('2. c'!B2750, "" "", True, True)"),"Ketogulonicigenium")</f>
        <v>Ketogulonicigenium</v>
      </c>
      <c r="D2750" t="str">
        <f>IFERROR(__xludf.DUMMYFUNCTION("""COMPUTED_VALUE"""),"vulgare")</f>
        <v>vulgare</v>
      </c>
      <c r="E2750" t="str">
        <f>IFERROR(__xludf.DUMMYFUNCTION("""COMPUTED_VALUE"""),"strain")</f>
        <v>strain</v>
      </c>
      <c r="F2750" t="str">
        <f>IFERROR(__xludf.DUMMYFUNCTION("""COMPUTED_VALUE"""),"Hbe602")</f>
        <v>Hbe602</v>
      </c>
    </row>
    <row r="2751" ht="15.75" customHeight="1">
      <c r="A2751" t="str">
        <f t="shared" si="1"/>
        <v>K.vulgare</v>
      </c>
      <c r="B2751" s="5" t="s">
        <v>12691</v>
      </c>
      <c r="C2751" s="6" t="str">
        <f>IFERROR(__xludf.DUMMYFUNCTION("SPLIT('2. c'!B2751, "" "", True, True)"),"Ketogulonicigenium")</f>
        <v>Ketogulonicigenium</v>
      </c>
      <c r="D2751" t="str">
        <f>IFERROR(__xludf.DUMMYFUNCTION("""COMPUTED_VALUE"""),"vulgare")</f>
        <v>vulgare</v>
      </c>
      <c r="E2751" t="str">
        <f>IFERROR(__xludf.DUMMYFUNCTION("""COMPUTED_VALUE"""),"WSH-001")</f>
        <v>WSH-001</v>
      </c>
    </row>
    <row r="2752" ht="15.75" customHeight="1">
      <c r="A2752" t="str">
        <f t="shared" si="1"/>
        <v>K.vulgare</v>
      </c>
      <c r="B2752" s="5" t="s">
        <v>12698</v>
      </c>
      <c r="C2752" s="6" t="str">
        <f>IFERROR(__xludf.DUMMYFUNCTION("SPLIT('2. c'!B2752, "" "", True, True)"),"Ketogulonicigenium")</f>
        <v>Ketogulonicigenium</v>
      </c>
      <c r="D2752" t="str">
        <f>IFERROR(__xludf.DUMMYFUNCTION("""COMPUTED_VALUE"""),"vulgare")</f>
        <v>vulgare</v>
      </c>
      <c r="E2752" t="str">
        <f>IFERROR(__xludf.DUMMYFUNCTION("""COMPUTED_VALUE"""),"Y25")</f>
        <v>Y25</v>
      </c>
    </row>
    <row r="2753" ht="15.75" customHeight="1">
      <c r="A2753" t="str">
        <f t="shared" si="1"/>
        <v>K.phytohabitans</v>
      </c>
      <c r="B2753" s="5" t="s">
        <v>12707</v>
      </c>
      <c r="C2753" s="6" t="str">
        <f>IFERROR(__xludf.DUMMYFUNCTION("SPLIT('2. c'!B2753, "" "", True, True)"),"Kibdelosporangium")</f>
        <v>Kibdelosporangium</v>
      </c>
      <c r="D2753" t="str">
        <f>IFERROR(__xludf.DUMMYFUNCTION("""COMPUTED_VALUE"""),"phytohabitans")</f>
        <v>phytohabitans</v>
      </c>
      <c r="E2753" t="str">
        <f>IFERROR(__xludf.DUMMYFUNCTION("""COMPUTED_VALUE"""),"strain")</f>
        <v>strain</v>
      </c>
      <c r="F2753" t="str">
        <f>IFERROR(__xludf.DUMMYFUNCTION("""COMPUTED_VALUE"""),"KLBMP1111")</f>
        <v>KLBMP1111</v>
      </c>
    </row>
    <row r="2754" ht="15.75" customHeight="1">
      <c r="A2754" t="str">
        <f t="shared" si="1"/>
        <v>K.radiotolerans</v>
      </c>
      <c r="B2754" s="5" t="s">
        <v>12715</v>
      </c>
      <c r="C2754" s="6" t="str">
        <f>IFERROR(__xludf.DUMMYFUNCTION("SPLIT('2. c'!B2754, "" "", True, True)"),"Kineococcus")</f>
        <v>Kineococcus</v>
      </c>
      <c r="D2754" t="str">
        <f>IFERROR(__xludf.DUMMYFUNCTION("""COMPUTED_VALUE"""),"radiotolerans")</f>
        <v>radiotolerans</v>
      </c>
      <c r="E2754" t="str">
        <f>IFERROR(__xludf.DUMMYFUNCTION("""COMPUTED_VALUE"""),"SRS30216")</f>
        <v>SRS30216</v>
      </c>
    </row>
    <row r="2755" ht="15.75" customHeight="1">
      <c r="A2755" t="str">
        <f t="shared" si="1"/>
        <v>K.kingae</v>
      </c>
      <c r="B2755" s="5" t="s">
        <v>12731</v>
      </c>
      <c r="C2755" s="6" t="str">
        <f>IFERROR(__xludf.DUMMYFUNCTION("SPLIT('2. c'!B2755, "" "", True, True)"),"Kingella")</f>
        <v>Kingella</v>
      </c>
      <c r="D2755" t="str">
        <f>IFERROR(__xludf.DUMMYFUNCTION("""COMPUTED_VALUE"""),"kingae")</f>
        <v>kingae</v>
      </c>
      <c r="E2755" t="str">
        <f>IFERROR(__xludf.DUMMYFUNCTION("""COMPUTED_VALUE"""),"KK171")</f>
        <v>KK171</v>
      </c>
    </row>
    <row r="2756" ht="15.75" customHeight="1">
      <c r="A2756" t="str">
        <f t="shared" si="1"/>
        <v>K.kingae</v>
      </c>
      <c r="B2756" s="5" t="s">
        <v>12741</v>
      </c>
      <c r="C2756" s="6" t="str">
        <f>IFERROR(__xludf.DUMMYFUNCTION("SPLIT('2. c'!B2756, "" "", True, True)"),"Kingella")</f>
        <v>Kingella</v>
      </c>
      <c r="D2756" t="str">
        <f>IFERROR(__xludf.DUMMYFUNCTION("""COMPUTED_VALUE"""),"kingae")</f>
        <v>kingae</v>
      </c>
      <c r="E2756" t="str">
        <f>IFERROR(__xludf.DUMMYFUNCTION("""COMPUTED_VALUE"""),"KK3")</f>
        <v>KK3</v>
      </c>
    </row>
    <row r="2757" ht="15.75" customHeight="1">
      <c r="A2757" t="str">
        <f t="shared" si="1"/>
        <v>K.kingae</v>
      </c>
      <c r="B2757" s="5" t="s">
        <v>12748</v>
      </c>
      <c r="C2757" s="6" t="str">
        <f>IFERROR(__xludf.DUMMYFUNCTION("SPLIT('2. c'!B2757, "" "", True, True)"),"Kingella")</f>
        <v>Kingella</v>
      </c>
      <c r="D2757" t="str">
        <f>IFERROR(__xludf.DUMMYFUNCTION("""COMPUTED_VALUE"""),"kingae")</f>
        <v>kingae</v>
      </c>
      <c r="E2757" t="str">
        <f>IFERROR(__xludf.DUMMYFUNCTION("""COMPUTED_VALUE"""),"strain")</f>
        <v>strain</v>
      </c>
      <c r="F2757" t="str">
        <f>IFERROR(__xludf.DUMMYFUNCTION("""COMPUTED_VALUE"""),"KWG1")</f>
        <v>KWG1</v>
      </c>
    </row>
    <row r="2758" ht="15.75" customHeight="1">
      <c r="A2758" t="str">
        <f t="shared" si="1"/>
        <v>K.setae</v>
      </c>
      <c r="B2758" s="5" t="s">
        <v>12756</v>
      </c>
      <c r="C2758" s="6" t="str">
        <f>IFERROR(__xludf.DUMMYFUNCTION("SPLIT('2. c'!B2758, "" "", True, True)"),"Kitasatospora")</f>
        <v>Kitasatospora</v>
      </c>
      <c r="D2758" t="str">
        <f>IFERROR(__xludf.DUMMYFUNCTION("""COMPUTED_VALUE"""),"setae")</f>
        <v>setae</v>
      </c>
      <c r="E2758" t="str">
        <f>IFERROR(__xludf.DUMMYFUNCTION("""COMPUTED_VALUE"""),"KM-6054")</f>
        <v>KM-6054</v>
      </c>
    </row>
    <row r="2759" ht="15.75" customHeight="1">
      <c r="A2759" t="str">
        <f t="shared" si="1"/>
        <v>K.michiganensis</v>
      </c>
      <c r="B2759" s="5" t="s">
        <v>12765</v>
      </c>
      <c r="C2759" s="6" t="str">
        <f>IFERROR(__xludf.DUMMYFUNCTION("SPLIT('2. c'!B2759, "" "", True, True)"),"Klebsiella")</f>
        <v>Klebsiella</v>
      </c>
      <c r="D2759" t="str">
        <f>IFERROR(__xludf.DUMMYFUNCTION("""COMPUTED_VALUE"""),"michiganensis")</f>
        <v>michiganensis</v>
      </c>
      <c r="E2759" t="str">
        <f>IFERROR(__xludf.DUMMYFUNCTION("""COMPUTED_VALUE"""),"strain")</f>
        <v>strain</v>
      </c>
      <c r="F2759" t="str">
        <f>IFERROR(__xludf.DUMMYFUNCTION("""COMPUTED_VALUE"""),"RC10")</f>
        <v>RC10</v>
      </c>
    </row>
    <row r="2760" ht="15.75" customHeight="1">
      <c r="A2760" t="str">
        <f t="shared" si="1"/>
        <v>K.oxytoca</v>
      </c>
      <c r="B2760" s="5" t="s">
        <v>12774</v>
      </c>
      <c r="C2760" s="6" t="str">
        <f>IFERROR(__xludf.DUMMYFUNCTION("SPLIT('2. c'!B2760, "" "", True, True)"),"Klebsiella")</f>
        <v>Klebsiella</v>
      </c>
      <c r="D2760" t="str">
        <f>IFERROR(__xludf.DUMMYFUNCTION("""COMPUTED_VALUE"""),"oxytoca")</f>
        <v>oxytoca</v>
      </c>
      <c r="E2760" t="str">
        <f>IFERROR(__xludf.DUMMYFUNCTION("""COMPUTED_VALUE"""),"E718")</f>
        <v>E718</v>
      </c>
    </row>
    <row r="2761" ht="15.75" customHeight="1">
      <c r="A2761" t="str">
        <f t="shared" si="1"/>
        <v>K.oxytoca</v>
      </c>
      <c r="B2761" s="5" t="s">
        <v>12782</v>
      </c>
      <c r="C2761" s="6" t="str">
        <f>IFERROR(__xludf.DUMMYFUNCTION("SPLIT('2. c'!B2761, "" "", True, True)"),"Klebsiella")</f>
        <v>Klebsiella</v>
      </c>
      <c r="D2761" t="str">
        <f>IFERROR(__xludf.DUMMYFUNCTION("""COMPUTED_VALUE"""),"oxytoca")</f>
        <v>oxytoca</v>
      </c>
      <c r="E2761" t="str">
        <f>IFERROR(__xludf.DUMMYFUNCTION("""COMPUTED_VALUE"""),"HKOPL1")</f>
        <v>HKOPL1</v>
      </c>
    </row>
    <row r="2762" ht="15.75" customHeight="1">
      <c r="A2762" t="str">
        <f t="shared" si="1"/>
        <v>K.oxytoca</v>
      </c>
      <c r="B2762" s="5" t="s">
        <v>12791</v>
      </c>
      <c r="C2762" s="6" t="str">
        <f>IFERROR(__xludf.DUMMYFUNCTION("SPLIT('2. c'!B2762, "" "", True, True)"),"Klebsiella")</f>
        <v>Klebsiella</v>
      </c>
      <c r="D2762" t="str">
        <f>IFERROR(__xludf.DUMMYFUNCTION("""COMPUTED_VALUE"""),"oxytoca")</f>
        <v>oxytoca</v>
      </c>
      <c r="E2762" t="str">
        <f>IFERROR(__xludf.DUMMYFUNCTION("""COMPUTED_VALUE"""),"KCTC")</f>
        <v>KCTC</v>
      </c>
      <c r="F2762">
        <f>IFERROR(__xludf.DUMMYFUNCTION("""COMPUTED_VALUE"""),1686.0)</f>
        <v>1686</v>
      </c>
    </row>
    <row r="2763" ht="15.75" customHeight="1">
      <c r="A2763" t="str">
        <f t="shared" si="1"/>
        <v>K.oxytoca</v>
      </c>
      <c r="B2763" s="5" t="s">
        <v>12801</v>
      </c>
      <c r="C2763" s="6" t="str">
        <f>IFERROR(__xludf.DUMMYFUNCTION("SPLIT('2. c'!B2763, "" "", True, True)"),"Klebsiella")</f>
        <v>Klebsiella</v>
      </c>
      <c r="D2763" t="str">
        <f>IFERROR(__xludf.DUMMYFUNCTION("""COMPUTED_VALUE"""),"oxytoca")</f>
        <v>oxytoca</v>
      </c>
      <c r="E2763" t="str">
        <f>IFERROR(__xludf.DUMMYFUNCTION("""COMPUTED_VALUE"""),"KONIH1")</f>
        <v>KONIH1</v>
      </c>
    </row>
    <row r="2764" ht="15.75" customHeight="1">
      <c r="A2764" t="str">
        <f t="shared" si="1"/>
        <v>K.oxytoca</v>
      </c>
      <c r="B2764" s="5" t="s">
        <v>12808</v>
      </c>
      <c r="C2764" s="6" t="str">
        <f>IFERROR(__xludf.DUMMYFUNCTION("SPLIT('2. c'!B2764, "" "", True, True)"),"Klebsiella")</f>
        <v>Klebsiella</v>
      </c>
      <c r="D2764" t="str">
        <f>IFERROR(__xludf.DUMMYFUNCTION("""COMPUTED_VALUE"""),"oxytoca")</f>
        <v>oxytoca</v>
      </c>
      <c r="E2764" t="str">
        <f>IFERROR(__xludf.DUMMYFUNCTION("""COMPUTED_VALUE"""),"strain")</f>
        <v>strain</v>
      </c>
      <c r="F2764" t="str">
        <f>IFERROR(__xludf.DUMMYFUNCTION("""COMPUTED_VALUE"""),"CAV1099")</f>
        <v>CAV1099</v>
      </c>
    </row>
    <row r="2765" ht="15.75" customHeight="1">
      <c r="A2765" t="str">
        <f t="shared" si="1"/>
        <v>K.oxytoca</v>
      </c>
      <c r="B2765" s="5" t="s">
        <v>12816</v>
      </c>
      <c r="C2765" s="6" t="str">
        <f>IFERROR(__xludf.DUMMYFUNCTION("SPLIT('2. c'!B2765, "" "", True, True)"),"Klebsiella")</f>
        <v>Klebsiella</v>
      </c>
      <c r="D2765" t="str">
        <f>IFERROR(__xludf.DUMMYFUNCTION("""COMPUTED_VALUE"""),"oxytoca")</f>
        <v>oxytoca</v>
      </c>
      <c r="E2765" t="str">
        <f>IFERROR(__xludf.DUMMYFUNCTION("""COMPUTED_VALUE"""),"strain")</f>
        <v>strain</v>
      </c>
      <c r="F2765" t="str">
        <f>IFERROR(__xludf.DUMMYFUNCTION("""COMPUTED_VALUE"""),"CAV1335")</f>
        <v>CAV1335</v>
      </c>
    </row>
    <row r="2766" ht="15.75" customHeight="1">
      <c r="A2766" t="str">
        <f t="shared" si="1"/>
        <v>K.oxytoca</v>
      </c>
      <c r="B2766" s="5" t="s">
        <v>12827</v>
      </c>
      <c r="C2766" s="6" t="str">
        <f>IFERROR(__xludf.DUMMYFUNCTION("SPLIT('2. c'!B2766, "" "", True, True)"),"Klebsiella")</f>
        <v>Klebsiella</v>
      </c>
      <c r="D2766" t="str">
        <f>IFERROR(__xludf.DUMMYFUNCTION("""COMPUTED_VALUE"""),"oxytoca")</f>
        <v>oxytoca</v>
      </c>
      <c r="E2766" t="str">
        <f>IFERROR(__xludf.DUMMYFUNCTION("""COMPUTED_VALUE"""),"strain")</f>
        <v>strain</v>
      </c>
      <c r="F2766" t="str">
        <f>IFERROR(__xludf.DUMMYFUNCTION("""COMPUTED_VALUE"""),"CAV1374")</f>
        <v>CAV1374</v>
      </c>
    </row>
    <row r="2767" ht="15.75" customHeight="1">
      <c r="A2767" t="str">
        <f t="shared" si="1"/>
        <v>K.oxytoca</v>
      </c>
      <c r="B2767" s="5" t="s">
        <v>12836</v>
      </c>
      <c r="C2767" s="6" t="str">
        <f>IFERROR(__xludf.DUMMYFUNCTION("SPLIT('2. c'!B2767, "" "", True, True)"),"Klebsiella")</f>
        <v>Klebsiella</v>
      </c>
      <c r="D2767" t="str">
        <f>IFERROR(__xludf.DUMMYFUNCTION("""COMPUTED_VALUE"""),"oxytoca")</f>
        <v>oxytoca</v>
      </c>
      <c r="E2767" t="str">
        <f>IFERROR(__xludf.DUMMYFUNCTION("""COMPUTED_VALUE"""),"strain")</f>
        <v>strain</v>
      </c>
      <c r="F2767" t="str">
        <f>IFERROR(__xludf.DUMMYFUNCTION("""COMPUTED_VALUE"""),"JKo3")</f>
        <v>JKo3</v>
      </c>
    </row>
    <row r="2768" ht="15.75" customHeight="1">
      <c r="A2768" t="str">
        <f t="shared" si="1"/>
        <v>K.oxytoca</v>
      </c>
      <c r="B2768" s="5" t="s">
        <v>12844</v>
      </c>
      <c r="C2768" s="6" t="str">
        <f>IFERROR(__xludf.DUMMYFUNCTION("SPLIT('2. c'!B2768, "" "", True, True)"),"Klebsiella")</f>
        <v>Klebsiella</v>
      </c>
      <c r="D2768" t="str">
        <f>IFERROR(__xludf.DUMMYFUNCTION("""COMPUTED_VALUE"""),"oxytoca")</f>
        <v>oxytoca</v>
      </c>
      <c r="E2768" t="str">
        <f>IFERROR(__xludf.DUMMYFUNCTION("""COMPUTED_VALUE"""),"strain")</f>
        <v>strain</v>
      </c>
      <c r="F2768" t="str">
        <f>IFERROR(__xludf.DUMMYFUNCTION("""COMPUTED_VALUE"""),"M1")</f>
        <v>M1</v>
      </c>
    </row>
    <row r="2769" ht="15.75" customHeight="1">
      <c r="A2769" t="str">
        <f t="shared" si="1"/>
        <v>K.pneumoniae</v>
      </c>
      <c r="B2769" s="5" t="s">
        <v>12853</v>
      </c>
      <c r="C2769" s="6" t="str">
        <f>IFERROR(__xludf.DUMMYFUNCTION("SPLIT('2. c'!B2769, "" "", True, True)"),"Klebsiella")</f>
        <v>Klebsiella</v>
      </c>
      <c r="D2769" t="str">
        <f>IFERROR(__xludf.DUMMYFUNCTION("""COMPUTED_VALUE"""),"pneumoniae")</f>
        <v>pneumoniae</v>
      </c>
      <c r="E2769" t="str">
        <f>IFERROR(__xludf.DUMMYFUNCTION("""COMPUTED_VALUE"""),"30660/NJST258_1")</f>
        <v>30660/NJST258_1</v>
      </c>
    </row>
    <row r="2770" ht="15.75" customHeight="1">
      <c r="A2770" t="str">
        <f t="shared" si="1"/>
        <v>K.pneumoniae</v>
      </c>
      <c r="B2770" s="5" t="s">
        <v>12861</v>
      </c>
      <c r="C2770" s="6" t="str">
        <f>IFERROR(__xludf.DUMMYFUNCTION("SPLIT('2. c'!B2770, "" "", True, True)"),"Klebsiella")</f>
        <v>Klebsiella</v>
      </c>
      <c r="D2770" t="str">
        <f>IFERROR(__xludf.DUMMYFUNCTION("""COMPUTED_VALUE"""),"pneumoniae")</f>
        <v>pneumoniae</v>
      </c>
      <c r="E2770" t="str">
        <f>IFERROR(__xludf.DUMMYFUNCTION("""COMPUTED_VALUE"""),"30684/NJST258_2")</f>
        <v>30684/NJST258_2</v>
      </c>
    </row>
    <row r="2771" ht="15.75" customHeight="1">
      <c r="A2771" t="str">
        <f t="shared" si="1"/>
        <v>K.pneumoniae</v>
      </c>
      <c r="B2771" s="5" t="s">
        <v>12870</v>
      </c>
      <c r="C2771" s="6" t="str">
        <f>IFERROR(__xludf.DUMMYFUNCTION("SPLIT('2. c'!B2771, "" "", True, True)"),"Klebsiella")</f>
        <v>Klebsiella</v>
      </c>
      <c r="D2771" t="str">
        <f>IFERROR(__xludf.DUMMYFUNCTION("""COMPUTED_VALUE"""),"pneumoniae")</f>
        <v>pneumoniae</v>
      </c>
      <c r="E2771">
        <f>IFERROR(__xludf.DUMMYFUNCTION("""COMPUTED_VALUE"""),342.0)</f>
        <v>342</v>
      </c>
    </row>
    <row r="2772" ht="15.75" customHeight="1">
      <c r="A2772" t="str">
        <f t="shared" si="1"/>
        <v>K.pneumoniae</v>
      </c>
      <c r="B2772" s="5" t="s">
        <v>12878</v>
      </c>
      <c r="C2772" s="6" t="str">
        <f>IFERROR(__xludf.DUMMYFUNCTION("SPLIT('2. c'!B2772, "" "", True, True)"),"Klebsiella")</f>
        <v>Klebsiella</v>
      </c>
      <c r="D2772" t="str">
        <f>IFERROR(__xludf.DUMMYFUNCTION("""COMPUTED_VALUE"""),"pneumoniae")</f>
        <v>pneumoniae</v>
      </c>
      <c r="E2772" t="str">
        <f>IFERROR(__xludf.DUMMYFUNCTION("""COMPUTED_VALUE"""),"ATCC")</f>
        <v>ATCC</v>
      </c>
      <c r="F2772">
        <f>IFERROR(__xludf.DUMMYFUNCTION("""COMPUTED_VALUE"""),43816.0)</f>
        <v>43816</v>
      </c>
    </row>
    <row r="2773" ht="15.75" customHeight="1">
      <c r="A2773" t="str">
        <f t="shared" si="1"/>
        <v>K.pneumoniae</v>
      </c>
      <c r="B2773" s="5" t="s">
        <v>12888</v>
      </c>
      <c r="C2773" s="6" t="str">
        <f>IFERROR(__xludf.DUMMYFUNCTION("SPLIT('2. c'!B2773, "" "", True, True)"),"Klebsiella")</f>
        <v>Klebsiella</v>
      </c>
      <c r="D2773" t="str">
        <f>IFERROR(__xludf.DUMMYFUNCTION("""COMPUTED_VALUE"""),"pneumoniae")</f>
        <v>pneumoniae</v>
      </c>
      <c r="E2773" t="str">
        <f>IFERROR(__xludf.DUMMYFUNCTION("""COMPUTED_VALUE"""),"ATCC")</f>
        <v>ATCC</v>
      </c>
      <c r="F2773" t="str">
        <f>IFERROR(__xludf.DUMMYFUNCTION("""COMPUTED_VALUE"""),"BAA-2146")</f>
        <v>BAA-2146</v>
      </c>
    </row>
    <row r="2774" ht="15.75" customHeight="1">
      <c r="A2774" t="str">
        <f t="shared" si="1"/>
        <v>K.pneumoniae</v>
      </c>
      <c r="B2774" s="5" t="s">
        <v>12898</v>
      </c>
      <c r="C2774" s="6" t="str">
        <f>IFERROR(__xludf.DUMMYFUNCTION("SPLIT('2. c'!B2774, "" "", True, True)"),"Klebsiella")</f>
        <v>Klebsiella</v>
      </c>
      <c r="D2774" t="str">
        <f>IFERROR(__xludf.DUMMYFUNCTION("""COMPUTED_VALUE"""),"pneumoniae")</f>
        <v>pneumoniae</v>
      </c>
      <c r="E2774" t="str">
        <f>IFERROR(__xludf.DUMMYFUNCTION("""COMPUTED_VALUE"""),"CG43")</f>
        <v>CG43</v>
      </c>
    </row>
    <row r="2775" ht="15.75" customHeight="1">
      <c r="A2775" t="str">
        <f t="shared" si="1"/>
        <v>K.pneumoniae</v>
      </c>
      <c r="B2775" s="5" t="s">
        <v>12907</v>
      </c>
      <c r="C2775" s="6" t="str">
        <f>IFERROR(__xludf.DUMMYFUNCTION("SPLIT('2. c'!B2775, "" "", True, True)"),"Klebsiella")</f>
        <v>Klebsiella</v>
      </c>
      <c r="D2775" t="str">
        <f>IFERROR(__xludf.DUMMYFUNCTION("""COMPUTED_VALUE"""),"pneumoniae")</f>
        <v>pneumoniae</v>
      </c>
      <c r="E2775" t="str">
        <f>IFERROR(__xludf.DUMMYFUNCTION("""COMPUTED_VALUE"""),"HK787")</f>
        <v>HK787</v>
      </c>
    </row>
    <row r="2776" ht="15.75" customHeight="1">
      <c r="A2776" t="str">
        <f t="shared" si="1"/>
        <v>K.pneumoniae</v>
      </c>
      <c r="B2776" s="5" t="s">
        <v>12916</v>
      </c>
      <c r="C2776" s="6" t="str">
        <f>IFERROR(__xludf.DUMMYFUNCTION("SPLIT('2. c'!B2776, "" "", True, True)"),"Klebsiella")</f>
        <v>Klebsiella</v>
      </c>
      <c r="D2776" t="str">
        <f>IFERROR(__xludf.DUMMYFUNCTION("""COMPUTED_VALUE"""),"pneumoniae")</f>
        <v>pneumoniae</v>
      </c>
      <c r="E2776" t="str">
        <f>IFERROR(__xludf.DUMMYFUNCTION("""COMPUTED_VALUE"""),"JM45")</f>
        <v>JM45</v>
      </c>
    </row>
    <row r="2777" ht="15.75" customHeight="1">
      <c r="A2777" t="str">
        <f t="shared" si="1"/>
        <v>K.pneumoniae</v>
      </c>
      <c r="B2777" s="5" t="s">
        <v>12923</v>
      </c>
      <c r="C2777" s="6" t="str">
        <f>IFERROR(__xludf.DUMMYFUNCTION("SPLIT('2. c'!B2777, "" "", True, True)"),"Klebsiella")</f>
        <v>Klebsiella</v>
      </c>
      <c r="D2777" t="str">
        <f>IFERROR(__xludf.DUMMYFUNCTION("""COMPUTED_VALUE"""),"pneumoniae")</f>
        <v>pneumoniae</v>
      </c>
      <c r="E2777" t="str">
        <f>IFERROR(__xludf.DUMMYFUNCTION("""COMPUTED_VALUE"""),"KCTC")</f>
        <v>KCTC</v>
      </c>
      <c r="F2777">
        <f>IFERROR(__xludf.DUMMYFUNCTION("""COMPUTED_VALUE"""),2242.0)</f>
        <v>2242</v>
      </c>
    </row>
    <row r="2778" ht="15.75" customHeight="1">
      <c r="A2778" t="str">
        <f t="shared" si="1"/>
        <v>K.pneumoniae</v>
      </c>
      <c r="B2778" s="5" t="s">
        <v>12933</v>
      </c>
      <c r="C2778" s="6" t="str">
        <f>IFERROR(__xludf.DUMMYFUNCTION("SPLIT('2. c'!B2778, "" "", True, True)"),"Klebsiella")</f>
        <v>Klebsiella</v>
      </c>
      <c r="D2778" t="str">
        <f>IFERROR(__xludf.DUMMYFUNCTION("""COMPUTED_VALUE"""),"pneumoniae")</f>
        <v>pneumoniae</v>
      </c>
      <c r="E2778" t="str">
        <f>IFERROR(__xludf.DUMMYFUNCTION("""COMPUTED_VALUE"""),"strain")</f>
        <v>strain</v>
      </c>
      <c r="F2778">
        <f>IFERROR(__xludf.DUMMYFUNCTION("""COMPUTED_VALUE"""),32192.0)</f>
        <v>32192</v>
      </c>
    </row>
    <row r="2779" ht="15.75" customHeight="1">
      <c r="A2779" t="str">
        <f t="shared" si="1"/>
        <v>K.pneumoniae</v>
      </c>
      <c r="B2779" s="5" t="s">
        <v>12944</v>
      </c>
      <c r="C2779" s="6" t="str">
        <f>IFERROR(__xludf.DUMMYFUNCTION("SPLIT('2. c'!B2779, "" "", True, True)"),"Klebsiella")</f>
        <v>Klebsiella</v>
      </c>
      <c r="D2779" t="str">
        <f>IFERROR(__xludf.DUMMYFUNCTION("""COMPUTED_VALUE"""),"pneumoniae")</f>
        <v>pneumoniae</v>
      </c>
      <c r="E2779" t="str">
        <f>IFERROR(__xludf.DUMMYFUNCTION("""COMPUTED_VALUE"""),"strain")</f>
        <v>strain</v>
      </c>
      <c r="F2779">
        <f>IFERROR(__xludf.DUMMYFUNCTION("""COMPUTED_VALUE"""),34618.0)</f>
        <v>34618</v>
      </c>
    </row>
    <row r="2780" ht="15.75" customHeight="1">
      <c r="A2780" t="str">
        <f t="shared" si="1"/>
        <v>K.pneumoniae</v>
      </c>
      <c r="B2780" s="5" t="s">
        <v>12953</v>
      </c>
      <c r="C2780" s="6" t="str">
        <f>IFERROR(__xludf.DUMMYFUNCTION("SPLIT('2. c'!B2780, "" "", True, True)"),"Klebsiella")</f>
        <v>Klebsiella</v>
      </c>
      <c r="D2780" t="str">
        <f>IFERROR(__xludf.DUMMYFUNCTION("""COMPUTED_VALUE"""),"pneumoniae")</f>
        <v>pneumoniae</v>
      </c>
      <c r="E2780" t="str">
        <f>IFERROR(__xludf.DUMMYFUNCTION("""COMPUTED_VALUE"""),"strain")</f>
        <v>strain</v>
      </c>
      <c r="F2780" t="str">
        <f>IFERROR(__xludf.DUMMYFUNCTION("""COMPUTED_VALUE"""),"AATZP")</f>
        <v>AATZP</v>
      </c>
    </row>
    <row r="2781" ht="15.75" customHeight="1">
      <c r="A2781" t="str">
        <f t="shared" si="1"/>
        <v>K.pneumoniae</v>
      </c>
      <c r="B2781" s="5" t="s">
        <v>12966</v>
      </c>
      <c r="C2781" s="6" t="str">
        <f>IFERROR(__xludf.DUMMYFUNCTION("SPLIT('2. c'!B2781, "" "", True, True)"),"Klebsiella")</f>
        <v>Klebsiella</v>
      </c>
      <c r="D2781" t="str">
        <f>IFERROR(__xludf.DUMMYFUNCTION("""COMPUTED_VALUE"""),"pneumoniae")</f>
        <v>pneumoniae</v>
      </c>
      <c r="E2781" t="str">
        <f>IFERROR(__xludf.DUMMYFUNCTION("""COMPUTED_VALUE"""),"strain")</f>
        <v>strain</v>
      </c>
      <c r="F2781" t="str">
        <f>IFERROR(__xludf.DUMMYFUNCTION("""COMPUTED_VALUE"""),"blaNDM-1")</f>
        <v>blaNDM-1</v>
      </c>
    </row>
    <row r="2782" ht="15.75" customHeight="1">
      <c r="A2782" t="str">
        <f t="shared" si="1"/>
        <v>K.pneumoniae</v>
      </c>
      <c r="B2782" s="5" t="s">
        <v>12975</v>
      </c>
      <c r="C2782" s="6" t="str">
        <f>IFERROR(__xludf.DUMMYFUNCTION("SPLIT('2. c'!B2782, "" "", True, True)"),"Klebsiella")</f>
        <v>Klebsiella</v>
      </c>
      <c r="D2782" t="str">
        <f>IFERROR(__xludf.DUMMYFUNCTION("""COMPUTED_VALUE"""),"pneumoniae")</f>
        <v>pneumoniae</v>
      </c>
      <c r="E2782" t="str">
        <f>IFERROR(__xludf.DUMMYFUNCTION("""COMPUTED_VALUE"""),"strain")</f>
        <v>strain</v>
      </c>
      <c r="F2782" t="str">
        <f>IFERROR(__xludf.DUMMYFUNCTION("""COMPUTED_VALUE"""),"BR")</f>
        <v>BR</v>
      </c>
    </row>
    <row r="2783" ht="15.75" customHeight="1">
      <c r="A2783" t="str">
        <f t="shared" si="1"/>
        <v>K.pneumoniae</v>
      </c>
      <c r="B2783" s="5" t="s">
        <v>12985</v>
      </c>
      <c r="C2783" s="6" t="str">
        <f>IFERROR(__xludf.DUMMYFUNCTION("SPLIT('2. c'!B2783, "" "", True, True)"),"Klebsiella")</f>
        <v>Klebsiella</v>
      </c>
      <c r="D2783" t="str">
        <f>IFERROR(__xludf.DUMMYFUNCTION("""COMPUTED_VALUE"""),"pneumoniae")</f>
        <v>pneumoniae</v>
      </c>
      <c r="E2783" t="str">
        <f>IFERROR(__xludf.DUMMYFUNCTION("""COMPUTED_VALUE"""),"strain")</f>
        <v>strain</v>
      </c>
      <c r="F2783" t="str">
        <f>IFERROR(__xludf.DUMMYFUNCTION("""COMPUTED_VALUE"""),"CAV1193")</f>
        <v>CAV1193</v>
      </c>
    </row>
    <row r="2784" ht="15.75" customHeight="1">
      <c r="A2784" t="str">
        <f t="shared" si="1"/>
        <v>K.pneumoniae</v>
      </c>
      <c r="B2784" s="5" t="s">
        <v>12993</v>
      </c>
      <c r="C2784" s="6" t="str">
        <f>IFERROR(__xludf.DUMMYFUNCTION("SPLIT('2. c'!B2784, "" "", True, True)"),"Klebsiella")</f>
        <v>Klebsiella</v>
      </c>
      <c r="D2784" t="str">
        <f>IFERROR(__xludf.DUMMYFUNCTION("""COMPUTED_VALUE"""),"pneumoniae")</f>
        <v>pneumoniae</v>
      </c>
      <c r="E2784" t="str">
        <f>IFERROR(__xludf.DUMMYFUNCTION("""COMPUTED_VALUE"""),"strain")</f>
        <v>strain</v>
      </c>
      <c r="F2784" t="str">
        <f>IFERROR(__xludf.DUMMYFUNCTION("""COMPUTED_VALUE"""),"CAV1344")</f>
        <v>CAV1344</v>
      </c>
    </row>
    <row r="2785" ht="15.75" customHeight="1">
      <c r="A2785" t="str">
        <f t="shared" si="1"/>
        <v>K.pneumoniae</v>
      </c>
      <c r="B2785" s="5" t="s">
        <v>13001</v>
      </c>
      <c r="C2785" s="6" t="str">
        <f>IFERROR(__xludf.DUMMYFUNCTION("SPLIT('2. c'!B2785, "" "", True, True)"),"Klebsiella")</f>
        <v>Klebsiella</v>
      </c>
      <c r="D2785" t="str">
        <f>IFERROR(__xludf.DUMMYFUNCTION("""COMPUTED_VALUE"""),"pneumoniae")</f>
        <v>pneumoniae</v>
      </c>
      <c r="E2785" t="str">
        <f>IFERROR(__xludf.DUMMYFUNCTION("""COMPUTED_VALUE"""),"strain")</f>
        <v>strain</v>
      </c>
      <c r="F2785" t="str">
        <f>IFERROR(__xludf.DUMMYFUNCTION("""COMPUTED_VALUE"""),"CAV1392")</f>
        <v>CAV1392</v>
      </c>
    </row>
    <row r="2786" ht="15.75" customHeight="1">
      <c r="A2786" t="str">
        <f t="shared" si="1"/>
        <v>K.pneumoniae</v>
      </c>
      <c r="B2786" s="5" t="s">
        <v>13010</v>
      </c>
      <c r="C2786" s="6" t="str">
        <f>IFERROR(__xludf.DUMMYFUNCTION("SPLIT('2. c'!B2786, "" "", True, True)"),"Klebsiella")</f>
        <v>Klebsiella</v>
      </c>
      <c r="D2786" t="str">
        <f>IFERROR(__xludf.DUMMYFUNCTION("""COMPUTED_VALUE"""),"pneumoniae")</f>
        <v>pneumoniae</v>
      </c>
      <c r="E2786" t="str">
        <f>IFERROR(__xludf.DUMMYFUNCTION("""COMPUTED_VALUE"""),"strain")</f>
        <v>strain</v>
      </c>
      <c r="F2786" t="str">
        <f>IFERROR(__xludf.DUMMYFUNCTION("""COMPUTED_VALUE"""),"CAV1596")</f>
        <v>CAV1596</v>
      </c>
    </row>
    <row r="2787" ht="15.75" customHeight="1">
      <c r="A2787" t="str">
        <f t="shared" si="1"/>
        <v>K.pneumoniae</v>
      </c>
      <c r="B2787" s="5" t="s">
        <v>13018</v>
      </c>
      <c r="C2787" s="6" t="str">
        <f>IFERROR(__xludf.DUMMYFUNCTION("SPLIT('2. c'!B2787, "" "", True, True)"),"Klebsiella")</f>
        <v>Klebsiella</v>
      </c>
      <c r="D2787" t="str">
        <f>IFERROR(__xludf.DUMMYFUNCTION("""COMPUTED_VALUE"""),"pneumoniae")</f>
        <v>pneumoniae</v>
      </c>
      <c r="E2787" t="str">
        <f>IFERROR(__xludf.DUMMYFUNCTION("""COMPUTED_VALUE"""),"strain")</f>
        <v>strain</v>
      </c>
      <c r="F2787" t="str">
        <f>IFERROR(__xludf.DUMMYFUNCTION("""COMPUTED_VALUE"""),"CIP")</f>
        <v>CIP</v>
      </c>
      <c r="G2787" t="str">
        <f>IFERROR(__xludf.DUMMYFUNCTION("""COMPUTED_VALUE"""),"52.145")</f>
        <v>52.145</v>
      </c>
    </row>
    <row r="2788" ht="15.75" customHeight="1">
      <c r="A2788" t="str">
        <f t="shared" si="1"/>
        <v>K.pneumoniae</v>
      </c>
      <c r="B2788" s="5" t="s">
        <v>13029</v>
      </c>
      <c r="C2788" s="6" t="str">
        <f>IFERROR(__xludf.DUMMYFUNCTION("SPLIT('2. c'!B2788, "" "", True, True)"),"Klebsiella")</f>
        <v>Klebsiella</v>
      </c>
      <c r="D2788" t="str">
        <f>IFERROR(__xludf.DUMMYFUNCTION("""COMPUTED_VALUE"""),"pneumoniae")</f>
        <v>pneumoniae</v>
      </c>
      <c r="E2788" t="str">
        <f>IFERROR(__xludf.DUMMYFUNCTION("""COMPUTED_VALUE"""),"strain")</f>
        <v>strain</v>
      </c>
      <c r="F2788" t="str">
        <f>IFERROR(__xludf.DUMMYFUNCTION("""COMPUTED_VALUE"""),"J1")</f>
        <v>J1</v>
      </c>
    </row>
    <row r="2789" ht="15.75" customHeight="1">
      <c r="A2789" t="str">
        <f t="shared" si="1"/>
        <v>K.pneumoniae</v>
      </c>
      <c r="B2789" s="5" t="s">
        <v>13037</v>
      </c>
      <c r="C2789" s="6" t="str">
        <f>IFERROR(__xludf.DUMMYFUNCTION("SPLIT('2. c'!B2789, "" "", True, True)"),"Klebsiella")</f>
        <v>Klebsiella</v>
      </c>
      <c r="D2789" t="str">
        <f>IFERROR(__xludf.DUMMYFUNCTION("""COMPUTED_VALUE"""),"pneumoniae")</f>
        <v>pneumoniae</v>
      </c>
      <c r="E2789" t="str">
        <f>IFERROR(__xludf.DUMMYFUNCTION("""COMPUTED_VALUE"""),"strain")</f>
        <v>strain</v>
      </c>
      <c r="F2789" t="str">
        <f>IFERROR(__xludf.DUMMYFUNCTION("""COMPUTED_VALUE"""),"KP617")</f>
        <v>KP617</v>
      </c>
    </row>
    <row r="2790" ht="15.75" customHeight="1">
      <c r="A2790" t="str">
        <f t="shared" si="1"/>
        <v>K.pneumoniae</v>
      </c>
      <c r="B2790" s="5" t="s">
        <v>13045</v>
      </c>
      <c r="C2790" s="6" t="str">
        <f>IFERROR(__xludf.DUMMYFUNCTION("SPLIT('2. c'!B2790, "" "", True, True)"),"Klebsiella")</f>
        <v>Klebsiella</v>
      </c>
      <c r="D2790" t="str">
        <f>IFERROR(__xludf.DUMMYFUNCTION("""COMPUTED_VALUE"""),"pneumoniae")</f>
        <v>pneumoniae</v>
      </c>
      <c r="E2790" t="str">
        <f>IFERROR(__xludf.DUMMYFUNCTION("""COMPUTED_VALUE"""),"strain")</f>
        <v>strain</v>
      </c>
      <c r="F2790" t="str">
        <f>IFERROR(__xludf.DUMMYFUNCTION("""COMPUTED_VALUE"""),"KpN01")</f>
        <v>KpN01</v>
      </c>
    </row>
    <row r="2791" ht="15.75" customHeight="1">
      <c r="A2791" t="str">
        <f t="shared" si="1"/>
        <v>K.pneumoniae</v>
      </c>
      <c r="B2791" s="5" t="s">
        <v>13053</v>
      </c>
      <c r="C2791" s="6" t="str">
        <f>IFERROR(__xludf.DUMMYFUNCTION("SPLIT('2. c'!B2791, "" "", True, True)"),"Klebsiella")</f>
        <v>Klebsiella</v>
      </c>
      <c r="D2791" t="str">
        <f>IFERROR(__xludf.DUMMYFUNCTION("""COMPUTED_VALUE"""),"pneumoniae")</f>
        <v>pneumoniae</v>
      </c>
      <c r="E2791" t="str">
        <f>IFERROR(__xludf.DUMMYFUNCTION("""COMPUTED_VALUE"""),"strain")</f>
        <v>strain</v>
      </c>
      <c r="F2791" t="str">
        <f>IFERROR(__xludf.DUMMYFUNCTION("""COMPUTED_VALUE"""),"KpN06")</f>
        <v>KpN06</v>
      </c>
    </row>
    <row r="2792" ht="15.75" customHeight="1">
      <c r="A2792" t="str">
        <f t="shared" si="1"/>
        <v>K.pneumoniae</v>
      </c>
      <c r="B2792" s="5" t="s">
        <v>13061</v>
      </c>
      <c r="C2792" s="6" t="str">
        <f>IFERROR(__xludf.DUMMYFUNCTION("SPLIT('2. c'!B2792, "" "", True, True)"),"Klebsiella")</f>
        <v>Klebsiella</v>
      </c>
      <c r="D2792" t="str">
        <f>IFERROR(__xludf.DUMMYFUNCTION("""COMPUTED_VALUE"""),"pneumoniae")</f>
        <v>pneumoniae</v>
      </c>
      <c r="E2792" t="str">
        <f>IFERROR(__xludf.DUMMYFUNCTION("""COMPUTED_VALUE"""),"strain")</f>
        <v>strain</v>
      </c>
      <c r="F2792" t="str">
        <f>IFERROR(__xludf.DUMMYFUNCTION("""COMPUTED_VALUE"""),"Kpn223")</f>
        <v>Kpn223</v>
      </c>
    </row>
    <row r="2793" ht="15.75" customHeight="1">
      <c r="A2793" t="str">
        <f t="shared" si="1"/>
        <v>K.pneumoniae</v>
      </c>
      <c r="B2793" s="5" t="s">
        <v>13069</v>
      </c>
      <c r="C2793" s="6" t="str">
        <f>IFERROR(__xludf.DUMMYFUNCTION("SPLIT('2. c'!B2793, "" "", True, True)"),"Klebsiella")</f>
        <v>Klebsiella</v>
      </c>
      <c r="D2793" t="str">
        <f>IFERROR(__xludf.DUMMYFUNCTION("""COMPUTED_VALUE"""),"pneumoniae")</f>
        <v>pneumoniae</v>
      </c>
      <c r="E2793" t="str">
        <f>IFERROR(__xludf.DUMMYFUNCTION("""COMPUTED_VALUE"""),"strain")</f>
        <v>strain</v>
      </c>
      <c r="F2793" t="str">
        <f>IFERROR(__xludf.DUMMYFUNCTION("""COMPUTED_VALUE"""),"Kpn555")</f>
        <v>Kpn555</v>
      </c>
    </row>
    <row r="2794" ht="15.75" customHeight="1">
      <c r="A2794" t="str">
        <f t="shared" si="1"/>
        <v>K.pneumoniae</v>
      </c>
      <c r="B2794" s="5" t="s">
        <v>13077</v>
      </c>
      <c r="C2794" s="6" t="str">
        <f>IFERROR(__xludf.DUMMYFUNCTION("SPLIT('2. c'!B2794, "" "", True, True)"),"Klebsiella")</f>
        <v>Klebsiella</v>
      </c>
      <c r="D2794" t="str">
        <f>IFERROR(__xludf.DUMMYFUNCTION("""COMPUTED_VALUE"""),"pneumoniae")</f>
        <v>pneumoniae</v>
      </c>
      <c r="E2794" t="str">
        <f>IFERROR(__xludf.DUMMYFUNCTION("""COMPUTED_VALUE"""),"strain")</f>
        <v>strain</v>
      </c>
      <c r="F2794" t="str">
        <f>IFERROR(__xludf.DUMMYFUNCTION("""COMPUTED_VALUE"""),"KPNIH36")</f>
        <v>KPNIH36</v>
      </c>
    </row>
    <row r="2795" ht="15.75" customHeight="1">
      <c r="A2795" t="str">
        <f t="shared" si="1"/>
        <v>K.pneumoniae</v>
      </c>
      <c r="B2795" s="5" t="s">
        <v>13086</v>
      </c>
      <c r="C2795" s="6" t="str">
        <f>IFERROR(__xludf.DUMMYFUNCTION("SPLIT('2. c'!B2795, "" "", True, True)"),"Klebsiella")</f>
        <v>Klebsiella</v>
      </c>
      <c r="D2795" t="str">
        <f>IFERROR(__xludf.DUMMYFUNCTION("""COMPUTED_VALUE"""),"pneumoniae")</f>
        <v>pneumoniae</v>
      </c>
      <c r="E2795" t="str">
        <f>IFERROR(__xludf.DUMMYFUNCTION("""COMPUTED_VALUE"""),"strain")</f>
        <v>strain</v>
      </c>
      <c r="F2795" t="str">
        <f>IFERROR(__xludf.DUMMYFUNCTION("""COMPUTED_VALUE"""),"KPNIH39")</f>
        <v>KPNIH39</v>
      </c>
    </row>
    <row r="2796" ht="15.75" customHeight="1">
      <c r="A2796" t="str">
        <f t="shared" si="1"/>
        <v>K.pneumoniae</v>
      </c>
      <c r="B2796" s="5" t="s">
        <v>13096</v>
      </c>
      <c r="C2796" s="6" t="str">
        <f>IFERROR(__xludf.DUMMYFUNCTION("SPLIT('2. c'!B2796, "" "", True, True)"),"Klebsiella")</f>
        <v>Klebsiella</v>
      </c>
      <c r="D2796" t="str">
        <f>IFERROR(__xludf.DUMMYFUNCTION("""COMPUTED_VALUE"""),"pneumoniae")</f>
        <v>pneumoniae</v>
      </c>
      <c r="E2796" t="str">
        <f>IFERROR(__xludf.DUMMYFUNCTION("""COMPUTED_VALUE"""),"strain")</f>
        <v>strain</v>
      </c>
      <c r="F2796" t="str">
        <f>IFERROR(__xludf.DUMMYFUNCTION("""COMPUTED_VALUE"""),"MS6671")</f>
        <v>MS6671</v>
      </c>
    </row>
    <row r="2797" ht="15.75" customHeight="1">
      <c r="A2797" t="str">
        <f t="shared" si="1"/>
        <v>K.pneumoniae</v>
      </c>
      <c r="B2797" s="5" t="s">
        <v>13104</v>
      </c>
      <c r="C2797" s="6" t="str">
        <f>IFERROR(__xludf.DUMMYFUNCTION("SPLIT('2. c'!B2797, "" "", True, True)"),"Klebsiella")</f>
        <v>Klebsiella</v>
      </c>
      <c r="D2797" t="str">
        <f>IFERROR(__xludf.DUMMYFUNCTION("""COMPUTED_VALUE"""),"pneumoniae")</f>
        <v>pneumoniae</v>
      </c>
      <c r="E2797" t="str">
        <f>IFERROR(__xludf.DUMMYFUNCTION("""COMPUTED_VALUE"""),"strain")</f>
        <v>strain</v>
      </c>
      <c r="F2797" t="str">
        <f>IFERROR(__xludf.DUMMYFUNCTION("""COMPUTED_VALUE"""),"PMK1")</f>
        <v>PMK1</v>
      </c>
    </row>
    <row r="2798" ht="15.75" customHeight="1">
      <c r="A2798" t="str">
        <f t="shared" si="1"/>
        <v>K.pneumoniae</v>
      </c>
      <c r="B2798" s="5" t="s">
        <v>13112</v>
      </c>
      <c r="C2798" s="6" t="str">
        <f>IFERROR(__xludf.DUMMYFUNCTION("SPLIT('2. c'!B2798, "" "", True, True)"),"Klebsiella")</f>
        <v>Klebsiella</v>
      </c>
      <c r="D2798" t="str">
        <f>IFERROR(__xludf.DUMMYFUNCTION("""COMPUTED_VALUE"""),"pneumoniae")</f>
        <v>pneumoniae</v>
      </c>
      <c r="E2798" t="str">
        <f>IFERROR(__xludf.DUMMYFUNCTION("""COMPUTED_VALUE"""),"strain")</f>
        <v>strain</v>
      </c>
      <c r="F2798" t="str">
        <f>IFERROR(__xludf.DUMMYFUNCTION("""COMPUTED_VALUE"""),"SB3432")</f>
        <v>SB3432</v>
      </c>
    </row>
    <row r="2799" ht="15.75" customHeight="1">
      <c r="A2799" t="str">
        <f t="shared" si="1"/>
        <v>K.pneumoniae</v>
      </c>
      <c r="B2799" s="5" t="s">
        <v>13120</v>
      </c>
      <c r="C2799" s="6" t="str">
        <f>IFERROR(__xludf.DUMMYFUNCTION("SPLIT('2. c'!B2799, "" "", True, True)"),"Klebsiella")</f>
        <v>Klebsiella</v>
      </c>
      <c r="D2799" t="str">
        <f>IFERROR(__xludf.DUMMYFUNCTION("""COMPUTED_VALUE"""),"pneumoniae")</f>
        <v>pneumoniae</v>
      </c>
      <c r="E2799" t="str">
        <f>IFERROR(__xludf.DUMMYFUNCTION("""COMPUTED_VALUE"""),"strain")</f>
        <v>strain</v>
      </c>
      <c r="F2799" t="str">
        <f>IFERROR(__xludf.DUMMYFUNCTION("""COMPUTED_VALUE"""),"SKGH01")</f>
        <v>SKGH01</v>
      </c>
    </row>
    <row r="2800" ht="15.75" customHeight="1">
      <c r="A2800" t="str">
        <f t="shared" si="1"/>
        <v>K.pneumoniae</v>
      </c>
      <c r="B2800" s="5" t="s">
        <v>13129</v>
      </c>
      <c r="C2800" s="6" t="str">
        <f>IFERROR(__xludf.DUMMYFUNCTION("SPLIT('2. c'!B2800, "" "", True, True)"),"Klebsiella")</f>
        <v>Klebsiella</v>
      </c>
      <c r="D2800" t="str">
        <f>IFERROR(__xludf.DUMMYFUNCTION("""COMPUTED_VALUE"""),"pneumoniae")</f>
        <v>pneumoniae</v>
      </c>
      <c r="E2800" t="str">
        <f>IFERROR(__xludf.DUMMYFUNCTION("""COMPUTED_VALUE"""),"strain")</f>
        <v>strain</v>
      </c>
      <c r="F2800" t="str">
        <f>IFERROR(__xludf.DUMMYFUNCTION("""COMPUTED_VALUE"""),"TH1")</f>
        <v>TH1</v>
      </c>
    </row>
    <row r="2801" ht="15.75" customHeight="1">
      <c r="A2801" t="str">
        <f t="shared" si="1"/>
        <v>K.pneumoniae</v>
      </c>
      <c r="B2801" s="5" t="s">
        <v>13139</v>
      </c>
      <c r="C2801" s="6" t="str">
        <f>IFERROR(__xludf.DUMMYFUNCTION("SPLIT('2. c'!B2801, "" "", True, True)"),"Klebsiella")</f>
        <v>Klebsiella</v>
      </c>
      <c r="D2801" t="str">
        <f>IFERROR(__xludf.DUMMYFUNCTION("""COMPUTED_VALUE"""),"pneumoniae")</f>
        <v>pneumoniae</v>
      </c>
      <c r="E2801" t="str">
        <f>IFERROR(__xludf.DUMMYFUNCTION("""COMPUTED_VALUE"""),"strain")</f>
        <v>strain</v>
      </c>
      <c r="F2801" t="str">
        <f>IFERROR(__xludf.DUMMYFUNCTION("""COMPUTED_VALUE"""),"U25")</f>
        <v>U25</v>
      </c>
    </row>
    <row r="2802" ht="15.75" customHeight="1">
      <c r="A2802" t="str">
        <f t="shared" si="1"/>
        <v>K.pneumoniae</v>
      </c>
      <c r="B2802" s="5" t="s">
        <v>13149</v>
      </c>
      <c r="C2802" s="6" t="str">
        <f>IFERROR(__xludf.DUMMYFUNCTION("SPLIT('2. c'!B2802, "" "", True, True)"),"Klebsiella")</f>
        <v>Klebsiella</v>
      </c>
      <c r="D2802" t="str">
        <f>IFERROR(__xludf.DUMMYFUNCTION("""COMPUTED_VALUE"""),"pneumoniae")</f>
        <v>pneumoniae</v>
      </c>
      <c r="E2802" t="str">
        <f>IFERROR(__xludf.DUMMYFUNCTION("""COMPUTED_VALUE"""),"strain")</f>
        <v>strain</v>
      </c>
      <c r="F2802" t="str">
        <f>IFERROR(__xludf.DUMMYFUNCTION("""COMPUTED_VALUE"""),"W14")</f>
        <v>W14</v>
      </c>
    </row>
    <row r="2803" ht="15.75" customHeight="1">
      <c r="A2803" t="str">
        <f t="shared" si="1"/>
        <v>K.pneumoniae</v>
      </c>
      <c r="B2803" s="5" t="s">
        <v>13158</v>
      </c>
      <c r="C2803" s="6" t="str">
        <f>IFERROR(__xludf.DUMMYFUNCTION("SPLIT('2. c'!B2803, "" "", True, True)"),"Klebsiella")</f>
        <v>Klebsiella</v>
      </c>
      <c r="D2803" t="str">
        <f>IFERROR(__xludf.DUMMYFUNCTION("""COMPUTED_VALUE"""),"pneumoniae")</f>
        <v>pneumoniae</v>
      </c>
      <c r="E2803" t="str">
        <f>IFERROR(__xludf.DUMMYFUNCTION("""COMPUTED_VALUE"""),"strain")</f>
        <v>strain</v>
      </c>
      <c r="F2803" t="str">
        <f>IFERROR(__xludf.DUMMYFUNCTION("""COMPUTED_VALUE"""),"XH209")</f>
        <v>XH209</v>
      </c>
    </row>
    <row r="2804" ht="15.75" customHeight="1">
      <c r="A2804" t="str">
        <f t="shared" si="1"/>
        <v>K.pneumoniae</v>
      </c>
      <c r="B2804" s="5" t="s">
        <v>13166</v>
      </c>
      <c r="C2804" s="6" t="str">
        <f>IFERROR(__xludf.DUMMYFUNCTION("SPLIT('2. c'!B2804, "" "", True, True)"),"Klebsiella")</f>
        <v>Klebsiella</v>
      </c>
      <c r="D2804" t="str">
        <f>IFERROR(__xludf.DUMMYFUNCTION("""COMPUTED_VALUE"""),"pneumoniae")</f>
        <v>pneumoniae</v>
      </c>
      <c r="E2804" t="str">
        <f>IFERROR(__xludf.DUMMYFUNCTION("""COMPUTED_VALUE"""),"strain")</f>
        <v>strain</v>
      </c>
      <c r="F2804" t="str">
        <f>IFERROR(__xludf.DUMMYFUNCTION("""COMPUTED_VALUE"""),"YH43")</f>
        <v>YH43</v>
      </c>
    </row>
    <row r="2805" ht="15.75" customHeight="1">
      <c r="A2805" t="str">
        <f t="shared" si="1"/>
        <v>K.pneumoniae</v>
      </c>
      <c r="B2805" s="5" t="s">
        <v>13181</v>
      </c>
      <c r="C2805" s="6" t="str">
        <f>IFERROR(__xludf.DUMMYFUNCTION("SPLIT('2. c'!B2805, "" "", True, True)"),"Klebsiella")</f>
        <v>Klebsiella</v>
      </c>
      <c r="D2805" t="str">
        <f>IFERROR(__xludf.DUMMYFUNCTION("""COMPUTED_VALUE"""),"pneumoniae")</f>
        <v>pneumoniae</v>
      </c>
      <c r="E2805" t="str">
        <f>IFERROR(__xludf.DUMMYFUNCTION("""COMPUTED_VALUE"""),"strain")</f>
        <v>strain</v>
      </c>
      <c r="F2805" t="str">
        <f>IFERROR(__xludf.DUMMYFUNCTION("""COMPUTED_VALUE"""),"yzusk-4")</f>
        <v>yzusk-4</v>
      </c>
    </row>
    <row r="2806" ht="15.75" customHeight="1">
      <c r="A2806" t="str">
        <f t="shared" si="1"/>
        <v>K.pneumoniae</v>
      </c>
      <c r="B2806" s="5" t="s">
        <v>13186</v>
      </c>
      <c r="C2806" s="6" t="str">
        <f>IFERROR(__xludf.DUMMYFUNCTION("SPLIT('2. c'!B2806, "" "", True, True)"),"Klebsiella")</f>
        <v>Klebsiella</v>
      </c>
      <c r="D2806" t="str">
        <f>IFERROR(__xludf.DUMMYFUNCTION("""COMPUTED_VALUE"""),"pneumoniae")</f>
        <v>pneumoniae</v>
      </c>
      <c r="E2806" t="str">
        <f>IFERROR(__xludf.DUMMYFUNCTION("""COMPUTED_VALUE"""),"subsp.")</f>
        <v>subsp.</v>
      </c>
      <c r="F2806" t="str">
        <f>IFERROR(__xludf.DUMMYFUNCTION("""COMPUTED_VALUE"""),"pneumoniae")</f>
        <v>pneumoniae</v>
      </c>
    </row>
    <row r="2807" ht="15.75" customHeight="1">
      <c r="A2807" t="str">
        <f t="shared" si="1"/>
        <v>K.pneumoniae</v>
      </c>
      <c r="B2807" s="5" t="s">
        <v>13186</v>
      </c>
      <c r="C2807" s="6" t="str">
        <f>IFERROR(__xludf.DUMMYFUNCTION("SPLIT('2. c'!B2807, "" "", True, True)"),"Klebsiella")</f>
        <v>Klebsiella</v>
      </c>
      <c r="D2807" t="str">
        <f>IFERROR(__xludf.DUMMYFUNCTION("""COMPUTED_VALUE"""),"pneumoniae")</f>
        <v>pneumoniae</v>
      </c>
      <c r="E2807" t="str">
        <f>IFERROR(__xludf.DUMMYFUNCTION("""COMPUTED_VALUE"""),"subsp.")</f>
        <v>subsp.</v>
      </c>
      <c r="F2807" t="str">
        <f>IFERROR(__xludf.DUMMYFUNCTION("""COMPUTED_VALUE"""),"pneumoniae")</f>
        <v>pneumoniae</v>
      </c>
    </row>
    <row r="2808" ht="15.75" customHeight="1">
      <c r="A2808" t="str">
        <f t="shared" si="1"/>
        <v>K.pneumoniae</v>
      </c>
      <c r="B2808" s="5" t="s">
        <v>13186</v>
      </c>
      <c r="C2808" s="6" t="str">
        <f>IFERROR(__xludf.DUMMYFUNCTION("SPLIT('2. c'!B2808, "" "", True, True)"),"Klebsiella")</f>
        <v>Klebsiella</v>
      </c>
      <c r="D2808" t="str">
        <f>IFERROR(__xludf.DUMMYFUNCTION("""COMPUTED_VALUE"""),"pneumoniae")</f>
        <v>pneumoniae</v>
      </c>
      <c r="E2808" t="str">
        <f>IFERROR(__xludf.DUMMYFUNCTION("""COMPUTED_VALUE"""),"subsp.")</f>
        <v>subsp.</v>
      </c>
      <c r="F2808" t="str">
        <f>IFERROR(__xludf.DUMMYFUNCTION("""COMPUTED_VALUE"""),"pneumoniae")</f>
        <v>pneumoniae</v>
      </c>
    </row>
    <row r="2809" ht="15.75" customHeight="1">
      <c r="A2809" t="str">
        <f t="shared" si="1"/>
        <v>K.pneumoniae</v>
      </c>
      <c r="B2809" s="5" t="s">
        <v>13186</v>
      </c>
      <c r="C2809" s="6" t="str">
        <f>IFERROR(__xludf.DUMMYFUNCTION("SPLIT('2. c'!B2809, "" "", True, True)"),"Klebsiella")</f>
        <v>Klebsiella</v>
      </c>
      <c r="D2809" t="str">
        <f>IFERROR(__xludf.DUMMYFUNCTION("""COMPUTED_VALUE"""),"pneumoniae")</f>
        <v>pneumoniae</v>
      </c>
      <c r="E2809" t="str">
        <f>IFERROR(__xludf.DUMMYFUNCTION("""COMPUTED_VALUE"""),"subsp.")</f>
        <v>subsp.</v>
      </c>
      <c r="F2809" t="str">
        <f>IFERROR(__xludf.DUMMYFUNCTION("""COMPUTED_VALUE"""),"pneumoniae")</f>
        <v>pneumoniae</v>
      </c>
    </row>
    <row r="2810" ht="15.75" customHeight="1">
      <c r="A2810" t="str">
        <f t="shared" si="1"/>
        <v>K.pneumoniae</v>
      </c>
      <c r="B2810" s="5" t="s">
        <v>13186</v>
      </c>
      <c r="C2810" s="6" t="str">
        <f>IFERROR(__xludf.DUMMYFUNCTION("SPLIT('2. c'!B2810, "" "", True, True)"),"Klebsiella")</f>
        <v>Klebsiella</v>
      </c>
      <c r="D2810" t="str">
        <f>IFERROR(__xludf.DUMMYFUNCTION("""COMPUTED_VALUE"""),"pneumoniae")</f>
        <v>pneumoniae</v>
      </c>
      <c r="E2810" t="str">
        <f>IFERROR(__xludf.DUMMYFUNCTION("""COMPUTED_VALUE"""),"subsp.")</f>
        <v>subsp.</v>
      </c>
      <c r="F2810" t="str">
        <f>IFERROR(__xludf.DUMMYFUNCTION("""COMPUTED_VALUE"""),"pneumoniae")</f>
        <v>pneumoniae</v>
      </c>
    </row>
    <row r="2811" ht="15.75" customHeight="1">
      <c r="A2811" t="str">
        <f t="shared" si="1"/>
        <v>K.pneumoniae</v>
      </c>
      <c r="B2811" s="5" t="s">
        <v>13231</v>
      </c>
      <c r="C2811" s="6" t="str">
        <f>IFERROR(__xludf.DUMMYFUNCTION("SPLIT('2. c'!B2811, "" "", True, True)"),"Klebsiella")</f>
        <v>Klebsiella</v>
      </c>
      <c r="D2811" t="str">
        <f>IFERROR(__xludf.DUMMYFUNCTION("""COMPUTED_VALUE"""),"pneumoniae")</f>
        <v>pneumoniae</v>
      </c>
      <c r="E2811" t="str">
        <f>IFERROR(__xludf.DUMMYFUNCTION("""COMPUTED_VALUE"""),"subsp.")</f>
        <v>subsp.</v>
      </c>
      <c r="F2811" t="str">
        <f>IFERROR(__xludf.DUMMYFUNCTION("""COMPUTED_VALUE"""),"pneumoniae")</f>
        <v>pneumoniae</v>
      </c>
      <c r="G2811">
        <f>IFERROR(__xludf.DUMMYFUNCTION("""COMPUTED_VALUE"""),1084.0)</f>
        <v>1084</v>
      </c>
    </row>
    <row r="2812" ht="15.75" customHeight="1">
      <c r="A2812" t="str">
        <f t="shared" si="1"/>
        <v>K.pneumoniae</v>
      </c>
      <c r="B2812" s="5" t="s">
        <v>13242</v>
      </c>
      <c r="C2812" s="6" t="str">
        <f>IFERROR(__xludf.DUMMYFUNCTION("SPLIT('2. c'!B2812, "" "", True, True)"),"Klebsiella")</f>
        <v>Klebsiella</v>
      </c>
      <c r="D2812" t="str">
        <f>IFERROR(__xludf.DUMMYFUNCTION("""COMPUTED_VALUE"""),"pneumoniae")</f>
        <v>pneumoniae</v>
      </c>
      <c r="E2812" t="str">
        <f>IFERROR(__xludf.DUMMYFUNCTION("""COMPUTED_VALUE"""),"subsp.")</f>
        <v>subsp.</v>
      </c>
      <c r="F2812" t="str">
        <f>IFERROR(__xludf.DUMMYFUNCTION("""COMPUTED_VALUE"""),"pneumoniae")</f>
        <v>pneumoniae</v>
      </c>
      <c r="G2812">
        <f>IFERROR(__xludf.DUMMYFUNCTION("""COMPUTED_VALUE"""),1158.0)</f>
        <v>1158</v>
      </c>
    </row>
    <row r="2813" ht="15.75" customHeight="1">
      <c r="A2813" t="str">
        <f t="shared" si="1"/>
        <v>K.pneumoniae</v>
      </c>
      <c r="B2813" s="5" t="s">
        <v>13252</v>
      </c>
      <c r="C2813" s="6" t="str">
        <f>IFERROR(__xludf.DUMMYFUNCTION("SPLIT('2. c'!B2813, "" "", True, True)"),"Klebsiella")</f>
        <v>Klebsiella</v>
      </c>
      <c r="D2813" t="str">
        <f>IFERROR(__xludf.DUMMYFUNCTION("""COMPUTED_VALUE"""),"pneumoniae")</f>
        <v>pneumoniae</v>
      </c>
      <c r="E2813" t="str">
        <f>IFERROR(__xludf.DUMMYFUNCTION("""COMPUTED_VALUE"""),"subsp.")</f>
        <v>subsp.</v>
      </c>
      <c r="F2813" t="str">
        <f>IFERROR(__xludf.DUMMYFUNCTION("""COMPUTED_VALUE"""),"pneumoniae")</f>
        <v>pneumoniae</v>
      </c>
      <c r="G2813" t="str">
        <f>IFERROR(__xludf.DUMMYFUNCTION("""COMPUTED_VALUE"""),"HS11286")</f>
        <v>HS11286</v>
      </c>
    </row>
    <row r="2814" ht="15.75" customHeight="1">
      <c r="A2814" t="str">
        <f t="shared" si="1"/>
        <v>K.pneumoniae</v>
      </c>
      <c r="B2814" s="5" t="s">
        <v>13259</v>
      </c>
      <c r="C2814" s="6" t="str">
        <f>IFERROR(__xludf.DUMMYFUNCTION("SPLIT('2. c'!B2814, "" "", True, True)"),"Klebsiella")</f>
        <v>Klebsiella</v>
      </c>
      <c r="D2814" t="str">
        <f>IFERROR(__xludf.DUMMYFUNCTION("""COMPUTED_VALUE"""),"pneumoniae")</f>
        <v>pneumoniae</v>
      </c>
      <c r="E2814" t="str">
        <f>IFERROR(__xludf.DUMMYFUNCTION("""COMPUTED_VALUE"""),"subsp.")</f>
        <v>subsp.</v>
      </c>
      <c r="F2814" t="str">
        <f>IFERROR(__xludf.DUMMYFUNCTION("""COMPUTED_VALUE"""),"pneumoniae")</f>
        <v>pneumoniae</v>
      </c>
      <c r="G2814" t="str">
        <f>IFERROR(__xludf.DUMMYFUNCTION("""COMPUTED_VALUE"""),"Kp13")</f>
        <v>Kp13</v>
      </c>
    </row>
    <row r="2815" ht="15.75" customHeight="1">
      <c r="A2815" t="str">
        <f t="shared" si="1"/>
        <v>K.pneumoniae</v>
      </c>
      <c r="B2815" s="5" t="s">
        <v>13267</v>
      </c>
      <c r="C2815" s="6" t="str">
        <f>IFERROR(__xludf.DUMMYFUNCTION("SPLIT('2. c'!B2815, "" "", True, True)"),"Klebsiella")</f>
        <v>Klebsiella</v>
      </c>
      <c r="D2815" t="str">
        <f>IFERROR(__xludf.DUMMYFUNCTION("""COMPUTED_VALUE"""),"pneumoniae")</f>
        <v>pneumoniae</v>
      </c>
      <c r="E2815" t="str">
        <f>IFERROR(__xludf.DUMMYFUNCTION("""COMPUTED_VALUE"""),"subsp.")</f>
        <v>subsp.</v>
      </c>
      <c r="F2815" t="str">
        <f>IFERROR(__xludf.DUMMYFUNCTION("""COMPUTED_VALUE"""),"pneumoniae")</f>
        <v>pneumoniae</v>
      </c>
      <c r="G2815" t="str">
        <f>IFERROR(__xludf.DUMMYFUNCTION("""COMPUTED_VALUE"""),"KP5-1")</f>
        <v>KP5-1</v>
      </c>
    </row>
    <row r="2816" ht="15.75" customHeight="1">
      <c r="A2816" t="str">
        <f t="shared" si="1"/>
        <v>K.pneumoniae</v>
      </c>
      <c r="B2816" s="5" t="s">
        <v>13277</v>
      </c>
      <c r="C2816" s="6" t="str">
        <f>IFERROR(__xludf.DUMMYFUNCTION("SPLIT('2. c'!B2816, "" "", True, True)"),"Klebsiella")</f>
        <v>Klebsiella</v>
      </c>
      <c r="D2816" t="str">
        <f>IFERROR(__xludf.DUMMYFUNCTION("""COMPUTED_VALUE"""),"pneumoniae")</f>
        <v>pneumoniae</v>
      </c>
      <c r="E2816" t="str">
        <f>IFERROR(__xludf.DUMMYFUNCTION("""COMPUTED_VALUE"""),"subsp.")</f>
        <v>subsp.</v>
      </c>
      <c r="F2816" t="str">
        <f>IFERROR(__xludf.DUMMYFUNCTION("""COMPUTED_VALUE"""),"pneumoniae")</f>
        <v>pneumoniae</v>
      </c>
      <c r="G2816" t="str">
        <f>IFERROR(__xludf.DUMMYFUNCTION("""COMPUTED_VALUE"""),"KPNIH24")</f>
        <v>KPNIH24</v>
      </c>
    </row>
    <row r="2817" ht="15.75" customHeight="1">
      <c r="A2817" t="str">
        <f t="shared" si="1"/>
        <v>K.pneumoniae</v>
      </c>
      <c r="B2817" s="5" t="s">
        <v>13288</v>
      </c>
      <c r="C2817" s="6" t="str">
        <f>IFERROR(__xludf.DUMMYFUNCTION("SPLIT('2. c'!B2817, "" "", True, True)"),"Klebsiella")</f>
        <v>Klebsiella</v>
      </c>
      <c r="D2817" t="str">
        <f>IFERROR(__xludf.DUMMYFUNCTION("""COMPUTED_VALUE"""),"pneumoniae")</f>
        <v>pneumoniae</v>
      </c>
      <c r="E2817" t="str">
        <f>IFERROR(__xludf.DUMMYFUNCTION("""COMPUTED_VALUE"""),"subsp.")</f>
        <v>subsp.</v>
      </c>
      <c r="F2817" t="str">
        <f>IFERROR(__xludf.DUMMYFUNCTION("""COMPUTED_VALUE"""),"pneumoniae")</f>
        <v>pneumoniae</v>
      </c>
      <c r="G2817" t="str">
        <f>IFERROR(__xludf.DUMMYFUNCTION("""COMPUTED_VALUE"""),"KPNIH27")</f>
        <v>KPNIH27</v>
      </c>
    </row>
    <row r="2818" ht="15.75" customHeight="1">
      <c r="A2818" t="str">
        <f t="shared" si="1"/>
        <v>K.pneumoniae</v>
      </c>
      <c r="B2818" s="5" t="s">
        <v>13295</v>
      </c>
      <c r="C2818" s="6" t="str">
        <f>IFERROR(__xludf.DUMMYFUNCTION("SPLIT('2. c'!B2818, "" "", True, True)"),"Klebsiella")</f>
        <v>Klebsiella</v>
      </c>
      <c r="D2818" t="str">
        <f>IFERROR(__xludf.DUMMYFUNCTION("""COMPUTED_VALUE"""),"pneumoniae")</f>
        <v>pneumoniae</v>
      </c>
      <c r="E2818" t="str">
        <f>IFERROR(__xludf.DUMMYFUNCTION("""COMPUTED_VALUE"""),"subsp.")</f>
        <v>subsp.</v>
      </c>
      <c r="F2818" t="str">
        <f>IFERROR(__xludf.DUMMYFUNCTION("""COMPUTED_VALUE"""),"pneumoniae")</f>
        <v>pneumoniae</v>
      </c>
      <c r="G2818" t="str">
        <f>IFERROR(__xludf.DUMMYFUNCTION("""COMPUTED_VALUE"""),"KPR0928")</f>
        <v>KPR0928</v>
      </c>
    </row>
    <row r="2819" ht="15.75" customHeight="1">
      <c r="A2819" t="str">
        <f t="shared" si="1"/>
        <v>K.pneumoniae</v>
      </c>
      <c r="B2819" s="5" t="s">
        <v>13303</v>
      </c>
      <c r="C2819" s="6" t="str">
        <f>IFERROR(__xludf.DUMMYFUNCTION("SPLIT('2. c'!B2819, "" "", True, True)"),"Klebsiella")</f>
        <v>Klebsiella</v>
      </c>
      <c r="D2819" t="str">
        <f>IFERROR(__xludf.DUMMYFUNCTION("""COMPUTED_VALUE"""),"pneumoniae")</f>
        <v>pneumoniae</v>
      </c>
      <c r="E2819" t="str">
        <f>IFERROR(__xludf.DUMMYFUNCTION("""COMPUTED_VALUE"""),"subsp.")</f>
        <v>subsp.</v>
      </c>
      <c r="F2819" t="str">
        <f>IFERROR(__xludf.DUMMYFUNCTION("""COMPUTED_VALUE"""),"pneumoniae")</f>
        <v>pneumoniae</v>
      </c>
      <c r="G2819" t="str">
        <f>IFERROR(__xludf.DUMMYFUNCTION("""COMPUTED_VALUE"""),"MGH")</f>
        <v>MGH</v>
      </c>
      <c r="H2819">
        <f>IFERROR(__xludf.DUMMYFUNCTION("""COMPUTED_VALUE"""),78578.0)</f>
        <v>78578</v>
      </c>
    </row>
    <row r="2820" ht="15.75" customHeight="1">
      <c r="A2820" t="str">
        <f t="shared" si="1"/>
        <v>K.pneumoniae</v>
      </c>
      <c r="B2820" s="5" t="s">
        <v>13314</v>
      </c>
      <c r="C2820" s="6" t="str">
        <f>IFERROR(__xludf.DUMMYFUNCTION("SPLIT('2. c'!B2820, "" "", True, True)"),"Klebsiella")</f>
        <v>Klebsiella</v>
      </c>
      <c r="D2820" t="str">
        <f>IFERROR(__xludf.DUMMYFUNCTION("""COMPUTED_VALUE"""),"pneumoniae")</f>
        <v>pneumoniae</v>
      </c>
      <c r="E2820" t="str">
        <f>IFERROR(__xludf.DUMMYFUNCTION("""COMPUTED_VALUE"""),"subsp.")</f>
        <v>subsp.</v>
      </c>
      <c r="F2820" t="str">
        <f>IFERROR(__xludf.DUMMYFUNCTION("""COMPUTED_VALUE"""),"pneumoniae")</f>
        <v>pneumoniae</v>
      </c>
      <c r="G2820" t="str">
        <f>IFERROR(__xludf.DUMMYFUNCTION("""COMPUTED_VALUE"""),"NTUH-K2044")</f>
        <v>NTUH-K2044</v>
      </c>
    </row>
    <row r="2821" ht="15.75" customHeight="1">
      <c r="A2821" t="str">
        <f t="shared" si="1"/>
        <v>K.pneumoniae</v>
      </c>
      <c r="B2821" s="5" t="s">
        <v>13326</v>
      </c>
      <c r="C2821" s="6" t="str">
        <f>IFERROR(__xludf.DUMMYFUNCTION("SPLIT('2. c'!B2821, "" "", True, True)"),"Klebsiella")</f>
        <v>Klebsiella</v>
      </c>
      <c r="D2821" t="str">
        <f>IFERROR(__xludf.DUMMYFUNCTION("""COMPUTED_VALUE"""),"pneumoniae")</f>
        <v>pneumoniae</v>
      </c>
      <c r="E2821" t="str">
        <f>IFERROR(__xludf.DUMMYFUNCTION("""COMPUTED_VALUE"""),"subsp.")</f>
        <v>subsp.</v>
      </c>
      <c r="F2821" t="str">
        <f>IFERROR(__xludf.DUMMYFUNCTION("""COMPUTED_VALUE"""),"pneumoniae")</f>
        <v>pneumoniae</v>
      </c>
      <c r="G2821" t="str">
        <f>IFERROR(__xludf.DUMMYFUNCTION("""COMPUTED_VALUE"""),"PittNDM01")</f>
        <v>PittNDM01</v>
      </c>
    </row>
    <row r="2822" ht="15.75" customHeight="1">
      <c r="A2822" t="str">
        <f t="shared" si="1"/>
        <v>K.pneumoniae</v>
      </c>
      <c r="B2822" s="5" t="s">
        <v>13335</v>
      </c>
      <c r="C2822" s="6" t="str">
        <f>IFERROR(__xludf.DUMMYFUNCTION("SPLIT('2. c'!B2822, "" "", True, True)"),"Klebsiella")</f>
        <v>Klebsiella</v>
      </c>
      <c r="D2822" t="str">
        <f>IFERROR(__xludf.DUMMYFUNCTION("""COMPUTED_VALUE"""),"pneumoniae")</f>
        <v>pneumoniae</v>
      </c>
      <c r="E2822" t="str">
        <f>IFERROR(__xludf.DUMMYFUNCTION("""COMPUTED_VALUE"""),"subsp.")</f>
        <v>subsp.</v>
      </c>
      <c r="F2822" t="str">
        <f>IFERROR(__xludf.DUMMYFUNCTION("""COMPUTED_VALUE"""),"pneumoniae")</f>
        <v>pneumoniae</v>
      </c>
      <c r="G2822" t="str">
        <f>IFERROR(__xludf.DUMMYFUNCTION("""COMPUTED_VALUE"""),"strain")</f>
        <v>strain</v>
      </c>
      <c r="H2822" t="str">
        <f>IFERROR(__xludf.DUMMYFUNCTION("""COMPUTED_VALUE"""),"234-12")</f>
        <v>234-12</v>
      </c>
    </row>
    <row r="2823" ht="15.75" customHeight="1">
      <c r="A2823" t="str">
        <f t="shared" si="1"/>
        <v>K.pneumoniae</v>
      </c>
      <c r="B2823" s="5" t="s">
        <v>13348</v>
      </c>
      <c r="C2823" s="6" t="str">
        <f>IFERROR(__xludf.DUMMYFUNCTION("SPLIT('2. c'!B2823, "" "", True, True)"),"Klebsiella")</f>
        <v>Klebsiella</v>
      </c>
      <c r="D2823" t="str">
        <f>IFERROR(__xludf.DUMMYFUNCTION("""COMPUTED_VALUE"""),"pneumoniae")</f>
        <v>pneumoniae</v>
      </c>
      <c r="E2823" t="str">
        <f>IFERROR(__xludf.DUMMYFUNCTION("""COMPUTED_VALUE"""),"subsp.")</f>
        <v>subsp.</v>
      </c>
      <c r="F2823" t="str">
        <f>IFERROR(__xludf.DUMMYFUNCTION("""COMPUTED_VALUE"""),"pneumoniae")</f>
        <v>pneumoniae</v>
      </c>
      <c r="G2823" t="str">
        <f>IFERROR(__xludf.DUMMYFUNCTION("""COMPUTED_VALUE"""),"strain")</f>
        <v>strain</v>
      </c>
      <c r="H2823" t="str">
        <f>IFERROR(__xludf.DUMMYFUNCTION("""COMPUTED_VALUE"""),"HKUOPLC")</f>
        <v>HKUOPLC</v>
      </c>
    </row>
    <row r="2824" ht="15.75" customHeight="1">
      <c r="A2824" t="str">
        <f t="shared" si="1"/>
        <v>K.pneumoniae</v>
      </c>
      <c r="B2824" s="5" t="s">
        <v>13363</v>
      </c>
      <c r="C2824" s="6" t="str">
        <f>IFERROR(__xludf.DUMMYFUNCTION("SPLIT('2. c'!B2824, "" "", True, True)"),"Klebsiella")</f>
        <v>Klebsiella</v>
      </c>
      <c r="D2824" t="str">
        <f>IFERROR(__xludf.DUMMYFUNCTION("""COMPUTED_VALUE"""),"pneumoniae")</f>
        <v>pneumoniae</v>
      </c>
      <c r="E2824" t="str">
        <f>IFERROR(__xludf.DUMMYFUNCTION("""COMPUTED_VALUE"""),"subsp.")</f>
        <v>subsp.</v>
      </c>
      <c r="F2824" t="str">
        <f>IFERROR(__xludf.DUMMYFUNCTION("""COMPUTED_VALUE"""),"pneumoniae")</f>
        <v>pneumoniae</v>
      </c>
      <c r="G2824" t="str">
        <f>IFERROR(__xludf.DUMMYFUNCTION("""COMPUTED_VALUE"""),"strain")</f>
        <v>strain</v>
      </c>
      <c r="H2824" t="str">
        <f>IFERROR(__xludf.DUMMYFUNCTION("""COMPUTED_VALUE"""),"KPNIH29")</f>
        <v>KPNIH29</v>
      </c>
    </row>
    <row r="2825" ht="15.75" customHeight="1">
      <c r="A2825" t="str">
        <f t="shared" si="1"/>
        <v>K.pneumoniae</v>
      </c>
      <c r="B2825" s="5" t="s">
        <v>13379</v>
      </c>
      <c r="C2825" s="6" t="str">
        <f>IFERROR(__xludf.DUMMYFUNCTION("SPLIT('2. c'!B2825, "" "", True, True)"),"Klebsiella")</f>
        <v>Klebsiella</v>
      </c>
      <c r="D2825" t="str">
        <f>IFERROR(__xludf.DUMMYFUNCTION("""COMPUTED_VALUE"""),"pneumoniae")</f>
        <v>pneumoniae</v>
      </c>
      <c r="E2825" t="str">
        <f>IFERROR(__xludf.DUMMYFUNCTION("""COMPUTED_VALUE"""),"subsp.")</f>
        <v>subsp.</v>
      </c>
      <c r="F2825" t="str">
        <f>IFERROR(__xludf.DUMMYFUNCTION("""COMPUTED_VALUE"""),"pneumoniae")</f>
        <v>pneumoniae</v>
      </c>
      <c r="G2825" t="str">
        <f>IFERROR(__xludf.DUMMYFUNCTION("""COMPUTED_VALUE"""),"strain")</f>
        <v>strain</v>
      </c>
      <c r="H2825" t="str">
        <f>IFERROR(__xludf.DUMMYFUNCTION("""COMPUTED_VALUE"""),"KPNIH30")</f>
        <v>KPNIH30</v>
      </c>
    </row>
    <row r="2826" ht="15.75" customHeight="1">
      <c r="A2826" t="str">
        <f t="shared" si="1"/>
        <v>K.pneumoniae</v>
      </c>
      <c r="B2826" s="5" t="s">
        <v>13393</v>
      </c>
      <c r="C2826" s="6" t="str">
        <f>IFERROR(__xludf.DUMMYFUNCTION("SPLIT('2. c'!B2826, "" "", True, True)"),"Klebsiella")</f>
        <v>Klebsiella</v>
      </c>
      <c r="D2826" t="str">
        <f>IFERROR(__xludf.DUMMYFUNCTION("""COMPUTED_VALUE"""),"pneumoniae")</f>
        <v>pneumoniae</v>
      </c>
      <c r="E2826" t="str">
        <f>IFERROR(__xludf.DUMMYFUNCTION("""COMPUTED_VALUE"""),"subsp.")</f>
        <v>subsp.</v>
      </c>
      <c r="F2826" t="str">
        <f>IFERROR(__xludf.DUMMYFUNCTION("""COMPUTED_VALUE"""),"pneumoniae")</f>
        <v>pneumoniae</v>
      </c>
      <c r="G2826" t="str">
        <f>IFERROR(__xludf.DUMMYFUNCTION("""COMPUTED_VALUE"""),"strain")</f>
        <v>strain</v>
      </c>
      <c r="H2826" t="str">
        <f>IFERROR(__xludf.DUMMYFUNCTION("""COMPUTED_VALUE"""),"KPNIH31")</f>
        <v>KPNIH31</v>
      </c>
    </row>
    <row r="2827" ht="15.75" customHeight="1">
      <c r="A2827" t="str">
        <f t="shared" si="1"/>
        <v>K.pneumoniae</v>
      </c>
      <c r="B2827" s="5" t="s">
        <v>13407</v>
      </c>
      <c r="C2827" s="6" t="str">
        <f>IFERROR(__xludf.DUMMYFUNCTION("SPLIT('2. c'!B2827, "" "", True, True)"),"Klebsiella")</f>
        <v>Klebsiella</v>
      </c>
      <c r="D2827" t="str">
        <f>IFERROR(__xludf.DUMMYFUNCTION("""COMPUTED_VALUE"""),"pneumoniae")</f>
        <v>pneumoniae</v>
      </c>
      <c r="E2827" t="str">
        <f>IFERROR(__xludf.DUMMYFUNCTION("""COMPUTED_VALUE"""),"subsp.")</f>
        <v>subsp.</v>
      </c>
      <c r="F2827" t="str">
        <f>IFERROR(__xludf.DUMMYFUNCTION("""COMPUTED_VALUE"""),"pneumoniae")</f>
        <v>pneumoniae</v>
      </c>
      <c r="G2827" t="str">
        <f>IFERROR(__xludf.DUMMYFUNCTION("""COMPUTED_VALUE"""),"strain")</f>
        <v>strain</v>
      </c>
      <c r="H2827" t="str">
        <f>IFERROR(__xludf.DUMMYFUNCTION("""COMPUTED_VALUE"""),"KPNIH32")</f>
        <v>KPNIH32</v>
      </c>
    </row>
    <row r="2828" ht="15.75" customHeight="1">
      <c r="A2828" t="str">
        <f t="shared" si="1"/>
        <v>K.pneumoniae</v>
      </c>
      <c r="B2828" s="5" t="s">
        <v>13422</v>
      </c>
      <c r="C2828" s="6" t="str">
        <f>IFERROR(__xludf.DUMMYFUNCTION("SPLIT('2. c'!B2828, "" "", True, True)"),"Klebsiella")</f>
        <v>Klebsiella</v>
      </c>
      <c r="D2828" t="str">
        <f>IFERROR(__xludf.DUMMYFUNCTION("""COMPUTED_VALUE"""),"pneumoniae")</f>
        <v>pneumoniae</v>
      </c>
      <c r="E2828" t="str">
        <f>IFERROR(__xludf.DUMMYFUNCTION("""COMPUTED_VALUE"""),"subsp.")</f>
        <v>subsp.</v>
      </c>
      <c r="F2828" t="str">
        <f>IFERROR(__xludf.DUMMYFUNCTION("""COMPUTED_VALUE"""),"pneumoniae")</f>
        <v>pneumoniae</v>
      </c>
      <c r="G2828" t="str">
        <f>IFERROR(__xludf.DUMMYFUNCTION("""COMPUTED_VALUE"""),"strain")</f>
        <v>strain</v>
      </c>
      <c r="H2828" t="str">
        <f>IFERROR(__xludf.DUMMYFUNCTION("""COMPUTED_VALUE"""),"KPNIH33")</f>
        <v>KPNIH33</v>
      </c>
    </row>
    <row r="2829" ht="15.75" customHeight="1">
      <c r="A2829" t="str">
        <f t="shared" si="1"/>
        <v>K.pneumoniae</v>
      </c>
      <c r="B2829" s="5" t="s">
        <v>13440</v>
      </c>
      <c r="C2829" s="6" t="str">
        <f>IFERROR(__xludf.DUMMYFUNCTION("SPLIT('2. c'!B2829, "" "", True, True)"),"Klebsiella")</f>
        <v>Klebsiella</v>
      </c>
      <c r="D2829" t="str">
        <f>IFERROR(__xludf.DUMMYFUNCTION("""COMPUTED_VALUE"""),"pneumoniae")</f>
        <v>pneumoniae</v>
      </c>
      <c r="E2829" t="str">
        <f>IFERROR(__xludf.DUMMYFUNCTION("""COMPUTED_VALUE"""),"subsp.")</f>
        <v>subsp.</v>
      </c>
      <c r="F2829" t="str">
        <f>IFERROR(__xludf.DUMMYFUNCTION("""COMPUTED_VALUE"""),"pneumoniae")</f>
        <v>pneumoniae</v>
      </c>
      <c r="G2829" t="str">
        <f>IFERROR(__xludf.DUMMYFUNCTION("""COMPUTED_VALUE"""),"strain")</f>
        <v>strain</v>
      </c>
      <c r="H2829" t="str">
        <f>IFERROR(__xludf.DUMMYFUNCTION("""COMPUTED_VALUE"""),"VK055")</f>
        <v>VK055</v>
      </c>
    </row>
    <row r="2830" ht="15.75" customHeight="1">
      <c r="A2830" t="str">
        <f t="shared" si="1"/>
        <v>K.quasipneumoniae</v>
      </c>
      <c r="B2830" s="5" t="s">
        <v>13450</v>
      </c>
      <c r="C2830" s="6" t="str">
        <f>IFERROR(__xludf.DUMMYFUNCTION("SPLIT('2. c'!B2830, "" "", True, True)"),"Klebsiella")</f>
        <v>Klebsiella</v>
      </c>
      <c r="D2830" t="str">
        <f>IFERROR(__xludf.DUMMYFUNCTION("""COMPUTED_VALUE"""),"quasipneumoniae")</f>
        <v>quasipneumoniae</v>
      </c>
      <c r="E2830" t="str">
        <f>IFERROR(__xludf.DUMMYFUNCTION("""COMPUTED_VALUE"""),"strain")</f>
        <v>strain</v>
      </c>
      <c r="F2830" t="str">
        <f>IFERROR(__xludf.DUMMYFUNCTION("""COMPUTED_VALUE"""),"ATCC")</f>
        <v>ATCC</v>
      </c>
      <c r="G2830">
        <f>IFERROR(__xludf.DUMMYFUNCTION("""COMPUTED_VALUE"""),700603.0)</f>
        <v>700603</v>
      </c>
    </row>
    <row r="2831" ht="15.75" customHeight="1">
      <c r="A2831" t="str">
        <f t="shared" si="1"/>
        <v>K.sp.</v>
      </c>
      <c r="B2831" s="5" t="s">
        <v>13461</v>
      </c>
      <c r="C2831" s="6" t="str">
        <f>IFERROR(__xludf.DUMMYFUNCTION("SPLIT('2. c'!B2831, "" "", True, True)"),"Klebsiella")</f>
        <v>Klebsiella</v>
      </c>
      <c r="D2831" t="str">
        <f>IFERROR(__xludf.DUMMYFUNCTION("""COMPUTED_VALUE"""),"sp.")</f>
        <v>sp.</v>
      </c>
      <c r="E2831" t="str">
        <f>IFERROR(__xludf.DUMMYFUNCTION("""COMPUTED_VALUE"""),"G5")</f>
        <v>G5</v>
      </c>
    </row>
    <row r="2832" ht="15.75" customHeight="1">
      <c r="A2832" t="str">
        <f t="shared" si="1"/>
        <v>K.variicola</v>
      </c>
      <c r="B2832" s="5" t="s">
        <v>13472</v>
      </c>
      <c r="C2832" s="6" t="str">
        <f>IFERROR(__xludf.DUMMYFUNCTION("SPLIT('2. c'!B2832, "" "", True, True)"),"Klebsiella")</f>
        <v>Klebsiella</v>
      </c>
      <c r="D2832" t="str">
        <f>IFERROR(__xludf.DUMMYFUNCTION("""COMPUTED_VALUE"""),"variicola")</f>
        <v>variicola</v>
      </c>
      <c r="E2832" t="str">
        <f>IFERROR(__xludf.DUMMYFUNCTION("""COMPUTED_VALUE"""),"At-22")</f>
        <v>At-22</v>
      </c>
    </row>
    <row r="2833" ht="15.75" customHeight="1">
      <c r="A2833" t="str">
        <f t="shared" si="1"/>
        <v>K.variicola</v>
      </c>
      <c r="B2833" s="5" t="s">
        <v>13480</v>
      </c>
      <c r="C2833" s="6" t="str">
        <f>IFERROR(__xludf.DUMMYFUNCTION("SPLIT('2. c'!B2833, "" "", True, True)"),"Klebsiella")</f>
        <v>Klebsiella</v>
      </c>
      <c r="D2833" t="str">
        <f>IFERROR(__xludf.DUMMYFUNCTION("""COMPUTED_VALUE"""),"variicola")</f>
        <v>variicola</v>
      </c>
      <c r="E2833" t="str">
        <f>IFERROR(__xludf.DUMMYFUNCTION("""COMPUTED_VALUE"""),"DSM")</f>
        <v>DSM</v>
      </c>
      <c r="F2833">
        <f>IFERROR(__xludf.DUMMYFUNCTION("""COMPUTED_VALUE"""),15968.0)</f>
        <v>15968</v>
      </c>
    </row>
    <row r="2834" ht="15.75" customHeight="1">
      <c r="A2834" t="str">
        <f t="shared" si="1"/>
        <v>K.variicola</v>
      </c>
      <c r="B2834" s="5" t="s">
        <v>13489</v>
      </c>
      <c r="C2834" s="6" t="str">
        <f>IFERROR(__xludf.DUMMYFUNCTION("SPLIT('2. c'!B2834, "" "", True, True)"),"Klebsiella")</f>
        <v>Klebsiella</v>
      </c>
      <c r="D2834" t="str">
        <f>IFERROR(__xludf.DUMMYFUNCTION("""COMPUTED_VALUE"""),"variicola")</f>
        <v>variicola</v>
      </c>
      <c r="E2834" t="str">
        <f>IFERROR(__xludf.DUMMYFUNCTION("""COMPUTED_VALUE"""),"DX120E")</f>
        <v>DX120E</v>
      </c>
    </row>
    <row r="2835" ht="15.75" customHeight="1">
      <c r="A2835" t="str">
        <f t="shared" si="1"/>
        <v>K.variicola</v>
      </c>
      <c r="B2835" s="5" t="s">
        <v>13510</v>
      </c>
      <c r="C2835" s="6" t="str">
        <f>IFERROR(__xludf.DUMMYFUNCTION("SPLIT('2. c'!B2835, "" "", True, True)"),"Klebsiella")</f>
        <v>Klebsiella</v>
      </c>
      <c r="D2835" t="str">
        <f>IFERROR(__xludf.DUMMYFUNCTION("""COMPUTED_VALUE"""),"variicola")</f>
        <v>variicola</v>
      </c>
      <c r="E2835" t="str">
        <f>IFERROR(__xludf.DUMMYFUNCTION("""COMPUTED_VALUE"""),"strain")</f>
        <v>strain</v>
      </c>
      <c r="F2835" t="str">
        <f>IFERROR(__xludf.DUMMYFUNCTION("""COMPUTED_VALUE"""),"HKUOPLA")</f>
        <v>HKUOPLA</v>
      </c>
    </row>
    <row r="2836" ht="15.75" customHeight="1">
      <c r="A2836" t="str">
        <f t="shared" si="1"/>
        <v>K.intermedia</v>
      </c>
      <c r="B2836" s="5" t="s">
        <v>13520</v>
      </c>
      <c r="C2836" s="6" t="str">
        <f>IFERROR(__xludf.DUMMYFUNCTION("SPLIT('2. c'!B2836, "" "", True, True)"),"Kluyvera")</f>
        <v>Kluyvera</v>
      </c>
      <c r="D2836" t="str">
        <f>IFERROR(__xludf.DUMMYFUNCTION("""COMPUTED_VALUE"""),"intermedia")</f>
        <v>intermedia</v>
      </c>
      <c r="E2836" t="str">
        <f>IFERROR(__xludf.DUMMYFUNCTION("""COMPUTED_VALUE"""),"strain")</f>
        <v>strain</v>
      </c>
      <c r="F2836" t="str">
        <f>IFERROR(__xludf.DUMMYFUNCTION("""COMPUTED_VALUE"""),"CAV1151")</f>
        <v>CAV1151</v>
      </c>
    </row>
    <row r="2837" ht="15.75" customHeight="1">
      <c r="A2837" t="str">
        <f t="shared" si="1"/>
        <v>K.flava</v>
      </c>
      <c r="B2837" s="5" t="s">
        <v>13528</v>
      </c>
      <c r="C2837" s="6" t="str">
        <f>IFERROR(__xludf.DUMMYFUNCTION("SPLIT('2. c'!B2837, "" "", True, True)"),"Kocuria")</f>
        <v>Kocuria</v>
      </c>
      <c r="D2837" t="str">
        <f>IFERROR(__xludf.DUMMYFUNCTION("""COMPUTED_VALUE"""),"flava")</f>
        <v>flava</v>
      </c>
      <c r="E2837" t="str">
        <f>IFERROR(__xludf.DUMMYFUNCTION("""COMPUTED_VALUE"""),"strain")</f>
        <v>strain</v>
      </c>
      <c r="F2837" t="str">
        <f>IFERROR(__xludf.DUMMYFUNCTION("""COMPUTED_VALUE"""),"HO-9041")</f>
        <v>HO-9041</v>
      </c>
    </row>
    <row r="2838" ht="15.75" customHeight="1">
      <c r="A2838" t="str">
        <f t="shared" si="1"/>
        <v>K.palustris</v>
      </c>
      <c r="B2838" s="5" t="s">
        <v>13537</v>
      </c>
      <c r="C2838" s="6" t="str">
        <f>IFERROR(__xludf.DUMMYFUNCTION("SPLIT('2. c'!B2838, "" "", True, True)"),"Kocuria")</f>
        <v>Kocuria</v>
      </c>
      <c r="D2838" t="str">
        <f>IFERROR(__xludf.DUMMYFUNCTION("""COMPUTED_VALUE"""),"palustris")</f>
        <v>palustris</v>
      </c>
      <c r="E2838" t="str">
        <f>IFERROR(__xludf.DUMMYFUNCTION("""COMPUTED_VALUE"""),"strain")</f>
        <v>strain</v>
      </c>
      <c r="F2838" t="str">
        <f>IFERROR(__xludf.DUMMYFUNCTION("""COMPUTED_VALUE"""),"MU14/1")</f>
        <v>MU14/1</v>
      </c>
    </row>
    <row r="2839" ht="15.75" customHeight="1">
      <c r="A2839" t="str">
        <f t="shared" si="1"/>
        <v>K.rhizophila</v>
      </c>
      <c r="B2839" s="5" t="s">
        <v>13547</v>
      </c>
      <c r="C2839" s="6" t="str">
        <f>IFERROR(__xludf.DUMMYFUNCTION("SPLIT('2. c'!B2839, "" "", True, True)"),"Kocuria")</f>
        <v>Kocuria</v>
      </c>
      <c r="D2839" t="str">
        <f>IFERROR(__xludf.DUMMYFUNCTION("""COMPUTED_VALUE"""),"rhizophila")</f>
        <v>rhizophila</v>
      </c>
      <c r="E2839" t="str">
        <f>IFERROR(__xludf.DUMMYFUNCTION("""COMPUTED_VALUE"""),"DC2201")</f>
        <v>DC2201</v>
      </c>
    </row>
    <row r="2840" ht="15.75" customHeight="1">
      <c r="A2840" t="str">
        <f t="shared" si="1"/>
        <v>K.turfanensis</v>
      </c>
      <c r="B2840" s="5" t="s">
        <v>13555</v>
      </c>
      <c r="C2840" s="6" t="str">
        <f>IFERROR(__xludf.DUMMYFUNCTION("SPLIT('2. c'!B2840, "" "", True, True)"),"Kocuria")</f>
        <v>Kocuria</v>
      </c>
      <c r="D2840" t="str">
        <f>IFERROR(__xludf.DUMMYFUNCTION("""COMPUTED_VALUE"""),"turfanensis")</f>
        <v>turfanensis</v>
      </c>
      <c r="E2840" t="str">
        <f>IFERROR(__xludf.DUMMYFUNCTION("""COMPUTED_VALUE"""),"strain")</f>
        <v>strain</v>
      </c>
      <c r="F2840" t="str">
        <f>IFERROR(__xludf.DUMMYFUNCTION("""COMPUTED_VALUE"""),"HO-9042")</f>
        <v>HO-9042</v>
      </c>
    </row>
    <row r="2841" ht="15.75" customHeight="1">
      <c r="A2841" t="str">
        <f t="shared" si="1"/>
        <v>K.oryzae</v>
      </c>
      <c r="B2841" s="5" t="s">
        <v>13563</v>
      </c>
      <c r="C2841" s="6" t="str">
        <f>IFERROR(__xludf.DUMMYFUNCTION("SPLIT('2. c'!B2841, "" "", True, True)"),"Kosakonia")</f>
        <v>Kosakonia</v>
      </c>
      <c r="D2841" t="str">
        <f>IFERROR(__xludf.DUMMYFUNCTION("""COMPUTED_VALUE"""),"oryzae")</f>
        <v>oryzae</v>
      </c>
      <c r="E2841" t="str">
        <f>IFERROR(__xludf.DUMMYFUNCTION("""COMPUTED_VALUE"""),"strain")</f>
        <v>strain</v>
      </c>
      <c r="F2841" t="str">
        <f>IFERROR(__xludf.DUMMYFUNCTION("""COMPUTED_VALUE"""),"Ola")</f>
        <v>Ola</v>
      </c>
      <c r="G2841">
        <f>IFERROR(__xludf.DUMMYFUNCTION("""COMPUTED_VALUE"""),51.0)</f>
        <v>51</v>
      </c>
    </row>
    <row r="2842" ht="15.75" customHeight="1">
      <c r="A2842" t="str">
        <f t="shared" si="1"/>
        <v>K.sacchari</v>
      </c>
      <c r="B2842" s="5" t="s">
        <v>13573</v>
      </c>
      <c r="C2842" s="6" t="str">
        <f>IFERROR(__xludf.DUMMYFUNCTION("SPLIT('2. c'!B2842, "" "", True, True)"),"Kosakonia")</f>
        <v>Kosakonia</v>
      </c>
      <c r="D2842" t="str">
        <f>IFERROR(__xludf.DUMMYFUNCTION("""COMPUTED_VALUE"""),"sacchari")</f>
        <v>sacchari</v>
      </c>
      <c r="E2842" t="str">
        <f>IFERROR(__xludf.DUMMYFUNCTION("""COMPUTED_VALUE"""),"SP1")</f>
        <v>SP1</v>
      </c>
    </row>
    <row r="2843" ht="15.75" customHeight="1">
      <c r="A2843" t="str">
        <f t="shared" si="1"/>
        <v>K.olearia</v>
      </c>
      <c r="B2843" s="5" t="s">
        <v>13580</v>
      </c>
      <c r="C2843" s="6" t="str">
        <f>IFERROR(__xludf.DUMMYFUNCTION("SPLIT('2. c'!B2843, "" "", True, True)"),"Kosmotoga")</f>
        <v>Kosmotoga</v>
      </c>
      <c r="D2843" t="str">
        <f>IFERROR(__xludf.DUMMYFUNCTION("""COMPUTED_VALUE"""),"olearia")</f>
        <v>olearia</v>
      </c>
      <c r="E2843" t="str">
        <f>IFERROR(__xludf.DUMMYFUNCTION("""COMPUTED_VALUE"""),"TBF")</f>
        <v>TBF</v>
      </c>
      <c r="F2843" s="51">
        <f>IFERROR(__xludf.DUMMYFUNCTION("""COMPUTED_VALUE"""),37030.0)</f>
        <v>37030</v>
      </c>
    </row>
    <row r="2844" ht="15.75" customHeight="1">
      <c r="A2844" t="str">
        <f t="shared" si="1"/>
        <v>K.pacifica</v>
      </c>
      <c r="B2844" s="5" t="s">
        <v>13593</v>
      </c>
      <c r="C2844" s="6" t="str">
        <f>IFERROR(__xludf.DUMMYFUNCTION("SPLIT('2. c'!B2844, "" "", True, True)"),"Kosmotoga")</f>
        <v>Kosmotoga</v>
      </c>
      <c r="D2844" t="str">
        <f>IFERROR(__xludf.DUMMYFUNCTION("""COMPUTED_VALUE"""),"pacifica")</f>
        <v>pacifica</v>
      </c>
      <c r="E2844" t="str">
        <f>IFERROR(__xludf.DUMMYFUNCTION("""COMPUTED_VALUE"""),"strain")</f>
        <v>strain</v>
      </c>
      <c r="F2844" t="str">
        <f>IFERROR(__xludf.DUMMYFUNCTION("""COMPUTED_VALUE"""),"SLHLJ1")</f>
        <v>SLHLJ1</v>
      </c>
    </row>
    <row r="2845" ht="15.75" customHeight="1">
      <c r="A2845" t="str">
        <f t="shared" si="1"/>
        <v>K.flavida</v>
      </c>
      <c r="B2845" s="5" t="s">
        <v>13604</v>
      </c>
      <c r="C2845" s="6" t="str">
        <f>IFERROR(__xludf.DUMMYFUNCTION("SPLIT('2. c'!B2845, "" "", True, True)"),"Kribbella")</f>
        <v>Kribbella</v>
      </c>
      <c r="D2845" t="str">
        <f>IFERROR(__xludf.DUMMYFUNCTION("""COMPUTED_VALUE"""),"flavida")</f>
        <v>flavida</v>
      </c>
      <c r="E2845" t="str">
        <f>IFERROR(__xludf.DUMMYFUNCTION("""COMPUTED_VALUE"""),"DSM")</f>
        <v>DSM</v>
      </c>
      <c r="F2845">
        <f>IFERROR(__xludf.DUMMYFUNCTION("""COMPUTED_VALUE"""),17836.0)</f>
        <v>17836</v>
      </c>
    </row>
    <row r="2846" ht="15.75" customHeight="1">
      <c r="A2846" t="str">
        <f t="shared" si="1"/>
        <v>K.sp.</v>
      </c>
      <c r="B2846" s="5" t="s">
        <v>13613</v>
      </c>
      <c r="C2846" s="6" t="str">
        <f>IFERROR(__xludf.DUMMYFUNCTION("SPLIT('2. c'!B2846, "" "", True, True)"),"Krokinobacter")</f>
        <v>Krokinobacter</v>
      </c>
      <c r="D2846" t="str">
        <f>IFERROR(__xludf.DUMMYFUNCTION("""COMPUTED_VALUE"""),"sp.")</f>
        <v>sp.</v>
      </c>
      <c r="E2846" t="str">
        <f>IFERROR(__xludf.DUMMYFUNCTION("""COMPUTED_VALUE"""),"4H-3-7-5")</f>
        <v>4H-3-7-5</v>
      </c>
    </row>
    <row r="2847" ht="15.75" customHeight="1">
      <c r="A2847" t="str">
        <f t="shared" si="1"/>
        <v>K.sp.</v>
      </c>
      <c r="B2847" s="5" t="s">
        <v>13622</v>
      </c>
      <c r="C2847" s="6" t="str">
        <f>IFERROR(__xludf.DUMMYFUNCTION("SPLIT('2. c'!B2847, "" "", True, True)"),"Kurthia")</f>
        <v>Kurthia</v>
      </c>
      <c r="D2847" t="str">
        <f>IFERROR(__xludf.DUMMYFUNCTION("""COMPUTED_VALUE"""),"sp.")</f>
        <v>sp.</v>
      </c>
      <c r="E2847" t="str">
        <f>IFERROR(__xludf.DUMMYFUNCTION("""COMPUTED_VALUE"""),"11kri321")</f>
        <v>11kri321</v>
      </c>
    </row>
    <row r="2848" ht="15.75" customHeight="1">
      <c r="A2848" t="str">
        <f t="shared" si="1"/>
        <v>K.albida</v>
      </c>
      <c r="B2848" s="5" t="s">
        <v>13630</v>
      </c>
      <c r="C2848" s="6" t="str">
        <f>IFERROR(__xludf.DUMMYFUNCTION("SPLIT('2. c'!B2848, "" "", True, True)"),"Kutzneria")</f>
        <v>Kutzneria</v>
      </c>
      <c r="D2848" t="str">
        <f>IFERROR(__xludf.DUMMYFUNCTION("""COMPUTED_VALUE"""),"albida")</f>
        <v>albida</v>
      </c>
      <c r="E2848" t="str">
        <f>IFERROR(__xludf.DUMMYFUNCTION("""COMPUTED_VALUE"""),"DSM")</f>
        <v>DSM</v>
      </c>
      <c r="F2848">
        <f>IFERROR(__xludf.DUMMYFUNCTION("""COMPUTED_VALUE"""),43870.0)</f>
        <v>43870</v>
      </c>
    </row>
    <row r="2849" ht="15.75" customHeight="1">
      <c r="A2849" t="str">
        <f t="shared" si="1"/>
        <v>K.tusciae</v>
      </c>
      <c r="B2849" s="5" t="s">
        <v>13638</v>
      </c>
      <c r="C2849" s="6" t="str">
        <f>IFERROR(__xludf.DUMMYFUNCTION("SPLIT('2. c'!B2849, "" "", True, True)"),"Kyrpidia")</f>
        <v>Kyrpidia</v>
      </c>
      <c r="D2849" t="str">
        <f>IFERROR(__xludf.DUMMYFUNCTION("""COMPUTED_VALUE"""),"tusciae")</f>
        <v>tusciae</v>
      </c>
      <c r="E2849" t="str">
        <f>IFERROR(__xludf.DUMMYFUNCTION("""COMPUTED_VALUE"""),"DSM")</f>
        <v>DSM</v>
      </c>
      <c r="F2849">
        <f>IFERROR(__xludf.DUMMYFUNCTION("""COMPUTED_VALUE"""),2912.0)</f>
        <v>2912</v>
      </c>
    </row>
    <row r="2850" ht="15.75" customHeight="1">
      <c r="A2850" t="str">
        <f t="shared" si="1"/>
        <v>K.sedentarius</v>
      </c>
      <c r="B2850" s="5" t="s">
        <v>13648</v>
      </c>
      <c r="C2850" s="6" t="str">
        <f>IFERROR(__xludf.DUMMYFUNCTION("SPLIT('2. c'!B2850, "" "", True, True)"),"Kytococcus")</f>
        <v>Kytococcus</v>
      </c>
      <c r="D2850" t="str">
        <f>IFERROR(__xludf.DUMMYFUNCTION("""COMPUTED_VALUE"""),"sedentarius")</f>
        <v>sedentarius</v>
      </c>
      <c r="E2850" t="str">
        <f>IFERROR(__xludf.DUMMYFUNCTION("""COMPUTED_VALUE"""),"DSM")</f>
        <v>DSM</v>
      </c>
      <c r="F2850">
        <f>IFERROR(__xludf.DUMMYFUNCTION("""COMPUTED_VALUE"""),20547.0)</f>
        <v>20547</v>
      </c>
    </row>
    <row r="2851" ht="15.75" customHeight="1">
      <c r="A2851" t="str">
        <f t="shared" si="1"/>
        <v>L.luteola</v>
      </c>
      <c r="B2851" s="5" t="s">
        <v>13658</v>
      </c>
      <c r="C2851" s="6" t="str">
        <f>IFERROR(__xludf.DUMMYFUNCTION("SPLIT('2. c'!B2851, "" "", True, True)"),"Labilithrix")</f>
        <v>Labilithrix</v>
      </c>
      <c r="D2851" t="str">
        <f>IFERROR(__xludf.DUMMYFUNCTION("""COMPUTED_VALUE"""),"luteola")</f>
        <v>luteola</v>
      </c>
      <c r="E2851" t="str">
        <f>IFERROR(__xludf.DUMMYFUNCTION("""COMPUTED_VALUE"""),"strain")</f>
        <v>strain</v>
      </c>
      <c r="F2851" t="str">
        <f>IFERROR(__xludf.DUMMYFUNCTION("""COMPUTED_VALUE"""),"DSM")</f>
        <v>DSM</v>
      </c>
      <c r="G2851">
        <f>IFERROR(__xludf.DUMMYFUNCTION("""COMPUTED_VALUE"""),27648.0)</f>
        <v>27648</v>
      </c>
    </row>
    <row r="2852" ht="15.75" customHeight="1">
      <c r="A2852" t="str">
        <f t="shared" si="1"/>
        <v>L.sp.</v>
      </c>
      <c r="B2852" s="5" t="s">
        <v>13668</v>
      </c>
      <c r="C2852" s="6" t="str">
        <f>IFERROR(__xludf.DUMMYFUNCTION("SPLIT('2. c'!B2852, "" "", True, True)"),"Labrenzia")</f>
        <v>Labrenzia</v>
      </c>
      <c r="D2852" t="str">
        <f>IFERROR(__xludf.DUMMYFUNCTION("""COMPUTED_VALUE"""),"sp.")</f>
        <v>sp.</v>
      </c>
      <c r="E2852" t="str">
        <f>IFERROR(__xludf.DUMMYFUNCTION("""COMPUTED_VALUE"""),"CP4")</f>
        <v>CP4</v>
      </c>
    </row>
    <row r="2853" ht="15.75" customHeight="1">
      <c r="A2853" t="str">
        <f t="shared" si="1"/>
        <v>L.alkaliphilum</v>
      </c>
      <c r="B2853" s="5" t="s">
        <v>13677</v>
      </c>
      <c r="C2853" s="6" t="str">
        <f>IFERROR(__xludf.DUMMYFUNCTION("SPLIT('2. c'!B2853, "" "", True, True)"),"Lacimicrobium")</f>
        <v>Lacimicrobium</v>
      </c>
      <c r="D2853" t="str">
        <f>IFERROR(__xludf.DUMMYFUNCTION("""COMPUTED_VALUE"""),"alkaliphilum")</f>
        <v>alkaliphilum</v>
      </c>
      <c r="E2853" t="str">
        <f>IFERROR(__xludf.DUMMYFUNCTION("""COMPUTED_VALUE"""),"strain")</f>
        <v>strain</v>
      </c>
      <c r="F2853" t="str">
        <f>IFERROR(__xludf.DUMMYFUNCTION("""COMPUTED_VALUE"""),"KCTC")</f>
        <v>KCTC</v>
      </c>
      <c r="G2853">
        <f>IFERROR(__xludf.DUMMYFUNCTION("""COMPUTED_VALUE"""),32984.0)</f>
        <v>32984</v>
      </c>
    </row>
    <row r="2854" ht="15.75" customHeight="1">
      <c r="A2854" t="str">
        <f t="shared" si="1"/>
        <v>L.sp.</v>
      </c>
      <c r="B2854" s="5" t="s">
        <v>13682</v>
      </c>
      <c r="C2854" s="6" t="str">
        <f>IFERROR(__xludf.DUMMYFUNCTION("SPLIT('2. c'!B2854, "" "", True, True)"),"Lacinutrix")</f>
        <v>Lacinutrix</v>
      </c>
      <c r="D2854" t="str">
        <f>IFERROR(__xludf.DUMMYFUNCTION("""COMPUTED_VALUE"""),"sp.")</f>
        <v>sp.</v>
      </c>
      <c r="E2854" t="str">
        <f>IFERROR(__xludf.DUMMYFUNCTION("""COMPUTED_VALUE"""),"5H-3-7-4")</f>
        <v>5H-3-7-4</v>
      </c>
    </row>
    <row r="2855" ht="15.75" customHeight="1">
      <c r="A2855" t="str">
        <f t="shared" si="1"/>
        <v>L.acetotolerans</v>
      </c>
      <c r="B2855" s="5" t="s">
        <v>13691</v>
      </c>
      <c r="C2855" s="6" t="str">
        <f>IFERROR(__xludf.DUMMYFUNCTION("SPLIT('2. c'!B2855, "" "", True, True)"),"Lactobacillus")</f>
        <v>Lactobacillus</v>
      </c>
      <c r="D2855" t="str">
        <f>IFERROR(__xludf.DUMMYFUNCTION("""COMPUTED_VALUE"""),"acetotolerans")</f>
        <v>acetotolerans</v>
      </c>
      <c r="E2855" t="str">
        <f>IFERROR(__xludf.DUMMYFUNCTION("""COMPUTED_VALUE"""),"strain")</f>
        <v>strain</v>
      </c>
      <c r="F2855" t="str">
        <f>IFERROR(__xludf.DUMMYFUNCTION("""COMPUTED_VALUE"""),"NBRC")</f>
        <v>NBRC</v>
      </c>
      <c r="G2855">
        <f>IFERROR(__xludf.DUMMYFUNCTION("""COMPUTED_VALUE"""),13120.0)</f>
        <v>13120</v>
      </c>
    </row>
    <row r="2856" ht="15.75" customHeight="1">
      <c r="A2856" t="str">
        <f t="shared" si="1"/>
        <v>L.acidophilus</v>
      </c>
      <c r="B2856" s="5" t="s">
        <v>13700</v>
      </c>
      <c r="C2856" s="6" t="str">
        <f>IFERROR(__xludf.DUMMYFUNCTION("SPLIT('2. c'!B2856, "" "", True, True)"),"Lactobacillus")</f>
        <v>Lactobacillus</v>
      </c>
      <c r="D2856" t="str">
        <f>IFERROR(__xludf.DUMMYFUNCTION("""COMPUTED_VALUE"""),"acidophilus")</f>
        <v>acidophilus</v>
      </c>
      <c r="E2856" t="str">
        <f>IFERROR(__xludf.DUMMYFUNCTION("""COMPUTED_VALUE"""),"30SC")</f>
        <v>30SC</v>
      </c>
    </row>
    <row r="2857" ht="15.75" customHeight="1">
      <c r="A2857" t="str">
        <f t="shared" si="1"/>
        <v>L.acidophilus</v>
      </c>
      <c r="B2857" s="5" t="s">
        <v>13709</v>
      </c>
      <c r="C2857" s="6" t="str">
        <f>IFERROR(__xludf.DUMMYFUNCTION("SPLIT('2. c'!B2857, "" "", True, True)"),"Lactobacillus")</f>
        <v>Lactobacillus</v>
      </c>
      <c r="D2857" t="str">
        <f>IFERROR(__xludf.DUMMYFUNCTION("""COMPUTED_VALUE"""),"acidophilus")</f>
        <v>acidophilus</v>
      </c>
      <c r="E2857" t="str">
        <f>IFERROR(__xludf.DUMMYFUNCTION("""COMPUTED_VALUE"""),"La-14")</f>
        <v>La-14</v>
      </c>
    </row>
    <row r="2858" ht="15.75" customHeight="1">
      <c r="A2858" t="str">
        <f t="shared" si="1"/>
        <v>L.acidophilus</v>
      </c>
      <c r="B2858" s="5" t="s">
        <v>13716</v>
      </c>
      <c r="C2858" s="6" t="str">
        <f>IFERROR(__xludf.DUMMYFUNCTION("SPLIT('2. c'!B2858, "" "", True, True)"),"Lactobacillus")</f>
        <v>Lactobacillus</v>
      </c>
      <c r="D2858" t="str">
        <f>IFERROR(__xludf.DUMMYFUNCTION("""COMPUTED_VALUE"""),"acidophilus")</f>
        <v>acidophilus</v>
      </c>
      <c r="E2858" t="str">
        <f>IFERROR(__xludf.DUMMYFUNCTION("""COMPUTED_VALUE"""),"NCFM")</f>
        <v>NCFM</v>
      </c>
    </row>
    <row r="2859" ht="15.75" customHeight="1">
      <c r="A2859" t="str">
        <f t="shared" si="1"/>
        <v>L.acidophilus</v>
      </c>
      <c r="B2859" s="5" t="s">
        <v>13724</v>
      </c>
      <c r="C2859" s="6" t="str">
        <f>IFERROR(__xludf.DUMMYFUNCTION("SPLIT('2. c'!B2859, "" "", True, True)"),"Lactobacillus")</f>
        <v>Lactobacillus</v>
      </c>
      <c r="D2859" t="str">
        <f>IFERROR(__xludf.DUMMYFUNCTION("""COMPUTED_VALUE"""),"acidophilus")</f>
        <v>acidophilus</v>
      </c>
      <c r="E2859" t="str">
        <f>IFERROR(__xludf.DUMMYFUNCTION("""COMPUTED_VALUE"""),"strain")</f>
        <v>strain</v>
      </c>
      <c r="F2859" t="str">
        <f>IFERROR(__xludf.DUMMYFUNCTION("""COMPUTED_VALUE"""),"FSI4")</f>
        <v>FSI4</v>
      </c>
    </row>
    <row r="2860" ht="15.75" customHeight="1">
      <c r="A2860" t="str">
        <f t="shared" si="1"/>
        <v>L.acidophilus</v>
      </c>
      <c r="B2860" s="5" t="s">
        <v>13732</v>
      </c>
      <c r="C2860" s="6" t="str">
        <f>IFERROR(__xludf.DUMMYFUNCTION("SPLIT('2. c'!B2860, "" "", True, True)"),"Lactobacillus")</f>
        <v>Lactobacillus</v>
      </c>
      <c r="D2860" t="str">
        <f>IFERROR(__xludf.DUMMYFUNCTION("""COMPUTED_VALUE"""),"acidophilus")</f>
        <v>acidophilus</v>
      </c>
      <c r="E2860" t="str">
        <f>IFERROR(__xludf.DUMMYFUNCTION("""COMPUTED_VALUE"""),"strain")</f>
        <v>strain</v>
      </c>
      <c r="F2860" t="str">
        <f>IFERROR(__xludf.DUMMYFUNCTION("""COMPUTED_VALUE"""),"MN-BM-F01")</f>
        <v>MN-BM-F01</v>
      </c>
    </row>
    <row r="2861" ht="15.75" customHeight="1">
      <c r="A2861" t="str">
        <f t="shared" si="1"/>
        <v>L.amylovorus</v>
      </c>
      <c r="B2861" s="5" t="s">
        <v>13740</v>
      </c>
      <c r="C2861" s="6" t="str">
        <f>IFERROR(__xludf.DUMMYFUNCTION("SPLIT('2. c'!B2861, "" "", True, True)"),"Lactobacillus")</f>
        <v>Lactobacillus</v>
      </c>
      <c r="D2861" t="str">
        <f>IFERROR(__xludf.DUMMYFUNCTION("""COMPUTED_VALUE"""),"amylovorus")</f>
        <v>amylovorus</v>
      </c>
      <c r="E2861" t="str">
        <f>IFERROR(__xludf.DUMMYFUNCTION("""COMPUTED_VALUE"""),"GRL")</f>
        <v>GRL</v>
      </c>
      <c r="F2861">
        <f>IFERROR(__xludf.DUMMYFUNCTION("""COMPUTED_VALUE"""),1112.0)</f>
        <v>1112</v>
      </c>
    </row>
    <row r="2862" ht="15.75" customHeight="1">
      <c r="A2862" t="str">
        <f t="shared" si="1"/>
        <v>L.amylovorus</v>
      </c>
      <c r="B2862" s="5" t="s">
        <v>13750</v>
      </c>
      <c r="C2862" s="6" t="str">
        <f>IFERROR(__xludf.DUMMYFUNCTION("SPLIT('2. c'!B2862, "" "", True, True)"),"Lactobacillus")</f>
        <v>Lactobacillus</v>
      </c>
      <c r="D2862" t="str">
        <f>IFERROR(__xludf.DUMMYFUNCTION("""COMPUTED_VALUE"""),"amylovorus")</f>
        <v>amylovorus</v>
      </c>
      <c r="E2862" t="str">
        <f>IFERROR(__xludf.DUMMYFUNCTION("""COMPUTED_VALUE"""),"GRL1118")</f>
        <v>GRL1118</v>
      </c>
    </row>
    <row r="2863" ht="15.75" customHeight="1">
      <c r="A2863" t="str">
        <f t="shared" si="1"/>
        <v>L.backii</v>
      </c>
      <c r="B2863" s="5" t="s">
        <v>13760</v>
      </c>
      <c r="C2863" s="6" t="str">
        <f>IFERROR(__xludf.DUMMYFUNCTION("SPLIT('2. c'!B2863, "" "", True, True)"),"Lactobacillus")</f>
        <v>Lactobacillus</v>
      </c>
      <c r="D2863" t="str">
        <f>IFERROR(__xludf.DUMMYFUNCTION("""COMPUTED_VALUE"""),"backii")</f>
        <v>backii</v>
      </c>
      <c r="E2863" t="str">
        <f>IFERROR(__xludf.DUMMYFUNCTION("""COMPUTED_VALUE"""),"strain")</f>
        <v>strain</v>
      </c>
      <c r="F2863" t="str">
        <f>IFERROR(__xludf.DUMMYFUNCTION("""COMPUTED_VALUE"""),"TMW")</f>
        <v>TMW</v>
      </c>
      <c r="G2863" s="14">
        <f>IFERROR(__xludf.DUMMYFUNCTION("""COMPUTED_VALUE"""),32143.0)</f>
        <v>32143</v>
      </c>
    </row>
    <row r="2864" ht="15.75" customHeight="1">
      <c r="A2864" t="str">
        <f t="shared" si="1"/>
        <v>L.backii</v>
      </c>
      <c r="B2864" s="5" t="s">
        <v>13770</v>
      </c>
      <c r="C2864" s="6" t="str">
        <f>IFERROR(__xludf.DUMMYFUNCTION("SPLIT('2. c'!B2864, "" "", True, True)"),"Lactobacillus")</f>
        <v>Lactobacillus</v>
      </c>
      <c r="D2864" t="str">
        <f>IFERROR(__xludf.DUMMYFUNCTION("""COMPUTED_VALUE"""),"backii")</f>
        <v>backii</v>
      </c>
      <c r="E2864" t="str">
        <f>IFERROR(__xludf.DUMMYFUNCTION("""COMPUTED_VALUE"""),"strain")</f>
        <v>strain</v>
      </c>
      <c r="F2864" t="str">
        <f>IFERROR(__xludf.DUMMYFUNCTION("""COMPUTED_VALUE"""),"TMW")</f>
        <v>TMW</v>
      </c>
      <c r="G2864" s="14">
        <f>IFERROR(__xludf.DUMMYFUNCTION("""COMPUTED_VALUE"""),32509.0)</f>
        <v>32509</v>
      </c>
    </row>
    <row r="2865" ht="15.75" customHeight="1">
      <c r="A2865" t="str">
        <f t="shared" si="1"/>
        <v>L.backii</v>
      </c>
      <c r="B2865" s="5" t="s">
        <v>13783</v>
      </c>
      <c r="C2865" s="6" t="str">
        <f>IFERROR(__xludf.DUMMYFUNCTION("SPLIT('2. c'!B2865, "" "", True, True)"),"Lactobacillus")</f>
        <v>Lactobacillus</v>
      </c>
      <c r="D2865" t="str">
        <f>IFERROR(__xludf.DUMMYFUNCTION("""COMPUTED_VALUE"""),"backii")</f>
        <v>backii</v>
      </c>
      <c r="E2865" t="str">
        <f>IFERROR(__xludf.DUMMYFUNCTION("""COMPUTED_VALUE"""),"strain")</f>
        <v>strain</v>
      </c>
      <c r="F2865" t="str">
        <f>IFERROR(__xludf.DUMMYFUNCTION("""COMPUTED_VALUE"""),"TMW")</f>
        <v>TMW</v>
      </c>
      <c r="G2865" s="14">
        <f>IFERROR(__xludf.DUMMYFUNCTION("""COMPUTED_VALUE"""),33239.0)</f>
        <v>33239</v>
      </c>
    </row>
    <row r="2866" ht="15.75" customHeight="1">
      <c r="A2866" t="str">
        <f t="shared" si="1"/>
        <v>L.backii</v>
      </c>
      <c r="B2866" s="5" t="s">
        <v>13798</v>
      </c>
      <c r="C2866" s="6" t="str">
        <f>IFERROR(__xludf.DUMMYFUNCTION("SPLIT('2. c'!B2866, "" "", True, True)"),"Lactobacillus")</f>
        <v>Lactobacillus</v>
      </c>
      <c r="D2866" t="str">
        <f>IFERROR(__xludf.DUMMYFUNCTION("""COMPUTED_VALUE"""),"backii")</f>
        <v>backii</v>
      </c>
      <c r="E2866" t="str">
        <f>IFERROR(__xludf.DUMMYFUNCTION("""COMPUTED_VALUE"""),"strain")</f>
        <v>strain</v>
      </c>
      <c r="F2866" t="str">
        <f>IFERROR(__xludf.DUMMYFUNCTION("""COMPUTED_VALUE"""),"TMW")</f>
        <v>TMW</v>
      </c>
      <c r="G2866" s="14">
        <f>IFERROR(__xludf.DUMMYFUNCTION("""COMPUTED_VALUE"""),33604.0)</f>
        <v>33604</v>
      </c>
    </row>
    <row r="2867" ht="15.75" customHeight="1">
      <c r="A2867" t="str">
        <f t="shared" si="1"/>
        <v>L.backii</v>
      </c>
      <c r="B2867" s="5" t="s">
        <v>13807</v>
      </c>
      <c r="C2867" s="6" t="str">
        <f>IFERROR(__xludf.DUMMYFUNCTION("SPLIT('2. c'!B2867, "" "", True, True)"),"Lactobacillus")</f>
        <v>Lactobacillus</v>
      </c>
      <c r="D2867" t="str">
        <f>IFERROR(__xludf.DUMMYFUNCTION("""COMPUTED_VALUE"""),"backii")</f>
        <v>backii</v>
      </c>
      <c r="E2867" t="str">
        <f>IFERROR(__xludf.DUMMYFUNCTION("""COMPUTED_VALUE"""),"strain")</f>
        <v>strain</v>
      </c>
      <c r="F2867" t="str">
        <f>IFERROR(__xludf.DUMMYFUNCTION("""COMPUTED_VALUE"""),"TMW")</f>
        <v>TMW</v>
      </c>
      <c r="G2867" s="14">
        <f>IFERROR(__xludf.DUMMYFUNCTION("""COMPUTED_VALUE"""),37257.0)</f>
        <v>37257</v>
      </c>
    </row>
    <row r="2868" ht="15.75" customHeight="1">
      <c r="A2868" t="str">
        <f t="shared" si="1"/>
        <v>L.brevis</v>
      </c>
      <c r="B2868" s="5" t="s">
        <v>13817</v>
      </c>
      <c r="C2868" s="6" t="str">
        <f>IFERROR(__xludf.DUMMYFUNCTION("SPLIT('2. c'!B2868, "" "", True, True)"),"Lactobacillus")</f>
        <v>Lactobacillus</v>
      </c>
      <c r="D2868" t="str">
        <f>IFERROR(__xludf.DUMMYFUNCTION("""COMPUTED_VALUE"""),"brevis")</f>
        <v>brevis</v>
      </c>
      <c r="E2868" t="str">
        <f>IFERROR(__xludf.DUMMYFUNCTION("""COMPUTED_VALUE"""),"ATCC")</f>
        <v>ATCC</v>
      </c>
      <c r="F2868">
        <f>IFERROR(__xludf.DUMMYFUNCTION("""COMPUTED_VALUE"""),367.0)</f>
        <v>367</v>
      </c>
    </row>
    <row r="2869" ht="15.75" customHeight="1">
      <c r="A2869" t="str">
        <f t="shared" si="1"/>
        <v>L.brevis</v>
      </c>
      <c r="B2869" s="5" t="s">
        <v>13826</v>
      </c>
      <c r="C2869" s="6" t="str">
        <f>IFERROR(__xludf.DUMMYFUNCTION("SPLIT('2. c'!B2869, "" "", True, True)"),"Lactobacillus")</f>
        <v>Lactobacillus</v>
      </c>
      <c r="D2869" t="str">
        <f>IFERROR(__xludf.DUMMYFUNCTION("""COMPUTED_VALUE"""),"brevis")</f>
        <v>brevis</v>
      </c>
      <c r="E2869" t="str">
        <f>IFERROR(__xludf.DUMMYFUNCTION("""COMPUTED_VALUE"""),"BSO")</f>
        <v>BSO</v>
      </c>
      <c r="F2869">
        <f>IFERROR(__xludf.DUMMYFUNCTION("""COMPUTED_VALUE"""),464.0)</f>
        <v>464</v>
      </c>
    </row>
    <row r="2870" ht="15.75" customHeight="1">
      <c r="A2870" t="str">
        <f t="shared" si="1"/>
        <v>L.brevis</v>
      </c>
      <c r="B2870" s="5" t="s">
        <v>13834</v>
      </c>
      <c r="C2870" s="6" t="str">
        <f>IFERROR(__xludf.DUMMYFUNCTION("SPLIT('2. c'!B2870, "" "", True, True)"),"Lactobacillus")</f>
        <v>Lactobacillus</v>
      </c>
      <c r="D2870" t="str">
        <f>IFERROR(__xludf.DUMMYFUNCTION("""COMPUTED_VALUE"""),"brevis")</f>
        <v>brevis</v>
      </c>
      <c r="E2870" t="str">
        <f>IFERROR(__xludf.DUMMYFUNCTION("""COMPUTED_VALUE"""),"KB290")</f>
        <v>KB290</v>
      </c>
    </row>
    <row r="2871" ht="15.75" customHeight="1">
      <c r="A2871" t="str">
        <f t="shared" si="1"/>
        <v>L.brevis</v>
      </c>
      <c r="B2871" s="5" t="s">
        <v>13842</v>
      </c>
      <c r="C2871" s="6" t="str">
        <f>IFERROR(__xludf.DUMMYFUNCTION("SPLIT('2. c'!B2871, "" "", True, True)"),"Lactobacillus")</f>
        <v>Lactobacillus</v>
      </c>
      <c r="D2871" t="str">
        <f>IFERROR(__xludf.DUMMYFUNCTION("""COMPUTED_VALUE"""),"brevis")</f>
        <v>brevis</v>
      </c>
      <c r="E2871" t="str">
        <f>IFERROR(__xludf.DUMMYFUNCTION("""COMPUTED_VALUE"""),"strain")</f>
        <v>strain</v>
      </c>
      <c r="F2871" t="str">
        <f>IFERROR(__xludf.DUMMYFUNCTION("""COMPUTED_VALUE"""),"NPS-QW-145")</f>
        <v>NPS-QW-145</v>
      </c>
    </row>
    <row r="2872" ht="15.75" customHeight="1">
      <c r="A2872" t="str">
        <f t="shared" si="1"/>
        <v>L.buchneri</v>
      </c>
      <c r="B2872" s="5" t="s">
        <v>13850</v>
      </c>
      <c r="C2872" s="6" t="str">
        <f>IFERROR(__xludf.DUMMYFUNCTION("SPLIT('2. c'!B2872, "" "", True, True)"),"Lactobacillus")</f>
        <v>Lactobacillus</v>
      </c>
      <c r="D2872" t="str">
        <f>IFERROR(__xludf.DUMMYFUNCTION("""COMPUTED_VALUE"""),"buchneri")</f>
        <v>buchneri</v>
      </c>
      <c r="E2872" t="str">
        <f>IFERROR(__xludf.DUMMYFUNCTION("""COMPUTED_VALUE"""),"CD034")</f>
        <v>CD034</v>
      </c>
    </row>
    <row r="2873" ht="15.75" customHeight="1">
      <c r="A2873" t="str">
        <f t="shared" si="1"/>
        <v>L.buchneri</v>
      </c>
      <c r="B2873" s="5" t="s">
        <v>13858</v>
      </c>
      <c r="C2873" s="6" t="str">
        <f>IFERROR(__xludf.DUMMYFUNCTION("SPLIT('2. c'!B2873, "" "", True, True)"),"Lactobacillus")</f>
        <v>Lactobacillus</v>
      </c>
      <c r="D2873" t="str">
        <f>IFERROR(__xludf.DUMMYFUNCTION("""COMPUTED_VALUE"""),"buchneri")</f>
        <v>buchneri</v>
      </c>
      <c r="E2873" t="str">
        <f>IFERROR(__xludf.DUMMYFUNCTION("""COMPUTED_VALUE"""),"NRRL")</f>
        <v>NRRL</v>
      </c>
      <c r="F2873" t="str">
        <f>IFERROR(__xludf.DUMMYFUNCTION("""COMPUTED_VALUE"""),"B-30929")</f>
        <v>B-30929</v>
      </c>
    </row>
    <row r="2874" ht="15.75" customHeight="1">
      <c r="A2874" t="str">
        <f t="shared" si="1"/>
        <v>L.casei</v>
      </c>
      <c r="B2874" s="5" t="s">
        <v>13862</v>
      </c>
      <c r="C2874" s="6" t="str">
        <f>IFERROR(__xludf.DUMMYFUNCTION("SPLIT('2. c'!B2874, "" "", True, True)"),"Lactobacillus")</f>
        <v>Lactobacillus</v>
      </c>
      <c r="D2874" t="str">
        <f>IFERROR(__xludf.DUMMYFUNCTION("""COMPUTED_VALUE"""),"casei")</f>
        <v>casei</v>
      </c>
      <c r="E2874" t="str">
        <f>IFERROR(__xludf.DUMMYFUNCTION("""COMPUTED_VALUE"""),"ATCC")</f>
        <v>ATCC</v>
      </c>
      <c r="F2874">
        <f>IFERROR(__xludf.DUMMYFUNCTION("""COMPUTED_VALUE"""),334.0)</f>
        <v>334</v>
      </c>
    </row>
    <row r="2875" ht="15.75" customHeight="1">
      <c r="A2875" t="str">
        <f t="shared" si="1"/>
        <v>L.casei</v>
      </c>
      <c r="B2875" s="5" t="s">
        <v>13871</v>
      </c>
      <c r="C2875" s="6" t="str">
        <f>IFERROR(__xludf.DUMMYFUNCTION("SPLIT('2. c'!B2875, "" "", True, True)"),"Lactobacillus")</f>
        <v>Lactobacillus</v>
      </c>
      <c r="D2875" t="str">
        <f>IFERROR(__xludf.DUMMYFUNCTION("""COMPUTED_VALUE"""),"casei")</f>
        <v>casei</v>
      </c>
      <c r="E2875" t="str">
        <f>IFERROR(__xludf.DUMMYFUNCTION("""COMPUTED_VALUE"""),"BD-II")</f>
        <v>BD-II</v>
      </c>
    </row>
    <row r="2876" ht="15.75" customHeight="1">
      <c r="A2876" t="str">
        <f t="shared" si="1"/>
        <v>L.casei</v>
      </c>
      <c r="B2876" s="5" t="s">
        <v>13880</v>
      </c>
      <c r="C2876" s="6" t="str">
        <f>IFERROR(__xludf.DUMMYFUNCTION("SPLIT('2. c'!B2876, "" "", True, True)"),"Lactobacillus")</f>
        <v>Lactobacillus</v>
      </c>
      <c r="D2876" t="str">
        <f>IFERROR(__xludf.DUMMYFUNCTION("""COMPUTED_VALUE"""),"casei")</f>
        <v>casei</v>
      </c>
      <c r="E2876" t="str">
        <f>IFERROR(__xludf.DUMMYFUNCTION("""COMPUTED_VALUE"""),"BL23")</f>
        <v>BL23</v>
      </c>
    </row>
    <row r="2877" ht="15.75" customHeight="1">
      <c r="A2877" t="str">
        <f t="shared" si="1"/>
        <v>L.casei</v>
      </c>
      <c r="B2877" s="5" t="s">
        <v>13888</v>
      </c>
      <c r="C2877" s="6" t="str">
        <f>IFERROR(__xludf.DUMMYFUNCTION("SPLIT('2. c'!B2877, "" "", True, True)"),"Lactobacillus")</f>
        <v>Lactobacillus</v>
      </c>
      <c r="D2877" t="str">
        <f>IFERROR(__xludf.DUMMYFUNCTION("""COMPUTED_VALUE"""),"casei")</f>
        <v>casei</v>
      </c>
      <c r="E2877" t="str">
        <f>IFERROR(__xludf.DUMMYFUNCTION("""COMPUTED_VALUE"""),"LC2W")</f>
        <v>LC2W</v>
      </c>
    </row>
    <row r="2878" ht="15.75" customHeight="1">
      <c r="A2878" t="str">
        <f t="shared" si="1"/>
        <v>L.casei</v>
      </c>
      <c r="B2878" s="5" t="s">
        <v>13895</v>
      </c>
      <c r="C2878" s="6" t="str">
        <f>IFERROR(__xludf.DUMMYFUNCTION("SPLIT('2. c'!B2878, "" "", True, True)"),"Lactobacillus")</f>
        <v>Lactobacillus</v>
      </c>
      <c r="D2878" t="str">
        <f>IFERROR(__xludf.DUMMYFUNCTION("""COMPUTED_VALUE"""),"casei")</f>
        <v>casei</v>
      </c>
      <c r="E2878" t="str">
        <f>IFERROR(__xludf.DUMMYFUNCTION("""COMPUTED_VALUE"""),"LOCK919")</f>
        <v>LOCK919</v>
      </c>
    </row>
    <row r="2879" ht="15.75" customHeight="1">
      <c r="A2879" t="str">
        <f t="shared" si="1"/>
        <v>L.casei</v>
      </c>
      <c r="B2879" s="5" t="s">
        <v>13902</v>
      </c>
      <c r="C2879" s="6" t="str">
        <f>IFERROR(__xludf.DUMMYFUNCTION("SPLIT('2. c'!B2879, "" "", True, True)"),"Lactobacillus")</f>
        <v>Lactobacillus</v>
      </c>
      <c r="D2879" t="str">
        <f>IFERROR(__xludf.DUMMYFUNCTION("""COMPUTED_VALUE"""),"casei")</f>
        <v>casei</v>
      </c>
      <c r="E2879" t="str">
        <f>IFERROR(__xludf.DUMMYFUNCTION("""COMPUTED_VALUE"""),"str.")</f>
        <v>str.</v>
      </c>
      <c r="F2879" t="str">
        <f>IFERROR(__xludf.DUMMYFUNCTION("""COMPUTED_VALUE"""),"Zhang")</f>
        <v>Zhang</v>
      </c>
    </row>
    <row r="2880" ht="15.75" customHeight="1">
      <c r="A2880" t="str">
        <f t="shared" si="1"/>
        <v>L.casei</v>
      </c>
      <c r="B2880" s="5" t="s">
        <v>13910</v>
      </c>
      <c r="C2880" s="6" t="str">
        <f>IFERROR(__xludf.DUMMYFUNCTION("SPLIT('2. c'!B2880, "" "", True, True)"),"Lactobacillus")</f>
        <v>Lactobacillus</v>
      </c>
      <c r="D2880" t="str">
        <f>IFERROR(__xludf.DUMMYFUNCTION("""COMPUTED_VALUE"""),"casei")</f>
        <v>casei</v>
      </c>
      <c r="E2880" t="str">
        <f>IFERROR(__xludf.DUMMYFUNCTION("""COMPUTED_VALUE"""),"subsp.")</f>
        <v>subsp.</v>
      </c>
      <c r="F2880" t="str">
        <f>IFERROR(__xludf.DUMMYFUNCTION("""COMPUTED_VALUE"""),"casei")</f>
        <v>casei</v>
      </c>
      <c r="G2880" t="str">
        <f>IFERROR(__xludf.DUMMYFUNCTION("""COMPUTED_VALUE"""),"ATCC")</f>
        <v>ATCC</v>
      </c>
      <c r="H2880">
        <f>IFERROR(__xludf.DUMMYFUNCTION("""COMPUTED_VALUE"""),393.0)</f>
        <v>393</v>
      </c>
    </row>
    <row r="2881" ht="15.75" customHeight="1">
      <c r="A2881" t="str">
        <f t="shared" si="1"/>
        <v>L.casei</v>
      </c>
      <c r="B2881" s="5" t="s">
        <v>13918</v>
      </c>
      <c r="C2881" s="6" t="str">
        <f>IFERROR(__xludf.DUMMYFUNCTION("SPLIT('2. c'!B2881, "" "", True, True)"),"Lactobacillus")</f>
        <v>Lactobacillus</v>
      </c>
      <c r="D2881" t="str">
        <f>IFERROR(__xludf.DUMMYFUNCTION("""COMPUTED_VALUE"""),"casei")</f>
        <v>casei</v>
      </c>
      <c r="E2881" t="str">
        <f>IFERROR(__xludf.DUMMYFUNCTION("""COMPUTED_VALUE"""),"W56")</f>
        <v>W56</v>
      </c>
    </row>
    <row r="2882" ht="15.75" customHeight="1">
      <c r="A2882" t="str">
        <f t="shared" si="1"/>
        <v>L.crispatus</v>
      </c>
      <c r="B2882" s="5" t="s">
        <v>13927</v>
      </c>
      <c r="C2882" s="6" t="str">
        <f>IFERROR(__xludf.DUMMYFUNCTION("SPLIT('2. c'!B2882, "" "", True, True)"),"Lactobacillus")</f>
        <v>Lactobacillus</v>
      </c>
      <c r="D2882" t="str">
        <f>IFERROR(__xludf.DUMMYFUNCTION("""COMPUTED_VALUE"""),"crispatus")</f>
        <v>crispatus</v>
      </c>
      <c r="E2882" t="str">
        <f>IFERROR(__xludf.DUMMYFUNCTION("""COMPUTED_VALUE"""),"ST1")</f>
        <v>ST1</v>
      </c>
    </row>
    <row r="2883" ht="15.75" customHeight="1">
      <c r="A2883" t="str">
        <f t="shared" si="1"/>
        <v>L.curvatus</v>
      </c>
      <c r="B2883" s="5" t="s">
        <v>13935</v>
      </c>
      <c r="C2883" s="6" t="str">
        <f>IFERROR(__xludf.DUMMYFUNCTION("SPLIT('2. c'!B2883, "" "", True, True)"),"Lactobacillus")</f>
        <v>Lactobacillus</v>
      </c>
      <c r="D2883" t="str">
        <f>IFERROR(__xludf.DUMMYFUNCTION("""COMPUTED_VALUE"""),"curvatus")</f>
        <v>curvatus</v>
      </c>
      <c r="E2883" t="str">
        <f>IFERROR(__xludf.DUMMYFUNCTION("""COMPUTED_VALUE"""),"strain")</f>
        <v>strain</v>
      </c>
      <c r="F2883" t="str">
        <f>IFERROR(__xludf.DUMMYFUNCTION("""COMPUTED_VALUE"""),"FBA2")</f>
        <v>FBA2</v>
      </c>
    </row>
    <row r="2884" ht="15.75" customHeight="1">
      <c r="A2884" t="str">
        <f t="shared" si="1"/>
        <v>L.delbrueckii</v>
      </c>
      <c r="B2884" s="5" t="s">
        <v>13944</v>
      </c>
      <c r="C2884" s="6" t="str">
        <f>IFERROR(__xludf.DUMMYFUNCTION("SPLIT('2. c'!B2884, "" "", True, True)"),"Lactobacillus")</f>
        <v>Lactobacillus</v>
      </c>
      <c r="D2884" t="str">
        <f>IFERROR(__xludf.DUMMYFUNCTION("""COMPUTED_VALUE"""),"delbrueckii")</f>
        <v>delbrueckii</v>
      </c>
      <c r="E2884" t="str">
        <f>IFERROR(__xludf.DUMMYFUNCTION("""COMPUTED_VALUE"""),"subsp.")</f>
        <v>subsp.</v>
      </c>
      <c r="F2884" t="str">
        <f>IFERROR(__xludf.DUMMYFUNCTION("""COMPUTED_VALUE"""),"bulgaricus")</f>
        <v>bulgaricus</v>
      </c>
      <c r="G2884">
        <f>IFERROR(__xludf.DUMMYFUNCTION("""COMPUTED_VALUE"""),2038.0)</f>
        <v>2038</v>
      </c>
    </row>
    <row r="2885" ht="15.75" customHeight="1">
      <c r="A2885" t="str">
        <f t="shared" si="1"/>
        <v>L.delbrueckii</v>
      </c>
      <c r="B2885" s="5" t="s">
        <v>13952</v>
      </c>
      <c r="C2885" s="6" t="str">
        <f>IFERROR(__xludf.DUMMYFUNCTION("SPLIT('2. c'!B2885, "" "", True, True)"),"Lactobacillus")</f>
        <v>Lactobacillus</v>
      </c>
      <c r="D2885" t="str">
        <f>IFERROR(__xludf.DUMMYFUNCTION("""COMPUTED_VALUE"""),"delbrueckii")</f>
        <v>delbrueckii</v>
      </c>
      <c r="E2885" t="str">
        <f>IFERROR(__xludf.DUMMYFUNCTION("""COMPUTED_VALUE"""),"subsp.")</f>
        <v>subsp.</v>
      </c>
      <c r="F2885" t="str">
        <f>IFERROR(__xludf.DUMMYFUNCTION("""COMPUTED_VALUE"""),"bulgaricus")</f>
        <v>bulgaricus</v>
      </c>
      <c r="G2885" t="str">
        <f>IFERROR(__xludf.DUMMYFUNCTION("""COMPUTED_VALUE"""),"ATCC")</f>
        <v>ATCC</v>
      </c>
      <c r="H2885">
        <f>IFERROR(__xludf.DUMMYFUNCTION("""COMPUTED_VALUE"""),11842.0)</f>
        <v>11842</v>
      </c>
    </row>
    <row r="2886" ht="15.75" customHeight="1">
      <c r="A2886" t="str">
        <f t="shared" si="1"/>
        <v>L.delbrueckii</v>
      </c>
      <c r="B2886" s="5" t="s">
        <v>13959</v>
      </c>
      <c r="C2886" s="6" t="str">
        <f>IFERROR(__xludf.DUMMYFUNCTION("SPLIT('2. c'!B2886, "" "", True, True)"),"Lactobacillus")</f>
        <v>Lactobacillus</v>
      </c>
      <c r="D2886" t="str">
        <f>IFERROR(__xludf.DUMMYFUNCTION("""COMPUTED_VALUE"""),"delbrueckii")</f>
        <v>delbrueckii</v>
      </c>
      <c r="E2886" t="str">
        <f>IFERROR(__xludf.DUMMYFUNCTION("""COMPUTED_VALUE"""),"subsp.")</f>
        <v>subsp.</v>
      </c>
      <c r="F2886" t="str">
        <f>IFERROR(__xludf.DUMMYFUNCTION("""COMPUTED_VALUE"""),"bulgaricus")</f>
        <v>bulgaricus</v>
      </c>
      <c r="G2886" t="str">
        <f>IFERROR(__xludf.DUMMYFUNCTION("""COMPUTED_VALUE"""),"ATCC")</f>
        <v>ATCC</v>
      </c>
      <c r="H2886" t="str">
        <f>IFERROR(__xludf.DUMMYFUNCTION("""COMPUTED_VALUE"""),"BAA-365")</f>
        <v>BAA-365</v>
      </c>
    </row>
    <row r="2887" ht="15.75" customHeight="1">
      <c r="A2887" t="str">
        <f t="shared" si="1"/>
        <v>L.delbrueckii</v>
      </c>
      <c r="B2887" s="5" t="s">
        <v>13968</v>
      </c>
      <c r="C2887" s="6" t="str">
        <f>IFERROR(__xludf.DUMMYFUNCTION("SPLIT('2. c'!B2887, "" "", True, True)"),"Lactobacillus")</f>
        <v>Lactobacillus</v>
      </c>
      <c r="D2887" t="str">
        <f>IFERROR(__xludf.DUMMYFUNCTION("""COMPUTED_VALUE"""),"delbrueckii")</f>
        <v>delbrueckii</v>
      </c>
      <c r="E2887" t="str">
        <f>IFERROR(__xludf.DUMMYFUNCTION("""COMPUTED_VALUE"""),"subsp.")</f>
        <v>subsp.</v>
      </c>
      <c r="F2887" t="str">
        <f>IFERROR(__xludf.DUMMYFUNCTION("""COMPUTED_VALUE"""),"bulgaricus")</f>
        <v>bulgaricus</v>
      </c>
      <c r="G2887" t="str">
        <f>IFERROR(__xludf.DUMMYFUNCTION("""COMPUTED_VALUE"""),"ND02")</f>
        <v>ND02</v>
      </c>
    </row>
    <row r="2888" ht="15.75" customHeight="1">
      <c r="A2888" t="str">
        <f t="shared" si="1"/>
        <v>L.delbrueckii</v>
      </c>
      <c r="B2888" s="5" t="s">
        <v>13976</v>
      </c>
      <c r="C2888" s="6" t="str">
        <f>IFERROR(__xludf.DUMMYFUNCTION("SPLIT('2. c'!B2888, "" "", True, True)"),"Lactobacillus")</f>
        <v>Lactobacillus</v>
      </c>
      <c r="D2888" t="str">
        <f>IFERROR(__xludf.DUMMYFUNCTION("""COMPUTED_VALUE"""),"delbrueckii")</f>
        <v>delbrueckii</v>
      </c>
      <c r="E2888" t="str">
        <f>IFERROR(__xludf.DUMMYFUNCTION("""COMPUTED_VALUE"""),"subsp.")</f>
        <v>subsp.</v>
      </c>
      <c r="F2888" t="str">
        <f>IFERROR(__xludf.DUMMYFUNCTION("""COMPUTED_VALUE"""),"lactis")</f>
        <v>lactis</v>
      </c>
      <c r="G2888" t="str">
        <f>IFERROR(__xludf.DUMMYFUNCTION("""COMPUTED_VALUE"""),"strain")</f>
        <v>strain</v>
      </c>
      <c r="H2888" t="str">
        <f>IFERROR(__xludf.DUMMYFUNCTION("""COMPUTED_VALUE"""),"CNRZ327")</f>
        <v>CNRZ327</v>
      </c>
    </row>
    <row r="2889" ht="15.75" customHeight="1">
      <c r="A2889" t="str">
        <f t="shared" si="1"/>
        <v>L.farciminis</v>
      </c>
      <c r="B2889" s="5" t="s">
        <v>13986</v>
      </c>
      <c r="C2889" s="6" t="str">
        <f>IFERROR(__xludf.DUMMYFUNCTION("SPLIT('2. c'!B2889, "" "", True, True)"),"Lactobacillus")</f>
        <v>Lactobacillus</v>
      </c>
      <c r="D2889" t="str">
        <f>IFERROR(__xludf.DUMMYFUNCTION("""COMPUTED_VALUE"""),"farciminis")</f>
        <v>farciminis</v>
      </c>
      <c r="E2889" t="str">
        <f>IFERROR(__xludf.DUMMYFUNCTION("""COMPUTED_VALUE"""),"strain")</f>
        <v>strain</v>
      </c>
      <c r="F2889" t="str">
        <f>IFERROR(__xludf.DUMMYFUNCTION("""COMPUTED_VALUE"""),"CNCM-I-3699-R")</f>
        <v>CNCM-I-3699-R</v>
      </c>
    </row>
    <row r="2890" ht="15.75" customHeight="1">
      <c r="A2890" t="str">
        <f t="shared" si="1"/>
        <v>L.farciminis</v>
      </c>
      <c r="B2890" s="5" t="s">
        <v>13996</v>
      </c>
      <c r="C2890" s="6" t="str">
        <f>IFERROR(__xludf.DUMMYFUNCTION("SPLIT('2. c'!B2890, "" "", True, True)"),"Lactobacillus")</f>
        <v>Lactobacillus</v>
      </c>
      <c r="D2890" t="str">
        <f>IFERROR(__xludf.DUMMYFUNCTION("""COMPUTED_VALUE"""),"farciminis")</f>
        <v>farciminis</v>
      </c>
      <c r="E2890" t="str">
        <f>IFERROR(__xludf.DUMMYFUNCTION("""COMPUTED_VALUE"""),"strain")</f>
        <v>strain</v>
      </c>
      <c r="F2890" t="str">
        <f>IFERROR(__xludf.DUMMYFUNCTION("""COMPUTED_VALUE"""),"CNCM-I-3699-S")</f>
        <v>CNCM-I-3699-S</v>
      </c>
    </row>
    <row r="2891" ht="15.75" customHeight="1">
      <c r="A2891" t="str">
        <f t="shared" si="1"/>
        <v>L.fermentum</v>
      </c>
      <c r="B2891" s="5" t="s">
        <v>14005</v>
      </c>
      <c r="C2891" s="6" t="str">
        <f>IFERROR(__xludf.DUMMYFUNCTION("SPLIT('2. c'!B2891, "" "", True, True)"),"Lactobacillus")</f>
        <v>Lactobacillus</v>
      </c>
      <c r="D2891" t="str">
        <f>IFERROR(__xludf.DUMMYFUNCTION("""COMPUTED_VALUE"""),"fermentum")</f>
        <v>fermentum</v>
      </c>
      <c r="E2891" t="str">
        <f>IFERROR(__xludf.DUMMYFUNCTION("""COMPUTED_VALUE"""),"CECT")</f>
        <v>CECT</v>
      </c>
      <c r="F2891">
        <f>IFERROR(__xludf.DUMMYFUNCTION("""COMPUTED_VALUE"""),5716.0)</f>
        <v>5716</v>
      </c>
    </row>
    <row r="2892" ht="15.75" customHeight="1">
      <c r="A2892" t="str">
        <f t="shared" si="1"/>
        <v>L.fermentum</v>
      </c>
      <c r="B2892" s="5" t="s">
        <v>14014</v>
      </c>
      <c r="C2892" s="6" t="str">
        <f>IFERROR(__xludf.DUMMYFUNCTION("SPLIT('2. c'!B2892, "" "", True, True)"),"Lactobacillus")</f>
        <v>Lactobacillus</v>
      </c>
      <c r="D2892" t="str">
        <f>IFERROR(__xludf.DUMMYFUNCTION("""COMPUTED_VALUE"""),"fermentum")</f>
        <v>fermentum</v>
      </c>
      <c r="E2892" t="str">
        <f>IFERROR(__xludf.DUMMYFUNCTION("""COMPUTED_VALUE"""),"F-6")</f>
        <v>F-6</v>
      </c>
    </row>
    <row r="2893" ht="15.75" customHeight="1">
      <c r="A2893" t="str">
        <f t="shared" si="1"/>
        <v>L.fermentum</v>
      </c>
      <c r="B2893" s="5" t="s">
        <v>14023</v>
      </c>
      <c r="C2893" s="6" t="str">
        <f>IFERROR(__xludf.DUMMYFUNCTION("SPLIT('2. c'!B2893, "" "", True, True)"),"Lactobacillus")</f>
        <v>Lactobacillus</v>
      </c>
      <c r="D2893" t="str">
        <f>IFERROR(__xludf.DUMMYFUNCTION("""COMPUTED_VALUE"""),"fermentum")</f>
        <v>fermentum</v>
      </c>
      <c r="E2893" t="str">
        <f>IFERROR(__xludf.DUMMYFUNCTION("""COMPUTED_VALUE"""),"IFO")</f>
        <v>IFO</v>
      </c>
      <c r="F2893">
        <f>IFERROR(__xludf.DUMMYFUNCTION("""COMPUTED_VALUE"""),3956.0)</f>
        <v>3956</v>
      </c>
    </row>
    <row r="2894" ht="15.75" customHeight="1">
      <c r="A2894" t="str">
        <f t="shared" si="1"/>
        <v>L.gallinarum</v>
      </c>
      <c r="B2894" s="5" t="s">
        <v>14032</v>
      </c>
      <c r="C2894" s="6" t="str">
        <f>IFERROR(__xludf.DUMMYFUNCTION("SPLIT('2. c'!B2894, "" "", True, True)"),"Lactobacillus")</f>
        <v>Lactobacillus</v>
      </c>
      <c r="D2894" t="str">
        <f>IFERROR(__xludf.DUMMYFUNCTION("""COMPUTED_VALUE"""),"gallinarum")</f>
        <v>gallinarum</v>
      </c>
      <c r="E2894" t="str">
        <f>IFERROR(__xludf.DUMMYFUNCTION("""COMPUTED_VALUE"""),"strain")</f>
        <v>strain</v>
      </c>
      <c r="F2894" t="str">
        <f>IFERROR(__xludf.DUMMYFUNCTION("""COMPUTED_VALUE"""),"HFD4")</f>
        <v>HFD4</v>
      </c>
    </row>
    <row r="2895" ht="15.75" customHeight="1">
      <c r="A2895" t="str">
        <f t="shared" si="1"/>
        <v>L.gasseri</v>
      </c>
      <c r="B2895" s="5" t="s">
        <v>14039</v>
      </c>
      <c r="C2895" s="6" t="str">
        <f>IFERROR(__xludf.DUMMYFUNCTION("SPLIT('2. c'!B2895, "" "", True, True)"),"Lactobacillus")</f>
        <v>Lactobacillus</v>
      </c>
      <c r="D2895" t="str">
        <f>IFERROR(__xludf.DUMMYFUNCTION("""COMPUTED_VALUE"""),"gasseri")</f>
        <v>gasseri</v>
      </c>
      <c r="E2895">
        <f>IFERROR(__xludf.DUMMYFUNCTION("""COMPUTED_VALUE"""),130918.0)</f>
        <v>130918</v>
      </c>
    </row>
    <row r="2896" ht="15.75" customHeight="1">
      <c r="A2896" t="str">
        <f t="shared" si="1"/>
        <v>L.gasseri</v>
      </c>
      <c r="B2896" s="5" t="s">
        <v>14048</v>
      </c>
      <c r="C2896" s="6" t="str">
        <f>IFERROR(__xludf.DUMMYFUNCTION("SPLIT('2. c'!B2896, "" "", True, True)"),"Lactobacillus")</f>
        <v>Lactobacillus</v>
      </c>
      <c r="D2896" t="str">
        <f>IFERROR(__xludf.DUMMYFUNCTION("""COMPUTED_VALUE"""),"gasseri")</f>
        <v>gasseri</v>
      </c>
      <c r="E2896" t="str">
        <f>IFERROR(__xludf.DUMMYFUNCTION("""COMPUTED_VALUE"""),"ATCC")</f>
        <v>ATCC</v>
      </c>
      <c r="F2896">
        <f>IFERROR(__xludf.DUMMYFUNCTION("""COMPUTED_VALUE"""),33323.0)</f>
        <v>33323</v>
      </c>
    </row>
    <row r="2897" ht="15.75" customHeight="1">
      <c r="A2897" t="str">
        <f t="shared" si="1"/>
        <v>L.ginsenosidimutans</v>
      </c>
      <c r="B2897" s="5" t="s">
        <v>14058</v>
      </c>
      <c r="C2897" s="6" t="str">
        <f>IFERROR(__xludf.DUMMYFUNCTION("SPLIT('2. c'!B2897, "" "", True, True)"),"Lactobacillus")</f>
        <v>Lactobacillus</v>
      </c>
      <c r="D2897" t="str">
        <f>IFERROR(__xludf.DUMMYFUNCTION("""COMPUTED_VALUE"""),"ginsenosidimutans")</f>
        <v>ginsenosidimutans</v>
      </c>
      <c r="E2897" t="str">
        <f>IFERROR(__xludf.DUMMYFUNCTION("""COMPUTED_VALUE"""),"strain")</f>
        <v>strain</v>
      </c>
      <c r="F2897" t="str">
        <f>IFERROR(__xludf.DUMMYFUNCTION("""COMPUTED_VALUE"""),"EMML")</f>
        <v>EMML</v>
      </c>
      <c r="G2897">
        <f>IFERROR(__xludf.DUMMYFUNCTION("""COMPUTED_VALUE"""),3041.0)</f>
        <v>3041</v>
      </c>
    </row>
    <row r="2898" ht="15.75" customHeight="1">
      <c r="A2898" t="str">
        <f t="shared" si="1"/>
        <v>L.helveticus</v>
      </c>
      <c r="B2898" s="5" t="s">
        <v>14070</v>
      </c>
      <c r="C2898" s="6" t="str">
        <f>IFERROR(__xludf.DUMMYFUNCTION("SPLIT('2. c'!B2898, "" "", True, True)"),"Lactobacillus")</f>
        <v>Lactobacillus</v>
      </c>
      <c r="D2898" t="str">
        <f>IFERROR(__xludf.DUMMYFUNCTION("""COMPUTED_VALUE"""),"helveticus")</f>
        <v>helveticus</v>
      </c>
      <c r="E2898" t="str">
        <f>IFERROR(__xludf.DUMMYFUNCTION("""COMPUTED_VALUE"""),"CNRZ32")</f>
        <v>CNRZ32</v>
      </c>
    </row>
    <row r="2899" ht="15.75" customHeight="1">
      <c r="A2899" t="str">
        <f t="shared" si="1"/>
        <v>L.helveticus</v>
      </c>
      <c r="B2899" s="5" t="s">
        <v>14078</v>
      </c>
      <c r="C2899" s="6" t="str">
        <f>IFERROR(__xludf.DUMMYFUNCTION("SPLIT('2. c'!B2899, "" "", True, True)"),"Lactobacillus")</f>
        <v>Lactobacillus</v>
      </c>
      <c r="D2899" t="str">
        <f>IFERROR(__xludf.DUMMYFUNCTION("""COMPUTED_VALUE"""),"helveticus")</f>
        <v>helveticus</v>
      </c>
      <c r="E2899" t="str">
        <f>IFERROR(__xludf.DUMMYFUNCTION("""COMPUTED_VALUE"""),"DPC")</f>
        <v>DPC</v>
      </c>
      <c r="F2899">
        <f>IFERROR(__xludf.DUMMYFUNCTION("""COMPUTED_VALUE"""),4571.0)</f>
        <v>4571</v>
      </c>
    </row>
    <row r="2900" ht="15.75" customHeight="1">
      <c r="A2900" t="str">
        <f t="shared" si="1"/>
        <v>L.helveticus</v>
      </c>
      <c r="B2900" s="5" t="s">
        <v>14088</v>
      </c>
      <c r="C2900" s="6" t="str">
        <f>IFERROR(__xludf.DUMMYFUNCTION("SPLIT('2. c'!B2900, "" "", True, True)"),"Lactobacillus")</f>
        <v>Lactobacillus</v>
      </c>
      <c r="D2900" t="str">
        <f>IFERROR(__xludf.DUMMYFUNCTION("""COMPUTED_VALUE"""),"helveticus")</f>
        <v>helveticus</v>
      </c>
      <c r="E2900" t="str">
        <f>IFERROR(__xludf.DUMMYFUNCTION("""COMPUTED_VALUE"""),"H10")</f>
        <v>H10</v>
      </c>
    </row>
    <row r="2901" ht="15.75" customHeight="1">
      <c r="A2901" t="str">
        <f t="shared" si="1"/>
        <v>L.helveticus</v>
      </c>
      <c r="B2901" s="5" t="s">
        <v>14098</v>
      </c>
      <c r="C2901" s="6" t="str">
        <f>IFERROR(__xludf.DUMMYFUNCTION("SPLIT('2. c'!B2901, "" "", True, True)"),"Lactobacillus")</f>
        <v>Lactobacillus</v>
      </c>
      <c r="D2901" t="str">
        <f>IFERROR(__xludf.DUMMYFUNCTION("""COMPUTED_VALUE"""),"helveticus")</f>
        <v>helveticus</v>
      </c>
      <c r="E2901" t="str">
        <f>IFERROR(__xludf.DUMMYFUNCTION("""COMPUTED_VALUE"""),"H9")</f>
        <v>H9</v>
      </c>
    </row>
    <row r="2902" ht="15.75" customHeight="1">
      <c r="A2902" t="str">
        <f t="shared" si="1"/>
        <v>L.helveticus</v>
      </c>
      <c r="B2902" s="5" t="s">
        <v>14106</v>
      </c>
      <c r="C2902" s="6" t="str">
        <f>IFERROR(__xludf.DUMMYFUNCTION("SPLIT('2. c'!B2902, "" "", True, True)"),"Lactobacillus")</f>
        <v>Lactobacillus</v>
      </c>
      <c r="D2902" t="str">
        <f>IFERROR(__xludf.DUMMYFUNCTION("""COMPUTED_VALUE"""),"helveticus")</f>
        <v>helveticus</v>
      </c>
      <c r="E2902" t="str">
        <f>IFERROR(__xludf.DUMMYFUNCTION("""COMPUTED_VALUE"""),"strain")</f>
        <v>strain</v>
      </c>
      <c r="F2902" t="str">
        <f>IFERROR(__xludf.DUMMYFUNCTION("""COMPUTED_VALUE"""),"CAUH18")</f>
        <v>CAUH18</v>
      </c>
    </row>
    <row r="2903" ht="15.75" customHeight="1">
      <c r="A2903" t="str">
        <f t="shared" si="1"/>
        <v>L.helveticus</v>
      </c>
      <c r="B2903" s="5" t="s">
        <v>14114</v>
      </c>
      <c r="C2903" s="6" t="str">
        <f>IFERROR(__xludf.DUMMYFUNCTION("SPLIT('2. c'!B2903, "" "", True, True)"),"Lactobacillus")</f>
        <v>Lactobacillus</v>
      </c>
      <c r="D2903" t="str">
        <f>IFERROR(__xludf.DUMMYFUNCTION("""COMPUTED_VALUE"""),"helveticus")</f>
        <v>helveticus</v>
      </c>
      <c r="E2903" t="str">
        <f>IFERROR(__xludf.DUMMYFUNCTION("""COMPUTED_VALUE"""),"strain")</f>
        <v>strain</v>
      </c>
      <c r="F2903" t="str">
        <f>IFERROR(__xludf.DUMMYFUNCTION("""COMPUTED_VALUE"""),"KLDS1.8701")</f>
        <v>KLDS1.8701</v>
      </c>
    </row>
    <row r="2904" ht="15.75" customHeight="1">
      <c r="A2904" t="str">
        <f t="shared" si="1"/>
        <v>L.helveticus</v>
      </c>
      <c r="B2904" s="5" t="s">
        <v>14121</v>
      </c>
      <c r="C2904" s="6" t="str">
        <f>IFERROR(__xludf.DUMMYFUNCTION("SPLIT('2. c'!B2904, "" "", True, True)"),"Lactobacillus")</f>
        <v>Lactobacillus</v>
      </c>
      <c r="D2904" t="str">
        <f>IFERROR(__xludf.DUMMYFUNCTION("""COMPUTED_VALUE"""),"helveticus")</f>
        <v>helveticus</v>
      </c>
      <c r="E2904" t="str">
        <f>IFERROR(__xludf.DUMMYFUNCTION("""COMPUTED_VALUE"""),"strain")</f>
        <v>strain</v>
      </c>
      <c r="F2904" t="str">
        <f>IFERROR(__xludf.DUMMYFUNCTION("""COMPUTED_VALUE"""),"MB2-1")</f>
        <v>MB2-1</v>
      </c>
    </row>
    <row r="2905" ht="15.75" customHeight="1">
      <c r="A2905" t="str">
        <f t="shared" si="1"/>
        <v>L.hokkaidonensis</v>
      </c>
      <c r="B2905" s="5" t="s">
        <v>14131</v>
      </c>
      <c r="C2905" s="6" t="str">
        <f>IFERROR(__xludf.DUMMYFUNCTION("SPLIT('2. c'!B2905, "" "", True, True)"),"Lactobacillus")</f>
        <v>Lactobacillus</v>
      </c>
      <c r="D2905" t="str">
        <f>IFERROR(__xludf.DUMMYFUNCTION("""COMPUTED_VALUE"""),"hokkaidonensis")</f>
        <v>hokkaidonensis</v>
      </c>
      <c r="E2905" t="str">
        <f>IFERROR(__xludf.DUMMYFUNCTION("""COMPUTED_VALUE"""),"LOOC260")</f>
        <v>LOOC260</v>
      </c>
    </row>
    <row r="2906" ht="15.75" customHeight="1">
      <c r="A2906" t="str">
        <f t="shared" si="1"/>
        <v>L.johnsonii</v>
      </c>
      <c r="B2906" s="5" t="s">
        <v>14137</v>
      </c>
      <c r="C2906" s="6" t="str">
        <f>IFERROR(__xludf.DUMMYFUNCTION("SPLIT('2. c'!B2906, "" "", True, True)"),"Lactobacillus")</f>
        <v>Lactobacillus</v>
      </c>
      <c r="D2906" t="str">
        <f>IFERROR(__xludf.DUMMYFUNCTION("""COMPUTED_VALUE"""),"johnsonii")</f>
        <v>johnsonii</v>
      </c>
      <c r="E2906" t="str">
        <f>IFERROR(__xludf.DUMMYFUNCTION("""COMPUTED_VALUE"""),"DPC")</f>
        <v>DPC</v>
      </c>
      <c r="F2906">
        <f>IFERROR(__xludf.DUMMYFUNCTION("""COMPUTED_VALUE"""),6026.0)</f>
        <v>6026</v>
      </c>
    </row>
    <row r="2907" ht="15.75" customHeight="1">
      <c r="A2907" t="str">
        <f t="shared" si="1"/>
        <v>L.johnsonii</v>
      </c>
      <c r="B2907" s="5" t="s">
        <v>14143</v>
      </c>
      <c r="C2907" s="6" t="str">
        <f>IFERROR(__xludf.DUMMYFUNCTION("SPLIT('2. c'!B2907, "" "", True, True)"),"Lactobacillus")</f>
        <v>Lactobacillus</v>
      </c>
      <c r="D2907" t="str">
        <f>IFERROR(__xludf.DUMMYFUNCTION("""COMPUTED_VALUE"""),"johnsonii")</f>
        <v>johnsonii</v>
      </c>
      <c r="E2907" t="str">
        <f>IFERROR(__xludf.DUMMYFUNCTION("""COMPUTED_VALUE"""),"FI9785")</f>
        <v>FI9785</v>
      </c>
    </row>
    <row r="2908" ht="15.75" customHeight="1">
      <c r="A2908" t="str">
        <f t="shared" si="1"/>
        <v>L.johnsonii</v>
      </c>
      <c r="B2908" s="5" t="s">
        <v>14154</v>
      </c>
      <c r="C2908" s="6" t="str">
        <f>IFERROR(__xludf.DUMMYFUNCTION("SPLIT('2. c'!B2908, "" "", True, True)"),"Lactobacillus")</f>
        <v>Lactobacillus</v>
      </c>
      <c r="D2908" t="str">
        <f>IFERROR(__xludf.DUMMYFUNCTION("""COMPUTED_VALUE"""),"johnsonii")</f>
        <v>johnsonii</v>
      </c>
      <c r="E2908" t="str">
        <f>IFERROR(__xludf.DUMMYFUNCTION("""COMPUTED_VALUE"""),"N6.2")</f>
        <v>N6.2</v>
      </c>
    </row>
    <row r="2909" ht="15.75" customHeight="1">
      <c r="A2909" t="str">
        <f t="shared" si="1"/>
        <v>L.johnsonii</v>
      </c>
      <c r="B2909" s="5" t="s">
        <v>14160</v>
      </c>
      <c r="C2909" s="6" t="str">
        <f>IFERROR(__xludf.DUMMYFUNCTION("SPLIT('2. c'!B2909, "" "", True, True)"),"Lactobacillus")</f>
        <v>Lactobacillus</v>
      </c>
      <c r="D2909" t="str">
        <f>IFERROR(__xludf.DUMMYFUNCTION("""COMPUTED_VALUE"""),"johnsonii")</f>
        <v>johnsonii</v>
      </c>
      <c r="E2909" t="str">
        <f>IFERROR(__xludf.DUMMYFUNCTION("""COMPUTED_VALUE"""),"NCC")</f>
        <v>NCC</v>
      </c>
      <c r="F2909">
        <f>IFERROR(__xludf.DUMMYFUNCTION("""COMPUTED_VALUE"""),533.0)</f>
        <v>533</v>
      </c>
    </row>
    <row r="2910" ht="15.75" customHeight="1">
      <c r="A2910" t="str">
        <f t="shared" si="1"/>
        <v>L.kefiranofaciens</v>
      </c>
      <c r="B2910" s="5" t="s">
        <v>14168</v>
      </c>
      <c r="C2910" s="6" t="str">
        <f>IFERROR(__xludf.DUMMYFUNCTION("SPLIT('2. c'!B2910, "" "", True, True)"),"Lactobacillus")</f>
        <v>Lactobacillus</v>
      </c>
      <c r="D2910" t="str">
        <f>IFERROR(__xludf.DUMMYFUNCTION("""COMPUTED_VALUE"""),"kefiranofaciens")</f>
        <v>kefiranofaciens</v>
      </c>
      <c r="E2910" t="str">
        <f>IFERROR(__xludf.DUMMYFUNCTION("""COMPUTED_VALUE"""),"ZW3")</f>
        <v>ZW3</v>
      </c>
    </row>
    <row r="2911" ht="15.75" customHeight="1">
      <c r="A2911" t="str">
        <f t="shared" si="1"/>
        <v>L.koreensis</v>
      </c>
      <c r="B2911" s="5" t="s">
        <v>14173</v>
      </c>
      <c r="C2911" s="6" t="str">
        <f>IFERROR(__xludf.DUMMYFUNCTION("SPLIT('2. c'!B2911, "" "", True, True)"),"Lactobacillus")</f>
        <v>Lactobacillus</v>
      </c>
      <c r="D2911" t="str">
        <f>IFERROR(__xludf.DUMMYFUNCTION("""COMPUTED_VALUE"""),"koreensis")</f>
        <v>koreensis</v>
      </c>
      <c r="E2911" t="str">
        <f>IFERROR(__xludf.DUMMYFUNCTION("""COMPUTED_VALUE"""),"strain")</f>
        <v>strain</v>
      </c>
      <c r="F2911" t="str">
        <f>IFERROR(__xludf.DUMMYFUNCTION("""COMPUTED_VALUE"""),"26-25")</f>
        <v>26-25</v>
      </c>
    </row>
    <row r="2912" ht="15.75" customHeight="1">
      <c r="A2912" t="str">
        <f t="shared" si="1"/>
        <v>L.kunkeei</v>
      </c>
      <c r="B2912" s="5" t="s">
        <v>14177</v>
      </c>
      <c r="C2912" s="6" t="str">
        <f>IFERROR(__xludf.DUMMYFUNCTION("SPLIT('2. c'!B2912, "" "", True, True)"),"Lactobacillus")</f>
        <v>Lactobacillus</v>
      </c>
      <c r="D2912" t="str">
        <f>IFERROR(__xludf.DUMMYFUNCTION("""COMPUTED_VALUE"""),"kunkeei")</f>
        <v>kunkeei</v>
      </c>
      <c r="E2912" t="str">
        <f>IFERROR(__xludf.DUMMYFUNCTION("""COMPUTED_VALUE"""),"strain")</f>
        <v>strain</v>
      </c>
      <c r="F2912" t="str">
        <f>IFERROR(__xludf.DUMMYFUNCTION("""COMPUTED_VALUE"""),"MP2")</f>
        <v>MP2</v>
      </c>
    </row>
    <row r="2913" ht="15.75" customHeight="1">
      <c r="A2913" t="str">
        <f t="shared" si="1"/>
        <v>L.oris</v>
      </c>
      <c r="B2913" s="5" t="s">
        <v>14184</v>
      </c>
      <c r="C2913" s="6" t="str">
        <f>IFERROR(__xludf.DUMMYFUNCTION("SPLIT('2. c'!B2913, "" "", True, True)"),"Lactobacillus")</f>
        <v>Lactobacillus</v>
      </c>
      <c r="D2913" t="str">
        <f>IFERROR(__xludf.DUMMYFUNCTION("""COMPUTED_VALUE"""),"oris")</f>
        <v>oris</v>
      </c>
      <c r="E2913" t="str">
        <f>IFERROR(__xludf.DUMMYFUNCTION("""COMPUTED_VALUE"""),"strain")</f>
        <v>strain</v>
      </c>
      <c r="F2913" t="str">
        <f>IFERROR(__xludf.DUMMYFUNCTION("""COMPUTED_VALUE"""),"J-1")</f>
        <v>J-1</v>
      </c>
    </row>
    <row r="2914" ht="15.75" customHeight="1">
      <c r="A2914" t="str">
        <f t="shared" si="1"/>
        <v>L.paracasei</v>
      </c>
      <c r="B2914" s="5" t="s">
        <v>14191</v>
      </c>
      <c r="C2914" s="6" t="str">
        <f>IFERROR(__xludf.DUMMYFUNCTION("SPLIT('2. c'!B2914, "" "", True, True)"),"Lactobacillus")</f>
        <v>Lactobacillus</v>
      </c>
      <c r="D2914" t="str">
        <f>IFERROR(__xludf.DUMMYFUNCTION("""COMPUTED_VALUE"""),"paracasei")</f>
        <v>paracasei</v>
      </c>
      <c r="E2914" t="str">
        <f>IFERROR(__xludf.DUMMYFUNCTION("""COMPUTED_VALUE"""),"N1115")</f>
        <v>N1115</v>
      </c>
    </row>
    <row r="2915" ht="15.75" customHeight="1">
      <c r="A2915" t="str">
        <f t="shared" si="1"/>
        <v>L.paracasei</v>
      </c>
      <c r="B2915" s="5" t="s">
        <v>14199</v>
      </c>
      <c r="C2915" s="6" t="str">
        <f>IFERROR(__xludf.DUMMYFUNCTION("SPLIT('2. c'!B2915, "" "", True, True)"),"Lactobacillus")</f>
        <v>Lactobacillus</v>
      </c>
      <c r="D2915" t="str">
        <f>IFERROR(__xludf.DUMMYFUNCTION("""COMPUTED_VALUE"""),"paracasei")</f>
        <v>paracasei</v>
      </c>
      <c r="E2915" t="str">
        <f>IFERROR(__xludf.DUMMYFUNCTION("""COMPUTED_VALUE"""),"strain")</f>
        <v>strain</v>
      </c>
      <c r="F2915" t="str">
        <f>IFERROR(__xludf.DUMMYFUNCTION("""COMPUTED_VALUE"""),"CAUH35")</f>
        <v>CAUH35</v>
      </c>
    </row>
    <row r="2916" ht="15.75" customHeight="1">
      <c r="A2916" t="str">
        <f t="shared" si="1"/>
        <v>L.paracasei</v>
      </c>
      <c r="B2916" s="5" t="s">
        <v>14206</v>
      </c>
      <c r="C2916" s="6" t="str">
        <f>IFERROR(__xludf.DUMMYFUNCTION("SPLIT('2. c'!B2916, "" "", True, True)"),"Lactobacillus")</f>
        <v>Lactobacillus</v>
      </c>
      <c r="D2916" t="str">
        <f>IFERROR(__xludf.DUMMYFUNCTION("""COMPUTED_VALUE"""),"paracasei")</f>
        <v>paracasei</v>
      </c>
      <c r="E2916" t="str">
        <f>IFERROR(__xludf.DUMMYFUNCTION("""COMPUTED_VALUE"""),"strain")</f>
        <v>strain</v>
      </c>
      <c r="F2916" t="str">
        <f>IFERROR(__xludf.DUMMYFUNCTION("""COMPUTED_VALUE"""),"KL1")</f>
        <v>KL1</v>
      </c>
    </row>
    <row r="2917" ht="15.75" customHeight="1">
      <c r="A2917" t="str">
        <f t="shared" si="1"/>
        <v>L.paracasei</v>
      </c>
      <c r="B2917" s="5" t="s">
        <v>14215</v>
      </c>
      <c r="C2917" s="6" t="str">
        <f>IFERROR(__xludf.DUMMYFUNCTION("SPLIT('2. c'!B2917, "" "", True, True)"),"Lactobacillus")</f>
        <v>Lactobacillus</v>
      </c>
      <c r="D2917" t="str">
        <f>IFERROR(__xludf.DUMMYFUNCTION("""COMPUTED_VALUE"""),"paracasei")</f>
        <v>paracasei</v>
      </c>
      <c r="E2917" t="str">
        <f>IFERROR(__xludf.DUMMYFUNCTION("""COMPUTED_VALUE"""),"strain")</f>
        <v>strain</v>
      </c>
      <c r="F2917" t="str">
        <f>IFERROR(__xludf.DUMMYFUNCTION("""COMPUTED_VALUE"""),"L9")</f>
        <v>L9</v>
      </c>
    </row>
    <row r="2918" ht="15.75" customHeight="1">
      <c r="A2918" t="str">
        <f t="shared" si="1"/>
        <v>L.paracasei</v>
      </c>
      <c r="B2918" s="5" t="s">
        <v>14224</v>
      </c>
      <c r="C2918" s="6" t="str">
        <f>IFERROR(__xludf.DUMMYFUNCTION("SPLIT('2. c'!B2918, "" "", True, True)"),"Lactobacillus")</f>
        <v>Lactobacillus</v>
      </c>
      <c r="D2918" t="str">
        <f>IFERROR(__xludf.DUMMYFUNCTION("""COMPUTED_VALUE"""),"paracasei")</f>
        <v>paracasei</v>
      </c>
      <c r="E2918" t="str">
        <f>IFERROR(__xludf.DUMMYFUNCTION("""COMPUTED_VALUE"""),"subsp.")</f>
        <v>subsp.</v>
      </c>
      <c r="F2918" t="str">
        <f>IFERROR(__xludf.DUMMYFUNCTION("""COMPUTED_VALUE"""),"paracasei")</f>
        <v>paracasei</v>
      </c>
      <c r="G2918" t="str">
        <f>IFERROR(__xludf.DUMMYFUNCTION("""COMPUTED_VALUE"""),"JCM")</f>
        <v>JCM</v>
      </c>
      <c r="H2918">
        <f>IFERROR(__xludf.DUMMYFUNCTION("""COMPUTED_VALUE"""),8130.0)</f>
        <v>8130</v>
      </c>
    </row>
    <row r="2919" ht="15.75" customHeight="1">
      <c r="A2919" t="str">
        <f t="shared" si="1"/>
        <v>L.pentosus</v>
      </c>
      <c r="B2919" s="5" t="s">
        <v>14234</v>
      </c>
      <c r="C2919" s="6" t="str">
        <f>IFERROR(__xludf.DUMMYFUNCTION("SPLIT('2. c'!B2919, "" "", True, True)"),"Lactobacillus")</f>
        <v>Lactobacillus</v>
      </c>
      <c r="D2919" t="str">
        <f>IFERROR(__xludf.DUMMYFUNCTION("""COMPUTED_VALUE"""),"pentosus")</f>
        <v>pentosus</v>
      </c>
      <c r="E2919" t="str">
        <f>IFERROR(__xludf.DUMMYFUNCTION("""COMPUTED_VALUE"""),"KCA1")</f>
        <v>KCA1</v>
      </c>
    </row>
    <row r="2920" ht="15.75" customHeight="1">
      <c r="A2920" t="str">
        <f t="shared" si="1"/>
        <v>L.plantarum</v>
      </c>
      <c r="B2920" s="5" t="s">
        <v>14242</v>
      </c>
      <c r="C2920" s="6" t="str">
        <f>IFERROR(__xludf.DUMMYFUNCTION("SPLIT('2. c'!B2920, "" "", True, True)"),"Lactobacillus")</f>
        <v>Lactobacillus</v>
      </c>
      <c r="D2920" t="str">
        <f>IFERROR(__xludf.DUMMYFUNCTION("""COMPUTED_VALUE"""),"plantarum")</f>
        <v>plantarum</v>
      </c>
      <c r="E2920">
        <f>IFERROR(__xludf.DUMMYFUNCTION("""COMPUTED_VALUE"""),16.0)</f>
        <v>16</v>
      </c>
    </row>
    <row r="2921" ht="15.75" customHeight="1">
      <c r="A2921" t="str">
        <f t="shared" si="1"/>
        <v>L.plantarum</v>
      </c>
      <c r="B2921" s="5" t="s">
        <v>14252</v>
      </c>
      <c r="C2921" s="6" t="str">
        <f>IFERROR(__xludf.DUMMYFUNCTION("SPLIT('2. c'!B2921, "" "", True, True)"),"Lactobacillus")</f>
        <v>Lactobacillus</v>
      </c>
      <c r="D2921" t="str">
        <f>IFERROR(__xludf.DUMMYFUNCTION("""COMPUTED_VALUE"""),"plantarum")</f>
        <v>plantarum</v>
      </c>
      <c r="E2921" t="str">
        <f>IFERROR(__xludf.DUMMYFUNCTION("""COMPUTED_VALUE"""),"CMPG5300")</f>
        <v>CMPG5300</v>
      </c>
    </row>
    <row r="2922" ht="15.75" customHeight="1">
      <c r="A2922" t="str">
        <f t="shared" si="1"/>
        <v>L.plantarum</v>
      </c>
      <c r="B2922" s="5" t="s">
        <v>14260</v>
      </c>
      <c r="C2922" s="6" t="str">
        <f>IFERROR(__xludf.DUMMYFUNCTION("SPLIT('2. c'!B2922, "" "", True, True)"),"Lactobacillus")</f>
        <v>Lactobacillus</v>
      </c>
      <c r="D2922" t="str">
        <f>IFERROR(__xludf.DUMMYFUNCTION("""COMPUTED_VALUE"""),"plantarum")</f>
        <v>plantarum</v>
      </c>
      <c r="E2922" t="str">
        <f>IFERROR(__xludf.DUMMYFUNCTION("""COMPUTED_VALUE"""),"DOMLa")</f>
        <v>DOMLa</v>
      </c>
    </row>
    <row r="2923" ht="15.75" customHeight="1">
      <c r="A2923" t="str">
        <f t="shared" si="1"/>
        <v>L.plantarum</v>
      </c>
      <c r="B2923" s="5" t="s">
        <v>14267</v>
      </c>
      <c r="C2923" s="6" t="str">
        <f>IFERROR(__xludf.DUMMYFUNCTION("SPLIT('2. c'!B2923, "" "", True, True)"),"Lactobacillus")</f>
        <v>Lactobacillus</v>
      </c>
      <c r="D2923" t="str">
        <f>IFERROR(__xludf.DUMMYFUNCTION("""COMPUTED_VALUE"""),"plantarum")</f>
        <v>plantarum</v>
      </c>
      <c r="E2923" t="str">
        <f>IFERROR(__xludf.DUMMYFUNCTION("""COMPUTED_VALUE"""),"JDM1")</f>
        <v>JDM1</v>
      </c>
    </row>
    <row r="2924" ht="15.75" customHeight="1">
      <c r="A2924" t="str">
        <f t="shared" si="1"/>
        <v>L.plantarum</v>
      </c>
      <c r="B2924" s="5" t="s">
        <v>14275</v>
      </c>
      <c r="C2924" s="6" t="str">
        <f>IFERROR(__xludf.DUMMYFUNCTION("SPLIT('2. c'!B2924, "" "", True, True)"),"Lactobacillus")</f>
        <v>Lactobacillus</v>
      </c>
      <c r="D2924" t="str">
        <f>IFERROR(__xludf.DUMMYFUNCTION("""COMPUTED_VALUE"""),"plantarum")</f>
        <v>plantarum</v>
      </c>
      <c r="E2924" t="str">
        <f>IFERROR(__xludf.DUMMYFUNCTION("""COMPUTED_VALUE"""),"strain")</f>
        <v>strain</v>
      </c>
      <c r="F2924" s="25">
        <f>IFERROR(__xludf.DUMMYFUNCTION("""COMPUTED_VALUE"""),43136.0)</f>
        <v>43136</v>
      </c>
    </row>
    <row r="2925" ht="15.75" customHeight="1">
      <c r="A2925" t="str">
        <f t="shared" si="1"/>
        <v>L.plantarum</v>
      </c>
      <c r="B2925" s="5" t="s">
        <v>14286</v>
      </c>
      <c r="C2925" s="6" t="str">
        <f>IFERROR(__xludf.DUMMYFUNCTION("SPLIT('2. c'!B2925, "" "", True, True)"),"Lactobacillus")</f>
        <v>Lactobacillus</v>
      </c>
      <c r="D2925" t="str">
        <f>IFERROR(__xludf.DUMMYFUNCTION("""COMPUTED_VALUE"""),"plantarum")</f>
        <v>plantarum</v>
      </c>
      <c r="E2925" t="str">
        <f>IFERROR(__xludf.DUMMYFUNCTION("""COMPUTED_VALUE"""),"strain")</f>
        <v>strain</v>
      </c>
      <c r="F2925" t="str">
        <f>IFERROR(__xludf.DUMMYFUNCTION("""COMPUTED_VALUE"""),"B21")</f>
        <v>B21</v>
      </c>
    </row>
    <row r="2926" ht="15.75" customHeight="1">
      <c r="A2926" t="str">
        <f t="shared" si="1"/>
        <v>L.plantarum</v>
      </c>
      <c r="B2926" s="5" t="s">
        <v>14295</v>
      </c>
      <c r="C2926" s="6" t="str">
        <f>IFERROR(__xludf.DUMMYFUNCTION("SPLIT('2. c'!B2926, "" "", True, True)"),"Lactobacillus")</f>
        <v>Lactobacillus</v>
      </c>
      <c r="D2926" t="str">
        <f>IFERROR(__xludf.DUMMYFUNCTION("""COMPUTED_VALUE"""),"plantarum")</f>
        <v>plantarum</v>
      </c>
      <c r="E2926" t="str">
        <f>IFERROR(__xludf.DUMMYFUNCTION("""COMPUTED_VALUE"""),"strain")</f>
        <v>strain</v>
      </c>
      <c r="F2926" t="str">
        <f>IFERROR(__xludf.DUMMYFUNCTION("""COMPUTED_VALUE"""),"CAUH2")</f>
        <v>CAUH2</v>
      </c>
    </row>
    <row r="2927" ht="15.75" customHeight="1">
      <c r="A2927" t="str">
        <f t="shared" si="1"/>
        <v>L.plantarum</v>
      </c>
      <c r="B2927" s="5" t="s">
        <v>14303</v>
      </c>
      <c r="C2927" s="6" t="str">
        <f>IFERROR(__xludf.DUMMYFUNCTION("SPLIT('2. c'!B2927, "" "", True, True)"),"Lactobacillus")</f>
        <v>Lactobacillus</v>
      </c>
      <c r="D2927" t="str">
        <f>IFERROR(__xludf.DUMMYFUNCTION("""COMPUTED_VALUE"""),"plantarum")</f>
        <v>plantarum</v>
      </c>
      <c r="E2927" t="str">
        <f>IFERROR(__xludf.DUMMYFUNCTION("""COMPUTED_VALUE"""),"strain")</f>
        <v>strain</v>
      </c>
      <c r="F2927" t="str">
        <f>IFERROR(__xludf.DUMMYFUNCTION("""COMPUTED_VALUE"""),"HFC8")</f>
        <v>HFC8</v>
      </c>
    </row>
    <row r="2928" ht="15.75" customHeight="1">
      <c r="A2928" t="str">
        <f t="shared" si="1"/>
        <v>L.plantarum</v>
      </c>
      <c r="B2928" s="5" t="s">
        <v>14312</v>
      </c>
      <c r="C2928" s="6" t="str">
        <f>IFERROR(__xludf.DUMMYFUNCTION("SPLIT('2. c'!B2928, "" "", True, True)"),"Lactobacillus")</f>
        <v>Lactobacillus</v>
      </c>
      <c r="D2928" t="str">
        <f>IFERROR(__xludf.DUMMYFUNCTION("""COMPUTED_VALUE"""),"plantarum")</f>
        <v>plantarum</v>
      </c>
      <c r="E2928" t="str">
        <f>IFERROR(__xludf.DUMMYFUNCTION("""COMPUTED_VALUE"""),"strain")</f>
        <v>strain</v>
      </c>
      <c r="F2928" t="str">
        <f>IFERROR(__xludf.DUMMYFUNCTION("""COMPUTED_VALUE"""),"JBE245")</f>
        <v>JBE245</v>
      </c>
    </row>
    <row r="2929" ht="15.75" customHeight="1">
      <c r="A2929" t="str">
        <f t="shared" si="1"/>
        <v>L.plantarum</v>
      </c>
      <c r="B2929" s="5" t="s">
        <v>14320</v>
      </c>
      <c r="C2929" s="6" t="str">
        <f>IFERROR(__xludf.DUMMYFUNCTION("SPLIT('2. c'!B2929, "" "", True, True)"),"Lactobacillus")</f>
        <v>Lactobacillus</v>
      </c>
      <c r="D2929" t="str">
        <f>IFERROR(__xludf.DUMMYFUNCTION("""COMPUTED_VALUE"""),"plantarum")</f>
        <v>plantarum</v>
      </c>
      <c r="E2929" t="str">
        <f>IFERROR(__xludf.DUMMYFUNCTION("""COMPUTED_VALUE"""),"strain")</f>
        <v>strain</v>
      </c>
      <c r="F2929" t="str">
        <f>IFERROR(__xludf.DUMMYFUNCTION("""COMPUTED_VALUE"""),"LZ206")</f>
        <v>LZ206</v>
      </c>
    </row>
    <row r="2930" ht="15.75" customHeight="1">
      <c r="A2930" t="str">
        <f t="shared" si="1"/>
        <v>L.plantarum</v>
      </c>
      <c r="B2930" s="5" t="s">
        <v>14329</v>
      </c>
      <c r="C2930" s="6" t="str">
        <f>IFERROR(__xludf.DUMMYFUNCTION("SPLIT('2. c'!B2930, "" "", True, True)"),"Lactobacillus")</f>
        <v>Lactobacillus</v>
      </c>
      <c r="D2930" t="str">
        <f>IFERROR(__xludf.DUMMYFUNCTION("""COMPUTED_VALUE"""),"plantarum")</f>
        <v>plantarum</v>
      </c>
      <c r="E2930" t="str">
        <f>IFERROR(__xludf.DUMMYFUNCTION("""COMPUTED_VALUE"""),"strain")</f>
        <v>strain</v>
      </c>
      <c r="F2930" t="str">
        <f>IFERROR(__xludf.DUMMYFUNCTION("""COMPUTED_VALUE"""),"LZ227")</f>
        <v>LZ227</v>
      </c>
    </row>
    <row r="2931" ht="15.75" customHeight="1">
      <c r="A2931" t="str">
        <f t="shared" si="1"/>
        <v>L.plantarum</v>
      </c>
      <c r="B2931" s="5" t="s">
        <v>14337</v>
      </c>
      <c r="C2931" s="6" t="str">
        <f>IFERROR(__xludf.DUMMYFUNCTION("SPLIT('2. c'!B2931, "" "", True, True)"),"Lactobacillus")</f>
        <v>Lactobacillus</v>
      </c>
      <c r="D2931" t="str">
        <f>IFERROR(__xludf.DUMMYFUNCTION("""COMPUTED_VALUE"""),"plantarum")</f>
        <v>plantarum</v>
      </c>
      <c r="E2931" t="str">
        <f>IFERROR(__xludf.DUMMYFUNCTION("""COMPUTED_VALUE"""),"strain")</f>
        <v>strain</v>
      </c>
      <c r="F2931" t="str">
        <f>IFERROR(__xludf.DUMMYFUNCTION("""COMPUTED_VALUE"""),"NCU116")</f>
        <v>NCU116</v>
      </c>
    </row>
    <row r="2932" ht="15.75" customHeight="1">
      <c r="A2932" t="str">
        <f t="shared" si="1"/>
        <v>L.plantarum</v>
      </c>
      <c r="B2932" s="5" t="s">
        <v>14347</v>
      </c>
      <c r="C2932" s="6" t="str">
        <f>IFERROR(__xludf.DUMMYFUNCTION("SPLIT('2. c'!B2932, "" "", True, True)"),"Lactobacillus")</f>
        <v>Lactobacillus</v>
      </c>
      <c r="D2932" t="str">
        <f>IFERROR(__xludf.DUMMYFUNCTION("""COMPUTED_VALUE"""),"plantarum")</f>
        <v>plantarum</v>
      </c>
      <c r="E2932" t="str">
        <f>IFERROR(__xludf.DUMMYFUNCTION("""COMPUTED_VALUE"""),"strain")</f>
        <v>strain</v>
      </c>
      <c r="F2932" t="str">
        <f>IFERROR(__xludf.DUMMYFUNCTION("""COMPUTED_VALUE"""),"Zhang-LL")</f>
        <v>Zhang-LL</v>
      </c>
    </row>
    <row r="2933" ht="15.75" customHeight="1">
      <c r="A2933" t="str">
        <f t="shared" si="1"/>
        <v>L.plantarum</v>
      </c>
      <c r="B2933" s="5" t="s">
        <v>14355</v>
      </c>
      <c r="C2933" s="6" t="str">
        <f>IFERROR(__xludf.DUMMYFUNCTION("SPLIT('2. c'!B2933, "" "", True, True)"),"Lactobacillus")</f>
        <v>Lactobacillus</v>
      </c>
      <c r="D2933" t="str">
        <f>IFERROR(__xludf.DUMMYFUNCTION("""COMPUTED_VALUE"""),"plantarum")</f>
        <v>plantarum</v>
      </c>
      <c r="E2933" t="str">
        <f>IFERROR(__xludf.DUMMYFUNCTION("""COMPUTED_VALUE"""),"strain")</f>
        <v>strain</v>
      </c>
      <c r="F2933" t="str">
        <f>IFERROR(__xludf.DUMMYFUNCTION("""COMPUTED_VALUE"""),"ZJ95")</f>
        <v>ZJ95</v>
      </c>
    </row>
    <row r="2934" ht="15.75" customHeight="1">
      <c r="A2934" t="str">
        <f t="shared" si="1"/>
        <v>L.plantarum</v>
      </c>
      <c r="B2934" s="5" t="s">
        <v>14363</v>
      </c>
      <c r="C2934" s="6" t="str">
        <f>IFERROR(__xludf.DUMMYFUNCTION("SPLIT('2. c'!B2934, "" "", True, True)"),"Lactobacillus")</f>
        <v>Lactobacillus</v>
      </c>
      <c r="D2934" t="str">
        <f>IFERROR(__xludf.DUMMYFUNCTION("""COMPUTED_VALUE"""),"plantarum")</f>
        <v>plantarum</v>
      </c>
      <c r="E2934" t="str">
        <f>IFERROR(__xludf.DUMMYFUNCTION("""COMPUTED_VALUE"""),"strain")</f>
        <v>strain</v>
      </c>
      <c r="F2934" t="str">
        <f>IFERROR(__xludf.DUMMYFUNCTION("""COMPUTED_VALUE"""),"ZS2058")</f>
        <v>ZS2058</v>
      </c>
    </row>
    <row r="2935" ht="15.75" customHeight="1">
      <c r="A2935" t="str">
        <f t="shared" si="1"/>
        <v>L.plantarum</v>
      </c>
      <c r="B2935" s="5" t="s">
        <v>14372</v>
      </c>
      <c r="C2935" s="6" t="str">
        <f>IFERROR(__xludf.DUMMYFUNCTION("SPLIT('2. c'!B2935, "" "", True, True)"),"Lactobacillus")</f>
        <v>Lactobacillus</v>
      </c>
      <c r="D2935" t="str">
        <f>IFERROR(__xludf.DUMMYFUNCTION("""COMPUTED_VALUE"""),"plantarum")</f>
        <v>plantarum</v>
      </c>
      <c r="E2935" t="str">
        <f>IFERROR(__xludf.DUMMYFUNCTION("""COMPUTED_VALUE"""),"subsp.")</f>
        <v>subsp.</v>
      </c>
      <c r="F2935" t="str">
        <f>IFERROR(__xludf.DUMMYFUNCTION("""COMPUTED_VALUE"""),"plantarum")</f>
        <v>plantarum</v>
      </c>
      <c r="G2935" t="str">
        <f>IFERROR(__xludf.DUMMYFUNCTION("""COMPUTED_VALUE"""),"P-8")</f>
        <v>P-8</v>
      </c>
    </row>
    <row r="2936" ht="15.75" customHeight="1">
      <c r="A2936" t="str">
        <f t="shared" si="1"/>
        <v>L.plantarum</v>
      </c>
      <c r="B2936" s="5" t="s">
        <v>14381</v>
      </c>
      <c r="C2936" s="6" t="str">
        <f>IFERROR(__xludf.DUMMYFUNCTION("SPLIT('2. c'!B2936, "" "", True, True)"),"Lactobacillus")</f>
        <v>Lactobacillus</v>
      </c>
      <c r="D2936" t="str">
        <f>IFERROR(__xludf.DUMMYFUNCTION("""COMPUTED_VALUE"""),"plantarum")</f>
        <v>plantarum</v>
      </c>
      <c r="E2936" t="str">
        <f>IFERROR(__xludf.DUMMYFUNCTION("""COMPUTED_VALUE"""),"subsp.")</f>
        <v>subsp.</v>
      </c>
      <c r="F2936" t="str">
        <f>IFERROR(__xludf.DUMMYFUNCTION("""COMPUTED_VALUE"""),"plantarum")</f>
        <v>plantarum</v>
      </c>
      <c r="G2936" t="str">
        <f>IFERROR(__xludf.DUMMYFUNCTION("""COMPUTED_VALUE"""),"ST-III")</f>
        <v>ST-III</v>
      </c>
    </row>
    <row r="2937" ht="15.75" customHeight="1">
      <c r="A2937" t="str">
        <f t="shared" si="1"/>
        <v>L.plantarum</v>
      </c>
      <c r="B2937" s="5" t="s">
        <v>14389</v>
      </c>
      <c r="C2937" s="6" t="str">
        <f>IFERROR(__xludf.DUMMYFUNCTION("SPLIT('2. c'!B2937, "" "", True, True)"),"Lactobacillus")</f>
        <v>Lactobacillus</v>
      </c>
      <c r="D2937" t="str">
        <f>IFERROR(__xludf.DUMMYFUNCTION("""COMPUTED_VALUE"""),"plantarum")</f>
        <v>plantarum</v>
      </c>
      <c r="E2937" t="str">
        <f>IFERROR(__xludf.DUMMYFUNCTION("""COMPUTED_VALUE"""),"subsp.")</f>
        <v>subsp.</v>
      </c>
      <c r="F2937" t="str">
        <f>IFERROR(__xludf.DUMMYFUNCTION("""COMPUTED_VALUE"""),"plantarum")</f>
        <v>plantarum</v>
      </c>
      <c r="G2937" t="str">
        <f>IFERROR(__xludf.DUMMYFUNCTION("""COMPUTED_VALUE"""),"strain")</f>
        <v>strain</v>
      </c>
      <c r="H2937" t="str">
        <f>IFERROR(__xludf.DUMMYFUNCTION("""COMPUTED_VALUE"""),"CGMCC")</f>
        <v>CGMCC</v>
      </c>
      <c r="I2937" t="str">
        <f>IFERROR(__xludf.DUMMYFUNCTION("""COMPUTED_VALUE"""),"1.557")</f>
        <v>1.557</v>
      </c>
    </row>
    <row r="2938" ht="15.75" customHeight="1">
      <c r="A2938" t="str">
        <f t="shared" si="1"/>
        <v>L.plantarum</v>
      </c>
      <c r="B2938" s="5" t="s">
        <v>14398</v>
      </c>
      <c r="C2938" s="6" t="str">
        <f>IFERROR(__xludf.DUMMYFUNCTION("SPLIT('2. c'!B2938, "" "", True, True)"),"Lactobacillus")</f>
        <v>Lactobacillus</v>
      </c>
      <c r="D2938" t="str">
        <f>IFERROR(__xludf.DUMMYFUNCTION("""COMPUTED_VALUE"""),"plantarum")</f>
        <v>plantarum</v>
      </c>
      <c r="E2938" t="str">
        <f>IFERROR(__xludf.DUMMYFUNCTION("""COMPUTED_VALUE"""),"WCFS1")</f>
        <v>WCFS1</v>
      </c>
    </row>
    <row r="2939" ht="15.75" customHeight="1">
      <c r="A2939" t="str">
        <f t="shared" si="1"/>
        <v>L.plantarum</v>
      </c>
      <c r="B2939" s="5" t="s">
        <v>14407</v>
      </c>
      <c r="C2939" s="6" t="str">
        <f>IFERROR(__xludf.DUMMYFUNCTION("SPLIT('2. c'!B2939, "" "", True, True)"),"Lactobacillus")</f>
        <v>Lactobacillus</v>
      </c>
      <c r="D2939" t="str">
        <f>IFERROR(__xludf.DUMMYFUNCTION("""COMPUTED_VALUE"""),"plantarum")</f>
        <v>plantarum</v>
      </c>
      <c r="E2939" t="str">
        <f>IFERROR(__xludf.DUMMYFUNCTION("""COMPUTED_VALUE"""),"ZJ316")</f>
        <v>ZJ316</v>
      </c>
    </row>
    <row r="2940" ht="15.75" customHeight="1">
      <c r="A2940" t="str">
        <f t="shared" si="1"/>
        <v>L.reuteri</v>
      </c>
      <c r="B2940" s="5" t="s">
        <v>14415</v>
      </c>
      <c r="C2940" s="6" t="str">
        <f>IFERROR(__xludf.DUMMYFUNCTION("SPLIT('2. c'!B2940, "" "", True, True)"),"Lactobacillus")</f>
        <v>Lactobacillus</v>
      </c>
      <c r="D2940" t="str">
        <f>IFERROR(__xludf.DUMMYFUNCTION("""COMPUTED_VALUE"""),"reuteri")</f>
        <v>reuteri</v>
      </c>
      <c r="E2940" t="str">
        <f>IFERROR(__xludf.DUMMYFUNCTION("""COMPUTED_VALUE"""),"DSM")</f>
        <v>DSM</v>
      </c>
      <c r="F2940">
        <f>IFERROR(__xludf.DUMMYFUNCTION("""COMPUTED_VALUE"""),20016.0)</f>
        <v>20016</v>
      </c>
    </row>
    <row r="2941" ht="15.75" customHeight="1">
      <c r="A2941" t="str">
        <f t="shared" si="1"/>
        <v>L.reuteri</v>
      </c>
      <c r="B2941" s="5" t="s">
        <v>14425</v>
      </c>
      <c r="C2941" s="6" t="str">
        <f>IFERROR(__xludf.DUMMYFUNCTION("SPLIT('2. c'!B2941, "" "", True, True)"),"Lactobacillus")</f>
        <v>Lactobacillus</v>
      </c>
      <c r="D2941" t="str">
        <f>IFERROR(__xludf.DUMMYFUNCTION("""COMPUTED_VALUE"""),"reuteri")</f>
        <v>reuteri</v>
      </c>
      <c r="E2941" t="str">
        <f>IFERROR(__xludf.DUMMYFUNCTION("""COMPUTED_VALUE"""),"I5007")</f>
        <v>I5007</v>
      </c>
    </row>
    <row r="2942" ht="15.75" customHeight="1">
      <c r="A2942" t="str">
        <f t="shared" si="1"/>
        <v>L.reuteri</v>
      </c>
      <c r="B2942" s="5" t="s">
        <v>14432</v>
      </c>
      <c r="C2942" s="6" t="str">
        <f>IFERROR(__xludf.DUMMYFUNCTION("SPLIT('2. c'!B2942, "" "", True, True)"),"Lactobacillus")</f>
        <v>Lactobacillus</v>
      </c>
      <c r="D2942" t="str">
        <f>IFERROR(__xludf.DUMMYFUNCTION("""COMPUTED_VALUE"""),"reuteri")</f>
        <v>reuteri</v>
      </c>
      <c r="E2942" t="str">
        <f>IFERROR(__xludf.DUMMYFUNCTION("""COMPUTED_VALUE"""),"JCM")</f>
        <v>JCM</v>
      </c>
      <c r="F2942">
        <f>IFERROR(__xludf.DUMMYFUNCTION("""COMPUTED_VALUE"""),1112.0)</f>
        <v>1112</v>
      </c>
    </row>
    <row r="2943" ht="15.75" customHeight="1">
      <c r="A2943" t="str">
        <f t="shared" si="1"/>
        <v>L.reuteri</v>
      </c>
      <c r="B2943" s="5" t="s">
        <v>14444</v>
      </c>
      <c r="C2943" s="6" t="str">
        <f>IFERROR(__xludf.DUMMYFUNCTION("SPLIT('2. c'!B2943, "" "", True, True)"),"Lactobacillus")</f>
        <v>Lactobacillus</v>
      </c>
      <c r="D2943" t="str">
        <f>IFERROR(__xludf.DUMMYFUNCTION("""COMPUTED_VALUE"""),"reuteri")</f>
        <v>reuteri</v>
      </c>
      <c r="E2943" t="str">
        <f>IFERROR(__xludf.DUMMYFUNCTION("""COMPUTED_VALUE"""),"strain")</f>
        <v>strain</v>
      </c>
      <c r="F2943" t="str">
        <f>IFERROR(__xludf.DUMMYFUNCTION("""COMPUTED_VALUE"""),"IRT")</f>
        <v>IRT</v>
      </c>
    </row>
    <row r="2944" ht="15.75" customHeight="1">
      <c r="A2944" t="str">
        <f t="shared" si="1"/>
        <v>L.reuteri</v>
      </c>
      <c r="B2944" s="5" t="s">
        <v>14453</v>
      </c>
      <c r="C2944" s="6" t="str">
        <f>IFERROR(__xludf.DUMMYFUNCTION("SPLIT('2. c'!B2944, "" "", True, True)"),"Lactobacillus")</f>
        <v>Lactobacillus</v>
      </c>
      <c r="D2944" t="str">
        <f>IFERROR(__xludf.DUMMYFUNCTION("""COMPUTED_VALUE"""),"reuteri")</f>
        <v>reuteri</v>
      </c>
      <c r="E2944" t="str">
        <f>IFERROR(__xludf.DUMMYFUNCTION("""COMPUTED_VALUE"""),"strain")</f>
        <v>strain</v>
      </c>
      <c r="F2944" t="str">
        <f>IFERROR(__xludf.DUMMYFUNCTION("""COMPUTED_VALUE"""),"ZLR003")</f>
        <v>ZLR003</v>
      </c>
    </row>
    <row r="2945" ht="15.75" customHeight="1">
      <c r="A2945" t="str">
        <f t="shared" si="1"/>
        <v>L.reuteri</v>
      </c>
      <c r="B2945" s="5" t="s">
        <v>14462</v>
      </c>
      <c r="C2945" s="6" t="str">
        <f>IFERROR(__xludf.DUMMYFUNCTION("SPLIT('2. c'!B2945, "" "", True, True)"),"Lactobacillus")</f>
        <v>Lactobacillus</v>
      </c>
      <c r="D2945" t="str">
        <f>IFERROR(__xludf.DUMMYFUNCTION("""COMPUTED_VALUE"""),"reuteri")</f>
        <v>reuteri</v>
      </c>
      <c r="E2945" t="str">
        <f>IFERROR(__xludf.DUMMYFUNCTION("""COMPUTED_VALUE"""),"TD1")</f>
        <v>TD1</v>
      </c>
    </row>
    <row r="2946" ht="15.75" customHeight="1">
      <c r="A2946" t="str">
        <f t="shared" si="1"/>
        <v>L.rhamnosus</v>
      </c>
      <c r="B2946" s="5" t="s">
        <v>14471</v>
      </c>
      <c r="C2946" s="6" t="str">
        <f>IFERROR(__xludf.DUMMYFUNCTION("SPLIT('2. c'!B2946, "" "", True, True)"),"Lactobacillus")</f>
        <v>Lactobacillus</v>
      </c>
      <c r="D2946" t="str">
        <f>IFERROR(__xludf.DUMMYFUNCTION("""COMPUTED_VALUE"""),"rhamnosus")</f>
        <v>rhamnosus</v>
      </c>
      <c r="E2946" t="str">
        <f>IFERROR(__xludf.DUMMYFUNCTION("""COMPUTED_VALUE"""),"ATCC")</f>
        <v>ATCC</v>
      </c>
      <c r="F2946">
        <f>IFERROR(__xludf.DUMMYFUNCTION("""COMPUTED_VALUE"""),8530.0)</f>
        <v>8530</v>
      </c>
    </row>
    <row r="2947" ht="15.75" customHeight="1">
      <c r="A2947" t="str">
        <f t="shared" si="1"/>
        <v>L.rhamnosus</v>
      </c>
      <c r="B2947" s="5" t="s">
        <v>14480</v>
      </c>
      <c r="C2947" s="6" t="str">
        <f>IFERROR(__xludf.DUMMYFUNCTION("SPLIT('2. c'!B2947, "" "", True, True)"),"Lactobacillus")</f>
        <v>Lactobacillus</v>
      </c>
      <c r="D2947" t="str">
        <f>IFERROR(__xludf.DUMMYFUNCTION("""COMPUTED_VALUE"""),"rhamnosus")</f>
        <v>rhamnosus</v>
      </c>
      <c r="E2947" t="str">
        <f>IFERROR(__xludf.DUMMYFUNCTION("""COMPUTED_VALUE"""),"GG")</f>
        <v>GG</v>
      </c>
    </row>
    <row r="2948" ht="15.75" customHeight="1">
      <c r="A2948" t="str">
        <f t="shared" si="1"/>
        <v>L.rhamnosus</v>
      </c>
      <c r="B2948" s="5" t="s">
        <v>14488</v>
      </c>
      <c r="C2948" s="6" t="str">
        <f>IFERROR(__xludf.DUMMYFUNCTION("SPLIT('2. c'!B2948, "" "", True, True)"),"Lactobacillus")</f>
        <v>Lactobacillus</v>
      </c>
      <c r="D2948" t="str">
        <f>IFERROR(__xludf.DUMMYFUNCTION("""COMPUTED_VALUE"""),"rhamnosus")</f>
        <v>rhamnosus</v>
      </c>
      <c r="E2948" t="str">
        <f>IFERROR(__xludf.DUMMYFUNCTION("""COMPUTED_VALUE"""),"GG")</f>
        <v>GG</v>
      </c>
      <c r="F2948" t="str">
        <f>IFERROR(__xludf.DUMMYFUNCTION("""COMPUTED_VALUE"""),"(Prj:40637)")</f>
        <v>(Prj:40637)</v>
      </c>
    </row>
    <row r="2949" ht="15.75" customHeight="1">
      <c r="A2949" t="str">
        <f t="shared" si="1"/>
        <v>L.rhamnosus</v>
      </c>
      <c r="B2949" s="5" t="s">
        <v>14498</v>
      </c>
      <c r="C2949" s="6" t="str">
        <f>IFERROR(__xludf.DUMMYFUNCTION("SPLIT('2. c'!B2949, "" "", True, True)"),"Lactobacillus")</f>
        <v>Lactobacillus</v>
      </c>
      <c r="D2949" t="str">
        <f>IFERROR(__xludf.DUMMYFUNCTION("""COMPUTED_VALUE"""),"rhamnosus")</f>
        <v>rhamnosus</v>
      </c>
      <c r="E2949" t="str">
        <f>IFERROR(__xludf.DUMMYFUNCTION("""COMPUTED_VALUE"""),"Lc")</f>
        <v>Lc</v>
      </c>
      <c r="F2949">
        <f>IFERROR(__xludf.DUMMYFUNCTION("""COMPUTED_VALUE"""),705.0)</f>
        <v>705</v>
      </c>
    </row>
    <row r="2950" ht="15.75" customHeight="1">
      <c r="A2950" t="str">
        <f t="shared" si="1"/>
        <v>L.rhamnosus</v>
      </c>
      <c r="B2950" s="5" t="s">
        <v>14509</v>
      </c>
      <c r="C2950" s="6" t="str">
        <f>IFERROR(__xludf.DUMMYFUNCTION("SPLIT('2. c'!B2950, "" "", True, True)"),"Lactobacillus")</f>
        <v>Lactobacillus</v>
      </c>
      <c r="D2950" t="str">
        <f>IFERROR(__xludf.DUMMYFUNCTION("""COMPUTED_VALUE"""),"rhamnosus")</f>
        <v>rhamnosus</v>
      </c>
      <c r="E2950" t="str">
        <f>IFERROR(__xludf.DUMMYFUNCTION("""COMPUTED_VALUE"""),"LOCK900")</f>
        <v>LOCK900</v>
      </c>
    </row>
    <row r="2951" ht="15.75" customHeight="1">
      <c r="A2951" t="str">
        <f t="shared" si="1"/>
        <v>L.rhamnosus</v>
      </c>
      <c r="B2951" s="5" t="s">
        <v>14517</v>
      </c>
      <c r="C2951" s="6" t="str">
        <f>IFERROR(__xludf.DUMMYFUNCTION("SPLIT('2. c'!B2951, "" "", True, True)"),"Lactobacillus")</f>
        <v>Lactobacillus</v>
      </c>
      <c r="D2951" t="str">
        <f>IFERROR(__xludf.DUMMYFUNCTION("""COMPUTED_VALUE"""),"rhamnosus")</f>
        <v>rhamnosus</v>
      </c>
      <c r="E2951" t="str">
        <f>IFERROR(__xludf.DUMMYFUNCTION("""COMPUTED_VALUE"""),"LOCK908")</f>
        <v>LOCK908</v>
      </c>
    </row>
    <row r="2952" ht="15.75" customHeight="1">
      <c r="A2952" t="str">
        <f t="shared" si="1"/>
        <v>L.rhamnosus</v>
      </c>
      <c r="B2952" s="5" t="s">
        <v>14525</v>
      </c>
      <c r="C2952" s="6" t="str">
        <f>IFERROR(__xludf.DUMMYFUNCTION("SPLIT('2. c'!B2952, "" "", True, True)"),"Lactobacillus")</f>
        <v>Lactobacillus</v>
      </c>
      <c r="D2952" t="str">
        <f>IFERROR(__xludf.DUMMYFUNCTION("""COMPUTED_VALUE"""),"rhamnosus")</f>
        <v>rhamnosus</v>
      </c>
      <c r="E2952" t="str">
        <f>IFERROR(__xludf.DUMMYFUNCTION("""COMPUTED_VALUE"""),"strain")</f>
        <v>strain</v>
      </c>
      <c r="F2952" t="str">
        <f>IFERROR(__xludf.DUMMYFUNCTION("""COMPUTED_VALUE"""),"ASCC")</f>
        <v>ASCC</v>
      </c>
      <c r="G2952">
        <f>IFERROR(__xludf.DUMMYFUNCTION("""COMPUTED_VALUE"""),290.0)</f>
        <v>290</v>
      </c>
    </row>
    <row r="2953" ht="15.75" customHeight="1">
      <c r="A2953" t="str">
        <f t="shared" si="1"/>
        <v>L.rhamnosus</v>
      </c>
      <c r="B2953" s="5" t="s">
        <v>14534</v>
      </c>
      <c r="C2953" s="6" t="str">
        <f>IFERROR(__xludf.DUMMYFUNCTION("SPLIT('2. c'!B2953, "" "", True, True)"),"Lactobacillus")</f>
        <v>Lactobacillus</v>
      </c>
      <c r="D2953" t="str">
        <f>IFERROR(__xludf.DUMMYFUNCTION("""COMPUTED_VALUE"""),"rhamnosus")</f>
        <v>rhamnosus</v>
      </c>
      <c r="E2953" t="str">
        <f>IFERROR(__xludf.DUMMYFUNCTION("""COMPUTED_VALUE"""),"strain")</f>
        <v>strain</v>
      </c>
      <c r="F2953" t="str">
        <f>IFERROR(__xludf.DUMMYFUNCTION("""COMPUTED_VALUE"""),"BPL5")</f>
        <v>BPL5</v>
      </c>
    </row>
    <row r="2954" ht="15.75" customHeight="1">
      <c r="A2954" t="str">
        <f t="shared" si="1"/>
        <v>L.ruminis</v>
      </c>
      <c r="B2954" s="5" t="s">
        <v>14538</v>
      </c>
      <c r="C2954" s="6" t="str">
        <f>IFERROR(__xludf.DUMMYFUNCTION("SPLIT('2. c'!B2954, "" "", True, True)"),"Lactobacillus")</f>
        <v>Lactobacillus</v>
      </c>
      <c r="D2954" t="str">
        <f>IFERROR(__xludf.DUMMYFUNCTION("""COMPUTED_VALUE"""),"ruminis")</f>
        <v>ruminis</v>
      </c>
      <c r="E2954" t="str">
        <f>IFERROR(__xludf.DUMMYFUNCTION("""COMPUTED_VALUE"""),"ATCC")</f>
        <v>ATCC</v>
      </c>
      <c r="F2954">
        <f>IFERROR(__xludf.DUMMYFUNCTION("""COMPUTED_VALUE"""),27782.0)</f>
        <v>27782</v>
      </c>
    </row>
    <row r="2955" ht="15.75" customHeight="1">
      <c r="A2955" t="str">
        <f t="shared" si="1"/>
        <v>L.sakei</v>
      </c>
      <c r="B2955" s="5" t="s">
        <v>14547</v>
      </c>
      <c r="C2955" s="6" t="str">
        <f>IFERROR(__xludf.DUMMYFUNCTION("SPLIT('2. c'!B2955, "" "", True, True)"),"Lactobacillus")</f>
        <v>Lactobacillus</v>
      </c>
      <c r="D2955" t="str">
        <f>IFERROR(__xludf.DUMMYFUNCTION("""COMPUTED_VALUE"""),"sakei")</f>
        <v>sakei</v>
      </c>
      <c r="E2955" t="str">
        <f>IFERROR(__xludf.DUMMYFUNCTION("""COMPUTED_VALUE"""),"subsp.")</f>
        <v>subsp.</v>
      </c>
      <c r="F2955" t="str">
        <f>IFERROR(__xludf.DUMMYFUNCTION("""COMPUTED_VALUE"""),"sakei")</f>
        <v>sakei</v>
      </c>
      <c r="G2955" t="str">
        <f>IFERROR(__xludf.DUMMYFUNCTION("""COMPUTED_VALUE"""),"23K")</f>
        <v>23K</v>
      </c>
    </row>
    <row r="2956" ht="15.75" customHeight="1">
      <c r="A2956" t="str">
        <f t="shared" si="1"/>
        <v>L.salivarius</v>
      </c>
      <c r="B2956" s="5" t="s">
        <v>14557</v>
      </c>
      <c r="C2956" s="6" t="str">
        <f>IFERROR(__xludf.DUMMYFUNCTION("SPLIT('2. c'!B2956, "" "", True, True)"),"Lactobacillus")</f>
        <v>Lactobacillus</v>
      </c>
      <c r="D2956" t="str">
        <f>IFERROR(__xludf.DUMMYFUNCTION("""COMPUTED_VALUE"""),"salivarius")</f>
        <v>salivarius</v>
      </c>
      <c r="E2956" t="str">
        <f>IFERROR(__xludf.DUMMYFUNCTION("""COMPUTED_VALUE"""),"CECT")</f>
        <v>CECT</v>
      </c>
      <c r="F2956">
        <f>IFERROR(__xludf.DUMMYFUNCTION("""COMPUTED_VALUE"""),5713.0)</f>
        <v>5713</v>
      </c>
    </row>
    <row r="2957" ht="15.75" customHeight="1">
      <c r="A2957" t="str">
        <f t="shared" si="1"/>
        <v>L.salivarius</v>
      </c>
      <c r="B2957" s="5" t="s">
        <v>14566</v>
      </c>
      <c r="C2957" s="6" t="str">
        <f>IFERROR(__xludf.DUMMYFUNCTION("SPLIT('2. c'!B2957, "" "", True, True)"),"Lactobacillus")</f>
        <v>Lactobacillus</v>
      </c>
      <c r="D2957" t="str">
        <f>IFERROR(__xludf.DUMMYFUNCTION("""COMPUTED_VALUE"""),"salivarius")</f>
        <v>salivarius</v>
      </c>
      <c r="E2957" t="str">
        <f>IFERROR(__xludf.DUMMYFUNCTION("""COMPUTED_VALUE"""),"JCM1046")</f>
        <v>JCM1046</v>
      </c>
    </row>
    <row r="2958" ht="15.75" customHeight="1">
      <c r="A2958" t="str">
        <f t="shared" si="1"/>
        <v>L.salivarius</v>
      </c>
      <c r="B2958" s="5" t="s">
        <v>14574</v>
      </c>
      <c r="C2958" s="6" t="str">
        <f>IFERROR(__xludf.DUMMYFUNCTION("SPLIT('2. c'!B2958, "" "", True, True)"),"Lactobacillus")</f>
        <v>Lactobacillus</v>
      </c>
      <c r="D2958" t="str">
        <f>IFERROR(__xludf.DUMMYFUNCTION("""COMPUTED_VALUE"""),"salivarius")</f>
        <v>salivarius</v>
      </c>
      <c r="E2958" t="str">
        <f>IFERROR(__xludf.DUMMYFUNCTION("""COMPUTED_VALUE"""),"str.")</f>
        <v>str.</v>
      </c>
      <c r="F2958" t="str">
        <f>IFERROR(__xludf.DUMMYFUNCTION("""COMPUTED_VALUE"""),"Ren")</f>
        <v>Ren</v>
      </c>
    </row>
    <row r="2959" ht="15.75" customHeight="1">
      <c r="A2959" t="str">
        <f t="shared" si="1"/>
        <v>L.salivarius</v>
      </c>
      <c r="B2959" s="5" t="s">
        <v>14582</v>
      </c>
      <c r="C2959" s="6" t="str">
        <f>IFERROR(__xludf.DUMMYFUNCTION("SPLIT('2. c'!B2959, "" "", True, True)"),"Lactobacillus")</f>
        <v>Lactobacillus</v>
      </c>
      <c r="D2959" t="str">
        <f>IFERROR(__xludf.DUMMYFUNCTION("""COMPUTED_VALUE"""),"salivarius")</f>
        <v>salivarius</v>
      </c>
      <c r="E2959" t="str">
        <f>IFERROR(__xludf.DUMMYFUNCTION("""COMPUTED_VALUE"""),"UCC118")</f>
        <v>UCC118</v>
      </c>
    </row>
    <row r="2960" ht="15.75" customHeight="1">
      <c r="A2960" t="str">
        <f t="shared" si="1"/>
        <v>L.sanfranciscensis</v>
      </c>
      <c r="B2960" s="5" t="s">
        <v>14591</v>
      </c>
      <c r="C2960" s="6" t="str">
        <f>IFERROR(__xludf.DUMMYFUNCTION("SPLIT('2. c'!B2960, "" "", True, True)"),"Lactobacillus")</f>
        <v>Lactobacillus</v>
      </c>
      <c r="D2960" t="str">
        <f>IFERROR(__xludf.DUMMYFUNCTION("""COMPUTED_VALUE"""),"sanfranciscensis")</f>
        <v>sanfranciscensis</v>
      </c>
      <c r="E2960" t="str">
        <f>IFERROR(__xludf.DUMMYFUNCTION("""COMPUTED_VALUE"""),"TMW")</f>
        <v>TMW</v>
      </c>
      <c r="F2960" s="14">
        <f>IFERROR(__xludf.DUMMYFUNCTION("""COMPUTED_VALUE"""),-217683.0)</f>
        <v>-217683</v>
      </c>
    </row>
    <row r="2961" ht="15.75" customHeight="1">
      <c r="A2961" t="str">
        <f t="shared" si="1"/>
        <v>L.sp.</v>
      </c>
      <c r="B2961" s="5" t="s">
        <v>14602</v>
      </c>
      <c r="C2961" s="6" t="str">
        <f>IFERROR(__xludf.DUMMYFUNCTION("SPLIT('2. c'!B2961, "" "", True, True)"),"Lactobacillus")</f>
        <v>Lactobacillus</v>
      </c>
      <c r="D2961" t="str">
        <f>IFERROR(__xludf.DUMMYFUNCTION("""COMPUTED_VALUE"""),"sp.")</f>
        <v>sp.</v>
      </c>
      <c r="E2961" t="str">
        <f>IFERROR(__xludf.DUMMYFUNCTION("""COMPUTED_VALUE"""),"wkB8")</f>
        <v>wkB8</v>
      </c>
    </row>
    <row r="2962" ht="15.75" customHeight="1">
      <c r="A2962" t="str">
        <f t="shared" si="1"/>
        <v>L.garvieae</v>
      </c>
      <c r="B2962" s="5" t="s">
        <v>14609</v>
      </c>
      <c r="C2962" s="6" t="str">
        <f>IFERROR(__xludf.DUMMYFUNCTION("SPLIT('2. c'!B2962, "" "", True, True)"),"Lactococcus")</f>
        <v>Lactococcus</v>
      </c>
      <c r="D2962" t="str">
        <f>IFERROR(__xludf.DUMMYFUNCTION("""COMPUTED_VALUE"""),"garvieae")</f>
        <v>garvieae</v>
      </c>
      <c r="E2962" t="str">
        <f>IFERROR(__xludf.DUMMYFUNCTION("""COMPUTED_VALUE"""),"ATCC")</f>
        <v>ATCC</v>
      </c>
      <c r="F2962">
        <f>IFERROR(__xludf.DUMMYFUNCTION("""COMPUTED_VALUE"""),49156.0)</f>
        <v>49156</v>
      </c>
    </row>
    <row r="2963" ht="15.75" customHeight="1">
      <c r="A2963" t="str">
        <f t="shared" si="1"/>
        <v>L.garvieae</v>
      </c>
      <c r="B2963" s="5" t="s">
        <v>14619</v>
      </c>
      <c r="C2963" s="6" t="str">
        <f>IFERROR(__xludf.DUMMYFUNCTION("SPLIT('2. c'!B2963, "" "", True, True)"),"Lactococcus")</f>
        <v>Lactococcus</v>
      </c>
      <c r="D2963" t="str">
        <f>IFERROR(__xludf.DUMMYFUNCTION("""COMPUTED_VALUE"""),"garvieae")</f>
        <v>garvieae</v>
      </c>
      <c r="E2963" t="str">
        <f>IFERROR(__xludf.DUMMYFUNCTION("""COMPUTED_VALUE"""),"Lg2")</f>
        <v>Lg2</v>
      </c>
    </row>
    <row r="2964" ht="15.75" customHeight="1">
      <c r="A2964" t="str">
        <f t="shared" si="1"/>
        <v>L.lactis</v>
      </c>
      <c r="B2964" s="5" t="s">
        <v>14632</v>
      </c>
      <c r="C2964" s="6" t="str">
        <f>IFERROR(__xludf.DUMMYFUNCTION("SPLIT('2. c'!B2964, "" "", True, True)"),"Lactococcus")</f>
        <v>Lactococcus</v>
      </c>
      <c r="D2964" t="str">
        <f>IFERROR(__xludf.DUMMYFUNCTION("""COMPUTED_VALUE"""),"lactis")</f>
        <v>lactis</v>
      </c>
      <c r="E2964" t="str">
        <f>IFERROR(__xludf.DUMMYFUNCTION("""COMPUTED_VALUE"""),"AI06")</f>
        <v>AI06</v>
      </c>
    </row>
    <row r="2965" ht="15.75" customHeight="1">
      <c r="A2965" t="str">
        <f t="shared" si="1"/>
        <v>L.lactis</v>
      </c>
      <c r="B2965" s="5" t="s">
        <v>14642</v>
      </c>
      <c r="C2965" s="6" t="str">
        <f>IFERROR(__xludf.DUMMYFUNCTION("SPLIT('2. c'!B2965, "" "", True, True)"),"Lactococcus")</f>
        <v>Lactococcus</v>
      </c>
      <c r="D2965" t="str">
        <f>IFERROR(__xludf.DUMMYFUNCTION("""COMPUTED_VALUE"""),"lactis")</f>
        <v>lactis</v>
      </c>
      <c r="E2965" t="str">
        <f>IFERROR(__xludf.DUMMYFUNCTION("""COMPUTED_VALUE"""),"subsp.")</f>
        <v>subsp.</v>
      </c>
      <c r="F2965" t="str">
        <f>IFERROR(__xludf.DUMMYFUNCTION("""COMPUTED_VALUE"""),"cremoris")</f>
        <v>cremoris</v>
      </c>
      <c r="G2965" t="str">
        <f>IFERROR(__xludf.DUMMYFUNCTION("""COMPUTED_VALUE"""),"A76")</f>
        <v>A76</v>
      </c>
    </row>
    <row r="2966" ht="15.75" customHeight="1">
      <c r="A2966" t="str">
        <f t="shared" si="1"/>
        <v>L.lactis</v>
      </c>
      <c r="B2966" s="5" t="s">
        <v>14648</v>
      </c>
      <c r="C2966" s="6" t="str">
        <f>IFERROR(__xludf.DUMMYFUNCTION("SPLIT('2. c'!B2966, "" "", True, True)"),"Lactococcus")</f>
        <v>Lactococcus</v>
      </c>
      <c r="D2966" t="str">
        <f>IFERROR(__xludf.DUMMYFUNCTION("""COMPUTED_VALUE"""),"lactis")</f>
        <v>lactis</v>
      </c>
      <c r="E2966" t="str">
        <f>IFERROR(__xludf.DUMMYFUNCTION("""COMPUTED_VALUE"""),"subsp.")</f>
        <v>subsp.</v>
      </c>
      <c r="F2966" t="str">
        <f>IFERROR(__xludf.DUMMYFUNCTION("""COMPUTED_VALUE"""),"cremoris")</f>
        <v>cremoris</v>
      </c>
      <c r="G2966" t="str">
        <f>IFERROR(__xludf.DUMMYFUNCTION("""COMPUTED_VALUE"""),"KW2")</f>
        <v>KW2</v>
      </c>
    </row>
    <row r="2967" ht="15.75" customHeight="1">
      <c r="A2967" t="str">
        <f t="shared" si="1"/>
        <v>L.lactis</v>
      </c>
      <c r="B2967" s="5" t="s">
        <v>14656</v>
      </c>
      <c r="C2967" s="6" t="str">
        <f>IFERROR(__xludf.DUMMYFUNCTION("SPLIT('2. c'!B2967, "" "", True, True)"),"Lactococcus")</f>
        <v>Lactococcus</v>
      </c>
      <c r="D2967" t="str">
        <f>IFERROR(__xludf.DUMMYFUNCTION("""COMPUTED_VALUE"""),"lactis")</f>
        <v>lactis</v>
      </c>
      <c r="E2967" t="str">
        <f>IFERROR(__xludf.DUMMYFUNCTION("""COMPUTED_VALUE"""),"subsp.")</f>
        <v>subsp.</v>
      </c>
      <c r="F2967" t="str">
        <f>IFERROR(__xludf.DUMMYFUNCTION("""COMPUTED_VALUE"""),"cremoris")</f>
        <v>cremoris</v>
      </c>
      <c r="G2967" t="str">
        <f>IFERROR(__xludf.DUMMYFUNCTION("""COMPUTED_VALUE"""),"MG1363")</f>
        <v>MG1363</v>
      </c>
    </row>
    <row r="2968" ht="15.75" customHeight="1">
      <c r="A2968" t="str">
        <f t="shared" si="1"/>
        <v>L.lactis</v>
      </c>
      <c r="B2968" s="5" t="s">
        <v>14665</v>
      </c>
      <c r="C2968" s="6" t="str">
        <f>IFERROR(__xludf.DUMMYFUNCTION("SPLIT('2. c'!B2968, "" "", True, True)"),"Lactococcus")</f>
        <v>Lactococcus</v>
      </c>
      <c r="D2968" t="str">
        <f>IFERROR(__xludf.DUMMYFUNCTION("""COMPUTED_VALUE"""),"lactis")</f>
        <v>lactis</v>
      </c>
      <c r="E2968" t="str">
        <f>IFERROR(__xludf.DUMMYFUNCTION("""COMPUTED_VALUE"""),"subsp.")</f>
        <v>subsp.</v>
      </c>
      <c r="F2968" t="str">
        <f>IFERROR(__xludf.DUMMYFUNCTION("""COMPUTED_VALUE"""),"cremoris")</f>
        <v>cremoris</v>
      </c>
      <c r="G2968" t="str">
        <f>IFERROR(__xludf.DUMMYFUNCTION("""COMPUTED_VALUE"""),"NZ9000")</f>
        <v>NZ9000</v>
      </c>
    </row>
    <row r="2969" ht="15.75" customHeight="1">
      <c r="A2969" t="str">
        <f t="shared" si="1"/>
        <v>L.lactis</v>
      </c>
      <c r="B2969" s="5" t="s">
        <v>14675</v>
      </c>
      <c r="C2969" s="6" t="str">
        <f>IFERROR(__xludf.DUMMYFUNCTION("SPLIT('2. c'!B2969, "" "", True, True)"),"Lactococcus")</f>
        <v>Lactococcus</v>
      </c>
      <c r="D2969" t="str">
        <f>IFERROR(__xludf.DUMMYFUNCTION("""COMPUTED_VALUE"""),"lactis")</f>
        <v>lactis</v>
      </c>
      <c r="E2969" t="str">
        <f>IFERROR(__xludf.DUMMYFUNCTION("""COMPUTED_VALUE"""),"subsp.")</f>
        <v>subsp.</v>
      </c>
      <c r="F2969" t="str">
        <f>IFERROR(__xludf.DUMMYFUNCTION("""COMPUTED_VALUE"""),"cremoris")</f>
        <v>cremoris</v>
      </c>
      <c r="G2969" t="str">
        <f>IFERROR(__xludf.DUMMYFUNCTION("""COMPUTED_VALUE"""),"SK11")</f>
        <v>SK11</v>
      </c>
    </row>
    <row r="2970" ht="15.75" customHeight="1">
      <c r="A2970" t="str">
        <f t="shared" si="1"/>
        <v>L.lactis</v>
      </c>
      <c r="B2970" s="5" t="s">
        <v>14684</v>
      </c>
      <c r="C2970" s="6" t="str">
        <f>IFERROR(__xludf.DUMMYFUNCTION("SPLIT('2. c'!B2970, "" "", True, True)"),"Lactococcus")</f>
        <v>Lactococcus</v>
      </c>
      <c r="D2970" t="str">
        <f>IFERROR(__xludf.DUMMYFUNCTION("""COMPUTED_VALUE"""),"lactis")</f>
        <v>lactis</v>
      </c>
      <c r="E2970" t="str">
        <f>IFERROR(__xludf.DUMMYFUNCTION("""COMPUTED_VALUE"""),"subsp.")</f>
        <v>subsp.</v>
      </c>
      <c r="F2970" t="str">
        <f>IFERROR(__xludf.DUMMYFUNCTION("""COMPUTED_VALUE"""),"cremoris")</f>
        <v>cremoris</v>
      </c>
      <c r="G2970" t="str">
        <f>IFERROR(__xludf.DUMMYFUNCTION("""COMPUTED_VALUE"""),"UC509.9")</f>
        <v>UC509.9</v>
      </c>
    </row>
    <row r="2971" ht="15.75" customHeight="1">
      <c r="A2971" t="str">
        <f t="shared" si="1"/>
        <v>L.lactis</v>
      </c>
      <c r="B2971" s="5" t="s">
        <v>14695</v>
      </c>
      <c r="C2971" s="6" t="str">
        <f>IFERROR(__xludf.DUMMYFUNCTION("SPLIT('2. c'!B2971, "" "", True, True)"),"Lactococcus")</f>
        <v>Lactococcus</v>
      </c>
      <c r="D2971" t="str">
        <f>IFERROR(__xludf.DUMMYFUNCTION("""COMPUTED_VALUE"""),"lactis")</f>
        <v>lactis</v>
      </c>
      <c r="E2971" t="str">
        <f>IFERROR(__xludf.DUMMYFUNCTION("""COMPUTED_VALUE"""),"subsp.")</f>
        <v>subsp.</v>
      </c>
      <c r="F2971" t="str">
        <f>IFERROR(__xludf.DUMMYFUNCTION("""COMPUTED_VALUE"""),"lactis")</f>
        <v>lactis</v>
      </c>
      <c r="G2971" t="str">
        <f>IFERROR(__xludf.DUMMYFUNCTION("""COMPUTED_VALUE"""),"CV56")</f>
        <v>CV56</v>
      </c>
    </row>
    <row r="2972" ht="15.75" customHeight="1">
      <c r="A2972" t="str">
        <f t="shared" si="1"/>
        <v>L.lactis</v>
      </c>
      <c r="B2972" s="5" t="s">
        <v>14704</v>
      </c>
      <c r="C2972" s="6" t="str">
        <f>IFERROR(__xludf.DUMMYFUNCTION("SPLIT('2. c'!B2972, "" "", True, True)"),"Lactococcus")</f>
        <v>Lactococcus</v>
      </c>
      <c r="D2972" t="str">
        <f>IFERROR(__xludf.DUMMYFUNCTION("""COMPUTED_VALUE"""),"lactis")</f>
        <v>lactis</v>
      </c>
      <c r="E2972" t="str">
        <f>IFERROR(__xludf.DUMMYFUNCTION("""COMPUTED_VALUE"""),"subsp.")</f>
        <v>subsp.</v>
      </c>
      <c r="F2972" t="str">
        <f>IFERROR(__xludf.DUMMYFUNCTION("""COMPUTED_VALUE"""),"lactis")</f>
        <v>lactis</v>
      </c>
      <c r="G2972" t="str">
        <f>IFERROR(__xludf.DUMMYFUNCTION("""COMPUTED_VALUE"""),"Il1403")</f>
        <v>Il1403</v>
      </c>
    </row>
    <row r="2973" ht="15.75" customHeight="1">
      <c r="A2973" t="str">
        <f t="shared" si="1"/>
        <v>L.lactis</v>
      </c>
      <c r="B2973" s="5" t="s">
        <v>14715</v>
      </c>
      <c r="C2973" s="6" t="str">
        <f>IFERROR(__xludf.DUMMYFUNCTION("SPLIT('2. c'!B2973, "" "", True, True)"),"Lactococcus")</f>
        <v>Lactococcus</v>
      </c>
      <c r="D2973" t="str">
        <f>IFERROR(__xludf.DUMMYFUNCTION("""COMPUTED_VALUE"""),"lactis")</f>
        <v>lactis</v>
      </c>
      <c r="E2973" t="str">
        <f>IFERROR(__xludf.DUMMYFUNCTION("""COMPUTED_VALUE"""),"subsp.")</f>
        <v>subsp.</v>
      </c>
      <c r="F2973" t="str">
        <f>IFERROR(__xludf.DUMMYFUNCTION("""COMPUTED_VALUE"""),"lactis")</f>
        <v>lactis</v>
      </c>
      <c r="G2973" t="str">
        <f>IFERROR(__xludf.DUMMYFUNCTION("""COMPUTED_VALUE"""),"IO-1")</f>
        <v>IO-1</v>
      </c>
    </row>
    <row r="2974" ht="15.75" customHeight="1">
      <c r="A2974" t="str">
        <f t="shared" si="1"/>
        <v>L.lactis</v>
      </c>
      <c r="B2974" s="5" t="s">
        <v>14724</v>
      </c>
      <c r="C2974" s="6" t="str">
        <f>IFERROR(__xludf.DUMMYFUNCTION("SPLIT('2. c'!B2974, "" "", True, True)"),"Lactococcus")</f>
        <v>Lactococcus</v>
      </c>
      <c r="D2974" t="str">
        <f>IFERROR(__xludf.DUMMYFUNCTION("""COMPUTED_VALUE"""),"lactis")</f>
        <v>lactis</v>
      </c>
      <c r="E2974" t="str">
        <f>IFERROR(__xludf.DUMMYFUNCTION("""COMPUTED_VALUE"""),"subsp.")</f>
        <v>subsp.</v>
      </c>
      <c r="F2974" t="str">
        <f>IFERROR(__xludf.DUMMYFUNCTION("""COMPUTED_VALUE"""),"lactis")</f>
        <v>lactis</v>
      </c>
      <c r="G2974" t="str">
        <f>IFERROR(__xludf.DUMMYFUNCTION("""COMPUTED_VALUE"""),"KF147")</f>
        <v>KF147</v>
      </c>
    </row>
    <row r="2975" ht="15.75" customHeight="1">
      <c r="A2975" t="str">
        <f t="shared" si="1"/>
        <v>L.lactis</v>
      </c>
      <c r="B2975" s="5" t="s">
        <v>14733</v>
      </c>
      <c r="C2975" s="6" t="str">
        <f>IFERROR(__xludf.DUMMYFUNCTION("SPLIT('2. c'!B2975, "" "", True, True)"),"Lactococcus")</f>
        <v>Lactococcus</v>
      </c>
      <c r="D2975" t="str">
        <f>IFERROR(__xludf.DUMMYFUNCTION("""COMPUTED_VALUE"""),"lactis")</f>
        <v>lactis</v>
      </c>
      <c r="E2975" t="str">
        <f>IFERROR(__xludf.DUMMYFUNCTION("""COMPUTED_VALUE"""),"subsp.")</f>
        <v>subsp.</v>
      </c>
      <c r="F2975" t="str">
        <f>IFERROR(__xludf.DUMMYFUNCTION("""COMPUTED_VALUE"""),"lactis")</f>
        <v>lactis</v>
      </c>
      <c r="G2975" t="str">
        <f>IFERROR(__xludf.DUMMYFUNCTION("""COMPUTED_VALUE"""),"KLDS")</f>
        <v>KLDS</v>
      </c>
      <c r="H2975" s="14">
        <f>IFERROR(__xludf.DUMMYFUNCTION("""COMPUTED_VALUE"""),-575165.0)</f>
        <v>-575165</v>
      </c>
    </row>
    <row r="2976" ht="15.75" customHeight="1">
      <c r="A2976" t="str">
        <f t="shared" si="1"/>
        <v>L.lactis</v>
      </c>
      <c r="B2976" s="5" t="s">
        <v>14745</v>
      </c>
      <c r="C2976" s="6" t="str">
        <f>IFERROR(__xludf.DUMMYFUNCTION("SPLIT('2. c'!B2976, "" "", True, True)"),"Lactococcus")</f>
        <v>Lactococcus</v>
      </c>
      <c r="D2976" t="str">
        <f>IFERROR(__xludf.DUMMYFUNCTION("""COMPUTED_VALUE"""),"lactis")</f>
        <v>lactis</v>
      </c>
      <c r="E2976" t="str">
        <f>IFERROR(__xludf.DUMMYFUNCTION("""COMPUTED_VALUE"""),"subsp.")</f>
        <v>subsp.</v>
      </c>
      <c r="F2976" t="str">
        <f>IFERROR(__xludf.DUMMYFUNCTION("""COMPUTED_VALUE"""),"lactis")</f>
        <v>lactis</v>
      </c>
      <c r="G2976" t="str">
        <f>IFERROR(__xludf.DUMMYFUNCTION("""COMPUTED_VALUE"""),"S0")</f>
        <v>S0</v>
      </c>
    </row>
    <row r="2977" ht="15.75" customHeight="1">
      <c r="A2977" t="str">
        <f t="shared" si="1"/>
        <v>L.lactis</v>
      </c>
      <c r="B2977" s="5" t="s">
        <v>14754</v>
      </c>
      <c r="C2977" s="6" t="str">
        <f>IFERROR(__xludf.DUMMYFUNCTION("SPLIT('2. c'!B2977, "" "", True, True)"),"Lactococcus")</f>
        <v>Lactococcus</v>
      </c>
      <c r="D2977" t="str">
        <f>IFERROR(__xludf.DUMMYFUNCTION("""COMPUTED_VALUE"""),"lactis")</f>
        <v>lactis</v>
      </c>
      <c r="E2977" t="str">
        <f>IFERROR(__xludf.DUMMYFUNCTION("""COMPUTED_VALUE"""),"subsp.")</f>
        <v>subsp.</v>
      </c>
      <c r="F2977" t="str">
        <f>IFERROR(__xludf.DUMMYFUNCTION("""COMPUTED_VALUE"""),"lactis")</f>
        <v>lactis</v>
      </c>
      <c r="G2977" t="str">
        <f>IFERROR(__xludf.DUMMYFUNCTION("""COMPUTED_VALUE"""),"strain")</f>
        <v>strain</v>
      </c>
      <c r="H2977">
        <f>IFERROR(__xludf.DUMMYFUNCTION("""COMPUTED_VALUE"""),511.0)</f>
        <v>511</v>
      </c>
    </row>
    <row r="2978" ht="15.75" customHeight="1">
      <c r="A2978" t="str">
        <f t="shared" si="1"/>
        <v>L.piscium</v>
      </c>
      <c r="B2978" s="5" t="s">
        <v>14764</v>
      </c>
      <c r="C2978" s="6" t="str">
        <f>IFERROR(__xludf.DUMMYFUNCTION("SPLIT('2. c'!B2978, "" "", True, True)"),"Lactococcus")</f>
        <v>Lactococcus</v>
      </c>
      <c r="D2978" t="str">
        <f>IFERROR(__xludf.DUMMYFUNCTION("""COMPUTED_VALUE"""),"piscium")</f>
        <v>piscium</v>
      </c>
      <c r="E2978" t="str">
        <f>IFERROR(__xludf.DUMMYFUNCTION("""COMPUTED_VALUE"""),"MKFS47")</f>
        <v>MKFS47</v>
      </c>
    </row>
    <row r="2979" ht="15.75" customHeight="1">
      <c r="A2979" t="str">
        <f t="shared" si="1"/>
        <v>L.hongkongensis</v>
      </c>
      <c r="B2979" s="5" t="s">
        <v>14772</v>
      </c>
      <c r="C2979" s="6" t="str">
        <f>IFERROR(__xludf.DUMMYFUNCTION("SPLIT('2. c'!B2979, "" "", True, True)"),"Laribacter")</f>
        <v>Laribacter</v>
      </c>
      <c r="D2979" t="str">
        <f>IFERROR(__xludf.DUMMYFUNCTION("""COMPUTED_VALUE"""),"hongkongensis")</f>
        <v>hongkongensis</v>
      </c>
      <c r="E2979" t="str">
        <f>IFERROR(__xludf.DUMMYFUNCTION("""COMPUTED_VALUE"""),"HLHK9")</f>
        <v>HLHK9</v>
      </c>
    </row>
    <row r="2980" ht="15.75" customHeight="1">
      <c r="A2980" t="str">
        <f t="shared" si="1"/>
        <v>L.intracellularis</v>
      </c>
      <c r="B2980" s="5" t="s">
        <v>14780</v>
      </c>
      <c r="C2980" s="6" t="str">
        <f>IFERROR(__xludf.DUMMYFUNCTION("SPLIT('2. c'!B2980, "" "", True, True)"),"Lawsonia")</f>
        <v>Lawsonia</v>
      </c>
      <c r="D2980" t="str">
        <f>IFERROR(__xludf.DUMMYFUNCTION("""COMPUTED_VALUE"""),"intracellularis")</f>
        <v>intracellularis</v>
      </c>
      <c r="E2980" t="str">
        <f>IFERROR(__xludf.DUMMYFUNCTION("""COMPUTED_VALUE"""),"N343")</f>
        <v>N343</v>
      </c>
    </row>
    <row r="2981" ht="15.75" customHeight="1">
      <c r="A2981" t="str">
        <f t="shared" si="1"/>
        <v>L.intracellularis</v>
      </c>
      <c r="B2981" s="5" t="s">
        <v>14787</v>
      </c>
      <c r="C2981" s="6" t="str">
        <f>IFERROR(__xludf.DUMMYFUNCTION("SPLIT('2. c'!B2981, "" "", True, True)"),"Lawsonia")</f>
        <v>Lawsonia</v>
      </c>
      <c r="D2981" t="str">
        <f>IFERROR(__xludf.DUMMYFUNCTION("""COMPUTED_VALUE"""),"intracellularis")</f>
        <v>intracellularis</v>
      </c>
      <c r="E2981" t="str">
        <f>IFERROR(__xludf.DUMMYFUNCTION("""COMPUTED_VALUE"""),"PHE/MN1-00")</f>
        <v>PHE/MN1-00</v>
      </c>
    </row>
    <row r="2982" ht="15.75" customHeight="1">
      <c r="A2982" t="str">
        <f t="shared" si="1"/>
        <v>L.byssophila</v>
      </c>
      <c r="B2982" s="5" t="s">
        <v>14795</v>
      </c>
      <c r="C2982" s="6" t="str">
        <f>IFERROR(__xludf.DUMMYFUNCTION("SPLIT('2. c'!B2982, "" "", True, True)"),"Leadbetterella")</f>
        <v>Leadbetterella</v>
      </c>
      <c r="D2982" t="str">
        <f>IFERROR(__xludf.DUMMYFUNCTION("""COMPUTED_VALUE"""),"byssophila")</f>
        <v>byssophila</v>
      </c>
      <c r="E2982" t="str">
        <f>IFERROR(__xludf.DUMMYFUNCTION("""COMPUTED_VALUE"""),"DSM")</f>
        <v>DSM</v>
      </c>
      <c r="F2982">
        <f>IFERROR(__xludf.DUMMYFUNCTION("""COMPUTED_VALUE"""),17132.0)</f>
        <v>17132</v>
      </c>
    </row>
    <row r="2983" ht="15.75" customHeight="1">
      <c r="A2983" t="str">
        <f t="shared" si="1"/>
        <v>L.adecarboxylata</v>
      </c>
      <c r="B2983" s="5" t="s">
        <v>14799</v>
      </c>
      <c r="C2983" s="6" t="str">
        <f>IFERROR(__xludf.DUMMYFUNCTION("SPLIT('2. c'!B2983, "" "", True, True)"),"Leclercia")</f>
        <v>Leclercia</v>
      </c>
      <c r="D2983" t="str">
        <f>IFERROR(__xludf.DUMMYFUNCTION("""COMPUTED_VALUE"""),"adecarboxylata")</f>
        <v>adecarboxylata</v>
      </c>
      <c r="E2983" t="str">
        <f>IFERROR(__xludf.DUMMYFUNCTION("""COMPUTED_VALUE"""),"strain")</f>
        <v>strain</v>
      </c>
      <c r="F2983" t="str">
        <f>IFERROR(__xludf.DUMMYFUNCTION("""COMPUTED_VALUE"""),"USDA-ARS-USMARC-60222")</f>
        <v>USDA-ARS-USMARC-60222</v>
      </c>
    </row>
    <row r="2984" ht="15.75" customHeight="1">
      <c r="A2984" t="str">
        <f t="shared" si="1"/>
        <v>L.fallonii</v>
      </c>
      <c r="B2984" s="5" t="s">
        <v>14809</v>
      </c>
      <c r="C2984" s="6" t="str">
        <f>IFERROR(__xludf.DUMMYFUNCTION("SPLIT('2. c'!B2984, "" "", True, True)"),"Legionella")</f>
        <v>Legionella</v>
      </c>
      <c r="D2984" t="str">
        <f>IFERROR(__xludf.DUMMYFUNCTION("""COMPUTED_VALUE"""),"fallonii")</f>
        <v>fallonii</v>
      </c>
      <c r="E2984" t="str">
        <f>IFERROR(__xludf.DUMMYFUNCTION("""COMPUTED_VALUE"""),"LLAP-10")</f>
        <v>LLAP-10</v>
      </c>
    </row>
    <row r="2985" ht="15.75" customHeight="1">
      <c r="A2985" t="str">
        <f t="shared" si="1"/>
        <v>L.hackeliae</v>
      </c>
      <c r="B2985" s="5" t="s">
        <v>14815</v>
      </c>
      <c r="C2985" s="6" t="str">
        <f>IFERROR(__xludf.DUMMYFUNCTION("SPLIT('2. c'!B2985, "" "", True, True)"),"Legionella")</f>
        <v>Legionella</v>
      </c>
      <c r="D2985" t="str">
        <f>IFERROR(__xludf.DUMMYFUNCTION("""COMPUTED_VALUE"""),"hackeliae")</f>
        <v>hackeliae</v>
      </c>
      <c r="E2985" t="str">
        <f>IFERROR(__xludf.DUMMYFUNCTION("""COMPUTED_VALUE"""),"strain")</f>
        <v>strain</v>
      </c>
      <c r="F2985" t="str">
        <f>IFERROR(__xludf.DUMMYFUNCTION("""COMPUTED_VALUE"""),"ATCC35250")</f>
        <v>ATCC35250</v>
      </c>
    </row>
    <row r="2986" ht="15.75" customHeight="1">
      <c r="A2986" t="str">
        <f t="shared" si="1"/>
        <v>L.longbeachae</v>
      </c>
      <c r="B2986" s="5" t="s">
        <v>14822</v>
      </c>
      <c r="C2986" s="6" t="str">
        <f>IFERROR(__xludf.DUMMYFUNCTION("SPLIT('2. c'!B2986, "" "", True, True)"),"Legionella")</f>
        <v>Legionella</v>
      </c>
      <c r="D2986" t="str">
        <f>IFERROR(__xludf.DUMMYFUNCTION("""COMPUTED_VALUE"""),"longbeachae")</f>
        <v>longbeachae</v>
      </c>
      <c r="E2986" t="str">
        <f>IFERROR(__xludf.DUMMYFUNCTION("""COMPUTED_VALUE"""),"NSW150")</f>
        <v>NSW150</v>
      </c>
    </row>
    <row r="2987" ht="15.75" customHeight="1">
      <c r="A2987" t="str">
        <f t="shared" si="1"/>
        <v>L.oakridgensis</v>
      </c>
      <c r="B2987" s="5" t="s">
        <v>14831</v>
      </c>
      <c r="C2987" s="6" t="str">
        <f>IFERROR(__xludf.DUMMYFUNCTION("SPLIT('2. c'!B2987, "" "", True, True)"),"Legionella")</f>
        <v>Legionella</v>
      </c>
      <c r="D2987" t="str">
        <f>IFERROR(__xludf.DUMMYFUNCTION("""COMPUTED_VALUE"""),"oakridgensis")</f>
        <v>oakridgensis</v>
      </c>
      <c r="E2987" t="str">
        <f>IFERROR(__xludf.DUMMYFUNCTION("""COMPUTED_VALUE"""),"ATCC")</f>
        <v>ATCC</v>
      </c>
      <c r="F2987">
        <f>IFERROR(__xludf.DUMMYFUNCTION("""COMPUTED_VALUE"""),33761.0)</f>
        <v>33761</v>
      </c>
      <c r="G2987" t="str">
        <f>IFERROR(__xludf.DUMMYFUNCTION("""COMPUTED_VALUE"""),"=")</f>
        <v>=</v>
      </c>
      <c r="H2987" t="str">
        <f>IFERROR(__xludf.DUMMYFUNCTION("""COMPUTED_VALUE"""),"DSM")</f>
        <v>DSM</v>
      </c>
      <c r="I2987">
        <f>IFERROR(__xludf.DUMMYFUNCTION("""COMPUTED_VALUE"""),21215.0)</f>
        <v>21215</v>
      </c>
    </row>
    <row r="2988" ht="15.75" customHeight="1">
      <c r="A2988" t="str">
        <f t="shared" si="1"/>
        <v>L.pneumophila</v>
      </c>
      <c r="B2988" s="5" t="s">
        <v>14843</v>
      </c>
      <c r="C2988" s="6" t="str">
        <f>IFERROR(__xludf.DUMMYFUNCTION("SPLIT('2. c'!B2988, "" "", True, True)"),"Legionella")</f>
        <v>Legionella</v>
      </c>
      <c r="D2988" t="str">
        <f>IFERROR(__xludf.DUMMYFUNCTION("""COMPUTED_VALUE"""),"pneumophila")</f>
        <v>pneumophila</v>
      </c>
      <c r="E2988" t="str">
        <f>IFERROR(__xludf.DUMMYFUNCTION("""COMPUTED_VALUE"""),"130b")</f>
        <v>130b</v>
      </c>
    </row>
    <row r="2989" ht="15.75" customHeight="1">
      <c r="A2989" t="str">
        <f t="shared" si="1"/>
        <v>L.pneumophila</v>
      </c>
      <c r="B2989" s="5" t="s">
        <v>14852</v>
      </c>
      <c r="C2989" s="6" t="str">
        <f>IFERROR(__xludf.DUMMYFUNCTION("SPLIT('2. c'!B2989, "" "", True, True)"),"Legionella")</f>
        <v>Legionella</v>
      </c>
      <c r="D2989" t="str">
        <f>IFERROR(__xludf.DUMMYFUNCTION("""COMPUTED_VALUE"""),"pneumophila")</f>
        <v>pneumophila</v>
      </c>
      <c r="E2989" t="str">
        <f>IFERROR(__xludf.DUMMYFUNCTION("""COMPUTED_VALUE"""),"2300/99")</f>
        <v>2300/99</v>
      </c>
      <c r="F2989" t="str">
        <f>IFERROR(__xludf.DUMMYFUNCTION("""COMPUTED_VALUE"""),"Alcoy")</f>
        <v>Alcoy</v>
      </c>
    </row>
    <row r="2990" ht="15.75" customHeight="1">
      <c r="A2990" t="str">
        <f t="shared" si="1"/>
        <v>L.pneumophila</v>
      </c>
      <c r="B2990" s="5" t="s">
        <v>14860</v>
      </c>
      <c r="C2990" s="6" t="str">
        <f>IFERROR(__xludf.DUMMYFUNCTION("SPLIT('2. c'!B2990, "" "", True, True)"),"Legionella")</f>
        <v>Legionella</v>
      </c>
      <c r="D2990" t="str">
        <f>IFERROR(__xludf.DUMMYFUNCTION("""COMPUTED_VALUE"""),"pneumophila")</f>
        <v>pneumophila</v>
      </c>
      <c r="E2990" t="str">
        <f>IFERROR(__xludf.DUMMYFUNCTION("""COMPUTED_VALUE"""),"str.")</f>
        <v>str.</v>
      </c>
      <c r="F2990" t="str">
        <f>IFERROR(__xludf.DUMMYFUNCTION("""COMPUTED_VALUE"""),"Corby")</f>
        <v>Corby</v>
      </c>
    </row>
    <row r="2991" ht="15.75" customHeight="1">
      <c r="A2991" t="str">
        <f t="shared" si="1"/>
        <v>L.pneumophila</v>
      </c>
      <c r="B2991" s="5" t="s">
        <v>14869</v>
      </c>
      <c r="C2991" s="6" t="str">
        <f>IFERROR(__xludf.DUMMYFUNCTION("SPLIT('2. c'!B2991, "" "", True, True)"),"Legionella")</f>
        <v>Legionella</v>
      </c>
      <c r="D2991" t="str">
        <f>IFERROR(__xludf.DUMMYFUNCTION("""COMPUTED_VALUE"""),"pneumophila")</f>
        <v>pneumophila</v>
      </c>
      <c r="E2991" t="str">
        <f>IFERROR(__xludf.DUMMYFUNCTION("""COMPUTED_VALUE"""),"str.")</f>
        <v>str.</v>
      </c>
      <c r="F2991" t="str">
        <f>IFERROR(__xludf.DUMMYFUNCTION("""COMPUTED_VALUE"""),"Lens")</f>
        <v>Lens</v>
      </c>
    </row>
    <row r="2992" ht="15.75" customHeight="1">
      <c r="A2992" t="str">
        <f t="shared" si="1"/>
        <v>L.pneumophila</v>
      </c>
      <c r="B2992" s="5" t="s">
        <v>14874</v>
      </c>
      <c r="C2992" s="6" t="str">
        <f>IFERROR(__xludf.DUMMYFUNCTION("SPLIT('2. c'!B2992, "" "", True, True)"),"Legionella")</f>
        <v>Legionella</v>
      </c>
      <c r="D2992" t="str">
        <f>IFERROR(__xludf.DUMMYFUNCTION("""COMPUTED_VALUE"""),"pneumophila")</f>
        <v>pneumophila</v>
      </c>
      <c r="E2992" t="str">
        <f>IFERROR(__xludf.DUMMYFUNCTION("""COMPUTED_VALUE"""),"str.")</f>
        <v>str.</v>
      </c>
      <c r="F2992" t="str">
        <f>IFERROR(__xludf.DUMMYFUNCTION("""COMPUTED_VALUE"""),"Paris")</f>
        <v>Paris</v>
      </c>
    </row>
    <row r="2993" ht="15.75" customHeight="1">
      <c r="A2993" t="str">
        <f t="shared" si="1"/>
        <v>L.pneumophila</v>
      </c>
      <c r="B2993" s="5" t="s">
        <v>14881</v>
      </c>
      <c r="C2993" s="6" t="str">
        <f>IFERROR(__xludf.DUMMYFUNCTION("SPLIT('2. c'!B2993, "" "", True, True)"),"Legionella")</f>
        <v>Legionella</v>
      </c>
      <c r="D2993" t="str">
        <f>IFERROR(__xludf.DUMMYFUNCTION("""COMPUTED_VALUE"""),"pneumophila")</f>
        <v>pneumophila</v>
      </c>
      <c r="E2993" t="str">
        <f>IFERROR(__xludf.DUMMYFUNCTION("""COMPUTED_VALUE"""),"strain")</f>
        <v>strain</v>
      </c>
      <c r="F2993" t="str">
        <f>IFERROR(__xludf.DUMMYFUNCTION("""COMPUTED_VALUE"""),"D-7630")</f>
        <v>D-7630</v>
      </c>
    </row>
    <row r="2994" ht="15.75" customHeight="1">
      <c r="A2994" t="str">
        <f t="shared" si="1"/>
        <v>L.pneumophila</v>
      </c>
      <c r="B2994" s="5" t="s">
        <v>14890</v>
      </c>
      <c r="C2994" s="6" t="str">
        <f>IFERROR(__xludf.DUMMYFUNCTION("SPLIT('2. c'!B2994, "" "", True, True)"),"Legionella")</f>
        <v>Legionella</v>
      </c>
      <c r="D2994" t="str">
        <f>IFERROR(__xludf.DUMMYFUNCTION("""COMPUTED_VALUE"""),"pneumophila")</f>
        <v>pneumophila</v>
      </c>
      <c r="E2994" t="str">
        <f>IFERROR(__xludf.DUMMYFUNCTION("""COMPUTED_VALUE"""),"strain")</f>
        <v>strain</v>
      </c>
      <c r="F2994" t="str">
        <f>IFERROR(__xludf.DUMMYFUNCTION("""COMPUTED_VALUE"""),"D-7631")</f>
        <v>D-7631</v>
      </c>
    </row>
    <row r="2995" ht="15.75" customHeight="1">
      <c r="A2995" t="str">
        <f t="shared" si="1"/>
        <v>L.pneumophila</v>
      </c>
      <c r="B2995" s="5" t="s">
        <v>14899</v>
      </c>
      <c r="C2995" s="6" t="str">
        <f>IFERROR(__xludf.DUMMYFUNCTION("SPLIT('2. c'!B2995, "" "", True, True)"),"Legionella")</f>
        <v>Legionella</v>
      </c>
      <c r="D2995" t="str">
        <f>IFERROR(__xludf.DUMMYFUNCTION("""COMPUTED_VALUE"""),"pneumophila")</f>
        <v>pneumophila</v>
      </c>
      <c r="E2995" t="str">
        <f>IFERROR(__xludf.DUMMYFUNCTION("""COMPUTED_VALUE"""),"strain")</f>
        <v>strain</v>
      </c>
      <c r="F2995" t="str">
        <f>IFERROR(__xludf.DUMMYFUNCTION("""COMPUTED_VALUE"""),"D-7632")</f>
        <v>D-7632</v>
      </c>
    </row>
    <row r="2996" ht="15.75" customHeight="1">
      <c r="A2996" t="str">
        <f t="shared" si="1"/>
        <v>L.pneumophila</v>
      </c>
      <c r="B2996" s="5" t="s">
        <v>14907</v>
      </c>
      <c r="C2996" s="6" t="str">
        <f>IFERROR(__xludf.DUMMYFUNCTION("SPLIT('2. c'!B2996, "" "", True, True)"),"Legionella")</f>
        <v>Legionella</v>
      </c>
      <c r="D2996" t="str">
        <f>IFERROR(__xludf.DUMMYFUNCTION("""COMPUTED_VALUE"""),"pneumophila")</f>
        <v>pneumophila</v>
      </c>
      <c r="E2996" t="str">
        <f>IFERROR(__xludf.DUMMYFUNCTION("""COMPUTED_VALUE"""),"strain")</f>
        <v>strain</v>
      </c>
      <c r="F2996" t="str">
        <f>IFERROR(__xludf.DUMMYFUNCTION("""COMPUTED_VALUE"""),"L10-023")</f>
        <v>L10-023</v>
      </c>
    </row>
    <row r="2997" ht="15.75" customHeight="1">
      <c r="A2997" t="str">
        <f t="shared" si="1"/>
        <v>L.pneumophila</v>
      </c>
      <c r="B2997" s="5" t="s">
        <v>14915</v>
      </c>
      <c r="C2997" s="6" t="str">
        <f>IFERROR(__xludf.DUMMYFUNCTION("SPLIT('2. c'!B2997, "" "", True, True)"),"Legionella")</f>
        <v>Legionella</v>
      </c>
      <c r="D2997" t="str">
        <f>IFERROR(__xludf.DUMMYFUNCTION("""COMPUTED_VALUE"""),"pneumophila")</f>
        <v>pneumophila</v>
      </c>
      <c r="E2997" t="str">
        <f>IFERROR(__xludf.DUMMYFUNCTION("""COMPUTED_VALUE"""),"subsp.")</f>
        <v>subsp.</v>
      </c>
      <c r="F2997" t="str">
        <f>IFERROR(__xludf.DUMMYFUNCTION("""COMPUTED_VALUE"""),"pascullei")</f>
        <v>pascullei</v>
      </c>
    </row>
    <row r="2998" ht="15.75" customHeight="1">
      <c r="A2998" t="str">
        <f t="shared" si="1"/>
        <v>L.pneumophila</v>
      </c>
      <c r="B2998" s="5" t="s">
        <v>14915</v>
      </c>
      <c r="C2998" s="6" t="str">
        <f>IFERROR(__xludf.DUMMYFUNCTION("SPLIT('2. c'!B2998, "" "", True, True)"),"Legionella")</f>
        <v>Legionella</v>
      </c>
      <c r="D2998" t="str">
        <f>IFERROR(__xludf.DUMMYFUNCTION("""COMPUTED_VALUE"""),"pneumophila")</f>
        <v>pneumophila</v>
      </c>
      <c r="E2998" t="str">
        <f>IFERROR(__xludf.DUMMYFUNCTION("""COMPUTED_VALUE"""),"subsp.")</f>
        <v>subsp.</v>
      </c>
      <c r="F2998" t="str">
        <f>IFERROR(__xludf.DUMMYFUNCTION("""COMPUTED_VALUE"""),"pascullei")</f>
        <v>pascullei</v>
      </c>
    </row>
    <row r="2999" ht="15.75" customHeight="1">
      <c r="A2999" t="str">
        <f t="shared" si="1"/>
        <v>L.pneumophila</v>
      </c>
      <c r="B2999" s="5" t="s">
        <v>14915</v>
      </c>
      <c r="C2999" s="6" t="str">
        <f>IFERROR(__xludf.DUMMYFUNCTION("SPLIT('2. c'!B2999, "" "", True, True)"),"Legionella")</f>
        <v>Legionella</v>
      </c>
      <c r="D2999" t="str">
        <f>IFERROR(__xludf.DUMMYFUNCTION("""COMPUTED_VALUE"""),"pneumophila")</f>
        <v>pneumophila</v>
      </c>
      <c r="E2999" t="str">
        <f>IFERROR(__xludf.DUMMYFUNCTION("""COMPUTED_VALUE"""),"subsp.")</f>
        <v>subsp.</v>
      </c>
      <c r="F2999" t="str">
        <f>IFERROR(__xludf.DUMMYFUNCTION("""COMPUTED_VALUE"""),"pascullei")</f>
        <v>pascullei</v>
      </c>
    </row>
    <row r="3000" ht="15.75" customHeight="1">
      <c r="A3000" t="str">
        <f t="shared" si="1"/>
        <v>L.pneumophila</v>
      </c>
      <c r="B3000" s="5" t="s">
        <v>14940</v>
      </c>
      <c r="C3000" s="6" t="str">
        <f>IFERROR(__xludf.DUMMYFUNCTION("SPLIT('2. c'!B3000, "" "", True, True)"),"Legionella")</f>
        <v>Legionella</v>
      </c>
      <c r="D3000" t="str">
        <f>IFERROR(__xludf.DUMMYFUNCTION("""COMPUTED_VALUE"""),"pneumophila")</f>
        <v>pneumophila</v>
      </c>
      <c r="E3000" t="str">
        <f>IFERROR(__xludf.DUMMYFUNCTION("""COMPUTED_VALUE"""),"subsp.")</f>
        <v>subsp.</v>
      </c>
      <c r="F3000" t="str">
        <f>IFERROR(__xludf.DUMMYFUNCTION("""COMPUTED_VALUE"""),"pneumophila")</f>
        <v>pneumophila</v>
      </c>
    </row>
    <row r="3001" ht="15.75" customHeight="1">
      <c r="A3001" t="str">
        <f t="shared" si="1"/>
        <v>L.pneumophila</v>
      </c>
      <c r="B3001" s="5" t="s">
        <v>14940</v>
      </c>
      <c r="C3001" s="6" t="str">
        <f>IFERROR(__xludf.DUMMYFUNCTION("SPLIT('2. c'!B3001, "" "", True, True)"),"Legionella")</f>
        <v>Legionella</v>
      </c>
      <c r="D3001" t="str">
        <f>IFERROR(__xludf.DUMMYFUNCTION("""COMPUTED_VALUE"""),"pneumophila")</f>
        <v>pneumophila</v>
      </c>
      <c r="E3001" t="str">
        <f>IFERROR(__xludf.DUMMYFUNCTION("""COMPUTED_VALUE"""),"subsp.")</f>
        <v>subsp.</v>
      </c>
      <c r="F3001" t="str">
        <f>IFERROR(__xludf.DUMMYFUNCTION("""COMPUTED_VALUE"""),"pneumophila")</f>
        <v>pneumophila</v>
      </c>
    </row>
    <row r="3002" ht="15.75" customHeight="1">
      <c r="A3002" t="str">
        <f t="shared" si="1"/>
        <v>L.pneumophila</v>
      </c>
      <c r="B3002" s="5" t="s">
        <v>14956</v>
      </c>
      <c r="C3002" s="6" t="str">
        <f>IFERROR(__xludf.DUMMYFUNCTION("SPLIT('2. c'!B3002, "" "", True, True)"),"Legionella")</f>
        <v>Legionella</v>
      </c>
      <c r="D3002" t="str">
        <f>IFERROR(__xludf.DUMMYFUNCTION("""COMPUTED_VALUE"""),"pneumophila")</f>
        <v>pneumophila</v>
      </c>
      <c r="E3002" t="str">
        <f>IFERROR(__xludf.DUMMYFUNCTION("""COMPUTED_VALUE"""),"subsp.")</f>
        <v>subsp.</v>
      </c>
      <c r="F3002" t="str">
        <f>IFERROR(__xludf.DUMMYFUNCTION("""COMPUTED_VALUE"""),"pneumophila")</f>
        <v>pneumophila</v>
      </c>
      <c r="G3002" t="str">
        <f>IFERROR(__xludf.DUMMYFUNCTION("""COMPUTED_VALUE"""),"ATCC")</f>
        <v>ATCC</v>
      </c>
      <c r="H3002">
        <f>IFERROR(__xludf.DUMMYFUNCTION("""COMPUTED_VALUE"""),43290.0)</f>
        <v>43290</v>
      </c>
    </row>
    <row r="3003" ht="15.75" customHeight="1">
      <c r="A3003" t="str">
        <f t="shared" si="1"/>
        <v>L.pneumophila</v>
      </c>
      <c r="B3003" s="5" t="s">
        <v>14969</v>
      </c>
      <c r="C3003" s="6" t="str">
        <f>IFERROR(__xludf.DUMMYFUNCTION("SPLIT('2. c'!B3003, "" "", True, True)"),"Legionella")</f>
        <v>Legionella</v>
      </c>
      <c r="D3003" t="str">
        <f>IFERROR(__xludf.DUMMYFUNCTION("""COMPUTED_VALUE"""),"pneumophila")</f>
        <v>pneumophila</v>
      </c>
      <c r="E3003" t="str">
        <f>IFERROR(__xludf.DUMMYFUNCTION("""COMPUTED_VALUE"""),"subsp.")</f>
        <v>subsp.</v>
      </c>
      <c r="F3003" t="str">
        <f>IFERROR(__xludf.DUMMYFUNCTION("""COMPUTED_VALUE"""),"pneumophila")</f>
        <v>pneumophila</v>
      </c>
      <c r="G3003" t="str">
        <f>IFERROR(__xludf.DUMMYFUNCTION("""COMPUTED_VALUE"""),"LPE509")</f>
        <v>LPE509</v>
      </c>
    </row>
    <row r="3004" ht="15.75" customHeight="1">
      <c r="A3004" t="str">
        <f t="shared" si="1"/>
        <v>L.pneumophila</v>
      </c>
      <c r="B3004" s="5" t="s">
        <v>14980</v>
      </c>
      <c r="C3004" s="6" t="str">
        <f>IFERROR(__xludf.DUMMYFUNCTION("SPLIT('2. c'!B3004, "" "", True, True)"),"Legionella")</f>
        <v>Legionella</v>
      </c>
      <c r="D3004" t="str">
        <f>IFERROR(__xludf.DUMMYFUNCTION("""COMPUTED_VALUE"""),"pneumophila")</f>
        <v>pneumophila</v>
      </c>
      <c r="E3004" t="str">
        <f>IFERROR(__xludf.DUMMYFUNCTION("""COMPUTED_VALUE"""),"subsp.")</f>
        <v>subsp.</v>
      </c>
      <c r="F3004" t="str">
        <f>IFERROR(__xludf.DUMMYFUNCTION("""COMPUTED_VALUE"""),"pneumophila")</f>
        <v>pneumophila</v>
      </c>
      <c r="G3004" t="str">
        <f>IFERROR(__xludf.DUMMYFUNCTION("""COMPUTED_VALUE"""),"str.")</f>
        <v>str.</v>
      </c>
      <c r="H3004" t="str">
        <f>IFERROR(__xludf.DUMMYFUNCTION("""COMPUTED_VALUE"""),"Hextuple_2q")</f>
        <v>Hextuple_2q</v>
      </c>
    </row>
    <row r="3005" ht="15.75" customHeight="1">
      <c r="A3005" t="str">
        <f t="shared" si="1"/>
        <v>L.pneumophila</v>
      </c>
      <c r="B3005" s="5" t="s">
        <v>14989</v>
      </c>
      <c r="C3005" s="6" t="str">
        <f>IFERROR(__xludf.DUMMYFUNCTION("SPLIT('2. c'!B3005, "" "", True, True)"),"Legionella")</f>
        <v>Legionella</v>
      </c>
      <c r="D3005" t="str">
        <f>IFERROR(__xludf.DUMMYFUNCTION("""COMPUTED_VALUE"""),"pneumophila")</f>
        <v>pneumophila</v>
      </c>
      <c r="E3005" t="str">
        <f>IFERROR(__xludf.DUMMYFUNCTION("""COMPUTED_VALUE"""),"subsp.")</f>
        <v>subsp.</v>
      </c>
      <c r="F3005" t="str">
        <f>IFERROR(__xludf.DUMMYFUNCTION("""COMPUTED_VALUE"""),"pneumophila")</f>
        <v>pneumophila</v>
      </c>
      <c r="G3005" t="str">
        <f>IFERROR(__xludf.DUMMYFUNCTION("""COMPUTED_VALUE"""),"str.")</f>
        <v>str.</v>
      </c>
      <c r="H3005" t="str">
        <f>IFERROR(__xludf.DUMMYFUNCTION("""COMPUTED_VALUE"""),"Hextuple_3a")</f>
        <v>Hextuple_3a</v>
      </c>
    </row>
    <row r="3006" ht="15.75" customHeight="1">
      <c r="A3006" t="str">
        <f t="shared" si="1"/>
        <v>L.pneumophila</v>
      </c>
      <c r="B3006" s="5" t="s">
        <v>14999</v>
      </c>
      <c r="C3006" s="6" t="str">
        <f>IFERROR(__xludf.DUMMYFUNCTION("SPLIT('2. c'!B3006, "" "", True, True)"),"Legionella")</f>
        <v>Legionella</v>
      </c>
      <c r="D3006" t="str">
        <f>IFERROR(__xludf.DUMMYFUNCTION("""COMPUTED_VALUE"""),"pneumophila")</f>
        <v>pneumophila</v>
      </c>
      <c r="E3006" t="str">
        <f>IFERROR(__xludf.DUMMYFUNCTION("""COMPUTED_VALUE"""),"subsp.")</f>
        <v>subsp.</v>
      </c>
      <c r="F3006" t="str">
        <f>IFERROR(__xludf.DUMMYFUNCTION("""COMPUTED_VALUE"""),"pneumophila")</f>
        <v>pneumophila</v>
      </c>
      <c r="G3006" t="str">
        <f>IFERROR(__xludf.DUMMYFUNCTION("""COMPUTED_VALUE"""),"str.")</f>
        <v>str.</v>
      </c>
      <c r="H3006" t="str">
        <f>IFERROR(__xludf.DUMMYFUNCTION("""COMPUTED_VALUE"""),"Philadelphia")</f>
        <v>Philadelphia</v>
      </c>
      <c r="I3006">
        <f>IFERROR(__xludf.DUMMYFUNCTION("""COMPUTED_VALUE"""),1.0)</f>
        <v>1</v>
      </c>
    </row>
    <row r="3007" ht="15.75" customHeight="1">
      <c r="A3007" t="str">
        <f t="shared" si="1"/>
        <v>L.pneumophila</v>
      </c>
      <c r="B3007" s="5" t="s">
        <v>15009</v>
      </c>
      <c r="C3007" s="6" t="str">
        <f>IFERROR(__xludf.DUMMYFUNCTION("SPLIT('2. c'!B3007, "" "", True, True)"),"Legionella")</f>
        <v>Legionella</v>
      </c>
      <c r="D3007" t="str">
        <f>IFERROR(__xludf.DUMMYFUNCTION("""COMPUTED_VALUE"""),"pneumophila")</f>
        <v>pneumophila</v>
      </c>
      <c r="E3007" t="str">
        <f>IFERROR(__xludf.DUMMYFUNCTION("""COMPUTED_VALUE"""),"subsp.")</f>
        <v>subsp.</v>
      </c>
      <c r="F3007" t="str">
        <f>IFERROR(__xludf.DUMMYFUNCTION("""COMPUTED_VALUE"""),"pneumophila")</f>
        <v>pneumophila</v>
      </c>
      <c r="G3007" t="str">
        <f>IFERROR(__xludf.DUMMYFUNCTION("""COMPUTED_VALUE"""),"str.")</f>
        <v>str.</v>
      </c>
      <c r="H3007" t="str">
        <f>IFERROR(__xludf.DUMMYFUNCTION("""COMPUTED_VALUE"""),"Thunder")</f>
        <v>Thunder</v>
      </c>
      <c r="I3007" t="str">
        <f>IFERROR(__xludf.DUMMYFUNCTION("""COMPUTED_VALUE"""),"Bay")</f>
        <v>Bay</v>
      </c>
    </row>
    <row r="3008" ht="15.75" customHeight="1">
      <c r="A3008" t="str">
        <f t="shared" si="1"/>
        <v>L.pneumophila</v>
      </c>
      <c r="B3008" s="5" t="s">
        <v>15024</v>
      </c>
      <c r="C3008" s="6" t="str">
        <f>IFERROR(__xludf.DUMMYFUNCTION("SPLIT('2. c'!B3008, "" "", True, True)"),"Legionella")</f>
        <v>Legionella</v>
      </c>
      <c r="D3008" t="str">
        <f>IFERROR(__xludf.DUMMYFUNCTION("""COMPUTED_VALUE"""),"pneumophila")</f>
        <v>pneumophila</v>
      </c>
      <c r="E3008" t="str">
        <f>IFERROR(__xludf.DUMMYFUNCTION("""COMPUTED_VALUE"""),"subsp.")</f>
        <v>subsp.</v>
      </c>
      <c r="F3008" t="str">
        <f>IFERROR(__xludf.DUMMYFUNCTION("""COMPUTED_VALUE"""),"pneumophila")</f>
        <v>pneumophila</v>
      </c>
      <c r="G3008" t="str">
        <f>IFERROR(__xludf.DUMMYFUNCTION("""COMPUTED_VALUE"""),"strain")</f>
        <v>strain</v>
      </c>
      <c r="H3008" t="str">
        <f>IFERROR(__xludf.DUMMYFUNCTION("""COMPUTED_VALUE"""),"HL06041035")</f>
        <v>HL06041035</v>
      </c>
    </row>
    <row r="3009" ht="15.75" customHeight="1">
      <c r="A3009" t="str">
        <f t="shared" si="1"/>
        <v>L.xyli</v>
      </c>
      <c r="B3009" s="5" t="s">
        <v>15033</v>
      </c>
      <c r="C3009" s="6" t="str">
        <f>IFERROR(__xludf.DUMMYFUNCTION("SPLIT('2. c'!B3009, "" "", True, True)"),"Leifsonia")</f>
        <v>Leifsonia</v>
      </c>
      <c r="D3009" t="str">
        <f>IFERROR(__xludf.DUMMYFUNCTION("""COMPUTED_VALUE"""),"xyli")</f>
        <v>xyli</v>
      </c>
      <c r="E3009" t="str">
        <f>IFERROR(__xludf.DUMMYFUNCTION("""COMPUTED_VALUE"""),"strain")</f>
        <v>strain</v>
      </c>
      <c r="F3009" t="str">
        <f>IFERROR(__xludf.DUMMYFUNCTION("""COMPUTED_VALUE"""),"SE134")</f>
        <v>SE134</v>
      </c>
    </row>
    <row r="3010" ht="15.75" customHeight="1">
      <c r="A3010" t="str">
        <f t="shared" si="1"/>
        <v>L.xyli</v>
      </c>
      <c r="B3010" s="5" t="s">
        <v>15041</v>
      </c>
      <c r="C3010" s="6" t="str">
        <f>IFERROR(__xludf.DUMMYFUNCTION("SPLIT('2. c'!B3010, "" "", True, True)"),"Leifsonia")</f>
        <v>Leifsonia</v>
      </c>
      <c r="D3010" t="str">
        <f>IFERROR(__xludf.DUMMYFUNCTION("""COMPUTED_VALUE"""),"xyli")</f>
        <v>xyli</v>
      </c>
      <c r="E3010" t="str">
        <f>IFERROR(__xludf.DUMMYFUNCTION("""COMPUTED_VALUE"""),"subsp.")</f>
        <v>subsp.</v>
      </c>
      <c r="F3010" t="str">
        <f>IFERROR(__xludf.DUMMYFUNCTION("""COMPUTED_VALUE"""),"cynodontis")</f>
        <v>cynodontis</v>
      </c>
      <c r="G3010" t="str">
        <f>IFERROR(__xludf.DUMMYFUNCTION("""COMPUTED_VALUE"""),"DSM")</f>
        <v>DSM</v>
      </c>
      <c r="H3010">
        <f>IFERROR(__xludf.DUMMYFUNCTION("""COMPUTED_VALUE"""),46306.0)</f>
        <v>46306</v>
      </c>
    </row>
    <row r="3011" ht="15.75" customHeight="1">
      <c r="A3011" t="str">
        <f t="shared" si="1"/>
        <v>L.xyli</v>
      </c>
      <c r="B3011" s="5" t="s">
        <v>15051</v>
      </c>
      <c r="C3011" s="6" t="str">
        <f>IFERROR(__xludf.DUMMYFUNCTION("SPLIT('2. c'!B3011, "" "", True, True)"),"Leifsonia")</f>
        <v>Leifsonia</v>
      </c>
      <c r="D3011" t="str">
        <f>IFERROR(__xludf.DUMMYFUNCTION("""COMPUTED_VALUE"""),"xyli")</f>
        <v>xyli</v>
      </c>
      <c r="E3011" t="str">
        <f>IFERROR(__xludf.DUMMYFUNCTION("""COMPUTED_VALUE"""),"subsp.")</f>
        <v>subsp.</v>
      </c>
      <c r="F3011" t="str">
        <f>IFERROR(__xludf.DUMMYFUNCTION("""COMPUTED_VALUE"""),"xyli")</f>
        <v>xyli</v>
      </c>
      <c r="G3011" t="str">
        <f>IFERROR(__xludf.DUMMYFUNCTION("""COMPUTED_VALUE"""),"str.")</f>
        <v>str.</v>
      </c>
      <c r="H3011" t="str">
        <f>IFERROR(__xludf.DUMMYFUNCTION("""COMPUTED_VALUE"""),"CTCB07")</f>
        <v>CTCB07</v>
      </c>
    </row>
    <row r="3012" ht="15.75" customHeight="1">
      <c r="A3012" t="str">
        <f t="shared" si="1"/>
        <v>L.methylohalidivorans</v>
      </c>
      <c r="B3012" s="5" t="s">
        <v>15065</v>
      </c>
      <c r="C3012" s="6" t="str">
        <f>IFERROR(__xludf.DUMMYFUNCTION("SPLIT('2. c'!B3012, "" "", True, True)"),"Leisingera")</f>
        <v>Leisingera</v>
      </c>
      <c r="D3012" t="str">
        <f>IFERROR(__xludf.DUMMYFUNCTION("""COMPUTED_VALUE"""),"methylohalidivorans")</f>
        <v>methylohalidivorans</v>
      </c>
      <c r="E3012" t="str">
        <f>IFERROR(__xludf.DUMMYFUNCTION("""COMPUTED_VALUE"""),"DSM")</f>
        <v>DSM</v>
      </c>
      <c r="F3012">
        <f>IFERROR(__xludf.DUMMYFUNCTION("""COMPUTED_VALUE"""),14336.0)</f>
        <v>14336</v>
      </c>
    </row>
    <row r="3013" ht="15.75" customHeight="1">
      <c r="A3013" t="str">
        <f t="shared" si="1"/>
        <v>L.amnigena</v>
      </c>
      <c r="B3013" s="5" t="s">
        <v>15074</v>
      </c>
      <c r="C3013" s="6" t="str">
        <f>IFERROR(__xludf.DUMMYFUNCTION("SPLIT('2. c'!B3013, "" "", True, True)"),"Lelliottia")</f>
        <v>Lelliottia</v>
      </c>
      <c r="D3013" t="str">
        <f>IFERROR(__xludf.DUMMYFUNCTION("""COMPUTED_VALUE"""),"amnigena")</f>
        <v>amnigena</v>
      </c>
      <c r="E3013" t="str">
        <f>IFERROR(__xludf.DUMMYFUNCTION("""COMPUTED_VALUE"""),"strain")</f>
        <v>strain</v>
      </c>
      <c r="F3013" t="str">
        <f>IFERROR(__xludf.DUMMYFUNCTION("""COMPUTED_VALUE"""),"ZB04")</f>
        <v>ZB04</v>
      </c>
    </row>
    <row r="3014" ht="15.75" customHeight="1">
      <c r="A3014" t="str">
        <f t="shared" si="1"/>
        <v>L.sp.</v>
      </c>
      <c r="B3014" s="5" t="s">
        <v>15082</v>
      </c>
      <c r="C3014" s="6" t="str">
        <f>IFERROR(__xludf.DUMMYFUNCTION("SPLIT('2. c'!B3014, "" "", True, True)"),"Leptolyngbya")</f>
        <v>Leptolyngbya</v>
      </c>
      <c r="D3014" t="str">
        <f>IFERROR(__xludf.DUMMYFUNCTION("""COMPUTED_VALUE"""),"sp.")</f>
        <v>sp.</v>
      </c>
      <c r="E3014" t="str">
        <f>IFERROR(__xludf.DUMMYFUNCTION("""COMPUTED_VALUE"""),"NIES-3755")</f>
        <v>NIES-3755</v>
      </c>
    </row>
    <row r="3015" ht="15.75" customHeight="1">
      <c r="A3015" t="str">
        <f t="shared" si="1"/>
        <v>L.sp.</v>
      </c>
      <c r="B3015" s="5" t="s">
        <v>15090</v>
      </c>
      <c r="C3015" s="6" t="str">
        <f>IFERROR(__xludf.DUMMYFUNCTION("SPLIT('2. c'!B3015, "" "", True, True)"),"Leptolyngbya")</f>
        <v>Leptolyngbya</v>
      </c>
      <c r="D3015" t="str">
        <f>IFERROR(__xludf.DUMMYFUNCTION("""COMPUTED_VALUE"""),"sp.")</f>
        <v>sp.</v>
      </c>
      <c r="E3015" t="str">
        <f>IFERROR(__xludf.DUMMYFUNCTION("""COMPUTED_VALUE"""),"O-77")</f>
        <v>O-77</v>
      </c>
    </row>
    <row r="3016" ht="15.75" customHeight="1">
      <c r="A3016" t="str">
        <f t="shared" si="1"/>
        <v>L.sp.</v>
      </c>
      <c r="B3016" s="5" t="s">
        <v>15096</v>
      </c>
      <c r="C3016" s="6" t="str">
        <f>IFERROR(__xludf.DUMMYFUNCTION("SPLIT('2. c'!B3016, "" "", True, True)"),"Leptolyngbya")</f>
        <v>Leptolyngbya</v>
      </c>
      <c r="D3016" t="str">
        <f>IFERROR(__xludf.DUMMYFUNCTION("""COMPUTED_VALUE"""),"sp.")</f>
        <v>sp.</v>
      </c>
      <c r="E3016" t="str">
        <f>IFERROR(__xludf.DUMMYFUNCTION("""COMPUTED_VALUE"""),"PCC")</f>
        <v>PCC</v>
      </c>
      <c r="F3016">
        <f>IFERROR(__xludf.DUMMYFUNCTION("""COMPUTED_VALUE"""),7376.0)</f>
        <v>7376</v>
      </c>
    </row>
    <row r="3017" ht="15.75" customHeight="1">
      <c r="A3017" t="str">
        <f t="shared" si="1"/>
        <v>L.biflexa</v>
      </c>
      <c r="B3017" s="5" t="s">
        <v>15106</v>
      </c>
      <c r="C3017" s="6" t="str">
        <f>IFERROR(__xludf.DUMMYFUNCTION("SPLIT('2. c'!B3017, "" "", True, True)"),"Leptospira")</f>
        <v>Leptospira</v>
      </c>
      <c r="D3017" t="str">
        <f>IFERROR(__xludf.DUMMYFUNCTION("""COMPUTED_VALUE"""),"biflexa")</f>
        <v>biflexa</v>
      </c>
      <c r="E3017" t="str">
        <f>IFERROR(__xludf.DUMMYFUNCTION("""COMPUTED_VALUE"""),"serovar")</f>
        <v>serovar</v>
      </c>
      <c r="F3017" t="str">
        <f>IFERROR(__xludf.DUMMYFUNCTION("""COMPUTED_VALUE"""),"Patoc")</f>
        <v>Patoc</v>
      </c>
      <c r="G3017" t="str">
        <f>IFERROR(__xludf.DUMMYFUNCTION("""COMPUTED_VALUE"""),"strain")</f>
        <v>strain</v>
      </c>
      <c r="H3017" t="str">
        <f>IFERROR(__xludf.DUMMYFUNCTION("""COMPUTED_VALUE"""),"Patoc")</f>
        <v>Patoc</v>
      </c>
      <c r="I3017">
        <f>IFERROR(__xludf.DUMMYFUNCTION("""COMPUTED_VALUE"""),1.0)</f>
        <v>1</v>
      </c>
      <c r="J3017" t="str">
        <f>IFERROR(__xludf.DUMMYFUNCTION("""COMPUTED_VALUE"""),"(Ames)'")</f>
        <v>(Ames)'</v>
      </c>
    </row>
    <row r="3018" ht="15.75" customHeight="1">
      <c r="A3018" t="str">
        <f t="shared" si="1"/>
        <v>L.biflexa</v>
      </c>
      <c r="B3018" s="5" t="s">
        <v>15115</v>
      </c>
      <c r="C3018" s="6" t="str">
        <f>IFERROR(__xludf.DUMMYFUNCTION("SPLIT('2. c'!B3018, "" "", True, True)"),"Leptospira")</f>
        <v>Leptospira</v>
      </c>
      <c r="D3018" t="str">
        <f>IFERROR(__xludf.DUMMYFUNCTION("""COMPUTED_VALUE"""),"biflexa")</f>
        <v>biflexa</v>
      </c>
      <c r="E3018" t="str">
        <f>IFERROR(__xludf.DUMMYFUNCTION("""COMPUTED_VALUE"""),"serovar")</f>
        <v>serovar</v>
      </c>
      <c r="F3018" t="str">
        <f>IFERROR(__xludf.DUMMYFUNCTION("""COMPUTED_VALUE"""),"Patoc")</f>
        <v>Patoc</v>
      </c>
      <c r="G3018" t="str">
        <f>IFERROR(__xludf.DUMMYFUNCTION("""COMPUTED_VALUE"""),"strain")</f>
        <v>strain</v>
      </c>
      <c r="H3018" t="str">
        <f>IFERROR(__xludf.DUMMYFUNCTION("""COMPUTED_VALUE"""),"Patoc")</f>
        <v>Patoc</v>
      </c>
      <c r="I3018">
        <f>IFERROR(__xludf.DUMMYFUNCTION("""COMPUTED_VALUE"""),1.0)</f>
        <v>1</v>
      </c>
      <c r="J3018" t="str">
        <f>IFERROR(__xludf.DUMMYFUNCTION("""COMPUTED_VALUE"""),"(Paris)'")</f>
        <v>(Paris)'</v>
      </c>
    </row>
    <row r="3019" ht="15.75" customHeight="1">
      <c r="A3019" t="str">
        <f t="shared" si="1"/>
        <v>L.borgpetersenii</v>
      </c>
      <c r="B3019" s="5" t="s">
        <v>15125</v>
      </c>
      <c r="C3019" s="6" t="str">
        <f>IFERROR(__xludf.DUMMYFUNCTION("SPLIT('2. c'!B3019, "" "", True, True)"),"Leptospira")</f>
        <v>Leptospira</v>
      </c>
      <c r="D3019" t="str">
        <f>IFERROR(__xludf.DUMMYFUNCTION("""COMPUTED_VALUE"""),"borgpetersenii")</f>
        <v>borgpetersenii</v>
      </c>
      <c r="E3019" t="str">
        <f>IFERROR(__xludf.DUMMYFUNCTION("""COMPUTED_VALUE"""),"serovar")</f>
        <v>serovar</v>
      </c>
      <c r="F3019" t="str">
        <f>IFERROR(__xludf.DUMMYFUNCTION("""COMPUTED_VALUE"""),"Ballum")</f>
        <v>Ballum</v>
      </c>
      <c r="G3019" t="str">
        <f>IFERROR(__xludf.DUMMYFUNCTION("""COMPUTED_VALUE"""),"strain")</f>
        <v>strain</v>
      </c>
      <c r="H3019">
        <f>IFERROR(__xludf.DUMMYFUNCTION("""COMPUTED_VALUE"""),56604.0)</f>
        <v>56604</v>
      </c>
    </row>
    <row r="3020" ht="15.75" customHeight="1">
      <c r="A3020" t="str">
        <f t="shared" si="1"/>
        <v>L.borgpetersenii</v>
      </c>
      <c r="B3020" s="5" t="s">
        <v>15133</v>
      </c>
      <c r="C3020" s="6" t="str">
        <f>IFERROR(__xludf.DUMMYFUNCTION("SPLIT('2. c'!B3020, "" "", True, True)"),"Leptospira")</f>
        <v>Leptospira</v>
      </c>
      <c r="D3020" t="str">
        <f>IFERROR(__xludf.DUMMYFUNCTION("""COMPUTED_VALUE"""),"borgpetersenii")</f>
        <v>borgpetersenii</v>
      </c>
      <c r="E3020" t="str">
        <f>IFERROR(__xludf.DUMMYFUNCTION("""COMPUTED_VALUE"""),"serovar")</f>
        <v>serovar</v>
      </c>
      <c r="F3020" t="str">
        <f>IFERROR(__xludf.DUMMYFUNCTION("""COMPUTED_VALUE"""),"Hardjo")</f>
        <v>Hardjo</v>
      </c>
    </row>
    <row r="3021" ht="15.75" customHeight="1">
      <c r="A3021" t="str">
        <f t="shared" si="1"/>
        <v>L.borgpetersenii</v>
      </c>
      <c r="B3021" s="5" t="s">
        <v>15133</v>
      </c>
      <c r="C3021" s="6" t="str">
        <f>IFERROR(__xludf.DUMMYFUNCTION("SPLIT('2. c'!B3021, "" "", True, True)"),"Leptospira")</f>
        <v>Leptospira</v>
      </c>
      <c r="D3021" t="str">
        <f>IFERROR(__xludf.DUMMYFUNCTION("""COMPUTED_VALUE"""),"borgpetersenii")</f>
        <v>borgpetersenii</v>
      </c>
      <c r="E3021" t="str">
        <f>IFERROR(__xludf.DUMMYFUNCTION("""COMPUTED_VALUE"""),"serovar")</f>
        <v>serovar</v>
      </c>
      <c r="F3021" t="str">
        <f>IFERROR(__xludf.DUMMYFUNCTION("""COMPUTED_VALUE"""),"Hardjo")</f>
        <v>Hardjo</v>
      </c>
    </row>
    <row r="3022" ht="15.75" customHeight="1">
      <c r="A3022" t="str">
        <f t="shared" si="1"/>
        <v>L.borgpetersenii</v>
      </c>
      <c r="B3022" s="5" t="s">
        <v>15133</v>
      </c>
      <c r="C3022" s="6" t="str">
        <f>IFERROR(__xludf.DUMMYFUNCTION("SPLIT('2. c'!B3022, "" "", True, True)"),"Leptospira")</f>
        <v>Leptospira</v>
      </c>
      <c r="D3022" t="str">
        <f>IFERROR(__xludf.DUMMYFUNCTION("""COMPUTED_VALUE"""),"borgpetersenii")</f>
        <v>borgpetersenii</v>
      </c>
      <c r="E3022" t="str">
        <f>IFERROR(__xludf.DUMMYFUNCTION("""COMPUTED_VALUE"""),"serovar")</f>
        <v>serovar</v>
      </c>
      <c r="F3022" t="str">
        <f>IFERROR(__xludf.DUMMYFUNCTION("""COMPUTED_VALUE"""),"Hardjo")</f>
        <v>Hardjo</v>
      </c>
    </row>
    <row r="3023" ht="15.75" customHeight="1">
      <c r="A3023" t="str">
        <f t="shared" si="1"/>
        <v>L.borgpetersenii</v>
      </c>
      <c r="B3023" s="5" t="s">
        <v>15133</v>
      </c>
      <c r="C3023" s="6" t="str">
        <f>IFERROR(__xludf.DUMMYFUNCTION("SPLIT('2. c'!B3023, "" "", True, True)"),"Leptospira")</f>
        <v>Leptospira</v>
      </c>
      <c r="D3023" t="str">
        <f>IFERROR(__xludf.DUMMYFUNCTION("""COMPUTED_VALUE"""),"borgpetersenii")</f>
        <v>borgpetersenii</v>
      </c>
      <c r="E3023" t="str">
        <f>IFERROR(__xludf.DUMMYFUNCTION("""COMPUTED_VALUE"""),"serovar")</f>
        <v>serovar</v>
      </c>
      <c r="F3023" t="str">
        <f>IFERROR(__xludf.DUMMYFUNCTION("""COMPUTED_VALUE"""),"Hardjo")</f>
        <v>Hardjo</v>
      </c>
    </row>
    <row r="3024" ht="15.75" customHeight="1">
      <c r="A3024" t="str">
        <f t="shared" si="1"/>
        <v>L.borgpetersenii</v>
      </c>
      <c r="B3024" s="5" t="s">
        <v>15133</v>
      </c>
      <c r="C3024" s="6" t="str">
        <f>IFERROR(__xludf.DUMMYFUNCTION("SPLIT('2. c'!B3024, "" "", True, True)"),"Leptospira")</f>
        <v>Leptospira</v>
      </c>
      <c r="D3024" t="str">
        <f>IFERROR(__xludf.DUMMYFUNCTION("""COMPUTED_VALUE"""),"borgpetersenii")</f>
        <v>borgpetersenii</v>
      </c>
      <c r="E3024" t="str">
        <f>IFERROR(__xludf.DUMMYFUNCTION("""COMPUTED_VALUE"""),"serovar")</f>
        <v>serovar</v>
      </c>
      <c r="F3024" t="str">
        <f>IFERROR(__xludf.DUMMYFUNCTION("""COMPUTED_VALUE"""),"Hardjo")</f>
        <v>Hardjo</v>
      </c>
    </row>
    <row r="3025" ht="15.75" customHeight="1">
      <c r="A3025" t="str">
        <f t="shared" si="1"/>
        <v>L.borgpetersenii</v>
      </c>
      <c r="B3025" s="5" t="s">
        <v>15169</v>
      </c>
      <c r="C3025" s="6" t="str">
        <f>IFERROR(__xludf.DUMMYFUNCTION("SPLIT('2. c'!B3025, "" "", True, True)"),"Leptospira")</f>
        <v>Leptospira</v>
      </c>
      <c r="D3025" t="str">
        <f>IFERROR(__xludf.DUMMYFUNCTION("""COMPUTED_VALUE"""),"borgpetersenii")</f>
        <v>borgpetersenii</v>
      </c>
      <c r="E3025" t="str">
        <f>IFERROR(__xludf.DUMMYFUNCTION("""COMPUTED_VALUE"""),"serovar")</f>
        <v>serovar</v>
      </c>
      <c r="F3025" t="str">
        <f>IFERROR(__xludf.DUMMYFUNCTION("""COMPUTED_VALUE"""),"Hardjo-bovis")</f>
        <v>Hardjo-bovis</v>
      </c>
      <c r="G3025" t="str">
        <f>IFERROR(__xludf.DUMMYFUNCTION("""COMPUTED_VALUE"""),"str.")</f>
        <v>str.</v>
      </c>
      <c r="H3025" t="str">
        <f>IFERROR(__xludf.DUMMYFUNCTION("""COMPUTED_VALUE"""),"JB197")</f>
        <v>JB197</v>
      </c>
    </row>
    <row r="3026" ht="15.75" customHeight="1">
      <c r="A3026" t="str">
        <f t="shared" si="1"/>
        <v>L.borgpetersenii</v>
      </c>
      <c r="B3026" s="5" t="s">
        <v>15178</v>
      </c>
      <c r="C3026" s="6" t="str">
        <f>IFERROR(__xludf.DUMMYFUNCTION("SPLIT('2. c'!B3026, "" "", True, True)"),"Leptospira")</f>
        <v>Leptospira</v>
      </c>
      <c r="D3026" t="str">
        <f>IFERROR(__xludf.DUMMYFUNCTION("""COMPUTED_VALUE"""),"borgpetersenii")</f>
        <v>borgpetersenii</v>
      </c>
      <c r="E3026" t="str">
        <f>IFERROR(__xludf.DUMMYFUNCTION("""COMPUTED_VALUE"""),"serovar")</f>
        <v>serovar</v>
      </c>
      <c r="F3026" t="str">
        <f>IFERROR(__xludf.DUMMYFUNCTION("""COMPUTED_VALUE"""),"Hardjo-bovis")</f>
        <v>Hardjo-bovis</v>
      </c>
      <c r="G3026" t="str">
        <f>IFERROR(__xludf.DUMMYFUNCTION("""COMPUTED_VALUE"""),"str.")</f>
        <v>str.</v>
      </c>
      <c r="H3026" t="str">
        <f>IFERROR(__xludf.DUMMYFUNCTION("""COMPUTED_VALUE"""),"L550")</f>
        <v>L550</v>
      </c>
    </row>
    <row r="3027" ht="15.75" customHeight="1">
      <c r="A3027" t="str">
        <f t="shared" si="1"/>
        <v>L.borgpetersenii</v>
      </c>
      <c r="B3027" s="5" t="s">
        <v>15190</v>
      </c>
      <c r="C3027" s="6" t="str">
        <f>IFERROR(__xludf.DUMMYFUNCTION("SPLIT('2. c'!B3027, "" "", True, True)"),"Leptospira")</f>
        <v>Leptospira</v>
      </c>
      <c r="D3027" t="str">
        <f>IFERROR(__xludf.DUMMYFUNCTION("""COMPUTED_VALUE"""),"borgpetersenii")</f>
        <v>borgpetersenii</v>
      </c>
      <c r="E3027" t="str">
        <f>IFERROR(__xludf.DUMMYFUNCTION("""COMPUTED_VALUE"""),"str.")</f>
        <v>str.</v>
      </c>
      <c r="F3027" t="str">
        <f>IFERROR(__xludf.DUMMYFUNCTION("""COMPUTED_VALUE"""),"4E")</f>
        <v>4E</v>
      </c>
    </row>
    <row r="3028" ht="15.75" customHeight="1">
      <c r="A3028" t="str">
        <f t="shared" si="1"/>
        <v>L.interrogans</v>
      </c>
      <c r="B3028" s="5" t="s">
        <v>15197</v>
      </c>
      <c r="C3028" s="6" t="str">
        <f>IFERROR(__xludf.DUMMYFUNCTION("SPLIT('2. c'!B3028, "" "", True, True)"),"Leptospira")</f>
        <v>Leptospira</v>
      </c>
      <c r="D3028" t="str">
        <f>IFERROR(__xludf.DUMMYFUNCTION("""COMPUTED_VALUE"""),"interrogans")</f>
        <v>interrogans</v>
      </c>
      <c r="E3028" t="str">
        <f>IFERROR(__xludf.DUMMYFUNCTION("""COMPUTED_VALUE"""),"serovar")</f>
        <v>serovar</v>
      </c>
      <c r="F3028" t="str">
        <f>IFERROR(__xludf.DUMMYFUNCTION("""COMPUTED_VALUE"""),"Bratislava")</f>
        <v>Bratislava</v>
      </c>
      <c r="G3028" t="str">
        <f>IFERROR(__xludf.DUMMYFUNCTION("""COMPUTED_VALUE"""),"strain")</f>
        <v>strain</v>
      </c>
      <c r="H3028" t="str">
        <f>IFERROR(__xludf.DUMMYFUNCTION("""COMPUTED_VALUE"""),"PigK151")</f>
        <v>PigK151</v>
      </c>
    </row>
    <row r="3029" ht="15.75" customHeight="1">
      <c r="A3029" t="str">
        <f t="shared" si="1"/>
        <v>L.interrogans</v>
      </c>
      <c r="B3029" s="5" t="s">
        <v>15205</v>
      </c>
      <c r="C3029" s="6" t="str">
        <f>IFERROR(__xludf.DUMMYFUNCTION("SPLIT('2. c'!B3029, "" "", True, True)"),"Leptospira")</f>
        <v>Leptospira</v>
      </c>
      <c r="D3029" t="str">
        <f>IFERROR(__xludf.DUMMYFUNCTION("""COMPUTED_VALUE"""),"interrogans")</f>
        <v>interrogans</v>
      </c>
      <c r="E3029" t="str">
        <f>IFERROR(__xludf.DUMMYFUNCTION("""COMPUTED_VALUE"""),"serovar")</f>
        <v>serovar</v>
      </c>
      <c r="F3029" t="str">
        <f>IFERROR(__xludf.DUMMYFUNCTION("""COMPUTED_VALUE"""),"Copenhageni")</f>
        <v>Copenhageni</v>
      </c>
      <c r="G3029" t="str">
        <f>IFERROR(__xludf.DUMMYFUNCTION("""COMPUTED_VALUE"""),"str.")</f>
        <v>str.</v>
      </c>
      <c r="H3029" t="str">
        <f>IFERROR(__xludf.DUMMYFUNCTION("""COMPUTED_VALUE"""),"Fiocruz")</f>
        <v>Fiocruz</v>
      </c>
      <c r="I3029" t="str">
        <f>IFERROR(__xludf.DUMMYFUNCTION("""COMPUTED_VALUE"""),"L1-130")</f>
        <v>L1-130</v>
      </c>
    </row>
    <row r="3030" ht="15.75" customHeight="1">
      <c r="A3030" t="str">
        <f t="shared" si="1"/>
        <v>L.interrogans</v>
      </c>
      <c r="B3030" s="5" t="s">
        <v>15214</v>
      </c>
      <c r="C3030" s="6" t="str">
        <f>IFERROR(__xludf.DUMMYFUNCTION("SPLIT('2. c'!B3030, "" "", True, True)"),"Leptospira")</f>
        <v>Leptospira</v>
      </c>
      <c r="D3030" t="str">
        <f>IFERROR(__xludf.DUMMYFUNCTION("""COMPUTED_VALUE"""),"interrogans")</f>
        <v>interrogans</v>
      </c>
      <c r="E3030" t="str">
        <f>IFERROR(__xludf.DUMMYFUNCTION("""COMPUTED_VALUE"""),"serovar")</f>
        <v>serovar</v>
      </c>
      <c r="F3030" t="str">
        <f>IFERROR(__xludf.DUMMYFUNCTION("""COMPUTED_VALUE"""),"Hardjo")</f>
        <v>Hardjo</v>
      </c>
      <c r="G3030" t="str">
        <f>IFERROR(__xludf.DUMMYFUNCTION("""COMPUTED_VALUE"""),"str.")</f>
        <v>str.</v>
      </c>
      <c r="H3030" t="str">
        <f>IFERROR(__xludf.DUMMYFUNCTION("""COMPUTED_VALUE"""),"Norma")</f>
        <v>Norma</v>
      </c>
    </row>
    <row r="3031" ht="15.75" customHeight="1">
      <c r="A3031" t="str">
        <f t="shared" si="1"/>
        <v>L.interrogans</v>
      </c>
      <c r="B3031" s="5" t="s">
        <v>15224</v>
      </c>
      <c r="C3031" s="6" t="str">
        <f>IFERROR(__xludf.DUMMYFUNCTION("SPLIT('2. c'!B3031, "" "", True, True)"),"Leptospira")</f>
        <v>Leptospira</v>
      </c>
      <c r="D3031" t="str">
        <f>IFERROR(__xludf.DUMMYFUNCTION("""COMPUTED_VALUE"""),"interrogans")</f>
        <v>interrogans</v>
      </c>
      <c r="E3031" t="str">
        <f>IFERROR(__xludf.DUMMYFUNCTION("""COMPUTED_VALUE"""),"serovar")</f>
        <v>serovar</v>
      </c>
      <c r="F3031" t="str">
        <f>IFERROR(__xludf.DUMMYFUNCTION("""COMPUTED_VALUE"""),"Hardjo-prajitno")</f>
        <v>Hardjo-prajitno</v>
      </c>
    </row>
    <row r="3032" ht="15.75" customHeight="1">
      <c r="A3032" t="str">
        <f t="shared" si="1"/>
        <v>L.interrogans</v>
      </c>
      <c r="B3032" s="5" t="s">
        <v>15235</v>
      </c>
      <c r="C3032" s="6" t="str">
        <f>IFERROR(__xludf.DUMMYFUNCTION("SPLIT('2. c'!B3032, "" "", True, True)"),"Leptospira")</f>
        <v>Leptospira</v>
      </c>
      <c r="D3032" t="str">
        <f>IFERROR(__xludf.DUMMYFUNCTION("""COMPUTED_VALUE"""),"interrogans")</f>
        <v>interrogans</v>
      </c>
      <c r="E3032" t="str">
        <f>IFERROR(__xludf.DUMMYFUNCTION("""COMPUTED_VALUE"""),"serovar")</f>
        <v>serovar</v>
      </c>
      <c r="F3032" t="str">
        <f>IFERROR(__xludf.DUMMYFUNCTION("""COMPUTED_VALUE"""),"Lai")</f>
        <v>Lai</v>
      </c>
      <c r="G3032" t="str">
        <f>IFERROR(__xludf.DUMMYFUNCTION("""COMPUTED_VALUE"""),"str.")</f>
        <v>str.</v>
      </c>
      <c r="H3032">
        <f>IFERROR(__xludf.DUMMYFUNCTION("""COMPUTED_VALUE"""),56601.0)</f>
        <v>56601</v>
      </c>
    </row>
    <row r="3033" ht="15.75" customHeight="1">
      <c r="A3033" t="str">
        <f t="shared" si="1"/>
        <v>L.interrogans</v>
      </c>
      <c r="B3033" s="5" t="s">
        <v>15245</v>
      </c>
      <c r="C3033" s="6" t="str">
        <f>IFERROR(__xludf.DUMMYFUNCTION("SPLIT('2. c'!B3033, "" "", True, True)"),"Leptospira")</f>
        <v>Leptospira</v>
      </c>
      <c r="D3033" t="str">
        <f>IFERROR(__xludf.DUMMYFUNCTION("""COMPUTED_VALUE"""),"interrogans")</f>
        <v>interrogans</v>
      </c>
      <c r="E3033" t="str">
        <f>IFERROR(__xludf.DUMMYFUNCTION("""COMPUTED_VALUE"""),"serovar")</f>
        <v>serovar</v>
      </c>
      <c r="F3033" t="str">
        <f>IFERROR(__xludf.DUMMYFUNCTION("""COMPUTED_VALUE"""),"Lai")</f>
        <v>Lai</v>
      </c>
      <c r="G3033" t="str">
        <f>IFERROR(__xludf.DUMMYFUNCTION("""COMPUTED_VALUE"""),"str.")</f>
        <v>str.</v>
      </c>
      <c r="H3033" t="str">
        <f>IFERROR(__xludf.DUMMYFUNCTION("""COMPUTED_VALUE"""),"IPAV")</f>
        <v>IPAV</v>
      </c>
    </row>
    <row r="3034" ht="15.75" customHeight="1">
      <c r="A3034" t="str">
        <f t="shared" si="1"/>
        <v>L.interrogans</v>
      </c>
      <c r="B3034" s="5" t="s">
        <v>15254</v>
      </c>
      <c r="C3034" s="6" t="str">
        <f>IFERROR(__xludf.DUMMYFUNCTION("SPLIT('2. c'!B3034, "" "", True, True)"),"Leptospira")</f>
        <v>Leptospira</v>
      </c>
      <c r="D3034" t="str">
        <f>IFERROR(__xludf.DUMMYFUNCTION("""COMPUTED_VALUE"""),"interrogans")</f>
        <v>interrogans</v>
      </c>
      <c r="E3034" t="str">
        <f>IFERROR(__xludf.DUMMYFUNCTION("""COMPUTED_VALUE"""),"serovar")</f>
        <v>serovar</v>
      </c>
      <c r="F3034" t="str">
        <f>IFERROR(__xludf.DUMMYFUNCTION("""COMPUTED_VALUE"""),"Linhai")</f>
        <v>Linhai</v>
      </c>
      <c r="G3034" t="str">
        <f>IFERROR(__xludf.DUMMYFUNCTION("""COMPUTED_VALUE"""),"str.")</f>
        <v>str.</v>
      </c>
      <c r="H3034">
        <f>IFERROR(__xludf.DUMMYFUNCTION("""COMPUTED_VALUE"""),56609.0)</f>
        <v>56609</v>
      </c>
    </row>
    <row r="3035" ht="15.75" customHeight="1">
      <c r="A3035" t="str">
        <f t="shared" si="1"/>
        <v>L.interrogans</v>
      </c>
      <c r="B3035" s="5" t="s">
        <v>15264</v>
      </c>
      <c r="C3035" s="6" t="str">
        <f>IFERROR(__xludf.DUMMYFUNCTION("SPLIT('2. c'!B3035, "" "", True, True)"),"Leptospira")</f>
        <v>Leptospira</v>
      </c>
      <c r="D3035" t="str">
        <f>IFERROR(__xludf.DUMMYFUNCTION("""COMPUTED_VALUE"""),"interrogans")</f>
        <v>interrogans</v>
      </c>
      <c r="E3035" t="str">
        <f>IFERROR(__xludf.DUMMYFUNCTION("""COMPUTED_VALUE"""),"serovar")</f>
        <v>serovar</v>
      </c>
      <c r="F3035" t="str">
        <f>IFERROR(__xludf.DUMMYFUNCTION("""COMPUTED_VALUE"""),"Manilae")</f>
        <v>Manilae</v>
      </c>
      <c r="G3035" t="str">
        <f>IFERROR(__xludf.DUMMYFUNCTION("""COMPUTED_VALUE"""),"strain")</f>
        <v>strain</v>
      </c>
      <c r="H3035" t="str">
        <f>IFERROR(__xludf.DUMMYFUNCTION("""COMPUTED_VALUE"""),"UP-MMC-NIID")</f>
        <v>UP-MMC-NIID</v>
      </c>
      <c r="I3035" t="str">
        <f>IFERROR(__xludf.DUMMYFUNCTION("""COMPUTED_VALUE"""),"HP")</f>
        <v>HP</v>
      </c>
    </row>
    <row r="3036" ht="15.75" customHeight="1">
      <c r="A3036" t="str">
        <f t="shared" si="1"/>
        <v>L.interrogans</v>
      </c>
      <c r="B3036" s="5" t="s">
        <v>15272</v>
      </c>
      <c r="C3036" s="6" t="str">
        <f>IFERROR(__xludf.DUMMYFUNCTION("SPLIT('2. c'!B3036, "" "", True, True)"),"Leptospira")</f>
        <v>Leptospira</v>
      </c>
      <c r="D3036" t="str">
        <f>IFERROR(__xludf.DUMMYFUNCTION("""COMPUTED_VALUE"""),"interrogans")</f>
        <v>interrogans</v>
      </c>
      <c r="E3036" t="str">
        <f>IFERROR(__xludf.DUMMYFUNCTION("""COMPUTED_VALUE"""),"serovar")</f>
        <v>serovar</v>
      </c>
      <c r="F3036" t="str">
        <f>IFERROR(__xludf.DUMMYFUNCTION("""COMPUTED_VALUE"""),"Manilae")</f>
        <v>Manilae</v>
      </c>
      <c r="G3036" t="str">
        <f>IFERROR(__xludf.DUMMYFUNCTION("""COMPUTED_VALUE"""),"strain")</f>
        <v>strain</v>
      </c>
      <c r="H3036" t="str">
        <f>IFERROR(__xludf.DUMMYFUNCTION("""COMPUTED_VALUE"""),"UP-MMC-NIID")</f>
        <v>UP-MMC-NIID</v>
      </c>
      <c r="I3036" t="str">
        <f>IFERROR(__xludf.DUMMYFUNCTION("""COMPUTED_VALUE"""),"LP")</f>
        <v>LP</v>
      </c>
    </row>
    <row r="3037" ht="15.75" customHeight="1">
      <c r="A3037" t="str">
        <f t="shared" si="1"/>
        <v>L.ferriphilum</v>
      </c>
      <c r="B3037" s="5" t="s">
        <v>15292</v>
      </c>
      <c r="C3037" s="6" t="str">
        <f>IFERROR(__xludf.DUMMYFUNCTION("SPLIT('2. c'!B3037, "" "", True, True)"),"Leptospirillum")</f>
        <v>Leptospirillum</v>
      </c>
      <c r="D3037" t="str">
        <f>IFERROR(__xludf.DUMMYFUNCTION("""COMPUTED_VALUE"""),"ferriphilum")</f>
        <v>ferriphilum</v>
      </c>
      <c r="E3037" t="str">
        <f>IFERROR(__xludf.DUMMYFUNCTION("""COMPUTED_VALUE"""),"ML-04")</f>
        <v>ML-04</v>
      </c>
    </row>
    <row r="3038" ht="15.75" customHeight="1">
      <c r="A3038" t="str">
        <f t="shared" si="1"/>
        <v>L.ferriphilum</v>
      </c>
      <c r="B3038" s="5" t="s">
        <v>15303</v>
      </c>
      <c r="C3038" s="6" t="str">
        <f>IFERROR(__xludf.DUMMYFUNCTION("SPLIT('2. c'!B3038, "" "", True, True)"),"Leptospirillum")</f>
        <v>Leptospirillum</v>
      </c>
      <c r="D3038" t="str">
        <f>IFERROR(__xludf.DUMMYFUNCTION("""COMPUTED_VALUE"""),"ferriphilum")</f>
        <v>ferriphilum</v>
      </c>
      <c r="E3038" t="str">
        <f>IFERROR(__xludf.DUMMYFUNCTION("""COMPUTED_VALUE"""),"YSK")</f>
        <v>YSK</v>
      </c>
    </row>
    <row r="3039" ht="15.75" customHeight="1">
      <c r="A3039" t="str">
        <f t="shared" si="1"/>
        <v>L.ferrooxidans</v>
      </c>
      <c r="B3039" s="5" t="s">
        <v>15312</v>
      </c>
      <c r="C3039" s="6" t="str">
        <f>IFERROR(__xludf.DUMMYFUNCTION("SPLIT('2. c'!B3039, "" "", True, True)"),"Leptospirillum")</f>
        <v>Leptospirillum</v>
      </c>
      <c r="D3039" t="str">
        <f>IFERROR(__xludf.DUMMYFUNCTION("""COMPUTED_VALUE"""),"ferrooxidans")</f>
        <v>ferrooxidans</v>
      </c>
      <c r="E3039" t="str">
        <f>IFERROR(__xludf.DUMMYFUNCTION("""COMPUTED_VALUE"""),"C2-3")</f>
        <v>C2-3</v>
      </c>
    </row>
    <row r="3040" ht="15.75" customHeight="1">
      <c r="A3040" t="str">
        <f t="shared" si="1"/>
        <v>L.sp.</v>
      </c>
      <c r="B3040" s="5" t="s">
        <v>15321</v>
      </c>
      <c r="C3040" s="6" t="str">
        <f>IFERROR(__xludf.DUMMYFUNCTION("SPLIT('2. c'!B3040, "" "", True, True)"),"Leptospirillum")</f>
        <v>Leptospirillum</v>
      </c>
      <c r="D3040" t="str">
        <f>IFERROR(__xludf.DUMMYFUNCTION("""COMPUTED_VALUE"""),"sp.")</f>
        <v>sp.</v>
      </c>
      <c r="E3040" t="str">
        <f>IFERROR(__xludf.DUMMYFUNCTION("""COMPUTED_VALUE"""),"Group")</f>
        <v>Group</v>
      </c>
      <c r="F3040" t="str">
        <f>IFERROR(__xludf.DUMMYFUNCTION("""COMPUTED_VALUE"""),"II")</f>
        <v>II</v>
      </c>
      <c r="G3040" t="str">
        <f>IFERROR(__xludf.DUMMYFUNCTION("""COMPUTED_VALUE"""),"CF-1'")</f>
        <v>CF-1'</v>
      </c>
    </row>
    <row r="3041" ht="15.75" customHeight="1">
      <c r="A3041" t="str">
        <f t="shared" si="1"/>
        <v>L.cholodnii</v>
      </c>
      <c r="B3041" s="5" t="s">
        <v>15330</v>
      </c>
      <c r="C3041" s="6" t="str">
        <f>IFERROR(__xludf.DUMMYFUNCTION("SPLIT('2. c'!B3041, "" "", True, True)"),"Leptothrix")</f>
        <v>Leptothrix</v>
      </c>
      <c r="D3041" t="str">
        <f>IFERROR(__xludf.DUMMYFUNCTION("""COMPUTED_VALUE"""),"cholodnii")</f>
        <v>cholodnii</v>
      </c>
      <c r="E3041" t="str">
        <f>IFERROR(__xludf.DUMMYFUNCTION("""COMPUTED_VALUE"""),"SP-6")</f>
        <v>SP-6</v>
      </c>
    </row>
    <row r="3042" ht="15.75" customHeight="1">
      <c r="A3042" t="str">
        <f t="shared" si="1"/>
        <v>L.buccalis</v>
      </c>
      <c r="B3042" s="5" t="s">
        <v>15337</v>
      </c>
      <c r="C3042" s="6" t="str">
        <f>IFERROR(__xludf.DUMMYFUNCTION("SPLIT('2. c'!B3042, "" "", True, True)"),"Leptotrichia")</f>
        <v>Leptotrichia</v>
      </c>
      <c r="D3042" t="str">
        <f>IFERROR(__xludf.DUMMYFUNCTION("""COMPUTED_VALUE"""),"buccalis")</f>
        <v>buccalis</v>
      </c>
      <c r="E3042" t="str">
        <f>IFERROR(__xludf.DUMMYFUNCTION("""COMPUTED_VALUE"""),"C-1013-b")</f>
        <v>C-1013-b</v>
      </c>
    </row>
    <row r="3043" ht="15.75" customHeight="1">
      <c r="A3043" t="str">
        <f t="shared" si="1"/>
        <v>L.sp.</v>
      </c>
      <c r="B3043" s="5" t="s">
        <v>15348</v>
      </c>
      <c r="C3043" s="6" t="str">
        <f>IFERROR(__xludf.DUMMYFUNCTION("SPLIT('2. c'!B3043, "" "", True, True)"),"Leptotrichia")</f>
        <v>Leptotrichia</v>
      </c>
      <c r="D3043" t="str">
        <f>IFERROR(__xludf.DUMMYFUNCTION("""COMPUTED_VALUE"""),"sp.")</f>
        <v>sp.</v>
      </c>
      <c r="E3043" t="str">
        <f>IFERROR(__xludf.DUMMYFUNCTION("""COMPUTED_VALUE"""),"oral")</f>
        <v>oral</v>
      </c>
      <c r="F3043" t="str">
        <f>IFERROR(__xludf.DUMMYFUNCTION("""COMPUTED_VALUE"""),"taxon")</f>
        <v>taxon</v>
      </c>
      <c r="G3043">
        <f>IFERROR(__xludf.DUMMYFUNCTION("""COMPUTED_VALUE"""),212.0)</f>
        <v>212</v>
      </c>
      <c r="H3043" t="str">
        <f>IFERROR(__xludf.DUMMYFUNCTION("""COMPUTED_VALUE"""),"strain")</f>
        <v>strain</v>
      </c>
      <c r="I3043" t="str">
        <f>IFERROR(__xludf.DUMMYFUNCTION("""COMPUTED_VALUE"""),"W10393")</f>
        <v>W10393</v>
      </c>
    </row>
    <row r="3044" ht="15.75" customHeight="1">
      <c r="A3044" t="str">
        <f t="shared" si="1"/>
        <v>L.sp.</v>
      </c>
      <c r="B3044" s="5" t="s">
        <v>15375</v>
      </c>
      <c r="C3044" s="6" t="str">
        <f>IFERROR(__xludf.DUMMYFUNCTION("SPLIT('2. c'!B3044, "" "", True, True)"),"Leptotrichia")</f>
        <v>Leptotrichia</v>
      </c>
      <c r="D3044" t="str">
        <f>IFERROR(__xludf.DUMMYFUNCTION("""COMPUTED_VALUE"""),"sp.")</f>
        <v>sp.</v>
      </c>
      <c r="E3044" t="str">
        <f>IFERROR(__xludf.DUMMYFUNCTION("""COMPUTED_VALUE"""),"oral")</f>
        <v>oral</v>
      </c>
      <c r="F3044" t="str">
        <f>IFERROR(__xludf.DUMMYFUNCTION("""COMPUTED_VALUE"""),"taxon")</f>
        <v>taxon</v>
      </c>
      <c r="G3044">
        <f>IFERROR(__xludf.DUMMYFUNCTION("""COMPUTED_VALUE"""),847.0)</f>
        <v>847</v>
      </c>
    </row>
    <row r="3045" ht="15.75" customHeight="1">
      <c r="A3045" t="str">
        <f t="shared" si="1"/>
        <v>L.carnosum</v>
      </c>
      <c r="B3045" s="5" t="s">
        <v>15393</v>
      </c>
      <c r="C3045" s="6" t="str">
        <f>IFERROR(__xludf.DUMMYFUNCTION("SPLIT('2. c'!B3045, "" "", True, True)"),"Leuconostoc")</f>
        <v>Leuconostoc</v>
      </c>
      <c r="D3045" t="str">
        <f>IFERROR(__xludf.DUMMYFUNCTION("""COMPUTED_VALUE"""),"carnosum")</f>
        <v>carnosum</v>
      </c>
      <c r="E3045" t="str">
        <f>IFERROR(__xludf.DUMMYFUNCTION("""COMPUTED_VALUE"""),"JB16")</f>
        <v>JB16</v>
      </c>
    </row>
    <row r="3046" ht="15.75" customHeight="1">
      <c r="A3046" t="str">
        <f t="shared" si="1"/>
        <v>L.citreum</v>
      </c>
      <c r="B3046" s="5" t="s">
        <v>15402</v>
      </c>
      <c r="C3046" s="6" t="str">
        <f>IFERROR(__xludf.DUMMYFUNCTION("SPLIT('2. c'!B3046, "" "", True, True)"),"Leuconostoc")</f>
        <v>Leuconostoc</v>
      </c>
      <c r="D3046" t="str">
        <f>IFERROR(__xludf.DUMMYFUNCTION("""COMPUTED_VALUE"""),"citreum")</f>
        <v>citreum</v>
      </c>
      <c r="E3046" t="str">
        <f>IFERROR(__xludf.DUMMYFUNCTION("""COMPUTED_VALUE"""),"KM20")</f>
        <v>KM20</v>
      </c>
    </row>
    <row r="3047" ht="15.75" customHeight="1">
      <c r="A3047" t="str">
        <f t="shared" si="1"/>
        <v>L.gasicomitatum</v>
      </c>
      <c r="B3047" s="5" t="s">
        <v>15414</v>
      </c>
      <c r="C3047" s="6" t="str">
        <f>IFERROR(__xludf.DUMMYFUNCTION("SPLIT('2. c'!B3047, "" "", True, True)"),"Leuconostoc")</f>
        <v>Leuconostoc</v>
      </c>
      <c r="D3047" t="str">
        <f>IFERROR(__xludf.DUMMYFUNCTION("""COMPUTED_VALUE"""),"gasicomitatum")</f>
        <v>gasicomitatum</v>
      </c>
      <c r="E3047" t="str">
        <f>IFERROR(__xludf.DUMMYFUNCTION("""COMPUTED_VALUE"""),"LMG")</f>
        <v>LMG</v>
      </c>
      <c r="F3047">
        <f>IFERROR(__xludf.DUMMYFUNCTION("""COMPUTED_VALUE"""),18811.0)</f>
        <v>18811</v>
      </c>
    </row>
    <row r="3048" ht="15.75" customHeight="1">
      <c r="A3048" t="str">
        <f t="shared" si="1"/>
        <v>L.gelidum</v>
      </c>
      <c r="B3048" s="5" t="s">
        <v>15428</v>
      </c>
      <c r="C3048" s="6" t="str">
        <f>IFERROR(__xludf.DUMMYFUNCTION("SPLIT('2. c'!B3048, "" "", True, True)"),"Leuconostoc")</f>
        <v>Leuconostoc</v>
      </c>
      <c r="D3048" t="str">
        <f>IFERROR(__xludf.DUMMYFUNCTION("""COMPUTED_VALUE"""),"gelidum")</f>
        <v>gelidum</v>
      </c>
      <c r="E3048" t="str">
        <f>IFERROR(__xludf.DUMMYFUNCTION("""COMPUTED_VALUE"""),"JB7")</f>
        <v>JB7</v>
      </c>
    </row>
    <row r="3049" ht="15.75" customHeight="1">
      <c r="A3049" t="str">
        <f t="shared" si="1"/>
        <v>L.gelidum</v>
      </c>
      <c r="B3049" s="5" t="s">
        <v>15437</v>
      </c>
      <c r="C3049" s="6" t="str">
        <f>IFERROR(__xludf.DUMMYFUNCTION("SPLIT('2. c'!B3049, "" "", True, True)"),"Leuconostoc")</f>
        <v>Leuconostoc</v>
      </c>
      <c r="D3049" t="str">
        <f>IFERROR(__xludf.DUMMYFUNCTION("""COMPUTED_VALUE"""),"gelidum")</f>
        <v>gelidum</v>
      </c>
      <c r="E3049" t="str">
        <f>IFERROR(__xludf.DUMMYFUNCTION("""COMPUTED_VALUE"""),"subsp.")</f>
        <v>subsp.</v>
      </c>
      <c r="F3049" t="str">
        <f>IFERROR(__xludf.DUMMYFUNCTION("""COMPUTED_VALUE"""),"gasicomitatum")</f>
        <v>gasicomitatum</v>
      </c>
      <c r="G3049" t="str">
        <f>IFERROR(__xludf.DUMMYFUNCTION("""COMPUTED_VALUE"""),"KG16-1")</f>
        <v>KG16-1</v>
      </c>
    </row>
    <row r="3050" ht="15.75" customHeight="1">
      <c r="A3050" t="str">
        <f t="shared" si="1"/>
        <v>L.kimchii</v>
      </c>
      <c r="B3050" s="5" t="s">
        <v>15447</v>
      </c>
      <c r="C3050" s="6" t="str">
        <f>IFERROR(__xludf.DUMMYFUNCTION("SPLIT('2. c'!B3050, "" "", True, True)"),"Leuconostoc")</f>
        <v>Leuconostoc</v>
      </c>
      <c r="D3050" t="str">
        <f>IFERROR(__xludf.DUMMYFUNCTION("""COMPUTED_VALUE"""),"kimchii")</f>
        <v>kimchii</v>
      </c>
      <c r="E3050" t="str">
        <f>IFERROR(__xludf.DUMMYFUNCTION("""COMPUTED_VALUE"""),"IMSNU")</f>
        <v>IMSNU</v>
      </c>
      <c r="F3050">
        <f>IFERROR(__xludf.DUMMYFUNCTION("""COMPUTED_VALUE"""),11154.0)</f>
        <v>11154</v>
      </c>
    </row>
    <row r="3051" ht="15.75" customHeight="1">
      <c r="A3051" t="str">
        <f t="shared" si="1"/>
        <v>L.mesenteroides</v>
      </c>
      <c r="B3051" s="5" t="s">
        <v>15458</v>
      </c>
      <c r="C3051" s="6" t="str">
        <f>IFERROR(__xludf.DUMMYFUNCTION("SPLIT('2. c'!B3051, "" "", True, True)"),"Leuconostoc")</f>
        <v>Leuconostoc</v>
      </c>
      <c r="D3051" t="str">
        <f>IFERROR(__xludf.DUMMYFUNCTION("""COMPUTED_VALUE"""),"mesenteroides")</f>
        <v>mesenteroides</v>
      </c>
      <c r="E3051" t="str">
        <f>IFERROR(__xludf.DUMMYFUNCTION("""COMPUTED_VALUE"""),"KFRI-MG")</f>
        <v>KFRI-MG</v>
      </c>
    </row>
    <row r="3052" ht="15.75" customHeight="1">
      <c r="A3052" t="str">
        <f t="shared" si="1"/>
        <v>L.mesenteroides</v>
      </c>
      <c r="B3052" s="5" t="s">
        <v>15466</v>
      </c>
      <c r="C3052" s="6" t="str">
        <f>IFERROR(__xludf.DUMMYFUNCTION("SPLIT('2. c'!B3052, "" "", True, True)"),"Leuconostoc")</f>
        <v>Leuconostoc</v>
      </c>
      <c r="D3052" t="str">
        <f>IFERROR(__xludf.DUMMYFUNCTION("""COMPUTED_VALUE"""),"mesenteroides")</f>
        <v>mesenteroides</v>
      </c>
      <c r="E3052" t="str">
        <f>IFERROR(__xludf.DUMMYFUNCTION("""COMPUTED_VALUE"""),"subsp.")</f>
        <v>subsp.</v>
      </c>
      <c r="F3052" t="str">
        <f>IFERROR(__xludf.DUMMYFUNCTION("""COMPUTED_VALUE"""),"dextranicum")</f>
        <v>dextranicum</v>
      </c>
      <c r="G3052" t="str">
        <f>IFERROR(__xludf.DUMMYFUNCTION("""COMPUTED_VALUE"""),"strain")</f>
        <v>strain</v>
      </c>
      <c r="H3052" t="str">
        <f>IFERROR(__xludf.DUMMYFUNCTION("""COMPUTED_VALUE"""),"DSM")</f>
        <v>DSM</v>
      </c>
      <c r="I3052">
        <f>IFERROR(__xludf.DUMMYFUNCTION("""COMPUTED_VALUE"""),20484.0)</f>
        <v>20484</v>
      </c>
    </row>
    <row r="3053" ht="15.75" customHeight="1">
      <c r="A3053" t="str">
        <f t="shared" si="1"/>
        <v>L.mesenteroides</v>
      </c>
      <c r="B3053" s="5" t="s">
        <v>15476</v>
      </c>
      <c r="C3053" s="6" t="str">
        <f>IFERROR(__xludf.DUMMYFUNCTION("SPLIT('2. c'!B3053, "" "", True, True)"),"Leuconostoc")</f>
        <v>Leuconostoc</v>
      </c>
      <c r="D3053" t="str">
        <f>IFERROR(__xludf.DUMMYFUNCTION("""COMPUTED_VALUE"""),"mesenteroides")</f>
        <v>mesenteroides</v>
      </c>
      <c r="E3053" t="str">
        <f>IFERROR(__xludf.DUMMYFUNCTION("""COMPUTED_VALUE"""),"subsp.")</f>
        <v>subsp.</v>
      </c>
      <c r="F3053" t="str">
        <f>IFERROR(__xludf.DUMMYFUNCTION("""COMPUTED_VALUE"""),"mesenteroides")</f>
        <v>mesenteroides</v>
      </c>
    </row>
    <row r="3054" ht="15.75" customHeight="1">
      <c r="A3054" t="str">
        <f t="shared" si="1"/>
        <v>L.mesenteroides</v>
      </c>
      <c r="B3054" s="5" t="s">
        <v>15485</v>
      </c>
      <c r="C3054" s="6" t="str">
        <f>IFERROR(__xludf.DUMMYFUNCTION("SPLIT('2. c'!B3054, "" "", True, True)"),"Leuconostoc")</f>
        <v>Leuconostoc</v>
      </c>
      <c r="D3054" t="str">
        <f>IFERROR(__xludf.DUMMYFUNCTION("""COMPUTED_VALUE"""),"mesenteroides")</f>
        <v>mesenteroides</v>
      </c>
      <c r="E3054" t="str">
        <f>IFERROR(__xludf.DUMMYFUNCTION("""COMPUTED_VALUE"""),"subsp.")</f>
        <v>subsp.</v>
      </c>
      <c r="F3054" t="str">
        <f>IFERROR(__xludf.DUMMYFUNCTION("""COMPUTED_VALUE"""),"mesenteroides")</f>
        <v>mesenteroides</v>
      </c>
      <c r="G3054" t="str">
        <f>IFERROR(__xludf.DUMMYFUNCTION("""COMPUTED_VALUE"""),"ATCC")</f>
        <v>ATCC</v>
      </c>
      <c r="H3054">
        <f>IFERROR(__xludf.DUMMYFUNCTION("""COMPUTED_VALUE"""),8293.0)</f>
        <v>8293</v>
      </c>
    </row>
    <row r="3055" ht="15.75" customHeight="1">
      <c r="A3055" t="str">
        <f t="shared" si="1"/>
        <v>L.mesenteroides</v>
      </c>
      <c r="B3055" s="5" t="s">
        <v>15496</v>
      </c>
      <c r="C3055" s="6" t="str">
        <f>IFERROR(__xludf.DUMMYFUNCTION("SPLIT('2. c'!B3055, "" "", True, True)"),"Leuconostoc")</f>
        <v>Leuconostoc</v>
      </c>
      <c r="D3055" t="str">
        <f>IFERROR(__xludf.DUMMYFUNCTION("""COMPUTED_VALUE"""),"mesenteroides")</f>
        <v>mesenteroides</v>
      </c>
      <c r="E3055" t="str">
        <f>IFERROR(__xludf.DUMMYFUNCTION("""COMPUTED_VALUE"""),"subsp.")</f>
        <v>subsp.</v>
      </c>
      <c r="F3055" t="str">
        <f>IFERROR(__xludf.DUMMYFUNCTION("""COMPUTED_VALUE"""),"mesenteroides")</f>
        <v>mesenteroides</v>
      </c>
      <c r="G3055" t="str">
        <f>IFERROR(__xludf.DUMMYFUNCTION("""COMPUTED_VALUE"""),"J18")</f>
        <v>J18</v>
      </c>
    </row>
    <row r="3056" ht="15.75" customHeight="1">
      <c r="A3056" t="str">
        <f t="shared" si="1"/>
        <v>L.sp.</v>
      </c>
      <c r="B3056" s="5" t="s">
        <v>15504</v>
      </c>
      <c r="C3056" s="6" t="str">
        <f>IFERROR(__xludf.DUMMYFUNCTION("SPLIT('2. c'!B3056, "" "", True, True)"),"Leuconostoc")</f>
        <v>Leuconostoc</v>
      </c>
      <c r="D3056" t="str">
        <f>IFERROR(__xludf.DUMMYFUNCTION("""COMPUTED_VALUE"""),"sp.")</f>
        <v>sp.</v>
      </c>
      <c r="E3056" t="str">
        <f>IFERROR(__xludf.DUMMYFUNCTION("""COMPUTED_VALUE"""),"C2")</f>
        <v>C2</v>
      </c>
    </row>
    <row r="3057" ht="15.75" customHeight="1">
      <c r="A3057" t="str">
        <f t="shared" si="1"/>
        <v>L.crescens</v>
      </c>
      <c r="B3057" s="5" t="s">
        <v>15514</v>
      </c>
      <c r="C3057" s="6" t="str">
        <f>IFERROR(__xludf.DUMMYFUNCTION("SPLIT('2. c'!B3057, "" "", True, True)"),"Liberibacter")</f>
        <v>Liberibacter</v>
      </c>
      <c r="D3057" t="str">
        <f>IFERROR(__xludf.DUMMYFUNCTION("""COMPUTED_VALUE"""),"crescens")</f>
        <v>crescens</v>
      </c>
      <c r="E3057" t="str">
        <f>IFERROR(__xludf.DUMMYFUNCTION("""COMPUTED_VALUE"""),"BT-1")</f>
        <v>BT-1</v>
      </c>
    </row>
    <row r="3058" ht="15.75" customHeight="1">
      <c r="A3058" t="str">
        <f t="shared" si="1"/>
        <v>L.crescens</v>
      </c>
      <c r="B3058" s="5" t="s">
        <v>15519</v>
      </c>
      <c r="C3058" s="6" t="str">
        <f>IFERROR(__xludf.DUMMYFUNCTION("SPLIT('2. c'!B3058, "" "", True, True)"),"Liberibacter")</f>
        <v>Liberibacter</v>
      </c>
      <c r="D3058" t="str">
        <f>IFERROR(__xludf.DUMMYFUNCTION("""COMPUTED_VALUE"""),"crescens")</f>
        <v>crescens</v>
      </c>
      <c r="E3058" t="str">
        <f>IFERROR(__xludf.DUMMYFUNCTION("""COMPUTED_VALUE"""),"strain")</f>
        <v>strain</v>
      </c>
      <c r="F3058" t="str">
        <f>IFERROR(__xludf.DUMMYFUNCTION("""COMPUTED_VALUE"""),"BT-0")</f>
        <v>BT-0</v>
      </c>
    </row>
    <row r="3059" ht="15.75" customHeight="1">
      <c r="A3059" t="str">
        <f t="shared" si="1"/>
        <v>L.pilosa</v>
      </c>
      <c r="B3059" s="5" t="s">
        <v>15526</v>
      </c>
      <c r="C3059" s="6" t="str">
        <f>IFERROR(__xludf.DUMMYFUNCTION("SPLIT('2. c'!B3059, "" "", True, True)"),"Limnochorda")</f>
        <v>Limnochorda</v>
      </c>
      <c r="D3059" t="str">
        <f>IFERROR(__xludf.DUMMYFUNCTION("""COMPUTED_VALUE"""),"pilosa")</f>
        <v>pilosa</v>
      </c>
      <c r="E3059" t="str">
        <f>IFERROR(__xludf.DUMMYFUNCTION("""COMPUTED_VALUE"""),"strain")</f>
        <v>strain</v>
      </c>
      <c r="F3059" t="str">
        <f>IFERROR(__xludf.DUMMYFUNCTION("""COMPUTED_VALUE"""),"HC45")</f>
        <v>HC45</v>
      </c>
    </row>
    <row r="3060" ht="15.75" customHeight="1">
      <c r="A3060" t="str">
        <f t="shared" si="1"/>
        <v>L.sp.</v>
      </c>
      <c r="B3060" s="5" t="s">
        <v>15534</v>
      </c>
      <c r="C3060" s="6" t="str">
        <f>IFERROR(__xludf.DUMMYFUNCTION("SPLIT('2. c'!B3060, "" "", True, True)"),"Limnohabitans")</f>
        <v>Limnohabitans</v>
      </c>
      <c r="D3060" t="str">
        <f>IFERROR(__xludf.DUMMYFUNCTION("""COMPUTED_VALUE"""),"sp.")</f>
        <v>sp.</v>
      </c>
      <c r="E3060" t="str">
        <f>IFERROR(__xludf.DUMMYFUNCTION("""COMPUTED_VALUE"""),"103DPR2")</f>
        <v>103DPR2</v>
      </c>
    </row>
    <row r="3061" ht="15.75" customHeight="1">
      <c r="A3061" t="str">
        <f t="shared" si="1"/>
        <v>L.sp.</v>
      </c>
      <c r="B3061" s="5" t="s">
        <v>15540</v>
      </c>
      <c r="C3061" s="6" t="str">
        <f>IFERROR(__xludf.DUMMYFUNCTION("SPLIT('2. c'!B3061, "" "", True, True)"),"Limnohabitans")</f>
        <v>Limnohabitans</v>
      </c>
      <c r="D3061" t="str">
        <f>IFERROR(__xludf.DUMMYFUNCTION("""COMPUTED_VALUE"""),"sp.")</f>
        <v>sp.</v>
      </c>
      <c r="E3061" t="str">
        <f>IFERROR(__xludf.DUMMYFUNCTION("""COMPUTED_VALUE"""),"63ED37-2")</f>
        <v>63ED37-2</v>
      </c>
    </row>
    <row r="3062" ht="15.75" customHeight="1">
      <c r="A3062" t="str">
        <f t="shared" si="1"/>
        <v>L.innocua</v>
      </c>
      <c r="B3062" s="5" t="s">
        <v>15548</v>
      </c>
      <c r="C3062" s="6" t="str">
        <f>IFERROR(__xludf.DUMMYFUNCTION("SPLIT('2. c'!B3062, "" "", True, True)"),"Listeria")</f>
        <v>Listeria</v>
      </c>
      <c r="D3062" t="str">
        <f>IFERROR(__xludf.DUMMYFUNCTION("""COMPUTED_VALUE"""),"innocua")</f>
        <v>innocua</v>
      </c>
      <c r="E3062" t="str">
        <f>IFERROR(__xludf.DUMMYFUNCTION("""COMPUTED_VALUE"""),"Clip11262")</f>
        <v>Clip11262</v>
      </c>
    </row>
    <row r="3063" ht="15.75" customHeight="1">
      <c r="A3063" t="str">
        <f t="shared" si="1"/>
        <v>L.ivanovii</v>
      </c>
      <c r="B3063" s="5" t="s">
        <v>15556</v>
      </c>
      <c r="C3063" s="6" t="str">
        <f>IFERROR(__xludf.DUMMYFUNCTION("SPLIT('2. c'!B3063, "" "", True, True)"),"Listeria")</f>
        <v>Listeria</v>
      </c>
      <c r="D3063" t="str">
        <f>IFERROR(__xludf.DUMMYFUNCTION("""COMPUTED_VALUE"""),"ivanovii")</f>
        <v>ivanovii</v>
      </c>
      <c r="E3063" t="str">
        <f>IFERROR(__xludf.DUMMYFUNCTION("""COMPUTED_VALUE"""),"subsp.")</f>
        <v>subsp.</v>
      </c>
      <c r="F3063" t="str">
        <f>IFERROR(__xludf.DUMMYFUNCTION("""COMPUTED_VALUE"""),"ivanovii")</f>
        <v>ivanovii</v>
      </c>
      <c r="G3063" t="str">
        <f>IFERROR(__xludf.DUMMYFUNCTION("""COMPUTED_VALUE"""),"PAM")</f>
        <v>PAM</v>
      </c>
      <c r="H3063">
        <f>IFERROR(__xludf.DUMMYFUNCTION("""COMPUTED_VALUE"""),55.0)</f>
        <v>55</v>
      </c>
    </row>
    <row r="3064" ht="15.75" customHeight="1">
      <c r="A3064" t="str">
        <f t="shared" si="1"/>
        <v>L.ivanovii</v>
      </c>
      <c r="B3064" s="5" t="s">
        <v>15566</v>
      </c>
      <c r="C3064" s="6" t="str">
        <f>IFERROR(__xludf.DUMMYFUNCTION("SPLIT('2. c'!B3064, "" "", True, True)"),"Listeria")</f>
        <v>Listeria</v>
      </c>
      <c r="D3064" t="str">
        <f>IFERROR(__xludf.DUMMYFUNCTION("""COMPUTED_VALUE"""),"ivanovii")</f>
        <v>ivanovii</v>
      </c>
      <c r="E3064" t="str">
        <f>IFERROR(__xludf.DUMMYFUNCTION("""COMPUTED_VALUE"""),"subsp.")</f>
        <v>subsp.</v>
      </c>
      <c r="F3064" t="str">
        <f>IFERROR(__xludf.DUMMYFUNCTION("""COMPUTED_VALUE"""),"ivanovii")</f>
        <v>ivanovii</v>
      </c>
      <c r="G3064" t="str">
        <f>IFERROR(__xludf.DUMMYFUNCTION("""COMPUTED_VALUE"""),"WSLC")</f>
        <v>WSLC</v>
      </c>
      <c r="H3064">
        <f>IFERROR(__xludf.DUMMYFUNCTION("""COMPUTED_VALUE"""),3010.0)</f>
        <v>3010</v>
      </c>
    </row>
    <row r="3065" ht="15.75" customHeight="1">
      <c r="A3065" t="str">
        <f t="shared" si="1"/>
        <v>L.ivanovii</v>
      </c>
      <c r="B3065" s="5" t="s">
        <v>15577</v>
      </c>
      <c r="C3065" s="6" t="str">
        <f>IFERROR(__xludf.DUMMYFUNCTION("SPLIT('2. c'!B3065, "" "", True, True)"),"Listeria")</f>
        <v>Listeria</v>
      </c>
      <c r="D3065" t="str">
        <f>IFERROR(__xludf.DUMMYFUNCTION("""COMPUTED_VALUE"""),"ivanovii")</f>
        <v>ivanovii</v>
      </c>
      <c r="E3065" t="str">
        <f>IFERROR(__xludf.DUMMYFUNCTION("""COMPUTED_VALUE"""),"subsp.")</f>
        <v>subsp.</v>
      </c>
      <c r="F3065" t="str">
        <f>IFERROR(__xludf.DUMMYFUNCTION("""COMPUTED_VALUE"""),"londoniensis")</f>
        <v>londoniensis</v>
      </c>
      <c r="G3065" t="str">
        <f>IFERROR(__xludf.DUMMYFUNCTION("""COMPUTED_VALUE"""),"WSLC")</f>
        <v>WSLC</v>
      </c>
      <c r="H3065">
        <f>IFERROR(__xludf.DUMMYFUNCTION("""COMPUTED_VALUE"""),30151.0)</f>
        <v>30151</v>
      </c>
    </row>
    <row r="3066" ht="15.75" customHeight="1">
      <c r="A3066" t="str">
        <f t="shared" si="1"/>
        <v>L.ivanovii</v>
      </c>
      <c r="B3066" s="5" t="s">
        <v>15587</v>
      </c>
      <c r="C3066" s="6" t="str">
        <f>IFERROR(__xludf.DUMMYFUNCTION("SPLIT('2. c'!B3066, "" "", True, True)"),"Listeria")</f>
        <v>Listeria</v>
      </c>
      <c r="D3066" t="str">
        <f>IFERROR(__xludf.DUMMYFUNCTION("""COMPUTED_VALUE"""),"ivanovii")</f>
        <v>ivanovii</v>
      </c>
      <c r="E3066" t="str">
        <f>IFERROR(__xludf.DUMMYFUNCTION("""COMPUTED_VALUE"""),"subsp.")</f>
        <v>subsp.</v>
      </c>
      <c r="F3066" t="str">
        <f>IFERROR(__xludf.DUMMYFUNCTION("""COMPUTED_VALUE"""),"londoniensis")</f>
        <v>londoniensis</v>
      </c>
      <c r="G3066" t="str">
        <f>IFERROR(__xludf.DUMMYFUNCTION("""COMPUTED_VALUE"""),"WSLC")</f>
        <v>WSLC</v>
      </c>
      <c r="H3066">
        <f>IFERROR(__xludf.DUMMYFUNCTION("""COMPUTED_VALUE"""),30167.0)</f>
        <v>30167</v>
      </c>
    </row>
    <row r="3067" ht="15.75" customHeight="1">
      <c r="A3067" t="str">
        <f t="shared" si="1"/>
        <v>L.ivanovii</v>
      </c>
      <c r="B3067" s="5" t="s">
        <v>15597</v>
      </c>
      <c r="C3067" s="6" t="str">
        <f>IFERROR(__xludf.DUMMYFUNCTION("SPLIT('2. c'!B3067, "" "", True, True)"),"Listeria")</f>
        <v>Listeria</v>
      </c>
      <c r="D3067" t="str">
        <f>IFERROR(__xludf.DUMMYFUNCTION("""COMPUTED_VALUE"""),"ivanovii")</f>
        <v>ivanovii</v>
      </c>
      <c r="E3067" t="str">
        <f>IFERROR(__xludf.DUMMYFUNCTION("""COMPUTED_VALUE"""),"WSLC3009")</f>
        <v>WSLC3009</v>
      </c>
    </row>
    <row r="3068" ht="15.75" customHeight="1">
      <c r="A3068" t="str">
        <f t="shared" si="1"/>
        <v>L.monocytogenes</v>
      </c>
      <c r="B3068" s="5" t="s">
        <v>15605</v>
      </c>
      <c r="C3068" s="6" t="str">
        <f>IFERROR(__xludf.DUMMYFUNCTION("SPLIT('2. c'!B3068, "" "", True, True)"),"Listeria")</f>
        <v>Listeria</v>
      </c>
      <c r="D3068" t="str">
        <f>IFERROR(__xludf.DUMMYFUNCTION("""COMPUTED_VALUE"""),"monocytogenes")</f>
        <v>monocytogenes</v>
      </c>
    </row>
    <row r="3069" ht="15.75" customHeight="1">
      <c r="A3069" t="str">
        <f t="shared" si="1"/>
        <v>L.monocytogenes</v>
      </c>
      <c r="B3069" s="5" t="s">
        <v>15613</v>
      </c>
      <c r="C3069" s="6" t="str">
        <f>IFERROR(__xludf.DUMMYFUNCTION("SPLIT('2. c'!B3069, "" "", True, True)"),"Listeria")</f>
        <v>Listeria</v>
      </c>
      <c r="D3069" t="str">
        <f>IFERROR(__xludf.DUMMYFUNCTION("""COMPUTED_VALUE"""),"monocytogenes")</f>
        <v>monocytogenes</v>
      </c>
      <c r="E3069" t="str">
        <f>IFERROR(__xludf.DUMMYFUNCTION("""COMPUTED_VALUE"""),"07PF0776")</f>
        <v>07PF0776</v>
      </c>
    </row>
    <row r="3070" ht="15.75" customHeight="1">
      <c r="A3070" t="str">
        <f t="shared" si="1"/>
        <v>L.monocytogenes</v>
      </c>
      <c r="B3070" s="5" t="s">
        <v>15621</v>
      </c>
      <c r="C3070" s="6" t="str">
        <f>IFERROR(__xludf.DUMMYFUNCTION("SPLIT('2. c'!B3070, "" "", True, True)"),"Listeria")</f>
        <v>Listeria</v>
      </c>
      <c r="D3070" t="str">
        <f>IFERROR(__xludf.DUMMYFUNCTION("""COMPUTED_VALUE"""),"monocytogenes")</f>
        <v>monocytogenes</v>
      </c>
      <c r="E3070" s="37">
        <f>IFERROR(__xludf.DUMMYFUNCTION("""COMPUTED_VALUE"""),1343576.0)</f>
        <v>1343576</v>
      </c>
    </row>
    <row r="3071" ht="15.75" customHeight="1">
      <c r="A3071" t="str">
        <f t="shared" si="1"/>
        <v>L.monocytogenes</v>
      </c>
      <c r="B3071" s="5" t="s">
        <v>15631</v>
      </c>
      <c r="C3071" s="6" t="str">
        <f>IFERROR(__xludf.DUMMYFUNCTION("SPLIT('2. c'!B3071, "" "", True, True)"),"Listeria")</f>
        <v>Listeria</v>
      </c>
      <c r="D3071" t="str">
        <f>IFERROR(__xludf.DUMMYFUNCTION("""COMPUTED_VALUE"""),"monocytogenes")</f>
        <v>monocytogenes</v>
      </c>
      <c r="E3071" s="37">
        <f>IFERROR(__xludf.DUMMYFUNCTION("""COMPUTED_VALUE"""),1469584.0)</f>
        <v>1469584</v>
      </c>
    </row>
    <row r="3072" ht="15.75" customHeight="1">
      <c r="A3072" t="str">
        <f t="shared" si="1"/>
        <v>L.monocytogenes</v>
      </c>
      <c r="B3072" s="5" t="s">
        <v>15641</v>
      </c>
      <c r="C3072" s="6" t="str">
        <f>IFERROR(__xludf.DUMMYFUNCTION("SPLIT('2. c'!B3072, "" "", True, True)"),"Listeria")</f>
        <v>Listeria</v>
      </c>
      <c r="D3072" t="str">
        <f>IFERROR(__xludf.DUMMYFUNCTION("""COMPUTED_VALUE"""),"monocytogenes")</f>
        <v>monocytogenes</v>
      </c>
      <c r="E3072">
        <f>IFERROR(__xludf.DUMMYFUNCTION("""COMPUTED_VALUE"""),6179.0)</f>
        <v>6179</v>
      </c>
    </row>
    <row r="3073" ht="15.75" customHeight="1">
      <c r="A3073" t="str">
        <f t="shared" si="1"/>
        <v>L.monocytogenes</v>
      </c>
      <c r="B3073" s="5" t="s">
        <v>15650</v>
      </c>
      <c r="C3073" s="6" t="str">
        <f>IFERROR(__xludf.DUMMYFUNCTION("SPLIT('2. c'!B3073, "" "", True, True)"),"Listeria")</f>
        <v>Listeria</v>
      </c>
      <c r="D3073" t="str">
        <f>IFERROR(__xludf.DUMMYFUNCTION("""COMPUTED_VALUE"""),"monocytogenes")</f>
        <v>monocytogenes</v>
      </c>
      <c r="E3073" t="str">
        <f>IFERROR(__xludf.DUMMYFUNCTION("""COMPUTED_VALUE"""),"ATCC")</f>
        <v>ATCC</v>
      </c>
      <c r="F3073">
        <f>IFERROR(__xludf.DUMMYFUNCTION("""COMPUTED_VALUE"""),19117.0)</f>
        <v>19117</v>
      </c>
    </row>
    <row r="3074" ht="15.75" customHeight="1">
      <c r="A3074" t="str">
        <f t="shared" si="1"/>
        <v>L.monocytogenes</v>
      </c>
      <c r="B3074" s="5" t="s">
        <v>15650</v>
      </c>
      <c r="C3074" s="6" t="str">
        <f>IFERROR(__xludf.DUMMYFUNCTION("SPLIT('2. c'!B3074, "" "", True, True)"),"Listeria")</f>
        <v>Listeria</v>
      </c>
      <c r="D3074" t="str">
        <f>IFERROR(__xludf.DUMMYFUNCTION("""COMPUTED_VALUE"""),"monocytogenes")</f>
        <v>monocytogenes</v>
      </c>
      <c r="E3074" t="str">
        <f>IFERROR(__xludf.DUMMYFUNCTION("""COMPUTED_VALUE"""),"ATCC")</f>
        <v>ATCC</v>
      </c>
      <c r="F3074">
        <f>IFERROR(__xludf.DUMMYFUNCTION("""COMPUTED_VALUE"""),19117.0)</f>
        <v>19117</v>
      </c>
    </row>
    <row r="3075" ht="15.75" customHeight="1">
      <c r="A3075" t="str">
        <f t="shared" si="1"/>
        <v>L.monocytogenes</v>
      </c>
      <c r="B3075" s="5" t="s">
        <v>15667</v>
      </c>
      <c r="C3075" s="6" t="str">
        <f>IFERROR(__xludf.DUMMYFUNCTION("SPLIT('2. c'!B3075, "" "", True, True)"),"Listeria")</f>
        <v>Listeria</v>
      </c>
      <c r="D3075" t="str">
        <f>IFERROR(__xludf.DUMMYFUNCTION("""COMPUTED_VALUE"""),"monocytogenes")</f>
        <v>monocytogenes</v>
      </c>
      <c r="E3075" t="str">
        <f>IFERROR(__xludf.DUMMYFUNCTION("""COMPUTED_VALUE"""),"EGD")</f>
        <v>EGD</v>
      </c>
    </row>
    <row r="3076" ht="15.75" customHeight="1">
      <c r="A3076" t="str">
        <f t="shared" si="1"/>
        <v>L.monocytogenes</v>
      </c>
      <c r="B3076" s="5" t="s">
        <v>15673</v>
      </c>
      <c r="C3076" s="6" t="str">
        <f>IFERROR(__xludf.DUMMYFUNCTION("SPLIT('2. c'!B3076, "" "", True, True)"),"Listeria")</f>
        <v>Listeria</v>
      </c>
      <c r="D3076" t="str">
        <f>IFERROR(__xludf.DUMMYFUNCTION("""COMPUTED_VALUE"""),"monocytogenes")</f>
        <v>monocytogenes</v>
      </c>
      <c r="E3076" t="str">
        <f>IFERROR(__xludf.DUMMYFUNCTION("""COMPUTED_VALUE"""),"EGD-e")</f>
        <v>EGD-e</v>
      </c>
    </row>
    <row r="3077" ht="15.75" customHeight="1">
      <c r="A3077" t="str">
        <f t="shared" si="1"/>
        <v>L.monocytogenes</v>
      </c>
      <c r="B3077" s="5" t="s">
        <v>15680</v>
      </c>
      <c r="C3077" s="6" t="str">
        <f>IFERROR(__xludf.DUMMYFUNCTION("SPLIT('2. c'!B3077, "" "", True, True)"),"Listeria")</f>
        <v>Listeria</v>
      </c>
      <c r="D3077" t="str">
        <f>IFERROR(__xludf.DUMMYFUNCTION("""COMPUTED_VALUE"""),"monocytogenes")</f>
        <v>monocytogenes</v>
      </c>
      <c r="E3077" t="str">
        <f>IFERROR(__xludf.DUMMYFUNCTION("""COMPUTED_VALUE"""),"FSL")</f>
        <v>FSL</v>
      </c>
      <c r="F3077" t="str">
        <f>IFERROR(__xludf.DUMMYFUNCTION("""COMPUTED_VALUE"""),"F6-684")</f>
        <v>F6-684</v>
      </c>
    </row>
    <row r="3078" ht="15.75" customHeight="1">
      <c r="A3078" t="str">
        <f t="shared" si="1"/>
        <v>L.monocytogenes</v>
      </c>
      <c r="B3078" s="5" t="s">
        <v>15687</v>
      </c>
      <c r="C3078" s="6" t="str">
        <f>IFERROR(__xludf.DUMMYFUNCTION("SPLIT('2. c'!B3078, "" "", True, True)"),"Listeria")</f>
        <v>Listeria</v>
      </c>
      <c r="D3078" t="str">
        <f>IFERROR(__xludf.DUMMYFUNCTION("""COMPUTED_VALUE"""),"monocytogenes")</f>
        <v>monocytogenes</v>
      </c>
      <c r="E3078" t="str">
        <f>IFERROR(__xludf.DUMMYFUNCTION("""COMPUTED_VALUE"""),"HCC23")</f>
        <v>HCC23</v>
      </c>
    </row>
    <row r="3079" ht="15.75" customHeight="1">
      <c r="A3079" t="str">
        <f t="shared" si="1"/>
        <v>L.monocytogenes</v>
      </c>
      <c r="B3079" s="5" t="s">
        <v>15692</v>
      </c>
      <c r="C3079" s="6" t="str">
        <f>IFERROR(__xludf.DUMMYFUNCTION("SPLIT('2. c'!B3079, "" "", True, True)"),"Listeria")</f>
        <v>Listeria</v>
      </c>
      <c r="D3079" t="str">
        <f>IFERROR(__xludf.DUMMYFUNCTION("""COMPUTED_VALUE"""),"monocytogenes")</f>
        <v>monocytogenes</v>
      </c>
      <c r="E3079" t="str">
        <f>IFERROR(__xludf.DUMMYFUNCTION("""COMPUTED_VALUE"""),"IZSAM_Lm_hs2008")</f>
        <v>IZSAM_Lm_hs2008</v>
      </c>
    </row>
    <row r="3080" ht="15.75" customHeight="1">
      <c r="A3080" t="str">
        <f t="shared" si="1"/>
        <v>L.monocytogenes</v>
      </c>
      <c r="B3080" s="5" t="s">
        <v>15701</v>
      </c>
      <c r="C3080" s="6" t="str">
        <f>IFERROR(__xludf.DUMMYFUNCTION("SPLIT('2. c'!B3080, "" "", True, True)"),"Listeria")</f>
        <v>Listeria</v>
      </c>
      <c r="D3080" t="str">
        <f>IFERROR(__xludf.DUMMYFUNCTION("""COMPUTED_VALUE"""),"monocytogenes")</f>
        <v>monocytogenes</v>
      </c>
      <c r="E3080" t="str">
        <f>IFERROR(__xludf.DUMMYFUNCTION("""COMPUTED_VALUE"""),"L312")</f>
        <v>L312</v>
      </c>
    </row>
    <row r="3081" ht="15.75" customHeight="1">
      <c r="A3081" t="str">
        <f t="shared" si="1"/>
        <v>L.monocytogenes</v>
      </c>
      <c r="B3081" s="5" t="s">
        <v>15707</v>
      </c>
      <c r="C3081" s="6" t="str">
        <f>IFERROR(__xludf.DUMMYFUNCTION("SPLIT('2. c'!B3081, "" "", True, True)"),"Listeria")</f>
        <v>Listeria</v>
      </c>
      <c r="D3081" t="str">
        <f>IFERROR(__xludf.DUMMYFUNCTION("""COMPUTED_VALUE"""),"monocytogenes")</f>
        <v>monocytogenes</v>
      </c>
      <c r="E3081" t="str">
        <f>IFERROR(__xludf.DUMMYFUNCTION("""COMPUTED_VALUE"""),"L99")</f>
        <v>L99</v>
      </c>
    </row>
    <row r="3082" ht="15.75" customHeight="1">
      <c r="A3082" t="str">
        <f t="shared" si="1"/>
        <v>L.monocytogenes</v>
      </c>
      <c r="B3082" s="5" t="s">
        <v>15713</v>
      </c>
      <c r="C3082" s="6" t="str">
        <f>IFERROR(__xludf.DUMMYFUNCTION("SPLIT('2. c'!B3082, "" "", True, True)"),"Listeria")</f>
        <v>Listeria</v>
      </c>
      <c r="D3082" t="str">
        <f>IFERROR(__xludf.DUMMYFUNCTION("""COMPUTED_VALUE"""),"monocytogenes")</f>
        <v>monocytogenes</v>
      </c>
      <c r="E3082" t="str">
        <f>IFERROR(__xludf.DUMMYFUNCTION("""COMPUTED_VALUE"""),"La111")</f>
        <v>La111</v>
      </c>
    </row>
    <row r="3083" ht="15.75" customHeight="1">
      <c r="A3083" t="str">
        <f t="shared" si="1"/>
        <v>L.monocytogenes</v>
      </c>
      <c r="B3083" s="5" t="s">
        <v>15722</v>
      </c>
      <c r="C3083" s="6" t="str">
        <f>IFERROR(__xludf.DUMMYFUNCTION("SPLIT('2. c'!B3083, "" "", True, True)"),"Listeria")</f>
        <v>Listeria</v>
      </c>
      <c r="D3083" t="str">
        <f>IFERROR(__xludf.DUMMYFUNCTION("""COMPUTED_VALUE"""),"monocytogenes")</f>
        <v>monocytogenes</v>
      </c>
      <c r="E3083" t="str">
        <f>IFERROR(__xludf.DUMMYFUNCTION("""COMPUTED_VALUE"""),"M7")</f>
        <v>M7</v>
      </c>
    </row>
    <row r="3084" ht="15.75" customHeight="1">
      <c r="A3084" t="str">
        <f t="shared" si="1"/>
        <v>L.monocytogenes</v>
      </c>
      <c r="B3084" s="5" t="s">
        <v>15731</v>
      </c>
      <c r="C3084" s="6" t="str">
        <f>IFERROR(__xludf.DUMMYFUNCTION("SPLIT('2. c'!B3084, "" "", True, True)"),"Listeria")</f>
        <v>Listeria</v>
      </c>
      <c r="D3084" t="str">
        <f>IFERROR(__xludf.DUMMYFUNCTION("""COMPUTED_VALUE"""),"monocytogenes")</f>
        <v>monocytogenes</v>
      </c>
      <c r="E3084" t="str">
        <f>IFERROR(__xludf.DUMMYFUNCTION("""COMPUTED_VALUE"""),"N53-1")</f>
        <v>N53-1</v>
      </c>
    </row>
    <row r="3085" ht="15.75" customHeight="1">
      <c r="A3085" t="str">
        <f t="shared" si="1"/>
        <v>L.monocytogenes</v>
      </c>
      <c r="B3085" s="5" t="s">
        <v>15738</v>
      </c>
      <c r="C3085" s="6" t="str">
        <f>IFERROR(__xludf.DUMMYFUNCTION("SPLIT('2. c'!B3085, "" "", True, True)"),"Listeria")</f>
        <v>Listeria</v>
      </c>
      <c r="D3085" t="str">
        <f>IFERROR(__xludf.DUMMYFUNCTION("""COMPUTED_VALUE"""),"monocytogenes")</f>
        <v>monocytogenes</v>
      </c>
      <c r="E3085" t="str">
        <f>IFERROR(__xludf.DUMMYFUNCTION("""COMPUTED_VALUE"""),"NTSN")</f>
        <v>NTSN</v>
      </c>
    </row>
    <row r="3086" ht="15.75" customHeight="1">
      <c r="A3086" t="str">
        <f t="shared" si="1"/>
        <v>L.monocytogenes</v>
      </c>
      <c r="B3086" s="5" t="s">
        <v>15746</v>
      </c>
      <c r="C3086" s="6" t="str">
        <f>IFERROR(__xludf.DUMMYFUNCTION("SPLIT('2. c'!B3086, "" "", True, True)"),"Listeria")</f>
        <v>Listeria</v>
      </c>
      <c r="D3086" t="str">
        <f>IFERROR(__xludf.DUMMYFUNCTION("""COMPUTED_VALUE"""),"monocytogenes")</f>
        <v>monocytogenes</v>
      </c>
      <c r="E3086" t="str">
        <f>IFERROR(__xludf.DUMMYFUNCTION("""COMPUTED_VALUE"""),"R479a")</f>
        <v>R479a</v>
      </c>
    </row>
    <row r="3087" ht="15.75" customHeight="1">
      <c r="A3087" t="str">
        <f t="shared" si="1"/>
        <v>L.monocytogenes</v>
      </c>
      <c r="B3087" s="5" t="s">
        <v>15756</v>
      </c>
      <c r="C3087" s="6" t="str">
        <f>IFERROR(__xludf.DUMMYFUNCTION("SPLIT('2. c'!B3087, "" "", True, True)"),"Listeria")</f>
        <v>Listeria</v>
      </c>
      <c r="D3087" t="str">
        <f>IFERROR(__xludf.DUMMYFUNCTION("""COMPUTED_VALUE"""),"monocytogenes")</f>
        <v>monocytogenes</v>
      </c>
      <c r="E3087" t="str">
        <f>IFERROR(__xludf.DUMMYFUNCTION("""COMPUTED_VALUE"""),"serotype")</f>
        <v>serotype</v>
      </c>
      <c r="F3087" t="str">
        <f>IFERROR(__xludf.DUMMYFUNCTION("""COMPUTED_VALUE"""),"4b")</f>
        <v>4b</v>
      </c>
      <c r="G3087" t="str">
        <f>IFERROR(__xludf.DUMMYFUNCTION("""COMPUTED_VALUE"""),"str.")</f>
        <v>str.</v>
      </c>
      <c r="H3087" t="str">
        <f>IFERROR(__xludf.DUMMYFUNCTION("""COMPUTED_VALUE"""),"CLIP")</f>
        <v>CLIP</v>
      </c>
      <c r="I3087">
        <f>IFERROR(__xludf.DUMMYFUNCTION("""COMPUTED_VALUE"""),80459.0)</f>
        <v>80459</v>
      </c>
    </row>
    <row r="3088" ht="15.75" customHeight="1">
      <c r="A3088" t="str">
        <f t="shared" si="1"/>
        <v>L.monocytogenes</v>
      </c>
      <c r="B3088" s="5" t="s">
        <v>15767</v>
      </c>
      <c r="C3088" s="6" t="str">
        <f>IFERROR(__xludf.DUMMYFUNCTION("SPLIT('2. c'!B3088, "" "", True, True)"),"Listeria")</f>
        <v>Listeria</v>
      </c>
      <c r="D3088" t="str">
        <f>IFERROR(__xludf.DUMMYFUNCTION("""COMPUTED_VALUE"""),"monocytogenes")</f>
        <v>monocytogenes</v>
      </c>
      <c r="E3088" t="str">
        <f>IFERROR(__xludf.DUMMYFUNCTION("""COMPUTED_VALUE"""),"serotype")</f>
        <v>serotype</v>
      </c>
      <c r="F3088" t="str">
        <f>IFERROR(__xludf.DUMMYFUNCTION("""COMPUTED_VALUE"""),"4b")</f>
        <v>4b</v>
      </c>
      <c r="G3088" t="str">
        <f>IFERROR(__xludf.DUMMYFUNCTION("""COMPUTED_VALUE"""),"str.")</f>
        <v>str.</v>
      </c>
      <c r="H3088" t="str">
        <f>IFERROR(__xludf.DUMMYFUNCTION("""COMPUTED_VALUE"""),"F2365")</f>
        <v>F2365</v>
      </c>
    </row>
    <row r="3089" ht="15.75" customHeight="1">
      <c r="A3089" t="str">
        <f t="shared" si="1"/>
        <v>L.monocytogenes</v>
      </c>
      <c r="B3089" s="5" t="s">
        <v>15776</v>
      </c>
      <c r="C3089" s="6" t="str">
        <f>IFERROR(__xludf.DUMMYFUNCTION("SPLIT('2. c'!B3089, "" "", True, True)"),"Listeria")</f>
        <v>Listeria</v>
      </c>
      <c r="D3089" t="str">
        <f>IFERROR(__xludf.DUMMYFUNCTION("""COMPUTED_VALUE"""),"monocytogenes")</f>
        <v>monocytogenes</v>
      </c>
      <c r="E3089" t="str">
        <f>IFERROR(__xludf.DUMMYFUNCTION("""COMPUTED_VALUE"""),"serotype")</f>
        <v>serotype</v>
      </c>
      <c r="F3089" t="str">
        <f>IFERROR(__xludf.DUMMYFUNCTION("""COMPUTED_VALUE"""),"4b")</f>
        <v>4b</v>
      </c>
      <c r="G3089" t="str">
        <f>IFERROR(__xludf.DUMMYFUNCTION("""COMPUTED_VALUE"""),"str.")</f>
        <v>str.</v>
      </c>
      <c r="H3089" t="str">
        <f>IFERROR(__xludf.DUMMYFUNCTION("""COMPUTED_VALUE"""),"LL195")</f>
        <v>LL195</v>
      </c>
    </row>
    <row r="3090" ht="15.75" customHeight="1">
      <c r="A3090" t="str">
        <f t="shared" si="1"/>
        <v>L.monocytogenes</v>
      </c>
      <c r="B3090" s="5" t="s">
        <v>15782</v>
      </c>
      <c r="C3090" s="6" t="str">
        <f>IFERROR(__xludf.DUMMYFUNCTION("SPLIT('2. c'!B3090, "" "", True, True)"),"Listeria")</f>
        <v>Listeria</v>
      </c>
      <c r="D3090" t="str">
        <f>IFERROR(__xludf.DUMMYFUNCTION("""COMPUTED_VALUE"""),"monocytogenes")</f>
        <v>monocytogenes</v>
      </c>
      <c r="E3090" t="str">
        <f>IFERROR(__xludf.DUMMYFUNCTION("""COMPUTED_VALUE"""),"serotype")</f>
        <v>serotype</v>
      </c>
      <c r="F3090">
        <f>IFERROR(__xludf.DUMMYFUNCTION("""COMPUTED_VALUE"""),7.0)</f>
        <v>7</v>
      </c>
      <c r="G3090" t="str">
        <f>IFERROR(__xludf.DUMMYFUNCTION("""COMPUTED_VALUE"""),"str.")</f>
        <v>str.</v>
      </c>
      <c r="H3090" t="str">
        <f>IFERROR(__xludf.DUMMYFUNCTION("""COMPUTED_VALUE"""),"SLCC2482")</f>
        <v>SLCC2482</v>
      </c>
    </row>
    <row r="3091" ht="15.75" customHeight="1">
      <c r="A3091" t="str">
        <f t="shared" si="1"/>
        <v>L.monocytogenes</v>
      </c>
      <c r="B3091" s="5" t="s">
        <v>15791</v>
      </c>
      <c r="C3091" s="6" t="str">
        <f>IFERROR(__xludf.DUMMYFUNCTION("SPLIT('2. c'!B3091, "" "", True, True)"),"Listeria")</f>
        <v>Listeria</v>
      </c>
      <c r="D3091" t="str">
        <f>IFERROR(__xludf.DUMMYFUNCTION("""COMPUTED_VALUE"""),"monocytogenes")</f>
        <v>monocytogenes</v>
      </c>
      <c r="E3091" t="str">
        <f>IFERROR(__xludf.DUMMYFUNCTION("""COMPUTED_VALUE"""),"SLCC2372")</f>
        <v>SLCC2372</v>
      </c>
    </row>
    <row r="3092" ht="15.75" customHeight="1">
      <c r="A3092" t="str">
        <f t="shared" si="1"/>
        <v>L.monocytogenes</v>
      </c>
      <c r="B3092" s="5" t="s">
        <v>15798</v>
      </c>
      <c r="C3092" s="6" t="str">
        <f>IFERROR(__xludf.DUMMYFUNCTION("SPLIT('2. c'!B3092, "" "", True, True)"),"Listeria")</f>
        <v>Listeria</v>
      </c>
      <c r="D3092" t="str">
        <f>IFERROR(__xludf.DUMMYFUNCTION("""COMPUTED_VALUE"""),"monocytogenes")</f>
        <v>monocytogenes</v>
      </c>
      <c r="E3092" t="str">
        <f>IFERROR(__xludf.DUMMYFUNCTION("""COMPUTED_VALUE"""),"SLCC2376")</f>
        <v>SLCC2376</v>
      </c>
    </row>
    <row r="3093" ht="15.75" customHeight="1">
      <c r="A3093" t="str">
        <f t="shared" si="1"/>
        <v>L.monocytogenes</v>
      </c>
      <c r="B3093" s="5" t="s">
        <v>15803</v>
      </c>
      <c r="C3093" s="6" t="str">
        <f>IFERROR(__xludf.DUMMYFUNCTION("SPLIT('2. c'!B3093, "" "", True, True)"),"Listeria")</f>
        <v>Listeria</v>
      </c>
      <c r="D3093" t="str">
        <f>IFERROR(__xludf.DUMMYFUNCTION("""COMPUTED_VALUE"""),"monocytogenes")</f>
        <v>monocytogenes</v>
      </c>
      <c r="E3093" t="str">
        <f>IFERROR(__xludf.DUMMYFUNCTION("""COMPUTED_VALUE"""),"SLCC2378")</f>
        <v>SLCC2378</v>
      </c>
    </row>
    <row r="3094" ht="15.75" customHeight="1">
      <c r="A3094" t="str">
        <f t="shared" si="1"/>
        <v>L.monocytogenes</v>
      </c>
      <c r="B3094" s="5" t="s">
        <v>15810</v>
      </c>
      <c r="C3094" s="6" t="str">
        <f>IFERROR(__xludf.DUMMYFUNCTION("SPLIT('2. c'!B3094, "" "", True, True)"),"Listeria")</f>
        <v>Listeria</v>
      </c>
      <c r="D3094" t="str">
        <f>IFERROR(__xludf.DUMMYFUNCTION("""COMPUTED_VALUE"""),"monocytogenes")</f>
        <v>monocytogenes</v>
      </c>
      <c r="E3094" t="str">
        <f>IFERROR(__xludf.DUMMYFUNCTION("""COMPUTED_VALUE"""),"SLCC2479")</f>
        <v>SLCC2479</v>
      </c>
    </row>
    <row r="3095" ht="15.75" customHeight="1">
      <c r="A3095" t="str">
        <f t="shared" si="1"/>
        <v>L.monocytogenes</v>
      </c>
      <c r="B3095" s="5" t="s">
        <v>15819</v>
      </c>
      <c r="C3095" s="6" t="str">
        <f>IFERROR(__xludf.DUMMYFUNCTION("SPLIT('2. c'!B3095, "" "", True, True)"),"Listeria")</f>
        <v>Listeria</v>
      </c>
      <c r="D3095" t="str">
        <f>IFERROR(__xludf.DUMMYFUNCTION("""COMPUTED_VALUE"""),"monocytogenes")</f>
        <v>monocytogenes</v>
      </c>
      <c r="E3095" t="str">
        <f>IFERROR(__xludf.DUMMYFUNCTION("""COMPUTED_VALUE"""),"SLCC2540")</f>
        <v>SLCC2540</v>
      </c>
    </row>
    <row r="3096" ht="15.75" customHeight="1">
      <c r="A3096" t="str">
        <f t="shared" si="1"/>
        <v>L.monocytogenes</v>
      </c>
      <c r="B3096" s="5" t="s">
        <v>15827</v>
      </c>
      <c r="C3096" s="6" t="str">
        <f>IFERROR(__xludf.DUMMYFUNCTION("SPLIT('2. c'!B3096, "" "", True, True)"),"Listeria")</f>
        <v>Listeria</v>
      </c>
      <c r="D3096" t="str">
        <f>IFERROR(__xludf.DUMMYFUNCTION("""COMPUTED_VALUE"""),"monocytogenes")</f>
        <v>monocytogenes</v>
      </c>
      <c r="E3096" t="str">
        <f>IFERROR(__xludf.DUMMYFUNCTION("""COMPUTED_VALUE"""),"SLCC2755")</f>
        <v>SLCC2755</v>
      </c>
    </row>
    <row r="3097" ht="15.75" customHeight="1">
      <c r="A3097" t="str">
        <f t="shared" si="1"/>
        <v>L.monocytogenes</v>
      </c>
      <c r="B3097" s="5" t="s">
        <v>15835</v>
      </c>
      <c r="C3097" s="6" t="str">
        <f>IFERROR(__xludf.DUMMYFUNCTION("SPLIT('2. c'!B3097, "" "", True, True)"),"Listeria")</f>
        <v>Listeria</v>
      </c>
      <c r="D3097" t="str">
        <f>IFERROR(__xludf.DUMMYFUNCTION("""COMPUTED_VALUE"""),"monocytogenes")</f>
        <v>monocytogenes</v>
      </c>
      <c r="E3097" t="str">
        <f>IFERROR(__xludf.DUMMYFUNCTION("""COMPUTED_VALUE"""),"SLCC5850")</f>
        <v>SLCC5850</v>
      </c>
    </row>
    <row r="3098" ht="15.75" customHeight="1">
      <c r="A3098" t="str">
        <f t="shared" si="1"/>
        <v>L.monocytogenes</v>
      </c>
      <c r="B3098" s="5" t="s">
        <v>15843</v>
      </c>
      <c r="C3098" s="6" t="str">
        <f>IFERROR(__xludf.DUMMYFUNCTION("SPLIT('2. c'!B3098, "" "", True, True)"),"Listeria")</f>
        <v>Listeria</v>
      </c>
      <c r="D3098" t="str">
        <f>IFERROR(__xludf.DUMMYFUNCTION("""COMPUTED_VALUE"""),"monocytogenes")</f>
        <v>monocytogenes</v>
      </c>
      <c r="E3098" t="str">
        <f>IFERROR(__xludf.DUMMYFUNCTION("""COMPUTED_VALUE"""),"SLCC7179")</f>
        <v>SLCC7179</v>
      </c>
    </row>
    <row r="3099" ht="15.75" customHeight="1">
      <c r="A3099" t="str">
        <f t="shared" si="1"/>
        <v>L.monocytogenes</v>
      </c>
      <c r="B3099" s="5" t="s">
        <v>15851</v>
      </c>
      <c r="C3099" s="6" t="str">
        <f>IFERROR(__xludf.DUMMYFUNCTION("SPLIT('2. c'!B3099, "" "", True, True)"),"Listeria")</f>
        <v>Listeria</v>
      </c>
      <c r="D3099" t="str">
        <f>IFERROR(__xludf.DUMMYFUNCTION("""COMPUTED_VALUE"""),"monocytogenes")</f>
        <v>monocytogenes</v>
      </c>
      <c r="E3099" t="str">
        <f>IFERROR(__xludf.DUMMYFUNCTION("""COMPUTED_VALUE"""),"strain")</f>
        <v>strain</v>
      </c>
      <c r="F3099" t="str">
        <f>IFERROR(__xludf.DUMMYFUNCTION("""COMPUTED_VALUE"""),"2015TE19005-1355")</f>
        <v>2015TE19005-1355</v>
      </c>
    </row>
    <row r="3100" ht="15.75" customHeight="1">
      <c r="A3100" t="str">
        <f t="shared" si="1"/>
        <v>L.monocytogenes</v>
      </c>
      <c r="B3100" s="5" t="s">
        <v>15863</v>
      </c>
      <c r="C3100" s="6" t="str">
        <f>IFERROR(__xludf.DUMMYFUNCTION("SPLIT('2. c'!B3100, "" "", True, True)"),"Listeria")</f>
        <v>Listeria</v>
      </c>
      <c r="D3100" t="str">
        <f>IFERROR(__xludf.DUMMYFUNCTION("""COMPUTED_VALUE"""),"monocytogenes")</f>
        <v>monocytogenes</v>
      </c>
      <c r="E3100" t="str">
        <f>IFERROR(__xludf.DUMMYFUNCTION("""COMPUTED_VALUE"""),"strain")</f>
        <v>strain</v>
      </c>
      <c r="F3100" t="str">
        <f>IFERROR(__xludf.DUMMYFUNCTION("""COMPUTED_VALUE"""),"2015TE24968")</f>
        <v>2015TE24968</v>
      </c>
    </row>
    <row r="3101" ht="15.75" customHeight="1">
      <c r="A3101" t="str">
        <f t="shared" si="1"/>
        <v>L.monocytogenes</v>
      </c>
      <c r="B3101" s="5" t="s">
        <v>15875</v>
      </c>
      <c r="C3101" s="6" t="str">
        <f>IFERROR(__xludf.DUMMYFUNCTION("SPLIT('2. c'!B3101, "" "", True, True)"),"Listeria")</f>
        <v>Listeria</v>
      </c>
      <c r="D3101" t="str">
        <f>IFERROR(__xludf.DUMMYFUNCTION("""COMPUTED_VALUE"""),"monocytogenes")</f>
        <v>monocytogenes</v>
      </c>
      <c r="E3101" t="str">
        <f>IFERROR(__xludf.DUMMYFUNCTION("""COMPUTED_VALUE"""),"strain")</f>
        <v>strain</v>
      </c>
      <c r="F3101" t="str">
        <f>IFERROR(__xludf.DUMMYFUNCTION("""COMPUTED_VALUE"""),"C1-387")</f>
        <v>C1-387</v>
      </c>
    </row>
    <row r="3102" ht="15.75" customHeight="1">
      <c r="A3102" t="str">
        <f t="shared" si="1"/>
        <v>L.monocytogenes</v>
      </c>
      <c r="B3102" s="5" t="s">
        <v>15883</v>
      </c>
      <c r="C3102" s="6" t="str">
        <f>IFERROR(__xludf.DUMMYFUNCTION("SPLIT('2. c'!B3102, "" "", True, True)"),"Listeria")</f>
        <v>Listeria</v>
      </c>
      <c r="D3102" t="str">
        <f>IFERROR(__xludf.DUMMYFUNCTION("""COMPUTED_VALUE"""),"monocytogenes")</f>
        <v>monocytogenes</v>
      </c>
      <c r="E3102" t="str">
        <f>IFERROR(__xludf.DUMMYFUNCTION("""COMPUTED_VALUE"""),"strain")</f>
        <v>strain</v>
      </c>
      <c r="F3102" t="str">
        <f>IFERROR(__xludf.DUMMYFUNCTION("""COMPUTED_VALUE"""),"CFSAN006122")</f>
        <v>CFSAN006122</v>
      </c>
    </row>
    <row r="3103" ht="15.75" customHeight="1">
      <c r="A3103" t="str">
        <f t="shared" si="1"/>
        <v>L.monocytogenes</v>
      </c>
      <c r="B3103" s="5" t="s">
        <v>15883</v>
      </c>
      <c r="C3103" s="6" t="str">
        <f>IFERROR(__xludf.DUMMYFUNCTION("SPLIT('2. c'!B3103, "" "", True, True)"),"Listeria")</f>
        <v>Listeria</v>
      </c>
      <c r="D3103" t="str">
        <f>IFERROR(__xludf.DUMMYFUNCTION("""COMPUTED_VALUE"""),"monocytogenes")</f>
        <v>monocytogenes</v>
      </c>
      <c r="E3103" t="str">
        <f>IFERROR(__xludf.DUMMYFUNCTION("""COMPUTED_VALUE"""),"strain")</f>
        <v>strain</v>
      </c>
      <c r="F3103" t="str">
        <f>IFERROR(__xludf.DUMMYFUNCTION("""COMPUTED_VALUE"""),"CFSAN006122")</f>
        <v>CFSAN006122</v>
      </c>
    </row>
    <row r="3104" ht="15.75" customHeight="1">
      <c r="A3104" t="str">
        <f t="shared" si="1"/>
        <v>L.monocytogenes</v>
      </c>
      <c r="B3104" s="5" t="s">
        <v>15906</v>
      </c>
      <c r="C3104" s="6" t="str">
        <f>IFERROR(__xludf.DUMMYFUNCTION("SPLIT('2. c'!B3104, "" "", True, True)"),"Listeria")</f>
        <v>Listeria</v>
      </c>
      <c r="D3104" t="str">
        <f>IFERROR(__xludf.DUMMYFUNCTION("""COMPUTED_VALUE"""),"monocytogenes")</f>
        <v>monocytogenes</v>
      </c>
      <c r="E3104" t="str">
        <f>IFERROR(__xludf.DUMMYFUNCTION("""COMPUTED_VALUE"""),"strain")</f>
        <v>strain</v>
      </c>
      <c r="F3104" t="str">
        <f>IFERROR(__xludf.DUMMYFUNCTION("""COMPUTED_VALUE"""),"CFSAN007956")</f>
        <v>CFSAN007956</v>
      </c>
    </row>
    <row r="3105" ht="15.75" customHeight="1">
      <c r="A3105" t="str">
        <f t="shared" si="1"/>
        <v>L.monocytogenes</v>
      </c>
      <c r="B3105" s="5" t="s">
        <v>15919</v>
      </c>
      <c r="C3105" s="6" t="str">
        <f>IFERROR(__xludf.DUMMYFUNCTION("SPLIT('2. c'!B3105, "" "", True, True)"),"Listeria")</f>
        <v>Listeria</v>
      </c>
      <c r="D3105" t="str">
        <f>IFERROR(__xludf.DUMMYFUNCTION("""COMPUTED_VALUE"""),"monocytogenes")</f>
        <v>monocytogenes</v>
      </c>
      <c r="E3105" t="str">
        <f>IFERROR(__xludf.DUMMYFUNCTION("""COMPUTED_VALUE"""),"strain")</f>
        <v>strain</v>
      </c>
      <c r="F3105" t="str">
        <f>IFERROR(__xludf.DUMMYFUNCTION("""COMPUTED_VALUE"""),"CFSAN008100")</f>
        <v>CFSAN008100</v>
      </c>
    </row>
    <row r="3106" ht="15.75" customHeight="1">
      <c r="A3106" t="str">
        <f t="shared" si="1"/>
        <v>L.monocytogenes</v>
      </c>
      <c r="B3106" s="5" t="s">
        <v>15932</v>
      </c>
      <c r="C3106" s="6" t="str">
        <f>IFERROR(__xludf.DUMMYFUNCTION("SPLIT('2. c'!B3106, "" "", True, True)"),"Listeria")</f>
        <v>Listeria</v>
      </c>
      <c r="D3106" t="str">
        <f>IFERROR(__xludf.DUMMYFUNCTION("""COMPUTED_VALUE"""),"monocytogenes")</f>
        <v>monocytogenes</v>
      </c>
      <c r="E3106" t="str">
        <f>IFERROR(__xludf.DUMMYFUNCTION("""COMPUTED_VALUE"""),"strain")</f>
        <v>strain</v>
      </c>
      <c r="F3106" t="str">
        <f>IFERROR(__xludf.DUMMYFUNCTION("""COMPUTED_VALUE"""),"CFSAN010068")</f>
        <v>CFSAN010068</v>
      </c>
    </row>
    <row r="3107" ht="15.75" customHeight="1">
      <c r="A3107" t="str">
        <f t="shared" si="1"/>
        <v>L.monocytogenes</v>
      </c>
      <c r="B3107" s="5" t="s">
        <v>15943</v>
      </c>
      <c r="C3107" s="6" t="str">
        <f>IFERROR(__xludf.DUMMYFUNCTION("SPLIT('2. c'!B3107, "" "", True, True)"),"Listeria")</f>
        <v>Listeria</v>
      </c>
      <c r="D3107" t="str">
        <f>IFERROR(__xludf.DUMMYFUNCTION("""COMPUTED_VALUE"""),"monocytogenes")</f>
        <v>monocytogenes</v>
      </c>
      <c r="E3107" t="str">
        <f>IFERROR(__xludf.DUMMYFUNCTION("""COMPUTED_VALUE"""),"strain")</f>
        <v>strain</v>
      </c>
      <c r="F3107" t="str">
        <f>IFERROR(__xludf.DUMMYFUNCTION("""COMPUTED_VALUE"""),"CFSAN012299")</f>
        <v>CFSAN012299</v>
      </c>
    </row>
    <row r="3108" ht="15.75" customHeight="1">
      <c r="A3108" t="str">
        <f t="shared" si="1"/>
        <v>L.monocytogenes</v>
      </c>
      <c r="B3108" s="5" t="s">
        <v>15953</v>
      </c>
      <c r="C3108" s="6" t="str">
        <f>IFERROR(__xludf.DUMMYFUNCTION("SPLIT('2. c'!B3108, "" "", True, True)"),"Listeria")</f>
        <v>Listeria</v>
      </c>
      <c r="D3108" t="str">
        <f>IFERROR(__xludf.DUMMYFUNCTION("""COMPUTED_VALUE"""),"monocytogenes")</f>
        <v>monocytogenes</v>
      </c>
      <c r="E3108" t="str">
        <f>IFERROR(__xludf.DUMMYFUNCTION("""COMPUTED_VALUE"""),"strain")</f>
        <v>strain</v>
      </c>
      <c r="F3108" t="str">
        <f>IFERROR(__xludf.DUMMYFUNCTION("""COMPUTED_VALUE"""),"CFSAN023459")</f>
        <v>CFSAN023459</v>
      </c>
    </row>
    <row r="3109" ht="15.75" customHeight="1">
      <c r="A3109" t="str">
        <f t="shared" si="1"/>
        <v>L.monocytogenes</v>
      </c>
      <c r="B3109" s="5" t="s">
        <v>15965</v>
      </c>
      <c r="C3109" s="6" t="str">
        <f>IFERROR(__xludf.DUMMYFUNCTION("SPLIT('2. c'!B3109, "" "", True, True)"),"Listeria")</f>
        <v>Listeria</v>
      </c>
      <c r="D3109" t="str">
        <f>IFERROR(__xludf.DUMMYFUNCTION("""COMPUTED_VALUE"""),"monocytogenes")</f>
        <v>monocytogenes</v>
      </c>
      <c r="E3109" t="str">
        <f>IFERROR(__xludf.DUMMYFUNCTION("""COMPUTED_VALUE"""),"strain")</f>
        <v>strain</v>
      </c>
      <c r="F3109" t="str">
        <f>IFERROR(__xludf.DUMMYFUNCTION("""COMPUTED_VALUE"""),"CFSAN023463")</f>
        <v>CFSAN023463</v>
      </c>
    </row>
    <row r="3110" ht="15.75" customHeight="1">
      <c r="A3110" t="str">
        <f t="shared" si="1"/>
        <v>L.monocytogenes</v>
      </c>
      <c r="B3110" s="5" t="s">
        <v>15978</v>
      </c>
      <c r="C3110" s="6" t="str">
        <f>IFERROR(__xludf.DUMMYFUNCTION("SPLIT('2. c'!B3110, "" "", True, True)"),"Listeria")</f>
        <v>Listeria</v>
      </c>
      <c r="D3110" t="str">
        <f>IFERROR(__xludf.DUMMYFUNCTION("""COMPUTED_VALUE"""),"monocytogenes")</f>
        <v>monocytogenes</v>
      </c>
      <c r="E3110" t="str">
        <f>IFERROR(__xludf.DUMMYFUNCTION("""COMPUTED_VALUE"""),"strain")</f>
        <v>strain</v>
      </c>
      <c r="F3110" t="str">
        <f>IFERROR(__xludf.DUMMYFUNCTION("""COMPUTED_VALUE"""),"FSIS1606618")</f>
        <v>FSIS1606618</v>
      </c>
    </row>
    <row r="3111" ht="15.75" customHeight="1">
      <c r="A3111" t="str">
        <f t="shared" si="1"/>
        <v>L.monocytogenes</v>
      </c>
      <c r="B3111" s="5" t="s">
        <v>15986</v>
      </c>
      <c r="C3111" s="6" t="str">
        <f>IFERROR(__xludf.DUMMYFUNCTION("SPLIT('2. c'!B3111, "" "", True, True)"),"Listeria")</f>
        <v>Listeria</v>
      </c>
      <c r="D3111" t="str">
        <f>IFERROR(__xludf.DUMMYFUNCTION("""COMPUTED_VALUE"""),"monocytogenes")</f>
        <v>monocytogenes</v>
      </c>
      <c r="E3111" t="str">
        <f>IFERROR(__xludf.DUMMYFUNCTION("""COMPUTED_VALUE"""),"strain")</f>
        <v>strain</v>
      </c>
      <c r="F3111" t="str">
        <f>IFERROR(__xludf.DUMMYFUNCTION("""COMPUTED_VALUE"""),"FW040025")</f>
        <v>FW040025</v>
      </c>
    </row>
    <row r="3112" ht="15.75" customHeight="1">
      <c r="A3112" t="str">
        <f t="shared" si="1"/>
        <v>L.monocytogenes</v>
      </c>
      <c r="B3112" s="5" t="s">
        <v>15997</v>
      </c>
      <c r="C3112" s="6" t="str">
        <f>IFERROR(__xludf.DUMMYFUNCTION("SPLIT('2. c'!B3112, "" "", True, True)"),"Listeria")</f>
        <v>Listeria</v>
      </c>
      <c r="D3112" t="str">
        <f>IFERROR(__xludf.DUMMYFUNCTION("""COMPUTED_VALUE"""),"monocytogenes")</f>
        <v>monocytogenes</v>
      </c>
      <c r="E3112" t="str">
        <f>IFERROR(__xludf.DUMMYFUNCTION("""COMPUTED_VALUE"""),"strain")</f>
        <v>strain</v>
      </c>
      <c r="F3112" t="str">
        <f>IFERROR(__xludf.DUMMYFUNCTION("""COMPUTED_VALUE"""),"J1776")</f>
        <v>J1776</v>
      </c>
    </row>
    <row r="3113" ht="15.75" customHeight="1">
      <c r="A3113" t="str">
        <f t="shared" si="1"/>
        <v>L.monocytogenes</v>
      </c>
      <c r="B3113" s="5" t="s">
        <v>16008</v>
      </c>
      <c r="C3113" s="6" t="str">
        <f>IFERROR(__xludf.DUMMYFUNCTION("SPLIT('2. c'!B3113, "" "", True, True)"),"Listeria")</f>
        <v>Listeria</v>
      </c>
      <c r="D3113" t="str">
        <f>IFERROR(__xludf.DUMMYFUNCTION("""COMPUTED_VALUE"""),"monocytogenes")</f>
        <v>monocytogenes</v>
      </c>
      <c r="E3113" t="str">
        <f>IFERROR(__xludf.DUMMYFUNCTION("""COMPUTED_VALUE"""),"strain")</f>
        <v>strain</v>
      </c>
      <c r="F3113" t="str">
        <f>IFERROR(__xludf.DUMMYFUNCTION("""COMPUTED_VALUE"""),"J1817")</f>
        <v>J1817</v>
      </c>
    </row>
    <row r="3114" ht="15.75" customHeight="1">
      <c r="A3114" t="str">
        <f t="shared" si="1"/>
        <v>L.monocytogenes</v>
      </c>
      <c r="B3114" s="5" t="s">
        <v>16017</v>
      </c>
      <c r="C3114" s="6" t="str">
        <f>IFERROR(__xludf.DUMMYFUNCTION("SPLIT('2. c'!B3114, "" "", True, True)"),"Listeria")</f>
        <v>Listeria</v>
      </c>
      <c r="D3114" t="str">
        <f>IFERROR(__xludf.DUMMYFUNCTION("""COMPUTED_VALUE"""),"monocytogenes")</f>
        <v>monocytogenes</v>
      </c>
      <c r="E3114" t="str">
        <f>IFERROR(__xludf.DUMMYFUNCTION("""COMPUTED_VALUE"""),"strain")</f>
        <v>strain</v>
      </c>
      <c r="F3114" t="str">
        <f>IFERROR(__xludf.DUMMYFUNCTION("""COMPUTED_VALUE"""),"J1926")</f>
        <v>J1926</v>
      </c>
    </row>
    <row r="3115" ht="15.75" customHeight="1">
      <c r="A3115" t="str">
        <f t="shared" si="1"/>
        <v>L.monocytogenes</v>
      </c>
      <c r="B3115" s="5" t="s">
        <v>16025</v>
      </c>
      <c r="C3115" s="6" t="str">
        <f>IFERROR(__xludf.DUMMYFUNCTION("SPLIT('2. c'!B3115, "" "", True, True)"),"Listeria")</f>
        <v>Listeria</v>
      </c>
      <c r="D3115" t="str">
        <f>IFERROR(__xludf.DUMMYFUNCTION("""COMPUTED_VALUE"""),"monocytogenes")</f>
        <v>monocytogenes</v>
      </c>
      <c r="E3115" t="str">
        <f>IFERROR(__xludf.DUMMYFUNCTION("""COMPUTED_VALUE"""),"strain")</f>
        <v>strain</v>
      </c>
      <c r="F3115" t="str">
        <f>IFERROR(__xludf.DUMMYFUNCTION("""COMPUTED_VALUE"""),"J2-031")</f>
        <v>J2-031</v>
      </c>
    </row>
    <row r="3116" ht="15.75" customHeight="1">
      <c r="A3116" t="str">
        <f t="shared" si="1"/>
        <v>L.monocytogenes</v>
      </c>
      <c r="B3116" s="5" t="s">
        <v>16033</v>
      </c>
      <c r="C3116" s="6" t="str">
        <f>IFERROR(__xludf.DUMMYFUNCTION("SPLIT('2. c'!B3116, "" "", True, True)"),"Listeria")</f>
        <v>Listeria</v>
      </c>
      <c r="D3116" t="str">
        <f>IFERROR(__xludf.DUMMYFUNCTION("""COMPUTED_VALUE"""),"monocytogenes")</f>
        <v>monocytogenes</v>
      </c>
      <c r="E3116" t="str">
        <f>IFERROR(__xludf.DUMMYFUNCTION("""COMPUTED_VALUE"""),"strain")</f>
        <v>strain</v>
      </c>
      <c r="F3116" t="str">
        <f>IFERROR(__xludf.DUMMYFUNCTION("""COMPUTED_VALUE"""),"J2-064")</f>
        <v>J2-064</v>
      </c>
    </row>
    <row r="3117" ht="15.75" customHeight="1">
      <c r="A3117" t="str">
        <f t="shared" si="1"/>
        <v>L.monocytogenes</v>
      </c>
      <c r="B3117" s="5" t="s">
        <v>16042</v>
      </c>
      <c r="C3117" s="6" t="str">
        <f>IFERROR(__xludf.DUMMYFUNCTION("SPLIT('2. c'!B3117, "" "", True, True)"),"Listeria")</f>
        <v>Listeria</v>
      </c>
      <c r="D3117" t="str">
        <f>IFERROR(__xludf.DUMMYFUNCTION("""COMPUTED_VALUE"""),"monocytogenes")</f>
        <v>monocytogenes</v>
      </c>
      <c r="E3117" t="str">
        <f>IFERROR(__xludf.DUMMYFUNCTION("""COMPUTED_VALUE"""),"strain")</f>
        <v>strain</v>
      </c>
      <c r="F3117" t="str">
        <f>IFERROR(__xludf.DUMMYFUNCTION("""COMPUTED_VALUE"""),"J2-1091")</f>
        <v>J2-1091</v>
      </c>
    </row>
    <row r="3118" ht="15.75" customHeight="1">
      <c r="A3118" t="str">
        <f t="shared" si="1"/>
        <v>L.monocytogenes</v>
      </c>
      <c r="B3118" s="5" t="s">
        <v>16052</v>
      </c>
      <c r="C3118" s="6" t="str">
        <f>IFERROR(__xludf.DUMMYFUNCTION("SPLIT('2. c'!B3118, "" "", True, True)"),"Listeria")</f>
        <v>Listeria</v>
      </c>
      <c r="D3118" t="str">
        <f>IFERROR(__xludf.DUMMYFUNCTION("""COMPUTED_VALUE"""),"monocytogenes")</f>
        <v>monocytogenes</v>
      </c>
      <c r="E3118" t="str">
        <f>IFERROR(__xludf.DUMMYFUNCTION("""COMPUTED_VALUE"""),"strain")</f>
        <v>strain</v>
      </c>
      <c r="F3118" t="str">
        <f>IFERROR(__xludf.DUMMYFUNCTION("""COMPUTED_VALUE"""),"JF5171")</f>
        <v>JF5171</v>
      </c>
    </row>
    <row r="3119" ht="15.75" customHeight="1">
      <c r="A3119" t="str">
        <f t="shared" si="1"/>
        <v>L.monocytogenes</v>
      </c>
      <c r="B3119" s="5" t="s">
        <v>16058</v>
      </c>
      <c r="C3119" s="6" t="str">
        <f>IFERROR(__xludf.DUMMYFUNCTION("SPLIT('2. c'!B3119, "" "", True, True)"),"Listeria")</f>
        <v>Listeria</v>
      </c>
      <c r="D3119" t="str">
        <f>IFERROR(__xludf.DUMMYFUNCTION("""COMPUTED_VALUE"""),"monocytogenes")</f>
        <v>monocytogenes</v>
      </c>
      <c r="E3119" t="str">
        <f>IFERROR(__xludf.DUMMYFUNCTION("""COMPUTED_VALUE"""),"strain")</f>
        <v>strain</v>
      </c>
      <c r="F3119" t="str">
        <f>IFERROR(__xludf.DUMMYFUNCTION("""COMPUTED_VALUE"""),"L1846")</f>
        <v>L1846</v>
      </c>
    </row>
    <row r="3120" ht="15.75" customHeight="1">
      <c r="A3120" t="str">
        <f t="shared" si="1"/>
        <v>L.monocytogenes</v>
      </c>
      <c r="B3120" s="5" t="s">
        <v>16065</v>
      </c>
      <c r="C3120" s="6" t="str">
        <f>IFERROR(__xludf.DUMMYFUNCTION("SPLIT('2. c'!B3120, "" "", True, True)"),"Listeria")</f>
        <v>Listeria</v>
      </c>
      <c r="D3120" t="str">
        <f>IFERROR(__xludf.DUMMYFUNCTION("""COMPUTED_VALUE"""),"monocytogenes")</f>
        <v>monocytogenes</v>
      </c>
      <c r="E3120" t="str">
        <f>IFERROR(__xludf.DUMMYFUNCTION("""COMPUTED_VALUE"""),"strain")</f>
        <v>strain</v>
      </c>
      <c r="F3120" t="str">
        <f>IFERROR(__xludf.DUMMYFUNCTION("""COMPUTED_VALUE"""),"L2074")</f>
        <v>L2074</v>
      </c>
    </row>
    <row r="3121" ht="15.75" customHeight="1">
      <c r="A3121" t="str">
        <f t="shared" si="1"/>
        <v>L.monocytogenes</v>
      </c>
      <c r="B3121" s="5" t="s">
        <v>16075</v>
      </c>
      <c r="C3121" s="6" t="str">
        <f>IFERROR(__xludf.DUMMYFUNCTION("SPLIT('2. c'!B3121, "" "", True, True)"),"Listeria")</f>
        <v>Listeria</v>
      </c>
      <c r="D3121" t="str">
        <f>IFERROR(__xludf.DUMMYFUNCTION("""COMPUTED_VALUE"""),"monocytogenes")</f>
        <v>monocytogenes</v>
      </c>
      <c r="E3121" t="str">
        <f>IFERROR(__xludf.DUMMYFUNCTION("""COMPUTED_VALUE"""),"strain")</f>
        <v>strain</v>
      </c>
      <c r="F3121" t="str">
        <f>IFERROR(__xludf.DUMMYFUNCTION("""COMPUTED_VALUE"""),"L2624")</f>
        <v>L2624</v>
      </c>
    </row>
    <row r="3122" ht="15.75" customHeight="1">
      <c r="A3122" t="str">
        <f t="shared" si="1"/>
        <v>L.monocytogenes</v>
      </c>
      <c r="B3122" s="5" t="s">
        <v>16087</v>
      </c>
      <c r="C3122" s="6" t="str">
        <f>IFERROR(__xludf.DUMMYFUNCTION("SPLIT('2. c'!B3122, "" "", True, True)"),"Listeria")</f>
        <v>Listeria</v>
      </c>
      <c r="D3122" t="str">
        <f>IFERROR(__xludf.DUMMYFUNCTION("""COMPUTED_VALUE"""),"monocytogenes")</f>
        <v>monocytogenes</v>
      </c>
      <c r="E3122" t="str">
        <f>IFERROR(__xludf.DUMMYFUNCTION("""COMPUTED_VALUE"""),"strain")</f>
        <v>strain</v>
      </c>
      <c r="F3122" t="str">
        <f>IFERROR(__xludf.DUMMYFUNCTION("""COMPUTED_VALUE"""),"L2625")</f>
        <v>L2625</v>
      </c>
    </row>
    <row r="3123" ht="15.75" customHeight="1">
      <c r="A3123" t="str">
        <f t="shared" si="1"/>
        <v>L.monocytogenes</v>
      </c>
      <c r="B3123" s="5" t="s">
        <v>16093</v>
      </c>
      <c r="C3123" s="6" t="str">
        <f>IFERROR(__xludf.DUMMYFUNCTION("SPLIT('2. c'!B3123, "" "", True, True)"),"Listeria")</f>
        <v>Listeria</v>
      </c>
      <c r="D3123" t="str">
        <f>IFERROR(__xludf.DUMMYFUNCTION("""COMPUTED_VALUE"""),"monocytogenes")</f>
        <v>monocytogenes</v>
      </c>
      <c r="E3123" t="str">
        <f>IFERROR(__xludf.DUMMYFUNCTION("""COMPUTED_VALUE"""),"strain")</f>
        <v>strain</v>
      </c>
      <c r="F3123" t="str">
        <f>IFERROR(__xludf.DUMMYFUNCTION("""COMPUTED_VALUE"""),"L2626")</f>
        <v>L2626</v>
      </c>
    </row>
    <row r="3124" ht="15.75" customHeight="1">
      <c r="A3124" t="str">
        <f t="shared" si="1"/>
        <v>L.monocytogenes</v>
      </c>
      <c r="B3124" s="5" t="s">
        <v>16101</v>
      </c>
      <c r="C3124" s="6" t="str">
        <f>IFERROR(__xludf.DUMMYFUNCTION("SPLIT('2. c'!B3124, "" "", True, True)"),"Listeria")</f>
        <v>Listeria</v>
      </c>
      <c r="D3124" t="str">
        <f>IFERROR(__xludf.DUMMYFUNCTION("""COMPUTED_VALUE"""),"monocytogenes")</f>
        <v>monocytogenes</v>
      </c>
      <c r="E3124" t="str">
        <f>IFERROR(__xludf.DUMMYFUNCTION("""COMPUTED_VALUE"""),"strain")</f>
        <v>strain</v>
      </c>
      <c r="F3124" t="str">
        <f>IFERROR(__xludf.DUMMYFUNCTION("""COMPUTED_VALUE"""),"L2676")</f>
        <v>L2676</v>
      </c>
    </row>
    <row r="3125" ht="15.75" customHeight="1">
      <c r="A3125" t="str">
        <f t="shared" si="1"/>
        <v>L.monocytogenes</v>
      </c>
      <c r="B3125" s="5" t="s">
        <v>16110</v>
      </c>
      <c r="C3125" s="6" t="str">
        <f>IFERROR(__xludf.DUMMYFUNCTION("SPLIT('2. c'!B3125, "" "", True, True)"),"Listeria")</f>
        <v>Listeria</v>
      </c>
      <c r="D3125" t="str">
        <f>IFERROR(__xludf.DUMMYFUNCTION("""COMPUTED_VALUE"""),"monocytogenes")</f>
        <v>monocytogenes</v>
      </c>
      <c r="E3125" t="str">
        <f>IFERROR(__xludf.DUMMYFUNCTION("""COMPUTED_VALUE"""),"strain")</f>
        <v>strain</v>
      </c>
      <c r="F3125" t="str">
        <f>IFERROR(__xludf.DUMMYFUNCTION("""COMPUTED_VALUE"""),"Lm")</f>
        <v>Lm</v>
      </c>
      <c r="G3125">
        <f>IFERROR(__xludf.DUMMYFUNCTION("""COMPUTED_VALUE"""),3136.0)</f>
        <v>3136</v>
      </c>
    </row>
    <row r="3126" ht="15.75" customHeight="1">
      <c r="A3126" t="str">
        <f t="shared" si="1"/>
        <v>L.monocytogenes</v>
      </c>
      <c r="B3126" s="5" t="s">
        <v>16124</v>
      </c>
      <c r="C3126" s="6" t="str">
        <f>IFERROR(__xludf.DUMMYFUNCTION("SPLIT('2. c'!B3126, "" "", True, True)"),"Listeria")</f>
        <v>Listeria</v>
      </c>
      <c r="D3126" t="str">
        <f>IFERROR(__xludf.DUMMYFUNCTION("""COMPUTED_VALUE"""),"monocytogenes")</f>
        <v>monocytogenes</v>
      </c>
      <c r="E3126" t="str">
        <f>IFERROR(__xludf.DUMMYFUNCTION("""COMPUTED_VALUE"""),"strain")</f>
        <v>strain</v>
      </c>
      <c r="F3126" t="str">
        <f>IFERROR(__xludf.DUMMYFUNCTION("""COMPUTED_VALUE"""),"Lm")</f>
        <v>Lm</v>
      </c>
      <c r="G3126">
        <f>IFERROR(__xludf.DUMMYFUNCTION("""COMPUTED_VALUE"""),3163.0)</f>
        <v>3163</v>
      </c>
    </row>
    <row r="3127" ht="15.75" customHeight="1">
      <c r="A3127" t="str">
        <f t="shared" si="1"/>
        <v>L.monocytogenes</v>
      </c>
      <c r="B3127" s="5" t="s">
        <v>16141</v>
      </c>
      <c r="C3127" s="6" t="str">
        <f>IFERROR(__xludf.DUMMYFUNCTION("SPLIT('2. c'!B3127, "" "", True, True)"),"Listeria")</f>
        <v>Listeria</v>
      </c>
      <c r="D3127" t="str">
        <f>IFERROR(__xludf.DUMMYFUNCTION("""COMPUTED_VALUE"""),"monocytogenes")</f>
        <v>monocytogenes</v>
      </c>
      <c r="E3127" t="str">
        <f>IFERROR(__xludf.DUMMYFUNCTION("""COMPUTED_VALUE"""),"strain")</f>
        <v>strain</v>
      </c>
      <c r="F3127" t="str">
        <f>IFERROR(__xludf.DUMMYFUNCTION("""COMPUTED_VALUE"""),"Lm")</f>
        <v>Lm</v>
      </c>
      <c r="G3127" t="str">
        <f>IFERROR(__xludf.DUMMYFUNCTION("""COMPUTED_VALUE"""),"N1546")</f>
        <v>N1546</v>
      </c>
    </row>
    <row r="3128" ht="15.75" customHeight="1">
      <c r="A3128" t="str">
        <f t="shared" si="1"/>
        <v>L.monocytogenes</v>
      </c>
      <c r="B3128" s="5" t="s">
        <v>16154</v>
      </c>
      <c r="C3128" s="6" t="str">
        <f>IFERROR(__xludf.DUMMYFUNCTION("SPLIT('2. c'!B3128, "" "", True, True)"),"Listeria")</f>
        <v>Listeria</v>
      </c>
      <c r="D3128" t="str">
        <f>IFERROR(__xludf.DUMMYFUNCTION("""COMPUTED_VALUE"""),"monocytogenes")</f>
        <v>monocytogenes</v>
      </c>
      <c r="E3128" t="str">
        <f>IFERROR(__xludf.DUMMYFUNCTION("""COMPUTED_VALUE"""),"strain")</f>
        <v>strain</v>
      </c>
      <c r="F3128" t="str">
        <f>IFERROR(__xludf.DUMMYFUNCTION("""COMPUTED_VALUE"""),"Lm60")</f>
        <v>Lm60</v>
      </c>
    </row>
    <row r="3129" ht="15.75" customHeight="1">
      <c r="A3129" t="str">
        <f t="shared" si="1"/>
        <v>L.monocytogenes</v>
      </c>
      <c r="B3129" s="5" t="s">
        <v>16166</v>
      </c>
      <c r="C3129" s="6" t="str">
        <f>IFERROR(__xludf.DUMMYFUNCTION("SPLIT('2. c'!B3129, "" "", True, True)"),"Listeria")</f>
        <v>Listeria</v>
      </c>
      <c r="D3129" t="str">
        <f>IFERROR(__xludf.DUMMYFUNCTION("""COMPUTED_VALUE"""),"monocytogenes")</f>
        <v>monocytogenes</v>
      </c>
      <c r="E3129" t="str">
        <f>IFERROR(__xludf.DUMMYFUNCTION("""COMPUTED_VALUE"""),"strain")</f>
        <v>strain</v>
      </c>
      <c r="F3129" t="str">
        <f>IFERROR(__xludf.DUMMYFUNCTION("""COMPUTED_VALUE"""),"LM850658")</f>
        <v>LM850658</v>
      </c>
    </row>
    <row r="3130" ht="15.75" customHeight="1">
      <c r="A3130" t="str">
        <f t="shared" si="1"/>
        <v>L.monocytogenes</v>
      </c>
      <c r="B3130" s="5" t="s">
        <v>16175</v>
      </c>
      <c r="C3130" s="6" t="str">
        <f>IFERROR(__xludf.DUMMYFUNCTION("SPLIT('2. c'!B3130, "" "", True, True)"),"Listeria")</f>
        <v>Listeria</v>
      </c>
      <c r="D3130" t="str">
        <f>IFERROR(__xludf.DUMMYFUNCTION("""COMPUTED_VALUE"""),"monocytogenes")</f>
        <v>monocytogenes</v>
      </c>
      <c r="E3130" t="str">
        <f>IFERROR(__xludf.DUMMYFUNCTION("""COMPUTED_VALUE"""),"strain")</f>
        <v>strain</v>
      </c>
      <c r="F3130" t="str">
        <f>IFERROR(__xludf.DUMMYFUNCTION("""COMPUTED_VALUE"""),"N1-011A")</f>
        <v>N1-011A</v>
      </c>
    </row>
    <row r="3131" ht="15.75" customHeight="1">
      <c r="A3131" t="str">
        <f t="shared" si="1"/>
        <v>L.monocytogenes</v>
      </c>
      <c r="B3131" s="5" t="s">
        <v>16185</v>
      </c>
      <c r="C3131" s="6" t="str">
        <f>IFERROR(__xludf.DUMMYFUNCTION("SPLIT('2. c'!B3131, "" "", True, True)"),"Listeria")</f>
        <v>Listeria</v>
      </c>
      <c r="D3131" t="str">
        <f>IFERROR(__xludf.DUMMYFUNCTION("""COMPUTED_VALUE"""),"monocytogenes")</f>
        <v>monocytogenes</v>
      </c>
      <c r="E3131" t="str">
        <f>IFERROR(__xludf.DUMMYFUNCTION("""COMPUTED_VALUE"""),"strain")</f>
        <v>strain</v>
      </c>
      <c r="F3131" t="str">
        <f>IFERROR(__xludf.DUMMYFUNCTION("""COMPUTED_VALUE"""),"N2306")</f>
        <v>N2306</v>
      </c>
    </row>
    <row r="3132" ht="15.75" customHeight="1">
      <c r="A3132" t="str">
        <f t="shared" si="1"/>
        <v>L.monocytogenes</v>
      </c>
      <c r="B3132" s="5" t="s">
        <v>16193</v>
      </c>
      <c r="C3132" s="6" t="str">
        <f>IFERROR(__xludf.DUMMYFUNCTION("SPLIT('2. c'!B3132, "" "", True, True)"),"Listeria")</f>
        <v>Listeria</v>
      </c>
      <c r="D3132" t="str">
        <f>IFERROR(__xludf.DUMMYFUNCTION("""COMPUTED_VALUE"""),"monocytogenes")</f>
        <v>monocytogenes</v>
      </c>
      <c r="E3132" t="str">
        <f>IFERROR(__xludf.DUMMYFUNCTION("""COMPUTED_VALUE"""),"strain")</f>
        <v>strain</v>
      </c>
      <c r="F3132" t="str">
        <f>IFERROR(__xludf.DUMMYFUNCTION("""COMPUTED_VALUE"""),"NE")</f>
        <v>NE</v>
      </c>
      <c r="G3132" t="str">
        <f>IFERROR(__xludf.DUMMYFUNCTION("""COMPUTED_VALUE"""),"dc0214")</f>
        <v>dc0214</v>
      </c>
    </row>
    <row r="3133" ht="15.75" customHeight="1">
      <c r="A3133" t="str">
        <f t="shared" si="1"/>
        <v>L.monocytogenes</v>
      </c>
      <c r="B3133" s="5" t="s">
        <v>16202</v>
      </c>
      <c r="C3133" s="6" t="str">
        <f>IFERROR(__xludf.DUMMYFUNCTION("SPLIT('2. c'!B3133, "" "", True, True)"),"Listeria")</f>
        <v>Listeria</v>
      </c>
      <c r="D3133" t="str">
        <f>IFERROR(__xludf.DUMMYFUNCTION("""COMPUTED_VALUE"""),"monocytogenes")</f>
        <v>monocytogenes</v>
      </c>
      <c r="E3133" t="str">
        <f>IFERROR(__xludf.DUMMYFUNCTION("""COMPUTED_VALUE"""),"strain")</f>
        <v>strain</v>
      </c>
      <c r="F3133" t="str">
        <f>IFERROR(__xludf.DUMMYFUNCTION("""COMPUTED_VALUE"""),"PNUSAL000046")</f>
        <v>PNUSAL000046</v>
      </c>
    </row>
    <row r="3134" ht="15.75" customHeight="1">
      <c r="A3134" t="str">
        <f t="shared" si="1"/>
        <v>L.monocytogenes</v>
      </c>
      <c r="B3134" s="5" t="s">
        <v>16211</v>
      </c>
      <c r="C3134" s="6" t="str">
        <f>IFERROR(__xludf.DUMMYFUNCTION("SPLIT('2. c'!B3134, "" "", True, True)"),"Listeria")</f>
        <v>Listeria</v>
      </c>
      <c r="D3134" t="str">
        <f>IFERROR(__xludf.DUMMYFUNCTION("""COMPUTED_VALUE"""),"monocytogenes")</f>
        <v>monocytogenes</v>
      </c>
      <c r="E3134" t="str">
        <f>IFERROR(__xludf.DUMMYFUNCTION("""COMPUTED_VALUE"""),"strain")</f>
        <v>strain</v>
      </c>
      <c r="F3134" t="str">
        <f>IFERROR(__xludf.DUMMYFUNCTION("""COMPUTED_VALUE"""),"PNUSAL000474")</f>
        <v>PNUSAL000474</v>
      </c>
    </row>
    <row r="3135" ht="15.75" customHeight="1">
      <c r="A3135" t="str">
        <f t="shared" si="1"/>
        <v>L.monocytogenes</v>
      </c>
      <c r="B3135" s="5" t="s">
        <v>16221</v>
      </c>
      <c r="C3135" s="6" t="str">
        <f>IFERROR(__xludf.DUMMYFUNCTION("SPLIT('2. c'!B3135, "" "", True, True)"),"Listeria")</f>
        <v>Listeria</v>
      </c>
      <c r="D3135" t="str">
        <f>IFERROR(__xludf.DUMMYFUNCTION("""COMPUTED_VALUE"""),"monocytogenes")</f>
        <v>monocytogenes</v>
      </c>
      <c r="E3135" t="str">
        <f>IFERROR(__xludf.DUMMYFUNCTION("""COMPUTED_VALUE"""),"strain")</f>
        <v>strain</v>
      </c>
      <c r="F3135" t="str">
        <f>IFERROR(__xludf.DUMMYFUNCTION("""COMPUTED_VALUE"""),"PNUSAL001142")</f>
        <v>PNUSAL001142</v>
      </c>
    </row>
    <row r="3136" ht="15.75" customHeight="1">
      <c r="A3136" t="str">
        <f t="shared" si="1"/>
        <v>L.monocytogenes</v>
      </c>
      <c r="B3136" s="5" t="s">
        <v>16230</v>
      </c>
      <c r="C3136" s="6" t="str">
        <f>IFERROR(__xludf.DUMMYFUNCTION("SPLIT('2. c'!B3136, "" "", True, True)"),"Listeria")</f>
        <v>Listeria</v>
      </c>
      <c r="D3136" t="str">
        <f>IFERROR(__xludf.DUMMYFUNCTION("""COMPUTED_VALUE"""),"monocytogenes")</f>
        <v>monocytogenes</v>
      </c>
      <c r="E3136" t="str">
        <f>IFERROR(__xludf.DUMMYFUNCTION("""COMPUTED_VALUE"""),"strain")</f>
        <v>strain</v>
      </c>
      <c r="F3136" t="str">
        <f>IFERROR(__xludf.DUMMYFUNCTION("""COMPUTED_VALUE"""),"R2-502")</f>
        <v>R2-502</v>
      </c>
    </row>
    <row r="3137" ht="15.75" customHeight="1">
      <c r="A3137" t="str">
        <f t="shared" si="1"/>
        <v>L.monocytogenes</v>
      </c>
      <c r="B3137" s="5" t="s">
        <v>16238</v>
      </c>
      <c r="C3137" s="6" t="str">
        <f>IFERROR(__xludf.DUMMYFUNCTION("SPLIT('2. c'!B3137, "" "", True, True)"),"Listeria")</f>
        <v>Listeria</v>
      </c>
      <c r="D3137" t="str">
        <f>IFERROR(__xludf.DUMMYFUNCTION("""COMPUTED_VALUE"""),"monocytogenes")</f>
        <v>monocytogenes</v>
      </c>
      <c r="E3137" t="str">
        <f>IFERROR(__xludf.DUMMYFUNCTION("""COMPUTED_VALUE"""),"strain")</f>
        <v>strain</v>
      </c>
      <c r="F3137" t="str">
        <f>IFERROR(__xludf.DUMMYFUNCTION("""COMPUTED_VALUE"""),"WSLC")</f>
        <v>WSLC</v>
      </c>
      <c r="G3137">
        <f>IFERROR(__xludf.DUMMYFUNCTION("""COMPUTED_VALUE"""),1018.0)</f>
        <v>1018</v>
      </c>
    </row>
    <row r="3138" ht="15.75" customHeight="1">
      <c r="A3138" t="str">
        <f t="shared" si="1"/>
        <v>L.monocytogenes</v>
      </c>
      <c r="B3138" s="5" t="s">
        <v>16251</v>
      </c>
      <c r="C3138" s="6" t="str">
        <f>IFERROR(__xludf.DUMMYFUNCTION("SPLIT('2. c'!B3138, "" "", True, True)"),"Listeria")</f>
        <v>Listeria</v>
      </c>
      <c r="D3138" t="str">
        <f>IFERROR(__xludf.DUMMYFUNCTION("""COMPUTED_VALUE"""),"monocytogenes")</f>
        <v>monocytogenes</v>
      </c>
      <c r="E3138" t="str">
        <f>IFERROR(__xludf.DUMMYFUNCTION("""COMPUTED_VALUE"""),"strain")</f>
        <v>strain</v>
      </c>
      <c r="F3138" t="str">
        <f>IFERROR(__xludf.DUMMYFUNCTION("""COMPUTED_VALUE"""),"WSLC")</f>
        <v>WSLC</v>
      </c>
      <c r="G3138">
        <f>IFERROR(__xludf.DUMMYFUNCTION("""COMPUTED_VALUE"""),1019.0)</f>
        <v>1019</v>
      </c>
    </row>
    <row r="3139" ht="15.75" customHeight="1">
      <c r="A3139" t="str">
        <f t="shared" si="1"/>
        <v>L.monocytogenes</v>
      </c>
      <c r="B3139" s="5" t="s">
        <v>16262</v>
      </c>
      <c r="C3139" s="6" t="str">
        <f>IFERROR(__xludf.DUMMYFUNCTION("SPLIT('2. c'!B3139, "" "", True, True)"),"Listeria")</f>
        <v>Listeria</v>
      </c>
      <c r="D3139" t="str">
        <f>IFERROR(__xludf.DUMMYFUNCTION("""COMPUTED_VALUE"""),"monocytogenes")</f>
        <v>monocytogenes</v>
      </c>
      <c r="E3139" t="str">
        <f>IFERROR(__xludf.DUMMYFUNCTION("""COMPUTED_VALUE"""),"strain")</f>
        <v>strain</v>
      </c>
      <c r="F3139" t="str">
        <f>IFERROR(__xludf.DUMMYFUNCTION("""COMPUTED_VALUE"""),"WSLC")</f>
        <v>WSLC</v>
      </c>
      <c r="G3139">
        <f>IFERROR(__xludf.DUMMYFUNCTION("""COMPUTED_VALUE"""),1020.0)</f>
        <v>1020</v>
      </c>
    </row>
    <row r="3140" ht="15.75" customHeight="1">
      <c r="A3140" t="str">
        <f t="shared" si="1"/>
        <v>L.monocytogenes</v>
      </c>
      <c r="B3140" s="5" t="s">
        <v>16272</v>
      </c>
      <c r="C3140" s="6" t="str">
        <f>IFERROR(__xludf.DUMMYFUNCTION("SPLIT('2. c'!B3140, "" "", True, True)"),"Listeria")</f>
        <v>Listeria</v>
      </c>
      <c r="D3140" t="str">
        <f>IFERROR(__xludf.DUMMYFUNCTION("""COMPUTED_VALUE"""),"monocytogenes")</f>
        <v>monocytogenes</v>
      </c>
      <c r="E3140" t="str">
        <f>IFERROR(__xludf.DUMMYFUNCTION("""COMPUTED_VALUE"""),"strain")</f>
        <v>strain</v>
      </c>
      <c r="F3140" t="str">
        <f>IFERROR(__xludf.DUMMYFUNCTION("""COMPUTED_VALUE"""),"WSLC")</f>
        <v>WSLC</v>
      </c>
      <c r="G3140">
        <f>IFERROR(__xludf.DUMMYFUNCTION("""COMPUTED_VALUE"""),1047.0)</f>
        <v>1047</v>
      </c>
    </row>
    <row r="3141" ht="15.75" customHeight="1">
      <c r="A3141" t="str">
        <f t="shared" si="1"/>
        <v>L.monocytogenes</v>
      </c>
      <c r="B3141" s="5" t="s">
        <v>16281</v>
      </c>
      <c r="C3141" s="6" t="str">
        <f>IFERROR(__xludf.DUMMYFUNCTION("SPLIT('2. c'!B3141, "" "", True, True)"),"Listeria")</f>
        <v>Listeria</v>
      </c>
      <c r="D3141" t="str">
        <f>IFERROR(__xludf.DUMMYFUNCTION("""COMPUTED_VALUE"""),"monocytogenes")</f>
        <v>monocytogenes</v>
      </c>
      <c r="E3141" t="str">
        <f>IFERROR(__xludf.DUMMYFUNCTION("""COMPUTED_VALUE"""),"WSLC1001")</f>
        <v>WSLC1001</v>
      </c>
    </row>
    <row r="3142" ht="15.75" customHeight="1">
      <c r="A3142" t="str">
        <f t="shared" si="1"/>
        <v>L.monocytogenes</v>
      </c>
      <c r="B3142" s="5" t="s">
        <v>16289</v>
      </c>
      <c r="C3142" s="6" t="str">
        <f>IFERROR(__xludf.DUMMYFUNCTION("SPLIT('2. c'!B3142, "" "", True, True)"),"Listeria")</f>
        <v>Listeria</v>
      </c>
      <c r="D3142" t="str">
        <f>IFERROR(__xludf.DUMMYFUNCTION("""COMPUTED_VALUE"""),"monocytogenes")</f>
        <v>monocytogenes</v>
      </c>
      <c r="E3142" t="str">
        <f>IFERROR(__xludf.DUMMYFUNCTION("""COMPUTED_VALUE"""),"WSLC1042")</f>
        <v>WSLC1042</v>
      </c>
    </row>
    <row r="3143" ht="15.75" customHeight="1">
      <c r="A3143" t="str">
        <f t="shared" si="1"/>
        <v>L.seeligeri</v>
      </c>
      <c r="B3143" s="5" t="s">
        <v>16295</v>
      </c>
      <c r="C3143" s="6" t="str">
        <f>IFERROR(__xludf.DUMMYFUNCTION("SPLIT('2. c'!B3143, "" "", True, True)"),"Listeria")</f>
        <v>Listeria</v>
      </c>
      <c r="D3143" t="str">
        <f>IFERROR(__xludf.DUMMYFUNCTION("""COMPUTED_VALUE"""),"seeligeri")</f>
        <v>seeligeri</v>
      </c>
      <c r="E3143" t="str">
        <f>IFERROR(__xludf.DUMMYFUNCTION("""COMPUTED_VALUE"""),"serovar")</f>
        <v>serovar</v>
      </c>
      <c r="F3143" t="str">
        <f>IFERROR(__xludf.DUMMYFUNCTION("""COMPUTED_VALUE"""),"1/2b")</f>
        <v>1/2b</v>
      </c>
      <c r="G3143" t="str">
        <f>IFERROR(__xludf.DUMMYFUNCTION("""COMPUTED_VALUE"""),"str.")</f>
        <v>str.</v>
      </c>
      <c r="H3143" t="str">
        <f>IFERROR(__xludf.DUMMYFUNCTION("""COMPUTED_VALUE"""),"SLCC3954")</f>
        <v>SLCC3954</v>
      </c>
    </row>
    <row r="3144" ht="15.75" customHeight="1">
      <c r="A3144" t="str">
        <f t="shared" si="1"/>
        <v>L.welshimeri</v>
      </c>
      <c r="B3144" s="5" t="s">
        <v>16305</v>
      </c>
      <c r="C3144" s="6" t="str">
        <f>IFERROR(__xludf.DUMMYFUNCTION("SPLIT('2. c'!B3144, "" "", True, True)"),"Listeria")</f>
        <v>Listeria</v>
      </c>
      <c r="D3144" t="str">
        <f>IFERROR(__xludf.DUMMYFUNCTION("""COMPUTED_VALUE"""),"welshimeri")</f>
        <v>welshimeri</v>
      </c>
      <c r="E3144" t="str">
        <f>IFERROR(__xludf.DUMMYFUNCTION("""COMPUTED_VALUE"""),"serovar")</f>
        <v>serovar</v>
      </c>
      <c r="F3144" t="str">
        <f>IFERROR(__xludf.DUMMYFUNCTION("""COMPUTED_VALUE"""),"6b")</f>
        <v>6b</v>
      </c>
      <c r="G3144" t="str">
        <f>IFERROR(__xludf.DUMMYFUNCTION("""COMPUTED_VALUE"""),"str.")</f>
        <v>str.</v>
      </c>
      <c r="H3144" t="str">
        <f>IFERROR(__xludf.DUMMYFUNCTION("""COMPUTED_VALUE"""),"SLCC5334")</f>
        <v>SLCC5334</v>
      </c>
    </row>
    <row r="3145" ht="15.75" customHeight="1">
      <c r="A3145" t="str">
        <f t="shared" si="1"/>
        <v>L.anguillarum</v>
      </c>
      <c r="B3145" s="5" t="s">
        <v>16315</v>
      </c>
      <c r="C3145" s="6" t="str">
        <f>IFERROR(__xludf.DUMMYFUNCTION("SPLIT('2. c'!B3145, "" "", True, True)"),"Listonella")</f>
        <v>Listonella</v>
      </c>
      <c r="D3145" t="str">
        <f>IFERROR(__xludf.DUMMYFUNCTION("""COMPUTED_VALUE"""),"anguillarum")</f>
        <v>anguillarum</v>
      </c>
      <c r="E3145" t="str">
        <f>IFERROR(__xludf.DUMMYFUNCTION("""COMPUTED_VALUE"""),"M3")</f>
        <v>M3</v>
      </c>
    </row>
    <row r="3146" ht="15.75" customHeight="1">
      <c r="A3146" t="str">
        <f t="shared" si="1"/>
        <v>L.mongoliensis</v>
      </c>
      <c r="B3146" s="5" t="s">
        <v>16322</v>
      </c>
      <c r="C3146" s="6" t="str">
        <f>IFERROR(__xludf.DUMMYFUNCTION("SPLIT('2. c'!B3146, "" "", True, True)"),"Luteipulveratus")</f>
        <v>Luteipulveratus</v>
      </c>
      <c r="D3146" t="str">
        <f>IFERROR(__xludf.DUMMYFUNCTION("""COMPUTED_VALUE"""),"mongoliensis")</f>
        <v>mongoliensis</v>
      </c>
      <c r="E3146" t="str">
        <f>IFERROR(__xludf.DUMMYFUNCTION("""COMPUTED_VALUE"""),"strain")</f>
        <v>strain</v>
      </c>
      <c r="F3146" t="str">
        <f>IFERROR(__xludf.DUMMYFUNCTION("""COMPUTED_VALUE"""),"MN07-A0370")</f>
        <v>MN07-A0370</v>
      </c>
    </row>
    <row r="3147" ht="15.75" customHeight="1">
      <c r="A3147" t="str">
        <f t="shared" si="1"/>
        <v>L.sp.</v>
      </c>
      <c r="B3147" s="5" t="s">
        <v>16332</v>
      </c>
      <c r="C3147" s="6" t="str">
        <f>IFERROR(__xludf.DUMMYFUNCTION("SPLIT('2. c'!B3147, "" "", True, True)"),"Lutibacter")</f>
        <v>Lutibacter</v>
      </c>
      <c r="D3147" t="str">
        <f>IFERROR(__xludf.DUMMYFUNCTION("""COMPUTED_VALUE"""),"sp.")</f>
        <v>sp.</v>
      </c>
      <c r="E3147" t="str">
        <f>IFERROR(__xludf.DUMMYFUNCTION("""COMPUTED_VALUE"""),"LP1")</f>
        <v>LP1</v>
      </c>
    </row>
    <row r="3148" ht="15.75" customHeight="1">
      <c r="A3148" t="str">
        <f t="shared" si="1"/>
        <v>L.sp.</v>
      </c>
      <c r="B3148" s="5" t="s">
        <v>16339</v>
      </c>
      <c r="C3148" s="6" t="str">
        <f>IFERROR(__xludf.DUMMYFUNCTION("SPLIT('2. c'!B3148, "" "", True, True)"),"Lysinibacillus")</f>
        <v>Lysinibacillus</v>
      </c>
      <c r="D3148" t="str">
        <f>IFERROR(__xludf.DUMMYFUNCTION("""COMPUTED_VALUE"""),"sp.")</f>
        <v>sp.</v>
      </c>
      <c r="E3148" t="str">
        <f>IFERROR(__xludf.DUMMYFUNCTION("""COMPUTED_VALUE"""),"GY32")</f>
        <v>GY32</v>
      </c>
    </row>
    <row r="3149" ht="15.75" customHeight="1">
      <c r="A3149" t="str">
        <f t="shared" si="1"/>
        <v>L.sphaericus</v>
      </c>
      <c r="B3149" s="5" t="s">
        <v>16349</v>
      </c>
      <c r="C3149" s="6" t="str">
        <f>IFERROR(__xludf.DUMMYFUNCTION("SPLIT('2. c'!B3149, "" "", True, True)"),"Lysinibacillus")</f>
        <v>Lysinibacillus</v>
      </c>
      <c r="D3149" t="str">
        <f>IFERROR(__xludf.DUMMYFUNCTION("""COMPUTED_VALUE"""),"sphaericus")</f>
        <v>sphaericus</v>
      </c>
      <c r="E3149" t="str">
        <f>IFERROR(__xludf.DUMMYFUNCTION("""COMPUTED_VALUE"""),"C3-41")</f>
        <v>C3-41</v>
      </c>
    </row>
    <row r="3150" ht="15.75" customHeight="1">
      <c r="A3150" t="str">
        <f t="shared" si="1"/>
        <v>L.sphaericus</v>
      </c>
      <c r="B3150" s="5" t="s">
        <v>16360</v>
      </c>
      <c r="C3150" s="6" t="str">
        <f>IFERROR(__xludf.DUMMYFUNCTION("SPLIT('2. c'!B3150, "" "", True, True)"),"Lysinibacillus")</f>
        <v>Lysinibacillus</v>
      </c>
      <c r="D3150" t="str">
        <f>IFERROR(__xludf.DUMMYFUNCTION("""COMPUTED_VALUE"""),"sphaericus")</f>
        <v>sphaericus</v>
      </c>
      <c r="E3150" t="str">
        <f>IFERROR(__xludf.DUMMYFUNCTION("""COMPUTED_VALUE"""),"strain")</f>
        <v>strain</v>
      </c>
      <c r="F3150">
        <f>IFERROR(__xludf.DUMMYFUNCTION("""COMPUTED_VALUE"""),2362.0)</f>
        <v>2362</v>
      </c>
    </row>
    <row r="3151" ht="15.75" customHeight="1">
      <c r="A3151" t="str">
        <f t="shared" si="1"/>
        <v>L.sphaericus</v>
      </c>
      <c r="B3151" s="5" t="s">
        <v>16379</v>
      </c>
      <c r="C3151" s="6" t="str">
        <f>IFERROR(__xludf.DUMMYFUNCTION("SPLIT('2. c'!B3151, "" "", True, True)"),"Lysinibacillus")</f>
        <v>Lysinibacillus</v>
      </c>
      <c r="D3151" t="str">
        <f>IFERROR(__xludf.DUMMYFUNCTION("""COMPUTED_VALUE"""),"sphaericus")</f>
        <v>sphaericus</v>
      </c>
      <c r="E3151" t="str">
        <f>IFERROR(__xludf.DUMMYFUNCTION("""COMPUTED_VALUE"""),"strain")</f>
        <v>strain</v>
      </c>
      <c r="F3151" t="str">
        <f>IFERROR(__xludf.DUMMYFUNCTION("""COMPUTED_VALUE"""),"III(3)7")</f>
        <v>III(3)7</v>
      </c>
    </row>
    <row r="3152" ht="15.75" customHeight="1">
      <c r="A3152" t="str">
        <f t="shared" si="1"/>
        <v>L.sphaericus</v>
      </c>
      <c r="B3152" s="5" t="s">
        <v>16391</v>
      </c>
      <c r="C3152" s="6" t="str">
        <f>IFERROR(__xludf.DUMMYFUNCTION("SPLIT('2. c'!B3152, "" "", True, True)"),"Lysinibacillus")</f>
        <v>Lysinibacillus</v>
      </c>
      <c r="D3152" t="str">
        <f>IFERROR(__xludf.DUMMYFUNCTION("""COMPUTED_VALUE"""),"sphaericus")</f>
        <v>sphaericus</v>
      </c>
      <c r="E3152" t="str">
        <f>IFERROR(__xludf.DUMMYFUNCTION("""COMPUTED_VALUE"""),"strain")</f>
        <v>strain</v>
      </c>
      <c r="F3152" t="str">
        <f>IFERROR(__xludf.DUMMYFUNCTION("""COMPUTED_VALUE"""),"OT4b.25")</f>
        <v>OT4b.25</v>
      </c>
    </row>
    <row r="3153" ht="15.75" customHeight="1">
      <c r="A3153" t="str">
        <f t="shared" si="1"/>
        <v>L.antibioticus</v>
      </c>
      <c r="B3153" s="5" t="s">
        <v>16404</v>
      </c>
      <c r="C3153" s="6" t="str">
        <f>IFERROR(__xludf.DUMMYFUNCTION("SPLIT('2. c'!B3153, "" "", True, True)"),"Lysobacter")</f>
        <v>Lysobacter</v>
      </c>
      <c r="D3153" t="str">
        <f>IFERROR(__xludf.DUMMYFUNCTION("""COMPUTED_VALUE"""),"antibioticus")</f>
        <v>antibioticus</v>
      </c>
      <c r="E3153" t="str">
        <f>IFERROR(__xludf.DUMMYFUNCTION("""COMPUTED_VALUE"""),"strain")</f>
        <v>strain</v>
      </c>
      <c r="F3153">
        <f>IFERROR(__xludf.DUMMYFUNCTION("""COMPUTED_VALUE"""),76.0)</f>
        <v>76</v>
      </c>
    </row>
    <row r="3154" ht="15.75" customHeight="1">
      <c r="A3154" t="str">
        <f t="shared" si="1"/>
        <v>L.antibioticus</v>
      </c>
      <c r="B3154" s="5" t="s">
        <v>16418</v>
      </c>
      <c r="C3154" s="6" t="str">
        <f>IFERROR(__xludf.DUMMYFUNCTION("SPLIT('2. c'!B3154, "" "", True, True)"),"Lysobacter")</f>
        <v>Lysobacter</v>
      </c>
      <c r="D3154" t="str">
        <f>IFERROR(__xludf.DUMMYFUNCTION("""COMPUTED_VALUE"""),"antibioticus")</f>
        <v>antibioticus</v>
      </c>
      <c r="E3154" t="str">
        <f>IFERROR(__xludf.DUMMYFUNCTION("""COMPUTED_VALUE"""),"strain")</f>
        <v>strain</v>
      </c>
      <c r="F3154" t="str">
        <f>IFERROR(__xludf.DUMMYFUNCTION("""COMPUTED_VALUE"""),"ATCC")</f>
        <v>ATCC</v>
      </c>
      <c r="G3154">
        <f>IFERROR(__xludf.DUMMYFUNCTION("""COMPUTED_VALUE"""),29479.0)</f>
        <v>29479</v>
      </c>
    </row>
    <row r="3155" ht="15.75" customHeight="1">
      <c r="A3155" t="str">
        <f t="shared" si="1"/>
        <v>L.capsici</v>
      </c>
      <c r="B3155" s="5" t="s">
        <v>16434</v>
      </c>
      <c r="C3155" s="6" t="str">
        <f>IFERROR(__xludf.DUMMYFUNCTION("SPLIT('2. c'!B3155, "" "", True, True)"),"Lysobacter")</f>
        <v>Lysobacter</v>
      </c>
      <c r="D3155" t="str">
        <f>IFERROR(__xludf.DUMMYFUNCTION("""COMPUTED_VALUE"""),"capsici")</f>
        <v>capsici</v>
      </c>
      <c r="E3155" t="str">
        <f>IFERROR(__xludf.DUMMYFUNCTION("""COMPUTED_VALUE"""),"strain")</f>
        <v>strain</v>
      </c>
      <c r="F3155">
        <f>IFERROR(__xludf.DUMMYFUNCTION("""COMPUTED_VALUE"""),55.0)</f>
        <v>55</v>
      </c>
    </row>
    <row r="3156" ht="15.75" customHeight="1">
      <c r="A3156" t="str">
        <f t="shared" si="1"/>
        <v>L.enzymogenes</v>
      </c>
      <c r="B3156" s="5" t="s">
        <v>16444</v>
      </c>
      <c r="C3156" s="6" t="str">
        <f>IFERROR(__xludf.DUMMYFUNCTION("SPLIT('2. c'!B3156, "" "", True, True)"),"Lysobacter")</f>
        <v>Lysobacter</v>
      </c>
      <c r="D3156" t="str">
        <f>IFERROR(__xludf.DUMMYFUNCTION("""COMPUTED_VALUE"""),"enzymogenes")</f>
        <v>enzymogenes</v>
      </c>
      <c r="E3156" t="str">
        <f>IFERROR(__xludf.DUMMYFUNCTION("""COMPUTED_VALUE"""),"strain")</f>
        <v>strain</v>
      </c>
      <c r="F3156" t="str">
        <f>IFERROR(__xludf.DUMMYFUNCTION("""COMPUTED_VALUE"""),"C3")</f>
        <v>C3</v>
      </c>
    </row>
    <row r="3157" ht="15.75" customHeight="1">
      <c r="A3157" t="str">
        <f t="shared" si="1"/>
        <v>L.gummosus</v>
      </c>
      <c r="B3157" s="5" t="s">
        <v>16456</v>
      </c>
      <c r="C3157" s="6" t="str">
        <f>IFERROR(__xludf.DUMMYFUNCTION("SPLIT('2. c'!B3157, "" "", True, True)"),"Lysobacter")</f>
        <v>Lysobacter</v>
      </c>
      <c r="D3157" t="str">
        <f>IFERROR(__xludf.DUMMYFUNCTION("""COMPUTED_VALUE"""),"gummosus")</f>
        <v>gummosus</v>
      </c>
      <c r="E3157" t="str">
        <f>IFERROR(__xludf.DUMMYFUNCTION("""COMPUTED_VALUE"""),"strain")</f>
        <v>strain</v>
      </c>
      <c r="F3157" s="52">
        <f>IFERROR(__xludf.DUMMYFUNCTION("""COMPUTED_VALUE"""),40577.0)</f>
        <v>40577</v>
      </c>
    </row>
    <row r="3158" ht="15.75" customHeight="1">
      <c r="A3158" t="str">
        <f t="shared" si="1"/>
        <v>M.caseolyticus</v>
      </c>
      <c r="B3158" s="5" t="s">
        <v>16476</v>
      </c>
      <c r="C3158" s="6" t="str">
        <f>IFERROR(__xludf.DUMMYFUNCTION("SPLIT('2. c'!B3158, "" "", True, True)"),"Macrococcus")</f>
        <v>Macrococcus</v>
      </c>
      <c r="D3158" t="str">
        <f>IFERROR(__xludf.DUMMYFUNCTION("""COMPUTED_VALUE"""),"caseolyticus")</f>
        <v>caseolyticus</v>
      </c>
      <c r="E3158" t="str">
        <f>IFERROR(__xludf.DUMMYFUNCTION("""COMPUTED_VALUE"""),"JCSC5402")</f>
        <v>JCSC5402</v>
      </c>
    </row>
    <row r="3159" ht="15.75" customHeight="1">
      <c r="A3159" t="str">
        <f t="shared" si="1"/>
        <v>M.marinus</v>
      </c>
      <c r="B3159" s="5" t="s">
        <v>16483</v>
      </c>
      <c r="C3159" s="6" t="str">
        <f>IFERROR(__xludf.DUMMYFUNCTION("SPLIT('2. c'!B3159, "" "", True, True)"),"Magnetococcus")</f>
        <v>Magnetococcus</v>
      </c>
      <c r="D3159" t="str">
        <f>IFERROR(__xludf.DUMMYFUNCTION("""COMPUTED_VALUE"""),"marinus")</f>
        <v>marinus</v>
      </c>
      <c r="E3159" t="str">
        <f>IFERROR(__xludf.DUMMYFUNCTION("""COMPUTED_VALUE"""),"MC-1")</f>
        <v>MC-1</v>
      </c>
    </row>
    <row r="3160" ht="15.75" customHeight="1">
      <c r="A3160" t="str">
        <f t="shared" si="1"/>
        <v>M.sp.</v>
      </c>
      <c r="B3160" s="5" t="s">
        <v>16491</v>
      </c>
      <c r="C3160" s="6" t="str">
        <f>IFERROR(__xludf.DUMMYFUNCTION("SPLIT('2. c'!B3160, "" "", True, True)"),"Magnetospira")</f>
        <v>Magnetospira</v>
      </c>
      <c r="D3160" t="str">
        <f>IFERROR(__xludf.DUMMYFUNCTION("""COMPUTED_VALUE"""),"sp.")</f>
        <v>sp.</v>
      </c>
      <c r="E3160" t="str">
        <f>IFERROR(__xludf.DUMMYFUNCTION("""COMPUTED_VALUE"""),"QH-2")</f>
        <v>QH-2</v>
      </c>
    </row>
    <row r="3161" ht="15.75" customHeight="1">
      <c r="A3161" t="str">
        <f t="shared" si="1"/>
        <v>M.gryphiswaldense</v>
      </c>
      <c r="B3161" s="5" t="s">
        <v>16498</v>
      </c>
      <c r="C3161" s="6" t="str">
        <f>IFERROR(__xludf.DUMMYFUNCTION("SPLIT('2. c'!B3161, "" "", True, True)"),"Magnetospirillum")</f>
        <v>Magnetospirillum</v>
      </c>
      <c r="D3161" t="str">
        <f>IFERROR(__xludf.DUMMYFUNCTION("""COMPUTED_VALUE"""),"gryphiswaldense")</f>
        <v>gryphiswaldense</v>
      </c>
      <c r="E3161" t="str">
        <f>IFERROR(__xludf.DUMMYFUNCTION("""COMPUTED_VALUE"""),"MSR-1")</f>
        <v>MSR-1</v>
      </c>
      <c r="F3161" t="str">
        <f>IFERROR(__xludf.DUMMYFUNCTION("""COMPUTED_VALUE"""),"v2")</f>
        <v>v2</v>
      </c>
    </row>
    <row r="3162" ht="15.75" customHeight="1">
      <c r="A3162" t="str">
        <f t="shared" si="1"/>
        <v>M.magneticum</v>
      </c>
      <c r="B3162" s="5" t="s">
        <v>16505</v>
      </c>
      <c r="C3162" s="6" t="str">
        <f>IFERROR(__xludf.DUMMYFUNCTION("SPLIT('2. c'!B3162, "" "", True, True)"),"Magnetospirillum")</f>
        <v>Magnetospirillum</v>
      </c>
      <c r="D3162" t="str">
        <f>IFERROR(__xludf.DUMMYFUNCTION("""COMPUTED_VALUE"""),"magneticum")</f>
        <v>magneticum</v>
      </c>
      <c r="E3162" t="str">
        <f>IFERROR(__xludf.DUMMYFUNCTION("""COMPUTED_VALUE"""),"AMB-1")</f>
        <v>AMB-1</v>
      </c>
    </row>
    <row r="3163" ht="15.75" customHeight="1">
      <c r="A3163" t="str">
        <f t="shared" si="1"/>
        <v>M.sp.</v>
      </c>
      <c r="B3163" s="5" t="s">
        <v>16514</v>
      </c>
      <c r="C3163" s="6" t="str">
        <f>IFERROR(__xludf.DUMMYFUNCTION("SPLIT('2. c'!B3163, "" "", True, True)"),"Magnetospirillum")</f>
        <v>Magnetospirillum</v>
      </c>
      <c r="D3163" t="str">
        <f>IFERROR(__xludf.DUMMYFUNCTION("""COMPUTED_VALUE"""),"sp.")</f>
        <v>sp.</v>
      </c>
      <c r="E3163" t="str">
        <f>IFERROR(__xludf.DUMMYFUNCTION("""COMPUTED_VALUE"""),"XM-1")</f>
        <v>XM-1</v>
      </c>
    </row>
    <row r="3164" ht="15.75" customHeight="1">
      <c r="A3164" t="str">
        <f t="shared" si="1"/>
        <v>M.australiensis</v>
      </c>
      <c r="B3164" s="5" t="s">
        <v>16519</v>
      </c>
      <c r="C3164" s="6" t="str">
        <f>IFERROR(__xludf.DUMMYFUNCTION("SPLIT('2. c'!B3164, "" "", True, True)"),"Mahella")</f>
        <v>Mahella</v>
      </c>
      <c r="D3164" t="str">
        <f>IFERROR(__xludf.DUMMYFUNCTION("""COMPUTED_VALUE"""),"australiensis")</f>
        <v>australiensis</v>
      </c>
      <c r="E3164" t="str">
        <f>IFERROR(__xludf.DUMMYFUNCTION("""COMPUTED_VALUE"""),"50-1")</f>
        <v>50-1</v>
      </c>
      <c r="F3164" t="str">
        <f>IFERROR(__xludf.DUMMYFUNCTION("""COMPUTED_VALUE"""),"BON")</f>
        <v>BON</v>
      </c>
    </row>
    <row r="3165" ht="15.75" customHeight="1">
      <c r="A3165" t="str">
        <f t="shared" si="1"/>
        <v>M.haemolytica</v>
      </c>
      <c r="B3165" s="5" t="s">
        <v>16524</v>
      </c>
      <c r="C3165" s="6" t="str">
        <f>IFERROR(__xludf.DUMMYFUNCTION("SPLIT('2. c'!B3165, "" "", True, True)"),"Mannheimia")</f>
        <v>Mannheimia</v>
      </c>
      <c r="D3165" t="str">
        <f>IFERROR(__xludf.DUMMYFUNCTION("""COMPUTED_VALUE"""),"haemolytica")</f>
        <v>haemolytica</v>
      </c>
      <c r="E3165" t="str">
        <f>IFERROR(__xludf.DUMMYFUNCTION("""COMPUTED_VALUE"""),"D153")</f>
        <v>D153</v>
      </c>
    </row>
    <row r="3166" ht="15.75" customHeight="1">
      <c r="A3166" t="str">
        <f t="shared" si="1"/>
        <v>M.haemolytica</v>
      </c>
      <c r="B3166" s="5" t="s">
        <v>16532</v>
      </c>
      <c r="C3166" s="6" t="str">
        <f>IFERROR(__xludf.DUMMYFUNCTION("SPLIT('2. c'!B3166, "" "", True, True)"),"Mannheimia")</f>
        <v>Mannheimia</v>
      </c>
      <c r="D3166" t="str">
        <f>IFERROR(__xludf.DUMMYFUNCTION("""COMPUTED_VALUE"""),"haemolytica")</f>
        <v>haemolytica</v>
      </c>
      <c r="E3166" t="str">
        <f>IFERROR(__xludf.DUMMYFUNCTION("""COMPUTED_VALUE"""),"D171")</f>
        <v>D171</v>
      </c>
    </row>
    <row r="3167" ht="15.75" customHeight="1">
      <c r="A3167" t="str">
        <f t="shared" si="1"/>
        <v>M.haemolytica</v>
      </c>
      <c r="B3167" s="5" t="s">
        <v>16540</v>
      </c>
      <c r="C3167" s="6" t="str">
        <f>IFERROR(__xludf.DUMMYFUNCTION("SPLIT('2. c'!B3167, "" "", True, True)"),"Mannheimia")</f>
        <v>Mannheimia</v>
      </c>
      <c r="D3167" t="str">
        <f>IFERROR(__xludf.DUMMYFUNCTION("""COMPUTED_VALUE"""),"haemolytica")</f>
        <v>haemolytica</v>
      </c>
      <c r="E3167" t="str">
        <f>IFERROR(__xludf.DUMMYFUNCTION("""COMPUTED_VALUE"""),"D174")</f>
        <v>D174</v>
      </c>
    </row>
    <row r="3168" ht="15.75" customHeight="1">
      <c r="A3168" t="str">
        <f t="shared" si="1"/>
        <v>M.haemolytica</v>
      </c>
      <c r="B3168" s="5" t="s">
        <v>16547</v>
      </c>
      <c r="C3168" s="6" t="str">
        <f>IFERROR(__xludf.DUMMYFUNCTION("SPLIT('2. c'!B3168, "" "", True, True)"),"Mannheimia")</f>
        <v>Mannheimia</v>
      </c>
      <c r="D3168" t="str">
        <f>IFERROR(__xludf.DUMMYFUNCTION("""COMPUTED_VALUE"""),"haemolytica")</f>
        <v>haemolytica</v>
      </c>
      <c r="E3168" t="str">
        <f>IFERROR(__xludf.DUMMYFUNCTION("""COMPUTED_VALUE"""),"M42548")</f>
        <v>M42548</v>
      </c>
    </row>
    <row r="3169" ht="15.75" customHeight="1">
      <c r="A3169" t="str">
        <f t="shared" si="1"/>
        <v>M.haemolytica</v>
      </c>
      <c r="B3169" s="5" t="s">
        <v>16556</v>
      </c>
      <c r="C3169" s="6" t="str">
        <f>IFERROR(__xludf.DUMMYFUNCTION("SPLIT('2. c'!B3169, "" "", True, True)"),"Mannheimia")</f>
        <v>Mannheimia</v>
      </c>
      <c r="D3169" t="str">
        <f>IFERROR(__xludf.DUMMYFUNCTION("""COMPUTED_VALUE"""),"haemolytica")</f>
        <v>haemolytica</v>
      </c>
      <c r="E3169" t="str">
        <f>IFERROR(__xludf.DUMMYFUNCTION("""COMPUTED_VALUE"""),"strain")</f>
        <v>strain</v>
      </c>
      <c r="F3169" t="str">
        <f>IFERROR(__xludf.DUMMYFUNCTION("""COMPUTED_VALUE"""),"89010807N")</f>
        <v>89010807N</v>
      </c>
    </row>
    <row r="3170" ht="15.75" customHeight="1">
      <c r="A3170" t="str">
        <f t="shared" si="1"/>
        <v>M.haemolytica</v>
      </c>
      <c r="B3170" s="5" t="s">
        <v>16556</v>
      </c>
      <c r="C3170" s="6" t="str">
        <f>IFERROR(__xludf.DUMMYFUNCTION("SPLIT('2. c'!B3170, "" "", True, True)"),"Mannheimia")</f>
        <v>Mannheimia</v>
      </c>
      <c r="D3170" t="str">
        <f>IFERROR(__xludf.DUMMYFUNCTION("""COMPUTED_VALUE"""),"haemolytica")</f>
        <v>haemolytica</v>
      </c>
      <c r="E3170" t="str">
        <f>IFERROR(__xludf.DUMMYFUNCTION("""COMPUTED_VALUE"""),"strain")</f>
        <v>strain</v>
      </c>
      <c r="F3170" t="str">
        <f>IFERROR(__xludf.DUMMYFUNCTION("""COMPUTED_VALUE"""),"89010807N")</f>
        <v>89010807N</v>
      </c>
    </row>
    <row r="3171" ht="15.75" customHeight="1">
      <c r="A3171" t="str">
        <f t="shared" si="1"/>
        <v>M.haemolytica</v>
      </c>
      <c r="B3171" s="5" t="s">
        <v>16570</v>
      </c>
      <c r="C3171" s="6" t="str">
        <f>IFERROR(__xludf.DUMMYFUNCTION("SPLIT('2. c'!B3171, "" "", True, True)"),"Mannheimia")</f>
        <v>Mannheimia</v>
      </c>
      <c r="D3171" t="str">
        <f>IFERROR(__xludf.DUMMYFUNCTION("""COMPUTED_VALUE"""),"haemolytica")</f>
        <v>haemolytica</v>
      </c>
      <c r="E3171" t="str">
        <f>IFERROR(__xludf.DUMMYFUNCTION("""COMPUTED_VALUE"""),"USDA-ARS-USMARC-183")</f>
        <v>USDA-ARS-USMARC-183</v>
      </c>
    </row>
    <row r="3172" ht="15.75" customHeight="1">
      <c r="A3172" t="str">
        <f t="shared" si="1"/>
        <v>M.haemolytica</v>
      </c>
      <c r="B3172" s="5" t="s">
        <v>16578</v>
      </c>
      <c r="C3172" s="6" t="str">
        <f>IFERROR(__xludf.DUMMYFUNCTION("SPLIT('2. c'!B3172, "" "", True, True)"),"Mannheimia")</f>
        <v>Mannheimia</v>
      </c>
      <c r="D3172" t="str">
        <f>IFERROR(__xludf.DUMMYFUNCTION("""COMPUTED_VALUE"""),"haemolytica")</f>
        <v>haemolytica</v>
      </c>
      <c r="E3172" t="str">
        <f>IFERROR(__xludf.DUMMYFUNCTION("""COMPUTED_VALUE"""),"USDA-ARS-USMARC-184")</f>
        <v>USDA-ARS-USMARC-184</v>
      </c>
    </row>
    <row r="3173" ht="15.75" customHeight="1">
      <c r="A3173" t="str">
        <f t="shared" si="1"/>
        <v>M.haemolytica</v>
      </c>
      <c r="B3173" s="5" t="s">
        <v>16586</v>
      </c>
      <c r="C3173" s="6" t="str">
        <f>IFERROR(__xludf.DUMMYFUNCTION("SPLIT('2. c'!B3173, "" "", True, True)"),"Mannheimia")</f>
        <v>Mannheimia</v>
      </c>
      <c r="D3173" t="str">
        <f>IFERROR(__xludf.DUMMYFUNCTION("""COMPUTED_VALUE"""),"haemolytica")</f>
        <v>haemolytica</v>
      </c>
      <c r="E3173" t="str">
        <f>IFERROR(__xludf.DUMMYFUNCTION("""COMPUTED_VALUE"""),"USDA-ARS-USMARC-185")</f>
        <v>USDA-ARS-USMARC-185</v>
      </c>
    </row>
    <row r="3174" ht="15.75" customHeight="1">
      <c r="A3174" t="str">
        <f t="shared" si="1"/>
        <v>M.haemolytica</v>
      </c>
      <c r="B3174" s="5" t="s">
        <v>16593</v>
      </c>
      <c r="C3174" s="6" t="str">
        <f>IFERROR(__xludf.DUMMYFUNCTION("SPLIT('2. c'!B3174, "" "", True, True)"),"Mannheimia")</f>
        <v>Mannheimia</v>
      </c>
      <c r="D3174" t="str">
        <f>IFERROR(__xludf.DUMMYFUNCTION("""COMPUTED_VALUE"""),"haemolytica")</f>
        <v>haemolytica</v>
      </c>
      <c r="E3174" t="str">
        <f>IFERROR(__xludf.DUMMYFUNCTION("""COMPUTED_VALUE"""),"USMARC_2286")</f>
        <v>USMARC_2286</v>
      </c>
    </row>
    <row r="3175" ht="15.75" customHeight="1">
      <c r="A3175" t="str">
        <f t="shared" si="1"/>
        <v>M.succiniciproducens</v>
      </c>
      <c r="B3175" s="5" t="s">
        <v>16603</v>
      </c>
      <c r="C3175" s="6" t="str">
        <f>IFERROR(__xludf.DUMMYFUNCTION("SPLIT('2. c'!B3175, "" "", True, True)"),"Mannheimia")</f>
        <v>Mannheimia</v>
      </c>
      <c r="D3175" t="str">
        <f>IFERROR(__xludf.DUMMYFUNCTION("""COMPUTED_VALUE"""),"succiniciproducens")</f>
        <v>succiniciproducens</v>
      </c>
      <c r="E3175" t="str">
        <f>IFERROR(__xludf.DUMMYFUNCTION("""COMPUTED_VALUE"""),"MBEL55E")</f>
        <v>MBEL55E</v>
      </c>
    </row>
    <row r="3176" ht="15.75" customHeight="1">
      <c r="A3176" t="str">
        <f t="shared" si="1"/>
        <v>M.varigena</v>
      </c>
      <c r="B3176" s="5" t="s">
        <v>16611</v>
      </c>
      <c r="C3176" s="6" t="str">
        <f>IFERROR(__xludf.DUMMYFUNCTION("SPLIT('2. c'!B3176, "" "", True, True)"),"Mannheimia")</f>
        <v>Mannheimia</v>
      </c>
      <c r="D3176" t="str">
        <f>IFERROR(__xludf.DUMMYFUNCTION("""COMPUTED_VALUE"""),"varigena")</f>
        <v>varigena</v>
      </c>
      <c r="E3176" t="str">
        <f>IFERROR(__xludf.DUMMYFUNCTION("""COMPUTED_VALUE"""),"USDA-ARS-USMARC-1261")</f>
        <v>USDA-ARS-USMARC-1261</v>
      </c>
    </row>
    <row r="3177" ht="15.75" customHeight="1">
      <c r="A3177" t="str">
        <f t="shared" si="1"/>
        <v>M.varigena</v>
      </c>
      <c r="B3177" s="5" t="s">
        <v>16620</v>
      </c>
      <c r="C3177" s="6" t="str">
        <f>IFERROR(__xludf.DUMMYFUNCTION("SPLIT('2. c'!B3177, "" "", True, True)"),"Mannheimia")</f>
        <v>Mannheimia</v>
      </c>
      <c r="D3177" t="str">
        <f>IFERROR(__xludf.DUMMYFUNCTION("""COMPUTED_VALUE"""),"varigena")</f>
        <v>varigena</v>
      </c>
      <c r="E3177" t="str">
        <f>IFERROR(__xludf.DUMMYFUNCTION("""COMPUTED_VALUE"""),"USDA-ARS-USMARC-1296")</f>
        <v>USDA-ARS-USMARC-1296</v>
      </c>
    </row>
    <row r="3178" ht="15.75" customHeight="1">
      <c r="A3178" t="str">
        <f t="shared" si="1"/>
        <v>M.varigena</v>
      </c>
      <c r="B3178" s="5" t="s">
        <v>16628</v>
      </c>
      <c r="C3178" s="6" t="str">
        <f>IFERROR(__xludf.DUMMYFUNCTION("SPLIT('2. c'!B3178, "" "", True, True)"),"Mannheimia")</f>
        <v>Mannheimia</v>
      </c>
      <c r="D3178" t="str">
        <f>IFERROR(__xludf.DUMMYFUNCTION("""COMPUTED_VALUE"""),"varigena")</f>
        <v>varigena</v>
      </c>
      <c r="E3178" t="str">
        <f>IFERROR(__xludf.DUMMYFUNCTION("""COMPUTED_VALUE"""),"USDA-ARS-USMARC-1312")</f>
        <v>USDA-ARS-USMARC-1312</v>
      </c>
    </row>
    <row r="3179" ht="15.75" customHeight="1">
      <c r="A3179" t="str">
        <f t="shared" si="1"/>
        <v>M.varigena</v>
      </c>
      <c r="B3179" s="5" t="s">
        <v>16633</v>
      </c>
      <c r="C3179" s="6" t="str">
        <f>IFERROR(__xludf.DUMMYFUNCTION("SPLIT('2. c'!B3179, "" "", True, True)"),"Mannheimia")</f>
        <v>Mannheimia</v>
      </c>
      <c r="D3179" t="str">
        <f>IFERROR(__xludf.DUMMYFUNCTION("""COMPUTED_VALUE"""),"varigena")</f>
        <v>varigena</v>
      </c>
      <c r="E3179" t="str">
        <f>IFERROR(__xludf.DUMMYFUNCTION("""COMPUTED_VALUE"""),"USDA-ARS-USMARC-1388")</f>
        <v>USDA-ARS-USMARC-1388</v>
      </c>
    </row>
    <row r="3180" ht="15.75" customHeight="1">
      <c r="A3180" t="str">
        <f t="shared" si="1"/>
        <v>M.sp.</v>
      </c>
      <c r="B3180" s="5" t="s">
        <v>16641</v>
      </c>
      <c r="C3180" s="6" t="str">
        <f>IFERROR(__xludf.DUMMYFUNCTION("SPLIT('2. c'!B3180, "" "", True, True)"),"Maribacter")</f>
        <v>Maribacter</v>
      </c>
      <c r="D3180" t="str">
        <f>IFERROR(__xludf.DUMMYFUNCTION("""COMPUTED_VALUE"""),"sp.")</f>
        <v>sp.</v>
      </c>
      <c r="E3180" t="str">
        <f>IFERROR(__xludf.DUMMYFUNCTION("""COMPUTED_VALUE"""),"HTCC2170")</f>
        <v>HTCC2170</v>
      </c>
    </row>
    <row r="3181" ht="15.75" customHeight="1">
      <c r="A3181" t="str">
        <f t="shared" si="1"/>
        <v>M.maris</v>
      </c>
      <c r="B3181" s="5" t="s">
        <v>16649</v>
      </c>
      <c r="C3181" s="6" t="str">
        <f>IFERROR(__xludf.DUMMYFUNCTION("SPLIT('2. c'!B3181, "" "", True, True)"),"Maricaulis")</f>
        <v>Maricaulis</v>
      </c>
      <c r="D3181" t="str">
        <f>IFERROR(__xludf.DUMMYFUNCTION("""COMPUTED_VALUE"""),"maris")</f>
        <v>maris</v>
      </c>
      <c r="E3181" t="str">
        <f>IFERROR(__xludf.DUMMYFUNCTION("""COMPUTED_VALUE"""),"MCS10")</f>
        <v>MCS10</v>
      </c>
    </row>
    <row r="3182" ht="15.75" customHeight="1">
      <c r="A3182" t="str">
        <f t="shared" si="1"/>
        <v>M.hydrothermalis</v>
      </c>
      <c r="B3182" s="5" t="s">
        <v>16658</v>
      </c>
      <c r="C3182" s="6" t="str">
        <f>IFERROR(__xludf.DUMMYFUNCTION("SPLIT('2. c'!B3182, "" "", True, True)"),"Marinithermus")</f>
        <v>Marinithermus</v>
      </c>
      <c r="D3182" t="str">
        <f>IFERROR(__xludf.DUMMYFUNCTION("""COMPUTED_VALUE"""),"hydrothermalis")</f>
        <v>hydrothermalis</v>
      </c>
      <c r="E3182" t="str">
        <f>IFERROR(__xludf.DUMMYFUNCTION("""COMPUTED_VALUE"""),"DSM")</f>
        <v>DSM</v>
      </c>
      <c r="F3182">
        <f>IFERROR(__xludf.DUMMYFUNCTION("""COMPUTED_VALUE"""),14884.0)</f>
        <v>14884</v>
      </c>
    </row>
    <row r="3183" ht="15.75" customHeight="1">
      <c r="A3183" t="str">
        <f t="shared" si="1"/>
        <v>M.piezophila</v>
      </c>
      <c r="B3183" s="5" t="s">
        <v>16667</v>
      </c>
      <c r="C3183" s="6" t="str">
        <f>IFERROR(__xludf.DUMMYFUNCTION("SPLIT('2. c'!B3183, "" "", True, True)"),"Marinitoga")</f>
        <v>Marinitoga</v>
      </c>
      <c r="D3183" t="str">
        <f>IFERROR(__xludf.DUMMYFUNCTION("""COMPUTED_VALUE"""),"piezophila")</f>
        <v>piezophila</v>
      </c>
      <c r="E3183" t="str">
        <f>IFERROR(__xludf.DUMMYFUNCTION("""COMPUTED_VALUE"""),"KA3")</f>
        <v>KA3</v>
      </c>
    </row>
    <row r="3184" ht="15.75" customHeight="1">
      <c r="A3184" t="str">
        <f t="shared" si="1"/>
        <v>M.adhaerens</v>
      </c>
      <c r="B3184" s="5" t="s">
        <v>16675</v>
      </c>
      <c r="C3184" s="6" t="str">
        <f>IFERROR(__xludf.DUMMYFUNCTION("SPLIT('2. c'!B3184, "" "", True, True)"),"Marinobacter")</f>
        <v>Marinobacter</v>
      </c>
      <c r="D3184" t="str">
        <f>IFERROR(__xludf.DUMMYFUNCTION("""COMPUTED_VALUE"""),"adhaerens")</f>
        <v>adhaerens</v>
      </c>
      <c r="E3184" t="str">
        <f>IFERROR(__xludf.DUMMYFUNCTION("""COMPUTED_VALUE"""),"HP15")</f>
        <v>HP15</v>
      </c>
    </row>
    <row r="3185" ht="15.75" customHeight="1">
      <c r="A3185" t="str">
        <f t="shared" si="1"/>
        <v>M.aquaeolei</v>
      </c>
      <c r="B3185" s="5" t="s">
        <v>16683</v>
      </c>
      <c r="C3185" s="6" t="str">
        <f>IFERROR(__xludf.DUMMYFUNCTION("SPLIT('2. c'!B3185, "" "", True, True)"),"Marinobacter")</f>
        <v>Marinobacter</v>
      </c>
      <c r="D3185" t="str">
        <f>IFERROR(__xludf.DUMMYFUNCTION("""COMPUTED_VALUE"""),"aquaeolei")</f>
        <v>aquaeolei</v>
      </c>
      <c r="E3185" t="str">
        <f>IFERROR(__xludf.DUMMYFUNCTION("""COMPUTED_VALUE"""),"VT8")</f>
        <v>VT8</v>
      </c>
    </row>
    <row r="3186" ht="15.75" customHeight="1">
      <c r="A3186" t="str">
        <f t="shared" si="1"/>
        <v>M.excellens</v>
      </c>
      <c r="B3186" s="5" t="s">
        <v>16692</v>
      </c>
      <c r="C3186" s="6" t="str">
        <f>IFERROR(__xludf.DUMMYFUNCTION("SPLIT('2. c'!B3186, "" "", True, True)"),"Marinobacter")</f>
        <v>Marinobacter</v>
      </c>
      <c r="D3186" t="str">
        <f>IFERROR(__xludf.DUMMYFUNCTION("""COMPUTED_VALUE"""),"excellens")</f>
        <v>excellens</v>
      </c>
      <c r="E3186" t="str">
        <f>IFERROR(__xludf.DUMMYFUNCTION("""COMPUTED_VALUE"""),"HL-55")</f>
        <v>HL-55</v>
      </c>
    </row>
    <row r="3187" ht="15.75" customHeight="1">
      <c r="A3187" t="str">
        <f t="shared" si="1"/>
        <v>M.hydrocarbonoclasticus</v>
      </c>
      <c r="B3187" s="5" t="s">
        <v>16701</v>
      </c>
      <c r="C3187" s="6" t="str">
        <f>IFERROR(__xludf.DUMMYFUNCTION("SPLIT('2. c'!B3187, "" "", True, True)"),"Marinobacter")</f>
        <v>Marinobacter</v>
      </c>
      <c r="D3187" t="str">
        <f>IFERROR(__xludf.DUMMYFUNCTION("""COMPUTED_VALUE"""),"hydrocarbonoclasticus")</f>
        <v>hydrocarbonoclasticus</v>
      </c>
      <c r="E3187" t="str">
        <f>IFERROR(__xludf.DUMMYFUNCTION("""COMPUTED_VALUE"""),"ATCC")</f>
        <v>ATCC</v>
      </c>
      <c r="F3187">
        <f>IFERROR(__xludf.DUMMYFUNCTION("""COMPUTED_VALUE"""),49840.0)</f>
        <v>49840</v>
      </c>
    </row>
    <row r="3188" ht="15.75" customHeight="1">
      <c r="A3188" t="str">
        <f t="shared" si="1"/>
        <v>M.psychrophilus</v>
      </c>
      <c r="B3188" s="5" t="s">
        <v>16711</v>
      </c>
      <c r="C3188" s="6" t="str">
        <f>IFERROR(__xludf.DUMMYFUNCTION("SPLIT('2. c'!B3188, "" "", True, True)"),"Marinobacter")</f>
        <v>Marinobacter</v>
      </c>
      <c r="D3188" t="str">
        <f>IFERROR(__xludf.DUMMYFUNCTION("""COMPUTED_VALUE"""),"psychrophilus")</f>
        <v>psychrophilus</v>
      </c>
      <c r="E3188" t="str">
        <f>IFERROR(__xludf.DUMMYFUNCTION("""COMPUTED_VALUE"""),"strain")</f>
        <v>strain</v>
      </c>
      <c r="F3188">
        <f>IFERROR(__xludf.DUMMYFUNCTION("""COMPUTED_VALUE"""),20041.0)</f>
        <v>20041</v>
      </c>
    </row>
    <row r="3189" ht="15.75" customHeight="1">
      <c r="A3189" t="str">
        <f t="shared" si="1"/>
        <v>M.salarius</v>
      </c>
      <c r="B3189" s="5" t="s">
        <v>16721</v>
      </c>
      <c r="C3189" s="6" t="str">
        <f>IFERROR(__xludf.DUMMYFUNCTION("SPLIT('2. c'!B3189, "" "", True, True)"),"Marinobacter")</f>
        <v>Marinobacter</v>
      </c>
      <c r="D3189" t="str">
        <f>IFERROR(__xludf.DUMMYFUNCTION("""COMPUTED_VALUE"""),"salarius")</f>
        <v>salarius</v>
      </c>
      <c r="E3189" t="str">
        <f>IFERROR(__xludf.DUMMYFUNCTION("""COMPUTED_VALUE"""),"R9SW1")</f>
        <v>R9SW1</v>
      </c>
    </row>
    <row r="3190" ht="15.75" customHeight="1">
      <c r="A3190" t="str">
        <f t="shared" si="1"/>
        <v>M.similis</v>
      </c>
      <c r="B3190" s="5" t="s">
        <v>16728</v>
      </c>
      <c r="C3190" s="6" t="str">
        <f>IFERROR(__xludf.DUMMYFUNCTION("SPLIT('2. c'!B3190, "" "", True, True)"),"Marinobacter")</f>
        <v>Marinobacter</v>
      </c>
      <c r="D3190" t="str">
        <f>IFERROR(__xludf.DUMMYFUNCTION("""COMPUTED_VALUE"""),"similis")</f>
        <v>similis</v>
      </c>
      <c r="E3190" t="str">
        <f>IFERROR(__xludf.DUMMYFUNCTION("""COMPUTED_VALUE"""),"A3d10")</f>
        <v>A3d10</v>
      </c>
    </row>
    <row r="3191" ht="15.75" customHeight="1">
      <c r="A3191" t="str">
        <f t="shared" si="1"/>
        <v>M.sp.</v>
      </c>
      <c r="B3191" s="5" t="s">
        <v>16738</v>
      </c>
      <c r="C3191" s="6" t="str">
        <f>IFERROR(__xludf.DUMMYFUNCTION("SPLIT('2. c'!B3191, "" "", True, True)"),"Marinobacter")</f>
        <v>Marinobacter</v>
      </c>
      <c r="D3191" t="str">
        <f>IFERROR(__xludf.DUMMYFUNCTION("""COMPUTED_VALUE"""),"sp.")</f>
        <v>sp.</v>
      </c>
      <c r="E3191" t="str">
        <f>IFERROR(__xludf.DUMMYFUNCTION("""COMPUTED_VALUE"""),"BSs20148")</f>
        <v>BSs20148</v>
      </c>
    </row>
    <row r="3192" ht="15.75" customHeight="1">
      <c r="A3192" t="str">
        <f t="shared" si="1"/>
        <v>M.sp.</v>
      </c>
      <c r="B3192" s="5" t="s">
        <v>16745</v>
      </c>
      <c r="C3192" s="6" t="str">
        <f>IFERROR(__xludf.DUMMYFUNCTION("SPLIT('2. c'!B3192, "" "", True, True)"),"Marinobacter")</f>
        <v>Marinobacter</v>
      </c>
      <c r="D3192" t="str">
        <f>IFERROR(__xludf.DUMMYFUNCTION("""COMPUTED_VALUE"""),"sp.")</f>
        <v>sp.</v>
      </c>
      <c r="E3192" t="str">
        <f>IFERROR(__xludf.DUMMYFUNCTION("""COMPUTED_VALUE"""),"CP1")</f>
        <v>CP1</v>
      </c>
    </row>
    <row r="3193" ht="15.75" customHeight="1">
      <c r="A3193" t="str">
        <f t="shared" si="1"/>
        <v>M.sp.</v>
      </c>
      <c r="B3193" s="5" t="s">
        <v>16755</v>
      </c>
      <c r="C3193" s="6" t="str">
        <f>IFERROR(__xludf.DUMMYFUNCTION("SPLIT('2. c'!B3193, "" "", True, True)"),"Marinobacterium")</f>
        <v>Marinobacterium</v>
      </c>
      <c r="D3193" t="str">
        <f>IFERROR(__xludf.DUMMYFUNCTION("""COMPUTED_VALUE"""),"sp.")</f>
        <v>sp.</v>
      </c>
      <c r="E3193" t="str">
        <f>IFERROR(__xludf.DUMMYFUNCTION("""COMPUTED_VALUE"""),"ST58-10")</f>
        <v>ST58-10</v>
      </c>
    </row>
    <row r="3194" ht="15.75" customHeight="1">
      <c r="A3194" t="str">
        <f t="shared" si="1"/>
        <v>M.mediterranea</v>
      </c>
      <c r="B3194" s="5" t="s">
        <v>16762</v>
      </c>
      <c r="C3194" s="6" t="str">
        <f>IFERROR(__xludf.DUMMYFUNCTION("SPLIT('2. c'!B3194, "" "", True, True)"),"Marinomonas")</f>
        <v>Marinomonas</v>
      </c>
      <c r="D3194" t="str">
        <f>IFERROR(__xludf.DUMMYFUNCTION("""COMPUTED_VALUE"""),"mediterranea")</f>
        <v>mediterranea</v>
      </c>
      <c r="E3194" t="str">
        <f>IFERROR(__xludf.DUMMYFUNCTION("""COMPUTED_VALUE"""),"MMB-1")</f>
        <v>MMB-1</v>
      </c>
    </row>
    <row r="3195" ht="15.75" customHeight="1">
      <c r="A3195" t="str">
        <f t="shared" si="1"/>
        <v>M.posidonica</v>
      </c>
      <c r="B3195" s="5" t="s">
        <v>16769</v>
      </c>
      <c r="C3195" s="6" t="str">
        <f>IFERROR(__xludf.DUMMYFUNCTION("SPLIT('2. c'!B3195, "" "", True, True)"),"Marinomonas")</f>
        <v>Marinomonas</v>
      </c>
      <c r="D3195" t="str">
        <f>IFERROR(__xludf.DUMMYFUNCTION("""COMPUTED_VALUE"""),"posidonica")</f>
        <v>posidonica</v>
      </c>
      <c r="E3195" t="str">
        <f>IFERROR(__xludf.DUMMYFUNCTION("""COMPUTED_VALUE"""),"IVIA-Po-181")</f>
        <v>IVIA-Po-181</v>
      </c>
    </row>
    <row r="3196" ht="15.75" customHeight="1">
      <c r="A3196" t="str">
        <f t="shared" si="1"/>
        <v>M.sp.</v>
      </c>
      <c r="B3196" s="5" t="s">
        <v>16776</v>
      </c>
      <c r="C3196" s="6" t="str">
        <f>IFERROR(__xludf.DUMMYFUNCTION("SPLIT('2. c'!B3196, "" "", True, True)"),"Marinomonas")</f>
        <v>Marinomonas</v>
      </c>
      <c r="D3196" t="str">
        <f>IFERROR(__xludf.DUMMYFUNCTION("""COMPUTED_VALUE"""),"sp.")</f>
        <v>sp.</v>
      </c>
      <c r="E3196" t="str">
        <f>IFERROR(__xludf.DUMMYFUNCTION("""COMPUTED_VALUE"""),"MWYL1")</f>
        <v>MWYL1</v>
      </c>
    </row>
    <row r="3197" ht="15.75" customHeight="1">
      <c r="A3197" t="str">
        <f t="shared" si="1"/>
        <v>M.algicola</v>
      </c>
      <c r="B3197" s="5" t="s">
        <v>16782</v>
      </c>
      <c r="C3197" s="6" t="str">
        <f>IFERROR(__xludf.DUMMYFUNCTION("SPLIT('2. c'!B3197, "" "", True, True)"),"Marinovum")</f>
        <v>Marinovum</v>
      </c>
      <c r="D3197" t="str">
        <f>IFERROR(__xludf.DUMMYFUNCTION("""COMPUTED_VALUE"""),"algicola")</f>
        <v>algicola</v>
      </c>
      <c r="E3197" t="str">
        <f>IFERROR(__xludf.DUMMYFUNCTION("""COMPUTED_VALUE"""),"DG")</f>
        <v>DG</v>
      </c>
      <c r="F3197">
        <f>IFERROR(__xludf.DUMMYFUNCTION("""COMPUTED_VALUE"""),898.0)</f>
        <v>898</v>
      </c>
    </row>
    <row r="3198" ht="15.75" customHeight="1">
      <c r="A3198" t="str">
        <f t="shared" si="1"/>
        <v>M.tractuosa</v>
      </c>
      <c r="B3198" s="5" t="s">
        <v>16790</v>
      </c>
      <c r="C3198" s="6" t="str">
        <f>IFERROR(__xludf.DUMMYFUNCTION("SPLIT('2. c'!B3198, "" "", True, True)"),"Marivirga")</f>
        <v>Marivirga</v>
      </c>
      <c r="D3198" t="str">
        <f>IFERROR(__xludf.DUMMYFUNCTION("""COMPUTED_VALUE"""),"tractuosa")</f>
        <v>tractuosa</v>
      </c>
      <c r="E3198" t="str">
        <f>IFERROR(__xludf.DUMMYFUNCTION("""COMPUTED_VALUE"""),"DSM")</f>
        <v>DSM</v>
      </c>
      <c r="F3198">
        <f>IFERROR(__xludf.DUMMYFUNCTION("""COMPUTED_VALUE"""),4126.0)</f>
        <v>4126</v>
      </c>
    </row>
    <row r="3199" ht="15.75" customHeight="1">
      <c r="A3199" t="str">
        <f t="shared" si="1"/>
        <v>M.endophytica</v>
      </c>
      <c r="B3199" s="5" t="s">
        <v>16798</v>
      </c>
      <c r="C3199" s="6" t="str">
        <f>IFERROR(__xludf.DUMMYFUNCTION("SPLIT('2. c'!B3199, "" "", True, True)"),"Martelella")</f>
        <v>Martelella</v>
      </c>
      <c r="D3199" t="str">
        <f>IFERROR(__xludf.DUMMYFUNCTION("""COMPUTED_VALUE"""),"endophytica")</f>
        <v>endophytica</v>
      </c>
      <c r="E3199" t="str">
        <f>IFERROR(__xludf.DUMMYFUNCTION("""COMPUTED_VALUE"""),"strain")</f>
        <v>strain</v>
      </c>
      <c r="F3199" t="str">
        <f>IFERROR(__xludf.DUMMYFUNCTION("""COMPUTED_VALUE"""),"YC6887")</f>
        <v>YC6887</v>
      </c>
    </row>
    <row r="3200" ht="15.75" customHeight="1">
      <c r="A3200" t="str">
        <f t="shared" si="1"/>
        <v>M.sp.</v>
      </c>
      <c r="B3200" s="5" t="s">
        <v>16815</v>
      </c>
      <c r="C3200" s="6" t="str">
        <f>IFERROR(__xludf.DUMMYFUNCTION("SPLIT('2. c'!B3200, "" "", True, True)"),"Martelella")</f>
        <v>Martelella</v>
      </c>
      <c r="D3200" t="str">
        <f>IFERROR(__xludf.DUMMYFUNCTION("""COMPUTED_VALUE"""),"sp.")</f>
        <v>sp.</v>
      </c>
      <c r="E3200" t="str">
        <f>IFERROR(__xludf.DUMMYFUNCTION("""COMPUTED_VALUE"""),"AD-3")</f>
        <v>AD-3</v>
      </c>
    </row>
    <row r="3201" ht="15.75" customHeight="1">
      <c r="A3201" t="str">
        <f t="shared" si="1"/>
        <v>M.sp.</v>
      </c>
      <c r="B3201" s="5" t="s">
        <v>16825</v>
      </c>
      <c r="C3201" s="6" t="str">
        <f>IFERROR(__xludf.DUMMYFUNCTION("SPLIT('2. c'!B3201, "" "", True, True)"),"Massilia")</f>
        <v>Massilia</v>
      </c>
      <c r="D3201" t="str">
        <f>IFERROR(__xludf.DUMMYFUNCTION("""COMPUTED_VALUE"""),"sp.")</f>
        <v>sp.</v>
      </c>
      <c r="E3201" t="str">
        <f>IFERROR(__xludf.DUMMYFUNCTION("""COMPUTED_VALUE"""),"NR")</f>
        <v>NR</v>
      </c>
      <c r="F3201" s="25">
        <f>IFERROR(__xludf.DUMMYFUNCTION("""COMPUTED_VALUE"""),43104.0)</f>
        <v>43104</v>
      </c>
    </row>
    <row r="3202" ht="15.75" customHeight="1">
      <c r="A3202" t="str">
        <f t="shared" si="1"/>
        <v>M.sp.</v>
      </c>
      <c r="B3202" s="5" t="s">
        <v>16837</v>
      </c>
      <c r="C3202" s="6" t="str">
        <f>IFERROR(__xludf.DUMMYFUNCTION("SPLIT('2. c'!B3202, "" "", True, True)"),"Massilia")</f>
        <v>Massilia</v>
      </c>
      <c r="D3202" t="str">
        <f>IFERROR(__xludf.DUMMYFUNCTION("""COMPUTED_VALUE"""),"sp.")</f>
        <v>sp.</v>
      </c>
      <c r="E3202" t="str">
        <f>IFERROR(__xludf.DUMMYFUNCTION("""COMPUTED_VALUE"""),"WG5")</f>
        <v>WG5</v>
      </c>
    </row>
    <row r="3203" ht="15.75" customHeight="1">
      <c r="A3203" t="str">
        <f t="shared" si="1"/>
        <v>M.hypermegale</v>
      </c>
      <c r="B3203" s="5" t="s">
        <v>16845</v>
      </c>
      <c r="C3203" s="6" t="str">
        <f>IFERROR(__xludf.DUMMYFUNCTION("SPLIT('2. c'!B3203, "" "", True, True)"),"Megamonas")</f>
        <v>Megamonas</v>
      </c>
      <c r="D3203" t="str">
        <f>IFERROR(__xludf.DUMMYFUNCTION("""COMPUTED_VALUE"""),"hypermegale")</f>
        <v>hypermegale</v>
      </c>
      <c r="E3203" t="str">
        <f>IFERROR(__xludf.DUMMYFUNCTION("""COMPUTED_VALUE"""),"ART12/1")</f>
        <v>ART12/1</v>
      </c>
    </row>
    <row r="3204" ht="15.75" customHeight="1">
      <c r="A3204" t="str">
        <f t="shared" si="1"/>
        <v>M.elsdenii</v>
      </c>
      <c r="B3204" s="5" t="s">
        <v>16854</v>
      </c>
      <c r="C3204" s="6" t="str">
        <f>IFERROR(__xludf.DUMMYFUNCTION("SPLIT('2. c'!B3204, "" "", True, True)"),"Megasphaera")</f>
        <v>Megasphaera</v>
      </c>
      <c r="D3204" t="str">
        <f>IFERROR(__xludf.DUMMYFUNCTION("""COMPUTED_VALUE"""),"elsdenii")</f>
        <v>elsdenii</v>
      </c>
      <c r="E3204" t="str">
        <f>IFERROR(__xludf.DUMMYFUNCTION("""COMPUTED_VALUE"""),"14-14")</f>
        <v>14-14</v>
      </c>
    </row>
    <row r="3205" ht="15.75" customHeight="1">
      <c r="A3205" t="str">
        <f t="shared" si="1"/>
        <v>M.elsdenii</v>
      </c>
      <c r="B3205" s="5" t="s">
        <v>16861</v>
      </c>
      <c r="C3205" s="6" t="str">
        <f>IFERROR(__xludf.DUMMYFUNCTION("SPLIT('2. c'!B3205, "" "", True, True)"),"Megasphaera")</f>
        <v>Megasphaera</v>
      </c>
      <c r="D3205" t="str">
        <f>IFERROR(__xludf.DUMMYFUNCTION("""COMPUTED_VALUE"""),"elsdenii")</f>
        <v>elsdenii</v>
      </c>
      <c r="E3205" t="str">
        <f>IFERROR(__xludf.DUMMYFUNCTION("""COMPUTED_VALUE"""),"DSM")</f>
        <v>DSM</v>
      </c>
      <c r="F3205">
        <f>IFERROR(__xludf.DUMMYFUNCTION("""COMPUTED_VALUE"""),20460.0)</f>
        <v>20460</v>
      </c>
    </row>
    <row r="3206" ht="15.75" customHeight="1">
      <c r="A3206" t="str">
        <f t="shared" si="1"/>
        <v>M.ruber</v>
      </c>
      <c r="B3206" s="5" t="s">
        <v>16871</v>
      </c>
      <c r="C3206" s="6" t="str">
        <f>IFERROR(__xludf.DUMMYFUNCTION("SPLIT('2. c'!B3206, "" "", True, True)"),"Meiothermus")</f>
        <v>Meiothermus</v>
      </c>
      <c r="D3206" t="str">
        <f>IFERROR(__xludf.DUMMYFUNCTION("""COMPUTED_VALUE"""),"ruber")</f>
        <v>ruber</v>
      </c>
      <c r="E3206" t="str">
        <f>IFERROR(__xludf.DUMMYFUNCTION("""COMPUTED_VALUE"""),"DSM")</f>
        <v>DSM</v>
      </c>
      <c r="F3206">
        <f>IFERROR(__xludf.DUMMYFUNCTION("""COMPUTED_VALUE"""),1279.0)</f>
        <v>1279</v>
      </c>
    </row>
    <row r="3207" ht="15.75" customHeight="1">
      <c r="A3207" t="str">
        <f t="shared" si="1"/>
        <v>M.ruber</v>
      </c>
      <c r="B3207" s="5" t="s">
        <v>16871</v>
      </c>
      <c r="C3207" s="6" t="str">
        <f>IFERROR(__xludf.DUMMYFUNCTION("SPLIT('2. c'!B3207, "" "", True, True)"),"Meiothermus")</f>
        <v>Meiothermus</v>
      </c>
      <c r="D3207" t="str">
        <f>IFERROR(__xludf.DUMMYFUNCTION("""COMPUTED_VALUE"""),"ruber")</f>
        <v>ruber</v>
      </c>
      <c r="E3207" t="str">
        <f>IFERROR(__xludf.DUMMYFUNCTION("""COMPUTED_VALUE"""),"DSM")</f>
        <v>DSM</v>
      </c>
      <c r="F3207">
        <f>IFERROR(__xludf.DUMMYFUNCTION("""COMPUTED_VALUE"""),1279.0)</f>
        <v>1279</v>
      </c>
    </row>
    <row r="3208" ht="15.75" customHeight="1">
      <c r="A3208" t="str">
        <f t="shared" si="1"/>
        <v>M.silvanus</v>
      </c>
      <c r="B3208" s="5" t="s">
        <v>16890</v>
      </c>
      <c r="C3208" s="6" t="str">
        <f>IFERROR(__xludf.DUMMYFUNCTION("SPLIT('2. c'!B3208, "" "", True, True)"),"Meiothermus")</f>
        <v>Meiothermus</v>
      </c>
      <c r="D3208" t="str">
        <f>IFERROR(__xludf.DUMMYFUNCTION("""COMPUTED_VALUE"""),"silvanus")</f>
        <v>silvanus</v>
      </c>
      <c r="E3208" t="str">
        <f>IFERROR(__xludf.DUMMYFUNCTION("""COMPUTED_VALUE"""),"DSM")</f>
        <v>DSM</v>
      </c>
      <c r="F3208">
        <f>IFERROR(__xludf.DUMMYFUNCTION("""COMPUTED_VALUE"""),9946.0)</f>
        <v>9946</v>
      </c>
    </row>
    <row r="3209" ht="15.75" customHeight="1">
      <c r="A3209" t="str">
        <f t="shared" si="1"/>
        <v>M.roseus</v>
      </c>
      <c r="B3209" s="5" t="s">
        <v>16901</v>
      </c>
      <c r="C3209" s="6" t="str">
        <f>IFERROR(__xludf.DUMMYFUNCTION("SPLIT('2. c'!B3209, "" "", True, True)"),"Melioribacter")</f>
        <v>Melioribacter</v>
      </c>
      <c r="D3209" t="str">
        <f>IFERROR(__xludf.DUMMYFUNCTION("""COMPUTED_VALUE"""),"roseus")</f>
        <v>roseus</v>
      </c>
      <c r="E3209" t="str">
        <f>IFERROR(__xludf.DUMMYFUNCTION("""COMPUTED_VALUE"""),"P3M-2")</f>
        <v>P3M-2</v>
      </c>
    </row>
    <row r="3210" ht="15.75" customHeight="1">
      <c r="A3210" t="str">
        <f t="shared" si="1"/>
        <v>M.plutonius</v>
      </c>
      <c r="B3210" s="5" t="s">
        <v>16910</v>
      </c>
      <c r="C3210" s="6" t="str">
        <f>IFERROR(__xludf.DUMMYFUNCTION("SPLIT('2. c'!B3210, "" "", True, True)"),"Melissococcus")</f>
        <v>Melissococcus</v>
      </c>
      <c r="D3210" t="str">
        <f>IFERROR(__xludf.DUMMYFUNCTION("""COMPUTED_VALUE"""),"plutonius")</f>
        <v>plutonius</v>
      </c>
      <c r="E3210" t="str">
        <f>IFERROR(__xludf.DUMMYFUNCTION("""COMPUTED_VALUE"""),"ATCC")</f>
        <v>ATCC</v>
      </c>
      <c r="F3210">
        <f>IFERROR(__xludf.DUMMYFUNCTION("""COMPUTED_VALUE"""),35311.0)</f>
        <v>35311</v>
      </c>
    </row>
    <row r="3211" ht="15.75" customHeight="1">
      <c r="A3211" t="str">
        <f t="shared" si="1"/>
        <v>M.plutonius</v>
      </c>
      <c r="B3211" s="5" t="s">
        <v>16921</v>
      </c>
      <c r="C3211" s="6" t="str">
        <f>IFERROR(__xludf.DUMMYFUNCTION("SPLIT('2. c'!B3211, "" "", True, True)"),"Melissococcus")</f>
        <v>Melissococcus</v>
      </c>
      <c r="D3211" t="str">
        <f>IFERROR(__xludf.DUMMYFUNCTION("""COMPUTED_VALUE"""),"plutonius")</f>
        <v>plutonius</v>
      </c>
      <c r="E3211" t="str">
        <f>IFERROR(__xludf.DUMMYFUNCTION("""COMPUTED_VALUE"""),"DAT561")</f>
        <v>DAT561</v>
      </c>
    </row>
    <row r="3212" ht="15.75" customHeight="1">
      <c r="A3212" t="str">
        <f t="shared" si="1"/>
        <v>M.plutonius</v>
      </c>
      <c r="B3212" s="5" t="s">
        <v>16928</v>
      </c>
      <c r="C3212" s="6" t="str">
        <f>IFERROR(__xludf.DUMMYFUNCTION("SPLIT('2. c'!B3212, "" "", True, True)"),"Melissococcus")</f>
        <v>Melissococcus</v>
      </c>
      <c r="D3212" t="str">
        <f>IFERROR(__xludf.DUMMYFUNCTION("""COMPUTED_VALUE"""),"plutonius")</f>
        <v>plutonius</v>
      </c>
      <c r="E3212" t="str">
        <f>IFERROR(__xludf.DUMMYFUNCTION("""COMPUTED_VALUE"""),"S1")</f>
        <v>S1</v>
      </c>
    </row>
    <row r="3213" ht="15.75" customHeight="1">
      <c r="A3213" t="str">
        <f t="shared" si="1"/>
        <v>M.florum</v>
      </c>
      <c r="B3213" s="5" t="s">
        <v>16940</v>
      </c>
      <c r="C3213" s="6" t="str">
        <f>IFERROR(__xludf.DUMMYFUNCTION("SPLIT('2. c'!B3213, "" "", True, True)"),"Mesoplasma")</f>
        <v>Mesoplasma</v>
      </c>
      <c r="D3213" t="str">
        <f>IFERROR(__xludf.DUMMYFUNCTION("""COMPUTED_VALUE"""),"florum")</f>
        <v>florum</v>
      </c>
      <c r="E3213" t="str">
        <f>IFERROR(__xludf.DUMMYFUNCTION("""COMPUTED_VALUE"""),"L1")</f>
        <v>L1</v>
      </c>
    </row>
    <row r="3214" ht="15.75" customHeight="1">
      <c r="A3214" t="str">
        <f t="shared" si="1"/>
        <v>M.florum</v>
      </c>
      <c r="B3214" s="5" t="s">
        <v>16948</v>
      </c>
      <c r="C3214" s="6" t="str">
        <f>IFERROR(__xludf.DUMMYFUNCTION("SPLIT('2. c'!B3214, "" "", True, True)"),"Mesoplasma")</f>
        <v>Mesoplasma</v>
      </c>
      <c r="D3214" t="str">
        <f>IFERROR(__xludf.DUMMYFUNCTION("""COMPUTED_VALUE"""),"florum")</f>
        <v>florum</v>
      </c>
      <c r="E3214" t="str">
        <f>IFERROR(__xludf.DUMMYFUNCTION("""COMPUTED_VALUE"""),"W37")</f>
        <v>W37</v>
      </c>
    </row>
    <row r="3215" ht="15.75" customHeight="1">
      <c r="A3215" t="str">
        <f t="shared" si="1"/>
        <v>M.ciceri</v>
      </c>
      <c r="B3215" s="5" t="s">
        <v>16957</v>
      </c>
      <c r="C3215" s="6" t="str">
        <f>IFERROR(__xludf.DUMMYFUNCTION("SPLIT('2. c'!B3215, "" "", True, True)"),"Mesorhizobium")</f>
        <v>Mesorhizobium</v>
      </c>
      <c r="D3215" t="str">
        <f>IFERROR(__xludf.DUMMYFUNCTION("""COMPUTED_VALUE"""),"ciceri")</f>
        <v>ciceri</v>
      </c>
      <c r="E3215" t="str">
        <f>IFERROR(__xludf.DUMMYFUNCTION("""COMPUTED_VALUE"""),"biovar")</f>
        <v>biovar</v>
      </c>
      <c r="F3215" t="str">
        <f>IFERROR(__xludf.DUMMYFUNCTION("""COMPUTED_VALUE"""),"biserrulae")</f>
        <v>biserrulae</v>
      </c>
      <c r="G3215" t="str">
        <f>IFERROR(__xludf.DUMMYFUNCTION("""COMPUTED_VALUE"""),"WSM1271")</f>
        <v>WSM1271</v>
      </c>
    </row>
    <row r="3216" ht="15.75" customHeight="1">
      <c r="A3216" t="str">
        <f t="shared" si="1"/>
        <v>M.ciceri</v>
      </c>
      <c r="B3216" s="5" t="s">
        <v>16967</v>
      </c>
      <c r="C3216" s="6" t="str">
        <f>IFERROR(__xludf.DUMMYFUNCTION("SPLIT('2. c'!B3216, "" "", True, True)"),"Mesorhizobium")</f>
        <v>Mesorhizobium</v>
      </c>
      <c r="D3216" t="str">
        <f>IFERROR(__xludf.DUMMYFUNCTION("""COMPUTED_VALUE"""),"ciceri")</f>
        <v>ciceri</v>
      </c>
      <c r="E3216" t="str">
        <f>IFERROR(__xludf.DUMMYFUNCTION("""COMPUTED_VALUE"""),"ca181")</f>
        <v>ca181</v>
      </c>
    </row>
    <row r="3217" ht="15.75" customHeight="1">
      <c r="A3217" t="str">
        <f t="shared" si="1"/>
        <v>M.huakuii</v>
      </c>
      <c r="B3217" s="5" t="s">
        <v>16976</v>
      </c>
      <c r="C3217" s="6" t="str">
        <f>IFERROR(__xludf.DUMMYFUNCTION("SPLIT('2. c'!B3217, "" "", True, True)"),"Mesorhizobium")</f>
        <v>Mesorhizobium</v>
      </c>
      <c r="D3217" t="str">
        <f>IFERROR(__xludf.DUMMYFUNCTION("""COMPUTED_VALUE"""),"huakuii")</f>
        <v>huakuii</v>
      </c>
      <c r="E3217" t="str">
        <f>IFERROR(__xludf.DUMMYFUNCTION("""COMPUTED_VALUE"""),"7653R")</f>
        <v>7653R</v>
      </c>
    </row>
    <row r="3218" ht="15.75" customHeight="1">
      <c r="A3218" t="str">
        <f t="shared" si="1"/>
        <v>M.loti</v>
      </c>
      <c r="B3218" s="5" t="s">
        <v>16982</v>
      </c>
      <c r="C3218" s="6" t="str">
        <f>IFERROR(__xludf.DUMMYFUNCTION("SPLIT('2. c'!B3218, "" "", True, True)"),"Mesorhizobium")</f>
        <v>Mesorhizobium</v>
      </c>
      <c r="D3218" t="str">
        <f>IFERROR(__xludf.DUMMYFUNCTION("""COMPUTED_VALUE"""),"loti")</f>
        <v>loti</v>
      </c>
      <c r="E3218" t="str">
        <f>IFERROR(__xludf.DUMMYFUNCTION("""COMPUTED_VALUE"""),"MAFF303099")</f>
        <v>MAFF303099</v>
      </c>
    </row>
    <row r="3219" ht="15.75" customHeight="1">
      <c r="A3219" t="str">
        <f t="shared" si="1"/>
        <v>M.loti</v>
      </c>
      <c r="B3219" s="5" t="s">
        <v>16991</v>
      </c>
      <c r="C3219" s="6" t="str">
        <f>IFERROR(__xludf.DUMMYFUNCTION("SPLIT('2. c'!B3219, "" "", True, True)"),"Mesorhizobium")</f>
        <v>Mesorhizobium</v>
      </c>
      <c r="D3219" t="str">
        <f>IFERROR(__xludf.DUMMYFUNCTION("""COMPUTED_VALUE"""),"loti")</f>
        <v>loti</v>
      </c>
      <c r="E3219" t="str">
        <f>IFERROR(__xludf.DUMMYFUNCTION("""COMPUTED_VALUE"""),"NZP2037")</f>
        <v>NZP2037</v>
      </c>
    </row>
    <row r="3220" ht="15.75" customHeight="1">
      <c r="A3220" t="str">
        <f t="shared" si="1"/>
        <v>M.cuprina</v>
      </c>
      <c r="B3220" s="5" t="s">
        <v>17000</v>
      </c>
      <c r="C3220" s="6" t="str">
        <f>IFERROR(__xludf.DUMMYFUNCTION("SPLIT('2. c'!B3220, "" "", True, True)"),"Metallosphaera")</f>
        <v>Metallosphaera</v>
      </c>
      <c r="D3220" t="str">
        <f>IFERROR(__xludf.DUMMYFUNCTION("""COMPUTED_VALUE"""),"cuprina")</f>
        <v>cuprina</v>
      </c>
      <c r="E3220" t="str">
        <f>IFERROR(__xludf.DUMMYFUNCTION("""COMPUTED_VALUE"""),"Ar-4")</f>
        <v>Ar-4</v>
      </c>
    </row>
    <row r="3221" ht="15.75" customHeight="1">
      <c r="A3221" t="str">
        <f t="shared" si="1"/>
        <v>M.sedula</v>
      </c>
      <c r="B3221" s="5" t="s">
        <v>17009</v>
      </c>
      <c r="C3221" s="6" t="str">
        <f>IFERROR(__xludf.DUMMYFUNCTION("SPLIT('2. c'!B3221, "" "", True, True)"),"Metallosphaera")</f>
        <v>Metallosphaera</v>
      </c>
      <c r="D3221" t="str">
        <f>IFERROR(__xludf.DUMMYFUNCTION("""COMPUTED_VALUE"""),"sedula")</f>
        <v>sedula</v>
      </c>
      <c r="E3221" t="str">
        <f>IFERROR(__xludf.DUMMYFUNCTION("""COMPUTED_VALUE"""),"DSM")</f>
        <v>DSM</v>
      </c>
      <c r="F3221">
        <f>IFERROR(__xludf.DUMMYFUNCTION("""COMPUTED_VALUE"""),5348.0)</f>
        <v>5348</v>
      </c>
    </row>
    <row r="3222" ht="15.75" customHeight="1">
      <c r="A3222" t="str">
        <f t="shared" si="1"/>
        <v>M.sedula</v>
      </c>
      <c r="B3222" s="5" t="s">
        <v>17020</v>
      </c>
      <c r="C3222" s="6" t="str">
        <f>IFERROR(__xludf.DUMMYFUNCTION("SPLIT('2. c'!B3222, "" "", True, True)"),"Metallosphaera")</f>
        <v>Metallosphaera</v>
      </c>
      <c r="D3222" t="str">
        <f>IFERROR(__xludf.DUMMYFUNCTION("""COMPUTED_VALUE"""),"sedula")</f>
        <v>sedula</v>
      </c>
      <c r="E3222" t="str">
        <f>IFERROR(__xludf.DUMMYFUNCTION("""COMPUTED_VALUE"""),"strain")</f>
        <v>strain</v>
      </c>
      <c r="F3222" t="str">
        <f>IFERROR(__xludf.DUMMYFUNCTION("""COMPUTED_VALUE"""),"ARS120-1")</f>
        <v>ARS120-1</v>
      </c>
    </row>
    <row r="3223" ht="15.75" customHeight="1">
      <c r="A3223" t="str">
        <f t="shared" si="1"/>
        <v>M.sedula</v>
      </c>
      <c r="B3223" s="5" t="s">
        <v>17030</v>
      </c>
      <c r="C3223" s="6" t="str">
        <f>IFERROR(__xludf.DUMMYFUNCTION("SPLIT('2. c'!B3223, "" "", True, True)"),"Metallosphaera")</f>
        <v>Metallosphaera</v>
      </c>
      <c r="D3223" t="str">
        <f>IFERROR(__xludf.DUMMYFUNCTION("""COMPUTED_VALUE"""),"sedula")</f>
        <v>sedula</v>
      </c>
      <c r="E3223" t="str">
        <f>IFERROR(__xludf.DUMMYFUNCTION("""COMPUTED_VALUE"""),"strain")</f>
        <v>strain</v>
      </c>
      <c r="F3223" t="str">
        <f>IFERROR(__xludf.DUMMYFUNCTION("""COMPUTED_VALUE"""),"ARS120-2")</f>
        <v>ARS120-2</v>
      </c>
    </row>
    <row r="3224" ht="15.75" customHeight="1">
      <c r="A3224" t="str">
        <f t="shared" si="1"/>
        <v>M.sedula</v>
      </c>
      <c r="B3224" s="5" t="s">
        <v>17040</v>
      </c>
      <c r="C3224" s="6" t="str">
        <f>IFERROR(__xludf.DUMMYFUNCTION("SPLIT('2. c'!B3224, "" "", True, True)"),"Metallosphaera")</f>
        <v>Metallosphaera</v>
      </c>
      <c r="D3224" t="str">
        <f>IFERROR(__xludf.DUMMYFUNCTION("""COMPUTED_VALUE"""),"sedula")</f>
        <v>sedula</v>
      </c>
      <c r="E3224" t="str">
        <f>IFERROR(__xludf.DUMMYFUNCTION("""COMPUTED_VALUE"""),"strain")</f>
        <v>strain</v>
      </c>
      <c r="F3224" t="str">
        <f>IFERROR(__xludf.DUMMYFUNCTION("""COMPUTED_VALUE"""),"ARS50-1")</f>
        <v>ARS50-1</v>
      </c>
    </row>
    <row r="3225" ht="15.75" customHeight="1">
      <c r="A3225" t="str">
        <f t="shared" si="1"/>
        <v>M.sedula</v>
      </c>
      <c r="B3225" s="5" t="s">
        <v>17050</v>
      </c>
      <c r="C3225" s="6" t="str">
        <f>IFERROR(__xludf.DUMMYFUNCTION("SPLIT('2. c'!B3225, "" "", True, True)"),"Metallosphaera")</f>
        <v>Metallosphaera</v>
      </c>
      <c r="D3225" t="str">
        <f>IFERROR(__xludf.DUMMYFUNCTION("""COMPUTED_VALUE"""),"sedula")</f>
        <v>sedula</v>
      </c>
      <c r="E3225" t="str">
        <f>IFERROR(__xludf.DUMMYFUNCTION("""COMPUTED_VALUE"""),"strain")</f>
        <v>strain</v>
      </c>
      <c r="F3225" t="str">
        <f>IFERROR(__xludf.DUMMYFUNCTION("""COMPUTED_VALUE"""),"ARS50-2")</f>
        <v>ARS50-2</v>
      </c>
    </row>
    <row r="3226" ht="15.75" customHeight="1">
      <c r="A3226" t="str">
        <f t="shared" si="1"/>
        <v>M.sedula</v>
      </c>
      <c r="B3226" s="5" t="s">
        <v>17059</v>
      </c>
      <c r="C3226" s="6" t="str">
        <f>IFERROR(__xludf.DUMMYFUNCTION("SPLIT('2. c'!B3226, "" "", True, True)"),"Metallosphaera")</f>
        <v>Metallosphaera</v>
      </c>
      <c r="D3226" t="str">
        <f>IFERROR(__xludf.DUMMYFUNCTION("""COMPUTED_VALUE"""),"sedula")</f>
        <v>sedula</v>
      </c>
      <c r="E3226" t="str">
        <f>IFERROR(__xludf.DUMMYFUNCTION("""COMPUTED_VALUE"""),"strain")</f>
        <v>strain</v>
      </c>
      <c r="F3226" t="str">
        <f>IFERROR(__xludf.DUMMYFUNCTION("""COMPUTED_VALUE"""),"CuR1")</f>
        <v>CuR1</v>
      </c>
    </row>
    <row r="3227" ht="15.75" customHeight="1">
      <c r="A3227" t="str">
        <f t="shared" si="1"/>
        <v>M.sedula</v>
      </c>
      <c r="B3227" s="5" t="s">
        <v>17069</v>
      </c>
      <c r="C3227" s="6" t="str">
        <f>IFERROR(__xludf.DUMMYFUNCTION("SPLIT('2. c'!B3227, "" "", True, True)"),"Metallosphaera")</f>
        <v>Metallosphaera</v>
      </c>
      <c r="D3227" t="str">
        <f>IFERROR(__xludf.DUMMYFUNCTION("""COMPUTED_VALUE"""),"sedula")</f>
        <v>sedula</v>
      </c>
      <c r="E3227" t="str">
        <f>IFERROR(__xludf.DUMMYFUNCTION("""COMPUTED_VALUE"""),"strain")</f>
        <v>strain</v>
      </c>
      <c r="F3227" t="str">
        <f>IFERROR(__xludf.DUMMYFUNCTION("""COMPUTED_VALUE"""),"SARC-M1")</f>
        <v>SARC-M1</v>
      </c>
    </row>
    <row r="3228" ht="15.75" customHeight="1">
      <c r="A3228" t="str">
        <f t="shared" si="1"/>
        <v>M.formicicum</v>
      </c>
      <c r="B3228" s="5" t="s">
        <v>17078</v>
      </c>
      <c r="C3228" s="6" t="str">
        <f>IFERROR(__xludf.DUMMYFUNCTION("SPLIT('2. c'!B3228, "" "", True, True)"),"Methanobacterium")</f>
        <v>Methanobacterium</v>
      </c>
      <c r="D3228" t="str">
        <f>IFERROR(__xludf.DUMMYFUNCTION("""COMPUTED_VALUE"""),"formicicum")</f>
        <v>formicicum</v>
      </c>
      <c r="E3228" t="str">
        <f>IFERROR(__xludf.DUMMYFUNCTION("""COMPUTED_VALUE"""),"BRM9")</f>
        <v>BRM9</v>
      </c>
    </row>
    <row r="3229" ht="15.75" customHeight="1">
      <c r="A3229" t="str">
        <f t="shared" si="1"/>
        <v>M.formicicum</v>
      </c>
      <c r="B3229" s="5" t="s">
        <v>17086</v>
      </c>
      <c r="C3229" s="6" t="str">
        <f>IFERROR(__xludf.DUMMYFUNCTION("SPLIT('2. c'!B3229, "" "", True, True)"),"Methanobacterium")</f>
        <v>Methanobacterium</v>
      </c>
      <c r="D3229" t="str">
        <f>IFERROR(__xludf.DUMMYFUNCTION("""COMPUTED_VALUE"""),"formicicum")</f>
        <v>formicicum</v>
      </c>
      <c r="E3229" t="str">
        <f>IFERROR(__xludf.DUMMYFUNCTION("""COMPUTED_VALUE"""),"strain")</f>
        <v>strain</v>
      </c>
      <c r="F3229" t="str">
        <f>IFERROR(__xludf.DUMMYFUNCTION("""COMPUTED_VALUE"""),"DSM")</f>
        <v>DSM</v>
      </c>
      <c r="G3229">
        <f>IFERROR(__xludf.DUMMYFUNCTION("""COMPUTED_VALUE"""),1535.0)</f>
        <v>1535</v>
      </c>
    </row>
    <row r="3230" ht="15.75" customHeight="1">
      <c r="A3230" t="str">
        <f t="shared" si="1"/>
        <v>M.formicicum</v>
      </c>
      <c r="B3230" s="5" t="s">
        <v>17093</v>
      </c>
      <c r="C3230" s="6" t="str">
        <f>IFERROR(__xludf.DUMMYFUNCTION("SPLIT('2. c'!B3230, "" "", True, True)"),"Methanobacterium")</f>
        <v>Methanobacterium</v>
      </c>
      <c r="D3230" t="str">
        <f>IFERROR(__xludf.DUMMYFUNCTION("""COMPUTED_VALUE"""),"formicicum")</f>
        <v>formicicum</v>
      </c>
      <c r="E3230" t="str">
        <f>IFERROR(__xludf.DUMMYFUNCTION("""COMPUTED_VALUE"""),"strain")</f>
        <v>strain</v>
      </c>
      <c r="F3230" t="str">
        <f>IFERROR(__xludf.DUMMYFUNCTION("""COMPUTED_VALUE"""),"Mb9")</f>
        <v>Mb9</v>
      </c>
    </row>
    <row r="3231" ht="15.75" customHeight="1">
      <c r="A3231" t="str">
        <f t="shared" si="1"/>
        <v>M.lacus</v>
      </c>
      <c r="B3231" s="5" t="s">
        <v>17103</v>
      </c>
      <c r="C3231" s="6" t="str">
        <f>IFERROR(__xludf.DUMMYFUNCTION("SPLIT('2. c'!B3231, "" "", True, True)"),"Methanobacterium")</f>
        <v>Methanobacterium</v>
      </c>
      <c r="D3231" t="str">
        <f>IFERROR(__xludf.DUMMYFUNCTION("""COMPUTED_VALUE"""),"lacus")</f>
        <v>lacus</v>
      </c>
      <c r="E3231" t="str">
        <f>IFERROR(__xludf.DUMMYFUNCTION("""COMPUTED_VALUE"""),"strain")</f>
        <v>strain</v>
      </c>
      <c r="F3231" t="str">
        <f>IFERROR(__xludf.DUMMYFUNCTION("""COMPUTED_VALUE"""),"AL-21")</f>
        <v>AL-21</v>
      </c>
    </row>
    <row r="3232" ht="15.75" customHeight="1">
      <c r="A3232" t="str">
        <f t="shared" si="1"/>
        <v>M.paludis</v>
      </c>
      <c r="B3232" s="5" t="s">
        <v>17113</v>
      </c>
      <c r="C3232" s="6" t="str">
        <f>IFERROR(__xludf.DUMMYFUNCTION("SPLIT('2. c'!B3232, "" "", True, True)"),"Methanobacterium")</f>
        <v>Methanobacterium</v>
      </c>
      <c r="D3232" t="str">
        <f>IFERROR(__xludf.DUMMYFUNCTION("""COMPUTED_VALUE"""),"paludis")</f>
        <v>paludis</v>
      </c>
      <c r="E3232" t="str">
        <f>IFERROR(__xludf.DUMMYFUNCTION("""COMPUTED_VALUE"""),"strain")</f>
        <v>strain</v>
      </c>
      <c r="F3232" t="str">
        <f>IFERROR(__xludf.DUMMYFUNCTION("""COMPUTED_VALUE"""),"SWAN-1")</f>
        <v>SWAN-1</v>
      </c>
    </row>
    <row r="3233" ht="15.75" customHeight="1">
      <c r="A3233" t="str">
        <f t="shared" si="1"/>
        <v>M.sp.</v>
      </c>
      <c r="B3233" s="5" t="s">
        <v>17123</v>
      </c>
      <c r="C3233" s="6" t="str">
        <f>IFERROR(__xludf.DUMMYFUNCTION("SPLIT('2. c'!B3233, "" "", True, True)"),"Methanobacterium")</f>
        <v>Methanobacterium</v>
      </c>
      <c r="D3233" t="str">
        <f>IFERROR(__xludf.DUMMYFUNCTION("""COMPUTED_VALUE"""),"sp.")</f>
        <v>sp.</v>
      </c>
      <c r="E3233" t="str">
        <f>IFERROR(__xludf.DUMMYFUNCTION("""COMPUTED_VALUE"""),"MB1")</f>
        <v>MB1</v>
      </c>
    </row>
    <row r="3234" ht="15.75" customHeight="1">
      <c r="A3234" t="str">
        <f t="shared" si="1"/>
        <v>M.millerae</v>
      </c>
      <c r="B3234" s="5" t="s">
        <v>17130</v>
      </c>
      <c r="C3234" s="6" t="str">
        <f>IFERROR(__xludf.DUMMYFUNCTION("SPLIT('2. c'!B3234, "" "", True, True)"),"Methanobrevibacter")</f>
        <v>Methanobrevibacter</v>
      </c>
      <c r="D3234" t="str">
        <f>IFERROR(__xludf.DUMMYFUNCTION("""COMPUTED_VALUE"""),"millerae")</f>
        <v>millerae</v>
      </c>
      <c r="E3234" t="str">
        <f>IFERROR(__xludf.DUMMYFUNCTION("""COMPUTED_VALUE"""),"strain")</f>
        <v>strain</v>
      </c>
      <c r="F3234" t="str">
        <f>IFERROR(__xludf.DUMMYFUNCTION("""COMPUTED_VALUE"""),"SM9")</f>
        <v>SM9</v>
      </c>
    </row>
    <row r="3235" ht="15.75" customHeight="1">
      <c r="A3235" t="str">
        <f t="shared" si="1"/>
        <v>M.olleyae</v>
      </c>
      <c r="B3235" s="5" t="s">
        <v>17138</v>
      </c>
      <c r="C3235" s="6" t="str">
        <f>IFERROR(__xludf.DUMMYFUNCTION("SPLIT('2. c'!B3235, "" "", True, True)"),"Methanobrevibacter")</f>
        <v>Methanobrevibacter</v>
      </c>
      <c r="D3235" t="str">
        <f>IFERROR(__xludf.DUMMYFUNCTION("""COMPUTED_VALUE"""),"olleyae")</f>
        <v>olleyae</v>
      </c>
      <c r="E3235" t="str">
        <f>IFERROR(__xludf.DUMMYFUNCTION("""COMPUTED_VALUE"""),"strain")</f>
        <v>strain</v>
      </c>
      <c r="F3235" t="str">
        <f>IFERROR(__xludf.DUMMYFUNCTION("""COMPUTED_VALUE"""),"YLM1")</f>
        <v>YLM1</v>
      </c>
    </row>
    <row r="3236" ht="15.75" customHeight="1">
      <c r="A3236" t="str">
        <f t="shared" si="1"/>
        <v>M.ruminantium</v>
      </c>
      <c r="B3236" s="5" t="s">
        <v>17147</v>
      </c>
      <c r="C3236" s="6" t="str">
        <f>IFERROR(__xludf.DUMMYFUNCTION("SPLIT('2. c'!B3236, "" "", True, True)"),"Methanobrevibacter")</f>
        <v>Methanobrevibacter</v>
      </c>
      <c r="D3236" t="str">
        <f>IFERROR(__xludf.DUMMYFUNCTION("""COMPUTED_VALUE"""),"ruminantium")</f>
        <v>ruminantium</v>
      </c>
      <c r="E3236" t="str">
        <f>IFERROR(__xludf.DUMMYFUNCTION("""COMPUTED_VALUE"""),"M1")</f>
        <v>M1</v>
      </c>
    </row>
    <row r="3237" ht="15.75" customHeight="1">
      <c r="A3237" t="str">
        <f t="shared" si="1"/>
        <v>M.smithii</v>
      </c>
      <c r="B3237" s="5" t="s">
        <v>17152</v>
      </c>
      <c r="C3237" s="6" t="str">
        <f>IFERROR(__xludf.DUMMYFUNCTION("SPLIT('2. c'!B3237, "" "", True, True)"),"Methanobrevibacter")</f>
        <v>Methanobrevibacter</v>
      </c>
      <c r="D3237" t="str">
        <f>IFERROR(__xludf.DUMMYFUNCTION("""COMPUTED_VALUE"""),"smithii")</f>
        <v>smithii</v>
      </c>
      <c r="E3237" t="str">
        <f>IFERROR(__xludf.DUMMYFUNCTION("""COMPUTED_VALUE"""),"ATCC")</f>
        <v>ATCC</v>
      </c>
      <c r="F3237">
        <f>IFERROR(__xludf.DUMMYFUNCTION("""COMPUTED_VALUE"""),35061.0)</f>
        <v>35061</v>
      </c>
    </row>
    <row r="3238" ht="15.75" customHeight="1">
      <c r="A3238" t="str">
        <f t="shared" si="1"/>
        <v>M.sp.</v>
      </c>
      <c r="B3238" s="5" t="s">
        <v>17161</v>
      </c>
      <c r="C3238" s="6" t="str">
        <f>IFERROR(__xludf.DUMMYFUNCTION("SPLIT('2. c'!B3238, "" "", True, True)"),"Methanobrevibacter")</f>
        <v>Methanobrevibacter</v>
      </c>
      <c r="D3238" t="str">
        <f>IFERROR(__xludf.DUMMYFUNCTION("""COMPUTED_VALUE"""),"sp.")</f>
        <v>sp.</v>
      </c>
      <c r="E3238" t="str">
        <f>IFERROR(__xludf.DUMMYFUNCTION("""COMPUTED_VALUE"""),"AbM4")</f>
        <v>AbM4</v>
      </c>
    </row>
    <row r="3239" ht="15.75" customHeight="1">
      <c r="A3239" t="str">
        <f t="shared" si="1"/>
        <v>M.sp.</v>
      </c>
      <c r="B3239" s="5" t="s">
        <v>17168</v>
      </c>
      <c r="C3239" s="6" t="str">
        <f>IFERROR(__xludf.DUMMYFUNCTION("SPLIT('2. c'!B3239, "" "", True, True)"),"Methanobrevibacter")</f>
        <v>Methanobrevibacter</v>
      </c>
      <c r="D3239" t="str">
        <f>IFERROR(__xludf.DUMMYFUNCTION("""COMPUTED_VALUE"""),"sp.")</f>
        <v>sp.</v>
      </c>
      <c r="E3239" t="str">
        <f>IFERROR(__xludf.DUMMYFUNCTION("""COMPUTED_VALUE"""),"YE315")</f>
        <v>YE315</v>
      </c>
    </row>
    <row r="3240" ht="15.75" customHeight="1">
      <c r="A3240" t="str">
        <f t="shared" si="1"/>
        <v>M.fervens</v>
      </c>
      <c r="B3240" s="5" t="s">
        <v>17178</v>
      </c>
      <c r="C3240" s="6" t="str">
        <f>IFERROR(__xludf.DUMMYFUNCTION("SPLIT('2. c'!B3240, "" "", True, True)"),"Methanocaldococcus")</f>
        <v>Methanocaldococcus</v>
      </c>
      <c r="D3240" t="str">
        <f>IFERROR(__xludf.DUMMYFUNCTION("""COMPUTED_VALUE"""),"fervens")</f>
        <v>fervens</v>
      </c>
      <c r="E3240" t="str">
        <f>IFERROR(__xludf.DUMMYFUNCTION("""COMPUTED_VALUE"""),"AG86")</f>
        <v>AG86</v>
      </c>
    </row>
    <row r="3241" ht="15.75" customHeight="1">
      <c r="A3241" t="str">
        <f t="shared" si="1"/>
        <v>M.infernus</v>
      </c>
      <c r="B3241" s="5" t="s">
        <v>17186</v>
      </c>
      <c r="C3241" s="6" t="str">
        <f>IFERROR(__xludf.DUMMYFUNCTION("SPLIT('2. c'!B3241, "" "", True, True)"),"Methanocaldococcus")</f>
        <v>Methanocaldococcus</v>
      </c>
      <c r="D3241" t="str">
        <f>IFERROR(__xludf.DUMMYFUNCTION("""COMPUTED_VALUE"""),"infernus")</f>
        <v>infernus</v>
      </c>
      <c r="E3241" t="str">
        <f>IFERROR(__xludf.DUMMYFUNCTION("""COMPUTED_VALUE"""),"ME")</f>
        <v>ME</v>
      </c>
    </row>
    <row r="3242" ht="15.75" customHeight="1">
      <c r="A3242" t="str">
        <f t="shared" si="1"/>
        <v>M.jannaschii</v>
      </c>
      <c r="B3242" s="5" t="s">
        <v>17193</v>
      </c>
      <c r="C3242" s="6" t="str">
        <f>IFERROR(__xludf.DUMMYFUNCTION("SPLIT('2. c'!B3242, "" "", True, True)"),"Methanocaldococcus")</f>
        <v>Methanocaldococcus</v>
      </c>
      <c r="D3242" t="str">
        <f>IFERROR(__xludf.DUMMYFUNCTION("""COMPUTED_VALUE"""),"jannaschii")</f>
        <v>jannaschii</v>
      </c>
      <c r="E3242" t="str">
        <f>IFERROR(__xludf.DUMMYFUNCTION("""COMPUTED_VALUE"""),"DSM")</f>
        <v>DSM</v>
      </c>
      <c r="F3242">
        <f>IFERROR(__xludf.DUMMYFUNCTION("""COMPUTED_VALUE"""),2661.0)</f>
        <v>2661</v>
      </c>
    </row>
    <row r="3243" ht="15.75" customHeight="1">
      <c r="A3243" t="str">
        <f t="shared" si="1"/>
        <v>M.sp.</v>
      </c>
      <c r="B3243" s="5" t="s">
        <v>17205</v>
      </c>
      <c r="C3243" s="6" t="str">
        <f>IFERROR(__xludf.DUMMYFUNCTION("SPLIT('2. c'!B3243, "" "", True, True)"),"Methanocaldococcus")</f>
        <v>Methanocaldococcus</v>
      </c>
      <c r="D3243" t="str">
        <f>IFERROR(__xludf.DUMMYFUNCTION("""COMPUTED_VALUE"""),"sp.")</f>
        <v>sp.</v>
      </c>
      <c r="E3243" t="str">
        <f>IFERROR(__xludf.DUMMYFUNCTION("""COMPUTED_VALUE"""),"FS406-22")</f>
        <v>FS406-22</v>
      </c>
    </row>
    <row r="3244" ht="15.75" customHeight="1">
      <c r="A3244" t="str">
        <f t="shared" si="1"/>
        <v>M.sp.</v>
      </c>
      <c r="B3244" s="5" t="s">
        <v>17214</v>
      </c>
      <c r="C3244" s="6" t="str">
        <f>IFERROR(__xludf.DUMMYFUNCTION("SPLIT('2. c'!B3244, "" "", True, True)"),"Methanocaldococcus")</f>
        <v>Methanocaldococcus</v>
      </c>
      <c r="D3244" t="str">
        <f>IFERROR(__xludf.DUMMYFUNCTION("""COMPUTED_VALUE"""),"sp.")</f>
        <v>sp.</v>
      </c>
      <c r="E3244" t="str">
        <f>IFERROR(__xludf.DUMMYFUNCTION("""COMPUTED_VALUE"""),"JH146")</f>
        <v>JH146</v>
      </c>
    </row>
    <row r="3245" ht="15.75" customHeight="1">
      <c r="A3245" t="str">
        <f t="shared" si="1"/>
        <v>M.vulcanius</v>
      </c>
      <c r="B3245" s="5" t="s">
        <v>17221</v>
      </c>
      <c r="C3245" s="6" t="str">
        <f>IFERROR(__xludf.DUMMYFUNCTION("SPLIT('2. c'!B3245, "" "", True, True)"),"Methanocaldococcus")</f>
        <v>Methanocaldococcus</v>
      </c>
      <c r="D3245" t="str">
        <f>IFERROR(__xludf.DUMMYFUNCTION("""COMPUTED_VALUE"""),"vulcanius")</f>
        <v>vulcanius</v>
      </c>
      <c r="E3245" t="str">
        <f>IFERROR(__xludf.DUMMYFUNCTION("""COMPUTED_VALUE"""),"M7")</f>
        <v>M7</v>
      </c>
    </row>
    <row r="3246" ht="15.75" customHeight="1">
      <c r="A3246" t="str">
        <f t="shared" si="1"/>
        <v>M.arvoryzae</v>
      </c>
      <c r="B3246" s="5" t="s">
        <v>17229</v>
      </c>
      <c r="C3246" s="6" t="str">
        <f>IFERROR(__xludf.DUMMYFUNCTION("SPLIT('2. c'!B3246, "" "", True, True)"),"Methanocella")</f>
        <v>Methanocella</v>
      </c>
      <c r="D3246" t="str">
        <f>IFERROR(__xludf.DUMMYFUNCTION("""COMPUTED_VALUE"""),"arvoryzae")</f>
        <v>arvoryzae</v>
      </c>
      <c r="E3246" t="str">
        <f>IFERROR(__xludf.DUMMYFUNCTION("""COMPUTED_VALUE"""),"MRE50")</f>
        <v>MRE50</v>
      </c>
    </row>
    <row r="3247" ht="15.75" customHeight="1">
      <c r="A3247" t="str">
        <f t="shared" si="1"/>
        <v>M.conradii</v>
      </c>
      <c r="B3247" s="5" t="s">
        <v>17236</v>
      </c>
      <c r="C3247" s="6" t="str">
        <f>IFERROR(__xludf.DUMMYFUNCTION("SPLIT('2. c'!B3247, "" "", True, True)"),"Methanocella")</f>
        <v>Methanocella</v>
      </c>
      <c r="D3247" t="str">
        <f>IFERROR(__xludf.DUMMYFUNCTION("""COMPUTED_VALUE"""),"conradii")</f>
        <v>conradii</v>
      </c>
      <c r="E3247" t="str">
        <f>IFERROR(__xludf.DUMMYFUNCTION("""COMPUTED_VALUE"""),"HZ254")</f>
        <v>HZ254</v>
      </c>
    </row>
    <row r="3248" ht="15.75" customHeight="1">
      <c r="A3248" t="str">
        <f t="shared" si="1"/>
        <v>M.paludicola</v>
      </c>
      <c r="B3248" s="5" t="s">
        <v>17243</v>
      </c>
      <c r="C3248" s="6" t="str">
        <f>IFERROR(__xludf.DUMMYFUNCTION("SPLIT('2. c'!B3248, "" "", True, True)"),"Methanocella")</f>
        <v>Methanocella</v>
      </c>
      <c r="D3248" t="str">
        <f>IFERROR(__xludf.DUMMYFUNCTION("""COMPUTED_VALUE"""),"paludicola")</f>
        <v>paludicola</v>
      </c>
      <c r="E3248" t="str">
        <f>IFERROR(__xludf.DUMMYFUNCTION("""COMPUTED_VALUE"""),"SANAE")</f>
        <v>SANAE</v>
      </c>
    </row>
    <row r="3249" ht="15.75" customHeight="1">
      <c r="A3249" t="str">
        <f t="shared" si="1"/>
        <v>M.burtonii</v>
      </c>
      <c r="B3249" s="5" t="s">
        <v>17251</v>
      </c>
      <c r="C3249" s="6" t="str">
        <f>IFERROR(__xludf.DUMMYFUNCTION("SPLIT('2. c'!B3249, "" "", True, True)"),"Methanococcoides")</f>
        <v>Methanococcoides</v>
      </c>
      <c r="D3249" t="str">
        <f>IFERROR(__xludf.DUMMYFUNCTION("""COMPUTED_VALUE"""),"burtonii")</f>
        <v>burtonii</v>
      </c>
      <c r="E3249" t="str">
        <f>IFERROR(__xludf.DUMMYFUNCTION("""COMPUTED_VALUE"""),"DSM")</f>
        <v>DSM</v>
      </c>
      <c r="F3249">
        <f>IFERROR(__xludf.DUMMYFUNCTION("""COMPUTED_VALUE"""),6242.0)</f>
        <v>6242</v>
      </c>
    </row>
    <row r="3250" ht="15.75" customHeight="1">
      <c r="A3250" t="str">
        <f t="shared" si="1"/>
        <v>M.methylutens</v>
      </c>
      <c r="B3250" s="5" t="s">
        <v>17260</v>
      </c>
      <c r="C3250" s="6" t="str">
        <f>IFERROR(__xludf.DUMMYFUNCTION("SPLIT('2. c'!B3250, "" "", True, True)"),"Methanococcoides")</f>
        <v>Methanococcoides</v>
      </c>
      <c r="D3250" t="str">
        <f>IFERROR(__xludf.DUMMYFUNCTION("""COMPUTED_VALUE"""),"methylutens")</f>
        <v>methylutens</v>
      </c>
      <c r="E3250" t="str">
        <f>IFERROR(__xludf.DUMMYFUNCTION("""COMPUTED_VALUE"""),"MM1")</f>
        <v>MM1</v>
      </c>
    </row>
    <row r="3251" ht="15.75" customHeight="1">
      <c r="A3251" t="str">
        <f t="shared" si="1"/>
        <v>M.aeolicus</v>
      </c>
      <c r="B3251" s="5" t="s">
        <v>17268</v>
      </c>
      <c r="C3251" s="6" t="str">
        <f>IFERROR(__xludf.DUMMYFUNCTION("SPLIT('2. c'!B3251, "" "", True, True)"),"Methanococcus")</f>
        <v>Methanococcus</v>
      </c>
      <c r="D3251" t="str">
        <f>IFERROR(__xludf.DUMMYFUNCTION("""COMPUTED_VALUE"""),"aeolicus")</f>
        <v>aeolicus</v>
      </c>
      <c r="E3251" t="str">
        <f>IFERROR(__xludf.DUMMYFUNCTION("""COMPUTED_VALUE"""),"Nankai-3")</f>
        <v>Nankai-3</v>
      </c>
    </row>
    <row r="3252" ht="15.75" customHeight="1">
      <c r="A3252" t="str">
        <f t="shared" si="1"/>
        <v>M.maripaludis</v>
      </c>
      <c r="B3252" s="5" t="s">
        <v>17275</v>
      </c>
      <c r="C3252" s="6" t="str">
        <f>IFERROR(__xludf.DUMMYFUNCTION("SPLIT('2. c'!B3252, "" "", True, True)"),"Methanococcus")</f>
        <v>Methanococcus</v>
      </c>
      <c r="D3252" t="str">
        <f>IFERROR(__xludf.DUMMYFUNCTION("""COMPUTED_VALUE"""),"maripaludis")</f>
        <v>maripaludis</v>
      </c>
      <c r="E3252" t="str">
        <f>IFERROR(__xludf.DUMMYFUNCTION("""COMPUTED_VALUE"""),"C5")</f>
        <v>C5</v>
      </c>
    </row>
    <row r="3253" ht="15.75" customHeight="1">
      <c r="A3253" t="str">
        <f t="shared" si="1"/>
        <v>M.maripaludis</v>
      </c>
      <c r="B3253" s="5" t="s">
        <v>17284</v>
      </c>
      <c r="C3253" s="6" t="str">
        <f>IFERROR(__xludf.DUMMYFUNCTION("SPLIT('2. c'!B3253, "" "", True, True)"),"Methanococcus")</f>
        <v>Methanococcus</v>
      </c>
      <c r="D3253" t="str">
        <f>IFERROR(__xludf.DUMMYFUNCTION("""COMPUTED_VALUE"""),"maripaludis")</f>
        <v>maripaludis</v>
      </c>
      <c r="E3253" t="str">
        <f>IFERROR(__xludf.DUMMYFUNCTION("""COMPUTED_VALUE"""),"C6")</f>
        <v>C6</v>
      </c>
    </row>
    <row r="3254" ht="15.75" customHeight="1">
      <c r="A3254" t="str">
        <f t="shared" si="1"/>
        <v>M.maripaludis</v>
      </c>
      <c r="B3254" s="5" t="s">
        <v>17292</v>
      </c>
      <c r="C3254" s="6" t="str">
        <f>IFERROR(__xludf.DUMMYFUNCTION("SPLIT('2. c'!B3254, "" "", True, True)"),"Methanococcus")</f>
        <v>Methanococcus</v>
      </c>
      <c r="D3254" t="str">
        <f>IFERROR(__xludf.DUMMYFUNCTION("""COMPUTED_VALUE"""),"maripaludis")</f>
        <v>maripaludis</v>
      </c>
      <c r="E3254" t="str">
        <f>IFERROR(__xludf.DUMMYFUNCTION("""COMPUTED_VALUE"""),"C7")</f>
        <v>C7</v>
      </c>
    </row>
    <row r="3255" ht="15.75" customHeight="1">
      <c r="A3255" t="str">
        <f t="shared" si="1"/>
        <v>M.maripaludis</v>
      </c>
      <c r="B3255" s="5" t="s">
        <v>17301</v>
      </c>
      <c r="C3255" s="6" t="str">
        <f>IFERROR(__xludf.DUMMYFUNCTION("SPLIT('2. c'!B3255, "" "", True, True)"),"Methanococcus")</f>
        <v>Methanococcus</v>
      </c>
      <c r="D3255" t="str">
        <f>IFERROR(__xludf.DUMMYFUNCTION("""COMPUTED_VALUE"""),"maripaludis")</f>
        <v>maripaludis</v>
      </c>
      <c r="E3255" t="str">
        <f>IFERROR(__xludf.DUMMYFUNCTION("""COMPUTED_VALUE"""),"KA1")</f>
        <v>KA1</v>
      </c>
      <c r="F3255" t="str">
        <f>IFERROR(__xludf.DUMMYFUNCTION("""COMPUTED_VALUE"""),"KA1")</f>
        <v>KA1</v>
      </c>
      <c r="G3255" t="str">
        <f>IFERROR(__xludf.DUMMYFUNCTION("""COMPUTED_VALUE"""),"(=")</f>
        <v>(=</v>
      </c>
      <c r="H3255" t="str">
        <f>IFERROR(__xludf.DUMMYFUNCTION("""COMPUTED_VALUE"""),"NBRC")</f>
        <v>NBRC</v>
      </c>
      <c r="I3255" t="str">
        <f>IFERROR(__xludf.DUMMYFUNCTION("""COMPUTED_VALUE"""),"102054)")</f>
        <v>102054)</v>
      </c>
    </row>
    <row r="3256" ht="15.75" customHeight="1">
      <c r="A3256" t="str">
        <f t="shared" si="1"/>
        <v>M.maripaludis</v>
      </c>
      <c r="B3256" s="5" t="s">
        <v>17310</v>
      </c>
      <c r="C3256" s="6" t="str">
        <f>IFERROR(__xludf.DUMMYFUNCTION("SPLIT('2. c'!B3256, "" "", True, True)"),"Methanococcus")</f>
        <v>Methanococcus</v>
      </c>
      <c r="D3256" t="str">
        <f>IFERROR(__xludf.DUMMYFUNCTION("""COMPUTED_VALUE"""),"maripaludis")</f>
        <v>maripaludis</v>
      </c>
      <c r="E3256" t="str">
        <f>IFERROR(__xludf.DUMMYFUNCTION("""COMPUTED_VALUE"""),"OS7")</f>
        <v>OS7</v>
      </c>
      <c r="F3256" t="str">
        <f>IFERROR(__xludf.DUMMYFUNCTION("""COMPUTED_VALUE"""),"OS7")</f>
        <v>OS7</v>
      </c>
      <c r="G3256" t="str">
        <f>IFERROR(__xludf.DUMMYFUNCTION("""COMPUTED_VALUE"""),"(=")</f>
        <v>(=</v>
      </c>
      <c r="H3256" t="str">
        <f>IFERROR(__xludf.DUMMYFUNCTION("""COMPUTED_VALUE"""),"NBRC")</f>
        <v>NBRC</v>
      </c>
      <c r="I3256" t="str">
        <f>IFERROR(__xludf.DUMMYFUNCTION("""COMPUTED_VALUE"""),"103642)")</f>
        <v>103642)</v>
      </c>
    </row>
    <row r="3257" ht="15.75" customHeight="1">
      <c r="A3257" t="str">
        <f t="shared" si="1"/>
        <v>M.maripaludis</v>
      </c>
      <c r="B3257" s="5" t="s">
        <v>17322</v>
      </c>
      <c r="C3257" s="6" t="str">
        <f>IFERROR(__xludf.DUMMYFUNCTION("SPLIT('2. c'!B3257, "" "", True, True)"),"Methanococcus")</f>
        <v>Methanococcus</v>
      </c>
      <c r="D3257" t="str">
        <f>IFERROR(__xludf.DUMMYFUNCTION("""COMPUTED_VALUE"""),"maripaludis")</f>
        <v>maripaludis</v>
      </c>
      <c r="E3257" t="str">
        <f>IFERROR(__xludf.DUMMYFUNCTION("""COMPUTED_VALUE"""),"S2")</f>
        <v>S2</v>
      </c>
    </row>
    <row r="3258" ht="15.75" customHeight="1">
      <c r="A3258" t="str">
        <f t="shared" si="1"/>
        <v>M.maripaludis</v>
      </c>
      <c r="B3258" s="5" t="s">
        <v>17327</v>
      </c>
      <c r="C3258" s="6" t="str">
        <f>IFERROR(__xludf.DUMMYFUNCTION("SPLIT('2. c'!B3258, "" "", True, True)"),"Methanococcus")</f>
        <v>Methanococcus</v>
      </c>
      <c r="D3258" t="str">
        <f>IFERROR(__xludf.DUMMYFUNCTION("""COMPUTED_VALUE"""),"maripaludis")</f>
        <v>maripaludis</v>
      </c>
      <c r="E3258" t="str">
        <f>IFERROR(__xludf.DUMMYFUNCTION("""COMPUTED_VALUE"""),"X1")</f>
        <v>X1</v>
      </c>
    </row>
    <row r="3259" ht="15.75" customHeight="1">
      <c r="A3259" t="str">
        <f t="shared" si="1"/>
        <v>M.vannielii</v>
      </c>
      <c r="B3259" s="5" t="s">
        <v>17334</v>
      </c>
      <c r="C3259" s="6" t="str">
        <f>IFERROR(__xludf.DUMMYFUNCTION("SPLIT('2. c'!B3259, "" "", True, True)"),"Methanococcus")</f>
        <v>Methanococcus</v>
      </c>
      <c r="D3259" t="str">
        <f>IFERROR(__xludf.DUMMYFUNCTION("""COMPUTED_VALUE"""),"vannielii")</f>
        <v>vannielii</v>
      </c>
      <c r="E3259" t="str">
        <f>IFERROR(__xludf.DUMMYFUNCTION("""COMPUTED_VALUE"""),"SB")</f>
        <v>SB</v>
      </c>
    </row>
    <row r="3260" ht="15.75" customHeight="1">
      <c r="A3260" t="str">
        <f t="shared" si="1"/>
        <v>M.voltae</v>
      </c>
      <c r="B3260" s="5" t="s">
        <v>17343</v>
      </c>
      <c r="C3260" s="6" t="str">
        <f>IFERROR(__xludf.DUMMYFUNCTION("SPLIT('2. c'!B3260, "" "", True, True)"),"Methanococcus")</f>
        <v>Methanococcus</v>
      </c>
      <c r="D3260" t="str">
        <f>IFERROR(__xludf.DUMMYFUNCTION("""COMPUTED_VALUE"""),"voltae")</f>
        <v>voltae</v>
      </c>
      <c r="E3260" t="str">
        <f>IFERROR(__xludf.DUMMYFUNCTION("""COMPUTED_VALUE"""),"A3")</f>
        <v>A3</v>
      </c>
    </row>
    <row r="3261" ht="15.75" customHeight="1">
      <c r="A3261" t="str">
        <f t="shared" si="1"/>
        <v>M.labreanum</v>
      </c>
      <c r="B3261" s="5" t="s">
        <v>17350</v>
      </c>
      <c r="C3261" s="6" t="str">
        <f>IFERROR(__xludf.DUMMYFUNCTION("SPLIT('2. c'!B3261, "" "", True, True)"),"Methanocorpusculum")</f>
        <v>Methanocorpusculum</v>
      </c>
      <c r="D3261" t="str">
        <f>IFERROR(__xludf.DUMMYFUNCTION("""COMPUTED_VALUE"""),"labreanum")</f>
        <v>labreanum</v>
      </c>
      <c r="E3261" t="str">
        <f>IFERROR(__xludf.DUMMYFUNCTION("""COMPUTED_VALUE"""),"Z")</f>
        <v>Z</v>
      </c>
    </row>
    <row r="3262" ht="15.75" customHeight="1">
      <c r="A3262" t="str">
        <f t="shared" si="1"/>
        <v>M.bourgensis</v>
      </c>
      <c r="B3262" s="5" t="s">
        <v>17358</v>
      </c>
      <c r="C3262" s="6" t="str">
        <f>IFERROR(__xludf.DUMMYFUNCTION("SPLIT('2. c'!B3262, "" "", True, True)"),"Methanoculleus")</f>
        <v>Methanoculleus</v>
      </c>
      <c r="D3262" t="str">
        <f>IFERROR(__xludf.DUMMYFUNCTION("""COMPUTED_VALUE"""),"bourgensis")</f>
        <v>bourgensis</v>
      </c>
      <c r="E3262" t="str">
        <f>IFERROR(__xludf.DUMMYFUNCTION("""COMPUTED_VALUE"""),"MS2")</f>
        <v>MS2</v>
      </c>
    </row>
    <row r="3263" ht="15.75" customHeight="1">
      <c r="A3263" t="str">
        <f t="shared" si="1"/>
        <v>M.bourgensis</v>
      </c>
      <c r="B3263" s="5" t="s">
        <v>17366</v>
      </c>
      <c r="C3263" s="6" t="str">
        <f>IFERROR(__xludf.DUMMYFUNCTION("SPLIT('2. c'!B3263, "" "", True, True)"),"Methanoculleus")</f>
        <v>Methanoculleus</v>
      </c>
      <c r="D3263" t="str">
        <f>IFERROR(__xludf.DUMMYFUNCTION("""COMPUTED_VALUE"""),"bourgensis")</f>
        <v>bourgensis</v>
      </c>
      <c r="E3263" t="str">
        <f>IFERROR(__xludf.DUMMYFUNCTION("""COMPUTED_VALUE"""),"strain")</f>
        <v>strain</v>
      </c>
      <c r="F3263" t="str">
        <f>IFERROR(__xludf.DUMMYFUNCTION("""COMPUTED_VALUE"""),"BA1")</f>
        <v>BA1</v>
      </c>
    </row>
    <row r="3264" ht="15.75" customHeight="1">
      <c r="A3264" t="str">
        <f t="shared" si="1"/>
        <v>M.marisnigri</v>
      </c>
      <c r="B3264" s="5" t="s">
        <v>17376</v>
      </c>
      <c r="C3264" s="6" t="str">
        <f>IFERROR(__xludf.DUMMYFUNCTION("SPLIT('2. c'!B3264, "" "", True, True)"),"Methanoculleus")</f>
        <v>Methanoculleus</v>
      </c>
      <c r="D3264" t="str">
        <f>IFERROR(__xludf.DUMMYFUNCTION("""COMPUTED_VALUE"""),"marisnigri")</f>
        <v>marisnigri</v>
      </c>
      <c r="E3264" t="str">
        <f>IFERROR(__xludf.DUMMYFUNCTION("""COMPUTED_VALUE"""),"JR1")</f>
        <v>JR1</v>
      </c>
    </row>
    <row r="3265" ht="15.75" customHeight="1">
      <c r="A3265" t="str">
        <f t="shared" si="1"/>
        <v>M.sp.</v>
      </c>
      <c r="B3265" s="5" t="s">
        <v>17385</v>
      </c>
      <c r="C3265" s="6" t="str">
        <f>IFERROR(__xludf.DUMMYFUNCTION("SPLIT('2. c'!B3265, "" "", True, True)"),"Methanoculleus")</f>
        <v>Methanoculleus</v>
      </c>
      <c r="D3265" t="str">
        <f>IFERROR(__xludf.DUMMYFUNCTION("""COMPUTED_VALUE"""),"sp.")</f>
        <v>sp.</v>
      </c>
      <c r="E3265" t="str">
        <f>IFERROR(__xludf.DUMMYFUNCTION("""COMPUTED_VALUE"""),"MAB1")</f>
        <v>MAB1</v>
      </c>
    </row>
    <row r="3266" ht="15.75" customHeight="1">
      <c r="A3266" t="str">
        <f t="shared" si="1"/>
        <v>M.liminatans</v>
      </c>
      <c r="B3266" s="5" t="s">
        <v>17396</v>
      </c>
      <c r="C3266" s="6" t="str">
        <f>IFERROR(__xludf.DUMMYFUNCTION("SPLIT('2. c'!B3266, "" "", True, True)"),"Methanofollis")</f>
        <v>Methanofollis</v>
      </c>
      <c r="D3266" t="str">
        <f>IFERROR(__xludf.DUMMYFUNCTION("""COMPUTED_VALUE"""),"liminatans")</f>
        <v>liminatans</v>
      </c>
      <c r="E3266" t="str">
        <f>IFERROR(__xludf.DUMMYFUNCTION("""COMPUTED_VALUE"""),"DSM")</f>
        <v>DSM</v>
      </c>
      <c r="F3266">
        <f>IFERROR(__xludf.DUMMYFUNCTION("""COMPUTED_VALUE"""),4140.0)</f>
        <v>4140</v>
      </c>
    </row>
    <row r="3267" ht="15.75" customHeight="1">
      <c r="A3267" t="str">
        <f t="shared" si="1"/>
        <v>m.archaeon</v>
      </c>
      <c r="B3267" s="5" t="s">
        <v>17405</v>
      </c>
      <c r="C3267" s="6" t="str">
        <f>IFERROR(__xludf.DUMMYFUNCTION("SPLIT('2. c'!B3267, "" "", True, True)"),"methanogenic")</f>
        <v>methanogenic</v>
      </c>
      <c r="D3267" t="str">
        <f>IFERROR(__xludf.DUMMYFUNCTION("""COMPUTED_VALUE"""),"archaeon")</f>
        <v>archaeon</v>
      </c>
      <c r="E3267" t="str">
        <f>IFERROR(__xludf.DUMMYFUNCTION("""COMPUTED_VALUE"""),"ISO4-H5")</f>
        <v>ISO4-H5</v>
      </c>
    </row>
    <row r="3268" ht="15.75" customHeight="1">
      <c r="A3268" t="str">
        <f t="shared" si="1"/>
        <v>m.archaeon</v>
      </c>
      <c r="B3268" s="5" t="s">
        <v>17418</v>
      </c>
      <c r="C3268" s="6" t="str">
        <f>IFERROR(__xludf.DUMMYFUNCTION("SPLIT('2. c'!B3268, "" "", True, True)"),"methanogenic")</f>
        <v>methanogenic</v>
      </c>
      <c r="D3268" t="str">
        <f>IFERROR(__xludf.DUMMYFUNCTION("""COMPUTED_VALUE"""),"archaeon")</f>
        <v>archaeon</v>
      </c>
      <c r="E3268" t="str">
        <f>IFERROR(__xludf.DUMMYFUNCTION("""COMPUTED_VALUE"""),"mixed")</f>
        <v>mixed</v>
      </c>
      <c r="F3268" t="str">
        <f>IFERROR(__xludf.DUMMYFUNCTION("""COMPUTED_VALUE"""),"culture")</f>
        <v>culture</v>
      </c>
      <c r="G3268" t="str">
        <f>IFERROR(__xludf.DUMMYFUNCTION("""COMPUTED_VALUE"""),"ISO4-G1")</f>
        <v>ISO4-G1</v>
      </c>
    </row>
    <row r="3269" ht="15.75" customHeight="1">
      <c r="A3269" t="str">
        <f t="shared" si="1"/>
        <v>M.evestigatum</v>
      </c>
      <c r="B3269" s="5" t="s">
        <v>17432</v>
      </c>
      <c r="C3269" s="6" t="str">
        <f>IFERROR(__xludf.DUMMYFUNCTION("SPLIT('2. c'!B3269, "" "", True, True)"),"Methanohalobium")</f>
        <v>Methanohalobium</v>
      </c>
      <c r="D3269" t="str">
        <f>IFERROR(__xludf.DUMMYFUNCTION("""COMPUTED_VALUE"""),"evestigatum")</f>
        <v>evestigatum</v>
      </c>
      <c r="E3269" t="str">
        <f>IFERROR(__xludf.DUMMYFUNCTION("""COMPUTED_VALUE"""),"Z-7303")</f>
        <v>Z-7303</v>
      </c>
    </row>
    <row r="3270" ht="15.75" customHeight="1">
      <c r="A3270" t="str">
        <f t="shared" si="1"/>
        <v>M.mahii</v>
      </c>
      <c r="B3270" s="5" t="s">
        <v>17444</v>
      </c>
      <c r="C3270" s="6" t="str">
        <f>IFERROR(__xludf.DUMMYFUNCTION("SPLIT('2. c'!B3270, "" "", True, True)"),"Methanohalophilus")</f>
        <v>Methanohalophilus</v>
      </c>
      <c r="D3270" t="str">
        <f>IFERROR(__xludf.DUMMYFUNCTION("""COMPUTED_VALUE"""),"mahii")</f>
        <v>mahii</v>
      </c>
      <c r="E3270" t="str">
        <f>IFERROR(__xludf.DUMMYFUNCTION("""COMPUTED_VALUE"""),"DSM")</f>
        <v>DSM</v>
      </c>
      <c r="F3270">
        <f>IFERROR(__xludf.DUMMYFUNCTION("""COMPUTED_VALUE"""),5219.0)</f>
        <v>5219</v>
      </c>
    </row>
    <row r="3271" ht="15.75" customHeight="1">
      <c r="A3271" t="str">
        <f t="shared" si="1"/>
        <v>M.psychrophilus</v>
      </c>
      <c r="B3271" s="5" t="s">
        <v>17453</v>
      </c>
      <c r="C3271" s="6" t="str">
        <f>IFERROR(__xludf.DUMMYFUNCTION("SPLIT('2. c'!B3271, "" "", True, True)"),"Methanolobus")</f>
        <v>Methanolobus</v>
      </c>
      <c r="D3271" t="str">
        <f>IFERROR(__xludf.DUMMYFUNCTION("""COMPUTED_VALUE"""),"psychrophilus")</f>
        <v>psychrophilus</v>
      </c>
      <c r="E3271" t="str">
        <f>IFERROR(__xludf.DUMMYFUNCTION("""COMPUTED_VALUE"""),"R15")</f>
        <v>R15</v>
      </c>
    </row>
    <row r="3272" ht="15.75" customHeight="1">
      <c r="A3272" t="str">
        <f t="shared" si="1"/>
        <v>M.hollandica</v>
      </c>
      <c r="B3272" s="5" t="s">
        <v>17462</v>
      </c>
      <c r="C3272" s="6" t="str">
        <f>IFERROR(__xludf.DUMMYFUNCTION("SPLIT('2. c'!B3272, "" "", True, True)"),"Methanomethylovorans")</f>
        <v>Methanomethylovorans</v>
      </c>
      <c r="D3272" t="str">
        <f>IFERROR(__xludf.DUMMYFUNCTION("""COMPUTED_VALUE"""),"hollandica")</f>
        <v>hollandica</v>
      </c>
      <c r="E3272" t="str">
        <f>IFERROR(__xludf.DUMMYFUNCTION("""COMPUTED_VALUE"""),"DSM")</f>
        <v>DSM</v>
      </c>
      <c r="F3272">
        <f>IFERROR(__xludf.DUMMYFUNCTION("""COMPUTED_VALUE"""),15978.0)</f>
        <v>15978</v>
      </c>
    </row>
    <row r="3273" ht="15.75" customHeight="1">
      <c r="A3273" t="str">
        <f t="shared" si="1"/>
        <v>M.limicola</v>
      </c>
      <c r="B3273" s="5" t="s">
        <v>17474</v>
      </c>
      <c r="C3273" s="6" t="str">
        <f>IFERROR(__xludf.DUMMYFUNCTION("SPLIT('2. c'!B3273, "" "", True, True)"),"Methanoplanus")</f>
        <v>Methanoplanus</v>
      </c>
      <c r="D3273" t="str">
        <f>IFERROR(__xludf.DUMMYFUNCTION("""COMPUTED_VALUE"""),"limicola")</f>
        <v>limicola</v>
      </c>
      <c r="E3273" t="str">
        <f>IFERROR(__xludf.DUMMYFUNCTION("""COMPUTED_VALUE"""),"DSM")</f>
        <v>DSM</v>
      </c>
      <c r="F3273">
        <f>IFERROR(__xludf.DUMMYFUNCTION("""COMPUTED_VALUE"""),2279.0)</f>
        <v>2279</v>
      </c>
    </row>
    <row r="3274" ht="15.75" customHeight="1">
      <c r="A3274" t="str">
        <f t="shared" si="1"/>
        <v>M.petrolearius</v>
      </c>
      <c r="B3274" s="5" t="s">
        <v>17485</v>
      </c>
      <c r="C3274" s="6" t="str">
        <f>IFERROR(__xludf.DUMMYFUNCTION("SPLIT('2. c'!B3274, "" "", True, True)"),"Methanoplanus")</f>
        <v>Methanoplanus</v>
      </c>
      <c r="D3274" t="str">
        <f>IFERROR(__xludf.DUMMYFUNCTION("""COMPUTED_VALUE"""),"petrolearius")</f>
        <v>petrolearius</v>
      </c>
      <c r="E3274" t="str">
        <f>IFERROR(__xludf.DUMMYFUNCTION("""COMPUTED_VALUE"""),"DSM")</f>
        <v>DSM</v>
      </c>
      <c r="F3274">
        <f>IFERROR(__xludf.DUMMYFUNCTION("""COMPUTED_VALUE"""),11571.0)</f>
        <v>11571</v>
      </c>
    </row>
    <row r="3275" ht="15.75" customHeight="1">
      <c r="A3275" t="str">
        <f t="shared" si="1"/>
        <v>M.kandleri</v>
      </c>
      <c r="B3275" s="5" t="s">
        <v>17494</v>
      </c>
      <c r="C3275" s="6" t="str">
        <f>IFERROR(__xludf.DUMMYFUNCTION("SPLIT('2. c'!B3275, "" "", True, True)"),"Methanopyrus")</f>
        <v>Methanopyrus</v>
      </c>
      <c r="D3275" t="str">
        <f>IFERROR(__xludf.DUMMYFUNCTION("""COMPUTED_VALUE"""),"kandleri")</f>
        <v>kandleri</v>
      </c>
      <c r="E3275" t="str">
        <f>IFERROR(__xludf.DUMMYFUNCTION("""COMPUTED_VALUE"""),"AV19")</f>
        <v>AV19</v>
      </c>
    </row>
    <row r="3276" ht="15.75" customHeight="1">
      <c r="A3276" t="str">
        <f t="shared" si="1"/>
        <v>M.boonei</v>
      </c>
      <c r="B3276" s="5" t="s">
        <v>17502</v>
      </c>
      <c r="C3276" s="6" t="str">
        <f>IFERROR(__xludf.DUMMYFUNCTION("SPLIT('2. c'!B3276, "" "", True, True)"),"Methanoregula")</f>
        <v>Methanoregula</v>
      </c>
      <c r="D3276" t="str">
        <f>IFERROR(__xludf.DUMMYFUNCTION("""COMPUTED_VALUE"""),"boonei")</f>
        <v>boonei</v>
      </c>
      <c r="E3276" t="str">
        <f>IFERROR(__xludf.DUMMYFUNCTION("""COMPUTED_VALUE"""),"6A8")</f>
        <v>6A8</v>
      </c>
    </row>
    <row r="3277" ht="15.75" customHeight="1">
      <c r="A3277" t="str">
        <f t="shared" si="1"/>
        <v>M.formicica</v>
      </c>
      <c r="B3277" s="5" t="s">
        <v>17509</v>
      </c>
      <c r="C3277" s="6" t="str">
        <f>IFERROR(__xludf.DUMMYFUNCTION("SPLIT('2. c'!B3277, "" "", True, True)"),"Methanoregula")</f>
        <v>Methanoregula</v>
      </c>
      <c r="D3277" t="str">
        <f>IFERROR(__xludf.DUMMYFUNCTION("""COMPUTED_VALUE"""),"formicica")</f>
        <v>formicica</v>
      </c>
      <c r="E3277" t="str">
        <f>IFERROR(__xludf.DUMMYFUNCTION("""COMPUTED_VALUE"""),"SMSP")</f>
        <v>SMSP</v>
      </c>
    </row>
    <row r="3278" ht="15.75" customHeight="1">
      <c r="A3278" t="str">
        <f t="shared" si="1"/>
        <v>M.concilii</v>
      </c>
      <c r="B3278" s="5" t="s">
        <v>17518</v>
      </c>
      <c r="C3278" s="6" t="str">
        <f>IFERROR(__xludf.DUMMYFUNCTION("SPLIT('2. c'!B3278, "" "", True, True)"),"Methanosaeta")</f>
        <v>Methanosaeta</v>
      </c>
      <c r="D3278" t="str">
        <f>IFERROR(__xludf.DUMMYFUNCTION("""COMPUTED_VALUE"""),"concilii")</f>
        <v>concilii</v>
      </c>
      <c r="E3278" t="str">
        <f>IFERROR(__xludf.DUMMYFUNCTION("""COMPUTED_VALUE"""),"GP6")</f>
        <v>GP6</v>
      </c>
    </row>
    <row r="3279" ht="15.75" customHeight="1">
      <c r="A3279" t="str">
        <f t="shared" si="1"/>
        <v>M.harundinacea</v>
      </c>
      <c r="B3279" s="5" t="s">
        <v>17526</v>
      </c>
      <c r="C3279" s="6" t="str">
        <f>IFERROR(__xludf.DUMMYFUNCTION("SPLIT('2. c'!B3279, "" "", True, True)"),"Methanosaeta")</f>
        <v>Methanosaeta</v>
      </c>
      <c r="D3279" t="str">
        <f>IFERROR(__xludf.DUMMYFUNCTION("""COMPUTED_VALUE"""),"harundinacea")</f>
        <v>harundinacea</v>
      </c>
      <c r="E3279" t="str">
        <f>IFERROR(__xludf.DUMMYFUNCTION("""COMPUTED_VALUE"""),"6Ac")</f>
        <v>6Ac</v>
      </c>
    </row>
    <row r="3280" ht="15.75" customHeight="1">
      <c r="A3280" t="str">
        <f t="shared" si="1"/>
        <v>M.thermophila</v>
      </c>
      <c r="B3280" s="5" t="s">
        <v>17533</v>
      </c>
      <c r="C3280" s="6" t="str">
        <f>IFERROR(__xludf.DUMMYFUNCTION("SPLIT('2. c'!B3280, "" "", True, True)"),"Methanosaeta")</f>
        <v>Methanosaeta</v>
      </c>
      <c r="D3280" t="str">
        <f>IFERROR(__xludf.DUMMYFUNCTION("""COMPUTED_VALUE"""),"thermophila")</f>
        <v>thermophila</v>
      </c>
      <c r="E3280" t="str">
        <f>IFERROR(__xludf.DUMMYFUNCTION("""COMPUTED_VALUE"""),"PT")</f>
        <v>PT</v>
      </c>
    </row>
    <row r="3281" ht="15.75" customHeight="1">
      <c r="A3281" t="str">
        <f t="shared" si="1"/>
        <v>M.zhilinae</v>
      </c>
      <c r="B3281" s="5" t="s">
        <v>17539</v>
      </c>
      <c r="C3281" s="6" t="str">
        <f>IFERROR(__xludf.DUMMYFUNCTION("SPLIT('2. c'!B3281, "" "", True, True)"),"Methanosalsum")</f>
        <v>Methanosalsum</v>
      </c>
      <c r="D3281" t="str">
        <f>IFERROR(__xludf.DUMMYFUNCTION("""COMPUTED_VALUE"""),"zhilinae")</f>
        <v>zhilinae</v>
      </c>
      <c r="E3281" t="str">
        <f>IFERROR(__xludf.DUMMYFUNCTION("""COMPUTED_VALUE"""),"DSM")</f>
        <v>DSM</v>
      </c>
      <c r="F3281">
        <f>IFERROR(__xludf.DUMMYFUNCTION("""COMPUTED_VALUE"""),4017.0)</f>
        <v>4017</v>
      </c>
    </row>
    <row r="3282" ht="15.75" customHeight="1">
      <c r="A3282" t="str">
        <f t="shared" si="1"/>
        <v>M.acetivorans</v>
      </c>
      <c r="B3282" s="5" t="s">
        <v>17546</v>
      </c>
      <c r="C3282" s="6" t="str">
        <f>IFERROR(__xludf.DUMMYFUNCTION("SPLIT('2. c'!B3282, "" "", True, True)"),"Methanosarcina")</f>
        <v>Methanosarcina</v>
      </c>
      <c r="D3282" t="str">
        <f>IFERROR(__xludf.DUMMYFUNCTION("""COMPUTED_VALUE"""),"acetivorans")</f>
        <v>acetivorans</v>
      </c>
      <c r="E3282" t="str">
        <f>IFERROR(__xludf.DUMMYFUNCTION("""COMPUTED_VALUE"""),"C2A")</f>
        <v>C2A</v>
      </c>
    </row>
    <row r="3283" ht="15.75" customHeight="1">
      <c r="A3283" t="str">
        <f t="shared" si="1"/>
        <v>M.barkeri</v>
      </c>
      <c r="B3283" s="5" t="s">
        <v>17553</v>
      </c>
      <c r="C3283" s="6" t="str">
        <f>IFERROR(__xludf.DUMMYFUNCTION("SPLIT('2. c'!B3283, "" "", True, True)"),"Methanosarcina")</f>
        <v>Methanosarcina</v>
      </c>
      <c r="D3283" t="str">
        <f>IFERROR(__xludf.DUMMYFUNCTION("""COMPUTED_VALUE"""),"barkeri")</f>
        <v>barkeri</v>
      </c>
      <c r="E3283">
        <f>IFERROR(__xludf.DUMMYFUNCTION("""COMPUTED_VALUE"""),227.0)</f>
        <v>227</v>
      </c>
    </row>
    <row r="3284" ht="15.75" customHeight="1">
      <c r="A3284" t="str">
        <f t="shared" si="1"/>
        <v>M.barkeri</v>
      </c>
      <c r="B3284" s="5" t="s">
        <v>17566</v>
      </c>
      <c r="C3284" s="6" t="str">
        <f>IFERROR(__xludf.DUMMYFUNCTION("SPLIT('2. c'!B3284, "" "", True, True)"),"Methanosarcina")</f>
        <v>Methanosarcina</v>
      </c>
      <c r="D3284" t="str">
        <f>IFERROR(__xludf.DUMMYFUNCTION("""COMPUTED_VALUE"""),"barkeri")</f>
        <v>barkeri</v>
      </c>
      <c r="E3284">
        <f>IFERROR(__xludf.DUMMYFUNCTION("""COMPUTED_VALUE"""),3.0)</f>
        <v>3</v>
      </c>
    </row>
    <row r="3285" ht="15.75" customHeight="1">
      <c r="A3285" t="str">
        <f t="shared" si="1"/>
        <v>M.barkeri</v>
      </c>
      <c r="B3285" s="5" t="s">
        <v>17574</v>
      </c>
      <c r="C3285" s="6" t="str">
        <f>IFERROR(__xludf.DUMMYFUNCTION("SPLIT('2. c'!B3285, "" "", True, True)"),"Methanosarcina")</f>
        <v>Methanosarcina</v>
      </c>
      <c r="D3285" t="str">
        <f>IFERROR(__xludf.DUMMYFUNCTION("""COMPUTED_VALUE"""),"barkeri")</f>
        <v>barkeri</v>
      </c>
      <c r="E3285" t="str">
        <f>IFERROR(__xludf.DUMMYFUNCTION("""COMPUTED_VALUE"""),"CM1")</f>
        <v>CM1</v>
      </c>
    </row>
    <row r="3286" ht="15.75" customHeight="1">
      <c r="A3286" t="str">
        <f t="shared" si="1"/>
        <v>M.barkeri</v>
      </c>
      <c r="B3286" s="5" t="s">
        <v>17586</v>
      </c>
      <c r="C3286" s="6" t="str">
        <f>IFERROR(__xludf.DUMMYFUNCTION("SPLIT('2. c'!B3286, "" "", True, True)"),"Methanosarcina")</f>
        <v>Methanosarcina</v>
      </c>
      <c r="D3286" t="str">
        <f>IFERROR(__xludf.DUMMYFUNCTION("""COMPUTED_VALUE"""),"barkeri")</f>
        <v>barkeri</v>
      </c>
      <c r="E3286" t="str">
        <f>IFERROR(__xludf.DUMMYFUNCTION("""COMPUTED_VALUE"""),"MS")</f>
        <v>MS</v>
      </c>
    </row>
    <row r="3287" ht="15.75" customHeight="1">
      <c r="A3287" t="str">
        <f t="shared" si="1"/>
        <v>M.barkeri</v>
      </c>
      <c r="B3287" s="5" t="s">
        <v>17594</v>
      </c>
      <c r="C3287" s="6" t="str">
        <f>IFERROR(__xludf.DUMMYFUNCTION("SPLIT('2. c'!B3287, "" "", True, True)"),"Methanosarcina")</f>
        <v>Methanosarcina</v>
      </c>
      <c r="D3287" t="str">
        <f>IFERROR(__xludf.DUMMYFUNCTION("""COMPUTED_VALUE"""),"barkeri")</f>
        <v>barkeri</v>
      </c>
      <c r="E3287" t="str">
        <f>IFERROR(__xludf.DUMMYFUNCTION("""COMPUTED_VALUE"""),"str.")</f>
        <v>str.</v>
      </c>
      <c r="F3287" t="str">
        <f>IFERROR(__xludf.DUMMYFUNCTION("""COMPUTED_VALUE"""),"Fusaro")</f>
        <v>Fusaro</v>
      </c>
    </row>
    <row r="3288" ht="15.75" customHeight="1">
      <c r="A3288" t="str">
        <f t="shared" si="1"/>
        <v>M.barkeri</v>
      </c>
      <c r="B3288" s="5" t="s">
        <v>17601</v>
      </c>
      <c r="C3288" s="6" t="str">
        <f>IFERROR(__xludf.DUMMYFUNCTION("SPLIT('2. c'!B3288, "" "", True, True)"),"Methanosarcina")</f>
        <v>Methanosarcina</v>
      </c>
      <c r="D3288" t="str">
        <f>IFERROR(__xludf.DUMMYFUNCTION("""COMPUTED_VALUE"""),"barkeri")</f>
        <v>barkeri</v>
      </c>
      <c r="E3288" t="str">
        <f>IFERROR(__xludf.DUMMYFUNCTION("""COMPUTED_VALUE"""),"str.")</f>
        <v>str.</v>
      </c>
      <c r="F3288" t="str">
        <f>IFERROR(__xludf.DUMMYFUNCTION("""COMPUTED_VALUE"""),"Wiesmoor")</f>
        <v>Wiesmoor</v>
      </c>
    </row>
    <row r="3289" ht="15.75" customHeight="1">
      <c r="A3289" t="str">
        <f t="shared" si="1"/>
        <v>M.horonobensis</v>
      </c>
      <c r="B3289" s="5" t="s">
        <v>17610</v>
      </c>
      <c r="C3289" s="6" t="str">
        <f>IFERROR(__xludf.DUMMYFUNCTION("SPLIT('2. c'!B3289, "" "", True, True)"),"Methanosarcina")</f>
        <v>Methanosarcina</v>
      </c>
      <c r="D3289" t="str">
        <f>IFERROR(__xludf.DUMMYFUNCTION("""COMPUTED_VALUE"""),"horonobensis")</f>
        <v>horonobensis</v>
      </c>
      <c r="E3289" t="str">
        <f>IFERROR(__xludf.DUMMYFUNCTION("""COMPUTED_VALUE"""),"HB-1")</f>
        <v>HB-1</v>
      </c>
      <c r="F3289" t="str">
        <f>IFERROR(__xludf.DUMMYFUNCTION("""COMPUTED_VALUE"""),"=")</f>
        <v>=</v>
      </c>
      <c r="G3289" t="str">
        <f>IFERROR(__xludf.DUMMYFUNCTION("""COMPUTED_VALUE"""),"JCM")</f>
        <v>JCM</v>
      </c>
      <c r="H3289">
        <f>IFERROR(__xludf.DUMMYFUNCTION("""COMPUTED_VALUE"""),15518.0)</f>
        <v>15518</v>
      </c>
    </row>
    <row r="3290" ht="15.75" customHeight="1">
      <c r="A3290" t="str">
        <f t="shared" si="1"/>
        <v>M.lacustris</v>
      </c>
      <c r="B3290" s="5" t="s">
        <v>17622</v>
      </c>
      <c r="C3290" s="6" t="str">
        <f>IFERROR(__xludf.DUMMYFUNCTION("SPLIT('2. c'!B3290, "" "", True, True)"),"Methanosarcina")</f>
        <v>Methanosarcina</v>
      </c>
      <c r="D3290" t="str">
        <f>IFERROR(__xludf.DUMMYFUNCTION("""COMPUTED_VALUE"""),"lacustris")</f>
        <v>lacustris</v>
      </c>
      <c r="E3290" t="str">
        <f>IFERROR(__xludf.DUMMYFUNCTION("""COMPUTED_VALUE"""),"Z-7289")</f>
        <v>Z-7289</v>
      </c>
    </row>
    <row r="3291" ht="15.75" customHeight="1">
      <c r="A3291" t="str">
        <f t="shared" si="1"/>
        <v>M.mazei</v>
      </c>
      <c r="B3291" s="5" t="s">
        <v>17629</v>
      </c>
      <c r="C3291" s="6" t="str">
        <f>IFERROR(__xludf.DUMMYFUNCTION("SPLIT('2. c'!B3291, "" "", True, True)"),"Methanosarcina")</f>
        <v>Methanosarcina</v>
      </c>
      <c r="D3291" t="str">
        <f>IFERROR(__xludf.DUMMYFUNCTION("""COMPUTED_VALUE"""),"mazei")</f>
        <v>mazei</v>
      </c>
      <c r="E3291" t="str">
        <f>IFERROR(__xludf.DUMMYFUNCTION("""COMPUTED_VALUE"""),"C16")</f>
        <v>C16</v>
      </c>
    </row>
    <row r="3292" ht="15.75" customHeight="1">
      <c r="A3292" t="str">
        <f t="shared" si="1"/>
        <v>M.mazei</v>
      </c>
      <c r="B3292" s="5" t="s">
        <v>17636</v>
      </c>
      <c r="C3292" s="6" t="str">
        <f>IFERROR(__xludf.DUMMYFUNCTION("SPLIT('2. c'!B3292, "" "", True, True)"),"Methanosarcina")</f>
        <v>Methanosarcina</v>
      </c>
      <c r="D3292" t="str">
        <f>IFERROR(__xludf.DUMMYFUNCTION("""COMPUTED_VALUE"""),"mazei")</f>
        <v>mazei</v>
      </c>
      <c r="E3292" t="str">
        <f>IFERROR(__xludf.DUMMYFUNCTION("""COMPUTED_VALUE"""),"Go1")</f>
        <v>Go1</v>
      </c>
    </row>
    <row r="3293" ht="15.75" customHeight="1">
      <c r="A3293" t="str">
        <f t="shared" si="1"/>
        <v>M.mazei</v>
      </c>
      <c r="B3293" s="5" t="s">
        <v>17644</v>
      </c>
      <c r="C3293" s="6" t="str">
        <f>IFERROR(__xludf.DUMMYFUNCTION("SPLIT('2. c'!B3293, "" "", True, True)"),"Methanosarcina")</f>
        <v>Methanosarcina</v>
      </c>
      <c r="D3293" t="str">
        <f>IFERROR(__xludf.DUMMYFUNCTION("""COMPUTED_VALUE"""),"mazei")</f>
        <v>mazei</v>
      </c>
      <c r="E3293" t="str">
        <f>IFERROR(__xludf.DUMMYFUNCTION("""COMPUTED_VALUE"""),"LYC")</f>
        <v>LYC</v>
      </c>
    </row>
    <row r="3294" ht="15.75" customHeight="1">
      <c r="A3294" t="str">
        <f t="shared" si="1"/>
        <v>M.mazei</v>
      </c>
      <c r="B3294" s="5" t="s">
        <v>17651</v>
      </c>
      <c r="C3294" s="6" t="str">
        <f>IFERROR(__xludf.DUMMYFUNCTION("SPLIT('2. c'!B3294, "" "", True, True)"),"Methanosarcina")</f>
        <v>Methanosarcina</v>
      </c>
      <c r="D3294" t="str">
        <f>IFERROR(__xludf.DUMMYFUNCTION("""COMPUTED_VALUE"""),"mazei")</f>
        <v>mazei</v>
      </c>
      <c r="E3294" t="str">
        <f>IFERROR(__xludf.DUMMYFUNCTION("""COMPUTED_VALUE"""),"S-6")</f>
        <v>S-6</v>
      </c>
    </row>
    <row r="3295" ht="15.75" customHeight="1">
      <c r="A3295" t="str">
        <f t="shared" si="1"/>
        <v>M.mazei</v>
      </c>
      <c r="B3295" s="5" t="s">
        <v>17659</v>
      </c>
      <c r="C3295" s="6" t="str">
        <f>IFERROR(__xludf.DUMMYFUNCTION("SPLIT('2. c'!B3295, "" "", True, True)"),"Methanosarcina")</f>
        <v>Methanosarcina</v>
      </c>
      <c r="D3295" t="str">
        <f>IFERROR(__xludf.DUMMYFUNCTION("""COMPUTED_VALUE"""),"mazei")</f>
        <v>mazei</v>
      </c>
      <c r="E3295" t="str">
        <f>IFERROR(__xludf.DUMMYFUNCTION("""COMPUTED_VALUE"""),"SarPi")</f>
        <v>SarPi</v>
      </c>
    </row>
    <row r="3296" ht="15.75" customHeight="1">
      <c r="A3296" t="str">
        <f t="shared" si="1"/>
        <v>M.mazei</v>
      </c>
      <c r="B3296" s="5" t="s">
        <v>17668</v>
      </c>
      <c r="C3296" s="6" t="str">
        <f>IFERROR(__xludf.DUMMYFUNCTION("SPLIT('2. c'!B3296, "" "", True, True)"),"Methanosarcina")</f>
        <v>Methanosarcina</v>
      </c>
      <c r="D3296" t="str">
        <f>IFERROR(__xludf.DUMMYFUNCTION("""COMPUTED_VALUE"""),"mazei")</f>
        <v>mazei</v>
      </c>
      <c r="E3296" t="str">
        <f>IFERROR(__xludf.DUMMYFUNCTION("""COMPUTED_VALUE"""),"Tuc01")</f>
        <v>Tuc01</v>
      </c>
    </row>
    <row r="3297" ht="15.75" customHeight="1">
      <c r="A3297" t="str">
        <f t="shared" si="1"/>
        <v>M.mazei</v>
      </c>
      <c r="B3297" s="5" t="s">
        <v>17676</v>
      </c>
      <c r="C3297" s="6" t="str">
        <f>IFERROR(__xludf.DUMMYFUNCTION("SPLIT('2. c'!B3297, "" "", True, True)"),"Methanosarcina")</f>
        <v>Methanosarcina</v>
      </c>
      <c r="D3297" t="str">
        <f>IFERROR(__xludf.DUMMYFUNCTION("""COMPUTED_VALUE"""),"mazei")</f>
        <v>mazei</v>
      </c>
      <c r="E3297" t="str">
        <f>IFERROR(__xludf.DUMMYFUNCTION("""COMPUTED_VALUE"""),"WWM610")</f>
        <v>WWM610</v>
      </c>
    </row>
    <row r="3298" ht="15.75" customHeight="1">
      <c r="A3298" t="str">
        <f t="shared" si="1"/>
        <v>M.siciliae</v>
      </c>
      <c r="B3298" s="5" t="s">
        <v>17684</v>
      </c>
      <c r="C3298" s="6" t="str">
        <f>IFERROR(__xludf.DUMMYFUNCTION("SPLIT('2. c'!B3298, "" "", True, True)"),"Methanosarcina")</f>
        <v>Methanosarcina</v>
      </c>
      <c r="D3298" t="str">
        <f>IFERROR(__xludf.DUMMYFUNCTION("""COMPUTED_VALUE"""),"siciliae")</f>
        <v>siciliae</v>
      </c>
      <c r="E3298" t="str">
        <f>IFERROR(__xludf.DUMMYFUNCTION("""COMPUTED_VALUE"""),"C2J")</f>
        <v>C2J</v>
      </c>
    </row>
    <row r="3299" ht="15.75" customHeight="1">
      <c r="A3299" t="str">
        <f t="shared" si="1"/>
        <v>M.siciliae</v>
      </c>
      <c r="B3299" s="5" t="s">
        <v>17691</v>
      </c>
      <c r="C3299" s="6" t="str">
        <f>IFERROR(__xludf.DUMMYFUNCTION("SPLIT('2. c'!B3299, "" "", True, True)"),"Methanosarcina")</f>
        <v>Methanosarcina</v>
      </c>
      <c r="D3299" t="str">
        <f>IFERROR(__xludf.DUMMYFUNCTION("""COMPUTED_VALUE"""),"siciliae")</f>
        <v>siciliae</v>
      </c>
      <c r="E3299" t="str">
        <f>IFERROR(__xludf.DUMMYFUNCTION("""COMPUTED_VALUE"""),"HI350")</f>
        <v>HI350</v>
      </c>
    </row>
    <row r="3300" ht="15.75" customHeight="1">
      <c r="A3300" t="str">
        <f t="shared" si="1"/>
        <v>M.siciliae</v>
      </c>
      <c r="B3300" s="5" t="s">
        <v>17701</v>
      </c>
      <c r="C3300" s="6" t="str">
        <f>IFERROR(__xludf.DUMMYFUNCTION("SPLIT('2. c'!B3300, "" "", True, True)"),"Methanosarcina")</f>
        <v>Methanosarcina</v>
      </c>
      <c r="D3300" t="str">
        <f>IFERROR(__xludf.DUMMYFUNCTION("""COMPUTED_VALUE"""),"siciliae")</f>
        <v>siciliae</v>
      </c>
      <c r="E3300" t="str">
        <f>IFERROR(__xludf.DUMMYFUNCTION("""COMPUTED_VALUE"""),"T4/M")</f>
        <v>T4/M</v>
      </c>
    </row>
    <row r="3301" ht="15.75" customHeight="1">
      <c r="A3301" t="str">
        <f t="shared" si="1"/>
        <v>M.sp.</v>
      </c>
      <c r="B3301" s="5" t="s">
        <v>17719</v>
      </c>
      <c r="C3301" s="6" t="str">
        <f>IFERROR(__xludf.DUMMYFUNCTION("SPLIT('2. c'!B3301, "" "", True, True)"),"Methanosarcina")</f>
        <v>Methanosarcina</v>
      </c>
      <c r="D3301" t="str">
        <f>IFERROR(__xludf.DUMMYFUNCTION("""COMPUTED_VALUE"""),"sp.")</f>
        <v>sp.</v>
      </c>
      <c r="E3301">
        <f>IFERROR(__xludf.DUMMYFUNCTION("""COMPUTED_VALUE"""),795.0)</f>
        <v>795</v>
      </c>
    </row>
    <row r="3302" ht="15.75" customHeight="1">
      <c r="A3302" t="str">
        <f t="shared" si="1"/>
        <v>M.sp.</v>
      </c>
      <c r="B3302" s="5" t="s">
        <v>17728</v>
      </c>
      <c r="C3302" s="6" t="str">
        <f>IFERROR(__xludf.DUMMYFUNCTION("SPLIT('2. c'!B3302, "" "", True, True)"),"Methanosarcina")</f>
        <v>Methanosarcina</v>
      </c>
      <c r="D3302" t="str">
        <f>IFERROR(__xludf.DUMMYFUNCTION("""COMPUTED_VALUE"""),"sp.")</f>
        <v>sp.</v>
      </c>
      <c r="E3302" t="str">
        <f>IFERROR(__xludf.DUMMYFUNCTION("""COMPUTED_VALUE"""),"Kolksee")</f>
        <v>Kolksee</v>
      </c>
    </row>
    <row r="3303" ht="15.75" customHeight="1">
      <c r="A3303" t="str">
        <f t="shared" si="1"/>
        <v>M.sp.</v>
      </c>
      <c r="B3303" s="5" t="s">
        <v>17736</v>
      </c>
      <c r="C3303" s="6" t="str">
        <f>IFERROR(__xludf.DUMMYFUNCTION("SPLIT('2. c'!B3303, "" "", True, True)"),"Methanosarcina")</f>
        <v>Methanosarcina</v>
      </c>
      <c r="D3303" t="str">
        <f>IFERROR(__xludf.DUMMYFUNCTION("""COMPUTED_VALUE"""),"sp.")</f>
        <v>sp.</v>
      </c>
      <c r="E3303" t="str">
        <f>IFERROR(__xludf.DUMMYFUNCTION("""COMPUTED_VALUE"""),"MTP4")</f>
        <v>MTP4</v>
      </c>
    </row>
    <row r="3304" ht="15.75" customHeight="1">
      <c r="A3304" t="str">
        <f t="shared" si="1"/>
        <v>M.sp.</v>
      </c>
      <c r="B3304" s="5" t="s">
        <v>17744</v>
      </c>
      <c r="C3304" s="6" t="str">
        <f>IFERROR(__xludf.DUMMYFUNCTION("SPLIT('2. c'!B3304, "" "", True, True)"),"Methanosarcina")</f>
        <v>Methanosarcina</v>
      </c>
      <c r="D3304" t="str">
        <f>IFERROR(__xludf.DUMMYFUNCTION("""COMPUTED_VALUE"""),"sp.")</f>
        <v>sp.</v>
      </c>
      <c r="E3304" t="str">
        <f>IFERROR(__xludf.DUMMYFUNCTION("""COMPUTED_VALUE"""),"WH1")</f>
        <v>WH1</v>
      </c>
    </row>
    <row r="3305" ht="15.75" customHeight="1">
      <c r="A3305" t="str">
        <f t="shared" si="1"/>
        <v>M.sp.</v>
      </c>
      <c r="B3305" s="5" t="s">
        <v>17752</v>
      </c>
      <c r="C3305" s="6" t="str">
        <f>IFERROR(__xludf.DUMMYFUNCTION("SPLIT('2. c'!B3305, "" "", True, True)"),"Methanosarcina")</f>
        <v>Methanosarcina</v>
      </c>
      <c r="D3305" t="str">
        <f>IFERROR(__xludf.DUMMYFUNCTION("""COMPUTED_VALUE"""),"sp.")</f>
        <v>sp.</v>
      </c>
      <c r="E3305" t="str">
        <f>IFERROR(__xludf.DUMMYFUNCTION("""COMPUTED_VALUE"""),"WWM596")</f>
        <v>WWM596</v>
      </c>
    </row>
    <row r="3306" ht="15.75" customHeight="1">
      <c r="A3306" t="str">
        <f t="shared" si="1"/>
        <v>M.thermophila</v>
      </c>
      <c r="B3306" s="5" t="s">
        <v>17760</v>
      </c>
      <c r="C3306" s="6" t="str">
        <f>IFERROR(__xludf.DUMMYFUNCTION("SPLIT('2. c'!B3306, "" "", True, True)"),"Methanosarcina")</f>
        <v>Methanosarcina</v>
      </c>
      <c r="D3306" t="str">
        <f>IFERROR(__xludf.DUMMYFUNCTION("""COMPUTED_VALUE"""),"thermophila")</f>
        <v>thermophila</v>
      </c>
      <c r="E3306" t="str">
        <f>IFERROR(__xludf.DUMMYFUNCTION("""COMPUTED_VALUE"""),"CHTI-55")</f>
        <v>CHTI-55</v>
      </c>
    </row>
    <row r="3307" ht="15.75" customHeight="1">
      <c r="A3307" t="str">
        <f t="shared" si="1"/>
        <v>M.thermophila</v>
      </c>
      <c r="B3307" s="5" t="s">
        <v>17769</v>
      </c>
      <c r="C3307" s="6" t="str">
        <f>IFERROR(__xludf.DUMMYFUNCTION("SPLIT('2. c'!B3307, "" "", True, True)"),"Methanosarcina")</f>
        <v>Methanosarcina</v>
      </c>
      <c r="D3307" t="str">
        <f>IFERROR(__xludf.DUMMYFUNCTION("""COMPUTED_VALUE"""),"thermophila")</f>
        <v>thermophila</v>
      </c>
      <c r="E3307" t="str">
        <f>IFERROR(__xludf.DUMMYFUNCTION("""COMPUTED_VALUE"""),"TM-1")</f>
        <v>TM-1</v>
      </c>
    </row>
    <row r="3308" ht="15.75" customHeight="1">
      <c r="A3308" t="str">
        <f t="shared" si="1"/>
        <v>M.vacuolata</v>
      </c>
      <c r="B3308" s="5" t="s">
        <v>17778</v>
      </c>
      <c r="C3308" s="6" t="str">
        <f>IFERROR(__xludf.DUMMYFUNCTION("SPLIT('2. c'!B3308, "" "", True, True)"),"Methanosarcina")</f>
        <v>Methanosarcina</v>
      </c>
      <c r="D3308" t="str">
        <f>IFERROR(__xludf.DUMMYFUNCTION("""COMPUTED_VALUE"""),"vacuolata")</f>
        <v>vacuolata</v>
      </c>
      <c r="E3308" t="str">
        <f>IFERROR(__xludf.DUMMYFUNCTION("""COMPUTED_VALUE"""),"Z-761")</f>
        <v>Z-761</v>
      </c>
    </row>
    <row r="3309" ht="15.75" customHeight="1">
      <c r="A3309" t="str">
        <f t="shared" si="1"/>
        <v>M.stadtmanae</v>
      </c>
      <c r="B3309" s="5" t="s">
        <v>17786</v>
      </c>
      <c r="C3309" s="6" t="str">
        <f>IFERROR(__xludf.DUMMYFUNCTION("SPLIT('2. c'!B3309, "" "", True, True)"),"Methanosphaera")</f>
        <v>Methanosphaera</v>
      </c>
      <c r="D3309" t="str">
        <f>IFERROR(__xludf.DUMMYFUNCTION("""COMPUTED_VALUE"""),"stadtmanae")</f>
        <v>stadtmanae</v>
      </c>
      <c r="E3309" t="str">
        <f>IFERROR(__xludf.DUMMYFUNCTION("""COMPUTED_VALUE"""),"DSM")</f>
        <v>DSM</v>
      </c>
      <c r="F3309">
        <f>IFERROR(__xludf.DUMMYFUNCTION("""COMPUTED_VALUE"""),3091.0)</f>
        <v>3091</v>
      </c>
    </row>
    <row r="3310" ht="15.75" customHeight="1">
      <c r="A3310" t="str">
        <f t="shared" si="1"/>
        <v>M.palustris</v>
      </c>
      <c r="B3310" s="5" t="s">
        <v>17796</v>
      </c>
      <c r="C3310" s="6" t="str">
        <f>IFERROR(__xludf.DUMMYFUNCTION("SPLIT('2. c'!B3310, "" "", True, True)"),"Methanosphaerula")</f>
        <v>Methanosphaerula</v>
      </c>
      <c r="D3310" t="str">
        <f>IFERROR(__xludf.DUMMYFUNCTION("""COMPUTED_VALUE"""),"palustris")</f>
        <v>palustris</v>
      </c>
      <c r="E3310" t="str">
        <f>IFERROR(__xludf.DUMMYFUNCTION("""COMPUTED_VALUE"""),"E1-9c")</f>
        <v>E1-9c</v>
      </c>
    </row>
    <row r="3311" ht="15.75" customHeight="1">
      <c r="A3311" t="str">
        <f t="shared" si="1"/>
        <v>M.hungatei</v>
      </c>
      <c r="B3311" s="5" t="s">
        <v>17804</v>
      </c>
      <c r="C3311" s="6" t="str">
        <f>IFERROR(__xludf.DUMMYFUNCTION("SPLIT('2. c'!B3311, "" "", True, True)"),"Methanospirillum")</f>
        <v>Methanospirillum</v>
      </c>
      <c r="D3311" t="str">
        <f>IFERROR(__xludf.DUMMYFUNCTION("""COMPUTED_VALUE"""),"hungatei")</f>
        <v>hungatei</v>
      </c>
      <c r="E3311" t="str">
        <f>IFERROR(__xludf.DUMMYFUNCTION("""COMPUTED_VALUE"""),"JF-1")</f>
        <v>JF-1</v>
      </c>
    </row>
    <row r="3312" ht="15.75" customHeight="1">
      <c r="A3312" t="str">
        <f t="shared" si="1"/>
        <v>M.marburgensis</v>
      </c>
      <c r="B3312" s="5" t="s">
        <v>17813</v>
      </c>
      <c r="C3312" s="6" t="str">
        <f>IFERROR(__xludf.DUMMYFUNCTION("SPLIT('2. c'!B3312, "" "", True, True)"),"Methanothermobacter")</f>
        <v>Methanothermobacter</v>
      </c>
      <c r="D3312" t="str">
        <f>IFERROR(__xludf.DUMMYFUNCTION("""COMPUTED_VALUE"""),"marburgensis")</f>
        <v>marburgensis</v>
      </c>
      <c r="E3312" t="str">
        <f>IFERROR(__xludf.DUMMYFUNCTION("""COMPUTED_VALUE"""),"str.")</f>
        <v>str.</v>
      </c>
      <c r="F3312" t="str">
        <f>IFERROR(__xludf.DUMMYFUNCTION("""COMPUTED_VALUE"""),"Marburg")</f>
        <v>Marburg</v>
      </c>
    </row>
    <row r="3313" ht="15.75" customHeight="1">
      <c r="A3313" t="str">
        <f t="shared" si="1"/>
        <v>M.thermautotrophicus</v>
      </c>
      <c r="B3313" s="5" t="s">
        <v>17822</v>
      </c>
      <c r="C3313" s="6" t="str">
        <f>IFERROR(__xludf.DUMMYFUNCTION("SPLIT('2. c'!B3313, "" "", True, True)"),"Methanothermobacter")</f>
        <v>Methanothermobacter</v>
      </c>
      <c r="D3313" t="str">
        <f>IFERROR(__xludf.DUMMYFUNCTION("""COMPUTED_VALUE"""),"thermautotrophicus")</f>
        <v>thermautotrophicus</v>
      </c>
      <c r="E3313" t="str">
        <f>IFERROR(__xludf.DUMMYFUNCTION("""COMPUTED_VALUE"""),"str.")</f>
        <v>str.</v>
      </c>
      <c r="F3313" t="str">
        <f>IFERROR(__xludf.DUMMYFUNCTION("""COMPUTED_VALUE"""),"Delta")</f>
        <v>Delta</v>
      </c>
      <c r="G3313" t="str">
        <f>IFERROR(__xludf.DUMMYFUNCTION("""COMPUTED_VALUE"""),"H")</f>
        <v>H</v>
      </c>
    </row>
    <row r="3314" ht="15.75" customHeight="1">
      <c r="A3314" t="str">
        <f t="shared" si="1"/>
        <v>M.okinawensis</v>
      </c>
      <c r="B3314" s="5" t="s">
        <v>17832</v>
      </c>
      <c r="C3314" s="6" t="str">
        <f>IFERROR(__xludf.DUMMYFUNCTION("SPLIT('2. c'!B3314, "" "", True, True)"),"Methanothermococcus")</f>
        <v>Methanothermococcus</v>
      </c>
      <c r="D3314" t="str">
        <f>IFERROR(__xludf.DUMMYFUNCTION("""COMPUTED_VALUE"""),"okinawensis")</f>
        <v>okinawensis</v>
      </c>
      <c r="E3314" t="str">
        <f>IFERROR(__xludf.DUMMYFUNCTION("""COMPUTED_VALUE"""),"IH1")</f>
        <v>IH1</v>
      </c>
    </row>
    <row r="3315" ht="15.75" customHeight="1">
      <c r="A3315" t="str">
        <f t="shared" si="1"/>
        <v>M.fervidus</v>
      </c>
      <c r="B3315" s="5" t="s">
        <v>17841</v>
      </c>
      <c r="C3315" s="6" t="str">
        <f>IFERROR(__xludf.DUMMYFUNCTION("SPLIT('2. c'!B3315, "" "", True, True)"),"Methanothermus")</f>
        <v>Methanothermus</v>
      </c>
      <c r="D3315" t="str">
        <f>IFERROR(__xludf.DUMMYFUNCTION("""COMPUTED_VALUE"""),"fervidus")</f>
        <v>fervidus</v>
      </c>
      <c r="E3315" t="str">
        <f>IFERROR(__xludf.DUMMYFUNCTION("""COMPUTED_VALUE"""),"DSM")</f>
        <v>DSM</v>
      </c>
      <c r="F3315">
        <f>IFERROR(__xludf.DUMMYFUNCTION("""COMPUTED_VALUE"""),2088.0)</f>
        <v>2088</v>
      </c>
    </row>
    <row r="3316" ht="15.75" customHeight="1">
      <c r="A3316" t="str">
        <f t="shared" si="1"/>
        <v>M.igneus</v>
      </c>
      <c r="B3316" s="5" t="s">
        <v>17850</v>
      </c>
      <c r="C3316" s="6" t="str">
        <f>IFERROR(__xludf.DUMMYFUNCTION("SPLIT('2. c'!B3316, "" "", True, True)"),"Methanotorris")</f>
        <v>Methanotorris</v>
      </c>
      <c r="D3316" t="str">
        <f>IFERROR(__xludf.DUMMYFUNCTION("""COMPUTED_VALUE"""),"igneus")</f>
        <v>igneus</v>
      </c>
      <c r="E3316" t="str">
        <f>IFERROR(__xludf.DUMMYFUNCTION("""COMPUTED_VALUE"""),"Kol")</f>
        <v>Kol</v>
      </c>
      <c r="F3316">
        <f>IFERROR(__xludf.DUMMYFUNCTION("""COMPUTED_VALUE"""),5.0)</f>
        <v>5</v>
      </c>
    </row>
    <row r="3317" ht="15.75" customHeight="1">
      <c r="A3317" t="str">
        <f t="shared" si="1"/>
        <v>M.fumariolicum</v>
      </c>
      <c r="B3317" s="5" t="s">
        <v>17864</v>
      </c>
      <c r="C3317" s="6" t="str">
        <f>IFERROR(__xludf.DUMMYFUNCTION("SPLIT('2. c'!B3317, "" "", True, True)"),"Methylacidiphilum")</f>
        <v>Methylacidiphilum</v>
      </c>
      <c r="D3317" t="str">
        <f>IFERROR(__xludf.DUMMYFUNCTION("""COMPUTED_VALUE"""),"fumariolicum")</f>
        <v>fumariolicum</v>
      </c>
      <c r="E3317" t="str">
        <f>IFERROR(__xludf.DUMMYFUNCTION("""COMPUTED_VALUE"""),"SolV")</f>
        <v>SolV</v>
      </c>
    </row>
    <row r="3318" ht="15.75" customHeight="1">
      <c r="A3318" t="str">
        <f t="shared" si="1"/>
        <v>M.infernorum</v>
      </c>
      <c r="B3318" s="5" t="s">
        <v>17873</v>
      </c>
      <c r="C3318" s="6" t="str">
        <f>IFERROR(__xludf.DUMMYFUNCTION("SPLIT('2. c'!B3318, "" "", True, True)"),"Methylacidiphilum")</f>
        <v>Methylacidiphilum</v>
      </c>
      <c r="D3318" t="str">
        <f>IFERROR(__xludf.DUMMYFUNCTION("""COMPUTED_VALUE"""),"infernorum")</f>
        <v>infernorum</v>
      </c>
      <c r="E3318" t="str">
        <f>IFERROR(__xludf.DUMMYFUNCTION("""COMPUTED_VALUE"""),"V4")</f>
        <v>V4</v>
      </c>
    </row>
    <row r="3319" ht="15.75" customHeight="1">
      <c r="A3319" t="str">
        <f t="shared" si="1"/>
        <v>M.petroleiphilum</v>
      </c>
      <c r="B3319" s="5" t="s">
        <v>17881</v>
      </c>
      <c r="C3319" s="6" t="str">
        <f>IFERROR(__xludf.DUMMYFUNCTION("SPLIT('2. c'!B3319, "" "", True, True)"),"Methylibium")</f>
        <v>Methylibium</v>
      </c>
      <c r="D3319" t="str">
        <f>IFERROR(__xludf.DUMMYFUNCTION("""COMPUTED_VALUE"""),"petroleiphilum")</f>
        <v>petroleiphilum</v>
      </c>
      <c r="E3319" t="str">
        <f>IFERROR(__xludf.DUMMYFUNCTION("""COMPUTED_VALUE"""),"PM1")</f>
        <v>PM1</v>
      </c>
    </row>
    <row r="3320" ht="15.75" customHeight="1">
      <c r="A3320" t="str">
        <f t="shared" si="1"/>
        <v>M.flagellatus</v>
      </c>
      <c r="B3320" s="5" t="s">
        <v>17890</v>
      </c>
      <c r="C3320" s="6" t="str">
        <f>IFERROR(__xludf.DUMMYFUNCTION("SPLIT('2. c'!B3320, "" "", True, True)"),"Methylobacillus")</f>
        <v>Methylobacillus</v>
      </c>
      <c r="D3320" t="str">
        <f>IFERROR(__xludf.DUMMYFUNCTION("""COMPUTED_VALUE"""),"flagellatus")</f>
        <v>flagellatus</v>
      </c>
      <c r="E3320" t="str">
        <f>IFERROR(__xludf.DUMMYFUNCTION("""COMPUTED_VALUE"""),"KT")</f>
        <v>KT</v>
      </c>
    </row>
    <row r="3321" ht="15.75" customHeight="1">
      <c r="A3321" t="str">
        <f t="shared" si="1"/>
        <v>M.aquaticum</v>
      </c>
      <c r="B3321" s="5" t="s">
        <v>17898</v>
      </c>
      <c r="C3321" s="6" t="str">
        <f>IFERROR(__xludf.DUMMYFUNCTION("SPLIT('2. c'!B3321, "" "", True, True)"),"Methylobacterium")</f>
        <v>Methylobacterium</v>
      </c>
      <c r="D3321" t="str">
        <f>IFERROR(__xludf.DUMMYFUNCTION("""COMPUTED_VALUE"""),"aquaticum")</f>
        <v>aquaticum</v>
      </c>
      <c r="E3321" t="str">
        <f>IFERROR(__xludf.DUMMYFUNCTION("""COMPUTED_VALUE"""),"strain")</f>
        <v>strain</v>
      </c>
      <c r="F3321" t="str">
        <f>IFERROR(__xludf.DUMMYFUNCTION("""COMPUTED_VALUE"""),"MA-22A")</f>
        <v>MA-22A</v>
      </c>
    </row>
    <row r="3322" ht="15.75" customHeight="1">
      <c r="A3322" t="str">
        <f t="shared" si="1"/>
        <v>M.extorquens</v>
      </c>
      <c r="B3322" s="5" t="s">
        <v>17906</v>
      </c>
      <c r="C3322" s="6" t="str">
        <f>IFERROR(__xludf.DUMMYFUNCTION("SPLIT('2. c'!B3322, "" "", True, True)"),"Methylobacterium")</f>
        <v>Methylobacterium</v>
      </c>
      <c r="D3322" t="str">
        <f>IFERROR(__xludf.DUMMYFUNCTION("""COMPUTED_VALUE"""),"extorquens")</f>
        <v>extorquens</v>
      </c>
      <c r="E3322" t="str">
        <f>IFERROR(__xludf.DUMMYFUNCTION("""COMPUTED_VALUE"""),"AM1")</f>
        <v>AM1</v>
      </c>
    </row>
    <row r="3323" ht="15.75" customHeight="1">
      <c r="A3323" t="str">
        <f t="shared" si="1"/>
        <v>M.extorquens</v>
      </c>
      <c r="B3323" s="5" t="s">
        <v>17916</v>
      </c>
      <c r="C3323" s="6" t="str">
        <f>IFERROR(__xludf.DUMMYFUNCTION("SPLIT('2. c'!B3323, "" "", True, True)"),"Methylobacterium")</f>
        <v>Methylobacterium</v>
      </c>
      <c r="D3323" t="str">
        <f>IFERROR(__xludf.DUMMYFUNCTION("""COMPUTED_VALUE"""),"extorquens")</f>
        <v>extorquens</v>
      </c>
      <c r="E3323" t="str">
        <f>IFERROR(__xludf.DUMMYFUNCTION("""COMPUTED_VALUE"""),"CM4")</f>
        <v>CM4</v>
      </c>
    </row>
    <row r="3324" ht="15.75" customHeight="1">
      <c r="A3324" t="str">
        <f t="shared" si="1"/>
        <v>M.extorquens</v>
      </c>
      <c r="B3324" s="5" t="s">
        <v>17923</v>
      </c>
      <c r="C3324" s="6" t="str">
        <f>IFERROR(__xludf.DUMMYFUNCTION("SPLIT('2. c'!B3324, "" "", True, True)"),"Methylobacterium")</f>
        <v>Methylobacterium</v>
      </c>
      <c r="D3324" t="str">
        <f>IFERROR(__xludf.DUMMYFUNCTION("""COMPUTED_VALUE"""),"extorquens")</f>
        <v>extorquens</v>
      </c>
      <c r="E3324" t="str">
        <f>IFERROR(__xludf.DUMMYFUNCTION("""COMPUTED_VALUE"""),"DM4")</f>
        <v>DM4</v>
      </c>
    </row>
    <row r="3325" ht="15.75" customHeight="1">
      <c r="A3325" t="str">
        <f t="shared" si="1"/>
        <v>M.extorquens</v>
      </c>
      <c r="B3325" s="5" t="s">
        <v>17926</v>
      </c>
      <c r="C3325" s="6" t="str">
        <f>IFERROR(__xludf.DUMMYFUNCTION("SPLIT('2. c'!B3325, "" "", True, True)"),"Methylobacterium")</f>
        <v>Methylobacterium</v>
      </c>
      <c r="D3325" t="str">
        <f>IFERROR(__xludf.DUMMYFUNCTION("""COMPUTED_VALUE"""),"extorquens")</f>
        <v>extorquens</v>
      </c>
      <c r="E3325" t="str">
        <f>IFERROR(__xludf.DUMMYFUNCTION("""COMPUTED_VALUE"""),"PA1")</f>
        <v>PA1</v>
      </c>
    </row>
    <row r="3326" ht="15.75" customHeight="1">
      <c r="A3326" t="str">
        <f t="shared" si="1"/>
        <v>M.nodulans</v>
      </c>
      <c r="B3326" s="5" t="s">
        <v>17934</v>
      </c>
      <c r="C3326" s="6" t="str">
        <f>IFERROR(__xludf.DUMMYFUNCTION("SPLIT('2. c'!B3326, "" "", True, True)"),"Methylobacterium")</f>
        <v>Methylobacterium</v>
      </c>
      <c r="D3326" t="str">
        <f>IFERROR(__xludf.DUMMYFUNCTION("""COMPUTED_VALUE"""),"nodulans")</f>
        <v>nodulans</v>
      </c>
      <c r="E3326" t="str">
        <f>IFERROR(__xludf.DUMMYFUNCTION("""COMPUTED_VALUE"""),"ORS")</f>
        <v>ORS</v>
      </c>
      <c r="F3326">
        <f>IFERROR(__xludf.DUMMYFUNCTION("""COMPUTED_VALUE"""),2060.0)</f>
        <v>2060</v>
      </c>
    </row>
    <row r="3327" ht="15.75" customHeight="1">
      <c r="A3327" t="str">
        <f t="shared" si="1"/>
        <v>M.oryzae</v>
      </c>
      <c r="B3327" s="5" t="s">
        <v>17943</v>
      </c>
      <c r="C3327" s="6" t="str">
        <f>IFERROR(__xludf.DUMMYFUNCTION("SPLIT('2. c'!B3327, "" "", True, True)"),"Methylobacterium")</f>
        <v>Methylobacterium</v>
      </c>
      <c r="D3327" t="str">
        <f>IFERROR(__xludf.DUMMYFUNCTION("""COMPUTED_VALUE"""),"oryzae")</f>
        <v>oryzae</v>
      </c>
      <c r="E3327" t="str">
        <f>IFERROR(__xludf.DUMMYFUNCTION("""COMPUTED_VALUE"""),"CBMB20")</f>
        <v>CBMB20</v>
      </c>
    </row>
    <row r="3328" ht="15.75" customHeight="1">
      <c r="A3328" t="str">
        <f t="shared" si="1"/>
        <v>M.populi</v>
      </c>
      <c r="B3328" s="5" t="s">
        <v>17951</v>
      </c>
      <c r="C3328" s="6" t="str">
        <f>IFERROR(__xludf.DUMMYFUNCTION("SPLIT('2. c'!B3328, "" "", True, True)"),"Methylobacterium")</f>
        <v>Methylobacterium</v>
      </c>
      <c r="D3328" t="str">
        <f>IFERROR(__xludf.DUMMYFUNCTION("""COMPUTED_VALUE"""),"populi")</f>
        <v>populi</v>
      </c>
      <c r="E3328" t="str">
        <f>IFERROR(__xludf.DUMMYFUNCTION("""COMPUTED_VALUE"""),"BJ001")</f>
        <v>BJ001</v>
      </c>
    </row>
    <row r="3329" ht="15.75" customHeight="1">
      <c r="A3329" t="str">
        <f t="shared" si="1"/>
        <v>M.radiotolerans</v>
      </c>
      <c r="B3329" s="5" t="s">
        <v>17958</v>
      </c>
      <c r="C3329" s="6" t="str">
        <f>IFERROR(__xludf.DUMMYFUNCTION("SPLIT('2. c'!B3329, "" "", True, True)"),"Methylobacterium")</f>
        <v>Methylobacterium</v>
      </c>
      <c r="D3329" t="str">
        <f>IFERROR(__xludf.DUMMYFUNCTION("""COMPUTED_VALUE"""),"radiotolerans")</f>
        <v>radiotolerans</v>
      </c>
      <c r="E3329" t="str">
        <f>IFERROR(__xludf.DUMMYFUNCTION("""COMPUTED_VALUE"""),"JCM")</f>
        <v>JCM</v>
      </c>
      <c r="F3329">
        <f>IFERROR(__xludf.DUMMYFUNCTION("""COMPUTED_VALUE"""),2831.0)</f>
        <v>2831</v>
      </c>
    </row>
    <row r="3330" ht="15.75" customHeight="1">
      <c r="A3330" t="str">
        <f t="shared" si="1"/>
        <v>M.sp.</v>
      </c>
      <c r="B3330" s="5" t="s">
        <v>17964</v>
      </c>
      <c r="C3330" s="6" t="str">
        <f>IFERROR(__xludf.DUMMYFUNCTION("SPLIT('2. c'!B3330, "" "", True, True)"),"Methylobacterium")</f>
        <v>Methylobacterium</v>
      </c>
      <c r="D3330" t="str">
        <f>IFERROR(__xludf.DUMMYFUNCTION("""COMPUTED_VALUE"""),"sp.")</f>
        <v>sp.</v>
      </c>
      <c r="E3330" t="str">
        <f>IFERROR(__xludf.DUMMYFUNCTION("""COMPUTED_VALUE"""),"4-46")</f>
        <v>4-46</v>
      </c>
    </row>
    <row r="3331" ht="15.75" customHeight="1">
      <c r="A3331" t="str">
        <f t="shared" si="1"/>
        <v>M.sp.</v>
      </c>
      <c r="B3331" s="5" t="s">
        <v>17974</v>
      </c>
      <c r="C3331" s="6" t="str">
        <f>IFERROR(__xludf.DUMMYFUNCTION("SPLIT('2. c'!B3331, "" "", True, True)"),"Methylobacterium")</f>
        <v>Methylobacterium</v>
      </c>
      <c r="D3331" t="str">
        <f>IFERROR(__xludf.DUMMYFUNCTION("""COMPUTED_VALUE"""),"sp.")</f>
        <v>sp.</v>
      </c>
      <c r="E3331" t="str">
        <f>IFERROR(__xludf.DUMMYFUNCTION("""COMPUTED_VALUE"""),"AMS5")</f>
        <v>AMS5</v>
      </c>
    </row>
    <row r="3332" ht="15.75" customHeight="1">
      <c r="A3332" t="str">
        <f t="shared" si="1"/>
        <v>M.caenitepidi</v>
      </c>
      <c r="B3332" s="5" t="s">
        <v>17982</v>
      </c>
      <c r="C3332" s="6" t="str">
        <f>IFERROR(__xludf.DUMMYFUNCTION("SPLIT('2. c'!B3332, "" "", True, True)"),"Methyloceanibacter")</f>
        <v>Methyloceanibacter</v>
      </c>
      <c r="D3332" t="str">
        <f>IFERROR(__xludf.DUMMYFUNCTION("""COMPUTED_VALUE"""),"caenitepidi")</f>
        <v>caenitepidi</v>
      </c>
      <c r="E3332" t="str">
        <f>IFERROR(__xludf.DUMMYFUNCTION("""COMPUTED_VALUE"""),"Gela4")</f>
        <v>Gela4</v>
      </c>
    </row>
    <row r="3333" ht="15.75" customHeight="1">
      <c r="A3333" t="str">
        <f t="shared" si="1"/>
        <v>M.silvestris</v>
      </c>
      <c r="B3333" s="5" t="s">
        <v>17989</v>
      </c>
      <c r="C3333" s="6" t="str">
        <f>IFERROR(__xludf.DUMMYFUNCTION("SPLIT('2. c'!B3333, "" "", True, True)"),"Methylocella")</f>
        <v>Methylocella</v>
      </c>
      <c r="D3333" t="str">
        <f>IFERROR(__xludf.DUMMYFUNCTION("""COMPUTED_VALUE"""),"silvestris")</f>
        <v>silvestris</v>
      </c>
      <c r="E3333" t="str">
        <f>IFERROR(__xludf.DUMMYFUNCTION("""COMPUTED_VALUE"""),"BL2")</f>
        <v>BL2</v>
      </c>
    </row>
    <row r="3334" ht="15.75" customHeight="1">
      <c r="A3334" t="str">
        <f t="shared" si="1"/>
        <v>M.capsulatus</v>
      </c>
      <c r="B3334" s="5" t="s">
        <v>17997</v>
      </c>
      <c r="C3334" s="6" t="str">
        <f>IFERROR(__xludf.DUMMYFUNCTION("SPLIT('2. c'!B3334, "" "", True, True)"),"Methylococcus")</f>
        <v>Methylococcus</v>
      </c>
      <c r="D3334" t="str">
        <f>IFERROR(__xludf.DUMMYFUNCTION("""COMPUTED_VALUE"""),"capsulatus")</f>
        <v>capsulatus</v>
      </c>
      <c r="E3334" t="str">
        <f>IFERROR(__xludf.DUMMYFUNCTION("""COMPUTED_VALUE"""),"str.")</f>
        <v>str.</v>
      </c>
      <c r="F3334" t="str">
        <f>IFERROR(__xludf.DUMMYFUNCTION("""COMPUTED_VALUE"""),"Bath")</f>
        <v>Bath</v>
      </c>
    </row>
    <row r="3335" ht="15.75" customHeight="1">
      <c r="A3335" t="str">
        <f t="shared" si="1"/>
        <v>M.sp.</v>
      </c>
      <c r="B3335" s="5" t="s">
        <v>18006</v>
      </c>
      <c r="C3335" s="6" t="str">
        <f>IFERROR(__xludf.DUMMYFUNCTION("SPLIT('2. c'!B3335, "" "", True, True)"),"Methylocystis")</f>
        <v>Methylocystis</v>
      </c>
      <c r="D3335" t="str">
        <f>IFERROR(__xludf.DUMMYFUNCTION("""COMPUTED_VALUE"""),"sp.")</f>
        <v>sp.</v>
      </c>
      <c r="E3335" t="str">
        <f>IFERROR(__xludf.DUMMYFUNCTION("""COMPUTED_VALUE"""),"SC2")</f>
        <v>SC2</v>
      </c>
    </row>
    <row r="3336" ht="15.75" customHeight="1">
      <c r="A3336" t="str">
        <f t="shared" si="1"/>
        <v>M.alcaliphilum</v>
      </c>
      <c r="B3336" s="5" t="s">
        <v>18013</v>
      </c>
      <c r="C3336" s="6" t="str">
        <f>IFERROR(__xludf.DUMMYFUNCTION("SPLIT('2. c'!B3336, "" "", True, True)"),"Methylomicrobium")</f>
        <v>Methylomicrobium</v>
      </c>
      <c r="D3336" t="str">
        <f>IFERROR(__xludf.DUMMYFUNCTION("""COMPUTED_VALUE"""),"alcaliphilum")</f>
        <v>alcaliphilum</v>
      </c>
      <c r="E3336" t="str">
        <f>IFERROR(__xludf.DUMMYFUNCTION("""COMPUTED_VALUE"""),"strain")</f>
        <v>strain</v>
      </c>
      <c r="F3336" t="str">
        <f>IFERROR(__xludf.DUMMYFUNCTION("""COMPUTED_VALUE"""),"20Z")</f>
        <v>20Z</v>
      </c>
    </row>
    <row r="3337" ht="15.75" customHeight="1">
      <c r="A3337" t="str">
        <f t="shared" si="1"/>
        <v>M.methanica</v>
      </c>
      <c r="B3337" s="5" t="s">
        <v>18022</v>
      </c>
      <c r="C3337" s="6" t="str">
        <f>IFERROR(__xludf.DUMMYFUNCTION("SPLIT('2. c'!B3337, "" "", True, True)"),"Methylomonas")</f>
        <v>Methylomonas</v>
      </c>
      <c r="D3337" t="str">
        <f>IFERROR(__xludf.DUMMYFUNCTION("""COMPUTED_VALUE"""),"methanica")</f>
        <v>methanica</v>
      </c>
      <c r="E3337" t="str">
        <f>IFERROR(__xludf.DUMMYFUNCTION("""COMPUTED_VALUE"""),"MC09")</f>
        <v>MC09</v>
      </c>
    </row>
    <row r="3338" ht="15.75" customHeight="1">
      <c r="A3338" t="str">
        <f t="shared" si="1"/>
        <v>M.sp.</v>
      </c>
      <c r="B3338" s="5" t="s">
        <v>18029</v>
      </c>
      <c r="C3338" s="6" t="str">
        <f>IFERROR(__xludf.DUMMYFUNCTION("SPLIT('2. c'!B3338, "" "", True, True)"),"Methylomonas")</f>
        <v>Methylomonas</v>
      </c>
      <c r="D3338" t="str">
        <f>IFERROR(__xludf.DUMMYFUNCTION("""COMPUTED_VALUE"""),"sp.")</f>
        <v>sp.</v>
      </c>
      <c r="E3338" t="str">
        <f>IFERROR(__xludf.DUMMYFUNCTION("""COMPUTED_VALUE"""),"DH-1")</f>
        <v>DH-1</v>
      </c>
    </row>
    <row r="3339" ht="15.75" customHeight="1">
      <c r="A3339" t="str">
        <f t="shared" si="1"/>
        <v>M.sp.</v>
      </c>
      <c r="B3339" s="5" t="s">
        <v>18036</v>
      </c>
      <c r="C3339" s="6" t="str">
        <f>IFERROR(__xludf.DUMMYFUNCTION("SPLIT('2. c'!B3339, "" "", True, True)"),"Methylophaga")</f>
        <v>Methylophaga</v>
      </c>
      <c r="D3339" t="str">
        <f>IFERROR(__xludf.DUMMYFUNCTION("""COMPUTED_VALUE"""),"sp.")</f>
        <v>sp.</v>
      </c>
      <c r="E3339" t="str">
        <f>IFERROR(__xludf.DUMMYFUNCTION("""COMPUTED_VALUE"""),"JAM1")</f>
        <v>JAM1</v>
      </c>
    </row>
    <row r="3340" ht="15.75" customHeight="1">
      <c r="A3340" t="str">
        <f t="shared" si="1"/>
        <v>M.sp.</v>
      </c>
      <c r="B3340" s="5" t="s">
        <v>18045</v>
      </c>
      <c r="C3340" s="6" t="str">
        <f>IFERROR(__xludf.DUMMYFUNCTION("SPLIT('2. c'!B3340, "" "", True, True)"),"Methylophaga")</f>
        <v>Methylophaga</v>
      </c>
      <c r="D3340" t="str">
        <f>IFERROR(__xludf.DUMMYFUNCTION("""COMPUTED_VALUE"""),"sp.")</f>
        <v>sp.</v>
      </c>
      <c r="E3340" t="str">
        <f>IFERROR(__xludf.DUMMYFUNCTION("""COMPUTED_VALUE"""),"JAM7")</f>
        <v>JAM7</v>
      </c>
    </row>
    <row r="3341" ht="15.75" customHeight="1">
      <c r="A3341" t="str">
        <f t="shared" si="1"/>
        <v>M.bacterium</v>
      </c>
      <c r="B3341" s="5" t="s">
        <v>18051</v>
      </c>
      <c r="C3341" s="6" t="str">
        <f>IFERROR(__xludf.DUMMYFUNCTION("SPLIT('2. c'!B3341, "" "", True, True)"),"Methylophilales")</f>
        <v>Methylophilales</v>
      </c>
      <c r="D3341" t="str">
        <f>IFERROR(__xludf.DUMMYFUNCTION("""COMPUTED_VALUE"""),"bacterium")</f>
        <v>bacterium</v>
      </c>
      <c r="E3341" t="str">
        <f>IFERROR(__xludf.DUMMYFUNCTION("""COMPUTED_VALUE"""),"MBRSF5")</f>
        <v>MBRSF5</v>
      </c>
    </row>
    <row r="3342" ht="15.75" customHeight="1">
      <c r="A3342" t="str">
        <f t="shared" si="1"/>
        <v>M.bacterium</v>
      </c>
      <c r="B3342" s="5" t="s">
        <v>18059</v>
      </c>
      <c r="C3342" s="6" t="str">
        <f>IFERROR(__xludf.DUMMYFUNCTION("SPLIT('2. c'!B3342, "" "", True, True)"),"Methylophilales")</f>
        <v>Methylophilales</v>
      </c>
      <c r="D3342" t="str">
        <f>IFERROR(__xludf.DUMMYFUNCTION("""COMPUTED_VALUE"""),"bacterium")</f>
        <v>bacterium</v>
      </c>
      <c r="E3342" t="str">
        <f>IFERROR(__xludf.DUMMYFUNCTION("""COMPUTED_VALUE"""),"MBRSG12")</f>
        <v>MBRSG12</v>
      </c>
    </row>
    <row r="3343" ht="15.75" customHeight="1">
      <c r="A3343" t="str">
        <f t="shared" si="1"/>
        <v>M.bacterium</v>
      </c>
      <c r="B3343" s="5" t="s">
        <v>18067</v>
      </c>
      <c r="C3343" s="6" t="str">
        <f>IFERROR(__xludf.DUMMYFUNCTION("SPLIT('2. c'!B3343, "" "", True, True)"),"Methylophilales")</f>
        <v>Methylophilales</v>
      </c>
      <c r="D3343" t="str">
        <f>IFERROR(__xludf.DUMMYFUNCTION("""COMPUTED_VALUE"""),"bacterium")</f>
        <v>bacterium</v>
      </c>
      <c r="E3343" t="str">
        <f>IFERROR(__xludf.DUMMYFUNCTION("""COMPUTED_VALUE"""),"MBRSH7")</f>
        <v>MBRSH7</v>
      </c>
    </row>
    <row r="3344" ht="15.75" customHeight="1">
      <c r="A3344" t="str">
        <f t="shared" si="1"/>
        <v>M.sp.</v>
      </c>
      <c r="B3344" s="5" t="s">
        <v>18074</v>
      </c>
      <c r="C3344" s="6" t="str">
        <f>IFERROR(__xludf.DUMMYFUNCTION("SPLIT('2. c'!B3344, "" "", True, True)"),"Methylophilus")</f>
        <v>Methylophilus</v>
      </c>
      <c r="D3344" t="str">
        <f>IFERROR(__xludf.DUMMYFUNCTION("""COMPUTED_VALUE"""),"sp.")</f>
        <v>sp.</v>
      </c>
      <c r="E3344" t="str">
        <f>IFERROR(__xludf.DUMMYFUNCTION("""COMPUTED_VALUE"""),"TWE2")</f>
        <v>TWE2</v>
      </c>
    </row>
    <row r="3345" ht="15.75" customHeight="1">
      <c r="A3345" t="str">
        <f t="shared" si="1"/>
        <v>M.mobilis</v>
      </c>
      <c r="B3345" s="5" t="s">
        <v>18082</v>
      </c>
      <c r="C3345" s="6" t="str">
        <f>IFERROR(__xludf.DUMMYFUNCTION("SPLIT('2. c'!B3345, "" "", True, True)"),"Methylotenera")</f>
        <v>Methylotenera</v>
      </c>
      <c r="D3345" t="str">
        <f>IFERROR(__xludf.DUMMYFUNCTION("""COMPUTED_VALUE"""),"mobilis")</f>
        <v>mobilis</v>
      </c>
      <c r="E3345" t="str">
        <f>IFERROR(__xludf.DUMMYFUNCTION("""COMPUTED_VALUE"""),"JLW8")</f>
        <v>JLW8</v>
      </c>
    </row>
    <row r="3346" ht="15.75" customHeight="1">
      <c r="A3346" t="str">
        <f t="shared" si="1"/>
        <v>M.versatilis</v>
      </c>
      <c r="B3346" s="5" t="s">
        <v>18092</v>
      </c>
      <c r="C3346" s="6" t="str">
        <f>IFERROR(__xludf.DUMMYFUNCTION("SPLIT('2. c'!B3346, "" "", True, True)"),"Methylotenera")</f>
        <v>Methylotenera</v>
      </c>
      <c r="D3346" t="str">
        <f>IFERROR(__xludf.DUMMYFUNCTION("""COMPUTED_VALUE"""),"versatilis")</f>
        <v>versatilis</v>
      </c>
      <c r="E3346">
        <f>IFERROR(__xludf.DUMMYFUNCTION("""COMPUTED_VALUE"""),301.0)</f>
        <v>301</v>
      </c>
    </row>
    <row r="3347" ht="15.75" customHeight="1">
      <c r="A3347" t="str">
        <f t="shared" si="1"/>
        <v>M.glucosetrophus</v>
      </c>
      <c r="B3347" s="5" t="s">
        <v>18101</v>
      </c>
      <c r="C3347" s="6" t="str">
        <f>IFERROR(__xludf.DUMMYFUNCTION("SPLIT('2. c'!B3347, "" "", True, True)"),"Methylovorus")</f>
        <v>Methylovorus</v>
      </c>
      <c r="D3347" t="str">
        <f>IFERROR(__xludf.DUMMYFUNCTION("""COMPUTED_VALUE"""),"glucosetrophus")</f>
        <v>glucosetrophus</v>
      </c>
      <c r="E3347" t="str">
        <f>IFERROR(__xludf.DUMMYFUNCTION("""COMPUTED_VALUE"""),"SIP3-4")</f>
        <v>SIP3-4</v>
      </c>
    </row>
    <row r="3348" ht="15.75" customHeight="1">
      <c r="A3348" t="str">
        <f t="shared" si="1"/>
        <v>M.sp.</v>
      </c>
      <c r="B3348" s="5" t="s">
        <v>18111</v>
      </c>
      <c r="C3348" s="6" t="str">
        <f>IFERROR(__xludf.DUMMYFUNCTION("SPLIT('2. c'!B3348, "" "", True, True)"),"Methylovorus")</f>
        <v>Methylovorus</v>
      </c>
      <c r="D3348" t="str">
        <f>IFERROR(__xludf.DUMMYFUNCTION("""COMPUTED_VALUE"""),"sp.")</f>
        <v>sp.</v>
      </c>
      <c r="E3348" t="str">
        <f>IFERROR(__xludf.DUMMYFUNCTION("""COMPUTED_VALUE"""),"MP688")</f>
        <v>MP688</v>
      </c>
    </row>
    <row r="3349" ht="15.75" customHeight="1">
      <c r="A3349" t="str">
        <f t="shared" si="1"/>
        <v>M.aeruginosavorus</v>
      </c>
      <c r="B3349" s="5" t="s">
        <v>18119</v>
      </c>
      <c r="C3349" s="6" t="str">
        <f>IFERROR(__xludf.DUMMYFUNCTION("SPLIT('2. c'!B3349, "" "", True, True)"),"Micavibrio")</f>
        <v>Micavibrio</v>
      </c>
      <c r="D3349" t="str">
        <f>IFERROR(__xludf.DUMMYFUNCTION("""COMPUTED_VALUE"""),"aeruginosavorus")</f>
        <v>aeruginosavorus</v>
      </c>
      <c r="E3349" t="str">
        <f>IFERROR(__xludf.DUMMYFUNCTION("""COMPUTED_VALUE"""),"ARL-13")</f>
        <v>ARL-13</v>
      </c>
    </row>
    <row r="3350" ht="15.75" customHeight="1">
      <c r="A3350" t="str">
        <f t="shared" si="1"/>
        <v>M.aeruginosavorus</v>
      </c>
      <c r="B3350" s="5" t="s">
        <v>18128</v>
      </c>
      <c r="C3350" s="6" t="str">
        <f>IFERROR(__xludf.DUMMYFUNCTION("SPLIT('2. c'!B3350, "" "", True, True)"),"Micavibrio")</f>
        <v>Micavibrio</v>
      </c>
      <c r="D3350" t="str">
        <f>IFERROR(__xludf.DUMMYFUNCTION("""COMPUTED_VALUE"""),"aeruginosavorus")</f>
        <v>aeruginosavorus</v>
      </c>
      <c r="E3350" t="str">
        <f>IFERROR(__xludf.DUMMYFUNCTION("""COMPUTED_VALUE"""),"EPB")</f>
        <v>EPB</v>
      </c>
    </row>
    <row r="3351" ht="15.75" customHeight="1">
      <c r="A3351" t="str">
        <f t="shared" si="1"/>
        <v>M.chocolatum</v>
      </c>
      <c r="B3351" s="5" t="s">
        <v>18135</v>
      </c>
      <c r="C3351" s="6" t="str">
        <f>IFERROR(__xludf.DUMMYFUNCTION("SPLIT('2. c'!B3351, "" "", True, True)"),"Microbacterium")</f>
        <v>Microbacterium</v>
      </c>
      <c r="D3351" t="str">
        <f>IFERROR(__xludf.DUMMYFUNCTION("""COMPUTED_VALUE"""),"chocolatum")</f>
        <v>chocolatum</v>
      </c>
      <c r="E3351" t="str">
        <f>IFERROR(__xludf.DUMMYFUNCTION("""COMPUTED_VALUE"""),"strain")</f>
        <v>strain</v>
      </c>
      <c r="F3351" t="str">
        <f>IFERROR(__xludf.DUMMYFUNCTION("""COMPUTED_VALUE"""),"SIT")</f>
        <v>SIT</v>
      </c>
      <c r="G3351">
        <f>IFERROR(__xludf.DUMMYFUNCTION("""COMPUTED_VALUE"""),101.0)</f>
        <v>101</v>
      </c>
    </row>
    <row r="3352" ht="15.75" customHeight="1">
      <c r="A3352" t="str">
        <f t="shared" si="1"/>
        <v>M.sp.</v>
      </c>
      <c r="B3352" s="5" t="s">
        <v>18144</v>
      </c>
      <c r="C3352" s="6" t="str">
        <f>IFERROR(__xludf.DUMMYFUNCTION("SPLIT('2. c'!B3352, "" "", True, True)"),"Microbacterium")</f>
        <v>Microbacterium</v>
      </c>
      <c r="D3352" t="str">
        <f>IFERROR(__xludf.DUMMYFUNCTION("""COMPUTED_VALUE"""),"sp.")</f>
        <v>sp.</v>
      </c>
      <c r="E3352" t="str">
        <f>IFERROR(__xludf.DUMMYFUNCTION("""COMPUTED_VALUE"""),"CGR1")</f>
        <v>CGR1</v>
      </c>
    </row>
    <row r="3353" ht="15.75" customHeight="1">
      <c r="A3353" t="str">
        <f t="shared" si="1"/>
        <v>M.sp.</v>
      </c>
      <c r="B3353" s="5" t="s">
        <v>18152</v>
      </c>
      <c r="C3353" s="6" t="str">
        <f>IFERROR(__xludf.DUMMYFUNCTION("SPLIT('2. c'!B3353, "" "", True, True)"),"Microbacterium")</f>
        <v>Microbacterium</v>
      </c>
      <c r="D3353" t="str">
        <f>IFERROR(__xludf.DUMMYFUNCTION("""COMPUTED_VALUE"""),"sp.")</f>
        <v>sp.</v>
      </c>
      <c r="E3353" t="str">
        <f>IFERROR(__xludf.DUMMYFUNCTION("""COMPUTED_VALUE"""),"No.")</f>
        <v>No.</v>
      </c>
      <c r="F3353">
        <f>IFERROR(__xludf.DUMMYFUNCTION("""COMPUTED_VALUE"""),7.0)</f>
        <v>7</v>
      </c>
    </row>
    <row r="3354" ht="15.75" customHeight="1">
      <c r="A3354" t="str">
        <f t="shared" si="1"/>
        <v>M.sp.</v>
      </c>
      <c r="B3354" s="5" t="s">
        <v>18161</v>
      </c>
      <c r="C3354" s="6" t="str">
        <f>IFERROR(__xludf.DUMMYFUNCTION("SPLIT('2. c'!B3354, "" "", True, True)"),"Microbacterium")</f>
        <v>Microbacterium</v>
      </c>
      <c r="D3354" t="str">
        <f>IFERROR(__xludf.DUMMYFUNCTION("""COMPUTED_VALUE"""),"sp.")</f>
        <v>sp.</v>
      </c>
      <c r="E3354" t="str">
        <f>IFERROR(__xludf.DUMMYFUNCTION("""COMPUTED_VALUE"""),"PAMC")</f>
        <v>PAMC</v>
      </c>
      <c r="F3354">
        <f>IFERROR(__xludf.DUMMYFUNCTION("""COMPUTED_VALUE"""),28756.0)</f>
        <v>28756</v>
      </c>
    </row>
    <row r="3355" ht="15.75" customHeight="1">
      <c r="A3355" t="str">
        <f t="shared" si="1"/>
        <v>M.sp.</v>
      </c>
      <c r="B3355" s="5" t="s">
        <v>18169</v>
      </c>
      <c r="C3355" s="6" t="str">
        <f>IFERROR(__xludf.DUMMYFUNCTION("SPLIT('2. c'!B3355, "" "", True, True)"),"Microbacterium")</f>
        <v>Microbacterium</v>
      </c>
      <c r="D3355" t="str">
        <f>IFERROR(__xludf.DUMMYFUNCTION("""COMPUTED_VALUE"""),"sp.")</f>
        <v>sp.</v>
      </c>
      <c r="E3355" t="str">
        <f>IFERROR(__xludf.DUMMYFUNCTION("""COMPUTED_VALUE"""),"XT11")</f>
        <v>XT11</v>
      </c>
    </row>
    <row r="3356" ht="15.75" customHeight="1">
      <c r="A3356" t="str">
        <f t="shared" si="1"/>
        <v>M.testaceum</v>
      </c>
      <c r="B3356" s="5" t="s">
        <v>18176</v>
      </c>
      <c r="C3356" s="6" t="str">
        <f>IFERROR(__xludf.DUMMYFUNCTION("SPLIT('2. c'!B3356, "" "", True, True)"),"Microbacterium")</f>
        <v>Microbacterium</v>
      </c>
      <c r="D3356" t="str">
        <f>IFERROR(__xludf.DUMMYFUNCTION("""COMPUTED_VALUE"""),"testaceum")</f>
        <v>testaceum</v>
      </c>
      <c r="E3356" t="str">
        <f>IFERROR(__xludf.DUMMYFUNCTION("""COMPUTED_VALUE"""),"StLB037")</f>
        <v>StLB037</v>
      </c>
    </row>
    <row r="3357" ht="15.75" customHeight="1">
      <c r="A3357" t="str">
        <f t="shared" si="1"/>
        <v>M.thermotolerans</v>
      </c>
      <c r="B3357" s="5" t="s">
        <v>18187</v>
      </c>
      <c r="C3357" s="6" t="str">
        <f>IFERROR(__xludf.DUMMYFUNCTION("SPLIT('2. c'!B3357, "" "", True, True)"),"Microbulbifer")</f>
        <v>Microbulbifer</v>
      </c>
      <c r="D3357" t="str">
        <f>IFERROR(__xludf.DUMMYFUNCTION("""COMPUTED_VALUE"""),"thermotolerans")</f>
        <v>thermotolerans</v>
      </c>
      <c r="E3357" t="str">
        <f>IFERROR(__xludf.DUMMYFUNCTION("""COMPUTED_VALUE"""),"strain")</f>
        <v>strain</v>
      </c>
      <c r="F3357" t="str">
        <f>IFERROR(__xludf.DUMMYFUNCTION("""COMPUTED_VALUE"""),"DAU221")</f>
        <v>DAU221</v>
      </c>
    </row>
    <row r="3358" ht="15.75" customHeight="1">
      <c r="A3358" t="str">
        <f t="shared" si="1"/>
        <v>M.luteus</v>
      </c>
      <c r="B3358" s="5" t="s">
        <v>18194</v>
      </c>
      <c r="C3358" s="6" t="str">
        <f>IFERROR(__xludf.DUMMYFUNCTION("SPLIT('2. c'!B3358, "" "", True, True)"),"Micrococcus")</f>
        <v>Micrococcus</v>
      </c>
      <c r="D3358" t="str">
        <f>IFERROR(__xludf.DUMMYFUNCTION("""COMPUTED_VALUE"""),"luteus")</f>
        <v>luteus</v>
      </c>
      <c r="E3358" t="str">
        <f>IFERROR(__xludf.DUMMYFUNCTION("""COMPUTED_VALUE"""),"NCTC")</f>
        <v>NCTC</v>
      </c>
      <c r="F3358">
        <f>IFERROR(__xludf.DUMMYFUNCTION("""COMPUTED_VALUE"""),2665.0)</f>
        <v>2665</v>
      </c>
    </row>
    <row r="3359" ht="15.75" customHeight="1">
      <c r="A3359" t="str">
        <f t="shared" si="1"/>
        <v>M.luteus</v>
      </c>
      <c r="B3359" s="5" t="s">
        <v>18202</v>
      </c>
      <c r="C3359" s="6" t="str">
        <f>IFERROR(__xludf.DUMMYFUNCTION("SPLIT('2. c'!B3359, "" "", True, True)"),"Micrococcus")</f>
        <v>Micrococcus</v>
      </c>
      <c r="D3359" t="str">
        <f>IFERROR(__xludf.DUMMYFUNCTION("""COMPUTED_VALUE"""),"luteus")</f>
        <v>luteus</v>
      </c>
      <c r="E3359" t="str">
        <f>IFERROR(__xludf.DUMMYFUNCTION("""COMPUTED_VALUE"""),"strain")</f>
        <v>strain</v>
      </c>
      <c r="F3359" t="str">
        <f>IFERROR(__xludf.DUMMYFUNCTION("""COMPUTED_VALUE"""),"trpE16")</f>
        <v>trpE16</v>
      </c>
    </row>
    <row r="3360" ht="15.75" customHeight="1">
      <c r="A3360" t="str">
        <f t="shared" si="1"/>
        <v>M.sp.</v>
      </c>
      <c r="B3360" s="5" t="s">
        <v>18208</v>
      </c>
      <c r="C3360" s="6" t="str">
        <f>IFERROR(__xludf.DUMMYFUNCTION("SPLIT('2. c'!B3360, "" "", True, True)"),"Microcoleus")</f>
        <v>Microcoleus</v>
      </c>
      <c r="D3360" t="str">
        <f>IFERROR(__xludf.DUMMYFUNCTION("""COMPUTED_VALUE"""),"sp.")</f>
        <v>sp.</v>
      </c>
      <c r="E3360" t="str">
        <f>IFERROR(__xludf.DUMMYFUNCTION("""COMPUTED_VALUE"""),"PCC")</f>
        <v>PCC</v>
      </c>
      <c r="F3360">
        <f>IFERROR(__xludf.DUMMYFUNCTION("""COMPUTED_VALUE"""),7113.0)</f>
        <v>7113</v>
      </c>
    </row>
    <row r="3361" ht="15.75" customHeight="1">
      <c r="A3361" t="str">
        <f t="shared" si="1"/>
        <v>M.aeruginosa</v>
      </c>
      <c r="B3361" s="5" t="s">
        <v>18216</v>
      </c>
      <c r="C3361" s="6" t="str">
        <f>IFERROR(__xludf.DUMMYFUNCTION("SPLIT('2. c'!B3361, "" "", True, True)"),"Microcystis")</f>
        <v>Microcystis</v>
      </c>
      <c r="D3361" t="str">
        <f>IFERROR(__xludf.DUMMYFUNCTION("""COMPUTED_VALUE"""),"aeruginosa")</f>
        <v>aeruginosa</v>
      </c>
      <c r="E3361" t="str">
        <f>IFERROR(__xludf.DUMMYFUNCTION("""COMPUTED_VALUE"""),"NIES-2549")</f>
        <v>NIES-2549</v>
      </c>
    </row>
    <row r="3362" ht="15.75" customHeight="1">
      <c r="A3362" t="str">
        <f t="shared" si="1"/>
        <v>M.aeruginosa</v>
      </c>
      <c r="B3362" s="5" t="s">
        <v>18223</v>
      </c>
      <c r="C3362" s="6" t="str">
        <f>IFERROR(__xludf.DUMMYFUNCTION("SPLIT('2. c'!B3362, "" "", True, True)"),"Microcystis")</f>
        <v>Microcystis</v>
      </c>
      <c r="D3362" t="str">
        <f>IFERROR(__xludf.DUMMYFUNCTION("""COMPUTED_VALUE"""),"aeruginosa")</f>
        <v>aeruginosa</v>
      </c>
      <c r="E3362" t="str">
        <f>IFERROR(__xludf.DUMMYFUNCTION("""COMPUTED_VALUE"""),"NIES-843")</f>
        <v>NIES-843</v>
      </c>
    </row>
    <row r="3363" ht="15.75" customHeight="1">
      <c r="A3363" t="str">
        <f t="shared" si="1"/>
        <v>M.panniformis</v>
      </c>
      <c r="B3363" s="5" t="s">
        <v>18230</v>
      </c>
      <c r="C3363" s="6" t="str">
        <f>IFERROR(__xludf.DUMMYFUNCTION("SPLIT('2. c'!B3363, "" "", True, True)"),"Microcystis")</f>
        <v>Microcystis</v>
      </c>
      <c r="D3363" t="str">
        <f>IFERROR(__xludf.DUMMYFUNCTION("""COMPUTED_VALUE"""),"panniformis")</f>
        <v>panniformis</v>
      </c>
      <c r="E3363" t="str">
        <f>IFERROR(__xludf.DUMMYFUNCTION("""COMPUTED_VALUE"""),"FACHB-1757")</f>
        <v>FACHB-1757</v>
      </c>
    </row>
    <row r="3364" ht="15.75" customHeight="1">
      <c r="A3364" t="str">
        <f t="shared" si="1"/>
        <v>M.phosphovorus</v>
      </c>
      <c r="B3364" s="5" t="s">
        <v>18237</v>
      </c>
      <c r="C3364" s="6" t="str">
        <f>IFERROR(__xludf.DUMMYFUNCTION("SPLIT('2. c'!B3364, "" "", True, True)"),"Microlunatus")</f>
        <v>Microlunatus</v>
      </c>
      <c r="D3364" t="str">
        <f>IFERROR(__xludf.DUMMYFUNCTION("""COMPUTED_VALUE"""),"phosphovorus")</f>
        <v>phosphovorus</v>
      </c>
      <c r="E3364" t="str">
        <f>IFERROR(__xludf.DUMMYFUNCTION("""COMPUTED_VALUE"""),"NM-1")</f>
        <v>NM-1</v>
      </c>
    </row>
    <row r="3365" ht="15.75" customHeight="1">
      <c r="A3365" t="str">
        <f t="shared" si="1"/>
        <v>M.aurantiaca</v>
      </c>
      <c r="B3365" s="5" t="s">
        <v>18246</v>
      </c>
      <c r="C3365" s="6" t="str">
        <f>IFERROR(__xludf.DUMMYFUNCTION("SPLIT('2. c'!B3365, "" "", True, True)"),"Micromonospora")</f>
        <v>Micromonospora</v>
      </c>
      <c r="D3365" t="str">
        <f>IFERROR(__xludf.DUMMYFUNCTION("""COMPUTED_VALUE"""),"aurantiaca")</f>
        <v>aurantiaca</v>
      </c>
      <c r="E3365" t="str">
        <f>IFERROR(__xludf.DUMMYFUNCTION("""COMPUTED_VALUE"""),"ATCC")</f>
        <v>ATCC</v>
      </c>
      <c r="F3365">
        <f>IFERROR(__xludf.DUMMYFUNCTION("""COMPUTED_VALUE"""),27029.0)</f>
        <v>27029</v>
      </c>
    </row>
    <row r="3366" ht="15.75" customHeight="1">
      <c r="A3366" t="str">
        <f t="shared" si="1"/>
        <v>M.auratinigra</v>
      </c>
      <c r="B3366" s="5" t="s">
        <v>18255</v>
      </c>
      <c r="C3366" s="6" t="str">
        <f>IFERROR(__xludf.DUMMYFUNCTION("SPLIT('2. c'!B3366, "" "", True, True)"),"Micromonospora")</f>
        <v>Micromonospora</v>
      </c>
      <c r="D3366" t="str">
        <f>IFERROR(__xludf.DUMMYFUNCTION("""COMPUTED_VALUE"""),"auratinigra")</f>
        <v>auratinigra</v>
      </c>
      <c r="E3366" t="str">
        <f>IFERROR(__xludf.DUMMYFUNCTION("""COMPUTED_VALUE"""),"strain")</f>
        <v>strain</v>
      </c>
      <c r="F3366" t="str">
        <f>IFERROR(__xludf.DUMMYFUNCTION("""COMPUTED_VALUE"""),"DSM")</f>
        <v>DSM</v>
      </c>
      <c r="G3366">
        <f>IFERROR(__xludf.DUMMYFUNCTION("""COMPUTED_VALUE"""),44815.0)</f>
        <v>44815</v>
      </c>
    </row>
    <row r="3367" ht="15.75" customHeight="1">
      <c r="A3367" t="str">
        <f t="shared" si="1"/>
        <v>M.narathiwatensis</v>
      </c>
      <c r="B3367" s="5" t="s">
        <v>18265</v>
      </c>
      <c r="C3367" s="6" t="str">
        <f>IFERROR(__xludf.DUMMYFUNCTION("SPLIT('2. c'!B3367, "" "", True, True)"),"Micromonospora")</f>
        <v>Micromonospora</v>
      </c>
      <c r="D3367" t="str">
        <f>IFERROR(__xludf.DUMMYFUNCTION("""COMPUTED_VALUE"""),"narathiwatensis")</f>
        <v>narathiwatensis</v>
      </c>
      <c r="E3367" t="str">
        <f>IFERROR(__xludf.DUMMYFUNCTION("""COMPUTED_VALUE"""),"strain")</f>
        <v>strain</v>
      </c>
      <c r="F3367" t="str">
        <f>IFERROR(__xludf.DUMMYFUNCTION("""COMPUTED_VALUE"""),"DSM")</f>
        <v>DSM</v>
      </c>
      <c r="G3367">
        <f>IFERROR(__xludf.DUMMYFUNCTION("""COMPUTED_VALUE"""),45248.0)</f>
        <v>45248</v>
      </c>
    </row>
    <row r="3368" ht="15.75" customHeight="1">
      <c r="A3368" t="str">
        <f t="shared" si="1"/>
        <v>M.sp.</v>
      </c>
      <c r="B3368" s="5" t="s">
        <v>18273</v>
      </c>
      <c r="C3368" s="6" t="str">
        <f>IFERROR(__xludf.DUMMYFUNCTION("SPLIT('2. c'!B3368, "" "", True, True)"),"Micromonospora")</f>
        <v>Micromonospora</v>
      </c>
      <c r="D3368" t="str">
        <f>IFERROR(__xludf.DUMMYFUNCTION("""COMPUTED_VALUE"""),"sp.")</f>
        <v>sp.</v>
      </c>
      <c r="E3368" t="str">
        <f>IFERROR(__xludf.DUMMYFUNCTION("""COMPUTED_VALUE"""),"L5")</f>
        <v>L5</v>
      </c>
    </row>
    <row r="3369" ht="15.75" customHeight="1">
      <c r="A3369" t="str">
        <f t="shared" si="1"/>
        <v>M.viridarii</v>
      </c>
      <c r="B3369" s="5" t="s">
        <v>18282</v>
      </c>
      <c r="C3369" s="6" t="str">
        <f>IFERROR(__xludf.DUMMYFUNCTION("SPLIT('2. c'!B3369, "" "", True, True)"),"Microterricola")</f>
        <v>Microterricola</v>
      </c>
      <c r="D3369" t="str">
        <f>IFERROR(__xludf.DUMMYFUNCTION("""COMPUTED_VALUE"""),"viridarii")</f>
        <v>viridarii</v>
      </c>
      <c r="E3369" t="str">
        <f>IFERROR(__xludf.DUMMYFUNCTION("""COMPUTED_VALUE"""),"strain")</f>
        <v>strain</v>
      </c>
      <c r="F3369" t="str">
        <f>IFERROR(__xludf.DUMMYFUNCTION("""COMPUTED_VALUE"""),"ERGS5:02")</f>
        <v>ERGS5:02</v>
      </c>
    </row>
    <row r="3370" ht="15.75" customHeight="1">
      <c r="A3370" t="str">
        <f t="shared" si="1"/>
        <v>M.sp.</v>
      </c>
      <c r="B3370" s="5" t="s">
        <v>18290</v>
      </c>
      <c r="C3370" s="6" t="str">
        <f>IFERROR(__xludf.DUMMYFUNCTION("SPLIT('2. c'!B3370, "" "", True, True)"),"Mitsuaria")</f>
        <v>Mitsuaria</v>
      </c>
      <c r="D3370" t="str">
        <f>IFERROR(__xludf.DUMMYFUNCTION("""COMPUTED_VALUE"""),"sp.")</f>
        <v>sp.</v>
      </c>
      <c r="E3370">
        <f>IFERROR(__xludf.DUMMYFUNCTION("""COMPUTED_VALUE"""),7.0)</f>
        <v>7</v>
      </c>
    </row>
    <row r="3371" ht="15.75" customHeight="1">
      <c r="A3371" t="str">
        <f t="shared" si="1"/>
        <v>M.curtisii</v>
      </c>
      <c r="B3371" s="5" t="s">
        <v>18298</v>
      </c>
      <c r="C3371" s="6" t="str">
        <f>IFERROR(__xludf.DUMMYFUNCTION("SPLIT('2. c'!B3371, "" "", True, True)"),"Mobiluncus")</f>
        <v>Mobiluncus</v>
      </c>
      <c r="D3371" t="str">
        <f>IFERROR(__xludf.DUMMYFUNCTION("""COMPUTED_VALUE"""),"curtisii")</f>
        <v>curtisii</v>
      </c>
      <c r="E3371" t="str">
        <f>IFERROR(__xludf.DUMMYFUNCTION("""COMPUTED_VALUE"""),"ATCC")</f>
        <v>ATCC</v>
      </c>
      <c r="F3371">
        <f>IFERROR(__xludf.DUMMYFUNCTION("""COMPUTED_VALUE"""),43063.0)</f>
        <v>43063</v>
      </c>
    </row>
    <row r="3372" ht="15.75" customHeight="1">
      <c r="A3372" t="str">
        <f t="shared" si="1"/>
        <v>M.marinus</v>
      </c>
      <c r="B3372" s="5" t="s">
        <v>18310</v>
      </c>
      <c r="C3372" s="6" t="str">
        <f>IFERROR(__xludf.DUMMYFUNCTION("SPLIT('2. c'!B3372, "" "", True, True)"),"Modestobacter")</f>
        <v>Modestobacter</v>
      </c>
      <c r="D3372" t="str">
        <f>IFERROR(__xludf.DUMMYFUNCTION("""COMPUTED_VALUE"""),"marinus")</f>
        <v>marinus</v>
      </c>
      <c r="E3372" t="str">
        <f>IFERROR(__xludf.DUMMYFUNCTION("""COMPUTED_VALUE"""),"strain")</f>
        <v>strain</v>
      </c>
      <c r="F3372" t="str">
        <f>IFERROR(__xludf.DUMMYFUNCTION("""COMPUTED_VALUE"""),"BC501")</f>
        <v>BC501</v>
      </c>
    </row>
    <row r="3373" ht="15.75" customHeight="1">
      <c r="A3373" t="str">
        <f t="shared" si="1"/>
        <v>M.bacterium</v>
      </c>
      <c r="B3373" s="5" t="s">
        <v>18318</v>
      </c>
      <c r="C3373" s="6" t="str">
        <f>IFERROR(__xludf.DUMMYFUNCTION("SPLIT('2. c'!B3373, "" "", True, True)"),"Mollicutes")</f>
        <v>Mollicutes</v>
      </c>
      <c r="D3373" t="str">
        <f>IFERROR(__xludf.DUMMYFUNCTION("""COMPUTED_VALUE"""),"bacterium")</f>
        <v>bacterium</v>
      </c>
      <c r="E3373" t="str">
        <f>IFERROR(__xludf.DUMMYFUNCTION("""COMPUTED_VALUE"""),"HR1")</f>
        <v>HR1</v>
      </c>
    </row>
    <row r="3374" ht="15.75" customHeight="1">
      <c r="A3374" t="str">
        <f t="shared" si="1"/>
        <v>M.thermoacetica</v>
      </c>
      <c r="B3374" s="5" t="s">
        <v>18326</v>
      </c>
      <c r="C3374" s="6" t="str">
        <f>IFERROR(__xludf.DUMMYFUNCTION("SPLIT('2. c'!B3374, "" "", True, True)"),"Moorella")</f>
        <v>Moorella</v>
      </c>
      <c r="D3374" t="str">
        <f>IFERROR(__xludf.DUMMYFUNCTION("""COMPUTED_VALUE"""),"thermoacetica")</f>
        <v>thermoacetica</v>
      </c>
      <c r="E3374" t="str">
        <f>IFERROR(__xludf.DUMMYFUNCTION("""COMPUTED_VALUE"""),"ATCC")</f>
        <v>ATCC</v>
      </c>
      <c r="F3374">
        <f>IFERROR(__xludf.DUMMYFUNCTION("""COMPUTED_VALUE"""),39073.0)</f>
        <v>39073</v>
      </c>
    </row>
    <row r="3375" ht="15.75" customHeight="1">
      <c r="A3375" t="str">
        <f t="shared" si="1"/>
        <v>M.thermoacetica</v>
      </c>
      <c r="B3375" s="5" t="s">
        <v>18335</v>
      </c>
      <c r="C3375" s="6" t="str">
        <f>IFERROR(__xludf.DUMMYFUNCTION("SPLIT('2. c'!B3375, "" "", True, True)"),"Moorella")</f>
        <v>Moorella</v>
      </c>
      <c r="D3375" t="str">
        <f>IFERROR(__xludf.DUMMYFUNCTION("""COMPUTED_VALUE"""),"thermoacetica")</f>
        <v>thermoacetica</v>
      </c>
      <c r="E3375" t="str">
        <f>IFERROR(__xludf.DUMMYFUNCTION("""COMPUTED_VALUE"""),"strain")</f>
        <v>strain</v>
      </c>
      <c r="F3375" t="str">
        <f>IFERROR(__xludf.DUMMYFUNCTION("""COMPUTED_VALUE"""),"DSM")</f>
        <v>DSM</v>
      </c>
      <c r="G3375">
        <f>IFERROR(__xludf.DUMMYFUNCTION("""COMPUTED_VALUE"""),2955.0)</f>
        <v>2955</v>
      </c>
    </row>
    <row r="3376" ht="15.75" customHeight="1">
      <c r="A3376" t="str">
        <f t="shared" si="1"/>
        <v>M.thermoacetica</v>
      </c>
      <c r="B3376" s="5" t="s">
        <v>18345</v>
      </c>
      <c r="C3376" s="6" t="str">
        <f>IFERROR(__xludf.DUMMYFUNCTION("SPLIT('2. c'!B3376, "" "", True, True)"),"Moorella")</f>
        <v>Moorella</v>
      </c>
      <c r="D3376" t="str">
        <f>IFERROR(__xludf.DUMMYFUNCTION("""COMPUTED_VALUE"""),"thermoacetica")</f>
        <v>thermoacetica</v>
      </c>
      <c r="E3376" t="str">
        <f>IFERROR(__xludf.DUMMYFUNCTION("""COMPUTED_VALUE"""),"strain")</f>
        <v>strain</v>
      </c>
      <c r="F3376" t="str">
        <f>IFERROR(__xludf.DUMMYFUNCTION("""COMPUTED_VALUE"""),"DSM")</f>
        <v>DSM</v>
      </c>
      <c r="G3376">
        <f>IFERROR(__xludf.DUMMYFUNCTION("""COMPUTED_VALUE"""),521.0)</f>
        <v>521</v>
      </c>
    </row>
    <row r="3377" ht="15.75" customHeight="1">
      <c r="A3377" t="str">
        <f t="shared" si="1"/>
        <v>M.bovoculi</v>
      </c>
      <c r="B3377" s="5" t="s">
        <v>18354</v>
      </c>
      <c r="C3377" s="6" t="str">
        <f>IFERROR(__xludf.DUMMYFUNCTION("SPLIT('2. c'!B3377, "" "", True, True)"),"Moraxella")</f>
        <v>Moraxella</v>
      </c>
      <c r="D3377" t="str">
        <f>IFERROR(__xludf.DUMMYFUNCTION("""COMPUTED_VALUE"""),"bovoculi")</f>
        <v>bovoculi</v>
      </c>
      <c r="E3377" t="str">
        <f>IFERROR(__xludf.DUMMYFUNCTION("""COMPUTED_VALUE"""),"strain")</f>
        <v>strain</v>
      </c>
      <c r="F3377">
        <f>IFERROR(__xludf.DUMMYFUNCTION("""COMPUTED_VALUE"""),22581.0)</f>
        <v>22581</v>
      </c>
    </row>
    <row r="3378" ht="15.75" customHeight="1">
      <c r="A3378" t="str">
        <f t="shared" si="1"/>
        <v>M.bovoculi</v>
      </c>
      <c r="B3378" s="5" t="s">
        <v>18358</v>
      </c>
      <c r="C3378" s="6" t="str">
        <f>IFERROR(__xludf.DUMMYFUNCTION("SPLIT('2. c'!B3378, "" "", True, True)"),"Moraxella")</f>
        <v>Moraxella</v>
      </c>
      <c r="D3378" t="str">
        <f>IFERROR(__xludf.DUMMYFUNCTION("""COMPUTED_VALUE"""),"bovoculi")</f>
        <v>bovoculi</v>
      </c>
      <c r="E3378" t="str">
        <f>IFERROR(__xludf.DUMMYFUNCTION("""COMPUTED_VALUE"""),"strain")</f>
        <v>strain</v>
      </c>
      <c r="F3378">
        <f>IFERROR(__xludf.DUMMYFUNCTION("""COMPUTED_VALUE"""),23343.0)</f>
        <v>23343</v>
      </c>
    </row>
    <row r="3379" ht="15.75" customHeight="1">
      <c r="A3379" t="str">
        <f t="shared" si="1"/>
        <v>M.bovoculi</v>
      </c>
      <c r="B3379" s="5" t="s">
        <v>18367</v>
      </c>
      <c r="C3379" s="6" t="str">
        <f>IFERROR(__xludf.DUMMYFUNCTION("SPLIT('2. c'!B3379, "" "", True, True)"),"Moraxella")</f>
        <v>Moraxella</v>
      </c>
      <c r="D3379" t="str">
        <f>IFERROR(__xludf.DUMMYFUNCTION("""COMPUTED_VALUE"""),"bovoculi")</f>
        <v>bovoculi</v>
      </c>
      <c r="E3379" t="str">
        <f>IFERROR(__xludf.DUMMYFUNCTION("""COMPUTED_VALUE"""),"strain")</f>
        <v>strain</v>
      </c>
      <c r="F3379">
        <f>IFERROR(__xludf.DUMMYFUNCTION("""COMPUTED_VALUE"""),28389.0)</f>
        <v>28389</v>
      </c>
    </row>
    <row r="3380" ht="15.75" customHeight="1">
      <c r="A3380" t="str">
        <f t="shared" si="1"/>
        <v>M.bovoculi</v>
      </c>
      <c r="B3380" s="5" t="s">
        <v>18377</v>
      </c>
      <c r="C3380" s="6" t="str">
        <f>IFERROR(__xludf.DUMMYFUNCTION("SPLIT('2. c'!B3380, "" "", True, True)"),"Moraxella")</f>
        <v>Moraxella</v>
      </c>
      <c r="D3380" t="str">
        <f>IFERROR(__xludf.DUMMYFUNCTION("""COMPUTED_VALUE"""),"bovoculi")</f>
        <v>bovoculi</v>
      </c>
      <c r="E3380" t="str">
        <f>IFERROR(__xludf.DUMMYFUNCTION("""COMPUTED_VALUE"""),"strain")</f>
        <v>strain</v>
      </c>
      <c r="F3380">
        <f>IFERROR(__xludf.DUMMYFUNCTION("""COMPUTED_VALUE"""),33362.0)</f>
        <v>33362</v>
      </c>
    </row>
    <row r="3381" ht="15.75" customHeight="1">
      <c r="A3381" t="str">
        <f t="shared" si="1"/>
        <v>M.bovoculi</v>
      </c>
      <c r="B3381" s="5" t="s">
        <v>18386</v>
      </c>
      <c r="C3381" s="6" t="str">
        <f>IFERROR(__xludf.DUMMYFUNCTION("SPLIT('2. c'!B3381, "" "", True, True)"),"Moraxella")</f>
        <v>Moraxella</v>
      </c>
      <c r="D3381" t="str">
        <f>IFERROR(__xludf.DUMMYFUNCTION("""COMPUTED_VALUE"""),"bovoculi")</f>
        <v>bovoculi</v>
      </c>
      <c r="E3381" t="str">
        <f>IFERROR(__xludf.DUMMYFUNCTION("""COMPUTED_VALUE"""),"strain")</f>
        <v>strain</v>
      </c>
      <c r="F3381">
        <f>IFERROR(__xludf.DUMMYFUNCTION("""COMPUTED_VALUE"""),58069.0)</f>
        <v>58069</v>
      </c>
    </row>
    <row r="3382" ht="15.75" customHeight="1">
      <c r="A3382" t="str">
        <f t="shared" si="1"/>
        <v>M.bovoculi</v>
      </c>
      <c r="B3382" s="5" t="s">
        <v>18395</v>
      </c>
      <c r="C3382" s="6" t="str">
        <f>IFERROR(__xludf.DUMMYFUNCTION("SPLIT('2. c'!B3382, "" "", True, True)"),"Moraxella")</f>
        <v>Moraxella</v>
      </c>
      <c r="D3382" t="str">
        <f>IFERROR(__xludf.DUMMYFUNCTION("""COMPUTED_VALUE"""),"bovoculi")</f>
        <v>bovoculi</v>
      </c>
      <c r="E3382" t="str">
        <f>IFERROR(__xludf.DUMMYFUNCTION("""COMPUTED_VALUE"""),"strain")</f>
        <v>strain</v>
      </c>
      <c r="F3382">
        <f>IFERROR(__xludf.DUMMYFUNCTION("""COMPUTED_VALUE"""),58086.0)</f>
        <v>58086</v>
      </c>
    </row>
    <row r="3383" ht="15.75" customHeight="1">
      <c r="A3383" t="str">
        <f t="shared" si="1"/>
        <v>M.catarrhalis</v>
      </c>
      <c r="B3383" s="5" t="s">
        <v>18404</v>
      </c>
      <c r="C3383" s="6" t="str">
        <f>IFERROR(__xludf.DUMMYFUNCTION("SPLIT('2. c'!B3383, "" "", True, True)"),"Moraxella")</f>
        <v>Moraxella</v>
      </c>
      <c r="D3383" t="str">
        <f>IFERROR(__xludf.DUMMYFUNCTION("""COMPUTED_VALUE"""),"catarrhalis")</f>
        <v>catarrhalis</v>
      </c>
      <c r="E3383">
        <f>IFERROR(__xludf.DUMMYFUNCTION("""COMPUTED_VALUE"""),25239.0)</f>
        <v>25239</v>
      </c>
    </row>
    <row r="3384" ht="15.75" customHeight="1">
      <c r="A3384" t="str">
        <f t="shared" si="1"/>
        <v>M.catarrhalis</v>
      </c>
      <c r="B3384" s="5" t="s">
        <v>18413</v>
      </c>
      <c r="C3384" s="6" t="str">
        <f>IFERROR(__xludf.DUMMYFUNCTION("SPLIT('2. c'!B3384, "" "", True, True)"),"Moraxella")</f>
        <v>Moraxella</v>
      </c>
      <c r="D3384" t="str">
        <f>IFERROR(__xludf.DUMMYFUNCTION("""COMPUTED_VALUE"""),"catarrhalis")</f>
        <v>catarrhalis</v>
      </c>
      <c r="E3384" t="str">
        <f>IFERROR(__xludf.DUMMYFUNCTION("""COMPUTED_VALUE"""),"BBH18")</f>
        <v>BBH18</v>
      </c>
    </row>
    <row r="3385" ht="15.75" customHeight="1">
      <c r="A3385" t="str">
        <f t="shared" si="1"/>
        <v>M.catarrhalis</v>
      </c>
      <c r="B3385" s="5" t="s">
        <v>18420</v>
      </c>
      <c r="C3385" s="6" t="str">
        <f>IFERROR(__xludf.DUMMYFUNCTION("SPLIT('2. c'!B3385, "" "", True, True)"),"Moraxella")</f>
        <v>Moraxella</v>
      </c>
      <c r="D3385" t="str">
        <f>IFERROR(__xludf.DUMMYFUNCTION("""COMPUTED_VALUE"""),"catarrhalis")</f>
        <v>catarrhalis</v>
      </c>
      <c r="E3385" t="str">
        <f>IFERROR(__xludf.DUMMYFUNCTION("""COMPUTED_VALUE"""),"RH4")</f>
        <v>RH4</v>
      </c>
    </row>
    <row r="3386" ht="15.75" customHeight="1">
      <c r="A3386" t="str">
        <f t="shared" si="1"/>
        <v>M.catarrhalis</v>
      </c>
      <c r="B3386" s="5" t="s">
        <v>18428</v>
      </c>
      <c r="C3386" s="6" t="str">
        <f>IFERROR(__xludf.DUMMYFUNCTION("SPLIT('2. c'!B3386, "" "", True, True)"),"Moraxella")</f>
        <v>Moraxella</v>
      </c>
      <c r="D3386" t="str">
        <f>IFERROR(__xludf.DUMMYFUNCTION("""COMPUTED_VALUE"""),"catarrhalis")</f>
        <v>catarrhalis</v>
      </c>
      <c r="E3386" t="str">
        <f>IFERROR(__xludf.DUMMYFUNCTION("""COMPUTED_VALUE"""),"strain")</f>
        <v>strain</v>
      </c>
      <c r="F3386">
        <f>IFERROR(__xludf.DUMMYFUNCTION("""COMPUTED_VALUE"""),25240.0)</f>
        <v>25240</v>
      </c>
    </row>
    <row r="3387" ht="15.75" customHeight="1">
      <c r="A3387" t="str">
        <f t="shared" si="1"/>
        <v>M.osloensis</v>
      </c>
      <c r="B3387" s="5" t="s">
        <v>18437</v>
      </c>
      <c r="C3387" s="6" t="str">
        <f>IFERROR(__xludf.DUMMYFUNCTION("SPLIT('2. c'!B3387, "" "", True, True)"),"Moraxella")</f>
        <v>Moraxella</v>
      </c>
      <c r="D3387" t="str">
        <f>IFERROR(__xludf.DUMMYFUNCTION("""COMPUTED_VALUE"""),"osloensis")</f>
        <v>osloensis</v>
      </c>
      <c r="E3387" t="str">
        <f>IFERROR(__xludf.DUMMYFUNCTION("""COMPUTED_VALUE"""),"strain")</f>
        <v>strain</v>
      </c>
      <c r="F3387" t="str">
        <f>IFERROR(__xludf.DUMMYFUNCTION("""COMPUTED_VALUE"""),"CCUG")</f>
        <v>CCUG</v>
      </c>
      <c r="G3387">
        <f>IFERROR(__xludf.DUMMYFUNCTION("""COMPUTED_VALUE"""),350.0)</f>
        <v>350</v>
      </c>
    </row>
    <row r="3388" ht="15.75" customHeight="1">
      <c r="A3388" t="str">
        <f t="shared" si="1"/>
        <v>M.ovis</v>
      </c>
      <c r="B3388" s="5" t="s">
        <v>18446</v>
      </c>
      <c r="C3388" s="6" t="str">
        <f>IFERROR(__xludf.DUMMYFUNCTION("SPLIT('2. c'!B3388, "" "", True, True)"),"Moraxella")</f>
        <v>Moraxella</v>
      </c>
      <c r="D3388" t="str">
        <f>IFERROR(__xludf.DUMMYFUNCTION("""COMPUTED_VALUE"""),"ovis")</f>
        <v>ovis</v>
      </c>
      <c r="E3388" t="str">
        <f>IFERROR(__xludf.DUMMYFUNCTION("""COMPUTED_VALUE"""),"strain")</f>
        <v>strain</v>
      </c>
      <c r="F3388" t="str">
        <f>IFERROR(__xludf.DUMMYFUNCTION("""COMPUTED_VALUE"""),"199/55")</f>
        <v>199/55</v>
      </c>
    </row>
    <row r="3389" ht="15.75" customHeight="1">
      <c r="A3389" t="str">
        <f t="shared" si="1"/>
        <v>M.morganii</v>
      </c>
      <c r="B3389" s="5" t="s">
        <v>18456</v>
      </c>
      <c r="C3389" s="6" t="str">
        <f>IFERROR(__xludf.DUMMYFUNCTION("SPLIT('2. c'!B3389, "" "", True, True)"),"Morganella")</f>
        <v>Morganella</v>
      </c>
      <c r="D3389" t="str">
        <f>IFERROR(__xludf.DUMMYFUNCTION("""COMPUTED_VALUE"""),"morganii")</f>
        <v>morganii</v>
      </c>
      <c r="E3389" t="str">
        <f>IFERROR(__xludf.DUMMYFUNCTION("""COMPUTED_VALUE"""),"strain")</f>
        <v>strain</v>
      </c>
      <c r="F3389" t="str">
        <f>IFERROR(__xludf.DUMMYFUNCTION("""COMPUTED_VALUE"""),"FDAARGOS_172")</f>
        <v>FDAARGOS_172</v>
      </c>
    </row>
    <row r="3390" ht="15.75" customHeight="1">
      <c r="A3390" t="str">
        <f t="shared" si="1"/>
        <v>M.morganii</v>
      </c>
      <c r="B3390" s="5" t="s">
        <v>18464</v>
      </c>
      <c r="C3390" s="6" t="str">
        <f>IFERROR(__xludf.DUMMYFUNCTION("SPLIT('2. c'!B3390, "" "", True, True)"),"Morganella")</f>
        <v>Morganella</v>
      </c>
      <c r="D3390" t="str">
        <f>IFERROR(__xludf.DUMMYFUNCTION("""COMPUTED_VALUE"""),"morganii")</f>
        <v>morganii</v>
      </c>
      <c r="E3390" t="str">
        <f>IFERROR(__xludf.DUMMYFUNCTION("""COMPUTED_VALUE"""),"strain")</f>
        <v>strain</v>
      </c>
      <c r="F3390" t="str">
        <f>IFERROR(__xludf.DUMMYFUNCTION("""COMPUTED_VALUE"""),"FDAARGOS_63")</f>
        <v>FDAARGOS_63</v>
      </c>
    </row>
    <row r="3391" ht="15.75" customHeight="1">
      <c r="A3391" t="str">
        <f t="shared" si="1"/>
        <v>M.viscosa</v>
      </c>
      <c r="B3391" s="5" t="s">
        <v>18472</v>
      </c>
      <c r="C3391" s="6" t="str">
        <f>IFERROR(__xludf.DUMMYFUNCTION("SPLIT('2. c'!B3391, "" "", True, True)"),"Moritella")</f>
        <v>Moritella</v>
      </c>
      <c r="D3391" t="str">
        <f>IFERROR(__xludf.DUMMYFUNCTION("""COMPUTED_VALUE"""),"viscosa")</f>
        <v>viscosa</v>
      </c>
    </row>
    <row r="3392" ht="15.75" customHeight="1">
      <c r="A3392" t="str">
        <f t="shared" si="1"/>
        <v>M.lutaonensis</v>
      </c>
      <c r="B3392" s="5" t="s">
        <v>18479</v>
      </c>
      <c r="C3392" s="6" t="str">
        <f>IFERROR(__xludf.DUMMYFUNCTION("SPLIT('2. c'!B3392, "" "", True, True)"),"Muricauda")</f>
        <v>Muricauda</v>
      </c>
      <c r="D3392" t="str">
        <f>IFERROR(__xludf.DUMMYFUNCTION("""COMPUTED_VALUE"""),"lutaonensis")</f>
        <v>lutaonensis</v>
      </c>
      <c r="E3392" t="str">
        <f>IFERROR(__xludf.DUMMYFUNCTION("""COMPUTED_VALUE"""),"strain")</f>
        <v>strain</v>
      </c>
      <c r="F3392" t="str">
        <f>IFERROR(__xludf.DUMMYFUNCTION("""COMPUTED_VALUE"""),"CC-HSB-11")</f>
        <v>CC-HSB-11</v>
      </c>
    </row>
    <row r="3393" ht="15.75" customHeight="1">
      <c r="A3393" t="str">
        <f t="shared" si="1"/>
        <v>M.ruestringensis</v>
      </c>
      <c r="B3393" s="5" t="s">
        <v>18487</v>
      </c>
      <c r="C3393" s="6" t="str">
        <f>IFERROR(__xludf.DUMMYFUNCTION("SPLIT('2. c'!B3393, "" "", True, True)"),"Muricauda")</f>
        <v>Muricauda</v>
      </c>
      <c r="D3393" t="str">
        <f>IFERROR(__xludf.DUMMYFUNCTION("""COMPUTED_VALUE"""),"ruestringensis")</f>
        <v>ruestringensis</v>
      </c>
      <c r="E3393" t="str">
        <f>IFERROR(__xludf.DUMMYFUNCTION("""COMPUTED_VALUE"""),"DSM")</f>
        <v>DSM</v>
      </c>
      <c r="F3393">
        <f>IFERROR(__xludf.DUMMYFUNCTION("""COMPUTED_VALUE"""),13258.0)</f>
        <v>13258</v>
      </c>
    </row>
    <row r="3394" ht="15.75" customHeight="1">
      <c r="A3394" t="str">
        <f t="shared" si="1"/>
        <v>M.abscessus</v>
      </c>
      <c r="B3394" s="5" t="s">
        <v>18498</v>
      </c>
      <c r="C3394" s="6" t="str">
        <f>IFERROR(__xludf.DUMMYFUNCTION("SPLIT('2. c'!B3394, "" "", True, True)"),"Mycobacterium")</f>
        <v>Mycobacterium</v>
      </c>
      <c r="D3394" t="str">
        <f>IFERROR(__xludf.DUMMYFUNCTION("""COMPUTED_VALUE"""),"abscessus")</f>
        <v>abscessus</v>
      </c>
      <c r="E3394" t="str">
        <f>IFERROR(__xludf.DUMMYFUNCTION("""COMPUTED_VALUE"""),"CF")</f>
        <v>CF</v>
      </c>
    </row>
    <row r="3395" ht="15.75" customHeight="1">
      <c r="A3395" t="str">
        <f t="shared" si="1"/>
        <v>M.abscessus</v>
      </c>
      <c r="B3395" s="5" t="s">
        <v>18506</v>
      </c>
      <c r="C3395" s="6" t="str">
        <f>IFERROR(__xludf.DUMMYFUNCTION("SPLIT('2. c'!B3395, "" "", True, True)"),"Mycobacterium")</f>
        <v>Mycobacterium</v>
      </c>
      <c r="D3395" t="str">
        <f>IFERROR(__xludf.DUMMYFUNCTION("""COMPUTED_VALUE"""),"abscessus")</f>
        <v>abscessus</v>
      </c>
      <c r="E3395" t="str">
        <f>IFERROR(__xludf.DUMMYFUNCTION("""COMPUTED_VALUE"""),"strain")</f>
        <v>strain</v>
      </c>
      <c r="F3395" t="str">
        <f>IFERROR(__xludf.DUMMYFUNCTION("""COMPUTED_VALUE"""),"ATCC")</f>
        <v>ATCC</v>
      </c>
      <c r="G3395">
        <f>IFERROR(__xludf.DUMMYFUNCTION("""COMPUTED_VALUE"""),19977.0)</f>
        <v>19977</v>
      </c>
    </row>
    <row r="3396" ht="15.75" customHeight="1">
      <c r="A3396" t="str">
        <f t="shared" si="1"/>
        <v>M.abscessus</v>
      </c>
      <c r="B3396" s="5" t="s">
        <v>18515</v>
      </c>
      <c r="C3396" s="6" t="str">
        <f>IFERROR(__xludf.DUMMYFUNCTION("SPLIT('2. c'!B3396, "" "", True, True)"),"Mycobacterium")</f>
        <v>Mycobacterium</v>
      </c>
      <c r="D3396" t="str">
        <f>IFERROR(__xludf.DUMMYFUNCTION("""COMPUTED_VALUE"""),"abscessus")</f>
        <v>abscessus</v>
      </c>
      <c r="E3396" t="str">
        <f>IFERROR(__xludf.DUMMYFUNCTION("""COMPUTED_VALUE"""),"strain")</f>
        <v>strain</v>
      </c>
      <c r="F3396" t="str">
        <f>IFERROR(__xludf.DUMMYFUNCTION("""COMPUTED_VALUE"""),"FLAC003")</f>
        <v>FLAC003</v>
      </c>
    </row>
    <row r="3397" ht="15.75" customHeight="1">
      <c r="A3397" t="str">
        <f t="shared" si="1"/>
        <v>M.abscessus</v>
      </c>
      <c r="B3397" s="5" t="s">
        <v>18524</v>
      </c>
      <c r="C3397" s="6" t="str">
        <f>IFERROR(__xludf.DUMMYFUNCTION("SPLIT('2. c'!B3397, "" "", True, True)"),"Mycobacterium")</f>
        <v>Mycobacterium</v>
      </c>
      <c r="D3397" t="str">
        <f>IFERROR(__xludf.DUMMYFUNCTION("""COMPUTED_VALUE"""),"abscessus")</f>
        <v>abscessus</v>
      </c>
      <c r="E3397" t="str">
        <f>IFERROR(__xludf.DUMMYFUNCTION("""COMPUTED_VALUE"""),"strain")</f>
        <v>strain</v>
      </c>
      <c r="F3397" t="str">
        <f>IFERROR(__xludf.DUMMYFUNCTION("""COMPUTED_VALUE"""),"FLAC004")</f>
        <v>FLAC004</v>
      </c>
    </row>
    <row r="3398" ht="15.75" customHeight="1">
      <c r="A3398" t="str">
        <f t="shared" si="1"/>
        <v>M.abscessus</v>
      </c>
      <c r="B3398" s="5" t="s">
        <v>18532</v>
      </c>
      <c r="C3398" s="6" t="str">
        <f>IFERROR(__xludf.DUMMYFUNCTION("SPLIT('2. c'!B3398, "" "", True, True)"),"Mycobacterium")</f>
        <v>Mycobacterium</v>
      </c>
      <c r="D3398" t="str">
        <f>IFERROR(__xludf.DUMMYFUNCTION("""COMPUTED_VALUE"""),"abscessus")</f>
        <v>abscessus</v>
      </c>
      <c r="E3398" t="str">
        <f>IFERROR(__xludf.DUMMYFUNCTION("""COMPUTED_VALUE"""),"strain")</f>
        <v>strain</v>
      </c>
      <c r="F3398" t="str">
        <f>IFERROR(__xludf.DUMMYFUNCTION("""COMPUTED_VALUE"""),"FLAC005")</f>
        <v>FLAC005</v>
      </c>
    </row>
    <row r="3399" ht="15.75" customHeight="1">
      <c r="A3399" t="str">
        <f t="shared" si="1"/>
        <v>M.abscessus</v>
      </c>
      <c r="B3399" s="5" t="s">
        <v>18544</v>
      </c>
      <c r="C3399" s="6" t="str">
        <f>IFERROR(__xludf.DUMMYFUNCTION("SPLIT('2. c'!B3399, "" "", True, True)"),"Mycobacterium")</f>
        <v>Mycobacterium</v>
      </c>
      <c r="D3399" t="str">
        <f>IFERROR(__xludf.DUMMYFUNCTION("""COMPUTED_VALUE"""),"abscessus")</f>
        <v>abscessus</v>
      </c>
      <c r="E3399" t="str">
        <f>IFERROR(__xludf.DUMMYFUNCTION("""COMPUTED_VALUE"""),"strain")</f>
        <v>strain</v>
      </c>
      <c r="F3399" t="str">
        <f>IFERROR(__xludf.DUMMYFUNCTION("""COMPUTED_VALUE"""),"FLAC007")</f>
        <v>FLAC007</v>
      </c>
    </row>
    <row r="3400" ht="15.75" customHeight="1">
      <c r="A3400" t="str">
        <f t="shared" si="1"/>
        <v>M.abscessus</v>
      </c>
      <c r="B3400" s="5" t="s">
        <v>18552</v>
      </c>
      <c r="C3400" s="6" t="str">
        <f>IFERROR(__xludf.DUMMYFUNCTION("SPLIT('2. c'!B3400, "" "", True, True)"),"Mycobacterium")</f>
        <v>Mycobacterium</v>
      </c>
      <c r="D3400" t="str">
        <f>IFERROR(__xludf.DUMMYFUNCTION("""COMPUTED_VALUE"""),"abscessus")</f>
        <v>abscessus</v>
      </c>
      <c r="E3400" t="str">
        <f>IFERROR(__xludf.DUMMYFUNCTION("""COMPUTED_VALUE"""),"strain")</f>
        <v>strain</v>
      </c>
      <c r="F3400" t="str">
        <f>IFERROR(__xludf.DUMMYFUNCTION("""COMPUTED_VALUE"""),"FLAC008")</f>
        <v>FLAC008</v>
      </c>
    </row>
    <row r="3401" ht="15.75" customHeight="1">
      <c r="A3401" t="str">
        <f t="shared" si="1"/>
        <v>M.abscessus</v>
      </c>
      <c r="B3401" s="5" t="s">
        <v>18561</v>
      </c>
      <c r="C3401" s="6" t="str">
        <f>IFERROR(__xludf.DUMMYFUNCTION("SPLIT('2. c'!B3401, "" "", True, True)"),"Mycobacterium")</f>
        <v>Mycobacterium</v>
      </c>
      <c r="D3401" t="str">
        <f>IFERROR(__xludf.DUMMYFUNCTION("""COMPUTED_VALUE"""),"abscessus")</f>
        <v>abscessus</v>
      </c>
      <c r="E3401" t="str">
        <f>IFERROR(__xludf.DUMMYFUNCTION("""COMPUTED_VALUE"""),"strain")</f>
        <v>strain</v>
      </c>
      <c r="F3401" t="str">
        <f>IFERROR(__xludf.DUMMYFUNCTION("""COMPUTED_VALUE"""),"FLAC013")</f>
        <v>FLAC013</v>
      </c>
    </row>
    <row r="3402" ht="15.75" customHeight="1">
      <c r="A3402" t="str">
        <f t="shared" si="1"/>
        <v>M.abscessus</v>
      </c>
      <c r="B3402" s="5" t="s">
        <v>18568</v>
      </c>
      <c r="C3402" s="6" t="str">
        <f>IFERROR(__xludf.DUMMYFUNCTION("SPLIT('2. c'!B3402, "" "", True, True)"),"Mycobacterium")</f>
        <v>Mycobacterium</v>
      </c>
      <c r="D3402" t="str">
        <f>IFERROR(__xludf.DUMMYFUNCTION("""COMPUTED_VALUE"""),"abscessus")</f>
        <v>abscessus</v>
      </c>
      <c r="E3402" t="str">
        <f>IFERROR(__xludf.DUMMYFUNCTION("""COMPUTED_VALUE"""),"strain")</f>
        <v>strain</v>
      </c>
      <c r="F3402" t="str">
        <f>IFERROR(__xludf.DUMMYFUNCTION("""COMPUTED_VALUE"""),"FLAC029")</f>
        <v>FLAC029</v>
      </c>
    </row>
    <row r="3403" ht="15.75" customHeight="1">
      <c r="A3403" t="str">
        <f t="shared" si="1"/>
        <v>M.abscessus</v>
      </c>
      <c r="B3403" s="5" t="s">
        <v>18576</v>
      </c>
      <c r="C3403" s="6" t="str">
        <f>IFERROR(__xludf.DUMMYFUNCTION("SPLIT('2. c'!B3403, "" "", True, True)"),"Mycobacterium")</f>
        <v>Mycobacterium</v>
      </c>
      <c r="D3403" t="str">
        <f>IFERROR(__xludf.DUMMYFUNCTION("""COMPUTED_VALUE"""),"abscessus")</f>
        <v>abscessus</v>
      </c>
      <c r="E3403" t="str">
        <f>IFERROR(__xludf.DUMMYFUNCTION("""COMPUTED_VALUE"""),"strain")</f>
        <v>strain</v>
      </c>
      <c r="F3403" t="str">
        <f>IFERROR(__xludf.DUMMYFUNCTION("""COMPUTED_VALUE"""),"FLAC031")</f>
        <v>FLAC031</v>
      </c>
    </row>
    <row r="3404" ht="15.75" customHeight="1">
      <c r="A3404" t="str">
        <f t="shared" si="1"/>
        <v>M.abscessus</v>
      </c>
      <c r="B3404" s="5" t="s">
        <v>18586</v>
      </c>
      <c r="C3404" s="6" t="str">
        <f>IFERROR(__xludf.DUMMYFUNCTION("SPLIT('2. c'!B3404, "" "", True, True)"),"Mycobacterium")</f>
        <v>Mycobacterium</v>
      </c>
      <c r="D3404" t="str">
        <f>IFERROR(__xludf.DUMMYFUNCTION("""COMPUTED_VALUE"""),"abscessus")</f>
        <v>abscessus</v>
      </c>
      <c r="E3404" t="str">
        <f>IFERROR(__xludf.DUMMYFUNCTION("""COMPUTED_VALUE"""),"strain")</f>
        <v>strain</v>
      </c>
      <c r="F3404" t="str">
        <f>IFERROR(__xludf.DUMMYFUNCTION("""COMPUTED_VALUE"""),"FLAC045")</f>
        <v>FLAC045</v>
      </c>
    </row>
    <row r="3405" ht="15.75" customHeight="1">
      <c r="A3405" t="str">
        <f t="shared" si="1"/>
        <v>M.abscessus</v>
      </c>
      <c r="B3405" s="5" t="s">
        <v>18593</v>
      </c>
      <c r="C3405" s="6" t="str">
        <f>IFERROR(__xludf.DUMMYFUNCTION("SPLIT('2. c'!B3405, "" "", True, True)"),"Mycobacterium")</f>
        <v>Mycobacterium</v>
      </c>
      <c r="D3405" t="str">
        <f>IFERROR(__xludf.DUMMYFUNCTION("""COMPUTED_VALUE"""),"abscessus")</f>
        <v>abscessus</v>
      </c>
      <c r="E3405" t="str">
        <f>IFERROR(__xludf.DUMMYFUNCTION("""COMPUTED_VALUE"""),"strain")</f>
        <v>strain</v>
      </c>
      <c r="F3405" t="str">
        <f>IFERROR(__xludf.DUMMYFUNCTION("""COMPUTED_VALUE"""),"FLAC048")</f>
        <v>FLAC048</v>
      </c>
    </row>
    <row r="3406" ht="15.75" customHeight="1">
      <c r="A3406" t="str">
        <f t="shared" si="1"/>
        <v>M.abscessus</v>
      </c>
      <c r="B3406" s="5" t="s">
        <v>18600</v>
      </c>
      <c r="C3406" s="6" t="str">
        <f>IFERROR(__xludf.DUMMYFUNCTION("SPLIT('2. c'!B3406, "" "", True, True)"),"Mycobacterium")</f>
        <v>Mycobacterium</v>
      </c>
      <c r="D3406" t="str">
        <f>IFERROR(__xludf.DUMMYFUNCTION("""COMPUTED_VALUE"""),"abscessus")</f>
        <v>abscessus</v>
      </c>
      <c r="E3406" t="str">
        <f>IFERROR(__xludf.DUMMYFUNCTION("""COMPUTED_VALUE"""),"strain")</f>
        <v>strain</v>
      </c>
      <c r="F3406" t="str">
        <f>IFERROR(__xludf.DUMMYFUNCTION("""COMPUTED_VALUE"""),"FLAC049")</f>
        <v>FLAC049</v>
      </c>
    </row>
    <row r="3407" ht="15.75" customHeight="1">
      <c r="A3407" t="str">
        <f t="shared" si="1"/>
        <v>M.abscessus</v>
      </c>
      <c r="B3407" s="5" t="s">
        <v>18609</v>
      </c>
      <c r="C3407" s="6" t="str">
        <f>IFERROR(__xludf.DUMMYFUNCTION("SPLIT('2. c'!B3407, "" "", True, True)"),"Mycobacterium")</f>
        <v>Mycobacterium</v>
      </c>
      <c r="D3407" t="str">
        <f>IFERROR(__xludf.DUMMYFUNCTION("""COMPUTED_VALUE"""),"abscessus")</f>
        <v>abscessus</v>
      </c>
      <c r="E3407" t="str">
        <f>IFERROR(__xludf.DUMMYFUNCTION("""COMPUTED_VALUE"""),"strain")</f>
        <v>strain</v>
      </c>
      <c r="F3407" t="str">
        <f>IFERROR(__xludf.DUMMYFUNCTION("""COMPUTED_VALUE"""),"FLAC054")</f>
        <v>FLAC054</v>
      </c>
    </row>
    <row r="3408" ht="15.75" customHeight="1">
      <c r="A3408" t="str">
        <f t="shared" si="1"/>
        <v>M.abscessus</v>
      </c>
      <c r="B3408" s="5" t="s">
        <v>18617</v>
      </c>
      <c r="C3408" s="6" t="str">
        <f>IFERROR(__xludf.DUMMYFUNCTION("SPLIT('2. c'!B3408, "" "", True, True)"),"Mycobacterium")</f>
        <v>Mycobacterium</v>
      </c>
      <c r="D3408" t="str">
        <f>IFERROR(__xludf.DUMMYFUNCTION("""COMPUTED_VALUE"""),"abscessus")</f>
        <v>abscessus</v>
      </c>
      <c r="E3408" t="str">
        <f>IFERROR(__xludf.DUMMYFUNCTION("""COMPUTED_VALUE"""),"strain")</f>
        <v>strain</v>
      </c>
      <c r="F3408" t="str">
        <f>IFERROR(__xludf.DUMMYFUNCTION("""COMPUTED_VALUE"""),"NOV0213")</f>
        <v>NOV0213</v>
      </c>
    </row>
    <row r="3409" ht="15.75" customHeight="1">
      <c r="A3409" t="str">
        <f t="shared" si="1"/>
        <v>M.abscessus</v>
      </c>
      <c r="B3409" s="5" t="s">
        <v>18630</v>
      </c>
      <c r="C3409" s="6" t="str">
        <f>IFERROR(__xludf.DUMMYFUNCTION("SPLIT('2. c'!B3409, "" "", True, True)"),"Mycobacterium")</f>
        <v>Mycobacterium</v>
      </c>
      <c r="D3409" t="str">
        <f>IFERROR(__xludf.DUMMYFUNCTION("""COMPUTED_VALUE"""),"abscessus")</f>
        <v>abscessus</v>
      </c>
      <c r="E3409" t="str">
        <f>IFERROR(__xludf.DUMMYFUNCTION("""COMPUTED_VALUE"""),"subsp.")</f>
        <v>subsp.</v>
      </c>
      <c r="F3409" t="str">
        <f>IFERROR(__xludf.DUMMYFUNCTION("""COMPUTED_VALUE"""),"abscessus")</f>
        <v>abscessus</v>
      </c>
      <c r="G3409" t="str">
        <f>IFERROR(__xludf.DUMMYFUNCTION("""COMPUTED_VALUE"""),"strain")</f>
        <v>strain</v>
      </c>
      <c r="H3409">
        <f>IFERROR(__xludf.DUMMYFUNCTION("""COMPUTED_VALUE"""),4529.0)</f>
        <v>4529</v>
      </c>
    </row>
    <row r="3410" ht="15.75" customHeight="1">
      <c r="A3410" t="str">
        <f t="shared" si="1"/>
        <v>M.abscessus</v>
      </c>
      <c r="B3410" s="5" t="s">
        <v>18645</v>
      </c>
      <c r="C3410" s="6" t="str">
        <f>IFERROR(__xludf.DUMMYFUNCTION("SPLIT('2. c'!B3410, "" "", True, True)"),"Mycobacterium")</f>
        <v>Mycobacterium</v>
      </c>
      <c r="D3410" t="str">
        <f>IFERROR(__xludf.DUMMYFUNCTION("""COMPUTED_VALUE"""),"abscessus")</f>
        <v>abscessus</v>
      </c>
      <c r="E3410" t="str">
        <f>IFERROR(__xludf.DUMMYFUNCTION("""COMPUTED_VALUE"""),"subsp.")</f>
        <v>subsp.</v>
      </c>
      <c r="F3410" t="str">
        <f>IFERROR(__xludf.DUMMYFUNCTION("""COMPUTED_VALUE"""),"abscessus")</f>
        <v>abscessus</v>
      </c>
      <c r="G3410" t="str">
        <f>IFERROR(__xludf.DUMMYFUNCTION("""COMPUTED_VALUE"""),"strain")</f>
        <v>strain</v>
      </c>
      <c r="H3410" t="str">
        <f>IFERROR(__xludf.DUMMYFUNCTION("""COMPUTED_VALUE"""),"DJO-44274")</f>
        <v>DJO-44274</v>
      </c>
    </row>
    <row r="3411" ht="15.75" customHeight="1">
      <c r="A3411" t="str">
        <f t="shared" si="1"/>
        <v>M.abscessus</v>
      </c>
      <c r="B3411" s="5" t="s">
        <v>18656</v>
      </c>
      <c r="C3411" s="6" t="str">
        <f>IFERROR(__xludf.DUMMYFUNCTION("SPLIT('2. c'!B3411, "" "", True, True)"),"Mycobacterium")</f>
        <v>Mycobacterium</v>
      </c>
      <c r="D3411" t="str">
        <f>IFERROR(__xludf.DUMMYFUNCTION("""COMPUTED_VALUE"""),"abscessus")</f>
        <v>abscessus</v>
      </c>
      <c r="E3411" t="str">
        <f>IFERROR(__xludf.DUMMYFUNCTION("""COMPUTED_VALUE"""),"subsp.")</f>
        <v>subsp.</v>
      </c>
      <c r="F3411" t="str">
        <f>IFERROR(__xludf.DUMMYFUNCTION("""COMPUTED_VALUE"""),"bolletii")</f>
        <v>bolletii</v>
      </c>
      <c r="G3411">
        <f>IFERROR(__xludf.DUMMYFUNCTION("""COMPUTED_VALUE"""),103.0)</f>
        <v>103</v>
      </c>
    </row>
    <row r="3412" ht="15.75" customHeight="1">
      <c r="A3412" t="str">
        <f t="shared" si="1"/>
        <v>M.abscessus</v>
      </c>
      <c r="B3412" s="5" t="s">
        <v>18665</v>
      </c>
      <c r="C3412" s="6" t="str">
        <f>IFERROR(__xludf.DUMMYFUNCTION("SPLIT('2. c'!B3412, "" "", True, True)"),"Mycobacterium")</f>
        <v>Mycobacterium</v>
      </c>
      <c r="D3412" t="str">
        <f>IFERROR(__xludf.DUMMYFUNCTION("""COMPUTED_VALUE"""),"abscessus")</f>
        <v>abscessus</v>
      </c>
      <c r="E3412" t="str">
        <f>IFERROR(__xludf.DUMMYFUNCTION("""COMPUTED_VALUE"""),"subsp.")</f>
        <v>subsp.</v>
      </c>
      <c r="F3412" t="str">
        <f>IFERROR(__xludf.DUMMYFUNCTION("""COMPUTED_VALUE"""),"bolletii")</f>
        <v>bolletii</v>
      </c>
      <c r="G3412">
        <f>IFERROR(__xludf.DUMMYFUNCTION("""COMPUTED_VALUE"""),50594.0)</f>
        <v>50594</v>
      </c>
    </row>
    <row r="3413" ht="15.75" customHeight="1">
      <c r="A3413" t="str">
        <f t="shared" si="1"/>
        <v>M.abscessus</v>
      </c>
      <c r="B3413" s="5" t="s">
        <v>18679</v>
      </c>
      <c r="C3413" s="6" t="str">
        <f>IFERROR(__xludf.DUMMYFUNCTION("SPLIT('2. c'!B3413, "" "", True, True)"),"Mycobacterium")</f>
        <v>Mycobacterium</v>
      </c>
      <c r="D3413" t="str">
        <f>IFERROR(__xludf.DUMMYFUNCTION("""COMPUTED_VALUE"""),"abscessus")</f>
        <v>abscessus</v>
      </c>
      <c r="E3413" t="str">
        <f>IFERROR(__xludf.DUMMYFUNCTION("""COMPUTED_VALUE"""),"subsp.")</f>
        <v>subsp.</v>
      </c>
      <c r="F3413" t="str">
        <f>IFERROR(__xludf.DUMMYFUNCTION("""COMPUTED_VALUE"""),"bolletii")</f>
        <v>bolletii</v>
      </c>
      <c r="G3413" t="str">
        <f>IFERROR(__xludf.DUMMYFUNCTION("""COMPUTED_VALUE"""),"MA")</f>
        <v>MA</v>
      </c>
      <c r="H3413">
        <f>IFERROR(__xludf.DUMMYFUNCTION("""COMPUTED_VALUE"""),1948.0)</f>
        <v>1948</v>
      </c>
    </row>
    <row r="3414" ht="15.75" customHeight="1">
      <c r="A3414" t="str">
        <f t="shared" si="1"/>
        <v>M.abscessus</v>
      </c>
      <c r="B3414" s="5" t="s">
        <v>18695</v>
      </c>
      <c r="C3414" s="6" t="str">
        <f>IFERROR(__xludf.DUMMYFUNCTION("SPLIT('2. c'!B3414, "" "", True, True)"),"Mycobacterium")</f>
        <v>Mycobacterium</v>
      </c>
      <c r="D3414" t="str">
        <f>IFERROR(__xludf.DUMMYFUNCTION("""COMPUTED_VALUE"""),"abscessus")</f>
        <v>abscessus</v>
      </c>
      <c r="E3414" t="str">
        <f>IFERROR(__xludf.DUMMYFUNCTION("""COMPUTED_VALUE"""),"subsp.")</f>
        <v>subsp.</v>
      </c>
      <c r="F3414" t="str">
        <f>IFERROR(__xludf.DUMMYFUNCTION("""COMPUTED_VALUE"""),"bolletii")</f>
        <v>bolletii</v>
      </c>
      <c r="G3414" t="str">
        <f>IFERROR(__xludf.DUMMYFUNCTION("""COMPUTED_VALUE"""),"MC1518")</f>
        <v>MC1518</v>
      </c>
    </row>
    <row r="3415" ht="15.75" customHeight="1">
      <c r="A3415" t="str">
        <f t="shared" si="1"/>
        <v>M.abscessus</v>
      </c>
      <c r="B3415" s="5" t="s">
        <v>18705</v>
      </c>
      <c r="C3415" s="6" t="str">
        <f>IFERROR(__xludf.DUMMYFUNCTION("SPLIT('2. c'!B3415, "" "", True, True)"),"Mycobacterium")</f>
        <v>Mycobacterium</v>
      </c>
      <c r="D3415" t="str">
        <f>IFERROR(__xludf.DUMMYFUNCTION("""COMPUTED_VALUE"""),"abscessus")</f>
        <v>abscessus</v>
      </c>
      <c r="E3415" t="str">
        <f>IFERROR(__xludf.DUMMYFUNCTION("""COMPUTED_VALUE"""),"subsp.")</f>
        <v>subsp.</v>
      </c>
      <c r="F3415" t="str">
        <f>IFERROR(__xludf.DUMMYFUNCTION("""COMPUTED_VALUE"""),"bolletii")</f>
        <v>bolletii</v>
      </c>
      <c r="G3415" t="str">
        <f>IFERROR(__xludf.DUMMYFUNCTION("""COMPUTED_VALUE"""),"MM1513")</f>
        <v>MM1513</v>
      </c>
    </row>
    <row r="3416" ht="15.75" customHeight="1">
      <c r="A3416" t="str">
        <f t="shared" si="1"/>
        <v>M.abscessus</v>
      </c>
      <c r="B3416" s="5" t="s">
        <v>18716</v>
      </c>
      <c r="C3416" s="6" t="str">
        <f>IFERROR(__xludf.DUMMYFUNCTION("SPLIT('2. c'!B3416, "" "", True, True)"),"Mycobacterium")</f>
        <v>Mycobacterium</v>
      </c>
      <c r="D3416" t="str">
        <f>IFERROR(__xludf.DUMMYFUNCTION("""COMPUTED_VALUE"""),"abscessus")</f>
        <v>abscessus</v>
      </c>
      <c r="E3416" t="str">
        <f>IFERROR(__xludf.DUMMYFUNCTION("""COMPUTED_VALUE"""),"UC22")</f>
        <v>UC22</v>
      </c>
    </row>
    <row r="3417" ht="15.75" customHeight="1">
      <c r="A3417" t="str">
        <f t="shared" si="1"/>
        <v>M.africanum</v>
      </c>
      <c r="B3417" s="5" t="s">
        <v>18725</v>
      </c>
      <c r="C3417" s="6" t="str">
        <f>IFERROR(__xludf.DUMMYFUNCTION("SPLIT('2. c'!B3417, "" "", True, True)"),"Mycobacterium")</f>
        <v>Mycobacterium</v>
      </c>
      <c r="D3417" t="str">
        <f>IFERROR(__xludf.DUMMYFUNCTION("""COMPUTED_VALUE"""),"africanum")</f>
        <v>africanum</v>
      </c>
      <c r="E3417" t="str">
        <f>IFERROR(__xludf.DUMMYFUNCTION("""COMPUTED_VALUE"""),"GM041182")</f>
        <v>GM041182</v>
      </c>
    </row>
    <row r="3418" ht="15.75" customHeight="1">
      <c r="A3418" t="str">
        <f t="shared" si="1"/>
        <v>M.africanum</v>
      </c>
      <c r="B3418" s="5" t="s">
        <v>18733</v>
      </c>
      <c r="C3418" s="6" t="str">
        <f>IFERROR(__xludf.DUMMYFUNCTION("SPLIT('2. c'!B3418, "" "", True, True)"),"Mycobacterium")</f>
        <v>Mycobacterium</v>
      </c>
      <c r="D3418" t="str">
        <f>IFERROR(__xludf.DUMMYFUNCTION("""COMPUTED_VALUE"""),"africanum")</f>
        <v>africanum</v>
      </c>
      <c r="E3418" t="str">
        <f>IFERROR(__xludf.DUMMYFUNCTION("""COMPUTED_VALUE"""),"strain")</f>
        <v>strain</v>
      </c>
      <c r="F3418">
        <f>IFERROR(__xludf.DUMMYFUNCTION("""COMPUTED_VALUE"""),25.0)</f>
        <v>25</v>
      </c>
    </row>
    <row r="3419" ht="15.75" customHeight="1">
      <c r="A3419" t="str">
        <f t="shared" si="1"/>
        <v>M.africanum</v>
      </c>
      <c r="B3419" s="5" t="s">
        <v>18745</v>
      </c>
      <c r="C3419" s="6" t="str">
        <f>IFERROR(__xludf.DUMMYFUNCTION("SPLIT('2. c'!B3419, "" "", True, True)"),"Mycobacterium")</f>
        <v>Mycobacterium</v>
      </c>
      <c r="D3419" t="str">
        <f>IFERROR(__xludf.DUMMYFUNCTION("""COMPUTED_VALUE"""),"africanum")</f>
        <v>africanum</v>
      </c>
      <c r="E3419" t="str">
        <f>IFERROR(__xludf.DUMMYFUNCTION("""COMPUTED_VALUE"""),"strain")</f>
        <v>strain</v>
      </c>
      <c r="F3419" t="str">
        <f>IFERROR(__xludf.DUMMYFUNCTION("""COMPUTED_VALUE"""),"UT307")</f>
        <v>UT307</v>
      </c>
    </row>
    <row r="3420" ht="15.75" customHeight="1">
      <c r="A3420" t="str">
        <f t="shared" si="1"/>
        <v>M.avium</v>
      </c>
      <c r="B3420" s="5" t="s">
        <v>18753</v>
      </c>
      <c r="C3420" s="6" t="str">
        <f>IFERROR(__xludf.DUMMYFUNCTION("SPLIT('2. c'!B3420, "" "", True, True)"),"Mycobacterium")</f>
        <v>Mycobacterium</v>
      </c>
      <c r="D3420" t="str">
        <f>IFERROR(__xludf.DUMMYFUNCTION("""COMPUTED_VALUE"""),"avium")</f>
        <v>avium</v>
      </c>
      <c r="E3420">
        <f>IFERROR(__xludf.DUMMYFUNCTION("""COMPUTED_VALUE"""),104.0)</f>
        <v>104</v>
      </c>
    </row>
    <row r="3421" ht="15.75" customHeight="1">
      <c r="A3421" t="str">
        <f t="shared" si="1"/>
        <v>M.avium</v>
      </c>
      <c r="B3421" s="5" t="s">
        <v>18765</v>
      </c>
      <c r="C3421" s="6" t="str">
        <f>IFERROR(__xludf.DUMMYFUNCTION("SPLIT('2. c'!B3421, "" "", True, True)"),"Mycobacterium")</f>
        <v>Mycobacterium</v>
      </c>
      <c r="D3421" t="str">
        <f>IFERROR(__xludf.DUMMYFUNCTION("""COMPUTED_VALUE"""),"avium")</f>
        <v>avium</v>
      </c>
      <c r="E3421" t="str">
        <f>IFERROR(__xludf.DUMMYFUNCTION("""COMPUTED_VALUE"""),"subsp.")</f>
        <v>subsp.</v>
      </c>
      <c r="F3421" t="str">
        <f>IFERROR(__xludf.DUMMYFUNCTION("""COMPUTED_VALUE"""),"avium")</f>
        <v>avium</v>
      </c>
      <c r="G3421">
        <f>IFERROR(__xludf.DUMMYFUNCTION("""COMPUTED_VALUE"""),2285.0)</f>
        <v>2285</v>
      </c>
      <c r="H3421" t="str">
        <f>IFERROR(__xludf.DUMMYFUNCTION("""COMPUTED_VALUE"""),"(R)")</f>
        <v>(R)</v>
      </c>
      <c r="I3421">
        <f>IFERROR(__xludf.DUMMYFUNCTION("""COMPUTED_VALUE"""),2285.0)</f>
        <v>2285</v>
      </c>
      <c r="J3421" t="str">
        <f>IFERROR(__xludf.DUMMYFUNCTION("""COMPUTED_VALUE"""),"(R)")</f>
        <v>(R)</v>
      </c>
    </row>
    <row r="3422" ht="15.75" customHeight="1">
      <c r="A3422" t="str">
        <f t="shared" si="1"/>
        <v>M.avium</v>
      </c>
      <c r="B3422" s="5" t="s">
        <v>18773</v>
      </c>
      <c r="C3422" s="6" t="str">
        <f>IFERROR(__xludf.DUMMYFUNCTION("SPLIT('2. c'!B3422, "" "", True, True)"),"Mycobacterium")</f>
        <v>Mycobacterium</v>
      </c>
      <c r="D3422" t="str">
        <f>IFERROR(__xludf.DUMMYFUNCTION("""COMPUTED_VALUE"""),"avium")</f>
        <v>avium</v>
      </c>
      <c r="E3422" t="str">
        <f>IFERROR(__xludf.DUMMYFUNCTION("""COMPUTED_VALUE"""),"subsp.")</f>
        <v>subsp.</v>
      </c>
      <c r="F3422" t="str">
        <f>IFERROR(__xludf.DUMMYFUNCTION("""COMPUTED_VALUE"""),"avium")</f>
        <v>avium</v>
      </c>
      <c r="G3422">
        <f>IFERROR(__xludf.DUMMYFUNCTION("""COMPUTED_VALUE"""),2285.0)</f>
        <v>2285</v>
      </c>
      <c r="H3422" t="str">
        <f>IFERROR(__xludf.DUMMYFUNCTION("""COMPUTED_VALUE"""),"(S)")</f>
        <v>(S)</v>
      </c>
      <c r="I3422">
        <f>IFERROR(__xludf.DUMMYFUNCTION("""COMPUTED_VALUE"""),2285.0)</f>
        <v>2285</v>
      </c>
      <c r="J3422" t="str">
        <f>IFERROR(__xludf.DUMMYFUNCTION("""COMPUTED_VALUE"""),"(S)")</f>
        <v>(S)</v>
      </c>
    </row>
    <row r="3423" ht="15.75" customHeight="1">
      <c r="A3423" t="str">
        <f t="shared" si="1"/>
        <v>M.avium</v>
      </c>
      <c r="B3423" s="5" t="s">
        <v>18785</v>
      </c>
      <c r="C3423" s="6" t="str">
        <f>IFERROR(__xludf.DUMMYFUNCTION("SPLIT('2. c'!B3423, "" "", True, True)"),"Mycobacterium")</f>
        <v>Mycobacterium</v>
      </c>
      <c r="D3423" t="str">
        <f>IFERROR(__xludf.DUMMYFUNCTION("""COMPUTED_VALUE"""),"avium")</f>
        <v>avium</v>
      </c>
      <c r="E3423" t="str">
        <f>IFERROR(__xludf.DUMMYFUNCTION("""COMPUTED_VALUE"""),"subsp.")</f>
        <v>subsp.</v>
      </c>
      <c r="F3423" t="str">
        <f>IFERROR(__xludf.DUMMYFUNCTION("""COMPUTED_VALUE"""),"avium")</f>
        <v>avium</v>
      </c>
      <c r="G3423" t="str">
        <f>IFERROR(__xludf.DUMMYFUNCTION("""COMPUTED_VALUE"""),"DJO-44271")</f>
        <v>DJO-44271</v>
      </c>
    </row>
    <row r="3424" ht="15.75" customHeight="1">
      <c r="A3424" t="str">
        <f t="shared" si="1"/>
        <v>M.avium</v>
      </c>
      <c r="B3424" s="5" t="s">
        <v>18794</v>
      </c>
      <c r="C3424" s="6" t="str">
        <f>IFERROR(__xludf.DUMMYFUNCTION("SPLIT('2. c'!B3424, "" "", True, True)"),"Mycobacterium")</f>
        <v>Mycobacterium</v>
      </c>
      <c r="D3424" t="str">
        <f>IFERROR(__xludf.DUMMYFUNCTION("""COMPUTED_VALUE"""),"avium")</f>
        <v>avium</v>
      </c>
      <c r="E3424" t="str">
        <f>IFERROR(__xludf.DUMMYFUNCTION("""COMPUTED_VALUE"""),"subsp.")</f>
        <v>subsp.</v>
      </c>
      <c r="F3424" t="str">
        <f>IFERROR(__xludf.DUMMYFUNCTION("""COMPUTED_VALUE"""),"hominissuis")</f>
        <v>hominissuis</v>
      </c>
      <c r="G3424" t="str">
        <f>IFERROR(__xludf.DUMMYFUNCTION("""COMPUTED_VALUE"""),"TH135")</f>
        <v>TH135</v>
      </c>
    </row>
    <row r="3425" ht="15.75" customHeight="1">
      <c r="A3425" t="str">
        <f t="shared" si="1"/>
        <v>M.avium</v>
      </c>
      <c r="B3425" s="5" t="s">
        <v>18803</v>
      </c>
      <c r="C3425" s="6" t="str">
        <f>IFERROR(__xludf.DUMMYFUNCTION("SPLIT('2. c'!B3425, "" "", True, True)"),"Mycobacterium")</f>
        <v>Mycobacterium</v>
      </c>
      <c r="D3425" t="str">
        <f>IFERROR(__xludf.DUMMYFUNCTION("""COMPUTED_VALUE"""),"avium")</f>
        <v>avium</v>
      </c>
      <c r="E3425" t="str">
        <f>IFERROR(__xludf.DUMMYFUNCTION("""COMPUTED_VALUE"""),"subsp.")</f>
        <v>subsp.</v>
      </c>
      <c r="F3425" t="str">
        <f>IFERROR(__xludf.DUMMYFUNCTION("""COMPUTED_VALUE"""),"paratuberculosis")</f>
        <v>paratuberculosis</v>
      </c>
    </row>
    <row r="3426" ht="15.75" customHeight="1">
      <c r="A3426" t="str">
        <f t="shared" si="1"/>
        <v>M.avium</v>
      </c>
      <c r="B3426" s="5" t="s">
        <v>18813</v>
      </c>
      <c r="C3426" s="6" t="str">
        <f>IFERROR(__xludf.DUMMYFUNCTION("SPLIT('2. c'!B3426, "" "", True, True)"),"Mycobacterium")</f>
        <v>Mycobacterium</v>
      </c>
      <c r="D3426" t="str">
        <f>IFERROR(__xludf.DUMMYFUNCTION("""COMPUTED_VALUE"""),"avium")</f>
        <v>avium</v>
      </c>
      <c r="E3426" t="str">
        <f>IFERROR(__xludf.DUMMYFUNCTION("""COMPUTED_VALUE"""),"subsp.")</f>
        <v>subsp.</v>
      </c>
      <c r="F3426" t="str">
        <f>IFERROR(__xludf.DUMMYFUNCTION("""COMPUTED_VALUE"""),"paratuberculosis")</f>
        <v>paratuberculosis</v>
      </c>
      <c r="G3426" t="str">
        <f>IFERROR(__xludf.DUMMYFUNCTION("""COMPUTED_VALUE"""),"E1")</f>
        <v>E1</v>
      </c>
    </row>
    <row r="3427" ht="15.75" customHeight="1">
      <c r="A3427" t="str">
        <f t="shared" si="1"/>
        <v>M.avium</v>
      </c>
      <c r="B3427" s="5" t="s">
        <v>18822</v>
      </c>
      <c r="C3427" s="6" t="str">
        <f>IFERROR(__xludf.DUMMYFUNCTION("SPLIT('2. c'!B3427, "" "", True, True)"),"Mycobacterium")</f>
        <v>Mycobacterium</v>
      </c>
      <c r="D3427" t="str">
        <f>IFERROR(__xludf.DUMMYFUNCTION("""COMPUTED_VALUE"""),"avium")</f>
        <v>avium</v>
      </c>
      <c r="E3427" t="str">
        <f>IFERROR(__xludf.DUMMYFUNCTION("""COMPUTED_VALUE"""),"subsp.")</f>
        <v>subsp.</v>
      </c>
      <c r="F3427" t="str">
        <f>IFERROR(__xludf.DUMMYFUNCTION("""COMPUTED_VALUE"""),"paratuberculosis")</f>
        <v>paratuberculosis</v>
      </c>
      <c r="G3427" t="str">
        <f>IFERROR(__xludf.DUMMYFUNCTION("""COMPUTED_VALUE"""),"E93")</f>
        <v>E93</v>
      </c>
    </row>
    <row r="3428" ht="15.75" customHeight="1">
      <c r="A3428" t="str">
        <f t="shared" si="1"/>
        <v>M.avium</v>
      </c>
      <c r="B3428" s="5" t="s">
        <v>18831</v>
      </c>
      <c r="C3428" s="6" t="str">
        <f>IFERROR(__xludf.DUMMYFUNCTION("SPLIT('2. c'!B3428, "" "", True, True)"),"Mycobacterium")</f>
        <v>Mycobacterium</v>
      </c>
      <c r="D3428" t="str">
        <f>IFERROR(__xludf.DUMMYFUNCTION("""COMPUTED_VALUE"""),"avium")</f>
        <v>avium</v>
      </c>
      <c r="E3428" t="str">
        <f>IFERROR(__xludf.DUMMYFUNCTION("""COMPUTED_VALUE"""),"subsp.")</f>
        <v>subsp.</v>
      </c>
      <c r="F3428" t="str">
        <f>IFERROR(__xludf.DUMMYFUNCTION("""COMPUTED_VALUE"""),"paratuberculosis")</f>
        <v>paratuberculosis</v>
      </c>
      <c r="G3428" t="str">
        <f>IFERROR(__xludf.DUMMYFUNCTION("""COMPUTED_VALUE"""),"K-10")</f>
        <v>K-10</v>
      </c>
    </row>
    <row r="3429" ht="15.75" customHeight="1">
      <c r="A3429" t="str">
        <f t="shared" si="1"/>
        <v>M.avium</v>
      </c>
      <c r="B3429" s="5" t="s">
        <v>18843</v>
      </c>
      <c r="C3429" s="6" t="str">
        <f>IFERROR(__xludf.DUMMYFUNCTION("SPLIT('2. c'!B3429, "" "", True, True)"),"Mycobacterium")</f>
        <v>Mycobacterium</v>
      </c>
      <c r="D3429" t="str">
        <f>IFERROR(__xludf.DUMMYFUNCTION("""COMPUTED_VALUE"""),"avium")</f>
        <v>avium</v>
      </c>
      <c r="E3429" t="str">
        <f>IFERROR(__xludf.DUMMYFUNCTION("""COMPUTED_VALUE"""),"subsp.")</f>
        <v>subsp.</v>
      </c>
      <c r="F3429" t="str">
        <f>IFERROR(__xludf.DUMMYFUNCTION("""COMPUTED_VALUE"""),"paratuberculosis")</f>
        <v>paratuberculosis</v>
      </c>
      <c r="G3429" t="str">
        <f>IFERROR(__xludf.DUMMYFUNCTION("""COMPUTED_VALUE"""),"MAP4")</f>
        <v>MAP4</v>
      </c>
    </row>
    <row r="3430" ht="15.75" customHeight="1">
      <c r="A3430" t="str">
        <f t="shared" si="1"/>
        <v>M.bovis</v>
      </c>
      <c r="B3430" s="5" t="s">
        <v>18854</v>
      </c>
      <c r="C3430" s="6" t="str">
        <f>IFERROR(__xludf.DUMMYFUNCTION("SPLIT('2. c'!B3430, "" "", True, True)"),"Mycobacterium")</f>
        <v>Mycobacterium</v>
      </c>
      <c r="D3430" t="str">
        <f>IFERROR(__xludf.DUMMYFUNCTION("""COMPUTED_VALUE"""),"bovis")</f>
        <v>bovis</v>
      </c>
      <c r="E3430" t="str">
        <f>IFERROR(__xludf.DUMMYFUNCTION("""COMPUTED_VALUE"""),"AF2122/97")</f>
        <v>AF2122/97</v>
      </c>
    </row>
    <row r="3431" ht="15.75" customHeight="1">
      <c r="A3431" t="str">
        <f t="shared" si="1"/>
        <v>M.bovis</v>
      </c>
      <c r="B3431" s="5" t="s">
        <v>18859</v>
      </c>
      <c r="C3431" s="6" t="str">
        <f>IFERROR(__xludf.DUMMYFUNCTION("SPLIT('2. c'!B3431, "" "", True, True)"),"Mycobacterium")</f>
        <v>Mycobacterium</v>
      </c>
      <c r="D3431" t="str">
        <f>IFERROR(__xludf.DUMMYFUNCTION("""COMPUTED_VALUE"""),"bovis")</f>
        <v>bovis</v>
      </c>
      <c r="E3431" t="str">
        <f>IFERROR(__xludf.DUMMYFUNCTION("""COMPUTED_VALUE"""),"ATCC")</f>
        <v>ATCC</v>
      </c>
      <c r="F3431" t="str">
        <f>IFERROR(__xludf.DUMMYFUNCTION("""COMPUTED_VALUE"""),"BAA-935")</f>
        <v>BAA-935</v>
      </c>
    </row>
    <row r="3432" ht="15.75" customHeight="1">
      <c r="A3432" t="str">
        <f t="shared" si="1"/>
        <v>M.bovis</v>
      </c>
      <c r="B3432" s="5" t="s">
        <v>18868</v>
      </c>
      <c r="C3432" s="6" t="str">
        <f>IFERROR(__xludf.DUMMYFUNCTION("SPLIT('2. c'!B3432, "" "", True, True)"),"Mycobacterium")</f>
        <v>Mycobacterium</v>
      </c>
      <c r="D3432" t="str">
        <f>IFERROR(__xludf.DUMMYFUNCTION("""COMPUTED_VALUE"""),"bovis")</f>
        <v>bovis</v>
      </c>
      <c r="E3432" t="str">
        <f>IFERROR(__xludf.DUMMYFUNCTION("""COMPUTED_VALUE"""),"BCG")</f>
        <v>BCG</v>
      </c>
    </row>
    <row r="3433" ht="15.75" customHeight="1">
      <c r="A3433" t="str">
        <f t="shared" si="1"/>
        <v>M.bovis</v>
      </c>
      <c r="B3433" s="5" t="s">
        <v>18868</v>
      </c>
      <c r="C3433" s="6" t="str">
        <f>IFERROR(__xludf.DUMMYFUNCTION("SPLIT('2. c'!B3433, "" "", True, True)"),"Mycobacterium")</f>
        <v>Mycobacterium</v>
      </c>
      <c r="D3433" t="str">
        <f>IFERROR(__xludf.DUMMYFUNCTION("""COMPUTED_VALUE"""),"bovis")</f>
        <v>bovis</v>
      </c>
      <c r="E3433" t="str">
        <f>IFERROR(__xludf.DUMMYFUNCTION("""COMPUTED_VALUE"""),"BCG")</f>
        <v>BCG</v>
      </c>
    </row>
    <row r="3434" ht="15.75" customHeight="1">
      <c r="A3434" t="str">
        <f t="shared" si="1"/>
        <v>M.bovis</v>
      </c>
      <c r="B3434" s="5" t="s">
        <v>18868</v>
      </c>
      <c r="C3434" s="6" t="str">
        <f>IFERROR(__xludf.DUMMYFUNCTION("SPLIT('2. c'!B3434, "" "", True, True)"),"Mycobacterium")</f>
        <v>Mycobacterium</v>
      </c>
      <c r="D3434" t="str">
        <f>IFERROR(__xludf.DUMMYFUNCTION("""COMPUTED_VALUE"""),"bovis")</f>
        <v>bovis</v>
      </c>
      <c r="E3434" t="str">
        <f>IFERROR(__xludf.DUMMYFUNCTION("""COMPUTED_VALUE"""),"BCG")</f>
        <v>BCG</v>
      </c>
    </row>
    <row r="3435" ht="15.75" customHeight="1">
      <c r="A3435" t="str">
        <f t="shared" si="1"/>
        <v>M.bovis</v>
      </c>
      <c r="B3435" s="5" t="s">
        <v>18868</v>
      </c>
      <c r="C3435" s="6" t="str">
        <f>IFERROR(__xludf.DUMMYFUNCTION("SPLIT('2. c'!B3435, "" "", True, True)"),"Mycobacterium")</f>
        <v>Mycobacterium</v>
      </c>
      <c r="D3435" t="str">
        <f>IFERROR(__xludf.DUMMYFUNCTION("""COMPUTED_VALUE"""),"bovis")</f>
        <v>bovis</v>
      </c>
      <c r="E3435" t="str">
        <f>IFERROR(__xludf.DUMMYFUNCTION("""COMPUTED_VALUE"""),"BCG")</f>
        <v>BCG</v>
      </c>
    </row>
    <row r="3436" ht="15.75" customHeight="1">
      <c r="A3436" t="str">
        <f t="shared" si="1"/>
        <v>M.bovis</v>
      </c>
      <c r="B3436" s="5" t="s">
        <v>18868</v>
      </c>
      <c r="C3436" s="6" t="str">
        <f>IFERROR(__xludf.DUMMYFUNCTION("SPLIT('2. c'!B3436, "" "", True, True)"),"Mycobacterium")</f>
        <v>Mycobacterium</v>
      </c>
      <c r="D3436" t="str">
        <f>IFERROR(__xludf.DUMMYFUNCTION("""COMPUTED_VALUE"""),"bovis")</f>
        <v>bovis</v>
      </c>
      <c r="E3436" t="str">
        <f>IFERROR(__xludf.DUMMYFUNCTION("""COMPUTED_VALUE"""),"BCG")</f>
        <v>BCG</v>
      </c>
    </row>
    <row r="3437" ht="15.75" customHeight="1">
      <c r="A3437" t="str">
        <f t="shared" si="1"/>
        <v>M.bovis</v>
      </c>
      <c r="B3437" s="5" t="s">
        <v>18868</v>
      </c>
      <c r="C3437" s="6" t="str">
        <f>IFERROR(__xludf.DUMMYFUNCTION("SPLIT('2. c'!B3437, "" "", True, True)"),"Mycobacterium")</f>
        <v>Mycobacterium</v>
      </c>
      <c r="D3437" t="str">
        <f>IFERROR(__xludf.DUMMYFUNCTION("""COMPUTED_VALUE"""),"bovis")</f>
        <v>bovis</v>
      </c>
      <c r="E3437" t="str">
        <f>IFERROR(__xludf.DUMMYFUNCTION("""COMPUTED_VALUE"""),"BCG")</f>
        <v>BCG</v>
      </c>
    </row>
    <row r="3438" ht="15.75" customHeight="1">
      <c r="A3438" t="str">
        <f t="shared" si="1"/>
        <v>M.bovis</v>
      </c>
      <c r="B3438" s="5" t="s">
        <v>18868</v>
      </c>
      <c r="C3438" s="6" t="str">
        <f>IFERROR(__xludf.DUMMYFUNCTION("SPLIT('2. c'!B3438, "" "", True, True)"),"Mycobacterium")</f>
        <v>Mycobacterium</v>
      </c>
      <c r="D3438" t="str">
        <f>IFERROR(__xludf.DUMMYFUNCTION("""COMPUTED_VALUE"""),"bovis")</f>
        <v>bovis</v>
      </c>
      <c r="E3438" t="str">
        <f>IFERROR(__xludf.DUMMYFUNCTION("""COMPUTED_VALUE"""),"BCG")</f>
        <v>BCG</v>
      </c>
    </row>
    <row r="3439" ht="15.75" customHeight="1">
      <c r="A3439" t="str">
        <f t="shared" si="1"/>
        <v>M.bovis</v>
      </c>
      <c r="B3439" s="5" t="s">
        <v>18868</v>
      </c>
      <c r="C3439" s="6" t="str">
        <f>IFERROR(__xludf.DUMMYFUNCTION("SPLIT('2. c'!B3439, "" "", True, True)"),"Mycobacterium")</f>
        <v>Mycobacterium</v>
      </c>
      <c r="D3439" t="str">
        <f>IFERROR(__xludf.DUMMYFUNCTION("""COMPUTED_VALUE"""),"bovis")</f>
        <v>bovis</v>
      </c>
      <c r="E3439" t="str">
        <f>IFERROR(__xludf.DUMMYFUNCTION("""COMPUTED_VALUE"""),"BCG")</f>
        <v>BCG</v>
      </c>
    </row>
    <row r="3440" ht="15.75" customHeight="1">
      <c r="A3440" t="str">
        <f t="shared" si="1"/>
        <v>M.bovis</v>
      </c>
      <c r="B3440" s="5" t="s">
        <v>18868</v>
      </c>
      <c r="C3440" s="6" t="str">
        <f>IFERROR(__xludf.DUMMYFUNCTION("SPLIT('2. c'!B3440, "" "", True, True)"),"Mycobacterium")</f>
        <v>Mycobacterium</v>
      </c>
      <c r="D3440" t="str">
        <f>IFERROR(__xludf.DUMMYFUNCTION("""COMPUTED_VALUE"""),"bovis")</f>
        <v>bovis</v>
      </c>
      <c r="E3440" t="str">
        <f>IFERROR(__xludf.DUMMYFUNCTION("""COMPUTED_VALUE"""),"BCG")</f>
        <v>BCG</v>
      </c>
    </row>
    <row r="3441" ht="15.75" customHeight="1">
      <c r="A3441" t="str">
        <f t="shared" si="1"/>
        <v>M.bovis</v>
      </c>
      <c r="B3441" s="5" t="s">
        <v>18868</v>
      </c>
      <c r="C3441" s="6" t="str">
        <f>IFERROR(__xludf.DUMMYFUNCTION("SPLIT('2. c'!B3441, "" "", True, True)"),"Mycobacterium")</f>
        <v>Mycobacterium</v>
      </c>
      <c r="D3441" t="str">
        <f>IFERROR(__xludf.DUMMYFUNCTION("""COMPUTED_VALUE"""),"bovis")</f>
        <v>bovis</v>
      </c>
      <c r="E3441" t="str">
        <f>IFERROR(__xludf.DUMMYFUNCTION("""COMPUTED_VALUE"""),"BCG")</f>
        <v>BCG</v>
      </c>
    </row>
    <row r="3442" ht="15.75" customHeight="1">
      <c r="A3442" t="str">
        <f t="shared" si="1"/>
        <v>M.bovis</v>
      </c>
      <c r="B3442" s="5" t="s">
        <v>18868</v>
      </c>
      <c r="C3442" s="6" t="str">
        <f>IFERROR(__xludf.DUMMYFUNCTION("SPLIT('2. c'!B3442, "" "", True, True)"),"Mycobacterium")</f>
        <v>Mycobacterium</v>
      </c>
      <c r="D3442" t="str">
        <f>IFERROR(__xludf.DUMMYFUNCTION("""COMPUTED_VALUE"""),"bovis")</f>
        <v>bovis</v>
      </c>
      <c r="E3442" t="str">
        <f>IFERROR(__xludf.DUMMYFUNCTION("""COMPUTED_VALUE"""),"BCG")</f>
        <v>BCG</v>
      </c>
    </row>
    <row r="3443" ht="15.75" customHeight="1">
      <c r="A3443" t="str">
        <f t="shared" si="1"/>
        <v>M.bovis</v>
      </c>
      <c r="B3443" s="5" t="s">
        <v>18868</v>
      </c>
      <c r="C3443" s="6" t="str">
        <f>IFERROR(__xludf.DUMMYFUNCTION("SPLIT('2. c'!B3443, "" "", True, True)"),"Mycobacterium")</f>
        <v>Mycobacterium</v>
      </c>
      <c r="D3443" t="str">
        <f>IFERROR(__xludf.DUMMYFUNCTION("""COMPUTED_VALUE"""),"bovis")</f>
        <v>bovis</v>
      </c>
      <c r="E3443" t="str">
        <f>IFERROR(__xludf.DUMMYFUNCTION("""COMPUTED_VALUE"""),"BCG")</f>
        <v>BCG</v>
      </c>
    </row>
    <row r="3444" ht="15.75" customHeight="1">
      <c r="A3444" t="str">
        <f t="shared" si="1"/>
        <v>M.bovis</v>
      </c>
      <c r="B3444" s="5" t="s">
        <v>18868</v>
      </c>
      <c r="C3444" s="6" t="str">
        <f>IFERROR(__xludf.DUMMYFUNCTION("SPLIT('2. c'!B3444, "" "", True, True)"),"Mycobacterium")</f>
        <v>Mycobacterium</v>
      </c>
      <c r="D3444" t="str">
        <f>IFERROR(__xludf.DUMMYFUNCTION("""COMPUTED_VALUE"""),"bovis")</f>
        <v>bovis</v>
      </c>
      <c r="E3444" t="str">
        <f>IFERROR(__xludf.DUMMYFUNCTION("""COMPUTED_VALUE"""),"BCG")</f>
        <v>BCG</v>
      </c>
    </row>
    <row r="3445" ht="15.75" customHeight="1">
      <c r="A3445" t="str">
        <f t="shared" si="1"/>
        <v>M.bovis</v>
      </c>
      <c r="B3445" s="5" t="s">
        <v>18868</v>
      </c>
      <c r="C3445" s="6" t="str">
        <f>IFERROR(__xludf.DUMMYFUNCTION("SPLIT('2. c'!B3445, "" "", True, True)"),"Mycobacterium")</f>
        <v>Mycobacterium</v>
      </c>
      <c r="D3445" t="str">
        <f>IFERROR(__xludf.DUMMYFUNCTION("""COMPUTED_VALUE"""),"bovis")</f>
        <v>bovis</v>
      </c>
      <c r="E3445" t="str">
        <f>IFERROR(__xludf.DUMMYFUNCTION("""COMPUTED_VALUE"""),"BCG")</f>
        <v>BCG</v>
      </c>
    </row>
    <row r="3446" ht="15.75" customHeight="1">
      <c r="A3446" t="str">
        <f t="shared" si="1"/>
        <v>M.bovis</v>
      </c>
      <c r="B3446" s="5" t="s">
        <v>18868</v>
      </c>
      <c r="C3446" s="6" t="str">
        <f>IFERROR(__xludf.DUMMYFUNCTION("SPLIT('2. c'!B3446, "" "", True, True)"),"Mycobacterium")</f>
        <v>Mycobacterium</v>
      </c>
      <c r="D3446" t="str">
        <f>IFERROR(__xludf.DUMMYFUNCTION("""COMPUTED_VALUE"""),"bovis")</f>
        <v>bovis</v>
      </c>
      <c r="E3446" t="str">
        <f>IFERROR(__xludf.DUMMYFUNCTION("""COMPUTED_VALUE"""),"BCG")</f>
        <v>BCG</v>
      </c>
    </row>
    <row r="3447" ht="15.75" customHeight="1">
      <c r="A3447" t="str">
        <f t="shared" si="1"/>
        <v>M.bovis</v>
      </c>
      <c r="B3447" s="5" t="s">
        <v>18971</v>
      </c>
      <c r="C3447" s="6" t="str">
        <f>IFERROR(__xludf.DUMMYFUNCTION("SPLIT('2. c'!B3447, "" "", True, True)"),"Mycobacterium")</f>
        <v>Mycobacterium</v>
      </c>
      <c r="D3447" t="str">
        <f>IFERROR(__xludf.DUMMYFUNCTION("""COMPUTED_VALUE"""),"bovis")</f>
        <v>bovis</v>
      </c>
      <c r="E3447" t="str">
        <f>IFERROR(__xludf.DUMMYFUNCTION("""COMPUTED_VALUE"""),"BCG")</f>
        <v>BCG</v>
      </c>
      <c r="F3447" t="str">
        <f>IFERROR(__xludf.DUMMYFUNCTION("""COMPUTED_VALUE"""),"str.")</f>
        <v>str.</v>
      </c>
      <c r="G3447" t="str">
        <f>IFERROR(__xludf.DUMMYFUNCTION("""COMPUTED_VALUE"""),"Korea")</f>
        <v>Korea</v>
      </c>
      <c r="H3447" t="str">
        <f>IFERROR(__xludf.DUMMYFUNCTION("""COMPUTED_VALUE"""),"1168P")</f>
        <v>1168P</v>
      </c>
    </row>
    <row r="3448" ht="15.75" customHeight="1">
      <c r="A3448" t="str">
        <f t="shared" si="1"/>
        <v>M.bovis</v>
      </c>
      <c r="B3448" s="5" t="s">
        <v>18979</v>
      </c>
      <c r="C3448" s="6" t="str">
        <f>IFERROR(__xludf.DUMMYFUNCTION("SPLIT('2. c'!B3448, "" "", True, True)"),"Mycobacterium")</f>
        <v>Mycobacterium</v>
      </c>
      <c r="D3448" t="str">
        <f>IFERROR(__xludf.DUMMYFUNCTION("""COMPUTED_VALUE"""),"bovis")</f>
        <v>bovis</v>
      </c>
      <c r="E3448" t="str">
        <f>IFERROR(__xludf.DUMMYFUNCTION("""COMPUTED_VALUE"""),"BCG")</f>
        <v>BCG</v>
      </c>
      <c r="F3448" t="str">
        <f>IFERROR(__xludf.DUMMYFUNCTION("""COMPUTED_VALUE"""),"str.")</f>
        <v>str.</v>
      </c>
      <c r="G3448" t="str">
        <f>IFERROR(__xludf.DUMMYFUNCTION("""COMPUTED_VALUE"""),"Mexico")</f>
        <v>Mexico</v>
      </c>
    </row>
    <row r="3449" ht="15.75" customHeight="1">
      <c r="A3449" t="str">
        <f t="shared" si="1"/>
        <v>M.bovis</v>
      </c>
      <c r="B3449" s="5" t="s">
        <v>18989</v>
      </c>
      <c r="C3449" s="6" t="str">
        <f>IFERROR(__xludf.DUMMYFUNCTION("SPLIT('2. c'!B3449, "" "", True, True)"),"Mycobacterium")</f>
        <v>Mycobacterium</v>
      </c>
      <c r="D3449" t="str">
        <f>IFERROR(__xludf.DUMMYFUNCTION("""COMPUTED_VALUE"""),"bovis")</f>
        <v>bovis</v>
      </c>
      <c r="E3449" t="str">
        <f>IFERROR(__xludf.DUMMYFUNCTION("""COMPUTED_VALUE"""),"BCG")</f>
        <v>BCG</v>
      </c>
      <c r="F3449" t="str">
        <f>IFERROR(__xludf.DUMMYFUNCTION("""COMPUTED_VALUE"""),"str.")</f>
        <v>str.</v>
      </c>
      <c r="G3449" t="str">
        <f>IFERROR(__xludf.DUMMYFUNCTION("""COMPUTED_VALUE"""),"Pasteur")</f>
        <v>Pasteur</v>
      </c>
      <c r="H3449" t="str">
        <f>IFERROR(__xludf.DUMMYFUNCTION("""COMPUTED_VALUE"""),"1173P2")</f>
        <v>1173P2</v>
      </c>
    </row>
    <row r="3450" ht="15.75" customHeight="1">
      <c r="A3450" t="str">
        <f t="shared" si="1"/>
        <v>M.bovis</v>
      </c>
      <c r="B3450" s="5" t="s">
        <v>18999</v>
      </c>
      <c r="C3450" s="6" t="str">
        <f>IFERROR(__xludf.DUMMYFUNCTION("SPLIT('2. c'!B3450, "" "", True, True)"),"Mycobacterium")</f>
        <v>Mycobacterium</v>
      </c>
      <c r="D3450" t="str">
        <f>IFERROR(__xludf.DUMMYFUNCTION("""COMPUTED_VALUE"""),"bovis")</f>
        <v>bovis</v>
      </c>
      <c r="E3450" t="str">
        <f>IFERROR(__xludf.DUMMYFUNCTION("""COMPUTED_VALUE"""),"BCG")</f>
        <v>BCG</v>
      </c>
      <c r="F3450" t="str">
        <f>IFERROR(__xludf.DUMMYFUNCTION("""COMPUTED_VALUE"""),"str.")</f>
        <v>str.</v>
      </c>
      <c r="G3450" t="str">
        <f>IFERROR(__xludf.DUMMYFUNCTION("""COMPUTED_VALUE"""),"Tokyo")</f>
        <v>Tokyo</v>
      </c>
      <c r="H3450">
        <f>IFERROR(__xludf.DUMMYFUNCTION("""COMPUTED_VALUE"""),172.0)</f>
        <v>172</v>
      </c>
    </row>
    <row r="3451" ht="15.75" customHeight="1">
      <c r="A3451" t="str">
        <f t="shared" si="1"/>
        <v>M.bovis</v>
      </c>
      <c r="B3451" s="5" t="s">
        <v>18999</v>
      </c>
      <c r="C3451" s="6" t="str">
        <f>IFERROR(__xludf.DUMMYFUNCTION("SPLIT('2. c'!B3451, "" "", True, True)"),"Mycobacterium")</f>
        <v>Mycobacterium</v>
      </c>
      <c r="D3451" t="str">
        <f>IFERROR(__xludf.DUMMYFUNCTION("""COMPUTED_VALUE"""),"bovis")</f>
        <v>bovis</v>
      </c>
      <c r="E3451" t="str">
        <f>IFERROR(__xludf.DUMMYFUNCTION("""COMPUTED_VALUE"""),"BCG")</f>
        <v>BCG</v>
      </c>
      <c r="F3451" t="str">
        <f>IFERROR(__xludf.DUMMYFUNCTION("""COMPUTED_VALUE"""),"str.")</f>
        <v>str.</v>
      </c>
      <c r="G3451" t="str">
        <f>IFERROR(__xludf.DUMMYFUNCTION("""COMPUTED_VALUE"""),"Tokyo")</f>
        <v>Tokyo</v>
      </c>
      <c r="H3451">
        <f>IFERROR(__xludf.DUMMYFUNCTION("""COMPUTED_VALUE"""),172.0)</f>
        <v>172</v>
      </c>
    </row>
    <row r="3452" ht="15.75" customHeight="1">
      <c r="A3452" t="str">
        <f t="shared" si="1"/>
        <v>M.bovis</v>
      </c>
      <c r="B3452" s="5" t="s">
        <v>19019</v>
      </c>
      <c r="C3452" s="6" t="str">
        <f>IFERROR(__xludf.DUMMYFUNCTION("SPLIT('2. c'!B3452, "" "", True, True)"),"Mycobacterium")</f>
        <v>Mycobacterium</v>
      </c>
      <c r="D3452" t="str">
        <f>IFERROR(__xludf.DUMMYFUNCTION("""COMPUTED_VALUE"""),"bovis")</f>
        <v>bovis</v>
      </c>
      <c r="E3452" t="str">
        <f>IFERROR(__xludf.DUMMYFUNCTION("""COMPUTED_VALUE"""),"BCG")</f>
        <v>BCG</v>
      </c>
      <c r="F3452" t="str">
        <f>IFERROR(__xludf.DUMMYFUNCTION("""COMPUTED_VALUE"""),"strain")</f>
        <v>strain</v>
      </c>
      <c r="G3452">
        <f>IFERROR(__xludf.DUMMYFUNCTION("""COMPUTED_VALUE"""),3281.0)</f>
        <v>3281</v>
      </c>
    </row>
    <row r="3453" ht="15.75" customHeight="1">
      <c r="A3453" t="str">
        <f t="shared" si="1"/>
        <v>M.bovis</v>
      </c>
      <c r="B3453" s="5" t="s">
        <v>19028</v>
      </c>
      <c r="C3453" s="6" t="str">
        <f>IFERROR(__xludf.DUMMYFUNCTION("SPLIT('2. c'!B3453, "" "", True, True)"),"Mycobacterium")</f>
        <v>Mycobacterium</v>
      </c>
      <c r="D3453" t="str">
        <f>IFERROR(__xludf.DUMMYFUNCTION("""COMPUTED_VALUE"""),"bovis")</f>
        <v>bovis</v>
      </c>
      <c r="E3453" t="str">
        <f>IFERROR(__xludf.DUMMYFUNCTION("""COMPUTED_VALUE"""),"BCG")</f>
        <v>BCG</v>
      </c>
      <c r="F3453" t="str">
        <f>IFERROR(__xludf.DUMMYFUNCTION("""COMPUTED_VALUE"""),"strain")</f>
        <v>strain</v>
      </c>
      <c r="G3453" t="str">
        <f>IFERROR(__xludf.DUMMYFUNCTION("""COMPUTED_VALUE"""),"Russia")</f>
        <v>Russia</v>
      </c>
      <c r="H3453">
        <f>IFERROR(__xludf.DUMMYFUNCTION("""COMPUTED_VALUE"""),368.0)</f>
        <v>368</v>
      </c>
    </row>
    <row r="3454" ht="15.75" customHeight="1">
      <c r="A3454" t="str">
        <f t="shared" si="1"/>
        <v>M.bovis</v>
      </c>
      <c r="B3454" s="5" t="s">
        <v>19038</v>
      </c>
      <c r="C3454" s="6" t="str">
        <f>IFERROR(__xludf.DUMMYFUNCTION("SPLIT('2. c'!B3454, "" "", True, True)"),"Mycobacterium")</f>
        <v>Mycobacterium</v>
      </c>
      <c r="D3454" t="str">
        <f>IFERROR(__xludf.DUMMYFUNCTION("""COMPUTED_VALUE"""),"bovis")</f>
        <v>bovis</v>
      </c>
      <c r="E3454" t="str">
        <f>IFERROR(__xludf.DUMMYFUNCTION("""COMPUTED_VALUE"""),"strain")</f>
        <v>strain</v>
      </c>
      <c r="F3454">
        <f>IFERROR(__xludf.DUMMYFUNCTION("""COMPUTED_VALUE"""),1595.0)</f>
        <v>1595</v>
      </c>
    </row>
    <row r="3455" ht="15.75" customHeight="1">
      <c r="A3455" t="str">
        <f t="shared" si="1"/>
        <v>M.bovis</v>
      </c>
      <c r="B3455" s="5" t="s">
        <v>19051</v>
      </c>
      <c r="C3455" s="6" t="str">
        <f>IFERROR(__xludf.DUMMYFUNCTION("SPLIT('2. c'!B3455, "" "", True, True)"),"Mycobacterium")</f>
        <v>Mycobacterium</v>
      </c>
      <c r="D3455" t="str">
        <f>IFERROR(__xludf.DUMMYFUNCTION("""COMPUTED_VALUE"""),"bovis")</f>
        <v>bovis</v>
      </c>
      <c r="E3455" t="str">
        <f>IFERROR(__xludf.DUMMYFUNCTION("""COMPUTED_VALUE"""),"strain")</f>
        <v>strain</v>
      </c>
      <c r="F3455">
        <f>IFERROR(__xludf.DUMMYFUNCTION("""COMPUTED_VALUE"""),30.0)</f>
        <v>30</v>
      </c>
    </row>
    <row r="3456" ht="15.75" customHeight="1">
      <c r="A3456" t="str">
        <f t="shared" si="1"/>
        <v>M.bovis</v>
      </c>
      <c r="B3456" s="5" t="s">
        <v>19061</v>
      </c>
      <c r="C3456" s="6" t="str">
        <f>IFERROR(__xludf.DUMMYFUNCTION("SPLIT('2. c'!B3456, "" "", True, True)"),"Mycobacterium")</f>
        <v>Mycobacterium</v>
      </c>
      <c r="D3456" t="str">
        <f>IFERROR(__xludf.DUMMYFUNCTION("""COMPUTED_VALUE"""),"bovis")</f>
        <v>bovis</v>
      </c>
      <c r="E3456" t="str">
        <f>IFERROR(__xludf.DUMMYFUNCTION("""COMPUTED_VALUE"""),"strain")</f>
        <v>strain</v>
      </c>
      <c r="F3456" t="str">
        <f>IFERROR(__xludf.DUMMYFUNCTION("""COMPUTED_VALUE"""),"BCG-1")</f>
        <v>BCG-1</v>
      </c>
    </row>
    <row r="3457" ht="15.75" customHeight="1">
      <c r="A3457" t="str">
        <f t="shared" si="1"/>
        <v>M.bovis</v>
      </c>
      <c r="B3457" s="5" t="s">
        <v>19069</v>
      </c>
      <c r="C3457" s="6" t="str">
        <f>IFERROR(__xludf.DUMMYFUNCTION("SPLIT('2. c'!B3457, "" "", True, True)"),"Mycobacterium")</f>
        <v>Mycobacterium</v>
      </c>
      <c r="D3457" t="str">
        <f>IFERROR(__xludf.DUMMYFUNCTION("""COMPUTED_VALUE"""),"bovis")</f>
        <v>bovis</v>
      </c>
      <c r="E3457" t="str">
        <f>IFERROR(__xludf.DUMMYFUNCTION("""COMPUTED_VALUE"""),"strain")</f>
        <v>strain</v>
      </c>
      <c r="F3457" t="str">
        <f>IFERROR(__xludf.DUMMYFUNCTION("""COMPUTED_VALUE"""),"BCG-1")</f>
        <v>BCG-1</v>
      </c>
      <c r="G3457" t="str">
        <f>IFERROR(__xludf.DUMMYFUNCTION("""COMPUTED_VALUE"""),"(Russia)")</f>
        <v>(Russia)</v>
      </c>
    </row>
    <row r="3458" ht="15.75" customHeight="1">
      <c r="A3458" t="str">
        <f t="shared" si="1"/>
        <v>M.canettii</v>
      </c>
      <c r="B3458" s="5" t="s">
        <v>19077</v>
      </c>
      <c r="C3458" s="6" t="str">
        <f>IFERROR(__xludf.DUMMYFUNCTION("SPLIT('2. c'!B3458, "" "", True, True)"),"Mycobacterium")</f>
        <v>Mycobacterium</v>
      </c>
      <c r="D3458" t="str">
        <f>IFERROR(__xludf.DUMMYFUNCTION("""COMPUTED_VALUE"""),"canettii")</f>
        <v>canettii</v>
      </c>
      <c r="E3458" t="str">
        <f>IFERROR(__xludf.DUMMYFUNCTION("""COMPUTED_VALUE"""),"CIPT")</f>
        <v>CIPT</v>
      </c>
      <c r="F3458">
        <f>IFERROR(__xludf.DUMMYFUNCTION("""COMPUTED_VALUE"""),1.40010059E8)</f>
        <v>140010059</v>
      </c>
    </row>
    <row r="3459" ht="15.75" customHeight="1">
      <c r="A3459" t="str">
        <f t="shared" si="1"/>
        <v>M.canettii</v>
      </c>
      <c r="B3459" s="5" t="s">
        <v>19087</v>
      </c>
      <c r="C3459" s="6" t="str">
        <f>IFERROR(__xludf.DUMMYFUNCTION("SPLIT('2. c'!B3459, "" "", True, True)"),"Mycobacterium")</f>
        <v>Mycobacterium</v>
      </c>
      <c r="D3459" t="str">
        <f>IFERROR(__xludf.DUMMYFUNCTION("""COMPUTED_VALUE"""),"canettii")</f>
        <v>canettii</v>
      </c>
      <c r="E3459" t="str">
        <f>IFERROR(__xludf.DUMMYFUNCTION("""COMPUTED_VALUE"""),"CIPT")</f>
        <v>CIPT</v>
      </c>
      <c r="F3459">
        <f>IFERROR(__xludf.DUMMYFUNCTION("""COMPUTED_VALUE"""),1.40060008E8)</f>
        <v>140060008</v>
      </c>
    </row>
    <row r="3460" ht="15.75" customHeight="1">
      <c r="A3460" t="str">
        <f t="shared" si="1"/>
        <v>M.canettii</v>
      </c>
      <c r="B3460" s="5" t="s">
        <v>19096</v>
      </c>
      <c r="C3460" s="6" t="str">
        <f>IFERROR(__xludf.DUMMYFUNCTION("SPLIT('2. c'!B3460, "" "", True, True)"),"Mycobacterium")</f>
        <v>Mycobacterium</v>
      </c>
      <c r="D3460" t="str">
        <f>IFERROR(__xludf.DUMMYFUNCTION("""COMPUTED_VALUE"""),"canettii")</f>
        <v>canettii</v>
      </c>
      <c r="E3460" t="str">
        <f>IFERROR(__xludf.DUMMYFUNCTION("""COMPUTED_VALUE"""),"CIPT")</f>
        <v>CIPT</v>
      </c>
      <c r="F3460">
        <f>IFERROR(__xludf.DUMMYFUNCTION("""COMPUTED_VALUE"""),1.40070008E8)</f>
        <v>140070008</v>
      </c>
    </row>
    <row r="3461" ht="15.75" customHeight="1">
      <c r="A3461" t="str">
        <f t="shared" si="1"/>
        <v>M.canettii</v>
      </c>
      <c r="B3461" s="5" t="s">
        <v>19107</v>
      </c>
      <c r="C3461" s="6" t="str">
        <f>IFERROR(__xludf.DUMMYFUNCTION("SPLIT('2. c'!B3461, "" "", True, True)"),"Mycobacterium")</f>
        <v>Mycobacterium</v>
      </c>
      <c r="D3461" t="str">
        <f>IFERROR(__xludf.DUMMYFUNCTION("""COMPUTED_VALUE"""),"canettii")</f>
        <v>canettii</v>
      </c>
      <c r="E3461" t="str">
        <f>IFERROR(__xludf.DUMMYFUNCTION("""COMPUTED_VALUE"""),"CIPT")</f>
        <v>CIPT</v>
      </c>
      <c r="F3461">
        <f>IFERROR(__xludf.DUMMYFUNCTION("""COMPUTED_VALUE"""),1.4007001E8)</f>
        <v>140070010</v>
      </c>
    </row>
    <row r="3462" ht="15.75" customHeight="1">
      <c r="A3462" t="str">
        <f t="shared" si="1"/>
        <v>M.canettii</v>
      </c>
      <c r="B3462" s="5" t="s">
        <v>19117</v>
      </c>
      <c r="C3462" s="6" t="str">
        <f>IFERROR(__xludf.DUMMYFUNCTION("SPLIT('2. c'!B3462, "" "", True, True)"),"Mycobacterium")</f>
        <v>Mycobacterium</v>
      </c>
      <c r="D3462" t="str">
        <f>IFERROR(__xludf.DUMMYFUNCTION("""COMPUTED_VALUE"""),"canettii")</f>
        <v>canettii</v>
      </c>
      <c r="E3462" t="str">
        <f>IFERROR(__xludf.DUMMYFUNCTION("""COMPUTED_VALUE"""),"CIPT")</f>
        <v>CIPT</v>
      </c>
      <c r="F3462">
        <f>IFERROR(__xludf.DUMMYFUNCTION("""COMPUTED_VALUE"""),1.40070017E8)</f>
        <v>140070017</v>
      </c>
    </row>
    <row r="3463" ht="15.75" customHeight="1">
      <c r="A3463" t="str">
        <f t="shared" si="1"/>
        <v>M.chelonae</v>
      </c>
      <c r="B3463" s="5" t="s">
        <v>19127</v>
      </c>
      <c r="C3463" s="6" t="str">
        <f>IFERROR(__xludf.DUMMYFUNCTION("SPLIT('2. c'!B3463, "" "", True, True)"),"Mycobacterium")</f>
        <v>Mycobacterium</v>
      </c>
      <c r="D3463" t="str">
        <f>IFERROR(__xludf.DUMMYFUNCTION("""COMPUTED_VALUE"""),"chelonae")</f>
        <v>chelonae</v>
      </c>
      <c r="E3463" t="str">
        <f>IFERROR(__xludf.DUMMYFUNCTION("""COMPUTED_VALUE"""),"CCUG")</f>
        <v>CCUG</v>
      </c>
      <c r="F3463">
        <f>IFERROR(__xludf.DUMMYFUNCTION("""COMPUTED_VALUE"""),47445.0)</f>
        <v>47445</v>
      </c>
    </row>
    <row r="3464" ht="15.75" customHeight="1">
      <c r="A3464" t="str">
        <f t="shared" si="1"/>
        <v>M.chelonae</v>
      </c>
      <c r="B3464" s="5" t="s">
        <v>19137</v>
      </c>
      <c r="C3464" s="6" t="str">
        <f>IFERROR(__xludf.DUMMYFUNCTION("SPLIT('2. c'!B3464, "" "", True, True)"),"Mycobacterium")</f>
        <v>Mycobacterium</v>
      </c>
      <c r="D3464" t="str">
        <f>IFERROR(__xludf.DUMMYFUNCTION("""COMPUTED_VALUE"""),"chelonae")</f>
        <v>chelonae</v>
      </c>
      <c r="E3464" t="str">
        <f>IFERROR(__xludf.DUMMYFUNCTION("""COMPUTED_VALUE"""),"strain")</f>
        <v>strain</v>
      </c>
      <c r="F3464" t="str">
        <f>IFERROR(__xludf.DUMMYFUNCTION("""COMPUTED_VALUE"""),"ATCC")</f>
        <v>ATCC</v>
      </c>
      <c r="G3464">
        <f>IFERROR(__xludf.DUMMYFUNCTION("""COMPUTED_VALUE"""),35752.0)</f>
        <v>35752</v>
      </c>
    </row>
    <row r="3465" ht="15.75" customHeight="1">
      <c r="A3465" t="str">
        <f t="shared" si="1"/>
        <v>M.chubuense</v>
      </c>
      <c r="B3465" s="5" t="s">
        <v>19145</v>
      </c>
      <c r="C3465" s="6" t="str">
        <f>IFERROR(__xludf.DUMMYFUNCTION("SPLIT('2. c'!B3465, "" "", True, True)"),"Mycobacterium")</f>
        <v>Mycobacterium</v>
      </c>
      <c r="D3465" t="str">
        <f>IFERROR(__xludf.DUMMYFUNCTION("""COMPUTED_VALUE"""),"chubuense")</f>
        <v>chubuense</v>
      </c>
      <c r="E3465" t="str">
        <f>IFERROR(__xludf.DUMMYFUNCTION("""COMPUTED_VALUE"""),"NBB4")</f>
        <v>NBB4</v>
      </c>
    </row>
    <row r="3466" ht="15.75" customHeight="1">
      <c r="A3466" t="str">
        <f t="shared" si="1"/>
        <v>M.fortuitum</v>
      </c>
      <c r="B3466" s="5" t="s">
        <v>19154</v>
      </c>
      <c r="C3466" s="6" t="str">
        <f>IFERROR(__xludf.DUMMYFUNCTION("SPLIT('2. c'!B3466, "" "", True, True)"),"Mycobacterium")</f>
        <v>Mycobacterium</v>
      </c>
      <c r="D3466" t="str">
        <f>IFERROR(__xludf.DUMMYFUNCTION("""COMPUTED_VALUE"""),"fortuitum")</f>
        <v>fortuitum</v>
      </c>
      <c r="E3466" t="str">
        <f>IFERROR(__xludf.DUMMYFUNCTION("""COMPUTED_VALUE"""),"strain")</f>
        <v>strain</v>
      </c>
      <c r="F3466" t="str">
        <f>IFERROR(__xludf.DUMMYFUNCTION("""COMPUTED_VALUE"""),"CT6")</f>
        <v>CT6</v>
      </c>
    </row>
    <row r="3467" ht="15.75" customHeight="1">
      <c r="A3467" t="str">
        <f t="shared" si="1"/>
        <v>M.gilvum</v>
      </c>
      <c r="B3467" s="5" t="s">
        <v>19163</v>
      </c>
      <c r="C3467" s="6" t="str">
        <f>IFERROR(__xludf.DUMMYFUNCTION("SPLIT('2. c'!B3467, "" "", True, True)"),"Mycobacterium")</f>
        <v>Mycobacterium</v>
      </c>
      <c r="D3467" t="str">
        <f>IFERROR(__xludf.DUMMYFUNCTION("""COMPUTED_VALUE"""),"gilvum")</f>
        <v>gilvum</v>
      </c>
      <c r="E3467" t="str">
        <f>IFERROR(__xludf.DUMMYFUNCTION("""COMPUTED_VALUE"""),"PYR-GCK")</f>
        <v>PYR-GCK</v>
      </c>
    </row>
    <row r="3468" ht="15.75" customHeight="1">
      <c r="A3468" t="str">
        <f t="shared" si="1"/>
        <v>M.gilvum</v>
      </c>
      <c r="B3468" s="5" t="s">
        <v>19171</v>
      </c>
      <c r="C3468" s="6" t="str">
        <f>IFERROR(__xludf.DUMMYFUNCTION("SPLIT('2. c'!B3468, "" "", True, True)"),"Mycobacterium")</f>
        <v>Mycobacterium</v>
      </c>
      <c r="D3468" t="str">
        <f>IFERROR(__xludf.DUMMYFUNCTION("""COMPUTED_VALUE"""),"gilvum")</f>
        <v>gilvum</v>
      </c>
      <c r="E3468" t="str">
        <f>IFERROR(__xludf.DUMMYFUNCTION("""COMPUTED_VALUE"""),"Spyr1")</f>
        <v>Spyr1</v>
      </c>
    </row>
    <row r="3469" ht="15.75" customHeight="1">
      <c r="A3469" t="str">
        <f t="shared" si="1"/>
        <v>M.goodii</v>
      </c>
      <c r="B3469" s="5" t="s">
        <v>19181</v>
      </c>
      <c r="C3469" s="6" t="str">
        <f>IFERROR(__xludf.DUMMYFUNCTION("SPLIT('2. c'!B3469, "" "", True, True)"),"Mycobacterium")</f>
        <v>Mycobacterium</v>
      </c>
      <c r="D3469" t="str">
        <f>IFERROR(__xludf.DUMMYFUNCTION("""COMPUTED_VALUE"""),"goodii")</f>
        <v>goodii</v>
      </c>
      <c r="E3469" t="str">
        <f>IFERROR(__xludf.DUMMYFUNCTION("""COMPUTED_VALUE"""),"strain")</f>
        <v>strain</v>
      </c>
      <c r="F3469" t="str">
        <f>IFERROR(__xludf.DUMMYFUNCTION("""COMPUTED_VALUE"""),"X7B")</f>
        <v>X7B</v>
      </c>
    </row>
    <row r="3470" ht="15.75" customHeight="1">
      <c r="A3470" t="str">
        <f t="shared" si="1"/>
        <v>M.haemophilum</v>
      </c>
      <c r="B3470" s="5" t="s">
        <v>19189</v>
      </c>
      <c r="C3470" s="6" t="str">
        <f>IFERROR(__xludf.DUMMYFUNCTION("SPLIT('2. c'!B3470, "" "", True, True)"),"Mycobacterium")</f>
        <v>Mycobacterium</v>
      </c>
      <c r="D3470" t="str">
        <f>IFERROR(__xludf.DUMMYFUNCTION("""COMPUTED_VALUE"""),"haemophilum")</f>
        <v>haemophilum</v>
      </c>
      <c r="E3470" t="str">
        <f>IFERROR(__xludf.DUMMYFUNCTION("""COMPUTED_VALUE"""),"DSM")</f>
        <v>DSM</v>
      </c>
      <c r="F3470">
        <f>IFERROR(__xludf.DUMMYFUNCTION("""COMPUTED_VALUE"""),44634.0)</f>
        <v>44634</v>
      </c>
      <c r="G3470" t="str">
        <f>IFERROR(__xludf.DUMMYFUNCTION("""COMPUTED_VALUE"""),"=")</f>
        <v>=</v>
      </c>
      <c r="H3470" t="str">
        <f>IFERROR(__xludf.DUMMYFUNCTION("""COMPUTED_VALUE"""),"ATCC")</f>
        <v>ATCC</v>
      </c>
      <c r="I3470">
        <f>IFERROR(__xludf.DUMMYFUNCTION("""COMPUTED_VALUE"""),29548.0)</f>
        <v>29548</v>
      </c>
    </row>
    <row r="3471" ht="15.75" customHeight="1">
      <c r="A3471" t="str">
        <f t="shared" si="1"/>
        <v>M.immunogenum</v>
      </c>
      <c r="B3471" s="5" t="s">
        <v>19201</v>
      </c>
      <c r="C3471" s="6" t="str">
        <f>IFERROR(__xludf.DUMMYFUNCTION("SPLIT('2. c'!B3471, "" "", True, True)"),"Mycobacterium")</f>
        <v>Mycobacterium</v>
      </c>
      <c r="D3471" t="str">
        <f>IFERROR(__xludf.DUMMYFUNCTION("""COMPUTED_VALUE"""),"immunogenum")</f>
        <v>immunogenum</v>
      </c>
      <c r="E3471" t="str">
        <f>IFERROR(__xludf.DUMMYFUNCTION("""COMPUTED_VALUE"""),"strain")</f>
        <v>strain</v>
      </c>
      <c r="F3471" t="str">
        <f>IFERROR(__xludf.DUMMYFUNCTION("""COMPUTED_VALUE"""),"CCUG")</f>
        <v>CCUG</v>
      </c>
      <c r="G3471">
        <f>IFERROR(__xludf.DUMMYFUNCTION("""COMPUTED_VALUE"""),47286.0)</f>
        <v>47286</v>
      </c>
    </row>
    <row r="3472" ht="15.75" customHeight="1">
      <c r="A3472" t="str">
        <f t="shared" si="1"/>
        <v>M.indicus</v>
      </c>
      <c r="B3472" s="5" t="s">
        <v>19210</v>
      </c>
      <c r="C3472" s="6" t="str">
        <f>IFERROR(__xludf.DUMMYFUNCTION("SPLIT('2. c'!B3472, "" "", True, True)"),"Mycobacterium")</f>
        <v>Mycobacterium</v>
      </c>
      <c r="D3472" t="str">
        <f>IFERROR(__xludf.DUMMYFUNCTION("""COMPUTED_VALUE"""),"indicus")</f>
        <v>indicus</v>
      </c>
      <c r="E3472" t="str">
        <f>IFERROR(__xludf.DUMMYFUNCTION("""COMPUTED_VALUE"""),"pranii")</f>
        <v>pranii</v>
      </c>
      <c r="F3472" t="str">
        <f>IFERROR(__xludf.DUMMYFUNCTION("""COMPUTED_VALUE"""),"MTCC")</f>
        <v>MTCC</v>
      </c>
      <c r="G3472">
        <f>IFERROR(__xludf.DUMMYFUNCTION("""COMPUTED_VALUE"""),9506.0)</f>
        <v>9506</v>
      </c>
    </row>
    <row r="3473" ht="15.75" customHeight="1">
      <c r="A3473" t="str">
        <f t="shared" si="1"/>
        <v>M.intracellulare</v>
      </c>
      <c r="B3473" s="5" t="s">
        <v>19219</v>
      </c>
      <c r="C3473" s="6" t="str">
        <f>IFERROR(__xludf.DUMMYFUNCTION("SPLIT('2. c'!B3473, "" "", True, True)"),"Mycobacterium")</f>
        <v>Mycobacterium</v>
      </c>
      <c r="D3473" t="str">
        <f>IFERROR(__xludf.DUMMYFUNCTION("""COMPUTED_VALUE"""),"intracellulare")</f>
        <v>intracellulare</v>
      </c>
      <c r="E3473">
        <f>IFERROR(__xludf.DUMMYFUNCTION("""COMPUTED_VALUE"""),1956.0)</f>
        <v>1956</v>
      </c>
    </row>
    <row r="3474" ht="15.75" customHeight="1">
      <c r="A3474" t="str">
        <f t="shared" si="1"/>
        <v>M.intracellulare</v>
      </c>
      <c r="B3474" s="5" t="s">
        <v>19228</v>
      </c>
      <c r="C3474" s="6" t="str">
        <f>IFERROR(__xludf.DUMMYFUNCTION("SPLIT('2. c'!B3474, "" "", True, True)"),"Mycobacterium")</f>
        <v>Mycobacterium</v>
      </c>
      <c r="D3474" t="str">
        <f>IFERROR(__xludf.DUMMYFUNCTION("""COMPUTED_VALUE"""),"intracellulare")</f>
        <v>intracellulare</v>
      </c>
      <c r="E3474" t="str">
        <f>IFERROR(__xludf.DUMMYFUNCTION("""COMPUTED_VALUE"""),"ATCC")</f>
        <v>ATCC</v>
      </c>
      <c r="F3474">
        <f>IFERROR(__xludf.DUMMYFUNCTION("""COMPUTED_VALUE"""),13950.0)</f>
        <v>13950</v>
      </c>
    </row>
    <row r="3475" ht="15.75" customHeight="1">
      <c r="A3475" t="str">
        <f t="shared" si="1"/>
        <v>M.intracellulare</v>
      </c>
      <c r="B3475" s="5" t="s">
        <v>19238</v>
      </c>
      <c r="C3475" s="6" t="str">
        <f>IFERROR(__xludf.DUMMYFUNCTION("SPLIT('2. c'!B3475, "" "", True, True)"),"Mycobacterium")</f>
        <v>Mycobacterium</v>
      </c>
      <c r="D3475" t="str">
        <f>IFERROR(__xludf.DUMMYFUNCTION("""COMPUTED_VALUE"""),"intracellulare")</f>
        <v>intracellulare</v>
      </c>
      <c r="E3475" t="str">
        <f>IFERROR(__xludf.DUMMYFUNCTION("""COMPUTED_VALUE"""),"MOTT-02")</f>
        <v>MOTT-02</v>
      </c>
    </row>
    <row r="3476" ht="15.75" customHeight="1">
      <c r="A3476" t="str">
        <f t="shared" si="1"/>
        <v>M.intracellulare</v>
      </c>
      <c r="B3476" s="5" t="s">
        <v>19246</v>
      </c>
      <c r="C3476" s="6" t="str">
        <f>IFERROR(__xludf.DUMMYFUNCTION("SPLIT('2. c'!B3476, "" "", True, True)"),"Mycobacterium")</f>
        <v>Mycobacterium</v>
      </c>
      <c r="D3476" t="str">
        <f>IFERROR(__xludf.DUMMYFUNCTION("""COMPUTED_VALUE"""),"intracellulare")</f>
        <v>intracellulare</v>
      </c>
      <c r="E3476" t="str">
        <f>IFERROR(__xludf.DUMMYFUNCTION("""COMPUTED_VALUE"""),"MOTT-64")</f>
        <v>MOTT-64</v>
      </c>
    </row>
    <row r="3477" ht="15.75" customHeight="1">
      <c r="A3477" t="str">
        <f t="shared" si="1"/>
        <v>M.kansasii</v>
      </c>
      <c r="B3477" s="5" t="s">
        <v>19253</v>
      </c>
      <c r="C3477" s="6" t="str">
        <f>IFERROR(__xludf.DUMMYFUNCTION("SPLIT('2. c'!B3477, "" "", True, True)"),"Mycobacterium")</f>
        <v>Mycobacterium</v>
      </c>
      <c r="D3477" t="str">
        <f>IFERROR(__xludf.DUMMYFUNCTION("""COMPUTED_VALUE"""),"kansasii")</f>
        <v>kansasii</v>
      </c>
      <c r="E3477">
        <f>IFERROR(__xludf.DUMMYFUNCTION("""COMPUTED_VALUE"""),662.0)</f>
        <v>662</v>
      </c>
    </row>
    <row r="3478" ht="15.75" customHeight="1">
      <c r="A3478" t="str">
        <f t="shared" si="1"/>
        <v>M.kansasii</v>
      </c>
      <c r="B3478" s="5" t="s">
        <v>19262</v>
      </c>
      <c r="C3478" s="6" t="str">
        <f>IFERROR(__xludf.DUMMYFUNCTION("SPLIT('2. c'!B3478, "" "", True, True)"),"Mycobacterium")</f>
        <v>Mycobacterium</v>
      </c>
      <c r="D3478" t="str">
        <f>IFERROR(__xludf.DUMMYFUNCTION("""COMPUTED_VALUE"""),"kansasii")</f>
        <v>kansasii</v>
      </c>
      <c r="E3478">
        <f>IFERROR(__xludf.DUMMYFUNCTION("""COMPUTED_VALUE"""),824.0)</f>
        <v>824</v>
      </c>
    </row>
    <row r="3479" ht="15.75" customHeight="1">
      <c r="A3479" t="str">
        <f t="shared" si="1"/>
        <v>M.leprae</v>
      </c>
      <c r="B3479" s="5" t="s">
        <v>19270</v>
      </c>
      <c r="C3479" s="6" t="str">
        <f>IFERROR(__xludf.DUMMYFUNCTION("SPLIT('2. c'!B3479, "" "", True, True)"),"Mycobacterium")</f>
        <v>Mycobacterium</v>
      </c>
      <c r="D3479" t="str">
        <f>IFERROR(__xludf.DUMMYFUNCTION("""COMPUTED_VALUE"""),"leprae")</f>
        <v>leprae</v>
      </c>
      <c r="E3479" t="str">
        <f>IFERROR(__xludf.DUMMYFUNCTION("""COMPUTED_VALUE"""),"Br4923")</f>
        <v>Br4923</v>
      </c>
    </row>
    <row r="3480" ht="15.75" customHeight="1">
      <c r="A3480" t="str">
        <f t="shared" si="1"/>
        <v>M.leprae</v>
      </c>
      <c r="B3480" s="5" t="s">
        <v>19280</v>
      </c>
      <c r="C3480" s="6" t="str">
        <f>IFERROR(__xludf.DUMMYFUNCTION("SPLIT('2. c'!B3480, "" "", True, True)"),"Mycobacterium")</f>
        <v>Mycobacterium</v>
      </c>
      <c r="D3480" t="str">
        <f>IFERROR(__xludf.DUMMYFUNCTION("""COMPUTED_VALUE"""),"leprae")</f>
        <v>leprae</v>
      </c>
      <c r="E3480" t="str">
        <f>IFERROR(__xludf.DUMMYFUNCTION("""COMPUTED_VALUE"""),"TN")</f>
        <v>TN</v>
      </c>
    </row>
    <row r="3481" ht="15.75" customHeight="1">
      <c r="A3481" t="str">
        <f t="shared" si="1"/>
        <v>M.liflandii</v>
      </c>
      <c r="B3481" s="5" t="s">
        <v>19287</v>
      </c>
      <c r="C3481" s="6" t="str">
        <f>IFERROR(__xludf.DUMMYFUNCTION("SPLIT('2. c'!B3481, "" "", True, True)"),"Mycobacterium")</f>
        <v>Mycobacterium</v>
      </c>
      <c r="D3481" t="str">
        <f>IFERROR(__xludf.DUMMYFUNCTION("""COMPUTED_VALUE"""),"liflandii")</f>
        <v>liflandii</v>
      </c>
      <c r="E3481" t="str">
        <f>IFERROR(__xludf.DUMMYFUNCTION("""COMPUTED_VALUE"""),"128FXT")</f>
        <v>128FXT</v>
      </c>
    </row>
    <row r="3482" ht="15.75" customHeight="1">
      <c r="A3482" t="str">
        <f t="shared" si="1"/>
        <v>M.marinum</v>
      </c>
      <c r="B3482" s="5" t="s">
        <v>19295</v>
      </c>
      <c r="C3482" s="6" t="str">
        <f>IFERROR(__xludf.DUMMYFUNCTION("SPLIT('2. c'!B3482, "" "", True, True)"),"Mycobacterium")</f>
        <v>Mycobacterium</v>
      </c>
      <c r="D3482" t="str">
        <f>IFERROR(__xludf.DUMMYFUNCTION("""COMPUTED_VALUE"""),"marinum")</f>
        <v>marinum</v>
      </c>
      <c r="E3482" t="str">
        <f>IFERROR(__xludf.DUMMYFUNCTION("""COMPUTED_VALUE"""),"E11")</f>
        <v>E11</v>
      </c>
    </row>
    <row r="3483" ht="15.75" customHeight="1">
      <c r="A3483" t="str">
        <f t="shared" si="1"/>
        <v>M.marinum</v>
      </c>
      <c r="B3483" s="5" t="s">
        <v>19307</v>
      </c>
      <c r="C3483" s="6" t="str">
        <f>IFERROR(__xludf.DUMMYFUNCTION("SPLIT('2. c'!B3483, "" "", True, True)"),"Mycobacterium")</f>
        <v>Mycobacterium</v>
      </c>
      <c r="D3483" t="str">
        <f>IFERROR(__xludf.DUMMYFUNCTION("""COMPUTED_VALUE"""),"marinum")</f>
        <v>marinum</v>
      </c>
      <c r="E3483" t="str">
        <f>IFERROR(__xludf.DUMMYFUNCTION("""COMPUTED_VALUE"""),"M")</f>
        <v>M</v>
      </c>
    </row>
    <row r="3484" ht="15.75" customHeight="1">
      <c r="A3484" t="str">
        <f t="shared" si="1"/>
        <v>M.massiliense</v>
      </c>
      <c r="B3484" s="5" t="s">
        <v>19317</v>
      </c>
      <c r="C3484" s="6" t="str">
        <f>IFERROR(__xludf.DUMMYFUNCTION("SPLIT('2. c'!B3484, "" "", True, True)"),"Mycobacterium")</f>
        <v>Mycobacterium</v>
      </c>
      <c r="D3484" t="str">
        <f>IFERROR(__xludf.DUMMYFUNCTION("""COMPUTED_VALUE"""),"massiliense")</f>
        <v>massiliense</v>
      </c>
      <c r="E3484" t="str">
        <f>IFERROR(__xludf.DUMMYFUNCTION("""COMPUTED_VALUE"""),"str.")</f>
        <v>str.</v>
      </c>
      <c r="F3484" t="str">
        <f>IFERROR(__xludf.DUMMYFUNCTION("""COMPUTED_VALUE"""),"GO")</f>
        <v>GO</v>
      </c>
      <c r="G3484">
        <f>IFERROR(__xludf.DUMMYFUNCTION("""COMPUTED_VALUE"""),6.0)</f>
        <v>6</v>
      </c>
    </row>
    <row r="3485" ht="15.75" customHeight="1">
      <c r="A3485" t="str">
        <f t="shared" si="1"/>
        <v>M.microti</v>
      </c>
      <c r="B3485" s="5" t="s">
        <v>19325</v>
      </c>
      <c r="C3485" s="6" t="str">
        <f>IFERROR(__xludf.DUMMYFUNCTION("SPLIT('2. c'!B3485, "" "", True, True)"),"Mycobacterium")</f>
        <v>Mycobacterium</v>
      </c>
      <c r="D3485" t="str">
        <f>IFERROR(__xludf.DUMMYFUNCTION("""COMPUTED_VALUE"""),"microti")</f>
        <v>microti</v>
      </c>
      <c r="E3485" t="str">
        <f>IFERROR(__xludf.DUMMYFUNCTION("""COMPUTED_VALUE"""),"strain")</f>
        <v>strain</v>
      </c>
      <c r="F3485">
        <f>IFERROR(__xludf.DUMMYFUNCTION("""COMPUTED_VALUE"""),12.0)</f>
        <v>12</v>
      </c>
    </row>
    <row r="3486" ht="15.75" customHeight="1">
      <c r="A3486" t="str">
        <f t="shared" si="1"/>
        <v>M.phlei</v>
      </c>
      <c r="B3486" s="5" t="s">
        <v>19334</v>
      </c>
      <c r="C3486" s="6" t="str">
        <f>IFERROR(__xludf.DUMMYFUNCTION("SPLIT('2. c'!B3486, "" "", True, True)"),"Mycobacterium")</f>
        <v>Mycobacterium</v>
      </c>
      <c r="D3486" t="str">
        <f>IFERROR(__xludf.DUMMYFUNCTION("""COMPUTED_VALUE"""),"phlei")</f>
        <v>phlei</v>
      </c>
      <c r="E3486" t="str">
        <f>IFERROR(__xludf.DUMMYFUNCTION("""COMPUTED_VALUE"""),"strain")</f>
        <v>strain</v>
      </c>
      <c r="F3486" t="str">
        <f>IFERROR(__xludf.DUMMYFUNCTION("""COMPUTED_VALUE"""),"CCUG")</f>
        <v>CCUG</v>
      </c>
      <c r="G3486">
        <f>IFERROR(__xludf.DUMMYFUNCTION("""COMPUTED_VALUE"""),21000.0)</f>
        <v>21000</v>
      </c>
    </row>
    <row r="3487" ht="15.75" customHeight="1">
      <c r="A3487" t="str">
        <f t="shared" si="1"/>
        <v>M.rhodesiae</v>
      </c>
      <c r="B3487" s="5" t="s">
        <v>19344</v>
      </c>
      <c r="C3487" s="6" t="str">
        <f>IFERROR(__xludf.DUMMYFUNCTION("SPLIT('2. c'!B3487, "" "", True, True)"),"Mycobacterium")</f>
        <v>Mycobacterium</v>
      </c>
      <c r="D3487" t="str">
        <f>IFERROR(__xludf.DUMMYFUNCTION("""COMPUTED_VALUE"""),"rhodesiae")</f>
        <v>rhodesiae</v>
      </c>
      <c r="E3487" t="str">
        <f>IFERROR(__xludf.DUMMYFUNCTION("""COMPUTED_VALUE"""),"NBB3")</f>
        <v>NBB3</v>
      </c>
    </row>
    <row r="3488" ht="15.75" customHeight="1">
      <c r="A3488" t="str">
        <f t="shared" si="1"/>
        <v>M.simiae</v>
      </c>
      <c r="B3488" s="5" t="s">
        <v>19352</v>
      </c>
      <c r="C3488" s="6" t="str">
        <f>IFERROR(__xludf.DUMMYFUNCTION("SPLIT('2. c'!B3488, "" "", True, True)"),"Mycobacterium")</f>
        <v>Mycobacterium</v>
      </c>
      <c r="D3488" t="str">
        <f>IFERROR(__xludf.DUMMYFUNCTION("""COMPUTED_VALUE"""),"simiae")</f>
        <v>simiae</v>
      </c>
      <c r="E3488" t="str">
        <f>IFERROR(__xludf.DUMMYFUNCTION("""COMPUTED_VALUE"""),"strain")</f>
        <v>strain</v>
      </c>
      <c r="F3488" t="str">
        <f>IFERROR(__xludf.DUMMYFUNCTION("""COMPUTED_VALUE"""),"MO323")</f>
        <v>MO323</v>
      </c>
    </row>
    <row r="3489" ht="15.75" customHeight="1">
      <c r="A3489" t="str">
        <f t="shared" si="1"/>
        <v>M.smegmatis</v>
      </c>
      <c r="B3489" s="5" t="s">
        <v>19360</v>
      </c>
      <c r="C3489" s="6" t="str">
        <f>IFERROR(__xludf.DUMMYFUNCTION("SPLIT('2. c'!B3489, "" "", True, True)"),"Mycobacterium")</f>
        <v>Mycobacterium</v>
      </c>
      <c r="D3489" t="str">
        <f>IFERROR(__xludf.DUMMYFUNCTION("""COMPUTED_VALUE"""),"smegmatis")</f>
        <v>smegmatis</v>
      </c>
      <c r="E3489" t="str">
        <f>IFERROR(__xludf.DUMMYFUNCTION("""COMPUTED_VALUE"""),"INHR1")</f>
        <v>INHR1</v>
      </c>
    </row>
    <row r="3490" ht="15.75" customHeight="1">
      <c r="A3490" t="str">
        <f t="shared" si="1"/>
        <v>M.smegmatis</v>
      </c>
      <c r="B3490" s="5" t="s">
        <v>19367</v>
      </c>
      <c r="C3490" s="6" t="str">
        <f>IFERROR(__xludf.DUMMYFUNCTION("SPLIT('2. c'!B3490, "" "", True, True)"),"Mycobacterium")</f>
        <v>Mycobacterium</v>
      </c>
      <c r="D3490" t="str">
        <f>IFERROR(__xludf.DUMMYFUNCTION("""COMPUTED_VALUE"""),"smegmatis")</f>
        <v>smegmatis</v>
      </c>
      <c r="E3490" t="str">
        <f>IFERROR(__xludf.DUMMYFUNCTION("""COMPUTED_VALUE"""),"INHR2")</f>
        <v>INHR2</v>
      </c>
    </row>
    <row r="3491" ht="15.75" customHeight="1">
      <c r="A3491" t="str">
        <f t="shared" si="1"/>
        <v>M.smegmatis</v>
      </c>
      <c r="B3491" s="5" t="s">
        <v>19376</v>
      </c>
      <c r="C3491" s="6" t="str">
        <f>IFERROR(__xludf.DUMMYFUNCTION("SPLIT('2. c'!B3491, "" "", True, True)"),"Mycobacterium")</f>
        <v>Mycobacterium</v>
      </c>
      <c r="D3491" t="str">
        <f>IFERROR(__xludf.DUMMYFUNCTION("""COMPUTED_VALUE"""),"smegmatis")</f>
        <v>smegmatis</v>
      </c>
      <c r="E3491" t="str">
        <f>IFERROR(__xludf.DUMMYFUNCTION("""COMPUTED_VALUE"""),"MKD8")</f>
        <v>MKD8</v>
      </c>
    </row>
    <row r="3492" ht="15.75" customHeight="1">
      <c r="A3492" t="str">
        <f t="shared" si="1"/>
        <v>M.smegmatis</v>
      </c>
      <c r="B3492" s="5" t="s">
        <v>19385</v>
      </c>
      <c r="C3492" s="6" t="str">
        <f>IFERROR(__xludf.DUMMYFUNCTION("SPLIT('2. c'!B3492, "" "", True, True)"),"Mycobacterium")</f>
        <v>Mycobacterium</v>
      </c>
      <c r="D3492" t="str">
        <f>IFERROR(__xludf.DUMMYFUNCTION("""COMPUTED_VALUE"""),"smegmatis")</f>
        <v>smegmatis</v>
      </c>
      <c r="E3492" t="str">
        <f>IFERROR(__xludf.DUMMYFUNCTION("""COMPUTED_VALUE"""),"str.")</f>
        <v>str.</v>
      </c>
      <c r="F3492" t="str">
        <f>IFERROR(__xludf.DUMMYFUNCTION("""COMPUTED_VALUE"""),"MC2")</f>
        <v>MC2</v>
      </c>
      <c r="G3492">
        <f>IFERROR(__xludf.DUMMYFUNCTION("""COMPUTED_VALUE"""),155.0)</f>
        <v>155</v>
      </c>
    </row>
    <row r="3493" ht="15.75" customHeight="1">
      <c r="A3493" t="str">
        <f t="shared" si="1"/>
        <v>M.smegmatis</v>
      </c>
      <c r="B3493" s="5" t="s">
        <v>19385</v>
      </c>
      <c r="C3493" s="6" t="str">
        <f>IFERROR(__xludf.DUMMYFUNCTION("SPLIT('2. c'!B3493, "" "", True, True)"),"Mycobacterium")</f>
        <v>Mycobacterium</v>
      </c>
      <c r="D3493" t="str">
        <f>IFERROR(__xludf.DUMMYFUNCTION("""COMPUTED_VALUE"""),"smegmatis")</f>
        <v>smegmatis</v>
      </c>
      <c r="E3493" t="str">
        <f>IFERROR(__xludf.DUMMYFUNCTION("""COMPUTED_VALUE"""),"str.")</f>
        <v>str.</v>
      </c>
      <c r="F3493" t="str">
        <f>IFERROR(__xludf.DUMMYFUNCTION("""COMPUTED_VALUE"""),"MC2")</f>
        <v>MC2</v>
      </c>
      <c r="G3493">
        <f>IFERROR(__xludf.DUMMYFUNCTION("""COMPUTED_VALUE"""),155.0)</f>
        <v>155</v>
      </c>
    </row>
    <row r="3494" ht="15.75" customHeight="1">
      <c r="A3494" t="str">
        <f t="shared" si="1"/>
        <v>M.smegmatis</v>
      </c>
      <c r="B3494" s="5" t="s">
        <v>19385</v>
      </c>
      <c r="C3494" s="6" t="str">
        <f>IFERROR(__xludf.DUMMYFUNCTION("SPLIT('2. c'!B3494, "" "", True, True)"),"Mycobacterium")</f>
        <v>Mycobacterium</v>
      </c>
      <c r="D3494" t="str">
        <f>IFERROR(__xludf.DUMMYFUNCTION("""COMPUTED_VALUE"""),"smegmatis")</f>
        <v>smegmatis</v>
      </c>
      <c r="E3494" t="str">
        <f>IFERROR(__xludf.DUMMYFUNCTION("""COMPUTED_VALUE"""),"str.")</f>
        <v>str.</v>
      </c>
      <c r="F3494" t="str">
        <f>IFERROR(__xludf.DUMMYFUNCTION("""COMPUTED_VALUE"""),"MC2")</f>
        <v>MC2</v>
      </c>
      <c r="G3494">
        <f>IFERROR(__xludf.DUMMYFUNCTION("""COMPUTED_VALUE"""),155.0)</f>
        <v>155</v>
      </c>
    </row>
    <row r="3495" ht="15.75" customHeight="1">
      <c r="A3495" t="str">
        <f t="shared" si="1"/>
        <v>M.smegmatis</v>
      </c>
      <c r="B3495" s="5" t="s">
        <v>19413</v>
      </c>
      <c r="C3495" s="6" t="str">
        <f>IFERROR(__xludf.DUMMYFUNCTION("SPLIT('2. c'!B3495, "" "", True, True)"),"Mycobacterium")</f>
        <v>Mycobacterium</v>
      </c>
      <c r="D3495" t="str">
        <f>IFERROR(__xludf.DUMMYFUNCTION("""COMPUTED_VALUE"""),"smegmatis")</f>
        <v>smegmatis</v>
      </c>
      <c r="E3495" t="str">
        <f>IFERROR(__xludf.DUMMYFUNCTION("""COMPUTED_VALUE"""),"strain")</f>
        <v>strain</v>
      </c>
      <c r="F3495" t="str">
        <f>IFERROR(__xludf.DUMMYFUNCTION("""COMPUTED_VALUE"""),"NCTC8159")</f>
        <v>NCTC8159</v>
      </c>
    </row>
    <row r="3496" ht="15.75" customHeight="1">
      <c r="A3496" t="str">
        <f t="shared" si="1"/>
        <v>M.sp.</v>
      </c>
      <c r="B3496" s="5" t="s">
        <v>19421</v>
      </c>
      <c r="C3496" s="6" t="str">
        <f>IFERROR(__xludf.DUMMYFUNCTION("SPLIT('2. c'!B3496, "" "", True, True)"),"Mycobacterium")</f>
        <v>Mycobacterium</v>
      </c>
      <c r="D3496" t="str">
        <f>IFERROR(__xludf.DUMMYFUNCTION("""COMPUTED_VALUE"""),"sp.")</f>
        <v>sp.</v>
      </c>
      <c r="E3496" t="str">
        <f>IFERROR(__xludf.DUMMYFUNCTION("""COMPUTED_VALUE"""),"EPa45")</f>
        <v>EPa45</v>
      </c>
    </row>
    <row r="3497" ht="15.75" customHeight="1">
      <c r="A3497" t="str">
        <f t="shared" si="1"/>
        <v>M.sp.</v>
      </c>
      <c r="B3497" s="5" t="s">
        <v>19429</v>
      </c>
      <c r="C3497" s="6" t="str">
        <f>IFERROR(__xludf.DUMMYFUNCTION("SPLIT('2. c'!B3497, "" "", True, True)"),"Mycobacterium")</f>
        <v>Mycobacterium</v>
      </c>
      <c r="D3497" t="str">
        <f>IFERROR(__xludf.DUMMYFUNCTION("""COMPUTED_VALUE"""),"sp.")</f>
        <v>sp.</v>
      </c>
      <c r="E3497" t="str">
        <f>IFERROR(__xludf.DUMMYFUNCTION("""COMPUTED_VALUE"""),"JDM601")</f>
        <v>JDM601</v>
      </c>
    </row>
    <row r="3498" ht="15.75" customHeight="1">
      <c r="A3498" t="str">
        <f t="shared" si="1"/>
        <v>M.sp.</v>
      </c>
      <c r="B3498" s="5" t="s">
        <v>19437</v>
      </c>
      <c r="C3498" s="6" t="str">
        <f>IFERROR(__xludf.DUMMYFUNCTION("SPLIT('2. c'!B3498, "" "", True, True)"),"Mycobacterium")</f>
        <v>Mycobacterium</v>
      </c>
      <c r="D3498" t="str">
        <f>IFERROR(__xludf.DUMMYFUNCTION("""COMPUTED_VALUE"""),"sp.")</f>
        <v>sp.</v>
      </c>
      <c r="E3498" t="str">
        <f>IFERROR(__xludf.DUMMYFUNCTION("""COMPUTED_VALUE"""),"JLS")</f>
        <v>JLS</v>
      </c>
    </row>
    <row r="3499" ht="15.75" customHeight="1">
      <c r="A3499" t="str">
        <f t="shared" si="1"/>
        <v>M.sp.</v>
      </c>
      <c r="B3499" s="5" t="s">
        <v>19446</v>
      </c>
      <c r="C3499" s="6" t="str">
        <f>IFERROR(__xludf.DUMMYFUNCTION("SPLIT('2. c'!B3499, "" "", True, True)"),"Mycobacterium")</f>
        <v>Mycobacterium</v>
      </c>
      <c r="D3499" t="str">
        <f>IFERROR(__xludf.DUMMYFUNCTION("""COMPUTED_VALUE"""),"sp.")</f>
        <v>sp.</v>
      </c>
      <c r="E3499" t="str">
        <f>IFERROR(__xludf.DUMMYFUNCTION("""COMPUTED_VALUE"""),"KMS")</f>
        <v>KMS</v>
      </c>
    </row>
    <row r="3500" ht="15.75" customHeight="1">
      <c r="A3500" t="str">
        <f t="shared" si="1"/>
        <v>M.sp.</v>
      </c>
      <c r="B3500" s="5" t="s">
        <v>19457</v>
      </c>
      <c r="C3500" s="6" t="str">
        <f>IFERROR(__xludf.DUMMYFUNCTION("SPLIT('2. c'!B3500, "" "", True, True)"),"Mycobacterium")</f>
        <v>Mycobacterium</v>
      </c>
      <c r="D3500" t="str">
        <f>IFERROR(__xludf.DUMMYFUNCTION("""COMPUTED_VALUE"""),"sp.")</f>
        <v>sp.</v>
      </c>
      <c r="E3500" t="str">
        <f>IFERROR(__xludf.DUMMYFUNCTION("""COMPUTED_VALUE"""),"MCS")</f>
        <v>MCS</v>
      </c>
    </row>
    <row r="3501" ht="15.75" customHeight="1">
      <c r="A3501" t="str">
        <f t="shared" si="1"/>
        <v>M.sp.</v>
      </c>
      <c r="B3501" s="5" t="s">
        <v>19465</v>
      </c>
      <c r="C3501" s="6" t="str">
        <f>IFERROR(__xludf.DUMMYFUNCTION("SPLIT('2. c'!B3501, "" "", True, True)"),"Mycobacterium")</f>
        <v>Mycobacterium</v>
      </c>
      <c r="D3501" t="str">
        <f>IFERROR(__xludf.DUMMYFUNCTION("""COMPUTED_VALUE"""),"sp.")</f>
        <v>sp.</v>
      </c>
      <c r="E3501" t="str">
        <f>IFERROR(__xludf.DUMMYFUNCTION("""COMPUTED_VALUE"""),"MOTT36Y")</f>
        <v>MOTT36Y</v>
      </c>
    </row>
    <row r="3502" ht="15.75" customHeight="1">
      <c r="A3502" t="str">
        <f t="shared" si="1"/>
        <v>M.sp.</v>
      </c>
      <c r="B3502" s="5" t="s">
        <v>19473</v>
      </c>
      <c r="C3502" s="6" t="str">
        <f>IFERROR(__xludf.DUMMYFUNCTION("SPLIT('2. c'!B3502, "" "", True, True)"),"Mycobacterium")</f>
        <v>Mycobacterium</v>
      </c>
      <c r="D3502" t="str">
        <f>IFERROR(__xludf.DUMMYFUNCTION("""COMPUTED_VALUE"""),"sp.")</f>
        <v>sp.</v>
      </c>
      <c r="E3502" t="str">
        <f>IFERROR(__xludf.DUMMYFUNCTION("""COMPUTED_VALUE"""),"NRRL")</f>
        <v>NRRL</v>
      </c>
      <c r="F3502" t="str">
        <f>IFERROR(__xludf.DUMMYFUNCTION("""COMPUTED_VALUE"""),"B-3805")</f>
        <v>B-3805</v>
      </c>
    </row>
    <row r="3503" ht="15.75" customHeight="1">
      <c r="A3503" t="str">
        <f t="shared" si="1"/>
        <v>M.sp.</v>
      </c>
      <c r="B3503" s="5" t="s">
        <v>19480</v>
      </c>
      <c r="C3503" s="6" t="str">
        <f>IFERROR(__xludf.DUMMYFUNCTION("SPLIT('2. c'!B3503, "" "", True, True)"),"Mycobacterium")</f>
        <v>Mycobacterium</v>
      </c>
      <c r="D3503" t="str">
        <f>IFERROR(__xludf.DUMMYFUNCTION("""COMPUTED_VALUE"""),"sp.")</f>
        <v>sp.</v>
      </c>
      <c r="E3503" t="str">
        <f>IFERROR(__xludf.DUMMYFUNCTION("""COMPUTED_VALUE"""),"QIA-37")</f>
        <v>QIA-37</v>
      </c>
    </row>
    <row r="3504" ht="15.75" customHeight="1">
      <c r="A3504" t="str">
        <f t="shared" si="1"/>
        <v>M.sp.</v>
      </c>
      <c r="B3504" s="5" t="s">
        <v>19487</v>
      </c>
      <c r="C3504" s="6" t="str">
        <f>IFERROR(__xludf.DUMMYFUNCTION("SPLIT('2. c'!B3504, "" "", True, True)"),"Mycobacterium")</f>
        <v>Mycobacterium</v>
      </c>
      <c r="D3504" t="str">
        <f>IFERROR(__xludf.DUMMYFUNCTION("""COMPUTED_VALUE"""),"sp.")</f>
        <v>sp.</v>
      </c>
      <c r="E3504" t="str">
        <f>IFERROR(__xludf.DUMMYFUNCTION("""COMPUTED_VALUE"""),"YC-RL4")</f>
        <v>YC-RL4</v>
      </c>
    </row>
    <row r="3505" ht="15.75" customHeight="1">
      <c r="A3505" t="str">
        <f t="shared" si="1"/>
        <v>M.tuberculosis</v>
      </c>
      <c r="B3505" s="5" t="s">
        <v>19495</v>
      </c>
      <c r="C3505" s="6" t="str">
        <f>IFERROR(__xludf.DUMMYFUNCTION("SPLIT('2. c'!B3505, "" "", True, True)"),"Mycobacterium")</f>
        <v>Mycobacterium</v>
      </c>
      <c r="D3505" t="str">
        <f>IFERROR(__xludf.DUMMYFUNCTION("""COMPUTED_VALUE"""),"tuberculosis")</f>
        <v>tuberculosis</v>
      </c>
      <c r="E3505" t="str">
        <f>IFERROR(__xludf.DUMMYFUNCTION("""COMPUTED_VALUE"""),"18b")</f>
        <v>18b</v>
      </c>
    </row>
    <row r="3506" ht="15.75" customHeight="1">
      <c r="A3506" t="str">
        <f t="shared" si="1"/>
        <v>M.tuberculosis</v>
      </c>
      <c r="B3506" s="5" t="s">
        <v>19503</v>
      </c>
      <c r="C3506" s="6" t="str">
        <f>IFERROR(__xludf.DUMMYFUNCTION("SPLIT('2. c'!B3506, "" "", True, True)"),"Mycobacterium")</f>
        <v>Mycobacterium</v>
      </c>
      <c r="D3506" t="str">
        <f>IFERROR(__xludf.DUMMYFUNCTION("""COMPUTED_VALUE"""),"tuberculosis")</f>
        <v>tuberculosis</v>
      </c>
      <c r="E3506" t="str">
        <f>IFERROR(__xludf.DUMMYFUNCTION("""COMPUTED_VALUE"""),"49-02")</f>
        <v>49-02</v>
      </c>
    </row>
    <row r="3507" ht="15.75" customHeight="1">
      <c r="A3507" t="str">
        <f t="shared" si="1"/>
        <v>M.tuberculosis</v>
      </c>
      <c r="B3507" s="5" t="s">
        <v>19503</v>
      </c>
      <c r="C3507" s="6" t="str">
        <f>IFERROR(__xludf.DUMMYFUNCTION("SPLIT('2. c'!B3507, "" "", True, True)"),"Mycobacterium")</f>
        <v>Mycobacterium</v>
      </c>
      <c r="D3507" t="str">
        <f>IFERROR(__xludf.DUMMYFUNCTION("""COMPUTED_VALUE"""),"tuberculosis")</f>
        <v>tuberculosis</v>
      </c>
      <c r="E3507" t="str">
        <f>IFERROR(__xludf.DUMMYFUNCTION("""COMPUTED_VALUE"""),"49-02")</f>
        <v>49-02</v>
      </c>
    </row>
    <row r="3508" ht="15.75" customHeight="1">
      <c r="A3508" t="str">
        <f t="shared" si="1"/>
        <v>M.tuberculosis</v>
      </c>
      <c r="B3508" s="5" t="s">
        <v>19516</v>
      </c>
      <c r="C3508" s="6" t="str">
        <f>IFERROR(__xludf.DUMMYFUNCTION("SPLIT('2. c'!B3508, "" "", True, True)"),"Mycobacterium")</f>
        <v>Mycobacterium</v>
      </c>
      <c r="D3508" t="str">
        <f>IFERROR(__xludf.DUMMYFUNCTION("""COMPUTED_VALUE"""),"tuberculosis")</f>
        <v>tuberculosis</v>
      </c>
      <c r="E3508" t="str">
        <f>IFERROR(__xludf.DUMMYFUNCTION("""COMPUTED_VALUE"""),"7199-99")</f>
        <v>7199-99</v>
      </c>
    </row>
    <row r="3509" ht="15.75" customHeight="1">
      <c r="A3509" t="str">
        <f t="shared" si="1"/>
        <v>M.tuberculosis</v>
      </c>
      <c r="B3509" s="5" t="s">
        <v>19523</v>
      </c>
      <c r="C3509" s="6" t="str">
        <f>IFERROR(__xludf.DUMMYFUNCTION("SPLIT('2. c'!B3509, "" "", True, True)"),"Mycobacterium")</f>
        <v>Mycobacterium</v>
      </c>
      <c r="D3509" t="str">
        <f>IFERROR(__xludf.DUMMYFUNCTION("""COMPUTED_VALUE"""),"tuberculosis")</f>
        <v>tuberculosis</v>
      </c>
      <c r="E3509" t="str">
        <f>IFERROR(__xludf.DUMMYFUNCTION("""COMPUTED_VALUE"""),"BT1")</f>
        <v>BT1</v>
      </c>
    </row>
    <row r="3510" ht="15.75" customHeight="1">
      <c r="A3510" t="str">
        <f t="shared" si="1"/>
        <v>M.tuberculosis</v>
      </c>
      <c r="B3510" s="5" t="s">
        <v>19531</v>
      </c>
      <c r="C3510" s="6" t="str">
        <f>IFERROR(__xludf.DUMMYFUNCTION("SPLIT('2. c'!B3510, "" "", True, True)"),"Mycobacterium")</f>
        <v>Mycobacterium</v>
      </c>
      <c r="D3510" t="str">
        <f>IFERROR(__xludf.DUMMYFUNCTION("""COMPUTED_VALUE"""),"tuberculosis")</f>
        <v>tuberculosis</v>
      </c>
      <c r="E3510" t="str">
        <f>IFERROR(__xludf.DUMMYFUNCTION("""COMPUTED_VALUE"""),"BT2")</f>
        <v>BT2</v>
      </c>
    </row>
    <row r="3511" ht="15.75" customHeight="1">
      <c r="A3511" t="str">
        <f t="shared" si="1"/>
        <v>M.tuberculosis</v>
      </c>
      <c r="B3511" s="5" t="s">
        <v>19538</v>
      </c>
      <c r="C3511" s="6" t="str">
        <f>IFERROR(__xludf.DUMMYFUNCTION("SPLIT('2. c'!B3511, "" "", True, True)"),"Mycobacterium")</f>
        <v>Mycobacterium</v>
      </c>
      <c r="D3511" t="str">
        <f>IFERROR(__xludf.DUMMYFUNCTION("""COMPUTED_VALUE"""),"tuberculosis")</f>
        <v>tuberculosis</v>
      </c>
      <c r="E3511" t="str">
        <f>IFERROR(__xludf.DUMMYFUNCTION("""COMPUTED_VALUE"""),"CAS/NITR204")</f>
        <v>CAS/NITR204</v>
      </c>
    </row>
    <row r="3512" ht="15.75" customHeight="1">
      <c r="A3512" t="str">
        <f t="shared" si="1"/>
        <v>M.tuberculosis</v>
      </c>
      <c r="B3512" s="5" t="s">
        <v>19547</v>
      </c>
      <c r="C3512" s="6" t="str">
        <f>IFERROR(__xludf.DUMMYFUNCTION("SPLIT('2. c'!B3512, "" "", True, True)"),"Mycobacterium")</f>
        <v>Mycobacterium</v>
      </c>
      <c r="D3512" t="str">
        <f>IFERROR(__xludf.DUMMYFUNCTION("""COMPUTED_VALUE"""),"tuberculosis")</f>
        <v>tuberculosis</v>
      </c>
      <c r="E3512" t="str">
        <f>IFERROR(__xludf.DUMMYFUNCTION("""COMPUTED_VALUE"""),"CCDC5079")</f>
        <v>CCDC5079</v>
      </c>
    </row>
    <row r="3513" ht="15.75" customHeight="1">
      <c r="A3513" t="str">
        <f t="shared" si="1"/>
        <v>M.tuberculosis</v>
      </c>
      <c r="B3513" s="5" t="s">
        <v>19547</v>
      </c>
      <c r="C3513" s="6" t="str">
        <f>IFERROR(__xludf.DUMMYFUNCTION("SPLIT('2. c'!B3513, "" "", True, True)"),"Mycobacterium")</f>
        <v>Mycobacterium</v>
      </c>
      <c r="D3513" t="str">
        <f>IFERROR(__xludf.DUMMYFUNCTION("""COMPUTED_VALUE"""),"tuberculosis")</f>
        <v>tuberculosis</v>
      </c>
      <c r="E3513" t="str">
        <f>IFERROR(__xludf.DUMMYFUNCTION("""COMPUTED_VALUE"""),"CCDC5079")</f>
        <v>CCDC5079</v>
      </c>
    </row>
    <row r="3514" ht="15.75" customHeight="1">
      <c r="A3514" t="str">
        <f t="shared" si="1"/>
        <v>M.tuberculosis</v>
      </c>
      <c r="B3514" s="5" t="s">
        <v>19560</v>
      </c>
      <c r="C3514" s="6" t="str">
        <f>IFERROR(__xludf.DUMMYFUNCTION("SPLIT('2. c'!B3514, "" "", True, True)"),"Mycobacterium")</f>
        <v>Mycobacterium</v>
      </c>
      <c r="D3514" t="str">
        <f>IFERROR(__xludf.DUMMYFUNCTION("""COMPUTED_VALUE"""),"tuberculosis")</f>
        <v>tuberculosis</v>
      </c>
      <c r="E3514" t="str">
        <f>IFERROR(__xludf.DUMMYFUNCTION("""COMPUTED_VALUE"""),"CCDC5180")</f>
        <v>CCDC5180</v>
      </c>
    </row>
    <row r="3515" ht="15.75" customHeight="1">
      <c r="A3515" t="str">
        <f t="shared" si="1"/>
        <v>M.tuberculosis</v>
      </c>
      <c r="B3515" s="5" t="s">
        <v>19560</v>
      </c>
      <c r="C3515" s="6" t="str">
        <f>IFERROR(__xludf.DUMMYFUNCTION("SPLIT('2. c'!B3515, "" "", True, True)"),"Mycobacterium")</f>
        <v>Mycobacterium</v>
      </c>
      <c r="D3515" t="str">
        <f>IFERROR(__xludf.DUMMYFUNCTION("""COMPUTED_VALUE"""),"tuberculosis")</f>
        <v>tuberculosis</v>
      </c>
      <c r="E3515" t="str">
        <f>IFERROR(__xludf.DUMMYFUNCTION("""COMPUTED_VALUE"""),"CCDC5180")</f>
        <v>CCDC5180</v>
      </c>
    </row>
    <row r="3516" ht="15.75" customHeight="1">
      <c r="A3516" t="str">
        <f t="shared" si="1"/>
        <v>M.tuberculosis</v>
      </c>
      <c r="B3516" s="5" t="s">
        <v>19576</v>
      </c>
      <c r="C3516" s="6" t="str">
        <f>IFERROR(__xludf.DUMMYFUNCTION("SPLIT('2. c'!B3516, "" "", True, True)"),"Mycobacterium")</f>
        <v>Mycobacterium</v>
      </c>
      <c r="D3516" t="str">
        <f>IFERROR(__xludf.DUMMYFUNCTION("""COMPUTED_VALUE"""),"tuberculosis")</f>
        <v>tuberculosis</v>
      </c>
      <c r="E3516" t="str">
        <f>IFERROR(__xludf.DUMMYFUNCTION("""COMPUTED_VALUE"""),"CDC1551")</f>
        <v>CDC1551</v>
      </c>
    </row>
    <row r="3517" ht="15.75" customHeight="1">
      <c r="A3517" t="str">
        <f t="shared" si="1"/>
        <v>M.tuberculosis</v>
      </c>
      <c r="B3517" s="5" t="s">
        <v>19585</v>
      </c>
      <c r="C3517" s="6" t="str">
        <f>IFERROR(__xludf.DUMMYFUNCTION("SPLIT('2. c'!B3517, "" "", True, True)"),"Mycobacterium")</f>
        <v>Mycobacterium</v>
      </c>
      <c r="D3517" t="str">
        <f>IFERROR(__xludf.DUMMYFUNCTION("""COMPUTED_VALUE"""),"tuberculosis")</f>
        <v>tuberculosis</v>
      </c>
      <c r="E3517" t="str">
        <f>IFERROR(__xludf.DUMMYFUNCTION("""COMPUTED_VALUE"""),"CTRI-2")</f>
        <v>CTRI-2</v>
      </c>
    </row>
    <row r="3518" ht="15.75" customHeight="1">
      <c r="A3518" t="str">
        <f t="shared" si="1"/>
        <v>M.tuberculosis</v>
      </c>
      <c r="B3518" s="5" t="s">
        <v>19594</v>
      </c>
      <c r="C3518" s="6" t="str">
        <f>IFERROR(__xludf.DUMMYFUNCTION("SPLIT('2. c'!B3518, "" "", True, True)"),"Mycobacterium")</f>
        <v>Mycobacterium</v>
      </c>
      <c r="D3518" t="str">
        <f>IFERROR(__xludf.DUMMYFUNCTION("""COMPUTED_VALUE"""),"tuberculosis")</f>
        <v>tuberculosis</v>
      </c>
      <c r="E3518" t="str">
        <f>IFERROR(__xludf.DUMMYFUNCTION("""COMPUTED_VALUE"""),"EAI5")</f>
        <v>EAI5</v>
      </c>
    </row>
    <row r="3519" ht="15.75" customHeight="1">
      <c r="A3519" t="str">
        <f t="shared" si="1"/>
        <v>M.tuberculosis</v>
      </c>
      <c r="B3519" s="5" t="s">
        <v>19602</v>
      </c>
      <c r="C3519" s="6" t="str">
        <f>IFERROR(__xludf.DUMMYFUNCTION("SPLIT('2. c'!B3519, "" "", True, True)"),"Mycobacterium")</f>
        <v>Mycobacterium</v>
      </c>
      <c r="D3519" t="str">
        <f>IFERROR(__xludf.DUMMYFUNCTION("""COMPUTED_VALUE"""),"tuberculosis")</f>
        <v>tuberculosis</v>
      </c>
      <c r="E3519" t="str">
        <f>IFERROR(__xludf.DUMMYFUNCTION("""COMPUTED_VALUE"""),"EAI5/NITR206")</f>
        <v>EAI5/NITR206</v>
      </c>
    </row>
    <row r="3520" ht="15.75" customHeight="1">
      <c r="A3520" t="str">
        <f t="shared" si="1"/>
        <v>M.tuberculosis</v>
      </c>
      <c r="B3520" s="5" t="s">
        <v>19609</v>
      </c>
      <c r="C3520" s="6" t="str">
        <f>IFERROR(__xludf.DUMMYFUNCTION("SPLIT('2. c'!B3520, "" "", True, True)"),"Mycobacterium")</f>
        <v>Mycobacterium</v>
      </c>
      <c r="D3520" t="str">
        <f>IFERROR(__xludf.DUMMYFUNCTION("""COMPUTED_VALUE"""),"tuberculosis")</f>
        <v>tuberculosis</v>
      </c>
      <c r="E3520" t="str">
        <f>IFERROR(__xludf.DUMMYFUNCTION("""COMPUTED_VALUE"""),"F11")</f>
        <v>F11</v>
      </c>
    </row>
    <row r="3521" ht="15.75" customHeight="1">
      <c r="A3521" t="str">
        <f t="shared" si="1"/>
        <v>M.tuberculosis</v>
      </c>
      <c r="B3521" s="5" t="s">
        <v>19625</v>
      </c>
      <c r="C3521" s="6" t="str">
        <f>IFERROR(__xludf.DUMMYFUNCTION("SPLIT('2. c'!B3521, "" "", True, True)"),"Mycobacterium")</f>
        <v>Mycobacterium</v>
      </c>
      <c r="D3521" t="str">
        <f>IFERROR(__xludf.DUMMYFUNCTION("""COMPUTED_VALUE"""),"tuberculosis")</f>
        <v>tuberculosis</v>
      </c>
      <c r="E3521" t="str">
        <f>IFERROR(__xludf.DUMMYFUNCTION("""COMPUTED_VALUE"""),"H37Ra")</f>
        <v>H37Ra</v>
      </c>
    </row>
    <row r="3522" ht="15.75" customHeight="1">
      <c r="A3522" t="str">
        <f t="shared" si="1"/>
        <v>M.tuberculosis</v>
      </c>
      <c r="B3522" s="5" t="s">
        <v>19632</v>
      </c>
      <c r="C3522" s="6" t="str">
        <f>IFERROR(__xludf.DUMMYFUNCTION("SPLIT('2. c'!B3522, "" "", True, True)"),"Mycobacterium")</f>
        <v>Mycobacterium</v>
      </c>
      <c r="D3522" t="str">
        <f>IFERROR(__xludf.DUMMYFUNCTION("""COMPUTED_VALUE"""),"tuberculosis")</f>
        <v>tuberculosis</v>
      </c>
      <c r="E3522" t="str">
        <f>IFERROR(__xludf.DUMMYFUNCTION("""COMPUTED_VALUE"""),"H37Rv")</f>
        <v>H37Rv</v>
      </c>
    </row>
    <row r="3523" ht="15.75" customHeight="1">
      <c r="A3523" t="str">
        <f t="shared" si="1"/>
        <v>M.tuberculosis</v>
      </c>
      <c r="B3523" s="5" t="s">
        <v>19632</v>
      </c>
      <c r="C3523" s="6" t="str">
        <f>IFERROR(__xludf.DUMMYFUNCTION("SPLIT('2. c'!B3523, "" "", True, True)"),"Mycobacterium")</f>
        <v>Mycobacterium</v>
      </c>
      <c r="D3523" t="str">
        <f>IFERROR(__xludf.DUMMYFUNCTION("""COMPUTED_VALUE"""),"tuberculosis")</f>
        <v>tuberculosis</v>
      </c>
      <c r="E3523" t="str">
        <f>IFERROR(__xludf.DUMMYFUNCTION("""COMPUTED_VALUE"""),"H37Rv")</f>
        <v>H37Rv</v>
      </c>
    </row>
    <row r="3524" ht="15.75" customHeight="1">
      <c r="A3524" t="str">
        <f t="shared" si="1"/>
        <v>M.tuberculosis</v>
      </c>
      <c r="B3524" s="5" t="s">
        <v>19645</v>
      </c>
      <c r="C3524" s="6" t="str">
        <f>IFERROR(__xludf.DUMMYFUNCTION("SPLIT('2. c'!B3524, "" "", True, True)"),"Mycobacterium")</f>
        <v>Mycobacterium</v>
      </c>
      <c r="D3524" t="str">
        <f>IFERROR(__xludf.DUMMYFUNCTION("""COMPUTED_VALUE"""),"tuberculosis")</f>
        <v>tuberculosis</v>
      </c>
      <c r="E3524" t="str">
        <f>IFERROR(__xludf.DUMMYFUNCTION("""COMPUTED_VALUE"""),"H37Rv")</f>
        <v>H37Rv</v>
      </c>
      <c r="F3524" t="str">
        <f>IFERROR(__xludf.DUMMYFUNCTION("""COMPUTED_VALUE"""),"(Broad)")</f>
        <v>(Broad)</v>
      </c>
    </row>
    <row r="3525" ht="15.75" customHeight="1">
      <c r="A3525" t="str">
        <f t="shared" si="1"/>
        <v>M.tuberculosis</v>
      </c>
      <c r="B3525" s="5" t="s">
        <v>19653</v>
      </c>
      <c r="C3525" s="6" t="str">
        <f>IFERROR(__xludf.DUMMYFUNCTION("SPLIT('2. c'!B3525, "" "", True, True)"),"Mycobacterium")</f>
        <v>Mycobacterium</v>
      </c>
      <c r="D3525" t="str">
        <f>IFERROR(__xludf.DUMMYFUNCTION("""COMPUTED_VALUE"""),"tuberculosis")</f>
        <v>tuberculosis</v>
      </c>
      <c r="E3525" t="str">
        <f>IFERROR(__xludf.DUMMYFUNCTION("""COMPUTED_VALUE"""),"H37RvAE")</f>
        <v>H37RvAE</v>
      </c>
    </row>
    <row r="3526" ht="15.75" customHeight="1">
      <c r="A3526" t="str">
        <f t="shared" si="1"/>
        <v>M.tuberculosis</v>
      </c>
      <c r="B3526" s="5" t="s">
        <v>19662</v>
      </c>
      <c r="C3526" s="6" t="str">
        <f>IFERROR(__xludf.DUMMYFUNCTION("SPLIT('2. c'!B3526, "" "", True, True)"),"Mycobacterium")</f>
        <v>Mycobacterium</v>
      </c>
      <c r="D3526" t="str">
        <f>IFERROR(__xludf.DUMMYFUNCTION("""COMPUTED_VALUE"""),"tuberculosis")</f>
        <v>tuberculosis</v>
      </c>
      <c r="E3526" t="str">
        <f>IFERROR(__xludf.DUMMYFUNCTION("""COMPUTED_VALUE"""),"H37RvCO")</f>
        <v>H37RvCO</v>
      </c>
    </row>
    <row r="3527" ht="15.75" customHeight="1">
      <c r="A3527" t="str">
        <f t="shared" si="1"/>
        <v>M.tuberculosis</v>
      </c>
      <c r="B3527" s="5" t="s">
        <v>19668</v>
      </c>
      <c r="C3527" s="6" t="str">
        <f>IFERROR(__xludf.DUMMYFUNCTION("SPLIT('2. c'!B3527, "" "", True, True)"),"Mycobacterium")</f>
        <v>Mycobacterium</v>
      </c>
      <c r="D3527" t="str">
        <f>IFERROR(__xludf.DUMMYFUNCTION("""COMPUTED_VALUE"""),"tuberculosis")</f>
        <v>tuberculosis</v>
      </c>
      <c r="E3527" t="str">
        <f>IFERROR(__xludf.DUMMYFUNCTION("""COMPUTED_VALUE"""),"H37RvHA")</f>
        <v>H37RvHA</v>
      </c>
    </row>
    <row r="3528" ht="15.75" customHeight="1">
      <c r="A3528" t="str">
        <f t="shared" si="1"/>
        <v>M.tuberculosis</v>
      </c>
      <c r="B3528" s="5" t="s">
        <v>19674</v>
      </c>
      <c r="C3528" s="6" t="str">
        <f>IFERROR(__xludf.DUMMYFUNCTION("SPLIT('2. c'!B3528, "" "", True, True)"),"Mycobacterium")</f>
        <v>Mycobacterium</v>
      </c>
      <c r="D3528" t="str">
        <f>IFERROR(__xludf.DUMMYFUNCTION("""COMPUTED_VALUE"""),"tuberculosis")</f>
        <v>tuberculosis</v>
      </c>
      <c r="E3528" t="str">
        <f>IFERROR(__xludf.DUMMYFUNCTION("""COMPUTED_VALUE"""),"H37RvJO")</f>
        <v>H37RvJO</v>
      </c>
    </row>
    <row r="3529" ht="15.75" customHeight="1">
      <c r="A3529" t="str">
        <f t="shared" si="1"/>
        <v>M.tuberculosis</v>
      </c>
      <c r="B3529" s="5" t="s">
        <v>19683</v>
      </c>
      <c r="C3529" s="6" t="str">
        <f>IFERROR(__xludf.DUMMYFUNCTION("SPLIT('2. c'!B3529, "" "", True, True)"),"Mycobacterium")</f>
        <v>Mycobacterium</v>
      </c>
      <c r="D3529" t="str">
        <f>IFERROR(__xludf.DUMMYFUNCTION("""COMPUTED_VALUE"""),"tuberculosis")</f>
        <v>tuberculosis</v>
      </c>
      <c r="E3529" t="str">
        <f>IFERROR(__xludf.DUMMYFUNCTION("""COMPUTED_VALUE"""),"H37RvLP")</f>
        <v>H37RvLP</v>
      </c>
    </row>
    <row r="3530" ht="15.75" customHeight="1">
      <c r="A3530" t="str">
        <f t="shared" si="1"/>
        <v>M.tuberculosis</v>
      </c>
      <c r="B3530" s="5" t="s">
        <v>19690</v>
      </c>
      <c r="C3530" s="6" t="str">
        <f>IFERROR(__xludf.DUMMYFUNCTION("SPLIT('2. c'!B3530, "" "", True, True)"),"Mycobacterium")</f>
        <v>Mycobacterium</v>
      </c>
      <c r="D3530" t="str">
        <f>IFERROR(__xludf.DUMMYFUNCTION("""COMPUTED_VALUE"""),"tuberculosis")</f>
        <v>tuberculosis</v>
      </c>
      <c r="E3530" t="str">
        <f>IFERROR(__xludf.DUMMYFUNCTION("""COMPUTED_VALUE"""),"H37RvMA")</f>
        <v>H37RvMA</v>
      </c>
    </row>
    <row r="3531" ht="15.75" customHeight="1">
      <c r="A3531" t="str">
        <f t="shared" si="1"/>
        <v>M.tuberculosis</v>
      </c>
      <c r="B3531" s="5" t="s">
        <v>19699</v>
      </c>
      <c r="C3531" s="6" t="str">
        <f>IFERROR(__xludf.DUMMYFUNCTION("SPLIT('2. c'!B3531, "" "", True, True)"),"Mycobacterium")</f>
        <v>Mycobacterium</v>
      </c>
      <c r="D3531" t="str">
        <f>IFERROR(__xludf.DUMMYFUNCTION("""COMPUTED_VALUE"""),"tuberculosis")</f>
        <v>tuberculosis</v>
      </c>
      <c r="E3531" t="str">
        <f>IFERROR(__xludf.DUMMYFUNCTION("""COMPUTED_VALUE"""),"H37RvSiena")</f>
        <v>H37RvSiena</v>
      </c>
    </row>
    <row r="3532" ht="15.75" customHeight="1">
      <c r="A3532" t="str">
        <f t="shared" si="1"/>
        <v>M.tuberculosis</v>
      </c>
      <c r="B3532" s="5" t="s">
        <v>19706</v>
      </c>
      <c r="C3532" s="6" t="str">
        <f>IFERROR(__xludf.DUMMYFUNCTION("SPLIT('2. c'!B3532, "" "", True, True)"),"Mycobacterium")</f>
        <v>Mycobacterium</v>
      </c>
      <c r="D3532" t="str">
        <f>IFERROR(__xludf.DUMMYFUNCTION("""COMPUTED_VALUE"""),"tuberculosis")</f>
        <v>tuberculosis</v>
      </c>
      <c r="E3532" t="str">
        <f>IFERROR(__xludf.DUMMYFUNCTION("""COMPUTED_VALUE"""),"HKBS1")</f>
        <v>HKBS1</v>
      </c>
    </row>
    <row r="3533" ht="15.75" customHeight="1">
      <c r="A3533" t="str">
        <f t="shared" si="1"/>
        <v>M.tuberculosis</v>
      </c>
      <c r="B3533" s="5" t="s">
        <v>19714</v>
      </c>
      <c r="C3533" s="6" t="str">
        <f>IFERROR(__xludf.DUMMYFUNCTION("SPLIT('2. c'!B3533, "" "", True, True)"),"Mycobacterium")</f>
        <v>Mycobacterium</v>
      </c>
      <c r="D3533" t="str">
        <f>IFERROR(__xludf.DUMMYFUNCTION("""COMPUTED_VALUE"""),"tuberculosis")</f>
        <v>tuberculosis</v>
      </c>
      <c r="E3533" t="str">
        <f>IFERROR(__xludf.DUMMYFUNCTION("""COMPUTED_VALUE"""),"K")</f>
        <v>K</v>
      </c>
    </row>
    <row r="3534" ht="15.75" customHeight="1">
      <c r="A3534" t="str">
        <f t="shared" si="1"/>
        <v>M.tuberculosis</v>
      </c>
      <c r="B3534" s="5" t="s">
        <v>19722</v>
      </c>
      <c r="C3534" s="6" t="str">
        <f>IFERROR(__xludf.DUMMYFUNCTION("SPLIT('2. c'!B3534, "" "", True, True)"),"Mycobacterium")</f>
        <v>Mycobacterium</v>
      </c>
      <c r="D3534" t="str">
        <f>IFERROR(__xludf.DUMMYFUNCTION("""COMPUTED_VALUE"""),"tuberculosis")</f>
        <v>tuberculosis</v>
      </c>
      <c r="E3534" t="str">
        <f>IFERROR(__xludf.DUMMYFUNCTION("""COMPUTED_VALUE"""),"KZN")</f>
        <v>KZN</v>
      </c>
      <c r="F3534">
        <f>IFERROR(__xludf.DUMMYFUNCTION("""COMPUTED_VALUE"""),1435.0)</f>
        <v>1435</v>
      </c>
    </row>
    <row r="3535" ht="15.75" customHeight="1">
      <c r="A3535" t="str">
        <f t="shared" si="1"/>
        <v>M.tuberculosis</v>
      </c>
      <c r="B3535" s="5" t="s">
        <v>19734</v>
      </c>
      <c r="C3535" s="6" t="str">
        <f>IFERROR(__xludf.DUMMYFUNCTION("SPLIT('2. c'!B3535, "" "", True, True)"),"Mycobacterium")</f>
        <v>Mycobacterium</v>
      </c>
      <c r="D3535" t="str">
        <f>IFERROR(__xludf.DUMMYFUNCTION("""COMPUTED_VALUE"""),"tuberculosis")</f>
        <v>tuberculosis</v>
      </c>
      <c r="E3535" t="str">
        <f>IFERROR(__xludf.DUMMYFUNCTION("""COMPUTED_VALUE"""),"KZN")</f>
        <v>KZN</v>
      </c>
      <c r="F3535">
        <f>IFERROR(__xludf.DUMMYFUNCTION("""COMPUTED_VALUE"""),4207.0)</f>
        <v>4207</v>
      </c>
      <c r="G3535" t="str">
        <f>IFERROR(__xludf.DUMMYFUNCTION("""COMPUTED_VALUE"""),"(Broad)")</f>
        <v>(Broad)</v>
      </c>
    </row>
    <row r="3536" ht="15.75" customHeight="1">
      <c r="A3536" t="str">
        <f t="shared" si="1"/>
        <v>M.tuberculosis</v>
      </c>
      <c r="B3536" s="5" t="s">
        <v>19744</v>
      </c>
      <c r="C3536" s="6" t="str">
        <f>IFERROR(__xludf.DUMMYFUNCTION("SPLIT('2. c'!B3536, "" "", True, True)"),"Mycobacterium")</f>
        <v>Mycobacterium</v>
      </c>
      <c r="D3536" t="str">
        <f>IFERROR(__xludf.DUMMYFUNCTION("""COMPUTED_VALUE"""),"tuberculosis")</f>
        <v>tuberculosis</v>
      </c>
      <c r="E3536" t="str">
        <f>IFERROR(__xludf.DUMMYFUNCTION("""COMPUTED_VALUE"""),"PanR0201")</f>
        <v>PanR0201</v>
      </c>
    </row>
    <row r="3537" ht="15.75" customHeight="1">
      <c r="A3537" t="str">
        <f t="shared" si="1"/>
        <v>M.tuberculosis</v>
      </c>
      <c r="B3537" s="5" t="s">
        <v>19752</v>
      </c>
      <c r="C3537" s="6" t="str">
        <f>IFERROR(__xludf.DUMMYFUNCTION("SPLIT('2. c'!B3537, "" "", True, True)"),"Mycobacterium")</f>
        <v>Mycobacterium</v>
      </c>
      <c r="D3537" t="str">
        <f>IFERROR(__xludf.DUMMYFUNCTION("""COMPUTED_VALUE"""),"tuberculosis")</f>
        <v>tuberculosis</v>
      </c>
      <c r="E3537" t="str">
        <f>IFERROR(__xludf.DUMMYFUNCTION("""COMPUTED_VALUE"""),"PanR0202")</f>
        <v>PanR0202</v>
      </c>
    </row>
    <row r="3538" ht="15.75" customHeight="1">
      <c r="A3538" t="str">
        <f t="shared" si="1"/>
        <v>M.tuberculosis</v>
      </c>
      <c r="B3538" s="5" t="s">
        <v>19761</v>
      </c>
      <c r="C3538" s="6" t="str">
        <f>IFERROR(__xludf.DUMMYFUNCTION("SPLIT('2. c'!B3538, "" "", True, True)"),"Mycobacterium")</f>
        <v>Mycobacterium</v>
      </c>
      <c r="D3538" t="str">
        <f>IFERROR(__xludf.DUMMYFUNCTION("""COMPUTED_VALUE"""),"tuberculosis")</f>
        <v>tuberculosis</v>
      </c>
      <c r="E3538" t="str">
        <f>IFERROR(__xludf.DUMMYFUNCTION("""COMPUTED_VALUE"""),"PanR0203")</f>
        <v>PanR0203</v>
      </c>
    </row>
    <row r="3539" ht="15.75" customHeight="1">
      <c r="A3539" t="str">
        <f t="shared" si="1"/>
        <v>M.tuberculosis</v>
      </c>
      <c r="B3539" s="5" t="s">
        <v>19768</v>
      </c>
      <c r="C3539" s="6" t="str">
        <f>IFERROR(__xludf.DUMMYFUNCTION("SPLIT('2. c'!B3539, "" "", True, True)"),"Mycobacterium")</f>
        <v>Mycobacterium</v>
      </c>
      <c r="D3539" t="str">
        <f>IFERROR(__xludf.DUMMYFUNCTION("""COMPUTED_VALUE"""),"tuberculosis")</f>
        <v>tuberculosis</v>
      </c>
      <c r="E3539" t="str">
        <f>IFERROR(__xludf.DUMMYFUNCTION("""COMPUTED_VALUE"""),"PanR0205")</f>
        <v>PanR0205</v>
      </c>
    </row>
    <row r="3540" ht="15.75" customHeight="1">
      <c r="A3540" t="str">
        <f t="shared" si="1"/>
        <v>M.tuberculosis</v>
      </c>
      <c r="B3540" s="5" t="s">
        <v>19776</v>
      </c>
      <c r="C3540" s="6" t="str">
        <f>IFERROR(__xludf.DUMMYFUNCTION("SPLIT('2. c'!B3540, "" "", True, True)"),"Mycobacterium")</f>
        <v>Mycobacterium</v>
      </c>
      <c r="D3540" t="str">
        <f>IFERROR(__xludf.DUMMYFUNCTION("""COMPUTED_VALUE"""),"tuberculosis")</f>
        <v>tuberculosis</v>
      </c>
      <c r="E3540" t="str">
        <f>IFERROR(__xludf.DUMMYFUNCTION("""COMPUTED_VALUE"""),"PanR0206")</f>
        <v>PanR0206</v>
      </c>
    </row>
    <row r="3541" ht="15.75" customHeight="1">
      <c r="A3541" t="str">
        <f t="shared" si="1"/>
        <v>M.tuberculosis</v>
      </c>
      <c r="B3541" s="5" t="s">
        <v>19783</v>
      </c>
      <c r="C3541" s="6" t="str">
        <f>IFERROR(__xludf.DUMMYFUNCTION("SPLIT('2. c'!B3541, "" "", True, True)"),"Mycobacterium")</f>
        <v>Mycobacterium</v>
      </c>
      <c r="D3541" t="str">
        <f>IFERROR(__xludf.DUMMYFUNCTION("""COMPUTED_VALUE"""),"tuberculosis")</f>
        <v>tuberculosis</v>
      </c>
      <c r="E3541" t="str">
        <f>IFERROR(__xludf.DUMMYFUNCTION("""COMPUTED_VALUE"""),"PanR0207")</f>
        <v>PanR0207</v>
      </c>
    </row>
    <row r="3542" ht="15.75" customHeight="1">
      <c r="A3542" t="str">
        <f t="shared" si="1"/>
        <v>M.tuberculosis</v>
      </c>
      <c r="B3542" s="5" t="s">
        <v>19791</v>
      </c>
      <c r="C3542" s="6" t="str">
        <f>IFERROR(__xludf.DUMMYFUNCTION("SPLIT('2. c'!B3542, "" "", True, True)"),"Mycobacterium")</f>
        <v>Mycobacterium</v>
      </c>
      <c r="D3542" t="str">
        <f>IFERROR(__xludf.DUMMYFUNCTION("""COMPUTED_VALUE"""),"tuberculosis")</f>
        <v>tuberculosis</v>
      </c>
      <c r="E3542" t="str">
        <f>IFERROR(__xludf.DUMMYFUNCTION("""COMPUTED_VALUE"""),"PanR0208")</f>
        <v>PanR0208</v>
      </c>
    </row>
    <row r="3543" ht="15.75" customHeight="1">
      <c r="A3543" t="str">
        <f t="shared" si="1"/>
        <v>M.tuberculosis</v>
      </c>
      <c r="B3543" s="5" t="s">
        <v>19800</v>
      </c>
      <c r="C3543" s="6" t="str">
        <f>IFERROR(__xludf.DUMMYFUNCTION("SPLIT('2. c'!B3543, "" "", True, True)"),"Mycobacterium")</f>
        <v>Mycobacterium</v>
      </c>
      <c r="D3543" t="str">
        <f>IFERROR(__xludf.DUMMYFUNCTION("""COMPUTED_VALUE"""),"tuberculosis")</f>
        <v>tuberculosis</v>
      </c>
      <c r="E3543" t="str">
        <f>IFERROR(__xludf.DUMMYFUNCTION("""COMPUTED_VALUE"""),"PanR0209")</f>
        <v>PanR0209</v>
      </c>
    </row>
    <row r="3544" ht="15.75" customHeight="1">
      <c r="A3544" t="str">
        <f t="shared" si="1"/>
        <v>M.tuberculosis</v>
      </c>
      <c r="B3544" s="5" t="s">
        <v>19808</v>
      </c>
      <c r="C3544" s="6" t="str">
        <f>IFERROR(__xludf.DUMMYFUNCTION("SPLIT('2. c'!B3544, "" "", True, True)"),"Mycobacterium")</f>
        <v>Mycobacterium</v>
      </c>
      <c r="D3544" t="str">
        <f>IFERROR(__xludf.DUMMYFUNCTION("""COMPUTED_VALUE"""),"tuberculosis")</f>
        <v>tuberculosis</v>
      </c>
      <c r="E3544" t="str">
        <f>IFERROR(__xludf.DUMMYFUNCTION("""COMPUTED_VALUE"""),"PanR0301")</f>
        <v>PanR0301</v>
      </c>
    </row>
    <row r="3545" ht="15.75" customHeight="1">
      <c r="A3545" t="str">
        <f t="shared" si="1"/>
        <v>M.tuberculosis</v>
      </c>
      <c r="B3545" s="5" t="s">
        <v>19816</v>
      </c>
      <c r="C3545" s="6" t="str">
        <f>IFERROR(__xludf.DUMMYFUNCTION("SPLIT('2. c'!B3545, "" "", True, True)"),"Mycobacterium")</f>
        <v>Mycobacterium</v>
      </c>
      <c r="D3545" t="str">
        <f>IFERROR(__xludf.DUMMYFUNCTION("""COMPUTED_VALUE"""),"tuberculosis")</f>
        <v>tuberculosis</v>
      </c>
      <c r="E3545" t="str">
        <f>IFERROR(__xludf.DUMMYFUNCTION("""COMPUTED_VALUE"""),"PanR0304")</f>
        <v>PanR0304</v>
      </c>
    </row>
    <row r="3546" ht="15.75" customHeight="1">
      <c r="A3546" t="str">
        <f t="shared" si="1"/>
        <v>M.tuberculosis</v>
      </c>
      <c r="B3546" s="5" t="s">
        <v>19821</v>
      </c>
      <c r="C3546" s="6" t="str">
        <f>IFERROR(__xludf.DUMMYFUNCTION("SPLIT('2. c'!B3546, "" "", True, True)"),"Mycobacterium")</f>
        <v>Mycobacterium</v>
      </c>
      <c r="D3546" t="str">
        <f>IFERROR(__xludf.DUMMYFUNCTION("""COMPUTED_VALUE"""),"tuberculosis")</f>
        <v>tuberculosis</v>
      </c>
      <c r="E3546" t="str">
        <f>IFERROR(__xludf.DUMMYFUNCTION("""COMPUTED_VALUE"""),"PanR0305")</f>
        <v>PanR0305</v>
      </c>
    </row>
    <row r="3547" ht="15.75" customHeight="1">
      <c r="A3547" t="str">
        <f t="shared" si="1"/>
        <v>M.tuberculosis</v>
      </c>
      <c r="B3547" s="5" t="s">
        <v>19830</v>
      </c>
      <c r="C3547" s="6" t="str">
        <f>IFERROR(__xludf.DUMMYFUNCTION("SPLIT('2. c'!B3547, "" "", True, True)"),"Mycobacterium")</f>
        <v>Mycobacterium</v>
      </c>
      <c r="D3547" t="str">
        <f>IFERROR(__xludf.DUMMYFUNCTION("""COMPUTED_VALUE"""),"tuberculosis")</f>
        <v>tuberculosis</v>
      </c>
      <c r="E3547" t="str">
        <f>IFERROR(__xludf.DUMMYFUNCTION("""COMPUTED_VALUE"""),"PanR0306")</f>
        <v>PanR0306</v>
      </c>
    </row>
    <row r="3548" ht="15.75" customHeight="1">
      <c r="A3548" t="str">
        <f t="shared" si="1"/>
        <v>M.tuberculosis</v>
      </c>
      <c r="B3548" s="5" t="s">
        <v>19838</v>
      </c>
      <c r="C3548" s="6" t="str">
        <f>IFERROR(__xludf.DUMMYFUNCTION("SPLIT('2. c'!B3548, "" "", True, True)"),"Mycobacterium")</f>
        <v>Mycobacterium</v>
      </c>
      <c r="D3548" t="str">
        <f>IFERROR(__xludf.DUMMYFUNCTION("""COMPUTED_VALUE"""),"tuberculosis")</f>
        <v>tuberculosis</v>
      </c>
      <c r="E3548" t="str">
        <f>IFERROR(__xludf.DUMMYFUNCTION("""COMPUTED_VALUE"""),"PanR0307")</f>
        <v>PanR0307</v>
      </c>
    </row>
    <row r="3549" ht="15.75" customHeight="1">
      <c r="A3549" t="str">
        <f t="shared" si="1"/>
        <v>M.tuberculosis</v>
      </c>
      <c r="B3549" s="5" t="s">
        <v>19845</v>
      </c>
      <c r="C3549" s="6" t="str">
        <f>IFERROR(__xludf.DUMMYFUNCTION("SPLIT('2. c'!B3549, "" "", True, True)"),"Mycobacterium")</f>
        <v>Mycobacterium</v>
      </c>
      <c r="D3549" t="str">
        <f>IFERROR(__xludf.DUMMYFUNCTION("""COMPUTED_VALUE"""),"tuberculosis")</f>
        <v>tuberculosis</v>
      </c>
      <c r="E3549" t="str">
        <f>IFERROR(__xludf.DUMMYFUNCTION("""COMPUTED_VALUE"""),"PanR0308")</f>
        <v>PanR0308</v>
      </c>
    </row>
    <row r="3550" ht="15.75" customHeight="1">
      <c r="A3550" t="str">
        <f t="shared" si="1"/>
        <v>M.tuberculosis</v>
      </c>
      <c r="B3550" s="5" t="s">
        <v>19853</v>
      </c>
      <c r="C3550" s="6" t="str">
        <f>IFERROR(__xludf.DUMMYFUNCTION("SPLIT('2. c'!B3550, "" "", True, True)"),"Mycobacterium")</f>
        <v>Mycobacterium</v>
      </c>
      <c r="D3550" t="str">
        <f>IFERROR(__xludf.DUMMYFUNCTION("""COMPUTED_VALUE"""),"tuberculosis")</f>
        <v>tuberculosis</v>
      </c>
      <c r="E3550" t="str">
        <f>IFERROR(__xludf.DUMMYFUNCTION("""COMPUTED_VALUE"""),"PanR0309")</f>
        <v>PanR0309</v>
      </c>
    </row>
    <row r="3551" ht="15.75" customHeight="1">
      <c r="A3551" t="str">
        <f t="shared" si="1"/>
        <v>M.tuberculosis</v>
      </c>
      <c r="B3551" s="5" t="s">
        <v>19861</v>
      </c>
      <c r="C3551" s="6" t="str">
        <f>IFERROR(__xludf.DUMMYFUNCTION("SPLIT('2. c'!B3551, "" "", True, True)"),"Mycobacterium")</f>
        <v>Mycobacterium</v>
      </c>
      <c r="D3551" t="str">
        <f>IFERROR(__xludf.DUMMYFUNCTION("""COMPUTED_VALUE"""),"tuberculosis")</f>
        <v>tuberculosis</v>
      </c>
      <c r="E3551" t="str">
        <f>IFERROR(__xludf.DUMMYFUNCTION("""COMPUTED_VALUE"""),"PanR0311")</f>
        <v>PanR0311</v>
      </c>
    </row>
    <row r="3552" ht="15.75" customHeight="1">
      <c r="A3552" t="str">
        <f t="shared" si="1"/>
        <v>M.tuberculosis</v>
      </c>
      <c r="B3552" s="5" t="s">
        <v>19869</v>
      </c>
      <c r="C3552" s="6" t="str">
        <f>IFERROR(__xludf.DUMMYFUNCTION("SPLIT('2. c'!B3552, "" "", True, True)"),"Mycobacterium")</f>
        <v>Mycobacterium</v>
      </c>
      <c r="D3552" t="str">
        <f>IFERROR(__xludf.DUMMYFUNCTION("""COMPUTED_VALUE"""),"tuberculosis")</f>
        <v>tuberculosis</v>
      </c>
      <c r="E3552" t="str">
        <f>IFERROR(__xludf.DUMMYFUNCTION("""COMPUTED_VALUE"""),"PanR0313")</f>
        <v>PanR0313</v>
      </c>
    </row>
    <row r="3553" ht="15.75" customHeight="1">
      <c r="A3553" t="str">
        <f t="shared" si="1"/>
        <v>M.tuberculosis</v>
      </c>
      <c r="B3553" s="5" t="s">
        <v>19876</v>
      </c>
      <c r="C3553" s="6" t="str">
        <f>IFERROR(__xludf.DUMMYFUNCTION("SPLIT('2. c'!B3553, "" "", True, True)"),"Mycobacterium")</f>
        <v>Mycobacterium</v>
      </c>
      <c r="D3553" t="str">
        <f>IFERROR(__xludf.DUMMYFUNCTION("""COMPUTED_VALUE"""),"tuberculosis")</f>
        <v>tuberculosis</v>
      </c>
      <c r="E3553" t="str">
        <f>IFERROR(__xludf.DUMMYFUNCTION("""COMPUTED_VALUE"""),"PanR0314")</f>
        <v>PanR0314</v>
      </c>
    </row>
    <row r="3554" ht="15.75" customHeight="1">
      <c r="A3554" t="str">
        <f t="shared" si="1"/>
        <v>M.tuberculosis</v>
      </c>
      <c r="B3554" s="5" t="s">
        <v>19884</v>
      </c>
      <c r="C3554" s="6" t="str">
        <f>IFERROR(__xludf.DUMMYFUNCTION("SPLIT('2. c'!B3554, "" "", True, True)"),"Mycobacterium")</f>
        <v>Mycobacterium</v>
      </c>
      <c r="D3554" t="str">
        <f>IFERROR(__xludf.DUMMYFUNCTION("""COMPUTED_VALUE"""),"tuberculosis")</f>
        <v>tuberculosis</v>
      </c>
      <c r="E3554" t="str">
        <f>IFERROR(__xludf.DUMMYFUNCTION("""COMPUTED_VALUE"""),"PanR0315")</f>
        <v>PanR0315</v>
      </c>
    </row>
    <row r="3555" ht="15.75" customHeight="1">
      <c r="A3555" t="str">
        <f t="shared" si="1"/>
        <v>M.tuberculosis</v>
      </c>
      <c r="B3555" s="5" t="s">
        <v>19892</v>
      </c>
      <c r="C3555" s="6" t="str">
        <f>IFERROR(__xludf.DUMMYFUNCTION("SPLIT('2. c'!B3555, "" "", True, True)"),"Mycobacterium")</f>
        <v>Mycobacterium</v>
      </c>
      <c r="D3555" t="str">
        <f>IFERROR(__xludf.DUMMYFUNCTION("""COMPUTED_VALUE"""),"tuberculosis")</f>
        <v>tuberculosis</v>
      </c>
      <c r="E3555" t="str">
        <f>IFERROR(__xludf.DUMMYFUNCTION("""COMPUTED_VALUE"""),"PanR0316")</f>
        <v>PanR0316</v>
      </c>
    </row>
    <row r="3556" ht="15.75" customHeight="1">
      <c r="A3556" t="str">
        <f t="shared" si="1"/>
        <v>M.tuberculosis</v>
      </c>
      <c r="B3556" s="5" t="s">
        <v>19899</v>
      </c>
      <c r="C3556" s="6" t="str">
        <f>IFERROR(__xludf.DUMMYFUNCTION("SPLIT('2. c'!B3556, "" "", True, True)"),"Mycobacterium")</f>
        <v>Mycobacterium</v>
      </c>
      <c r="D3556" t="str">
        <f>IFERROR(__xludf.DUMMYFUNCTION("""COMPUTED_VALUE"""),"tuberculosis")</f>
        <v>tuberculosis</v>
      </c>
      <c r="E3556" t="str">
        <f>IFERROR(__xludf.DUMMYFUNCTION("""COMPUTED_VALUE"""),"PanR0317")</f>
        <v>PanR0317</v>
      </c>
    </row>
    <row r="3557" ht="15.75" customHeight="1">
      <c r="A3557" t="str">
        <f t="shared" si="1"/>
        <v>M.tuberculosis</v>
      </c>
      <c r="B3557" s="5" t="s">
        <v>19907</v>
      </c>
      <c r="C3557" s="6" t="str">
        <f>IFERROR(__xludf.DUMMYFUNCTION("SPLIT('2. c'!B3557, "" "", True, True)"),"Mycobacterium")</f>
        <v>Mycobacterium</v>
      </c>
      <c r="D3557" t="str">
        <f>IFERROR(__xludf.DUMMYFUNCTION("""COMPUTED_VALUE"""),"tuberculosis")</f>
        <v>tuberculosis</v>
      </c>
      <c r="E3557" t="str">
        <f>IFERROR(__xludf.DUMMYFUNCTION("""COMPUTED_VALUE"""),"PanR0401")</f>
        <v>PanR0401</v>
      </c>
    </row>
    <row r="3558" ht="15.75" customHeight="1">
      <c r="A3558" t="str">
        <f t="shared" si="1"/>
        <v>M.tuberculosis</v>
      </c>
      <c r="B3558" s="5" t="s">
        <v>19914</v>
      </c>
      <c r="C3558" s="6" t="str">
        <f>IFERROR(__xludf.DUMMYFUNCTION("SPLIT('2. c'!B3558, "" "", True, True)"),"Mycobacterium")</f>
        <v>Mycobacterium</v>
      </c>
      <c r="D3558" t="str">
        <f>IFERROR(__xludf.DUMMYFUNCTION("""COMPUTED_VALUE"""),"tuberculosis")</f>
        <v>tuberculosis</v>
      </c>
      <c r="E3558" t="str">
        <f>IFERROR(__xludf.DUMMYFUNCTION("""COMPUTED_VALUE"""),"PanR0402")</f>
        <v>PanR0402</v>
      </c>
    </row>
    <row r="3559" ht="15.75" customHeight="1">
      <c r="A3559" t="str">
        <f t="shared" si="1"/>
        <v>M.tuberculosis</v>
      </c>
      <c r="B3559" s="5" t="s">
        <v>19922</v>
      </c>
      <c r="C3559" s="6" t="str">
        <f>IFERROR(__xludf.DUMMYFUNCTION("SPLIT('2. c'!B3559, "" "", True, True)"),"Mycobacterium")</f>
        <v>Mycobacterium</v>
      </c>
      <c r="D3559" t="str">
        <f>IFERROR(__xludf.DUMMYFUNCTION("""COMPUTED_VALUE"""),"tuberculosis")</f>
        <v>tuberculosis</v>
      </c>
      <c r="E3559" t="str">
        <f>IFERROR(__xludf.DUMMYFUNCTION("""COMPUTED_VALUE"""),"PanR0403")</f>
        <v>PanR0403</v>
      </c>
    </row>
    <row r="3560" ht="15.75" customHeight="1">
      <c r="A3560" t="str">
        <f t="shared" si="1"/>
        <v>M.tuberculosis</v>
      </c>
      <c r="B3560" s="5" t="s">
        <v>19930</v>
      </c>
      <c r="C3560" s="6" t="str">
        <f>IFERROR(__xludf.DUMMYFUNCTION("SPLIT('2. c'!B3560, "" "", True, True)"),"Mycobacterium")</f>
        <v>Mycobacterium</v>
      </c>
      <c r="D3560" t="str">
        <f>IFERROR(__xludf.DUMMYFUNCTION("""COMPUTED_VALUE"""),"tuberculosis")</f>
        <v>tuberculosis</v>
      </c>
      <c r="E3560" t="str">
        <f>IFERROR(__xludf.DUMMYFUNCTION("""COMPUTED_VALUE"""),"PanR0404")</f>
        <v>PanR0404</v>
      </c>
    </row>
    <row r="3561" ht="15.75" customHeight="1">
      <c r="A3561" t="str">
        <f t="shared" si="1"/>
        <v>M.tuberculosis</v>
      </c>
      <c r="B3561" s="5" t="s">
        <v>19938</v>
      </c>
      <c r="C3561" s="6" t="str">
        <f>IFERROR(__xludf.DUMMYFUNCTION("SPLIT('2. c'!B3561, "" "", True, True)"),"Mycobacterium")</f>
        <v>Mycobacterium</v>
      </c>
      <c r="D3561" t="str">
        <f>IFERROR(__xludf.DUMMYFUNCTION("""COMPUTED_VALUE"""),"tuberculosis")</f>
        <v>tuberculosis</v>
      </c>
      <c r="E3561" t="str">
        <f>IFERROR(__xludf.DUMMYFUNCTION("""COMPUTED_VALUE"""),"PanR0405")</f>
        <v>PanR0405</v>
      </c>
    </row>
    <row r="3562" ht="15.75" customHeight="1">
      <c r="A3562" t="str">
        <f t="shared" si="1"/>
        <v>M.tuberculosis</v>
      </c>
      <c r="B3562" s="5" t="s">
        <v>19947</v>
      </c>
      <c r="C3562" s="6" t="str">
        <f>IFERROR(__xludf.DUMMYFUNCTION("SPLIT('2. c'!B3562, "" "", True, True)"),"Mycobacterium")</f>
        <v>Mycobacterium</v>
      </c>
      <c r="D3562" t="str">
        <f>IFERROR(__xludf.DUMMYFUNCTION("""COMPUTED_VALUE"""),"tuberculosis")</f>
        <v>tuberculosis</v>
      </c>
      <c r="E3562" t="str">
        <f>IFERROR(__xludf.DUMMYFUNCTION("""COMPUTED_VALUE"""),"PanR0407")</f>
        <v>PanR0407</v>
      </c>
    </row>
    <row r="3563" ht="15.75" customHeight="1">
      <c r="A3563" t="str">
        <f t="shared" si="1"/>
        <v>M.tuberculosis</v>
      </c>
      <c r="B3563" s="5" t="s">
        <v>19952</v>
      </c>
      <c r="C3563" s="6" t="str">
        <f>IFERROR(__xludf.DUMMYFUNCTION("SPLIT('2. c'!B3563, "" "", True, True)"),"Mycobacterium")</f>
        <v>Mycobacterium</v>
      </c>
      <c r="D3563" t="str">
        <f>IFERROR(__xludf.DUMMYFUNCTION("""COMPUTED_VALUE"""),"tuberculosis")</f>
        <v>tuberculosis</v>
      </c>
      <c r="E3563" t="str">
        <f>IFERROR(__xludf.DUMMYFUNCTION("""COMPUTED_VALUE"""),"PanR0409")</f>
        <v>PanR0409</v>
      </c>
    </row>
    <row r="3564" ht="15.75" customHeight="1">
      <c r="A3564" t="str">
        <f t="shared" si="1"/>
        <v>M.tuberculosis</v>
      </c>
      <c r="B3564" s="5" t="s">
        <v>19961</v>
      </c>
      <c r="C3564" s="6" t="str">
        <f>IFERROR(__xludf.DUMMYFUNCTION("SPLIT('2. c'!B3564, "" "", True, True)"),"Mycobacterium")</f>
        <v>Mycobacterium</v>
      </c>
      <c r="D3564" t="str">
        <f>IFERROR(__xludf.DUMMYFUNCTION("""COMPUTED_VALUE"""),"tuberculosis")</f>
        <v>tuberculosis</v>
      </c>
      <c r="E3564" t="str">
        <f>IFERROR(__xludf.DUMMYFUNCTION("""COMPUTED_VALUE"""),"PanR0410")</f>
        <v>PanR0410</v>
      </c>
    </row>
    <row r="3565" ht="15.75" customHeight="1">
      <c r="A3565" t="str">
        <f t="shared" si="1"/>
        <v>M.tuberculosis</v>
      </c>
      <c r="B3565" s="5" t="s">
        <v>19968</v>
      </c>
      <c r="C3565" s="6" t="str">
        <f>IFERROR(__xludf.DUMMYFUNCTION("SPLIT('2. c'!B3565, "" "", True, True)"),"Mycobacterium")</f>
        <v>Mycobacterium</v>
      </c>
      <c r="D3565" t="str">
        <f>IFERROR(__xludf.DUMMYFUNCTION("""COMPUTED_VALUE"""),"tuberculosis")</f>
        <v>tuberculosis</v>
      </c>
      <c r="E3565" t="str">
        <f>IFERROR(__xludf.DUMMYFUNCTION("""COMPUTED_VALUE"""),"PanR0411")</f>
        <v>PanR0411</v>
      </c>
    </row>
    <row r="3566" ht="15.75" customHeight="1">
      <c r="A3566" t="str">
        <f t="shared" si="1"/>
        <v>M.tuberculosis</v>
      </c>
      <c r="B3566" s="5" t="s">
        <v>19976</v>
      </c>
      <c r="C3566" s="6" t="str">
        <f>IFERROR(__xludf.DUMMYFUNCTION("SPLIT('2. c'!B3566, "" "", True, True)"),"Mycobacterium")</f>
        <v>Mycobacterium</v>
      </c>
      <c r="D3566" t="str">
        <f>IFERROR(__xludf.DUMMYFUNCTION("""COMPUTED_VALUE"""),"tuberculosis")</f>
        <v>tuberculosis</v>
      </c>
      <c r="E3566" t="str">
        <f>IFERROR(__xludf.DUMMYFUNCTION("""COMPUTED_VALUE"""),"PanR0412")</f>
        <v>PanR0412</v>
      </c>
    </row>
    <row r="3567" ht="15.75" customHeight="1">
      <c r="A3567" t="str">
        <f t="shared" si="1"/>
        <v>M.tuberculosis</v>
      </c>
      <c r="B3567" s="5" t="s">
        <v>19984</v>
      </c>
      <c r="C3567" s="6" t="str">
        <f>IFERROR(__xludf.DUMMYFUNCTION("SPLIT('2. c'!B3567, "" "", True, True)"),"Mycobacterium")</f>
        <v>Mycobacterium</v>
      </c>
      <c r="D3567" t="str">
        <f>IFERROR(__xludf.DUMMYFUNCTION("""COMPUTED_VALUE"""),"tuberculosis")</f>
        <v>tuberculosis</v>
      </c>
      <c r="E3567" t="str">
        <f>IFERROR(__xludf.DUMMYFUNCTION("""COMPUTED_VALUE"""),"PanR0501")</f>
        <v>PanR0501</v>
      </c>
    </row>
    <row r="3568" ht="15.75" customHeight="1">
      <c r="A3568" t="str">
        <f t="shared" si="1"/>
        <v>M.tuberculosis</v>
      </c>
      <c r="B3568" s="5" t="s">
        <v>19992</v>
      </c>
      <c r="C3568" s="6" t="str">
        <f>IFERROR(__xludf.DUMMYFUNCTION("SPLIT('2. c'!B3568, "" "", True, True)"),"Mycobacterium")</f>
        <v>Mycobacterium</v>
      </c>
      <c r="D3568" t="str">
        <f>IFERROR(__xludf.DUMMYFUNCTION("""COMPUTED_VALUE"""),"tuberculosis")</f>
        <v>tuberculosis</v>
      </c>
      <c r="E3568" t="str">
        <f>IFERROR(__xludf.DUMMYFUNCTION("""COMPUTED_VALUE"""),"PanR0503")</f>
        <v>PanR0503</v>
      </c>
    </row>
    <row r="3569" ht="15.75" customHeight="1">
      <c r="A3569" t="str">
        <f t="shared" si="1"/>
        <v>M.tuberculosis</v>
      </c>
      <c r="B3569" s="5" t="s">
        <v>19999</v>
      </c>
      <c r="C3569" s="6" t="str">
        <f>IFERROR(__xludf.DUMMYFUNCTION("SPLIT('2. c'!B3569, "" "", True, True)"),"Mycobacterium")</f>
        <v>Mycobacterium</v>
      </c>
      <c r="D3569" t="str">
        <f>IFERROR(__xludf.DUMMYFUNCTION("""COMPUTED_VALUE"""),"tuberculosis")</f>
        <v>tuberculosis</v>
      </c>
      <c r="E3569" t="str">
        <f>IFERROR(__xludf.DUMMYFUNCTION("""COMPUTED_VALUE"""),"PanR0505")</f>
        <v>PanR0505</v>
      </c>
    </row>
    <row r="3570" ht="15.75" customHeight="1">
      <c r="A3570" t="str">
        <f t="shared" si="1"/>
        <v>M.tuberculosis</v>
      </c>
      <c r="B3570" s="5" t="s">
        <v>20007</v>
      </c>
      <c r="C3570" s="6" t="str">
        <f>IFERROR(__xludf.DUMMYFUNCTION("SPLIT('2. c'!B3570, "" "", True, True)"),"Mycobacterium")</f>
        <v>Mycobacterium</v>
      </c>
      <c r="D3570" t="str">
        <f>IFERROR(__xludf.DUMMYFUNCTION("""COMPUTED_VALUE"""),"tuberculosis")</f>
        <v>tuberculosis</v>
      </c>
      <c r="E3570" t="str">
        <f>IFERROR(__xludf.DUMMYFUNCTION("""COMPUTED_VALUE"""),"PanR0601")</f>
        <v>PanR0601</v>
      </c>
    </row>
    <row r="3571" ht="15.75" customHeight="1">
      <c r="A3571" t="str">
        <f t="shared" si="1"/>
        <v>M.tuberculosis</v>
      </c>
      <c r="B3571" s="5" t="s">
        <v>20016</v>
      </c>
      <c r="C3571" s="6" t="str">
        <f>IFERROR(__xludf.DUMMYFUNCTION("SPLIT('2. c'!B3571, "" "", True, True)"),"Mycobacterium")</f>
        <v>Mycobacterium</v>
      </c>
      <c r="D3571" t="str">
        <f>IFERROR(__xludf.DUMMYFUNCTION("""COMPUTED_VALUE"""),"tuberculosis")</f>
        <v>tuberculosis</v>
      </c>
      <c r="E3571" t="str">
        <f>IFERROR(__xludf.DUMMYFUNCTION("""COMPUTED_VALUE"""),"PanR0602")</f>
        <v>PanR0602</v>
      </c>
    </row>
    <row r="3572" ht="15.75" customHeight="1">
      <c r="A3572" t="str">
        <f t="shared" si="1"/>
        <v>M.tuberculosis</v>
      </c>
      <c r="B3572" s="5" t="s">
        <v>20023</v>
      </c>
      <c r="C3572" s="6" t="str">
        <f>IFERROR(__xludf.DUMMYFUNCTION("SPLIT('2. c'!B3572, "" "", True, True)"),"Mycobacterium")</f>
        <v>Mycobacterium</v>
      </c>
      <c r="D3572" t="str">
        <f>IFERROR(__xludf.DUMMYFUNCTION("""COMPUTED_VALUE"""),"tuberculosis")</f>
        <v>tuberculosis</v>
      </c>
      <c r="E3572" t="str">
        <f>IFERROR(__xludf.DUMMYFUNCTION("""COMPUTED_VALUE"""),"PanR0603")</f>
        <v>PanR0603</v>
      </c>
    </row>
    <row r="3573" ht="15.75" customHeight="1">
      <c r="A3573" t="str">
        <f t="shared" si="1"/>
        <v>M.tuberculosis</v>
      </c>
      <c r="B3573" s="5" t="s">
        <v>20030</v>
      </c>
      <c r="C3573" s="6" t="str">
        <f>IFERROR(__xludf.DUMMYFUNCTION("SPLIT('2. c'!B3573, "" "", True, True)"),"Mycobacterium")</f>
        <v>Mycobacterium</v>
      </c>
      <c r="D3573" t="str">
        <f>IFERROR(__xludf.DUMMYFUNCTION("""COMPUTED_VALUE"""),"tuberculosis")</f>
        <v>tuberculosis</v>
      </c>
      <c r="E3573" t="str">
        <f>IFERROR(__xludf.DUMMYFUNCTION("""COMPUTED_VALUE"""),"PanR0604")</f>
        <v>PanR0604</v>
      </c>
    </row>
    <row r="3574" ht="15.75" customHeight="1">
      <c r="A3574" t="str">
        <f t="shared" si="1"/>
        <v>M.tuberculosis</v>
      </c>
      <c r="B3574" s="5" t="s">
        <v>20037</v>
      </c>
      <c r="C3574" s="6" t="str">
        <f>IFERROR(__xludf.DUMMYFUNCTION("SPLIT('2. c'!B3574, "" "", True, True)"),"Mycobacterium")</f>
        <v>Mycobacterium</v>
      </c>
      <c r="D3574" t="str">
        <f>IFERROR(__xludf.DUMMYFUNCTION("""COMPUTED_VALUE"""),"tuberculosis")</f>
        <v>tuberculosis</v>
      </c>
      <c r="E3574" t="str">
        <f>IFERROR(__xludf.DUMMYFUNCTION("""COMPUTED_VALUE"""),"PanR0605")</f>
        <v>PanR0605</v>
      </c>
    </row>
    <row r="3575" ht="15.75" customHeight="1">
      <c r="A3575" t="str">
        <f t="shared" si="1"/>
        <v>M.tuberculosis</v>
      </c>
      <c r="B3575" s="5" t="s">
        <v>20040</v>
      </c>
      <c r="C3575" s="6" t="str">
        <f>IFERROR(__xludf.DUMMYFUNCTION("SPLIT('2. c'!B3575, "" "", True, True)"),"Mycobacterium")</f>
        <v>Mycobacterium</v>
      </c>
      <c r="D3575" t="str">
        <f>IFERROR(__xludf.DUMMYFUNCTION("""COMPUTED_VALUE"""),"tuberculosis")</f>
        <v>tuberculosis</v>
      </c>
      <c r="E3575" t="str">
        <f>IFERROR(__xludf.DUMMYFUNCTION("""COMPUTED_VALUE"""),"PanR0606")</f>
        <v>PanR0606</v>
      </c>
    </row>
    <row r="3576" ht="15.75" customHeight="1">
      <c r="A3576" t="str">
        <f t="shared" si="1"/>
        <v>M.tuberculosis</v>
      </c>
      <c r="B3576" s="5" t="s">
        <v>20050</v>
      </c>
      <c r="C3576" s="6" t="str">
        <f>IFERROR(__xludf.DUMMYFUNCTION("SPLIT('2. c'!B3576, "" "", True, True)"),"Mycobacterium")</f>
        <v>Mycobacterium</v>
      </c>
      <c r="D3576" t="str">
        <f>IFERROR(__xludf.DUMMYFUNCTION("""COMPUTED_VALUE"""),"tuberculosis")</f>
        <v>tuberculosis</v>
      </c>
      <c r="E3576" t="str">
        <f>IFERROR(__xludf.DUMMYFUNCTION("""COMPUTED_VALUE"""),"PanR0607")</f>
        <v>PanR0607</v>
      </c>
    </row>
    <row r="3577" ht="15.75" customHeight="1">
      <c r="A3577" t="str">
        <f t="shared" si="1"/>
        <v>M.tuberculosis</v>
      </c>
      <c r="B3577" s="5" t="s">
        <v>20058</v>
      </c>
      <c r="C3577" s="6" t="str">
        <f>IFERROR(__xludf.DUMMYFUNCTION("SPLIT('2. c'!B3577, "" "", True, True)"),"Mycobacterium")</f>
        <v>Mycobacterium</v>
      </c>
      <c r="D3577" t="str">
        <f>IFERROR(__xludf.DUMMYFUNCTION("""COMPUTED_VALUE"""),"tuberculosis")</f>
        <v>tuberculosis</v>
      </c>
      <c r="E3577" t="str">
        <f>IFERROR(__xludf.DUMMYFUNCTION("""COMPUTED_VALUE"""),"PanR0609")</f>
        <v>PanR0609</v>
      </c>
    </row>
    <row r="3578" ht="15.75" customHeight="1">
      <c r="A3578" t="str">
        <f t="shared" si="1"/>
        <v>M.tuberculosis</v>
      </c>
      <c r="B3578" s="5" t="s">
        <v>20066</v>
      </c>
      <c r="C3578" s="6" t="str">
        <f>IFERROR(__xludf.DUMMYFUNCTION("SPLIT('2. c'!B3578, "" "", True, True)"),"Mycobacterium")</f>
        <v>Mycobacterium</v>
      </c>
      <c r="D3578" t="str">
        <f>IFERROR(__xludf.DUMMYFUNCTION("""COMPUTED_VALUE"""),"tuberculosis")</f>
        <v>tuberculosis</v>
      </c>
      <c r="E3578" t="str">
        <f>IFERROR(__xludf.DUMMYFUNCTION("""COMPUTED_VALUE"""),"PanR0610")</f>
        <v>PanR0610</v>
      </c>
    </row>
    <row r="3579" ht="15.75" customHeight="1">
      <c r="A3579" t="str">
        <f t="shared" si="1"/>
        <v>M.tuberculosis</v>
      </c>
      <c r="B3579" s="5" t="s">
        <v>20073</v>
      </c>
      <c r="C3579" s="6" t="str">
        <f>IFERROR(__xludf.DUMMYFUNCTION("SPLIT('2. c'!B3579, "" "", True, True)"),"Mycobacterium")</f>
        <v>Mycobacterium</v>
      </c>
      <c r="D3579" t="str">
        <f>IFERROR(__xludf.DUMMYFUNCTION("""COMPUTED_VALUE"""),"tuberculosis")</f>
        <v>tuberculosis</v>
      </c>
      <c r="E3579" t="str">
        <f>IFERROR(__xludf.DUMMYFUNCTION("""COMPUTED_VALUE"""),"PanR0611")</f>
        <v>PanR0611</v>
      </c>
    </row>
    <row r="3580" ht="15.75" customHeight="1">
      <c r="A3580" t="str">
        <f t="shared" si="1"/>
        <v>M.tuberculosis</v>
      </c>
      <c r="B3580" s="5" t="s">
        <v>20083</v>
      </c>
      <c r="C3580" s="6" t="str">
        <f>IFERROR(__xludf.DUMMYFUNCTION("SPLIT('2. c'!B3580, "" "", True, True)"),"Mycobacterium")</f>
        <v>Mycobacterium</v>
      </c>
      <c r="D3580" t="str">
        <f>IFERROR(__xludf.DUMMYFUNCTION("""COMPUTED_VALUE"""),"tuberculosis")</f>
        <v>tuberculosis</v>
      </c>
      <c r="E3580" t="str">
        <f>IFERROR(__xludf.DUMMYFUNCTION("""COMPUTED_VALUE"""),"PanR0702")</f>
        <v>PanR0702</v>
      </c>
    </row>
    <row r="3581" ht="15.75" customHeight="1">
      <c r="A3581" t="str">
        <f t="shared" si="1"/>
        <v>M.tuberculosis</v>
      </c>
      <c r="B3581" s="5" t="s">
        <v>20091</v>
      </c>
      <c r="C3581" s="6" t="str">
        <f>IFERROR(__xludf.DUMMYFUNCTION("SPLIT('2. c'!B3581, "" "", True, True)"),"Mycobacterium")</f>
        <v>Mycobacterium</v>
      </c>
      <c r="D3581" t="str">
        <f>IFERROR(__xludf.DUMMYFUNCTION("""COMPUTED_VALUE"""),"tuberculosis")</f>
        <v>tuberculosis</v>
      </c>
      <c r="E3581" t="str">
        <f>IFERROR(__xludf.DUMMYFUNCTION("""COMPUTED_VALUE"""),"PanR0703")</f>
        <v>PanR0703</v>
      </c>
    </row>
    <row r="3582" ht="15.75" customHeight="1">
      <c r="A3582" t="str">
        <f t="shared" si="1"/>
        <v>M.tuberculosis</v>
      </c>
      <c r="B3582" s="5" t="s">
        <v>20098</v>
      </c>
      <c r="C3582" s="6" t="str">
        <f>IFERROR(__xludf.DUMMYFUNCTION("SPLIT('2. c'!B3582, "" "", True, True)"),"Mycobacterium")</f>
        <v>Mycobacterium</v>
      </c>
      <c r="D3582" t="str">
        <f>IFERROR(__xludf.DUMMYFUNCTION("""COMPUTED_VALUE"""),"tuberculosis")</f>
        <v>tuberculosis</v>
      </c>
      <c r="E3582" t="str">
        <f>IFERROR(__xludf.DUMMYFUNCTION("""COMPUTED_VALUE"""),"PanR0704")</f>
        <v>PanR0704</v>
      </c>
    </row>
    <row r="3583" ht="15.75" customHeight="1">
      <c r="A3583" t="str">
        <f t="shared" si="1"/>
        <v>M.tuberculosis</v>
      </c>
      <c r="B3583" s="5" t="s">
        <v>20105</v>
      </c>
      <c r="C3583" s="6" t="str">
        <f>IFERROR(__xludf.DUMMYFUNCTION("SPLIT('2. c'!B3583, "" "", True, True)"),"Mycobacterium")</f>
        <v>Mycobacterium</v>
      </c>
      <c r="D3583" t="str">
        <f>IFERROR(__xludf.DUMMYFUNCTION("""COMPUTED_VALUE"""),"tuberculosis")</f>
        <v>tuberculosis</v>
      </c>
      <c r="E3583" t="str">
        <f>IFERROR(__xludf.DUMMYFUNCTION("""COMPUTED_VALUE"""),"PanR0707")</f>
        <v>PanR0707</v>
      </c>
    </row>
    <row r="3584" ht="15.75" customHeight="1">
      <c r="A3584" t="str">
        <f t="shared" si="1"/>
        <v>M.tuberculosis</v>
      </c>
      <c r="B3584" s="5" t="s">
        <v>20112</v>
      </c>
      <c r="C3584" s="6" t="str">
        <f>IFERROR(__xludf.DUMMYFUNCTION("SPLIT('2. c'!B3584, "" "", True, True)"),"Mycobacterium")</f>
        <v>Mycobacterium</v>
      </c>
      <c r="D3584" t="str">
        <f>IFERROR(__xludf.DUMMYFUNCTION("""COMPUTED_VALUE"""),"tuberculosis")</f>
        <v>tuberculosis</v>
      </c>
      <c r="E3584" t="str">
        <f>IFERROR(__xludf.DUMMYFUNCTION("""COMPUTED_VALUE"""),"PanR0708")</f>
        <v>PanR0708</v>
      </c>
    </row>
    <row r="3585" ht="15.75" customHeight="1">
      <c r="A3585" t="str">
        <f t="shared" si="1"/>
        <v>M.tuberculosis</v>
      </c>
      <c r="B3585" s="5" t="s">
        <v>20118</v>
      </c>
      <c r="C3585" s="6" t="str">
        <f>IFERROR(__xludf.DUMMYFUNCTION("SPLIT('2. c'!B3585, "" "", True, True)"),"Mycobacterium")</f>
        <v>Mycobacterium</v>
      </c>
      <c r="D3585" t="str">
        <f>IFERROR(__xludf.DUMMYFUNCTION("""COMPUTED_VALUE"""),"tuberculosis")</f>
        <v>tuberculosis</v>
      </c>
      <c r="E3585" t="str">
        <f>IFERROR(__xludf.DUMMYFUNCTION("""COMPUTED_VALUE"""),"PanR0801")</f>
        <v>PanR0801</v>
      </c>
    </row>
    <row r="3586" ht="15.75" customHeight="1">
      <c r="A3586" t="str">
        <f t="shared" si="1"/>
        <v>M.tuberculosis</v>
      </c>
      <c r="B3586" s="5" t="s">
        <v>20126</v>
      </c>
      <c r="C3586" s="6" t="str">
        <f>IFERROR(__xludf.DUMMYFUNCTION("SPLIT('2. c'!B3586, "" "", True, True)"),"Mycobacterium")</f>
        <v>Mycobacterium</v>
      </c>
      <c r="D3586" t="str">
        <f>IFERROR(__xludf.DUMMYFUNCTION("""COMPUTED_VALUE"""),"tuberculosis")</f>
        <v>tuberculosis</v>
      </c>
      <c r="E3586" t="str">
        <f>IFERROR(__xludf.DUMMYFUNCTION("""COMPUTED_VALUE"""),"PanR0802")</f>
        <v>PanR0802</v>
      </c>
    </row>
    <row r="3587" ht="15.75" customHeight="1">
      <c r="A3587" t="str">
        <f t="shared" si="1"/>
        <v>M.tuberculosis</v>
      </c>
      <c r="B3587" s="5" t="s">
        <v>20130</v>
      </c>
      <c r="C3587" s="6" t="str">
        <f>IFERROR(__xludf.DUMMYFUNCTION("SPLIT('2. c'!B3587, "" "", True, True)"),"Mycobacterium")</f>
        <v>Mycobacterium</v>
      </c>
      <c r="D3587" t="str">
        <f>IFERROR(__xludf.DUMMYFUNCTION("""COMPUTED_VALUE"""),"tuberculosis")</f>
        <v>tuberculosis</v>
      </c>
      <c r="E3587" t="str">
        <f>IFERROR(__xludf.DUMMYFUNCTION("""COMPUTED_VALUE"""),"PanR0803")</f>
        <v>PanR0803</v>
      </c>
    </row>
    <row r="3588" ht="15.75" customHeight="1">
      <c r="A3588" t="str">
        <f t="shared" si="1"/>
        <v>M.tuberculosis</v>
      </c>
      <c r="B3588" s="5" t="s">
        <v>20138</v>
      </c>
      <c r="C3588" s="6" t="str">
        <f>IFERROR(__xludf.DUMMYFUNCTION("SPLIT('2. c'!B3588, "" "", True, True)"),"Mycobacterium")</f>
        <v>Mycobacterium</v>
      </c>
      <c r="D3588" t="str">
        <f>IFERROR(__xludf.DUMMYFUNCTION("""COMPUTED_VALUE"""),"tuberculosis")</f>
        <v>tuberculosis</v>
      </c>
      <c r="E3588" t="str">
        <f>IFERROR(__xludf.DUMMYFUNCTION("""COMPUTED_VALUE"""),"PanR0804")</f>
        <v>PanR0804</v>
      </c>
    </row>
    <row r="3589" ht="15.75" customHeight="1">
      <c r="A3589" t="str">
        <f t="shared" si="1"/>
        <v>M.tuberculosis</v>
      </c>
      <c r="B3589" s="5" t="s">
        <v>20147</v>
      </c>
      <c r="C3589" s="6" t="str">
        <f>IFERROR(__xludf.DUMMYFUNCTION("SPLIT('2. c'!B3589, "" "", True, True)"),"Mycobacterium")</f>
        <v>Mycobacterium</v>
      </c>
      <c r="D3589" t="str">
        <f>IFERROR(__xludf.DUMMYFUNCTION("""COMPUTED_VALUE"""),"tuberculosis")</f>
        <v>tuberculosis</v>
      </c>
      <c r="E3589" t="str">
        <f>IFERROR(__xludf.DUMMYFUNCTION("""COMPUTED_VALUE"""),"PanR0805")</f>
        <v>PanR0805</v>
      </c>
    </row>
    <row r="3590" ht="15.75" customHeight="1">
      <c r="A3590" t="str">
        <f t="shared" si="1"/>
        <v>M.tuberculosis</v>
      </c>
      <c r="B3590" s="5" t="s">
        <v>20154</v>
      </c>
      <c r="C3590" s="6" t="str">
        <f>IFERROR(__xludf.DUMMYFUNCTION("SPLIT('2. c'!B3590, "" "", True, True)"),"Mycobacterium")</f>
        <v>Mycobacterium</v>
      </c>
      <c r="D3590" t="str">
        <f>IFERROR(__xludf.DUMMYFUNCTION("""COMPUTED_VALUE"""),"tuberculosis")</f>
        <v>tuberculosis</v>
      </c>
      <c r="E3590" t="str">
        <f>IFERROR(__xludf.DUMMYFUNCTION("""COMPUTED_VALUE"""),"PanR0902")</f>
        <v>PanR0902</v>
      </c>
    </row>
    <row r="3591" ht="15.75" customHeight="1">
      <c r="A3591" t="str">
        <f t="shared" si="1"/>
        <v>M.tuberculosis</v>
      </c>
      <c r="B3591" s="5" t="s">
        <v>20162</v>
      </c>
      <c r="C3591" s="6" t="str">
        <f>IFERROR(__xludf.DUMMYFUNCTION("SPLIT('2. c'!B3591, "" "", True, True)"),"Mycobacterium")</f>
        <v>Mycobacterium</v>
      </c>
      <c r="D3591" t="str">
        <f>IFERROR(__xludf.DUMMYFUNCTION("""COMPUTED_VALUE"""),"tuberculosis")</f>
        <v>tuberculosis</v>
      </c>
      <c r="E3591" t="str">
        <f>IFERROR(__xludf.DUMMYFUNCTION("""COMPUTED_VALUE"""),"PanR0903")</f>
        <v>PanR0903</v>
      </c>
    </row>
    <row r="3592" ht="15.75" customHeight="1">
      <c r="A3592" t="str">
        <f t="shared" si="1"/>
        <v>M.tuberculosis</v>
      </c>
      <c r="B3592" s="5" t="s">
        <v>20170</v>
      </c>
      <c r="C3592" s="6" t="str">
        <f>IFERROR(__xludf.DUMMYFUNCTION("SPLIT('2. c'!B3592, "" "", True, True)"),"Mycobacterium")</f>
        <v>Mycobacterium</v>
      </c>
      <c r="D3592" t="str">
        <f>IFERROR(__xludf.DUMMYFUNCTION("""COMPUTED_VALUE"""),"tuberculosis")</f>
        <v>tuberculosis</v>
      </c>
      <c r="E3592" t="str">
        <f>IFERROR(__xludf.DUMMYFUNCTION("""COMPUTED_VALUE"""),"PanR0904")</f>
        <v>PanR0904</v>
      </c>
    </row>
    <row r="3593" ht="15.75" customHeight="1">
      <c r="A3593" t="str">
        <f t="shared" si="1"/>
        <v>M.tuberculosis</v>
      </c>
      <c r="B3593" s="5" t="s">
        <v>20177</v>
      </c>
      <c r="C3593" s="6" t="str">
        <f>IFERROR(__xludf.DUMMYFUNCTION("SPLIT('2. c'!B3593, "" "", True, True)"),"Mycobacterium")</f>
        <v>Mycobacterium</v>
      </c>
      <c r="D3593" t="str">
        <f>IFERROR(__xludf.DUMMYFUNCTION("""COMPUTED_VALUE"""),"tuberculosis")</f>
        <v>tuberculosis</v>
      </c>
      <c r="E3593" t="str">
        <f>IFERROR(__xludf.DUMMYFUNCTION("""COMPUTED_VALUE"""),"PanR0906")</f>
        <v>PanR0906</v>
      </c>
    </row>
    <row r="3594" ht="15.75" customHeight="1">
      <c r="A3594" t="str">
        <f t="shared" si="1"/>
        <v>M.tuberculosis</v>
      </c>
      <c r="B3594" s="5" t="s">
        <v>20185</v>
      </c>
      <c r="C3594" s="6" t="str">
        <f>IFERROR(__xludf.DUMMYFUNCTION("SPLIT('2. c'!B3594, "" "", True, True)"),"Mycobacterium")</f>
        <v>Mycobacterium</v>
      </c>
      <c r="D3594" t="str">
        <f>IFERROR(__xludf.DUMMYFUNCTION("""COMPUTED_VALUE"""),"tuberculosis")</f>
        <v>tuberculosis</v>
      </c>
      <c r="E3594" t="str">
        <f>IFERROR(__xludf.DUMMYFUNCTION("""COMPUTED_VALUE"""),"PanR0907")</f>
        <v>PanR0907</v>
      </c>
    </row>
    <row r="3595" ht="15.75" customHeight="1">
      <c r="A3595" t="str">
        <f t="shared" si="1"/>
        <v>M.tuberculosis</v>
      </c>
      <c r="B3595" s="5" t="s">
        <v>20196</v>
      </c>
      <c r="C3595" s="6" t="str">
        <f>IFERROR(__xludf.DUMMYFUNCTION("SPLIT('2. c'!B3595, "" "", True, True)"),"Mycobacterium")</f>
        <v>Mycobacterium</v>
      </c>
      <c r="D3595" t="str">
        <f>IFERROR(__xludf.DUMMYFUNCTION("""COMPUTED_VALUE"""),"tuberculosis")</f>
        <v>tuberculosis</v>
      </c>
      <c r="E3595" t="str">
        <f>IFERROR(__xludf.DUMMYFUNCTION("""COMPUTED_VALUE"""),"PanR0908")</f>
        <v>PanR0908</v>
      </c>
    </row>
    <row r="3596" ht="15.75" customHeight="1">
      <c r="A3596" t="str">
        <f t="shared" si="1"/>
        <v>M.tuberculosis</v>
      </c>
      <c r="B3596" s="5" t="s">
        <v>20205</v>
      </c>
      <c r="C3596" s="6" t="str">
        <f>IFERROR(__xludf.DUMMYFUNCTION("SPLIT('2. c'!B3596, "" "", True, True)"),"Mycobacterium")</f>
        <v>Mycobacterium</v>
      </c>
      <c r="D3596" t="str">
        <f>IFERROR(__xludf.DUMMYFUNCTION("""COMPUTED_VALUE"""),"tuberculosis")</f>
        <v>tuberculosis</v>
      </c>
      <c r="E3596" t="str">
        <f>IFERROR(__xludf.DUMMYFUNCTION("""COMPUTED_VALUE"""),"PanR0909")</f>
        <v>PanR0909</v>
      </c>
    </row>
    <row r="3597" ht="15.75" customHeight="1">
      <c r="A3597" t="str">
        <f t="shared" si="1"/>
        <v>M.tuberculosis</v>
      </c>
      <c r="B3597" s="5" t="s">
        <v>20213</v>
      </c>
      <c r="C3597" s="6" t="str">
        <f>IFERROR(__xludf.DUMMYFUNCTION("SPLIT('2. c'!B3597, "" "", True, True)"),"Mycobacterium")</f>
        <v>Mycobacterium</v>
      </c>
      <c r="D3597" t="str">
        <f>IFERROR(__xludf.DUMMYFUNCTION("""COMPUTED_VALUE"""),"tuberculosis")</f>
        <v>tuberculosis</v>
      </c>
      <c r="E3597" t="str">
        <f>IFERROR(__xludf.DUMMYFUNCTION("""COMPUTED_VALUE"""),"PanR1005")</f>
        <v>PanR1005</v>
      </c>
    </row>
    <row r="3598" ht="15.75" customHeight="1">
      <c r="A3598" t="str">
        <f t="shared" si="1"/>
        <v>M.tuberculosis</v>
      </c>
      <c r="B3598" s="5" t="s">
        <v>20222</v>
      </c>
      <c r="C3598" s="6" t="str">
        <f>IFERROR(__xludf.DUMMYFUNCTION("SPLIT('2. c'!B3598, "" "", True, True)"),"Mycobacterium")</f>
        <v>Mycobacterium</v>
      </c>
      <c r="D3598" t="str">
        <f>IFERROR(__xludf.DUMMYFUNCTION("""COMPUTED_VALUE"""),"tuberculosis")</f>
        <v>tuberculosis</v>
      </c>
      <c r="E3598" t="str">
        <f>IFERROR(__xludf.DUMMYFUNCTION("""COMPUTED_VALUE"""),"PanR1006")</f>
        <v>PanR1006</v>
      </c>
    </row>
    <row r="3599" ht="15.75" customHeight="1">
      <c r="A3599" t="str">
        <f t="shared" si="1"/>
        <v>M.tuberculosis</v>
      </c>
      <c r="B3599" s="5" t="s">
        <v>20231</v>
      </c>
      <c r="C3599" s="6" t="str">
        <f>IFERROR(__xludf.DUMMYFUNCTION("SPLIT('2. c'!B3599, "" "", True, True)"),"Mycobacterium")</f>
        <v>Mycobacterium</v>
      </c>
      <c r="D3599" t="str">
        <f>IFERROR(__xludf.DUMMYFUNCTION("""COMPUTED_VALUE"""),"tuberculosis")</f>
        <v>tuberculosis</v>
      </c>
      <c r="E3599" t="str">
        <f>IFERROR(__xludf.DUMMYFUNCTION("""COMPUTED_VALUE"""),"PanR1007")</f>
        <v>PanR1007</v>
      </c>
    </row>
    <row r="3600" ht="15.75" customHeight="1">
      <c r="A3600" t="str">
        <f t="shared" si="1"/>
        <v>M.tuberculosis</v>
      </c>
      <c r="B3600" s="5" t="s">
        <v>20238</v>
      </c>
      <c r="C3600" s="6" t="str">
        <f>IFERROR(__xludf.DUMMYFUNCTION("SPLIT('2. c'!B3600, "" "", True, True)"),"Mycobacterium")</f>
        <v>Mycobacterium</v>
      </c>
      <c r="D3600" t="str">
        <f>IFERROR(__xludf.DUMMYFUNCTION("""COMPUTED_VALUE"""),"tuberculosis")</f>
        <v>tuberculosis</v>
      </c>
      <c r="E3600" t="str">
        <f>IFERROR(__xludf.DUMMYFUNCTION("""COMPUTED_VALUE"""),"PanR1101")</f>
        <v>PanR1101</v>
      </c>
    </row>
    <row r="3601" ht="15.75" customHeight="1">
      <c r="A3601" t="str">
        <f t="shared" si="1"/>
        <v>M.tuberculosis</v>
      </c>
      <c r="B3601" s="5" t="s">
        <v>20246</v>
      </c>
      <c r="C3601" s="6" t="str">
        <f>IFERROR(__xludf.DUMMYFUNCTION("SPLIT('2. c'!B3601, "" "", True, True)"),"Mycobacterium")</f>
        <v>Mycobacterium</v>
      </c>
      <c r="D3601" t="str">
        <f>IFERROR(__xludf.DUMMYFUNCTION("""COMPUTED_VALUE"""),"tuberculosis")</f>
        <v>tuberculosis</v>
      </c>
      <c r="E3601" t="str">
        <f>IFERROR(__xludf.DUMMYFUNCTION("""COMPUTED_VALUE"""),"RGTB327")</f>
        <v>RGTB327</v>
      </c>
    </row>
    <row r="3602" ht="15.75" customHeight="1">
      <c r="A3602" t="str">
        <f t="shared" si="1"/>
        <v>M.tuberculosis</v>
      </c>
      <c r="B3602" s="5" t="s">
        <v>20254</v>
      </c>
      <c r="C3602" s="6" t="str">
        <f>IFERROR(__xludf.DUMMYFUNCTION("SPLIT('2. c'!B3602, "" "", True, True)"),"Mycobacterium")</f>
        <v>Mycobacterium</v>
      </c>
      <c r="D3602" t="str">
        <f>IFERROR(__xludf.DUMMYFUNCTION("""COMPUTED_VALUE"""),"tuberculosis")</f>
        <v>tuberculosis</v>
      </c>
      <c r="E3602" t="str">
        <f>IFERROR(__xludf.DUMMYFUNCTION("""COMPUTED_VALUE"""),"RGTB423")</f>
        <v>RGTB423</v>
      </c>
    </row>
    <row r="3603" ht="15.75" customHeight="1">
      <c r="A3603" t="str">
        <f t="shared" si="1"/>
        <v>M.tuberculosis</v>
      </c>
      <c r="B3603" s="5" t="s">
        <v>20261</v>
      </c>
      <c r="C3603" s="6" t="str">
        <f>IFERROR(__xludf.DUMMYFUNCTION("SPLIT('2. c'!B3603, "" "", True, True)"),"Mycobacterium")</f>
        <v>Mycobacterium</v>
      </c>
      <c r="D3603" t="str">
        <f>IFERROR(__xludf.DUMMYFUNCTION("""COMPUTED_VALUE"""),"tuberculosis")</f>
        <v>tuberculosis</v>
      </c>
      <c r="E3603" t="str">
        <f>IFERROR(__xludf.DUMMYFUNCTION("""COMPUTED_VALUE"""),"str.")</f>
        <v>str.</v>
      </c>
      <c r="F3603" t="str">
        <f>IFERROR(__xludf.DUMMYFUNCTION("""COMPUTED_VALUE"""),"Beijing/NITR203")</f>
        <v>Beijing/NITR203</v>
      </c>
    </row>
    <row r="3604" ht="15.75" customHeight="1">
      <c r="A3604" t="str">
        <f t="shared" si="1"/>
        <v>M.tuberculosis</v>
      </c>
      <c r="B3604" s="5" t="s">
        <v>20270</v>
      </c>
      <c r="C3604" s="6" t="str">
        <f>IFERROR(__xludf.DUMMYFUNCTION("SPLIT('2. c'!B3604, "" "", True, True)"),"Mycobacterium")</f>
        <v>Mycobacterium</v>
      </c>
      <c r="D3604" t="str">
        <f>IFERROR(__xludf.DUMMYFUNCTION("""COMPUTED_VALUE"""),"tuberculosis")</f>
        <v>tuberculosis</v>
      </c>
      <c r="E3604" t="str">
        <f>IFERROR(__xludf.DUMMYFUNCTION("""COMPUTED_VALUE"""),"str.")</f>
        <v>str.</v>
      </c>
      <c r="F3604" t="str">
        <f>IFERROR(__xludf.DUMMYFUNCTION("""COMPUTED_VALUE"""),"Erdman")</f>
        <v>Erdman</v>
      </c>
      <c r="G3604" t="str">
        <f>IFERROR(__xludf.DUMMYFUNCTION("""COMPUTED_VALUE"""),"=")</f>
        <v>=</v>
      </c>
      <c r="H3604" t="str">
        <f>IFERROR(__xludf.DUMMYFUNCTION("""COMPUTED_VALUE"""),"ATCC")</f>
        <v>ATCC</v>
      </c>
      <c r="I3604">
        <f>IFERROR(__xludf.DUMMYFUNCTION("""COMPUTED_VALUE"""),35801.0)</f>
        <v>35801</v>
      </c>
    </row>
    <row r="3605" ht="15.75" customHeight="1">
      <c r="A3605" t="str">
        <f t="shared" si="1"/>
        <v>M.tuberculosis</v>
      </c>
      <c r="B3605" s="5" t="s">
        <v>20281</v>
      </c>
      <c r="C3605" s="6" t="str">
        <f>IFERROR(__xludf.DUMMYFUNCTION("SPLIT('2. c'!B3605, "" "", True, True)"),"Mycobacterium")</f>
        <v>Mycobacterium</v>
      </c>
      <c r="D3605" t="str">
        <f>IFERROR(__xludf.DUMMYFUNCTION("""COMPUTED_VALUE"""),"tuberculosis")</f>
        <v>tuberculosis</v>
      </c>
      <c r="E3605" t="str">
        <f>IFERROR(__xludf.DUMMYFUNCTION("""COMPUTED_VALUE"""),"str.")</f>
        <v>str.</v>
      </c>
      <c r="F3605" t="str">
        <f>IFERROR(__xludf.DUMMYFUNCTION("""COMPUTED_VALUE"""),"Haarlem/NITR202")</f>
        <v>Haarlem/NITR202</v>
      </c>
    </row>
    <row r="3606" ht="15.75" customHeight="1">
      <c r="A3606" t="str">
        <f t="shared" si="1"/>
        <v>M.tuberculosis</v>
      </c>
      <c r="B3606" s="5" t="s">
        <v>20290</v>
      </c>
      <c r="C3606" s="6" t="str">
        <f>IFERROR(__xludf.DUMMYFUNCTION("SPLIT('2. c'!B3606, "" "", True, True)"),"Mycobacterium")</f>
        <v>Mycobacterium</v>
      </c>
      <c r="D3606" t="str">
        <f>IFERROR(__xludf.DUMMYFUNCTION("""COMPUTED_VALUE"""),"tuberculosis")</f>
        <v>tuberculosis</v>
      </c>
      <c r="E3606" t="str">
        <f>IFERROR(__xludf.DUMMYFUNCTION("""COMPUTED_VALUE"""),"str.")</f>
        <v>str.</v>
      </c>
      <c r="F3606" t="str">
        <f>IFERROR(__xludf.DUMMYFUNCTION("""COMPUTED_VALUE"""),"Kurono")</f>
        <v>Kurono</v>
      </c>
    </row>
    <row r="3607" ht="15.75" customHeight="1">
      <c r="A3607" t="str">
        <f t="shared" si="1"/>
        <v>M.tuberculosis</v>
      </c>
      <c r="B3607" s="5" t="s">
        <v>20299</v>
      </c>
      <c r="C3607" s="6" t="str">
        <f>IFERROR(__xludf.DUMMYFUNCTION("SPLIT('2. c'!B3607, "" "", True, True)"),"Mycobacterium")</f>
        <v>Mycobacterium</v>
      </c>
      <c r="D3607" t="str">
        <f>IFERROR(__xludf.DUMMYFUNCTION("""COMPUTED_VALUE"""),"tuberculosis")</f>
        <v>tuberculosis</v>
      </c>
      <c r="E3607" t="str">
        <f>IFERROR(__xludf.DUMMYFUNCTION("""COMPUTED_VALUE"""),"strain")</f>
        <v>strain</v>
      </c>
      <c r="F3607" t="str">
        <f>IFERROR(__xludf.DUMMYFUNCTION("""COMPUTED_VALUE"""),"0A005DS")</f>
        <v>0A005DS</v>
      </c>
    </row>
    <row r="3608" ht="15.75" customHeight="1">
      <c r="A3608" t="str">
        <f t="shared" si="1"/>
        <v>M.tuberculosis</v>
      </c>
      <c r="B3608" s="5" t="s">
        <v>20309</v>
      </c>
      <c r="C3608" s="6" t="str">
        <f>IFERROR(__xludf.DUMMYFUNCTION("SPLIT('2. c'!B3608, "" "", True, True)"),"Mycobacterium")</f>
        <v>Mycobacterium</v>
      </c>
      <c r="D3608" t="str">
        <f>IFERROR(__xludf.DUMMYFUNCTION("""COMPUTED_VALUE"""),"tuberculosis")</f>
        <v>tuberculosis</v>
      </c>
      <c r="E3608" t="str">
        <f>IFERROR(__xludf.DUMMYFUNCTION("""COMPUTED_VALUE"""),"strain")</f>
        <v>strain</v>
      </c>
      <c r="F3608" t="str">
        <f>IFERROR(__xludf.DUMMYFUNCTION("""COMPUTED_VALUE"""),"0A012DS")</f>
        <v>0A012DS</v>
      </c>
    </row>
    <row r="3609" ht="15.75" customHeight="1">
      <c r="A3609" t="str">
        <f t="shared" si="1"/>
        <v>M.tuberculosis</v>
      </c>
      <c r="B3609" s="5" t="s">
        <v>20317</v>
      </c>
      <c r="C3609" s="6" t="str">
        <f>IFERROR(__xludf.DUMMYFUNCTION("SPLIT('2. c'!B3609, "" "", True, True)"),"Mycobacterium")</f>
        <v>Mycobacterium</v>
      </c>
      <c r="D3609" t="str">
        <f>IFERROR(__xludf.DUMMYFUNCTION("""COMPUTED_VALUE"""),"tuberculosis")</f>
        <v>tuberculosis</v>
      </c>
      <c r="E3609" t="str">
        <f>IFERROR(__xludf.DUMMYFUNCTION("""COMPUTED_VALUE"""),"strain")</f>
        <v>strain</v>
      </c>
      <c r="F3609" t="str">
        <f>IFERROR(__xludf.DUMMYFUNCTION("""COMPUTED_VALUE"""),"0A029DS")</f>
        <v>0A029DS</v>
      </c>
    </row>
    <row r="3610" ht="15.75" customHeight="1">
      <c r="A3610" t="str">
        <f t="shared" si="1"/>
        <v>M.tuberculosis</v>
      </c>
      <c r="B3610" s="5" t="s">
        <v>20323</v>
      </c>
      <c r="C3610" s="6" t="str">
        <f>IFERROR(__xludf.DUMMYFUNCTION("SPLIT('2. c'!B3610, "" "", True, True)"),"Mycobacterium")</f>
        <v>Mycobacterium</v>
      </c>
      <c r="D3610" t="str">
        <f>IFERROR(__xludf.DUMMYFUNCTION("""COMPUTED_VALUE"""),"tuberculosis")</f>
        <v>tuberculosis</v>
      </c>
      <c r="E3610" t="str">
        <f>IFERROR(__xludf.DUMMYFUNCTION("""COMPUTED_VALUE"""),"strain")</f>
        <v>strain</v>
      </c>
      <c r="F3610" t="str">
        <f>IFERROR(__xludf.DUMMYFUNCTION("""COMPUTED_VALUE"""),"0A033DS")</f>
        <v>0A033DS</v>
      </c>
    </row>
    <row r="3611" ht="15.75" customHeight="1">
      <c r="A3611" t="str">
        <f t="shared" si="1"/>
        <v>M.tuberculosis</v>
      </c>
      <c r="B3611" s="5" t="s">
        <v>20331</v>
      </c>
      <c r="C3611" s="6" t="str">
        <f>IFERROR(__xludf.DUMMYFUNCTION("SPLIT('2. c'!B3611, "" "", True, True)"),"Mycobacterium")</f>
        <v>Mycobacterium</v>
      </c>
      <c r="D3611" t="str">
        <f>IFERROR(__xludf.DUMMYFUNCTION("""COMPUTED_VALUE"""),"tuberculosis")</f>
        <v>tuberculosis</v>
      </c>
      <c r="E3611" t="str">
        <f>IFERROR(__xludf.DUMMYFUNCTION("""COMPUTED_VALUE"""),"strain")</f>
        <v>strain</v>
      </c>
      <c r="F3611" t="str">
        <f>IFERROR(__xludf.DUMMYFUNCTION("""COMPUTED_VALUE"""),"0A036DS")</f>
        <v>0A036DS</v>
      </c>
    </row>
    <row r="3612" ht="15.75" customHeight="1">
      <c r="A3612" t="str">
        <f t="shared" si="1"/>
        <v>M.tuberculosis</v>
      </c>
      <c r="B3612" s="5" t="s">
        <v>20339</v>
      </c>
      <c r="C3612" s="6" t="str">
        <f>IFERROR(__xludf.DUMMYFUNCTION("SPLIT('2. c'!B3612, "" "", True, True)"),"Mycobacterium")</f>
        <v>Mycobacterium</v>
      </c>
      <c r="D3612" t="str">
        <f>IFERROR(__xludf.DUMMYFUNCTION("""COMPUTED_VALUE"""),"tuberculosis")</f>
        <v>tuberculosis</v>
      </c>
      <c r="E3612" t="str">
        <f>IFERROR(__xludf.DUMMYFUNCTION("""COMPUTED_VALUE"""),"strain")</f>
        <v>strain</v>
      </c>
      <c r="F3612" t="str">
        <f>IFERROR(__xludf.DUMMYFUNCTION("""COMPUTED_VALUE"""),"0A087DS")</f>
        <v>0A087DS</v>
      </c>
    </row>
    <row r="3613" ht="15.75" customHeight="1">
      <c r="A3613" t="str">
        <f t="shared" si="1"/>
        <v>M.tuberculosis</v>
      </c>
      <c r="B3613" s="5" t="s">
        <v>20348</v>
      </c>
      <c r="C3613" s="6" t="str">
        <f>IFERROR(__xludf.DUMMYFUNCTION("SPLIT('2. c'!B3613, "" "", True, True)"),"Mycobacterium")</f>
        <v>Mycobacterium</v>
      </c>
      <c r="D3613" t="str">
        <f>IFERROR(__xludf.DUMMYFUNCTION("""COMPUTED_VALUE"""),"tuberculosis")</f>
        <v>tuberculosis</v>
      </c>
      <c r="E3613" t="str">
        <f>IFERROR(__xludf.DUMMYFUNCTION("""COMPUTED_VALUE"""),"strain")</f>
        <v>strain</v>
      </c>
      <c r="F3613" t="str">
        <f>IFERROR(__xludf.DUMMYFUNCTION("""COMPUTED_VALUE"""),"0A092DS")</f>
        <v>0A092DS</v>
      </c>
    </row>
    <row r="3614" ht="15.75" customHeight="1">
      <c r="A3614" t="str">
        <f t="shared" si="1"/>
        <v>M.tuberculosis</v>
      </c>
      <c r="B3614" s="5" t="s">
        <v>20357</v>
      </c>
      <c r="C3614" s="6" t="str">
        <f>IFERROR(__xludf.DUMMYFUNCTION("SPLIT('2. c'!B3614, "" "", True, True)"),"Mycobacterium")</f>
        <v>Mycobacterium</v>
      </c>
      <c r="D3614" t="str">
        <f>IFERROR(__xludf.DUMMYFUNCTION("""COMPUTED_VALUE"""),"tuberculosis")</f>
        <v>tuberculosis</v>
      </c>
      <c r="E3614" t="str">
        <f>IFERROR(__xludf.DUMMYFUNCTION("""COMPUTED_VALUE"""),"strain")</f>
        <v>strain</v>
      </c>
      <c r="F3614" t="str">
        <f>IFERROR(__xludf.DUMMYFUNCTION("""COMPUTED_VALUE"""),"0A093DS")</f>
        <v>0A093DS</v>
      </c>
    </row>
    <row r="3615" ht="15.75" customHeight="1">
      <c r="A3615" t="str">
        <f t="shared" si="1"/>
        <v>M.tuberculosis</v>
      </c>
      <c r="B3615" s="5" t="s">
        <v>20367</v>
      </c>
      <c r="C3615" s="6" t="str">
        <f>IFERROR(__xludf.DUMMYFUNCTION("SPLIT('2. c'!B3615, "" "", True, True)"),"Mycobacterium")</f>
        <v>Mycobacterium</v>
      </c>
      <c r="D3615" t="str">
        <f>IFERROR(__xludf.DUMMYFUNCTION("""COMPUTED_VALUE"""),"tuberculosis")</f>
        <v>tuberculosis</v>
      </c>
      <c r="E3615" t="str">
        <f>IFERROR(__xludf.DUMMYFUNCTION("""COMPUTED_VALUE"""),"strain")</f>
        <v>strain</v>
      </c>
      <c r="F3615" t="str">
        <f>IFERROR(__xludf.DUMMYFUNCTION("""COMPUTED_VALUE"""),"0A094DS")</f>
        <v>0A094DS</v>
      </c>
    </row>
    <row r="3616" ht="15.75" customHeight="1">
      <c r="A3616" t="str">
        <f t="shared" si="1"/>
        <v>M.tuberculosis</v>
      </c>
      <c r="B3616" s="5" t="s">
        <v>20378</v>
      </c>
      <c r="C3616" s="6" t="str">
        <f>IFERROR(__xludf.DUMMYFUNCTION("SPLIT('2. c'!B3616, "" "", True, True)"),"Mycobacterium")</f>
        <v>Mycobacterium</v>
      </c>
      <c r="D3616" t="str">
        <f>IFERROR(__xludf.DUMMYFUNCTION("""COMPUTED_VALUE"""),"tuberculosis")</f>
        <v>tuberculosis</v>
      </c>
      <c r="E3616" t="str">
        <f>IFERROR(__xludf.DUMMYFUNCTION("""COMPUTED_VALUE"""),"strain")</f>
        <v>strain</v>
      </c>
      <c r="F3616" t="str">
        <f>IFERROR(__xludf.DUMMYFUNCTION("""COMPUTED_VALUE"""),"0A115DS")</f>
        <v>0A115DS</v>
      </c>
    </row>
    <row r="3617" ht="15.75" customHeight="1">
      <c r="A3617" t="str">
        <f t="shared" si="1"/>
        <v>M.tuberculosis</v>
      </c>
      <c r="B3617" s="5" t="s">
        <v>20387</v>
      </c>
      <c r="C3617" s="6" t="str">
        <f>IFERROR(__xludf.DUMMYFUNCTION("SPLIT('2. c'!B3617, "" "", True, True)"),"Mycobacterium")</f>
        <v>Mycobacterium</v>
      </c>
      <c r="D3617" t="str">
        <f>IFERROR(__xludf.DUMMYFUNCTION("""COMPUTED_VALUE"""),"tuberculosis")</f>
        <v>tuberculosis</v>
      </c>
      <c r="E3617" t="str">
        <f>IFERROR(__xludf.DUMMYFUNCTION("""COMPUTED_VALUE"""),"strain")</f>
        <v>strain</v>
      </c>
      <c r="F3617" t="str">
        <f>IFERROR(__xludf.DUMMYFUNCTION("""COMPUTED_VALUE"""),"0A117DS")</f>
        <v>0A117DS</v>
      </c>
    </row>
    <row r="3618" ht="15.75" customHeight="1">
      <c r="A3618" t="str">
        <f t="shared" si="1"/>
        <v>M.tuberculosis</v>
      </c>
      <c r="B3618" s="5" t="s">
        <v>20395</v>
      </c>
      <c r="C3618" s="6" t="str">
        <f>IFERROR(__xludf.DUMMYFUNCTION("SPLIT('2. c'!B3618, "" "", True, True)"),"Mycobacterium")</f>
        <v>Mycobacterium</v>
      </c>
      <c r="D3618" t="str">
        <f>IFERROR(__xludf.DUMMYFUNCTION("""COMPUTED_VALUE"""),"tuberculosis")</f>
        <v>tuberculosis</v>
      </c>
      <c r="E3618" t="str">
        <f>IFERROR(__xludf.DUMMYFUNCTION("""COMPUTED_VALUE"""),"strain")</f>
        <v>strain</v>
      </c>
      <c r="F3618" t="str">
        <f>IFERROR(__xludf.DUMMYFUNCTION("""COMPUTED_VALUE"""),"0B026XDR")</f>
        <v>0B026XDR</v>
      </c>
    </row>
    <row r="3619" ht="15.75" customHeight="1">
      <c r="A3619" t="str">
        <f t="shared" si="1"/>
        <v>M.tuberculosis</v>
      </c>
      <c r="B3619" s="5" t="s">
        <v>20404</v>
      </c>
      <c r="C3619" s="6" t="str">
        <f>IFERROR(__xludf.DUMMYFUNCTION("SPLIT('2. c'!B3619, "" "", True, True)"),"Mycobacterium")</f>
        <v>Mycobacterium</v>
      </c>
      <c r="D3619" t="str">
        <f>IFERROR(__xludf.DUMMYFUNCTION("""COMPUTED_VALUE"""),"tuberculosis")</f>
        <v>tuberculosis</v>
      </c>
      <c r="E3619" t="str">
        <f>IFERROR(__xludf.DUMMYFUNCTION("""COMPUTED_VALUE"""),"strain")</f>
        <v>strain</v>
      </c>
      <c r="F3619" t="str">
        <f>IFERROR(__xludf.DUMMYFUNCTION("""COMPUTED_VALUE"""),"0B049XDR")</f>
        <v>0B049XDR</v>
      </c>
    </row>
    <row r="3620" ht="15.75" customHeight="1">
      <c r="A3620" t="str">
        <f t="shared" si="1"/>
        <v>M.tuberculosis</v>
      </c>
      <c r="B3620" s="5" t="s">
        <v>20414</v>
      </c>
      <c r="C3620" s="6" t="str">
        <f>IFERROR(__xludf.DUMMYFUNCTION("SPLIT('2. c'!B3620, "" "", True, True)"),"Mycobacterium")</f>
        <v>Mycobacterium</v>
      </c>
      <c r="D3620" t="str">
        <f>IFERROR(__xludf.DUMMYFUNCTION("""COMPUTED_VALUE"""),"tuberculosis")</f>
        <v>tuberculosis</v>
      </c>
      <c r="E3620" t="str">
        <f>IFERROR(__xludf.DUMMYFUNCTION("""COMPUTED_VALUE"""),"strain")</f>
        <v>strain</v>
      </c>
      <c r="F3620" t="str">
        <f>IFERROR(__xludf.DUMMYFUNCTION("""COMPUTED_VALUE"""),"0B070XDR")</f>
        <v>0B070XDR</v>
      </c>
    </row>
    <row r="3621" ht="15.75" customHeight="1">
      <c r="A3621" t="str">
        <f t="shared" si="1"/>
        <v>M.tuberculosis</v>
      </c>
      <c r="B3621" s="5" t="s">
        <v>20426</v>
      </c>
      <c r="C3621" s="6" t="str">
        <f>IFERROR(__xludf.DUMMYFUNCTION("SPLIT('2. c'!B3621, "" "", True, True)"),"Mycobacterium")</f>
        <v>Mycobacterium</v>
      </c>
      <c r="D3621" t="str">
        <f>IFERROR(__xludf.DUMMYFUNCTION("""COMPUTED_VALUE"""),"tuberculosis")</f>
        <v>tuberculosis</v>
      </c>
      <c r="E3621" t="str">
        <f>IFERROR(__xludf.DUMMYFUNCTION("""COMPUTED_VALUE"""),"strain")</f>
        <v>strain</v>
      </c>
      <c r="F3621" t="str">
        <f>IFERROR(__xludf.DUMMYFUNCTION("""COMPUTED_VALUE"""),"0B076XDR")</f>
        <v>0B076XDR</v>
      </c>
    </row>
    <row r="3622" ht="15.75" customHeight="1">
      <c r="A3622" t="str">
        <f t="shared" si="1"/>
        <v>M.tuberculosis</v>
      </c>
      <c r="B3622" s="5" t="s">
        <v>20440</v>
      </c>
      <c r="C3622" s="6" t="str">
        <f>IFERROR(__xludf.DUMMYFUNCTION("SPLIT('2. c'!B3622, "" "", True, True)"),"Mycobacterium")</f>
        <v>Mycobacterium</v>
      </c>
      <c r="D3622" t="str">
        <f>IFERROR(__xludf.DUMMYFUNCTION("""COMPUTED_VALUE"""),"tuberculosis")</f>
        <v>tuberculosis</v>
      </c>
      <c r="E3622" t="str">
        <f>IFERROR(__xludf.DUMMYFUNCTION("""COMPUTED_VALUE"""),"strain")</f>
        <v>strain</v>
      </c>
      <c r="F3622" t="str">
        <f>IFERROR(__xludf.DUMMYFUNCTION("""COMPUTED_VALUE"""),"0B123ND")</f>
        <v>0B123ND</v>
      </c>
    </row>
    <row r="3623" ht="15.75" customHeight="1">
      <c r="A3623" t="str">
        <f t="shared" si="1"/>
        <v>M.tuberculosis</v>
      </c>
      <c r="B3623" s="5" t="s">
        <v>20453</v>
      </c>
      <c r="C3623" s="6" t="str">
        <f>IFERROR(__xludf.DUMMYFUNCTION("SPLIT('2. c'!B3623, "" "", True, True)"),"Mycobacterium")</f>
        <v>Mycobacterium</v>
      </c>
      <c r="D3623" t="str">
        <f>IFERROR(__xludf.DUMMYFUNCTION("""COMPUTED_VALUE"""),"tuberculosis")</f>
        <v>tuberculosis</v>
      </c>
      <c r="E3623" t="str">
        <f>IFERROR(__xludf.DUMMYFUNCTION("""COMPUTED_VALUE"""),"strain")</f>
        <v>strain</v>
      </c>
      <c r="F3623" t="str">
        <f>IFERROR(__xludf.DUMMYFUNCTION("""COMPUTED_VALUE"""),"0B169XDR")</f>
        <v>0B169XDR</v>
      </c>
    </row>
    <row r="3624" ht="15.75" customHeight="1">
      <c r="A3624" t="str">
        <f t="shared" si="1"/>
        <v>M.tuberculosis</v>
      </c>
      <c r="B3624" s="5" t="s">
        <v>20465</v>
      </c>
      <c r="C3624" s="6" t="str">
        <f>IFERROR(__xludf.DUMMYFUNCTION("SPLIT('2. c'!B3624, "" "", True, True)"),"Mycobacterium")</f>
        <v>Mycobacterium</v>
      </c>
      <c r="D3624" t="str">
        <f>IFERROR(__xludf.DUMMYFUNCTION("""COMPUTED_VALUE"""),"tuberculosis")</f>
        <v>tuberculosis</v>
      </c>
      <c r="E3624" t="str">
        <f>IFERROR(__xludf.DUMMYFUNCTION("""COMPUTED_VALUE"""),"strain")</f>
        <v>strain</v>
      </c>
      <c r="F3624" t="str">
        <f>IFERROR(__xludf.DUMMYFUNCTION("""COMPUTED_VALUE"""),"0B218DS")</f>
        <v>0B218DS</v>
      </c>
    </row>
    <row r="3625" ht="15.75" customHeight="1">
      <c r="A3625" t="str">
        <f t="shared" si="1"/>
        <v>M.tuberculosis</v>
      </c>
      <c r="B3625" s="5" t="s">
        <v>20480</v>
      </c>
      <c r="C3625" s="6" t="str">
        <f>IFERROR(__xludf.DUMMYFUNCTION("SPLIT('2. c'!B3625, "" "", True, True)"),"Mycobacterium")</f>
        <v>Mycobacterium</v>
      </c>
      <c r="D3625" t="str">
        <f>IFERROR(__xludf.DUMMYFUNCTION("""COMPUTED_VALUE"""),"tuberculosis")</f>
        <v>tuberculosis</v>
      </c>
      <c r="E3625" t="str">
        <f>IFERROR(__xludf.DUMMYFUNCTION("""COMPUTED_VALUE"""),"strain")</f>
        <v>strain</v>
      </c>
      <c r="F3625" t="str">
        <f>IFERROR(__xludf.DUMMYFUNCTION("""COMPUTED_VALUE"""),"0B222DS")</f>
        <v>0B222DS</v>
      </c>
    </row>
    <row r="3626" ht="15.75" customHeight="1">
      <c r="A3626" t="str">
        <f t="shared" si="1"/>
        <v>M.tuberculosis</v>
      </c>
      <c r="B3626" s="5" t="s">
        <v>20489</v>
      </c>
      <c r="C3626" s="6" t="str">
        <f>IFERROR(__xludf.DUMMYFUNCTION("SPLIT('2. c'!B3626, "" "", True, True)"),"Mycobacterium")</f>
        <v>Mycobacterium</v>
      </c>
      <c r="D3626" t="str">
        <f>IFERROR(__xludf.DUMMYFUNCTION("""COMPUTED_VALUE"""),"tuberculosis")</f>
        <v>tuberculosis</v>
      </c>
      <c r="E3626" t="str">
        <f>IFERROR(__xludf.DUMMYFUNCTION("""COMPUTED_VALUE"""),"strain")</f>
        <v>strain</v>
      </c>
      <c r="F3626" t="str">
        <f>IFERROR(__xludf.DUMMYFUNCTION("""COMPUTED_VALUE"""),"0B228DS")</f>
        <v>0B228DS</v>
      </c>
    </row>
    <row r="3627" ht="15.75" customHeight="1">
      <c r="A3627" t="str">
        <f t="shared" si="1"/>
        <v>M.tuberculosis</v>
      </c>
      <c r="B3627" s="5" t="s">
        <v>20499</v>
      </c>
      <c r="C3627" s="6" t="str">
        <f>IFERROR(__xludf.DUMMYFUNCTION("SPLIT('2. c'!B3627, "" "", True, True)"),"Mycobacterium")</f>
        <v>Mycobacterium</v>
      </c>
      <c r="D3627" t="str">
        <f>IFERROR(__xludf.DUMMYFUNCTION("""COMPUTED_VALUE"""),"tuberculosis")</f>
        <v>tuberculosis</v>
      </c>
      <c r="E3627" t="str">
        <f>IFERROR(__xludf.DUMMYFUNCTION("""COMPUTED_VALUE"""),"strain")</f>
        <v>strain</v>
      </c>
      <c r="F3627" t="str">
        <f>IFERROR(__xludf.DUMMYFUNCTION("""COMPUTED_VALUE"""),"0B229DS")</f>
        <v>0B229DS</v>
      </c>
    </row>
    <row r="3628" ht="15.75" customHeight="1">
      <c r="A3628" t="str">
        <f t="shared" si="1"/>
        <v>M.tuberculosis</v>
      </c>
      <c r="B3628" s="5" t="s">
        <v>20509</v>
      </c>
      <c r="C3628" s="6" t="str">
        <f>IFERROR(__xludf.DUMMYFUNCTION("SPLIT('2. c'!B3628, "" "", True, True)"),"Mycobacterium")</f>
        <v>Mycobacterium</v>
      </c>
      <c r="D3628" t="str">
        <f>IFERROR(__xludf.DUMMYFUNCTION("""COMPUTED_VALUE"""),"tuberculosis")</f>
        <v>tuberculosis</v>
      </c>
      <c r="E3628" t="str">
        <f>IFERROR(__xludf.DUMMYFUNCTION("""COMPUTED_VALUE"""),"strain")</f>
        <v>strain</v>
      </c>
      <c r="F3628" t="str">
        <f>IFERROR(__xludf.DUMMYFUNCTION("""COMPUTED_VALUE"""),"0B235DS")</f>
        <v>0B235DS</v>
      </c>
    </row>
    <row r="3629" ht="15.75" customHeight="1">
      <c r="A3629" t="str">
        <f t="shared" si="1"/>
        <v>M.tuberculosis</v>
      </c>
      <c r="B3629" s="5" t="s">
        <v>20517</v>
      </c>
      <c r="C3629" s="6" t="str">
        <f>IFERROR(__xludf.DUMMYFUNCTION("SPLIT('2. c'!B3629, "" "", True, True)"),"Mycobacterium")</f>
        <v>Mycobacterium</v>
      </c>
      <c r="D3629" t="str">
        <f>IFERROR(__xludf.DUMMYFUNCTION("""COMPUTED_VALUE"""),"tuberculosis")</f>
        <v>tuberculosis</v>
      </c>
      <c r="E3629" t="str">
        <f>IFERROR(__xludf.DUMMYFUNCTION("""COMPUTED_VALUE"""),"strain")</f>
        <v>strain</v>
      </c>
      <c r="F3629" t="str">
        <f>IFERROR(__xludf.DUMMYFUNCTION("""COMPUTED_VALUE"""),"0B259XDR")</f>
        <v>0B259XDR</v>
      </c>
    </row>
    <row r="3630" ht="15.75" customHeight="1">
      <c r="A3630" t="str">
        <f t="shared" si="1"/>
        <v>M.tuberculosis</v>
      </c>
      <c r="B3630" s="5" t="s">
        <v>20527</v>
      </c>
      <c r="C3630" s="6" t="str">
        <f>IFERROR(__xludf.DUMMYFUNCTION("SPLIT('2. c'!B3630, "" "", True, True)"),"Mycobacterium")</f>
        <v>Mycobacterium</v>
      </c>
      <c r="D3630" t="str">
        <f>IFERROR(__xludf.DUMMYFUNCTION("""COMPUTED_VALUE"""),"tuberculosis")</f>
        <v>tuberculosis</v>
      </c>
      <c r="E3630" t="str">
        <f>IFERROR(__xludf.DUMMYFUNCTION("""COMPUTED_VALUE"""),"strain")</f>
        <v>strain</v>
      </c>
      <c r="F3630" t="str">
        <f>IFERROR(__xludf.DUMMYFUNCTION("""COMPUTED_VALUE"""),"0B329XDR")</f>
        <v>0B329XDR</v>
      </c>
    </row>
    <row r="3631" ht="15.75" customHeight="1">
      <c r="A3631" t="str">
        <f t="shared" si="1"/>
        <v>M.tuberculosis</v>
      </c>
      <c r="B3631" s="5" t="s">
        <v>20534</v>
      </c>
      <c r="C3631" s="6" t="str">
        <f>IFERROR(__xludf.DUMMYFUNCTION("SPLIT('2. c'!B3631, "" "", True, True)"),"Mycobacterium")</f>
        <v>Mycobacterium</v>
      </c>
      <c r="D3631" t="str">
        <f>IFERROR(__xludf.DUMMYFUNCTION("""COMPUTED_VALUE"""),"tuberculosis")</f>
        <v>tuberculosis</v>
      </c>
      <c r="E3631" t="str">
        <f>IFERROR(__xludf.DUMMYFUNCTION("""COMPUTED_VALUE"""),"strain")</f>
        <v>strain</v>
      </c>
      <c r="F3631">
        <f>IFERROR(__xludf.DUMMYFUNCTION("""COMPUTED_VALUE"""),22103.0)</f>
        <v>22103</v>
      </c>
    </row>
    <row r="3632" ht="15.75" customHeight="1">
      <c r="A3632" t="str">
        <f t="shared" si="1"/>
        <v>M.tuberculosis</v>
      </c>
      <c r="B3632" s="5" t="s">
        <v>20542</v>
      </c>
      <c r="C3632" s="6" t="str">
        <f>IFERROR(__xludf.DUMMYFUNCTION("SPLIT('2. c'!B3632, "" "", True, True)"),"Mycobacterium")</f>
        <v>Mycobacterium</v>
      </c>
      <c r="D3632" t="str">
        <f>IFERROR(__xludf.DUMMYFUNCTION("""COMPUTED_VALUE"""),"tuberculosis")</f>
        <v>tuberculosis</v>
      </c>
      <c r="E3632" t="str">
        <f>IFERROR(__xludf.DUMMYFUNCTION("""COMPUTED_VALUE"""),"strain")</f>
        <v>strain</v>
      </c>
      <c r="F3632">
        <f>IFERROR(__xludf.DUMMYFUNCTION("""COMPUTED_VALUE"""),22115.0)</f>
        <v>22115</v>
      </c>
    </row>
    <row r="3633" ht="15.75" customHeight="1">
      <c r="A3633" t="str">
        <f t="shared" si="1"/>
        <v>M.tuberculosis</v>
      </c>
      <c r="B3633" s="5" t="s">
        <v>20551</v>
      </c>
      <c r="C3633" s="6" t="str">
        <f>IFERROR(__xludf.DUMMYFUNCTION("SPLIT('2. c'!B3633, "" "", True, True)"),"Mycobacterium")</f>
        <v>Mycobacterium</v>
      </c>
      <c r="D3633" t="str">
        <f>IFERROR(__xludf.DUMMYFUNCTION("""COMPUTED_VALUE"""),"tuberculosis")</f>
        <v>tuberculosis</v>
      </c>
      <c r="E3633" t="str">
        <f>IFERROR(__xludf.DUMMYFUNCTION("""COMPUTED_VALUE"""),"strain")</f>
        <v>strain</v>
      </c>
      <c r="F3633">
        <f>IFERROR(__xludf.DUMMYFUNCTION("""COMPUTED_VALUE"""),2242.0)</f>
        <v>2242</v>
      </c>
    </row>
    <row r="3634" ht="15.75" customHeight="1">
      <c r="A3634" t="str">
        <f t="shared" si="1"/>
        <v>M.tuberculosis</v>
      </c>
      <c r="B3634" s="5" t="s">
        <v>20563</v>
      </c>
      <c r="C3634" s="6" t="str">
        <f>IFERROR(__xludf.DUMMYFUNCTION("SPLIT('2. c'!B3634, "" "", True, True)"),"Mycobacterium")</f>
        <v>Mycobacterium</v>
      </c>
      <c r="D3634" t="str">
        <f>IFERROR(__xludf.DUMMYFUNCTION("""COMPUTED_VALUE"""),"tuberculosis")</f>
        <v>tuberculosis</v>
      </c>
      <c r="E3634" t="str">
        <f>IFERROR(__xludf.DUMMYFUNCTION("""COMPUTED_VALUE"""),"strain")</f>
        <v>strain</v>
      </c>
      <c r="F3634">
        <f>IFERROR(__xludf.DUMMYFUNCTION("""COMPUTED_VALUE"""),2279.0)</f>
        <v>2279</v>
      </c>
    </row>
    <row r="3635" ht="15.75" customHeight="1">
      <c r="A3635" t="str">
        <f t="shared" si="1"/>
        <v>M.tuberculosis</v>
      </c>
      <c r="B3635" s="5" t="s">
        <v>20573</v>
      </c>
      <c r="C3635" s="6" t="str">
        <f>IFERROR(__xludf.DUMMYFUNCTION("SPLIT('2. c'!B3635, "" "", True, True)"),"Mycobacterium")</f>
        <v>Mycobacterium</v>
      </c>
      <c r="D3635" t="str">
        <f>IFERROR(__xludf.DUMMYFUNCTION("""COMPUTED_VALUE"""),"tuberculosis")</f>
        <v>tuberculosis</v>
      </c>
      <c r="E3635" t="str">
        <f>IFERROR(__xludf.DUMMYFUNCTION("""COMPUTED_VALUE"""),"strain")</f>
        <v>strain</v>
      </c>
      <c r="F3635">
        <f>IFERROR(__xludf.DUMMYFUNCTION("""COMPUTED_VALUE"""),26105.0)</f>
        <v>26105</v>
      </c>
    </row>
    <row r="3636" ht="15.75" customHeight="1">
      <c r="A3636" t="str">
        <f t="shared" si="1"/>
        <v>M.tuberculosis</v>
      </c>
      <c r="B3636" s="5" t="s">
        <v>20580</v>
      </c>
      <c r="C3636" s="6" t="str">
        <f>IFERROR(__xludf.DUMMYFUNCTION("SPLIT('2. c'!B3636, "" "", True, True)"),"Mycobacterium")</f>
        <v>Mycobacterium</v>
      </c>
      <c r="D3636" t="str">
        <f>IFERROR(__xludf.DUMMYFUNCTION("""COMPUTED_VALUE"""),"tuberculosis")</f>
        <v>tuberculosis</v>
      </c>
      <c r="E3636" t="str">
        <f>IFERROR(__xludf.DUMMYFUNCTION("""COMPUTED_VALUE"""),"strain")</f>
        <v>strain</v>
      </c>
      <c r="F3636">
        <f>IFERROR(__xludf.DUMMYFUNCTION("""COMPUTED_VALUE"""),37004.0)</f>
        <v>37004</v>
      </c>
    </row>
    <row r="3637" ht="15.75" customHeight="1">
      <c r="A3637" t="str">
        <f t="shared" si="1"/>
        <v>M.tuberculosis</v>
      </c>
      <c r="B3637" s="5" t="s">
        <v>20588</v>
      </c>
      <c r="C3637" s="6" t="str">
        <f>IFERROR(__xludf.DUMMYFUNCTION("SPLIT('2. c'!B3637, "" "", True, True)"),"Mycobacterium")</f>
        <v>Mycobacterium</v>
      </c>
      <c r="D3637" t="str">
        <f>IFERROR(__xludf.DUMMYFUNCTION("""COMPUTED_VALUE"""),"tuberculosis")</f>
        <v>tuberculosis</v>
      </c>
      <c r="E3637" t="str">
        <f>IFERROR(__xludf.DUMMYFUNCTION("""COMPUTED_VALUE"""),"strain")</f>
        <v>strain</v>
      </c>
      <c r="F3637" t="str">
        <f>IFERROR(__xludf.DUMMYFUNCTION("""COMPUTED_VALUE"""),"6A024XDR")</f>
        <v>6A024XDR</v>
      </c>
    </row>
    <row r="3638" ht="15.75" customHeight="1">
      <c r="A3638" t="str">
        <f t="shared" si="1"/>
        <v>M.tuberculosis</v>
      </c>
      <c r="B3638" s="5" t="s">
        <v>20597</v>
      </c>
      <c r="C3638" s="6" t="str">
        <f>IFERROR(__xludf.DUMMYFUNCTION("SPLIT('2. c'!B3638, "" "", True, True)"),"Mycobacterium")</f>
        <v>Mycobacterium</v>
      </c>
      <c r="D3638" t="str">
        <f>IFERROR(__xludf.DUMMYFUNCTION("""COMPUTED_VALUE"""),"tuberculosis")</f>
        <v>tuberculosis</v>
      </c>
      <c r="E3638" t="str">
        <f>IFERROR(__xludf.DUMMYFUNCTION("""COMPUTED_VALUE"""),"strain")</f>
        <v>strain</v>
      </c>
      <c r="F3638">
        <f>IFERROR(__xludf.DUMMYFUNCTION("""COMPUTED_VALUE"""),96075.0)</f>
        <v>96075</v>
      </c>
    </row>
    <row r="3639" ht="15.75" customHeight="1">
      <c r="A3639" t="str">
        <f t="shared" si="1"/>
        <v>M.tuberculosis</v>
      </c>
      <c r="B3639" s="5" t="s">
        <v>20614</v>
      </c>
      <c r="C3639" s="6" t="str">
        <f>IFERROR(__xludf.DUMMYFUNCTION("SPLIT('2. c'!B3639, "" "", True, True)"),"Mycobacterium")</f>
        <v>Mycobacterium</v>
      </c>
      <c r="D3639" t="str">
        <f>IFERROR(__xludf.DUMMYFUNCTION("""COMPUTED_VALUE"""),"tuberculosis")</f>
        <v>tuberculosis</v>
      </c>
      <c r="E3639" t="str">
        <f>IFERROR(__xludf.DUMMYFUNCTION("""COMPUTED_VALUE"""),"strain")</f>
        <v>strain</v>
      </c>
      <c r="F3639">
        <f>IFERROR(__xludf.DUMMYFUNCTION("""COMPUTED_VALUE"""),96121.0)</f>
        <v>96121</v>
      </c>
    </row>
    <row r="3640" ht="15.75" customHeight="1">
      <c r="A3640" t="str">
        <f t="shared" si="1"/>
        <v>M.tuberculosis</v>
      </c>
      <c r="B3640" s="5" t="s">
        <v>20623</v>
      </c>
      <c r="C3640" s="6" t="str">
        <f>IFERROR(__xludf.DUMMYFUNCTION("SPLIT('2. c'!B3640, "" "", True, True)"),"Mycobacterium")</f>
        <v>Mycobacterium</v>
      </c>
      <c r="D3640" t="str">
        <f>IFERROR(__xludf.DUMMYFUNCTION("""COMPUTED_VALUE"""),"tuberculosis")</f>
        <v>tuberculosis</v>
      </c>
      <c r="E3640" t="str">
        <f>IFERROR(__xludf.DUMMYFUNCTION("""COMPUTED_VALUE"""),"strain")</f>
        <v>strain</v>
      </c>
      <c r="F3640" t="str">
        <f>IFERROR(__xludf.DUMMYFUNCTION("""COMPUTED_VALUE"""),"Beijing-like")</f>
        <v>Beijing-like</v>
      </c>
    </row>
    <row r="3641" ht="15.75" customHeight="1">
      <c r="A3641" t="str">
        <f t="shared" si="1"/>
        <v>M.tuberculosis</v>
      </c>
      <c r="B3641" s="5" t="s">
        <v>20633</v>
      </c>
      <c r="C3641" s="6" t="str">
        <f>IFERROR(__xludf.DUMMYFUNCTION("SPLIT('2. c'!B3641, "" "", True, True)"),"Mycobacterium")</f>
        <v>Mycobacterium</v>
      </c>
      <c r="D3641" t="str">
        <f>IFERROR(__xludf.DUMMYFUNCTION("""COMPUTED_VALUE"""),"tuberculosis")</f>
        <v>tuberculosis</v>
      </c>
      <c r="E3641" t="str">
        <f>IFERROR(__xludf.DUMMYFUNCTION("""COMPUTED_VALUE"""),"strain")</f>
        <v>strain</v>
      </c>
      <c r="F3641" t="str">
        <f>IFERROR(__xludf.DUMMYFUNCTION("""COMPUTED_VALUE"""),"F1")</f>
        <v>F1</v>
      </c>
    </row>
    <row r="3642" ht="15.75" customHeight="1">
      <c r="A3642" t="str">
        <f t="shared" si="1"/>
        <v>M.tuberculosis</v>
      </c>
      <c r="B3642" s="5" t="s">
        <v>20641</v>
      </c>
      <c r="C3642" s="6" t="str">
        <f>IFERROR(__xludf.DUMMYFUNCTION("SPLIT('2. c'!B3642, "" "", True, True)"),"Mycobacterium")</f>
        <v>Mycobacterium</v>
      </c>
      <c r="D3642" t="str">
        <f>IFERROR(__xludf.DUMMYFUNCTION("""COMPUTED_VALUE"""),"tuberculosis")</f>
        <v>tuberculosis</v>
      </c>
      <c r="E3642" t="str">
        <f>IFERROR(__xludf.DUMMYFUNCTION("""COMPUTED_VALUE"""),"strain")</f>
        <v>strain</v>
      </c>
      <c r="F3642" t="str">
        <f>IFERROR(__xludf.DUMMYFUNCTION("""COMPUTED_VALUE"""),"F28")</f>
        <v>F28</v>
      </c>
    </row>
    <row r="3643" ht="15.75" customHeight="1">
      <c r="A3643" t="str">
        <f t="shared" si="1"/>
        <v>M.tuberculosis</v>
      </c>
      <c r="B3643" s="5" t="s">
        <v>20652</v>
      </c>
      <c r="C3643" s="6" t="str">
        <f>IFERROR(__xludf.DUMMYFUNCTION("SPLIT('2. c'!B3643, "" "", True, True)"),"Mycobacterium")</f>
        <v>Mycobacterium</v>
      </c>
      <c r="D3643" t="str">
        <f>IFERROR(__xludf.DUMMYFUNCTION("""COMPUTED_VALUE"""),"tuberculosis")</f>
        <v>tuberculosis</v>
      </c>
      <c r="E3643" t="str">
        <f>IFERROR(__xludf.DUMMYFUNCTION("""COMPUTED_VALUE"""),"strain")</f>
        <v>strain</v>
      </c>
      <c r="F3643" t="str">
        <f>IFERROR(__xludf.DUMMYFUNCTION("""COMPUTED_VALUE"""),"Korean")</f>
        <v>Korean</v>
      </c>
    </row>
    <row r="3644" ht="15.75" customHeight="1">
      <c r="A3644" t="str">
        <f t="shared" si="1"/>
        <v>M.tuberculosis</v>
      </c>
      <c r="B3644" s="5" t="s">
        <v>20661</v>
      </c>
      <c r="C3644" s="6" t="str">
        <f>IFERROR(__xludf.DUMMYFUNCTION("SPLIT('2. c'!B3644, "" "", True, True)"),"Mycobacterium")</f>
        <v>Mycobacterium</v>
      </c>
      <c r="D3644" t="str">
        <f>IFERROR(__xludf.DUMMYFUNCTION("""COMPUTED_VALUE"""),"tuberculosis")</f>
        <v>tuberculosis</v>
      </c>
      <c r="E3644" t="str">
        <f>IFERROR(__xludf.DUMMYFUNCTION("""COMPUTED_VALUE"""),"strain")</f>
        <v>strain</v>
      </c>
      <c r="F3644" t="str">
        <f>IFERROR(__xludf.DUMMYFUNCTION("""COMPUTED_VALUE"""),"PR08")</f>
        <v>PR08</v>
      </c>
    </row>
    <row r="3645" ht="15.75" customHeight="1">
      <c r="A3645" t="str">
        <f t="shared" si="1"/>
        <v>M.tuberculosis</v>
      </c>
      <c r="B3645" s="5" t="s">
        <v>20671</v>
      </c>
      <c r="C3645" s="6" t="str">
        <f>IFERROR(__xludf.DUMMYFUNCTION("SPLIT('2. c'!B3645, "" "", True, True)"),"Mycobacterium")</f>
        <v>Mycobacterium</v>
      </c>
      <c r="D3645" t="str">
        <f>IFERROR(__xludf.DUMMYFUNCTION("""COMPUTED_VALUE"""),"tuberculosis")</f>
        <v>tuberculosis</v>
      </c>
      <c r="E3645" t="str">
        <f>IFERROR(__xludf.DUMMYFUNCTION("""COMPUTED_VALUE"""),"strain")</f>
        <v>strain</v>
      </c>
      <c r="F3645" t="str">
        <f>IFERROR(__xludf.DUMMYFUNCTION("""COMPUTED_VALUE"""),"PR10")</f>
        <v>PR10</v>
      </c>
    </row>
    <row r="3646" ht="15.75" customHeight="1">
      <c r="A3646" t="str">
        <f t="shared" si="1"/>
        <v>M.tuberculosis</v>
      </c>
      <c r="B3646" s="5" t="s">
        <v>20679</v>
      </c>
      <c r="C3646" s="6" t="str">
        <f>IFERROR(__xludf.DUMMYFUNCTION("SPLIT('2. c'!B3646, "" "", True, True)"),"Mycobacterium")</f>
        <v>Mycobacterium</v>
      </c>
      <c r="D3646" t="str">
        <f>IFERROR(__xludf.DUMMYFUNCTION("""COMPUTED_VALUE"""),"tuberculosis")</f>
        <v>tuberculosis</v>
      </c>
      <c r="E3646" t="str">
        <f>IFERROR(__xludf.DUMMYFUNCTION("""COMPUTED_VALUE"""),"strain")</f>
        <v>strain</v>
      </c>
      <c r="F3646" t="str">
        <f>IFERROR(__xludf.DUMMYFUNCTION("""COMPUTED_VALUE"""),"SCAID")</f>
        <v>SCAID</v>
      </c>
      <c r="G3646">
        <f>IFERROR(__xludf.DUMMYFUNCTION("""COMPUTED_VALUE"""),187.0)</f>
        <v>187</v>
      </c>
    </row>
    <row r="3647" ht="15.75" customHeight="1">
      <c r="A3647" t="str">
        <f t="shared" si="1"/>
        <v>M.tuberculosis</v>
      </c>
      <c r="B3647" s="5" t="s">
        <v>20690</v>
      </c>
      <c r="C3647" s="6" t="str">
        <f>IFERROR(__xludf.DUMMYFUNCTION("SPLIT('2. c'!B3647, "" "", True, True)"),"Mycobacterium")</f>
        <v>Mycobacterium</v>
      </c>
      <c r="D3647" t="str">
        <f>IFERROR(__xludf.DUMMYFUNCTION("""COMPUTED_VALUE"""),"tuberculosis")</f>
        <v>tuberculosis</v>
      </c>
      <c r="E3647" t="str">
        <f>IFERROR(__xludf.DUMMYFUNCTION("""COMPUTED_VALUE"""),"strain")</f>
        <v>strain</v>
      </c>
      <c r="F3647" t="str">
        <f>IFERROR(__xludf.DUMMYFUNCTION("""COMPUTED_VALUE"""),"ZMC13-264")</f>
        <v>ZMC13-264</v>
      </c>
    </row>
    <row r="3648" ht="15.75" customHeight="1">
      <c r="A3648" t="str">
        <f t="shared" si="1"/>
        <v>M.tuberculosis</v>
      </c>
      <c r="B3648" s="5" t="s">
        <v>20700</v>
      </c>
      <c r="C3648" s="6" t="str">
        <f>IFERROR(__xludf.DUMMYFUNCTION("SPLIT('2. c'!B3648, "" "", True, True)"),"Mycobacterium")</f>
        <v>Mycobacterium</v>
      </c>
      <c r="D3648" t="str">
        <f>IFERROR(__xludf.DUMMYFUNCTION("""COMPUTED_VALUE"""),"tuberculosis")</f>
        <v>tuberculosis</v>
      </c>
      <c r="E3648" t="str">
        <f>IFERROR(__xludf.DUMMYFUNCTION("""COMPUTED_VALUE"""),"strain")</f>
        <v>strain</v>
      </c>
      <c r="F3648" t="str">
        <f>IFERROR(__xludf.DUMMYFUNCTION("""COMPUTED_VALUE"""),"ZMC13-88")</f>
        <v>ZMC13-88</v>
      </c>
    </row>
    <row r="3649" ht="15.75" customHeight="1">
      <c r="A3649" t="str">
        <f t="shared" si="1"/>
        <v>M.tuberculosis</v>
      </c>
      <c r="B3649" s="5" t="s">
        <v>20709</v>
      </c>
      <c r="C3649" s="6" t="str">
        <f>IFERROR(__xludf.DUMMYFUNCTION("SPLIT('2. c'!B3649, "" "", True, True)"),"Mycobacterium")</f>
        <v>Mycobacterium</v>
      </c>
      <c r="D3649" t="str">
        <f>IFERROR(__xludf.DUMMYFUNCTION("""COMPUTED_VALUE"""),"tuberculosis")</f>
        <v>tuberculosis</v>
      </c>
      <c r="E3649" t="str">
        <f>IFERROR(__xludf.DUMMYFUNCTION("""COMPUTED_VALUE"""),"TKK_02_0049")</f>
        <v>TKK_02_0049</v>
      </c>
    </row>
    <row r="3650" ht="15.75" customHeight="1">
      <c r="A3650" t="str">
        <f t="shared" si="1"/>
        <v>M.tuberculosis</v>
      </c>
      <c r="B3650" s="5" t="s">
        <v>20717</v>
      </c>
      <c r="C3650" s="6" t="str">
        <f>IFERROR(__xludf.DUMMYFUNCTION("SPLIT('2. c'!B3650, "" "", True, True)"),"Mycobacterium")</f>
        <v>Mycobacterium</v>
      </c>
      <c r="D3650" t="str">
        <f>IFERROR(__xludf.DUMMYFUNCTION("""COMPUTED_VALUE"""),"tuberculosis")</f>
        <v>tuberculosis</v>
      </c>
      <c r="E3650" t="str">
        <f>IFERROR(__xludf.DUMMYFUNCTION("""COMPUTED_VALUE"""),"UT205")</f>
        <v>UT205</v>
      </c>
    </row>
    <row r="3651" ht="15.75" customHeight="1">
      <c r="A3651" t="str">
        <f t="shared" si="1"/>
        <v>M.ulcerans</v>
      </c>
      <c r="B3651" s="5" t="s">
        <v>20725</v>
      </c>
      <c r="C3651" s="6" t="str">
        <f>IFERROR(__xludf.DUMMYFUNCTION("SPLIT('2. c'!B3651, "" "", True, True)"),"Mycobacterium")</f>
        <v>Mycobacterium</v>
      </c>
      <c r="D3651" t="str">
        <f>IFERROR(__xludf.DUMMYFUNCTION("""COMPUTED_VALUE"""),"ulcerans")</f>
        <v>ulcerans</v>
      </c>
      <c r="E3651" t="str">
        <f>IFERROR(__xludf.DUMMYFUNCTION("""COMPUTED_VALUE"""),"Agy99")</f>
        <v>Agy99</v>
      </c>
    </row>
    <row r="3652" ht="15.75" customHeight="1">
      <c r="A3652" t="str">
        <f t="shared" si="1"/>
        <v>M.vaccae</v>
      </c>
      <c r="B3652" s="5" t="s">
        <v>20730</v>
      </c>
      <c r="C3652" s="6" t="str">
        <f>IFERROR(__xludf.DUMMYFUNCTION("SPLIT('2. c'!B3652, "" "", True, True)"),"Mycobacterium")</f>
        <v>Mycobacterium</v>
      </c>
      <c r="D3652" t="str">
        <f>IFERROR(__xludf.DUMMYFUNCTION("""COMPUTED_VALUE"""),"vaccae")</f>
        <v>vaccae</v>
      </c>
      <c r="E3652">
        <f>IFERROR(__xludf.DUMMYFUNCTION("""COMPUTED_VALUE"""),95051.0)</f>
        <v>95051</v>
      </c>
    </row>
    <row r="3653" ht="15.75" customHeight="1">
      <c r="A3653" t="str">
        <f t="shared" si="1"/>
        <v>M.vanbaalenii</v>
      </c>
      <c r="B3653" s="5" t="s">
        <v>20739</v>
      </c>
      <c r="C3653" s="6" t="str">
        <f>IFERROR(__xludf.DUMMYFUNCTION("SPLIT('2. c'!B3653, "" "", True, True)"),"Mycobacterium")</f>
        <v>Mycobacterium</v>
      </c>
      <c r="D3653" t="str">
        <f>IFERROR(__xludf.DUMMYFUNCTION("""COMPUTED_VALUE"""),"vanbaalenii")</f>
        <v>vanbaalenii</v>
      </c>
      <c r="E3653" t="str">
        <f>IFERROR(__xludf.DUMMYFUNCTION("""COMPUTED_VALUE"""),"PYR-1")</f>
        <v>PYR-1</v>
      </c>
    </row>
    <row r="3654" ht="15.75" customHeight="1">
      <c r="A3654" t="str">
        <f t="shared" si="1"/>
        <v>M.yongonense</v>
      </c>
      <c r="B3654" s="5" t="s">
        <v>20747</v>
      </c>
      <c r="C3654" s="6" t="str">
        <f>IFERROR(__xludf.DUMMYFUNCTION("SPLIT('2. c'!B3654, "" "", True, True)"),"Mycobacterium")</f>
        <v>Mycobacterium</v>
      </c>
      <c r="D3654" t="str">
        <f>IFERROR(__xludf.DUMMYFUNCTION("""COMPUTED_VALUE"""),"yongonense")</f>
        <v>yongonense</v>
      </c>
      <c r="E3654" s="37">
        <f>IFERROR(__xludf.DUMMYFUNCTION("""COMPUTED_VALUE"""),-186151.0)</f>
        <v>-186151</v>
      </c>
    </row>
    <row r="3655" ht="15.75" customHeight="1">
      <c r="A3655" t="str">
        <f t="shared" si="1"/>
        <v>M.agalactiae</v>
      </c>
      <c r="B3655" s="5" t="s">
        <v>20757</v>
      </c>
      <c r="C3655" s="6" t="str">
        <f>IFERROR(__xludf.DUMMYFUNCTION("SPLIT('2. c'!B3655, "" "", True, True)"),"Mycoplasma")</f>
        <v>Mycoplasma</v>
      </c>
      <c r="D3655" t="str">
        <f>IFERROR(__xludf.DUMMYFUNCTION("""COMPUTED_VALUE"""),"agalactiae")</f>
        <v>agalactiae</v>
      </c>
      <c r="E3655" t="str">
        <f>IFERROR(__xludf.DUMMYFUNCTION("""COMPUTED_VALUE"""),"PG2")</f>
        <v>PG2</v>
      </c>
    </row>
    <row r="3656" ht="15.75" customHeight="1">
      <c r="A3656" t="str">
        <f t="shared" si="1"/>
        <v>M.agalactiae</v>
      </c>
      <c r="B3656" s="5" t="s">
        <v>20765</v>
      </c>
      <c r="C3656" s="6" t="str">
        <f>IFERROR(__xludf.DUMMYFUNCTION("SPLIT('2. c'!B3656, "" "", True, True)"),"Mycoplasma")</f>
        <v>Mycoplasma</v>
      </c>
      <c r="D3656" t="str">
        <f>IFERROR(__xludf.DUMMYFUNCTION("""COMPUTED_VALUE"""),"agalactiae")</f>
        <v>agalactiae</v>
      </c>
      <c r="E3656" t="str">
        <f>IFERROR(__xludf.DUMMYFUNCTION("""COMPUTED_VALUE"""),"strain")</f>
        <v>strain</v>
      </c>
      <c r="F3656">
        <f>IFERROR(__xludf.DUMMYFUNCTION("""COMPUTED_VALUE"""),5632.0)</f>
        <v>5632</v>
      </c>
    </row>
    <row r="3657" ht="15.75" customHeight="1">
      <c r="A3657" t="str">
        <f t="shared" si="1"/>
        <v>M.arginini</v>
      </c>
      <c r="B3657" s="5" t="s">
        <v>20776</v>
      </c>
      <c r="C3657" s="6" t="str">
        <f>IFERROR(__xludf.DUMMYFUNCTION("SPLIT('2. c'!B3657, "" "", True, True)"),"Mycoplasma")</f>
        <v>Mycoplasma</v>
      </c>
      <c r="D3657" t="str">
        <f>IFERROR(__xludf.DUMMYFUNCTION("""COMPUTED_VALUE"""),"arginini")</f>
        <v>arginini</v>
      </c>
      <c r="E3657" t="str">
        <f>IFERROR(__xludf.DUMMYFUNCTION("""COMPUTED_VALUE"""),"strain")</f>
        <v>strain</v>
      </c>
      <c r="F3657" t="str">
        <f>IFERROR(__xludf.DUMMYFUNCTION("""COMPUTED_VALUE"""),"HAZ145_1")</f>
        <v>HAZ145_1</v>
      </c>
    </row>
    <row r="3658" ht="15.75" customHeight="1">
      <c r="A3658" t="str">
        <f t="shared" si="1"/>
        <v>M.arthritidis</v>
      </c>
      <c r="B3658" s="5" t="s">
        <v>20785</v>
      </c>
      <c r="C3658" s="6" t="str">
        <f>IFERROR(__xludf.DUMMYFUNCTION("SPLIT('2. c'!B3658, "" "", True, True)"),"Mycoplasma")</f>
        <v>Mycoplasma</v>
      </c>
      <c r="D3658" t="str">
        <f>IFERROR(__xludf.DUMMYFUNCTION("""COMPUTED_VALUE"""),"arthritidis")</f>
        <v>arthritidis</v>
      </c>
      <c r="E3658" t="str">
        <f>IFERROR(__xludf.DUMMYFUNCTION("""COMPUTED_VALUE"""),"158L3-1")</f>
        <v>158L3-1</v>
      </c>
    </row>
    <row r="3659" ht="15.75" customHeight="1">
      <c r="A3659" t="str">
        <f t="shared" si="1"/>
        <v>M.bovis</v>
      </c>
      <c r="B3659" s="5" t="s">
        <v>20793</v>
      </c>
      <c r="C3659" s="6" t="str">
        <f>IFERROR(__xludf.DUMMYFUNCTION("SPLIT('2. c'!B3659, "" "", True, True)"),"Mycoplasma")</f>
        <v>Mycoplasma</v>
      </c>
      <c r="D3659" t="str">
        <f>IFERROR(__xludf.DUMMYFUNCTION("""COMPUTED_VALUE"""),"bovis")</f>
        <v>bovis</v>
      </c>
      <c r="E3659" t="str">
        <f>IFERROR(__xludf.DUMMYFUNCTION("""COMPUTED_VALUE"""),"CQ-W70")</f>
        <v>CQ-W70</v>
      </c>
    </row>
    <row r="3660" ht="15.75" customHeight="1">
      <c r="A3660" t="str">
        <f t="shared" si="1"/>
        <v>M.bovis</v>
      </c>
      <c r="B3660" s="5" t="s">
        <v>20800</v>
      </c>
      <c r="C3660" s="6" t="str">
        <f>IFERROR(__xludf.DUMMYFUNCTION("SPLIT('2. c'!B3660, "" "", True, True)"),"Mycoplasma")</f>
        <v>Mycoplasma</v>
      </c>
      <c r="D3660" t="str">
        <f>IFERROR(__xludf.DUMMYFUNCTION("""COMPUTED_VALUE"""),"bovis")</f>
        <v>bovis</v>
      </c>
      <c r="E3660" t="str">
        <f>IFERROR(__xludf.DUMMYFUNCTION("""COMPUTED_VALUE"""),"HB0801")</f>
        <v>HB0801</v>
      </c>
    </row>
    <row r="3661" ht="15.75" customHeight="1">
      <c r="A3661" t="str">
        <f t="shared" si="1"/>
        <v>M.bovis</v>
      </c>
      <c r="B3661" s="5" t="s">
        <v>20808</v>
      </c>
      <c r="C3661" s="6" t="str">
        <f>IFERROR(__xludf.DUMMYFUNCTION("SPLIT('2. c'!B3661, "" "", True, True)"),"Mycoplasma")</f>
        <v>Mycoplasma</v>
      </c>
      <c r="D3661" t="str">
        <f>IFERROR(__xludf.DUMMYFUNCTION("""COMPUTED_VALUE"""),"bovis")</f>
        <v>bovis</v>
      </c>
      <c r="E3661" t="str">
        <f>IFERROR(__xludf.DUMMYFUNCTION("""COMPUTED_VALUE"""),"Hubei-1")</f>
        <v>Hubei-1</v>
      </c>
    </row>
    <row r="3662" ht="15.75" customHeight="1">
      <c r="A3662" t="str">
        <f t="shared" si="1"/>
        <v>M.bovis</v>
      </c>
      <c r="B3662" s="5" t="s">
        <v>20816</v>
      </c>
      <c r="C3662" s="6" t="str">
        <f>IFERROR(__xludf.DUMMYFUNCTION("SPLIT('2. c'!B3662, "" "", True, True)"),"Mycoplasma")</f>
        <v>Mycoplasma</v>
      </c>
      <c r="D3662" t="str">
        <f>IFERROR(__xludf.DUMMYFUNCTION("""COMPUTED_VALUE"""),"bovis")</f>
        <v>bovis</v>
      </c>
      <c r="E3662" t="str">
        <f>IFERROR(__xludf.DUMMYFUNCTION("""COMPUTED_VALUE"""),"PG45")</f>
        <v>PG45</v>
      </c>
    </row>
    <row r="3663" ht="15.75" customHeight="1">
      <c r="A3663" t="str">
        <f t="shared" si="1"/>
        <v>M.bovis</v>
      </c>
      <c r="B3663" s="5" t="s">
        <v>20823</v>
      </c>
      <c r="C3663" s="6" t="str">
        <f>IFERROR(__xludf.DUMMYFUNCTION("SPLIT('2. c'!B3663, "" "", True, True)"),"Mycoplasma")</f>
        <v>Mycoplasma</v>
      </c>
      <c r="D3663" t="str">
        <f>IFERROR(__xludf.DUMMYFUNCTION("""COMPUTED_VALUE"""),"bovis")</f>
        <v>bovis</v>
      </c>
      <c r="E3663" t="str">
        <f>IFERROR(__xludf.DUMMYFUNCTION("""COMPUTED_VALUE"""),"strain")</f>
        <v>strain</v>
      </c>
      <c r="F3663" t="str">
        <f>IFERROR(__xludf.DUMMYFUNCTION("""COMPUTED_VALUE"""),"HB0801-P115")</f>
        <v>HB0801-P115</v>
      </c>
    </row>
    <row r="3664" ht="15.75" customHeight="1">
      <c r="A3664" t="str">
        <f t="shared" si="1"/>
        <v>M.bovis</v>
      </c>
      <c r="B3664" s="5" t="s">
        <v>20832</v>
      </c>
      <c r="C3664" s="6" t="str">
        <f>IFERROR(__xludf.DUMMYFUNCTION("SPLIT('2. c'!B3664, "" "", True, True)"),"Mycoplasma")</f>
        <v>Mycoplasma</v>
      </c>
      <c r="D3664" t="str">
        <f>IFERROR(__xludf.DUMMYFUNCTION("""COMPUTED_VALUE"""),"bovis")</f>
        <v>bovis</v>
      </c>
      <c r="E3664" t="str">
        <f>IFERROR(__xludf.DUMMYFUNCTION("""COMPUTED_VALUE"""),"strain")</f>
        <v>strain</v>
      </c>
      <c r="F3664" t="str">
        <f>IFERROR(__xludf.DUMMYFUNCTION("""COMPUTED_VALUE"""),"HB0801-P150")</f>
        <v>HB0801-P150</v>
      </c>
    </row>
    <row r="3665" ht="15.75" customHeight="1">
      <c r="A3665" t="str">
        <f t="shared" si="1"/>
        <v>M.bovis</v>
      </c>
      <c r="B3665" s="5" t="s">
        <v>20842</v>
      </c>
      <c r="C3665" s="6" t="str">
        <f>IFERROR(__xludf.DUMMYFUNCTION("SPLIT('2. c'!B3665, "" "", True, True)"),"Mycoplasma")</f>
        <v>Mycoplasma</v>
      </c>
      <c r="D3665" t="str">
        <f>IFERROR(__xludf.DUMMYFUNCTION("""COMPUTED_VALUE"""),"bovis")</f>
        <v>bovis</v>
      </c>
      <c r="E3665" t="str">
        <f>IFERROR(__xludf.DUMMYFUNCTION("""COMPUTED_VALUE"""),"strain")</f>
        <v>strain</v>
      </c>
      <c r="F3665" t="str">
        <f>IFERROR(__xludf.DUMMYFUNCTION("""COMPUTED_VALUE"""),"HB0801-P180")</f>
        <v>HB0801-P180</v>
      </c>
    </row>
    <row r="3666" ht="15.75" customHeight="1">
      <c r="A3666" t="str">
        <f t="shared" si="1"/>
        <v>M.bovis</v>
      </c>
      <c r="B3666" s="5" t="s">
        <v>20848</v>
      </c>
      <c r="C3666" s="6" t="str">
        <f>IFERROR(__xludf.DUMMYFUNCTION("SPLIT('2. c'!B3666, "" "", True, True)"),"Mycoplasma")</f>
        <v>Mycoplasma</v>
      </c>
      <c r="D3666" t="str">
        <f>IFERROR(__xludf.DUMMYFUNCTION("""COMPUTED_VALUE"""),"bovis")</f>
        <v>bovis</v>
      </c>
      <c r="E3666" t="str">
        <f>IFERROR(__xludf.DUMMYFUNCTION("""COMPUTED_VALUE"""),"strain")</f>
        <v>strain</v>
      </c>
      <c r="F3666" t="str">
        <f>IFERROR(__xludf.DUMMYFUNCTION("""COMPUTED_VALUE"""),"NM")</f>
        <v>NM</v>
      </c>
      <c r="G3666">
        <f>IFERROR(__xludf.DUMMYFUNCTION("""COMPUTED_VALUE"""),2012.0)</f>
        <v>2012</v>
      </c>
    </row>
    <row r="3667" ht="15.75" customHeight="1">
      <c r="A3667" t="str">
        <f t="shared" si="1"/>
        <v>M.bovoculi</v>
      </c>
      <c r="B3667" s="5" t="s">
        <v>20858</v>
      </c>
      <c r="C3667" s="6" t="str">
        <f>IFERROR(__xludf.DUMMYFUNCTION("SPLIT('2. c'!B3667, "" "", True, True)"),"Mycoplasma")</f>
        <v>Mycoplasma</v>
      </c>
      <c r="D3667" t="str">
        <f>IFERROR(__xludf.DUMMYFUNCTION("""COMPUTED_VALUE"""),"bovoculi")</f>
        <v>bovoculi</v>
      </c>
      <c r="E3667" t="str">
        <f>IFERROR(__xludf.DUMMYFUNCTION("""COMPUTED_VALUE"""),"M165/69")</f>
        <v>M165/69</v>
      </c>
    </row>
    <row r="3668" ht="15.75" customHeight="1">
      <c r="A3668" t="str">
        <f t="shared" si="1"/>
        <v>M.californicum</v>
      </c>
      <c r="B3668" s="5" t="s">
        <v>20866</v>
      </c>
      <c r="C3668" s="6" t="str">
        <f>IFERROR(__xludf.DUMMYFUNCTION("SPLIT('2. c'!B3668, "" "", True, True)"),"Mycoplasma")</f>
        <v>Mycoplasma</v>
      </c>
      <c r="D3668" t="str">
        <f>IFERROR(__xludf.DUMMYFUNCTION("""COMPUTED_VALUE"""),"californicum")</f>
        <v>californicum</v>
      </c>
      <c r="E3668" t="str">
        <f>IFERROR(__xludf.DUMMYFUNCTION("""COMPUTED_VALUE"""),"HAZ160_1")</f>
        <v>HAZ160_1</v>
      </c>
    </row>
    <row r="3669" ht="15.75" customHeight="1">
      <c r="A3669" t="str">
        <f t="shared" si="1"/>
        <v>M.californicum</v>
      </c>
      <c r="B3669" s="5" t="s">
        <v>20872</v>
      </c>
      <c r="C3669" s="6" t="str">
        <f>IFERROR(__xludf.DUMMYFUNCTION("SPLIT('2. c'!B3669, "" "", True, True)"),"Mycoplasma")</f>
        <v>Mycoplasma</v>
      </c>
      <c r="D3669" t="str">
        <f>IFERROR(__xludf.DUMMYFUNCTION("""COMPUTED_VALUE"""),"californicum")</f>
        <v>californicum</v>
      </c>
      <c r="E3669" t="str">
        <f>IFERROR(__xludf.DUMMYFUNCTION("""COMPUTED_VALUE"""),"strain")</f>
        <v>strain</v>
      </c>
      <c r="F3669" t="str">
        <f>IFERROR(__xludf.DUMMYFUNCTION("""COMPUTED_VALUE"""),"ST-6")</f>
        <v>ST-6</v>
      </c>
    </row>
    <row r="3670" ht="15.75" customHeight="1">
      <c r="A3670" t="str">
        <f t="shared" si="1"/>
        <v>M.canadense</v>
      </c>
      <c r="B3670" s="5" t="s">
        <v>20880</v>
      </c>
      <c r="C3670" s="6" t="str">
        <f>IFERROR(__xludf.DUMMYFUNCTION("SPLIT('2. c'!B3670, "" "", True, True)"),"Mycoplasma")</f>
        <v>Mycoplasma</v>
      </c>
      <c r="D3670" t="str">
        <f>IFERROR(__xludf.DUMMYFUNCTION("""COMPUTED_VALUE"""),"canadense")</f>
        <v>canadense</v>
      </c>
      <c r="E3670" t="str">
        <f>IFERROR(__xludf.DUMMYFUNCTION("""COMPUTED_VALUE"""),"HAZ360_1")</f>
        <v>HAZ360_1</v>
      </c>
    </row>
    <row r="3671" ht="15.75" customHeight="1">
      <c r="A3671" t="str">
        <f t="shared" si="1"/>
        <v>M.canis</v>
      </c>
      <c r="B3671" s="5" t="s">
        <v>20891</v>
      </c>
      <c r="C3671" s="6" t="str">
        <f>IFERROR(__xludf.DUMMYFUNCTION("SPLIT('2. c'!B3671, "" "", True, True)"),"Mycoplasma")</f>
        <v>Mycoplasma</v>
      </c>
      <c r="D3671" t="str">
        <f>IFERROR(__xludf.DUMMYFUNCTION("""COMPUTED_VALUE"""),"canis")</f>
        <v>canis</v>
      </c>
      <c r="E3671" t="str">
        <f>IFERROR(__xludf.DUMMYFUNCTION("""COMPUTED_VALUE"""),"strain")</f>
        <v>strain</v>
      </c>
      <c r="F3671" t="str">
        <f>IFERROR(__xludf.DUMMYFUNCTION("""COMPUTED_VALUE"""),"LV")</f>
        <v>LV</v>
      </c>
    </row>
    <row r="3672" ht="15.75" customHeight="1">
      <c r="A3672" t="str">
        <f t="shared" si="1"/>
        <v>M.capricolum</v>
      </c>
      <c r="B3672" s="5" t="s">
        <v>20900</v>
      </c>
      <c r="C3672" s="6" t="str">
        <f>IFERROR(__xludf.DUMMYFUNCTION("SPLIT('2. c'!B3672, "" "", True, True)"),"Mycoplasma")</f>
        <v>Mycoplasma</v>
      </c>
      <c r="D3672" t="str">
        <f>IFERROR(__xludf.DUMMYFUNCTION("""COMPUTED_VALUE"""),"capricolum")</f>
        <v>capricolum</v>
      </c>
      <c r="E3672" t="str">
        <f>IFERROR(__xludf.DUMMYFUNCTION("""COMPUTED_VALUE"""),"subsp.")</f>
        <v>subsp.</v>
      </c>
      <c r="F3672" t="str">
        <f>IFERROR(__xludf.DUMMYFUNCTION("""COMPUTED_VALUE"""),"capricolum")</f>
        <v>capricolum</v>
      </c>
      <c r="G3672" t="str">
        <f>IFERROR(__xludf.DUMMYFUNCTION("""COMPUTED_VALUE"""),"ATCC")</f>
        <v>ATCC</v>
      </c>
      <c r="H3672">
        <f>IFERROR(__xludf.DUMMYFUNCTION("""COMPUTED_VALUE"""),27343.0)</f>
        <v>27343</v>
      </c>
    </row>
    <row r="3673" ht="15.75" customHeight="1">
      <c r="A3673" t="str">
        <f t="shared" si="1"/>
        <v>M.capricolum</v>
      </c>
      <c r="B3673" s="5" t="s">
        <v>20911</v>
      </c>
      <c r="C3673" s="6" t="str">
        <f>IFERROR(__xludf.DUMMYFUNCTION("SPLIT('2. c'!B3673, "" "", True, True)"),"Mycoplasma")</f>
        <v>Mycoplasma</v>
      </c>
      <c r="D3673" t="str">
        <f>IFERROR(__xludf.DUMMYFUNCTION("""COMPUTED_VALUE"""),"capricolum")</f>
        <v>capricolum</v>
      </c>
      <c r="E3673" t="str">
        <f>IFERROR(__xludf.DUMMYFUNCTION("""COMPUTED_VALUE"""),"subsp.")</f>
        <v>subsp.</v>
      </c>
      <c r="F3673" t="str">
        <f>IFERROR(__xludf.DUMMYFUNCTION("""COMPUTED_VALUE"""),"capripneumoniae")</f>
        <v>capripneumoniae</v>
      </c>
      <c r="G3673">
        <f>IFERROR(__xludf.DUMMYFUNCTION("""COMPUTED_VALUE"""),87001.0)</f>
        <v>87001</v>
      </c>
    </row>
    <row r="3674" ht="15.75" customHeight="1">
      <c r="A3674" t="str">
        <f t="shared" si="1"/>
        <v>M.capricolum</v>
      </c>
      <c r="B3674" s="5" t="s">
        <v>20919</v>
      </c>
      <c r="C3674" s="6" t="str">
        <f>IFERROR(__xludf.DUMMYFUNCTION("SPLIT('2. c'!B3674, "" "", True, True)"),"Mycoplasma")</f>
        <v>Mycoplasma</v>
      </c>
      <c r="D3674" t="str">
        <f>IFERROR(__xludf.DUMMYFUNCTION("""COMPUTED_VALUE"""),"capricolum")</f>
        <v>capricolum</v>
      </c>
      <c r="E3674" t="str">
        <f>IFERROR(__xludf.DUMMYFUNCTION("""COMPUTED_VALUE"""),"subsp.")</f>
        <v>subsp.</v>
      </c>
      <c r="F3674" t="str">
        <f>IFERROR(__xludf.DUMMYFUNCTION("""COMPUTED_VALUE"""),"capripneumoniae")</f>
        <v>capripneumoniae</v>
      </c>
      <c r="G3674" t="str">
        <f>IFERROR(__xludf.DUMMYFUNCTION("""COMPUTED_VALUE"""),"strain")</f>
        <v>strain</v>
      </c>
      <c r="H3674" t="str">
        <f>IFERROR(__xludf.DUMMYFUNCTION("""COMPUTED_VALUE"""),"9231-Abomsa")</f>
        <v>9231-Abomsa</v>
      </c>
    </row>
    <row r="3675" ht="15.75" customHeight="1">
      <c r="A3675" t="str">
        <f t="shared" si="1"/>
        <v>M.capricolum</v>
      </c>
      <c r="B3675" s="5" t="s">
        <v>20929</v>
      </c>
      <c r="C3675" s="6" t="str">
        <f>IFERROR(__xludf.DUMMYFUNCTION("SPLIT('2. c'!B3675, "" "", True, True)"),"Mycoplasma")</f>
        <v>Mycoplasma</v>
      </c>
      <c r="D3675" t="str">
        <f>IFERROR(__xludf.DUMMYFUNCTION("""COMPUTED_VALUE"""),"capricolum")</f>
        <v>capricolum</v>
      </c>
      <c r="E3675" t="str">
        <f>IFERROR(__xludf.DUMMYFUNCTION("""COMPUTED_VALUE"""),"subsp.")</f>
        <v>subsp.</v>
      </c>
      <c r="F3675" t="str">
        <f>IFERROR(__xludf.DUMMYFUNCTION("""COMPUTED_VALUE"""),"capripneumoniae")</f>
        <v>capripneumoniae</v>
      </c>
      <c r="G3675" t="str">
        <f>IFERROR(__xludf.DUMMYFUNCTION("""COMPUTED_VALUE"""),"strain")</f>
        <v>strain</v>
      </c>
      <c r="H3675" t="str">
        <f>IFERROR(__xludf.DUMMYFUNCTION("""COMPUTED_VALUE"""),"F38")</f>
        <v>F38</v>
      </c>
    </row>
    <row r="3676" ht="15.75" customHeight="1">
      <c r="A3676" t="str">
        <f t="shared" si="1"/>
        <v>M.capricolum</v>
      </c>
      <c r="B3676" s="5" t="s">
        <v>20936</v>
      </c>
      <c r="C3676" s="6" t="str">
        <f>IFERROR(__xludf.DUMMYFUNCTION("SPLIT('2. c'!B3676, "" "", True, True)"),"Mycoplasma")</f>
        <v>Mycoplasma</v>
      </c>
      <c r="D3676" t="str">
        <f>IFERROR(__xludf.DUMMYFUNCTION("""COMPUTED_VALUE"""),"capricolum")</f>
        <v>capricolum</v>
      </c>
      <c r="E3676" t="str">
        <f>IFERROR(__xludf.DUMMYFUNCTION("""COMPUTED_VALUE"""),"subsp.")</f>
        <v>subsp.</v>
      </c>
      <c r="F3676" t="str">
        <f>IFERROR(__xludf.DUMMYFUNCTION("""COMPUTED_VALUE"""),"capripneumoniae")</f>
        <v>capripneumoniae</v>
      </c>
      <c r="G3676" t="str">
        <f>IFERROR(__xludf.DUMMYFUNCTION("""COMPUTED_VALUE"""),"strain")</f>
        <v>strain</v>
      </c>
      <c r="H3676" t="str">
        <f>IFERROR(__xludf.DUMMYFUNCTION("""COMPUTED_VALUE"""),"ILRI181")</f>
        <v>ILRI181</v>
      </c>
    </row>
    <row r="3677" ht="15.75" customHeight="1">
      <c r="A3677" t="str">
        <f t="shared" si="1"/>
        <v>M.conjunctivae</v>
      </c>
      <c r="B3677" s="5" t="s">
        <v>20944</v>
      </c>
      <c r="C3677" s="6" t="str">
        <f>IFERROR(__xludf.DUMMYFUNCTION("SPLIT('2. c'!B3677, "" "", True, True)"),"Mycoplasma")</f>
        <v>Mycoplasma</v>
      </c>
      <c r="D3677" t="str">
        <f>IFERROR(__xludf.DUMMYFUNCTION("""COMPUTED_VALUE"""),"conjunctivae")</f>
        <v>conjunctivae</v>
      </c>
      <c r="E3677" t="str">
        <f>IFERROR(__xludf.DUMMYFUNCTION("""COMPUTED_VALUE"""),"strain")</f>
        <v>strain</v>
      </c>
      <c r="F3677" t="str">
        <f>IFERROR(__xludf.DUMMYFUNCTION("""COMPUTED_VALUE"""),"HRC/581")</f>
        <v>HRC/581</v>
      </c>
    </row>
    <row r="3678" ht="15.75" customHeight="1">
      <c r="A3678" t="str">
        <f t="shared" si="1"/>
        <v>M.crocodyli</v>
      </c>
      <c r="B3678" s="5" t="s">
        <v>20953</v>
      </c>
      <c r="C3678" s="6" t="str">
        <f>IFERROR(__xludf.DUMMYFUNCTION("SPLIT('2. c'!B3678, "" "", True, True)"),"Mycoplasma")</f>
        <v>Mycoplasma</v>
      </c>
      <c r="D3678" t="str">
        <f>IFERROR(__xludf.DUMMYFUNCTION("""COMPUTED_VALUE"""),"crocodyli")</f>
        <v>crocodyli</v>
      </c>
      <c r="E3678" t="str">
        <f>IFERROR(__xludf.DUMMYFUNCTION("""COMPUTED_VALUE"""),"MP145")</f>
        <v>MP145</v>
      </c>
    </row>
    <row r="3679" ht="15.75" customHeight="1">
      <c r="A3679" t="str">
        <f t="shared" si="1"/>
        <v>M.cynos</v>
      </c>
      <c r="B3679" s="5" t="s">
        <v>20961</v>
      </c>
      <c r="C3679" s="6" t="str">
        <f>IFERROR(__xludf.DUMMYFUNCTION("SPLIT('2. c'!B3679, "" "", True, True)"),"Mycoplasma")</f>
        <v>Mycoplasma</v>
      </c>
      <c r="D3679" t="str">
        <f>IFERROR(__xludf.DUMMYFUNCTION("""COMPUTED_VALUE"""),"cynos")</f>
        <v>cynos</v>
      </c>
      <c r="E3679" t="str">
        <f>IFERROR(__xludf.DUMMYFUNCTION("""COMPUTED_VALUE"""),"C142")</f>
        <v>C142</v>
      </c>
    </row>
    <row r="3680" ht="15.75" customHeight="1">
      <c r="A3680" t="str">
        <f t="shared" si="1"/>
        <v>M.dispar</v>
      </c>
      <c r="B3680" s="5" t="s">
        <v>20968</v>
      </c>
      <c r="C3680" s="6" t="str">
        <f>IFERROR(__xludf.DUMMYFUNCTION("SPLIT('2. c'!B3680, "" "", True, True)"),"Mycoplasma")</f>
        <v>Mycoplasma</v>
      </c>
      <c r="D3680" t="str">
        <f>IFERROR(__xludf.DUMMYFUNCTION("""COMPUTED_VALUE"""),"dispar")</f>
        <v>dispar</v>
      </c>
      <c r="E3680" t="str">
        <f>IFERROR(__xludf.DUMMYFUNCTION("""COMPUTED_VALUE"""),"strain")</f>
        <v>strain</v>
      </c>
      <c r="F3680" t="str">
        <f>IFERROR(__xludf.DUMMYFUNCTION("""COMPUTED_VALUE"""),"ATCC")</f>
        <v>ATCC</v>
      </c>
      <c r="G3680">
        <f>IFERROR(__xludf.DUMMYFUNCTION("""COMPUTED_VALUE"""),27140.0)</f>
        <v>27140</v>
      </c>
    </row>
    <row r="3681" ht="15.75" customHeight="1">
      <c r="A3681" t="str">
        <f t="shared" si="1"/>
        <v>M.fermentans</v>
      </c>
      <c r="B3681" s="5" t="s">
        <v>20978</v>
      </c>
      <c r="C3681" s="6" t="str">
        <f>IFERROR(__xludf.DUMMYFUNCTION("SPLIT('2. c'!B3681, "" "", True, True)"),"Mycoplasma")</f>
        <v>Mycoplasma</v>
      </c>
      <c r="D3681" t="str">
        <f>IFERROR(__xludf.DUMMYFUNCTION("""COMPUTED_VALUE"""),"fermentans")</f>
        <v>fermentans</v>
      </c>
      <c r="E3681" t="str">
        <f>IFERROR(__xludf.DUMMYFUNCTION("""COMPUTED_VALUE"""),"JER")</f>
        <v>JER</v>
      </c>
    </row>
    <row r="3682" ht="15.75" customHeight="1">
      <c r="A3682" t="str">
        <f t="shared" si="1"/>
        <v>M.fermentans</v>
      </c>
      <c r="B3682" s="5" t="s">
        <v>20986</v>
      </c>
      <c r="C3682" s="6" t="str">
        <f>IFERROR(__xludf.DUMMYFUNCTION("SPLIT('2. c'!B3682, "" "", True, True)"),"Mycoplasma")</f>
        <v>Mycoplasma</v>
      </c>
      <c r="D3682" t="str">
        <f>IFERROR(__xludf.DUMMYFUNCTION("""COMPUTED_VALUE"""),"fermentans")</f>
        <v>fermentans</v>
      </c>
      <c r="E3682" t="str">
        <f>IFERROR(__xludf.DUMMYFUNCTION("""COMPUTED_VALUE"""),"M64")</f>
        <v>M64</v>
      </c>
    </row>
    <row r="3683" ht="15.75" customHeight="1">
      <c r="A3683" t="str">
        <f t="shared" si="1"/>
        <v>M.fermentans</v>
      </c>
      <c r="B3683" s="5" t="s">
        <v>20995</v>
      </c>
      <c r="C3683" s="6" t="str">
        <f>IFERROR(__xludf.DUMMYFUNCTION("SPLIT('2. c'!B3683, "" "", True, True)"),"Mycoplasma")</f>
        <v>Mycoplasma</v>
      </c>
      <c r="D3683" t="str">
        <f>IFERROR(__xludf.DUMMYFUNCTION("""COMPUTED_VALUE"""),"fermentans")</f>
        <v>fermentans</v>
      </c>
      <c r="E3683" t="str">
        <f>IFERROR(__xludf.DUMMYFUNCTION("""COMPUTED_VALUE"""),"PG18")</f>
        <v>PG18</v>
      </c>
    </row>
    <row r="3684" ht="15.75" customHeight="1">
      <c r="A3684" t="str">
        <f t="shared" si="1"/>
        <v>M.flocculare</v>
      </c>
      <c r="B3684" s="5" t="s">
        <v>21003</v>
      </c>
      <c r="C3684" s="6" t="str">
        <f>IFERROR(__xludf.DUMMYFUNCTION("SPLIT('2. c'!B3684, "" "", True, True)"),"Mycoplasma")</f>
        <v>Mycoplasma</v>
      </c>
      <c r="D3684" t="str">
        <f>IFERROR(__xludf.DUMMYFUNCTION("""COMPUTED_VALUE"""),"flocculare")</f>
        <v>flocculare</v>
      </c>
      <c r="E3684" t="str">
        <f>IFERROR(__xludf.DUMMYFUNCTION("""COMPUTED_VALUE"""),"ATCC")</f>
        <v>ATCC</v>
      </c>
      <c r="F3684">
        <f>IFERROR(__xludf.DUMMYFUNCTION("""COMPUTED_VALUE"""),27399.0)</f>
        <v>27399</v>
      </c>
      <c r="G3684" t="str">
        <f>IFERROR(__xludf.DUMMYFUNCTION("""COMPUTED_VALUE"""),"Ms42")</f>
        <v>Ms42</v>
      </c>
    </row>
    <row r="3685" ht="15.75" customHeight="1">
      <c r="A3685" t="str">
        <f t="shared" si="1"/>
        <v>M.gallinaceum</v>
      </c>
      <c r="B3685" s="5" t="s">
        <v>21014</v>
      </c>
      <c r="C3685" s="6" t="str">
        <f>IFERROR(__xludf.DUMMYFUNCTION("SPLIT('2. c'!B3685, "" "", True, True)"),"Mycoplasma")</f>
        <v>Mycoplasma</v>
      </c>
      <c r="D3685" t="str">
        <f>IFERROR(__xludf.DUMMYFUNCTION("""COMPUTED_VALUE"""),"gallinaceum")</f>
        <v>gallinaceum</v>
      </c>
      <c r="E3685" t="str">
        <f>IFERROR(__xludf.DUMMYFUNCTION("""COMPUTED_VALUE"""),"strain")</f>
        <v>strain</v>
      </c>
      <c r="F3685" t="str">
        <f>IFERROR(__xludf.DUMMYFUNCTION("""COMPUTED_VALUE"""),"B2096")</f>
        <v>B2096</v>
      </c>
      <c r="G3685" t="str">
        <f>IFERROR(__xludf.DUMMYFUNCTION("""COMPUTED_VALUE"""),"8B")</f>
        <v>8B</v>
      </c>
    </row>
    <row r="3686" ht="15.75" customHeight="1">
      <c r="A3686" t="str">
        <f t="shared" si="1"/>
        <v>M.gallisepticum</v>
      </c>
      <c r="B3686" s="5" t="s">
        <v>21024</v>
      </c>
      <c r="C3686" s="6" t="str">
        <f>IFERROR(__xludf.DUMMYFUNCTION("SPLIT('2. c'!B3686, "" "", True, True)"),"Mycoplasma")</f>
        <v>Mycoplasma</v>
      </c>
      <c r="D3686" t="str">
        <f>IFERROR(__xludf.DUMMYFUNCTION("""COMPUTED_VALUE"""),"gallisepticum")</f>
        <v>gallisepticum</v>
      </c>
      <c r="E3686" t="str">
        <f>IFERROR(__xludf.DUMMYFUNCTION("""COMPUTED_VALUE"""),"CA06_2006.052-5-2P")</f>
        <v>CA06_2006.052-5-2P</v>
      </c>
    </row>
    <row r="3687" ht="15.75" customHeight="1">
      <c r="A3687" t="str">
        <f t="shared" si="1"/>
        <v>M.gallisepticum</v>
      </c>
      <c r="B3687" s="5" t="s">
        <v>21031</v>
      </c>
      <c r="C3687" s="6" t="str">
        <f>IFERROR(__xludf.DUMMYFUNCTION("SPLIT('2. c'!B3687, "" "", True, True)"),"Mycoplasma")</f>
        <v>Mycoplasma</v>
      </c>
      <c r="D3687" t="str">
        <f>IFERROR(__xludf.DUMMYFUNCTION("""COMPUTED_VALUE"""),"gallisepticum")</f>
        <v>gallisepticum</v>
      </c>
      <c r="E3687" t="str">
        <f>IFERROR(__xludf.DUMMYFUNCTION("""COMPUTED_VALUE"""),"NC06_2006.080-5-2P")</f>
        <v>NC06_2006.080-5-2P</v>
      </c>
    </row>
    <row r="3688" ht="15.75" customHeight="1">
      <c r="A3688" t="str">
        <f t="shared" si="1"/>
        <v>M.gallisepticum</v>
      </c>
      <c r="B3688" s="5" t="s">
        <v>21036</v>
      </c>
      <c r="C3688" s="6" t="str">
        <f>IFERROR(__xludf.DUMMYFUNCTION("SPLIT('2. c'!B3688, "" "", True, True)"),"Mycoplasma")</f>
        <v>Mycoplasma</v>
      </c>
      <c r="D3688" t="str">
        <f>IFERROR(__xludf.DUMMYFUNCTION("""COMPUTED_VALUE"""),"gallisepticum")</f>
        <v>gallisepticum</v>
      </c>
      <c r="E3688" t="str">
        <f>IFERROR(__xludf.DUMMYFUNCTION("""COMPUTED_VALUE"""),"NC08_2008.031-4-3P")</f>
        <v>NC08_2008.031-4-3P</v>
      </c>
    </row>
    <row r="3689" ht="15.75" customHeight="1">
      <c r="A3689" t="str">
        <f t="shared" si="1"/>
        <v>M.gallisepticum</v>
      </c>
      <c r="B3689" s="5" t="s">
        <v>21043</v>
      </c>
      <c r="C3689" s="6" t="str">
        <f>IFERROR(__xludf.DUMMYFUNCTION("SPLIT('2. c'!B3689, "" "", True, True)"),"Mycoplasma")</f>
        <v>Mycoplasma</v>
      </c>
      <c r="D3689" t="str">
        <f>IFERROR(__xludf.DUMMYFUNCTION("""COMPUTED_VALUE"""),"gallisepticum")</f>
        <v>gallisepticum</v>
      </c>
      <c r="E3689" t="str">
        <f>IFERROR(__xludf.DUMMYFUNCTION("""COMPUTED_VALUE"""),"NC95_13295-2-2P")</f>
        <v>NC95_13295-2-2P</v>
      </c>
    </row>
    <row r="3690" ht="15.75" customHeight="1">
      <c r="A3690" t="str">
        <f t="shared" si="1"/>
        <v>M.gallisepticum</v>
      </c>
      <c r="B3690" s="5" t="s">
        <v>21050</v>
      </c>
      <c r="C3690" s="6" t="str">
        <f>IFERROR(__xludf.DUMMYFUNCTION("SPLIT('2. c'!B3690, "" "", True, True)"),"Mycoplasma")</f>
        <v>Mycoplasma</v>
      </c>
      <c r="D3690" t="str">
        <f>IFERROR(__xludf.DUMMYFUNCTION("""COMPUTED_VALUE"""),"gallisepticum")</f>
        <v>gallisepticum</v>
      </c>
      <c r="E3690" t="str">
        <f>IFERROR(__xludf.DUMMYFUNCTION("""COMPUTED_VALUE"""),"NC96_1596-4-2P")</f>
        <v>NC96_1596-4-2P</v>
      </c>
    </row>
    <row r="3691" ht="15.75" customHeight="1">
      <c r="A3691" t="str">
        <f t="shared" si="1"/>
        <v>M.gallisepticum</v>
      </c>
      <c r="B3691" s="5" t="s">
        <v>21058</v>
      </c>
      <c r="C3691" s="6" t="str">
        <f>IFERROR(__xludf.DUMMYFUNCTION("SPLIT('2. c'!B3691, "" "", True, True)"),"Mycoplasma")</f>
        <v>Mycoplasma</v>
      </c>
      <c r="D3691" t="str">
        <f>IFERROR(__xludf.DUMMYFUNCTION("""COMPUTED_VALUE"""),"gallisepticum")</f>
        <v>gallisepticum</v>
      </c>
      <c r="E3691" t="str">
        <f>IFERROR(__xludf.DUMMYFUNCTION("""COMPUTED_VALUE"""),"NY01_2001.047-5-1P")</f>
        <v>NY01_2001.047-5-1P</v>
      </c>
    </row>
    <row r="3692" ht="15.75" customHeight="1">
      <c r="A3692" t="str">
        <f t="shared" si="1"/>
        <v>M.gallisepticum</v>
      </c>
      <c r="B3692" s="5" t="s">
        <v>21065</v>
      </c>
      <c r="C3692" s="6" t="str">
        <f>IFERROR(__xludf.DUMMYFUNCTION("SPLIT('2. c'!B3692, "" "", True, True)"),"Mycoplasma")</f>
        <v>Mycoplasma</v>
      </c>
      <c r="D3692" t="str">
        <f>IFERROR(__xludf.DUMMYFUNCTION("""COMPUTED_VALUE"""),"gallisepticum")</f>
        <v>gallisepticum</v>
      </c>
      <c r="E3692" t="str">
        <f>IFERROR(__xludf.DUMMYFUNCTION("""COMPUTED_VALUE"""),"str.")</f>
        <v>str.</v>
      </c>
      <c r="F3692" t="str">
        <f>IFERROR(__xludf.DUMMYFUNCTION("""COMPUTED_VALUE"""),"F")</f>
        <v>F</v>
      </c>
    </row>
    <row r="3693" ht="15.75" customHeight="1">
      <c r="A3693" t="str">
        <f t="shared" si="1"/>
        <v>M.gallisepticum</v>
      </c>
      <c r="B3693" s="5" t="s">
        <v>21074</v>
      </c>
      <c r="C3693" s="6" t="str">
        <f>IFERROR(__xludf.DUMMYFUNCTION("SPLIT('2. c'!B3693, "" "", True, True)"),"Mycoplasma")</f>
        <v>Mycoplasma</v>
      </c>
      <c r="D3693" t="str">
        <f>IFERROR(__xludf.DUMMYFUNCTION("""COMPUTED_VALUE"""),"gallisepticum")</f>
        <v>gallisepticum</v>
      </c>
      <c r="E3693" t="str">
        <f>IFERROR(__xludf.DUMMYFUNCTION("""COMPUTED_VALUE"""),"str.")</f>
        <v>str.</v>
      </c>
      <c r="F3693" t="str">
        <f>IFERROR(__xludf.DUMMYFUNCTION("""COMPUTED_VALUE"""),"R")</f>
        <v>R</v>
      </c>
    </row>
    <row r="3694" ht="15.75" customHeight="1">
      <c r="A3694" t="str">
        <f t="shared" si="1"/>
        <v>M.gallisepticum</v>
      </c>
      <c r="B3694" s="5" t="s">
        <v>21084</v>
      </c>
      <c r="C3694" s="6" t="str">
        <f>IFERROR(__xludf.DUMMYFUNCTION("SPLIT('2. c'!B3694, "" "", True, True)"),"Mycoplasma")</f>
        <v>Mycoplasma</v>
      </c>
      <c r="D3694" t="str">
        <f>IFERROR(__xludf.DUMMYFUNCTION("""COMPUTED_VALUE"""),"gallisepticum")</f>
        <v>gallisepticum</v>
      </c>
      <c r="E3694" t="str">
        <f>IFERROR(__xludf.DUMMYFUNCTION("""COMPUTED_VALUE"""),"str.")</f>
        <v>str.</v>
      </c>
      <c r="F3694" t="str">
        <f>IFERROR(__xludf.DUMMYFUNCTION("""COMPUTED_VALUE"""),"R(high)")</f>
        <v>R(high)</v>
      </c>
    </row>
    <row r="3695" ht="15.75" customHeight="1">
      <c r="A3695" t="str">
        <f t="shared" si="1"/>
        <v>M.gallisepticum</v>
      </c>
      <c r="B3695" s="5" t="s">
        <v>21092</v>
      </c>
      <c r="C3695" s="6" t="str">
        <f>IFERROR(__xludf.DUMMYFUNCTION("SPLIT('2. c'!B3695, "" "", True, True)"),"Mycoplasma")</f>
        <v>Mycoplasma</v>
      </c>
      <c r="D3695" t="str">
        <f>IFERROR(__xludf.DUMMYFUNCTION("""COMPUTED_VALUE"""),"gallisepticum")</f>
        <v>gallisepticum</v>
      </c>
      <c r="E3695" t="str">
        <f>IFERROR(__xludf.DUMMYFUNCTION("""COMPUTED_VALUE"""),"VA94_7994-1-7P")</f>
        <v>VA94_7994-1-7P</v>
      </c>
    </row>
    <row r="3696" ht="15.75" customHeight="1">
      <c r="A3696" t="str">
        <f t="shared" si="1"/>
        <v>M.gallisepticum</v>
      </c>
      <c r="B3696" s="5" t="s">
        <v>21100</v>
      </c>
      <c r="C3696" s="6" t="str">
        <f>IFERROR(__xludf.DUMMYFUNCTION("SPLIT('2. c'!B3696, "" "", True, True)"),"Mycoplasma")</f>
        <v>Mycoplasma</v>
      </c>
      <c r="D3696" t="str">
        <f>IFERROR(__xludf.DUMMYFUNCTION("""COMPUTED_VALUE"""),"gallisepticum")</f>
        <v>gallisepticum</v>
      </c>
      <c r="E3696" t="str">
        <f>IFERROR(__xludf.DUMMYFUNCTION("""COMPUTED_VALUE"""),"WI01_2001.043-13-2P")</f>
        <v>WI01_2001.043-13-2P</v>
      </c>
    </row>
    <row r="3697" ht="15.75" customHeight="1">
      <c r="A3697" t="str">
        <f t="shared" si="1"/>
        <v>M.genitalium</v>
      </c>
      <c r="B3697" s="5" t="s">
        <v>21109</v>
      </c>
      <c r="C3697" s="6" t="str">
        <f>IFERROR(__xludf.DUMMYFUNCTION("SPLIT('2. c'!B3697, "" "", True, True)"),"Mycoplasma")</f>
        <v>Mycoplasma</v>
      </c>
      <c r="D3697" t="str">
        <f>IFERROR(__xludf.DUMMYFUNCTION("""COMPUTED_VALUE"""),"genitalium")</f>
        <v>genitalium</v>
      </c>
      <c r="E3697" t="str">
        <f>IFERROR(__xludf.DUMMYFUNCTION("""COMPUTED_VALUE"""),"G37")</f>
        <v>G37</v>
      </c>
    </row>
    <row r="3698" ht="15.75" customHeight="1">
      <c r="A3698" t="str">
        <f t="shared" si="1"/>
        <v>M.genitalium</v>
      </c>
      <c r="B3698" s="5" t="s">
        <v>21117</v>
      </c>
      <c r="C3698" s="6" t="str">
        <f>IFERROR(__xludf.DUMMYFUNCTION("SPLIT('2. c'!B3698, "" "", True, True)"),"Mycoplasma")</f>
        <v>Mycoplasma</v>
      </c>
      <c r="D3698" t="str">
        <f>IFERROR(__xludf.DUMMYFUNCTION("""COMPUTED_VALUE"""),"genitalium")</f>
        <v>genitalium</v>
      </c>
      <c r="E3698" t="str">
        <f>IFERROR(__xludf.DUMMYFUNCTION("""COMPUTED_VALUE"""),"M2288")</f>
        <v>M2288</v>
      </c>
    </row>
    <row r="3699" ht="15.75" customHeight="1">
      <c r="A3699" t="str">
        <f t="shared" si="1"/>
        <v>M.genitalium</v>
      </c>
      <c r="B3699" s="5" t="s">
        <v>21126</v>
      </c>
      <c r="C3699" s="6" t="str">
        <f>IFERROR(__xludf.DUMMYFUNCTION("SPLIT('2. c'!B3699, "" "", True, True)"),"Mycoplasma")</f>
        <v>Mycoplasma</v>
      </c>
      <c r="D3699" t="str">
        <f>IFERROR(__xludf.DUMMYFUNCTION("""COMPUTED_VALUE"""),"genitalium")</f>
        <v>genitalium</v>
      </c>
      <c r="E3699" t="str">
        <f>IFERROR(__xludf.DUMMYFUNCTION("""COMPUTED_VALUE"""),"M2321")</f>
        <v>M2321</v>
      </c>
    </row>
    <row r="3700" ht="15.75" customHeight="1">
      <c r="A3700" t="str">
        <f t="shared" si="1"/>
        <v>M.genitalium</v>
      </c>
      <c r="B3700" s="5" t="s">
        <v>21139</v>
      </c>
      <c r="C3700" s="6" t="str">
        <f>IFERROR(__xludf.DUMMYFUNCTION("SPLIT('2. c'!B3700, "" "", True, True)"),"Mycoplasma")</f>
        <v>Mycoplasma</v>
      </c>
      <c r="D3700" t="str">
        <f>IFERROR(__xludf.DUMMYFUNCTION("""COMPUTED_VALUE"""),"genitalium")</f>
        <v>genitalium</v>
      </c>
      <c r="E3700" t="str">
        <f>IFERROR(__xludf.DUMMYFUNCTION("""COMPUTED_VALUE"""),"M6282")</f>
        <v>M6282</v>
      </c>
    </row>
    <row r="3701" ht="15.75" customHeight="1">
      <c r="A3701" t="str">
        <f t="shared" si="1"/>
        <v>M.genitalium</v>
      </c>
      <c r="B3701" s="5" t="s">
        <v>21150</v>
      </c>
      <c r="C3701" s="6" t="str">
        <f>IFERROR(__xludf.DUMMYFUNCTION("SPLIT('2. c'!B3701, "" "", True, True)"),"Mycoplasma")</f>
        <v>Mycoplasma</v>
      </c>
      <c r="D3701" t="str">
        <f>IFERROR(__xludf.DUMMYFUNCTION("""COMPUTED_VALUE"""),"genitalium")</f>
        <v>genitalium</v>
      </c>
      <c r="E3701" t="str">
        <f>IFERROR(__xludf.DUMMYFUNCTION("""COMPUTED_VALUE"""),"M6320")</f>
        <v>M6320</v>
      </c>
    </row>
    <row r="3702" ht="15.75" customHeight="1">
      <c r="A3702" t="str">
        <f t="shared" si="1"/>
        <v>M.haemocanis</v>
      </c>
      <c r="B3702" s="5" t="s">
        <v>21165</v>
      </c>
      <c r="C3702" s="6" t="str">
        <f>IFERROR(__xludf.DUMMYFUNCTION("SPLIT('2. c'!B3702, "" "", True, True)"),"Mycoplasma")</f>
        <v>Mycoplasma</v>
      </c>
      <c r="D3702" t="str">
        <f>IFERROR(__xludf.DUMMYFUNCTION("""COMPUTED_VALUE"""),"haemocanis")</f>
        <v>haemocanis</v>
      </c>
      <c r="E3702" t="str">
        <f>IFERROR(__xludf.DUMMYFUNCTION("""COMPUTED_VALUE"""),"str.")</f>
        <v>str.</v>
      </c>
      <c r="F3702" t="str">
        <f>IFERROR(__xludf.DUMMYFUNCTION("""COMPUTED_VALUE"""),"Illinois")</f>
        <v>Illinois</v>
      </c>
    </row>
    <row r="3703" ht="15.75" customHeight="1">
      <c r="A3703" t="str">
        <f t="shared" si="1"/>
        <v>M.haemofelis</v>
      </c>
      <c r="B3703" s="5" t="s">
        <v>21172</v>
      </c>
      <c r="C3703" s="6" t="str">
        <f>IFERROR(__xludf.DUMMYFUNCTION("SPLIT('2. c'!B3703, "" "", True, True)"),"Mycoplasma")</f>
        <v>Mycoplasma</v>
      </c>
      <c r="D3703" t="str">
        <f>IFERROR(__xludf.DUMMYFUNCTION("""COMPUTED_VALUE"""),"haemofelis")</f>
        <v>haemofelis</v>
      </c>
      <c r="E3703" t="str">
        <f>IFERROR(__xludf.DUMMYFUNCTION("""COMPUTED_VALUE"""),"str.")</f>
        <v>str.</v>
      </c>
      <c r="F3703" t="str">
        <f>IFERROR(__xludf.DUMMYFUNCTION("""COMPUTED_VALUE"""),"Langford")</f>
        <v>Langford</v>
      </c>
      <c r="G3703">
        <f>IFERROR(__xludf.DUMMYFUNCTION("""COMPUTED_VALUE"""),1.0)</f>
        <v>1</v>
      </c>
    </row>
    <row r="3704" ht="15.75" customHeight="1">
      <c r="A3704" t="str">
        <f t="shared" si="1"/>
        <v>M.hominis</v>
      </c>
      <c r="B3704" s="5" t="s">
        <v>21181</v>
      </c>
      <c r="C3704" s="6" t="str">
        <f>IFERROR(__xludf.DUMMYFUNCTION("SPLIT('2. c'!B3704, "" "", True, True)"),"Mycoplasma")</f>
        <v>Mycoplasma</v>
      </c>
      <c r="D3704" t="str">
        <f>IFERROR(__xludf.DUMMYFUNCTION("""COMPUTED_VALUE"""),"hominis")</f>
        <v>hominis</v>
      </c>
      <c r="E3704" t="str">
        <f>IFERROR(__xludf.DUMMYFUNCTION("""COMPUTED_VALUE"""),"ATCC")</f>
        <v>ATCC</v>
      </c>
      <c r="F3704">
        <f>IFERROR(__xludf.DUMMYFUNCTION("""COMPUTED_VALUE"""),27545.0)</f>
        <v>27545</v>
      </c>
    </row>
    <row r="3705" ht="15.75" customHeight="1">
      <c r="A3705" t="str">
        <f t="shared" si="1"/>
        <v>M.hominis</v>
      </c>
      <c r="B3705" s="5" t="s">
        <v>21190</v>
      </c>
      <c r="C3705" s="6" t="str">
        <f>IFERROR(__xludf.DUMMYFUNCTION("SPLIT('2. c'!B3705, "" "", True, True)"),"Mycoplasma")</f>
        <v>Mycoplasma</v>
      </c>
      <c r="D3705" t="str">
        <f>IFERROR(__xludf.DUMMYFUNCTION("""COMPUTED_VALUE"""),"hominis")</f>
        <v>hominis</v>
      </c>
      <c r="E3705" t="str">
        <f>IFERROR(__xludf.DUMMYFUNCTION("""COMPUTED_VALUE"""),"strain")</f>
        <v>strain</v>
      </c>
      <c r="F3705" t="str">
        <f>IFERROR(__xludf.DUMMYFUNCTION("""COMPUTED_VALUE"""),"AF1")</f>
        <v>AF1</v>
      </c>
    </row>
    <row r="3706" ht="15.75" customHeight="1">
      <c r="A3706" t="str">
        <f t="shared" si="1"/>
        <v>M.hominis</v>
      </c>
      <c r="B3706" s="5" t="s">
        <v>21197</v>
      </c>
      <c r="C3706" s="6" t="str">
        <f>IFERROR(__xludf.DUMMYFUNCTION("SPLIT('2. c'!B3706, "" "", True, True)"),"Mycoplasma")</f>
        <v>Mycoplasma</v>
      </c>
      <c r="D3706" t="str">
        <f>IFERROR(__xludf.DUMMYFUNCTION("""COMPUTED_VALUE"""),"hominis")</f>
        <v>hominis</v>
      </c>
      <c r="E3706" t="str">
        <f>IFERROR(__xludf.DUMMYFUNCTION("""COMPUTED_VALUE"""),"strain")</f>
        <v>strain</v>
      </c>
      <c r="F3706" t="str">
        <f>IFERROR(__xludf.DUMMYFUNCTION("""COMPUTED_VALUE"""),"PG21")</f>
        <v>PG21</v>
      </c>
    </row>
    <row r="3707" ht="15.75" customHeight="1">
      <c r="A3707" t="str">
        <f t="shared" si="1"/>
        <v>M.hominis</v>
      </c>
      <c r="B3707" s="5" t="s">
        <v>21207</v>
      </c>
      <c r="C3707" s="6" t="str">
        <f>IFERROR(__xludf.DUMMYFUNCTION("SPLIT('2. c'!B3707, "" "", True, True)"),"Mycoplasma")</f>
        <v>Mycoplasma</v>
      </c>
      <c r="D3707" t="str">
        <f>IFERROR(__xludf.DUMMYFUNCTION("""COMPUTED_VALUE"""),"hominis")</f>
        <v>hominis</v>
      </c>
      <c r="E3707" t="str">
        <f>IFERROR(__xludf.DUMMYFUNCTION("""COMPUTED_VALUE"""),"strain")</f>
        <v>strain</v>
      </c>
      <c r="F3707" t="str">
        <f>IFERROR(__xludf.DUMMYFUNCTION("""COMPUTED_VALUE"""),"Sprott")</f>
        <v>Sprott</v>
      </c>
    </row>
    <row r="3708" ht="15.75" customHeight="1">
      <c r="A3708" t="str">
        <f t="shared" si="1"/>
        <v>M.hyopneumoniae</v>
      </c>
      <c r="B3708" s="5" t="s">
        <v>21214</v>
      </c>
      <c r="C3708" s="6" t="str">
        <f>IFERROR(__xludf.DUMMYFUNCTION("SPLIT('2. c'!B3708, "" "", True, True)"),"Mycoplasma")</f>
        <v>Mycoplasma</v>
      </c>
      <c r="D3708" t="str">
        <f>IFERROR(__xludf.DUMMYFUNCTION("""COMPUTED_VALUE"""),"hyopneumoniae")</f>
        <v>hyopneumoniae</v>
      </c>
      <c r="E3708">
        <f>IFERROR(__xludf.DUMMYFUNCTION("""COMPUTED_VALUE"""),168.0)</f>
        <v>168</v>
      </c>
    </row>
    <row r="3709" ht="15.75" customHeight="1">
      <c r="A3709" t="str">
        <f t="shared" si="1"/>
        <v>M.hyopneumoniae</v>
      </c>
      <c r="B3709" s="5" t="s">
        <v>21224</v>
      </c>
      <c r="C3709" s="6" t="str">
        <f>IFERROR(__xludf.DUMMYFUNCTION("SPLIT('2. c'!B3709, "" "", True, True)"),"Mycoplasma")</f>
        <v>Mycoplasma</v>
      </c>
      <c r="D3709" t="str">
        <f>IFERROR(__xludf.DUMMYFUNCTION("""COMPUTED_VALUE"""),"hyopneumoniae")</f>
        <v>hyopneumoniae</v>
      </c>
      <c r="E3709" t="str">
        <f>IFERROR(__xludf.DUMMYFUNCTION("""COMPUTED_VALUE"""),"168-L")</f>
        <v>168-L</v>
      </c>
    </row>
    <row r="3710" ht="15.75" customHeight="1">
      <c r="A3710" t="str">
        <f t="shared" si="1"/>
        <v>M.hyopneumoniae</v>
      </c>
      <c r="B3710" s="5" t="s">
        <v>21232</v>
      </c>
      <c r="C3710" s="6" t="str">
        <f>IFERROR(__xludf.DUMMYFUNCTION("SPLIT('2. c'!B3710, "" "", True, True)"),"Mycoplasma")</f>
        <v>Mycoplasma</v>
      </c>
      <c r="D3710" t="str">
        <f>IFERROR(__xludf.DUMMYFUNCTION("""COMPUTED_VALUE"""),"hyopneumoniae")</f>
        <v>hyopneumoniae</v>
      </c>
      <c r="E3710">
        <f>IFERROR(__xludf.DUMMYFUNCTION("""COMPUTED_VALUE"""),232.0)</f>
        <v>232</v>
      </c>
    </row>
    <row r="3711" ht="15.75" customHeight="1">
      <c r="A3711" t="str">
        <f t="shared" si="1"/>
        <v>M.hyopneumoniae</v>
      </c>
      <c r="B3711" s="5" t="s">
        <v>21247</v>
      </c>
      <c r="C3711" s="6" t="str">
        <f>IFERROR(__xludf.DUMMYFUNCTION("SPLIT('2. c'!B3711, "" "", True, True)"),"Mycoplasma")</f>
        <v>Mycoplasma</v>
      </c>
      <c r="D3711" t="str">
        <f>IFERROR(__xludf.DUMMYFUNCTION("""COMPUTED_VALUE"""),"hyopneumoniae")</f>
        <v>hyopneumoniae</v>
      </c>
      <c r="E3711">
        <f>IFERROR(__xludf.DUMMYFUNCTION("""COMPUTED_VALUE"""),7422.0)</f>
        <v>7422</v>
      </c>
    </row>
    <row r="3712" ht="15.75" customHeight="1">
      <c r="A3712" t="str">
        <f t="shared" si="1"/>
        <v>M.hyopneumoniae</v>
      </c>
      <c r="B3712" s="5" t="s">
        <v>21261</v>
      </c>
      <c r="C3712" s="6" t="str">
        <f>IFERROR(__xludf.DUMMYFUNCTION("SPLIT('2. c'!B3712, "" "", True, True)"),"Mycoplasma")</f>
        <v>Mycoplasma</v>
      </c>
      <c r="D3712" t="str">
        <f>IFERROR(__xludf.DUMMYFUNCTION("""COMPUTED_VALUE"""),"hyopneumoniae")</f>
        <v>hyopneumoniae</v>
      </c>
      <c r="E3712">
        <f>IFERROR(__xludf.DUMMYFUNCTION("""COMPUTED_VALUE"""),7448.0)</f>
        <v>7448</v>
      </c>
    </row>
    <row r="3713" ht="15.75" customHeight="1">
      <c r="A3713" t="str">
        <f t="shared" si="1"/>
        <v>M.hyopneumoniae</v>
      </c>
      <c r="B3713" s="5" t="s">
        <v>21271</v>
      </c>
      <c r="C3713" s="6" t="str">
        <f>IFERROR(__xludf.DUMMYFUNCTION("SPLIT('2. c'!B3713, "" "", True, True)"),"Mycoplasma")</f>
        <v>Mycoplasma</v>
      </c>
      <c r="D3713" t="str">
        <f>IFERROR(__xludf.DUMMYFUNCTION("""COMPUTED_VALUE"""),"hyopneumoniae")</f>
        <v>hyopneumoniae</v>
      </c>
      <c r="E3713" t="str">
        <f>IFERROR(__xludf.DUMMYFUNCTION("""COMPUTED_VALUE"""),"J")</f>
        <v>J</v>
      </c>
    </row>
    <row r="3714" ht="15.75" customHeight="1">
      <c r="A3714" t="str">
        <f t="shared" si="1"/>
        <v>M.hyorhinis</v>
      </c>
      <c r="B3714" s="5" t="s">
        <v>21279</v>
      </c>
      <c r="C3714" s="6" t="str">
        <f>IFERROR(__xludf.DUMMYFUNCTION("SPLIT('2. c'!B3714, "" "", True, True)"),"Mycoplasma")</f>
        <v>Mycoplasma</v>
      </c>
      <c r="D3714" t="str">
        <f>IFERROR(__xludf.DUMMYFUNCTION("""COMPUTED_VALUE"""),"hyorhinis")</f>
        <v>hyorhinis</v>
      </c>
      <c r="E3714" t="str">
        <f>IFERROR(__xludf.DUMMYFUNCTION("""COMPUTED_VALUE"""),"DBS")</f>
        <v>DBS</v>
      </c>
      <c r="F3714">
        <f>IFERROR(__xludf.DUMMYFUNCTION("""COMPUTED_VALUE"""),1050.0)</f>
        <v>1050</v>
      </c>
    </row>
    <row r="3715" ht="15.75" customHeight="1">
      <c r="A3715" t="str">
        <f t="shared" si="1"/>
        <v>M.hyorhinis</v>
      </c>
      <c r="B3715" s="5" t="s">
        <v>21288</v>
      </c>
      <c r="C3715" s="6" t="str">
        <f>IFERROR(__xludf.DUMMYFUNCTION("SPLIT('2. c'!B3715, "" "", True, True)"),"Mycoplasma")</f>
        <v>Mycoplasma</v>
      </c>
      <c r="D3715" t="str">
        <f>IFERROR(__xludf.DUMMYFUNCTION("""COMPUTED_VALUE"""),"hyorhinis")</f>
        <v>hyorhinis</v>
      </c>
      <c r="E3715" t="str">
        <f>IFERROR(__xludf.DUMMYFUNCTION("""COMPUTED_VALUE"""),"GDL-1")</f>
        <v>GDL-1</v>
      </c>
    </row>
    <row r="3716" ht="15.75" customHeight="1">
      <c r="A3716" t="str">
        <f t="shared" si="1"/>
        <v>M.hyorhinis</v>
      </c>
      <c r="B3716" s="5" t="s">
        <v>21295</v>
      </c>
      <c r="C3716" s="6" t="str">
        <f>IFERROR(__xludf.DUMMYFUNCTION("SPLIT('2. c'!B3716, "" "", True, True)"),"Mycoplasma")</f>
        <v>Mycoplasma</v>
      </c>
      <c r="D3716" t="str">
        <f>IFERROR(__xludf.DUMMYFUNCTION("""COMPUTED_VALUE"""),"hyorhinis")</f>
        <v>hyorhinis</v>
      </c>
      <c r="E3716" t="str">
        <f>IFERROR(__xludf.DUMMYFUNCTION("""COMPUTED_VALUE"""),"HUB-1")</f>
        <v>HUB-1</v>
      </c>
    </row>
    <row r="3717" ht="15.75" customHeight="1">
      <c r="A3717" t="str">
        <f t="shared" si="1"/>
        <v>M.hyorhinis</v>
      </c>
      <c r="B3717" s="5" t="s">
        <v>21303</v>
      </c>
      <c r="C3717" s="6" t="str">
        <f>IFERROR(__xludf.DUMMYFUNCTION("SPLIT('2. c'!B3717, "" "", True, True)"),"Mycoplasma")</f>
        <v>Mycoplasma</v>
      </c>
      <c r="D3717" t="str">
        <f>IFERROR(__xludf.DUMMYFUNCTION("""COMPUTED_VALUE"""),"hyorhinis")</f>
        <v>hyorhinis</v>
      </c>
      <c r="E3717" t="str">
        <f>IFERROR(__xludf.DUMMYFUNCTION("""COMPUTED_VALUE"""),"MCLD")</f>
        <v>MCLD</v>
      </c>
    </row>
    <row r="3718" ht="15.75" customHeight="1">
      <c r="A3718" t="str">
        <f t="shared" si="1"/>
        <v>M.hyorhinis</v>
      </c>
      <c r="B3718" s="5" t="s">
        <v>21314</v>
      </c>
      <c r="C3718" s="6" t="str">
        <f>IFERROR(__xludf.DUMMYFUNCTION("SPLIT('2. c'!B3718, "" "", True, True)"),"Mycoplasma")</f>
        <v>Mycoplasma</v>
      </c>
      <c r="D3718" t="str">
        <f>IFERROR(__xludf.DUMMYFUNCTION("""COMPUTED_VALUE"""),"hyorhinis")</f>
        <v>hyorhinis</v>
      </c>
      <c r="E3718" t="str">
        <f>IFERROR(__xludf.DUMMYFUNCTION("""COMPUTED_VALUE"""),"SK76")</f>
        <v>SK76</v>
      </c>
    </row>
    <row r="3719" ht="15.75" customHeight="1">
      <c r="A3719" t="str">
        <f t="shared" si="1"/>
        <v>M.leachii</v>
      </c>
      <c r="B3719" s="5" t="s">
        <v>21327</v>
      </c>
      <c r="C3719" s="6" t="str">
        <f>IFERROR(__xludf.DUMMYFUNCTION("SPLIT('2. c'!B3719, "" "", True, True)"),"Mycoplasma")</f>
        <v>Mycoplasma</v>
      </c>
      <c r="D3719" t="str">
        <f>IFERROR(__xludf.DUMMYFUNCTION("""COMPUTED_VALUE"""),"leachii")</f>
        <v>leachii</v>
      </c>
      <c r="E3719" t="str">
        <f>IFERROR(__xludf.DUMMYFUNCTION("""COMPUTED_VALUE"""),"99/014/6")</f>
        <v>99/014/6</v>
      </c>
    </row>
    <row r="3720" ht="15.75" customHeight="1">
      <c r="A3720" t="str">
        <f t="shared" si="1"/>
        <v>M.leachii</v>
      </c>
      <c r="B3720" s="5" t="s">
        <v>21338</v>
      </c>
      <c r="C3720" s="6" t="str">
        <f>IFERROR(__xludf.DUMMYFUNCTION("SPLIT('2. c'!B3720, "" "", True, True)"),"Mycoplasma")</f>
        <v>Mycoplasma</v>
      </c>
      <c r="D3720" t="str">
        <f>IFERROR(__xludf.DUMMYFUNCTION("""COMPUTED_VALUE"""),"leachii")</f>
        <v>leachii</v>
      </c>
      <c r="E3720" t="str">
        <f>IFERROR(__xludf.DUMMYFUNCTION("""COMPUTED_VALUE"""),"PG50")</f>
        <v>PG50</v>
      </c>
    </row>
    <row r="3721" ht="15.75" customHeight="1">
      <c r="A3721" t="str">
        <f t="shared" si="1"/>
        <v>M.mobile</v>
      </c>
      <c r="B3721" s="5" t="s">
        <v>21350</v>
      </c>
      <c r="C3721" s="6" t="str">
        <f>IFERROR(__xludf.DUMMYFUNCTION("SPLIT('2. c'!B3721, "" "", True, True)"),"Mycoplasma")</f>
        <v>Mycoplasma</v>
      </c>
      <c r="D3721" t="str">
        <f>IFERROR(__xludf.DUMMYFUNCTION("""COMPUTED_VALUE"""),"mobile")</f>
        <v>mobile</v>
      </c>
      <c r="E3721" t="str">
        <f>IFERROR(__xludf.DUMMYFUNCTION("""COMPUTED_VALUE"""),"163K")</f>
        <v>163K</v>
      </c>
    </row>
    <row r="3722" ht="15.75" customHeight="1">
      <c r="A3722" t="str">
        <f t="shared" si="1"/>
        <v>M.mycoides</v>
      </c>
      <c r="B3722" s="5" t="s">
        <v>21360</v>
      </c>
      <c r="C3722" s="6" t="str">
        <f>IFERROR(__xludf.DUMMYFUNCTION("SPLIT('2. c'!B3722, "" "", True, True)"),"Mycoplasma")</f>
        <v>Mycoplasma</v>
      </c>
      <c r="D3722" t="str">
        <f>IFERROR(__xludf.DUMMYFUNCTION("""COMPUTED_VALUE"""),"mycoides")</f>
        <v>mycoides</v>
      </c>
      <c r="E3722" t="str">
        <f>IFERROR(__xludf.DUMMYFUNCTION("""COMPUTED_VALUE"""),"subsp.")</f>
        <v>subsp.</v>
      </c>
      <c r="F3722" t="str">
        <f>IFERROR(__xludf.DUMMYFUNCTION("""COMPUTED_VALUE"""),"capri")</f>
        <v>capri</v>
      </c>
      <c r="G3722" t="str">
        <f>IFERROR(__xludf.DUMMYFUNCTION("""COMPUTED_VALUE"""),"LC")</f>
        <v>LC</v>
      </c>
      <c r="H3722" t="str">
        <f>IFERROR(__xludf.DUMMYFUNCTION("""COMPUTED_VALUE"""),"str.")</f>
        <v>str.</v>
      </c>
      <c r="I3722">
        <f>IFERROR(__xludf.DUMMYFUNCTION("""COMPUTED_VALUE"""),95010.0)</f>
        <v>95010</v>
      </c>
    </row>
    <row r="3723" ht="15.75" customHeight="1">
      <c r="A3723" t="str">
        <f t="shared" si="1"/>
        <v>M.mycoides</v>
      </c>
      <c r="B3723" s="5" t="s">
        <v>21371</v>
      </c>
      <c r="C3723" s="6" t="str">
        <f>IFERROR(__xludf.DUMMYFUNCTION("SPLIT('2. c'!B3723, "" "", True, True)"),"Mycoplasma")</f>
        <v>Mycoplasma</v>
      </c>
      <c r="D3723" t="str">
        <f>IFERROR(__xludf.DUMMYFUNCTION("""COMPUTED_VALUE"""),"mycoides")</f>
        <v>mycoides</v>
      </c>
      <c r="E3723" t="str">
        <f>IFERROR(__xludf.DUMMYFUNCTION("""COMPUTED_VALUE"""),"subsp.")</f>
        <v>subsp.</v>
      </c>
      <c r="F3723" t="str">
        <f>IFERROR(__xludf.DUMMYFUNCTION("""COMPUTED_VALUE"""),"capri")</f>
        <v>capri</v>
      </c>
      <c r="G3723" t="str">
        <f>IFERROR(__xludf.DUMMYFUNCTION("""COMPUTED_VALUE"""),"str.")</f>
        <v>str.</v>
      </c>
      <c r="H3723" t="str">
        <f>IFERROR(__xludf.DUMMYFUNCTION("""COMPUTED_VALUE"""),"GM12")</f>
        <v>GM12</v>
      </c>
    </row>
    <row r="3724" ht="15.75" customHeight="1">
      <c r="A3724" t="str">
        <f t="shared" si="1"/>
        <v>M.mycoides</v>
      </c>
      <c r="B3724" s="5" t="s">
        <v>21382</v>
      </c>
      <c r="C3724" s="6" t="str">
        <f>IFERROR(__xludf.DUMMYFUNCTION("SPLIT('2. c'!B3724, "" "", True, True)"),"Mycoplasma")</f>
        <v>Mycoplasma</v>
      </c>
      <c r="D3724" t="str">
        <f>IFERROR(__xludf.DUMMYFUNCTION("""COMPUTED_VALUE"""),"mycoides")</f>
        <v>mycoides</v>
      </c>
      <c r="E3724" t="str">
        <f>IFERROR(__xludf.DUMMYFUNCTION("""COMPUTED_VALUE"""),"subsp.")</f>
        <v>subsp.</v>
      </c>
      <c r="F3724" t="str">
        <f>IFERROR(__xludf.DUMMYFUNCTION("""COMPUTED_VALUE"""),"capri")</f>
        <v>capri</v>
      </c>
      <c r="G3724" t="str">
        <f>IFERROR(__xludf.DUMMYFUNCTION("""COMPUTED_VALUE"""),"str.")</f>
        <v>str.</v>
      </c>
      <c r="H3724" t="str">
        <f>IFERROR(__xludf.DUMMYFUNCTION("""COMPUTED_VALUE"""),"GM12")</f>
        <v>GM12</v>
      </c>
      <c r="I3724" t="str">
        <f>IFERROR(__xludf.DUMMYFUNCTION("""COMPUTED_VALUE"""),"(Prj:39245)")</f>
        <v>(Prj:39245)</v>
      </c>
    </row>
    <row r="3725" ht="15.75" customHeight="1">
      <c r="A3725" t="str">
        <f t="shared" si="1"/>
        <v>M.mycoides</v>
      </c>
      <c r="B3725" s="5" t="s">
        <v>21393</v>
      </c>
      <c r="C3725" s="6" t="str">
        <f>IFERROR(__xludf.DUMMYFUNCTION("SPLIT('2. c'!B3725, "" "", True, True)"),"Mycoplasma")</f>
        <v>Mycoplasma</v>
      </c>
      <c r="D3725" t="str">
        <f>IFERROR(__xludf.DUMMYFUNCTION("""COMPUTED_VALUE"""),"mycoides")</f>
        <v>mycoides</v>
      </c>
      <c r="E3725" t="str">
        <f>IFERROR(__xludf.DUMMYFUNCTION("""COMPUTED_VALUE"""),"subsp.")</f>
        <v>subsp.</v>
      </c>
      <c r="F3725" t="str">
        <f>IFERROR(__xludf.DUMMYFUNCTION("""COMPUTED_VALUE"""),"capri")</f>
        <v>capri</v>
      </c>
      <c r="G3725" t="str">
        <f>IFERROR(__xludf.DUMMYFUNCTION("""COMPUTED_VALUE"""),"strain")</f>
        <v>strain</v>
      </c>
      <c r="H3725" t="str">
        <f>IFERROR(__xludf.DUMMYFUNCTION("""COMPUTED_VALUE"""),"GM12")</f>
        <v>GM12</v>
      </c>
    </row>
    <row r="3726" ht="15.75" customHeight="1">
      <c r="A3726" t="str">
        <f t="shared" si="1"/>
        <v>M.mycoides</v>
      </c>
      <c r="B3726" s="5" t="s">
        <v>21408</v>
      </c>
      <c r="C3726" s="6" t="str">
        <f>IFERROR(__xludf.DUMMYFUNCTION("SPLIT('2. c'!B3726, "" "", True, True)"),"Mycoplasma")</f>
        <v>Mycoplasma</v>
      </c>
      <c r="D3726" t="str">
        <f>IFERROR(__xludf.DUMMYFUNCTION("""COMPUTED_VALUE"""),"mycoides")</f>
        <v>mycoides</v>
      </c>
      <c r="E3726" t="str">
        <f>IFERROR(__xludf.DUMMYFUNCTION("""COMPUTED_VALUE"""),"subsp.")</f>
        <v>subsp.</v>
      </c>
      <c r="F3726" t="str">
        <f>IFERROR(__xludf.DUMMYFUNCTION("""COMPUTED_VALUE"""),"mycoides")</f>
        <v>mycoides</v>
      </c>
    </row>
    <row r="3727" ht="15.75" customHeight="1">
      <c r="A3727" t="str">
        <f t="shared" si="1"/>
        <v>M.mycoides</v>
      </c>
      <c r="B3727" s="5" t="s">
        <v>21408</v>
      </c>
      <c r="C3727" s="6" t="str">
        <f>IFERROR(__xludf.DUMMYFUNCTION("SPLIT('2. c'!B3727, "" "", True, True)"),"Mycoplasma")</f>
        <v>Mycoplasma</v>
      </c>
      <c r="D3727" t="str">
        <f>IFERROR(__xludf.DUMMYFUNCTION("""COMPUTED_VALUE"""),"mycoides")</f>
        <v>mycoides</v>
      </c>
      <c r="E3727" t="str">
        <f>IFERROR(__xludf.DUMMYFUNCTION("""COMPUTED_VALUE"""),"subsp.")</f>
        <v>subsp.</v>
      </c>
      <c r="F3727" t="str">
        <f>IFERROR(__xludf.DUMMYFUNCTION("""COMPUTED_VALUE"""),"mycoides")</f>
        <v>mycoides</v>
      </c>
    </row>
    <row r="3728" ht="15.75" customHeight="1">
      <c r="A3728" t="str">
        <f t="shared" si="1"/>
        <v>M.mycoides</v>
      </c>
      <c r="B3728" s="5" t="s">
        <v>21408</v>
      </c>
      <c r="C3728" s="6" t="str">
        <f>IFERROR(__xludf.DUMMYFUNCTION("SPLIT('2. c'!B3728, "" "", True, True)"),"Mycoplasma")</f>
        <v>Mycoplasma</v>
      </c>
      <c r="D3728" t="str">
        <f>IFERROR(__xludf.DUMMYFUNCTION("""COMPUTED_VALUE"""),"mycoides")</f>
        <v>mycoides</v>
      </c>
      <c r="E3728" t="str">
        <f>IFERROR(__xludf.DUMMYFUNCTION("""COMPUTED_VALUE"""),"subsp.")</f>
        <v>subsp.</v>
      </c>
      <c r="F3728" t="str">
        <f>IFERROR(__xludf.DUMMYFUNCTION("""COMPUTED_VALUE"""),"mycoides")</f>
        <v>mycoides</v>
      </c>
    </row>
    <row r="3729" ht="15.75" customHeight="1">
      <c r="A3729" t="str">
        <f t="shared" si="1"/>
        <v>M.mycoides</v>
      </c>
      <c r="B3729" s="5" t="s">
        <v>21408</v>
      </c>
      <c r="C3729" s="6" t="str">
        <f>IFERROR(__xludf.DUMMYFUNCTION("SPLIT('2. c'!B3729, "" "", True, True)"),"Mycoplasma")</f>
        <v>Mycoplasma</v>
      </c>
      <c r="D3729" t="str">
        <f>IFERROR(__xludf.DUMMYFUNCTION("""COMPUTED_VALUE"""),"mycoides")</f>
        <v>mycoides</v>
      </c>
      <c r="E3729" t="str">
        <f>IFERROR(__xludf.DUMMYFUNCTION("""COMPUTED_VALUE"""),"subsp.")</f>
        <v>subsp.</v>
      </c>
      <c r="F3729" t="str">
        <f>IFERROR(__xludf.DUMMYFUNCTION("""COMPUTED_VALUE"""),"mycoides")</f>
        <v>mycoides</v>
      </c>
    </row>
    <row r="3730" ht="15.75" customHeight="1">
      <c r="A3730" t="str">
        <f t="shared" si="1"/>
        <v>M.mycoides</v>
      </c>
      <c r="B3730" s="5" t="s">
        <v>21408</v>
      </c>
      <c r="C3730" s="6" t="str">
        <f>IFERROR(__xludf.DUMMYFUNCTION("SPLIT('2. c'!B3730, "" "", True, True)"),"Mycoplasma")</f>
        <v>Mycoplasma</v>
      </c>
      <c r="D3730" t="str">
        <f>IFERROR(__xludf.DUMMYFUNCTION("""COMPUTED_VALUE"""),"mycoides")</f>
        <v>mycoides</v>
      </c>
      <c r="E3730" t="str">
        <f>IFERROR(__xludf.DUMMYFUNCTION("""COMPUTED_VALUE"""),"subsp.")</f>
        <v>subsp.</v>
      </c>
      <c r="F3730" t="str">
        <f>IFERROR(__xludf.DUMMYFUNCTION("""COMPUTED_VALUE"""),"mycoides")</f>
        <v>mycoides</v>
      </c>
    </row>
    <row r="3731" ht="15.75" customHeight="1">
      <c r="A3731" t="str">
        <f t="shared" si="1"/>
        <v>M.mycoides</v>
      </c>
      <c r="B3731" s="5" t="s">
        <v>21408</v>
      </c>
      <c r="C3731" s="6" t="str">
        <f>IFERROR(__xludf.DUMMYFUNCTION("SPLIT('2. c'!B3731, "" "", True, True)"),"Mycoplasma")</f>
        <v>Mycoplasma</v>
      </c>
      <c r="D3731" t="str">
        <f>IFERROR(__xludf.DUMMYFUNCTION("""COMPUTED_VALUE"""),"mycoides")</f>
        <v>mycoides</v>
      </c>
      <c r="E3731" t="str">
        <f>IFERROR(__xludf.DUMMYFUNCTION("""COMPUTED_VALUE"""),"subsp.")</f>
        <v>subsp.</v>
      </c>
      <c r="F3731" t="str">
        <f>IFERROR(__xludf.DUMMYFUNCTION("""COMPUTED_VALUE"""),"mycoides")</f>
        <v>mycoides</v>
      </c>
    </row>
    <row r="3732" ht="15.75" customHeight="1">
      <c r="A3732" t="str">
        <f t="shared" si="1"/>
        <v>M.mycoides</v>
      </c>
      <c r="B3732" s="5" t="s">
        <v>21460</v>
      </c>
      <c r="C3732" s="6" t="str">
        <f>IFERROR(__xludf.DUMMYFUNCTION("SPLIT('2. c'!B3732, "" "", True, True)"),"Mycoplasma")</f>
        <v>Mycoplasma</v>
      </c>
      <c r="D3732" t="str">
        <f>IFERROR(__xludf.DUMMYFUNCTION("""COMPUTED_VALUE"""),"mycoides")</f>
        <v>mycoides</v>
      </c>
      <c r="E3732" t="str">
        <f>IFERROR(__xludf.DUMMYFUNCTION("""COMPUTED_VALUE"""),"subsp.")</f>
        <v>subsp.</v>
      </c>
      <c r="F3732" t="str">
        <f>IFERROR(__xludf.DUMMYFUNCTION("""COMPUTED_VALUE"""),"mycoides")</f>
        <v>mycoides</v>
      </c>
      <c r="G3732" t="str">
        <f>IFERROR(__xludf.DUMMYFUNCTION("""COMPUTED_VALUE"""),"izsam_mm5713")</f>
        <v>izsam_mm5713</v>
      </c>
    </row>
    <row r="3733" ht="15.75" customHeight="1">
      <c r="A3733" t="str">
        <f t="shared" si="1"/>
        <v>M.mycoides</v>
      </c>
      <c r="B3733" s="5" t="s">
        <v>21469</v>
      </c>
      <c r="C3733" s="6" t="str">
        <f>IFERROR(__xludf.DUMMYFUNCTION("SPLIT('2. c'!B3733, "" "", True, True)"),"Mycoplasma")</f>
        <v>Mycoplasma</v>
      </c>
      <c r="D3733" t="str">
        <f>IFERROR(__xludf.DUMMYFUNCTION("""COMPUTED_VALUE"""),"mycoides")</f>
        <v>mycoides</v>
      </c>
      <c r="E3733" t="str">
        <f>IFERROR(__xludf.DUMMYFUNCTION("""COMPUTED_VALUE"""),"subsp.")</f>
        <v>subsp.</v>
      </c>
      <c r="F3733" t="str">
        <f>IFERROR(__xludf.DUMMYFUNCTION("""COMPUTED_VALUE"""),"mycoides")</f>
        <v>mycoides</v>
      </c>
      <c r="G3733" t="str">
        <f>IFERROR(__xludf.DUMMYFUNCTION("""COMPUTED_VALUE"""),"SC")</f>
        <v>SC</v>
      </c>
      <c r="H3733" t="str">
        <f>IFERROR(__xludf.DUMMYFUNCTION("""COMPUTED_VALUE"""),"str.")</f>
        <v>str.</v>
      </c>
      <c r="I3733" t="str">
        <f>IFERROR(__xludf.DUMMYFUNCTION("""COMPUTED_VALUE"""),"Gladysdale")</f>
        <v>Gladysdale</v>
      </c>
    </row>
    <row r="3734" ht="15.75" customHeight="1">
      <c r="A3734" t="str">
        <f t="shared" si="1"/>
        <v>M.mycoides</v>
      </c>
      <c r="B3734" s="5" t="s">
        <v>21480</v>
      </c>
      <c r="C3734" s="6" t="str">
        <f>IFERROR(__xludf.DUMMYFUNCTION("SPLIT('2. c'!B3734, "" "", True, True)"),"Mycoplasma")</f>
        <v>Mycoplasma</v>
      </c>
      <c r="D3734" t="str">
        <f>IFERROR(__xludf.DUMMYFUNCTION("""COMPUTED_VALUE"""),"mycoides")</f>
        <v>mycoides</v>
      </c>
      <c r="E3734" t="str">
        <f>IFERROR(__xludf.DUMMYFUNCTION("""COMPUTED_VALUE"""),"subsp.")</f>
        <v>subsp.</v>
      </c>
      <c r="F3734" t="str">
        <f>IFERROR(__xludf.DUMMYFUNCTION("""COMPUTED_VALUE"""),"mycoides")</f>
        <v>mycoides</v>
      </c>
      <c r="G3734" t="str">
        <f>IFERROR(__xludf.DUMMYFUNCTION("""COMPUTED_VALUE"""),"SC")</f>
        <v>SC</v>
      </c>
      <c r="H3734" t="str">
        <f>IFERROR(__xludf.DUMMYFUNCTION("""COMPUTED_VALUE"""),"str.")</f>
        <v>str.</v>
      </c>
      <c r="I3734" t="str">
        <f>IFERROR(__xludf.DUMMYFUNCTION("""COMPUTED_VALUE"""),"PG1")</f>
        <v>PG1</v>
      </c>
    </row>
    <row r="3735" ht="15.75" customHeight="1">
      <c r="A3735" t="str">
        <f t="shared" si="1"/>
        <v>M.mycoides</v>
      </c>
      <c r="B3735" s="5" t="s">
        <v>21490</v>
      </c>
      <c r="C3735" s="6" t="str">
        <f>IFERROR(__xludf.DUMMYFUNCTION("SPLIT('2. c'!B3735, "" "", True, True)"),"Mycoplasma")</f>
        <v>Mycoplasma</v>
      </c>
      <c r="D3735" t="str">
        <f>IFERROR(__xludf.DUMMYFUNCTION("""COMPUTED_VALUE"""),"mycoides")</f>
        <v>mycoides</v>
      </c>
      <c r="E3735" t="str">
        <f>IFERROR(__xludf.DUMMYFUNCTION("""COMPUTED_VALUE"""),"subsp.")</f>
        <v>subsp.</v>
      </c>
      <c r="F3735" t="str">
        <f>IFERROR(__xludf.DUMMYFUNCTION("""COMPUTED_VALUE"""),"mycoides")</f>
        <v>mycoides</v>
      </c>
      <c r="G3735" t="str">
        <f>IFERROR(__xludf.DUMMYFUNCTION("""COMPUTED_VALUE"""),"strain")</f>
        <v>strain</v>
      </c>
      <c r="H3735" t="str">
        <f>IFERROR(__xludf.DUMMYFUNCTION("""COMPUTED_VALUE"""),"B237")</f>
        <v>B237</v>
      </c>
    </row>
    <row r="3736" ht="15.75" customHeight="1">
      <c r="A3736" t="str">
        <f t="shared" si="1"/>
        <v>M.ovis</v>
      </c>
      <c r="B3736" s="5" t="s">
        <v>21505</v>
      </c>
      <c r="C3736" s="6" t="str">
        <f>IFERROR(__xludf.DUMMYFUNCTION("SPLIT('2. c'!B3736, "" "", True, True)"),"Mycoplasma")</f>
        <v>Mycoplasma</v>
      </c>
      <c r="D3736" t="str">
        <f>IFERROR(__xludf.DUMMYFUNCTION("""COMPUTED_VALUE"""),"ovis")</f>
        <v>ovis</v>
      </c>
      <c r="E3736" t="str">
        <f>IFERROR(__xludf.DUMMYFUNCTION("""COMPUTED_VALUE"""),"str.")</f>
        <v>str.</v>
      </c>
      <c r="F3736" t="str">
        <f>IFERROR(__xludf.DUMMYFUNCTION("""COMPUTED_VALUE"""),"Michigan")</f>
        <v>Michigan</v>
      </c>
    </row>
    <row r="3737" ht="15.75" customHeight="1">
      <c r="A3737" t="str">
        <f t="shared" si="1"/>
        <v>M.parvum</v>
      </c>
      <c r="B3737" s="5" t="s">
        <v>21513</v>
      </c>
      <c r="C3737" s="6" t="str">
        <f>IFERROR(__xludf.DUMMYFUNCTION("SPLIT('2. c'!B3737, "" "", True, True)"),"Mycoplasma")</f>
        <v>Mycoplasma</v>
      </c>
      <c r="D3737" t="str">
        <f>IFERROR(__xludf.DUMMYFUNCTION("""COMPUTED_VALUE"""),"parvum")</f>
        <v>parvum</v>
      </c>
      <c r="E3737" t="str">
        <f>IFERROR(__xludf.DUMMYFUNCTION("""COMPUTED_VALUE"""),"str.")</f>
        <v>str.</v>
      </c>
      <c r="F3737" t="str">
        <f>IFERROR(__xludf.DUMMYFUNCTION("""COMPUTED_VALUE"""),"Indiana")</f>
        <v>Indiana</v>
      </c>
    </row>
    <row r="3738" ht="15.75" customHeight="1">
      <c r="A3738" t="str">
        <f t="shared" si="1"/>
        <v>M.penetrans</v>
      </c>
      <c r="B3738" s="5" t="s">
        <v>21520</v>
      </c>
      <c r="C3738" s="6" t="str">
        <f>IFERROR(__xludf.DUMMYFUNCTION("SPLIT('2. c'!B3738, "" "", True, True)"),"Mycoplasma")</f>
        <v>Mycoplasma</v>
      </c>
      <c r="D3738" t="str">
        <f>IFERROR(__xludf.DUMMYFUNCTION("""COMPUTED_VALUE"""),"penetrans")</f>
        <v>penetrans</v>
      </c>
      <c r="E3738" t="str">
        <f>IFERROR(__xludf.DUMMYFUNCTION("""COMPUTED_VALUE"""),"HF-2")</f>
        <v>HF-2</v>
      </c>
    </row>
    <row r="3739" ht="15.75" customHeight="1">
      <c r="A3739" t="str">
        <f t="shared" si="1"/>
        <v>M.pneumoniae</v>
      </c>
      <c r="B3739" s="5" t="s">
        <v>21527</v>
      </c>
      <c r="C3739" s="6" t="str">
        <f>IFERROR(__xludf.DUMMYFUNCTION("SPLIT('2. c'!B3739, "" "", True, True)"),"Mycoplasma")</f>
        <v>Mycoplasma</v>
      </c>
      <c r="D3739" t="str">
        <f>IFERROR(__xludf.DUMMYFUNCTION("""COMPUTED_VALUE"""),"pneumoniae")</f>
        <v>pneumoniae</v>
      </c>
      <c r="E3739">
        <f>IFERROR(__xludf.DUMMYFUNCTION("""COMPUTED_VALUE"""),309.0)</f>
        <v>309</v>
      </c>
    </row>
    <row r="3740" ht="15.75" customHeight="1">
      <c r="A3740" t="str">
        <f t="shared" si="1"/>
        <v>M.pneumoniae</v>
      </c>
      <c r="B3740" s="5" t="s">
        <v>21534</v>
      </c>
      <c r="C3740" s="6" t="str">
        <f>IFERROR(__xludf.DUMMYFUNCTION("SPLIT('2. c'!B3740, "" "", True, True)"),"Mycoplasma")</f>
        <v>Mycoplasma</v>
      </c>
      <c r="D3740" t="str">
        <f>IFERROR(__xludf.DUMMYFUNCTION("""COMPUTED_VALUE"""),"pneumoniae")</f>
        <v>pneumoniae</v>
      </c>
      <c r="E3740">
        <f>IFERROR(__xludf.DUMMYFUNCTION("""COMPUTED_VALUE"""),39443.0)</f>
        <v>39443</v>
      </c>
    </row>
    <row r="3741" ht="15.75" customHeight="1">
      <c r="A3741" t="str">
        <f t="shared" si="1"/>
        <v>M.pneumoniae</v>
      </c>
      <c r="B3741" s="5" t="s">
        <v>21541</v>
      </c>
      <c r="C3741" s="6" t="str">
        <f>IFERROR(__xludf.DUMMYFUNCTION("SPLIT('2. c'!B3741, "" "", True, True)"),"Mycoplasma")</f>
        <v>Mycoplasma</v>
      </c>
      <c r="D3741" t="str">
        <f>IFERROR(__xludf.DUMMYFUNCTION("""COMPUTED_VALUE"""),"pneumoniae")</f>
        <v>pneumoniae</v>
      </c>
      <c r="E3741">
        <f>IFERROR(__xludf.DUMMYFUNCTION("""COMPUTED_VALUE"""),51494.0)</f>
        <v>51494</v>
      </c>
    </row>
    <row r="3742" ht="15.75" customHeight="1">
      <c r="A3742" t="str">
        <f t="shared" si="1"/>
        <v>M.pneumoniae</v>
      </c>
      <c r="B3742" s="5" t="s">
        <v>21548</v>
      </c>
      <c r="C3742" s="6" t="str">
        <f>IFERROR(__xludf.DUMMYFUNCTION("SPLIT('2. c'!B3742, "" "", True, True)"),"Mycoplasma")</f>
        <v>Mycoplasma</v>
      </c>
      <c r="D3742" t="str">
        <f>IFERROR(__xludf.DUMMYFUNCTION("""COMPUTED_VALUE"""),"pneumoniae")</f>
        <v>pneumoniae</v>
      </c>
      <c r="E3742">
        <f>IFERROR(__xludf.DUMMYFUNCTION("""COMPUTED_VALUE"""),54089.0)</f>
        <v>54089</v>
      </c>
    </row>
    <row r="3743" ht="15.75" customHeight="1">
      <c r="A3743" t="str">
        <f t="shared" si="1"/>
        <v>M.pneumoniae</v>
      </c>
      <c r="B3743" s="5" t="s">
        <v>21557</v>
      </c>
      <c r="C3743" s="6" t="str">
        <f>IFERROR(__xludf.DUMMYFUNCTION("SPLIT('2. c'!B3743, "" "", True, True)"),"Mycoplasma")</f>
        <v>Mycoplasma</v>
      </c>
      <c r="D3743" t="str">
        <f>IFERROR(__xludf.DUMMYFUNCTION("""COMPUTED_VALUE"""),"pneumoniae")</f>
        <v>pneumoniae</v>
      </c>
      <c r="E3743">
        <f>IFERROR(__xludf.DUMMYFUNCTION("""COMPUTED_VALUE"""),54524.0)</f>
        <v>54524</v>
      </c>
    </row>
    <row r="3744" ht="15.75" customHeight="1">
      <c r="A3744" t="str">
        <f t="shared" si="1"/>
        <v>M.pneumoniae</v>
      </c>
      <c r="B3744" s="5" t="s">
        <v>21568</v>
      </c>
      <c r="C3744" s="6" t="str">
        <f>IFERROR(__xludf.DUMMYFUNCTION("SPLIT('2. c'!B3744, "" "", True, True)"),"Mycoplasma")</f>
        <v>Mycoplasma</v>
      </c>
      <c r="D3744" t="str">
        <f>IFERROR(__xludf.DUMMYFUNCTION("""COMPUTED_VALUE"""),"pneumoniae")</f>
        <v>pneumoniae</v>
      </c>
      <c r="E3744">
        <f>IFERROR(__xludf.DUMMYFUNCTION("""COMPUTED_VALUE"""),85084.0)</f>
        <v>85084</v>
      </c>
    </row>
    <row r="3745" ht="15.75" customHeight="1">
      <c r="A3745" t="str">
        <f t="shared" si="1"/>
        <v>M.pneumoniae</v>
      </c>
      <c r="B3745" s="5" t="s">
        <v>21577</v>
      </c>
      <c r="C3745" s="6" t="str">
        <f>IFERROR(__xludf.DUMMYFUNCTION("SPLIT('2. c'!B3745, "" "", True, True)"),"Mycoplasma")</f>
        <v>Mycoplasma</v>
      </c>
      <c r="D3745" t="str">
        <f>IFERROR(__xludf.DUMMYFUNCTION("""COMPUTED_VALUE"""),"pneumoniae")</f>
        <v>pneumoniae</v>
      </c>
      <c r="E3745">
        <f>IFERROR(__xludf.DUMMYFUNCTION("""COMPUTED_VALUE"""),85138.0)</f>
        <v>85138</v>
      </c>
    </row>
    <row r="3746" ht="15.75" customHeight="1">
      <c r="A3746" t="str">
        <f t="shared" si="1"/>
        <v>M.pneumoniae</v>
      </c>
      <c r="B3746" s="5" t="s">
        <v>21585</v>
      </c>
      <c r="C3746" s="6" t="str">
        <f>IFERROR(__xludf.DUMMYFUNCTION("SPLIT('2. c'!B3746, "" "", True, True)"),"Mycoplasma")</f>
        <v>Mycoplasma</v>
      </c>
      <c r="D3746" t="str">
        <f>IFERROR(__xludf.DUMMYFUNCTION("""COMPUTED_VALUE"""),"pneumoniae")</f>
        <v>pneumoniae</v>
      </c>
      <c r="E3746" t="str">
        <f>IFERROR(__xludf.DUMMYFUNCTION("""COMPUTED_VALUE"""),"FH")</f>
        <v>FH</v>
      </c>
    </row>
    <row r="3747" ht="15.75" customHeight="1">
      <c r="A3747" t="str">
        <f t="shared" si="1"/>
        <v>M.pneumoniae</v>
      </c>
      <c r="B3747" s="5" t="s">
        <v>21585</v>
      </c>
      <c r="C3747" s="6" t="str">
        <f>IFERROR(__xludf.DUMMYFUNCTION("SPLIT('2. c'!B3747, "" "", True, True)"),"Mycoplasma")</f>
        <v>Mycoplasma</v>
      </c>
      <c r="D3747" t="str">
        <f>IFERROR(__xludf.DUMMYFUNCTION("""COMPUTED_VALUE"""),"pneumoniae")</f>
        <v>pneumoniae</v>
      </c>
      <c r="E3747" t="str">
        <f>IFERROR(__xludf.DUMMYFUNCTION("""COMPUTED_VALUE"""),"FH")</f>
        <v>FH</v>
      </c>
    </row>
    <row r="3748" ht="15.75" customHeight="1">
      <c r="A3748" t="str">
        <f t="shared" si="1"/>
        <v>M.pneumoniae</v>
      </c>
      <c r="B3748" s="5" t="s">
        <v>21600</v>
      </c>
      <c r="C3748" s="6" t="str">
        <f>IFERROR(__xludf.DUMMYFUNCTION("SPLIT('2. c'!B3748, "" "", True, True)"),"Mycoplasma")</f>
        <v>Mycoplasma</v>
      </c>
      <c r="D3748" t="str">
        <f>IFERROR(__xludf.DUMMYFUNCTION("""COMPUTED_VALUE"""),"pneumoniae")</f>
        <v>pneumoniae</v>
      </c>
      <c r="E3748" t="str">
        <f>IFERROR(__xludf.DUMMYFUNCTION("""COMPUTED_VALUE"""),"M1139")</f>
        <v>M1139</v>
      </c>
    </row>
    <row r="3749" ht="15.75" customHeight="1">
      <c r="A3749" t="str">
        <f t="shared" si="1"/>
        <v>M.pneumoniae</v>
      </c>
      <c r="B3749" s="5" t="s">
        <v>21607</v>
      </c>
      <c r="C3749" s="6" t="str">
        <f>IFERROR(__xludf.DUMMYFUNCTION("SPLIT('2. c'!B3749, "" "", True, True)"),"Mycoplasma")</f>
        <v>Mycoplasma</v>
      </c>
      <c r="D3749" t="str">
        <f>IFERROR(__xludf.DUMMYFUNCTION("""COMPUTED_VALUE"""),"pneumoniae")</f>
        <v>pneumoniae</v>
      </c>
      <c r="E3749" t="str">
        <f>IFERROR(__xludf.DUMMYFUNCTION("""COMPUTED_VALUE"""),"M129")</f>
        <v>M129</v>
      </c>
    </row>
    <row r="3750" ht="15.75" customHeight="1">
      <c r="A3750" t="str">
        <f t="shared" si="1"/>
        <v>M.pneumoniae</v>
      </c>
      <c r="B3750" s="5" t="s">
        <v>21615</v>
      </c>
      <c r="C3750" s="6" t="str">
        <f>IFERROR(__xludf.DUMMYFUNCTION("SPLIT('2. c'!B3750, "" "", True, True)"),"Mycoplasma")</f>
        <v>Mycoplasma</v>
      </c>
      <c r="D3750" t="str">
        <f>IFERROR(__xludf.DUMMYFUNCTION("""COMPUTED_VALUE"""),"pneumoniae")</f>
        <v>pneumoniae</v>
      </c>
      <c r="E3750" t="str">
        <f>IFERROR(__xludf.DUMMYFUNCTION("""COMPUTED_VALUE"""),"M129-B7")</f>
        <v>M129-B7</v>
      </c>
    </row>
    <row r="3751" ht="15.75" customHeight="1">
      <c r="A3751" t="str">
        <f t="shared" si="1"/>
        <v>M.pneumoniae</v>
      </c>
      <c r="B3751" s="5" t="s">
        <v>21619</v>
      </c>
      <c r="C3751" s="6" t="str">
        <f>IFERROR(__xludf.DUMMYFUNCTION("SPLIT('2. c'!B3751, "" "", True, True)"),"Mycoplasma")</f>
        <v>Mycoplasma</v>
      </c>
      <c r="D3751" t="str">
        <f>IFERROR(__xludf.DUMMYFUNCTION("""COMPUTED_VALUE"""),"pneumoniae")</f>
        <v>pneumoniae</v>
      </c>
      <c r="E3751" t="str">
        <f>IFERROR(__xludf.DUMMYFUNCTION("""COMPUTED_VALUE"""),"M2592")</f>
        <v>M2592</v>
      </c>
    </row>
    <row r="3752" ht="15.75" customHeight="1">
      <c r="A3752" t="str">
        <f t="shared" si="1"/>
        <v>M.pneumoniae</v>
      </c>
      <c r="B3752" s="5" t="s">
        <v>21626</v>
      </c>
      <c r="C3752" s="6" t="str">
        <f>IFERROR(__xludf.DUMMYFUNCTION("SPLIT('2. c'!B3752, "" "", True, True)"),"Mycoplasma")</f>
        <v>Mycoplasma</v>
      </c>
      <c r="D3752" t="str">
        <f>IFERROR(__xludf.DUMMYFUNCTION("""COMPUTED_VALUE"""),"pneumoniae")</f>
        <v>pneumoniae</v>
      </c>
      <c r="E3752" t="str">
        <f>IFERROR(__xludf.DUMMYFUNCTION("""COMPUTED_VALUE"""),"M29")</f>
        <v>M29</v>
      </c>
    </row>
    <row r="3753" ht="15.75" customHeight="1">
      <c r="A3753" t="str">
        <f t="shared" si="1"/>
        <v>M.pneumoniae</v>
      </c>
      <c r="B3753" s="5" t="s">
        <v>21635</v>
      </c>
      <c r="C3753" s="6" t="str">
        <f>IFERROR(__xludf.DUMMYFUNCTION("SPLIT('2. c'!B3753, "" "", True, True)"),"Mycoplasma")</f>
        <v>Mycoplasma</v>
      </c>
      <c r="D3753" t="str">
        <f>IFERROR(__xludf.DUMMYFUNCTION("""COMPUTED_VALUE"""),"pneumoniae")</f>
        <v>pneumoniae</v>
      </c>
      <c r="E3753" t="str">
        <f>IFERROR(__xludf.DUMMYFUNCTION("""COMPUTED_VALUE"""),"MAC")</f>
        <v>MAC</v>
      </c>
    </row>
    <row r="3754" ht="15.75" customHeight="1">
      <c r="A3754" t="str">
        <f t="shared" si="1"/>
        <v>M.pneumoniae</v>
      </c>
      <c r="B3754" s="5" t="s">
        <v>21643</v>
      </c>
      <c r="C3754" s="6" t="str">
        <f>IFERROR(__xludf.DUMMYFUNCTION("SPLIT('2. c'!B3754, "" "", True, True)"),"Mycoplasma")</f>
        <v>Mycoplasma</v>
      </c>
      <c r="D3754" t="str">
        <f>IFERROR(__xludf.DUMMYFUNCTION("""COMPUTED_VALUE"""),"pneumoniae")</f>
        <v>pneumoniae</v>
      </c>
      <c r="E3754" t="str">
        <f>IFERROR(__xludf.DUMMYFUNCTION("""COMPUTED_VALUE"""),"strain")</f>
        <v>strain</v>
      </c>
      <c r="F3754" t="str">
        <f>IFERROR(__xludf.DUMMYFUNCTION("""COMPUTED_VALUE"""),"C267")</f>
        <v>C267</v>
      </c>
    </row>
    <row r="3755" ht="15.75" customHeight="1">
      <c r="A3755" t="str">
        <f t="shared" si="1"/>
        <v>M.pneumoniae</v>
      </c>
      <c r="B3755" s="5" t="s">
        <v>21653</v>
      </c>
      <c r="C3755" s="6" t="str">
        <f>IFERROR(__xludf.DUMMYFUNCTION("SPLIT('2. c'!B3755, "" "", True, True)"),"Mycoplasma")</f>
        <v>Mycoplasma</v>
      </c>
      <c r="D3755" t="str">
        <f>IFERROR(__xludf.DUMMYFUNCTION("""COMPUTED_VALUE"""),"pneumoniae")</f>
        <v>pneumoniae</v>
      </c>
      <c r="E3755" t="str">
        <f>IFERROR(__xludf.DUMMYFUNCTION("""COMPUTED_VALUE"""),"strain")</f>
        <v>strain</v>
      </c>
      <c r="F3755" t="str">
        <f>IFERROR(__xludf.DUMMYFUNCTION("""COMPUTED_VALUE"""),"M2192")</f>
        <v>M2192</v>
      </c>
    </row>
    <row r="3756" ht="15.75" customHeight="1">
      <c r="A3756" t="str">
        <f t="shared" si="1"/>
        <v>M.pneumoniae</v>
      </c>
      <c r="B3756" s="5" t="s">
        <v>21662</v>
      </c>
      <c r="C3756" s="6" t="str">
        <f>IFERROR(__xludf.DUMMYFUNCTION("SPLIT('2. c'!B3756, "" "", True, True)"),"Mycoplasma")</f>
        <v>Mycoplasma</v>
      </c>
      <c r="D3756" t="str">
        <f>IFERROR(__xludf.DUMMYFUNCTION("""COMPUTED_VALUE"""),"pneumoniae")</f>
        <v>pneumoniae</v>
      </c>
      <c r="E3756" t="str">
        <f>IFERROR(__xludf.DUMMYFUNCTION("""COMPUTED_VALUE"""),"strain")</f>
        <v>strain</v>
      </c>
      <c r="F3756" t="str">
        <f>IFERROR(__xludf.DUMMYFUNCTION("""COMPUTED_VALUE"""),"S355")</f>
        <v>S355</v>
      </c>
    </row>
    <row r="3757" ht="15.75" customHeight="1">
      <c r="A3757" t="str">
        <f t="shared" si="1"/>
        <v>M.pulmonis</v>
      </c>
      <c r="B3757" s="5" t="s">
        <v>21670</v>
      </c>
      <c r="C3757" s="6" t="str">
        <f>IFERROR(__xludf.DUMMYFUNCTION("SPLIT('2. c'!B3757, "" "", True, True)"),"Mycoplasma")</f>
        <v>Mycoplasma</v>
      </c>
      <c r="D3757" t="str">
        <f>IFERROR(__xludf.DUMMYFUNCTION("""COMPUTED_VALUE"""),"pulmonis")</f>
        <v>pulmonis</v>
      </c>
      <c r="E3757" t="str">
        <f>IFERROR(__xludf.DUMMYFUNCTION("""COMPUTED_VALUE"""),"UAB")</f>
        <v>UAB</v>
      </c>
      <c r="F3757" t="str">
        <f>IFERROR(__xludf.DUMMYFUNCTION("""COMPUTED_VALUE"""),"CTIP")</f>
        <v>CTIP</v>
      </c>
    </row>
    <row r="3758" ht="15.75" customHeight="1">
      <c r="A3758" t="str">
        <f t="shared" si="1"/>
        <v>M.putrefaciens</v>
      </c>
      <c r="B3758" s="5" t="s">
        <v>21679</v>
      </c>
      <c r="C3758" s="6" t="str">
        <f>IFERROR(__xludf.DUMMYFUNCTION("SPLIT('2. c'!B3758, "" "", True, True)"),"Mycoplasma")</f>
        <v>Mycoplasma</v>
      </c>
      <c r="D3758" t="str">
        <f>IFERROR(__xludf.DUMMYFUNCTION("""COMPUTED_VALUE"""),"putrefaciens")</f>
        <v>putrefaciens</v>
      </c>
      <c r="E3758" t="str">
        <f>IFERROR(__xludf.DUMMYFUNCTION("""COMPUTED_VALUE"""),"KS1")</f>
        <v>KS1</v>
      </c>
    </row>
    <row r="3759" ht="15.75" customHeight="1">
      <c r="A3759" t="str">
        <f t="shared" si="1"/>
        <v>M.putrefaciens</v>
      </c>
      <c r="B3759" s="5" t="s">
        <v>21687</v>
      </c>
      <c r="C3759" s="6" t="str">
        <f>IFERROR(__xludf.DUMMYFUNCTION("SPLIT('2. c'!B3759, "" "", True, True)"),"Mycoplasma")</f>
        <v>Mycoplasma</v>
      </c>
      <c r="D3759" t="str">
        <f>IFERROR(__xludf.DUMMYFUNCTION("""COMPUTED_VALUE"""),"putrefaciens")</f>
        <v>putrefaciens</v>
      </c>
      <c r="E3759" t="str">
        <f>IFERROR(__xludf.DUMMYFUNCTION("""COMPUTED_VALUE"""),"Mput9231")</f>
        <v>Mput9231</v>
      </c>
    </row>
    <row r="3760" ht="15.75" customHeight="1">
      <c r="A3760" t="str">
        <f t="shared" si="1"/>
        <v>M.sp.</v>
      </c>
      <c r="B3760" s="5" t="s">
        <v>21694</v>
      </c>
      <c r="C3760" s="6" t="str">
        <f>IFERROR(__xludf.DUMMYFUNCTION("SPLIT('2. c'!B3760, "" "", True, True)"),"Mycoplasma")</f>
        <v>Mycoplasma</v>
      </c>
      <c r="D3760" t="str">
        <f>IFERROR(__xludf.DUMMYFUNCTION("""COMPUTED_VALUE"""),"sp.")</f>
        <v>sp.</v>
      </c>
      <c r="E3760" t="str">
        <f>IFERROR(__xludf.DUMMYFUNCTION("""COMPUTED_VALUE"""),"(ex")</f>
        <v>(ex</v>
      </c>
      <c r="F3760" t="str">
        <f>IFERROR(__xludf.DUMMYFUNCTION("""COMPUTED_VALUE"""),"Biomphalaria")</f>
        <v>Biomphalaria</v>
      </c>
      <c r="G3760" t="str">
        <f>IFERROR(__xludf.DUMMYFUNCTION("""COMPUTED_VALUE"""),"glabrata)")</f>
        <v>glabrata)</v>
      </c>
    </row>
    <row r="3761" ht="15.75" customHeight="1">
      <c r="A3761" t="str">
        <f t="shared" si="1"/>
        <v>M.suis</v>
      </c>
      <c r="B3761" s="5" t="s">
        <v>21704</v>
      </c>
      <c r="C3761" s="6" t="str">
        <f>IFERROR(__xludf.DUMMYFUNCTION("SPLIT('2. c'!B3761, "" "", True, True)"),"Mycoplasma")</f>
        <v>Mycoplasma</v>
      </c>
      <c r="D3761" t="str">
        <f>IFERROR(__xludf.DUMMYFUNCTION("""COMPUTED_VALUE"""),"suis")</f>
        <v>suis</v>
      </c>
      <c r="E3761" t="str">
        <f>IFERROR(__xludf.DUMMYFUNCTION("""COMPUTED_VALUE"""),"KI3806")</f>
        <v>KI3806</v>
      </c>
    </row>
    <row r="3762" ht="15.75" customHeight="1">
      <c r="A3762" t="str">
        <f t="shared" si="1"/>
        <v>M.suis</v>
      </c>
      <c r="B3762" s="5" t="s">
        <v>21713</v>
      </c>
      <c r="C3762" s="6" t="str">
        <f>IFERROR(__xludf.DUMMYFUNCTION("SPLIT('2. c'!B3762, "" "", True, True)"),"Mycoplasma")</f>
        <v>Mycoplasma</v>
      </c>
      <c r="D3762" t="str">
        <f>IFERROR(__xludf.DUMMYFUNCTION("""COMPUTED_VALUE"""),"suis")</f>
        <v>suis</v>
      </c>
      <c r="E3762" t="str">
        <f>IFERROR(__xludf.DUMMYFUNCTION("""COMPUTED_VALUE"""),"str.")</f>
        <v>str.</v>
      </c>
      <c r="F3762" t="str">
        <f>IFERROR(__xludf.DUMMYFUNCTION("""COMPUTED_VALUE"""),"Illinois")</f>
        <v>Illinois</v>
      </c>
    </row>
    <row r="3763" ht="15.75" customHeight="1">
      <c r="A3763" t="str">
        <f t="shared" si="1"/>
        <v>M.synoviae</v>
      </c>
      <c r="B3763" s="5" t="s">
        <v>21721</v>
      </c>
      <c r="C3763" s="6" t="str">
        <f>IFERROR(__xludf.DUMMYFUNCTION("SPLIT('2. c'!B3763, "" "", True, True)"),"Mycoplasma")</f>
        <v>Mycoplasma</v>
      </c>
      <c r="D3763" t="str">
        <f>IFERROR(__xludf.DUMMYFUNCTION("""COMPUTED_VALUE"""),"synoviae")</f>
        <v>synoviae</v>
      </c>
      <c r="E3763">
        <f>IFERROR(__xludf.DUMMYFUNCTION("""COMPUTED_VALUE"""),53.0)</f>
        <v>53</v>
      </c>
    </row>
    <row r="3764" ht="15.75" customHeight="1">
      <c r="A3764" t="str">
        <f t="shared" si="1"/>
        <v>M.synoviae</v>
      </c>
      <c r="B3764" s="5" t="s">
        <v>21730</v>
      </c>
      <c r="C3764" s="6" t="str">
        <f>IFERROR(__xludf.DUMMYFUNCTION("SPLIT('2. c'!B3764, "" "", True, True)"),"Mycoplasma")</f>
        <v>Mycoplasma</v>
      </c>
      <c r="D3764" t="str">
        <f>IFERROR(__xludf.DUMMYFUNCTION("""COMPUTED_VALUE"""),"synoviae")</f>
        <v>synoviae</v>
      </c>
      <c r="E3764" t="str">
        <f>IFERROR(__xludf.DUMMYFUNCTION("""COMPUTED_VALUE"""),"ATCC")</f>
        <v>ATCC</v>
      </c>
      <c r="F3764">
        <f>IFERROR(__xludf.DUMMYFUNCTION("""COMPUTED_VALUE"""),25204.0)</f>
        <v>25204</v>
      </c>
    </row>
    <row r="3765" ht="15.75" customHeight="1">
      <c r="A3765" t="str">
        <f t="shared" si="1"/>
        <v>M.wenyonii</v>
      </c>
      <c r="B3765" s="5" t="s">
        <v>21738</v>
      </c>
      <c r="C3765" s="6" t="str">
        <f>IFERROR(__xludf.DUMMYFUNCTION("SPLIT('2. c'!B3765, "" "", True, True)"),"Mycoplasma")</f>
        <v>Mycoplasma</v>
      </c>
      <c r="D3765" t="str">
        <f>IFERROR(__xludf.DUMMYFUNCTION("""COMPUTED_VALUE"""),"wenyonii")</f>
        <v>wenyonii</v>
      </c>
      <c r="E3765" t="str">
        <f>IFERROR(__xludf.DUMMYFUNCTION("""COMPUTED_VALUE"""),"str.")</f>
        <v>str.</v>
      </c>
      <c r="F3765" t="str">
        <f>IFERROR(__xludf.DUMMYFUNCTION("""COMPUTED_VALUE"""),"Massachusetts")</f>
        <v>Massachusetts</v>
      </c>
    </row>
    <row r="3766" ht="15.75" customHeight="1">
      <c r="A3766" t="str">
        <f t="shared" si="1"/>
        <v>M.yeatsii</v>
      </c>
      <c r="B3766" s="5" t="s">
        <v>21746</v>
      </c>
      <c r="C3766" s="6" t="str">
        <f>IFERROR(__xludf.DUMMYFUNCTION("SPLIT('2. c'!B3766, "" "", True, True)"),"Mycoplasma")</f>
        <v>Mycoplasma</v>
      </c>
      <c r="D3766" t="str">
        <f>IFERROR(__xludf.DUMMYFUNCTION("""COMPUTED_VALUE"""),"yeatsii")</f>
        <v>yeatsii</v>
      </c>
      <c r="E3766" t="str">
        <f>IFERROR(__xludf.DUMMYFUNCTION("""COMPUTED_VALUE"""),"GM274B")</f>
        <v>GM274B</v>
      </c>
    </row>
    <row r="3767" ht="15.75" customHeight="1">
      <c r="A3767" t="str">
        <f t="shared" si="1"/>
        <v>M.odoratimimus</v>
      </c>
      <c r="B3767" s="5" t="s">
        <v>21755</v>
      </c>
      <c r="C3767" s="6" t="str">
        <f>IFERROR(__xludf.DUMMYFUNCTION("SPLIT('2. c'!B3767, "" "", True, True)"),"Myroides")</f>
        <v>Myroides</v>
      </c>
      <c r="D3767" t="str">
        <f>IFERROR(__xludf.DUMMYFUNCTION("""COMPUTED_VALUE"""),"odoratimimus")</f>
        <v>odoratimimus</v>
      </c>
      <c r="E3767" t="str">
        <f>IFERROR(__xludf.DUMMYFUNCTION("""COMPUTED_VALUE"""),"strain")</f>
        <v>strain</v>
      </c>
      <c r="F3767" t="str">
        <f>IFERROR(__xludf.DUMMYFUNCTION("""COMPUTED_VALUE"""),"PR63039")</f>
        <v>PR63039</v>
      </c>
    </row>
    <row r="3768" ht="15.75" customHeight="1">
      <c r="A3768" t="str">
        <f t="shared" si="1"/>
        <v>M.profundi</v>
      </c>
      <c r="B3768" s="5" t="s">
        <v>21763</v>
      </c>
      <c r="C3768" s="6" t="str">
        <f>IFERROR(__xludf.DUMMYFUNCTION("SPLIT('2. c'!B3768, "" "", True, True)"),"Myroides")</f>
        <v>Myroides</v>
      </c>
      <c r="D3768" t="str">
        <f>IFERROR(__xludf.DUMMYFUNCTION("""COMPUTED_VALUE"""),"profundi")</f>
        <v>profundi</v>
      </c>
      <c r="E3768" t="str">
        <f>IFERROR(__xludf.DUMMYFUNCTION("""COMPUTED_VALUE"""),"D25")</f>
        <v>D25</v>
      </c>
    </row>
    <row r="3769" ht="15.75" customHeight="1">
      <c r="A3769" t="str">
        <f t="shared" si="1"/>
        <v>M.sp.</v>
      </c>
      <c r="B3769" s="5" t="s">
        <v>21775</v>
      </c>
      <c r="C3769" s="6" t="str">
        <f>IFERROR(__xludf.DUMMYFUNCTION("SPLIT('2. c'!B3769, "" "", True, True)"),"Myroides")</f>
        <v>Myroides</v>
      </c>
      <c r="D3769" t="str">
        <f>IFERROR(__xludf.DUMMYFUNCTION("""COMPUTED_VALUE"""),"sp.")</f>
        <v>sp.</v>
      </c>
      <c r="E3769" t="str">
        <f>IFERROR(__xludf.DUMMYFUNCTION("""COMPUTED_VALUE"""),"A21")</f>
        <v>A21</v>
      </c>
    </row>
    <row r="3770" ht="15.75" customHeight="1">
      <c r="A3770" t="str">
        <f t="shared" si="1"/>
        <v>M.fulvus</v>
      </c>
      <c r="B3770" s="5" t="s">
        <v>21786</v>
      </c>
      <c r="C3770" s="6" t="str">
        <f>IFERROR(__xludf.DUMMYFUNCTION("SPLIT('2. c'!B3770, "" "", True, True)"),"Myxococcus")</f>
        <v>Myxococcus</v>
      </c>
      <c r="D3770" t="str">
        <f>IFERROR(__xludf.DUMMYFUNCTION("""COMPUTED_VALUE"""),"fulvus")</f>
        <v>fulvus</v>
      </c>
      <c r="E3770" t="str">
        <f>IFERROR(__xludf.DUMMYFUNCTION("""COMPUTED_VALUE"""),"124B02")</f>
        <v>124B02</v>
      </c>
    </row>
    <row r="3771" ht="15.75" customHeight="1">
      <c r="A3771" t="str">
        <f t="shared" si="1"/>
        <v>M.fulvus</v>
      </c>
      <c r="B3771" s="5" t="s">
        <v>21797</v>
      </c>
      <c r="C3771" s="6" t="str">
        <f>IFERROR(__xludf.DUMMYFUNCTION("SPLIT('2. c'!B3771, "" "", True, True)"),"Myxococcus")</f>
        <v>Myxococcus</v>
      </c>
      <c r="D3771" t="str">
        <f>IFERROR(__xludf.DUMMYFUNCTION("""COMPUTED_VALUE"""),"fulvus")</f>
        <v>fulvus</v>
      </c>
      <c r="E3771" t="str">
        <f>IFERROR(__xludf.DUMMYFUNCTION("""COMPUTED_VALUE"""),"HW-1")</f>
        <v>HW-1</v>
      </c>
    </row>
    <row r="3772" ht="15.75" customHeight="1">
      <c r="A3772" t="str">
        <f t="shared" si="1"/>
        <v>M.sp.</v>
      </c>
      <c r="B3772" s="5" t="s">
        <v>21810</v>
      </c>
      <c r="C3772" s="6" t="str">
        <f>IFERROR(__xludf.DUMMYFUNCTION("SPLIT('2. c'!B3772, "" "", True, True)"),"Myxococcus")</f>
        <v>Myxococcus</v>
      </c>
      <c r="D3772" t="str">
        <f>IFERROR(__xludf.DUMMYFUNCTION("""COMPUTED_VALUE"""),"sp.")</f>
        <v>sp.</v>
      </c>
      <c r="E3772" t="str">
        <f>IFERROR(__xludf.DUMMYFUNCTION("""COMPUTED_VALUE"""),"(contaminant")</f>
        <v>(contaminant</v>
      </c>
      <c r="F3772" t="str">
        <f>IFERROR(__xludf.DUMMYFUNCTION("""COMPUTED_VALUE"""),"ex")</f>
        <v>ex</v>
      </c>
      <c r="G3772" t="str">
        <f>IFERROR(__xludf.DUMMYFUNCTION("""COMPUTED_VALUE"""),"DSM")</f>
        <v>DSM</v>
      </c>
      <c r="H3772" t="str">
        <f>IFERROR(__xludf.DUMMYFUNCTION("""COMPUTED_VALUE"""),"436)")</f>
        <v>436)</v>
      </c>
    </row>
    <row r="3773" ht="15.75" customHeight="1">
      <c r="A3773" t="str">
        <f t="shared" si="1"/>
        <v>M.stipitatus</v>
      </c>
      <c r="B3773" s="5" t="s">
        <v>21819</v>
      </c>
      <c r="C3773" s="6" t="str">
        <f>IFERROR(__xludf.DUMMYFUNCTION("SPLIT('2. c'!B3773, "" "", True, True)"),"Myxococcus")</f>
        <v>Myxococcus</v>
      </c>
      <c r="D3773" t="str">
        <f>IFERROR(__xludf.DUMMYFUNCTION("""COMPUTED_VALUE"""),"stipitatus")</f>
        <v>stipitatus</v>
      </c>
      <c r="E3773" t="str">
        <f>IFERROR(__xludf.DUMMYFUNCTION("""COMPUTED_VALUE"""),"DSM")</f>
        <v>DSM</v>
      </c>
      <c r="F3773">
        <f>IFERROR(__xludf.DUMMYFUNCTION("""COMPUTED_VALUE"""),14675.0)</f>
        <v>14675</v>
      </c>
    </row>
    <row r="3774" ht="15.75" customHeight="1">
      <c r="A3774" t="str">
        <f t="shared" si="1"/>
        <v>M.xanthus</v>
      </c>
      <c r="B3774" s="5" t="s">
        <v>21833</v>
      </c>
      <c r="C3774" s="6" t="str">
        <f>IFERROR(__xludf.DUMMYFUNCTION("SPLIT('2. c'!B3774, "" "", True, True)"),"Myxococcus")</f>
        <v>Myxococcus</v>
      </c>
      <c r="D3774" t="str">
        <f>IFERROR(__xludf.DUMMYFUNCTION("""COMPUTED_VALUE"""),"xanthus")</f>
        <v>xanthus</v>
      </c>
      <c r="E3774" t="str">
        <f>IFERROR(__xludf.DUMMYFUNCTION("""COMPUTED_VALUE"""),"DK")</f>
        <v>DK</v>
      </c>
      <c r="F3774">
        <f>IFERROR(__xludf.DUMMYFUNCTION("""COMPUTED_VALUE"""),1622.0)</f>
        <v>1622</v>
      </c>
    </row>
    <row r="3775" ht="15.75" customHeight="1">
      <c r="A3775" t="str">
        <f t="shared" si="1"/>
        <v>N.multipartita</v>
      </c>
      <c r="B3775" s="5" t="s">
        <v>21848</v>
      </c>
      <c r="C3775" s="6" t="str">
        <f>IFERROR(__xludf.DUMMYFUNCTION("SPLIT('2. c'!B3775, "" "", True, True)"),"Nakamurella")</f>
        <v>Nakamurella</v>
      </c>
      <c r="D3775" t="str">
        <f>IFERROR(__xludf.DUMMYFUNCTION("""COMPUTED_VALUE"""),"multipartita")</f>
        <v>multipartita</v>
      </c>
      <c r="E3775" t="str">
        <f>IFERROR(__xludf.DUMMYFUNCTION("""COMPUTED_VALUE"""),"DSM")</f>
        <v>DSM</v>
      </c>
      <c r="F3775">
        <f>IFERROR(__xludf.DUMMYFUNCTION("""COMPUTED_VALUE"""),44233.0)</f>
        <v>44233</v>
      </c>
    </row>
    <row r="3776" ht="15.75" customHeight="1">
      <c r="A3776" t="str">
        <f t="shared" si="1"/>
        <v>N.archaeon</v>
      </c>
      <c r="B3776" s="5" t="s">
        <v>21858</v>
      </c>
      <c r="C3776" s="6" t="str">
        <f>IFERROR(__xludf.DUMMYFUNCTION("SPLIT('2. c'!B3776, "" "", True, True)"),"Nanoarchaeota")</f>
        <v>Nanoarchaeota</v>
      </c>
      <c r="D3776" t="str">
        <f>IFERROR(__xludf.DUMMYFUNCTION("""COMPUTED_VALUE"""),"archaeon")</f>
        <v>archaeon</v>
      </c>
      <c r="E3776" t="str">
        <f>IFERROR(__xludf.DUMMYFUNCTION("""COMPUTED_VALUE"""),"7A")</f>
        <v>7A</v>
      </c>
    </row>
    <row r="3777" ht="15.75" customHeight="1">
      <c r="A3777" t="str">
        <f t="shared" si="1"/>
        <v>N.equitans</v>
      </c>
      <c r="B3777" s="5" t="s">
        <v>21868</v>
      </c>
      <c r="C3777" s="6" t="str">
        <f>IFERROR(__xludf.DUMMYFUNCTION("SPLIT('2. c'!B3777, "" "", True, True)"),"Nanoarchaeum")</f>
        <v>Nanoarchaeum</v>
      </c>
      <c r="D3777" t="str">
        <f>IFERROR(__xludf.DUMMYFUNCTION("""COMPUTED_VALUE"""),"equitans")</f>
        <v>equitans</v>
      </c>
      <c r="E3777" t="str">
        <f>IFERROR(__xludf.DUMMYFUNCTION("""COMPUTED_VALUE"""),"Kin4-M")</f>
        <v>Kin4-M</v>
      </c>
    </row>
    <row r="3778" ht="15.75" customHeight="1">
      <c r="A3778" t="str">
        <f t="shared" si="1"/>
        <v>N.thermophilus</v>
      </c>
      <c r="B3778" s="5" t="s">
        <v>21874</v>
      </c>
      <c r="C3778" s="6" t="str">
        <f>IFERROR(__xludf.DUMMYFUNCTION("SPLIT('2. c'!B3778, "" "", True, True)"),"Natranaerobius")</f>
        <v>Natranaerobius</v>
      </c>
      <c r="D3778" t="str">
        <f>IFERROR(__xludf.DUMMYFUNCTION("""COMPUTED_VALUE"""),"thermophilus")</f>
        <v>thermophilus</v>
      </c>
      <c r="E3778" t="str">
        <f>IFERROR(__xludf.DUMMYFUNCTION("""COMPUTED_VALUE"""),"JW/NM-WN-LF")</f>
        <v>JW/NM-WN-LF</v>
      </c>
    </row>
    <row r="3779" ht="15.75" customHeight="1">
      <c r="A3779" t="str">
        <f t="shared" si="1"/>
        <v>N.magadii</v>
      </c>
      <c r="B3779" s="5" t="s">
        <v>21885</v>
      </c>
      <c r="C3779" s="6" t="str">
        <f>IFERROR(__xludf.DUMMYFUNCTION("SPLIT('2. c'!B3779, "" "", True, True)"),"Natrialba")</f>
        <v>Natrialba</v>
      </c>
      <c r="D3779" t="str">
        <f>IFERROR(__xludf.DUMMYFUNCTION("""COMPUTED_VALUE"""),"magadii")</f>
        <v>magadii</v>
      </c>
      <c r="E3779" t="str">
        <f>IFERROR(__xludf.DUMMYFUNCTION("""COMPUTED_VALUE"""),"ATCC")</f>
        <v>ATCC</v>
      </c>
      <c r="F3779">
        <f>IFERROR(__xludf.DUMMYFUNCTION("""COMPUTED_VALUE"""),43099.0)</f>
        <v>43099</v>
      </c>
    </row>
    <row r="3780" ht="15.75" customHeight="1">
      <c r="A3780" t="str">
        <f t="shared" si="1"/>
        <v>N.pellirubrum</v>
      </c>
      <c r="B3780" s="5" t="s">
        <v>21893</v>
      </c>
      <c r="C3780" s="6" t="str">
        <f>IFERROR(__xludf.DUMMYFUNCTION("SPLIT('2. c'!B3780, "" "", True, True)"),"Natrinema")</f>
        <v>Natrinema</v>
      </c>
      <c r="D3780" t="str">
        <f>IFERROR(__xludf.DUMMYFUNCTION("""COMPUTED_VALUE"""),"pellirubrum")</f>
        <v>pellirubrum</v>
      </c>
      <c r="E3780" t="str">
        <f>IFERROR(__xludf.DUMMYFUNCTION("""COMPUTED_VALUE"""),"DSM")</f>
        <v>DSM</v>
      </c>
      <c r="F3780">
        <f>IFERROR(__xludf.DUMMYFUNCTION("""COMPUTED_VALUE"""),15624.0)</f>
        <v>15624</v>
      </c>
    </row>
    <row r="3781" ht="15.75" customHeight="1">
      <c r="A3781" t="str">
        <f t="shared" si="1"/>
        <v>N.sp.</v>
      </c>
      <c r="B3781" s="5" t="s">
        <v>21903</v>
      </c>
      <c r="C3781" s="6" t="str">
        <f>IFERROR(__xludf.DUMMYFUNCTION("SPLIT('2. c'!B3781, "" "", True, True)"),"Natrinema")</f>
        <v>Natrinema</v>
      </c>
      <c r="D3781" t="str">
        <f>IFERROR(__xludf.DUMMYFUNCTION("""COMPUTED_VALUE"""),"sp.")</f>
        <v>sp.</v>
      </c>
      <c r="E3781" t="str">
        <f>IFERROR(__xludf.DUMMYFUNCTION("""COMPUTED_VALUE"""),"J7-2")</f>
        <v>J7-2</v>
      </c>
    </row>
    <row r="3782" ht="15.75" customHeight="1">
      <c r="A3782" t="str">
        <f t="shared" si="1"/>
        <v>N.gregoryi</v>
      </c>
      <c r="B3782" s="5" t="s">
        <v>21910</v>
      </c>
      <c r="C3782" s="6" t="str">
        <f>IFERROR(__xludf.DUMMYFUNCTION("SPLIT('2. c'!B3782, "" "", True, True)"),"Natronobacterium")</f>
        <v>Natronobacterium</v>
      </c>
      <c r="D3782" t="str">
        <f>IFERROR(__xludf.DUMMYFUNCTION("""COMPUTED_VALUE"""),"gregoryi")</f>
        <v>gregoryi</v>
      </c>
      <c r="E3782" t="str">
        <f>IFERROR(__xludf.DUMMYFUNCTION("""COMPUTED_VALUE"""),"SP2")</f>
        <v>SP2</v>
      </c>
    </row>
    <row r="3783" ht="15.75" customHeight="1">
      <c r="A3783" t="str">
        <f t="shared" si="1"/>
        <v>N.occultus</v>
      </c>
      <c r="B3783" s="5" t="s">
        <v>21919</v>
      </c>
      <c r="C3783" s="6" t="str">
        <f>IFERROR(__xludf.DUMMYFUNCTION("SPLIT('2. c'!B3783, "" "", True, True)"),"Natronococcus")</f>
        <v>Natronococcus</v>
      </c>
      <c r="D3783" t="str">
        <f>IFERROR(__xludf.DUMMYFUNCTION("""COMPUTED_VALUE"""),"occultus")</f>
        <v>occultus</v>
      </c>
      <c r="E3783" t="str">
        <f>IFERROR(__xludf.DUMMYFUNCTION("""COMPUTED_VALUE"""),"SP4")</f>
        <v>SP4</v>
      </c>
    </row>
    <row r="3784" ht="15.75" customHeight="1">
      <c r="A3784" t="str">
        <f t="shared" si="1"/>
        <v>N.moolapensis</v>
      </c>
      <c r="B3784" s="5" t="s">
        <v>21927</v>
      </c>
      <c r="C3784" s="6" t="str">
        <f>IFERROR(__xludf.DUMMYFUNCTION("SPLIT('2. c'!B3784, "" "", True, True)"),"Natronomonas")</f>
        <v>Natronomonas</v>
      </c>
      <c r="D3784" t="str">
        <f>IFERROR(__xludf.DUMMYFUNCTION("""COMPUTED_VALUE"""),"moolapensis")</f>
        <v>moolapensis</v>
      </c>
      <c r="E3784" s="52">
        <f>IFERROR(__xludf.DUMMYFUNCTION("""COMPUTED_VALUE"""),40763.0)</f>
        <v>40763</v>
      </c>
    </row>
    <row r="3785" ht="15.75" customHeight="1">
      <c r="A3785" t="str">
        <f t="shared" si="1"/>
        <v>N.pharaonis</v>
      </c>
      <c r="B3785" s="5" t="s">
        <v>21939</v>
      </c>
      <c r="C3785" s="6" t="str">
        <f>IFERROR(__xludf.DUMMYFUNCTION("SPLIT('2. c'!B3785, "" "", True, True)"),"Natronomonas")</f>
        <v>Natronomonas</v>
      </c>
      <c r="D3785" t="str">
        <f>IFERROR(__xludf.DUMMYFUNCTION("""COMPUTED_VALUE"""),"pharaonis")</f>
        <v>pharaonis</v>
      </c>
      <c r="E3785" t="str">
        <f>IFERROR(__xludf.DUMMYFUNCTION("""COMPUTED_VALUE"""),"DSM")</f>
        <v>DSM</v>
      </c>
      <c r="F3785">
        <f>IFERROR(__xludf.DUMMYFUNCTION("""COMPUTED_VALUE"""),2160.0)</f>
        <v>2160</v>
      </c>
    </row>
    <row r="3786" ht="15.75" customHeight="1">
      <c r="A3786" t="str">
        <f t="shared" si="1"/>
        <v>N.profundicola</v>
      </c>
      <c r="B3786" s="5" t="s">
        <v>21950</v>
      </c>
      <c r="C3786" s="6" t="str">
        <f>IFERROR(__xludf.DUMMYFUNCTION("SPLIT('2. c'!B3786, "" "", True, True)"),"Nautilia")</f>
        <v>Nautilia</v>
      </c>
      <c r="D3786" t="str">
        <f>IFERROR(__xludf.DUMMYFUNCTION("""COMPUTED_VALUE"""),"profundicola")</f>
        <v>profundicola</v>
      </c>
      <c r="E3786" t="str">
        <f>IFERROR(__xludf.DUMMYFUNCTION("""COMPUTED_VALUE"""),"AmH")</f>
        <v>AmH</v>
      </c>
    </row>
    <row r="3787" ht="15.75" customHeight="1">
      <c r="A3787" t="str">
        <f t="shared" si="1"/>
        <v>N.elongata</v>
      </c>
      <c r="B3787" s="5" t="s">
        <v>21957</v>
      </c>
      <c r="C3787" s="6" t="str">
        <f>IFERROR(__xludf.DUMMYFUNCTION("SPLIT('2. c'!B3787, "" "", True, True)"),"Neisseria")</f>
        <v>Neisseria</v>
      </c>
      <c r="D3787" t="str">
        <f>IFERROR(__xludf.DUMMYFUNCTION("""COMPUTED_VALUE"""),"elongata")</f>
        <v>elongata</v>
      </c>
      <c r="E3787" t="str">
        <f>IFERROR(__xludf.DUMMYFUNCTION("""COMPUTED_VALUE"""),"subsp.")</f>
        <v>subsp.</v>
      </c>
      <c r="F3787" t="str">
        <f>IFERROR(__xludf.DUMMYFUNCTION("""COMPUTED_VALUE"""),"glycolytica")</f>
        <v>glycolytica</v>
      </c>
      <c r="G3787" t="str">
        <f>IFERROR(__xludf.DUMMYFUNCTION("""COMPUTED_VALUE"""),"ATCC")</f>
        <v>ATCC</v>
      </c>
      <c r="H3787">
        <f>IFERROR(__xludf.DUMMYFUNCTION("""COMPUTED_VALUE"""),29315.0)</f>
        <v>29315</v>
      </c>
    </row>
    <row r="3788" ht="15.75" customHeight="1">
      <c r="A3788" t="str">
        <f t="shared" si="1"/>
        <v>N.gonorrhoeae</v>
      </c>
      <c r="B3788" s="5" t="s">
        <v>21968</v>
      </c>
      <c r="C3788" s="6" t="str">
        <f>IFERROR(__xludf.DUMMYFUNCTION("SPLIT('2. c'!B3788, "" "", True, True)"),"Neisseria")</f>
        <v>Neisseria</v>
      </c>
      <c r="D3788" t="str">
        <f>IFERROR(__xludf.DUMMYFUNCTION("""COMPUTED_VALUE"""),"gonorrhoeae")</f>
        <v>gonorrhoeae</v>
      </c>
      <c r="E3788" t="str">
        <f>IFERROR(__xludf.DUMMYFUNCTION("""COMPUTED_VALUE"""),"FA")</f>
        <v>FA</v>
      </c>
      <c r="F3788">
        <f>IFERROR(__xludf.DUMMYFUNCTION("""COMPUTED_VALUE"""),1090.0)</f>
        <v>1090</v>
      </c>
    </row>
    <row r="3789" ht="15.75" customHeight="1">
      <c r="A3789" t="str">
        <f t="shared" si="1"/>
        <v>N.gonorrhoeae</v>
      </c>
      <c r="B3789" s="5" t="s">
        <v>21977</v>
      </c>
      <c r="C3789" s="6" t="str">
        <f>IFERROR(__xludf.DUMMYFUNCTION("SPLIT('2. c'!B3789, "" "", True, True)"),"Neisseria")</f>
        <v>Neisseria</v>
      </c>
      <c r="D3789" t="str">
        <f>IFERROR(__xludf.DUMMYFUNCTION("""COMPUTED_VALUE"""),"gonorrhoeae")</f>
        <v>gonorrhoeae</v>
      </c>
      <c r="E3789" t="str">
        <f>IFERROR(__xludf.DUMMYFUNCTION("""COMPUTED_VALUE"""),"NCCP11945")</f>
        <v>NCCP11945</v>
      </c>
    </row>
    <row r="3790" ht="15.75" customHeight="1">
      <c r="A3790" t="str">
        <f t="shared" si="1"/>
        <v>N.gonorrhoeae</v>
      </c>
      <c r="B3790" s="5" t="s">
        <v>21986</v>
      </c>
      <c r="C3790" s="6" t="str">
        <f>IFERROR(__xludf.DUMMYFUNCTION("SPLIT('2. c'!B3790, "" "", True, True)"),"Neisseria")</f>
        <v>Neisseria</v>
      </c>
      <c r="D3790" t="str">
        <f>IFERROR(__xludf.DUMMYFUNCTION("""COMPUTED_VALUE"""),"gonorrhoeae")</f>
        <v>gonorrhoeae</v>
      </c>
      <c r="E3790" t="str">
        <f>IFERROR(__xludf.DUMMYFUNCTION("""COMPUTED_VALUE"""),"strain")</f>
        <v>strain</v>
      </c>
      <c r="F3790">
        <f>IFERROR(__xludf.DUMMYFUNCTION("""COMPUTED_VALUE"""),32867.0)</f>
        <v>32867</v>
      </c>
    </row>
    <row r="3791" ht="15.75" customHeight="1">
      <c r="A3791" t="str">
        <f t="shared" si="1"/>
        <v>N.gonorrhoeae</v>
      </c>
      <c r="B3791" s="5" t="s">
        <v>21995</v>
      </c>
      <c r="C3791" s="6" t="str">
        <f>IFERROR(__xludf.DUMMYFUNCTION("SPLIT('2. c'!B3791, "" "", True, True)"),"Neisseria")</f>
        <v>Neisseria</v>
      </c>
      <c r="D3791" t="str">
        <f>IFERROR(__xludf.DUMMYFUNCTION("""COMPUTED_VALUE"""),"gonorrhoeae")</f>
        <v>gonorrhoeae</v>
      </c>
      <c r="E3791" t="str">
        <f>IFERROR(__xludf.DUMMYFUNCTION("""COMPUTED_VALUE"""),"strain")</f>
        <v>strain</v>
      </c>
      <c r="F3791">
        <f>IFERROR(__xludf.DUMMYFUNCTION("""COMPUTED_VALUE"""),34530.0)</f>
        <v>34530</v>
      </c>
    </row>
    <row r="3792" ht="15.75" customHeight="1">
      <c r="A3792" t="str">
        <f t="shared" si="1"/>
        <v>N.gonorrhoeae</v>
      </c>
      <c r="B3792" s="5" t="s">
        <v>22004</v>
      </c>
      <c r="C3792" s="6" t="str">
        <f>IFERROR(__xludf.DUMMYFUNCTION("SPLIT('2. c'!B3792, "" "", True, True)"),"Neisseria")</f>
        <v>Neisseria</v>
      </c>
      <c r="D3792" t="str">
        <f>IFERROR(__xludf.DUMMYFUNCTION("""COMPUTED_VALUE"""),"gonorrhoeae")</f>
        <v>gonorrhoeae</v>
      </c>
      <c r="E3792" t="str">
        <f>IFERROR(__xludf.DUMMYFUNCTION("""COMPUTED_VALUE"""),"strain")</f>
        <v>strain</v>
      </c>
      <c r="F3792">
        <f>IFERROR(__xludf.DUMMYFUNCTION("""COMPUTED_VALUE"""),34769.0)</f>
        <v>34769</v>
      </c>
    </row>
    <row r="3793" ht="15.75" customHeight="1">
      <c r="A3793" t="str">
        <f t="shared" si="1"/>
        <v>N.gonorrhoeae</v>
      </c>
      <c r="B3793" s="5" t="s">
        <v>22015</v>
      </c>
      <c r="C3793" s="6" t="str">
        <f>IFERROR(__xludf.DUMMYFUNCTION("SPLIT('2. c'!B3793, "" "", True, True)"),"Neisseria")</f>
        <v>Neisseria</v>
      </c>
      <c r="D3793" t="str">
        <f>IFERROR(__xludf.DUMMYFUNCTION("""COMPUTED_VALUE"""),"gonorrhoeae")</f>
        <v>gonorrhoeae</v>
      </c>
      <c r="E3793" t="str">
        <f>IFERROR(__xludf.DUMMYFUNCTION("""COMPUTED_VALUE"""),"strain")</f>
        <v>strain</v>
      </c>
      <c r="F3793" t="str">
        <f>IFERROR(__xludf.DUMMYFUNCTION("""COMPUTED_VALUE"""),"35/02")</f>
        <v>35/02</v>
      </c>
    </row>
    <row r="3794" ht="15.75" customHeight="1">
      <c r="A3794" t="str">
        <f t="shared" si="1"/>
        <v>N.gonorrhoeae</v>
      </c>
      <c r="B3794" s="5" t="s">
        <v>22021</v>
      </c>
      <c r="C3794" s="6" t="str">
        <f>IFERROR(__xludf.DUMMYFUNCTION("SPLIT('2. c'!B3794, "" "", True, True)"),"Neisseria")</f>
        <v>Neisseria</v>
      </c>
      <c r="D3794" t="str">
        <f>IFERROR(__xludf.DUMMYFUNCTION("""COMPUTED_VALUE"""),"gonorrhoeae")</f>
        <v>gonorrhoeae</v>
      </c>
      <c r="E3794" t="str">
        <f>IFERROR(__xludf.DUMMYFUNCTION("""COMPUTED_VALUE"""),"strain")</f>
        <v>strain</v>
      </c>
      <c r="F3794" t="str">
        <f>IFERROR(__xludf.DUMMYFUNCTION("""COMPUTED_VALUE"""),"FA19")</f>
        <v>FA19</v>
      </c>
    </row>
    <row r="3795" ht="15.75" customHeight="1">
      <c r="A3795" t="str">
        <f t="shared" si="1"/>
        <v>N.gonorrhoeae</v>
      </c>
      <c r="B3795" s="5" t="s">
        <v>22029</v>
      </c>
      <c r="C3795" s="6" t="str">
        <f>IFERROR(__xludf.DUMMYFUNCTION("SPLIT('2. c'!B3795, "" "", True, True)"),"Neisseria")</f>
        <v>Neisseria</v>
      </c>
      <c r="D3795" t="str">
        <f>IFERROR(__xludf.DUMMYFUNCTION("""COMPUTED_VALUE"""),"gonorrhoeae")</f>
        <v>gonorrhoeae</v>
      </c>
      <c r="E3795" t="str">
        <f>IFERROR(__xludf.DUMMYFUNCTION("""COMPUTED_VALUE"""),"strain")</f>
        <v>strain</v>
      </c>
      <c r="F3795" t="str">
        <f>IFERROR(__xludf.DUMMYFUNCTION("""COMPUTED_VALUE"""),"FA6140")</f>
        <v>FA6140</v>
      </c>
    </row>
    <row r="3796" ht="15.75" customHeight="1">
      <c r="A3796" t="str">
        <f t="shared" si="1"/>
        <v>N.gonorrhoeae</v>
      </c>
      <c r="B3796" s="5" t="s">
        <v>22037</v>
      </c>
      <c r="C3796" s="6" t="str">
        <f>IFERROR(__xludf.DUMMYFUNCTION("SPLIT('2. c'!B3796, "" "", True, True)"),"Neisseria")</f>
        <v>Neisseria</v>
      </c>
      <c r="D3796" t="str">
        <f>IFERROR(__xludf.DUMMYFUNCTION("""COMPUTED_VALUE"""),"gonorrhoeae")</f>
        <v>gonorrhoeae</v>
      </c>
      <c r="E3796" t="str">
        <f>IFERROR(__xludf.DUMMYFUNCTION("""COMPUTED_VALUE"""),"TCDC-NG08107")</f>
        <v>TCDC-NG08107</v>
      </c>
    </row>
    <row r="3797" ht="15.75" customHeight="1">
      <c r="A3797" t="str">
        <f t="shared" si="1"/>
        <v>N.lactamica</v>
      </c>
      <c r="B3797" s="5" t="s">
        <v>22045</v>
      </c>
      <c r="C3797" s="6" t="str">
        <f>IFERROR(__xludf.DUMMYFUNCTION("SPLIT('2. c'!B3797, "" "", True, True)"),"Neisseria")</f>
        <v>Neisseria</v>
      </c>
      <c r="D3797" t="str">
        <f>IFERROR(__xludf.DUMMYFUNCTION("""COMPUTED_VALUE"""),"lactamica")</f>
        <v>lactamica</v>
      </c>
      <c r="E3797" t="str">
        <f>IFERROR(__xludf.DUMMYFUNCTION("""COMPUTED_VALUE"""),"020-06")</f>
        <v>020-06</v>
      </c>
    </row>
    <row r="3798" ht="15.75" customHeight="1">
      <c r="A3798" t="str">
        <f t="shared" si="1"/>
        <v>N.lactamica</v>
      </c>
      <c r="B3798" s="5" t="s">
        <v>22049</v>
      </c>
      <c r="C3798" s="6" t="str">
        <f>IFERROR(__xludf.DUMMYFUNCTION("SPLIT('2. c'!B3798, "" "", True, True)"),"Neisseria")</f>
        <v>Neisseria</v>
      </c>
      <c r="D3798" t="str">
        <f>IFERROR(__xludf.DUMMYFUNCTION("""COMPUTED_VALUE"""),"lactamica")</f>
        <v>lactamica</v>
      </c>
      <c r="E3798" t="str">
        <f>IFERROR(__xludf.DUMMYFUNCTION("""COMPUTED_VALUE"""),"ATCC")</f>
        <v>ATCC</v>
      </c>
      <c r="F3798">
        <f>IFERROR(__xludf.DUMMYFUNCTION("""COMPUTED_VALUE"""),23970.0)</f>
        <v>23970</v>
      </c>
    </row>
    <row r="3799" ht="15.75" customHeight="1">
      <c r="A3799" t="str">
        <f t="shared" si="1"/>
        <v>N.meningitidis</v>
      </c>
      <c r="B3799" s="5" t="s">
        <v>22059</v>
      </c>
      <c r="C3799" s="6" t="str">
        <f>IFERROR(__xludf.DUMMYFUNCTION("SPLIT('2. c'!B3799, "" "", True, True)"),"Neisseria")</f>
        <v>Neisseria</v>
      </c>
      <c r="D3799" t="str">
        <f>IFERROR(__xludf.DUMMYFUNCTION("""COMPUTED_VALUE"""),"meningitidis")</f>
        <v>meningitidis</v>
      </c>
      <c r="E3799">
        <f>IFERROR(__xludf.DUMMYFUNCTION("""COMPUTED_VALUE"""),53442.0)</f>
        <v>53442</v>
      </c>
    </row>
    <row r="3800" ht="15.75" customHeight="1">
      <c r="A3800" t="str">
        <f t="shared" si="1"/>
        <v>N.meningitidis</v>
      </c>
      <c r="B3800" s="5" t="s">
        <v>22069</v>
      </c>
      <c r="C3800" s="6" t="str">
        <f>IFERROR(__xludf.DUMMYFUNCTION("SPLIT('2. c'!B3800, "" "", True, True)"),"Neisseria")</f>
        <v>Neisseria</v>
      </c>
      <c r="D3800" t="str">
        <f>IFERROR(__xludf.DUMMYFUNCTION("""COMPUTED_VALUE"""),"meningitidis")</f>
        <v>meningitidis</v>
      </c>
      <c r="E3800">
        <f>IFERROR(__xludf.DUMMYFUNCTION("""COMPUTED_VALUE"""),8013.0)</f>
        <v>8013</v>
      </c>
    </row>
    <row r="3801" ht="15.75" customHeight="1">
      <c r="A3801" t="str">
        <f t="shared" si="1"/>
        <v>N.meningitidis</v>
      </c>
      <c r="B3801" s="5" t="s">
        <v>22079</v>
      </c>
      <c r="C3801" s="6" t="str">
        <f>IFERROR(__xludf.DUMMYFUNCTION("SPLIT('2. c'!B3801, "" "", True, True)"),"Neisseria")</f>
        <v>Neisseria</v>
      </c>
      <c r="D3801" t="str">
        <f>IFERROR(__xludf.DUMMYFUNCTION("""COMPUTED_VALUE"""),"meningitidis")</f>
        <v>meningitidis</v>
      </c>
      <c r="E3801" t="str">
        <f>IFERROR(__xludf.DUMMYFUNCTION("""COMPUTED_VALUE"""),"alpha14")</f>
        <v>alpha14</v>
      </c>
    </row>
    <row r="3802" ht="15.75" customHeight="1">
      <c r="A3802" t="str">
        <f t="shared" si="1"/>
        <v>N.meningitidis</v>
      </c>
      <c r="B3802" s="5" t="s">
        <v>22089</v>
      </c>
      <c r="C3802" s="6" t="str">
        <f>IFERROR(__xludf.DUMMYFUNCTION("SPLIT('2. c'!B3802, "" "", True, True)"),"Neisseria")</f>
        <v>Neisseria</v>
      </c>
      <c r="D3802" t="str">
        <f>IFERROR(__xludf.DUMMYFUNCTION("""COMPUTED_VALUE"""),"meningitidis")</f>
        <v>meningitidis</v>
      </c>
      <c r="E3802" t="str">
        <f>IFERROR(__xludf.DUMMYFUNCTION("""COMPUTED_VALUE"""),"alpha710")</f>
        <v>alpha710</v>
      </c>
    </row>
    <row r="3803" ht="15.75" customHeight="1">
      <c r="A3803" t="str">
        <f t="shared" si="1"/>
        <v>N.meningitidis</v>
      </c>
      <c r="B3803" s="5" t="s">
        <v>22097</v>
      </c>
      <c r="C3803" s="6" t="str">
        <f>IFERROR(__xludf.DUMMYFUNCTION("SPLIT('2. c'!B3803, "" "", True, True)"),"Neisseria")</f>
        <v>Neisseria</v>
      </c>
      <c r="D3803" t="str">
        <f>IFERROR(__xludf.DUMMYFUNCTION("""COMPUTED_VALUE"""),"meningitidis")</f>
        <v>meningitidis</v>
      </c>
      <c r="E3803" t="str">
        <f>IFERROR(__xludf.DUMMYFUNCTION("""COMPUTED_VALUE"""),"FAM18")</f>
        <v>FAM18</v>
      </c>
    </row>
    <row r="3804" ht="15.75" customHeight="1">
      <c r="A3804" t="str">
        <f t="shared" si="1"/>
        <v>N.meningitidis</v>
      </c>
      <c r="B3804" s="5" t="s">
        <v>22106</v>
      </c>
      <c r="C3804" s="6" t="str">
        <f>IFERROR(__xludf.DUMMYFUNCTION("SPLIT('2. c'!B3804, "" "", True, True)"),"Neisseria")</f>
        <v>Neisseria</v>
      </c>
      <c r="D3804" t="str">
        <f>IFERROR(__xludf.DUMMYFUNCTION("""COMPUTED_VALUE"""),"meningitidis")</f>
        <v>meningitidis</v>
      </c>
      <c r="E3804" t="str">
        <f>IFERROR(__xludf.DUMMYFUNCTION("""COMPUTED_VALUE"""),"G2136")</f>
        <v>G2136</v>
      </c>
    </row>
    <row r="3805" ht="15.75" customHeight="1">
      <c r="A3805" t="str">
        <f t="shared" si="1"/>
        <v>N.meningitidis</v>
      </c>
      <c r="B3805" s="5" t="s">
        <v>22113</v>
      </c>
      <c r="C3805" s="6" t="str">
        <f>IFERROR(__xludf.DUMMYFUNCTION("SPLIT('2. c'!B3805, "" "", True, True)"),"Neisseria")</f>
        <v>Neisseria</v>
      </c>
      <c r="D3805" t="str">
        <f>IFERROR(__xludf.DUMMYFUNCTION("""COMPUTED_VALUE"""),"meningitidis")</f>
        <v>meningitidis</v>
      </c>
      <c r="E3805" t="str">
        <f>IFERROR(__xludf.DUMMYFUNCTION("""COMPUTED_VALUE"""),"H44/76")</f>
        <v>H44/76</v>
      </c>
    </row>
    <row r="3806" ht="15.75" customHeight="1">
      <c r="A3806" t="str">
        <f t="shared" si="1"/>
        <v>N.meningitidis</v>
      </c>
      <c r="B3806" s="5" t="s">
        <v>22121</v>
      </c>
      <c r="C3806" s="6" t="str">
        <f>IFERROR(__xludf.DUMMYFUNCTION("SPLIT('2. c'!B3806, "" "", True, True)"),"Neisseria")</f>
        <v>Neisseria</v>
      </c>
      <c r="D3806" t="str">
        <f>IFERROR(__xludf.DUMMYFUNCTION("""COMPUTED_VALUE"""),"meningitidis")</f>
        <v>meningitidis</v>
      </c>
      <c r="E3806" t="str">
        <f>IFERROR(__xludf.DUMMYFUNCTION("""COMPUTED_VALUE"""),"LNP21362")</f>
        <v>LNP21362</v>
      </c>
    </row>
    <row r="3807" ht="15.75" customHeight="1">
      <c r="A3807" t="str">
        <f t="shared" si="1"/>
        <v>N.meningitidis</v>
      </c>
      <c r="B3807" s="5" t="s">
        <v>22128</v>
      </c>
      <c r="C3807" s="6" t="str">
        <f>IFERROR(__xludf.DUMMYFUNCTION("SPLIT('2. c'!B3807, "" "", True, True)"),"Neisseria")</f>
        <v>Neisseria</v>
      </c>
      <c r="D3807" t="str">
        <f>IFERROR(__xludf.DUMMYFUNCTION("""COMPUTED_VALUE"""),"meningitidis")</f>
        <v>meningitidis</v>
      </c>
      <c r="E3807" t="str">
        <f>IFERROR(__xludf.DUMMYFUNCTION("""COMPUTED_VALUE"""),"M01-240149")</f>
        <v>M01-240149</v>
      </c>
    </row>
    <row r="3808" ht="15.75" customHeight="1">
      <c r="A3808" t="str">
        <f t="shared" si="1"/>
        <v>N.meningitidis</v>
      </c>
      <c r="B3808" s="5" t="s">
        <v>22136</v>
      </c>
      <c r="C3808" s="6" t="str">
        <f>IFERROR(__xludf.DUMMYFUNCTION("SPLIT('2. c'!B3808, "" "", True, True)"),"Neisseria")</f>
        <v>Neisseria</v>
      </c>
      <c r="D3808" t="str">
        <f>IFERROR(__xludf.DUMMYFUNCTION("""COMPUTED_VALUE"""),"meningitidis")</f>
        <v>meningitidis</v>
      </c>
      <c r="E3808" t="str">
        <f>IFERROR(__xludf.DUMMYFUNCTION("""COMPUTED_VALUE"""),"M01-240355")</f>
        <v>M01-240355</v>
      </c>
    </row>
    <row r="3809" ht="15.75" customHeight="1">
      <c r="A3809" t="str">
        <f t="shared" si="1"/>
        <v>N.meningitidis</v>
      </c>
      <c r="B3809" s="5" t="s">
        <v>22143</v>
      </c>
      <c r="C3809" s="6" t="str">
        <f>IFERROR(__xludf.DUMMYFUNCTION("SPLIT('2. c'!B3809, "" "", True, True)"),"Neisseria")</f>
        <v>Neisseria</v>
      </c>
      <c r="D3809" t="str">
        <f>IFERROR(__xludf.DUMMYFUNCTION("""COMPUTED_VALUE"""),"meningitidis")</f>
        <v>meningitidis</v>
      </c>
      <c r="E3809" t="str">
        <f>IFERROR(__xludf.DUMMYFUNCTION("""COMPUTED_VALUE"""),"M04-240196")</f>
        <v>M04-240196</v>
      </c>
    </row>
    <row r="3810" ht="15.75" customHeight="1">
      <c r="A3810" t="str">
        <f t="shared" si="1"/>
        <v>N.meningitidis</v>
      </c>
      <c r="B3810" s="5" t="s">
        <v>22152</v>
      </c>
      <c r="C3810" s="6" t="str">
        <f>IFERROR(__xludf.DUMMYFUNCTION("SPLIT('2. c'!B3810, "" "", True, True)"),"Neisseria")</f>
        <v>Neisseria</v>
      </c>
      <c r="D3810" t="str">
        <f>IFERROR(__xludf.DUMMYFUNCTION("""COMPUTED_VALUE"""),"meningitidis")</f>
        <v>meningitidis</v>
      </c>
      <c r="E3810" t="str">
        <f>IFERROR(__xludf.DUMMYFUNCTION("""COMPUTED_VALUE"""),"M0579")</f>
        <v>M0579</v>
      </c>
    </row>
    <row r="3811" ht="15.75" customHeight="1">
      <c r="A3811" t="str">
        <f t="shared" si="1"/>
        <v>N.meningitidis</v>
      </c>
      <c r="B3811" s="5" t="s">
        <v>22160</v>
      </c>
      <c r="C3811" s="6" t="str">
        <f>IFERROR(__xludf.DUMMYFUNCTION("SPLIT('2. c'!B3811, "" "", True, True)"),"Neisseria")</f>
        <v>Neisseria</v>
      </c>
      <c r="D3811" t="str">
        <f>IFERROR(__xludf.DUMMYFUNCTION("""COMPUTED_VALUE"""),"meningitidis")</f>
        <v>meningitidis</v>
      </c>
      <c r="E3811" t="str">
        <f>IFERROR(__xludf.DUMMYFUNCTION("""COMPUTED_VALUE"""),"M10208")</f>
        <v>M10208</v>
      </c>
    </row>
    <row r="3812" ht="15.75" customHeight="1">
      <c r="A3812" t="str">
        <f t="shared" si="1"/>
        <v>N.meningitidis</v>
      </c>
      <c r="B3812" s="5" t="s">
        <v>22168</v>
      </c>
      <c r="C3812" s="6" t="str">
        <f>IFERROR(__xludf.DUMMYFUNCTION("SPLIT('2. c'!B3812, "" "", True, True)"),"Neisseria")</f>
        <v>Neisseria</v>
      </c>
      <c r="D3812" t="str">
        <f>IFERROR(__xludf.DUMMYFUNCTION("""COMPUTED_VALUE"""),"meningitidis")</f>
        <v>meningitidis</v>
      </c>
      <c r="E3812" t="str">
        <f>IFERROR(__xludf.DUMMYFUNCTION("""COMPUTED_VALUE"""),"M7124")</f>
        <v>M7124</v>
      </c>
    </row>
    <row r="3813" ht="15.75" customHeight="1">
      <c r="A3813" t="str">
        <f t="shared" si="1"/>
        <v>N.meningitidis</v>
      </c>
      <c r="B3813" s="5" t="s">
        <v>22175</v>
      </c>
      <c r="C3813" s="6" t="str">
        <f>IFERROR(__xludf.DUMMYFUNCTION("SPLIT('2. c'!B3813, "" "", True, True)"),"Neisseria")</f>
        <v>Neisseria</v>
      </c>
      <c r="D3813" t="str">
        <f>IFERROR(__xludf.DUMMYFUNCTION("""COMPUTED_VALUE"""),"meningitidis")</f>
        <v>meningitidis</v>
      </c>
      <c r="E3813" t="str">
        <f>IFERROR(__xludf.DUMMYFUNCTION("""COMPUTED_VALUE"""),"MC58")</f>
        <v>MC58</v>
      </c>
    </row>
    <row r="3814" ht="15.75" customHeight="1">
      <c r="A3814" t="str">
        <f t="shared" si="1"/>
        <v>N.meningitidis</v>
      </c>
      <c r="B3814" s="5" t="s">
        <v>22187</v>
      </c>
      <c r="C3814" s="6" t="str">
        <f>IFERROR(__xludf.DUMMYFUNCTION("SPLIT('2. c'!B3814, "" "", True, True)"),"Neisseria")</f>
        <v>Neisseria</v>
      </c>
      <c r="D3814" t="str">
        <f>IFERROR(__xludf.DUMMYFUNCTION("""COMPUTED_VALUE"""),"meningitidis")</f>
        <v>meningitidis</v>
      </c>
      <c r="E3814" t="str">
        <f>IFERROR(__xludf.DUMMYFUNCTION("""COMPUTED_VALUE"""),"NM3682")</f>
        <v>NM3682</v>
      </c>
    </row>
    <row r="3815" ht="15.75" customHeight="1">
      <c r="A3815" t="str">
        <f t="shared" si="1"/>
        <v>N.meningitidis</v>
      </c>
      <c r="B3815" s="5" t="s">
        <v>22194</v>
      </c>
      <c r="C3815" s="6" t="str">
        <f>IFERROR(__xludf.DUMMYFUNCTION("SPLIT('2. c'!B3815, "" "", True, True)"),"Neisseria")</f>
        <v>Neisseria</v>
      </c>
      <c r="D3815" t="str">
        <f>IFERROR(__xludf.DUMMYFUNCTION("""COMPUTED_VALUE"""),"meningitidis")</f>
        <v>meningitidis</v>
      </c>
      <c r="E3815" t="str">
        <f>IFERROR(__xludf.DUMMYFUNCTION("""COMPUTED_VALUE"""),"NM3683")</f>
        <v>NM3683</v>
      </c>
    </row>
    <row r="3816" ht="15.75" customHeight="1">
      <c r="A3816" t="str">
        <f t="shared" si="1"/>
        <v>N.meningitidis</v>
      </c>
      <c r="B3816" s="5" t="s">
        <v>22203</v>
      </c>
      <c r="C3816" s="6" t="str">
        <f>IFERROR(__xludf.DUMMYFUNCTION("SPLIT('2. c'!B3816, "" "", True, True)"),"Neisseria")</f>
        <v>Neisseria</v>
      </c>
      <c r="D3816" t="str">
        <f>IFERROR(__xludf.DUMMYFUNCTION("""COMPUTED_VALUE"""),"meningitidis")</f>
        <v>meningitidis</v>
      </c>
      <c r="E3816" t="str">
        <f>IFERROR(__xludf.DUMMYFUNCTION("""COMPUTED_VALUE"""),"NM3686")</f>
        <v>NM3686</v>
      </c>
    </row>
    <row r="3817" ht="15.75" customHeight="1">
      <c r="A3817" t="str">
        <f t="shared" si="1"/>
        <v>N.meningitidis</v>
      </c>
      <c r="B3817" s="5" t="s">
        <v>22210</v>
      </c>
      <c r="C3817" s="6" t="str">
        <f>IFERROR(__xludf.DUMMYFUNCTION("SPLIT('2. c'!B3817, "" "", True, True)"),"Neisseria")</f>
        <v>Neisseria</v>
      </c>
      <c r="D3817" t="str">
        <f>IFERROR(__xludf.DUMMYFUNCTION("""COMPUTED_VALUE"""),"meningitidis")</f>
        <v>meningitidis</v>
      </c>
      <c r="E3817" t="str">
        <f>IFERROR(__xludf.DUMMYFUNCTION("""COMPUTED_VALUE"""),"NZ-05/33")</f>
        <v>NZ-05/33</v>
      </c>
    </row>
    <row r="3818" ht="15.75" customHeight="1">
      <c r="A3818" t="str">
        <f t="shared" si="1"/>
        <v>N.meningitidis</v>
      </c>
      <c r="B3818" s="5" t="s">
        <v>22218</v>
      </c>
      <c r="C3818" s="6" t="str">
        <f>IFERROR(__xludf.DUMMYFUNCTION("SPLIT('2. c'!B3818, "" "", True, True)"),"Neisseria")</f>
        <v>Neisseria</v>
      </c>
      <c r="D3818" t="str">
        <f>IFERROR(__xludf.DUMMYFUNCTION("""COMPUTED_VALUE"""),"meningitidis")</f>
        <v>meningitidis</v>
      </c>
      <c r="E3818" t="str">
        <f>IFERROR(__xludf.DUMMYFUNCTION("""COMPUTED_VALUE"""),"strain")</f>
        <v>strain</v>
      </c>
      <c r="F3818" t="str">
        <f>IFERROR(__xludf.DUMMYFUNCTION("""COMPUTED_VALUE"""),"B6116/77")</f>
        <v>B6116/77</v>
      </c>
    </row>
    <row r="3819" ht="15.75" customHeight="1">
      <c r="A3819" t="str">
        <f t="shared" si="1"/>
        <v>N.meningitidis</v>
      </c>
      <c r="B3819" s="5" t="s">
        <v>22227</v>
      </c>
      <c r="C3819" s="6" t="str">
        <f>IFERROR(__xludf.DUMMYFUNCTION("SPLIT('2. c'!B3819, "" "", True, True)"),"Neisseria")</f>
        <v>Neisseria</v>
      </c>
      <c r="D3819" t="str">
        <f>IFERROR(__xludf.DUMMYFUNCTION("""COMPUTED_VALUE"""),"meningitidis")</f>
        <v>meningitidis</v>
      </c>
      <c r="E3819" t="str">
        <f>IFERROR(__xludf.DUMMYFUNCTION("""COMPUTED_VALUE"""),"strain")</f>
        <v>strain</v>
      </c>
      <c r="F3819" t="str">
        <f>IFERROR(__xludf.DUMMYFUNCTION("""COMPUTED_VALUE"""),"NMA510612")</f>
        <v>NMA510612</v>
      </c>
    </row>
    <row r="3820" ht="15.75" customHeight="1">
      <c r="A3820" t="str">
        <f t="shared" si="1"/>
        <v>N.meningitidis</v>
      </c>
      <c r="B3820" s="5" t="s">
        <v>22236</v>
      </c>
      <c r="C3820" s="6" t="str">
        <f>IFERROR(__xludf.DUMMYFUNCTION("SPLIT('2. c'!B3820, "" "", True, True)"),"Neisseria")</f>
        <v>Neisseria</v>
      </c>
      <c r="D3820" t="str">
        <f>IFERROR(__xludf.DUMMYFUNCTION("""COMPUTED_VALUE"""),"meningitidis")</f>
        <v>meningitidis</v>
      </c>
      <c r="E3820" t="str">
        <f>IFERROR(__xludf.DUMMYFUNCTION("""COMPUTED_VALUE"""),"WUE")</f>
        <v>WUE</v>
      </c>
      <c r="F3820">
        <f>IFERROR(__xludf.DUMMYFUNCTION("""COMPUTED_VALUE"""),2594.0)</f>
        <v>2594</v>
      </c>
    </row>
    <row r="3821" ht="15.75" customHeight="1">
      <c r="A3821" t="str">
        <f t="shared" si="1"/>
        <v>N.meningitidis</v>
      </c>
      <c r="B3821" s="5" t="s">
        <v>22244</v>
      </c>
      <c r="C3821" s="6" t="str">
        <f>IFERROR(__xludf.DUMMYFUNCTION("SPLIT('2. c'!B3821, "" "", True, True)"),"Neisseria")</f>
        <v>Neisseria</v>
      </c>
      <c r="D3821" t="str">
        <f>IFERROR(__xludf.DUMMYFUNCTION("""COMPUTED_VALUE"""),"meningitidis")</f>
        <v>meningitidis</v>
      </c>
      <c r="E3821" t="str">
        <f>IFERROR(__xludf.DUMMYFUNCTION("""COMPUTED_VALUE"""),"Z2491")</f>
        <v>Z2491</v>
      </c>
    </row>
    <row r="3822" ht="15.75" customHeight="1">
      <c r="A3822" t="str">
        <f t="shared" si="1"/>
        <v>N.weaveri</v>
      </c>
      <c r="B3822" s="5" t="s">
        <v>22252</v>
      </c>
      <c r="C3822" s="6" t="str">
        <f>IFERROR(__xludf.DUMMYFUNCTION("SPLIT('2. c'!B3822, "" "", True, True)"),"Neisseria")</f>
        <v>Neisseria</v>
      </c>
      <c r="D3822" t="str">
        <f>IFERROR(__xludf.DUMMYFUNCTION("""COMPUTED_VALUE"""),"weaveri")</f>
        <v>weaveri</v>
      </c>
      <c r="E3822" t="str">
        <f>IFERROR(__xludf.DUMMYFUNCTION("""COMPUTED_VALUE"""),"strain")</f>
        <v>strain</v>
      </c>
      <c r="F3822" t="str">
        <f>IFERROR(__xludf.DUMMYFUNCTION("""COMPUTED_VALUE"""),"NCTC13585")</f>
        <v>NCTC13585</v>
      </c>
    </row>
    <row r="3823" ht="15.75" customHeight="1">
      <c r="A3823" t="str">
        <f t="shared" si="1"/>
        <v>N.galegae</v>
      </c>
      <c r="B3823" s="5" t="s">
        <v>22260</v>
      </c>
      <c r="C3823" s="6" t="str">
        <f>IFERROR(__xludf.DUMMYFUNCTION("SPLIT('2. c'!B3823, "" "", True, True)"),"Neorhizobium")</f>
        <v>Neorhizobium</v>
      </c>
      <c r="D3823" t="str">
        <f>IFERROR(__xludf.DUMMYFUNCTION("""COMPUTED_VALUE"""),"galegae")</f>
        <v>galegae</v>
      </c>
      <c r="E3823" t="str">
        <f>IFERROR(__xludf.DUMMYFUNCTION("""COMPUTED_VALUE"""),"bv.")</f>
        <v>bv.</v>
      </c>
      <c r="F3823" t="str">
        <f>IFERROR(__xludf.DUMMYFUNCTION("""COMPUTED_VALUE"""),"officinalis")</f>
        <v>officinalis</v>
      </c>
      <c r="G3823" t="str">
        <f>IFERROR(__xludf.DUMMYFUNCTION("""COMPUTED_VALUE"""),"bv.")</f>
        <v>bv.</v>
      </c>
      <c r="H3823" t="str">
        <f>IFERROR(__xludf.DUMMYFUNCTION("""COMPUTED_VALUE"""),"officinalis")</f>
        <v>officinalis</v>
      </c>
      <c r="I3823" t="str">
        <f>IFERROR(__xludf.DUMMYFUNCTION("""COMPUTED_VALUE"""),"str.")</f>
        <v>str.</v>
      </c>
      <c r="J3823" t="str">
        <f>IFERROR(__xludf.DUMMYFUNCTION("""COMPUTED_VALUE"""),"HAMBI")</f>
        <v>HAMBI</v>
      </c>
      <c r="K3823">
        <f>IFERROR(__xludf.DUMMYFUNCTION("""COMPUTED_VALUE"""),1141.0)</f>
        <v>1141</v>
      </c>
    </row>
    <row r="3824" ht="15.75" customHeight="1">
      <c r="A3824" t="str">
        <f t="shared" si="1"/>
        <v>N.galegae</v>
      </c>
      <c r="B3824" s="5" t="s">
        <v>22271</v>
      </c>
      <c r="C3824" s="6" t="str">
        <f>IFERROR(__xludf.DUMMYFUNCTION("SPLIT('2. c'!B3824, "" "", True, True)"),"Neorhizobium")</f>
        <v>Neorhizobium</v>
      </c>
      <c r="D3824" t="str">
        <f>IFERROR(__xludf.DUMMYFUNCTION("""COMPUTED_VALUE"""),"galegae")</f>
        <v>galegae</v>
      </c>
      <c r="E3824" t="str">
        <f>IFERROR(__xludf.DUMMYFUNCTION("""COMPUTED_VALUE"""),"bv.")</f>
        <v>bv.</v>
      </c>
      <c r="F3824" t="str">
        <f>IFERROR(__xludf.DUMMYFUNCTION("""COMPUTED_VALUE"""),"orientalis")</f>
        <v>orientalis</v>
      </c>
      <c r="G3824" t="str">
        <f>IFERROR(__xludf.DUMMYFUNCTION("""COMPUTED_VALUE"""),"str.")</f>
        <v>str.</v>
      </c>
      <c r="H3824" t="str">
        <f>IFERROR(__xludf.DUMMYFUNCTION("""COMPUTED_VALUE"""),"HAMBI")</f>
        <v>HAMBI</v>
      </c>
      <c r="I3824">
        <f>IFERROR(__xludf.DUMMYFUNCTION("""COMPUTED_VALUE"""),540.0)</f>
        <v>540</v>
      </c>
    </row>
    <row r="3825" ht="15.75" customHeight="1">
      <c r="A3825" t="str">
        <f t="shared" si="1"/>
        <v>N.helminthoeca</v>
      </c>
      <c r="B3825" s="5" t="s">
        <v>22283</v>
      </c>
      <c r="C3825" s="6" t="str">
        <f>IFERROR(__xludf.DUMMYFUNCTION("SPLIT('2. c'!B3825, "" "", True, True)"),"Neorickettsia")</f>
        <v>Neorickettsia</v>
      </c>
      <c r="D3825" t="str">
        <f>IFERROR(__xludf.DUMMYFUNCTION("""COMPUTED_VALUE"""),"helminthoeca")</f>
        <v>helminthoeca</v>
      </c>
      <c r="E3825" t="str">
        <f>IFERROR(__xludf.DUMMYFUNCTION("""COMPUTED_VALUE"""),"str.")</f>
        <v>str.</v>
      </c>
      <c r="F3825" t="str">
        <f>IFERROR(__xludf.DUMMYFUNCTION("""COMPUTED_VALUE"""),"Oregon")</f>
        <v>Oregon</v>
      </c>
    </row>
    <row r="3826" ht="15.75" customHeight="1">
      <c r="A3826" t="str">
        <f t="shared" si="1"/>
        <v>N.risticii</v>
      </c>
      <c r="B3826" s="5" t="s">
        <v>22291</v>
      </c>
      <c r="C3826" s="6" t="str">
        <f>IFERROR(__xludf.DUMMYFUNCTION("SPLIT('2. c'!B3826, "" "", True, True)"),"Neorickettsia")</f>
        <v>Neorickettsia</v>
      </c>
      <c r="D3826" t="str">
        <f>IFERROR(__xludf.DUMMYFUNCTION("""COMPUTED_VALUE"""),"risticii")</f>
        <v>risticii</v>
      </c>
      <c r="E3826" t="str">
        <f>IFERROR(__xludf.DUMMYFUNCTION("""COMPUTED_VALUE"""),"str.")</f>
        <v>str.</v>
      </c>
      <c r="F3826" t="str">
        <f>IFERROR(__xludf.DUMMYFUNCTION("""COMPUTED_VALUE"""),"Illinois")</f>
        <v>Illinois</v>
      </c>
    </row>
    <row r="3827" ht="15.75" customHeight="1">
      <c r="A3827" t="str">
        <f t="shared" si="1"/>
        <v>N.sennetsu</v>
      </c>
      <c r="B3827" s="5" t="s">
        <v>22300</v>
      </c>
      <c r="C3827" s="6" t="str">
        <f>IFERROR(__xludf.DUMMYFUNCTION("SPLIT('2. c'!B3827, "" "", True, True)"),"Neorickettsia")</f>
        <v>Neorickettsia</v>
      </c>
      <c r="D3827" t="str">
        <f>IFERROR(__xludf.DUMMYFUNCTION("""COMPUTED_VALUE"""),"sennetsu")</f>
        <v>sennetsu</v>
      </c>
      <c r="E3827" t="str">
        <f>IFERROR(__xludf.DUMMYFUNCTION("""COMPUTED_VALUE"""),"str.")</f>
        <v>str.</v>
      </c>
      <c r="F3827" t="str">
        <f>IFERROR(__xludf.DUMMYFUNCTION("""COMPUTED_VALUE"""),"Miyayama")</f>
        <v>Miyayama</v>
      </c>
    </row>
    <row r="3828" ht="15.75" customHeight="1">
      <c r="A3828" t="str">
        <f t="shared" si="1"/>
        <v>N.sp.</v>
      </c>
      <c r="B3828" s="5" t="s">
        <v>22306</v>
      </c>
      <c r="C3828" s="6" t="str">
        <f>IFERROR(__xludf.DUMMYFUNCTION("SPLIT('2. c'!B3828, "" "", True, True)"),"Neorickettsia")</f>
        <v>Neorickettsia</v>
      </c>
      <c r="D3828" t="str">
        <f>IFERROR(__xludf.DUMMYFUNCTION("""COMPUTED_VALUE"""),"sp.")</f>
        <v>sp.</v>
      </c>
      <c r="E3828">
        <f>IFERROR(__xludf.DUMMYFUNCTION("""COMPUTED_VALUE"""),179522.0)</f>
        <v>179522</v>
      </c>
    </row>
    <row r="3829" ht="15.75" customHeight="1">
      <c r="A3829" t="str">
        <f t="shared" si="1"/>
        <v>N.sp.</v>
      </c>
      <c r="B3829" s="5" t="s">
        <v>22315</v>
      </c>
      <c r="C3829" s="6" t="str">
        <f>IFERROR(__xludf.DUMMYFUNCTION("SPLIT('2. c'!B3829, "" "", True, True)"),"Niabella")</f>
        <v>Niabella</v>
      </c>
      <c r="D3829" t="str">
        <f>IFERROR(__xludf.DUMMYFUNCTION("""COMPUTED_VALUE"""),"sp.")</f>
        <v>sp.</v>
      </c>
      <c r="E3829" t="str">
        <f>IFERROR(__xludf.DUMMYFUNCTION("""COMPUTED_VALUE"""),"BS26")</f>
        <v>BS26</v>
      </c>
    </row>
    <row r="3830" ht="15.75" customHeight="1">
      <c r="A3830" t="str">
        <f t="shared" si="1"/>
        <v>N.koreensis</v>
      </c>
      <c r="B3830" s="5" t="s">
        <v>22323</v>
      </c>
      <c r="C3830" s="6" t="str">
        <f>IFERROR(__xludf.DUMMYFUNCTION("SPLIT('2. c'!B3830, "" "", True, True)"),"Niastella")</f>
        <v>Niastella</v>
      </c>
      <c r="D3830" t="str">
        <f>IFERROR(__xludf.DUMMYFUNCTION("""COMPUTED_VALUE"""),"koreensis")</f>
        <v>koreensis</v>
      </c>
      <c r="E3830" t="str">
        <f>IFERROR(__xludf.DUMMYFUNCTION("""COMPUTED_VALUE"""),"GR20-10")</f>
        <v>GR20-10</v>
      </c>
    </row>
    <row r="3831" ht="15.75" customHeight="1">
      <c r="A3831" t="str">
        <f t="shared" si="1"/>
        <v>N.salsuginis</v>
      </c>
      <c r="B3831" s="5" t="s">
        <v>22331</v>
      </c>
      <c r="C3831" s="6" t="str">
        <f>IFERROR(__xludf.DUMMYFUNCTION("SPLIT('2. c'!B3831, "" "", True, True)"),"Nitratifractor")</f>
        <v>Nitratifractor</v>
      </c>
      <c r="D3831" t="str">
        <f>IFERROR(__xludf.DUMMYFUNCTION("""COMPUTED_VALUE"""),"salsuginis")</f>
        <v>salsuginis</v>
      </c>
      <c r="E3831" t="str">
        <f>IFERROR(__xludf.DUMMYFUNCTION("""COMPUTED_VALUE"""),"DSM")</f>
        <v>DSM</v>
      </c>
      <c r="F3831">
        <f>IFERROR(__xludf.DUMMYFUNCTION("""COMPUTED_VALUE"""),16511.0)</f>
        <v>16511</v>
      </c>
    </row>
    <row r="3832" ht="15.75" customHeight="1">
      <c r="A3832" t="str">
        <f t="shared" si="1"/>
        <v>N.sp.</v>
      </c>
      <c r="B3832" s="5" t="s">
        <v>22341</v>
      </c>
      <c r="C3832" s="6" t="str">
        <f>IFERROR(__xludf.DUMMYFUNCTION("SPLIT('2. c'!B3832, "" "", True, True)"),"Nitratiruptor")</f>
        <v>Nitratiruptor</v>
      </c>
      <c r="D3832" t="str">
        <f>IFERROR(__xludf.DUMMYFUNCTION("""COMPUTED_VALUE"""),"sp.")</f>
        <v>sp.</v>
      </c>
      <c r="E3832" t="str">
        <f>IFERROR(__xludf.DUMMYFUNCTION("""COMPUTED_VALUE"""),"SB155-2")</f>
        <v>SB155-2</v>
      </c>
    </row>
    <row r="3833" ht="15.75" customHeight="1">
      <c r="A3833" t="str">
        <f t="shared" si="1"/>
        <v>N.alkaliphilus</v>
      </c>
      <c r="B3833" s="5" t="s">
        <v>22350</v>
      </c>
      <c r="C3833" s="6" t="str">
        <f>IFERROR(__xludf.DUMMYFUNCTION("SPLIT('2. c'!B3833, "" "", True, True)"),"Nitriliruptor")</f>
        <v>Nitriliruptor</v>
      </c>
      <c r="D3833" t="str">
        <f>IFERROR(__xludf.DUMMYFUNCTION("""COMPUTED_VALUE"""),"alkaliphilus")</f>
        <v>alkaliphilus</v>
      </c>
      <c r="E3833" t="str">
        <f>IFERROR(__xludf.DUMMYFUNCTION("""COMPUTED_VALUE"""),"DSM")</f>
        <v>DSM</v>
      </c>
      <c r="F3833">
        <f>IFERROR(__xludf.DUMMYFUNCTION("""COMPUTED_VALUE"""),45188.0)</f>
        <v>45188</v>
      </c>
    </row>
    <row r="3834" ht="15.75" customHeight="1">
      <c r="A3834" t="str">
        <f t="shared" si="1"/>
        <v>N.hamburgensis</v>
      </c>
      <c r="B3834" s="5" t="s">
        <v>22360</v>
      </c>
      <c r="C3834" s="6" t="str">
        <f>IFERROR(__xludf.DUMMYFUNCTION("SPLIT('2. c'!B3834, "" "", True, True)"),"Nitrobacter")</f>
        <v>Nitrobacter</v>
      </c>
      <c r="D3834" t="str">
        <f>IFERROR(__xludf.DUMMYFUNCTION("""COMPUTED_VALUE"""),"hamburgensis")</f>
        <v>hamburgensis</v>
      </c>
      <c r="E3834" t="str">
        <f>IFERROR(__xludf.DUMMYFUNCTION("""COMPUTED_VALUE"""),"X14")</f>
        <v>X14</v>
      </c>
    </row>
    <row r="3835" ht="15.75" customHeight="1">
      <c r="A3835" t="str">
        <f t="shared" si="1"/>
        <v>N.winogradskyi</v>
      </c>
      <c r="B3835" s="5" t="s">
        <v>22370</v>
      </c>
      <c r="C3835" s="6" t="str">
        <f>IFERROR(__xludf.DUMMYFUNCTION("SPLIT('2. c'!B3835, "" "", True, True)"),"Nitrobacter")</f>
        <v>Nitrobacter</v>
      </c>
      <c r="D3835" t="str">
        <f>IFERROR(__xludf.DUMMYFUNCTION("""COMPUTED_VALUE"""),"winogradskyi")</f>
        <v>winogradskyi</v>
      </c>
      <c r="E3835" t="str">
        <f>IFERROR(__xludf.DUMMYFUNCTION("""COMPUTED_VALUE"""),"Nb-255")</f>
        <v>Nb-255</v>
      </c>
    </row>
    <row r="3836" ht="15.75" customHeight="1">
      <c r="A3836" t="str">
        <f t="shared" si="1"/>
        <v>N.halophilus</v>
      </c>
      <c r="B3836" s="5" t="s">
        <v>22383</v>
      </c>
      <c r="C3836" s="6" t="str">
        <f>IFERROR(__xludf.DUMMYFUNCTION("SPLIT('2. c'!B3836, "" "", True, True)"),"Nitrosococcus")</f>
        <v>Nitrosococcus</v>
      </c>
      <c r="D3836" t="str">
        <f>IFERROR(__xludf.DUMMYFUNCTION("""COMPUTED_VALUE"""),"halophilus")</f>
        <v>halophilus</v>
      </c>
      <c r="E3836" t="str">
        <f>IFERROR(__xludf.DUMMYFUNCTION("""COMPUTED_VALUE"""),"Nc")</f>
        <v>Nc</v>
      </c>
      <c r="F3836">
        <f>IFERROR(__xludf.DUMMYFUNCTION("""COMPUTED_VALUE"""),4.0)</f>
        <v>4</v>
      </c>
    </row>
    <row r="3837" ht="15.75" customHeight="1">
      <c r="A3837" t="str">
        <f t="shared" si="1"/>
        <v>N.oceani</v>
      </c>
      <c r="B3837" s="5" t="s">
        <v>22393</v>
      </c>
      <c r="C3837" s="6" t="str">
        <f>IFERROR(__xludf.DUMMYFUNCTION("SPLIT('2. c'!B3837, "" "", True, True)"),"Nitrosococcus")</f>
        <v>Nitrosococcus</v>
      </c>
      <c r="D3837" t="str">
        <f>IFERROR(__xludf.DUMMYFUNCTION("""COMPUTED_VALUE"""),"oceani")</f>
        <v>oceani</v>
      </c>
      <c r="E3837" t="str">
        <f>IFERROR(__xludf.DUMMYFUNCTION("""COMPUTED_VALUE"""),"ATCC")</f>
        <v>ATCC</v>
      </c>
      <c r="F3837">
        <f>IFERROR(__xludf.DUMMYFUNCTION("""COMPUTED_VALUE"""),19707.0)</f>
        <v>19707</v>
      </c>
    </row>
    <row r="3838" ht="15.75" customHeight="1">
      <c r="A3838" t="str">
        <f t="shared" si="1"/>
        <v>N.watsonii</v>
      </c>
      <c r="B3838" s="5" t="s">
        <v>22401</v>
      </c>
      <c r="C3838" s="6" t="str">
        <f>IFERROR(__xludf.DUMMYFUNCTION("SPLIT('2. c'!B3838, "" "", True, True)"),"Nitrosococcus")</f>
        <v>Nitrosococcus</v>
      </c>
      <c r="D3838" t="str">
        <f>IFERROR(__xludf.DUMMYFUNCTION("""COMPUTED_VALUE"""),"watsonii")</f>
        <v>watsonii</v>
      </c>
      <c r="E3838" t="str">
        <f>IFERROR(__xludf.DUMMYFUNCTION("""COMPUTED_VALUE"""),"C-113")</f>
        <v>C-113</v>
      </c>
    </row>
    <row r="3839" ht="15.75" customHeight="1">
      <c r="A3839" t="str">
        <f t="shared" si="1"/>
        <v>N.communis</v>
      </c>
      <c r="B3839" s="5" t="s">
        <v>22409</v>
      </c>
      <c r="C3839" s="6" t="str">
        <f>IFERROR(__xludf.DUMMYFUNCTION("SPLIT('2. c'!B3839, "" "", True, True)"),"Nitrosomonas")</f>
        <v>Nitrosomonas</v>
      </c>
      <c r="D3839" t="str">
        <f>IFERROR(__xludf.DUMMYFUNCTION("""COMPUTED_VALUE"""),"communis")</f>
        <v>communis</v>
      </c>
      <c r="E3839" t="str">
        <f>IFERROR(__xludf.DUMMYFUNCTION("""COMPUTED_VALUE"""),"strain")</f>
        <v>strain</v>
      </c>
      <c r="F3839" t="str">
        <f>IFERROR(__xludf.DUMMYFUNCTION("""COMPUTED_VALUE"""),"Nm2")</f>
        <v>Nm2</v>
      </c>
    </row>
    <row r="3840" ht="15.75" customHeight="1">
      <c r="A3840" t="str">
        <f t="shared" si="1"/>
        <v>N.europaea</v>
      </c>
      <c r="B3840" s="5" t="s">
        <v>22417</v>
      </c>
      <c r="C3840" s="6" t="str">
        <f>IFERROR(__xludf.DUMMYFUNCTION("SPLIT('2. c'!B3840, "" "", True, True)"),"Nitrosomonas")</f>
        <v>Nitrosomonas</v>
      </c>
      <c r="D3840" t="str">
        <f>IFERROR(__xludf.DUMMYFUNCTION("""COMPUTED_VALUE"""),"europaea")</f>
        <v>europaea</v>
      </c>
      <c r="E3840" t="str">
        <f>IFERROR(__xludf.DUMMYFUNCTION("""COMPUTED_VALUE"""),"ATCC")</f>
        <v>ATCC</v>
      </c>
      <c r="F3840">
        <f>IFERROR(__xludf.DUMMYFUNCTION("""COMPUTED_VALUE"""),19718.0)</f>
        <v>19718</v>
      </c>
    </row>
    <row r="3841" ht="15.75" customHeight="1">
      <c r="A3841" t="str">
        <f t="shared" si="1"/>
        <v>N.eutropha</v>
      </c>
      <c r="B3841" s="5" t="s">
        <v>22424</v>
      </c>
      <c r="C3841" s="6" t="str">
        <f>IFERROR(__xludf.DUMMYFUNCTION("SPLIT('2. c'!B3841, "" "", True, True)"),"Nitrosomonas")</f>
        <v>Nitrosomonas</v>
      </c>
      <c r="D3841" t="str">
        <f>IFERROR(__xludf.DUMMYFUNCTION("""COMPUTED_VALUE"""),"eutropha")</f>
        <v>eutropha</v>
      </c>
      <c r="E3841" t="str">
        <f>IFERROR(__xludf.DUMMYFUNCTION("""COMPUTED_VALUE"""),"C91")</f>
        <v>C91</v>
      </c>
    </row>
    <row r="3842" ht="15.75" customHeight="1">
      <c r="A3842" t="str">
        <f t="shared" si="1"/>
        <v>N.sp.</v>
      </c>
      <c r="B3842" s="5" t="s">
        <v>22430</v>
      </c>
      <c r="C3842" s="6" t="str">
        <f>IFERROR(__xludf.DUMMYFUNCTION("SPLIT('2. c'!B3842, "" "", True, True)"),"Nitrosomonas")</f>
        <v>Nitrosomonas</v>
      </c>
      <c r="D3842" t="str">
        <f>IFERROR(__xludf.DUMMYFUNCTION("""COMPUTED_VALUE"""),"sp.")</f>
        <v>sp.</v>
      </c>
      <c r="E3842" t="str">
        <f>IFERROR(__xludf.DUMMYFUNCTION("""COMPUTED_VALUE"""),"AL212")</f>
        <v>AL212</v>
      </c>
    </row>
    <row r="3843" ht="15.75" customHeight="1">
      <c r="A3843" t="str">
        <f t="shared" si="1"/>
        <v>N.sp.</v>
      </c>
      <c r="B3843" s="5" t="s">
        <v>22439</v>
      </c>
      <c r="C3843" s="6" t="str">
        <f>IFERROR(__xludf.DUMMYFUNCTION("SPLIT('2. c'!B3843, "" "", True, True)"),"Nitrosomonas")</f>
        <v>Nitrosomonas</v>
      </c>
      <c r="D3843" t="str">
        <f>IFERROR(__xludf.DUMMYFUNCTION("""COMPUTED_VALUE"""),"sp.")</f>
        <v>sp.</v>
      </c>
      <c r="E3843" t="str">
        <f>IFERROR(__xludf.DUMMYFUNCTION("""COMPUTED_VALUE"""),"Is79A3")</f>
        <v>Is79A3</v>
      </c>
    </row>
    <row r="3844" ht="15.75" customHeight="1">
      <c r="A3844" t="str">
        <f t="shared" si="1"/>
        <v>N.ureae</v>
      </c>
      <c r="B3844" s="5" t="s">
        <v>22447</v>
      </c>
      <c r="C3844" s="6" t="str">
        <f>IFERROR(__xludf.DUMMYFUNCTION("SPLIT('2. c'!B3844, "" "", True, True)"),"Nitrosomonas")</f>
        <v>Nitrosomonas</v>
      </c>
      <c r="D3844" t="str">
        <f>IFERROR(__xludf.DUMMYFUNCTION("""COMPUTED_VALUE"""),"ureae")</f>
        <v>ureae</v>
      </c>
      <c r="E3844" t="str">
        <f>IFERROR(__xludf.DUMMYFUNCTION("""COMPUTED_VALUE"""),"strain")</f>
        <v>strain</v>
      </c>
      <c r="F3844" t="str">
        <f>IFERROR(__xludf.DUMMYFUNCTION("""COMPUTED_VALUE"""),"Nm10")</f>
        <v>Nm10</v>
      </c>
    </row>
    <row r="3845" ht="15.75" customHeight="1">
      <c r="A3845" t="str">
        <f t="shared" si="1"/>
        <v>N.maritimus</v>
      </c>
      <c r="B3845" s="5" t="s">
        <v>22455</v>
      </c>
      <c r="C3845" s="6" t="str">
        <f>IFERROR(__xludf.DUMMYFUNCTION("SPLIT('2. c'!B3845, "" "", True, True)"),"Nitrosopumilus")</f>
        <v>Nitrosopumilus</v>
      </c>
      <c r="D3845" t="str">
        <f>IFERROR(__xludf.DUMMYFUNCTION("""COMPUTED_VALUE"""),"maritimus")</f>
        <v>maritimus</v>
      </c>
      <c r="E3845" t="str">
        <f>IFERROR(__xludf.DUMMYFUNCTION("""COMPUTED_VALUE"""),"SCM1")</f>
        <v>SCM1</v>
      </c>
    </row>
    <row r="3846" ht="15.75" customHeight="1">
      <c r="A3846" t="str">
        <f t="shared" si="1"/>
        <v>N.viennensis</v>
      </c>
      <c r="B3846" s="5" t="s">
        <v>22463</v>
      </c>
      <c r="C3846" s="6" t="str">
        <f>IFERROR(__xludf.DUMMYFUNCTION("SPLIT('2. c'!B3846, "" "", True, True)"),"Nitrososphaera")</f>
        <v>Nitrososphaera</v>
      </c>
      <c r="D3846" t="str">
        <f>IFERROR(__xludf.DUMMYFUNCTION("""COMPUTED_VALUE"""),"viennensis")</f>
        <v>viennensis</v>
      </c>
      <c r="E3846" t="str">
        <f>IFERROR(__xludf.DUMMYFUNCTION("""COMPUTED_VALUE"""),"EN76")</f>
        <v>EN76</v>
      </c>
    </row>
    <row r="3847" ht="15.75" customHeight="1">
      <c r="A3847" t="str">
        <f t="shared" si="1"/>
        <v>N.multiformis</v>
      </c>
      <c r="B3847" s="5" t="s">
        <v>22470</v>
      </c>
      <c r="C3847" s="6" t="str">
        <f>IFERROR(__xludf.DUMMYFUNCTION("SPLIT('2. c'!B3847, "" "", True, True)"),"Nitrosospira")</f>
        <v>Nitrosospira</v>
      </c>
      <c r="D3847" t="str">
        <f>IFERROR(__xludf.DUMMYFUNCTION("""COMPUTED_VALUE"""),"multiformis")</f>
        <v>multiformis</v>
      </c>
      <c r="E3847" t="str">
        <f>IFERROR(__xludf.DUMMYFUNCTION("""COMPUTED_VALUE"""),"ATCC")</f>
        <v>ATCC</v>
      </c>
      <c r="F3847">
        <f>IFERROR(__xludf.DUMMYFUNCTION("""COMPUTED_VALUE"""),25196.0)</f>
        <v>25196</v>
      </c>
    </row>
    <row r="3848" ht="15.75" customHeight="1">
      <c r="A3848" t="str">
        <f t="shared" si="1"/>
        <v>N.moscoviensis</v>
      </c>
      <c r="B3848" s="5" t="s">
        <v>22482</v>
      </c>
      <c r="C3848" s="6" t="str">
        <f>IFERROR(__xludf.DUMMYFUNCTION("SPLIT('2. c'!B3848, "" "", True, True)"),"Nitrospira")</f>
        <v>Nitrospira</v>
      </c>
      <c r="D3848" t="str">
        <f>IFERROR(__xludf.DUMMYFUNCTION("""COMPUTED_VALUE"""),"moscoviensis")</f>
        <v>moscoviensis</v>
      </c>
      <c r="E3848" t="str">
        <f>IFERROR(__xludf.DUMMYFUNCTION("""COMPUTED_VALUE"""),"strain")</f>
        <v>strain</v>
      </c>
      <c r="F3848" t="str">
        <f>IFERROR(__xludf.DUMMYFUNCTION("""COMPUTED_VALUE"""),"NSP")</f>
        <v>NSP</v>
      </c>
      <c r="G3848" t="str">
        <f>IFERROR(__xludf.DUMMYFUNCTION("""COMPUTED_VALUE"""),"M-1")</f>
        <v>M-1</v>
      </c>
    </row>
    <row r="3849" ht="15.75" customHeight="1">
      <c r="A3849" t="str">
        <f t="shared" si="1"/>
        <v>N.sp.</v>
      </c>
      <c r="B3849" s="5" t="s">
        <v>22490</v>
      </c>
      <c r="C3849" s="6" t="str">
        <f>IFERROR(__xludf.DUMMYFUNCTION("SPLIT('2. c'!B3849, "" "", True, True)"),"Nitrospira")</f>
        <v>Nitrospira</v>
      </c>
      <c r="D3849" t="str">
        <f>IFERROR(__xludf.DUMMYFUNCTION("""COMPUTED_VALUE"""),"sp.")</f>
        <v>sp.</v>
      </c>
      <c r="E3849" t="str">
        <f>IFERROR(__xludf.DUMMYFUNCTION("""COMPUTED_VALUE"""),"ENR4")</f>
        <v>ENR4</v>
      </c>
    </row>
    <row r="3850" ht="15.75" customHeight="1">
      <c r="A3850" t="str">
        <f t="shared" si="1"/>
        <v>N.cyriacigeorgica</v>
      </c>
      <c r="B3850" s="5" t="s">
        <v>22497</v>
      </c>
      <c r="C3850" s="6" t="str">
        <f>IFERROR(__xludf.DUMMYFUNCTION("SPLIT('2. c'!B3850, "" "", True, True)"),"Nocardia")</f>
        <v>Nocardia</v>
      </c>
      <c r="D3850" t="str">
        <f>IFERROR(__xludf.DUMMYFUNCTION("""COMPUTED_VALUE"""),"cyriacigeorgica")</f>
        <v>cyriacigeorgica</v>
      </c>
      <c r="E3850" t="str">
        <f>IFERROR(__xludf.DUMMYFUNCTION("""COMPUTED_VALUE"""),"GUH-2")</f>
        <v>GUH-2</v>
      </c>
    </row>
    <row r="3851" ht="15.75" customHeight="1">
      <c r="A3851" t="str">
        <f t="shared" si="1"/>
        <v>N.farcinica</v>
      </c>
      <c r="B3851" s="5" t="s">
        <v>22505</v>
      </c>
      <c r="C3851" s="6" t="str">
        <f>IFERROR(__xludf.DUMMYFUNCTION("SPLIT('2. c'!B3851, "" "", True, True)"),"Nocardia")</f>
        <v>Nocardia</v>
      </c>
      <c r="D3851" t="str">
        <f>IFERROR(__xludf.DUMMYFUNCTION("""COMPUTED_VALUE"""),"farcinica")</f>
        <v>farcinica</v>
      </c>
      <c r="E3851" t="str">
        <f>IFERROR(__xludf.DUMMYFUNCTION("""COMPUTED_VALUE"""),"IFM")</f>
        <v>IFM</v>
      </c>
      <c r="F3851">
        <f>IFERROR(__xludf.DUMMYFUNCTION("""COMPUTED_VALUE"""),10152.0)</f>
        <v>10152</v>
      </c>
    </row>
    <row r="3852" ht="15.75" customHeight="1">
      <c r="A3852" t="str">
        <f t="shared" si="1"/>
        <v>N.nova</v>
      </c>
      <c r="B3852" s="5" t="s">
        <v>22514</v>
      </c>
      <c r="C3852" s="6" t="str">
        <f>IFERROR(__xludf.DUMMYFUNCTION("SPLIT('2. c'!B3852, "" "", True, True)"),"Nocardia")</f>
        <v>Nocardia</v>
      </c>
      <c r="D3852" t="str">
        <f>IFERROR(__xludf.DUMMYFUNCTION("""COMPUTED_VALUE"""),"nova")</f>
        <v>nova</v>
      </c>
      <c r="E3852" t="str">
        <f>IFERROR(__xludf.DUMMYFUNCTION("""COMPUTED_VALUE"""),"SH22a")</f>
        <v>SH22a</v>
      </c>
    </row>
    <row r="3853" ht="15.75" customHeight="1">
      <c r="A3853" t="str">
        <f t="shared" si="1"/>
        <v>N.dokdonensis</v>
      </c>
      <c r="B3853" s="5" t="s">
        <v>22522</v>
      </c>
      <c r="C3853" s="6" t="str">
        <f>IFERROR(__xludf.DUMMYFUNCTION("SPLIT('2. c'!B3853, "" "", True, True)"),"Nocardioides")</f>
        <v>Nocardioides</v>
      </c>
      <c r="D3853" t="str">
        <f>IFERROR(__xludf.DUMMYFUNCTION("""COMPUTED_VALUE"""),"dokdonensis")</f>
        <v>dokdonensis</v>
      </c>
      <c r="E3853" t="str">
        <f>IFERROR(__xludf.DUMMYFUNCTION("""COMPUTED_VALUE"""),"FR1436")</f>
        <v>FR1436</v>
      </c>
    </row>
    <row r="3854" ht="15.75" customHeight="1">
      <c r="A3854" t="str">
        <f t="shared" si="1"/>
        <v>N.sp.</v>
      </c>
      <c r="B3854" s="5" t="s">
        <v>22529</v>
      </c>
      <c r="C3854" s="6" t="str">
        <f>IFERROR(__xludf.DUMMYFUNCTION("SPLIT('2. c'!B3854, "" "", True, True)"),"Nocardioides")</f>
        <v>Nocardioides</v>
      </c>
      <c r="D3854" t="str">
        <f>IFERROR(__xludf.DUMMYFUNCTION("""COMPUTED_VALUE"""),"sp.")</f>
        <v>sp.</v>
      </c>
      <c r="E3854" t="str">
        <f>IFERROR(__xludf.DUMMYFUNCTION("""COMPUTED_VALUE"""),"CF8")</f>
        <v>CF8</v>
      </c>
    </row>
    <row r="3855" ht="15.75" customHeight="1">
      <c r="A3855" t="str">
        <f t="shared" si="1"/>
        <v>N.sp.</v>
      </c>
      <c r="B3855" s="5" t="s">
        <v>22537</v>
      </c>
      <c r="C3855" s="6" t="str">
        <f>IFERROR(__xludf.DUMMYFUNCTION("SPLIT('2. c'!B3855, "" "", True, True)"),"Nocardioides")</f>
        <v>Nocardioides</v>
      </c>
      <c r="D3855" t="str">
        <f>IFERROR(__xludf.DUMMYFUNCTION("""COMPUTED_VALUE"""),"sp.")</f>
        <v>sp.</v>
      </c>
      <c r="E3855" t="str">
        <f>IFERROR(__xludf.DUMMYFUNCTION("""COMPUTED_VALUE"""),"JS614")</f>
        <v>JS614</v>
      </c>
    </row>
    <row r="3856" ht="15.75" customHeight="1">
      <c r="A3856" t="str">
        <f t="shared" si="1"/>
        <v>N.alba</v>
      </c>
      <c r="B3856" s="5" t="s">
        <v>22546</v>
      </c>
      <c r="C3856" s="6" t="str">
        <f>IFERROR(__xludf.DUMMYFUNCTION("SPLIT('2. c'!B3856, "" "", True, True)"),"Nocardiopsis")</f>
        <v>Nocardiopsis</v>
      </c>
      <c r="D3856" t="str">
        <f>IFERROR(__xludf.DUMMYFUNCTION("""COMPUTED_VALUE"""),"alba")</f>
        <v>alba</v>
      </c>
      <c r="E3856" t="str">
        <f>IFERROR(__xludf.DUMMYFUNCTION("""COMPUTED_VALUE"""),"ATCC")</f>
        <v>ATCC</v>
      </c>
      <c r="F3856" t="str">
        <f>IFERROR(__xludf.DUMMYFUNCTION("""COMPUTED_VALUE"""),"BAA-2165")</f>
        <v>BAA-2165</v>
      </c>
    </row>
    <row r="3857" ht="15.75" customHeight="1">
      <c r="A3857" t="str">
        <f t="shared" si="1"/>
        <v>N.dassonvillei</v>
      </c>
      <c r="B3857" s="5" t="s">
        <v>22555</v>
      </c>
      <c r="C3857" s="6" t="str">
        <f>IFERROR(__xludf.DUMMYFUNCTION("SPLIT('2. c'!B3857, "" "", True, True)"),"Nocardiopsis")</f>
        <v>Nocardiopsis</v>
      </c>
      <c r="D3857" t="str">
        <f>IFERROR(__xludf.DUMMYFUNCTION("""COMPUTED_VALUE"""),"dassonvillei")</f>
        <v>dassonvillei</v>
      </c>
      <c r="E3857" t="str">
        <f>IFERROR(__xludf.DUMMYFUNCTION("""COMPUTED_VALUE"""),"subsp.")</f>
        <v>subsp.</v>
      </c>
      <c r="F3857" t="str">
        <f>IFERROR(__xludf.DUMMYFUNCTION("""COMPUTED_VALUE"""),"dassonvillei")</f>
        <v>dassonvillei</v>
      </c>
      <c r="G3857" t="str">
        <f>IFERROR(__xludf.DUMMYFUNCTION("""COMPUTED_VALUE"""),"DSM")</f>
        <v>DSM</v>
      </c>
      <c r="H3857">
        <f>IFERROR(__xludf.DUMMYFUNCTION("""COMPUTED_VALUE"""),43111.0)</f>
        <v>43111</v>
      </c>
    </row>
    <row r="3858" ht="15.75" customHeight="1">
      <c r="A3858" t="str">
        <f t="shared" si="1"/>
        <v>N.spumigena</v>
      </c>
      <c r="B3858" s="5" t="s">
        <v>22566</v>
      </c>
      <c r="C3858" s="6" t="str">
        <f>IFERROR(__xludf.DUMMYFUNCTION("SPLIT('2. c'!B3858, "" "", True, True)"),"Nodularia")</f>
        <v>Nodularia</v>
      </c>
      <c r="D3858" t="str">
        <f>IFERROR(__xludf.DUMMYFUNCTION("""COMPUTED_VALUE"""),"spumigena")</f>
        <v>spumigena</v>
      </c>
      <c r="E3858" t="str">
        <f>IFERROR(__xludf.DUMMYFUNCTION("""COMPUTED_VALUE"""),"CCY9414")</f>
        <v>CCY9414</v>
      </c>
    </row>
    <row r="3859" ht="15.75" customHeight="1">
      <c r="A3859" t="str">
        <f t="shared" si="1"/>
        <v>N.dokdonensis</v>
      </c>
      <c r="B3859" s="5" t="s">
        <v>22574</v>
      </c>
      <c r="C3859" s="6" t="str">
        <f>IFERROR(__xludf.DUMMYFUNCTION("SPLIT('2. c'!B3859, "" "", True, True)"),"Nonlabens")</f>
        <v>Nonlabens</v>
      </c>
      <c r="D3859" t="str">
        <f>IFERROR(__xludf.DUMMYFUNCTION("""COMPUTED_VALUE"""),"dokdonensis")</f>
        <v>dokdonensis</v>
      </c>
      <c r="E3859" t="str">
        <f>IFERROR(__xludf.DUMMYFUNCTION("""COMPUTED_VALUE"""),"DSW-6")</f>
        <v>DSW-6</v>
      </c>
    </row>
    <row r="3860" ht="15.75" customHeight="1">
      <c r="A3860" t="str">
        <f t="shared" si="1"/>
        <v>N.marinus</v>
      </c>
      <c r="B3860" s="5" t="s">
        <v>22580</v>
      </c>
      <c r="C3860" s="6" t="str">
        <f>IFERROR(__xludf.DUMMYFUNCTION("SPLIT('2. c'!B3860, "" "", True, True)"),"Nonlabens")</f>
        <v>Nonlabens</v>
      </c>
      <c r="D3860" t="str">
        <f>IFERROR(__xludf.DUMMYFUNCTION("""COMPUTED_VALUE"""),"marinus")</f>
        <v>marinus</v>
      </c>
      <c r="E3860" t="str">
        <f>IFERROR(__xludf.DUMMYFUNCTION("""COMPUTED_VALUE"""),"S1-08")</f>
        <v>S1-08</v>
      </c>
    </row>
    <row r="3861" ht="15.75" customHeight="1">
      <c r="A3861" t="str">
        <f t="shared" si="1"/>
        <v>N.sp.</v>
      </c>
      <c r="B3861" s="5" t="s">
        <v>22587</v>
      </c>
      <c r="C3861" s="6" t="str">
        <f>IFERROR(__xludf.DUMMYFUNCTION("SPLIT('2. c'!B3861, "" "", True, True)"),"Nonlabens")</f>
        <v>Nonlabens</v>
      </c>
      <c r="D3861" t="str">
        <f>IFERROR(__xludf.DUMMYFUNCTION("""COMPUTED_VALUE"""),"sp.")</f>
        <v>sp.</v>
      </c>
      <c r="E3861" t="str">
        <f>IFERROR(__xludf.DUMMYFUNCTION("""COMPUTED_VALUE"""),"MIC269")</f>
        <v>MIC269</v>
      </c>
    </row>
    <row r="3862" ht="15.75" customHeight="1">
      <c r="A3862" t="str">
        <f t="shared" si="1"/>
        <v>N.azollae'</v>
      </c>
      <c r="B3862" s="5" t="s">
        <v>22594</v>
      </c>
      <c r="C3862" s="6" t="str">
        <f>IFERROR(__xludf.DUMMYFUNCTION("SPLIT('2. c'!B3862, "" "", True, True)"),"Nostoc")</f>
        <v>Nostoc</v>
      </c>
      <c r="D3862" t="str">
        <f>IFERROR(__xludf.DUMMYFUNCTION("""COMPUTED_VALUE"""),"azollae'")</f>
        <v>azollae'</v>
      </c>
      <c r="E3862">
        <f>IFERROR(__xludf.DUMMYFUNCTION("""COMPUTED_VALUE"""),708.0)</f>
        <v>708</v>
      </c>
    </row>
    <row r="3863" ht="15.75" customHeight="1">
      <c r="A3863" t="str">
        <f t="shared" si="1"/>
        <v>N.piscinale</v>
      </c>
      <c r="B3863" s="5" t="s">
        <v>22604</v>
      </c>
      <c r="C3863" s="6" t="str">
        <f>IFERROR(__xludf.DUMMYFUNCTION("SPLIT('2. c'!B3863, "" "", True, True)"),"Nostoc")</f>
        <v>Nostoc</v>
      </c>
      <c r="D3863" t="str">
        <f>IFERROR(__xludf.DUMMYFUNCTION("""COMPUTED_VALUE"""),"piscinale")</f>
        <v>piscinale</v>
      </c>
      <c r="E3863" t="str">
        <f>IFERROR(__xludf.DUMMYFUNCTION("""COMPUTED_VALUE"""),"CENA21")</f>
        <v>CENA21</v>
      </c>
    </row>
    <row r="3864" ht="15.75" customHeight="1">
      <c r="A3864" t="str">
        <f t="shared" si="1"/>
        <v>N.punctiforme</v>
      </c>
      <c r="B3864" s="5" t="s">
        <v>22616</v>
      </c>
      <c r="C3864" s="6" t="str">
        <f>IFERROR(__xludf.DUMMYFUNCTION("SPLIT('2. c'!B3864, "" "", True, True)"),"Nostoc")</f>
        <v>Nostoc</v>
      </c>
      <c r="D3864" t="str">
        <f>IFERROR(__xludf.DUMMYFUNCTION("""COMPUTED_VALUE"""),"punctiforme")</f>
        <v>punctiforme</v>
      </c>
      <c r="E3864" t="str">
        <f>IFERROR(__xludf.DUMMYFUNCTION("""COMPUTED_VALUE"""),"PCC")</f>
        <v>PCC</v>
      </c>
      <c r="F3864">
        <f>IFERROR(__xludf.DUMMYFUNCTION("""COMPUTED_VALUE"""),73102.0)</f>
        <v>73102</v>
      </c>
    </row>
    <row r="3865" ht="15.75" customHeight="1">
      <c r="A3865" t="str">
        <f t="shared" si="1"/>
        <v>N.sp.</v>
      </c>
      <c r="B3865" s="5" t="s">
        <v>22625</v>
      </c>
      <c r="C3865" s="6" t="str">
        <f>IFERROR(__xludf.DUMMYFUNCTION("SPLIT('2. c'!B3865, "" "", True, True)"),"Nostoc")</f>
        <v>Nostoc</v>
      </c>
      <c r="D3865" t="str">
        <f>IFERROR(__xludf.DUMMYFUNCTION("""COMPUTED_VALUE"""),"sp.")</f>
        <v>sp.</v>
      </c>
      <c r="E3865" t="str">
        <f>IFERROR(__xludf.DUMMYFUNCTION("""COMPUTED_VALUE"""),"NIES-3756")</f>
        <v>NIES-3756</v>
      </c>
    </row>
    <row r="3866" ht="15.75" customHeight="1">
      <c r="A3866" t="str">
        <f t="shared" si="1"/>
        <v>N.sp.</v>
      </c>
      <c r="B3866" s="5" t="s">
        <v>22634</v>
      </c>
      <c r="C3866" s="6" t="str">
        <f>IFERROR(__xludf.DUMMYFUNCTION("SPLIT('2. c'!B3866, "" "", True, True)"),"Nostoc")</f>
        <v>Nostoc</v>
      </c>
      <c r="D3866" t="str">
        <f>IFERROR(__xludf.DUMMYFUNCTION("""COMPUTED_VALUE"""),"sp.")</f>
        <v>sp.</v>
      </c>
      <c r="E3866" t="str">
        <f>IFERROR(__xludf.DUMMYFUNCTION("""COMPUTED_VALUE"""),"PCC")</f>
        <v>PCC</v>
      </c>
      <c r="F3866">
        <f>IFERROR(__xludf.DUMMYFUNCTION("""COMPUTED_VALUE"""),7107.0)</f>
        <v>7107</v>
      </c>
    </row>
    <row r="3867" ht="15.75" customHeight="1">
      <c r="A3867" t="str">
        <f t="shared" si="1"/>
        <v>N.sp.</v>
      </c>
      <c r="B3867" s="5" t="s">
        <v>22643</v>
      </c>
      <c r="C3867" s="6" t="str">
        <f>IFERROR(__xludf.DUMMYFUNCTION("SPLIT('2. c'!B3867, "" "", True, True)"),"Nostoc")</f>
        <v>Nostoc</v>
      </c>
      <c r="D3867" t="str">
        <f>IFERROR(__xludf.DUMMYFUNCTION("""COMPUTED_VALUE"""),"sp.")</f>
        <v>sp.</v>
      </c>
      <c r="E3867" t="str">
        <f>IFERROR(__xludf.DUMMYFUNCTION("""COMPUTED_VALUE"""),"PCC")</f>
        <v>PCC</v>
      </c>
      <c r="F3867">
        <f>IFERROR(__xludf.DUMMYFUNCTION("""COMPUTED_VALUE"""),7120.0)</f>
        <v>7120</v>
      </c>
    </row>
    <row r="3868" ht="15.75" customHeight="1">
      <c r="A3868" t="str">
        <f t="shared" si="1"/>
        <v>N.sp.</v>
      </c>
      <c r="B3868" s="5" t="s">
        <v>22651</v>
      </c>
      <c r="C3868" s="6" t="str">
        <f>IFERROR(__xludf.DUMMYFUNCTION("SPLIT('2. c'!B3868, "" "", True, True)"),"Nostoc")</f>
        <v>Nostoc</v>
      </c>
      <c r="D3868" t="str">
        <f>IFERROR(__xludf.DUMMYFUNCTION("""COMPUTED_VALUE"""),"sp.")</f>
        <v>sp.</v>
      </c>
      <c r="E3868" t="str">
        <f>IFERROR(__xludf.DUMMYFUNCTION("""COMPUTED_VALUE"""),"PCC")</f>
        <v>PCC</v>
      </c>
      <c r="F3868">
        <f>IFERROR(__xludf.DUMMYFUNCTION("""COMPUTED_VALUE"""),7524.0)</f>
        <v>7524</v>
      </c>
    </row>
    <row r="3869" ht="15.75" customHeight="1">
      <c r="A3869" t="str">
        <f t="shared" si="1"/>
        <v>N.aromaticivorans</v>
      </c>
      <c r="B3869" s="5" t="s">
        <v>22658</v>
      </c>
      <c r="C3869" s="6" t="str">
        <f>IFERROR(__xludf.DUMMYFUNCTION("SPLIT('2. c'!B3869, "" "", True, True)"),"Novosphingobium")</f>
        <v>Novosphingobium</v>
      </c>
      <c r="D3869" t="str">
        <f>IFERROR(__xludf.DUMMYFUNCTION("""COMPUTED_VALUE"""),"aromaticivorans")</f>
        <v>aromaticivorans</v>
      </c>
      <c r="E3869" t="str">
        <f>IFERROR(__xludf.DUMMYFUNCTION("""COMPUTED_VALUE"""),"DSM")</f>
        <v>DSM</v>
      </c>
      <c r="F3869">
        <f>IFERROR(__xludf.DUMMYFUNCTION("""COMPUTED_VALUE"""),12444.0)</f>
        <v>12444</v>
      </c>
    </row>
    <row r="3870" ht="15.75" customHeight="1">
      <c r="A3870" t="str">
        <f t="shared" si="1"/>
        <v>N.pentaromativorans</v>
      </c>
      <c r="B3870" s="5" t="s">
        <v>22670</v>
      </c>
      <c r="C3870" s="6" t="str">
        <f>IFERROR(__xludf.DUMMYFUNCTION("SPLIT('2. c'!B3870, "" "", True, True)"),"Novosphingobium")</f>
        <v>Novosphingobium</v>
      </c>
      <c r="D3870" t="str">
        <f>IFERROR(__xludf.DUMMYFUNCTION("""COMPUTED_VALUE"""),"pentaromativorans")</f>
        <v>pentaromativorans</v>
      </c>
      <c r="E3870" t="str">
        <f>IFERROR(__xludf.DUMMYFUNCTION("""COMPUTED_VALUE"""),"US6-1")</f>
        <v>US6-1</v>
      </c>
    </row>
    <row r="3871" ht="15.75" customHeight="1">
      <c r="A3871" t="str">
        <f t="shared" si="1"/>
        <v>N.sp.</v>
      </c>
      <c r="B3871" s="5" t="s">
        <v>22677</v>
      </c>
      <c r="C3871" s="6" t="str">
        <f>IFERROR(__xludf.DUMMYFUNCTION("SPLIT('2. c'!B3871, "" "", True, True)"),"Novosphingobium")</f>
        <v>Novosphingobium</v>
      </c>
      <c r="D3871" t="str">
        <f>IFERROR(__xludf.DUMMYFUNCTION("""COMPUTED_VALUE"""),"sp.")</f>
        <v>sp.</v>
      </c>
      <c r="E3871" t="str">
        <f>IFERROR(__xludf.DUMMYFUNCTION("""COMPUTED_VALUE"""),"PP1Y")</f>
        <v>PP1Y</v>
      </c>
    </row>
    <row r="3872" ht="15.75" customHeight="1">
      <c r="A3872" t="str">
        <f t="shared" si="1"/>
        <v>O.proteus</v>
      </c>
      <c r="B3872" s="5" t="s">
        <v>22685</v>
      </c>
      <c r="C3872" s="6" t="str">
        <f>IFERROR(__xludf.DUMMYFUNCTION("SPLIT('2. c'!B3872, "" "", True, True)"),"Obesumbacterium")</f>
        <v>Obesumbacterium</v>
      </c>
      <c r="D3872" t="str">
        <f>IFERROR(__xludf.DUMMYFUNCTION("""COMPUTED_VALUE"""),"proteus")</f>
        <v>proteus</v>
      </c>
      <c r="E3872" t="str">
        <f>IFERROR(__xludf.DUMMYFUNCTION("""COMPUTED_VALUE"""),"strain")</f>
        <v>strain</v>
      </c>
      <c r="F3872" t="str">
        <f>IFERROR(__xludf.DUMMYFUNCTION("""COMPUTED_VALUE"""),"DSM")</f>
        <v>DSM</v>
      </c>
      <c r="G3872">
        <f>IFERROR(__xludf.DUMMYFUNCTION("""COMPUTED_VALUE"""),2777.0)</f>
        <v>2777</v>
      </c>
    </row>
    <row r="3873" ht="15.75" customHeight="1">
      <c r="A3873" t="str">
        <f t="shared" si="1"/>
        <v>O.sp.</v>
      </c>
      <c r="B3873" s="5" t="s">
        <v>22696</v>
      </c>
      <c r="C3873" s="6" t="str">
        <f>IFERROR(__xludf.DUMMYFUNCTION("SPLIT('2. c'!B3873, "" "", True, True)"),"Oceanimonas")</f>
        <v>Oceanimonas</v>
      </c>
      <c r="D3873" t="str">
        <f>IFERROR(__xludf.DUMMYFUNCTION("""COMPUTED_VALUE"""),"sp.")</f>
        <v>sp.</v>
      </c>
      <c r="E3873" t="str">
        <f>IFERROR(__xludf.DUMMYFUNCTION("""COMPUTED_VALUE"""),"GK1")</f>
        <v>GK1</v>
      </c>
    </row>
    <row r="3874" ht="15.75" customHeight="1">
      <c r="A3874" t="str">
        <f t="shared" si="1"/>
        <v>O.profundus</v>
      </c>
      <c r="B3874" s="5" t="s">
        <v>22707</v>
      </c>
      <c r="C3874" s="6" t="str">
        <f>IFERROR(__xludf.DUMMYFUNCTION("SPLIT('2. c'!B3874, "" "", True, True)"),"Oceanithermus")</f>
        <v>Oceanithermus</v>
      </c>
      <c r="D3874" t="str">
        <f>IFERROR(__xludf.DUMMYFUNCTION("""COMPUTED_VALUE"""),"profundus")</f>
        <v>profundus</v>
      </c>
      <c r="E3874" t="str">
        <f>IFERROR(__xludf.DUMMYFUNCTION("""COMPUTED_VALUE"""),"DSM")</f>
        <v>DSM</v>
      </c>
      <c r="F3874">
        <f>IFERROR(__xludf.DUMMYFUNCTION("""COMPUTED_VALUE"""),14977.0)</f>
        <v>14977</v>
      </c>
    </row>
    <row r="3875" ht="15.75" customHeight="1">
      <c r="A3875" t="str">
        <f t="shared" si="1"/>
        <v>O.iheyensis</v>
      </c>
      <c r="B3875" s="5" t="s">
        <v>22716</v>
      </c>
      <c r="C3875" s="6" t="str">
        <f>IFERROR(__xludf.DUMMYFUNCTION("SPLIT('2. c'!B3875, "" "", True, True)"),"Oceanobacillus")</f>
        <v>Oceanobacillus</v>
      </c>
      <c r="D3875" t="str">
        <f>IFERROR(__xludf.DUMMYFUNCTION("""COMPUTED_VALUE"""),"iheyensis")</f>
        <v>iheyensis</v>
      </c>
      <c r="E3875" t="str">
        <f>IFERROR(__xludf.DUMMYFUNCTION("""COMPUTED_VALUE"""),"HTE831")</f>
        <v>HTE831</v>
      </c>
    </row>
    <row r="3876" ht="15.75" customHeight="1">
      <c r="A3876" t="str">
        <f t="shared" si="1"/>
        <v>O.anthropi</v>
      </c>
      <c r="B3876" s="5" t="s">
        <v>22724</v>
      </c>
      <c r="C3876" s="6" t="str">
        <f>IFERROR(__xludf.DUMMYFUNCTION("SPLIT('2. c'!B3876, "" "", True, True)"),"Ochrobactrum")</f>
        <v>Ochrobactrum</v>
      </c>
      <c r="D3876" t="str">
        <f>IFERROR(__xludf.DUMMYFUNCTION("""COMPUTED_VALUE"""),"anthropi")</f>
        <v>anthropi</v>
      </c>
      <c r="E3876" t="str">
        <f>IFERROR(__xludf.DUMMYFUNCTION("""COMPUTED_VALUE"""),"ATCC")</f>
        <v>ATCC</v>
      </c>
      <c r="F3876">
        <f>IFERROR(__xludf.DUMMYFUNCTION("""COMPUTED_VALUE"""),49188.0)</f>
        <v>49188</v>
      </c>
    </row>
    <row r="3877" ht="15.75" customHeight="1">
      <c r="A3877" t="str">
        <f t="shared" si="1"/>
        <v>O.anthropi</v>
      </c>
      <c r="B3877" s="5" t="s">
        <v>22733</v>
      </c>
      <c r="C3877" s="6" t="str">
        <f>IFERROR(__xludf.DUMMYFUNCTION("SPLIT('2. c'!B3877, "" "", True, True)"),"Ochrobactrum")</f>
        <v>Ochrobactrum</v>
      </c>
      <c r="D3877" t="str">
        <f>IFERROR(__xludf.DUMMYFUNCTION("""COMPUTED_VALUE"""),"anthropi")</f>
        <v>anthropi</v>
      </c>
      <c r="E3877" t="str">
        <f>IFERROR(__xludf.DUMMYFUNCTION("""COMPUTED_VALUE"""),"strain")</f>
        <v>strain</v>
      </c>
      <c r="F3877" t="str">
        <f>IFERROR(__xludf.DUMMYFUNCTION("""COMPUTED_VALUE"""),"OAB")</f>
        <v>OAB</v>
      </c>
    </row>
    <row r="3878" ht="15.75" customHeight="1">
      <c r="A3878" t="str">
        <f t="shared" si="1"/>
        <v>O.pseudogrignonense</v>
      </c>
      <c r="B3878" s="5" t="s">
        <v>22742</v>
      </c>
      <c r="C3878" s="6" t="str">
        <f>IFERROR(__xludf.DUMMYFUNCTION("SPLIT('2. c'!B3878, "" "", True, True)"),"Ochrobactrum")</f>
        <v>Ochrobactrum</v>
      </c>
      <c r="D3878" t="str">
        <f>IFERROR(__xludf.DUMMYFUNCTION("""COMPUTED_VALUE"""),"pseudogrignonense")</f>
        <v>pseudogrignonense</v>
      </c>
      <c r="E3878" t="str">
        <f>IFERROR(__xludf.DUMMYFUNCTION("""COMPUTED_VALUE"""),"strain")</f>
        <v>strain</v>
      </c>
      <c r="F3878" t="str">
        <f>IFERROR(__xludf.DUMMYFUNCTION("""COMPUTED_VALUE"""),"K8")</f>
        <v>K8</v>
      </c>
    </row>
    <row r="3879" ht="15.75" customHeight="1">
      <c r="A3879" t="str">
        <f t="shared" si="1"/>
        <v>O.temperatus</v>
      </c>
      <c r="B3879" s="5" t="s">
        <v>22752</v>
      </c>
      <c r="C3879" s="6" t="str">
        <f>IFERROR(__xludf.DUMMYFUNCTION("SPLIT('2. c'!B3879, "" "", True, True)"),"Octadecabacter")</f>
        <v>Octadecabacter</v>
      </c>
      <c r="D3879" t="str">
        <f>IFERROR(__xludf.DUMMYFUNCTION("""COMPUTED_VALUE"""),"temperatus")</f>
        <v>temperatus</v>
      </c>
      <c r="E3879" t="str">
        <f>IFERROR(__xludf.DUMMYFUNCTION("""COMPUTED_VALUE"""),"strain")</f>
        <v>strain</v>
      </c>
      <c r="F3879" t="str">
        <f>IFERROR(__xludf.DUMMYFUNCTION("""COMPUTED_VALUE"""),"SB1")</f>
        <v>SB1</v>
      </c>
    </row>
    <row r="3880" ht="15.75" customHeight="1">
      <c r="A3880" t="str">
        <f t="shared" si="1"/>
        <v>O.splanchnicus</v>
      </c>
      <c r="B3880" s="5" t="s">
        <v>22762</v>
      </c>
      <c r="C3880" s="6" t="str">
        <f>IFERROR(__xludf.DUMMYFUNCTION("SPLIT('2. c'!B3880, "" "", True, True)"),"Odoribacter")</f>
        <v>Odoribacter</v>
      </c>
      <c r="D3880" t="str">
        <f>IFERROR(__xludf.DUMMYFUNCTION("""COMPUTED_VALUE"""),"splanchnicus")</f>
        <v>splanchnicus</v>
      </c>
      <c r="E3880" t="str">
        <f>IFERROR(__xludf.DUMMYFUNCTION("""COMPUTED_VALUE"""),"DSM")</f>
        <v>DSM</v>
      </c>
      <c r="F3880">
        <f>IFERROR(__xludf.DUMMYFUNCTION("""COMPUTED_VALUE"""),220712.0)</f>
        <v>220712</v>
      </c>
    </row>
    <row r="3881" ht="15.75" customHeight="1">
      <c r="A3881" t="str">
        <f t="shared" si="1"/>
        <v>O.oeni</v>
      </c>
      <c r="B3881" s="5" t="s">
        <v>22773</v>
      </c>
      <c r="C3881" s="6" t="str">
        <f>IFERROR(__xludf.DUMMYFUNCTION("SPLIT('2. c'!B3881, "" "", True, True)"),"Oenococcus")</f>
        <v>Oenococcus</v>
      </c>
      <c r="D3881" t="str">
        <f>IFERROR(__xludf.DUMMYFUNCTION("""COMPUTED_VALUE"""),"oeni")</f>
        <v>oeni</v>
      </c>
      <c r="E3881" t="str">
        <f>IFERROR(__xludf.DUMMYFUNCTION("""COMPUTED_VALUE"""),"PSU-1")</f>
        <v>PSU-1</v>
      </c>
    </row>
    <row r="3882" ht="15.75" customHeight="1">
      <c r="A3882" t="str">
        <f t="shared" si="1"/>
        <v>O.antarctica</v>
      </c>
      <c r="B3882" s="5" t="s">
        <v>22782</v>
      </c>
      <c r="C3882" s="6" t="str">
        <f>IFERROR(__xludf.DUMMYFUNCTION("SPLIT('2. c'!B3882, "" "", True, True)"),"Oleispira")</f>
        <v>Oleispira</v>
      </c>
      <c r="D3882" t="str">
        <f>IFERROR(__xludf.DUMMYFUNCTION("""COMPUTED_VALUE"""),"antarctica")</f>
        <v>antarctica</v>
      </c>
      <c r="E3882" t="str">
        <f>IFERROR(__xludf.DUMMYFUNCTION("""COMPUTED_VALUE"""),"RB-8")</f>
        <v>RB-8</v>
      </c>
    </row>
    <row r="3883" ht="15.75" customHeight="1">
      <c r="A3883" t="str">
        <f t="shared" si="1"/>
        <v>O.carboxidovorans</v>
      </c>
      <c r="B3883" s="5" t="s">
        <v>22789</v>
      </c>
      <c r="C3883" s="6" t="str">
        <f>IFERROR(__xludf.DUMMYFUNCTION("SPLIT('2. c'!B3883, "" "", True, True)"),"Oligotropha")</f>
        <v>Oligotropha</v>
      </c>
      <c r="D3883" t="str">
        <f>IFERROR(__xludf.DUMMYFUNCTION("""COMPUTED_VALUE"""),"carboxidovorans")</f>
        <v>carboxidovorans</v>
      </c>
      <c r="E3883" t="str">
        <f>IFERROR(__xludf.DUMMYFUNCTION("""COMPUTED_VALUE"""),"OM4")</f>
        <v>OM4</v>
      </c>
    </row>
    <row r="3884" ht="15.75" customHeight="1">
      <c r="A3884" t="str">
        <f t="shared" si="1"/>
        <v>O.carboxidovorans</v>
      </c>
      <c r="B3884" s="5" t="s">
        <v>22798</v>
      </c>
      <c r="C3884" s="6" t="str">
        <f>IFERROR(__xludf.DUMMYFUNCTION("SPLIT('2. c'!B3884, "" "", True, True)"),"Oligotropha")</f>
        <v>Oligotropha</v>
      </c>
      <c r="D3884" t="str">
        <f>IFERROR(__xludf.DUMMYFUNCTION("""COMPUTED_VALUE"""),"carboxidovorans")</f>
        <v>carboxidovorans</v>
      </c>
      <c r="E3884" t="str">
        <f>IFERROR(__xludf.DUMMYFUNCTION("""COMPUTED_VALUE"""),"OM5")</f>
        <v>OM5</v>
      </c>
    </row>
    <row r="3885" ht="15.75" customHeight="1">
      <c r="A3885" t="str">
        <f t="shared" si="1"/>
        <v>O.carboxidovorans</v>
      </c>
      <c r="B3885" s="5" t="s">
        <v>22814</v>
      </c>
      <c r="C3885" s="6" t="str">
        <f>IFERROR(__xludf.DUMMYFUNCTION("SPLIT('2. c'!B3885, "" "", True, True)"),"Oligotropha")</f>
        <v>Oligotropha</v>
      </c>
      <c r="D3885" t="str">
        <f>IFERROR(__xludf.DUMMYFUNCTION("""COMPUTED_VALUE"""),"carboxidovorans")</f>
        <v>carboxidovorans</v>
      </c>
      <c r="E3885" t="str">
        <f>IFERROR(__xludf.DUMMYFUNCTION("""COMPUTED_VALUE"""),"OM5")</f>
        <v>OM5</v>
      </c>
      <c r="F3885" t="str">
        <f>IFERROR(__xludf.DUMMYFUNCTION("""COMPUTED_VALUE"""),"(Prj:41025)")</f>
        <v>(Prj:41025)</v>
      </c>
    </row>
    <row r="3886" ht="15.75" customHeight="1">
      <c r="A3886" t="str">
        <f t="shared" si="1"/>
        <v>O.sp.</v>
      </c>
      <c r="B3886" s="5" t="s">
        <v>22820</v>
      </c>
      <c r="C3886" s="6" t="str">
        <f>IFERROR(__xludf.DUMMYFUNCTION("SPLIT('2. c'!B3886, "" "", True, True)"),"Olsenella")</f>
        <v>Olsenella</v>
      </c>
      <c r="D3886" t="str">
        <f>IFERROR(__xludf.DUMMYFUNCTION("""COMPUTED_VALUE"""),"sp.")</f>
        <v>sp.</v>
      </c>
      <c r="E3886" t="str">
        <f>IFERROR(__xludf.DUMMYFUNCTION("""COMPUTED_VALUE"""),"oral")</f>
        <v>oral</v>
      </c>
      <c r="F3886" t="str">
        <f>IFERROR(__xludf.DUMMYFUNCTION("""COMPUTED_VALUE"""),"taxon")</f>
        <v>taxon</v>
      </c>
      <c r="G3886">
        <f>IFERROR(__xludf.DUMMYFUNCTION("""COMPUTED_VALUE"""),807.0)</f>
        <v>807</v>
      </c>
      <c r="H3886" t="str">
        <f>IFERROR(__xludf.DUMMYFUNCTION("""COMPUTED_VALUE"""),"strain")</f>
        <v>strain</v>
      </c>
      <c r="I3886" t="str">
        <f>IFERROR(__xludf.DUMMYFUNCTION("""COMPUTED_VALUE"""),"F0089")</f>
        <v>F0089</v>
      </c>
    </row>
    <row r="3887" ht="15.75" customHeight="1">
      <c r="A3887" t="str">
        <f t="shared" si="1"/>
        <v>O.yellows</v>
      </c>
      <c r="B3887" s="5" t="s">
        <v>22833</v>
      </c>
      <c r="C3887" s="6" t="str">
        <f>IFERROR(__xludf.DUMMYFUNCTION("SPLIT('2. c'!B3887, "" "", True, True)"),"Onion")</f>
        <v>Onion</v>
      </c>
      <c r="D3887" t="str">
        <f>IFERROR(__xludf.DUMMYFUNCTION("""COMPUTED_VALUE"""),"yellows")</f>
        <v>yellows</v>
      </c>
      <c r="E3887" t="str">
        <f>IFERROR(__xludf.DUMMYFUNCTION("""COMPUTED_VALUE"""),"phytoplasma")</f>
        <v>phytoplasma</v>
      </c>
      <c r="F3887" t="str">
        <f>IFERROR(__xludf.DUMMYFUNCTION("""COMPUTED_VALUE"""),"OY-M")</f>
        <v>OY-M</v>
      </c>
    </row>
    <row r="3888" ht="15.75" customHeight="1">
      <c r="A3888" t="str">
        <f t="shared" si="1"/>
        <v>O.terrae</v>
      </c>
      <c r="B3888" s="5" t="s">
        <v>22842</v>
      </c>
      <c r="C3888" s="6" t="str">
        <f>IFERROR(__xludf.DUMMYFUNCTION("SPLIT('2. c'!B3888, "" "", True, True)"),"Opitutus")</f>
        <v>Opitutus</v>
      </c>
      <c r="D3888" t="str">
        <f>IFERROR(__xludf.DUMMYFUNCTION("""COMPUTED_VALUE"""),"terrae")</f>
        <v>terrae</v>
      </c>
      <c r="E3888" t="str">
        <f>IFERROR(__xludf.DUMMYFUNCTION("""COMPUTED_VALUE"""),"PB90-1")</f>
        <v>PB90-1</v>
      </c>
    </row>
    <row r="3889" ht="15.75" customHeight="1">
      <c r="A3889" t="str">
        <f t="shared" si="1"/>
        <v>O.tsutsugamushi</v>
      </c>
      <c r="B3889" s="5" t="s">
        <v>22850</v>
      </c>
      <c r="C3889" s="6" t="str">
        <f>IFERROR(__xludf.DUMMYFUNCTION("SPLIT('2. c'!B3889, "" "", True, True)"),"Orientia")</f>
        <v>Orientia</v>
      </c>
      <c r="D3889" t="str">
        <f>IFERROR(__xludf.DUMMYFUNCTION("""COMPUTED_VALUE"""),"tsutsugamushi")</f>
        <v>tsutsugamushi</v>
      </c>
      <c r="E3889" t="str">
        <f>IFERROR(__xludf.DUMMYFUNCTION("""COMPUTED_VALUE"""),"str.")</f>
        <v>str.</v>
      </c>
      <c r="F3889" t="str">
        <f>IFERROR(__xludf.DUMMYFUNCTION("""COMPUTED_VALUE"""),"Boryong")</f>
        <v>Boryong</v>
      </c>
    </row>
    <row r="3890" ht="15.75" customHeight="1">
      <c r="A3890" t="str">
        <f t="shared" si="1"/>
        <v>O.tsutsugamushi</v>
      </c>
      <c r="B3890" s="5" t="s">
        <v>22859</v>
      </c>
      <c r="C3890" s="6" t="str">
        <f>IFERROR(__xludf.DUMMYFUNCTION("SPLIT('2. c'!B3890, "" "", True, True)"),"Orientia")</f>
        <v>Orientia</v>
      </c>
      <c r="D3890" t="str">
        <f>IFERROR(__xludf.DUMMYFUNCTION("""COMPUTED_VALUE"""),"tsutsugamushi")</f>
        <v>tsutsugamushi</v>
      </c>
      <c r="E3890" t="str">
        <f>IFERROR(__xludf.DUMMYFUNCTION("""COMPUTED_VALUE"""),"str.")</f>
        <v>str.</v>
      </c>
      <c r="F3890" t="str">
        <f>IFERROR(__xludf.DUMMYFUNCTION("""COMPUTED_VALUE"""),"Ikeda")</f>
        <v>Ikeda</v>
      </c>
    </row>
    <row r="3891" ht="15.75" customHeight="1">
      <c r="A3891" t="str">
        <f t="shared" si="1"/>
        <v>O.rhinotracheale</v>
      </c>
      <c r="B3891" s="5" t="s">
        <v>22867</v>
      </c>
      <c r="C3891" s="6" t="str">
        <f>IFERROR(__xludf.DUMMYFUNCTION("SPLIT('2. c'!B3891, "" "", True, True)"),"Ornithobacterium")</f>
        <v>Ornithobacterium</v>
      </c>
      <c r="D3891" t="str">
        <f>IFERROR(__xludf.DUMMYFUNCTION("""COMPUTED_VALUE"""),"rhinotracheale")</f>
        <v>rhinotracheale</v>
      </c>
      <c r="E3891" t="str">
        <f>IFERROR(__xludf.DUMMYFUNCTION("""COMPUTED_VALUE"""),"DSM")</f>
        <v>DSM</v>
      </c>
      <c r="F3891">
        <f>IFERROR(__xludf.DUMMYFUNCTION("""COMPUTED_VALUE"""),15997.0)</f>
        <v>15997</v>
      </c>
    </row>
    <row r="3892" ht="15.75" customHeight="1">
      <c r="A3892" t="str">
        <f t="shared" si="1"/>
        <v>O.rhinotracheale</v>
      </c>
      <c r="B3892" s="5" t="s">
        <v>22877</v>
      </c>
      <c r="C3892" s="6" t="str">
        <f>IFERROR(__xludf.DUMMYFUNCTION("SPLIT('2. c'!B3892, "" "", True, True)"),"Ornithobacterium")</f>
        <v>Ornithobacterium</v>
      </c>
      <c r="D3892" t="str">
        <f>IFERROR(__xludf.DUMMYFUNCTION("""COMPUTED_VALUE"""),"rhinotracheale")</f>
        <v>rhinotracheale</v>
      </c>
      <c r="E3892" t="str">
        <f>IFERROR(__xludf.DUMMYFUNCTION("""COMPUTED_VALUE"""),"ORT-UMN")</f>
        <v>ORT-UMN</v>
      </c>
      <c r="F3892">
        <f>IFERROR(__xludf.DUMMYFUNCTION("""COMPUTED_VALUE"""),88.0)</f>
        <v>88</v>
      </c>
    </row>
    <row r="3893" ht="15.75" customHeight="1">
      <c r="A3893" t="str">
        <f t="shared" si="1"/>
        <v>O.acuminata</v>
      </c>
      <c r="B3893" s="5" t="s">
        <v>22886</v>
      </c>
      <c r="C3893" s="6" t="str">
        <f>IFERROR(__xludf.DUMMYFUNCTION("SPLIT('2. c'!B3893, "" "", True, True)"),"Oscillatoria")</f>
        <v>Oscillatoria</v>
      </c>
      <c r="D3893" t="str">
        <f>IFERROR(__xludf.DUMMYFUNCTION("""COMPUTED_VALUE"""),"acuminata")</f>
        <v>acuminata</v>
      </c>
      <c r="E3893" t="str">
        <f>IFERROR(__xludf.DUMMYFUNCTION("""COMPUTED_VALUE"""),"PCC")</f>
        <v>PCC</v>
      </c>
      <c r="F3893">
        <f>IFERROR(__xludf.DUMMYFUNCTION("""COMPUTED_VALUE"""),6304.0)</f>
        <v>6304</v>
      </c>
    </row>
    <row r="3894" ht="15.75" customHeight="1">
      <c r="A3894" t="str">
        <f t="shared" si="1"/>
        <v>O.nigro-viridis</v>
      </c>
      <c r="B3894" s="5" t="s">
        <v>22894</v>
      </c>
      <c r="C3894" s="6" t="str">
        <f>IFERROR(__xludf.DUMMYFUNCTION("SPLIT('2. c'!B3894, "" "", True, True)"),"Oscillatoria")</f>
        <v>Oscillatoria</v>
      </c>
      <c r="D3894" t="str">
        <f>IFERROR(__xludf.DUMMYFUNCTION("""COMPUTED_VALUE"""),"nigro-viridis")</f>
        <v>nigro-viridis</v>
      </c>
      <c r="E3894" t="str">
        <f>IFERROR(__xludf.DUMMYFUNCTION("""COMPUTED_VALUE"""),"PCC")</f>
        <v>PCC</v>
      </c>
      <c r="F3894">
        <f>IFERROR(__xludf.DUMMYFUNCTION("""COMPUTED_VALUE"""),7112.0)</f>
        <v>7112</v>
      </c>
    </row>
    <row r="3895" ht="15.75" customHeight="1">
      <c r="A3895" t="str">
        <f t="shared" si="1"/>
        <v>O.cyanobacterium</v>
      </c>
      <c r="B3895" s="5" t="s">
        <v>22903</v>
      </c>
      <c r="C3895" s="6" t="str">
        <f>IFERROR(__xludf.DUMMYFUNCTION("SPLIT('2. c'!B3895, "" "", True, True)"),"Oscillatoriales")</f>
        <v>Oscillatoriales</v>
      </c>
      <c r="D3895" t="str">
        <f>IFERROR(__xludf.DUMMYFUNCTION("""COMPUTED_VALUE"""),"cyanobacterium")</f>
        <v>cyanobacterium</v>
      </c>
      <c r="E3895" t="str">
        <f>IFERROR(__xludf.DUMMYFUNCTION("""COMPUTED_VALUE"""),"JSC-12")</f>
        <v>JSC-12</v>
      </c>
    </row>
    <row r="3896" ht="15.75" customHeight="1">
      <c r="A3896" t="str">
        <f t="shared" si="1"/>
        <v>O.sp.</v>
      </c>
      <c r="B3896" s="5" t="s">
        <v>22911</v>
      </c>
      <c r="C3896" s="6" t="str">
        <f>IFERROR(__xludf.DUMMYFUNCTION("SPLIT('2. c'!B3896, "" "", True, True)"),"Ottowia")</f>
        <v>Ottowia</v>
      </c>
      <c r="D3896" t="str">
        <f>IFERROR(__xludf.DUMMYFUNCTION("""COMPUTED_VALUE"""),"sp.")</f>
        <v>sp.</v>
      </c>
      <c r="E3896" t="str">
        <f>IFERROR(__xludf.DUMMYFUNCTION("""COMPUTED_VALUE"""),"oral")</f>
        <v>oral</v>
      </c>
      <c r="F3896" t="str">
        <f>IFERROR(__xludf.DUMMYFUNCTION("""COMPUTED_VALUE"""),"taxon")</f>
        <v>taxon</v>
      </c>
      <c r="G3896">
        <f>IFERROR(__xludf.DUMMYFUNCTION("""COMPUTED_VALUE"""),894.0)</f>
        <v>894</v>
      </c>
      <c r="H3896" t="str">
        <f>IFERROR(__xludf.DUMMYFUNCTION("""COMPUTED_VALUE"""),"strain")</f>
        <v>strain</v>
      </c>
      <c r="I3896" t="str">
        <f>IFERROR(__xludf.DUMMYFUNCTION("""COMPUTED_VALUE"""),"W10237")</f>
        <v>W10237</v>
      </c>
    </row>
    <row r="3897" ht="15.75" customHeight="1">
      <c r="A3897" t="str">
        <f t="shared" si="1"/>
        <v>O.hongkongensis</v>
      </c>
      <c r="B3897" s="5" t="s">
        <v>22921</v>
      </c>
      <c r="C3897" s="6" t="str">
        <f>IFERROR(__xludf.DUMMYFUNCTION("SPLIT('2. c'!B3897, "" "", True, True)"),"Owenweeksia")</f>
        <v>Owenweeksia</v>
      </c>
      <c r="D3897" t="str">
        <f>IFERROR(__xludf.DUMMYFUNCTION("""COMPUTED_VALUE"""),"hongkongensis")</f>
        <v>hongkongensis</v>
      </c>
      <c r="E3897" t="str">
        <f>IFERROR(__xludf.DUMMYFUNCTION("""COMPUTED_VALUE"""),"DSM")</f>
        <v>DSM</v>
      </c>
      <c r="F3897">
        <f>IFERROR(__xludf.DUMMYFUNCTION("""COMPUTED_VALUE"""),17368.0)</f>
        <v>17368</v>
      </c>
    </row>
    <row r="3898" ht="15.75" customHeight="1">
      <c r="A3898" t="str">
        <f t="shared" si="1"/>
        <v>P.beijingensis</v>
      </c>
      <c r="B3898" s="5" t="s">
        <v>22931</v>
      </c>
      <c r="C3898" s="6" t="str">
        <f>IFERROR(__xludf.DUMMYFUNCTION("SPLIT('2. c'!B3898, "" "", True, True)"),"Paenibacillus")</f>
        <v>Paenibacillus</v>
      </c>
      <c r="D3898" t="str">
        <f>IFERROR(__xludf.DUMMYFUNCTION("""COMPUTED_VALUE"""),"beijingensis")</f>
        <v>beijingensis</v>
      </c>
      <c r="E3898" t="str">
        <f>IFERROR(__xludf.DUMMYFUNCTION("""COMPUTED_VALUE"""),"strain")</f>
        <v>strain</v>
      </c>
      <c r="F3898" t="str">
        <f>IFERROR(__xludf.DUMMYFUNCTION("""COMPUTED_VALUE"""),"DSM")</f>
        <v>DSM</v>
      </c>
      <c r="G3898">
        <f>IFERROR(__xludf.DUMMYFUNCTION("""COMPUTED_VALUE"""),24997.0)</f>
        <v>24997</v>
      </c>
    </row>
    <row r="3899" ht="15.75" customHeight="1">
      <c r="A3899" t="str">
        <f t="shared" si="1"/>
        <v>P.borealis</v>
      </c>
      <c r="B3899" s="5" t="s">
        <v>22941</v>
      </c>
      <c r="C3899" s="6" t="str">
        <f>IFERROR(__xludf.DUMMYFUNCTION("SPLIT('2. c'!B3899, "" "", True, True)"),"Paenibacillus")</f>
        <v>Paenibacillus</v>
      </c>
      <c r="D3899" t="str">
        <f>IFERROR(__xludf.DUMMYFUNCTION("""COMPUTED_VALUE"""),"borealis")</f>
        <v>borealis</v>
      </c>
      <c r="E3899" t="str">
        <f>IFERROR(__xludf.DUMMYFUNCTION("""COMPUTED_VALUE"""),"DSM")</f>
        <v>DSM</v>
      </c>
      <c r="F3899">
        <f>IFERROR(__xludf.DUMMYFUNCTION("""COMPUTED_VALUE"""),13188.0)</f>
        <v>13188</v>
      </c>
    </row>
    <row r="3900" ht="15.75" customHeight="1">
      <c r="A3900" t="str">
        <f t="shared" si="1"/>
        <v>P.durus</v>
      </c>
      <c r="B3900" s="5" t="s">
        <v>22951</v>
      </c>
      <c r="C3900" s="6" t="str">
        <f>IFERROR(__xludf.DUMMYFUNCTION("SPLIT('2. c'!B3900, "" "", True, True)"),"Paenibacillus")</f>
        <v>Paenibacillus</v>
      </c>
      <c r="D3900" t="str">
        <f>IFERROR(__xludf.DUMMYFUNCTION("""COMPUTED_VALUE"""),"durus")</f>
        <v>durus</v>
      </c>
      <c r="E3900" t="str">
        <f>IFERROR(__xludf.DUMMYFUNCTION("""COMPUTED_VALUE"""),"ATCC")</f>
        <v>ATCC</v>
      </c>
      <c r="F3900">
        <f>IFERROR(__xludf.DUMMYFUNCTION("""COMPUTED_VALUE"""),35681.0)</f>
        <v>35681</v>
      </c>
    </row>
    <row r="3901" ht="15.75" customHeight="1">
      <c r="A3901" t="str">
        <f t="shared" si="1"/>
        <v>P.durus</v>
      </c>
      <c r="B3901" s="5" t="s">
        <v>22961</v>
      </c>
      <c r="C3901" s="6" t="str">
        <f>IFERROR(__xludf.DUMMYFUNCTION("SPLIT('2. c'!B3901, "" "", True, True)"),"Paenibacillus")</f>
        <v>Paenibacillus</v>
      </c>
      <c r="D3901" t="str">
        <f>IFERROR(__xludf.DUMMYFUNCTION("""COMPUTED_VALUE"""),"durus")</f>
        <v>durus</v>
      </c>
      <c r="E3901" t="str">
        <f>IFERROR(__xludf.DUMMYFUNCTION("""COMPUTED_VALUE"""),"DSM")</f>
        <v>DSM</v>
      </c>
      <c r="F3901">
        <f>IFERROR(__xludf.DUMMYFUNCTION("""COMPUTED_VALUE"""),1735.0)</f>
        <v>1735</v>
      </c>
    </row>
    <row r="3902" ht="15.75" customHeight="1">
      <c r="A3902" t="str">
        <f t="shared" si="1"/>
        <v>P.glucanolyticus</v>
      </c>
      <c r="B3902" s="5" t="s">
        <v>22971</v>
      </c>
      <c r="C3902" s="6" t="str">
        <f>IFERROR(__xludf.DUMMYFUNCTION("SPLIT('2. c'!B3902, "" "", True, True)"),"Paenibacillus")</f>
        <v>Paenibacillus</v>
      </c>
      <c r="D3902" t="str">
        <f>IFERROR(__xludf.DUMMYFUNCTION("""COMPUTED_VALUE"""),"glucanolyticus")</f>
        <v>glucanolyticus</v>
      </c>
      <c r="E3902" t="str">
        <f>IFERROR(__xludf.DUMMYFUNCTION("""COMPUTED_VALUE"""),"strain")</f>
        <v>strain</v>
      </c>
      <c r="F3902">
        <f>IFERROR(__xludf.DUMMYFUNCTION("""COMPUTED_VALUE"""),5162.0)</f>
        <v>5162</v>
      </c>
    </row>
    <row r="3903" ht="15.75" customHeight="1">
      <c r="A3903" t="str">
        <f t="shared" si="1"/>
        <v>P.graminis</v>
      </c>
      <c r="B3903" s="5" t="s">
        <v>22981</v>
      </c>
      <c r="C3903" s="6" t="str">
        <f>IFERROR(__xludf.DUMMYFUNCTION("SPLIT('2. c'!B3903, "" "", True, True)"),"Paenibacillus")</f>
        <v>Paenibacillus</v>
      </c>
      <c r="D3903" t="str">
        <f>IFERROR(__xludf.DUMMYFUNCTION("""COMPUTED_VALUE"""),"graminis")</f>
        <v>graminis</v>
      </c>
      <c r="E3903" t="str">
        <f>IFERROR(__xludf.DUMMYFUNCTION("""COMPUTED_VALUE"""),"DSM")</f>
        <v>DSM</v>
      </c>
      <c r="F3903">
        <f>IFERROR(__xludf.DUMMYFUNCTION("""COMPUTED_VALUE"""),15220.0)</f>
        <v>15220</v>
      </c>
    </row>
    <row r="3904" ht="15.75" customHeight="1">
      <c r="A3904" t="str">
        <f t="shared" si="1"/>
        <v>P.larvae</v>
      </c>
      <c r="B3904" s="5" t="s">
        <v>22991</v>
      </c>
      <c r="C3904" s="6" t="str">
        <f>IFERROR(__xludf.DUMMYFUNCTION("SPLIT('2. c'!B3904, "" "", True, True)"),"Paenibacillus")</f>
        <v>Paenibacillus</v>
      </c>
      <c r="D3904" t="str">
        <f>IFERROR(__xludf.DUMMYFUNCTION("""COMPUTED_VALUE"""),"larvae")</f>
        <v>larvae</v>
      </c>
      <c r="E3904" t="str">
        <f>IFERROR(__xludf.DUMMYFUNCTION("""COMPUTED_VALUE"""),"subsp.")</f>
        <v>subsp.</v>
      </c>
      <c r="F3904" t="str">
        <f>IFERROR(__xludf.DUMMYFUNCTION("""COMPUTED_VALUE"""),"larvae")</f>
        <v>larvae</v>
      </c>
      <c r="G3904" t="str">
        <f>IFERROR(__xludf.DUMMYFUNCTION("""COMPUTED_VALUE"""),"DSM")</f>
        <v>DSM</v>
      </c>
      <c r="H3904">
        <f>IFERROR(__xludf.DUMMYFUNCTION("""COMPUTED_VALUE"""),25430.0)</f>
        <v>25430</v>
      </c>
    </row>
    <row r="3905" ht="15.75" customHeight="1">
      <c r="A3905" t="str">
        <f t="shared" si="1"/>
        <v>P.mucilaginosus</v>
      </c>
      <c r="B3905" s="5" t="s">
        <v>23000</v>
      </c>
      <c r="C3905" s="6" t="str">
        <f>IFERROR(__xludf.DUMMYFUNCTION("SPLIT('2. c'!B3905, "" "", True, True)"),"Paenibacillus")</f>
        <v>Paenibacillus</v>
      </c>
      <c r="D3905" t="str">
        <f>IFERROR(__xludf.DUMMYFUNCTION("""COMPUTED_VALUE"""),"mucilaginosus")</f>
        <v>mucilaginosus</v>
      </c>
      <c r="E3905">
        <f>IFERROR(__xludf.DUMMYFUNCTION("""COMPUTED_VALUE"""),3016.0)</f>
        <v>3016</v>
      </c>
    </row>
    <row r="3906" ht="15.75" customHeight="1">
      <c r="A3906" t="str">
        <f t="shared" si="1"/>
        <v>P.mucilaginosus</v>
      </c>
      <c r="B3906" s="5" t="s">
        <v>23008</v>
      </c>
      <c r="C3906" s="6" t="str">
        <f>IFERROR(__xludf.DUMMYFUNCTION("SPLIT('2. c'!B3906, "" "", True, True)"),"Paenibacillus")</f>
        <v>Paenibacillus</v>
      </c>
      <c r="D3906" t="str">
        <f>IFERROR(__xludf.DUMMYFUNCTION("""COMPUTED_VALUE"""),"mucilaginosus")</f>
        <v>mucilaginosus</v>
      </c>
      <c r="E3906" t="str">
        <f>IFERROR(__xludf.DUMMYFUNCTION("""COMPUTED_VALUE"""),"K02")</f>
        <v>K02</v>
      </c>
    </row>
    <row r="3907" ht="15.75" customHeight="1">
      <c r="A3907" t="str">
        <f t="shared" si="1"/>
        <v>P.mucilaginosus</v>
      </c>
      <c r="B3907" s="5" t="s">
        <v>23017</v>
      </c>
      <c r="C3907" s="6" t="str">
        <f>IFERROR(__xludf.DUMMYFUNCTION("SPLIT('2. c'!B3907, "" "", True, True)"),"Paenibacillus")</f>
        <v>Paenibacillus</v>
      </c>
      <c r="D3907" t="str">
        <f>IFERROR(__xludf.DUMMYFUNCTION("""COMPUTED_VALUE"""),"mucilaginosus")</f>
        <v>mucilaginosus</v>
      </c>
      <c r="E3907" t="str">
        <f>IFERROR(__xludf.DUMMYFUNCTION("""COMPUTED_VALUE"""),"KNP414")</f>
        <v>KNP414</v>
      </c>
    </row>
    <row r="3908" ht="15.75" customHeight="1">
      <c r="A3908" t="str">
        <f t="shared" si="1"/>
        <v>P.naphthalenovorans</v>
      </c>
      <c r="B3908" s="5" t="s">
        <v>23026</v>
      </c>
      <c r="C3908" s="6" t="str">
        <f>IFERROR(__xludf.DUMMYFUNCTION("SPLIT('2. c'!B3908, "" "", True, True)"),"Paenibacillus")</f>
        <v>Paenibacillus</v>
      </c>
      <c r="D3908" t="str">
        <f>IFERROR(__xludf.DUMMYFUNCTION("""COMPUTED_VALUE"""),"naphthalenovorans")</f>
        <v>naphthalenovorans</v>
      </c>
      <c r="E3908" t="str">
        <f>IFERROR(__xludf.DUMMYFUNCTION("""COMPUTED_VALUE"""),"strain")</f>
        <v>strain</v>
      </c>
      <c r="F3908" t="str">
        <f>IFERROR(__xludf.DUMMYFUNCTION("""COMPUTED_VALUE"""),"32O-Y")</f>
        <v>32O-Y</v>
      </c>
    </row>
    <row r="3909" ht="15.75" customHeight="1">
      <c r="A3909" t="str">
        <f t="shared" si="1"/>
        <v>P.odorifer</v>
      </c>
      <c r="B3909" s="5" t="s">
        <v>23037</v>
      </c>
      <c r="C3909" s="6" t="str">
        <f>IFERROR(__xludf.DUMMYFUNCTION("SPLIT('2. c'!B3909, "" "", True, True)"),"Paenibacillus")</f>
        <v>Paenibacillus</v>
      </c>
      <c r="D3909" t="str">
        <f>IFERROR(__xludf.DUMMYFUNCTION("""COMPUTED_VALUE"""),"odorifer")</f>
        <v>odorifer</v>
      </c>
      <c r="E3909" t="str">
        <f>IFERROR(__xludf.DUMMYFUNCTION("""COMPUTED_VALUE"""),"DSM")</f>
        <v>DSM</v>
      </c>
      <c r="F3909">
        <f>IFERROR(__xludf.DUMMYFUNCTION("""COMPUTED_VALUE"""),15391.0)</f>
        <v>15391</v>
      </c>
    </row>
    <row r="3910" ht="15.75" customHeight="1">
      <c r="A3910" t="str">
        <f t="shared" si="1"/>
        <v>P.peoriae</v>
      </c>
      <c r="B3910" s="5" t="s">
        <v>23060</v>
      </c>
      <c r="C3910" s="6" t="str">
        <f>IFERROR(__xludf.DUMMYFUNCTION("SPLIT('2. c'!B3910, "" "", True, True)"),"Paenibacillus")</f>
        <v>Paenibacillus</v>
      </c>
      <c r="D3910" t="str">
        <f>IFERROR(__xludf.DUMMYFUNCTION("""COMPUTED_VALUE"""),"peoriae")</f>
        <v>peoriae</v>
      </c>
      <c r="E3910" t="str">
        <f>IFERROR(__xludf.DUMMYFUNCTION("""COMPUTED_VALUE"""),"strain")</f>
        <v>strain</v>
      </c>
      <c r="F3910" t="str">
        <f>IFERROR(__xludf.DUMMYFUNCTION("""COMPUTED_VALUE"""),"HS311")</f>
        <v>HS311</v>
      </c>
    </row>
    <row r="3911" ht="15.75" customHeight="1">
      <c r="A3911" t="str">
        <f t="shared" si="1"/>
        <v>P.polymyxa</v>
      </c>
      <c r="B3911" s="5" t="s">
        <v>23072</v>
      </c>
      <c r="C3911" s="6" t="str">
        <f>IFERROR(__xludf.DUMMYFUNCTION("SPLIT('2. c'!B3911, "" "", True, True)"),"Paenibacillus")</f>
        <v>Paenibacillus</v>
      </c>
      <c r="D3911" t="str">
        <f>IFERROR(__xludf.DUMMYFUNCTION("""COMPUTED_VALUE"""),"polymyxa")</f>
        <v>polymyxa</v>
      </c>
      <c r="E3911" t="str">
        <f>IFERROR(__xludf.DUMMYFUNCTION("""COMPUTED_VALUE"""),"CR1")</f>
        <v>CR1</v>
      </c>
    </row>
    <row r="3912" ht="15.75" customHeight="1">
      <c r="A3912" t="str">
        <f t="shared" si="1"/>
        <v>P.polymyxa</v>
      </c>
      <c r="B3912" s="5" t="s">
        <v>23089</v>
      </c>
      <c r="C3912" s="6" t="str">
        <f>IFERROR(__xludf.DUMMYFUNCTION("SPLIT('2. c'!B3912, "" "", True, True)"),"Paenibacillus")</f>
        <v>Paenibacillus</v>
      </c>
      <c r="D3912" t="str">
        <f>IFERROR(__xludf.DUMMYFUNCTION("""COMPUTED_VALUE"""),"polymyxa")</f>
        <v>polymyxa</v>
      </c>
      <c r="E3912" t="str">
        <f>IFERROR(__xludf.DUMMYFUNCTION("""COMPUTED_VALUE"""),"E681")</f>
        <v>E681</v>
      </c>
    </row>
    <row r="3913" ht="15.75" customHeight="1">
      <c r="A3913" t="str">
        <f t="shared" si="1"/>
        <v>P.polymyxa</v>
      </c>
      <c r="B3913" s="5" t="s">
        <v>23101</v>
      </c>
      <c r="C3913" s="6" t="str">
        <f>IFERROR(__xludf.DUMMYFUNCTION("SPLIT('2. c'!B3913, "" "", True, True)"),"Paenibacillus")</f>
        <v>Paenibacillus</v>
      </c>
      <c r="D3913" t="str">
        <f>IFERROR(__xludf.DUMMYFUNCTION("""COMPUTED_VALUE"""),"polymyxa")</f>
        <v>polymyxa</v>
      </c>
      <c r="E3913" t="str">
        <f>IFERROR(__xludf.DUMMYFUNCTION("""COMPUTED_VALUE"""),"M1")</f>
        <v>M1</v>
      </c>
    </row>
    <row r="3914" ht="15.75" customHeight="1">
      <c r="A3914" t="str">
        <f t="shared" si="1"/>
        <v>P.polymyxa</v>
      </c>
      <c r="B3914" s="5" t="s">
        <v>23109</v>
      </c>
      <c r="C3914" s="6" t="str">
        <f>IFERROR(__xludf.DUMMYFUNCTION("SPLIT('2. c'!B3914, "" "", True, True)"),"Paenibacillus")</f>
        <v>Paenibacillus</v>
      </c>
      <c r="D3914" t="str">
        <f>IFERROR(__xludf.DUMMYFUNCTION("""COMPUTED_VALUE"""),"polymyxa")</f>
        <v>polymyxa</v>
      </c>
      <c r="E3914" t="str">
        <f>IFERROR(__xludf.DUMMYFUNCTION("""COMPUTED_VALUE"""),"SC2")</f>
        <v>SC2</v>
      </c>
    </row>
    <row r="3915" ht="15.75" customHeight="1">
      <c r="A3915" t="str">
        <f t="shared" si="1"/>
        <v>P.polymyxa</v>
      </c>
      <c r="B3915" s="5" t="s">
        <v>23117</v>
      </c>
      <c r="C3915" s="6" t="str">
        <f>IFERROR(__xludf.DUMMYFUNCTION("SPLIT('2. c'!B3915, "" "", True, True)"),"Paenibacillus")</f>
        <v>Paenibacillus</v>
      </c>
      <c r="D3915" t="str">
        <f>IFERROR(__xludf.DUMMYFUNCTION("""COMPUTED_VALUE"""),"polymyxa")</f>
        <v>polymyxa</v>
      </c>
      <c r="E3915" t="str">
        <f>IFERROR(__xludf.DUMMYFUNCTION("""COMPUTED_VALUE"""),"SQR-21")</f>
        <v>SQR-21</v>
      </c>
    </row>
    <row r="3916" ht="15.75" customHeight="1">
      <c r="A3916" t="str">
        <f t="shared" si="1"/>
        <v>P.polymyxa</v>
      </c>
      <c r="B3916" s="5" t="s">
        <v>23126</v>
      </c>
      <c r="C3916" s="6" t="str">
        <f>IFERROR(__xludf.DUMMYFUNCTION("SPLIT('2. c'!B3916, "" "", True, True)"),"Paenibacillus")</f>
        <v>Paenibacillus</v>
      </c>
      <c r="D3916" t="str">
        <f>IFERROR(__xludf.DUMMYFUNCTION("""COMPUTED_VALUE"""),"polymyxa")</f>
        <v>polymyxa</v>
      </c>
      <c r="E3916" t="str">
        <f>IFERROR(__xludf.DUMMYFUNCTION("""COMPUTED_VALUE"""),"strain")</f>
        <v>strain</v>
      </c>
      <c r="F3916" t="str">
        <f>IFERROR(__xludf.DUMMYFUNCTION("""COMPUTED_VALUE"""),"CF05")</f>
        <v>CF05</v>
      </c>
    </row>
    <row r="3917" ht="15.75" customHeight="1">
      <c r="A3917" t="str">
        <f t="shared" si="1"/>
        <v>P.polymyxa</v>
      </c>
      <c r="B3917" s="5" t="s">
        <v>23138</v>
      </c>
      <c r="C3917" s="6" t="str">
        <f>IFERROR(__xludf.DUMMYFUNCTION("SPLIT('2. c'!B3917, "" "", True, True)"),"Paenibacillus")</f>
        <v>Paenibacillus</v>
      </c>
      <c r="D3917" t="str">
        <f>IFERROR(__xludf.DUMMYFUNCTION("""COMPUTED_VALUE"""),"polymyxa")</f>
        <v>polymyxa</v>
      </c>
      <c r="E3917" t="str">
        <f>IFERROR(__xludf.DUMMYFUNCTION("""COMPUTED_VALUE"""),"strain")</f>
        <v>strain</v>
      </c>
      <c r="F3917" t="str">
        <f>IFERROR(__xludf.DUMMYFUNCTION("""COMPUTED_VALUE"""),"Sb3-1")</f>
        <v>Sb3-1</v>
      </c>
    </row>
    <row r="3918" ht="15.75" customHeight="1">
      <c r="A3918" t="str">
        <f t="shared" si="1"/>
        <v>P.riograndensis</v>
      </c>
      <c r="B3918" s="5" t="s">
        <v>23147</v>
      </c>
      <c r="C3918" s="6" t="str">
        <f>IFERROR(__xludf.DUMMYFUNCTION("SPLIT('2. c'!B3918, "" "", True, True)"),"Paenibacillus")</f>
        <v>Paenibacillus</v>
      </c>
      <c r="D3918" t="str">
        <f>IFERROR(__xludf.DUMMYFUNCTION("""COMPUTED_VALUE"""),"riograndensis")</f>
        <v>riograndensis</v>
      </c>
      <c r="E3918" t="str">
        <f>IFERROR(__xludf.DUMMYFUNCTION("""COMPUTED_VALUE"""),"SBR5")</f>
        <v>SBR5</v>
      </c>
    </row>
    <row r="3919" ht="15.75" customHeight="1">
      <c r="A3919" t="str">
        <f t="shared" si="1"/>
        <v>P.sabinae</v>
      </c>
      <c r="B3919" s="5" t="s">
        <v>23160</v>
      </c>
      <c r="C3919" s="6" t="str">
        <f>IFERROR(__xludf.DUMMYFUNCTION("SPLIT('2. c'!B3919, "" "", True, True)"),"Paenibacillus")</f>
        <v>Paenibacillus</v>
      </c>
      <c r="D3919" t="str">
        <f>IFERROR(__xludf.DUMMYFUNCTION("""COMPUTED_VALUE"""),"sabinae")</f>
        <v>sabinae</v>
      </c>
      <c r="E3919" t="str">
        <f>IFERROR(__xludf.DUMMYFUNCTION("""COMPUTED_VALUE"""),"T27")</f>
        <v>T27</v>
      </c>
    </row>
    <row r="3920" ht="15.75" customHeight="1">
      <c r="A3920" t="str">
        <f t="shared" si="1"/>
        <v>P.sp.</v>
      </c>
      <c r="B3920" s="5" t="s">
        <v>23174</v>
      </c>
      <c r="C3920" s="6" t="str">
        <f>IFERROR(__xludf.DUMMYFUNCTION("SPLIT('2. c'!B3920, "" "", True, True)"),"Paenibacillus")</f>
        <v>Paenibacillus</v>
      </c>
      <c r="D3920" t="str">
        <f>IFERROR(__xludf.DUMMYFUNCTION("""COMPUTED_VALUE"""),"sp.")</f>
        <v>sp.</v>
      </c>
      <c r="E3920" t="str">
        <f>IFERROR(__xludf.DUMMYFUNCTION("""COMPUTED_VALUE"""),"32O-W")</f>
        <v>32O-W</v>
      </c>
    </row>
    <row r="3921" ht="15.75" customHeight="1">
      <c r="A3921" t="str">
        <f t="shared" si="1"/>
        <v>P.sp.</v>
      </c>
      <c r="B3921" s="5" t="s">
        <v>23187</v>
      </c>
      <c r="C3921" s="6" t="str">
        <f>IFERROR(__xludf.DUMMYFUNCTION("SPLIT('2. c'!B3921, "" "", True, True)"),"Paenibacillus")</f>
        <v>Paenibacillus</v>
      </c>
      <c r="D3921" t="str">
        <f>IFERROR(__xludf.DUMMYFUNCTION("""COMPUTED_VALUE"""),"sp.")</f>
        <v>sp.</v>
      </c>
      <c r="E3921" t="str">
        <f>IFERROR(__xludf.DUMMYFUNCTION("""COMPUTED_VALUE"""),"BD3526")</f>
        <v>BD3526</v>
      </c>
    </row>
    <row r="3922" ht="15.75" customHeight="1">
      <c r="A3922" t="str">
        <f t="shared" si="1"/>
        <v>P.sp.</v>
      </c>
      <c r="B3922" s="5" t="s">
        <v>23195</v>
      </c>
      <c r="C3922" s="6" t="str">
        <f>IFERROR(__xludf.DUMMYFUNCTION("SPLIT('2. c'!B3922, "" "", True, True)"),"Paenibacillus")</f>
        <v>Paenibacillus</v>
      </c>
      <c r="D3922" t="str">
        <f>IFERROR(__xludf.DUMMYFUNCTION("""COMPUTED_VALUE"""),"sp.")</f>
        <v>sp.</v>
      </c>
      <c r="E3922" t="str">
        <f>IFERROR(__xludf.DUMMYFUNCTION("""COMPUTED_VALUE"""),"FSL")</f>
        <v>FSL</v>
      </c>
      <c r="F3922" t="str">
        <f>IFERROR(__xludf.DUMMYFUNCTION("""COMPUTED_VALUE"""),"H7-0357")</f>
        <v>H7-0357</v>
      </c>
    </row>
    <row r="3923" ht="15.75" customHeight="1">
      <c r="A3923" t="str">
        <f t="shared" si="1"/>
        <v>P.sp.</v>
      </c>
      <c r="B3923" s="5" t="s">
        <v>23205</v>
      </c>
      <c r="C3923" s="6" t="str">
        <f>IFERROR(__xludf.DUMMYFUNCTION("SPLIT('2. c'!B3923, "" "", True, True)"),"Paenibacillus")</f>
        <v>Paenibacillus</v>
      </c>
      <c r="D3923" t="str">
        <f>IFERROR(__xludf.DUMMYFUNCTION("""COMPUTED_VALUE"""),"sp.")</f>
        <v>sp.</v>
      </c>
      <c r="E3923" t="str">
        <f>IFERROR(__xludf.DUMMYFUNCTION("""COMPUTED_VALUE"""),"FSL")</f>
        <v>FSL</v>
      </c>
      <c r="F3923" t="str">
        <f>IFERROR(__xludf.DUMMYFUNCTION("""COMPUTED_VALUE"""),"H7-0737")</f>
        <v>H7-0737</v>
      </c>
    </row>
    <row r="3924" ht="15.75" customHeight="1">
      <c r="A3924" t="str">
        <f t="shared" si="1"/>
        <v>P.sp.</v>
      </c>
      <c r="B3924" s="5" t="s">
        <v>23215</v>
      </c>
      <c r="C3924" s="6" t="str">
        <f>IFERROR(__xludf.DUMMYFUNCTION("SPLIT('2. c'!B3924, "" "", True, True)"),"Paenibacillus")</f>
        <v>Paenibacillus</v>
      </c>
      <c r="D3924" t="str">
        <f>IFERROR(__xludf.DUMMYFUNCTION("""COMPUTED_VALUE"""),"sp.")</f>
        <v>sp.</v>
      </c>
      <c r="E3924" t="str">
        <f>IFERROR(__xludf.DUMMYFUNCTION("""COMPUTED_VALUE"""),"FSL")</f>
        <v>FSL</v>
      </c>
      <c r="F3924" t="str">
        <f>IFERROR(__xludf.DUMMYFUNCTION("""COMPUTED_VALUE"""),"P4-0081")</f>
        <v>P4-0081</v>
      </c>
    </row>
    <row r="3925" ht="15.75" customHeight="1">
      <c r="A3925" t="str">
        <f t="shared" si="1"/>
        <v>P.sp.</v>
      </c>
      <c r="B3925" s="5" t="s">
        <v>23224</v>
      </c>
      <c r="C3925" s="6" t="str">
        <f>IFERROR(__xludf.DUMMYFUNCTION("SPLIT('2. c'!B3925, "" "", True, True)"),"Paenibacillus")</f>
        <v>Paenibacillus</v>
      </c>
      <c r="D3925" t="str">
        <f>IFERROR(__xludf.DUMMYFUNCTION("""COMPUTED_VALUE"""),"sp.")</f>
        <v>sp.</v>
      </c>
      <c r="E3925" t="str">
        <f>IFERROR(__xludf.DUMMYFUNCTION("""COMPUTED_VALUE"""),"FSL")</f>
        <v>FSL</v>
      </c>
      <c r="F3925" t="str">
        <f>IFERROR(__xludf.DUMMYFUNCTION("""COMPUTED_VALUE"""),"R5-0345")</f>
        <v>R5-0345</v>
      </c>
    </row>
    <row r="3926" ht="15.75" customHeight="1">
      <c r="A3926" t="str">
        <f t="shared" si="1"/>
        <v>P.sp.</v>
      </c>
      <c r="B3926" s="5" t="s">
        <v>23232</v>
      </c>
      <c r="C3926" s="6" t="str">
        <f>IFERROR(__xludf.DUMMYFUNCTION("SPLIT('2. c'!B3926, "" "", True, True)"),"Paenibacillus")</f>
        <v>Paenibacillus</v>
      </c>
      <c r="D3926" t="str">
        <f>IFERROR(__xludf.DUMMYFUNCTION("""COMPUTED_VALUE"""),"sp.")</f>
        <v>sp.</v>
      </c>
      <c r="E3926" t="str">
        <f>IFERROR(__xludf.DUMMYFUNCTION("""COMPUTED_VALUE"""),"FSL")</f>
        <v>FSL</v>
      </c>
      <c r="F3926" t="str">
        <f>IFERROR(__xludf.DUMMYFUNCTION("""COMPUTED_VALUE"""),"R5-0912")</f>
        <v>R5-0912</v>
      </c>
    </row>
    <row r="3927" ht="15.75" customHeight="1">
      <c r="A3927" t="str">
        <f t="shared" si="1"/>
        <v>P.sp.</v>
      </c>
      <c r="B3927" s="5" t="s">
        <v>23242</v>
      </c>
      <c r="C3927" s="6" t="str">
        <f>IFERROR(__xludf.DUMMYFUNCTION("SPLIT('2. c'!B3927, "" "", True, True)"),"Paenibacillus")</f>
        <v>Paenibacillus</v>
      </c>
      <c r="D3927" t="str">
        <f>IFERROR(__xludf.DUMMYFUNCTION("""COMPUTED_VALUE"""),"sp.")</f>
        <v>sp.</v>
      </c>
      <c r="E3927" t="str">
        <f>IFERROR(__xludf.DUMMYFUNCTION("""COMPUTED_VALUE"""),"FSL")</f>
        <v>FSL</v>
      </c>
      <c r="F3927" t="str">
        <f>IFERROR(__xludf.DUMMYFUNCTION("""COMPUTED_VALUE"""),"R7-0273")</f>
        <v>R7-0273</v>
      </c>
    </row>
    <row r="3928" ht="15.75" customHeight="1">
      <c r="A3928" t="str">
        <f t="shared" si="1"/>
        <v>P.sp.</v>
      </c>
      <c r="B3928" s="5" t="s">
        <v>23251</v>
      </c>
      <c r="C3928" s="6" t="str">
        <f>IFERROR(__xludf.DUMMYFUNCTION("SPLIT('2. c'!B3928, "" "", True, True)"),"Paenibacillus")</f>
        <v>Paenibacillus</v>
      </c>
      <c r="D3928" t="str">
        <f>IFERROR(__xludf.DUMMYFUNCTION("""COMPUTED_VALUE"""),"sp.")</f>
        <v>sp.</v>
      </c>
      <c r="E3928" t="str">
        <f>IFERROR(__xludf.DUMMYFUNCTION("""COMPUTED_VALUE"""),"FSL")</f>
        <v>FSL</v>
      </c>
      <c r="F3928" t="str">
        <f>IFERROR(__xludf.DUMMYFUNCTION("""COMPUTED_VALUE"""),"R7-0331")</f>
        <v>R7-0331</v>
      </c>
    </row>
    <row r="3929" ht="15.75" customHeight="1">
      <c r="A3929" t="str">
        <f t="shared" si="1"/>
        <v>P.sp.</v>
      </c>
      <c r="B3929" s="5" t="s">
        <v>23256</v>
      </c>
      <c r="C3929" s="6" t="str">
        <f>IFERROR(__xludf.DUMMYFUNCTION("SPLIT('2. c'!B3929, "" "", True, True)"),"Paenibacillus")</f>
        <v>Paenibacillus</v>
      </c>
      <c r="D3929" t="str">
        <f>IFERROR(__xludf.DUMMYFUNCTION("""COMPUTED_VALUE"""),"sp.")</f>
        <v>sp.</v>
      </c>
      <c r="E3929" t="str">
        <f>IFERROR(__xludf.DUMMYFUNCTION("""COMPUTED_VALUE"""),"IHB")</f>
        <v>IHB</v>
      </c>
      <c r="F3929" t="str">
        <f>IFERROR(__xludf.DUMMYFUNCTION("""COMPUTED_VALUE"""),"B")</f>
        <v>B</v>
      </c>
      <c r="G3929">
        <f>IFERROR(__xludf.DUMMYFUNCTION("""COMPUTED_VALUE"""),3084.0)</f>
        <v>3084</v>
      </c>
    </row>
    <row r="3930" ht="15.75" customHeight="1">
      <c r="A3930" t="str">
        <f t="shared" si="1"/>
        <v>P.sp.</v>
      </c>
      <c r="B3930" s="5" t="s">
        <v>23265</v>
      </c>
      <c r="C3930" s="6" t="str">
        <f>IFERROR(__xludf.DUMMYFUNCTION("SPLIT('2. c'!B3930, "" "", True, True)"),"Paenibacillus")</f>
        <v>Paenibacillus</v>
      </c>
      <c r="D3930" t="str">
        <f>IFERROR(__xludf.DUMMYFUNCTION("""COMPUTED_VALUE"""),"sp.")</f>
        <v>sp.</v>
      </c>
      <c r="E3930" t="str">
        <f>IFERROR(__xludf.DUMMYFUNCTION("""COMPUTED_VALUE"""),"IHBB")</f>
        <v>IHBB</v>
      </c>
      <c r="F3930">
        <f>IFERROR(__xludf.DUMMYFUNCTION("""COMPUTED_VALUE"""),10380.0)</f>
        <v>10380</v>
      </c>
    </row>
    <row r="3931" ht="15.75" customHeight="1">
      <c r="A3931" t="str">
        <f t="shared" si="1"/>
        <v>P.sp.</v>
      </c>
      <c r="B3931" s="5" t="s">
        <v>23277</v>
      </c>
      <c r="C3931" s="6" t="str">
        <f>IFERROR(__xludf.DUMMYFUNCTION("SPLIT('2. c'!B3931, "" "", True, True)"),"Paenibacillus")</f>
        <v>Paenibacillus</v>
      </c>
      <c r="D3931" t="str">
        <f>IFERROR(__xludf.DUMMYFUNCTION("""COMPUTED_VALUE"""),"sp.")</f>
        <v>sp.</v>
      </c>
      <c r="E3931" t="str">
        <f>IFERROR(__xludf.DUMMYFUNCTION("""COMPUTED_VALUE"""),"JDR-2")</f>
        <v>JDR-2</v>
      </c>
    </row>
    <row r="3932" ht="15.75" customHeight="1">
      <c r="A3932" t="str">
        <f t="shared" si="1"/>
        <v>P.sp.</v>
      </c>
      <c r="B3932" s="5" t="s">
        <v>23286</v>
      </c>
      <c r="C3932" s="6" t="str">
        <f>IFERROR(__xludf.DUMMYFUNCTION("SPLIT('2. c'!B3932, "" "", True, True)"),"Paenibacillus")</f>
        <v>Paenibacillus</v>
      </c>
      <c r="D3932" t="str">
        <f>IFERROR(__xludf.DUMMYFUNCTION("""COMPUTED_VALUE"""),"sp.")</f>
        <v>sp.</v>
      </c>
      <c r="E3932" t="str">
        <f>IFERROR(__xludf.DUMMYFUNCTION("""COMPUTED_VALUE"""),"Y412MC10")</f>
        <v>Y412MC10</v>
      </c>
    </row>
    <row r="3933" ht="15.75" customHeight="1">
      <c r="A3933" t="str">
        <f t="shared" si="1"/>
        <v>P.stellifer</v>
      </c>
      <c r="B3933" s="5" t="s">
        <v>23294</v>
      </c>
      <c r="C3933" s="6" t="str">
        <f>IFERROR(__xludf.DUMMYFUNCTION("SPLIT('2. c'!B3933, "" "", True, True)"),"Paenibacillus")</f>
        <v>Paenibacillus</v>
      </c>
      <c r="D3933" t="str">
        <f>IFERROR(__xludf.DUMMYFUNCTION("""COMPUTED_VALUE"""),"stellifer")</f>
        <v>stellifer</v>
      </c>
      <c r="E3933" t="str">
        <f>IFERROR(__xludf.DUMMYFUNCTION("""COMPUTED_VALUE"""),"DSM")</f>
        <v>DSM</v>
      </c>
      <c r="F3933">
        <f>IFERROR(__xludf.DUMMYFUNCTION("""COMPUTED_VALUE"""),14472.0)</f>
        <v>14472</v>
      </c>
    </row>
    <row r="3934" ht="15.75" customHeight="1">
      <c r="A3934" t="str">
        <f t="shared" si="1"/>
        <v>P.swuensis</v>
      </c>
      <c r="B3934" s="5" t="s">
        <v>23305</v>
      </c>
      <c r="C3934" s="6" t="str">
        <f>IFERROR(__xludf.DUMMYFUNCTION("SPLIT('2. c'!B3934, "" "", True, True)"),"Paenibacillus")</f>
        <v>Paenibacillus</v>
      </c>
      <c r="D3934" t="str">
        <f>IFERROR(__xludf.DUMMYFUNCTION("""COMPUTED_VALUE"""),"swuensis")</f>
        <v>swuensis</v>
      </c>
      <c r="E3934" t="str">
        <f>IFERROR(__xludf.DUMMYFUNCTION("""COMPUTED_VALUE"""),"strain")</f>
        <v>strain</v>
      </c>
      <c r="F3934" t="str">
        <f>IFERROR(__xludf.DUMMYFUNCTION("""COMPUTED_VALUE"""),"DY6")</f>
        <v>DY6</v>
      </c>
    </row>
    <row r="3935" ht="15.75" customHeight="1">
      <c r="A3935" t="str">
        <f t="shared" si="1"/>
        <v>P.terrae</v>
      </c>
      <c r="B3935" s="5" t="s">
        <v>23314</v>
      </c>
      <c r="C3935" s="6" t="str">
        <f>IFERROR(__xludf.DUMMYFUNCTION("SPLIT('2. c'!B3935, "" "", True, True)"),"Paenibacillus")</f>
        <v>Paenibacillus</v>
      </c>
      <c r="D3935" t="str">
        <f>IFERROR(__xludf.DUMMYFUNCTION("""COMPUTED_VALUE"""),"terrae")</f>
        <v>terrae</v>
      </c>
      <c r="E3935" t="str">
        <f>IFERROR(__xludf.DUMMYFUNCTION("""COMPUTED_VALUE"""),"HPL-003")</f>
        <v>HPL-003</v>
      </c>
    </row>
    <row r="3936" ht="15.75" customHeight="1">
      <c r="A3936" t="str">
        <f t="shared" si="1"/>
        <v>P.pacificus</v>
      </c>
      <c r="B3936" s="5" t="s">
        <v>23323</v>
      </c>
      <c r="C3936" s="6" t="str">
        <f>IFERROR(__xludf.DUMMYFUNCTION("SPLIT('2. c'!B3936, "" "", True, True)"),"Palaeococcus")</f>
        <v>Palaeococcus</v>
      </c>
      <c r="D3936" t="str">
        <f>IFERROR(__xludf.DUMMYFUNCTION("""COMPUTED_VALUE"""),"pacificus")</f>
        <v>pacificus</v>
      </c>
      <c r="E3936" t="str">
        <f>IFERROR(__xludf.DUMMYFUNCTION("""COMPUTED_VALUE"""),"DY20341")</f>
        <v>DY20341</v>
      </c>
    </row>
    <row r="3937" ht="15.75" customHeight="1">
      <c r="A3937" t="str">
        <f t="shared" si="1"/>
        <v>P.propionicigenes</v>
      </c>
      <c r="B3937" s="5" t="s">
        <v>23333</v>
      </c>
      <c r="C3937" s="6" t="str">
        <f>IFERROR(__xludf.DUMMYFUNCTION("SPLIT('2. c'!B3937, "" "", True, True)"),"Paludibacter")</f>
        <v>Paludibacter</v>
      </c>
      <c r="D3937" t="str">
        <f>IFERROR(__xludf.DUMMYFUNCTION("""COMPUTED_VALUE"""),"propionicigenes")</f>
        <v>propionicigenes</v>
      </c>
      <c r="E3937" t="str">
        <f>IFERROR(__xludf.DUMMYFUNCTION("""COMPUTED_VALUE"""),"WB4")</f>
        <v>WB4</v>
      </c>
    </row>
    <row r="3938" ht="15.75" customHeight="1">
      <c r="A3938" t="str">
        <f t="shared" si="1"/>
        <v>P.apista</v>
      </c>
      <c r="B3938" s="5" t="s">
        <v>23341</v>
      </c>
      <c r="C3938" s="6" t="str">
        <f>IFERROR(__xludf.DUMMYFUNCTION("SPLIT('2. c'!B3938, "" "", True, True)"),"Pandoraea")</f>
        <v>Pandoraea</v>
      </c>
      <c r="D3938" t="str">
        <f>IFERROR(__xludf.DUMMYFUNCTION("""COMPUTED_VALUE"""),"apista")</f>
        <v>apista</v>
      </c>
      <c r="E3938" t="str">
        <f>IFERROR(__xludf.DUMMYFUNCTION("""COMPUTED_VALUE"""),"strain")</f>
        <v>strain</v>
      </c>
      <c r="F3938" t="str">
        <f>IFERROR(__xludf.DUMMYFUNCTION("""COMPUTED_VALUE"""),"AU2161")</f>
        <v>AU2161</v>
      </c>
    </row>
    <row r="3939" ht="15.75" customHeight="1">
      <c r="A3939" t="str">
        <f t="shared" si="1"/>
        <v>P.apista</v>
      </c>
      <c r="B3939" s="5" t="s">
        <v>23351</v>
      </c>
      <c r="C3939" s="6" t="str">
        <f>IFERROR(__xludf.DUMMYFUNCTION("SPLIT('2. c'!B3939, "" "", True, True)"),"Pandoraea")</f>
        <v>Pandoraea</v>
      </c>
      <c r="D3939" t="str">
        <f>IFERROR(__xludf.DUMMYFUNCTION("""COMPUTED_VALUE"""),"apista")</f>
        <v>apista</v>
      </c>
      <c r="E3939" t="str">
        <f>IFERROR(__xludf.DUMMYFUNCTION("""COMPUTED_VALUE"""),"strain")</f>
        <v>strain</v>
      </c>
      <c r="F3939" t="str">
        <f>IFERROR(__xludf.DUMMYFUNCTION("""COMPUTED_VALUE"""),"DSM")</f>
        <v>DSM</v>
      </c>
      <c r="G3939">
        <f>IFERROR(__xludf.DUMMYFUNCTION("""COMPUTED_VALUE"""),16535.0)</f>
        <v>16535</v>
      </c>
    </row>
    <row r="3940" ht="15.75" customHeight="1">
      <c r="A3940" t="str">
        <f t="shared" si="1"/>
        <v>P.apista</v>
      </c>
      <c r="B3940" s="5" t="s">
        <v>23361</v>
      </c>
      <c r="C3940" s="6" t="str">
        <f>IFERROR(__xludf.DUMMYFUNCTION("SPLIT('2. c'!B3940, "" "", True, True)"),"Pandoraea")</f>
        <v>Pandoraea</v>
      </c>
      <c r="D3940" t="str">
        <f>IFERROR(__xludf.DUMMYFUNCTION("""COMPUTED_VALUE"""),"apista")</f>
        <v>apista</v>
      </c>
      <c r="E3940" t="str">
        <f>IFERROR(__xludf.DUMMYFUNCTION("""COMPUTED_VALUE"""),"strain")</f>
        <v>strain</v>
      </c>
      <c r="F3940" t="str">
        <f>IFERROR(__xludf.DUMMYFUNCTION("""COMPUTED_VALUE"""),"TF80G25")</f>
        <v>TF80G25</v>
      </c>
    </row>
    <row r="3941" ht="15.75" customHeight="1">
      <c r="A3941" t="str">
        <f t="shared" si="1"/>
        <v>P.apista</v>
      </c>
      <c r="B3941" s="5" t="s">
        <v>23373</v>
      </c>
      <c r="C3941" s="6" t="str">
        <f>IFERROR(__xludf.DUMMYFUNCTION("SPLIT('2. c'!B3941, "" "", True, True)"),"Pandoraea")</f>
        <v>Pandoraea</v>
      </c>
      <c r="D3941" t="str">
        <f>IFERROR(__xludf.DUMMYFUNCTION("""COMPUTED_VALUE"""),"apista")</f>
        <v>apista</v>
      </c>
      <c r="E3941" t="str">
        <f>IFERROR(__xludf.DUMMYFUNCTION("""COMPUTED_VALUE"""),"TF81F4")</f>
        <v>TF81F4</v>
      </c>
    </row>
    <row r="3942" ht="15.75" customHeight="1">
      <c r="A3942" t="str">
        <f t="shared" si="1"/>
        <v>P.faecigallinarum</v>
      </c>
      <c r="B3942" s="5" t="s">
        <v>23381</v>
      </c>
      <c r="C3942" s="6" t="str">
        <f>IFERROR(__xludf.DUMMYFUNCTION("SPLIT('2. c'!B3942, "" "", True, True)"),"Pandoraea")</f>
        <v>Pandoraea</v>
      </c>
      <c r="D3942" t="str">
        <f>IFERROR(__xludf.DUMMYFUNCTION("""COMPUTED_VALUE"""),"faecigallinarum")</f>
        <v>faecigallinarum</v>
      </c>
      <c r="E3942" t="str">
        <f>IFERROR(__xludf.DUMMYFUNCTION("""COMPUTED_VALUE"""),"strain")</f>
        <v>strain</v>
      </c>
      <c r="F3942" t="str">
        <f>IFERROR(__xludf.DUMMYFUNCTION("""COMPUTED_VALUE"""),"DSM")</f>
        <v>DSM</v>
      </c>
      <c r="G3942">
        <f>IFERROR(__xludf.DUMMYFUNCTION("""COMPUTED_VALUE"""),23572.0)</f>
        <v>23572</v>
      </c>
    </row>
    <row r="3943" ht="15.75" customHeight="1">
      <c r="A3943" t="str">
        <f t="shared" si="1"/>
        <v>P.norimbergensis</v>
      </c>
      <c r="B3943" s="5" t="s">
        <v>23392</v>
      </c>
      <c r="C3943" s="6" t="str">
        <f>IFERROR(__xludf.DUMMYFUNCTION("SPLIT('2. c'!B3943, "" "", True, True)"),"Pandoraea")</f>
        <v>Pandoraea</v>
      </c>
      <c r="D3943" t="str">
        <f>IFERROR(__xludf.DUMMYFUNCTION("""COMPUTED_VALUE"""),"norimbergensis")</f>
        <v>norimbergensis</v>
      </c>
      <c r="E3943" t="str">
        <f>IFERROR(__xludf.DUMMYFUNCTION("""COMPUTED_VALUE"""),"strain")</f>
        <v>strain</v>
      </c>
      <c r="F3943" t="str">
        <f>IFERROR(__xludf.DUMMYFUNCTION("""COMPUTED_VALUE"""),"DSM")</f>
        <v>DSM</v>
      </c>
      <c r="G3943">
        <f>IFERROR(__xludf.DUMMYFUNCTION("""COMPUTED_VALUE"""),11628.0)</f>
        <v>11628</v>
      </c>
    </row>
    <row r="3944" ht="15.75" customHeight="1">
      <c r="A3944" t="str">
        <f t="shared" si="1"/>
        <v>P.oxalativorans</v>
      </c>
      <c r="B3944" s="5" t="s">
        <v>23402</v>
      </c>
      <c r="C3944" s="6" t="str">
        <f>IFERROR(__xludf.DUMMYFUNCTION("SPLIT('2. c'!B3944, "" "", True, True)"),"Pandoraea")</f>
        <v>Pandoraea</v>
      </c>
      <c r="D3944" t="str">
        <f>IFERROR(__xludf.DUMMYFUNCTION("""COMPUTED_VALUE"""),"oxalativorans")</f>
        <v>oxalativorans</v>
      </c>
      <c r="E3944" t="str">
        <f>IFERROR(__xludf.DUMMYFUNCTION("""COMPUTED_VALUE"""),"strain")</f>
        <v>strain</v>
      </c>
      <c r="F3944" t="str">
        <f>IFERROR(__xludf.DUMMYFUNCTION("""COMPUTED_VALUE"""),"DSM-23570")</f>
        <v>DSM-23570</v>
      </c>
    </row>
    <row r="3945" ht="15.75" customHeight="1">
      <c r="A3945" t="str">
        <f t="shared" si="1"/>
        <v>P.pnomenusa</v>
      </c>
      <c r="B3945" s="5" t="s">
        <v>23411</v>
      </c>
      <c r="C3945" s="6" t="str">
        <f>IFERROR(__xludf.DUMMYFUNCTION("SPLIT('2. c'!B3945, "" "", True, True)"),"Pandoraea")</f>
        <v>Pandoraea</v>
      </c>
      <c r="D3945" t="str">
        <f>IFERROR(__xludf.DUMMYFUNCTION("""COMPUTED_VALUE"""),"pnomenusa")</f>
        <v>pnomenusa</v>
      </c>
      <c r="E3945" t="str">
        <f>IFERROR(__xludf.DUMMYFUNCTION("""COMPUTED_VALUE"""),"3kgm")</f>
        <v>3kgm</v>
      </c>
    </row>
    <row r="3946" ht="15.75" customHeight="1">
      <c r="A3946" t="str">
        <f t="shared" si="1"/>
        <v>P.pnomenusa</v>
      </c>
      <c r="B3946" s="5" t="s">
        <v>23421</v>
      </c>
      <c r="C3946" s="6" t="str">
        <f>IFERROR(__xludf.DUMMYFUNCTION("SPLIT('2. c'!B3946, "" "", True, True)"),"Pandoraea")</f>
        <v>Pandoraea</v>
      </c>
      <c r="D3946" t="str">
        <f>IFERROR(__xludf.DUMMYFUNCTION("""COMPUTED_VALUE"""),"pnomenusa")</f>
        <v>pnomenusa</v>
      </c>
      <c r="E3946" t="str">
        <f>IFERROR(__xludf.DUMMYFUNCTION("""COMPUTED_VALUE"""),"strain")</f>
        <v>strain</v>
      </c>
      <c r="F3946" t="str">
        <f>IFERROR(__xludf.DUMMYFUNCTION("""COMPUTED_VALUE"""),"DSM-16536")</f>
        <v>DSM-16536</v>
      </c>
    </row>
    <row r="3947" ht="15.75" customHeight="1">
      <c r="A3947" t="str">
        <f t="shared" si="1"/>
        <v>P.pnomenusa</v>
      </c>
      <c r="B3947" s="5" t="s">
        <v>23429</v>
      </c>
      <c r="C3947" s="6" t="str">
        <f>IFERROR(__xludf.DUMMYFUNCTION("SPLIT('2. c'!B3947, "" "", True, True)"),"Pandoraea")</f>
        <v>Pandoraea</v>
      </c>
      <c r="D3947" t="str">
        <f>IFERROR(__xludf.DUMMYFUNCTION("""COMPUTED_VALUE"""),"pnomenusa")</f>
        <v>pnomenusa</v>
      </c>
      <c r="E3947" t="str">
        <f>IFERROR(__xludf.DUMMYFUNCTION("""COMPUTED_VALUE"""),"strain")</f>
        <v>strain</v>
      </c>
      <c r="F3947" t="str">
        <f>IFERROR(__xludf.DUMMYFUNCTION("""COMPUTED_VALUE"""),"MCB032")</f>
        <v>MCB032</v>
      </c>
    </row>
    <row r="3948" ht="15.75" customHeight="1">
      <c r="A3948" t="str">
        <f t="shared" si="1"/>
        <v>P.pnomenusa</v>
      </c>
      <c r="B3948" s="5" t="s">
        <v>23438</v>
      </c>
      <c r="C3948" s="6" t="str">
        <f>IFERROR(__xludf.DUMMYFUNCTION("SPLIT('2. c'!B3948, "" "", True, True)"),"Pandoraea")</f>
        <v>Pandoraea</v>
      </c>
      <c r="D3948" t="str">
        <f>IFERROR(__xludf.DUMMYFUNCTION("""COMPUTED_VALUE"""),"pnomenusa")</f>
        <v>pnomenusa</v>
      </c>
      <c r="E3948" t="str">
        <f>IFERROR(__xludf.DUMMYFUNCTION("""COMPUTED_VALUE"""),"strain")</f>
        <v>strain</v>
      </c>
      <c r="F3948" t="str">
        <f>IFERROR(__xludf.DUMMYFUNCTION("""COMPUTED_VALUE"""),"RB38")</f>
        <v>RB38</v>
      </c>
    </row>
    <row r="3949" ht="15.75" customHeight="1">
      <c r="A3949" t="str">
        <f t="shared" si="1"/>
        <v>P.pulmonicola</v>
      </c>
      <c r="B3949" s="5" t="s">
        <v>23446</v>
      </c>
      <c r="C3949" s="6" t="str">
        <f>IFERROR(__xludf.DUMMYFUNCTION("SPLIT('2. c'!B3949, "" "", True, True)"),"Pandoraea")</f>
        <v>Pandoraea</v>
      </c>
      <c r="D3949" t="str">
        <f>IFERROR(__xludf.DUMMYFUNCTION("""COMPUTED_VALUE"""),"pulmonicola")</f>
        <v>pulmonicola</v>
      </c>
      <c r="E3949" t="str">
        <f>IFERROR(__xludf.DUMMYFUNCTION("""COMPUTED_VALUE"""),"DSM")</f>
        <v>DSM</v>
      </c>
      <c r="F3949">
        <f>IFERROR(__xludf.DUMMYFUNCTION("""COMPUTED_VALUE"""),16583.0)</f>
        <v>16583</v>
      </c>
    </row>
    <row r="3950" ht="15.75" customHeight="1">
      <c r="A3950" t="str">
        <f t="shared" si="1"/>
        <v>P.sputorum</v>
      </c>
      <c r="B3950" s="5" t="s">
        <v>23459</v>
      </c>
      <c r="C3950" s="6" t="str">
        <f>IFERROR(__xludf.DUMMYFUNCTION("SPLIT('2. c'!B3950, "" "", True, True)"),"Pandoraea")</f>
        <v>Pandoraea</v>
      </c>
      <c r="D3950" t="str">
        <f>IFERROR(__xludf.DUMMYFUNCTION("""COMPUTED_VALUE"""),"sputorum")</f>
        <v>sputorum</v>
      </c>
      <c r="E3950" t="str">
        <f>IFERROR(__xludf.DUMMYFUNCTION("""COMPUTED_VALUE"""),"DSM")</f>
        <v>DSM</v>
      </c>
      <c r="F3950">
        <f>IFERROR(__xludf.DUMMYFUNCTION("""COMPUTED_VALUE"""),21091.0)</f>
        <v>21091</v>
      </c>
    </row>
    <row r="3951" ht="15.75" customHeight="1">
      <c r="A3951" t="str">
        <f t="shared" si="1"/>
        <v>P.thiooxydans</v>
      </c>
      <c r="B3951" s="5" t="s">
        <v>23469</v>
      </c>
      <c r="C3951" s="6" t="str">
        <f>IFERROR(__xludf.DUMMYFUNCTION("SPLIT('2. c'!B3951, "" "", True, True)"),"Pandoraea")</f>
        <v>Pandoraea</v>
      </c>
      <c r="D3951" t="str">
        <f>IFERROR(__xludf.DUMMYFUNCTION("""COMPUTED_VALUE"""),"thiooxydans")</f>
        <v>thiooxydans</v>
      </c>
      <c r="E3951" t="str">
        <f>IFERROR(__xludf.DUMMYFUNCTION("""COMPUTED_VALUE"""),"strain")</f>
        <v>strain</v>
      </c>
      <c r="F3951" t="str">
        <f>IFERROR(__xludf.DUMMYFUNCTION("""COMPUTED_VALUE"""),"DSM")</f>
        <v>DSM</v>
      </c>
      <c r="G3951">
        <f>IFERROR(__xludf.DUMMYFUNCTION("""COMPUTED_VALUE"""),25325.0)</f>
        <v>25325</v>
      </c>
    </row>
    <row r="3952" ht="15.75" customHeight="1">
      <c r="A3952" t="str">
        <f t="shared" si="1"/>
        <v>P.vervacti</v>
      </c>
      <c r="B3952" s="5" t="s">
        <v>23479</v>
      </c>
      <c r="C3952" s="6" t="str">
        <f>IFERROR(__xludf.DUMMYFUNCTION("SPLIT('2. c'!B3952, "" "", True, True)"),"Pandoraea")</f>
        <v>Pandoraea</v>
      </c>
      <c r="D3952" t="str">
        <f>IFERROR(__xludf.DUMMYFUNCTION("""COMPUTED_VALUE"""),"vervacti")</f>
        <v>vervacti</v>
      </c>
      <c r="E3952" t="str">
        <f>IFERROR(__xludf.DUMMYFUNCTION("""COMPUTED_VALUE"""),"strain")</f>
        <v>strain</v>
      </c>
      <c r="F3952" t="str">
        <f>IFERROR(__xludf.DUMMYFUNCTION("""COMPUTED_VALUE"""),"NS15")</f>
        <v>NS15</v>
      </c>
    </row>
    <row r="3953" ht="15.75" customHeight="1">
      <c r="A3953" t="str">
        <f t="shared" si="1"/>
        <v>P.phragmitetus</v>
      </c>
      <c r="B3953" s="5" t="s">
        <v>23489</v>
      </c>
      <c r="C3953" s="6" t="str">
        <f>IFERROR(__xludf.DUMMYFUNCTION("SPLIT('2. c'!B3953, "" "", True, True)"),"Pannonibacter")</f>
        <v>Pannonibacter</v>
      </c>
      <c r="D3953" t="str">
        <f>IFERROR(__xludf.DUMMYFUNCTION("""COMPUTED_VALUE"""),"phragmitetus")</f>
        <v>phragmitetus</v>
      </c>
      <c r="E3953" t="str">
        <f>IFERROR(__xludf.DUMMYFUNCTION("""COMPUTED_VALUE"""),"strain")</f>
        <v>strain</v>
      </c>
      <c r="F3953">
        <f>IFERROR(__xludf.DUMMYFUNCTION("""COMPUTED_VALUE"""),31801.0)</f>
        <v>31801</v>
      </c>
    </row>
    <row r="3954" ht="15.75" customHeight="1">
      <c r="A3954" t="str">
        <f t="shared" si="1"/>
        <v>P.agglomerans</v>
      </c>
      <c r="B3954" s="5" t="s">
        <v>23498</v>
      </c>
      <c r="C3954" s="6" t="str">
        <f>IFERROR(__xludf.DUMMYFUNCTION("SPLIT('2. c'!B3954, "" "", True, True)"),"Pantoea")</f>
        <v>Pantoea</v>
      </c>
      <c r="D3954" t="str">
        <f>IFERROR(__xludf.DUMMYFUNCTION("""COMPUTED_VALUE"""),"agglomerans")</f>
        <v>agglomerans</v>
      </c>
      <c r="E3954" t="str">
        <f>IFERROR(__xludf.DUMMYFUNCTION("""COMPUTED_VALUE"""),"strain")</f>
        <v>strain</v>
      </c>
      <c r="F3954" t="str">
        <f>IFERROR(__xludf.DUMMYFUNCTION("""COMPUTED_VALUE"""),"FDAARGOS_160")</f>
        <v>FDAARGOS_160</v>
      </c>
    </row>
    <row r="3955" ht="15.75" customHeight="1">
      <c r="A3955" t="str">
        <f t="shared" si="1"/>
        <v>P.ananatis</v>
      </c>
      <c r="B3955" s="5" t="s">
        <v>23507</v>
      </c>
      <c r="C3955" s="6" t="str">
        <f>IFERROR(__xludf.DUMMYFUNCTION("SPLIT('2. c'!B3955, "" "", True, True)"),"Pantoea")</f>
        <v>Pantoea</v>
      </c>
      <c r="D3955" t="str">
        <f>IFERROR(__xludf.DUMMYFUNCTION("""COMPUTED_VALUE"""),"ananatis")</f>
        <v>ananatis</v>
      </c>
      <c r="E3955" t="str">
        <f>IFERROR(__xludf.DUMMYFUNCTION("""COMPUTED_VALUE"""),"AJ13355")</f>
        <v>AJ13355</v>
      </c>
    </row>
    <row r="3956" ht="15.75" customHeight="1">
      <c r="A3956" t="str">
        <f t="shared" si="1"/>
        <v>P.ananatis</v>
      </c>
      <c r="B3956" s="5" t="s">
        <v>23516</v>
      </c>
      <c r="C3956" s="6" t="str">
        <f>IFERROR(__xludf.DUMMYFUNCTION("SPLIT('2. c'!B3956, "" "", True, True)"),"Pantoea")</f>
        <v>Pantoea</v>
      </c>
      <c r="D3956" t="str">
        <f>IFERROR(__xludf.DUMMYFUNCTION("""COMPUTED_VALUE"""),"ananatis")</f>
        <v>ananatis</v>
      </c>
      <c r="E3956" t="str">
        <f>IFERROR(__xludf.DUMMYFUNCTION("""COMPUTED_VALUE"""),"LMG")</f>
        <v>LMG</v>
      </c>
      <c r="F3956">
        <f>IFERROR(__xludf.DUMMYFUNCTION("""COMPUTED_VALUE"""),20103.0)</f>
        <v>20103</v>
      </c>
    </row>
    <row r="3957" ht="15.75" customHeight="1">
      <c r="A3957" t="str">
        <f t="shared" si="1"/>
        <v>P.ananatis</v>
      </c>
      <c r="B3957" s="5" t="s">
        <v>23524</v>
      </c>
      <c r="C3957" s="6" t="str">
        <f>IFERROR(__xludf.DUMMYFUNCTION("SPLIT('2. c'!B3957, "" "", True, True)"),"Pantoea")</f>
        <v>Pantoea</v>
      </c>
      <c r="D3957" t="str">
        <f>IFERROR(__xludf.DUMMYFUNCTION("""COMPUTED_VALUE"""),"ananatis")</f>
        <v>ananatis</v>
      </c>
      <c r="E3957" t="str">
        <f>IFERROR(__xludf.DUMMYFUNCTION("""COMPUTED_VALUE"""),"LMG")</f>
        <v>LMG</v>
      </c>
      <c r="F3957">
        <f>IFERROR(__xludf.DUMMYFUNCTION("""COMPUTED_VALUE"""),5342.0)</f>
        <v>5342</v>
      </c>
    </row>
    <row r="3958" ht="15.75" customHeight="1">
      <c r="A3958" t="str">
        <f t="shared" si="1"/>
        <v>P.ananatis</v>
      </c>
      <c r="B3958" s="5" t="s">
        <v>23534</v>
      </c>
      <c r="C3958" s="6" t="str">
        <f>IFERROR(__xludf.DUMMYFUNCTION("SPLIT('2. c'!B3958, "" "", True, True)"),"Pantoea")</f>
        <v>Pantoea</v>
      </c>
      <c r="D3958" t="str">
        <f>IFERROR(__xludf.DUMMYFUNCTION("""COMPUTED_VALUE"""),"ananatis")</f>
        <v>ananatis</v>
      </c>
      <c r="E3958" t="str">
        <f>IFERROR(__xludf.DUMMYFUNCTION("""COMPUTED_VALUE"""),"PA13")</f>
        <v>PA13</v>
      </c>
    </row>
    <row r="3959" ht="15.75" customHeight="1">
      <c r="A3959" t="str">
        <f t="shared" si="1"/>
        <v>P.ananatis</v>
      </c>
      <c r="B3959" s="5" t="s">
        <v>23544</v>
      </c>
      <c r="C3959" s="6" t="str">
        <f>IFERROR(__xludf.DUMMYFUNCTION("SPLIT('2. c'!B3959, "" "", True, True)"),"Pantoea")</f>
        <v>Pantoea</v>
      </c>
      <c r="D3959" t="str">
        <f>IFERROR(__xludf.DUMMYFUNCTION("""COMPUTED_VALUE"""),"ananatis")</f>
        <v>ananatis</v>
      </c>
      <c r="E3959" t="str">
        <f>IFERROR(__xludf.DUMMYFUNCTION("""COMPUTED_VALUE"""),"strain")</f>
        <v>strain</v>
      </c>
      <c r="F3959" t="str">
        <f>IFERROR(__xludf.DUMMYFUNCTION("""COMPUTED_VALUE"""),"R100")</f>
        <v>R100</v>
      </c>
    </row>
    <row r="3960" ht="15.75" customHeight="1">
      <c r="A3960" t="str">
        <f t="shared" si="1"/>
        <v>P.rwandensis</v>
      </c>
      <c r="B3960" s="5" t="s">
        <v>23551</v>
      </c>
      <c r="C3960" s="6" t="str">
        <f>IFERROR(__xludf.DUMMYFUNCTION("SPLIT('2. c'!B3960, "" "", True, True)"),"Pantoea")</f>
        <v>Pantoea</v>
      </c>
      <c r="D3960" t="str">
        <f>IFERROR(__xludf.DUMMYFUNCTION("""COMPUTED_VALUE"""),"rwandensis")</f>
        <v>rwandensis</v>
      </c>
      <c r="E3960" t="str">
        <f>IFERROR(__xludf.DUMMYFUNCTION("""COMPUTED_VALUE"""),"ND04")</f>
        <v>ND04</v>
      </c>
    </row>
    <row r="3961" ht="15.75" customHeight="1">
      <c r="A3961" t="str">
        <f t="shared" si="1"/>
        <v>P.sp.</v>
      </c>
      <c r="B3961" s="5" t="s">
        <v>23561</v>
      </c>
      <c r="C3961" s="6" t="str">
        <f>IFERROR(__xludf.DUMMYFUNCTION("SPLIT('2. c'!B3961, "" "", True, True)"),"Pantoea")</f>
        <v>Pantoea</v>
      </c>
      <c r="D3961" t="str">
        <f>IFERROR(__xludf.DUMMYFUNCTION("""COMPUTED_VALUE"""),"sp.")</f>
        <v>sp.</v>
      </c>
      <c r="E3961" t="str">
        <f>IFERROR(__xludf.DUMMYFUNCTION("""COMPUTED_VALUE"""),"At-9b")</f>
        <v>At-9b</v>
      </c>
    </row>
    <row r="3962" ht="15.75" customHeight="1">
      <c r="A3962" t="str">
        <f t="shared" si="1"/>
        <v>P.sp.</v>
      </c>
      <c r="B3962" s="5" t="s">
        <v>23568</v>
      </c>
      <c r="C3962" s="6" t="str">
        <f>IFERROR(__xludf.DUMMYFUNCTION("SPLIT('2. c'!B3962, "" "", True, True)"),"Pantoea")</f>
        <v>Pantoea</v>
      </c>
      <c r="D3962" t="str">
        <f>IFERROR(__xludf.DUMMYFUNCTION("""COMPUTED_VALUE"""),"sp.")</f>
        <v>sp.</v>
      </c>
      <c r="E3962" t="str">
        <f>IFERROR(__xludf.DUMMYFUNCTION("""COMPUTED_VALUE"""),"PSNIH1")</f>
        <v>PSNIH1</v>
      </c>
    </row>
    <row r="3963" ht="15.75" customHeight="1">
      <c r="A3963" t="str">
        <f t="shared" si="1"/>
        <v>P.sp.</v>
      </c>
      <c r="B3963" s="5" t="s">
        <v>23577</v>
      </c>
      <c r="C3963" s="6" t="str">
        <f>IFERROR(__xludf.DUMMYFUNCTION("SPLIT('2. c'!B3963, "" "", True, True)"),"Pantoea")</f>
        <v>Pantoea</v>
      </c>
      <c r="D3963" t="str">
        <f>IFERROR(__xludf.DUMMYFUNCTION("""COMPUTED_VALUE"""),"sp.")</f>
        <v>sp.</v>
      </c>
      <c r="E3963" t="str">
        <f>IFERROR(__xludf.DUMMYFUNCTION("""COMPUTED_VALUE"""),"PSNIH2")</f>
        <v>PSNIH2</v>
      </c>
    </row>
    <row r="3964" ht="15.75" customHeight="1">
      <c r="A3964" t="str">
        <f t="shared" si="1"/>
        <v>P.vagans</v>
      </c>
      <c r="B3964" s="5" t="s">
        <v>23585</v>
      </c>
      <c r="C3964" s="6" t="str">
        <f>IFERROR(__xludf.DUMMYFUNCTION("SPLIT('2. c'!B3964, "" "", True, True)"),"Pantoea")</f>
        <v>Pantoea</v>
      </c>
      <c r="D3964" t="str">
        <f>IFERROR(__xludf.DUMMYFUNCTION("""COMPUTED_VALUE"""),"vagans")</f>
        <v>vagans</v>
      </c>
      <c r="E3964" t="str">
        <f>IFERROR(__xludf.DUMMYFUNCTION("""COMPUTED_VALUE"""),"C9-1")</f>
        <v>C9-1</v>
      </c>
    </row>
    <row r="3965" ht="15.75" customHeight="1">
      <c r="A3965" t="str">
        <f t="shared" si="1"/>
        <v>P.distasonis</v>
      </c>
      <c r="B3965" s="5" t="s">
        <v>23593</v>
      </c>
      <c r="C3965" s="6" t="str">
        <f>IFERROR(__xludf.DUMMYFUNCTION("SPLIT('2. c'!B3965, "" "", True, True)"),"Parabacteroides")</f>
        <v>Parabacteroides</v>
      </c>
      <c r="D3965" t="str">
        <f>IFERROR(__xludf.DUMMYFUNCTION("""COMPUTED_VALUE"""),"distasonis")</f>
        <v>distasonis</v>
      </c>
      <c r="E3965" t="str">
        <f>IFERROR(__xludf.DUMMYFUNCTION("""COMPUTED_VALUE"""),"ATCC")</f>
        <v>ATCC</v>
      </c>
      <c r="F3965">
        <f>IFERROR(__xludf.DUMMYFUNCTION("""COMPUTED_VALUE"""),8503.0)</f>
        <v>8503</v>
      </c>
    </row>
    <row r="3966" ht="15.75" customHeight="1">
      <c r="A3966" t="str">
        <f t="shared" si="1"/>
        <v>P.caribensis</v>
      </c>
      <c r="B3966" s="5" t="s">
        <v>23602</v>
      </c>
      <c r="C3966" s="6" t="str">
        <f>IFERROR(__xludf.DUMMYFUNCTION("SPLIT('2. c'!B3966, "" "", True, True)"),"Paraburkholderia")</f>
        <v>Paraburkholderia</v>
      </c>
      <c r="D3966" t="str">
        <f>IFERROR(__xludf.DUMMYFUNCTION("""COMPUTED_VALUE"""),"caribensis")</f>
        <v>caribensis</v>
      </c>
      <c r="E3966" t="str">
        <f>IFERROR(__xludf.DUMMYFUNCTION("""COMPUTED_VALUE"""),"strain")</f>
        <v>strain</v>
      </c>
      <c r="F3966" t="str">
        <f>IFERROR(__xludf.DUMMYFUNCTION("""COMPUTED_VALUE"""),"Bcrs1W")</f>
        <v>Bcrs1W</v>
      </c>
    </row>
    <row r="3967" ht="15.75" customHeight="1">
      <c r="A3967" t="str">
        <f t="shared" si="1"/>
        <v>P.acanthamoebae</v>
      </c>
      <c r="B3967" s="5" t="s">
        <v>23611</v>
      </c>
      <c r="C3967" s="6" t="str">
        <f>IFERROR(__xludf.DUMMYFUNCTION("SPLIT('2. c'!B3967, "" "", True, True)"),"Parachlamydia")</f>
        <v>Parachlamydia</v>
      </c>
      <c r="D3967" t="str">
        <f>IFERROR(__xludf.DUMMYFUNCTION("""COMPUTED_VALUE"""),"acanthamoebae")</f>
        <v>acanthamoebae</v>
      </c>
      <c r="E3967" t="str">
        <f>IFERROR(__xludf.DUMMYFUNCTION("""COMPUTED_VALUE"""),"UV-7")</f>
        <v>UV-7</v>
      </c>
    </row>
    <row r="3968" ht="15.75" customHeight="1">
      <c r="A3968" t="str">
        <f t="shared" si="1"/>
        <v>P.aminophilus</v>
      </c>
      <c r="B3968" s="5" t="s">
        <v>23619</v>
      </c>
      <c r="C3968" s="6" t="str">
        <f>IFERROR(__xludf.DUMMYFUNCTION("SPLIT('2. c'!B3968, "" "", True, True)"),"Paracoccus")</f>
        <v>Paracoccus</v>
      </c>
      <c r="D3968" t="str">
        <f>IFERROR(__xludf.DUMMYFUNCTION("""COMPUTED_VALUE"""),"aminophilus")</f>
        <v>aminophilus</v>
      </c>
      <c r="E3968" t="str">
        <f>IFERROR(__xludf.DUMMYFUNCTION("""COMPUTED_VALUE"""),"JCM")</f>
        <v>JCM</v>
      </c>
      <c r="F3968">
        <f>IFERROR(__xludf.DUMMYFUNCTION("""COMPUTED_VALUE"""),7686.0)</f>
        <v>7686</v>
      </c>
    </row>
    <row r="3969" ht="15.75" customHeight="1">
      <c r="A3969" t="str">
        <f t="shared" si="1"/>
        <v>P.denitrificans</v>
      </c>
      <c r="B3969" s="5" t="s">
        <v>23629</v>
      </c>
      <c r="C3969" s="6" t="str">
        <f>IFERROR(__xludf.DUMMYFUNCTION("SPLIT('2. c'!B3969, "" "", True, True)"),"Paracoccus")</f>
        <v>Paracoccus</v>
      </c>
      <c r="D3969" t="str">
        <f>IFERROR(__xludf.DUMMYFUNCTION("""COMPUTED_VALUE"""),"denitrificans")</f>
        <v>denitrificans</v>
      </c>
      <c r="E3969" t="str">
        <f>IFERROR(__xludf.DUMMYFUNCTION("""COMPUTED_VALUE"""),"PD1222")</f>
        <v>PD1222</v>
      </c>
    </row>
    <row r="3970" ht="15.75" customHeight="1">
      <c r="A3970" t="str">
        <f t="shared" si="1"/>
        <v>P.denitrificans</v>
      </c>
      <c r="B3970" s="5" t="s">
        <v>23638</v>
      </c>
      <c r="C3970" s="6" t="str">
        <f>IFERROR(__xludf.DUMMYFUNCTION("SPLIT('2. c'!B3970, "" "", True, True)"),"Paracoccus")</f>
        <v>Paracoccus</v>
      </c>
      <c r="D3970" t="str">
        <f>IFERROR(__xludf.DUMMYFUNCTION("""COMPUTED_VALUE"""),"denitrificans")</f>
        <v>denitrificans</v>
      </c>
      <c r="E3970" t="str">
        <f>IFERROR(__xludf.DUMMYFUNCTION("""COMPUTED_VALUE"""),"SD1")</f>
        <v>SD1</v>
      </c>
    </row>
    <row r="3971" ht="15.75" customHeight="1">
      <c r="A3971" t="str">
        <f t="shared" si="1"/>
        <v>P.psychrophila</v>
      </c>
      <c r="B3971" s="5" t="s">
        <v>23646</v>
      </c>
      <c r="C3971" s="6" t="str">
        <f>IFERROR(__xludf.DUMMYFUNCTION("SPLIT('2. c'!B3971, "" "", True, True)"),"Paraglaciecola")</f>
        <v>Paraglaciecola</v>
      </c>
      <c r="D3971" t="str">
        <f>IFERROR(__xludf.DUMMYFUNCTION("""COMPUTED_VALUE"""),"psychrophila")</f>
        <v>psychrophila</v>
      </c>
      <c r="E3971">
        <f>IFERROR(__xludf.DUMMYFUNCTION("""COMPUTED_VALUE"""),170.0)</f>
        <v>170</v>
      </c>
    </row>
    <row r="3972" ht="15.75" customHeight="1">
      <c r="A3972" t="str">
        <f t="shared" si="1"/>
        <v>P.denticolens</v>
      </c>
      <c r="B3972" s="5" t="s">
        <v>23655</v>
      </c>
      <c r="C3972" s="6" t="str">
        <f>IFERROR(__xludf.DUMMYFUNCTION("SPLIT('2. c'!B3972, "" "", True, True)"),"Parascardovia")</f>
        <v>Parascardovia</v>
      </c>
      <c r="D3972" t="str">
        <f>IFERROR(__xludf.DUMMYFUNCTION("""COMPUTED_VALUE"""),"denticolens")</f>
        <v>denticolens</v>
      </c>
      <c r="E3972" t="str">
        <f>IFERROR(__xludf.DUMMYFUNCTION("""COMPUTED_VALUE"""),"DSM")</f>
        <v>DSM</v>
      </c>
      <c r="F3972">
        <f>IFERROR(__xludf.DUMMYFUNCTION("""COMPUTED_VALUE"""),10105.0)</f>
        <v>10105</v>
      </c>
      <c r="G3972" t="str">
        <f>IFERROR(__xludf.DUMMYFUNCTION("""COMPUTED_VALUE"""),"=")</f>
        <v>=</v>
      </c>
      <c r="H3972" t="str">
        <f>IFERROR(__xludf.DUMMYFUNCTION("""COMPUTED_VALUE"""),"JCM")</f>
        <v>JCM</v>
      </c>
      <c r="I3972">
        <f>IFERROR(__xludf.DUMMYFUNCTION("""COMPUTED_VALUE"""),12538.0)</f>
        <v>12538</v>
      </c>
    </row>
    <row r="3973" ht="15.75" customHeight="1">
      <c r="A3973" t="str">
        <f t="shared" si="1"/>
        <v>P.lavamentivorans</v>
      </c>
      <c r="B3973" s="5" t="s">
        <v>23666</v>
      </c>
      <c r="C3973" s="6" t="str">
        <f>IFERROR(__xludf.DUMMYFUNCTION("SPLIT('2. c'!B3973, "" "", True, True)"),"Parvibaculum")</f>
        <v>Parvibaculum</v>
      </c>
      <c r="D3973" t="str">
        <f>IFERROR(__xludf.DUMMYFUNCTION("""COMPUTED_VALUE"""),"lavamentivorans")</f>
        <v>lavamentivorans</v>
      </c>
      <c r="E3973" t="str">
        <f>IFERROR(__xludf.DUMMYFUNCTION("""COMPUTED_VALUE"""),"DS-1")</f>
        <v>DS-1</v>
      </c>
    </row>
    <row r="3974" ht="15.75" customHeight="1">
      <c r="A3974" t="str">
        <f t="shared" si="1"/>
        <v>P.micra</v>
      </c>
      <c r="B3974" s="5" t="s">
        <v>23674</v>
      </c>
      <c r="C3974" s="6" t="str">
        <f>IFERROR(__xludf.DUMMYFUNCTION("SPLIT('2. c'!B3974, "" "", True, True)"),"Parvimonas")</f>
        <v>Parvimonas</v>
      </c>
      <c r="D3974" t="str">
        <f>IFERROR(__xludf.DUMMYFUNCTION("""COMPUTED_VALUE"""),"micra")</f>
        <v>micra</v>
      </c>
      <c r="E3974" t="str">
        <f>IFERROR(__xludf.DUMMYFUNCTION("""COMPUTED_VALUE"""),"KCOM")</f>
        <v>KCOM</v>
      </c>
      <c r="F3974" t="str">
        <f>IFERROR(__xludf.DUMMYFUNCTION("""COMPUTED_VALUE"""),"1535;")</f>
        <v>1535;</v>
      </c>
      <c r="G3974" t="str">
        <f>IFERROR(__xludf.DUMMYFUNCTION("""COMPUTED_VALUE"""),"ChDC")</f>
        <v>ChDC</v>
      </c>
      <c r="H3974" t="str">
        <f>IFERROR(__xludf.DUMMYFUNCTION("""COMPUTED_VALUE"""),"B708")</f>
        <v>B708</v>
      </c>
    </row>
    <row r="3975" ht="15.75" customHeight="1">
      <c r="A3975" t="str">
        <f t="shared" si="1"/>
        <v>P.bermudensis</v>
      </c>
      <c r="B3975" s="5" t="s">
        <v>23683</v>
      </c>
      <c r="C3975" s="6" t="str">
        <f>IFERROR(__xludf.DUMMYFUNCTION("SPLIT('2. c'!B3975, "" "", True, True)"),"Parvularcula")</f>
        <v>Parvularcula</v>
      </c>
      <c r="D3975" t="str">
        <f>IFERROR(__xludf.DUMMYFUNCTION("""COMPUTED_VALUE"""),"bermudensis")</f>
        <v>bermudensis</v>
      </c>
      <c r="E3975" t="str">
        <f>IFERROR(__xludf.DUMMYFUNCTION("""COMPUTED_VALUE"""),"HTCC2503")</f>
        <v>HTCC2503</v>
      </c>
    </row>
    <row r="3976" ht="15.75" customHeight="1">
      <c r="A3976" t="str">
        <f t="shared" si="1"/>
        <v>P.multocida</v>
      </c>
      <c r="B3976" s="5" t="s">
        <v>23693</v>
      </c>
      <c r="C3976" s="6" t="str">
        <f>IFERROR(__xludf.DUMMYFUNCTION("SPLIT('2. c'!B3976, "" "", True, True)"),"Pasteurella")</f>
        <v>Pasteurella</v>
      </c>
      <c r="D3976" t="str">
        <f>IFERROR(__xludf.DUMMYFUNCTION("""COMPUTED_VALUE"""),"multocida")</f>
        <v>multocida</v>
      </c>
      <c r="E3976">
        <f>IFERROR(__xludf.DUMMYFUNCTION("""COMPUTED_VALUE"""),36950.0)</f>
        <v>36950</v>
      </c>
    </row>
    <row r="3977" ht="15.75" customHeight="1">
      <c r="A3977" t="str">
        <f t="shared" si="1"/>
        <v>P.multocida</v>
      </c>
      <c r="B3977" s="5" t="s">
        <v>23702</v>
      </c>
      <c r="C3977" s="6" t="str">
        <f>IFERROR(__xludf.DUMMYFUNCTION("SPLIT('2. c'!B3977, "" "", True, True)"),"Pasteurella")</f>
        <v>Pasteurella</v>
      </c>
      <c r="D3977" t="str">
        <f>IFERROR(__xludf.DUMMYFUNCTION("""COMPUTED_VALUE"""),"multocida")</f>
        <v>multocida</v>
      </c>
      <c r="E3977" t="str">
        <f>IFERROR(__xludf.DUMMYFUNCTION("""COMPUTED_VALUE"""),"OH1905")</f>
        <v>OH1905</v>
      </c>
    </row>
    <row r="3978" ht="15.75" customHeight="1">
      <c r="A3978" t="str">
        <f t="shared" si="1"/>
        <v>P.multocida</v>
      </c>
      <c r="B3978" s="5" t="s">
        <v>23710</v>
      </c>
      <c r="C3978" s="6" t="str">
        <f>IFERROR(__xludf.DUMMYFUNCTION("SPLIT('2. c'!B3978, "" "", True, True)"),"Pasteurella")</f>
        <v>Pasteurella</v>
      </c>
      <c r="D3978" t="str">
        <f>IFERROR(__xludf.DUMMYFUNCTION("""COMPUTED_VALUE"""),"multocida")</f>
        <v>multocida</v>
      </c>
      <c r="E3978" t="str">
        <f>IFERROR(__xludf.DUMMYFUNCTION("""COMPUTED_VALUE"""),"strain")</f>
        <v>strain</v>
      </c>
      <c r="F3978" t="str">
        <f>IFERROR(__xludf.DUMMYFUNCTION("""COMPUTED_VALUE"""),"ATCC")</f>
        <v>ATCC</v>
      </c>
      <c r="G3978">
        <f>IFERROR(__xludf.DUMMYFUNCTION("""COMPUTED_VALUE"""),43137.0)</f>
        <v>43137</v>
      </c>
    </row>
    <row r="3979" ht="15.75" customHeight="1">
      <c r="A3979" t="str">
        <f t="shared" si="1"/>
        <v>P.multocida</v>
      </c>
      <c r="B3979" s="5" t="s">
        <v>23719</v>
      </c>
      <c r="C3979" s="6" t="str">
        <f>IFERROR(__xludf.DUMMYFUNCTION("SPLIT('2. c'!B3979, "" "", True, True)"),"Pasteurella")</f>
        <v>Pasteurella</v>
      </c>
      <c r="D3979" t="str">
        <f>IFERROR(__xludf.DUMMYFUNCTION("""COMPUTED_VALUE"""),"multocida")</f>
        <v>multocida</v>
      </c>
      <c r="E3979" t="str">
        <f>IFERROR(__xludf.DUMMYFUNCTION("""COMPUTED_VALUE"""),"subsp.")</f>
        <v>subsp.</v>
      </c>
      <c r="F3979" t="str">
        <f>IFERROR(__xludf.DUMMYFUNCTION("""COMPUTED_VALUE"""),"gallicida")</f>
        <v>gallicida</v>
      </c>
      <c r="G3979" t="str">
        <f>IFERROR(__xludf.DUMMYFUNCTION("""COMPUTED_VALUE"""),"P1059")</f>
        <v>P1059</v>
      </c>
    </row>
    <row r="3980" ht="15.75" customHeight="1">
      <c r="A3980" t="str">
        <f t="shared" si="1"/>
        <v>P.multocida</v>
      </c>
      <c r="B3980" s="5" t="s">
        <v>23727</v>
      </c>
      <c r="C3980" s="6" t="str">
        <f>IFERROR(__xludf.DUMMYFUNCTION("SPLIT('2. c'!B3980, "" "", True, True)"),"Pasteurella")</f>
        <v>Pasteurella</v>
      </c>
      <c r="D3980" t="str">
        <f>IFERROR(__xludf.DUMMYFUNCTION("""COMPUTED_VALUE"""),"multocida")</f>
        <v>multocida</v>
      </c>
      <c r="E3980" t="str">
        <f>IFERROR(__xludf.DUMMYFUNCTION("""COMPUTED_VALUE"""),"subsp.")</f>
        <v>subsp.</v>
      </c>
      <c r="F3980" t="str">
        <f>IFERROR(__xludf.DUMMYFUNCTION("""COMPUTED_VALUE"""),"gallicida")</f>
        <v>gallicida</v>
      </c>
      <c r="G3980" t="str">
        <f>IFERROR(__xludf.DUMMYFUNCTION("""COMPUTED_VALUE"""),"X73")</f>
        <v>X73</v>
      </c>
    </row>
    <row r="3981" ht="15.75" customHeight="1">
      <c r="A3981" t="str">
        <f t="shared" si="1"/>
        <v>P.multocida</v>
      </c>
      <c r="B3981" s="5" t="s">
        <v>23736</v>
      </c>
      <c r="C3981" s="6" t="str">
        <f>IFERROR(__xludf.DUMMYFUNCTION("SPLIT('2. c'!B3981, "" "", True, True)"),"Pasteurella")</f>
        <v>Pasteurella</v>
      </c>
      <c r="D3981" t="str">
        <f>IFERROR(__xludf.DUMMYFUNCTION("""COMPUTED_VALUE"""),"multocida")</f>
        <v>multocida</v>
      </c>
      <c r="E3981" t="str">
        <f>IFERROR(__xludf.DUMMYFUNCTION("""COMPUTED_VALUE"""),"subsp.")</f>
        <v>subsp.</v>
      </c>
      <c r="F3981" t="str">
        <f>IFERROR(__xludf.DUMMYFUNCTION("""COMPUTED_VALUE"""),"multocida")</f>
        <v>multocida</v>
      </c>
      <c r="G3981" t="str">
        <f>IFERROR(__xludf.DUMMYFUNCTION("""COMPUTED_VALUE"""),"HB01")</f>
        <v>HB01</v>
      </c>
    </row>
    <row r="3982" ht="15.75" customHeight="1">
      <c r="A3982" t="str">
        <f t="shared" si="1"/>
        <v>P.multocida</v>
      </c>
      <c r="B3982" s="5" t="s">
        <v>23745</v>
      </c>
      <c r="C3982" s="6" t="str">
        <f>IFERROR(__xludf.DUMMYFUNCTION("SPLIT('2. c'!B3982, "" "", True, True)"),"Pasteurella")</f>
        <v>Pasteurella</v>
      </c>
      <c r="D3982" t="str">
        <f>IFERROR(__xludf.DUMMYFUNCTION("""COMPUTED_VALUE"""),"multocida")</f>
        <v>multocida</v>
      </c>
      <c r="E3982" t="str">
        <f>IFERROR(__xludf.DUMMYFUNCTION("""COMPUTED_VALUE"""),"subsp.")</f>
        <v>subsp.</v>
      </c>
      <c r="F3982" t="str">
        <f>IFERROR(__xludf.DUMMYFUNCTION("""COMPUTED_VALUE"""),"multocida")</f>
        <v>multocida</v>
      </c>
      <c r="G3982" t="str">
        <f>IFERROR(__xludf.DUMMYFUNCTION("""COMPUTED_VALUE"""),"OH4807")</f>
        <v>OH4807</v>
      </c>
    </row>
    <row r="3983" ht="15.75" customHeight="1">
      <c r="A3983" t="str">
        <f t="shared" si="1"/>
        <v>P.multocida</v>
      </c>
      <c r="B3983" s="5" t="s">
        <v>23754</v>
      </c>
      <c r="C3983" s="6" t="str">
        <f>IFERROR(__xludf.DUMMYFUNCTION("SPLIT('2. c'!B3983, "" "", True, True)"),"Pasteurella")</f>
        <v>Pasteurella</v>
      </c>
      <c r="D3983" t="str">
        <f>IFERROR(__xludf.DUMMYFUNCTION("""COMPUTED_VALUE"""),"multocida")</f>
        <v>multocida</v>
      </c>
      <c r="E3983" t="str">
        <f>IFERROR(__xludf.DUMMYFUNCTION("""COMPUTED_VALUE"""),"subsp.")</f>
        <v>subsp.</v>
      </c>
      <c r="F3983" t="str">
        <f>IFERROR(__xludf.DUMMYFUNCTION("""COMPUTED_VALUE"""),"multocida")</f>
        <v>multocida</v>
      </c>
      <c r="G3983" t="str">
        <f>IFERROR(__xludf.DUMMYFUNCTION("""COMPUTED_VALUE"""),"PMTB2.1")</f>
        <v>PMTB2.1</v>
      </c>
    </row>
    <row r="3984" ht="15.75" customHeight="1">
      <c r="A3984" t="str">
        <f t="shared" si="1"/>
        <v>P.multocida</v>
      </c>
      <c r="B3984" s="5" t="s">
        <v>23764</v>
      </c>
      <c r="C3984" s="6" t="str">
        <f>IFERROR(__xludf.DUMMYFUNCTION("SPLIT('2. c'!B3984, "" "", True, True)"),"Pasteurella")</f>
        <v>Pasteurella</v>
      </c>
      <c r="D3984" t="str">
        <f>IFERROR(__xludf.DUMMYFUNCTION("""COMPUTED_VALUE"""),"multocida")</f>
        <v>multocida</v>
      </c>
      <c r="E3984" t="str">
        <f>IFERROR(__xludf.DUMMYFUNCTION("""COMPUTED_VALUE"""),"subsp.")</f>
        <v>subsp.</v>
      </c>
      <c r="F3984" t="str">
        <f>IFERROR(__xludf.DUMMYFUNCTION("""COMPUTED_VALUE"""),"multocida")</f>
        <v>multocida</v>
      </c>
      <c r="G3984" t="str">
        <f>IFERROR(__xludf.DUMMYFUNCTION("""COMPUTED_VALUE"""),"str.")</f>
        <v>str.</v>
      </c>
      <c r="H3984">
        <f>IFERROR(__xludf.DUMMYFUNCTION("""COMPUTED_VALUE"""),3480.0)</f>
        <v>3480</v>
      </c>
    </row>
    <row r="3985" ht="15.75" customHeight="1">
      <c r="A3985" t="str">
        <f t="shared" si="1"/>
        <v>P.multocida</v>
      </c>
      <c r="B3985" s="5" t="s">
        <v>23774</v>
      </c>
      <c r="C3985" s="6" t="str">
        <f>IFERROR(__xludf.DUMMYFUNCTION("SPLIT('2. c'!B3985, "" "", True, True)"),"Pasteurella")</f>
        <v>Pasteurella</v>
      </c>
      <c r="D3985" t="str">
        <f>IFERROR(__xludf.DUMMYFUNCTION("""COMPUTED_VALUE"""),"multocida")</f>
        <v>multocida</v>
      </c>
      <c r="E3985" t="str">
        <f>IFERROR(__xludf.DUMMYFUNCTION("""COMPUTED_VALUE"""),"subsp.")</f>
        <v>subsp.</v>
      </c>
      <c r="F3985" t="str">
        <f>IFERROR(__xludf.DUMMYFUNCTION("""COMPUTED_VALUE"""),"multocida")</f>
        <v>multocida</v>
      </c>
      <c r="G3985" t="str">
        <f>IFERROR(__xludf.DUMMYFUNCTION("""COMPUTED_VALUE"""),"str.")</f>
        <v>str.</v>
      </c>
      <c r="H3985" t="str">
        <f>IFERROR(__xludf.DUMMYFUNCTION("""COMPUTED_VALUE"""),"HB03")</f>
        <v>HB03</v>
      </c>
    </row>
    <row r="3986" ht="15.75" customHeight="1">
      <c r="A3986" t="str">
        <f t="shared" si="1"/>
        <v>P.multocida</v>
      </c>
      <c r="B3986" s="5" t="s">
        <v>23784</v>
      </c>
      <c r="C3986" s="6" t="str">
        <f>IFERROR(__xludf.DUMMYFUNCTION("SPLIT('2. c'!B3986, "" "", True, True)"),"Pasteurella")</f>
        <v>Pasteurella</v>
      </c>
      <c r="D3986" t="str">
        <f>IFERROR(__xludf.DUMMYFUNCTION("""COMPUTED_VALUE"""),"multocida")</f>
        <v>multocida</v>
      </c>
      <c r="E3986" t="str">
        <f>IFERROR(__xludf.DUMMYFUNCTION("""COMPUTED_VALUE"""),"subsp.")</f>
        <v>subsp.</v>
      </c>
      <c r="F3986" t="str">
        <f>IFERROR(__xludf.DUMMYFUNCTION("""COMPUTED_VALUE"""),"multocida")</f>
        <v>multocida</v>
      </c>
      <c r="G3986" t="str">
        <f>IFERROR(__xludf.DUMMYFUNCTION("""COMPUTED_VALUE"""),"str.")</f>
        <v>str.</v>
      </c>
      <c r="H3986" t="str">
        <f>IFERROR(__xludf.DUMMYFUNCTION("""COMPUTED_VALUE"""),"HN06")</f>
        <v>HN06</v>
      </c>
    </row>
    <row r="3987" ht="15.75" customHeight="1">
      <c r="A3987" t="str">
        <f t="shared" si="1"/>
        <v>P.multocida</v>
      </c>
      <c r="B3987" s="5" t="s">
        <v>23799</v>
      </c>
      <c r="C3987" s="6" t="str">
        <f>IFERROR(__xludf.DUMMYFUNCTION("SPLIT('2. c'!B3987, "" "", True, True)"),"Pasteurella")</f>
        <v>Pasteurella</v>
      </c>
      <c r="D3987" t="str">
        <f>IFERROR(__xludf.DUMMYFUNCTION("""COMPUTED_VALUE"""),"multocida")</f>
        <v>multocida</v>
      </c>
      <c r="E3987" t="str">
        <f>IFERROR(__xludf.DUMMYFUNCTION("""COMPUTED_VALUE"""),"subsp.")</f>
        <v>subsp.</v>
      </c>
      <c r="F3987" t="str">
        <f>IFERROR(__xludf.DUMMYFUNCTION("""COMPUTED_VALUE"""),"multocida")</f>
        <v>multocida</v>
      </c>
      <c r="G3987" t="str">
        <f>IFERROR(__xludf.DUMMYFUNCTION("""COMPUTED_VALUE"""),"str.")</f>
        <v>str.</v>
      </c>
      <c r="H3987" t="str">
        <f>IFERROR(__xludf.DUMMYFUNCTION("""COMPUTED_VALUE"""),"Pm70")</f>
        <v>Pm70</v>
      </c>
    </row>
    <row r="3988" ht="15.75" customHeight="1">
      <c r="A3988" t="str">
        <f t="shared" si="1"/>
        <v>P.sp.</v>
      </c>
      <c r="B3988" s="5" t="s">
        <v>23816</v>
      </c>
      <c r="C3988" s="6" t="str">
        <f>IFERROR(__xludf.DUMMYFUNCTION("SPLIT('2. c'!B3988, "" "", True, True)"),"Paucibacter")</f>
        <v>Paucibacter</v>
      </c>
      <c r="D3988" t="str">
        <f>IFERROR(__xludf.DUMMYFUNCTION("""COMPUTED_VALUE"""),"sp.")</f>
        <v>sp.</v>
      </c>
      <c r="E3988" t="str">
        <f>IFERROR(__xludf.DUMMYFUNCTION("""COMPUTED_VALUE"""),"KCTC")</f>
        <v>KCTC</v>
      </c>
      <c r="F3988">
        <f>IFERROR(__xludf.DUMMYFUNCTION("""COMPUTED_VALUE"""),42545.0)</f>
        <v>42545</v>
      </c>
    </row>
    <row r="3989" ht="15.75" customHeight="1">
      <c r="A3989" t="str">
        <f t="shared" si="1"/>
        <v>P.atrosepticum</v>
      </c>
      <c r="B3989" s="5" t="s">
        <v>23824</v>
      </c>
      <c r="C3989" s="6" t="str">
        <f>IFERROR(__xludf.DUMMYFUNCTION("SPLIT('2. c'!B3989, "" "", True, True)"),"Pectobacterium")</f>
        <v>Pectobacterium</v>
      </c>
      <c r="D3989" t="str">
        <f>IFERROR(__xludf.DUMMYFUNCTION("""COMPUTED_VALUE"""),"atrosepticum")</f>
        <v>atrosepticum</v>
      </c>
      <c r="E3989" t="str">
        <f>IFERROR(__xludf.DUMMYFUNCTION("""COMPUTED_VALUE"""),"SCRI1043")</f>
        <v>SCRI1043</v>
      </c>
    </row>
    <row r="3990" ht="15.75" customHeight="1">
      <c r="A3990" t="str">
        <f t="shared" si="1"/>
        <v>P.atrosepticum</v>
      </c>
      <c r="B3990" s="5" t="s">
        <v>23834</v>
      </c>
      <c r="C3990" s="6" t="str">
        <f>IFERROR(__xludf.DUMMYFUNCTION("SPLIT('2. c'!B3990, "" "", True, True)"),"Pectobacterium")</f>
        <v>Pectobacterium</v>
      </c>
      <c r="D3990" t="str">
        <f>IFERROR(__xludf.DUMMYFUNCTION("""COMPUTED_VALUE"""),"atrosepticum")</f>
        <v>atrosepticum</v>
      </c>
      <c r="E3990" t="str">
        <f>IFERROR(__xludf.DUMMYFUNCTION("""COMPUTED_VALUE"""),"strain")</f>
        <v>strain</v>
      </c>
      <c r="F3990" t="str">
        <f>IFERROR(__xludf.DUMMYFUNCTION("""COMPUTED_VALUE"""),"21a")</f>
        <v>21a</v>
      </c>
    </row>
    <row r="3991" ht="15.75" customHeight="1">
      <c r="A3991" t="str">
        <f t="shared" si="1"/>
        <v>P.atrosepticum</v>
      </c>
      <c r="B3991" s="5" t="s">
        <v>23843</v>
      </c>
      <c r="C3991" s="6" t="str">
        <f>IFERROR(__xludf.DUMMYFUNCTION("SPLIT('2. c'!B3991, "" "", True, True)"),"Pectobacterium")</f>
        <v>Pectobacterium</v>
      </c>
      <c r="D3991" t="str">
        <f>IFERROR(__xludf.DUMMYFUNCTION("""COMPUTED_VALUE"""),"atrosepticum")</f>
        <v>atrosepticum</v>
      </c>
      <c r="E3991" t="str">
        <f>IFERROR(__xludf.DUMMYFUNCTION("""COMPUTED_VALUE"""),"strain")</f>
        <v>strain</v>
      </c>
      <c r="F3991" t="str">
        <f>IFERROR(__xludf.DUMMYFUNCTION("""COMPUTED_VALUE"""),"JG10-08")</f>
        <v>JG10-08</v>
      </c>
    </row>
    <row r="3992" ht="15.75" customHeight="1">
      <c r="A3992" t="str">
        <f t="shared" si="1"/>
        <v>P.carotovorum</v>
      </c>
      <c r="B3992" s="5" t="s">
        <v>23852</v>
      </c>
      <c r="C3992" s="6" t="str">
        <f>IFERROR(__xludf.DUMMYFUNCTION("SPLIT('2. c'!B3992, "" "", True, True)"),"Pectobacterium")</f>
        <v>Pectobacterium</v>
      </c>
      <c r="D3992" t="str">
        <f>IFERROR(__xludf.DUMMYFUNCTION("""COMPUTED_VALUE"""),"carotovorum")</f>
        <v>carotovorum</v>
      </c>
      <c r="E3992" t="str">
        <f>IFERROR(__xludf.DUMMYFUNCTION("""COMPUTED_VALUE"""),"subsp.")</f>
        <v>subsp.</v>
      </c>
      <c r="F3992" t="str">
        <f>IFERROR(__xludf.DUMMYFUNCTION("""COMPUTED_VALUE"""),"carotovorum")</f>
        <v>carotovorum</v>
      </c>
      <c r="G3992" t="str">
        <f>IFERROR(__xludf.DUMMYFUNCTION("""COMPUTED_VALUE"""),"PC1")</f>
        <v>PC1</v>
      </c>
    </row>
    <row r="3993" ht="15.75" customHeight="1">
      <c r="A3993" t="str">
        <f t="shared" si="1"/>
        <v>P.carotovorum</v>
      </c>
      <c r="B3993" s="5" t="s">
        <v>23862</v>
      </c>
      <c r="C3993" s="6" t="str">
        <f>IFERROR(__xludf.DUMMYFUNCTION("SPLIT('2. c'!B3993, "" "", True, True)"),"Pectobacterium")</f>
        <v>Pectobacterium</v>
      </c>
      <c r="D3993" t="str">
        <f>IFERROR(__xludf.DUMMYFUNCTION("""COMPUTED_VALUE"""),"carotovorum")</f>
        <v>carotovorum</v>
      </c>
      <c r="E3993" t="str">
        <f>IFERROR(__xludf.DUMMYFUNCTION("""COMPUTED_VALUE"""),"subsp.")</f>
        <v>subsp.</v>
      </c>
      <c r="F3993" t="str">
        <f>IFERROR(__xludf.DUMMYFUNCTION("""COMPUTED_VALUE"""),"carotovorum")</f>
        <v>carotovorum</v>
      </c>
      <c r="G3993" t="str">
        <f>IFERROR(__xludf.DUMMYFUNCTION("""COMPUTED_VALUE"""),"PCC21")</f>
        <v>PCC21</v>
      </c>
    </row>
    <row r="3994" ht="15.75" customHeight="1">
      <c r="A3994" t="str">
        <f t="shared" si="1"/>
        <v>P.carotovorum</v>
      </c>
      <c r="B3994" s="5" t="s">
        <v>23875</v>
      </c>
      <c r="C3994" s="6" t="str">
        <f>IFERROR(__xludf.DUMMYFUNCTION("SPLIT('2. c'!B3994, "" "", True, True)"),"Pectobacterium")</f>
        <v>Pectobacterium</v>
      </c>
      <c r="D3994" t="str">
        <f>IFERROR(__xludf.DUMMYFUNCTION("""COMPUTED_VALUE"""),"carotovorum")</f>
        <v>carotovorum</v>
      </c>
      <c r="E3994" t="str">
        <f>IFERROR(__xludf.DUMMYFUNCTION("""COMPUTED_VALUE"""),"subsp.")</f>
        <v>subsp.</v>
      </c>
      <c r="F3994" t="str">
        <f>IFERROR(__xludf.DUMMYFUNCTION("""COMPUTED_VALUE"""),"odoriferum")</f>
        <v>odoriferum</v>
      </c>
      <c r="G3994" t="str">
        <f>IFERROR(__xludf.DUMMYFUNCTION("""COMPUTED_VALUE"""),"strain")</f>
        <v>strain</v>
      </c>
      <c r="H3994" t="str">
        <f>IFERROR(__xludf.DUMMYFUNCTION("""COMPUTED_VALUE"""),"BC")</f>
        <v>BC</v>
      </c>
      <c r="I3994" t="str">
        <f>IFERROR(__xludf.DUMMYFUNCTION("""COMPUTED_VALUE"""),"S7")</f>
        <v>S7</v>
      </c>
    </row>
    <row r="3995" ht="15.75" customHeight="1">
      <c r="A3995" t="str">
        <f t="shared" si="1"/>
        <v>P.sp.</v>
      </c>
      <c r="B3995" s="5" t="s">
        <v>23887</v>
      </c>
      <c r="C3995" s="6" t="str">
        <f>IFERROR(__xludf.DUMMYFUNCTION("SPLIT('2. c'!B3995, "" "", True, True)"),"Pectobacterium")</f>
        <v>Pectobacterium</v>
      </c>
      <c r="D3995" t="str">
        <f>IFERROR(__xludf.DUMMYFUNCTION("""COMPUTED_VALUE"""),"sp.")</f>
        <v>sp.</v>
      </c>
      <c r="E3995" t="str">
        <f>IFERROR(__xludf.DUMMYFUNCTION("""COMPUTED_VALUE"""),"SCC3193")</f>
        <v>SCC3193</v>
      </c>
    </row>
    <row r="3996" ht="15.75" customHeight="1">
      <c r="A3996" t="str">
        <f t="shared" si="1"/>
        <v>P.wasabiae</v>
      </c>
      <c r="B3996" s="5" t="s">
        <v>23900</v>
      </c>
      <c r="C3996" s="6" t="str">
        <f>IFERROR(__xludf.DUMMYFUNCTION("SPLIT('2. c'!B3996, "" "", True, True)"),"Pectobacterium")</f>
        <v>Pectobacterium</v>
      </c>
      <c r="D3996" t="str">
        <f>IFERROR(__xludf.DUMMYFUNCTION("""COMPUTED_VALUE"""),"wasabiae")</f>
        <v>wasabiae</v>
      </c>
      <c r="E3996" t="str">
        <f>IFERROR(__xludf.DUMMYFUNCTION("""COMPUTED_VALUE"""),"WPP163")</f>
        <v>WPP163</v>
      </c>
    </row>
    <row r="3997" ht="15.75" customHeight="1">
      <c r="A3997" t="str">
        <f t="shared" si="1"/>
        <v>P.claussenii</v>
      </c>
      <c r="B3997" s="5" t="s">
        <v>23912</v>
      </c>
      <c r="C3997" s="6" t="str">
        <f>IFERROR(__xludf.DUMMYFUNCTION("SPLIT('2. c'!B3997, "" "", True, True)"),"Pediococcus")</f>
        <v>Pediococcus</v>
      </c>
      <c r="D3997" t="str">
        <f>IFERROR(__xludf.DUMMYFUNCTION("""COMPUTED_VALUE"""),"claussenii")</f>
        <v>claussenii</v>
      </c>
      <c r="E3997" t="str">
        <f>IFERROR(__xludf.DUMMYFUNCTION("""COMPUTED_VALUE"""),"ATCC")</f>
        <v>ATCC</v>
      </c>
      <c r="F3997" t="str">
        <f>IFERROR(__xludf.DUMMYFUNCTION("""COMPUTED_VALUE"""),"BAA-344")</f>
        <v>BAA-344</v>
      </c>
    </row>
    <row r="3998" ht="15.75" customHeight="1">
      <c r="A3998" t="str">
        <f t="shared" si="1"/>
        <v>P.damnosus</v>
      </c>
      <c r="B3998" s="5" t="s">
        <v>23919</v>
      </c>
      <c r="C3998" s="6" t="str">
        <f>IFERROR(__xludf.DUMMYFUNCTION("SPLIT('2. c'!B3998, "" "", True, True)"),"Pediococcus")</f>
        <v>Pediococcus</v>
      </c>
      <c r="D3998" t="str">
        <f>IFERROR(__xludf.DUMMYFUNCTION("""COMPUTED_VALUE"""),"damnosus")</f>
        <v>damnosus</v>
      </c>
      <c r="E3998" t="str">
        <f>IFERROR(__xludf.DUMMYFUNCTION("""COMPUTED_VALUE"""),"strain")</f>
        <v>strain</v>
      </c>
      <c r="F3998" t="str">
        <f>IFERROR(__xludf.DUMMYFUNCTION("""COMPUTED_VALUE"""),"TMW")</f>
        <v>TMW</v>
      </c>
      <c r="G3998" s="14">
        <f>IFERROR(__xludf.DUMMYFUNCTION("""COMPUTED_VALUE"""),-134377.0)</f>
        <v>-134377</v>
      </c>
    </row>
    <row r="3999" ht="15.75" customHeight="1">
      <c r="A3999" t="str">
        <f t="shared" si="1"/>
        <v>P.damnosus</v>
      </c>
      <c r="B3999" s="5" t="s">
        <v>23934</v>
      </c>
      <c r="C3999" s="6" t="str">
        <f>IFERROR(__xludf.DUMMYFUNCTION("SPLIT('2. c'!B3999, "" "", True, True)"),"Pediococcus")</f>
        <v>Pediococcus</v>
      </c>
      <c r="D3999" t="str">
        <f>IFERROR(__xludf.DUMMYFUNCTION("""COMPUTED_VALUE"""),"damnosus")</f>
        <v>damnosus</v>
      </c>
      <c r="E3999" t="str">
        <f>IFERROR(__xludf.DUMMYFUNCTION("""COMPUTED_VALUE"""),"strain")</f>
        <v>strain</v>
      </c>
      <c r="F3999" t="str">
        <f>IFERROR(__xludf.DUMMYFUNCTION("""COMPUTED_VALUE"""),"TMW")</f>
        <v>TMW</v>
      </c>
      <c r="G3999" s="14">
        <f>IFERROR(__xludf.DUMMYFUNCTION("""COMPUTED_VALUE"""),-134011.0)</f>
        <v>-134011</v>
      </c>
    </row>
    <row r="4000" ht="15.75" customHeight="1">
      <c r="A4000" t="str">
        <f t="shared" si="1"/>
        <v>P.damnosus</v>
      </c>
      <c r="B4000" s="5" t="s">
        <v>23948</v>
      </c>
      <c r="C4000" s="6" t="str">
        <f>IFERROR(__xludf.DUMMYFUNCTION("SPLIT('2. c'!B4000, "" "", True, True)"),"Pediococcus")</f>
        <v>Pediococcus</v>
      </c>
      <c r="D4000" t="str">
        <f>IFERROR(__xludf.DUMMYFUNCTION("""COMPUTED_VALUE"""),"damnosus")</f>
        <v>damnosus</v>
      </c>
      <c r="E4000" t="str">
        <f>IFERROR(__xludf.DUMMYFUNCTION("""COMPUTED_VALUE"""),"strain")</f>
        <v>strain</v>
      </c>
      <c r="F4000" t="str">
        <f>IFERROR(__xludf.DUMMYFUNCTION("""COMPUTED_VALUE"""),"TMW")</f>
        <v>TMW</v>
      </c>
      <c r="G4000" s="14">
        <f>IFERROR(__xludf.DUMMYFUNCTION("""COMPUTED_VALUE"""),-133646.0)</f>
        <v>-133646</v>
      </c>
    </row>
    <row r="4001" ht="15.75" customHeight="1">
      <c r="A4001" t="str">
        <f t="shared" si="1"/>
        <v>P.damnosus</v>
      </c>
      <c r="B4001" s="5" t="s">
        <v>23963</v>
      </c>
      <c r="C4001" s="6" t="str">
        <f>IFERROR(__xludf.DUMMYFUNCTION("SPLIT('2. c'!B4001, "" "", True, True)"),"Pediococcus")</f>
        <v>Pediococcus</v>
      </c>
      <c r="D4001" t="str">
        <f>IFERROR(__xludf.DUMMYFUNCTION("""COMPUTED_VALUE"""),"damnosus")</f>
        <v>damnosus</v>
      </c>
      <c r="E4001" t="str">
        <f>IFERROR(__xludf.DUMMYFUNCTION("""COMPUTED_VALUE"""),"strain")</f>
        <v>strain</v>
      </c>
      <c r="F4001" t="str">
        <f>IFERROR(__xludf.DUMMYFUNCTION("""COMPUTED_VALUE"""),"TMW")</f>
        <v>TMW</v>
      </c>
      <c r="G4001" s="14">
        <f>IFERROR(__xludf.DUMMYFUNCTION("""COMPUTED_VALUE"""),-133281.0)</f>
        <v>-133281</v>
      </c>
    </row>
    <row r="4002" ht="15.75" customHeight="1">
      <c r="A4002" t="str">
        <f t="shared" si="1"/>
        <v>P.damnosus</v>
      </c>
      <c r="B4002" s="5" t="s">
        <v>23977</v>
      </c>
      <c r="C4002" s="6" t="str">
        <f>IFERROR(__xludf.DUMMYFUNCTION("SPLIT('2. c'!B4002, "" "", True, True)"),"Pediococcus")</f>
        <v>Pediococcus</v>
      </c>
      <c r="D4002" t="str">
        <f>IFERROR(__xludf.DUMMYFUNCTION("""COMPUTED_VALUE"""),"damnosus")</f>
        <v>damnosus</v>
      </c>
      <c r="E4002" t="str">
        <f>IFERROR(__xludf.DUMMYFUNCTION("""COMPUTED_VALUE"""),"strain")</f>
        <v>strain</v>
      </c>
      <c r="F4002" t="str">
        <f>IFERROR(__xludf.DUMMYFUNCTION("""COMPUTED_VALUE"""),"TMW")</f>
        <v>TMW</v>
      </c>
      <c r="G4002" s="14">
        <f>IFERROR(__xludf.DUMMYFUNCTION("""COMPUTED_VALUE"""),-132916.0)</f>
        <v>-132916</v>
      </c>
    </row>
    <row r="4003" ht="15.75" customHeight="1">
      <c r="A4003" t="str">
        <f t="shared" si="1"/>
        <v>P.pentosaceus</v>
      </c>
      <c r="B4003" s="5" t="s">
        <v>23990</v>
      </c>
      <c r="C4003" s="6" t="str">
        <f>IFERROR(__xludf.DUMMYFUNCTION("SPLIT('2. c'!B4003, "" "", True, True)"),"Pediococcus")</f>
        <v>Pediococcus</v>
      </c>
      <c r="D4003" t="str">
        <f>IFERROR(__xludf.DUMMYFUNCTION("""COMPUTED_VALUE"""),"pentosaceus")</f>
        <v>pentosaceus</v>
      </c>
      <c r="E4003" t="str">
        <f>IFERROR(__xludf.DUMMYFUNCTION("""COMPUTED_VALUE"""),"ATCC")</f>
        <v>ATCC</v>
      </c>
      <c r="F4003">
        <f>IFERROR(__xludf.DUMMYFUNCTION("""COMPUTED_VALUE"""),25745.0)</f>
        <v>25745</v>
      </c>
    </row>
    <row r="4004" ht="15.75" customHeight="1">
      <c r="A4004" t="str">
        <f t="shared" si="1"/>
        <v>P.pentosaceus</v>
      </c>
      <c r="B4004" s="5" t="s">
        <v>24006</v>
      </c>
      <c r="C4004" s="6" t="str">
        <f>IFERROR(__xludf.DUMMYFUNCTION("SPLIT('2. c'!B4004, "" "", True, True)"),"Pediococcus")</f>
        <v>Pediococcus</v>
      </c>
      <c r="D4004" t="str">
        <f>IFERROR(__xludf.DUMMYFUNCTION("""COMPUTED_VALUE"""),"pentosaceus")</f>
        <v>pentosaceus</v>
      </c>
      <c r="E4004" t="str">
        <f>IFERROR(__xludf.DUMMYFUNCTION("""COMPUTED_VALUE"""),"SL4")</f>
        <v>SL4</v>
      </c>
    </row>
    <row r="4005" ht="15.75" customHeight="1">
      <c r="A4005" t="str">
        <f t="shared" si="1"/>
        <v>P.cryoconitis</v>
      </c>
      <c r="B4005" s="5" t="s">
        <v>24016</v>
      </c>
      <c r="C4005" s="6" t="str">
        <f>IFERROR(__xludf.DUMMYFUNCTION("SPLIT('2. c'!B4005, "" "", True, True)"),"Pedobacter")</f>
        <v>Pedobacter</v>
      </c>
      <c r="D4005" t="str">
        <f>IFERROR(__xludf.DUMMYFUNCTION("""COMPUTED_VALUE"""),"cryoconitis")</f>
        <v>cryoconitis</v>
      </c>
      <c r="E4005" t="str">
        <f>IFERROR(__xludf.DUMMYFUNCTION("""COMPUTED_VALUE"""),"strain")</f>
        <v>strain</v>
      </c>
      <c r="F4005" t="str">
        <f>IFERROR(__xludf.DUMMYFUNCTION("""COMPUTED_VALUE"""),"PAMC")</f>
        <v>PAMC</v>
      </c>
      <c r="G4005">
        <f>IFERROR(__xludf.DUMMYFUNCTION("""COMPUTED_VALUE"""),27485.0)</f>
        <v>27485</v>
      </c>
    </row>
    <row r="4006" ht="15.75" customHeight="1">
      <c r="A4006" t="str">
        <f t="shared" si="1"/>
        <v>P.heparinus</v>
      </c>
      <c r="B4006" s="5" t="s">
        <v>24026</v>
      </c>
      <c r="C4006" s="6" t="str">
        <f>IFERROR(__xludf.DUMMYFUNCTION("SPLIT('2. c'!B4006, "" "", True, True)"),"Pedobacter")</f>
        <v>Pedobacter</v>
      </c>
      <c r="D4006" t="str">
        <f>IFERROR(__xludf.DUMMYFUNCTION("""COMPUTED_VALUE"""),"heparinus")</f>
        <v>heparinus</v>
      </c>
      <c r="E4006" t="str">
        <f>IFERROR(__xludf.DUMMYFUNCTION("""COMPUTED_VALUE"""),"DSM")</f>
        <v>DSM</v>
      </c>
      <c r="F4006">
        <f>IFERROR(__xludf.DUMMYFUNCTION("""COMPUTED_VALUE"""),2366.0)</f>
        <v>2366</v>
      </c>
    </row>
    <row r="4007" ht="15.75" customHeight="1">
      <c r="A4007" t="str">
        <f t="shared" si="1"/>
        <v>P.saltans</v>
      </c>
      <c r="B4007" s="5" t="s">
        <v>24035</v>
      </c>
      <c r="C4007" s="6" t="str">
        <f>IFERROR(__xludf.DUMMYFUNCTION("SPLIT('2. c'!B4007, "" "", True, True)"),"Pedobacter")</f>
        <v>Pedobacter</v>
      </c>
      <c r="D4007" t="str">
        <f>IFERROR(__xludf.DUMMYFUNCTION("""COMPUTED_VALUE"""),"saltans")</f>
        <v>saltans</v>
      </c>
      <c r="E4007" t="str">
        <f>IFERROR(__xludf.DUMMYFUNCTION("""COMPUTED_VALUE"""),"DSM")</f>
        <v>DSM</v>
      </c>
      <c r="F4007">
        <f>IFERROR(__xludf.DUMMYFUNCTION("""COMPUTED_VALUE"""),12145.0)</f>
        <v>12145</v>
      </c>
    </row>
    <row r="4008" ht="15.75" customHeight="1">
      <c r="A4008" t="str">
        <f t="shared" si="1"/>
        <v>P.sp.</v>
      </c>
      <c r="B4008" s="5" t="s">
        <v>24046</v>
      </c>
      <c r="C4008" s="6" t="str">
        <f>IFERROR(__xludf.DUMMYFUNCTION("SPLIT('2. c'!B4008, "" "", True, True)"),"Pedobacter")</f>
        <v>Pedobacter</v>
      </c>
      <c r="D4008" t="str">
        <f>IFERROR(__xludf.DUMMYFUNCTION("""COMPUTED_VALUE"""),"sp.")</f>
        <v>sp.</v>
      </c>
      <c r="E4008" t="str">
        <f>IFERROR(__xludf.DUMMYFUNCTION("""COMPUTED_VALUE"""),"PACM")</f>
        <v>PACM</v>
      </c>
      <c r="F4008">
        <f>IFERROR(__xludf.DUMMYFUNCTION("""COMPUTED_VALUE"""),27299.0)</f>
        <v>27299</v>
      </c>
    </row>
    <row r="4009" ht="15.75" customHeight="1">
      <c r="A4009" t="str">
        <f t="shared" si="1"/>
        <v>P.halotolerans</v>
      </c>
      <c r="B4009" s="5" t="s">
        <v>24059</v>
      </c>
      <c r="C4009" s="6" t="str">
        <f>IFERROR(__xludf.DUMMYFUNCTION("SPLIT('2. c'!B4009, "" "", True, True)"),"Pelagibacterium")</f>
        <v>Pelagibacterium</v>
      </c>
      <c r="D4009" t="str">
        <f>IFERROR(__xludf.DUMMYFUNCTION("""COMPUTED_VALUE"""),"halotolerans")</f>
        <v>halotolerans</v>
      </c>
      <c r="E4009" t="str">
        <f>IFERROR(__xludf.DUMMYFUNCTION("""COMPUTED_VALUE"""),"B2")</f>
        <v>B2</v>
      </c>
    </row>
    <row r="4010" ht="15.75" customHeight="1">
      <c r="A4010" t="str">
        <f t="shared" si="1"/>
        <v>P.carbinolicus</v>
      </c>
      <c r="B4010" s="5" t="s">
        <v>24073</v>
      </c>
      <c r="C4010" s="6" t="str">
        <f>IFERROR(__xludf.DUMMYFUNCTION("SPLIT('2. c'!B4010, "" "", True, True)"),"Pelobacter")</f>
        <v>Pelobacter</v>
      </c>
      <c r="D4010" t="str">
        <f>IFERROR(__xludf.DUMMYFUNCTION("""COMPUTED_VALUE"""),"carbinolicus")</f>
        <v>carbinolicus</v>
      </c>
      <c r="E4010" t="str">
        <f>IFERROR(__xludf.DUMMYFUNCTION("""COMPUTED_VALUE"""),"DSM")</f>
        <v>DSM</v>
      </c>
      <c r="F4010">
        <f>IFERROR(__xludf.DUMMYFUNCTION("""COMPUTED_VALUE"""),2380.0)</f>
        <v>2380</v>
      </c>
    </row>
    <row r="4011" ht="15.75" customHeight="1">
      <c r="A4011" t="str">
        <f t="shared" si="1"/>
        <v>P.propionicus</v>
      </c>
      <c r="B4011" s="5" t="s">
        <v>24086</v>
      </c>
      <c r="C4011" s="6" t="str">
        <f>IFERROR(__xludf.DUMMYFUNCTION("SPLIT('2. c'!B4011, "" "", True, True)"),"Pelobacter")</f>
        <v>Pelobacter</v>
      </c>
      <c r="D4011" t="str">
        <f>IFERROR(__xludf.DUMMYFUNCTION("""COMPUTED_VALUE"""),"propionicus")</f>
        <v>propionicus</v>
      </c>
      <c r="E4011" t="str">
        <f>IFERROR(__xludf.DUMMYFUNCTION("""COMPUTED_VALUE"""),"DSM")</f>
        <v>DSM</v>
      </c>
      <c r="F4011">
        <f>IFERROR(__xludf.DUMMYFUNCTION("""COMPUTED_VALUE"""),2379.0)</f>
        <v>2379</v>
      </c>
    </row>
    <row r="4012" ht="15.75" customHeight="1">
      <c r="A4012" t="str">
        <f t="shared" si="1"/>
        <v>P.phaeoclathratiforme</v>
      </c>
      <c r="B4012" s="5" t="s">
        <v>24100</v>
      </c>
      <c r="C4012" s="6" t="str">
        <f>IFERROR(__xludf.DUMMYFUNCTION("SPLIT('2. c'!B4012, "" "", True, True)"),"Pelodictyon")</f>
        <v>Pelodictyon</v>
      </c>
      <c r="D4012" t="str">
        <f>IFERROR(__xludf.DUMMYFUNCTION("""COMPUTED_VALUE"""),"phaeoclathratiforme")</f>
        <v>phaeoclathratiforme</v>
      </c>
      <c r="E4012" t="str">
        <f>IFERROR(__xludf.DUMMYFUNCTION("""COMPUTED_VALUE"""),"BU-1")</f>
        <v>BU-1</v>
      </c>
    </row>
    <row r="4013" ht="15.75" customHeight="1">
      <c r="A4013" t="str">
        <f t="shared" si="1"/>
        <v>P.sp.</v>
      </c>
      <c r="B4013" s="5" t="s">
        <v>24114</v>
      </c>
      <c r="C4013" s="6" t="str">
        <f>IFERROR(__xludf.DUMMYFUNCTION("SPLIT('2. c'!B4013, "" "", True, True)"),"Pelosinus")</f>
        <v>Pelosinus</v>
      </c>
      <c r="D4013" t="str">
        <f>IFERROR(__xludf.DUMMYFUNCTION("""COMPUTED_VALUE"""),"sp.")</f>
        <v>sp.</v>
      </c>
      <c r="E4013" t="str">
        <f>IFERROR(__xludf.DUMMYFUNCTION("""COMPUTED_VALUE"""),"UFO1")</f>
        <v>UFO1</v>
      </c>
    </row>
    <row r="4014" ht="15.75" customHeight="1">
      <c r="A4014" t="str">
        <f t="shared" si="1"/>
        <v>P.thermopropionicum</v>
      </c>
      <c r="B4014" s="5" t="s">
        <v>24123</v>
      </c>
      <c r="C4014" s="6" t="str">
        <f>IFERROR(__xludf.DUMMYFUNCTION("SPLIT('2. c'!B4014, "" "", True, True)"),"Pelotomaculum")</f>
        <v>Pelotomaculum</v>
      </c>
      <c r="D4014" t="str">
        <f>IFERROR(__xludf.DUMMYFUNCTION("""COMPUTED_VALUE"""),"thermopropionicum")</f>
        <v>thermopropionicum</v>
      </c>
      <c r="E4014" t="str">
        <f>IFERROR(__xludf.DUMMYFUNCTION("""COMPUTED_VALUE"""),"SI")</f>
        <v>SI</v>
      </c>
    </row>
    <row r="4015" ht="15.75" customHeight="1">
      <c r="A4015" t="str">
        <f t="shared" si="1"/>
        <v>P.difficile</v>
      </c>
      <c r="B4015" s="5" t="s">
        <v>24131</v>
      </c>
      <c r="C4015" s="6" t="str">
        <f>IFERROR(__xludf.DUMMYFUNCTION("SPLIT('2. c'!B4015, "" "", True, True)"),"Peptoclostridium")</f>
        <v>Peptoclostridium</v>
      </c>
      <c r="D4015" t="str">
        <f>IFERROR(__xludf.DUMMYFUNCTION("""COMPUTED_VALUE"""),"difficile")</f>
        <v>difficile</v>
      </c>
      <c r="E4015">
        <f>IFERROR(__xludf.DUMMYFUNCTION("""COMPUTED_VALUE"""),630.0)</f>
        <v>630</v>
      </c>
    </row>
    <row r="4016" ht="15.75" customHeight="1">
      <c r="A4016" t="str">
        <f t="shared" si="1"/>
        <v>P.difficile</v>
      </c>
      <c r="B4016" s="5" t="s">
        <v>24142</v>
      </c>
      <c r="C4016" s="6" t="str">
        <f>IFERROR(__xludf.DUMMYFUNCTION("SPLIT('2. c'!B4016, "" "", True, True)"),"Peptoclostridium")</f>
        <v>Peptoclostridium</v>
      </c>
      <c r="D4016" t="str">
        <f>IFERROR(__xludf.DUMMYFUNCTION("""COMPUTED_VALUE"""),"difficile")</f>
        <v>difficile</v>
      </c>
      <c r="E4016" t="str">
        <f>IFERROR(__xludf.DUMMYFUNCTION("""COMPUTED_VALUE"""),"ATCC")</f>
        <v>ATCC</v>
      </c>
      <c r="F4016">
        <f>IFERROR(__xludf.DUMMYFUNCTION("""COMPUTED_VALUE"""),9689.0)</f>
        <v>9689</v>
      </c>
      <c r="G4016" t="str">
        <f>IFERROR(__xludf.DUMMYFUNCTION("""COMPUTED_VALUE"""),"=")</f>
        <v>=</v>
      </c>
      <c r="H4016" t="str">
        <f>IFERROR(__xludf.DUMMYFUNCTION("""COMPUTED_VALUE"""),"DSM")</f>
        <v>DSM</v>
      </c>
      <c r="I4016">
        <f>IFERROR(__xludf.DUMMYFUNCTION("""COMPUTED_VALUE"""),1296.0)</f>
        <v>1296</v>
      </c>
    </row>
    <row r="4017" ht="15.75" customHeight="1">
      <c r="A4017" t="str">
        <f t="shared" si="1"/>
        <v>P.difficile</v>
      </c>
      <c r="B4017" s="5" t="s">
        <v>24154</v>
      </c>
      <c r="C4017" s="6" t="str">
        <f>IFERROR(__xludf.DUMMYFUNCTION("SPLIT('2. c'!B4017, "" "", True, True)"),"Peptoclostridium")</f>
        <v>Peptoclostridium</v>
      </c>
      <c r="D4017" t="str">
        <f>IFERROR(__xludf.DUMMYFUNCTION("""COMPUTED_VALUE"""),"difficile")</f>
        <v>difficile</v>
      </c>
      <c r="E4017" t="str">
        <f>IFERROR(__xludf.DUMMYFUNCTION("""COMPUTED_VALUE"""),"BI9")</f>
        <v>BI9</v>
      </c>
    </row>
    <row r="4018" ht="15.75" customHeight="1">
      <c r="A4018" t="str">
        <f t="shared" si="1"/>
        <v>P.difficile</v>
      </c>
      <c r="B4018" s="5" t="s">
        <v>24162</v>
      </c>
      <c r="C4018" s="6" t="str">
        <f>IFERROR(__xludf.DUMMYFUNCTION("SPLIT('2. c'!B4018, "" "", True, True)"),"Peptoclostridium")</f>
        <v>Peptoclostridium</v>
      </c>
      <c r="D4018" t="str">
        <f>IFERROR(__xludf.DUMMYFUNCTION("""COMPUTED_VALUE"""),"difficile")</f>
        <v>difficile</v>
      </c>
      <c r="E4018" t="str">
        <f>IFERROR(__xludf.DUMMYFUNCTION("""COMPUTED_VALUE"""),"BJ08")</f>
        <v>BJ08</v>
      </c>
    </row>
    <row r="4019" ht="15.75" customHeight="1">
      <c r="A4019" t="str">
        <f t="shared" si="1"/>
        <v>P.difficile</v>
      </c>
      <c r="B4019" s="5" t="s">
        <v>24170</v>
      </c>
      <c r="C4019" s="6" t="str">
        <f>IFERROR(__xludf.DUMMYFUNCTION("SPLIT('2. c'!B4019, "" "", True, True)"),"Peptoclostridium")</f>
        <v>Peptoclostridium</v>
      </c>
      <c r="D4019" t="str">
        <f>IFERROR(__xludf.DUMMYFUNCTION("""COMPUTED_VALUE"""),"difficile")</f>
        <v>difficile</v>
      </c>
      <c r="E4019" t="str">
        <f>IFERROR(__xludf.DUMMYFUNCTION("""COMPUTED_VALUE"""),"strain")</f>
        <v>strain</v>
      </c>
      <c r="F4019" t="str">
        <f>IFERROR(__xludf.DUMMYFUNCTION("""COMPUTED_VALUE"""),"08ACD0030")</f>
        <v>08ACD0030</v>
      </c>
    </row>
    <row r="4020" ht="15.75" customHeight="1">
      <c r="A4020" t="str">
        <f t="shared" si="1"/>
        <v>P.difficile</v>
      </c>
      <c r="B4020" s="5" t="s">
        <v>24179</v>
      </c>
      <c r="C4020" s="6" t="str">
        <f>IFERROR(__xludf.DUMMYFUNCTION("SPLIT('2. c'!B4020, "" "", True, True)"),"Peptoclostridium")</f>
        <v>Peptoclostridium</v>
      </c>
      <c r="D4020" t="str">
        <f>IFERROR(__xludf.DUMMYFUNCTION("""COMPUTED_VALUE"""),"difficile")</f>
        <v>difficile</v>
      </c>
      <c r="E4020" t="str">
        <f>IFERROR(__xludf.DUMMYFUNCTION("""COMPUTED_VALUE"""),"strain")</f>
        <v>strain</v>
      </c>
      <c r="F4020">
        <f>IFERROR(__xludf.DUMMYFUNCTION("""COMPUTED_VALUE"""),630.0)</f>
        <v>630</v>
      </c>
      <c r="G4020" t="str">
        <f>IFERROR(__xludf.DUMMYFUNCTION("""COMPUTED_VALUE"""),"delta")</f>
        <v>delta</v>
      </c>
      <c r="H4020" t="str">
        <f>IFERROR(__xludf.DUMMYFUNCTION("""COMPUTED_VALUE"""),"erm")</f>
        <v>erm</v>
      </c>
    </row>
    <row r="4021" ht="15.75" customHeight="1">
      <c r="A4021" t="str">
        <f t="shared" si="1"/>
        <v>P.difficile</v>
      </c>
      <c r="B4021" s="5" t="s">
        <v>24188</v>
      </c>
      <c r="C4021" s="6" t="str">
        <f>IFERROR(__xludf.DUMMYFUNCTION("SPLIT('2. c'!B4021, "" "", True, True)"),"Peptoclostridium")</f>
        <v>Peptoclostridium</v>
      </c>
      <c r="D4021" t="str">
        <f>IFERROR(__xludf.DUMMYFUNCTION("""COMPUTED_VALUE"""),"difficile")</f>
        <v>difficile</v>
      </c>
      <c r="E4021" t="str">
        <f>IFERROR(__xludf.DUMMYFUNCTION("""COMPUTED_VALUE"""),"strain")</f>
        <v>strain</v>
      </c>
      <c r="F4021" t="str">
        <f>IFERROR(__xludf.DUMMYFUNCTION("""COMPUTED_VALUE"""),"G46")</f>
        <v>G46</v>
      </c>
    </row>
    <row r="4022" ht="15.75" customHeight="1">
      <c r="A4022" t="str">
        <f t="shared" si="1"/>
        <v>P.difficile</v>
      </c>
      <c r="B4022" s="5" t="s">
        <v>24196</v>
      </c>
      <c r="C4022" s="6" t="str">
        <f>IFERROR(__xludf.DUMMYFUNCTION("SPLIT('2. c'!B4022, "" "", True, True)"),"Peptoclostridium")</f>
        <v>Peptoclostridium</v>
      </c>
      <c r="D4022" t="str">
        <f>IFERROR(__xludf.DUMMYFUNCTION("""COMPUTED_VALUE"""),"difficile")</f>
        <v>difficile</v>
      </c>
      <c r="E4022" t="str">
        <f>IFERROR(__xludf.DUMMYFUNCTION("""COMPUTED_VALUE"""),"strain")</f>
        <v>strain</v>
      </c>
      <c r="F4022" t="str">
        <f>IFERROR(__xludf.DUMMYFUNCTION("""COMPUTED_VALUE"""),"NCTC13307")</f>
        <v>NCTC13307</v>
      </c>
    </row>
    <row r="4023" ht="15.75" customHeight="1">
      <c r="A4023" t="str">
        <f t="shared" si="1"/>
        <v>P.difficile</v>
      </c>
      <c r="B4023" s="5" t="s">
        <v>24205</v>
      </c>
      <c r="C4023" s="6" t="str">
        <f>IFERROR(__xludf.DUMMYFUNCTION("SPLIT('2. c'!B4023, "" "", True, True)"),"Peptoclostridium")</f>
        <v>Peptoclostridium</v>
      </c>
      <c r="D4023" t="str">
        <f>IFERROR(__xludf.DUMMYFUNCTION("""COMPUTED_VALUE"""),"difficile")</f>
        <v>difficile</v>
      </c>
      <c r="E4023" t="str">
        <f>IFERROR(__xludf.DUMMYFUNCTION("""COMPUTED_VALUE"""),"strain")</f>
        <v>strain</v>
      </c>
      <c r="F4023" t="str">
        <f>IFERROR(__xludf.DUMMYFUNCTION("""COMPUTED_VALUE"""),"Z31")</f>
        <v>Z31</v>
      </c>
    </row>
    <row r="4024" ht="15.75" customHeight="1">
      <c r="A4024" t="str">
        <f t="shared" si="1"/>
        <v>P.sp.</v>
      </c>
      <c r="B4024" s="5" t="s">
        <v>24212</v>
      </c>
      <c r="C4024" s="6" t="str">
        <f>IFERROR(__xludf.DUMMYFUNCTION("SPLIT('2. c'!B4024, "" "", True, True)"),"Peptoniphilus")</f>
        <v>Peptoniphilus</v>
      </c>
      <c r="D4024" t="str">
        <f>IFERROR(__xludf.DUMMYFUNCTION("""COMPUTED_VALUE"""),"sp.")</f>
        <v>sp.</v>
      </c>
      <c r="E4024" s="25">
        <f>IFERROR(__xludf.DUMMYFUNCTION("""COMPUTED_VALUE"""),43101.0)</f>
        <v>43101</v>
      </c>
      <c r="F4024" t="str">
        <f>IFERROR(__xludf.DUMMYFUNCTION("""COMPUTED_VALUE"""),"strain")</f>
        <v>strain</v>
      </c>
      <c r="G4024" t="str">
        <f>IFERROR(__xludf.DUMMYFUNCTION("""COMPUTED_VALUE"""),"ING2-D1G")</f>
        <v>ING2-D1G</v>
      </c>
    </row>
    <row r="4025" ht="15.75" customHeight="1">
      <c r="A4025" t="str">
        <f t="shared" si="1"/>
        <v>P.bacterium</v>
      </c>
      <c r="B4025" s="5" t="s">
        <v>24225</v>
      </c>
      <c r="C4025" s="6" t="str">
        <f>IFERROR(__xludf.DUMMYFUNCTION("SPLIT('2. c'!B4025, "" "", True, True)"),"Peregrinibacteria")</f>
        <v>Peregrinibacteria</v>
      </c>
      <c r="D4025" t="str">
        <f>IFERROR(__xludf.DUMMYFUNCTION("""COMPUTED_VALUE"""),"bacterium")</f>
        <v>bacterium</v>
      </c>
      <c r="E4025" t="str">
        <f>IFERROR(__xludf.DUMMYFUNCTION("""COMPUTED_VALUE"""),"RIFOXYA2_FULL_PER-ii_58_14")</f>
        <v>RIFOXYA2_FULL_PER-ii_58_14</v>
      </c>
    </row>
    <row r="4026" ht="15.75" customHeight="1">
      <c r="A4026" t="str">
        <f t="shared" si="1"/>
        <v>P.marina</v>
      </c>
      <c r="B4026" s="5" t="s">
        <v>24234</v>
      </c>
      <c r="C4026" s="6" t="str">
        <f>IFERROR(__xludf.DUMMYFUNCTION("SPLIT('2. c'!B4026, "" "", True, True)"),"Persephonella")</f>
        <v>Persephonella</v>
      </c>
      <c r="D4026" t="str">
        <f>IFERROR(__xludf.DUMMYFUNCTION("""COMPUTED_VALUE"""),"marina")</f>
        <v>marina</v>
      </c>
      <c r="E4026" t="str">
        <f>IFERROR(__xludf.DUMMYFUNCTION("""COMPUTED_VALUE"""),"EX-H1")</f>
        <v>EX-H1</v>
      </c>
    </row>
    <row r="4027" ht="15.75" customHeight="1">
      <c r="A4027" t="str">
        <f t="shared" si="1"/>
        <v>P.sp.</v>
      </c>
      <c r="B4027" s="5" t="s">
        <v>24241</v>
      </c>
      <c r="C4027" s="6" t="str">
        <f>IFERROR(__xludf.DUMMYFUNCTION("SPLIT('2. c'!B4027, "" "", True, True)"),"Persicobacter")</f>
        <v>Persicobacter</v>
      </c>
      <c r="D4027" t="str">
        <f>IFERROR(__xludf.DUMMYFUNCTION("""COMPUTED_VALUE"""),"sp.")</f>
        <v>sp.</v>
      </c>
      <c r="E4027" t="str">
        <f>IFERROR(__xludf.DUMMYFUNCTION("""COMPUTED_VALUE"""),"JZB09")</f>
        <v>JZB09</v>
      </c>
    </row>
    <row r="4028" ht="15.75" customHeight="1">
      <c r="A4028" t="str">
        <f t="shared" si="1"/>
        <v>P.mobilis</v>
      </c>
      <c r="B4028" s="5" t="s">
        <v>24251</v>
      </c>
      <c r="C4028" s="6" t="str">
        <f>IFERROR(__xludf.DUMMYFUNCTION("SPLIT('2. c'!B4028, "" "", True, True)"),"Petrotoga")</f>
        <v>Petrotoga</v>
      </c>
      <c r="D4028" t="str">
        <f>IFERROR(__xludf.DUMMYFUNCTION("""COMPUTED_VALUE"""),"mobilis")</f>
        <v>mobilis</v>
      </c>
      <c r="E4028" t="str">
        <f>IFERROR(__xludf.DUMMYFUNCTION("""COMPUTED_VALUE"""),"SJ95")</f>
        <v>SJ95</v>
      </c>
    </row>
    <row r="4029" ht="15.75" customHeight="1">
      <c r="A4029" t="str">
        <f t="shared" si="1"/>
        <v>P.gallaeciensis</v>
      </c>
      <c r="B4029" s="5" t="s">
        <v>24262</v>
      </c>
      <c r="C4029" s="6" t="str">
        <f>IFERROR(__xludf.DUMMYFUNCTION("SPLIT('2. c'!B4029, "" "", True, True)"),"Phaeobacter")</f>
        <v>Phaeobacter</v>
      </c>
      <c r="D4029" t="str">
        <f>IFERROR(__xludf.DUMMYFUNCTION("""COMPUTED_VALUE"""),"gallaeciensis")</f>
        <v>gallaeciensis</v>
      </c>
      <c r="E4029" t="str">
        <f>IFERROR(__xludf.DUMMYFUNCTION("""COMPUTED_VALUE"""),"DSM")</f>
        <v>DSM</v>
      </c>
      <c r="F4029">
        <f>IFERROR(__xludf.DUMMYFUNCTION("""COMPUTED_VALUE"""),26640.0)</f>
        <v>26640</v>
      </c>
    </row>
    <row r="4030" ht="15.75" customHeight="1">
      <c r="A4030" t="str">
        <f t="shared" si="1"/>
        <v>P.zucineum</v>
      </c>
      <c r="B4030" s="5" t="s">
        <v>24267</v>
      </c>
      <c r="C4030" s="6" t="str">
        <f>IFERROR(__xludf.DUMMYFUNCTION("SPLIT('2. c'!B4030, "" "", True, True)"),"Phenylobacterium")</f>
        <v>Phenylobacterium</v>
      </c>
      <c r="D4030" t="str">
        <f>IFERROR(__xludf.DUMMYFUNCTION("""COMPUTED_VALUE"""),"zucineum")</f>
        <v>zucineum</v>
      </c>
      <c r="E4030" t="str">
        <f>IFERROR(__xludf.DUMMYFUNCTION("""COMPUTED_VALUE"""),"HLK1")</f>
        <v>HLK1</v>
      </c>
    </row>
    <row r="4031" ht="15.75" customHeight="1">
      <c r="A4031" t="str">
        <f t="shared" si="1"/>
        <v>P.gaetbulicola</v>
      </c>
      <c r="B4031" s="5" t="s">
        <v>24277</v>
      </c>
      <c r="C4031" s="6" t="str">
        <f>IFERROR(__xludf.DUMMYFUNCTION("SPLIT('2. c'!B4031, "" "", True, True)"),"Photobacterium")</f>
        <v>Photobacterium</v>
      </c>
      <c r="D4031" t="str">
        <f>IFERROR(__xludf.DUMMYFUNCTION("""COMPUTED_VALUE"""),"gaetbulicola")</f>
        <v>gaetbulicola</v>
      </c>
      <c r="E4031" t="str">
        <f>IFERROR(__xludf.DUMMYFUNCTION("""COMPUTED_VALUE"""),"Gung47")</f>
        <v>Gung47</v>
      </c>
    </row>
    <row r="4032" ht="15.75" customHeight="1">
      <c r="A4032" t="str">
        <f t="shared" si="1"/>
        <v>P.profundum</v>
      </c>
      <c r="B4032" s="5" t="s">
        <v>24285</v>
      </c>
      <c r="C4032" s="6" t="str">
        <f>IFERROR(__xludf.DUMMYFUNCTION("SPLIT('2. c'!B4032, "" "", True, True)"),"Photobacterium")</f>
        <v>Photobacterium</v>
      </c>
      <c r="D4032" t="str">
        <f>IFERROR(__xludf.DUMMYFUNCTION("""COMPUTED_VALUE"""),"profundum")</f>
        <v>profundum</v>
      </c>
      <c r="E4032" t="str">
        <f>IFERROR(__xludf.DUMMYFUNCTION("""COMPUTED_VALUE"""),"SS9")</f>
        <v>SS9</v>
      </c>
    </row>
    <row r="4033" ht="15.75" customHeight="1">
      <c r="A4033" t="str">
        <f t="shared" si="1"/>
        <v>P.asymbiotica</v>
      </c>
      <c r="B4033" s="5" t="s">
        <v>24294</v>
      </c>
      <c r="C4033" s="6" t="str">
        <f>IFERROR(__xludf.DUMMYFUNCTION("SPLIT('2. c'!B4033, "" "", True, True)"),"Photorhabdus")</f>
        <v>Photorhabdus</v>
      </c>
      <c r="D4033" t="str">
        <f>IFERROR(__xludf.DUMMYFUNCTION("""COMPUTED_VALUE"""),"asymbiotica")</f>
        <v>asymbiotica</v>
      </c>
      <c r="E4033" t="str">
        <f>IFERROR(__xludf.DUMMYFUNCTION("""COMPUTED_VALUE"""),"strain")</f>
        <v>strain</v>
      </c>
      <c r="F4033" t="str">
        <f>IFERROR(__xludf.DUMMYFUNCTION("""COMPUTED_VALUE"""),"ATCC")</f>
        <v>ATCC</v>
      </c>
      <c r="G4033">
        <f>IFERROR(__xludf.DUMMYFUNCTION("""COMPUTED_VALUE"""),43949.0)</f>
        <v>43949</v>
      </c>
    </row>
    <row r="4034" ht="15.75" customHeight="1">
      <c r="A4034" t="str">
        <f t="shared" si="1"/>
        <v>P.luminescens</v>
      </c>
      <c r="B4034" s="5" t="s">
        <v>24304</v>
      </c>
      <c r="C4034" s="6" t="str">
        <f>IFERROR(__xludf.DUMMYFUNCTION("SPLIT('2. c'!B4034, "" "", True, True)"),"Photorhabdus")</f>
        <v>Photorhabdus</v>
      </c>
      <c r="D4034" t="str">
        <f>IFERROR(__xludf.DUMMYFUNCTION("""COMPUTED_VALUE"""),"luminescens")</f>
        <v>luminescens</v>
      </c>
      <c r="E4034" t="str">
        <f>IFERROR(__xludf.DUMMYFUNCTION("""COMPUTED_VALUE"""),"subsp.")</f>
        <v>subsp.</v>
      </c>
      <c r="F4034" t="str">
        <f>IFERROR(__xludf.DUMMYFUNCTION("""COMPUTED_VALUE"""),"laumondii")</f>
        <v>laumondii</v>
      </c>
      <c r="G4034" t="str">
        <f>IFERROR(__xludf.DUMMYFUNCTION("""COMPUTED_VALUE"""),"TTO1")</f>
        <v>TTO1</v>
      </c>
    </row>
    <row r="4035" ht="15.75" customHeight="1">
      <c r="A4035" t="str">
        <f t="shared" si="1"/>
        <v>P.temperata</v>
      </c>
      <c r="B4035" s="5" t="s">
        <v>24313</v>
      </c>
      <c r="C4035" s="6" t="str">
        <f>IFERROR(__xludf.DUMMYFUNCTION("SPLIT('2. c'!B4035, "" "", True, True)"),"Photorhabdus")</f>
        <v>Photorhabdus</v>
      </c>
      <c r="D4035" t="str">
        <f>IFERROR(__xludf.DUMMYFUNCTION("""COMPUTED_VALUE"""),"temperata")</f>
        <v>temperata</v>
      </c>
      <c r="E4035" t="str">
        <f>IFERROR(__xludf.DUMMYFUNCTION("""COMPUTED_VALUE"""),"subsp.")</f>
        <v>subsp.</v>
      </c>
      <c r="F4035" t="str">
        <f>IFERROR(__xludf.DUMMYFUNCTION("""COMPUTED_VALUE"""),"thracensis")</f>
        <v>thracensis</v>
      </c>
    </row>
    <row r="4036" ht="15.75" customHeight="1">
      <c r="A4036" t="str">
        <f t="shared" si="1"/>
        <v>P.torridus</v>
      </c>
      <c r="B4036" s="5" t="s">
        <v>24322</v>
      </c>
      <c r="C4036" s="6" t="str">
        <f>IFERROR(__xludf.DUMMYFUNCTION("SPLIT('2. c'!B4036, "" "", True, True)"),"Picrophilus")</f>
        <v>Picrophilus</v>
      </c>
      <c r="D4036" t="str">
        <f>IFERROR(__xludf.DUMMYFUNCTION("""COMPUTED_VALUE"""),"torridus")</f>
        <v>torridus</v>
      </c>
      <c r="E4036" t="str">
        <f>IFERROR(__xludf.DUMMYFUNCTION("""COMPUTED_VALUE"""),"DSM")</f>
        <v>DSM</v>
      </c>
      <c r="F4036">
        <f>IFERROR(__xludf.DUMMYFUNCTION("""COMPUTED_VALUE"""),9790.0)</f>
        <v>9790</v>
      </c>
    </row>
    <row r="4037" ht="15.75" customHeight="1">
      <c r="A4037" t="str">
        <f t="shared" si="1"/>
        <v>P.simplex</v>
      </c>
      <c r="B4037" s="5" t="s">
        <v>24332</v>
      </c>
      <c r="C4037" s="6" t="str">
        <f>IFERROR(__xludf.DUMMYFUNCTION("SPLIT('2. c'!B4037, "" "", True, True)"),"Pimelobacter")</f>
        <v>Pimelobacter</v>
      </c>
      <c r="D4037" t="str">
        <f>IFERROR(__xludf.DUMMYFUNCTION("""COMPUTED_VALUE"""),"simplex")</f>
        <v>simplex</v>
      </c>
      <c r="E4037" t="str">
        <f>IFERROR(__xludf.DUMMYFUNCTION("""COMPUTED_VALUE"""),"VKM")</f>
        <v>VKM</v>
      </c>
      <c r="F4037" t="str">
        <f>IFERROR(__xludf.DUMMYFUNCTION("""COMPUTED_VALUE"""),"Ac-2033D")</f>
        <v>Ac-2033D</v>
      </c>
    </row>
    <row r="4038" ht="15.75" customHeight="1">
      <c r="A4038" t="str">
        <f t="shared" si="1"/>
        <v>P.sp.</v>
      </c>
      <c r="B4038" s="5" t="s">
        <v>24342</v>
      </c>
      <c r="C4038" s="6" t="str">
        <f>IFERROR(__xludf.DUMMYFUNCTION("SPLIT('2. c'!B4038, "" "", True, True)"),"Pirellula")</f>
        <v>Pirellula</v>
      </c>
      <c r="D4038" t="str">
        <f>IFERROR(__xludf.DUMMYFUNCTION("""COMPUTED_VALUE"""),"sp.")</f>
        <v>sp.</v>
      </c>
      <c r="E4038" t="str">
        <f>IFERROR(__xludf.DUMMYFUNCTION("""COMPUTED_VALUE"""),"SH-Sr6A")</f>
        <v>SH-Sr6A</v>
      </c>
    </row>
    <row r="4039" ht="15.75" customHeight="1">
      <c r="A4039" t="str">
        <f t="shared" si="1"/>
        <v>P.staleyi</v>
      </c>
      <c r="B4039" s="5" t="s">
        <v>24351</v>
      </c>
      <c r="C4039" s="6" t="str">
        <f>IFERROR(__xludf.DUMMYFUNCTION("SPLIT('2. c'!B4039, "" "", True, True)"),"Pirellula")</f>
        <v>Pirellula</v>
      </c>
      <c r="D4039" t="str">
        <f>IFERROR(__xludf.DUMMYFUNCTION("""COMPUTED_VALUE"""),"staleyi")</f>
        <v>staleyi</v>
      </c>
      <c r="E4039" t="str">
        <f>IFERROR(__xludf.DUMMYFUNCTION("""COMPUTED_VALUE"""),"DSM")</f>
        <v>DSM</v>
      </c>
      <c r="F4039">
        <f>IFERROR(__xludf.DUMMYFUNCTION("""COMPUTED_VALUE"""),6068.0)</f>
        <v>6068</v>
      </c>
    </row>
    <row r="4040" ht="15.75" customHeight="1">
      <c r="A4040" t="str">
        <f t="shared" si="1"/>
        <v>P.salmonis</v>
      </c>
      <c r="B4040" s="5" t="s">
        <v>24378</v>
      </c>
      <c r="C4040" s="6" t="str">
        <f>IFERROR(__xludf.DUMMYFUNCTION("SPLIT('2. c'!B4040, "" "", True, True)"),"Piscirickettsia")</f>
        <v>Piscirickettsia</v>
      </c>
      <c r="D4040" t="str">
        <f>IFERROR(__xludf.DUMMYFUNCTION("""COMPUTED_VALUE"""),"salmonis")</f>
        <v>salmonis</v>
      </c>
      <c r="E4040" t="str">
        <f>IFERROR(__xludf.DUMMYFUNCTION("""COMPUTED_VALUE"""),"strain")</f>
        <v>strain</v>
      </c>
      <c r="F4040" t="str">
        <f>IFERROR(__xludf.DUMMYFUNCTION("""COMPUTED_VALUE"""),"CGR02")</f>
        <v>CGR02</v>
      </c>
    </row>
    <row r="4041" ht="15.75" customHeight="1">
      <c r="A4041" t="str">
        <f t="shared" si="1"/>
        <v>P.salmonis</v>
      </c>
      <c r="B4041" s="5" t="s">
        <v>24394</v>
      </c>
      <c r="C4041" s="6" t="str">
        <f>IFERROR(__xludf.DUMMYFUNCTION("SPLIT('2. c'!B4041, "" "", True, True)"),"Piscirickettsia")</f>
        <v>Piscirickettsia</v>
      </c>
      <c r="D4041" t="str">
        <f>IFERROR(__xludf.DUMMYFUNCTION("""COMPUTED_VALUE"""),"salmonis")</f>
        <v>salmonis</v>
      </c>
      <c r="E4041" t="str">
        <f>IFERROR(__xludf.DUMMYFUNCTION("""COMPUTED_VALUE"""),"strain")</f>
        <v>strain</v>
      </c>
      <c r="F4041" t="str">
        <f>IFERROR(__xludf.DUMMYFUNCTION("""COMPUTED_VALUE"""),"PSCGR01")</f>
        <v>PSCGR01</v>
      </c>
    </row>
    <row r="4042" ht="15.75" customHeight="1">
      <c r="A4042" t="str">
        <f t="shared" si="1"/>
        <v>P.brasiliensis</v>
      </c>
      <c r="B4042" s="5" t="s">
        <v>24403</v>
      </c>
      <c r="C4042" s="6" t="str">
        <f>IFERROR(__xludf.DUMMYFUNCTION("SPLIT('2. c'!B4042, "" "", True, True)"),"Planctomyces")</f>
        <v>Planctomyces</v>
      </c>
      <c r="D4042" t="str">
        <f>IFERROR(__xludf.DUMMYFUNCTION("""COMPUTED_VALUE"""),"brasiliensis")</f>
        <v>brasiliensis</v>
      </c>
      <c r="E4042" t="str">
        <f>IFERROR(__xludf.DUMMYFUNCTION("""COMPUTED_VALUE"""),"DSM")</f>
        <v>DSM</v>
      </c>
      <c r="F4042">
        <f>IFERROR(__xludf.DUMMYFUNCTION("""COMPUTED_VALUE"""),5305.0)</f>
        <v>5305</v>
      </c>
    </row>
    <row r="4043" ht="15.75" customHeight="1">
      <c r="A4043" t="str">
        <f t="shared" si="1"/>
        <v>P.limnophilus</v>
      </c>
      <c r="B4043" s="5" t="s">
        <v>24413</v>
      </c>
      <c r="C4043" s="6" t="str">
        <f>IFERROR(__xludf.DUMMYFUNCTION("SPLIT('2. c'!B4043, "" "", True, True)"),"Planctomyces")</f>
        <v>Planctomyces</v>
      </c>
      <c r="D4043" t="str">
        <f>IFERROR(__xludf.DUMMYFUNCTION("""COMPUTED_VALUE"""),"limnophilus")</f>
        <v>limnophilus</v>
      </c>
      <c r="E4043" t="str">
        <f>IFERROR(__xludf.DUMMYFUNCTION("""COMPUTED_VALUE"""),"DSM")</f>
        <v>DSM</v>
      </c>
      <c r="F4043">
        <f>IFERROR(__xludf.DUMMYFUNCTION("""COMPUTED_VALUE"""),3776.0)</f>
        <v>3776</v>
      </c>
    </row>
    <row r="4044" ht="15.75" customHeight="1">
      <c r="A4044" t="str">
        <f t="shared" si="1"/>
        <v>P.sp.</v>
      </c>
      <c r="B4044" s="5" t="s">
        <v>24423</v>
      </c>
      <c r="C4044" s="6" t="str">
        <f>IFERROR(__xludf.DUMMYFUNCTION("SPLIT('2. c'!B4044, "" "", True, True)"),"Planctomyces")</f>
        <v>Planctomyces</v>
      </c>
      <c r="D4044" t="str">
        <f>IFERROR(__xludf.DUMMYFUNCTION("""COMPUTED_VALUE"""),"sp.")</f>
        <v>sp.</v>
      </c>
      <c r="E4044" t="str">
        <f>IFERROR(__xludf.DUMMYFUNCTION("""COMPUTED_VALUE"""),"SH-PL14")</f>
        <v>SH-PL14</v>
      </c>
    </row>
    <row r="4045" ht="15.75" customHeight="1">
      <c r="A4045" t="str">
        <f t="shared" si="1"/>
        <v>P.sp.</v>
      </c>
      <c r="B4045" s="5" t="s">
        <v>24434</v>
      </c>
      <c r="C4045" s="6" t="str">
        <f>IFERROR(__xludf.DUMMYFUNCTION("SPLIT('2. c'!B4045, "" "", True, True)"),"Planctomyces")</f>
        <v>Planctomyces</v>
      </c>
      <c r="D4045" t="str">
        <f>IFERROR(__xludf.DUMMYFUNCTION("""COMPUTED_VALUE"""),"sp.")</f>
        <v>sp.</v>
      </c>
      <c r="E4045" t="str">
        <f>IFERROR(__xludf.DUMMYFUNCTION("""COMPUTED_VALUE"""),"SH-PL62")</f>
        <v>SH-PL62</v>
      </c>
    </row>
    <row r="4046" ht="15.75" customHeight="1">
      <c r="A4046" t="str">
        <f t="shared" si="1"/>
        <v>P.temperata</v>
      </c>
      <c r="B4046" s="5" t="s">
        <v>24443</v>
      </c>
      <c r="C4046" s="6" t="str">
        <f>IFERROR(__xludf.DUMMYFUNCTION("SPLIT('2. c'!B4046, "" "", True, True)"),"Planktomarina")</f>
        <v>Planktomarina</v>
      </c>
      <c r="D4046" t="str">
        <f>IFERROR(__xludf.DUMMYFUNCTION("""COMPUTED_VALUE"""),"temperata")</f>
        <v>temperata</v>
      </c>
      <c r="E4046" t="str">
        <f>IFERROR(__xludf.DUMMYFUNCTION("""COMPUTED_VALUE"""),"RCA23")</f>
        <v>RCA23</v>
      </c>
    </row>
    <row r="4047" ht="15.75" customHeight="1">
      <c r="A4047" t="str">
        <f t="shared" si="1"/>
        <v>P.agardhii</v>
      </c>
      <c r="B4047" s="5" t="s">
        <v>24451</v>
      </c>
      <c r="C4047" s="6" t="str">
        <f>IFERROR(__xludf.DUMMYFUNCTION("SPLIT('2. c'!B4047, "" "", True, True)"),"Planktothrix")</f>
        <v>Planktothrix</v>
      </c>
      <c r="D4047" t="str">
        <f>IFERROR(__xludf.DUMMYFUNCTION("""COMPUTED_VALUE"""),"agardhii")</f>
        <v>agardhii</v>
      </c>
      <c r="E4047" t="str">
        <f>IFERROR(__xludf.DUMMYFUNCTION("""COMPUTED_VALUE"""),"NIVA-CYA")</f>
        <v>NIVA-CYA</v>
      </c>
      <c r="F4047" t="str">
        <f>IFERROR(__xludf.DUMMYFUNCTION("""COMPUTED_VALUE"""),"126/8")</f>
        <v>126/8</v>
      </c>
    </row>
    <row r="4048" ht="15.75" customHeight="1">
      <c r="A4048" t="str">
        <f t="shared" si="1"/>
        <v>P.kocurii</v>
      </c>
      <c r="B4048" s="5" t="s">
        <v>24459</v>
      </c>
      <c r="C4048" s="6" t="str">
        <f>IFERROR(__xludf.DUMMYFUNCTION("SPLIT('2. c'!B4048, "" "", True, True)"),"Planococcus")</f>
        <v>Planococcus</v>
      </c>
      <c r="D4048" t="str">
        <f>IFERROR(__xludf.DUMMYFUNCTION("""COMPUTED_VALUE"""),"kocurii")</f>
        <v>kocurii</v>
      </c>
      <c r="E4048" t="str">
        <f>IFERROR(__xludf.DUMMYFUNCTION("""COMPUTED_VALUE"""),"strain")</f>
        <v>strain</v>
      </c>
      <c r="F4048" t="str">
        <f>IFERROR(__xludf.DUMMYFUNCTION("""COMPUTED_VALUE"""),"ATCC")</f>
        <v>ATCC</v>
      </c>
      <c r="G4048">
        <f>IFERROR(__xludf.DUMMYFUNCTION("""COMPUTED_VALUE"""),43650.0)</f>
        <v>43650</v>
      </c>
    </row>
    <row r="4049" ht="15.75" customHeight="1">
      <c r="A4049" t="str">
        <f t="shared" si="1"/>
        <v>P.rifietoensis</v>
      </c>
      <c r="B4049" s="5" t="s">
        <v>24472</v>
      </c>
      <c r="C4049" s="6" t="str">
        <f>IFERROR(__xludf.DUMMYFUNCTION("SPLIT('2. c'!B4049, "" "", True, True)"),"Planococcus")</f>
        <v>Planococcus</v>
      </c>
      <c r="D4049" t="str">
        <f>IFERROR(__xludf.DUMMYFUNCTION("""COMPUTED_VALUE"""),"rifietoensis")</f>
        <v>rifietoensis</v>
      </c>
      <c r="E4049" t="str">
        <f>IFERROR(__xludf.DUMMYFUNCTION("""COMPUTED_VALUE"""),"strain")</f>
        <v>strain</v>
      </c>
      <c r="F4049" t="str">
        <f>IFERROR(__xludf.DUMMYFUNCTION("""COMPUTED_VALUE"""),"M8")</f>
        <v>M8</v>
      </c>
    </row>
    <row r="4050" ht="15.75" customHeight="1">
      <c r="A4050" t="str">
        <f t="shared" si="1"/>
        <v>P.sp.</v>
      </c>
      <c r="B4050" s="5" t="s">
        <v>24482</v>
      </c>
      <c r="C4050" s="6" t="str">
        <f>IFERROR(__xludf.DUMMYFUNCTION("SPLIT('2. c'!B4050, "" "", True, True)"),"Planococcus")</f>
        <v>Planococcus</v>
      </c>
      <c r="D4050" t="str">
        <f>IFERROR(__xludf.DUMMYFUNCTION("""COMPUTED_VALUE"""),"sp.")</f>
        <v>sp.</v>
      </c>
      <c r="E4050" t="str">
        <f>IFERROR(__xludf.DUMMYFUNCTION("""COMPUTED_VALUE"""),"PAMC")</f>
        <v>PAMC</v>
      </c>
      <c r="F4050">
        <f>IFERROR(__xludf.DUMMYFUNCTION("""COMPUTED_VALUE"""),21323.0)</f>
        <v>21323</v>
      </c>
    </row>
    <row r="4051" ht="15.75" customHeight="1">
      <c r="A4051" t="str">
        <f t="shared" si="1"/>
        <v>P.shigelloides</v>
      </c>
      <c r="B4051" s="5" t="s">
        <v>24490</v>
      </c>
      <c r="C4051" s="6" t="str">
        <f>IFERROR(__xludf.DUMMYFUNCTION("SPLIT('2. c'!B4051, "" "", True, True)"),"Plesiomonas")</f>
        <v>Plesiomonas</v>
      </c>
      <c r="D4051" t="str">
        <f>IFERROR(__xludf.DUMMYFUNCTION("""COMPUTED_VALUE"""),"shigelloides")</f>
        <v>shigelloides</v>
      </c>
      <c r="E4051" t="str">
        <f>IFERROR(__xludf.DUMMYFUNCTION("""COMPUTED_VALUE"""),"strain")</f>
        <v>strain</v>
      </c>
      <c r="F4051" t="str">
        <f>IFERROR(__xludf.DUMMYFUNCTION("""COMPUTED_VALUE"""),"NCTC10360")</f>
        <v>NCTC10360</v>
      </c>
    </row>
    <row r="4052" ht="15.75" customHeight="1">
      <c r="A4052" t="str">
        <f t="shared" si="1"/>
        <v>P.sp.</v>
      </c>
      <c r="B4052" s="5" t="s">
        <v>24498</v>
      </c>
      <c r="C4052" s="6" t="str">
        <f>IFERROR(__xludf.DUMMYFUNCTION("SPLIT('2. c'!B4052, "" "", True, True)"),"Pleurocapsa")</f>
        <v>Pleurocapsa</v>
      </c>
      <c r="D4052" t="str">
        <f>IFERROR(__xludf.DUMMYFUNCTION("""COMPUTED_VALUE"""),"sp.")</f>
        <v>sp.</v>
      </c>
      <c r="E4052" t="str">
        <f>IFERROR(__xludf.DUMMYFUNCTION("""COMPUTED_VALUE"""),"PCC")</f>
        <v>PCC</v>
      </c>
      <c r="F4052">
        <f>IFERROR(__xludf.DUMMYFUNCTION("""COMPUTED_VALUE"""),7327.0)</f>
        <v>7327</v>
      </c>
    </row>
    <row r="4053" ht="15.75" customHeight="1">
      <c r="A4053" t="str">
        <f t="shared" si="1"/>
        <v>P.gergoviae</v>
      </c>
      <c r="B4053" s="5" t="s">
        <v>24509</v>
      </c>
      <c r="C4053" s="6" t="str">
        <f>IFERROR(__xludf.DUMMYFUNCTION("SPLIT('2. c'!B4053, "" "", True, True)"),"Pluralibacter")</f>
        <v>Pluralibacter</v>
      </c>
      <c r="D4053" t="str">
        <f>IFERROR(__xludf.DUMMYFUNCTION("""COMPUTED_VALUE"""),"gergoviae")</f>
        <v>gergoviae</v>
      </c>
      <c r="E4053" t="str">
        <f>IFERROR(__xludf.DUMMYFUNCTION("""COMPUTED_VALUE"""),"FB2")</f>
        <v>FB2</v>
      </c>
    </row>
    <row r="4054" ht="15.75" customHeight="1">
      <c r="A4054" t="str">
        <f t="shared" si="1"/>
        <v>P.naphthalenivorans</v>
      </c>
      <c r="B4054" s="5" t="s">
        <v>24517</v>
      </c>
      <c r="C4054" s="6" t="str">
        <f>IFERROR(__xludf.DUMMYFUNCTION("SPLIT('2. c'!B4054, "" "", True, True)"),"Polaromonas")</f>
        <v>Polaromonas</v>
      </c>
      <c r="D4054" t="str">
        <f>IFERROR(__xludf.DUMMYFUNCTION("""COMPUTED_VALUE"""),"naphthalenivorans")</f>
        <v>naphthalenivorans</v>
      </c>
      <c r="E4054" t="str">
        <f>IFERROR(__xludf.DUMMYFUNCTION("""COMPUTED_VALUE"""),"CJ2")</f>
        <v>CJ2</v>
      </c>
    </row>
    <row r="4055" ht="15.75" customHeight="1">
      <c r="A4055" t="str">
        <f t="shared" si="1"/>
        <v>P.sp.</v>
      </c>
      <c r="B4055" s="5" t="s">
        <v>24524</v>
      </c>
      <c r="C4055" s="6" t="str">
        <f>IFERROR(__xludf.DUMMYFUNCTION("SPLIT('2. c'!B4055, "" "", True, True)"),"Polaromonas")</f>
        <v>Polaromonas</v>
      </c>
      <c r="D4055" t="str">
        <f>IFERROR(__xludf.DUMMYFUNCTION("""COMPUTED_VALUE"""),"sp.")</f>
        <v>sp.</v>
      </c>
      <c r="E4055" t="str">
        <f>IFERROR(__xludf.DUMMYFUNCTION("""COMPUTED_VALUE"""),"JS666")</f>
        <v>JS666</v>
      </c>
    </row>
    <row r="4056" ht="15.75" customHeight="1">
      <c r="A4056" t="str">
        <f t="shared" si="1"/>
        <v>P.gilvum</v>
      </c>
      <c r="B4056" s="5" t="s">
        <v>24531</v>
      </c>
      <c r="C4056" s="6" t="str">
        <f>IFERROR(__xludf.DUMMYFUNCTION("SPLIT('2. c'!B4056, "" "", True, True)"),"Polymorphum")</f>
        <v>Polymorphum</v>
      </c>
      <c r="D4056" t="str">
        <f>IFERROR(__xludf.DUMMYFUNCTION("""COMPUTED_VALUE"""),"gilvum")</f>
        <v>gilvum</v>
      </c>
      <c r="E4056" t="str">
        <f>IFERROR(__xludf.DUMMYFUNCTION("""COMPUTED_VALUE"""),"SL003B-26A1")</f>
        <v>SL003B-26A1</v>
      </c>
    </row>
    <row r="4057" ht="15.75" customHeight="1">
      <c r="A4057" t="str">
        <f t="shared" si="1"/>
        <v>P.necessarius</v>
      </c>
      <c r="B4057" s="5" t="s">
        <v>24544</v>
      </c>
      <c r="C4057" s="6" t="str">
        <f>IFERROR(__xludf.DUMMYFUNCTION("SPLIT('2. c'!B4057, "" "", True, True)"),"Polynucleobacter")</f>
        <v>Polynucleobacter</v>
      </c>
      <c r="D4057" t="str">
        <f>IFERROR(__xludf.DUMMYFUNCTION("""COMPUTED_VALUE"""),"necessarius")</f>
        <v>necessarius</v>
      </c>
      <c r="E4057" t="str">
        <f>IFERROR(__xludf.DUMMYFUNCTION("""COMPUTED_VALUE"""),"subsp.")</f>
        <v>subsp.</v>
      </c>
      <c r="F4057" t="str">
        <f>IFERROR(__xludf.DUMMYFUNCTION("""COMPUTED_VALUE"""),"asymbioticus")</f>
        <v>asymbioticus</v>
      </c>
      <c r="G4057" t="str">
        <f>IFERROR(__xludf.DUMMYFUNCTION("""COMPUTED_VALUE"""),"QLW-P1DMWA-1")</f>
        <v>QLW-P1DMWA-1</v>
      </c>
    </row>
    <row r="4058" ht="15.75" customHeight="1">
      <c r="A4058" t="str">
        <f t="shared" si="1"/>
        <v>P.necessarius</v>
      </c>
      <c r="B4058" s="5" t="s">
        <v>24553</v>
      </c>
      <c r="C4058" s="6" t="str">
        <f>IFERROR(__xludf.DUMMYFUNCTION("SPLIT('2. c'!B4058, "" "", True, True)"),"Polynucleobacter")</f>
        <v>Polynucleobacter</v>
      </c>
      <c r="D4058" t="str">
        <f>IFERROR(__xludf.DUMMYFUNCTION("""COMPUTED_VALUE"""),"necessarius")</f>
        <v>necessarius</v>
      </c>
      <c r="E4058" t="str">
        <f>IFERROR(__xludf.DUMMYFUNCTION("""COMPUTED_VALUE"""),"subsp.")</f>
        <v>subsp.</v>
      </c>
      <c r="F4058" t="str">
        <f>IFERROR(__xludf.DUMMYFUNCTION("""COMPUTED_VALUE"""),"asymbioticus")</f>
        <v>asymbioticus</v>
      </c>
      <c r="G4058" t="str">
        <f>IFERROR(__xludf.DUMMYFUNCTION("""COMPUTED_VALUE"""),"strain")</f>
        <v>strain</v>
      </c>
      <c r="H4058" t="str">
        <f>IFERROR(__xludf.DUMMYFUNCTION("""COMPUTED_VALUE"""),"MWH-MoK4")</f>
        <v>MWH-MoK4</v>
      </c>
    </row>
    <row r="4059" ht="15.75" customHeight="1">
      <c r="A4059" t="str">
        <f t="shared" si="1"/>
        <v>P.necessarius</v>
      </c>
      <c r="B4059" s="5" t="s">
        <v>24561</v>
      </c>
      <c r="C4059" s="6" t="str">
        <f>IFERROR(__xludf.DUMMYFUNCTION("SPLIT('2. c'!B4059, "" "", True, True)"),"Polynucleobacter")</f>
        <v>Polynucleobacter</v>
      </c>
      <c r="D4059" t="str">
        <f>IFERROR(__xludf.DUMMYFUNCTION("""COMPUTED_VALUE"""),"necessarius")</f>
        <v>necessarius</v>
      </c>
      <c r="E4059" t="str">
        <f>IFERROR(__xludf.DUMMYFUNCTION("""COMPUTED_VALUE"""),"subsp.")</f>
        <v>subsp.</v>
      </c>
      <c r="F4059" t="str">
        <f>IFERROR(__xludf.DUMMYFUNCTION("""COMPUTED_VALUE"""),"necessarius")</f>
        <v>necessarius</v>
      </c>
      <c r="G4059" t="str">
        <f>IFERROR(__xludf.DUMMYFUNCTION("""COMPUTED_VALUE"""),"STIR1")</f>
        <v>STIR1</v>
      </c>
    </row>
    <row r="4060" ht="15.75" customHeight="1">
      <c r="A4060" t="str">
        <f t="shared" si="1"/>
        <v>P.sp.</v>
      </c>
      <c r="B4060" s="5" t="s">
        <v>24572</v>
      </c>
      <c r="C4060" s="6" t="str">
        <f>IFERROR(__xludf.DUMMYFUNCTION("SPLIT('2. c'!B4060, "" "", True, True)"),"Polynucleobacter")</f>
        <v>Polynucleobacter</v>
      </c>
      <c r="D4060" t="str">
        <f>IFERROR(__xludf.DUMMYFUNCTION("""COMPUTED_VALUE"""),"sp.")</f>
        <v>sp.</v>
      </c>
      <c r="E4060" t="str">
        <f>IFERROR(__xludf.DUMMYFUNCTION("""COMPUTED_VALUE"""),"QLW-P1FAT50C-4")</f>
        <v>QLW-P1FAT50C-4</v>
      </c>
    </row>
    <row r="4061" ht="15.75" customHeight="1">
      <c r="A4061" t="str">
        <f t="shared" si="1"/>
        <v>P.akesuensis</v>
      </c>
      <c r="B4061" s="5" t="s">
        <v>24579</v>
      </c>
      <c r="C4061" s="6" t="str">
        <f>IFERROR(__xludf.DUMMYFUNCTION("SPLIT('2. c'!B4061, "" "", True, True)"),"Pontibacter")</f>
        <v>Pontibacter</v>
      </c>
      <c r="D4061" t="str">
        <f>IFERROR(__xludf.DUMMYFUNCTION("""COMPUTED_VALUE"""),"akesuensis")</f>
        <v>akesuensis</v>
      </c>
      <c r="E4061" t="str">
        <f>IFERROR(__xludf.DUMMYFUNCTION("""COMPUTED_VALUE"""),"strain")</f>
        <v>strain</v>
      </c>
      <c r="F4061" t="str">
        <f>IFERROR(__xludf.DUMMYFUNCTION("""COMPUTED_VALUE"""),"AKS")</f>
        <v>AKS</v>
      </c>
      <c r="G4061" t="str">
        <f>IFERROR(__xludf.DUMMYFUNCTION("""COMPUTED_VALUE"""),"1T")</f>
        <v>1T</v>
      </c>
    </row>
    <row r="4062" ht="15.75" customHeight="1">
      <c r="A4062" t="str">
        <f t="shared" si="1"/>
        <v>P.korlensis</v>
      </c>
      <c r="B4062" s="5" t="s">
        <v>24611</v>
      </c>
      <c r="C4062" s="6" t="str">
        <f>IFERROR(__xludf.DUMMYFUNCTION("SPLIT('2. c'!B4062, "" "", True, True)"),"Pontibacter")</f>
        <v>Pontibacter</v>
      </c>
      <c r="D4062" t="str">
        <f>IFERROR(__xludf.DUMMYFUNCTION("""COMPUTED_VALUE"""),"korlensis")</f>
        <v>korlensis</v>
      </c>
      <c r="E4062" t="str">
        <f>IFERROR(__xludf.DUMMYFUNCTION("""COMPUTED_VALUE"""),"strain")</f>
        <v>strain</v>
      </c>
      <c r="F4062" t="str">
        <f>IFERROR(__xludf.DUMMYFUNCTION("""COMPUTED_VALUE"""),"X14-1T")</f>
        <v>X14-1T</v>
      </c>
    </row>
    <row r="4063" ht="15.75" customHeight="1">
      <c r="A4063" t="str">
        <f t="shared" si="1"/>
        <v>P.neustonensis</v>
      </c>
      <c r="B4063" s="5" t="s">
        <v>24620</v>
      </c>
      <c r="C4063" s="6" t="str">
        <f>IFERROR(__xludf.DUMMYFUNCTION("SPLIT('2. c'!B4063, "" "", True, True)"),"Porphyrobacter")</f>
        <v>Porphyrobacter</v>
      </c>
      <c r="D4063" t="str">
        <f>IFERROR(__xludf.DUMMYFUNCTION("""COMPUTED_VALUE"""),"neustonensis")</f>
        <v>neustonensis</v>
      </c>
      <c r="E4063" t="str">
        <f>IFERROR(__xludf.DUMMYFUNCTION("""COMPUTED_VALUE"""),"strain")</f>
        <v>strain</v>
      </c>
      <c r="F4063" t="str">
        <f>IFERROR(__xludf.DUMMYFUNCTION("""COMPUTED_VALUE"""),"DSM")</f>
        <v>DSM</v>
      </c>
      <c r="G4063">
        <f>IFERROR(__xludf.DUMMYFUNCTION("""COMPUTED_VALUE"""),9434.0)</f>
        <v>9434</v>
      </c>
    </row>
    <row r="4064" ht="15.75" customHeight="1">
      <c r="A4064" t="str">
        <f t="shared" si="1"/>
        <v>P.bacterium</v>
      </c>
      <c r="B4064" s="5" t="s">
        <v>24627</v>
      </c>
      <c r="C4064" s="6" t="str">
        <f>IFERROR(__xludf.DUMMYFUNCTION("SPLIT('2. c'!B4064, "" "", True, True)"),"Porphyromonadaceae")</f>
        <v>Porphyromonadaceae</v>
      </c>
      <c r="D4064" t="str">
        <f>IFERROR(__xludf.DUMMYFUNCTION("""COMPUTED_VALUE"""),"bacterium")</f>
        <v>bacterium</v>
      </c>
      <c r="E4064" t="str">
        <f>IFERROR(__xludf.DUMMYFUNCTION("""COMPUTED_VALUE"""),"ING2-E5B")</f>
        <v>ING2-E5B</v>
      </c>
    </row>
    <row r="4065" ht="15.75" customHeight="1">
      <c r="A4065" t="str">
        <f t="shared" si="1"/>
        <v>P.asaccharolytica</v>
      </c>
      <c r="B4065" s="5" t="s">
        <v>24638</v>
      </c>
      <c r="C4065" s="6" t="str">
        <f>IFERROR(__xludf.DUMMYFUNCTION("SPLIT('2. c'!B4065, "" "", True, True)"),"Porphyromonas")</f>
        <v>Porphyromonas</v>
      </c>
      <c r="D4065" t="str">
        <f>IFERROR(__xludf.DUMMYFUNCTION("""COMPUTED_VALUE"""),"asaccharolytica")</f>
        <v>asaccharolytica</v>
      </c>
      <c r="E4065" t="str">
        <f>IFERROR(__xludf.DUMMYFUNCTION("""COMPUTED_VALUE"""),"DSM")</f>
        <v>DSM</v>
      </c>
      <c r="F4065">
        <f>IFERROR(__xludf.DUMMYFUNCTION("""COMPUTED_VALUE"""),20707.0)</f>
        <v>20707</v>
      </c>
    </row>
    <row r="4066" ht="15.75" customHeight="1">
      <c r="A4066" t="str">
        <f t="shared" si="1"/>
        <v>P.gingivalis</v>
      </c>
      <c r="B4066" s="5" t="s">
        <v>24652</v>
      </c>
      <c r="C4066" s="6" t="str">
        <f>IFERROR(__xludf.DUMMYFUNCTION("SPLIT('2. c'!B4066, "" "", True, True)"),"Porphyromonas")</f>
        <v>Porphyromonas</v>
      </c>
      <c r="D4066" t="str">
        <f>IFERROR(__xludf.DUMMYFUNCTION("""COMPUTED_VALUE"""),"gingivalis")</f>
        <v>gingivalis</v>
      </c>
      <c r="E4066">
        <f>IFERROR(__xludf.DUMMYFUNCTION("""COMPUTED_VALUE"""),381.0)</f>
        <v>381</v>
      </c>
    </row>
    <row r="4067" ht="15.75" customHeight="1">
      <c r="A4067" t="str">
        <f t="shared" si="1"/>
        <v>P.gingivalis</v>
      </c>
      <c r="B4067" s="5" t="s">
        <v>24663</v>
      </c>
      <c r="C4067" s="6" t="str">
        <f>IFERROR(__xludf.DUMMYFUNCTION("SPLIT('2. c'!B4067, "" "", True, True)"),"Porphyromonas")</f>
        <v>Porphyromonas</v>
      </c>
      <c r="D4067" t="str">
        <f>IFERROR(__xludf.DUMMYFUNCTION("""COMPUTED_VALUE"""),"gingivalis")</f>
        <v>gingivalis</v>
      </c>
      <c r="E4067" t="str">
        <f>IFERROR(__xludf.DUMMYFUNCTION("""COMPUTED_VALUE"""),"A7A1-28")</f>
        <v>A7A1-28</v>
      </c>
    </row>
    <row r="4068" ht="15.75" customHeight="1">
      <c r="A4068" t="str">
        <f t="shared" si="1"/>
        <v>P.gingivalis</v>
      </c>
      <c r="B4068" s="5" t="s">
        <v>24672</v>
      </c>
      <c r="C4068" s="6" t="str">
        <f>IFERROR(__xludf.DUMMYFUNCTION("SPLIT('2. c'!B4068, "" "", True, True)"),"Porphyromonas")</f>
        <v>Porphyromonas</v>
      </c>
      <c r="D4068" t="str">
        <f>IFERROR(__xludf.DUMMYFUNCTION("""COMPUTED_VALUE"""),"gingivalis")</f>
        <v>gingivalis</v>
      </c>
      <c r="E4068" t="str">
        <f>IFERROR(__xludf.DUMMYFUNCTION("""COMPUTED_VALUE"""),"AJW4")</f>
        <v>AJW4</v>
      </c>
    </row>
    <row r="4069" ht="15.75" customHeight="1">
      <c r="A4069" t="str">
        <f t="shared" si="1"/>
        <v>P.gingivalis</v>
      </c>
      <c r="B4069" s="5" t="s">
        <v>24680</v>
      </c>
      <c r="C4069" s="6" t="str">
        <f>IFERROR(__xludf.DUMMYFUNCTION("SPLIT('2. c'!B4069, "" "", True, True)"),"Porphyromonas")</f>
        <v>Porphyromonas</v>
      </c>
      <c r="D4069" t="str">
        <f>IFERROR(__xludf.DUMMYFUNCTION("""COMPUTED_VALUE"""),"gingivalis")</f>
        <v>gingivalis</v>
      </c>
      <c r="E4069" t="str">
        <f>IFERROR(__xludf.DUMMYFUNCTION("""COMPUTED_VALUE"""),"ATCC")</f>
        <v>ATCC</v>
      </c>
      <c r="F4069">
        <f>IFERROR(__xludf.DUMMYFUNCTION("""COMPUTED_VALUE"""),33277.0)</f>
        <v>33277</v>
      </c>
    </row>
    <row r="4070" ht="15.75" customHeight="1">
      <c r="A4070" t="str">
        <f t="shared" si="1"/>
        <v>P.gingivalis</v>
      </c>
      <c r="B4070" s="5" t="s">
        <v>24688</v>
      </c>
      <c r="C4070" s="6" t="str">
        <f>IFERROR(__xludf.DUMMYFUNCTION("SPLIT('2. c'!B4070, "" "", True, True)"),"Porphyromonas")</f>
        <v>Porphyromonas</v>
      </c>
      <c r="D4070" t="str">
        <f>IFERROR(__xludf.DUMMYFUNCTION("""COMPUTED_VALUE"""),"gingivalis")</f>
        <v>gingivalis</v>
      </c>
      <c r="E4070" t="str">
        <f>IFERROR(__xludf.DUMMYFUNCTION("""COMPUTED_VALUE"""),"JCVI")</f>
        <v>JCVI</v>
      </c>
      <c r="F4070" t="str">
        <f>IFERROR(__xludf.DUMMYFUNCTION("""COMPUTED_VALUE"""),"SC001")</f>
        <v>SC001</v>
      </c>
    </row>
    <row r="4071" ht="15.75" customHeight="1">
      <c r="A4071" t="str">
        <f t="shared" si="1"/>
        <v>P.gingivalis</v>
      </c>
      <c r="B4071" s="5" t="s">
        <v>24694</v>
      </c>
      <c r="C4071" s="6" t="str">
        <f>IFERROR(__xludf.DUMMYFUNCTION("SPLIT('2. c'!B4071, "" "", True, True)"),"Porphyromonas")</f>
        <v>Porphyromonas</v>
      </c>
      <c r="D4071" t="str">
        <f>IFERROR(__xludf.DUMMYFUNCTION("""COMPUTED_VALUE"""),"gingivalis")</f>
        <v>gingivalis</v>
      </c>
      <c r="E4071" t="str">
        <f>IFERROR(__xludf.DUMMYFUNCTION("""COMPUTED_VALUE"""),"strain")</f>
        <v>strain</v>
      </c>
      <c r="F4071" t="str">
        <f>IFERROR(__xludf.DUMMYFUNCTION("""COMPUTED_VALUE"""),"A7436")</f>
        <v>A7436</v>
      </c>
    </row>
    <row r="4072" ht="15.75" customHeight="1">
      <c r="A4072" t="str">
        <f t="shared" si="1"/>
        <v>P.gingivalis</v>
      </c>
      <c r="B4072" s="5" t="s">
        <v>24701</v>
      </c>
      <c r="C4072" s="6" t="str">
        <f>IFERROR(__xludf.DUMMYFUNCTION("SPLIT('2. c'!B4072, "" "", True, True)"),"Porphyromonas")</f>
        <v>Porphyromonas</v>
      </c>
      <c r="D4072" t="str">
        <f>IFERROR(__xludf.DUMMYFUNCTION("""COMPUTED_VALUE"""),"gingivalis")</f>
        <v>gingivalis</v>
      </c>
      <c r="E4072" t="str">
        <f>IFERROR(__xludf.DUMMYFUNCTION("""COMPUTED_VALUE"""),"strain")</f>
        <v>strain</v>
      </c>
      <c r="F4072" t="str">
        <f>IFERROR(__xludf.DUMMYFUNCTION("""COMPUTED_VALUE"""),"HG66")</f>
        <v>HG66</v>
      </c>
    </row>
    <row r="4073" ht="15.75" customHeight="1">
      <c r="A4073" t="str">
        <f t="shared" si="1"/>
        <v>P.gingivalis</v>
      </c>
      <c r="B4073" s="5" t="s">
        <v>24705</v>
      </c>
      <c r="C4073" s="6" t="str">
        <f>IFERROR(__xludf.DUMMYFUNCTION("SPLIT('2. c'!B4073, "" "", True, True)"),"Porphyromonas")</f>
        <v>Porphyromonas</v>
      </c>
      <c r="D4073" t="str">
        <f>IFERROR(__xludf.DUMMYFUNCTION("""COMPUTED_VALUE"""),"gingivalis")</f>
        <v>gingivalis</v>
      </c>
      <c r="E4073" t="str">
        <f>IFERROR(__xludf.DUMMYFUNCTION("""COMPUTED_VALUE"""),"TDC60")</f>
        <v>TDC60</v>
      </c>
    </row>
    <row r="4074" ht="15.75" customHeight="1">
      <c r="A4074" t="str">
        <f t="shared" si="1"/>
        <v>P.gingivalis</v>
      </c>
      <c r="B4074" s="5" t="s">
        <v>24709</v>
      </c>
      <c r="C4074" s="6" t="str">
        <f>IFERROR(__xludf.DUMMYFUNCTION("SPLIT('2. c'!B4074, "" "", True, True)"),"Porphyromonas")</f>
        <v>Porphyromonas</v>
      </c>
      <c r="D4074" t="str">
        <f>IFERROR(__xludf.DUMMYFUNCTION("""COMPUTED_VALUE"""),"gingivalis")</f>
        <v>gingivalis</v>
      </c>
      <c r="E4074" t="str">
        <f>IFERROR(__xludf.DUMMYFUNCTION("""COMPUTED_VALUE"""),"W83")</f>
        <v>W83</v>
      </c>
    </row>
    <row r="4075" ht="15.75" customHeight="1">
      <c r="A4075" t="str">
        <f t="shared" si="1"/>
        <v>P.fontium</v>
      </c>
      <c r="B4075" s="5" t="s">
        <v>24715</v>
      </c>
      <c r="C4075" s="6" t="str">
        <f>IFERROR(__xludf.DUMMYFUNCTION("SPLIT('2. c'!B4075, "" "", True, True)"),"Pragia")</f>
        <v>Pragia</v>
      </c>
      <c r="D4075" t="str">
        <f>IFERROR(__xludf.DUMMYFUNCTION("""COMPUTED_VALUE"""),"fontium")</f>
        <v>fontium</v>
      </c>
      <c r="E4075" t="str">
        <f>IFERROR(__xludf.DUMMYFUNCTION("""COMPUTED_VALUE"""),"strain")</f>
        <v>strain</v>
      </c>
      <c r="F4075">
        <f>IFERROR(__xludf.DUMMYFUNCTION("""COMPUTED_VALUE"""),24613.0)</f>
        <v>24613</v>
      </c>
    </row>
    <row r="4076" ht="15.75" customHeight="1">
      <c r="A4076" t="str">
        <f t="shared" si="1"/>
        <v>P.dentalis</v>
      </c>
      <c r="B4076" s="5" t="s">
        <v>24722</v>
      </c>
      <c r="C4076" s="6" t="str">
        <f>IFERROR(__xludf.DUMMYFUNCTION("SPLIT('2. c'!B4076, "" "", True, True)"),"Prevotella")</f>
        <v>Prevotella</v>
      </c>
      <c r="D4076" t="str">
        <f>IFERROR(__xludf.DUMMYFUNCTION("""COMPUTED_VALUE"""),"dentalis")</f>
        <v>dentalis</v>
      </c>
      <c r="E4076" t="str">
        <f>IFERROR(__xludf.DUMMYFUNCTION("""COMPUTED_VALUE"""),"DSM")</f>
        <v>DSM</v>
      </c>
      <c r="F4076">
        <f>IFERROR(__xludf.DUMMYFUNCTION("""COMPUTED_VALUE"""),3688.0)</f>
        <v>3688</v>
      </c>
    </row>
    <row r="4077" ht="15.75" customHeight="1">
      <c r="A4077" t="str">
        <f t="shared" si="1"/>
        <v>P.denticola</v>
      </c>
      <c r="B4077" s="5" t="s">
        <v>24727</v>
      </c>
      <c r="C4077" s="6" t="str">
        <f>IFERROR(__xludf.DUMMYFUNCTION("SPLIT('2. c'!B4077, "" "", True, True)"),"Prevotella")</f>
        <v>Prevotella</v>
      </c>
      <c r="D4077" t="str">
        <f>IFERROR(__xludf.DUMMYFUNCTION("""COMPUTED_VALUE"""),"denticola")</f>
        <v>denticola</v>
      </c>
      <c r="E4077" t="str">
        <f>IFERROR(__xludf.DUMMYFUNCTION("""COMPUTED_VALUE"""),"F0289")</f>
        <v>F0289</v>
      </c>
    </row>
    <row r="4078" ht="15.75" customHeight="1">
      <c r="A4078" t="str">
        <f t="shared" si="1"/>
        <v>P.enoeca</v>
      </c>
      <c r="B4078" s="5" t="s">
        <v>24732</v>
      </c>
      <c r="C4078" s="6" t="str">
        <f>IFERROR(__xludf.DUMMYFUNCTION("SPLIT('2. c'!B4078, "" "", True, True)"),"Prevotella")</f>
        <v>Prevotella</v>
      </c>
      <c r="D4078" t="str">
        <f>IFERROR(__xludf.DUMMYFUNCTION("""COMPUTED_VALUE"""),"enoeca")</f>
        <v>enoeca</v>
      </c>
      <c r="E4078" t="str">
        <f>IFERROR(__xludf.DUMMYFUNCTION("""COMPUTED_VALUE"""),"strain")</f>
        <v>strain</v>
      </c>
      <c r="F4078" t="str">
        <f>IFERROR(__xludf.DUMMYFUNCTION("""COMPUTED_VALUE"""),"F0113")</f>
        <v>F0113</v>
      </c>
    </row>
    <row r="4079" ht="15.75" customHeight="1">
      <c r="A4079" t="str">
        <f t="shared" si="1"/>
        <v>P.intermedia</v>
      </c>
      <c r="B4079" s="5" t="s">
        <v>24737</v>
      </c>
      <c r="C4079" s="6" t="str">
        <f>IFERROR(__xludf.DUMMYFUNCTION("SPLIT('2. c'!B4079, "" "", True, True)"),"Prevotella")</f>
        <v>Prevotella</v>
      </c>
      <c r="D4079" t="str">
        <f>IFERROR(__xludf.DUMMYFUNCTION("""COMPUTED_VALUE"""),"intermedia")</f>
        <v>intermedia</v>
      </c>
      <c r="E4079">
        <f>IFERROR(__xludf.DUMMYFUNCTION("""COMPUTED_VALUE"""),17.0)</f>
        <v>17</v>
      </c>
    </row>
    <row r="4080" ht="15.75" customHeight="1">
      <c r="A4080" t="str">
        <f t="shared" si="1"/>
        <v>P.intermedia</v>
      </c>
      <c r="B4080" s="5" t="s">
        <v>24742</v>
      </c>
      <c r="C4080" s="6" t="str">
        <f>IFERROR(__xludf.DUMMYFUNCTION("SPLIT('2. c'!B4080, "" "", True, True)"),"Prevotella")</f>
        <v>Prevotella</v>
      </c>
      <c r="D4080" t="str">
        <f>IFERROR(__xludf.DUMMYFUNCTION("""COMPUTED_VALUE"""),"intermedia")</f>
        <v>intermedia</v>
      </c>
      <c r="E4080" t="str">
        <f>IFERROR(__xludf.DUMMYFUNCTION("""COMPUTED_VALUE"""),"strain")</f>
        <v>strain</v>
      </c>
      <c r="F4080" s="25">
        <f>IFERROR(__xludf.DUMMYFUNCTION("""COMPUTED_VALUE"""),43148.0)</f>
        <v>43148</v>
      </c>
    </row>
    <row r="4081" ht="15.75" customHeight="1">
      <c r="A4081" t="str">
        <f t="shared" si="1"/>
        <v>P.melaninogenica</v>
      </c>
      <c r="B4081" s="5" t="s">
        <v>24751</v>
      </c>
      <c r="C4081" s="6" t="str">
        <f>IFERROR(__xludf.DUMMYFUNCTION("SPLIT('2. c'!B4081, "" "", True, True)"),"Prevotella")</f>
        <v>Prevotella</v>
      </c>
      <c r="D4081" t="str">
        <f>IFERROR(__xludf.DUMMYFUNCTION("""COMPUTED_VALUE"""),"melaninogenica")</f>
        <v>melaninogenica</v>
      </c>
      <c r="E4081" t="str">
        <f>IFERROR(__xludf.DUMMYFUNCTION("""COMPUTED_VALUE"""),"ATCC")</f>
        <v>ATCC</v>
      </c>
      <c r="F4081">
        <f>IFERROR(__xludf.DUMMYFUNCTION("""COMPUTED_VALUE"""),25845.0)</f>
        <v>25845</v>
      </c>
    </row>
    <row r="4082" ht="15.75" customHeight="1">
      <c r="A4082" t="str">
        <f t="shared" si="1"/>
        <v>P.ruminicola</v>
      </c>
      <c r="B4082" s="5" t="s">
        <v>24759</v>
      </c>
      <c r="C4082" s="6" t="str">
        <f>IFERROR(__xludf.DUMMYFUNCTION("SPLIT('2. c'!B4082, "" "", True, True)"),"Prevotella")</f>
        <v>Prevotella</v>
      </c>
      <c r="D4082" t="str">
        <f>IFERROR(__xludf.DUMMYFUNCTION("""COMPUTED_VALUE"""),"ruminicola")</f>
        <v>ruminicola</v>
      </c>
      <c r="E4082">
        <f>IFERROR(__xludf.DUMMYFUNCTION("""COMPUTED_VALUE"""),23.0)</f>
        <v>23</v>
      </c>
    </row>
    <row r="4083" ht="15.75" customHeight="1">
      <c r="A4083" t="str">
        <f t="shared" si="1"/>
        <v>P.marinus</v>
      </c>
      <c r="B4083" s="5" t="s">
        <v>24767</v>
      </c>
      <c r="C4083" s="6" t="str">
        <f>IFERROR(__xludf.DUMMYFUNCTION("SPLIT('2. c'!B4083, "" "", True, True)"),"Prochlorococcus")</f>
        <v>Prochlorococcus</v>
      </c>
      <c r="D4083" t="str">
        <f>IFERROR(__xludf.DUMMYFUNCTION("""COMPUTED_VALUE"""),"marinus")</f>
        <v>marinus</v>
      </c>
      <c r="E4083" t="str">
        <f>IFERROR(__xludf.DUMMYFUNCTION("""COMPUTED_VALUE"""),"bv.")</f>
        <v>bv.</v>
      </c>
      <c r="F4083" t="str">
        <f>IFERROR(__xludf.DUMMYFUNCTION("""COMPUTED_VALUE"""),"HNLC1")</f>
        <v>HNLC1</v>
      </c>
    </row>
    <row r="4084" ht="15.75" customHeight="1">
      <c r="A4084" t="str">
        <f t="shared" si="1"/>
        <v>P.marinus</v>
      </c>
      <c r="B4084" s="5" t="s">
        <v>24775</v>
      </c>
      <c r="C4084" s="6" t="str">
        <f>IFERROR(__xludf.DUMMYFUNCTION("SPLIT('2. c'!B4084, "" "", True, True)"),"Prochlorococcus")</f>
        <v>Prochlorococcus</v>
      </c>
      <c r="D4084" t="str">
        <f>IFERROR(__xludf.DUMMYFUNCTION("""COMPUTED_VALUE"""),"marinus")</f>
        <v>marinus</v>
      </c>
      <c r="E4084" t="str">
        <f>IFERROR(__xludf.DUMMYFUNCTION("""COMPUTED_VALUE"""),"bv.")</f>
        <v>bv.</v>
      </c>
      <c r="F4084" t="str">
        <f>IFERROR(__xludf.DUMMYFUNCTION("""COMPUTED_VALUE"""),"HNLC2")</f>
        <v>HNLC2</v>
      </c>
    </row>
    <row r="4085" ht="15.75" customHeight="1">
      <c r="A4085" t="str">
        <f t="shared" si="1"/>
        <v>P.marinus</v>
      </c>
      <c r="B4085" s="5" t="s">
        <v>24783</v>
      </c>
      <c r="C4085" s="6" t="str">
        <f>IFERROR(__xludf.DUMMYFUNCTION("SPLIT('2. c'!B4085, "" "", True, True)"),"Prochlorococcus")</f>
        <v>Prochlorococcus</v>
      </c>
      <c r="D4085" t="str">
        <f>IFERROR(__xludf.DUMMYFUNCTION("""COMPUTED_VALUE"""),"marinus")</f>
        <v>marinus</v>
      </c>
      <c r="E4085" t="str">
        <f>IFERROR(__xludf.DUMMYFUNCTION("""COMPUTED_VALUE"""),"str.")</f>
        <v>str.</v>
      </c>
      <c r="F4085" t="str">
        <f>IFERROR(__xludf.DUMMYFUNCTION("""COMPUTED_VALUE"""),"AS9601")</f>
        <v>AS9601</v>
      </c>
    </row>
    <row r="4086" ht="15.75" customHeight="1">
      <c r="A4086" t="str">
        <f t="shared" si="1"/>
        <v>P.marinus</v>
      </c>
      <c r="B4086" s="5" t="s">
        <v>24791</v>
      </c>
      <c r="C4086" s="6" t="str">
        <f>IFERROR(__xludf.DUMMYFUNCTION("SPLIT('2. c'!B4086, "" "", True, True)"),"Prochlorococcus")</f>
        <v>Prochlorococcus</v>
      </c>
      <c r="D4086" t="str">
        <f>IFERROR(__xludf.DUMMYFUNCTION("""COMPUTED_VALUE"""),"marinus")</f>
        <v>marinus</v>
      </c>
      <c r="E4086" t="str">
        <f>IFERROR(__xludf.DUMMYFUNCTION("""COMPUTED_VALUE"""),"str.")</f>
        <v>str.</v>
      </c>
      <c r="F4086" t="str">
        <f>IFERROR(__xludf.DUMMYFUNCTION("""COMPUTED_VALUE"""),"MIT")</f>
        <v>MIT</v>
      </c>
      <c r="G4086">
        <f>IFERROR(__xludf.DUMMYFUNCTION("""COMPUTED_VALUE"""),9211.0)</f>
        <v>9211</v>
      </c>
    </row>
    <row r="4087" ht="15.75" customHeight="1">
      <c r="A4087" t="str">
        <f t="shared" si="1"/>
        <v>P.marinus</v>
      </c>
      <c r="B4087" s="5" t="s">
        <v>24801</v>
      </c>
      <c r="C4087" s="6" t="str">
        <f>IFERROR(__xludf.DUMMYFUNCTION("SPLIT('2. c'!B4087, "" "", True, True)"),"Prochlorococcus")</f>
        <v>Prochlorococcus</v>
      </c>
      <c r="D4087" t="str">
        <f>IFERROR(__xludf.DUMMYFUNCTION("""COMPUTED_VALUE"""),"marinus")</f>
        <v>marinus</v>
      </c>
      <c r="E4087" t="str">
        <f>IFERROR(__xludf.DUMMYFUNCTION("""COMPUTED_VALUE"""),"str.")</f>
        <v>str.</v>
      </c>
      <c r="F4087" t="str">
        <f>IFERROR(__xludf.DUMMYFUNCTION("""COMPUTED_VALUE"""),"MIT")</f>
        <v>MIT</v>
      </c>
      <c r="G4087">
        <f>IFERROR(__xludf.DUMMYFUNCTION("""COMPUTED_VALUE"""),9215.0)</f>
        <v>9215</v>
      </c>
    </row>
    <row r="4088" ht="15.75" customHeight="1">
      <c r="A4088" t="str">
        <f t="shared" si="1"/>
        <v>P.marinus</v>
      </c>
      <c r="B4088" s="5" t="s">
        <v>24811</v>
      </c>
      <c r="C4088" s="6" t="str">
        <f>IFERROR(__xludf.DUMMYFUNCTION("SPLIT('2. c'!B4088, "" "", True, True)"),"Prochlorococcus")</f>
        <v>Prochlorococcus</v>
      </c>
      <c r="D4088" t="str">
        <f>IFERROR(__xludf.DUMMYFUNCTION("""COMPUTED_VALUE"""),"marinus")</f>
        <v>marinus</v>
      </c>
      <c r="E4088" t="str">
        <f>IFERROR(__xludf.DUMMYFUNCTION("""COMPUTED_VALUE"""),"str.")</f>
        <v>str.</v>
      </c>
      <c r="F4088" t="str">
        <f>IFERROR(__xludf.DUMMYFUNCTION("""COMPUTED_VALUE"""),"MIT")</f>
        <v>MIT</v>
      </c>
      <c r="G4088">
        <f>IFERROR(__xludf.DUMMYFUNCTION("""COMPUTED_VALUE"""),9301.0)</f>
        <v>9301</v>
      </c>
    </row>
    <row r="4089" ht="15.75" customHeight="1">
      <c r="A4089" t="str">
        <f t="shared" si="1"/>
        <v>P.marinus</v>
      </c>
      <c r="B4089" s="5" t="s">
        <v>24823</v>
      </c>
      <c r="C4089" s="6" t="str">
        <f>IFERROR(__xludf.DUMMYFUNCTION("SPLIT('2. c'!B4089, "" "", True, True)"),"Prochlorococcus")</f>
        <v>Prochlorococcus</v>
      </c>
      <c r="D4089" t="str">
        <f>IFERROR(__xludf.DUMMYFUNCTION("""COMPUTED_VALUE"""),"marinus")</f>
        <v>marinus</v>
      </c>
      <c r="E4089" t="str">
        <f>IFERROR(__xludf.DUMMYFUNCTION("""COMPUTED_VALUE"""),"str.")</f>
        <v>str.</v>
      </c>
      <c r="F4089" t="str">
        <f>IFERROR(__xludf.DUMMYFUNCTION("""COMPUTED_VALUE"""),"MIT")</f>
        <v>MIT</v>
      </c>
      <c r="G4089">
        <f>IFERROR(__xludf.DUMMYFUNCTION("""COMPUTED_VALUE"""),9303.0)</f>
        <v>9303</v>
      </c>
    </row>
    <row r="4090" ht="15.75" customHeight="1">
      <c r="A4090" t="str">
        <f t="shared" si="1"/>
        <v>P.marinus</v>
      </c>
      <c r="B4090" s="5" t="s">
        <v>24832</v>
      </c>
      <c r="C4090" s="6" t="str">
        <f>IFERROR(__xludf.DUMMYFUNCTION("SPLIT('2. c'!B4090, "" "", True, True)"),"Prochlorococcus")</f>
        <v>Prochlorococcus</v>
      </c>
      <c r="D4090" t="str">
        <f>IFERROR(__xludf.DUMMYFUNCTION("""COMPUTED_VALUE"""),"marinus")</f>
        <v>marinus</v>
      </c>
      <c r="E4090" t="str">
        <f>IFERROR(__xludf.DUMMYFUNCTION("""COMPUTED_VALUE"""),"str.")</f>
        <v>str.</v>
      </c>
      <c r="F4090" t="str">
        <f>IFERROR(__xludf.DUMMYFUNCTION("""COMPUTED_VALUE"""),"MIT")</f>
        <v>MIT</v>
      </c>
      <c r="G4090">
        <f>IFERROR(__xludf.DUMMYFUNCTION("""COMPUTED_VALUE"""),9312.0)</f>
        <v>9312</v>
      </c>
    </row>
    <row r="4091" ht="15.75" customHeight="1">
      <c r="A4091" t="str">
        <f t="shared" si="1"/>
        <v>P.marinus</v>
      </c>
      <c r="B4091" s="5" t="s">
        <v>24843</v>
      </c>
      <c r="C4091" s="6" t="str">
        <f>IFERROR(__xludf.DUMMYFUNCTION("SPLIT('2. c'!B4091, "" "", True, True)"),"Prochlorococcus")</f>
        <v>Prochlorococcus</v>
      </c>
      <c r="D4091" t="str">
        <f>IFERROR(__xludf.DUMMYFUNCTION("""COMPUTED_VALUE"""),"marinus")</f>
        <v>marinus</v>
      </c>
      <c r="E4091" t="str">
        <f>IFERROR(__xludf.DUMMYFUNCTION("""COMPUTED_VALUE"""),"str.")</f>
        <v>str.</v>
      </c>
      <c r="F4091" t="str">
        <f>IFERROR(__xludf.DUMMYFUNCTION("""COMPUTED_VALUE"""),"MIT")</f>
        <v>MIT</v>
      </c>
      <c r="G4091">
        <f>IFERROR(__xludf.DUMMYFUNCTION("""COMPUTED_VALUE"""),9313.0)</f>
        <v>9313</v>
      </c>
    </row>
    <row r="4092" ht="15.75" customHeight="1">
      <c r="A4092" t="str">
        <f t="shared" si="1"/>
        <v>P.marinus</v>
      </c>
      <c r="B4092" s="5" t="s">
        <v>24855</v>
      </c>
      <c r="C4092" s="6" t="str">
        <f>IFERROR(__xludf.DUMMYFUNCTION("SPLIT('2. c'!B4092, "" "", True, True)"),"Prochlorococcus")</f>
        <v>Prochlorococcus</v>
      </c>
      <c r="D4092" t="str">
        <f>IFERROR(__xludf.DUMMYFUNCTION("""COMPUTED_VALUE"""),"marinus")</f>
        <v>marinus</v>
      </c>
      <c r="E4092" t="str">
        <f>IFERROR(__xludf.DUMMYFUNCTION("""COMPUTED_VALUE"""),"str.")</f>
        <v>str.</v>
      </c>
      <c r="F4092" t="str">
        <f>IFERROR(__xludf.DUMMYFUNCTION("""COMPUTED_VALUE"""),"MIT")</f>
        <v>MIT</v>
      </c>
      <c r="G4092">
        <f>IFERROR(__xludf.DUMMYFUNCTION("""COMPUTED_VALUE"""),9515.0)</f>
        <v>9515</v>
      </c>
    </row>
    <row r="4093" ht="15.75" customHeight="1">
      <c r="A4093" t="str">
        <f t="shared" si="1"/>
        <v>P.marinus</v>
      </c>
      <c r="B4093" s="5" t="s">
        <v>24863</v>
      </c>
      <c r="C4093" s="6" t="str">
        <f>IFERROR(__xludf.DUMMYFUNCTION("SPLIT('2. c'!B4093, "" "", True, True)"),"Prochlorococcus")</f>
        <v>Prochlorococcus</v>
      </c>
      <c r="D4093" t="str">
        <f>IFERROR(__xludf.DUMMYFUNCTION("""COMPUTED_VALUE"""),"marinus")</f>
        <v>marinus</v>
      </c>
      <c r="E4093" t="str">
        <f>IFERROR(__xludf.DUMMYFUNCTION("""COMPUTED_VALUE"""),"str.")</f>
        <v>str.</v>
      </c>
      <c r="F4093" t="str">
        <f>IFERROR(__xludf.DUMMYFUNCTION("""COMPUTED_VALUE"""),"NATL1A")</f>
        <v>NATL1A</v>
      </c>
    </row>
    <row r="4094" ht="15.75" customHeight="1">
      <c r="A4094" t="str">
        <f t="shared" si="1"/>
        <v>P.marinus</v>
      </c>
      <c r="B4094" s="5" t="s">
        <v>24871</v>
      </c>
      <c r="C4094" s="6" t="str">
        <f>IFERROR(__xludf.DUMMYFUNCTION("SPLIT('2. c'!B4094, "" "", True, True)"),"Prochlorococcus")</f>
        <v>Prochlorococcus</v>
      </c>
      <c r="D4094" t="str">
        <f>IFERROR(__xludf.DUMMYFUNCTION("""COMPUTED_VALUE"""),"marinus")</f>
        <v>marinus</v>
      </c>
      <c r="E4094" t="str">
        <f>IFERROR(__xludf.DUMMYFUNCTION("""COMPUTED_VALUE"""),"str.")</f>
        <v>str.</v>
      </c>
      <c r="F4094" t="str">
        <f>IFERROR(__xludf.DUMMYFUNCTION("""COMPUTED_VALUE"""),"NATL2A")</f>
        <v>NATL2A</v>
      </c>
    </row>
    <row r="4095" ht="15.75" customHeight="1">
      <c r="A4095" t="str">
        <f t="shared" si="1"/>
        <v>P.marinus</v>
      </c>
      <c r="B4095" s="5" t="s">
        <v>24880</v>
      </c>
      <c r="C4095" s="6" t="str">
        <f>IFERROR(__xludf.DUMMYFUNCTION("SPLIT('2. c'!B4095, "" "", True, True)"),"Prochlorococcus")</f>
        <v>Prochlorococcus</v>
      </c>
      <c r="D4095" t="str">
        <f>IFERROR(__xludf.DUMMYFUNCTION("""COMPUTED_VALUE"""),"marinus")</f>
        <v>marinus</v>
      </c>
      <c r="E4095" t="str">
        <f>IFERROR(__xludf.DUMMYFUNCTION("""COMPUTED_VALUE"""),"subsp.")</f>
        <v>subsp.</v>
      </c>
      <c r="F4095" t="str">
        <f>IFERROR(__xludf.DUMMYFUNCTION("""COMPUTED_VALUE"""),"marinus")</f>
        <v>marinus</v>
      </c>
      <c r="G4095" t="str">
        <f>IFERROR(__xludf.DUMMYFUNCTION("""COMPUTED_VALUE"""),"str.")</f>
        <v>str.</v>
      </c>
      <c r="H4095" t="str">
        <f>IFERROR(__xludf.DUMMYFUNCTION("""COMPUTED_VALUE"""),"CCMP1375")</f>
        <v>CCMP1375</v>
      </c>
    </row>
    <row r="4096" ht="15.75" customHeight="1">
      <c r="A4096" t="str">
        <f t="shared" si="1"/>
        <v>P.marinus</v>
      </c>
      <c r="B4096" s="5" t="s">
        <v>24891</v>
      </c>
      <c r="C4096" s="6" t="str">
        <f>IFERROR(__xludf.DUMMYFUNCTION("SPLIT('2. c'!B4096, "" "", True, True)"),"Prochlorococcus")</f>
        <v>Prochlorococcus</v>
      </c>
      <c r="D4096" t="str">
        <f>IFERROR(__xludf.DUMMYFUNCTION("""COMPUTED_VALUE"""),"marinus")</f>
        <v>marinus</v>
      </c>
      <c r="E4096" t="str">
        <f>IFERROR(__xludf.DUMMYFUNCTION("""COMPUTED_VALUE"""),"subsp.")</f>
        <v>subsp.</v>
      </c>
      <c r="F4096" t="str">
        <f>IFERROR(__xludf.DUMMYFUNCTION("""COMPUTED_VALUE"""),"pastoris")</f>
        <v>pastoris</v>
      </c>
      <c r="G4096" t="str">
        <f>IFERROR(__xludf.DUMMYFUNCTION("""COMPUTED_VALUE"""),"str.")</f>
        <v>str.</v>
      </c>
      <c r="H4096" t="str">
        <f>IFERROR(__xludf.DUMMYFUNCTION("""COMPUTED_VALUE"""),"CCMP1986")</f>
        <v>CCMP1986</v>
      </c>
    </row>
    <row r="4097" ht="15.75" customHeight="1">
      <c r="A4097" t="str">
        <f t="shared" si="1"/>
        <v>P.sp.</v>
      </c>
      <c r="B4097" s="5" t="s">
        <v>24899</v>
      </c>
      <c r="C4097" s="6" t="str">
        <f>IFERROR(__xludf.DUMMYFUNCTION("SPLIT('2. c'!B4097, "" "", True, True)"),"Prochlorococcus")</f>
        <v>Prochlorococcus</v>
      </c>
      <c r="D4097" t="str">
        <f>IFERROR(__xludf.DUMMYFUNCTION("""COMPUTED_VALUE"""),"sp.")</f>
        <v>sp.</v>
      </c>
      <c r="E4097" t="str">
        <f>IFERROR(__xludf.DUMMYFUNCTION("""COMPUTED_VALUE"""),"MIT")</f>
        <v>MIT</v>
      </c>
      <c r="F4097">
        <f>IFERROR(__xludf.DUMMYFUNCTION("""COMPUTED_VALUE"""),604.0)</f>
        <v>604</v>
      </c>
    </row>
    <row r="4098" ht="15.75" customHeight="1">
      <c r="A4098" t="str">
        <f t="shared" si="1"/>
        <v>P.sp.</v>
      </c>
      <c r="B4098" s="5" t="s">
        <v>24909</v>
      </c>
      <c r="C4098" s="6" t="str">
        <f>IFERROR(__xludf.DUMMYFUNCTION("SPLIT('2. c'!B4098, "" "", True, True)"),"Prochlorococcus")</f>
        <v>Prochlorococcus</v>
      </c>
      <c r="D4098" t="str">
        <f>IFERROR(__xludf.DUMMYFUNCTION("""COMPUTED_VALUE"""),"sp.")</f>
        <v>sp.</v>
      </c>
      <c r="E4098" t="str">
        <f>IFERROR(__xludf.DUMMYFUNCTION("""COMPUTED_VALUE"""),"MIT")</f>
        <v>MIT</v>
      </c>
      <c r="F4098">
        <f>IFERROR(__xludf.DUMMYFUNCTION("""COMPUTED_VALUE"""),801.0)</f>
        <v>801</v>
      </c>
    </row>
    <row r="4099" ht="15.75" customHeight="1">
      <c r="A4099" t="str">
        <f t="shared" si="1"/>
        <v>P.acidipropionici</v>
      </c>
      <c r="B4099" s="5" t="s">
        <v>24919</v>
      </c>
      <c r="C4099" s="6" t="str">
        <f>IFERROR(__xludf.DUMMYFUNCTION("SPLIT('2. c'!B4099, "" "", True, True)"),"Propionibacterium")</f>
        <v>Propionibacterium</v>
      </c>
      <c r="D4099" t="str">
        <f>IFERROR(__xludf.DUMMYFUNCTION("""COMPUTED_VALUE"""),"acidipropionici")</f>
        <v>acidipropionici</v>
      </c>
      <c r="E4099" t="str">
        <f>IFERROR(__xludf.DUMMYFUNCTION("""COMPUTED_VALUE"""),"ATCC")</f>
        <v>ATCC</v>
      </c>
      <c r="F4099">
        <f>IFERROR(__xludf.DUMMYFUNCTION("""COMPUTED_VALUE"""),4875.0)</f>
        <v>4875</v>
      </c>
    </row>
    <row r="4100" ht="15.75" customHeight="1">
      <c r="A4100" t="str">
        <f t="shared" si="1"/>
        <v>P.acidipropionici</v>
      </c>
      <c r="B4100" s="5" t="s">
        <v>24923</v>
      </c>
      <c r="C4100" s="6" t="str">
        <f>IFERROR(__xludf.DUMMYFUNCTION("SPLIT('2. c'!B4100, "" "", True, True)"),"Propionibacterium")</f>
        <v>Propionibacterium</v>
      </c>
      <c r="D4100" t="str">
        <f>IFERROR(__xludf.DUMMYFUNCTION("""COMPUTED_VALUE"""),"acidipropionici")</f>
        <v>acidipropionici</v>
      </c>
      <c r="E4100" t="str">
        <f>IFERROR(__xludf.DUMMYFUNCTION("""COMPUTED_VALUE"""),"strain")</f>
        <v>strain</v>
      </c>
      <c r="F4100" t="str">
        <f>IFERROR(__xludf.DUMMYFUNCTION("""COMPUTED_VALUE"""),"ATCC")</f>
        <v>ATCC</v>
      </c>
      <c r="G4100">
        <f>IFERROR(__xludf.DUMMYFUNCTION("""COMPUTED_VALUE"""),55737.0)</f>
        <v>55737</v>
      </c>
    </row>
    <row r="4101" ht="15.75" customHeight="1">
      <c r="A4101" t="str">
        <f t="shared" si="1"/>
        <v>P.acidipropionici</v>
      </c>
      <c r="B4101" s="5" t="s">
        <v>24931</v>
      </c>
      <c r="C4101" s="6" t="str">
        <f>IFERROR(__xludf.DUMMYFUNCTION("SPLIT('2. c'!B4101, "" "", True, True)"),"Propionibacterium")</f>
        <v>Propionibacterium</v>
      </c>
      <c r="D4101" t="str">
        <f>IFERROR(__xludf.DUMMYFUNCTION("""COMPUTED_VALUE"""),"acidipropionici")</f>
        <v>acidipropionici</v>
      </c>
      <c r="E4101" t="str">
        <f>IFERROR(__xludf.DUMMYFUNCTION("""COMPUTED_VALUE"""),"strain")</f>
        <v>strain</v>
      </c>
      <c r="F4101" t="str">
        <f>IFERROR(__xludf.DUMMYFUNCTION("""COMPUTED_VALUE"""),"CGMCC")</f>
        <v>CGMCC</v>
      </c>
      <c r="G4101" s="14">
        <f>IFERROR(__xludf.DUMMYFUNCTION("""COMPUTED_VALUE"""),120532.0)</f>
        <v>120532</v>
      </c>
    </row>
    <row r="4102" ht="15.75" customHeight="1">
      <c r="A4102" t="str">
        <f t="shared" si="1"/>
        <v>P.acnes</v>
      </c>
      <c r="B4102" s="5" t="s">
        <v>24946</v>
      </c>
      <c r="C4102" s="6" t="str">
        <f>IFERROR(__xludf.DUMMYFUNCTION("SPLIT('2. c'!B4102, "" "", True, True)"),"Propionibacterium")</f>
        <v>Propionibacterium</v>
      </c>
      <c r="D4102" t="str">
        <f>IFERROR(__xludf.DUMMYFUNCTION("""COMPUTED_VALUE"""),"acnes")</f>
        <v>acnes</v>
      </c>
      <c r="E4102">
        <f>IFERROR(__xludf.DUMMYFUNCTION("""COMPUTED_VALUE"""),266.0)</f>
        <v>266</v>
      </c>
    </row>
    <row r="4103" ht="15.75" customHeight="1">
      <c r="A4103" t="str">
        <f t="shared" si="1"/>
        <v>P.acnes</v>
      </c>
      <c r="B4103" s="5" t="s">
        <v>24951</v>
      </c>
      <c r="C4103" s="6" t="str">
        <f>IFERROR(__xludf.DUMMYFUNCTION("SPLIT('2. c'!B4103, "" "", True, True)"),"Propionibacterium")</f>
        <v>Propionibacterium</v>
      </c>
      <c r="D4103" t="str">
        <f>IFERROR(__xludf.DUMMYFUNCTION("""COMPUTED_VALUE"""),"acnes")</f>
        <v>acnes</v>
      </c>
      <c r="E4103">
        <f>IFERROR(__xludf.DUMMYFUNCTION("""COMPUTED_VALUE"""),6609.0)</f>
        <v>6609</v>
      </c>
    </row>
    <row r="4104" ht="15.75" customHeight="1">
      <c r="A4104" t="str">
        <f t="shared" si="1"/>
        <v>P.acnes</v>
      </c>
      <c r="B4104" s="5" t="s">
        <v>24957</v>
      </c>
      <c r="C4104" s="6" t="str">
        <f>IFERROR(__xludf.DUMMYFUNCTION("SPLIT('2. c'!B4104, "" "", True, True)"),"Propionibacterium")</f>
        <v>Propionibacterium</v>
      </c>
      <c r="D4104" t="str">
        <f>IFERROR(__xludf.DUMMYFUNCTION("""COMPUTED_VALUE"""),"acnes")</f>
        <v>acnes</v>
      </c>
      <c r="E4104" t="str">
        <f>IFERROR(__xludf.DUMMYFUNCTION("""COMPUTED_VALUE"""),"ATCC")</f>
        <v>ATCC</v>
      </c>
      <c r="F4104">
        <f>IFERROR(__xludf.DUMMYFUNCTION("""COMPUTED_VALUE"""),11828.0)</f>
        <v>11828</v>
      </c>
    </row>
    <row r="4105" ht="15.75" customHeight="1">
      <c r="A4105" t="str">
        <f t="shared" si="1"/>
        <v>P.acnes</v>
      </c>
      <c r="B4105" s="5" t="s">
        <v>24967</v>
      </c>
      <c r="C4105" s="6" t="str">
        <f>IFERROR(__xludf.DUMMYFUNCTION("SPLIT('2. c'!B4105, "" "", True, True)"),"Propionibacterium")</f>
        <v>Propionibacterium</v>
      </c>
      <c r="D4105" t="str">
        <f>IFERROR(__xludf.DUMMYFUNCTION("""COMPUTED_VALUE"""),"acnes")</f>
        <v>acnes</v>
      </c>
      <c r="E4105" t="str">
        <f>IFERROR(__xludf.DUMMYFUNCTION("""COMPUTED_VALUE"""),"C1")</f>
        <v>C1</v>
      </c>
    </row>
    <row r="4106" ht="15.75" customHeight="1">
      <c r="A4106" t="str">
        <f t="shared" si="1"/>
        <v>P.acnes</v>
      </c>
      <c r="B4106" s="5" t="s">
        <v>24977</v>
      </c>
      <c r="C4106" s="6" t="str">
        <f>IFERROR(__xludf.DUMMYFUNCTION("SPLIT('2. c'!B4106, "" "", True, True)"),"Propionibacterium")</f>
        <v>Propionibacterium</v>
      </c>
      <c r="D4106" t="str">
        <f>IFERROR(__xludf.DUMMYFUNCTION("""COMPUTED_VALUE"""),"acnes")</f>
        <v>acnes</v>
      </c>
      <c r="E4106" t="str">
        <f>IFERROR(__xludf.DUMMYFUNCTION("""COMPUTED_VALUE"""),"hdn-1")</f>
        <v>hdn-1</v>
      </c>
    </row>
    <row r="4107" ht="15.75" customHeight="1">
      <c r="A4107" t="str">
        <f t="shared" si="1"/>
        <v>P.acnes</v>
      </c>
      <c r="B4107" s="5" t="s">
        <v>24982</v>
      </c>
      <c r="C4107" s="6" t="str">
        <f>IFERROR(__xludf.DUMMYFUNCTION("SPLIT('2. c'!B4107, "" "", True, True)"),"Propionibacterium")</f>
        <v>Propionibacterium</v>
      </c>
      <c r="D4107" t="str">
        <f>IFERROR(__xludf.DUMMYFUNCTION("""COMPUTED_VALUE"""),"acnes")</f>
        <v>acnes</v>
      </c>
      <c r="E4107" t="str">
        <f>IFERROR(__xludf.DUMMYFUNCTION("""COMPUTED_VALUE"""),"HL096PA1")</f>
        <v>HL096PA1</v>
      </c>
    </row>
    <row r="4108" ht="15.75" customHeight="1">
      <c r="A4108" t="str">
        <f t="shared" si="1"/>
        <v>P.acnes</v>
      </c>
      <c r="B4108" s="5" t="s">
        <v>24986</v>
      </c>
      <c r="C4108" s="6" t="str">
        <f>IFERROR(__xludf.DUMMYFUNCTION("SPLIT('2. c'!B4108, "" "", True, True)"),"Propionibacterium")</f>
        <v>Propionibacterium</v>
      </c>
      <c r="D4108" t="str">
        <f>IFERROR(__xludf.DUMMYFUNCTION("""COMPUTED_VALUE"""),"acnes")</f>
        <v>acnes</v>
      </c>
      <c r="E4108" t="str">
        <f>IFERROR(__xludf.DUMMYFUNCTION("""COMPUTED_VALUE"""),"KPA171202")</f>
        <v>KPA171202</v>
      </c>
    </row>
    <row r="4109" ht="15.75" customHeight="1">
      <c r="A4109" t="str">
        <f t="shared" si="1"/>
        <v>P.acnes</v>
      </c>
      <c r="B4109" s="5" t="s">
        <v>24992</v>
      </c>
      <c r="C4109" s="6" t="str">
        <f>IFERROR(__xludf.DUMMYFUNCTION("SPLIT('2. c'!B4109, "" "", True, True)"),"Propionibacterium")</f>
        <v>Propionibacterium</v>
      </c>
      <c r="D4109" t="str">
        <f>IFERROR(__xludf.DUMMYFUNCTION("""COMPUTED_VALUE"""),"acnes")</f>
        <v>acnes</v>
      </c>
      <c r="E4109" t="str">
        <f>IFERROR(__xludf.DUMMYFUNCTION("""COMPUTED_VALUE"""),"SK137")</f>
        <v>SK137</v>
      </c>
    </row>
    <row r="4110" ht="15.75" customHeight="1">
      <c r="A4110" t="str">
        <f t="shared" si="1"/>
        <v>P.acnes</v>
      </c>
      <c r="B4110" s="5" t="s">
        <v>24997</v>
      </c>
      <c r="C4110" s="6" t="str">
        <f>IFERROR(__xludf.DUMMYFUNCTION("SPLIT('2. c'!B4110, "" "", True, True)"),"Propionibacterium")</f>
        <v>Propionibacterium</v>
      </c>
      <c r="D4110" t="str">
        <f>IFERROR(__xludf.DUMMYFUNCTION("""COMPUTED_VALUE"""),"acnes")</f>
        <v>acnes</v>
      </c>
      <c r="E4110" t="str">
        <f>IFERROR(__xludf.DUMMYFUNCTION("""COMPUTED_VALUE"""),"strain")</f>
        <v>strain</v>
      </c>
      <c r="F4110" t="str">
        <f>IFERROR(__xludf.DUMMYFUNCTION("""COMPUTED_VALUE"""),"A1-14")</f>
        <v>A1-14</v>
      </c>
    </row>
    <row r="4111" ht="15.75" customHeight="1">
      <c r="A4111" t="str">
        <f t="shared" si="1"/>
        <v>P.acnes</v>
      </c>
      <c r="B4111" s="5" t="s">
        <v>25001</v>
      </c>
      <c r="C4111" s="6" t="str">
        <f>IFERROR(__xludf.DUMMYFUNCTION("SPLIT('2. c'!B4111, "" "", True, True)"),"Propionibacterium")</f>
        <v>Propionibacterium</v>
      </c>
      <c r="D4111" t="str">
        <f>IFERROR(__xludf.DUMMYFUNCTION("""COMPUTED_VALUE"""),"acnes")</f>
        <v>acnes</v>
      </c>
      <c r="E4111" t="str">
        <f>IFERROR(__xludf.DUMMYFUNCTION("""COMPUTED_VALUE"""),"strain")</f>
        <v>strain</v>
      </c>
      <c r="F4111" t="str">
        <f>IFERROR(__xludf.DUMMYFUNCTION("""COMPUTED_VALUE"""),"KCOM")</f>
        <v>KCOM</v>
      </c>
      <c r="G4111">
        <f>IFERROR(__xludf.DUMMYFUNCTION("""COMPUTED_VALUE"""),1861.0)</f>
        <v>1861</v>
      </c>
      <c r="H4111" t="str">
        <f>IFERROR(__xludf.DUMMYFUNCTION("""COMPUTED_VALUE"""),"(=")</f>
        <v>(=</v>
      </c>
      <c r="I4111" t="str">
        <f>IFERROR(__xludf.DUMMYFUNCTION("""COMPUTED_VALUE"""),"ChDC")</f>
        <v>ChDC</v>
      </c>
      <c r="J4111" t="str">
        <f>IFERROR(__xludf.DUMMYFUNCTION("""COMPUTED_VALUE"""),"B594)")</f>
        <v>B594)</v>
      </c>
    </row>
    <row r="4112" ht="15.75" customHeight="1">
      <c r="A4112" t="str">
        <f t="shared" si="1"/>
        <v>P.acnes</v>
      </c>
      <c r="B4112" s="5" t="s">
        <v>25008</v>
      </c>
      <c r="C4112" s="6" t="str">
        <f>IFERROR(__xludf.DUMMYFUNCTION("SPLIT('2. c'!B4112, "" "", True, True)"),"Propionibacterium")</f>
        <v>Propionibacterium</v>
      </c>
      <c r="D4112" t="str">
        <f>IFERROR(__xludf.DUMMYFUNCTION("""COMPUTED_VALUE"""),"acnes")</f>
        <v>acnes</v>
      </c>
      <c r="E4112" t="str">
        <f>IFERROR(__xludf.DUMMYFUNCTION("""COMPUTED_VALUE"""),"strain")</f>
        <v>strain</v>
      </c>
      <c r="F4112" t="str">
        <f>IFERROR(__xludf.DUMMYFUNCTION("""COMPUTED_VALUE"""),"PA_12_1_L1")</f>
        <v>PA_12_1_L1</v>
      </c>
    </row>
    <row r="4113" ht="15.75" customHeight="1">
      <c r="A4113" t="str">
        <f t="shared" si="1"/>
        <v>P.acnes</v>
      </c>
      <c r="B4113" s="5" t="s">
        <v>25014</v>
      </c>
      <c r="C4113" s="6" t="str">
        <f>IFERROR(__xludf.DUMMYFUNCTION("SPLIT('2. c'!B4113, "" "", True, True)"),"Propionibacterium")</f>
        <v>Propionibacterium</v>
      </c>
      <c r="D4113" t="str">
        <f>IFERROR(__xludf.DUMMYFUNCTION("""COMPUTED_VALUE"""),"acnes")</f>
        <v>acnes</v>
      </c>
      <c r="E4113" t="str">
        <f>IFERROR(__xludf.DUMMYFUNCTION("""COMPUTED_VALUE"""),"strain")</f>
        <v>strain</v>
      </c>
      <c r="F4113" t="str">
        <f>IFERROR(__xludf.DUMMYFUNCTION("""COMPUTED_VALUE"""),"PA_12_1_R1")</f>
        <v>PA_12_1_R1</v>
      </c>
    </row>
    <row r="4114" ht="15.75" customHeight="1">
      <c r="A4114" t="str">
        <f t="shared" si="1"/>
        <v>P.acnes</v>
      </c>
      <c r="B4114" s="5" t="s">
        <v>25020</v>
      </c>
      <c r="C4114" s="6" t="str">
        <f>IFERROR(__xludf.DUMMYFUNCTION("SPLIT('2. c'!B4114, "" "", True, True)"),"Propionibacterium")</f>
        <v>Propionibacterium</v>
      </c>
      <c r="D4114" t="str">
        <f>IFERROR(__xludf.DUMMYFUNCTION("""COMPUTED_VALUE"""),"acnes")</f>
        <v>acnes</v>
      </c>
      <c r="E4114" t="str">
        <f>IFERROR(__xludf.DUMMYFUNCTION("""COMPUTED_VALUE"""),"strain")</f>
        <v>strain</v>
      </c>
      <c r="F4114" t="str">
        <f>IFERROR(__xludf.DUMMYFUNCTION("""COMPUTED_VALUE"""),"PA_15_1_R1")</f>
        <v>PA_15_1_R1</v>
      </c>
    </row>
    <row r="4115" ht="15.75" customHeight="1">
      <c r="A4115" t="str">
        <f t="shared" si="1"/>
        <v>P.acnes</v>
      </c>
      <c r="B4115" s="5" t="s">
        <v>25029</v>
      </c>
      <c r="C4115" s="6" t="str">
        <f>IFERROR(__xludf.DUMMYFUNCTION("SPLIT('2. c'!B4115, "" "", True, True)"),"Propionibacterium")</f>
        <v>Propionibacterium</v>
      </c>
      <c r="D4115" t="str">
        <f>IFERROR(__xludf.DUMMYFUNCTION("""COMPUTED_VALUE"""),"acnes")</f>
        <v>acnes</v>
      </c>
      <c r="E4115" t="str">
        <f>IFERROR(__xludf.DUMMYFUNCTION("""COMPUTED_VALUE"""),"strain")</f>
        <v>strain</v>
      </c>
      <c r="F4115" t="str">
        <f>IFERROR(__xludf.DUMMYFUNCTION("""COMPUTED_VALUE"""),"PA_15_2_L1")</f>
        <v>PA_15_2_L1</v>
      </c>
    </row>
    <row r="4116" ht="15.75" customHeight="1">
      <c r="A4116" t="str">
        <f t="shared" si="1"/>
        <v>P.acnes</v>
      </c>
      <c r="B4116" s="5" t="s">
        <v>25039</v>
      </c>
      <c r="C4116" s="6" t="str">
        <f>IFERROR(__xludf.DUMMYFUNCTION("SPLIT('2. c'!B4116, "" "", True, True)"),"Propionibacterium")</f>
        <v>Propionibacterium</v>
      </c>
      <c r="D4116" t="str">
        <f>IFERROR(__xludf.DUMMYFUNCTION("""COMPUTED_VALUE"""),"acnes")</f>
        <v>acnes</v>
      </c>
      <c r="E4116" t="str">
        <f>IFERROR(__xludf.DUMMYFUNCTION("""COMPUTED_VALUE"""),"strain")</f>
        <v>strain</v>
      </c>
      <c r="F4116" t="str">
        <f>IFERROR(__xludf.DUMMYFUNCTION("""COMPUTED_VALUE"""),"PA_21_1_L1")</f>
        <v>PA_21_1_L1</v>
      </c>
    </row>
    <row r="4117" ht="15.75" customHeight="1">
      <c r="A4117" t="str">
        <f t="shared" si="1"/>
        <v>P.acnes</v>
      </c>
      <c r="B4117" s="5" t="s">
        <v>25050</v>
      </c>
      <c r="C4117" s="6" t="str">
        <f>IFERROR(__xludf.DUMMYFUNCTION("SPLIT('2. c'!B4117, "" "", True, True)"),"Propionibacterium")</f>
        <v>Propionibacterium</v>
      </c>
      <c r="D4117" t="str">
        <f>IFERROR(__xludf.DUMMYFUNCTION("""COMPUTED_VALUE"""),"acnes")</f>
        <v>acnes</v>
      </c>
      <c r="E4117" t="str">
        <f>IFERROR(__xludf.DUMMYFUNCTION("""COMPUTED_VALUE"""),"strain")</f>
        <v>strain</v>
      </c>
      <c r="F4117" t="str">
        <f>IFERROR(__xludf.DUMMYFUNCTION("""COMPUTED_VALUE"""),"PA_30_2_L1")</f>
        <v>PA_30_2_L1</v>
      </c>
    </row>
    <row r="4118" ht="15.75" customHeight="1">
      <c r="A4118" t="str">
        <f t="shared" si="1"/>
        <v>P.acnes</v>
      </c>
      <c r="B4118" s="5" t="s">
        <v>25058</v>
      </c>
      <c r="C4118" s="6" t="str">
        <f>IFERROR(__xludf.DUMMYFUNCTION("SPLIT('2. c'!B4118, "" "", True, True)"),"Propionibacterium")</f>
        <v>Propionibacterium</v>
      </c>
      <c r="D4118" t="str">
        <f>IFERROR(__xludf.DUMMYFUNCTION("""COMPUTED_VALUE"""),"acnes")</f>
        <v>acnes</v>
      </c>
      <c r="E4118" t="str">
        <f>IFERROR(__xludf.DUMMYFUNCTION("""COMPUTED_VALUE"""),"TypeIA2")</f>
        <v>TypeIA2</v>
      </c>
      <c r="F4118" t="str">
        <f>IFERROR(__xludf.DUMMYFUNCTION("""COMPUTED_VALUE"""),"P.acn17")</f>
        <v>P.acn17</v>
      </c>
    </row>
    <row r="4119" ht="15.75" customHeight="1">
      <c r="A4119" t="str">
        <f t="shared" si="1"/>
        <v>P.acnes</v>
      </c>
      <c r="B4119" s="5" t="s">
        <v>25063</v>
      </c>
      <c r="C4119" s="6" t="str">
        <f>IFERROR(__xludf.DUMMYFUNCTION("SPLIT('2. c'!B4119, "" "", True, True)"),"Propionibacterium")</f>
        <v>Propionibacterium</v>
      </c>
      <c r="D4119" t="str">
        <f>IFERROR(__xludf.DUMMYFUNCTION("""COMPUTED_VALUE"""),"acnes")</f>
        <v>acnes</v>
      </c>
      <c r="E4119" t="str">
        <f>IFERROR(__xludf.DUMMYFUNCTION("""COMPUTED_VALUE"""),"TypeIA2")</f>
        <v>TypeIA2</v>
      </c>
      <c r="F4119" t="str">
        <f>IFERROR(__xludf.DUMMYFUNCTION("""COMPUTED_VALUE"""),"P.acn31")</f>
        <v>P.acn31</v>
      </c>
    </row>
    <row r="4120" ht="15.75" customHeight="1">
      <c r="A4120" t="str">
        <f t="shared" si="1"/>
        <v>P.acnes</v>
      </c>
      <c r="B4120" s="5" t="s">
        <v>25068</v>
      </c>
      <c r="C4120" s="6" t="str">
        <f>IFERROR(__xludf.DUMMYFUNCTION("SPLIT('2. c'!B4120, "" "", True, True)"),"Propionibacterium")</f>
        <v>Propionibacterium</v>
      </c>
      <c r="D4120" t="str">
        <f>IFERROR(__xludf.DUMMYFUNCTION("""COMPUTED_VALUE"""),"acnes")</f>
        <v>acnes</v>
      </c>
      <c r="E4120" t="str">
        <f>IFERROR(__xludf.DUMMYFUNCTION("""COMPUTED_VALUE"""),"TypeIA2")</f>
        <v>TypeIA2</v>
      </c>
      <c r="F4120" t="str">
        <f>IFERROR(__xludf.DUMMYFUNCTION("""COMPUTED_VALUE"""),"P.acn33")</f>
        <v>P.acn33</v>
      </c>
    </row>
    <row r="4121" ht="15.75" customHeight="1">
      <c r="A4121" t="str">
        <f t="shared" si="1"/>
        <v>P.avidum</v>
      </c>
      <c r="B4121" s="5" t="s">
        <v>25074</v>
      </c>
      <c r="C4121" s="6" t="str">
        <f>IFERROR(__xludf.DUMMYFUNCTION("SPLIT('2. c'!B4121, "" "", True, True)"),"Propionibacterium")</f>
        <v>Propionibacterium</v>
      </c>
      <c r="D4121" t="str">
        <f>IFERROR(__xludf.DUMMYFUNCTION("""COMPUTED_VALUE"""),"avidum")</f>
        <v>avidum</v>
      </c>
      <c r="E4121">
        <f>IFERROR(__xludf.DUMMYFUNCTION("""COMPUTED_VALUE"""),44067.0)</f>
        <v>44067</v>
      </c>
    </row>
    <row r="4122" ht="15.75" customHeight="1">
      <c r="A4122" t="str">
        <f t="shared" si="1"/>
        <v>P.freudenreichii</v>
      </c>
      <c r="B4122" s="5" t="s">
        <v>25079</v>
      </c>
      <c r="C4122" s="6" t="str">
        <f>IFERROR(__xludf.DUMMYFUNCTION("SPLIT('2. c'!B4122, "" "", True, True)"),"Propionibacterium")</f>
        <v>Propionibacterium</v>
      </c>
      <c r="D4122" t="str">
        <f>IFERROR(__xludf.DUMMYFUNCTION("""COMPUTED_VALUE"""),"freudenreichii")</f>
        <v>freudenreichii</v>
      </c>
      <c r="E4122" t="str">
        <f>IFERROR(__xludf.DUMMYFUNCTION("""COMPUTED_VALUE"""),"subsp.")</f>
        <v>subsp.</v>
      </c>
      <c r="F4122" t="str">
        <f>IFERROR(__xludf.DUMMYFUNCTION("""COMPUTED_VALUE"""),"freudenreichii")</f>
        <v>freudenreichii</v>
      </c>
      <c r="G4122" t="str">
        <f>IFERROR(__xludf.DUMMYFUNCTION("""COMPUTED_VALUE"""),"strain")</f>
        <v>strain</v>
      </c>
      <c r="H4122" t="str">
        <f>IFERROR(__xludf.DUMMYFUNCTION("""COMPUTED_VALUE"""),"20271T")</f>
        <v>20271T</v>
      </c>
    </row>
    <row r="4123" ht="15.75" customHeight="1">
      <c r="A4123" t="str">
        <f t="shared" si="1"/>
        <v>P.freudenreichii</v>
      </c>
      <c r="B4123" s="5" t="s">
        <v>25085</v>
      </c>
      <c r="C4123" s="6" t="str">
        <f>IFERROR(__xludf.DUMMYFUNCTION("SPLIT('2. c'!B4123, "" "", True, True)"),"Propionibacterium")</f>
        <v>Propionibacterium</v>
      </c>
      <c r="D4123" t="str">
        <f>IFERROR(__xludf.DUMMYFUNCTION("""COMPUTED_VALUE"""),"freudenreichii")</f>
        <v>freudenreichii</v>
      </c>
      <c r="E4123" t="str">
        <f>IFERROR(__xludf.DUMMYFUNCTION("""COMPUTED_VALUE"""),"subsp.")</f>
        <v>subsp.</v>
      </c>
      <c r="F4123" t="str">
        <f>IFERROR(__xludf.DUMMYFUNCTION("""COMPUTED_VALUE"""),"shermanii")</f>
        <v>shermanii</v>
      </c>
    </row>
    <row r="4124" ht="15.75" customHeight="1">
      <c r="A4124" t="str">
        <f t="shared" si="1"/>
        <v>P.freudenreichii</v>
      </c>
      <c r="B4124" s="5" t="s">
        <v>25091</v>
      </c>
      <c r="C4124" s="6" t="str">
        <f>IFERROR(__xludf.DUMMYFUNCTION("SPLIT('2. c'!B4124, "" "", True, True)"),"Propionibacterium")</f>
        <v>Propionibacterium</v>
      </c>
      <c r="D4124" t="str">
        <f>IFERROR(__xludf.DUMMYFUNCTION("""COMPUTED_VALUE"""),"freudenreichii")</f>
        <v>freudenreichii</v>
      </c>
      <c r="E4124" t="str">
        <f>IFERROR(__xludf.DUMMYFUNCTION("""COMPUTED_VALUE"""),"subsp.")</f>
        <v>subsp.</v>
      </c>
      <c r="F4124" t="str">
        <f>IFERROR(__xludf.DUMMYFUNCTION("""COMPUTED_VALUE"""),"shermanii")</f>
        <v>shermanii</v>
      </c>
      <c r="G4124" t="str">
        <f>IFERROR(__xludf.DUMMYFUNCTION("""COMPUTED_VALUE"""),"CIRM-BIA1")</f>
        <v>CIRM-BIA1</v>
      </c>
    </row>
    <row r="4125" ht="15.75" customHeight="1">
      <c r="A4125" t="str">
        <f t="shared" si="1"/>
        <v>P.propionicum</v>
      </c>
      <c r="B4125" s="5" t="s">
        <v>25096</v>
      </c>
      <c r="C4125" s="6" t="str">
        <f>IFERROR(__xludf.DUMMYFUNCTION("SPLIT('2. c'!B4125, "" "", True, True)"),"Propionibacterium")</f>
        <v>Propionibacterium</v>
      </c>
      <c r="D4125" t="str">
        <f>IFERROR(__xludf.DUMMYFUNCTION("""COMPUTED_VALUE"""),"propionicum")</f>
        <v>propionicum</v>
      </c>
      <c r="E4125" t="str">
        <f>IFERROR(__xludf.DUMMYFUNCTION("""COMPUTED_VALUE"""),"F0230a")</f>
        <v>F0230a</v>
      </c>
    </row>
    <row r="4126" ht="15.75" customHeight="1">
      <c r="A4126" t="str">
        <f t="shared" si="1"/>
        <v>P.aestuarii</v>
      </c>
      <c r="B4126" s="5" t="s">
        <v>25105</v>
      </c>
      <c r="C4126" s="6" t="str">
        <f>IFERROR(__xludf.DUMMYFUNCTION("SPLIT('2. c'!B4126, "" "", True, True)"),"Prosthecochloris")</f>
        <v>Prosthecochloris</v>
      </c>
      <c r="D4126" t="str">
        <f>IFERROR(__xludf.DUMMYFUNCTION("""COMPUTED_VALUE"""),"aestuarii")</f>
        <v>aestuarii</v>
      </c>
      <c r="E4126" t="str">
        <f>IFERROR(__xludf.DUMMYFUNCTION("""COMPUTED_VALUE"""),"DSM")</f>
        <v>DSM</v>
      </c>
      <c r="F4126">
        <f>IFERROR(__xludf.DUMMYFUNCTION("""COMPUTED_VALUE"""),271.0)</f>
        <v>271</v>
      </c>
    </row>
    <row r="4127" ht="15.75" customHeight="1">
      <c r="A4127" t="str">
        <f t="shared" si="1"/>
        <v>P.mirabilis</v>
      </c>
      <c r="B4127" s="5" t="s">
        <v>25122</v>
      </c>
      <c r="C4127" s="6" t="str">
        <f>IFERROR(__xludf.DUMMYFUNCTION("SPLIT('2. c'!B4127, "" "", True, True)"),"Proteus")</f>
        <v>Proteus</v>
      </c>
      <c r="D4127" t="str">
        <f>IFERROR(__xludf.DUMMYFUNCTION("""COMPUTED_VALUE"""),"mirabilis")</f>
        <v>mirabilis</v>
      </c>
      <c r="E4127" t="str">
        <f>IFERROR(__xludf.DUMMYFUNCTION("""COMPUTED_VALUE"""),"BB2000")</f>
        <v>BB2000</v>
      </c>
    </row>
    <row r="4128" ht="15.75" customHeight="1">
      <c r="A4128" t="str">
        <f t="shared" si="1"/>
        <v>P.mirabilis</v>
      </c>
      <c r="B4128" s="5" t="s">
        <v>25131</v>
      </c>
      <c r="C4128" s="6" t="str">
        <f>IFERROR(__xludf.DUMMYFUNCTION("SPLIT('2. c'!B4128, "" "", True, True)"),"Proteus")</f>
        <v>Proteus</v>
      </c>
      <c r="D4128" t="str">
        <f>IFERROR(__xludf.DUMMYFUNCTION("""COMPUTED_VALUE"""),"mirabilis")</f>
        <v>mirabilis</v>
      </c>
      <c r="E4128" t="str">
        <f>IFERROR(__xludf.DUMMYFUNCTION("""COMPUTED_VALUE"""),"HI4320")</f>
        <v>HI4320</v>
      </c>
    </row>
    <row r="4129" ht="15.75" customHeight="1">
      <c r="A4129" t="str">
        <f t="shared" si="1"/>
        <v>P.mirabilis</v>
      </c>
      <c r="B4129" s="5" t="s">
        <v>25138</v>
      </c>
      <c r="C4129" s="6" t="str">
        <f>IFERROR(__xludf.DUMMYFUNCTION("SPLIT('2. c'!B4129, "" "", True, True)"),"Proteus")</f>
        <v>Proteus</v>
      </c>
      <c r="D4129" t="str">
        <f>IFERROR(__xludf.DUMMYFUNCTION("""COMPUTED_VALUE"""),"mirabilis")</f>
        <v>mirabilis</v>
      </c>
      <c r="E4129" t="str">
        <f>IFERROR(__xludf.DUMMYFUNCTION("""COMPUTED_VALUE"""),"strain")</f>
        <v>strain</v>
      </c>
      <c r="F4129" t="str">
        <f>IFERROR(__xludf.DUMMYFUNCTION("""COMPUTED_VALUE"""),"AOUC-001")</f>
        <v>AOUC-001</v>
      </c>
    </row>
    <row r="4130" ht="15.75" customHeight="1">
      <c r="A4130" t="str">
        <f t="shared" si="1"/>
        <v>P.mirabilis</v>
      </c>
      <c r="B4130" s="5" t="s">
        <v>25146</v>
      </c>
      <c r="C4130" s="6" t="str">
        <f>IFERROR(__xludf.DUMMYFUNCTION("SPLIT('2. c'!B4130, "" "", True, True)"),"Proteus")</f>
        <v>Proteus</v>
      </c>
      <c r="D4130" t="str">
        <f>IFERROR(__xludf.DUMMYFUNCTION("""COMPUTED_VALUE"""),"mirabilis")</f>
        <v>mirabilis</v>
      </c>
      <c r="E4130" t="str">
        <f>IFERROR(__xludf.DUMMYFUNCTION("""COMPUTED_VALUE"""),"strain")</f>
        <v>strain</v>
      </c>
      <c r="F4130" t="str">
        <f>IFERROR(__xludf.DUMMYFUNCTION("""COMPUTED_VALUE"""),"CYPM1")</f>
        <v>CYPM1</v>
      </c>
    </row>
    <row r="4131" ht="15.75" customHeight="1">
      <c r="A4131" t="str">
        <f t="shared" si="1"/>
        <v>P.mirabilis</v>
      </c>
      <c r="B4131" s="5" t="s">
        <v>25156</v>
      </c>
      <c r="C4131" s="6" t="str">
        <f>IFERROR(__xludf.DUMMYFUNCTION("SPLIT('2. c'!B4131, "" "", True, True)"),"Proteus")</f>
        <v>Proteus</v>
      </c>
      <c r="D4131" t="str">
        <f>IFERROR(__xludf.DUMMYFUNCTION("""COMPUTED_VALUE"""),"mirabilis")</f>
        <v>mirabilis</v>
      </c>
      <c r="E4131" t="str">
        <f>IFERROR(__xludf.DUMMYFUNCTION("""COMPUTED_VALUE"""),"strain")</f>
        <v>strain</v>
      </c>
      <c r="F4131" t="str">
        <f>IFERROR(__xludf.DUMMYFUNCTION("""COMPUTED_VALUE"""),"FDAARGOS_60")</f>
        <v>FDAARGOS_60</v>
      </c>
    </row>
    <row r="4132" ht="15.75" customHeight="1">
      <c r="A4132" t="str">
        <f t="shared" si="1"/>
        <v>P.mirabilis</v>
      </c>
      <c r="B4132" s="5" t="s">
        <v>25164</v>
      </c>
      <c r="C4132" s="6" t="str">
        <f>IFERROR(__xludf.DUMMYFUNCTION("SPLIT('2. c'!B4132, "" "", True, True)"),"Proteus")</f>
        <v>Proteus</v>
      </c>
      <c r="D4132" t="str">
        <f>IFERROR(__xludf.DUMMYFUNCTION("""COMPUTED_VALUE"""),"mirabilis")</f>
        <v>mirabilis</v>
      </c>
      <c r="E4132" t="str">
        <f>IFERROR(__xludf.DUMMYFUNCTION("""COMPUTED_VALUE"""),"strain")</f>
        <v>strain</v>
      </c>
      <c r="F4132" t="str">
        <f>IFERROR(__xludf.DUMMYFUNCTION("""COMPUTED_VALUE"""),"FDAARGOS_67")</f>
        <v>FDAARGOS_67</v>
      </c>
    </row>
    <row r="4133" ht="15.75" customHeight="1">
      <c r="A4133" t="str">
        <f t="shared" si="1"/>
        <v>P.mirabilis</v>
      </c>
      <c r="B4133" s="5" t="s">
        <v>25170</v>
      </c>
      <c r="C4133" s="6" t="str">
        <f>IFERROR(__xludf.DUMMYFUNCTION("SPLIT('2. c'!B4133, "" "", True, True)"),"Proteus")</f>
        <v>Proteus</v>
      </c>
      <c r="D4133" t="str">
        <f>IFERROR(__xludf.DUMMYFUNCTION("""COMPUTED_VALUE"""),"mirabilis")</f>
        <v>mirabilis</v>
      </c>
      <c r="E4133" t="str">
        <f>IFERROR(__xludf.DUMMYFUNCTION("""COMPUTED_VALUE"""),"strain")</f>
        <v>strain</v>
      </c>
      <c r="F4133" t="str">
        <f>IFERROR(__xludf.DUMMYFUNCTION("""COMPUTED_VALUE"""),"FDAARGOS_81")</f>
        <v>FDAARGOS_81</v>
      </c>
    </row>
    <row r="4134" ht="15.75" customHeight="1">
      <c r="A4134" t="str">
        <f t="shared" si="1"/>
        <v>P.vulgaris</v>
      </c>
      <c r="B4134" s="5" t="s">
        <v>25176</v>
      </c>
      <c r="C4134" s="6" t="str">
        <f>IFERROR(__xludf.DUMMYFUNCTION("SPLIT('2. c'!B4134, "" "", True, True)"),"Proteus")</f>
        <v>Proteus</v>
      </c>
      <c r="D4134" t="str">
        <f>IFERROR(__xludf.DUMMYFUNCTION("""COMPUTED_VALUE"""),"vulgaris")</f>
        <v>vulgaris</v>
      </c>
      <c r="E4134" t="str">
        <f>IFERROR(__xludf.DUMMYFUNCTION("""COMPUTED_VALUE"""),"strain")</f>
        <v>strain</v>
      </c>
      <c r="F4134" t="str">
        <f>IFERROR(__xludf.DUMMYFUNCTION("""COMPUTED_VALUE"""),"CYPV1")</f>
        <v>CYPV1</v>
      </c>
    </row>
    <row r="4135" ht="15.75" customHeight="1">
      <c r="A4135" t="str">
        <f t="shared" si="1"/>
        <v>P.naegleriophila</v>
      </c>
      <c r="B4135" s="5" t="s">
        <v>25180</v>
      </c>
      <c r="C4135" s="6" t="str">
        <f>IFERROR(__xludf.DUMMYFUNCTION("SPLIT('2. c'!B4135, "" "", True, True)"),"Protochlamydia")</f>
        <v>Protochlamydia</v>
      </c>
      <c r="D4135" t="str">
        <f>IFERROR(__xludf.DUMMYFUNCTION("""COMPUTED_VALUE"""),"naegleriophila")</f>
        <v>naegleriophila</v>
      </c>
      <c r="E4135" t="str">
        <f>IFERROR(__xludf.DUMMYFUNCTION("""COMPUTED_VALUE"""),"strain")</f>
        <v>strain</v>
      </c>
      <c r="F4135" t="str">
        <f>IFERROR(__xludf.DUMMYFUNCTION("""COMPUTED_VALUE"""),"KNic")</f>
        <v>KNic</v>
      </c>
    </row>
    <row r="4136" ht="15.75" customHeight="1">
      <c r="A4136" t="str">
        <f t="shared" si="1"/>
        <v>P.alcalifaciens</v>
      </c>
      <c r="B4136" s="5" t="s">
        <v>25185</v>
      </c>
      <c r="C4136" s="6" t="str">
        <f>IFERROR(__xludf.DUMMYFUNCTION("SPLIT('2. c'!B4136, "" "", True, True)"),"Providencia")</f>
        <v>Providencia</v>
      </c>
      <c r="D4136" t="str">
        <f>IFERROR(__xludf.DUMMYFUNCTION("""COMPUTED_VALUE"""),"alcalifaciens")</f>
        <v>alcalifaciens</v>
      </c>
      <c r="E4136" t="str">
        <f>IFERROR(__xludf.DUMMYFUNCTION("""COMPUTED_VALUE"""),"Ban1")</f>
        <v>Ban1</v>
      </c>
    </row>
    <row r="4137" ht="15.75" customHeight="1">
      <c r="A4137" t="str">
        <f t="shared" si="1"/>
        <v>P.stuartii</v>
      </c>
      <c r="B4137" s="5" t="s">
        <v>25192</v>
      </c>
      <c r="C4137" s="6" t="str">
        <f>IFERROR(__xludf.DUMMYFUNCTION("SPLIT('2. c'!B4137, "" "", True, True)"),"Providencia")</f>
        <v>Providencia</v>
      </c>
      <c r="D4137" t="str">
        <f>IFERROR(__xludf.DUMMYFUNCTION("""COMPUTED_VALUE"""),"stuartii")</f>
        <v>stuartii</v>
      </c>
      <c r="E4137" t="str">
        <f>IFERROR(__xludf.DUMMYFUNCTION("""COMPUTED_VALUE"""),"MRSN")</f>
        <v>MRSN</v>
      </c>
      <c r="F4137">
        <f>IFERROR(__xludf.DUMMYFUNCTION("""COMPUTED_VALUE"""),2154.0)</f>
        <v>2154</v>
      </c>
    </row>
    <row r="4138" ht="15.75" customHeight="1">
      <c r="A4138" t="str">
        <f t="shared" si="1"/>
        <v>P.stuartii</v>
      </c>
      <c r="B4138" s="5" t="s">
        <v>25202</v>
      </c>
      <c r="C4138" s="6" t="str">
        <f>IFERROR(__xludf.DUMMYFUNCTION("SPLIT('2. c'!B4138, "" "", True, True)"),"Providencia")</f>
        <v>Providencia</v>
      </c>
      <c r="D4138" t="str">
        <f>IFERROR(__xludf.DUMMYFUNCTION("""COMPUTED_VALUE"""),"stuartii")</f>
        <v>stuartii</v>
      </c>
      <c r="E4138" t="str">
        <f>IFERROR(__xludf.DUMMYFUNCTION("""COMPUTED_VALUE"""),"strain")</f>
        <v>strain</v>
      </c>
      <c r="F4138">
        <f>IFERROR(__xludf.DUMMYFUNCTION("""COMPUTED_VALUE"""),33672.0)</f>
        <v>33672</v>
      </c>
    </row>
    <row r="4139" ht="15.75" customHeight="1">
      <c r="A4139" t="str">
        <f t="shared" si="1"/>
        <v>P.stuartii</v>
      </c>
      <c r="B4139" s="5" t="s">
        <v>25210</v>
      </c>
      <c r="C4139" s="6" t="str">
        <f>IFERROR(__xludf.DUMMYFUNCTION("SPLIT('2. c'!B4139, "" "", True, True)"),"Providencia")</f>
        <v>Providencia</v>
      </c>
      <c r="D4139" t="str">
        <f>IFERROR(__xludf.DUMMYFUNCTION("""COMPUTED_VALUE"""),"stuartii")</f>
        <v>stuartii</v>
      </c>
      <c r="E4139" t="str">
        <f>IFERROR(__xludf.DUMMYFUNCTION("""COMPUTED_VALUE"""),"strain")</f>
        <v>strain</v>
      </c>
      <c r="F4139" t="str">
        <f>IFERROR(__xludf.DUMMYFUNCTION("""COMPUTED_VALUE"""),"FDAARGOS_145")</f>
        <v>FDAARGOS_145</v>
      </c>
    </row>
    <row r="4140" ht="15.75" customHeight="1">
      <c r="A4140" t="str">
        <f t="shared" si="1"/>
        <v>P.sp.</v>
      </c>
      <c r="B4140" s="5" t="s">
        <v>25218</v>
      </c>
      <c r="C4140" s="6" t="str">
        <f>IFERROR(__xludf.DUMMYFUNCTION("SPLIT('2. c'!B4140, "" "", True, True)"),"Pseudanabaena")</f>
        <v>Pseudanabaena</v>
      </c>
      <c r="D4140" t="str">
        <f>IFERROR(__xludf.DUMMYFUNCTION("""COMPUTED_VALUE"""),"sp.")</f>
        <v>sp.</v>
      </c>
      <c r="E4140" t="str">
        <f>IFERROR(__xludf.DUMMYFUNCTION("""COMPUTED_VALUE"""),"PCC")</f>
        <v>PCC</v>
      </c>
      <c r="F4140">
        <f>IFERROR(__xludf.DUMMYFUNCTION("""COMPUTED_VALUE"""),7367.0)</f>
        <v>7367</v>
      </c>
    </row>
    <row r="4141" ht="15.75" customHeight="1">
      <c r="A4141" t="str">
        <f t="shared" si="1"/>
        <v>P.atlantica</v>
      </c>
      <c r="B4141" s="5" t="s">
        <v>25226</v>
      </c>
      <c r="C4141" s="6" t="str">
        <f>IFERROR(__xludf.DUMMYFUNCTION("SPLIT('2. c'!B4141, "" "", True, True)"),"Pseudoalteromonas")</f>
        <v>Pseudoalteromonas</v>
      </c>
      <c r="D4141" t="str">
        <f>IFERROR(__xludf.DUMMYFUNCTION("""COMPUTED_VALUE"""),"atlantica")</f>
        <v>atlantica</v>
      </c>
      <c r="E4141" t="str">
        <f>IFERROR(__xludf.DUMMYFUNCTION("""COMPUTED_VALUE"""),"T6c")</f>
        <v>T6c</v>
      </c>
    </row>
    <row r="4142" ht="15.75" customHeight="1">
      <c r="A4142" t="str">
        <f t="shared" si="1"/>
        <v>P.haloplanktis</v>
      </c>
      <c r="B4142" s="5" t="s">
        <v>25235</v>
      </c>
      <c r="C4142" s="6" t="str">
        <f>IFERROR(__xludf.DUMMYFUNCTION("SPLIT('2. c'!B4142, "" "", True, True)"),"Pseudoalteromonas")</f>
        <v>Pseudoalteromonas</v>
      </c>
      <c r="D4142" t="str">
        <f>IFERROR(__xludf.DUMMYFUNCTION("""COMPUTED_VALUE"""),"haloplanktis")</f>
        <v>haloplanktis</v>
      </c>
      <c r="E4142" t="str">
        <f>IFERROR(__xludf.DUMMYFUNCTION("""COMPUTED_VALUE"""),"TAC125")</f>
        <v>TAC125</v>
      </c>
    </row>
    <row r="4143" ht="15.75" customHeight="1">
      <c r="A4143" t="str">
        <f t="shared" si="1"/>
        <v>P.issachenkonii</v>
      </c>
      <c r="B4143" s="5" t="s">
        <v>25240</v>
      </c>
      <c r="C4143" s="6" t="str">
        <f>IFERROR(__xludf.DUMMYFUNCTION("SPLIT('2. c'!B4143, "" "", True, True)"),"Pseudoalteromonas")</f>
        <v>Pseudoalteromonas</v>
      </c>
      <c r="D4143" t="str">
        <f>IFERROR(__xludf.DUMMYFUNCTION("""COMPUTED_VALUE"""),"issachenkonii")</f>
        <v>issachenkonii</v>
      </c>
      <c r="E4143" t="str">
        <f>IFERROR(__xludf.DUMMYFUNCTION("""COMPUTED_VALUE"""),"strain")</f>
        <v>strain</v>
      </c>
      <c r="F4143" t="str">
        <f>IFERROR(__xludf.DUMMYFUNCTION("""COMPUTED_VALUE"""),"KCTC")</f>
        <v>KCTC</v>
      </c>
      <c r="G4143">
        <f>IFERROR(__xludf.DUMMYFUNCTION("""COMPUTED_VALUE"""),12958.0)</f>
        <v>12958</v>
      </c>
    </row>
    <row r="4144" ht="15.75" customHeight="1">
      <c r="A4144" t="str">
        <f t="shared" si="1"/>
        <v>P.phenolica</v>
      </c>
      <c r="B4144" s="5" t="s">
        <v>25252</v>
      </c>
      <c r="C4144" s="6" t="str">
        <f>IFERROR(__xludf.DUMMYFUNCTION("SPLIT('2. c'!B4144, "" "", True, True)"),"Pseudoalteromonas")</f>
        <v>Pseudoalteromonas</v>
      </c>
      <c r="D4144" t="str">
        <f>IFERROR(__xludf.DUMMYFUNCTION("""COMPUTED_VALUE"""),"phenolica")</f>
        <v>phenolica</v>
      </c>
      <c r="E4144" t="str">
        <f>IFERROR(__xludf.DUMMYFUNCTION("""COMPUTED_VALUE"""),"strain")</f>
        <v>strain</v>
      </c>
      <c r="F4144" t="str">
        <f>IFERROR(__xludf.DUMMYFUNCTION("""COMPUTED_VALUE"""),"KCTC")</f>
        <v>KCTC</v>
      </c>
      <c r="G4144">
        <f>IFERROR(__xludf.DUMMYFUNCTION("""COMPUTED_VALUE"""),12086.0)</f>
        <v>12086</v>
      </c>
    </row>
    <row r="4145" ht="15.75" customHeight="1">
      <c r="A4145" t="str">
        <f t="shared" si="1"/>
        <v>P.rubra</v>
      </c>
      <c r="B4145" s="5" t="s">
        <v>25262</v>
      </c>
      <c r="C4145" s="6" t="str">
        <f>IFERROR(__xludf.DUMMYFUNCTION("SPLIT('2. c'!B4145, "" "", True, True)"),"Pseudoalteromonas")</f>
        <v>Pseudoalteromonas</v>
      </c>
      <c r="D4145" t="str">
        <f>IFERROR(__xludf.DUMMYFUNCTION("""COMPUTED_VALUE"""),"rubra")</f>
        <v>rubra</v>
      </c>
      <c r="E4145" t="str">
        <f>IFERROR(__xludf.DUMMYFUNCTION("""COMPUTED_VALUE"""),"strain")</f>
        <v>strain</v>
      </c>
      <c r="F4145" t="str">
        <f>IFERROR(__xludf.DUMMYFUNCTION("""COMPUTED_VALUE"""),"SCSIO")</f>
        <v>SCSIO</v>
      </c>
      <c r="G4145">
        <f>IFERROR(__xludf.DUMMYFUNCTION("""COMPUTED_VALUE"""),6842.0)</f>
        <v>6842</v>
      </c>
    </row>
    <row r="4146" ht="15.75" customHeight="1">
      <c r="A4146" t="str">
        <f t="shared" si="1"/>
        <v>P.sp.</v>
      </c>
      <c r="B4146" s="5" t="s">
        <v>25268</v>
      </c>
      <c r="C4146" s="6" t="str">
        <f>IFERROR(__xludf.DUMMYFUNCTION("SPLIT('2. c'!B4146, "" "", True, True)"),"Pseudoalteromonas")</f>
        <v>Pseudoalteromonas</v>
      </c>
      <c r="D4146" t="str">
        <f>IFERROR(__xludf.DUMMYFUNCTION("""COMPUTED_VALUE"""),"sp.")</f>
        <v>sp.</v>
      </c>
      <c r="E4146" t="str">
        <f>IFERROR(__xludf.DUMMYFUNCTION("""COMPUTED_VALUE"""),"OCN003")</f>
        <v>OCN003</v>
      </c>
    </row>
    <row r="4147" ht="15.75" customHeight="1">
      <c r="A4147" t="str">
        <f t="shared" si="1"/>
        <v>P.sp.</v>
      </c>
      <c r="B4147" s="5" t="s">
        <v>25276</v>
      </c>
      <c r="C4147" s="6" t="str">
        <f>IFERROR(__xludf.DUMMYFUNCTION("SPLIT('2. c'!B4147, "" "", True, True)"),"Pseudoalteromonas")</f>
        <v>Pseudoalteromonas</v>
      </c>
      <c r="D4147" t="str">
        <f>IFERROR(__xludf.DUMMYFUNCTION("""COMPUTED_VALUE"""),"sp.")</f>
        <v>sp.</v>
      </c>
      <c r="E4147" t="str">
        <f>IFERROR(__xludf.DUMMYFUNCTION("""COMPUTED_VALUE"""),"SM9913")</f>
        <v>SM9913</v>
      </c>
    </row>
    <row r="4148" ht="15.75" customHeight="1">
      <c r="A4148" t="str">
        <f t="shared" si="1"/>
        <v>P.translucida</v>
      </c>
      <c r="B4148" s="5" t="s">
        <v>25283</v>
      </c>
      <c r="C4148" s="6" t="str">
        <f>IFERROR(__xludf.DUMMYFUNCTION("SPLIT('2. c'!B4148, "" "", True, True)"),"Pseudoalteromonas")</f>
        <v>Pseudoalteromonas</v>
      </c>
      <c r="D4148" t="str">
        <f>IFERROR(__xludf.DUMMYFUNCTION("""COMPUTED_VALUE"""),"translucida")</f>
        <v>translucida</v>
      </c>
      <c r="E4148" t="str">
        <f>IFERROR(__xludf.DUMMYFUNCTION("""COMPUTED_VALUE"""),"KMM")</f>
        <v>KMM</v>
      </c>
      <c r="F4148">
        <f>IFERROR(__xludf.DUMMYFUNCTION("""COMPUTED_VALUE"""),520.0)</f>
        <v>520</v>
      </c>
    </row>
    <row r="4149" ht="15.75" customHeight="1">
      <c r="A4149" t="str">
        <f t="shared" si="1"/>
        <v>P.cellulosolvens</v>
      </c>
      <c r="B4149" s="5" t="s">
        <v>25292</v>
      </c>
      <c r="C4149" s="6" t="str">
        <f>IFERROR(__xludf.DUMMYFUNCTION("SPLIT('2. c'!B4149, "" "", True, True)"),"Pseudobacteroides")</f>
        <v>Pseudobacteroides</v>
      </c>
      <c r="D4149" t="str">
        <f>IFERROR(__xludf.DUMMYFUNCTION("""COMPUTED_VALUE"""),"cellulosolvens")</f>
        <v>cellulosolvens</v>
      </c>
      <c r="E4149" t="str">
        <f>IFERROR(__xludf.DUMMYFUNCTION("""COMPUTED_VALUE"""),"ATCC")</f>
        <v>ATCC</v>
      </c>
      <c r="F4149">
        <f>IFERROR(__xludf.DUMMYFUNCTION("""COMPUTED_VALUE"""),35603.0)</f>
        <v>35603</v>
      </c>
      <c r="G4149" t="str">
        <f>IFERROR(__xludf.DUMMYFUNCTION("""COMPUTED_VALUE"""),"=")</f>
        <v>=</v>
      </c>
      <c r="H4149" t="str">
        <f>IFERROR(__xludf.DUMMYFUNCTION("""COMPUTED_VALUE"""),"DSM")</f>
        <v>DSM</v>
      </c>
      <c r="I4149">
        <f>IFERROR(__xludf.DUMMYFUNCTION("""COMPUTED_VALUE"""),2933.0)</f>
        <v>2933</v>
      </c>
    </row>
    <row r="4150" ht="15.75" customHeight="1">
      <c r="A4150" t="str">
        <f t="shared" si="1"/>
        <v>P.sp.</v>
      </c>
      <c r="B4150" s="5" t="s">
        <v>25301</v>
      </c>
      <c r="C4150" s="6" t="str">
        <f>IFERROR(__xludf.DUMMYFUNCTION("SPLIT('2. c'!B4150, "" "", True, True)"),"Pseudogulbenkiania")</f>
        <v>Pseudogulbenkiania</v>
      </c>
      <c r="D4150" t="str">
        <f>IFERROR(__xludf.DUMMYFUNCTION("""COMPUTED_VALUE"""),"sp.")</f>
        <v>sp.</v>
      </c>
      <c r="E4150" t="str">
        <f>IFERROR(__xludf.DUMMYFUNCTION("""COMPUTED_VALUE"""),"NH8B")</f>
        <v>NH8B</v>
      </c>
    </row>
    <row r="4151" ht="15.75" customHeight="1">
      <c r="A4151" t="str">
        <f t="shared" si="1"/>
        <v>P.spirulinae</v>
      </c>
      <c r="B4151" s="5" t="s">
        <v>25310</v>
      </c>
      <c r="C4151" s="6" t="str">
        <f>IFERROR(__xludf.DUMMYFUNCTION("SPLIT('2. c'!B4151, "" "", True, True)"),"Pseudohongiella")</f>
        <v>Pseudohongiella</v>
      </c>
      <c r="D4151" t="str">
        <f>IFERROR(__xludf.DUMMYFUNCTION("""COMPUTED_VALUE"""),"spirulinae")</f>
        <v>spirulinae</v>
      </c>
      <c r="E4151" t="str">
        <f>IFERROR(__xludf.DUMMYFUNCTION("""COMPUTED_VALUE"""),"strain")</f>
        <v>strain</v>
      </c>
      <c r="F4151" t="str">
        <f>IFERROR(__xludf.DUMMYFUNCTION("""COMPUTED_VALUE"""),"KCTC")</f>
        <v>KCTC</v>
      </c>
      <c r="G4151">
        <f>IFERROR(__xludf.DUMMYFUNCTION("""COMPUTED_VALUE"""),32221.0)</f>
        <v>32221</v>
      </c>
    </row>
    <row r="4152" ht="15.75" customHeight="1">
      <c r="A4152" t="str">
        <f t="shared" si="1"/>
        <v>P.bacterium</v>
      </c>
      <c r="B4152" s="5" t="s">
        <v>25320</v>
      </c>
      <c r="C4152" s="6" t="str">
        <f>IFERROR(__xludf.DUMMYFUNCTION("SPLIT('2. c'!B4152, "" "", True, True)"),"Pseudomonadaceae")</f>
        <v>Pseudomonadaceae</v>
      </c>
      <c r="D4152" t="str">
        <f>IFERROR(__xludf.DUMMYFUNCTION("""COMPUTED_VALUE"""),"bacterium")</f>
        <v>bacterium</v>
      </c>
      <c r="E4152" t="str">
        <f>IFERROR(__xludf.DUMMYFUNCTION("""COMPUTED_VALUE"""),"B4199")</f>
        <v>B4199</v>
      </c>
    </row>
    <row r="4153" ht="15.75" customHeight="1">
      <c r="A4153" t="str">
        <f t="shared" si="1"/>
        <v>P.bacterium</v>
      </c>
      <c r="B4153" s="5" t="s">
        <v>25328</v>
      </c>
      <c r="C4153" s="6" t="str">
        <f>IFERROR(__xludf.DUMMYFUNCTION("SPLIT('2. c'!B4153, "" "", True, True)"),"Pseudomonadaceae")</f>
        <v>Pseudomonadaceae</v>
      </c>
      <c r="D4153" t="str">
        <f>IFERROR(__xludf.DUMMYFUNCTION("""COMPUTED_VALUE"""),"bacterium")</f>
        <v>bacterium</v>
      </c>
      <c r="E4153" t="str">
        <f>IFERROR(__xludf.DUMMYFUNCTION("""COMPUTED_VALUE"""),"C6819")</f>
        <v>C6819</v>
      </c>
    </row>
    <row r="4154" ht="15.75" customHeight="1">
      <c r="A4154" t="str">
        <f t="shared" si="1"/>
        <v>P.bacterium</v>
      </c>
      <c r="B4154" s="5" t="s">
        <v>25336</v>
      </c>
      <c r="C4154" s="6" t="str">
        <f>IFERROR(__xludf.DUMMYFUNCTION("SPLIT('2. c'!B4154, "" "", True, True)"),"Pseudomonadaceae")</f>
        <v>Pseudomonadaceae</v>
      </c>
      <c r="D4154" t="str">
        <f>IFERROR(__xludf.DUMMYFUNCTION("""COMPUTED_VALUE"""),"bacterium")</f>
        <v>bacterium</v>
      </c>
      <c r="E4154" t="str">
        <f>IFERROR(__xludf.DUMMYFUNCTION("""COMPUTED_VALUE"""),"C6918")</f>
        <v>C6918</v>
      </c>
    </row>
    <row r="4155" ht="15.75" customHeight="1">
      <c r="A4155" t="str">
        <f t="shared" si="1"/>
        <v>P.bacterium</v>
      </c>
      <c r="B4155" s="5" t="s">
        <v>25342</v>
      </c>
      <c r="C4155" s="6" t="str">
        <f>IFERROR(__xludf.DUMMYFUNCTION("SPLIT('2. c'!B4155, "" "", True, True)"),"Pseudomonadaceae")</f>
        <v>Pseudomonadaceae</v>
      </c>
      <c r="D4155" t="str">
        <f>IFERROR(__xludf.DUMMYFUNCTION("""COMPUTED_VALUE"""),"bacterium")</f>
        <v>bacterium</v>
      </c>
      <c r="E4155" t="str">
        <f>IFERROR(__xludf.DUMMYFUNCTION("""COMPUTED_VALUE"""),"D2441")</f>
        <v>D2441</v>
      </c>
    </row>
    <row r="4156" ht="15.75" customHeight="1">
      <c r="A4156" t="str">
        <f t="shared" si="1"/>
        <v>P.bacterium</v>
      </c>
      <c r="B4156" s="5" t="s">
        <v>25349</v>
      </c>
      <c r="C4156" s="6" t="str">
        <f>IFERROR(__xludf.DUMMYFUNCTION("SPLIT('2. c'!B4156, "" "", True, True)"),"Pseudomonadaceae")</f>
        <v>Pseudomonadaceae</v>
      </c>
      <c r="D4156" t="str">
        <f>IFERROR(__xludf.DUMMYFUNCTION("""COMPUTED_VALUE"""),"bacterium")</f>
        <v>bacterium</v>
      </c>
      <c r="E4156" t="str">
        <f>IFERROR(__xludf.DUMMYFUNCTION("""COMPUTED_VALUE"""),"D3318")</f>
        <v>D3318</v>
      </c>
    </row>
    <row r="4157" ht="15.75" customHeight="1">
      <c r="A4157" t="str">
        <f t="shared" si="1"/>
        <v>P.bacterium</v>
      </c>
      <c r="B4157" s="5" t="s">
        <v>25355</v>
      </c>
      <c r="C4157" s="6" t="str">
        <f>IFERROR(__xludf.DUMMYFUNCTION("SPLIT('2. c'!B4157, "" "", True, True)"),"Pseudomonadaceae")</f>
        <v>Pseudomonadaceae</v>
      </c>
      <c r="D4157" t="str">
        <f>IFERROR(__xludf.DUMMYFUNCTION("""COMPUTED_VALUE"""),"bacterium")</f>
        <v>bacterium</v>
      </c>
      <c r="E4157" t="str">
        <f>IFERROR(__xludf.DUMMYFUNCTION("""COMPUTED_VALUE"""),"E1086")</f>
        <v>E1086</v>
      </c>
    </row>
    <row r="4158" ht="15.75" customHeight="1">
      <c r="A4158" t="str">
        <f t="shared" si="1"/>
        <v>P.bacterium</v>
      </c>
      <c r="B4158" s="5" t="s">
        <v>25363</v>
      </c>
      <c r="C4158" s="6" t="str">
        <f>IFERROR(__xludf.DUMMYFUNCTION("SPLIT('2. c'!B4158, "" "", True, True)"),"Pseudomonadaceae")</f>
        <v>Pseudomonadaceae</v>
      </c>
      <c r="D4158" t="str">
        <f>IFERROR(__xludf.DUMMYFUNCTION("""COMPUTED_VALUE"""),"bacterium")</f>
        <v>bacterium</v>
      </c>
      <c r="E4158" t="str">
        <f>IFERROR(__xludf.DUMMYFUNCTION("""COMPUTED_VALUE"""),"E1148")</f>
        <v>E1148</v>
      </c>
    </row>
    <row r="4159" ht="15.75" customHeight="1">
      <c r="A4159" t="str">
        <f t="shared" si="1"/>
        <v>P.bacterium</v>
      </c>
      <c r="B4159" s="5" t="s">
        <v>25370</v>
      </c>
      <c r="C4159" s="6" t="str">
        <f>IFERROR(__xludf.DUMMYFUNCTION("SPLIT('2. c'!B4159, "" "", True, True)"),"Pseudomonadaceae")</f>
        <v>Pseudomonadaceae</v>
      </c>
      <c r="D4159" t="str">
        <f>IFERROR(__xludf.DUMMYFUNCTION("""COMPUTED_VALUE"""),"bacterium")</f>
        <v>bacterium</v>
      </c>
      <c r="E4159" t="str">
        <f>IFERROR(__xludf.DUMMYFUNCTION("""COMPUTED_VALUE"""),"E5571")</f>
        <v>E5571</v>
      </c>
    </row>
    <row r="4160" ht="15.75" customHeight="1">
      <c r="A4160" t="str">
        <f t="shared" si="1"/>
        <v>P.aeruginosa</v>
      </c>
      <c r="B4160" s="5" t="s">
        <v>25380</v>
      </c>
      <c r="C4160" s="6" t="str">
        <f>IFERROR(__xludf.DUMMYFUNCTION("SPLIT('2. c'!B4160, "" "", True, True)"),"Pseudomonas")</f>
        <v>Pseudomonas</v>
      </c>
      <c r="D4160" t="str">
        <f>IFERROR(__xludf.DUMMYFUNCTION("""COMPUTED_VALUE"""),"aeruginosa")</f>
        <v>aeruginosa</v>
      </c>
    </row>
    <row r="4161" ht="15.75" customHeight="1">
      <c r="A4161" t="str">
        <f t="shared" si="1"/>
        <v>P.aeruginosa</v>
      </c>
      <c r="B4161" s="5" t="s">
        <v>25380</v>
      </c>
      <c r="C4161" s="6" t="str">
        <f>IFERROR(__xludf.DUMMYFUNCTION("SPLIT('2. c'!B4161, "" "", True, True)"),"Pseudomonas")</f>
        <v>Pseudomonas</v>
      </c>
      <c r="D4161" t="str">
        <f>IFERROR(__xludf.DUMMYFUNCTION("""COMPUTED_VALUE"""),"aeruginosa")</f>
        <v>aeruginosa</v>
      </c>
    </row>
    <row r="4162" ht="15.75" customHeight="1">
      <c r="A4162" t="str">
        <f t="shared" si="1"/>
        <v>P.aeruginosa</v>
      </c>
      <c r="B4162" s="5" t="s">
        <v>25380</v>
      </c>
      <c r="C4162" s="6" t="str">
        <f>IFERROR(__xludf.DUMMYFUNCTION("SPLIT('2. c'!B4162, "" "", True, True)"),"Pseudomonas")</f>
        <v>Pseudomonas</v>
      </c>
      <c r="D4162" t="str">
        <f>IFERROR(__xludf.DUMMYFUNCTION("""COMPUTED_VALUE"""),"aeruginosa")</f>
        <v>aeruginosa</v>
      </c>
    </row>
    <row r="4163" ht="15.75" customHeight="1">
      <c r="A4163" t="str">
        <f t="shared" si="1"/>
        <v>P.aeruginosa</v>
      </c>
      <c r="B4163" s="5" t="s">
        <v>25380</v>
      </c>
      <c r="C4163" s="6" t="str">
        <f>IFERROR(__xludf.DUMMYFUNCTION("SPLIT('2. c'!B4163, "" "", True, True)"),"Pseudomonas")</f>
        <v>Pseudomonas</v>
      </c>
      <c r="D4163" t="str">
        <f>IFERROR(__xludf.DUMMYFUNCTION("""COMPUTED_VALUE"""),"aeruginosa")</f>
        <v>aeruginosa</v>
      </c>
    </row>
    <row r="4164" ht="15.75" customHeight="1">
      <c r="A4164" t="str">
        <f t="shared" si="1"/>
        <v>P.aeruginosa</v>
      </c>
      <c r="B4164" s="5" t="s">
        <v>25380</v>
      </c>
      <c r="C4164" s="6" t="str">
        <f>IFERROR(__xludf.DUMMYFUNCTION("SPLIT('2. c'!B4164, "" "", True, True)"),"Pseudomonas")</f>
        <v>Pseudomonas</v>
      </c>
      <c r="D4164" t="str">
        <f>IFERROR(__xludf.DUMMYFUNCTION("""COMPUTED_VALUE"""),"aeruginosa")</f>
        <v>aeruginosa</v>
      </c>
    </row>
    <row r="4165" ht="15.75" customHeight="1">
      <c r="A4165" t="str">
        <f t="shared" si="1"/>
        <v>P.aeruginosa</v>
      </c>
      <c r="B4165" s="5" t="s">
        <v>25380</v>
      </c>
      <c r="C4165" s="6" t="str">
        <f>IFERROR(__xludf.DUMMYFUNCTION("SPLIT('2. c'!B4165, "" "", True, True)"),"Pseudomonas")</f>
        <v>Pseudomonas</v>
      </c>
      <c r="D4165" t="str">
        <f>IFERROR(__xludf.DUMMYFUNCTION("""COMPUTED_VALUE"""),"aeruginosa")</f>
        <v>aeruginosa</v>
      </c>
    </row>
    <row r="4166" ht="15.75" customHeight="1">
      <c r="A4166" t="str">
        <f t="shared" si="1"/>
        <v>P.aeruginosa</v>
      </c>
      <c r="B4166" s="5" t="s">
        <v>25380</v>
      </c>
      <c r="C4166" s="6" t="str">
        <f>IFERROR(__xludf.DUMMYFUNCTION("SPLIT('2. c'!B4166, "" "", True, True)"),"Pseudomonas")</f>
        <v>Pseudomonas</v>
      </c>
      <c r="D4166" t="str">
        <f>IFERROR(__xludf.DUMMYFUNCTION("""COMPUTED_VALUE"""),"aeruginosa")</f>
        <v>aeruginosa</v>
      </c>
    </row>
    <row r="4167" ht="15.75" customHeight="1">
      <c r="A4167" t="str">
        <f t="shared" si="1"/>
        <v>P.aeruginosa</v>
      </c>
      <c r="B4167" s="5" t="s">
        <v>25380</v>
      </c>
      <c r="C4167" s="6" t="str">
        <f>IFERROR(__xludf.DUMMYFUNCTION("SPLIT('2. c'!B4167, "" "", True, True)"),"Pseudomonas")</f>
        <v>Pseudomonas</v>
      </c>
      <c r="D4167" t="str">
        <f>IFERROR(__xludf.DUMMYFUNCTION("""COMPUTED_VALUE"""),"aeruginosa")</f>
        <v>aeruginosa</v>
      </c>
    </row>
    <row r="4168" ht="15.75" customHeight="1">
      <c r="A4168" t="str">
        <f t="shared" si="1"/>
        <v>P.aeruginosa</v>
      </c>
      <c r="B4168" s="5" t="s">
        <v>25380</v>
      </c>
      <c r="C4168" s="6" t="str">
        <f>IFERROR(__xludf.DUMMYFUNCTION("SPLIT('2. c'!B4168, "" "", True, True)"),"Pseudomonas")</f>
        <v>Pseudomonas</v>
      </c>
      <c r="D4168" t="str">
        <f>IFERROR(__xludf.DUMMYFUNCTION("""COMPUTED_VALUE"""),"aeruginosa")</f>
        <v>aeruginosa</v>
      </c>
    </row>
    <row r="4169" ht="15.75" customHeight="1">
      <c r="A4169" t="str">
        <f t="shared" si="1"/>
        <v>P.aeruginosa</v>
      </c>
      <c r="B4169" s="5" t="s">
        <v>25380</v>
      </c>
      <c r="C4169" s="6" t="str">
        <f>IFERROR(__xludf.DUMMYFUNCTION("SPLIT('2. c'!B4169, "" "", True, True)"),"Pseudomonas")</f>
        <v>Pseudomonas</v>
      </c>
      <c r="D4169" t="str">
        <f>IFERROR(__xludf.DUMMYFUNCTION("""COMPUTED_VALUE"""),"aeruginosa")</f>
        <v>aeruginosa</v>
      </c>
    </row>
    <row r="4170" ht="15.75" customHeight="1">
      <c r="A4170" t="str">
        <f t="shared" si="1"/>
        <v>P.aeruginosa</v>
      </c>
      <c r="B4170" s="5" t="s">
        <v>25380</v>
      </c>
      <c r="C4170" s="6" t="str">
        <f>IFERROR(__xludf.DUMMYFUNCTION("SPLIT('2. c'!B4170, "" "", True, True)"),"Pseudomonas")</f>
        <v>Pseudomonas</v>
      </c>
      <c r="D4170" t="str">
        <f>IFERROR(__xludf.DUMMYFUNCTION("""COMPUTED_VALUE"""),"aeruginosa")</f>
        <v>aeruginosa</v>
      </c>
    </row>
    <row r="4171" ht="15.75" customHeight="1">
      <c r="A4171" t="str">
        <f t="shared" si="1"/>
        <v>P.aeruginosa</v>
      </c>
      <c r="B4171" s="5" t="s">
        <v>25380</v>
      </c>
      <c r="C4171" s="6" t="str">
        <f>IFERROR(__xludf.DUMMYFUNCTION("SPLIT('2. c'!B4171, "" "", True, True)"),"Pseudomonas")</f>
        <v>Pseudomonas</v>
      </c>
      <c r="D4171" t="str">
        <f>IFERROR(__xludf.DUMMYFUNCTION("""COMPUTED_VALUE"""),"aeruginosa")</f>
        <v>aeruginosa</v>
      </c>
    </row>
    <row r="4172" ht="15.75" customHeight="1">
      <c r="A4172" t="str">
        <f t="shared" si="1"/>
        <v>P.aeruginosa</v>
      </c>
      <c r="B4172" s="5" t="s">
        <v>25380</v>
      </c>
      <c r="C4172" s="6" t="str">
        <f>IFERROR(__xludf.DUMMYFUNCTION("SPLIT('2. c'!B4172, "" "", True, True)"),"Pseudomonas")</f>
        <v>Pseudomonas</v>
      </c>
      <c r="D4172" t="str">
        <f>IFERROR(__xludf.DUMMYFUNCTION("""COMPUTED_VALUE"""),"aeruginosa")</f>
        <v>aeruginosa</v>
      </c>
    </row>
    <row r="4173" ht="15.75" customHeight="1">
      <c r="A4173" t="str">
        <f t="shared" si="1"/>
        <v>P.aeruginosa</v>
      </c>
      <c r="B4173" s="5" t="s">
        <v>25380</v>
      </c>
      <c r="C4173" s="6" t="str">
        <f>IFERROR(__xludf.DUMMYFUNCTION("SPLIT('2. c'!B4173, "" "", True, True)"),"Pseudomonas")</f>
        <v>Pseudomonas</v>
      </c>
      <c r="D4173" t="str">
        <f>IFERROR(__xludf.DUMMYFUNCTION("""COMPUTED_VALUE"""),"aeruginosa")</f>
        <v>aeruginosa</v>
      </c>
    </row>
    <row r="4174" ht="15.75" customHeight="1">
      <c r="A4174" t="str">
        <f t="shared" si="1"/>
        <v>P.aeruginosa</v>
      </c>
      <c r="B4174" s="5" t="s">
        <v>25380</v>
      </c>
      <c r="C4174" s="6" t="str">
        <f>IFERROR(__xludf.DUMMYFUNCTION("SPLIT('2. c'!B4174, "" "", True, True)"),"Pseudomonas")</f>
        <v>Pseudomonas</v>
      </c>
      <c r="D4174" t="str">
        <f>IFERROR(__xludf.DUMMYFUNCTION("""COMPUTED_VALUE"""),"aeruginosa")</f>
        <v>aeruginosa</v>
      </c>
    </row>
    <row r="4175" ht="15.75" customHeight="1">
      <c r="A4175" t="str">
        <f t="shared" si="1"/>
        <v>P.aeruginosa</v>
      </c>
      <c r="B4175" s="5" t="s">
        <v>25485</v>
      </c>
      <c r="C4175" s="6" t="str">
        <f>IFERROR(__xludf.DUMMYFUNCTION("SPLIT('2. c'!B4175, "" "", True, True)"),"Pseudomonas")</f>
        <v>Pseudomonas</v>
      </c>
      <c r="D4175" t="str">
        <f>IFERROR(__xludf.DUMMYFUNCTION("""COMPUTED_VALUE"""),"aeruginosa")</f>
        <v>aeruginosa</v>
      </c>
      <c r="E4175" t="str">
        <f>IFERROR(__xludf.DUMMYFUNCTION("""COMPUTED_VALUE"""),"B136-33")</f>
        <v>B136-33</v>
      </c>
    </row>
    <row r="4176" ht="15.75" customHeight="1">
      <c r="A4176" t="str">
        <f t="shared" si="1"/>
        <v>P.aeruginosa</v>
      </c>
      <c r="B4176" s="5" t="s">
        <v>25494</v>
      </c>
      <c r="C4176" s="6" t="str">
        <f>IFERROR(__xludf.DUMMYFUNCTION("SPLIT('2. c'!B4176, "" "", True, True)"),"Pseudomonas")</f>
        <v>Pseudomonas</v>
      </c>
      <c r="D4176" t="str">
        <f>IFERROR(__xludf.DUMMYFUNCTION("""COMPUTED_VALUE"""),"aeruginosa")</f>
        <v>aeruginosa</v>
      </c>
      <c r="E4176" t="str">
        <f>IFERROR(__xludf.DUMMYFUNCTION("""COMPUTED_VALUE"""),"c7447m")</f>
        <v>c7447m</v>
      </c>
    </row>
    <row r="4177" ht="15.75" customHeight="1">
      <c r="A4177" t="str">
        <f t="shared" si="1"/>
        <v>P.aeruginosa</v>
      </c>
      <c r="B4177" s="5" t="s">
        <v>25501</v>
      </c>
      <c r="C4177" s="6" t="str">
        <f>IFERROR(__xludf.DUMMYFUNCTION("SPLIT('2. c'!B4177, "" "", True, True)"),"Pseudomonas")</f>
        <v>Pseudomonas</v>
      </c>
      <c r="D4177" t="str">
        <f>IFERROR(__xludf.DUMMYFUNCTION("""COMPUTED_VALUE"""),"aeruginosa")</f>
        <v>aeruginosa</v>
      </c>
      <c r="E4177" t="str">
        <f>IFERROR(__xludf.DUMMYFUNCTION("""COMPUTED_VALUE"""),"DK2")</f>
        <v>DK2</v>
      </c>
    </row>
    <row r="4178" ht="15.75" customHeight="1">
      <c r="A4178" t="str">
        <f t="shared" si="1"/>
        <v>P.aeruginosa</v>
      </c>
      <c r="B4178" s="5" t="s">
        <v>25508</v>
      </c>
      <c r="C4178" s="6" t="str">
        <f>IFERROR(__xludf.DUMMYFUNCTION("SPLIT('2. c'!B4178, "" "", True, True)"),"Pseudomonas")</f>
        <v>Pseudomonas</v>
      </c>
      <c r="D4178" t="str">
        <f>IFERROR(__xludf.DUMMYFUNCTION("""COMPUTED_VALUE"""),"aeruginosa")</f>
        <v>aeruginosa</v>
      </c>
      <c r="E4178" t="str">
        <f>IFERROR(__xludf.DUMMYFUNCTION("""COMPUTED_VALUE"""),"DSM")</f>
        <v>DSM</v>
      </c>
      <c r="F4178">
        <f>IFERROR(__xludf.DUMMYFUNCTION("""COMPUTED_VALUE"""),50071.0)</f>
        <v>50071</v>
      </c>
    </row>
    <row r="4179" ht="15.75" customHeight="1">
      <c r="A4179" t="str">
        <f t="shared" si="1"/>
        <v>P.aeruginosa</v>
      </c>
      <c r="B4179" s="5" t="s">
        <v>25520</v>
      </c>
      <c r="C4179" s="6" t="str">
        <f>IFERROR(__xludf.DUMMYFUNCTION("SPLIT('2. c'!B4179, "" "", True, True)"),"Pseudomonas")</f>
        <v>Pseudomonas</v>
      </c>
      <c r="D4179" t="str">
        <f>IFERROR(__xludf.DUMMYFUNCTION("""COMPUTED_VALUE"""),"aeruginosa")</f>
        <v>aeruginosa</v>
      </c>
      <c r="E4179" t="str">
        <f>IFERROR(__xludf.DUMMYFUNCTION("""COMPUTED_VALUE"""),"F22031")</f>
        <v>F22031</v>
      </c>
    </row>
    <row r="4180" ht="15.75" customHeight="1">
      <c r="A4180" t="str">
        <f t="shared" si="1"/>
        <v>P.aeruginosa</v>
      </c>
      <c r="B4180" s="5" t="s">
        <v>25529</v>
      </c>
      <c r="C4180" s="6" t="str">
        <f>IFERROR(__xludf.DUMMYFUNCTION("SPLIT('2. c'!B4180, "" "", True, True)"),"Pseudomonas")</f>
        <v>Pseudomonas</v>
      </c>
      <c r="D4180" t="str">
        <f>IFERROR(__xludf.DUMMYFUNCTION("""COMPUTED_VALUE"""),"aeruginosa")</f>
        <v>aeruginosa</v>
      </c>
      <c r="E4180" t="str">
        <f>IFERROR(__xludf.DUMMYFUNCTION("""COMPUTED_VALUE"""),"FRD1")</f>
        <v>FRD1</v>
      </c>
    </row>
    <row r="4181" ht="15.75" customHeight="1">
      <c r="A4181" t="str">
        <f t="shared" si="1"/>
        <v>P.aeruginosa</v>
      </c>
      <c r="B4181" s="5" t="s">
        <v>25537</v>
      </c>
      <c r="C4181" s="6" t="str">
        <f>IFERROR(__xludf.DUMMYFUNCTION("SPLIT('2. c'!B4181, "" "", True, True)"),"Pseudomonas")</f>
        <v>Pseudomonas</v>
      </c>
      <c r="D4181" t="str">
        <f>IFERROR(__xludf.DUMMYFUNCTION("""COMPUTED_VALUE"""),"aeruginosa")</f>
        <v>aeruginosa</v>
      </c>
      <c r="E4181" t="str">
        <f>IFERROR(__xludf.DUMMYFUNCTION("""COMPUTED_VALUE"""),"LES400")</f>
        <v>LES400</v>
      </c>
    </row>
    <row r="4182" ht="15.75" customHeight="1">
      <c r="A4182" t="str">
        <f t="shared" si="1"/>
        <v>P.aeruginosa</v>
      </c>
      <c r="B4182" s="5" t="s">
        <v>25546</v>
      </c>
      <c r="C4182" s="6" t="str">
        <f>IFERROR(__xludf.DUMMYFUNCTION("SPLIT('2. c'!B4182, "" "", True, True)"),"Pseudomonas")</f>
        <v>Pseudomonas</v>
      </c>
      <c r="D4182" t="str">
        <f>IFERROR(__xludf.DUMMYFUNCTION("""COMPUTED_VALUE"""),"aeruginosa")</f>
        <v>aeruginosa</v>
      </c>
      <c r="E4182" t="str">
        <f>IFERROR(__xludf.DUMMYFUNCTION("""COMPUTED_VALUE"""),"LES431")</f>
        <v>LES431</v>
      </c>
    </row>
    <row r="4183" ht="15.75" customHeight="1">
      <c r="A4183" t="str">
        <f t="shared" si="1"/>
        <v>P.aeruginosa</v>
      </c>
      <c r="B4183" s="5" t="s">
        <v>25553</v>
      </c>
      <c r="C4183" s="6" t="str">
        <f>IFERROR(__xludf.DUMMYFUNCTION("SPLIT('2. c'!B4183, "" "", True, True)"),"Pseudomonas")</f>
        <v>Pseudomonas</v>
      </c>
      <c r="D4183" t="str">
        <f>IFERROR(__xludf.DUMMYFUNCTION("""COMPUTED_VALUE"""),"aeruginosa")</f>
        <v>aeruginosa</v>
      </c>
      <c r="E4183" t="str">
        <f>IFERROR(__xludf.DUMMYFUNCTION("""COMPUTED_VALUE"""),"LESB58")</f>
        <v>LESB58</v>
      </c>
    </row>
    <row r="4184" ht="15.75" customHeight="1">
      <c r="A4184" t="str">
        <f t="shared" si="1"/>
        <v>P.aeruginosa</v>
      </c>
      <c r="B4184" s="5" t="s">
        <v>25558</v>
      </c>
      <c r="C4184" s="6" t="str">
        <f>IFERROR(__xludf.DUMMYFUNCTION("SPLIT('2. c'!B4184, "" "", True, True)"),"Pseudomonas")</f>
        <v>Pseudomonas</v>
      </c>
      <c r="D4184" t="str">
        <f>IFERROR(__xludf.DUMMYFUNCTION("""COMPUTED_VALUE"""),"aeruginosa")</f>
        <v>aeruginosa</v>
      </c>
      <c r="E4184" t="str">
        <f>IFERROR(__xludf.DUMMYFUNCTION("""COMPUTED_VALUE"""),"LESB65")</f>
        <v>LESB65</v>
      </c>
    </row>
    <row r="4185" ht="15.75" customHeight="1">
      <c r="A4185" t="str">
        <f t="shared" si="1"/>
        <v>P.aeruginosa</v>
      </c>
      <c r="B4185" s="5" t="s">
        <v>25564</v>
      </c>
      <c r="C4185" s="6" t="str">
        <f>IFERROR(__xludf.DUMMYFUNCTION("SPLIT('2. c'!B4185, "" "", True, True)"),"Pseudomonas")</f>
        <v>Pseudomonas</v>
      </c>
      <c r="D4185" t="str">
        <f>IFERROR(__xludf.DUMMYFUNCTION("""COMPUTED_VALUE"""),"aeruginosa")</f>
        <v>aeruginosa</v>
      </c>
      <c r="E4185" t="str">
        <f>IFERROR(__xludf.DUMMYFUNCTION("""COMPUTED_VALUE"""),"LESlike1")</f>
        <v>LESlike1</v>
      </c>
    </row>
    <row r="4186" ht="15.75" customHeight="1">
      <c r="A4186" t="str">
        <f t="shared" si="1"/>
        <v>P.aeruginosa</v>
      </c>
      <c r="B4186" s="5" t="s">
        <v>25571</v>
      </c>
      <c r="C4186" s="6" t="str">
        <f>IFERROR(__xludf.DUMMYFUNCTION("SPLIT('2. c'!B4186, "" "", True, True)"),"Pseudomonas")</f>
        <v>Pseudomonas</v>
      </c>
      <c r="D4186" t="str">
        <f>IFERROR(__xludf.DUMMYFUNCTION("""COMPUTED_VALUE"""),"aeruginosa")</f>
        <v>aeruginosa</v>
      </c>
      <c r="E4186" t="str">
        <f>IFERROR(__xludf.DUMMYFUNCTION("""COMPUTED_VALUE"""),"LESlike4")</f>
        <v>LESlike4</v>
      </c>
    </row>
    <row r="4187" ht="15.75" customHeight="1">
      <c r="A4187" t="str">
        <f t="shared" si="1"/>
        <v>P.aeruginosa</v>
      </c>
      <c r="B4187" s="5" t="s">
        <v>25580</v>
      </c>
      <c r="C4187" s="6" t="str">
        <f>IFERROR(__xludf.DUMMYFUNCTION("SPLIT('2. c'!B4187, "" "", True, True)"),"Pseudomonas")</f>
        <v>Pseudomonas</v>
      </c>
      <c r="D4187" t="str">
        <f>IFERROR(__xludf.DUMMYFUNCTION("""COMPUTED_VALUE"""),"aeruginosa")</f>
        <v>aeruginosa</v>
      </c>
      <c r="E4187" t="str">
        <f>IFERROR(__xludf.DUMMYFUNCTION("""COMPUTED_VALUE"""),"LESlike5")</f>
        <v>LESlike5</v>
      </c>
    </row>
    <row r="4188" ht="15.75" customHeight="1">
      <c r="A4188" t="str">
        <f t="shared" si="1"/>
        <v>P.aeruginosa</v>
      </c>
      <c r="B4188" s="5" t="s">
        <v>25588</v>
      </c>
      <c r="C4188" s="6" t="str">
        <f>IFERROR(__xludf.DUMMYFUNCTION("SPLIT('2. c'!B4188, "" "", True, True)"),"Pseudomonas")</f>
        <v>Pseudomonas</v>
      </c>
      <c r="D4188" t="str">
        <f>IFERROR(__xludf.DUMMYFUNCTION("""COMPUTED_VALUE"""),"aeruginosa")</f>
        <v>aeruginosa</v>
      </c>
      <c r="E4188" t="str">
        <f>IFERROR(__xludf.DUMMYFUNCTION("""COMPUTED_VALUE"""),"LESlike7")</f>
        <v>LESlike7</v>
      </c>
    </row>
    <row r="4189" ht="15.75" customHeight="1">
      <c r="A4189" t="str">
        <f t="shared" si="1"/>
        <v>P.aeruginosa</v>
      </c>
      <c r="B4189" s="5" t="s">
        <v>25596</v>
      </c>
      <c r="C4189" s="6" t="str">
        <f>IFERROR(__xludf.DUMMYFUNCTION("SPLIT('2. c'!B4189, "" "", True, True)"),"Pseudomonas")</f>
        <v>Pseudomonas</v>
      </c>
      <c r="D4189" t="str">
        <f>IFERROR(__xludf.DUMMYFUNCTION("""COMPUTED_VALUE"""),"aeruginosa")</f>
        <v>aeruginosa</v>
      </c>
      <c r="E4189" t="str">
        <f>IFERROR(__xludf.DUMMYFUNCTION("""COMPUTED_VALUE"""),"M18")</f>
        <v>M18</v>
      </c>
    </row>
    <row r="4190" ht="15.75" customHeight="1">
      <c r="A4190" t="str">
        <f t="shared" si="1"/>
        <v>P.aeruginosa</v>
      </c>
      <c r="B4190" s="5" t="s">
        <v>25604</v>
      </c>
      <c r="C4190" s="6" t="str">
        <f>IFERROR(__xludf.DUMMYFUNCTION("SPLIT('2. c'!B4190, "" "", True, True)"),"Pseudomonas")</f>
        <v>Pseudomonas</v>
      </c>
      <c r="D4190" t="str">
        <f>IFERROR(__xludf.DUMMYFUNCTION("""COMPUTED_VALUE"""),"aeruginosa")</f>
        <v>aeruginosa</v>
      </c>
      <c r="E4190" t="str">
        <f>IFERROR(__xludf.DUMMYFUNCTION("""COMPUTED_VALUE"""),"MTB-1")</f>
        <v>MTB-1</v>
      </c>
    </row>
    <row r="4191" ht="15.75" customHeight="1">
      <c r="A4191" t="str">
        <f t="shared" si="1"/>
        <v>P.aeruginosa</v>
      </c>
      <c r="B4191" s="5" t="s">
        <v>25611</v>
      </c>
      <c r="C4191" s="6" t="str">
        <f>IFERROR(__xludf.DUMMYFUNCTION("SPLIT('2. c'!B4191, "" "", True, True)"),"Pseudomonas")</f>
        <v>Pseudomonas</v>
      </c>
      <c r="D4191" t="str">
        <f>IFERROR(__xludf.DUMMYFUNCTION("""COMPUTED_VALUE"""),"aeruginosa")</f>
        <v>aeruginosa</v>
      </c>
      <c r="E4191" t="str">
        <f>IFERROR(__xludf.DUMMYFUNCTION("""COMPUTED_VALUE"""),"NCGM")</f>
        <v>NCGM</v>
      </c>
      <c r="F4191">
        <f>IFERROR(__xludf.DUMMYFUNCTION("""COMPUTED_VALUE"""),1900.0)</f>
        <v>1900</v>
      </c>
    </row>
    <row r="4192" ht="15.75" customHeight="1">
      <c r="A4192" t="str">
        <f t="shared" si="1"/>
        <v>P.aeruginosa</v>
      </c>
      <c r="B4192" s="5" t="s">
        <v>25623</v>
      </c>
      <c r="C4192" s="6" t="str">
        <f>IFERROR(__xludf.DUMMYFUNCTION("SPLIT('2. c'!B4192, "" "", True, True)"),"Pseudomonas")</f>
        <v>Pseudomonas</v>
      </c>
      <c r="D4192" t="str">
        <f>IFERROR(__xludf.DUMMYFUNCTION("""COMPUTED_VALUE"""),"aeruginosa")</f>
        <v>aeruginosa</v>
      </c>
      <c r="E4192" t="str">
        <f>IFERROR(__xludf.DUMMYFUNCTION("""COMPUTED_VALUE"""),"NCGM")</f>
        <v>NCGM</v>
      </c>
      <c r="F4192">
        <f>IFERROR(__xludf.DUMMYFUNCTION("""COMPUTED_VALUE"""),1984.0)</f>
        <v>1984</v>
      </c>
    </row>
    <row r="4193" ht="15.75" customHeight="1">
      <c r="A4193" t="str">
        <f t="shared" si="1"/>
        <v>P.aeruginosa</v>
      </c>
      <c r="B4193" s="5" t="s">
        <v>25633</v>
      </c>
      <c r="C4193" s="6" t="str">
        <f>IFERROR(__xludf.DUMMYFUNCTION("SPLIT('2. c'!B4193, "" "", True, True)"),"Pseudomonas")</f>
        <v>Pseudomonas</v>
      </c>
      <c r="D4193" t="str">
        <f>IFERROR(__xludf.DUMMYFUNCTION("""COMPUTED_VALUE"""),"aeruginosa")</f>
        <v>aeruginosa</v>
      </c>
      <c r="E4193" t="str">
        <f>IFERROR(__xludf.DUMMYFUNCTION("""COMPUTED_VALUE"""),"NCGM2.S1")</f>
        <v>NCGM2.S1</v>
      </c>
    </row>
    <row r="4194" ht="15.75" customHeight="1">
      <c r="A4194" t="str">
        <f t="shared" si="1"/>
        <v>P.aeruginosa</v>
      </c>
      <c r="B4194" s="5" t="s">
        <v>25640</v>
      </c>
      <c r="C4194" s="6" t="str">
        <f>IFERROR(__xludf.DUMMYFUNCTION("SPLIT('2. c'!B4194, "" "", True, True)"),"Pseudomonas")</f>
        <v>Pseudomonas</v>
      </c>
      <c r="D4194" t="str">
        <f>IFERROR(__xludf.DUMMYFUNCTION("""COMPUTED_VALUE"""),"aeruginosa")</f>
        <v>aeruginosa</v>
      </c>
      <c r="E4194" t="str">
        <f>IFERROR(__xludf.DUMMYFUNCTION("""COMPUTED_VALUE"""),"PA1")</f>
        <v>PA1</v>
      </c>
    </row>
    <row r="4195" ht="15.75" customHeight="1">
      <c r="A4195" t="str">
        <f t="shared" si="1"/>
        <v>P.aeruginosa</v>
      </c>
      <c r="B4195" s="5" t="s">
        <v>25648</v>
      </c>
      <c r="C4195" s="6" t="str">
        <f>IFERROR(__xludf.DUMMYFUNCTION("SPLIT('2. c'!B4195, "" "", True, True)"),"Pseudomonas")</f>
        <v>Pseudomonas</v>
      </c>
      <c r="D4195" t="str">
        <f>IFERROR(__xludf.DUMMYFUNCTION("""COMPUTED_VALUE"""),"aeruginosa")</f>
        <v>aeruginosa</v>
      </c>
      <c r="E4195" t="str">
        <f>IFERROR(__xludf.DUMMYFUNCTION("""COMPUTED_VALUE"""),"PA1R")</f>
        <v>PA1R</v>
      </c>
    </row>
    <row r="4196" ht="15.75" customHeight="1">
      <c r="A4196" t="str">
        <f t="shared" si="1"/>
        <v>P.aeruginosa</v>
      </c>
      <c r="B4196" s="5" t="s">
        <v>25655</v>
      </c>
      <c r="C4196" s="6" t="str">
        <f>IFERROR(__xludf.DUMMYFUNCTION("SPLIT('2. c'!B4196, "" "", True, True)"),"Pseudomonas")</f>
        <v>Pseudomonas</v>
      </c>
      <c r="D4196" t="str">
        <f>IFERROR(__xludf.DUMMYFUNCTION("""COMPUTED_VALUE"""),"aeruginosa")</f>
        <v>aeruginosa</v>
      </c>
      <c r="E4196" t="str">
        <f>IFERROR(__xludf.DUMMYFUNCTION("""COMPUTED_VALUE"""),"PA38182")</f>
        <v>PA38182</v>
      </c>
    </row>
    <row r="4197" ht="15.75" customHeight="1">
      <c r="A4197" t="str">
        <f t="shared" si="1"/>
        <v>P.aeruginosa</v>
      </c>
      <c r="B4197" s="5" t="s">
        <v>25665</v>
      </c>
      <c r="C4197" s="6" t="str">
        <f>IFERROR(__xludf.DUMMYFUNCTION("SPLIT('2. c'!B4197, "" "", True, True)"),"Pseudomonas")</f>
        <v>Pseudomonas</v>
      </c>
      <c r="D4197" t="str">
        <f>IFERROR(__xludf.DUMMYFUNCTION("""COMPUTED_VALUE"""),"aeruginosa")</f>
        <v>aeruginosa</v>
      </c>
      <c r="E4197" t="str">
        <f>IFERROR(__xludf.DUMMYFUNCTION("""COMPUTED_VALUE"""),"PA7")</f>
        <v>PA7</v>
      </c>
    </row>
    <row r="4198" ht="15.75" customHeight="1">
      <c r="A4198" t="str">
        <f t="shared" si="1"/>
        <v>P.aeruginosa</v>
      </c>
      <c r="B4198" s="5" t="s">
        <v>25674</v>
      </c>
      <c r="C4198" s="6" t="str">
        <f>IFERROR(__xludf.DUMMYFUNCTION("SPLIT('2. c'!B4198, "" "", True, True)"),"Pseudomonas")</f>
        <v>Pseudomonas</v>
      </c>
      <c r="D4198" t="str">
        <f>IFERROR(__xludf.DUMMYFUNCTION("""COMPUTED_VALUE"""),"aeruginosa")</f>
        <v>aeruginosa</v>
      </c>
      <c r="E4198" t="str">
        <f>IFERROR(__xludf.DUMMYFUNCTION("""COMPUTED_VALUE"""),"PA96")</f>
        <v>PA96</v>
      </c>
    </row>
    <row r="4199" ht="15.75" customHeight="1">
      <c r="A4199" t="str">
        <f t="shared" si="1"/>
        <v>P.aeruginosa</v>
      </c>
      <c r="B4199" s="5" t="s">
        <v>25682</v>
      </c>
      <c r="C4199" s="6" t="str">
        <f>IFERROR(__xludf.DUMMYFUNCTION("SPLIT('2. c'!B4199, "" "", True, True)"),"Pseudomonas")</f>
        <v>Pseudomonas</v>
      </c>
      <c r="D4199" t="str">
        <f>IFERROR(__xludf.DUMMYFUNCTION("""COMPUTED_VALUE"""),"aeruginosa")</f>
        <v>aeruginosa</v>
      </c>
      <c r="E4199" t="str">
        <f>IFERROR(__xludf.DUMMYFUNCTION("""COMPUTED_VALUE"""),"PAO1")</f>
        <v>PAO1</v>
      </c>
    </row>
    <row r="4200" ht="15.75" customHeight="1">
      <c r="A4200" t="str">
        <f t="shared" si="1"/>
        <v>P.aeruginosa</v>
      </c>
      <c r="B4200" s="5" t="s">
        <v>25689</v>
      </c>
      <c r="C4200" s="6" t="str">
        <f>IFERROR(__xludf.DUMMYFUNCTION("SPLIT('2. c'!B4200, "" "", True, True)"),"Pseudomonas")</f>
        <v>Pseudomonas</v>
      </c>
      <c r="D4200" t="str">
        <f>IFERROR(__xludf.DUMMYFUNCTION("""COMPUTED_VALUE"""),"aeruginosa")</f>
        <v>aeruginosa</v>
      </c>
      <c r="E4200" t="str">
        <f>IFERROR(__xludf.DUMMYFUNCTION("""COMPUTED_VALUE"""),"PAO1H2O")</f>
        <v>PAO1H2O</v>
      </c>
    </row>
    <row r="4201" ht="15.75" customHeight="1">
      <c r="A4201" t="str">
        <f t="shared" si="1"/>
        <v>P.aeruginosa</v>
      </c>
      <c r="B4201" s="5" t="s">
        <v>25697</v>
      </c>
      <c r="C4201" s="6" t="str">
        <f>IFERROR(__xludf.DUMMYFUNCTION("SPLIT('2. c'!B4201, "" "", True, True)"),"Pseudomonas")</f>
        <v>Pseudomonas</v>
      </c>
      <c r="D4201" t="str">
        <f>IFERROR(__xludf.DUMMYFUNCTION("""COMPUTED_VALUE"""),"aeruginosa")</f>
        <v>aeruginosa</v>
      </c>
      <c r="E4201" t="str">
        <f>IFERROR(__xludf.DUMMYFUNCTION("""COMPUTED_VALUE"""),"PAO1-VE13")</f>
        <v>PAO1-VE13</v>
      </c>
    </row>
    <row r="4202" ht="15.75" customHeight="1">
      <c r="A4202" t="str">
        <f t="shared" si="1"/>
        <v>P.aeruginosa</v>
      </c>
      <c r="B4202" s="5" t="s">
        <v>25703</v>
      </c>
      <c r="C4202" s="6" t="str">
        <f>IFERROR(__xludf.DUMMYFUNCTION("SPLIT('2. c'!B4202, "" "", True, True)"),"Pseudomonas")</f>
        <v>Pseudomonas</v>
      </c>
      <c r="D4202" t="str">
        <f>IFERROR(__xludf.DUMMYFUNCTION("""COMPUTED_VALUE"""),"aeruginosa")</f>
        <v>aeruginosa</v>
      </c>
      <c r="E4202" t="str">
        <f>IFERROR(__xludf.DUMMYFUNCTION("""COMPUTED_VALUE"""),"PAO1-VE2")</f>
        <v>PAO1-VE2</v>
      </c>
    </row>
    <row r="4203" ht="15.75" customHeight="1">
      <c r="A4203" t="str">
        <f t="shared" si="1"/>
        <v>P.aeruginosa</v>
      </c>
      <c r="B4203" s="5" t="s">
        <v>25707</v>
      </c>
      <c r="C4203" s="6" t="str">
        <f>IFERROR(__xludf.DUMMYFUNCTION("SPLIT('2. c'!B4203, "" "", True, True)"),"Pseudomonas")</f>
        <v>Pseudomonas</v>
      </c>
      <c r="D4203" t="str">
        <f>IFERROR(__xludf.DUMMYFUNCTION("""COMPUTED_VALUE"""),"aeruginosa")</f>
        <v>aeruginosa</v>
      </c>
      <c r="E4203" t="str">
        <f>IFERROR(__xludf.DUMMYFUNCTION("""COMPUTED_VALUE"""),"PAO581")</f>
        <v>PAO581</v>
      </c>
    </row>
    <row r="4204" ht="15.75" customHeight="1">
      <c r="A4204" t="str">
        <f t="shared" si="1"/>
        <v>P.aeruginosa</v>
      </c>
      <c r="B4204" s="5" t="s">
        <v>25712</v>
      </c>
      <c r="C4204" s="6" t="str">
        <f>IFERROR(__xludf.DUMMYFUNCTION("SPLIT('2. c'!B4204, "" "", True, True)"),"Pseudomonas")</f>
        <v>Pseudomonas</v>
      </c>
      <c r="D4204" t="str">
        <f>IFERROR(__xludf.DUMMYFUNCTION("""COMPUTED_VALUE"""),"aeruginosa")</f>
        <v>aeruginosa</v>
      </c>
      <c r="E4204" t="str">
        <f>IFERROR(__xludf.DUMMYFUNCTION("""COMPUTED_VALUE"""),"RP73")</f>
        <v>RP73</v>
      </c>
    </row>
    <row r="4205" ht="15.75" customHeight="1">
      <c r="A4205" t="str">
        <f t="shared" si="1"/>
        <v>P.aeruginosa</v>
      </c>
      <c r="B4205" s="5" t="s">
        <v>25716</v>
      </c>
      <c r="C4205" s="6" t="str">
        <f>IFERROR(__xludf.DUMMYFUNCTION("SPLIT('2. c'!B4205, "" "", True, True)"),"Pseudomonas")</f>
        <v>Pseudomonas</v>
      </c>
      <c r="D4205" t="str">
        <f>IFERROR(__xludf.DUMMYFUNCTION("""COMPUTED_VALUE"""),"aeruginosa")</f>
        <v>aeruginosa</v>
      </c>
      <c r="E4205" t="str">
        <f>IFERROR(__xludf.DUMMYFUNCTION("""COMPUTED_VALUE"""),"SCV20265")</f>
        <v>SCV20265</v>
      </c>
    </row>
    <row r="4206" ht="15.75" customHeight="1">
      <c r="A4206" t="str">
        <f t="shared" si="1"/>
        <v>P.aeruginosa</v>
      </c>
      <c r="B4206" s="5" t="s">
        <v>25723</v>
      </c>
      <c r="C4206" s="6" t="str">
        <f>IFERROR(__xludf.DUMMYFUNCTION("SPLIT('2. c'!B4206, "" "", True, True)"),"Pseudomonas")</f>
        <v>Pseudomonas</v>
      </c>
      <c r="D4206" t="str">
        <f>IFERROR(__xludf.DUMMYFUNCTION("""COMPUTED_VALUE"""),"aeruginosa")</f>
        <v>aeruginosa</v>
      </c>
      <c r="E4206" t="str">
        <f>IFERROR(__xludf.DUMMYFUNCTION("""COMPUTED_VALUE"""),"strain")</f>
        <v>strain</v>
      </c>
      <c r="F4206" t="str">
        <f>IFERROR(__xludf.DUMMYFUNCTION("""COMPUTED_VALUE"""),"12-4-4(59)")</f>
        <v>12-4-4(59)</v>
      </c>
    </row>
    <row r="4207" ht="15.75" customHeight="1">
      <c r="A4207" t="str">
        <f t="shared" si="1"/>
        <v>P.aeruginosa</v>
      </c>
      <c r="B4207" s="5" t="s">
        <v>25731</v>
      </c>
      <c r="C4207" s="6" t="str">
        <f>IFERROR(__xludf.DUMMYFUNCTION("SPLIT('2. c'!B4207, "" "", True, True)"),"Pseudomonas")</f>
        <v>Pseudomonas</v>
      </c>
      <c r="D4207" t="str">
        <f>IFERROR(__xludf.DUMMYFUNCTION("""COMPUTED_VALUE"""),"aeruginosa")</f>
        <v>aeruginosa</v>
      </c>
      <c r="E4207" t="str">
        <f>IFERROR(__xludf.DUMMYFUNCTION("""COMPUTED_VALUE"""),"strain")</f>
        <v>strain</v>
      </c>
      <c r="F4207">
        <f>IFERROR(__xludf.DUMMYFUNCTION("""COMPUTED_VALUE"""),8380.0)</f>
        <v>8380</v>
      </c>
    </row>
    <row r="4208" ht="15.75" customHeight="1">
      <c r="A4208" t="str">
        <f t="shared" si="1"/>
        <v>P.aeruginosa</v>
      </c>
      <c r="B4208" s="5" t="s">
        <v>25740</v>
      </c>
      <c r="C4208" s="6" t="str">
        <f>IFERROR(__xludf.DUMMYFUNCTION("SPLIT('2. c'!B4208, "" "", True, True)"),"Pseudomonas")</f>
        <v>Pseudomonas</v>
      </c>
      <c r="D4208" t="str">
        <f>IFERROR(__xludf.DUMMYFUNCTION("""COMPUTED_VALUE"""),"aeruginosa")</f>
        <v>aeruginosa</v>
      </c>
      <c r="E4208" t="str">
        <f>IFERROR(__xludf.DUMMYFUNCTION("""COMPUTED_VALUE"""),"strain")</f>
        <v>strain</v>
      </c>
      <c r="F4208" t="str">
        <f>IFERROR(__xludf.DUMMYFUNCTION("""COMPUTED_VALUE"""),"ATCC")</f>
        <v>ATCC</v>
      </c>
      <c r="G4208">
        <f>IFERROR(__xludf.DUMMYFUNCTION("""COMPUTED_VALUE"""),27853.0)</f>
        <v>27853</v>
      </c>
    </row>
    <row r="4209" ht="15.75" customHeight="1">
      <c r="A4209" t="str">
        <f t="shared" si="1"/>
        <v>P.aeruginosa</v>
      </c>
      <c r="B4209" s="5" t="s">
        <v>25750</v>
      </c>
      <c r="C4209" s="6" t="str">
        <f>IFERROR(__xludf.DUMMYFUNCTION("SPLIT('2. c'!B4209, "" "", True, True)"),"Pseudomonas")</f>
        <v>Pseudomonas</v>
      </c>
      <c r="D4209" t="str">
        <f>IFERROR(__xludf.DUMMYFUNCTION("""COMPUTED_VALUE"""),"aeruginosa")</f>
        <v>aeruginosa</v>
      </c>
      <c r="E4209" t="str">
        <f>IFERROR(__xludf.DUMMYFUNCTION("""COMPUTED_VALUE"""),"strain")</f>
        <v>strain</v>
      </c>
      <c r="F4209" t="str">
        <f>IFERROR(__xludf.DUMMYFUNCTION("""COMPUTED_VALUE"""),"BAMCPA07-48")</f>
        <v>BAMCPA07-48</v>
      </c>
    </row>
    <row r="4210" ht="15.75" customHeight="1">
      <c r="A4210" t="str">
        <f t="shared" si="1"/>
        <v>P.aeruginosa</v>
      </c>
      <c r="B4210" s="5" t="s">
        <v>25759</v>
      </c>
      <c r="C4210" s="6" t="str">
        <f>IFERROR(__xludf.DUMMYFUNCTION("SPLIT('2. c'!B4210, "" "", True, True)"),"Pseudomonas")</f>
        <v>Pseudomonas</v>
      </c>
      <c r="D4210" t="str">
        <f>IFERROR(__xludf.DUMMYFUNCTION("""COMPUTED_VALUE"""),"aeruginosa")</f>
        <v>aeruginosa</v>
      </c>
      <c r="E4210" t="str">
        <f>IFERROR(__xludf.DUMMYFUNCTION("""COMPUTED_VALUE"""),"strain")</f>
        <v>strain</v>
      </c>
      <c r="F4210" t="str">
        <f>IFERROR(__xludf.DUMMYFUNCTION("""COMPUTED_VALUE"""),"BTP036")</f>
        <v>BTP036</v>
      </c>
    </row>
    <row r="4211" ht="15.75" customHeight="1">
      <c r="A4211" t="str">
        <f t="shared" si="1"/>
        <v>P.aeruginosa</v>
      </c>
      <c r="B4211" s="5" t="s">
        <v>25767</v>
      </c>
      <c r="C4211" s="6" t="str">
        <f>IFERROR(__xludf.DUMMYFUNCTION("SPLIT('2. c'!B4211, "" "", True, True)"),"Pseudomonas")</f>
        <v>Pseudomonas</v>
      </c>
      <c r="D4211" t="str">
        <f>IFERROR(__xludf.DUMMYFUNCTION("""COMPUTED_VALUE"""),"aeruginosa")</f>
        <v>aeruginosa</v>
      </c>
      <c r="E4211" t="str">
        <f>IFERROR(__xludf.DUMMYFUNCTION("""COMPUTED_VALUE"""),"strain")</f>
        <v>strain</v>
      </c>
      <c r="F4211" t="str">
        <f>IFERROR(__xludf.DUMMYFUNCTION("""COMPUTED_VALUE"""),"Carb01")</f>
        <v>Carb01</v>
      </c>
      <c r="G4211">
        <f>IFERROR(__xludf.DUMMYFUNCTION("""COMPUTED_VALUE"""),63.0)</f>
        <v>63</v>
      </c>
    </row>
    <row r="4212" ht="15.75" customHeight="1">
      <c r="A4212" t="str">
        <f t="shared" si="1"/>
        <v>P.aeruginosa</v>
      </c>
      <c r="B4212" s="5" t="s">
        <v>25776</v>
      </c>
      <c r="C4212" s="6" t="str">
        <f>IFERROR(__xludf.DUMMYFUNCTION("SPLIT('2. c'!B4212, "" "", True, True)"),"Pseudomonas")</f>
        <v>Pseudomonas</v>
      </c>
      <c r="D4212" t="str">
        <f>IFERROR(__xludf.DUMMYFUNCTION("""COMPUTED_VALUE"""),"aeruginosa")</f>
        <v>aeruginosa</v>
      </c>
      <c r="E4212" t="str">
        <f>IFERROR(__xludf.DUMMYFUNCTION("""COMPUTED_VALUE"""),"strain")</f>
        <v>strain</v>
      </c>
      <c r="F4212" t="str">
        <f>IFERROR(__xludf.DUMMYFUNCTION("""COMPUTED_VALUE"""),"Cu1510")</f>
        <v>Cu1510</v>
      </c>
    </row>
    <row r="4213" ht="15.75" customHeight="1">
      <c r="A4213" t="str">
        <f t="shared" si="1"/>
        <v>P.aeruginosa</v>
      </c>
      <c r="B4213" s="5" t="s">
        <v>25784</v>
      </c>
      <c r="C4213" s="6" t="str">
        <f>IFERROR(__xludf.DUMMYFUNCTION("SPLIT('2. c'!B4213, "" "", True, True)"),"Pseudomonas")</f>
        <v>Pseudomonas</v>
      </c>
      <c r="D4213" t="str">
        <f>IFERROR(__xludf.DUMMYFUNCTION("""COMPUTED_VALUE"""),"aeruginosa")</f>
        <v>aeruginosa</v>
      </c>
      <c r="E4213" t="str">
        <f>IFERROR(__xludf.DUMMYFUNCTION("""COMPUTED_VALUE"""),"strain")</f>
        <v>strain</v>
      </c>
      <c r="F4213" t="str">
        <f>IFERROR(__xludf.DUMMYFUNCTION("""COMPUTED_VALUE"""),"F63912")</f>
        <v>F63912</v>
      </c>
    </row>
    <row r="4214" ht="15.75" customHeight="1">
      <c r="A4214" t="str">
        <f t="shared" si="1"/>
        <v>P.aeruginosa</v>
      </c>
      <c r="B4214" s="5" t="s">
        <v>25792</v>
      </c>
      <c r="C4214" s="6" t="str">
        <f>IFERROR(__xludf.DUMMYFUNCTION("SPLIT('2. c'!B4214, "" "", True, True)"),"Pseudomonas")</f>
        <v>Pseudomonas</v>
      </c>
      <c r="D4214" t="str">
        <f>IFERROR(__xludf.DUMMYFUNCTION("""COMPUTED_VALUE"""),"aeruginosa")</f>
        <v>aeruginosa</v>
      </c>
      <c r="E4214" t="str">
        <f>IFERROR(__xludf.DUMMYFUNCTION("""COMPUTED_VALUE"""),"strain")</f>
        <v>strain</v>
      </c>
      <c r="F4214" t="str">
        <f>IFERROR(__xludf.DUMMYFUNCTION("""COMPUTED_VALUE"""),"F9670")</f>
        <v>F9670</v>
      </c>
    </row>
    <row r="4215" ht="15.75" customHeight="1">
      <c r="A4215" t="str">
        <f t="shared" si="1"/>
        <v>P.aeruginosa</v>
      </c>
      <c r="B4215" s="5" t="s">
        <v>25800</v>
      </c>
      <c r="C4215" s="6" t="str">
        <f>IFERROR(__xludf.DUMMYFUNCTION("SPLIT('2. c'!B4215, "" "", True, True)"),"Pseudomonas")</f>
        <v>Pseudomonas</v>
      </c>
      <c r="D4215" t="str">
        <f>IFERROR(__xludf.DUMMYFUNCTION("""COMPUTED_VALUE"""),"aeruginosa")</f>
        <v>aeruginosa</v>
      </c>
      <c r="E4215" t="str">
        <f>IFERROR(__xludf.DUMMYFUNCTION("""COMPUTED_VALUE"""),"strain")</f>
        <v>strain</v>
      </c>
      <c r="F4215" t="str">
        <f>IFERROR(__xludf.DUMMYFUNCTION("""COMPUTED_VALUE"""),"F9676")</f>
        <v>F9676</v>
      </c>
    </row>
    <row r="4216" ht="15.75" customHeight="1">
      <c r="A4216" t="str">
        <f t="shared" si="1"/>
        <v>P.aeruginosa</v>
      </c>
      <c r="B4216" s="5" t="s">
        <v>25808</v>
      </c>
      <c r="C4216" s="6" t="str">
        <f>IFERROR(__xludf.DUMMYFUNCTION("SPLIT('2. c'!B4216, "" "", True, True)"),"Pseudomonas")</f>
        <v>Pseudomonas</v>
      </c>
      <c r="D4216" t="str">
        <f>IFERROR(__xludf.DUMMYFUNCTION("""COMPUTED_VALUE"""),"aeruginosa")</f>
        <v>aeruginosa</v>
      </c>
      <c r="E4216" t="str">
        <f>IFERROR(__xludf.DUMMYFUNCTION("""COMPUTED_VALUE"""),"strain")</f>
        <v>strain</v>
      </c>
      <c r="F4216" t="str">
        <f>IFERROR(__xludf.DUMMYFUNCTION("""COMPUTED_VALUE"""),"IOMTU")</f>
        <v>IOMTU</v>
      </c>
      <c r="G4216">
        <f>IFERROR(__xludf.DUMMYFUNCTION("""COMPUTED_VALUE"""),133.0)</f>
        <v>133</v>
      </c>
    </row>
    <row r="4217" ht="15.75" customHeight="1">
      <c r="A4217" t="str">
        <f t="shared" si="1"/>
        <v>P.aeruginosa</v>
      </c>
      <c r="B4217" s="5" t="s">
        <v>25818</v>
      </c>
      <c r="C4217" s="6" t="str">
        <f>IFERROR(__xludf.DUMMYFUNCTION("SPLIT('2. c'!B4217, "" "", True, True)"),"Pseudomonas")</f>
        <v>Pseudomonas</v>
      </c>
      <c r="D4217" t="str">
        <f>IFERROR(__xludf.DUMMYFUNCTION("""COMPUTED_VALUE"""),"aeruginosa")</f>
        <v>aeruginosa</v>
      </c>
      <c r="E4217" t="str">
        <f>IFERROR(__xludf.DUMMYFUNCTION("""COMPUTED_VALUE"""),"strain")</f>
        <v>strain</v>
      </c>
      <c r="F4217" t="str">
        <f>IFERROR(__xludf.DUMMYFUNCTION("""COMPUTED_VALUE"""),"N17-1")</f>
        <v>N17-1</v>
      </c>
    </row>
    <row r="4218" ht="15.75" customHeight="1">
      <c r="A4218" t="str">
        <f t="shared" si="1"/>
        <v>P.aeruginosa</v>
      </c>
      <c r="B4218" s="5" t="s">
        <v>25826</v>
      </c>
      <c r="C4218" s="6" t="str">
        <f>IFERROR(__xludf.DUMMYFUNCTION("SPLIT('2. c'!B4218, "" "", True, True)"),"Pseudomonas")</f>
        <v>Pseudomonas</v>
      </c>
      <c r="D4218" t="str">
        <f>IFERROR(__xludf.DUMMYFUNCTION("""COMPUTED_VALUE"""),"aeruginosa")</f>
        <v>aeruginosa</v>
      </c>
      <c r="E4218" t="str">
        <f>IFERROR(__xludf.DUMMYFUNCTION("""COMPUTED_VALUE"""),"strain")</f>
        <v>strain</v>
      </c>
      <c r="F4218" t="str">
        <f>IFERROR(__xludf.DUMMYFUNCTION("""COMPUTED_VALUE"""),"NCGM257")</f>
        <v>NCGM257</v>
      </c>
    </row>
    <row r="4219" ht="15.75" customHeight="1">
      <c r="A4219" t="str">
        <f t="shared" si="1"/>
        <v>P.aeruginosa</v>
      </c>
      <c r="B4219" s="5" t="s">
        <v>25834</v>
      </c>
      <c r="C4219" s="6" t="str">
        <f>IFERROR(__xludf.DUMMYFUNCTION("SPLIT('2. c'!B4219, "" "", True, True)"),"Pseudomonas")</f>
        <v>Pseudomonas</v>
      </c>
      <c r="D4219" t="str">
        <f>IFERROR(__xludf.DUMMYFUNCTION("""COMPUTED_VALUE"""),"aeruginosa")</f>
        <v>aeruginosa</v>
      </c>
      <c r="E4219" t="str">
        <f>IFERROR(__xludf.DUMMYFUNCTION("""COMPUTED_VALUE"""),"strain")</f>
        <v>strain</v>
      </c>
      <c r="F4219" t="str">
        <f>IFERROR(__xludf.DUMMYFUNCTION("""COMPUTED_VALUE"""),"NCTC10332")</f>
        <v>NCTC10332</v>
      </c>
    </row>
    <row r="4220" ht="15.75" customHeight="1">
      <c r="A4220" t="str">
        <f t="shared" si="1"/>
        <v>P.aeruginosa</v>
      </c>
      <c r="B4220" s="5" t="s">
        <v>25842</v>
      </c>
      <c r="C4220" s="6" t="str">
        <f>IFERROR(__xludf.DUMMYFUNCTION("SPLIT('2. c'!B4220, "" "", True, True)"),"Pseudomonas")</f>
        <v>Pseudomonas</v>
      </c>
      <c r="D4220" t="str">
        <f>IFERROR(__xludf.DUMMYFUNCTION("""COMPUTED_VALUE"""),"aeruginosa")</f>
        <v>aeruginosa</v>
      </c>
      <c r="E4220" t="str">
        <f>IFERROR(__xludf.DUMMYFUNCTION("""COMPUTED_VALUE"""),"strain")</f>
        <v>strain</v>
      </c>
      <c r="F4220" t="str">
        <f>IFERROR(__xludf.DUMMYFUNCTION("""COMPUTED_VALUE"""),"PA1RG")</f>
        <v>PA1RG</v>
      </c>
    </row>
    <row r="4221" ht="15.75" customHeight="1">
      <c r="A4221" t="str">
        <f t="shared" si="1"/>
        <v>P.aeruginosa</v>
      </c>
      <c r="B4221" s="5" t="s">
        <v>25848</v>
      </c>
      <c r="C4221" s="6" t="str">
        <f>IFERROR(__xludf.DUMMYFUNCTION("SPLIT('2. c'!B4221, "" "", True, True)"),"Pseudomonas")</f>
        <v>Pseudomonas</v>
      </c>
      <c r="D4221" t="str">
        <f>IFERROR(__xludf.DUMMYFUNCTION("""COMPUTED_VALUE"""),"aeruginosa")</f>
        <v>aeruginosa</v>
      </c>
      <c r="E4221" t="str">
        <f>IFERROR(__xludf.DUMMYFUNCTION("""COMPUTED_VALUE"""),"strain")</f>
        <v>strain</v>
      </c>
      <c r="F4221" t="str">
        <f>IFERROR(__xludf.DUMMYFUNCTION("""COMPUTED_VALUE"""),"PAG")</f>
        <v>PAG</v>
      </c>
    </row>
    <row r="4222" ht="15.75" customHeight="1">
      <c r="A4222" t="str">
        <f t="shared" si="1"/>
        <v>P.aeruginosa</v>
      </c>
      <c r="B4222" s="5" t="s">
        <v>25852</v>
      </c>
      <c r="C4222" s="6" t="str">
        <f>IFERROR(__xludf.DUMMYFUNCTION("SPLIT('2. c'!B4222, "" "", True, True)"),"Pseudomonas")</f>
        <v>Pseudomonas</v>
      </c>
      <c r="D4222" t="str">
        <f>IFERROR(__xludf.DUMMYFUNCTION("""COMPUTED_VALUE"""),"aeruginosa")</f>
        <v>aeruginosa</v>
      </c>
      <c r="E4222" t="str">
        <f>IFERROR(__xludf.DUMMYFUNCTION("""COMPUTED_VALUE"""),"strain")</f>
        <v>strain</v>
      </c>
      <c r="F4222" t="str">
        <f>IFERROR(__xludf.DUMMYFUNCTION("""COMPUTED_VALUE"""),"PAO1_Orsay")</f>
        <v>PAO1_Orsay</v>
      </c>
    </row>
    <row r="4223" ht="15.75" customHeight="1">
      <c r="A4223" t="str">
        <f t="shared" si="1"/>
        <v>P.aeruginosa</v>
      </c>
      <c r="B4223" s="5" t="s">
        <v>25854</v>
      </c>
      <c r="C4223" s="6" t="str">
        <f>IFERROR(__xludf.DUMMYFUNCTION("SPLIT('2. c'!B4223, "" "", True, True)"),"Pseudomonas")</f>
        <v>Pseudomonas</v>
      </c>
      <c r="D4223" t="str">
        <f>IFERROR(__xludf.DUMMYFUNCTION("""COMPUTED_VALUE"""),"aeruginosa")</f>
        <v>aeruginosa</v>
      </c>
      <c r="E4223" t="str">
        <f>IFERROR(__xludf.DUMMYFUNCTION("""COMPUTED_VALUE"""),"strain")</f>
        <v>strain</v>
      </c>
      <c r="F4223" t="str">
        <f>IFERROR(__xludf.DUMMYFUNCTION("""COMPUTED_VALUE"""),"PSE305")</f>
        <v>PSE305</v>
      </c>
    </row>
    <row r="4224" ht="15.75" customHeight="1">
      <c r="A4224" t="str">
        <f t="shared" si="1"/>
        <v>P.aeruginosa</v>
      </c>
      <c r="B4224" s="5" t="s">
        <v>25858</v>
      </c>
      <c r="C4224" s="6" t="str">
        <f>IFERROR(__xludf.DUMMYFUNCTION("SPLIT('2. c'!B4224, "" "", True, True)"),"Pseudomonas")</f>
        <v>Pseudomonas</v>
      </c>
      <c r="D4224" t="str">
        <f>IFERROR(__xludf.DUMMYFUNCTION("""COMPUTED_VALUE"""),"aeruginosa")</f>
        <v>aeruginosa</v>
      </c>
      <c r="E4224" t="str">
        <f>IFERROR(__xludf.DUMMYFUNCTION("""COMPUTED_VALUE"""),"strain")</f>
        <v>strain</v>
      </c>
      <c r="F4224" t="str">
        <f>IFERROR(__xludf.DUMMYFUNCTION("""COMPUTED_VALUE"""),"S04")</f>
        <v>S04</v>
      </c>
      <c r="G4224">
        <f>IFERROR(__xludf.DUMMYFUNCTION("""COMPUTED_VALUE"""),90.0)</f>
        <v>90</v>
      </c>
    </row>
    <row r="4225" ht="15.75" customHeight="1">
      <c r="A4225" t="str">
        <f t="shared" si="1"/>
        <v>P.aeruginosa</v>
      </c>
      <c r="B4225" s="5" t="s">
        <v>25865</v>
      </c>
      <c r="C4225" s="6" t="str">
        <f>IFERROR(__xludf.DUMMYFUNCTION("SPLIT('2. c'!B4225, "" "", True, True)"),"Pseudomonas")</f>
        <v>Pseudomonas</v>
      </c>
      <c r="D4225" t="str">
        <f>IFERROR(__xludf.DUMMYFUNCTION("""COMPUTED_VALUE"""),"aeruginosa")</f>
        <v>aeruginosa</v>
      </c>
      <c r="E4225" t="str">
        <f>IFERROR(__xludf.DUMMYFUNCTION("""COMPUTED_VALUE"""),"strain")</f>
        <v>strain</v>
      </c>
      <c r="F4225" t="str">
        <f>IFERROR(__xludf.DUMMYFUNCTION("""COMPUTED_VALUE"""),"USDA-ARS-USMARC-41639")</f>
        <v>USDA-ARS-USMARC-41639</v>
      </c>
    </row>
    <row r="4226" ht="15.75" customHeight="1">
      <c r="A4226" t="str">
        <f t="shared" si="1"/>
        <v>P.aeruginosa</v>
      </c>
      <c r="B4226" s="5" t="s">
        <v>25871</v>
      </c>
      <c r="C4226" s="6" t="str">
        <f>IFERROR(__xludf.DUMMYFUNCTION("SPLIT('2. c'!B4226, "" "", True, True)"),"Pseudomonas")</f>
        <v>Pseudomonas</v>
      </c>
      <c r="D4226" t="str">
        <f>IFERROR(__xludf.DUMMYFUNCTION("""COMPUTED_VALUE"""),"aeruginosa")</f>
        <v>aeruginosa</v>
      </c>
      <c r="E4226" t="str">
        <f>IFERROR(__xludf.DUMMYFUNCTION("""COMPUTED_VALUE"""),"strain")</f>
        <v>strain</v>
      </c>
      <c r="F4226" t="str">
        <f>IFERROR(__xludf.DUMMYFUNCTION("""COMPUTED_VALUE"""),"VA-134")</f>
        <v>VA-134</v>
      </c>
    </row>
    <row r="4227" ht="15.75" customHeight="1">
      <c r="A4227" t="str">
        <f t="shared" si="1"/>
        <v>P.aeruginosa</v>
      </c>
      <c r="B4227" s="5" t="s">
        <v>25876</v>
      </c>
      <c r="C4227" s="6" t="str">
        <f>IFERROR(__xludf.DUMMYFUNCTION("SPLIT('2. c'!B4227, "" "", True, True)"),"Pseudomonas")</f>
        <v>Pseudomonas</v>
      </c>
      <c r="D4227" t="str">
        <f>IFERROR(__xludf.DUMMYFUNCTION("""COMPUTED_VALUE"""),"aeruginosa")</f>
        <v>aeruginosa</v>
      </c>
      <c r="E4227" t="str">
        <f>IFERROR(__xludf.DUMMYFUNCTION("""COMPUTED_VALUE"""),"strain")</f>
        <v>strain</v>
      </c>
      <c r="F4227" t="str">
        <f>IFERROR(__xludf.DUMMYFUNCTION("""COMPUTED_VALUE"""),"X78812")</f>
        <v>X78812</v>
      </c>
    </row>
    <row r="4228" ht="15.75" customHeight="1">
      <c r="A4228" t="str">
        <f t="shared" si="1"/>
        <v>P.aeruginosa</v>
      </c>
      <c r="B4228" s="5" t="s">
        <v>25886</v>
      </c>
      <c r="C4228" s="6" t="str">
        <f>IFERROR(__xludf.DUMMYFUNCTION("SPLIT('2. c'!B4228, "" "", True, True)"),"Pseudomonas")</f>
        <v>Pseudomonas</v>
      </c>
      <c r="D4228" t="str">
        <f>IFERROR(__xludf.DUMMYFUNCTION("""COMPUTED_VALUE"""),"aeruginosa")</f>
        <v>aeruginosa</v>
      </c>
      <c r="E4228" t="str">
        <f>IFERROR(__xludf.DUMMYFUNCTION("""COMPUTED_VALUE"""),"UCBPP-PA14")</f>
        <v>UCBPP-PA14</v>
      </c>
    </row>
    <row r="4229" ht="15.75" customHeight="1">
      <c r="A4229" t="str">
        <f t="shared" si="1"/>
        <v>P.aeruginosa</v>
      </c>
      <c r="B4229" s="5" t="s">
        <v>25893</v>
      </c>
      <c r="C4229" s="6" t="str">
        <f>IFERROR(__xludf.DUMMYFUNCTION("SPLIT('2. c'!B4229, "" "", True, True)"),"Pseudomonas")</f>
        <v>Pseudomonas</v>
      </c>
      <c r="D4229" t="str">
        <f>IFERROR(__xludf.DUMMYFUNCTION("""COMPUTED_VALUE"""),"aeruginosa")</f>
        <v>aeruginosa</v>
      </c>
      <c r="E4229" t="str">
        <f>IFERROR(__xludf.DUMMYFUNCTION("""COMPUTED_VALUE"""),"YL84")</f>
        <v>YL84</v>
      </c>
    </row>
    <row r="4230" ht="15.75" customHeight="1">
      <c r="A4230" t="str">
        <f t="shared" si="1"/>
        <v>P.agarici</v>
      </c>
      <c r="B4230" s="5" t="s">
        <v>25899</v>
      </c>
      <c r="C4230" s="6" t="str">
        <f>IFERROR(__xludf.DUMMYFUNCTION("SPLIT('2. c'!B4230, "" "", True, True)"),"Pseudomonas")</f>
        <v>Pseudomonas</v>
      </c>
      <c r="D4230" t="str">
        <f>IFERROR(__xludf.DUMMYFUNCTION("""COMPUTED_VALUE"""),"agarici")</f>
        <v>agarici</v>
      </c>
      <c r="E4230" t="str">
        <f>IFERROR(__xludf.DUMMYFUNCTION("""COMPUTED_VALUE"""),"strain")</f>
        <v>strain</v>
      </c>
      <c r="F4230" t="str">
        <f>IFERROR(__xludf.DUMMYFUNCTION("""COMPUTED_VALUE"""),"NCPPB")</f>
        <v>NCPPB</v>
      </c>
      <c r="G4230">
        <f>IFERROR(__xludf.DUMMYFUNCTION("""COMPUTED_VALUE"""),2472.0)</f>
        <v>2472</v>
      </c>
    </row>
    <row r="4231" ht="15.75" customHeight="1">
      <c r="A4231" t="str">
        <f t="shared" si="1"/>
        <v>P.alcaligenes</v>
      </c>
      <c r="B4231" s="5" t="s">
        <v>25906</v>
      </c>
      <c r="C4231" s="6" t="str">
        <f>IFERROR(__xludf.DUMMYFUNCTION("SPLIT('2. c'!B4231, "" "", True, True)"),"Pseudomonas")</f>
        <v>Pseudomonas</v>
      </c>
      <c r="D4231" t="str">
        <f>IFERROR(__xludf.DUMMYFUNCTION("""COMPUTED_VALUE"""),"alcaligenes")</f>
        <v>alcaligenes</v>
      </c>
      <c r="E4231" t="str">
        <f>IFERROR(__xludf.DUMMYFUNCTION("""COMPUTED_VALUE"""),"strain")</f>
        <v>strain</v>
      </c>
      <c r="F4231" t="str">
        <f>IFERROR(__xludf.DUMMYFUNCTION("""COMPUTED_VALUE"""),"NEB")</f>
        <v>NEB</v>
      </c>
      <c r="G4231">
        <f>IFERROR(__xludf.DUMMYFUNCTION("""COMPUTED_VALUE"""),585.0)</f>
        <v>585</v>
      </c>
    </row>
    <row r="4232" ht="15.75" customHeight="1">
      <c r="A4232" t="str">
        <f t="shared" si="1"/>
        <v>P.alkylphenolia</v>
      </c>
      <c r="B4232" s="5" t="s">
        <v>25915</v>
      </c>
      <c r="C4232" s="6" t="str">
        <f>IFERROR(__xludf.DUMMYFUNCTION("SPLIT('2. c'!B4232, "" "", True, True)"),"Pseudomonas")</f>
        <v>Pseudomonas</v>
      </c>
      <c r="D4232" t="str">
        <f>IFERROR(__xludf.DUMMYFUNCTION("""COMPUTED_VALUE"""),"alkylphenolia")</f>
        <v>alkylphenolia</v>
      </c>
      <c r="E4232" t="str">
        <f>IFERROR(__xludf.DUMMYFUNCTION("""COMPUTED_VALUE"""),"strain")</f>
        <v>strain</v>
      </c>
      <c r="F4232" t="str">
        <f>IFERROR(__xludf.DUMMYFUNCTION("""COMPUTED_VALUE"""),"KL28")</f>
        <v>KL28</v>
      </c>
    </row>
    <row r="4233" ht="15.75" customHeight="1">
      <c r="A4233" t="str">
        <f t="shared" si="1"/>
        <v>P.antarctica</v>
      </c>
      <c r="B4233" s="5" t="s">
        <v>25921</v>
      </c>
      <c r="C4233" s="6" t="str">
        <f>IFERROR(__xludf.DUMMYFUNCTION("SPLIT('2. c'!B4233, "" "", True, True)"),"Pseudomonas")</f>
        <v>Pseudomonas</v>
      </c>
      <c r="D4233" t="str">
        <f>IFERROR(__xludf.DUMMYFUNCTION("""COMPUTED_VALUE"""),"antarctica")</f>
        <v>antarctica</v>
      </c>
      <c r="E4233" t="str">
        <f>IFERROR(__xludf.DUMMYFUNCTION("""COMPUTED_VALUE"""),"strain")</f>
        <v>strain</v>
      </c>
      <c r="F4233" t="str">
        <f>IFERROR(__xludf.DUMMYFUNCTION("""COMPUTED_VALUE"""),"PAMC")</f>
        <v>PAMC</v>
      </c>
      <c r="G4233">
        <f>IFERROR(__xludf.DUMMYFUNCTION("""COMPUTED_VALUE"""),27494.0)</f>
        <v>27494</v>
      </c>
    </row>
    <row r="4234" ht="15.75" customHeight="1">
      <c r="A4234" t="str">
        <f t="shared" si="1"/>
        <v>P.azotoformans</v>
      </c>
      <c r="B4234" s="5" t="s">
        <v>25928</v>
      </c>
      <c r="C4234" s="6" t="str">
        <f>IFERROR(__xludf.DUMMYFUNCTION("SPLIT('2. c'!B4234, "" "", True, True)"),"Pseudomonas")</f>
        <v>Pseudomonas</v>
      </c>
      <c r="D4234" t="str">
        <f>IFERROR(__xludf.DUMMYFUNCTION("""COMPUTED_VALUE"""),"azotoformans")</f>
        <v>azotoformans</v>
      </c>
      <c r="E4234" t="str">
        <f>IFERROR(__xludf.DUMMYFUNCTION("""COMPUTED_VALUE"""),"strain")</f>
        <v>strain</v>
      </c>
      <c r="F4234" t="str">
        <f>IFERROR(__xludf.DUMMYFUNCTION("""COMPUTED_VALUE"""),"S4")</f>
        <v>S4</v>
      </c>
    </row>
    <row r="4235" ht="15.75" customHeight="1">
      <c r="A4235" t="str">
        <f t="shared" si="1"/>
        <v>P.balearica</v>
      </c>
      <c r="B4235" s="5" t="s">
        <v>25936</v>
      </c>
      <c r="C4235" s="6" t="str">
        <f>IFERROR(__xludf.DUMMYFUNCTION("SPLIT('2. c'!B4235, "" "", True, True)"),"Pseudomonas")</f>
        <v>Pseudomonas</v>
      </c>
      <c r="D4235" t="str">
        <f>IFERROR(__xludf.DUMMYFUNCTION("""COMPUTED_VALUE"""),"balearica")</f>
        <v>balearica</v>
      </c>
      <c r="E4235" t="str">
        <f>IFERROR(__xludf.DUMMYFUNCTION("""COMPUTED_VALUE"""),"DSM")</f>
        <v>DSM</v>
      </c>
      <c r="F4235">
        <f>IFERROR(__xludf.DUMMYFUNCTION("""COMPUTED_VALUE"""),6083.0)</f>
        <v>6083</v>
      </c>
      <c r="G4235" t="str">
        <f>IFERROR(__xludf.DUMMYFUNCTION("""COMPUTED_VALUE"""),"DSM6083")</f>
        <v>DSM6083</v>
      </c>
      <c r="H4235" t="str">
        <f>IFERROR(__xludf.DUMMYFUNCTION("""COMPUTED_VALUE"""),"(=SP1402)")</f>
        <v>(=SP1402)</v>
      </c>
    </row>
    <row r="4236" ht="15.75" customHeight="1">
      <c r="A4236" t="str">
        <f t="shared" si="1"/>
        <v>P.brassicacearum</v>
      </c>
      <c r="B4236" s="5" t="s">
        <v>25947</v>
      </c>
      <c r="C4236" s="6" t="str">
        <f>IFERROR(__xludf.DUMMYFUNCTION("SPLIT('2. c'!B4236, "" "", True, True)"),"Pseudomonas")</f>
        <v>Pseudomonas</v>
      </c>
      <c r="D4236" t="str">
        <f>IFERROR(__xludf.DUMMYFUNCTION("""COMPUTED_VALUE"""),"brassicacearum")</f>
        <v>brassicacearum</v>
      </c>
      <c r="E4236" t="str">
        <f>IFERROR(__xludf.DUMMYFUNCTION("""COMPUTED_VALUE"""),"strain")</f>
        <v>strain</v>
      </c>
      <c r="F4236" t="str">
        <f>IFERROR(__xludf.DUMMYFUNCTION("""COMPUTED_VALUE"""),"DF41")</f>
        <v>DF41</v>
      </c>
    </row>
    <row r="4237" ht="15.75" customHeight="1">
      <c r="A4237" t="str">
        <f t="shared" si="1"/>
        <v>P.brassicacearum</v>
      </c>
      <c r="B4237" s="5" t="s">
        <v>25958</v>
      </c>
      <c r="C4237" s="6" t="str">
        <f>IFERROR(__xludf.DUMMYFUNCTION("SPLIT('2. c'!B4237, "" "", True, True)"),"Pseudomonas")</f>
        <v>Pseudomonas</v>
      </c>
      <c r="D4237" t="str">
        <f>IFERROR(__xludf.DUMMYFUNCTION("""COMPUTED_VALUE"""),"brassicacearum")</f>
        <v>brassicacearum</v>
      </c>
      <c r="E4237" t="str">
        <f>IFERROR(__xludf.DUMMYFUNCTION("""COMPUTED_VALUE"""),"strain")</f>
        <v>strain</v>
      </c>
      <c r="F4237" t="str">
        <f>IFERROR(__xludf.DUMMYFUNCTION("""COMPUTED_VALUE"""),"LBUM300")</f>
        <v>LBUM300</v>
      </c>
    </row>
    <row r="4238" ht="15.75" customHeight="1">
      <c r="A4238" t="str">
        <f t="shared" si="1"/>
        <v>P.brassicacearum</v>
      </c>
      <c r="B4238" s="5" t="s">
        <v>25967</v>
      </c>
      <c r="C4238" s="6" t="str">
        <f>IFERROR(__xludf.DUMMYFUNCTION("SPLIT('2. c'!B4238, "" "", True, True)"),"Pseudomonas")</f>
        <v>Pseudomonas</v>
      </c>
      <c r="D4238" t="str">
        <f>IFERROR(__xludf.DUMMYFUNCTION("""COMPUTED_VALUE"""),"brassicacearum")</f>
        <v>brassicacearum</v>
      </c>
      <c r="E4238" t="str">
        <f>IFERROR(__xludf.DUMMYFUNCTION("""COMPUTED_VALUE"""),"subsp.")</f>
        <v>subsp.</v>
      </c>
      <c r="F4238" t="str">
        <f>IFERROR(__xludf.DUMMYFUNCTION("""COMPUTED_VALUE"""),"brassicacearum")</f>
        <v>brassicacearum</v>
      </c>
      <c r="G4238" t="str">
        <f>IFERROR(__xludf.DUMMYFUNCTION("""COMPUTED_VALUE"""),"NFM421")</f>
        <v>NFM421</v>
      </c>
    </row>
    <row r="4239" ht="15.75" customHeight="1">
      <c r="A4239" t="str">
        <f t="shared" si="1"/>
        <v>P.chlororaphis</v>
      </c>
      <c r="B4239" s="5" t="s">
        <v>25977</v>
      </c>
      <c r="C4239" s="6" t="str">
        <f>IFERROR(__xludf.DUMMYFUNCTION("SPLIT('2. c'!B4239, "" "", True, True)"),"Pseudomonas")</f>
        <v>Pseudomonas</v>
      </c>
      <c r="D4239" t="str">
        <f>IFERROR(__xludf.DUMMYFUNCTION("""COMPUTED_VALUE"""),"chlororaphis")</f>
        <v>chlororaphis</v>
      </c>
      <c r="E4239" t="str">
        <f>IFERROR(__xludf.DUMMYFUNCTION("""COMPUTED_VALUE"""),"O6")</f>
        <v>O6</v>
      </c>
    </row>
    <row r="4240" ht="15.75" customHeight="1">
      <c r="A4240" t="str">
        <f t="shared" si="1"/>
        <v>P.chlororaphis</v>
      </c>
      <c r="B4240" s="5" t="s">
        <v>25984</v>
      </c>
      <c r="C4240" s="6" t="str">
        <f>IFERROR(__xludf.DUMMYFUNCTION("SPLIT('2. c'!B4240, "" "", True, True)"),"Pseudomonas")</f>
        <v>Pseudomonas</v>
      </c>
      <c r="D4240" t="str">
        <f>IFERROR(__xludf.DUMMYFUNCTION("""COMPUTED_VALUE"""),"chlororaphis")</f>
        <v>chlororaphis</v>
      </c>
      <c r="E4240" t="str">
        <f>IFERROR(__xludf.DUMMYFUNCTION("""COMPUTED_VALUE"""),"strain")</f>
        <v>strain</v>
      </c>
      <c r="F4240">
        <f>IFERROR(__xludf.DUMMYFUNCTION("""COMPUTED_VALUE"""),189.0)</f>
        <v>189</v>
      </c>
    </row>
    <row r="4241" ht="15.75" customHeight="1">
      <c r="A4241" t="str">
        <f t="shared" si="1"/>
        <v>P.chlororaphis</v>
      </c>
      <c r="B4241" s="5" t="s">
        <v>25994</v>
      </c>
      <c r="C4241" s="6" t="str">
        <f>IFERROR(__xludf.DUMMYFUNCTION("SPLIT('2. c'!B4241, "" "", True, True)"),"Pseudomonas")</f>
        <v>Pseudomonas</v>
      </c>
      <c r="D4241" t="str">
        <f>IFERROR(__xludf.DUMMYFUNCTION("""COMPUTED_VALUE"""),"chlororaphis")</f>
        <v>chlororaphis</v>
      </c>
      <c r="E4241" t="str">
        <f>IFERROR(__xludf.DUMMYFUNCTION("""COMPUTED_VALUE"""),"strain")</f>
        <v>strain</v>
      </c>
      <c r="F4241" t="str">
        <f>IFERROR(__xludf.DUMMYFUNCTION("""COMPUTED_VALUE"""),"PA23")</f>
        <v>PA23</v>
      </c>
    </row>
    <row r="4242" ht="15.75" customHeight="1">
      <c r="A4242" t="str">
        <f t="shared" si="1"/>
        <v>P.chlororaphis</v>
      </c>
      <c r="B4242" s="5" t="s">
        <v>26002</v>
      </c>
      <c r="C4242" s="6" t="str">
        <f>IFERROR(__xludf.DUMMYFUNCTION("SPLIT('2. c'!B4242, "" "", True, True)"),"Pseudomonas")</f>
        <v>Pseudomonas</v>
      </c>
      <c r="D4242" t="str">
        <f>IFERROR(__xludf.DUMMYFUNCTION("""COMPUTED_VALUE"""),"chlororaphis")</f>
        <v>chlororaphis</v>
      </c>
      <c r="E4242" t="str">
        <f>IFERROR(__xludf.DUMMYFUNCTION("""COMPUTED_VALUE"""),"strain")</f>
        <v>strain</v>
      </c>
      <c r="F4242" t="str">
        <f>IFERROR(__xludf.DUMMYFUNCTION("""COMPUTED_VALUE"""),"PCL1606")</f>
        <v>PCL1606</v>
      </c>
    </row>
    <row r="4243" ht="15.75" customHeight="1">
      <c r="A4243" t="str">
        <f t="shared" si="1"/>
        <v>P.chlororaphis</v>
      </c>
      <c r="B4243" s="5" t="s">
        <v>26012</v>
      </c>
      <c r="C4243" s="6" t="str">
        <f>IFERROR(__xludf.DUMMYFUNCTION("SPLIT('2. c'!B4243, "" "", True, True)"),"Pseudomonas")</f>
        <v>Pseudomonas</v>
      </c>
      <c r="D4243" t="str">
        <f>IFERROR(__xludf.DUMMYFUNCTION("""COMPUTED_VALUE"""),"chlororaphis")</f>
        <v>chlororaphis</v>
      </c>
      <c r="E4243" t="str">
        <f>IFERROR(__xludf.DUMMYFUNCTION("""COMPUTED_VALUE"""),"strain")</f>
        <v>strain</v>
      </c>
      <c r="F4243" t="str">
        <f>IFERROR(__xludf.DUMMYFUNCTION("""COMPUTED_VALUE"""),"UFB2")</f>
        <v>UFB2</v>
      </c>
    </row>
    <row r="4244" ht="15.75" customHeight="1">
      <c r="A4244" t="str">
        <f t="shared" si="1"/>
        <v>P.chlororaphis</v>
      </c>
      <c r="B4244" s="5" t="s">
        <v>26020</v>
      </c>
      <c r="C4244" s="6" t="str">
        <f>IFERROR(__xludf.DUMMYFUNCTION("SPLIT('2. c'!B4244, "" "", True, True)"),"Pseudomonas")</f>
        <v>Pseudomonas</v>
      </c>
      <c r="D4244" t="str">
        <f>IFERROR(__xludf.DUMMYFUNCTION("""COMPUTED_VALUE"""),"chlororaphis")</f>
        <v>chlororaphis</v>
      </c>
      <c r="E4244" t="str">
        <f>IFERROR(__xludf.DUMMYFUNCTION("""COMPUTED_VALUE"""),"subsp.")</f>
        <v>subsp.</v>
      </c>
      <c r="F4244" t="str">
        <f>IFERROR(__xludf.DUMMYFUNCTION("""COMPUTED_VALUE"""),"aurantiaca")</f>
        <v>aurantiaca</v>
      </c>
      <c r="G4244" t="str">
        <f>IFERROR(__xludf.DUMMYFUNCTION("""COMPUTED_VALUE"""),"JD37")</f>
        <v>JD37</v>
      </c>
    </row>
    <row r="4245" ht="15.75" customHeight="1">
      <c r="A4245" t="str">
        <f t="shared" si="1"/>
        <v>P.cichorii</v>
      </c>
      <c r="B4245" s="5" t="s">
        <v>26030</v>
      </c>
      <c r="C4245" s="6" t="str">
        <f>IFERROR(__xludf.DUMMYFUNCTION("SPLIT('2. c'!B4245, "" "", True, True)"),"Pseudomonas")</f>
        <v>Pseudomonas</v>
      </c>
      <c r="D4245" t="str">
        <f>IFERROR(__xludf.DUMMYFUNCTION("""COMPUTED_VALUE"""),"cichorii")</f>
        <v>cichorii</v>
      </c>
      <c r="E4245" t="str">
        <f>IFERROR(__xludf.DUMMYFUNCTION("""COMPUTED_VALUE"""),"JBC1")</f>
        <v>JBC1</v>
      </c>
    </row>
    <row r="4246" ht="15.75" customHeight="1">
      <c r="A4246" t="str">
        <f t="shared" si="1"/>
        <v>P.citronellolis</v>
      </c>
      <c r="B4246" s="5" t="s">
        <v>26043</v>
      </c>
      <c r="C4246" s="6" t="str">
        <f>IFERROR(__xludf.DUMMYFUNCTION("SPLIT('2. c'!B4246, "" "", True, True)"),"Pseudomonas")</f>
        <v>Pseudomonas</v>
      </c>
      <c r="D4246" t="str">
        <f>IFERROR(__xludf.DUMMYFUNCTION("""COMPUTED_VALUE"""),"citronellolis")</f>
        <v>citronellolis</v>
      </c>
      <c r="E4246" t="str">
        <f>IFERROR(__xludf.DUMMYFUNCTION("""COMPUTED_VALUE"""),"strain")</f>
        <v>strain</v>
      </c>
      <c r="F4246" t="str">
        <f>IFERROR(__xludf.DUMMYFUNCTION("""COMPUTED_VALUE"""),"P3B5")</f>
        <v>P3B5</v>
      </c>
    </row>
    <row r="4247" ht="15.75" customHeight="1">
      <c r="A4247" t="str">
        <f t="shared" si="1"/>
        <v>P.citronellolis</v>
      </c>
      <c r="B4247" s="5" t="s">
        <v>26058</v>
      </c>
      <c r="C4247" s="6" t="str">
        <f>IFERROR(__xludf.DUMMYFUNCTION("SPLIT('2. c'!B4247, "" "", True, True)"),"Pseudomonas")</f>
        <v>Pseudomonas</v>
      </c>
      <c r="D4247" t="str">
        <f>IFERROR(__xludf.DUMMYFUNCTION("""COMPUTED_VALUE"""),"citronellolis")</f>
        <v>citronellolis</v>
      </c>
      <c r="E4247" t="str">
        <f>IFERROR(__xludf.DUMMYFUNCTION("""COMPUTED_VALUE"""),"strain")</f>
        <v>strain</v>
      </c>
      <c r="F4247" t="str">
        <f>IFERROR(__xludf.DUMMYFUNCTION("""COMPUTED_VALUE"""),"SJTE-3")</f>
        <v>SJTE-3</v>
      </c>
    </row>
    <row r="4248" ht="15.75" customHeight="1">
      <c r="A4248" t="str">
        <f t="shared" si="1"/>
        <v>P.cremoricolorata</v>
      </c>
      <c r="B4248" s="5" t="s">
        <v>26073</v>
      </c>
      <c r="C4248" s="6" t="str">
        <f>IFERROR(__xludf.DUMMYFUNCTION("SPLIT('2. c'!B4248, "" "", True, True)"),"Pseudomonas")</f>
        <v>Pseudomonas</v>
      </c>
      <c r="D4248" t="str">
        <f>IFERROR(__xludf.DUMMYFUNCTION("""COMPUTED_VALUE"""),"cremoricolorata")</f>
        <v>cremoricolorata</v>
      </c>
      <c r="E4248" t="str">
        <f>IFERROR(__xludf.DUMMYFUNCTION("""COMPUTED_VALUE"""),"ND07")</f>
        <v>ND07</v>
      </c>
    </row>
    <row r="4249" ht="15.75" customHeight="1">
      <c r="A4249" t="str">
        <f t="shared" si="1"/>
        <v>P.deceptionensis</v>
      </c>
      <c r="B4249" s="5" t="s">
        <v>26087</v>
      </c>
      <c r="C4249" s="6" t="str">
        <f>IFERROR(__xludf.DUMMYFUNCTION("SPLIT('2. c'!B4249, "" "", True, True)"),"Pseudomonas")</f>
        <v>Pseudomonas</v>
      </c>
      <c r="D4249" t="str">
        <f>IFERROR(__xludf.DUMMYFUNCTION("""COMPUTED_VALUE"""),"deceptionensis")</f>
        <v>deceptionensis</v>
      </c>
      <c r="E4249" t="str">
        <f>IFERROR(__xludf.DUMMYFUNCTION("""COMPUTED_VALUE"""),"strain")</f>
        <v>strain</v>
      </c>
      <c r="F4249" t="str">
        <f>IFERROR(__xludf.DUMMYFUNCTION("""COMPUTED_VALUE"""),"L10.10")</f>
        <v>L10.10</v>
      </c>
    </row>
    <row r="4250" ht="15.75" customHeight="1">
      <c r="A4250" t="str">
        <f t="shared" si="1"/>
        <v>P.denitrificans</v>
      </c>
      <c r="B4250" s="5" t="s">
        <v>26100</v>
      </c>
      <c r="C4250" s="6" t="str">
        <f>IFERROR(__xludf.DUMMYFUNCTION("SPLIT('2. c'!B4250, "" "", True, True)"),"Pseudomonas")</f>
        <v>Pseudomonas</v>
      </c>
      <c r="D4250" t="str">
        <f>IFERROR(__xludf.DUMMYFUNCTION("""COMPUTED_VALUE"""),"denitrificans")</f>
        <v>denitrificans</v>
      </c>
      <c r="E4250" t="str">
        <f>IFERROR(__xludf.DUMMYFUNCTION("""COMPUTED_VALUE"""),"ATCC")</f>
        <v>ATCC</v>
      </c>
      <c r="F4250">
        <f>IFERROR(__xludf.DUMMYFUNCTION("""COMPUTED_VALUE"""),13867.0)</f>
        <v>13867</v>
      </c>
    </row>
    <row r="4251" ht="15.75" customHeight="1">
      <c r="A4251" t="str">
        <f t="shared" si="1"/>
        <v>P.entomophila</v>
      </c>
      <c r="B4251" s="5" t="s">
        <v>26114</v>
      </c>
      <c r="C4251" s="6" t="str">
        <f>IFERROR(__xludf.DUMMYFUNCTION("SPLIT('2. c'!B4251, "" "", True, True)"),"Pseudomonas")</f>
        <v>Pseudomonas</v>
      </c>
      <c r="D4251" t="str">
        <f>IFERROR(__xludf.DUMMYFUNCTION("""COMPUTED_VALUE"""),"entomophila")</f>
        <v>entomophila</v>
      </c>
      <c r="E4251" t="str">
        <f>IFERROR(__xludf.DUMMYFUNCTION("""COMPUTED_VALUE"""),"L48")</f>
        <v>L48</v>
      </c>
    </row>
    <row r="4252" ht="15.75" customHeight="1">
      <c r="A4252" t="str">
        <f t="shared" si="1"/>
        <v>P.fluorescens</v>
      </c>
      <c r="B4252" s="5" t="s">
        <v>26125</v>
      </c>
      <c r="C4252" s="6" t="str">
        <f>IFERROR(__xludf.DUMMYFUNCTION("SPLIT('2. c'!B4252, "" "", True, True)"),"Pseudomonas")</f>
        <v>Pseudomonas</v>
      </c>
      <c r="D4252" t="str">
        <f>IFERROR(__xludf.DUMMYFUNCTION("""COMPUTED_VALUE"""),"fluorescens")</f>
        <v>fluorescens</v>
      </c>
      <c r="E4252" t="str">
        <f>IFERROR(__xludf.DUMMYFUNCTION("""COMPUTED_VALUE"""),"A506")</f>
        <v>A506</v>
      </c>
    </row>
    <row r="4253" ht="15.75" customHeight="1">
      <c r="A4253" t="str">
        <f t="shared" si="1"/>
        <v>P.fluorescens</v>
      </c>
      <c r="B4253" s="5" t="s">
        <v>26130</v>
      </c>
      <c r="C4253" s="6" t="str">
        <f>IFERROR(__xludf.DUMMYFUNCTION("SPLIT('2. c'!B4253, "" "", True, True)"),"Pseudomonas")</f>
        <v>Pseudomonas</v>
      </c>
      <c r="D4253" t="str">
        <f>IFERROR(__xludf.DUMMYFUNCTION("""COMPUTED_VALUE"""),"fluorescens")</f>
        <v>fluorescens</v>
      </c>
      <c r="E4253" t="str">
        <f>IFERROR(__xludf.DUMMYFUNCTION("""COMPUTED_VALUE"""),"F113")</f>
        <v>F113</v>
      </c>
    </row>
    <row r="4254" ht="15.75" customHeight="1">
      <c r="A4254" t="str">
        <f t="shared" si="1"/>
        <v>P.fluorescens</v>
      </c>
      <c r="B4254" s="5" t="s">
        <v>26137</v>
      </c>
      <c r="C4254" s="6" t="str">
        <f>IFERROR(__xludf.DUMMYFUNCTION("SPLIT('2. c'!B4254, "" "", True, True)"),"Pseudomonas")</f>
        <v>Pseudomonas</v>
      </c>
      <c r="D4254" t="str">
        <f>IFERROR(__xludf.DUMMYFUNCTION("""COMPUTED_VALUE"""),"fluorescens")</f>
        <v>fluorescens</v>
      </c>
      <c r="E4254" t="str">
        <f>IFERROR(__xludf.DUMMYFUNCTION("""COMPUTED_VALUE"""),"NCIMB")</f>
        <v>NCIMB</v>
      </c>
      <c r="F4254">
        <f>IFERROR(__xludf.DUMMYFUNCTION("""COMPUTED_VALUE"""),11764.0)</f>
        <v>11764</v>
      </c>
    </row>
    <row r="4255" ht="15.75" customHeight="1">
      <c r="A4255" t="str">
        <f t="shared" si="1"/>
        <v>P.fluorescens</v>
      </c>
      <c r="B4255" s="5" t="s">
        <v>26146</v>
      </c>
      <c r="C4255" s="6" t="str">
        <f>IFERROR(__xludf.DUMMYFUNCTION("SPLIT('2. c'!B4255, "" "", True, True)"),"Pseudomonas")</f>
        <v>Pseudomonas</v>
      </c>
      <c r="D4255" t="str">
        <f>IFERROR(__xludf.DUMMYFUNCTION("""COMPUTED_VALUE"""),"fluorescens")</f>
        <v>fluorescens</v>
      </c>
      <c r="E4255" t="str">
        <f>IFERROR(__xludf.DUMMYFUNCTION("""COMPUTED_VALUE"""),"Pf0-1")</f>
        <v>Pf0-1</v>
      </c>
    </row>
    <row r="4256" ht="15.75" customHeight="1">
      <c r="A4256" t="str">
        <f t="shared" si="1"/>
        <v>P.fluorescens</v>
      </c>
      <c r="B4256" s="5" t="s">
        <v>26156</v>
      </c>
      <c r="C4256" s="6" t="str">
        <f>IFERROR(__xludf.DUMMYFUNCTION("SPLIT('2. c'!B4256, "" "", True, True)"),"Pseudomonas")</f>
        <v>Pseudomonas</v>
      </c>
      <c r="D4256" t="str">
        <f>IFERROR(__xludf.DUMMYFUNCTION("""COMPUTED_VALUE"""),"fluorescens")</f>
        <v>fluorescens</v>
      </c>
      <c r="E4256" t="str">
        <f>IFERROR(__xludf.DUMMYFUNCTION("""COMPUTED_VALUE"""),"PICF7")</f>
        <v>PICF7</v>
      </c>
    </row>
    <row r="4257" ht="15.75" customHeight="1">
      <c r="A4257" t="str">
        <f t="shared" si="1"/>
        <v>P.fluorescens</v>
      </c>
      <c r="B4257" s="5" t="s">
        <v>26166</v>
      </c>
      <c r="C4257" s="6" t="str">
        <f>IFERROR(__xludf.DUMMYFUNCTION("SPLIT('2. c'!B4257, "" "", True, True)"),"Pseudomonas")</f>
        <v>Pseudomonas</v>
      </c>
      <c r="D4257" t="str">
        <f>IFERROR(__xludf.DUMMYFUNCTION("""COMPUTED_VALUE"""),"fluorescens")</f>
        <v>fluorescens</v>
      </c>
      <c r="E4257" t="str">
        <f>IFERROR(__xludf.DUMMYFUNCTION("""COMPUTED_VALUE"""),"Q8r1-96")</f>
        <v>Q8r1-96</v>
      </c>
    </row>
    <row r="4258" ht="15.75" customHeight="1">
      <c r="A4258" t="str">
        <f t="shared" si="1"/>
        <v>P.fluorescens</v>
      </c>
      <c r="B4258" s="5" t="s">
        <v>26178</v>
      </c>
      <c r="C4258" s="6" t="str">
        <f>IFERROR(__xludf.DUMMYFUNCTION("SPLIT('2. c'!B4258, "" "", True, True)"),"Pseudomonas")</f>
        <v>Pseudomonas</v>
      </c>
      <c r="D4258" t="str">
        <f>IFERROR(__xludf.DUMMYFUNCTION("""COMPUTED_VALUE"""),"fluorescens")</f>
        <v>fluorescens</v>
      </c>
      <c r="E4258" t="str">
        <f>IFERROR(__xludf.DUMMYFUNCTION("""COMPUTED_VALUE"""),"SBW25")</f>
        <v>SBW25</v>
      </c>
    </row>
    <row r="4259" ht="15.75" customHeight="1">
      <c r="A4259" t="str">
        <f t="shared" si="1"/>
        <v>P.fluorescens</v>
      </c>
      <c r="B4259" s="5" t="s">
        <v>26194</v>
      </c>
      <c r="C4259" s="6" t="str">
        <f>IFERROR(__xludf.DUMMYFUNCTION("SPLIT('2. c'!B4259, "" "", True, True)"),"Pseudomonas")</f>
        <v>Pseudomonas</v>
      </c>
      <c r="D4259" t="str">
        <f>IFERROR(__xludf.DUMMYFUNCTION("""COMPUTED_VALUE"""),"fluorescens")</f>
        <v>fluorescens</v>
      </c>
      <c r="E4259" t="str">
        <f>IFERROR(__xludf.DUMMYFUNCTION("""COMPUTED_VALUE"""),"SS101")</f>
        <v>SS101</v>
      </c>
    </row>
    <row r="4260" ht="15.75" customHeight="1">
      <c r="A4260" t="str">
        <f t="shared" si="1"/>
        <v>P.fluorescens</v>
      </c>
      <c r="B4260" s="5" t="s">
        <v>26209</v>
      </c>
      <c r="C4260" s="6" t="str">
        <f>IFERROR(__xludf.DUMMYFUNCTION("SPLIT('2. c'!B4260, "" "", True, True)"),"Pseudomonas")</f>
        <v>Pseudomonas</v>
      </c>
      <c r="D4260" t="str">
        <f>IFERROR(__xludf.DUMMYFUNCTION("""COMPUTED_VALUE"""),"fluorescens")</f>
        <v>fluorescens</v>
      </c>
      <c r="E4260" t="str">
        <f>IFERROR(__xludf.DUMMYFUNCTION("""COMPUTED_VALUE"""),"strain")</f>
        <v>strain</v>
      </c>
      <c r="F4260" t="str">
        <f>IFERROR(__xludf.DUMMYFUNCTION("""COMPUTED_VALUE"""),"FW300-N2C3")</f>
        <v>FW300-N2C3</v>
      </c>
    </row>
    <row r="4261" ht="15.75" customHeight="1">
      <c r="A4261" t="str">
        <f t="shared" si="1"/>
        <v>P.fluorescens</v>
      </c>
      <c r="B4261" s="5" t="s">
        <v>26222</v>
      </c>
      <c r="C4261" s="6" t="str">
        <f>IFERROR(__xludf.DUMMYFUNCTION("SPLIT('2. c'!B4261, "" "", True, True)"),"Pseudomonas")</f>
        <v>Pseudomonas</v>
      </c>
      <c r="D4261" t="str">
        <f>IFERROR(__xludf.DUMMYFUNCTION("""COMPUTED_VALUE"""),"fluorescens")</f>
        <v>fluorescens</v>
      </c>
      <c r="E4261" t="str">
        <f>IFERROR(__xludf.DUMMYFUNCTION("""COMPUTED_VALUE"""),"strain")</f>
        <v>strain</v>
      </c>
      <c r="F4261" t="str">
        <f>IFERROR(__xludf.DUMMYFUNCTION("""COMPUTED_VALUE"""),"FW300-N2E2")</f>
        <v>FW300-N2E2</v>
      </c>
    </row>
    <row r="4262" ht="15.75" customHeight="1">
      <c r="A4262" t="str">
        <f t="shared" si="1"/>
        <v>P.fluorescens</v>
      </c>
      <c r="B4262" s="5" t="s">
        <v>26235</v>
      </c>
      <c r="C4262" s="6" t="str">
        <f>IFERROR(__xludf.DUMMYFUNCTION("SPLIT('2. c'!B4262, "" "", True, True)"),"Pseudomonas")</f>
        <v>Pseudomonas</v>
      </c>
      <c r="D4262" t="str">
        <f>IFERROR(__xludf.DUMMYFUNCTION("""COMPUTED_VALUE"""),"fluorescens")</f>
        <v>fluorescens</v>
      </c>
      <c r="E4262" t="str">
        <f>IFERROR(__xludf.DUMMYFUNCTION("""COMPUTED_VALUE"""),"strain")</f>
        <v>strain</v>
      </c>
      <c r="F4262" t="str">
        <f>IFERROR(__xludf.DUMMYFUNCTION("""COMPUTED_VALUE"""),"FW300-N2E3")</f>
        <v>FW300-N2E3</v>
      </c>
    </row>
    <row r="4263" ht="15.75" customHeight="1">
      <c r="A4263" t="str">
        <f t="shared" si="1"/>
        <v>P.fluorescens</v>
      </c>
      <c r="B4263" s="5" t="s">
        <v>26249</v>
      </c>
      <c r="C4263" s="6" t="str">
        <f>IFERROR(__xludf.DUMMYFUNCTION("SPLIT('2. c'!B4263, "" "", True, True)"),"Pseudomonas")</f>
        <v>Pseudomonas</v>
      </c>
      <c r="D4263" t="str">
        <f>IFERROR(__xludf.DUMMYFUNCTION("""COMPUTED_VALUE"""),"fluorescens")</f>
        <v>fluorescens</v>
      </c>
      <c r="E4263" t="str">
        <f>IFERROR(__xludf.DUMMYFUNCTION("""COMPUTED_VALUE"""),"strain")</f>
        <v>strain</v>
      </c>
      <c r="F4263" t="str">
        <f>IFERROR(__xludf.DUMMYFUNCTION("""COMPUTED_VALUE"""),"KENGFT3")</f>
        <v>KENGFT3</v>
      </c>
    </row>
    <row r="4264" ht="15.75" customHeight="1">
      <c r="A4264" t="str">
        <f t="shared" si="1"/>
        <v>P.fluorescens</v>
      </c>
      <c r="B4264" s="5" t="s">
        <v>26260</v>
      </c>
      <c r="C4264" s="6" t="str">
        <f>IFERROR(__xludf.DUMMYFUNCTION("SPLIT('2. c'!B4264, "" "", True, True)"),"Pseudomonas")</f>
        <v>Pseudomonas</v>
      </c>
      <c r="D4264" t="str">
        <f>IFERROR(__xludf.DUMMYFUNCTION("""COMPUTED_VALUE"""),"fluorescens")</f>
        <v>fluorescens</v>
      </c>
      <c r="E4264" t="str">
        <f>IFERROR(__xludf.DUMMYFUNCTION("""COMPUTED_VALUE"""),"strain")</f>
        <v>strain</v>
      </c>
      <c r="F4264" t="str">
        <f>IFERROR(__xludf.DUMMYFUNCTION("""COMPUTED_VALUE"""),"LBUM223")</f>
        <v>LBUM223</v>
      </c>
    </row>
    <row r="4265" ht="15.75" customHeight="1">
      <c r="A4265" t="str">
        <f t="shared" si="1"/>
        <v>P.fluorescens</v>
      </c>
      <c r="B4265" s="5" t="s">
        <v>26268</v>
      </c>
      <c r="C4265" s="6" t="str">
        <f>IFERROR(__xludf.DUMMYFUNCTION("SPLIT('2. c'!B4265, "" "", True, True)"),"Pseudomonas")</f>
        <v>Pseudomonas</v>
      </c>
      <c r="D4265" t="str">
        <f>IFERROR(__xludf.DUMMYFUNCTION("""COMPUTED_VALUE"""),"fluorescens")</f>
        <v>fluorescens</v>
      </c>
      <c r="E4265" t="str">
        <f>IFERROR(__xludf.DUMMYFUNCTION("""COMPUTED_VALUE"""),"strain")</f>
        <v>strain</v>
      </c>
      <c r="F4265" t="str">
        <f>IFERROR(__xludf.DUMMYFUNCTION("""COMPUTED_VALUE"""),"LBUM636")</f>
        <v>LBUM636</v>
      </c>
    </row>
    <row r="4266" ht="15.75" customHeight="1">
      <c r="A4266" t="str">
        <f t="shared" si="1"/>
        <v>P.fluorescens</v>
      </c>
      <c r="B4266" s="5" t="s">
        <v>26272</v>
      </c>
      <c r="C4266" s="6" t="str">
        <f>IFERROR(__xludf.DUMMYFUNCTION("SPLIT('2. c'!B4266, "" "", True, True)"),"Pseudomonas")</f>
        <v>Pseudomonas</v>
      </c>
      <c r="D4266" t="str">
        <f>IFERROR(__xludf.DUMMYFUNCTION("""COMPUTED_VALUE"""),"fluorescens")</f>
        <v>fluorescens</v>
      </c>
      <c r="E4266" t="str">
        <f>IFERROR(__xludf.DUMMYFUNCTION("""COMPUTED_VALUE"""),"strain")</f>
        <v>strain</v>
      </c>
      <c r="F4266" t="str">
        <f>IFERROR(__xludf.DUMMYFUNCTION("""COMPUTED_VALUE"""),"PCL1751")</f>
        <v>PCL1751</v>
      </c>
    </row>
    <row r="4267" ht="15.75" customHeight="1">
      <c r="A4267" t="str">
        <f t="shared" si="1"/>
        <v>P.fluorescens</v>
      </c>
      <c r="B4267" s="5" t="s">
        <v>26282</v>
      </c>
      <c r="C4267" s="6" t="str">
        <f>IFERROR(__xludf.DUMMYFUNCTION("SPLIT('2. c'!B4267, "" "", True, True)"),"Pseudomonas")</f>
        <v>Pseudomonas</v>
      </c>
      <c r="D4267" t="str">
        <f>IFERROR(__xludf.DUMMYFUNCTION("""COMPUTED_VALUE"""),"fluorescens")</f>
        <v>fluorescens</v>
      </c>
      <c r="E4267" t="str">
        <f>IFERROR(__xludf.DUMMYFUNCTION("""COMPUTED_VALUE"""),"strain")</f>
        <v>strain</v>
      </c>
      <c r="F4267" t="str">
        <f>IFERROR(__xludf.DUMMYFUNCTION("""COMPUTED_VALUE"""),"UK4")</f>
        <v>UK4</v>
      </c>
    </row>
    <row r="4268" ht="15.75" customHeight="1">
      <c r="A4268" t="str">
        <f t="shared" si="1"/>
        <v>P.fragi</v>
      </c>
      <c r="B4268" s="5" t="s">
        <v>26290</v>
      </c>
      <c r="C4268" s="6" t="str">
        <f>IFERROR(__xludf.DUMMYFUNCTION("SPLIT('2. c'!B4268, "" "", True, True)"),"Pseudomonas")</f>
        <v>Pseudomonas</v>
      </c>
      <c r="D4268" t="str">
        <f>IFERROR(__xludf.DUMMYFUNCTION("""COMPUTED_VALUE"""),"fragi")</f>
        <v>fragi</v>
      </c>
      <c r="E4268" t="str">
        <f>IFERROR(__xludf.DUMMYFUNCTION("""COMPUTED_VALUE"""),"strain")</f>
        <v>strain</v>
      </c>
      <c r="F4268" t="str">
        <f>IFERROR(__xludf.DUMMYFUNCTION("""COMPUTED_VALUE"""),"P121")</f>
        <v>P121</v>
      </c>
    </row>
    <row r="4269" ht="15.75" customHeight="1">
      <c r="A4269" t="str">
        <f t="shared" si="1"/>
        <v>P.fulva</v>
      </c>
      <c r="B4269" s="5" t="s">
        <v>26298</v>
      </c>
      <c r="C4269" s="6" t="str">
        <f>IFERROR(__xludf.DUMMYFUNCTION("SPLIT('2. c'!B4269, "" "", True, True)"),"Pseudomonas")</f>
        <v>Pseudomonas</v>
      </c>
      <c r="D4269" t="str">
        <f>IFERROR(__xludf.DUMMYFUNCTION("""COMPUTED_VALUE"""),"fulva")</f>
        <v>fulva</v>
      </c>
      <c r="E4269" t="str">
        <f>IFERROR(__xludf.DUMMYFUNCTION("""COMPUTED_VALUE"""),"12-X")</f>
        <v>12-X</v>
      </c>
    </row>
    <row r="4270" ht="15.75" customHeight="1">
      <c r="A4270" t="str">
        <f t="shared" si="1"/>
        <v>P.knackmussii</v>
      </c>
      <c r="B4270" s="5" t="s">
        <v>26305</v>
      </c>
      <c r="C4270" s="6" t="str">
        <f>IFERROR(__xludf.DUMMYFUNCTION("SPLIT('2. c'!B4270, "" "", True, True)"),"Pseudomonas")</f>
        <v>Pseudomonas</v>
      </c>
      <c r="D4270" t="str">
        <f>IFERROR(__xludf.DUMMYFUNCTION("""COMPUTED_VALUE"""),"knackmussii")</f>
        <v>knackmussii</v>
      </c>
      <c r="E4270" t="str">
        <f>IFERROR(__xludf.DUMMYFUNCTION("""COMPUTED_VALUE"""),"B13")</f>
        <v>B13</v>
      </c>
    </row>
    <row r="4271" ht="15.75" customHeight="1">
      <c r="A4271" t="str">
        <f t="shared" si="1"/>
        <v>P.koreensis</v>
      </c>
      <c r="B4271" s="5" t="s">
        <v>26312</v>
      </c>
      <c r="C4271" s="6" t="str">
        <f>IFERROR(__xludf.DUMMYFUNCTION("SPLIT('2. c'!B4271, "" "", True, True)"),"Pseudomonas")</f>
        <v>Pseudomonas</v>
      </c>
      <c r="D4271" t="str">
        <f>IFERROR(__xludf.DUMMYFUNCTION("""COMPUTED_VALUE"""),"koreensis")</f>
        <v>koreensis</v>
      </c>
      <c r="E4271" t="str">
        <f>IFERROR(__xludf.DUMMYFUNCTION("""COMPUTED_VALUE"""),"strain")</f>
        <v>strain</v>
      </c>
      <c r="F4271" t="str">
        <f>IFERROR(__xludf.DUMMYFUNCTION("""COMPUTED_VALUE"""),"CRS05-R5")</f>
        <v>CRS05-R5</v>
      </c>
    </row>
    <row r="4272" ht="15.75" customHeight="1">
      <c r="A4272" t="str">
        <f t="shared" si="1"/>
        <v>P.koreensis</v>
      </c>
      <c r="B4272" s="5" t="s">
        <v>26320</v>
      </c>
      <c r="C4272" s="6" t="str">
        <f>IFERROR(__xludf.DUMMYFUNCTION("SPLIT('2. c'!B4272, "" "", True, True)"),"Pseudomonas")</f>
        <v>Pseudomonas</v>
      </c>
      <c r="D4272" t="str">
        <f>IFERROR(__xludf.DUMMYFUNCTION("""COMPUTED_VALUE"""),"koreensis")</f>
        <v>koreensis</v>
      </c>
      <c r="E4272" t="str">
        <f>IFERROR(__xludf.DUMMYFUNCTION("""COMPUTED_VALUE"""),"strain")</f>
        <v>strain</v>
      </c>
      <c r="F4272" t="str">
        <f>IFERROR(__xludf.DUMMYFUNCTION("""COMPUTED_VALUE"""),"D26")</f>
        <v>D26</v>
      </c>
    </row>
    <row r="4273" ht="15.75" customHeight="1">
      <c r="A4273" t="str">
        <f t="shared" si="1"/>
        <v>P.mendocina</v>
      </c>
      <c r="B4273" s="5" t="s">
        <v>26327</v>
      </c>
      <c r="C4273" s="6" t="str">
        <f>IFERROR(__xludf.DUMMYFUNCTION("SPLIT('2. c'!B4273, "" "", True, True)"),"Pseudomonas")</f>
        <v>Pseudomonas</v>
      </c>
      <c r="D4273" t="str">
        <f>IFERROR(__xludf.DUMMYFUNCTION("""COMPUTED_VALUE"""),"mendocina")</f>
        <v>mendocina</v>
      </c>
      <c r="E4273" t="str">
        <f>IFERROR(__xludf.DUMMYFUNCTION("""COMPUTED_VALUE"""),"NK-01")</f>
        <v>NK-01</v>
      </c>
    </row>
    <row r="4274" ht="15.75" customHeight="1">
      <c r="A4274" t="str">
        <f t="shared" si="1"/>
        <v>P.mendocina</v>
      </c>
      <c r="B4274" s="5" t="s">
        <v>26336</v>
      </c>
      <c r="C4274" s="6" t="str">
        <f>IFERROR(__xludf.DUMMYFUNCTION("SPLIT('2. c'!B4274, "" "", True, True)"),"Pseudomonas")</f>
        <v>Pseudomonas</v>
      </c>
      <c r="D4274" t="str">
        <f>IFERROR(__xludf.DUMMYFUNCTION("""COMPUTED_VALUE"""),"mendocina")</f>
        <v>mendocina</v>
      </c>
      <c r="E4274" t="str">
        <f>IFERROR(__xludf.DUMMYFUNCTION("""COMPUTED_VALUE"""),"ymp")</f>
        <v>ymp</v>
      </c>
    </row>
    <row r="4275" ht="15.75" customHeight="1">
      <c r="A4275" t="str">
        <f t="shared" si="1"/>
        <v>P.monteilii</v>
      </c>
      <c r="B4275" s="5" t="s">
        <v>26342</v>
      </c>
      <c r="C4275" s="6" t="str">
        <f>IFERROR(__xludf.DUMMYFUNCTION("SPLIT('2. c'!B4275, "" "", True, True)"),"Pseudomonas")</f>
        <v>Pseudomonas</v>
      </c>
      <c r="D4275" t="str">
        <f>IFERROR(__xludf.DUMMYFUNCTION("""COMPUTED_VALUE"""),"monteilii")</f>
        <v>monteilii</v>
      </c>
      <c r="E4275" t="str">
        <f>IFERROR(__xludf.DUMMYFUNCTION("""COMPUTED_VALUE"""),"SB3078")</f>
        <v>SB3078</v>
      </c>
    </row>
    <row r="4276" ht="15.75" customHeight="1">
      <c r="A4276" t="str">
        <f t="shared" si="1"/>
        <v>P.monteilii</v>
      </c>
      <c r="B4276" s="5" t="s">
        <v>26349</v>
      </c>
      <c r="C4276" s="6" t="str">
        <f>IFERROR(__xludf.DUMMYFUNCTION("SPLIT('2. c'!B4276, "" "", True, True)"),"Pseudomonas")</f>
        <v>Pseudomonas</v>
      </c>
      <c r="D4276" t="str">
        <f>IFERROR(__xludf.DUMMYFUNCTION("""COMPUTED_VALUE"""),"monteilii")</f>
        <v>monteilii</v>
      </c>
      <c r="E4276" t="str">
        <f>IFERROR(__xludf.DUMMYFUNCTION("""COMPUTED_VALUE"""),"SB3101")</f>
        <v>SB3101</v>
      </c>
    </row>
    <row r="4277" ht="15.75" customHeight="1">
      <c r="A4277" t="str">
        <f t="shared" si="1"/>
        <v>P.monteilii</v>
      </c>
      <c r="B4277" s="5" t="s">
        <v>26359</v>
      </c>
      <c r="C4277" s="6" t="str">
        <f>IFERROR(__xludf.DUMMYFUNCTION("SPLIT('2. c'!B4277, "" "", True, True)"),"Pseudomonas")</f>
        <v>Pseudomonas</v>
      </c>
      <c r="D4277" t="str">
        <f>IFERROR(__xludf.DUMMYFUNCTION("""COMPUTED_VALUE"""),"monteilii")</f>
        <v>monteilii</v>
      </c>
      <c r="E4277" t="str">
        <f>IFERROR(__xludf.DUMMYFUNCTION("""COMPUTED_VALUE"""),"strain")</f>
        <v>strain</v>
      </c>
      <c r="F4277" t="str">
        <f>IFERROR(__xludf.DUMMYFUNCTION("""COMPUTED_VALUE"""),"USDA-ARS-USMARC-56711")</f>
        <v>USDA-ARS-USMARC-56711</v>
      </c>
    </row>
    <row r="4278" ht="15.75" customHeight="1">
      <c r="A4278" t="str">
        <f t="shared" si="1"/>
        <v>P.moraviensis</v>
      </c>
      <c r="B4278" s="5" t="s">
        <v>26370</v>
      </c>
      <c r="C4278" s="6" t="str">
        <f>IFERROR(__xludf.DUMMYFUNCTION("SPLIT('2. c'!B4278, "" "", True, True)"),"Pseudomonas")</f>
        <v>Pseudomonas</v>
      </c>
      <c r="D4278" t="str">
        <f>IFERROR(__xludf.DUMMYFUNCTION("""COMPUTED_VALUE"""),"moraviensis")</f>
        <v>moraviensis</v>
      </c>
      <c r="E4278" t="str">
        <f>IFERROR(__xludf.DUMMYFUNCTION("""COMPUTED_VALUE"""),"R28-S")</f>
        <v>R28-S</v>
      </c>
    </row>
    <row r="4279" ht="15.75" customHeight="1">
      <c r="A4279" t="str">
        <f t="shared" si="1"/>
        <v>P.oryzihabitans</v>
      </c>
      <c r="B4279" s="5" t="s">
        <v>26378</v>
      </c>
      <c r="C4279" s="6" t="str">
        <f>IFERROR(__xludf.DUMMYFUNCTION("SPLIT('2. c'!B4279, "" "", True, True)"),"Pseudomonas")</f>
        <v>Pseudomonas</v>
      </c>
      <c r="D4279" t="str">
        <f>IFERROR(__xludf.DUMMYFUNCTION("""COMPUTED_VALUE"""),"oryzihabitans")</f>
        <v>oryzihabitans</v>
      </c>
      <c r="E4279" t="str">
        <f>IFERROR(__xludf.DUMMYFUNCTION("""COMPUTED_VALUE"""),"strain")</f>
        <v>strain</v>
      </c>
      <c r="F4279" t="str">
        <f>IFERROR(__xludf.DUMMYFUNCTION("""COMPUTED_VALUE"""),"USDA-ARS-USMARC-56511")</f>
        <v>USDA-ARS-USMARC-56511</v>
      </c>
    </row>
    <row r="4280" ht="15.75" customHeight="1">
      <c r="A4280" t="str">
        <f t="shared" si="1"/>
        <v>P.parafulva</v>
      </c>
      <c r="B4280" s="5" t="s">
        <v>26387</v>
      </c>
      <c r="C4280" s="6" t="str">
        <f>IFERROR(__xludf.DUMMYFUNCTION("SPLIT('2. c'!B4280, "" "", True, True)"),"Pseudomonas")</f>
        <v>Pseudomonas</v>
      </c>
      <c r="D4280" t="str">
        <f>IFERROR(__xludf.DUMMYFUNCTION("""COMPUTED_VALUE"""),"parafulva")</f>
        <v>parafulva</v>
      </c>
      <c r="E4280" t="str">
        <f>IFERROR(__xludf.DUMMYFUNCTION("""COMPUTED_VALUE"""),"strain")</f>
        <v>strain</v>
      </c>
      <c r="F4280" t="str">
        <f>IFERROR(__xludf.DUMMYFUNCTION("""COMPUTED_VALUE"""),"CRS01-1")</f>
        <v>CRS01-1</v>
      </c>
    </row>
    <row r="4281" ht="15.75" customHeight="1">
      <c r="A4281" t="str">
        <f t="shared" si="1"/>
        <v>P.plecoglossicida</v>
      </c>
      <c r="B4281" s="5" t="s">
        <v>26394</v>
      </c>
      <c r="C4281" s="6" t="str">
        <f>IFERROR(__xludf.DUMMYFUNCTION("SPLIT('2. c'!B4281, "" "", True, True)"),"Pseudomonas")</f>
        <v>Pseudomonas</v>
      </c>
      <c r="D4281" t="str">
        <f>IFERROR(__xludf.DUMMYFUNCTION("""COMPUTED_VALUE"""),"plecoglossicida")</f>
        <v>plecoglossicida</v>
      </c>
      <c r="E4281" t="str">
        <f>IFERROR(__xludf.DUMMYFUNCTION("""COMPUTED_VALUE"""),"NyZ12")</f>
        <v>NyZ12</v>
      </c>
    </row>
    <row r="4282" ht="15.75" customHeight="1">
      <c r="A4282" t="str">
        <f t="shared" si="1"/>
        <v>P.poae</v>
      </c>
      <c r="B4282" s="5" t="s">
        <v>26401</v>
      </c>
      <c r="C4282" s="6" t="str">
        <f>IFERROR(__xludf.DUMMYFUNCTION("SPLIT('2. c'!B4282, "" "", True, True)"),"Pseudomonas")</f>
        <v>Pseudomonas</v>
      </c>
      <c r="D4282" t="str">
        <f>IFERROR(__xludf.DUMMYFUNCTION("""COMPUTED_VALUE"""),"poae")</f>
        <v>poae</v>
      </c>
      <c r="E4282" t="str">
        <f>IFERROR(__xludf.DUMMYFUNCTION("""COMPUTED_VALUE"""),"RE*1-1-14")</f>
        <v>RE*1-1-14</v>
      </c>
    </row>
    <row r="4283" ht="15.75" customHeight="1">
      <c r="A4283" t="str">
        <f t="shared" si="1"/>
        <v>P.protegens</v>
      </c>
      <c r="B4283" s="5" t="s">
        <v>26410</v>
      </c>
      <c r="C4283" s="6" t="str">
        <f>IFERROR(__xludf.DUMMYFUNCTION("SPLIT('2. c'!B4283, "" "", True, True)"),"Pseudomonas")</f>
        <v>Pseudomonas</v>
      </c>
      <c r="D4283" t="str">
        <f>IFERROR(__xludf.DUMMYFUNCTION("""COMPUTED_VALUE"""),"protegens")</f>
        <v>protegens</v>
      </c>
      <c r="E4283" t="str">
        <f>IFERROR(__xludf.DUMMYFUNCTION("""COMPUTED_VALUE"""),"Cab57")</f>
        <v>Cab57</v>
      </c>
    </row>
    <row r="4284" ht="15.75" customHeight="1">
      <c r="A4284" t="str">
        <f t="shared" si="1"/>
        <v>P.protegens</v>
      </c>
      <c r="B4284" s="5" t="s">
        <v>26417</v>
      </c>
      <c r="C4284" s="6" t="str">
        <f>IFERROR(__xludf.DUMMYFUNCTION("SPLIT('2. c'!B4284, "" "", True, True)"),"Pseudomonas")</f>
        <v>Pseudomonas</v>
      </c>
      <c r="D4284" t="str">
        <f>IFERROR(__xludf.DUMMYFUNCTION("""COMPUTED_VALUE"""),"protegens")</f>
        <v>protegens</v>
      </c>
      <c r="E4284" t="str">
        <f>IFERROR(__xludf.DUMMYFUNCTION("""COMPUTED_VALUE"""),"CHA0")</f>
        <v>CHA0</v>
      </c>
    </row>
    <row r="4285" ht="15.75" customHeight="1">
      <c r="A4285" t="str">
        <f t="shared" si="1"/>
        <v>P.protegens</v>
      </c>
      <c r="B4285" s="5" t="s">
        <v>26429</v>
      </c>
      <c r="C4285" s="6" t="str">
        <f>IFERROR(__xludf.DUMMYFUNCTION("SPLIT('2. c'!B4285, "" "", True, True)"),"Pseudomonas")</f>
        <v>Pseudomonas</v>
      </c>
      <c r="D4285" t="str">
        <f>IFERROR(__xludf.DUMMYFUNCTION("""COMPUTED_VALUE"""),"protegens")</f>
        <v>protegens</v>
      </c>
      <c r="E4285" t="str">
        <f>IFERROR(__xludf.DUMMYFUNCTION("""COMPUTED_VALUE"""),"Pf-5")</f>
        <v>Pf-5</v>
      </c>
    </row>
    <row r="4286" ht="15.75" customHeight="1">
      <c r="A4286" t="str">
        <f t="shared" si="1"/>
        <v>P.pseudoalcaligenes</v>
      </c>
      <c r="B4286" s="5" t="s">
        <v>26437</v>
      </c>
      <c r="C4286" s="6" t="str">
        <f>IFERROR(__xludf.DUMMYFUNCTION("SPLIT('2. c'!B4286, "" "", True, True)"),"Pseudomonas")</f>
        <v>Pseudomonas</v>
      </c>
      <c r="D4286" t="str">
        <f>IFERROR(__xludf.DUMMYFUNCTION("""COMPUTED_VALUE"""),"pseudoalcaligenes")</f>
        <v>pseudoalcaligenes</v>
      </c>
      <c r="E4286" t="str">
        <f>IFERROR(__xludf.DUMMYFUNCTION("""COMPUTED_VALUE"""),"strain")</f>
        <v>strain</v>
      </c>
      <c r="F4286" t="str">
        <f>IFERROR(__xludf.DUMMYFUNCTION("""COMPUTED_VALUE"""),"CECT")</f>
        <v>CECT</v>
      </c>
      <c r="G4286">
        <f>IFERROR(__xludf.DUMMYFUNCTION("""COMPUTED_VALUE"""),5344.0)</f>
        <v>5344</v>
      </c>
    </row>
    <row r="4287" ht="15.75" customHeight="1">
      <c r="A4287" t="str">
        <f t="shared" si="1"/>
        <v>P.putida</v>
      </c>
      <c r="B4287" s="5" t="s">
        <v>26447</v>
      </c>
      <c r="C4287" s="6" t="str">
        <f>IFERROR(__xludf.DUMMYFUNCTION("SPLIT('2. c'!B4287, "" "", True, True)"),"Pseudomonas")</f>
        <v>Pseudomonas</v>
      </c>
      <c r="D4287" t="str">
        <f>IFERROR(__xludf.DUMMYFUNCTION("""COMPUTED_VALUE"""),"putida")</f>
        <v>putida</v>
      </c>
      <c r="E4287" t="str">
        <f>IFERROR(__xludf.DUMMYFUNCTION("""COMPUTED_VALUE"""),"BIRD-1")</f>
        <v>BIRD-1</v>
      </c>
    </row>
    <row r="4288" ht="15.75" customHeight="1">
      <c r="A4288" t="str">
        <f t="shared" si="1"/>
        <v>P.putida</v>
      </c>
      <c r="B4288" s="5" t="s">
        <v>26456</v>
      </c>
      <c r="C4288" s="6" t="str">
        <f>IFERROR(__xludf.DUMMYFUNCTION("SPLIT('2. c'!B4288, "" "", True, True)"),"Pseudomonas")</f>
        <v>Pseudomonas</v>
      </c>
      <c r="D4288" t="str">
        <f>IFERROR(__xludf.DUMMYFUNCTION("""COMPUTED_VALUE"""),"putida")</f>
        <v>putida</v>
      </c>
      <c r="E4288" t="str">
        <f>IFERROR(__xludf.DUMMYFUNCTION("""COMPUTED_VALUE"""),"DOT-T1E")</f>
        <v>DOT-T1E</v>
      </c>
    </row>
    <row r="4289" ht="15.75" customHeight="1">
      <c r="A4289" t="str">
        <f t="shared" si="1"/>
        <v>P.putida</v>
      </c>
      <c r="B4289" s="5" t="s">
        <v>26465</v>
      </c>
      <c r="C4289" s="6" t="str">
        <f>IFERROR(__xludf.DUMMYFUNCTION("SPLIT('2. c'!B4289, "" "", True, True)"),"Pseudomonas")</f>
        <v>Pseudomonas</v>
      </c>
      <c r="D4289" t="str">
        <f>IFERROR(__xludf.DUMMYFUNCTION("""COMPUTED_VALUE"""),"putida")</f>
        <v>putida</v>
      </c>
      <c r="E4289" t="str">
        <f>IFERROR(__xludf.DUMMYFUNCTION("""COMPUTED_VALUE"""),"F1")</f>
        <v>F1</v>
      </c>
    </row>
    <row r="4290" ht="15.75" customHeight="1">
      <c r="A4290" t="str">
        <f t="shared" si="1"/>
        <v>P.putida</v>
      </c>
      <c r="B4290" s="5" t="s">
        <v>26471</v>
      </c>
      <c r="C4290" s="6" t="str">
        <f>IFERROR(__xludf.DUMMYFUNCTION("SPLIT('2. c'!B4290, "" "", True, True)"),"Pseudomonas")</f>
        <v>Pseudomonas</v>
      </c>
      <c r="D4290" t="str">
        <f>IFERROR(__xludf.DUMMYFUNCTION("""COMPUTED_VALUE"""),"putida")</f>
        <v>putida</v>
      </c>
      <c r="E4290" t="str">
        <f>IFERROR(__xludf.DUMMYFUNCTION("""COMPUTED_VALUE"""),"GB-1")</f>
        <v>GB-1</v>
      </c>
    </row>
    <row r="4291" ht="15.75" customHeight="1">
      <c r="A4291" t="str">
        <f t="shared" si="1"/>
        <v>P.putida</v>
      </c>
      <c r="B4291" s="5" t="s">
        <v>26477</v>
      </c>
      <c r="C4291" s="6" t="str">
        <f>IFERROR(__xludf.DUMMYFUNCTION("SPLIT('2. c'!B4291, "" "", True, True)"),"Pseudomonas")</f>
        <v>Pseudomonas</v>
      </c>
      <c r="D4291" t="str">
        <f>IFERROR(__xludf.DUMMYFUNCTION("""COMPUTED_VALUE"""),"putida")</f>
        <v>putida</v>
      </c>
      <c r="E4291" t="str">
        <f>IFERROR(__xludf.DUMMYFUNCTION("""COMPUTED_VALUE"""),"H8234")</f>
        <v>H8234</v>
      </c>
    </row>
    <row r="4292" ht="15.75" customHeight="1">
      <c r="A4292" t="str">
        <f t="shared" si="1"/>
        <v>P.putida</v>
      </c>
      <c r="B4292" s="5" t="s">
        <v>26481</v>
      </c>
      <c r="C4292" s="6" t="str">
        <f>IFERROR(__xludf.DUMMYFUNCTION("SPLIT('2. c'!B4292, "" "", True, True)"),"Pseudomonas")</f>
        <v>Pseudomonas</v>
      </c>
      <c r="D4292" t="str">
        <f>IFERROR(__xludf.DUMMYFUNCTION("""COMPUTED_VALUE"""),"putida")</f>
        <v>putida</v>
      </c>
      <c r="E4292" t="str">
        <f>IFERROR(__xludf.DUMMYFUNCTION("""COMPUTED_VALUE"""),"HB3267")</f>
        <v>HB3267</v>
      </c>
    </row>
    <row r="4293" ht="15.75" customHeight="1">
      <c r="A4293" t="str">
        <f t="shared" si="1"/>
        <v>P.putida</v>
      </c>
      <c r="B4293" s="5" t="s">
        <v>26485</v>
      </c>
      <c r="C4293" s="6" t="str">
        <f>IFERROR(__xludf.DUMMYFUNCTION("SPLIT('2. c'!B4293, "" "", True, True)"),"Pseudomonas")</f>
        <v>Pseudomonas</v>
      </c>
      <c r="D4293" t="str">
        <f>IFERROR(__xludf.DUMMYFUNCTION("""COMPUTED_VALUE"""),"putida")</f>
        <v>putida</v>
      </c>
      <c r="E4293" t="str">
        <f>IFERROR(__xludf.DUMMYFUNCTION("""COMPUTED_VALUE"""),"KT2440")</f>
        <v>KT2440</v>
      </c>
    </row>
    <row r="4294" ht="15.75" customHeight="1">
      <c r="A4294" t="str">
        <f t="shared" si="1"/>
        <v>P.putida</v>
      </c>
      <c r="B4294" s="5" t="s">
        <v>26490</v>
      </c>
      <c r="C4294" s="6" t="str">
        <f>IFERROR(__xludf.DUMMYFUNCTION("SPLIT('2. c'!B4294, "" "", True, True)"),"Pseudomonas")</f>
        <v>Pseudomonas</v>
      </c>
      <c r="D4294" t="str">
        <f>IFERROR(__xludf.DUMMYFUNCTION("""COMPUTED_VALUE"""),"putida")</f>
        <v>putida</v>
      </c>
      <c r="E4294" t="str">
        <f>IFERROR(__xludf.DUMMYFUNCTION("""COMPUTED_VALUE"""),"NBRC")</f>
        <v>NBRC</v>
      </c>
      <c r="F4294">
        <f>IFERROR(__xludf.DUMMYFUNCTION("""COMPUTED_VALUE"""),14164.0)</f>
        <v>14164</v>
      </c>
    </row>
    <row r="4295" ht="15.75" customHeight="1">
      <c r="A4295" t="str">
        <f t="shared" si="1"/>
        <v>P.putida</v>
      </c>
      <c r="B4295" s="5" t="s">
        <v>26497</v>
      </c>
      <c r="C4295" s="6" t="str">
        <f>IFERROR(__xludf.DUMMYFUNCTION("SPLIT('2. c'!B4295, "" "", True, True)"),"Pseudomonas")</f>
        <v>Pseudomonas</v>
      </c>
      <c r="D4295" t="str">
        <f>IFERROR(__xludf.DUMMYFUNCTION("""COMPUTED_VALUE"""),"putida")</f>
        <v>putida</v>
      </c>
      <c r="E4295" t="str">
        <f>IFERROR(__xludf.DUMMYFUNCTION("""COMPUTED_VALUE"""),"ND6")</f>
        <v>ND6</v>
      </c>
    </row>
    <row r="4296" ht="15.75" customHeight="1">
      <c r="A4296" t="str">
        <f t="shared" si="1"/>
        <v>P.putida</v>
      </c>
      <c r="B4296" s="5" t="s">
        <v>26503</v>
      </c>
      <c r="C4296" s="6" t="str">
        <f>IFERROR(__xludf.DUMMYFUNCTION("SPLIT('2. c'!B4296, "" "", True, True)"),"Pseudomonas")</f>
        <v>Pseudomonas</v>
      </c>
      <c r="D4296" t="str">
        <f>IFERROR(__xludf.DUMMYFUNCTION("""COMPUTED_VALUE"""),"putida")</f>
        <v>putida</v>
      </c>
      <c r="E4296" t="str">
        <f>IFERROR(__xludf.DUMMYFUNCTION("""COMPUTED_VALUE"""),"S12")</f>
        <v>S12</v>
      </c>
    </row>
    <row r="4297" ht="15.75" customHeight="1">
      <c r="A4297" t="str">
        <f t="shared" si="1"/>
        <v>P.putida</v>
      </c>
      <c r="B4297" s="5" t="s">
        <v>26509</v>
      </c>
      <c r="C4297" s="6" t="str">
        <f>IFERROR(__xludf.DUMMYFUNCTION("SPLIT('2. c'!B4297, "" "", True, True)"),"Pseudomonas")</f>
        <v>Pseudomonas</v>
      </c>
      <c r="D4297" t="str">
        <f>IFERROR(__xludf.DUMMYFUNCTION("""COMPUTED_VALUE"""),"putida")</f>
        <v>putida</v>
      </c>
      <c r="E4297" t="str">
        <f>IFERROR(__xludf.DUMMYFUNCTION("""COMPUTED_VALUE"""),"S16")</f>
        <v>S16</v>
      </c>
    </row>
    <row r="4298" ht="15.75" customHeight="1">
      <c r="A4298" t="str">
        <f t="shared" si="1"/>
        <v>P.putida</v>
      </c>
      <c r="B4298" s="5" t="s">
        <v>26513</v>
      </c>
      <c r="C4298" s="6" t="str">
        <f>IFERROR(__xludf.DUMMYFUNCTION("SPLIT('2. c'!B4298, "" "", True, True)"),"Pseudomonas")</f>
        <v>Pseudomonas</v>
      </c>
      <c r="D4298" t="str">
        <f>IFERROR(__xludf.DUMMYFUNCTION("""COMPUTED_VALUE"""),"putida")</f>
        <v>putida</v>
      </c>
      <c r="E4298" t="str">
        <f>IFERROR(__xludf.DUMMYFUNCTION("""COMPUTED_VALUE"""),"strain")</f>
        <v>strain</v>
      </c>
      <c r="F4298" t="str">
        <f>IFERROR(__xludf.DUMMYFUNCTION("""COMPUTED_VALUE"""),"DLL-E4")</f>
        <v>DLL-E4</v>
      </c>
    </row>
    <row r="4299" ht="15.75" customHeight="1">
      <c r="A4299" t="str">
        <f t="shared" si="1"/>
        <v>P.putida</v>
      </c>
      <c r="B4299" s="5" t="s">
        <v>26520</v>
      </c>
      <c r="C4299" s="6" t="str">
        <f>IFERROR(__xludf.DUMMYFUNCTION("SPLIT('2. c'!B4299, "" "", True, True)"),"Pseudomonas")</f>
        <v>Pseudomonas</v>
      </c>
      <c r="D4299" t="str">
        <f>IFERROR(__xludf.DUMMYFUNCTION("""COMPUTED_VALUE"""),"putida")</f>
        <v>putida</v>
      </c>
      <c r="E4299" t="str">
        <f>IFERROR(__xludf.DUMMYFUNCTION("""COMPUTED_VALUE"""),"strain")</f>
        <v>strain</v>
      </c>
      <c r="F4299" t="str">
        <f>IFERROR(__xludf.DUMMYFUNCTION("""COMPUTED_VALUE"""),"PC2")</f>
        <v>PC2</v>
      </c>
    </row>
    <row r="4300" ht="15.75" customHeight="1">
      <c r="A4300" t="str">
        <f t="shared" si="1"/>
        <v>P.putida</v>
      </c>
      <c r="B4300" s="5" t="s">
        <v>26528</v>
      </c>
      <c r="C4300" s="6" t="str">
        <f>IFERROR(__xludf.DUMMYFUNCTION("SPLIT('2. c'!B4300, "" "", True, True)"),"Pseudomonas")</f>
        <v>Pseudomonas</v>
      </c>
      <c r="D4300" t="str">
        <f>IFERROR(__xludf.DUMMYFUNCTION("""COMPUTED_VALUE"""),"putida")</f>
        <v>putida</v>
      </c>
      <c r="E4300" t="str">
        <f>IFERROR(__xludf.DUMMYFUNCTION("""COMPUTED_VALUE"""),"W619")</f>
        <v>W619</v>
      </c>
    </row>
    <row r="4301" ht="15.75" customHeight="1">
      <c r="A4301" t="str">
        <f t="shared" si="1"/>
        <v>P.resinovorans</v>
      </c>
      <c r="B4301" s="5" t="s">
        <v>26534</v>
      </c>
      <c r="C4301" s="6" t="str">
        <f>IFERROR(__xludf.DUMMYFUNCTION("SPLIT('2. c'!B4301, "" "", True, True)"),"Pseudomonas")</f>
        <v>Pseudomonas</v>
      </c>
      <c r="D4301" t="str">
        <f>IFERROR(__xludf.DUMMYFUNCTION("""COMPUTED_VALUE"""),"resinovorans")</f>
        <v>resinovorans</v>
      </c>
      <c r="E4301" t="str">
        <f>IFERROR(__xludf.DUMMYFUNCTION("""COMPUTED_VALUE"""),"NBRC")</f>
        <v>NBRC</v>
      </c>
      <c r="F4301">
        <f>IFERROR(__xludf.DUMMYFUNCTION("""COMPUTED_VALUE"""),106553.0)</f>
        <v>106553</v>
      </c>
    </row>
    <row r="4302" ht="15.75" customHeight="1">
      <c r="A4302" t="str">
        <f t="shared" si="1"/>
        <v>P.rhizosphaerae</v>
      </c>
      <c r="B4302" s="5" t="s">
        <v>26544</v>
      </c>
      <c r="C4302" s="6" t="str">
        <f>IFERROR(__xludf.DUMMYFUNCTION("SPLIT('2. c'!B4302, "" "", True, True)"),"Pseudomonas")</f>
        <v>Pseudomonas</v>
      </c>
      <c r="D4302" t="str">
        <f>IFERROR(__xludf.DUMMYFUNCTION("""COMPUTED_VALUE"""),"rhizosphaerae")</f>
        <v>rhizosphaerae</v>
      </c>
      <c r="E4302" t="str">
        <f>IFERROR(__xludf.DUMMYFUNCTION("""COMPUTED_VALUE"""),"DSM")</f>
        <v>DSM</v>
      </c>
      <c r="F4302">
        <f>IFERROR(__xludf.DUMMYFUNCTION("""COMPUTED_VALUE"""),16299.0)</f>
        <v>16299</v>
      </c>
    </row>
    <row r="4303" ht="15.75" customHeight="1">
      <c r="A4303" t="str">
        <f t="shared" si="1"/>
        <v>P.simiae</v>
      </c>
      <c r="B4303" s="5" t="s">
        <v>26553</v>
      </c>
      <c r="C4303" s="6" t="str">
        <f>IFERROR(__xludf.DUMMYFUNCTION("SPLIT('2. c'!B4303, "" "", True, True)"),"Pseudomonas")</f>
        <v>Pseudomonas</v>
      </c>
      <c r="D4303" t="str">
        <f>IFERROR(__xludf.DUMMYFUNCTION("""COMPUTED_VALUE"""),"simiae")</f>
        <v>simiae</v>
      </c>
      <c r="E4303" t="str">
        <f>IFERROR(__xludf.DUMMYFUNCTION("""COMPUTED_VALUE"""),"strain")</f>
        <v>strain</v>
      </c>
      <c r="F4303" t="str">
        <f>IFERROR(__xludf.DUMMYFUNCTION("""COMPUTED_VALUE"""),"WCS417")</f>
        <v>WCS417</v>
      </c>
    </row>
    <row r="4304" ht="15.75" customHeight="1">
      <c r="A4304" t="str">
        <f t="shared" si="1"/>
        <v>P.sp.</v>
      </c>
      <c r="B4304" s="5" t="s">
        <v>26562</v>
      </c>
      <c r="C4304" s="6" t="str">
        <f>IFERROR(__xludf.DUMMYFUNCTION("SPLIT('2. c'!B4304, "" "", True, True)"),"Pseudomonas")</f>
        <v>Pseudomonas</v>
      </c>
      <c r="D4304" t="str">
        <f>IFERROR(__xludf.DUMMYFUNCTION("""COMPUTED_VALUE"""),"sp.")</f>
        <v>sp.</v>
      </c>
      <c r="E4304" t="str">
        <f>IFERROR(__xludf.DUMMYFUNCTION("""COMPUTED_VALUE"""),"20_BN")</f>
        <v>20_BN</v>
      </c>
    </row>
    <row r="4305" ht="15.75" customHeight="1">
      <c r="A4305" t="str">
        <f t="shared" si="1"/>
        <v>P.sp.</v>
      </c>
      <c r="B4305" s="5" t="s">
        <v>26569</v>
      </c>
      <c r="C4305" s="6" t="str">
        <f>IFERROR(__xludf.DUMMYFUNCTION("SPLIT('2. c'!B4305, "" "", True, True)"),"Pseudomonas")</f>
        <v>Pseudomonas</v>
      </c>
      <c r="D4305" t="str">
        <f>IFERROR(__xludf.DUMMYFUNCTION("""COMPUTED_VALUE"""),"sp.")</f>
        <v>sp.</v>
      </c>
      <c r="E4305" t="str">
        <f>IFERROR(__xludf.DUMMYFUNCTION("""COMPUTED_VALUE"""),"CCOS")</f>
        <v>CCOS</v>
      </c>
      <c r="F4305">
        <f>IFERROR(__xludf.DUMMYFUNCTION("""COMPUTED_VALUE"""),191.0)</f>
        <v>191</v>
      </c>
    </row>
    <row r="4306" ht="15.75" customHeight="1">
      <c r="A4306" t="str">
        <f t="shared" si="1"/>
        <v>P.sp.</v>
      </c>
      <c r="B4306" s="5" t="s">
        <v>26578</v>
      </c>
      <c r="C4306" s="6" t="str">
        <f>IFERROR(__xludf.DUMMYFUNCTION("SPLIT('2. c'!B4306, "" "", True, True)"),"Pseudomonas")</f>
        <v>Pseudomonas</v>
      </c>
      <c r="D4306" t="str">
        <f>IFERROR(__xludf.DUMMYFUNCTION("""COMPUTED_VALUE"""),"sp.")</f>
        <v>sp.</v>
      </c>
      <c r="E4306" t="str">
        <f>IFERROR(__xludf.DUMMYFUNCTION("""COMPUTED_VALUE"""),"DR")</f>
        <v>DR</v>
      </c>
      <c r="F4306" s="53">
        <f>IFERROR(__xludf.DUMMYFUNCTION("""COMPUTED_VALUE"""),43348.0)</f>
        <v>43348</v>
      </c>
    </row>
    <row r="4307" ht="15.75" customHeight="1">
      <c r="A4307" t="str">
        <f t="shared" si="1"/>
        <v>P.sp.</v>
      </c>
      <c r="B4307" s="5" t="s">
        <v>26593</v>
      </c>
      <c r="C4307" s="6" t="str">
        <f>IFERROR(__xludf.DUMMYFUNCTION("SPLIT('2. c'!B4307, "" "", True, True)"),"Pseudomonas")</f>
        <v>Pseudomonas</v>
      </c>
      <c r="D4307" t="str">
        <f>IFERROR(__xludf.DUMMYFUNCTION("""COMPUTED_VALUE"""),"sp.")</f>
        <v>sp.</v>
      </c>
      <c r="E4307" t="str">
        <f>IFERROR(__xludf.DUMMYFUNCTION("""COMPUTED_VALUE"""),"FGI182")</f>
        <v>FGI182</v>
      </c>
    </row>
    <row r="4308" ht="15.75" customHeight="1">
      <c r="A4308" t="str">
        <f t="shared" si="1"/>
        <v>P.sp.</v>
      </c>
      <c r="B4308" s="5" t="s">
        <v>26602</v>
      </c>
      <c r="C4308" s="6" t="str">
        <f>IFERROR(__xludf.DUMMYFUNCTION("SPLIT('2. c'!B4308, "" "", True, True)"),"Pseudomonas")</f>
        <v>Pseudomonas</v>
      </c>
      <c r="D4308" t="str">
        <f>IFERROR(__xludf.DUMMYFUNCTION("""COMPUTED_VALUE"""),"sp.")</f>
        <v>sp.</v>
      </c>
      <c r="E4308" t="str">
        <f>IFERROR(__xludf.DUMMYFUNCTION("""COMPUTED_VALUE"""),"JY-Q")</f>
        <v>JY-Q</v>
      </c>
    </row>
    <row r="4309" ht="15.75" customHeight="1">
      <c r="A4309" t="str">
        <f t="shared" si="1"/>
        <v>P.sp.</v>
      </c>
      <c r="B4309" s="5" t="s">
        <v>26609</v>
      </c>
      <c r="C4309" s="6" t="str">
        <f>IFERROR(__xludf.DUMMYFUNCTION("SPLIT('2. c'!B4309, "" "", True, True)"),"Pseudomonas")</f>
        <v>Pseudomonas</v>
      </c>
      <c r="D4309" t="str">
        <f>IFERROR(__xludf.DUMMYFUNCTION("""COMPUTED_VALUE"""),"sp.")</f>
        <v>sp.</v>
      </c>
      <c r="E4309" t="str">
        <f>IFERROR(__xludf.DUMMYFUNCTION("""COMPUTED_VALUE"""),"MRSN12121")</f>
        <v>MRSN12121</v>
      </c>
    </row>
    <row r="4310" ht="15.75" customHeight="1">
      <c r="A4310" t="str">
        <f t="shared" si="1"/>
        <v>P.sp.</v>
      </c>
      <c r="B4310" s="5" t="s">
        <v>26616</v>
      </c>
      <c r="C4310" s="6" t="str">
        <f>IFERROR(__xludf.DUMMYFUNCTION("SPLIT('2. c'!B4310, "" "", True, True)"),"Pseudomonas")</f>
        <v>Pseudomonas</v>
      </c>
      <c r="D4310" t="str">
        <f>IFERROR(__xludf.DUMMYFUNCTION("""COMPUTED_VALUE"""),"sp.")</f>
        <v>sp.</v>
      </c>
      <c r="E4310" t="str">
        <f>IFERROR(__xludf.DUMMYFUNCTION("""COMPUTED_VALUE"""),"MS586")</f>
        <v>MS586</v>
      </c>
    </row>
    <row r="4311" ht="15.75" customHeight="1">
      <c r="A4311" t="str">
        <f t="shared" si="1"/>
        <v>P.sp.</v>
      </c>
      <c r="B4311" s="5" t="s">
        <v>26624</v>
      </c>
      <c r="C4311" s="6" t="str">
        <f>IFERROR(__xludf.DUMMYFUNCTION("SPLIT('2. c'!B4311, "" "", True, True)"),"Pseudomonas")</f>
        <v>Pseudomonas</v>
      </c>
      <c r="D4311" t="str">
        <f>IFERROR(__xludf.DUMMYFUNCTION("""COMPUTED_VALUE"""),"sp.")</f>
        <v>sp.</v>
      </c>
      <c r="E4311" t="str">
        <f>IFERROR(__xludf.DUMMYFUNCTION("""COMPUTED_VALUE"""),"MT-1")</f>
        <v>MT-1</v>
      </c>
    </row>
    <row r="4312" ht="15.75" customHeight="1">
      <c r="A4312" t="str">
        <f t="shared" si="1"/>
        <v>P.sp.</v>
      </c>
      <c r="B4312" s="5" t="s">
        <v>26634</v>
      </c>
      <c r="C4312" s="6" t="str">
        <f>IFERROR(__xludf.DUMMYFUNCTION("SPLIT('2. c'!B4312, "" "", True, True)"),"Pseudomonas")</f>
        <v>Pseudomonas</v>
      </c>
      <c r="D4312" t="str">
        <f>IFERROR(__xludf.DUMMYFUNCTION("""COMPUTED_VALUE"""),"sp.")</f>
        <v>sp.</v>
      </c>
      <c r="E4312" t="str">
        <f>IFERROR(__xludf.DUMMYFUNCTION("""COMPUTED_VALUE"""),"Os17")</f>
        <v>Os17</v>
      </c>
    </row>
    <row r="4313" ht="15.75" customHeight="1">
      <c r="A4313" t="str">
        <f t="shared" si="1"/>
        <v>P.sp.</v>
      </c>
      <c r="B4313" s="5" t="s">
        <v>26641</v>
      </c>
      <c r="C4313" s="6" t="str">
        <f>IFERROR(__xludf.DUMMYFUNCTION("SPLIT('2. c'!B4313, "" "", True, True)"),"Pseudomonas")</f>
        <v>Pseudomonas</v>
      </c>
      <c r="D4313" t="str">
        <f>IFERROR(__xludf.DUMMYFUNCTION("""COMPUTED_VALUE"""),"sp.")</f>
        <v>sp.</v>
      </c>
      <c r="E4313" t="str">
        <f>IFERROR(__xludf.DUMMYFUNCTION("""COMPUTED_VALUE"""),"St29")</f>
        <v>St29</v>
      </c>
    </row>
    <row r="4314" ht="15.75" customHeight="1">
      <c r="A4314" t="str">
        <f t="shared" si="1"/>
        <v>P.sp.</v>
      </c>
      <c r="B4314" s="5" t="s">
        <v>26648</v>
      </c>
      <c r="C4314" s="6" t="str">
        <f>IFERROR(__xludf.DUMMYFUNCTION("SPLIT('2. c'!B4314, "" "", True, True)"),"Pseudomonas")</f>
        <v>Pseudomonas</v>
      </c>
      <c r="D4314" t="str">
        <f>IFERROR(__xludf.DUMMYFUNCTION("""COMPUTED_VALUE"""),"sp.")</f>
        <v>sp.</v>
      </c>
      <c r="E4314" t="str">
        <f>IFERROR(__xludf.DUMMYFUNCTION("""COMPUTED_VALUE"""),"StFLB209")</f>
        <v>StFLB209</v>
      </c>
    </row>
    <row r="4315" ht="15.75" customHeight="1">
      <c r="A4315" t="str">
        <f t="shared" si="1"/>
        <v>P.sp.</v>
      </c>
      <c r="B4315" s="5" t="s">
        <v>26655</v>
      </c>
      <c r="C4315" s="6" t="str">
        <f>IFERROR(__xludf.DUMMYFUNCTION("SPLIT('2. c'!B4315, "" "", True, True)"),"Pseudomonas")</f>
        <v>Pseudomonas</v>
      </c>
      <c r="D4315" t="str">
        <f>IFERROR(__xludf.DUMMYFUNCTION("""COMPUTED_VALUE"""),"sp.")</f>
        <v>sp.</v>
      </c>
      <c r="E4315" t="str">
        <f>IFERROR(__xludf.DUMMYFUNCTION("""COMPUTED_VALUE"""),"TKP")</f>
        <v>TKP</v>
      </c>
    </row>
    <row r="4316" ht="15.75" customHeight="1">
      <c r="A4316" t="str">
        <f t="shared" si="1"/>
        <v>P.sp.</v>
      </c>
      <c r="B4316" s="5" t="s">
        <v>26661</v>
      </c>
      <c r="C4316" s="6" t="str">
        <f>IFERROR(__xludf.DUMMYFUNCTION("SPLIT('2. c'!B4316, "" "", True, True)"),"Pseudomonas")</f>
        <v>Pseudomonas</v>
      </c>
      <c r="D4316" t="str">
        <f>IFERROR(__xludf.DUMMYFUNCTION("""COMPUTED_VALUE"""),"sp.")</f>
        <v>sp.</v>
      </c>
      <c r="E4316" t="str">
        <f>IFERROR(__xludf.DUMMYFUNCTION("""COMPUTED_VALUE"""),"URMO17WK12:I11")</f>
        <v>URMO17WK12:I11</v>
      </c>
    </row>
    <row r="4317" ht="15.75" customHeight="1">
      <c r="A4317" t="str">
        <f t="shared" si="1"/>
        <v>P.sp.</v>
      </c>
      <c r="B4317" s="5" t="s">
        <v>26661</v>
      </c>
      <c r="C4317" s="6" t="str">
        <f>IFERROR(__xludf.DUMMYFUNCTION("SPLIT('2. c'!B4317, "" "", True, True)"),"Pseudomonas")</f>
        <v>Pseudomonas</v>
      </c>
      <c r="D4317" t="str">
        <f>IFERROR(__xludf.DUMMYFUNCTION("""COMPUTED_VALUE"""),"sp.")</f>
        <v>sp.</v>
      </c>
      <c r="E4317" t="str">
        <f>IFERROR(__xludf.DUMMYFUNCTION("""COMPUTED_VALUE"""),"URMO17WK12:I11")</f>
        <v>URMO17WK12:I11</v>
      </c>
    </row>
    <row r="4318" ht="15.75" customHeight="1">
      <c r="A4318" t="str">
        <f t="shared" si="1"/>
        <v>P.sp.</v>
      </c>
      <c r="B4318" s="5" t="s">
        <v>26676</v>
      </c>
      <c r="C4318" s="6" t="str">
        <f>IFERROR(__xludf.DUMMYFUNCTION("SPLIT('2. c'!B4318, "" "", True, True)"),"Pseudomonas")</f>
        <v>Pseudomonas</v>
      </c>
      <c r="D4318" t="str">
        <f>IFERROR(__xludf.DUMMYFUNCTION("""COMPUTED_VALUE"""),"sp.")</f>
        <v>sp.</v>
      </c>
      <c r="E4318" t="str">
        <f>IFERROR(__xludf.DUMMYFUNCTION("""COMPUTED_VALUE"""),"UW4")</f>
        <v>UW4</v>
      </c>
    </row>
    <row r="4319" ht="15.75" customHeight="1">
      <c r="A4319" t="str">
        <f t="shared" si="1"/>
        <v>P.sp.</v>
      </c>
      <c r="B4319" s="5" t="s">
        <v>26683</v>
      </c>
      <c r="C4319" s="6" t="str">
        <f>IFERROR(__xludf.DUMMYFUNCTION("SPLIT('2. c'!B4319, "" "", True, True)"),"Pseudomonas")</f>
        <v>Pseudomonas</v>
      </c>
      <c r="D4319" t="str">
        <f>IFERROR(__xludf.DUMMYFUNCTION("""COMPUTED_VALUE"""),"sp.")</f>
        <v>sp.</v>
      </c>
      <c r="E4319" t="str">
        <f>IFERROR(__xludf.DUMMYFUNCTION("""COMPUTED_VALUE"""),"VLB120")</f>
        <v>VLB120</v>
      </c>
    </row>
    <row r="4320" ht="15.75" customHeight="1">
      <c r="A4320" t="str">
        <f t="shared" si="1"/>
        <v>P.sp.</v>
      </c>
      <c r="B4320" s="5" t="s">
        <v>26690</v>
      </c>
      <c r="C4320" s="6" t="str">
        <f>IFERROR(__xludf.DUMMYFUNCTION("SPLIT('2. c'!B4320, "" "", True, True)"),"Pseudomonas")</f>
        <v>Pseudomonas</v>
      </c>
      <c r="D4320" t="str">
        <f>IFERROR(__xludf.DUMMYFUNCTION("""COMPUTED_VALUE"""),"sp.")</f>
        <v>sp.</v>
      </c>
      <c r="E4320" t="str">
        <f>IFERROR(__xludf.DUMMYFUNCTION("""COMPUTED_VALUE"""),"WCS374")</f>
        <v>WCS374</v>
      </c>
    </row>
    <row r="4321" ht="15.75" customHeight="1">
      <c r="A4321" t="str">
        <f t="shared" si="1"/>
        <v>P.stutzeri</v>
      </c>
      <c r="B4321" s="5" t="s">
        <v>26696</v>
      </c>
      <c r="C4321" s="6" t="str">
        <f>IFERROR(__xludf.DUMMYFUNCTION("SPLIT('2. c'!B4321, "" "", True, True)"),"Pseudomonas")</f>
        <v>Pseudomonas</v>
      </c>
      <c r="D4321" t="str">
        <f>IFERROR(__xludf.DUMMYFUNCTION("""COMPUTED_VALUE"""),"stutzeri")</f>
        <v>stutzeri</v>
      </c>
      <c r="E4321" t="str">
        <f>IFERROR(__xludf.DUMMYFUNCTION("""COMPUTED_VALUE"""),"A1501")</f>
        <v>A1501</v>
      </c>
    </row>
    <row r="4322" ht="15.75" customHeight="1">
      <c r="A4322" t="str">
        <f t="shared" si="1"/>
        <v>P.stutzeri</v>
      </c>
      <c r="B4322" s="5" t="s">
        <v>26702</v>
      </c>
      <c r="C4322" s="6" t="str">
        <f>IFERROR(__xludf.DUMMYFUNCTION("SPLIT('2. c'!B4322, "" "", True, True)"),"Pseudomonas")</f>
        <v>Pseudomonas</v>
      </c>
      <c r="D4322" t="str">
        <f>IFERROR(__xludf.DUMMYFUNCTION("""COMPUTED_VALUE"""),"stutzeri")</f>
        <v>stutzeri</v>
      </c>
      <c r="E4322" t="str">
        <f>IFERROR(__xludf.DUMMYFUNCTION("""COMPUTED_VALUE"""),"ATCC")</f>
        <v>ATCC</v>
      </c>
      <c r="F4322">
        <f>IFERROR(__xludf.DUMMYFUNCTION("""COMPUTED_VALUE"""),17588.0)</f>
        <v>17588</v>
      </c>
      <c r="G4322" t="str">
        <f>IFERROR(__xludf.DUMMYFUNCTION("""COMPUTED_VALUE"""),"=")</f>
        <v>=</v>
      </c>
      <c r="H4322" t="str">
        <f>IFERROR(__xludf.DUMMYFUNCTION("""COMPUTED_VALUE"""),"LMG")</f>
        <v>LMG</v>
      </c>
      <c r="I4322">
        <f>IFERROR(__xludf.DUMMYFUNCTION("""COMPUTED_VALUE"""),11199.0)</f>
        <v>11199</v>
      </c>
    </row>
    <row r="4323" ht="15.75" customHeight="1">
      <c r="A4323" t="str">
        <f t="shared" si="1"/>
        <v>P.stutzeri</v>
      </c>
      <c r="B4323" s="5" t="s">
        <v>26711</v>
      </c>
      <c r="C4323" s="6" t="str">
        <f>IFERROR(__xludf.DUMMYFUNCTION("SPLIT('2. c'!B4323, "" "", True, True)"),"Pseudomonas")</f>
        <v>Pseudomonas</v>
      </c>
      <c r="D4323" t="str">
        <f>IFERROR(__xludf.DUMMYFUNCTION("""COMPUTED_VALUE"""),"stutzeri")</f>
        <v>stutzeri</v>
      </c>
      <c r="E4323" t="str">
        <f>IFERROR(__xludf.DUMMYFUNCTION("""COMPUTED_VALUE"""),"CCUG")</f>
        <v>CCUG</v>
      </c>
      <c r="F4323">
        <f>IFERROR(__xludf.DUMMYFUNCTION("""COMPUTED_VALUE"""),29243.0)</f>
        <v>29243</v>
      </c>
    </row>
    <row r="4324" ht="15.75" customHeight="1">
      <c r="A4324" t="str">
        <f t="shared" si="1"/>
        <v>P.stutzeri</v>
      </c>
      <c r="B4324" s="5" t="s">
        <v>26720</v>
      </c>
      <c r="C4324" s="6" t="str">
        <f>IFERROR(__xludf.DUMMYFUNCTION("SPLIT('2. c'!B4324, "" "", True, True)"),"Pseudomonas")</f>
        <v>Pseudomonas</v>
      </c>
      <c r="D4324" t="str">
        <f>IFERROR(__xludf.DUMMYFUNCTION("""COMPUTED_VALUE"""),"stutzeri")</f>
        <v>stutzeri</v>
      </c>
      <c r="E4324" t="str">
        <f>IFERROR(__xludf.DUMMYFUNCTION("""COMPUTED_VALUE"""),"DSM")</f>
        <v>DSM</v>
      </c>
      <c r="F4324">
        <f>IFERROR(__xludf.DUMMYFUNCTION("""COMPUTED_VALUE"""),10701.0)</f>
        <v>10701</v>
      </c>
    </row>
    <row r="4325" ht="15.75" customHeight="1">
      <c r="A4325" t="str">
        <f t="shared" si="1"/>
        <v>P.stutzeri</v>
      </c>
      <c r="B4325" s="5" t="s">
        <v>26727</v>
      </c>
      <c r="C4325" s="6" t="str">
        <f>IFERROR(__xludf.DUMMYFUNCTION("SPLIT('2. c'!B4325, "" "", True, True)"),"Pseudomonas")</f>
        <v>Pseudomonas</v>
      </c>
      <c r="D4325" t="str">
        <f>IFERROR(__xludf.DUMMYFUNCTION("""COMPUTED_VALUE"""),"stutzeri")</f>
        <v>stutzeri</v>
      </c>
      <c r="E4325" t="str">
        <f>IFERROR(__xludf.DUMMYFUNCTION("""COMPUTED_VALUE"""),"DSM")</f>
        <v>DSM</v>
      </c>
      <c r="F4325">
        <f>IFERROR(__xludf.DUMMYFUNCTION("""COMPUTED_VALUE"""),4166.0)</f>
        <v>4166</v>
      </c>
    </row>
    <row r="4326" ht="15.75" customHeight="1">
      <c r="A4326" t="str">
        <f t="shared" si="1"/>
        <v>P.stutzeri</v>
      </c>
      <c r="B4326" s="5" t="s">
        <v>26735</v>
      </c>
      <c r="C4326" s="6" t="str">
        <f>IFERROR(__xludf.DUMMYFUNCTION("SPLIT('2. c'!B4326, "" "", True, True)"),"Pseudomonas")</f>
        <v>Pseudomonas</v>
      </c>
      <c r="D4326" t="str">
        <f>IFERROR(__xludf.DUMMYFUNCTION("""COMPUTED_VALUE"""),"stutzeri")</f>
        <v>stutzeri</v>
      </c>
      <c r="E4326" t="str">
        <f>IFERROR(__xludf.DUMMYFUNCTION("""COMPUTED_VALUE"""),"RCH2")</f>
        <v>RCH2</v>
      </c>
    </row>
    <row r="4327" ht="15.75" customHeight="1">
      <c r="A4327" t="str">
        <f t="shared" si="1"/>
        <v>P.stutzeri</v>
      </c>
      <c r="B4327" s="5" t="s">
        <v>26742</v>
      </c>
      <c r="C4327" s="6" t="str">
        <f>IFERROR(__xludf.DUMMYFUNCTION("SPLIT('2. c'!B4327, "" "", True, True)"),"Pseudomonas")</f>
        <v>Pseudomonas</v>
      </c>
      <c r="D4327" t="str">
        <f>IFERROR(__xludf.DUMMYFUNCTION("""COMPUTED_VALUE"""),"stutzeri")</f>
        <v>stutzeri</v>
      </c>
      <c r="E4327" t="str">
        <f>IFERROR(__xludf.DUMMYFUNCTION("""COMPUTED_VALUE"""),"strain")</f>
        <v>strain</v>
      </c>
      <c r="F4327" t="str">
        <f>IFERROR(__xludf.DUMMYFUNCTION("""COMPUTED_VALUE"""),"19SMN4")</f>
        <v>19SMN4</v>
      </c>
    </row>
    <row r="4328" ht="15.75" customHeight="1">
      <c r="A4328" t="str">
        <f t="shared" si="1"/>
        <v>P.stutzeri</v>
      </c>
      <c r="B4328" s="5" t="s">
        <v>26751</v>
      </c>
      <c r="C4328" s="6" t="str">
        <f>IFERROR(__xludf.DUMMYFUNCTION("SPLIT('2. c'!B4328, "" "", True, True)"),"Pseudomonas")</f>
        <v>Pseudomonas</v>
      </c>
      <c r="D4328" t="str">
        <f>IFERROR(__xludf.DUMMYFUNCTION("""COMPUTED_VALUE"""),"stutzeri")</f>
        <v>stutzeri</v>
      </c>
      <c r="E4328" t="str">
        <f>IFERROR(__xludf.DUMMYFUNCTION("""COMPUTED_VALUE"""),"strain")</f>
        <v>strain</v>
      </c>
      <c r="F4328">
        <f>IFERROR(__xludf.DUMMYFUNCTION("""COMPUTED_VALUE"""),273.0)</f>
        <v>273</v>
      </c>
    </row>
    <row r="4329" ht="15.75" customHeight="1">
      <c r="A4329" t="str">
        <f t="shared" si="1"/>
        <v>P.stutzeri</v>
      </c>
      <c r="B4329" s="5" t="s">
        <v>26756</v>
      </c>
      <c r="C4329" s="6" t="str">
        <f>IFERROR(__xludf.DUMMYFUNCTION("SPLIT('2. c'!B4329, "" "", True, True)"),"Pseudomonas")</f>
        <v>Pseudomonas</v>
      </c>
      <c r="D4329" t="str">
        <f>IFERROR(__xludf.DUMMYFUNCTION("""COMPUTED_VALUE"""),"stutzeri")</f>
        <v>stutzeri</v>
      </c>
      <c r="E4329" t="str">
        <f>IFERROR(__xludf.DUMMYFUNCTION("""COMPUTED_VALUE"""),"strain")</f>
        <v>strain</v>
      </c>
      <c r="F4329" t="str">
        <f>IFERROR(__xludf.DUMMYFUNCTION("""COMPUTED_VALUE"""),"28a24")</f>
        <v>28a24</v>
      </c>
    </row>
    <row r="4330" ht="15.75" customHeight="1">
      <c r="A4330" t="str">
        <f t="shared" si="1"/>
        <v>P.stutzeri</v>
      </c>
      <c r="B4330" s="5" t="s">
        <v>26760</v>
      </c>
      <c r="C4330" s="6" t="str">
        <f>IFERROR(__xludf.DUMMYFUNCTION("SPLIT('2. c'!B4330, "" "", True, True)"),"Pseudomonas")</f>
        <v>Pseudomonas</v>
      </c>
      <c r="D4330" t="str">
        <f>IFERROR(__xludf.DUMMYFUNCTION("""COMPUTED_VALUE"""),"stutzeri")</f>
        <v>stutzeri</v>
      </c>
      <c r="E4330" t="str">
        <f>IFERROR(__xludf.DUMMYFUNCTION("""COMPUTED_VALUE"""),"strain")</f>
        <v>strain</v>
      </c>
      <c r="F4330" t="str">
        <f>IFERROR(__xludf.DUMMYFUNCTION("""COMPUTED_VALUE"""),"SLG510A3-8")</f>
        <v>SLG510A3-8</v>
      </c>
    </row>
    <row r="4331" ht="15.75" customHeight="1">
      <c r="A4331" t="str">
        <f t="shared" si="1"/>
        <v>P.synxantha</v>
      </c>
      <c r="B4331" s="5" t="s">
        <v>26766</v>
      </c>
      <c r="C4331" s="6" t="str">
        <f>IFERROR(__xludf.DUMMYFUNCTION("SPLIT('2. c'!B4331, "" "", True, True)"),"Pseudomonas")</f>
        <v>Pseudomonas</v>
      </c>
      <c r="D4331" t="str">
        <f>IFERROR(__xludf.DUMMYFUNCTION("""COMPUTED_VALUE"""),"synxantha")</f>
        <v>synxantha</v>
      </c>
      <c r="E4331" t="str">
        <f>IFERROR(__xludf.DUMMYFUNCTION("""COMPUTED_VALUE"""),"BG33R")</f>
        <v>BG33R</v>
      </c>
    </row>
    <row r="4332" ht="15.75" customHeight="1">
      <c r="A4332" t="str">
        <f t="shared" si="1"/>
        <v>P.syringae</v>
      </c>
      <c r="B4332" s="5" t="s">
        <v>26771</v>
      </c>
      <c r="C4332" s="6" t="str">
        <f>IFERROR(__xludf.DUMMYFUNCTION("SPLIT('2. c'!B4332, "" "", True, True)"),"Pseudomonas")</f>
        <v>Pseudomonas</v>
      </c>
      <c r="D4332" t="str">
        <f>IFERROR(__xludf.DUMMYFUNCTION("""COMPUTED_VALUE"""),"syringae")</f>
        <v>syringae</v>
      </c>
      <c r="E4332" t="str">
        <f>IFERROR(__xludf.DUMMYFUNCTION("""COMPUTED_VALUE"""),"pv.")</f>
        <v>pv.</v>
      </c>
      <c r="F4332" t="str">
        <f>IFERROR(__xludf.DUMMYFUNCTION("""COMPUTED_VALUE"""),"actinidiae")</f>
        <v>actinidiae</v>
      </c>
      <c r="G4332" t="str">
        <f>IFERROR(__xludf.DUMMYFUNCTION("""COMPUTED_VALUE"""),"ICMP")</f>
        <v>ICMP</v>
      </c>
      <c r="H4332">
        <f>IFERROR(__xludf.DUMMYFUNCTION("""COMPUTED_VALUE"""),18884.0)</f>
        <v>18884</v>
      </c>
    </row>
    <row r="4333" ht="15.75" customHeight="1">
      <c r="A4333" t="str">
        <f t="shared" si="1"/>
        <v>P.syringae</v>
      </c>
      <c r="B4333" s="5" t="s">
        <v>26777</v>
      </c>
      <c r="C4333" s="6" t="str">
        <f>IFERROR(__xludf.DUMMYFUNCTION("SPLIT('2. c'!B4333, "" "", True, True)"),"Pseudomonas")</f>
        <v>Pseudomonas</v>
      </c>
      <c r="D4333" t="str">
        <f>IFERROR(__xludf.DUMMYFUNCTION("""COMPUTED_VALUE"""),"syringae")</f>
        <v>syringae</v>
      </c>
      <c r="E4333" t="str">
        <f>IFERROR(__xludf.DUMMYFUNCTION("""COMPUTED_VALUE"""),"pv.")</f>
        <v>pv.</v>
      </c>
      <c r="F4333" t="str">
        <f>IFERROR(__xludf.DUMMYFUNCTION("""COMPUTED_VALUE"""),"actinidiae")</f>
        <v>actinidiae</v>
      </c>
      <c r="G4333" t="str">
        <f>IFERROR(__xludf.DUMMYFUNCTION("""COMPUTED_VALUE"""),"ICMP")</f>
        <v>ICMP</v>
      </c>
      <c r="H4333">
        <f>IFERROR(__xludf.DUMMYFUNCTION("""COMPUTED_VALUE"""),9617.0)</f>
        <v>9617</v>
      </c>
    </row>
    <row r="4334" ht="15.75" customHeight="1">
      <c r="A4334" t="str">
        <f t="shared" si="1"/>
        <v>P.syringae</v>
      </c>
      <c r="B4334" s="5" t="s">
        <v>26785</v>
      </c>
      <c r="C4334" s="6" t="str">
        <f>IFERROR(__xludf.DUMMYFUNCTION("SPLIT('2. c'!B4334, "" "", True, True)"),"Pseudomonas")</f>
        <v>Pseudomonas</v>
      </c>
      <c r="D4334" t="str">
        <f>IFERROR(__xludf.DUMMYFUNCTION("""COMPUTED_VALUE"""),"syringae")</f>
        <v>syringae</v>
      </c>
      <c r="E4334" t="str">
        <f>IFERROR(__xludf.DUMMYFUNCTION("""COMPUTED_VALUE"""),"pv.")</f>
        <v>pv.</v>
      </c>
      <c r="F4334" t="str">
        <f>IFERROR(__xludf.DUMMYFUNCTION("""COMPUTED_VALUE"""),"lapsa")</f>
        <v>lapsa</v>
      </c>
    </row>
    <row r="4335" ht="15.75" customHeight="1">
      <c r="A4335" t="str">
        <f t="shared" si="1"/>
        <v>P.syringae</v>
      </c>
      <c r="B4335" s="5" t="s">
        <v>26789</v>
      </c>
      <c r="C4335" s="6" t="str">
        <f>IFERROR(__xludf.DUMMYFUNCTION("SPLIT('2. c'!B4335, "" "", True, True)"),"Pseudomonas")</f>
        <v>Pseudomonas</v>
      </c>
      <c r="D4335" t="str">
        <f>IFERROR(__xludf.DUMMYFUNCTION("""COMPUTED_VALUE"""),"syringae")</f>
        <v>syringae</v>
      </c>
      <c r="E4335" t="str">
        <f>IFERROR(__xludf.DUMMYFUNCTION("""COMPUTED_VALUE"""),"pv.")</f>
        <v>pv.</v>
      </c>
      <c r="F4335" t="str">
        <f>IFERROR(__xludf.DUMMYFUNCTION("""COMPUTED_VALUE"""),"phaseolicola")</f>
        <v>phaseolicola</v>
      </c>
      <c r="G4335" t="str">
        <f>IFERROR(__xludf.DUMMYFUNCTION("""COMPUTED_VALUE"""),"1448A")</f>
        <v>1448A</v>
      </c>
    </row>
    <row r="4336" ht="15.75" customHeight="1">
      <c r="A4336" t="str">
        <f t="shared" si="1"/>
        <v>P.syringae</v>
      </c>
      <c r="B4336" s="5" t="s">
        <v>26793</v>
      </c>
      <c r="C4336" s="6" t="str">
        <f>IFERROR(__xludf.DUMMYFUNCTION("SPLIT('2. c'!B4336, "" "", True, True)"),"Pseudomonas")</f>
        <v>Pseudomonas</v>
      </c>
      <c r="D4336" t="str">
        <f>IFERROR(__xludf.DUMMYFUNCTION("""COMPUTED_VALUE"""),"syringae")</f>
        <v>syringae</v>
      </c>
      <c r="E4336" t="str">
        <f>IFERROR(__xludf.DUMMYFUNCTION("""COMPUTED_VALUE"""),"pv.")</f>
        <v>pv.</v>
      </c>
      <c r="F4336" t="str">
        <f>IFERROR(__xludf.DUMMYFUNCTION("""COMPUTED_VALUE"""),"syringae")</f>
        <v>syringae</v>
      </c>
      <c r="G4336" t="str">
        <f>IFERROR(__xludf.DUMMYFUNCTION("""COMPUTED_VALUE"""),"B301D")</f>
        <v>B301D</v>
      </c>
    </row>
    <row r="4337" ht="15.75" customHeight="1">
      <c r="A4337" t="str">
        <f t="shared" si="1"/>
        <v>P.syringae</v>
      </c>
      <c r="B4337" s="5" t="s">
        <v>26798</v>
      </c>
      <c r="C4337" s="6" t="str">
        <f>IFERROR(__xludf.DUMMYFUNCTION("SPLIT('2. c'!B4337, "" "", True, True)"),"Pseudomonas")</f>
        <v>Pseudomonas</v>
      </c>
      <c r="D4337" t="str">
        <f>IFERROR(__xludf.DUMMYFUNCTION("""COMPUTED_VALUE"""),"syringae")</f>
        <v>syringae</v>
      </c>
      <c r="E4337" t="str">
        <f>IFERROR(__xludf.DUMMYFUNCTION("""COMPUTED_VALUE"""),"pv.")</f>
        <v>pv.</v>
      </c>
      <c r="F4337" t="str">
        <f>IFERROR(__xludf.DUMMYFUNCTION("""COMPUTED_VALUE"""),"syringae")</f>
        <v>syringae</v>
      </c>
      <c r="G4337" t="str">
        <f>IFERROR(__xludf.DUMMYFUNCTION("""COMPUTED_VALUE"""),"B728a")</f>
        <v>B728a</v>
      </c>
    </row>
    <row r="4338" ht="15.75" customHeight="1">
      <c r="A4338" t="str">
        <f t="shared" si="1"/>
        <v>P.syringae</v>
      </c>
      <c r="B4338" s="5" t="s">
        <v>26805</v>
      </c>
      <c r="C4338" s="6" t="str">
        <f>IFERROR(__xludf.DUMMYFUNCTION("SPLIT('2. c'!B4338, "" "", True, True)"),"Pseudomonas")</f>
        <v>Pseudomonas</v>
      </c>
      <c r="D4338" t="str">
        <f>IFERROR(__xludf.DUMMYFUNCTION("""COMPUTED_VALUE"""),"syringae")</f>
        <v>syringae</v>
      </c>
      <c r="E4338" t="str">
        <f>IFERROR(__xludf.DUMMYFUNCTION("""COMPUTED_VALUE"""),"pv.")</f>
        <v>pv.</v>
      </c>
      <c r="F4338" t="str">
        <f>IFERROR(__xludf.DUMMYFUNCTION("""COMPUTED_VALUE"""),"syringae")</f>
        <v>syringae</v>
      </c>
      <c r="G4338" t="str">
        <f>IFERROR(__xludf.DUMMYFUNCTION("""COMPUTED_VALUE"""),"HS191")</f>
        <v>HS191</v>
      </c>
    </row>
    <row r="4339" ht="15.75" customHeight="1">
      <c r="A4339" t="str">
        <f t="shared" si="1"/>
        <v>P.syringae</v>
      </c>
      <c r="B4339" s="5" t="s">
        <v>26811</v>
      </c>
      <c r="C4339" s="6" t="str">
        <f>IFERROR(__xludf.DUMMYFUNCTION("SPLIT('2. c'!B4339, "" "", True, True)"),"Pseudomonas")</f>
        <v>Pseudomonas</v>
      </c>
      <c r="D4339" t="str">
        <f>IFERROR(__xludf.DUMMYFUNCTION("""COMPUTED_VALUE"""),"syringae")</f>
        <v>syringae</v>
      </c>
      <c r="E4339" t="str">
        <f>IFERROR(__xludf.DUMMYFUNCTION("""COMPUTED_VALUE"""),"pv.")</f>
        <v>pv.</v>
      </c>
      <c r="F4339" t="str">
        <f>IFERROR(__xludf.DUMMYFUNCTION("""COMPUTED_VALUE"""),"syringae")</f>
        <v>syringae</v>
      </c>
      <c r="G4339" t="str">
        <f>IFERROR(__xludf.DUMMYFUNCTION("""COMPUTED_VALUE"""),"SM")</f>
        <v>SM</v>
      </c>
    </row>
    <row r="4340" ht="15.75" customHeight="1">
      <c r="A4340" t="str">
        <f t="shared" si="1"/>
        <v>P.syringae</v>
      </c>
      <c r="B4340" s="5" t="s">
        <v>26816</v>
      </c>
      <c r="C4340" s="6" t="str">
        <f>IFERROR(__xludf.DUMMYFUNCTION("SPLIT('2. c'!B4340, "" "", True, True)"),"Pseudomonas")</f>
        <v>Pseudomonas</v>
      </c>
      <c r="D4340" t="str">
        <f>IFERROR(__xludf.DUMMYFUNCTION("""COMPUTED_VALUE"""),"syringae")</f>
        <v>syringae</v>
      </c>
      <c r="E4340" t="str">
        <f>IFERROR(__xludf.DUMMYFUNCTION("""COMPUTED_VALUE"""),"pv.")</f>
        <v>pv.</v>
      </c>
      <c r="F4340" t="str">
        <f>IFERROR(__xludf.DUMMYFUNCTION("""COMPUTED_VALUE"""),"tomato")</f>
        <v>tomato</v>
      </c>
      <c r="G4340" t="str">
        <f>IFERROR(__xludf.DUMMYFUNCTION("""COMPUTED_VALUE"""),"str.")</f>
        <v>str.</v>
      </c>
      <c r="H4340" t="str">
        <f>IFERROR(__xludf.DUMMYFUNCTION("""COMPUTED_VALUE"""),"DC3000")</f>
        <v>DC3000</v>
      </c>
    </row>
    <row r="4341" ht="15.75" customHeight="1">
      <c r="A4341" t="str">
        <f t="shared" si="1"/>
        <v>P.syringae</v>
      </c>
      <c r="B4341" s="5" t="s">
        <v>26827</v>
      </c>
      <c r="C4341" s="6" t="str">
        <f>IFERROR(__xludf.DUMMYFUNCTION("SPLIT('2. c'!B4341, "" "", True, True)"),"Pseudomonas")</f>
        <v>Pseudomonas</v>
      </c>
      <c r="D4341" t="str">
        <f>IFERROR(__xludf.DUMMYFUNCTION("""COMPUTED_VALUE"""),"syringae")</f>
        <v>syringae</v>
      </c>
      <c r="E4341" t="str">
        <f>IFERROR(__xludf.DUMMYFUNCTION("""COMPUTED_VALUE"""),"UMAF0158")</f>
        <v>UMAF0158</v>
      </c>
    </row>
    <row r="4342" ht="15.75" customHeight="1">
      <c r="A4342" t="str">
        <f t="shared" si="1"/>
        <v>P.trivialis</v>
      </c>
      <c r="B4342" s="5" t="s">
        <v>26836</v>
      </c>
      <c r="C4342" s="6" t="str">
        <f>IFERROR(__xludf.DUMMYFUNCTION("SPLIT('2. c'!B4342, "" "", True, True)"),"Pseudomonas")</f>
        <v>Pseudomonas</v>
      </c>
      <c r="D4342" t="str">
        <f>IFERROR(__xludf.DUMMYFUNCTION("""COMPUTED_VALUE"""),"trivialis")</f>
        <v>trivialis</v>
      </c>
      <c r="E4342" t="str">
        <f>IFERROR(__xludf.DUMMYFUNCTION("""COMPUTED_VALUE"""),"strain")</f>
        <v>strain</v>
      </c>
      <c r="F4342" t="str">
        <f>IFERROR(__xludf.DUMMYFUNCTION("""COMPUTED_VALUE"""),"IHBB745")</f>
        <v>IHBB745</v>
      </c>
    </row>
    <row r="4343" ht="15.75" customHeight="1">
      <c r="A4343" t="str">
        <f t="shared" si="1"/>
        <v>P.dioxanivorans</v>
      </c>
      <c r="B4343" s="5" t="s">
        <v>26843</v>
      </c>
      <c r="C4343" s="6" t="str">
        <f>IFERROR(__xludf.DUMMYFUNCTION("SPLIT('2. c'!B4343, "" "", True, True)"),"Pseudonocardia")</f>
        <v>Pseudonocardia</v>
      </c>
      <c r="D4343" t="str">
        <f>IFERROR(__xludf.DUMMYFUNCTION("""COMPUTED_VALUE"""),"dioxanivorans")</f>
        <v>dioxanivorans</v>
      </c>
      <c r="E4343" t="str">
        <f>IFERROR(__xludf.DUMMYFUNCTION("""COMPUTED_VALUE"""),"CB1190")</f>
        <v>CB1190</v>
      </c>
    </row>
    <row r="4344" ht="15.75" customHeight="1">
      <c r="A4344" t="str">
        <f t="shared" si="1"/>
        <v>P.sp.</v>
      </c>
      <c r="B4344" s="5" t="s">
        <v>26852</v>
      </c>
      <c r="C4344" s="6" t="str">
        <f>IFERROR(__xludf.DUMMYFUNCTION("SPLIT('2. c'!B4344, "" "", True, True)"),"Pseudonocardia")</f>
        <v>Pseudonocardia</v>
      </c>
      <c r="D4344" t="str">
        <f>IFERROR(__xludf.DUMMYFUNCTION("""COMPUTED_VALUE"""),"sp.")</f>
        <v>sp.</v>
      </c>
      <c r="E4344" t="str">
        <f>IFERROR(__xludf.DUMMYFUNCTION("""COMPUTED_VALUE"""),"AL041005-10")</f>
        <v>AL041005-10</v>
      </c>
    </row>
    <row r="4345" ht="15.75" customHeight="1">
      <c r="A4345" t="str">
        <f t="shared" si="1"/>
        <v>P.sp.</v>
      </c>
      <c r="B4345" s="5" t="s">
        <v>26862</v>
      </c>
      <c r="C4345" s="6" t="str">
        <f>IFERROR(__xludf.DUMMYFUNCTION("SPLIT('2. c'!B4345, "" "", True, True)"),"Pseudonocardia")</f>
        <v>Pseudonocardia</v>
      </c>
      <c r="D4345" t="str">
        <f>IFERROR(__xludf.DUMMYFUNCTION("""COMPUTED_VALUE"""),"sp.")</f>
        <v>sp.</v>
      </c>
      <c r="E4345" t="str">
        <f>IFERROR(__xludf.DUMMYFUNCTION("""COMPUTED_VALUE"""),"EC080610-09")</f>
        <v>EC080610-09</v>
      </c>
    </row>
    <row r="4346" ht="15.75" customHeight="1">
      <c r="A4346" t="str">
        <f t="shared" si="1"/>
        <v>P.sp.</v>
      </c>
      <c r="B4346" s="5" t="s">
        <v>26872</v>
      </c>
      <c r="C4346" s="6" t="str">
        <f>IFERROR(__xludf.DUMMYFUNCTION("SPLIT('2. c'!B4346, "" "", True, True)"),"Pseudonocardia")</f>
        <v>Pseudonocardia</v>
      </c>
      <c r="D4346" t="str">
        <f>IFERROR(__xludf.DUMMYFUNCTION("""COMPUTED_VALUE"""),"sp.")</f>
        <v>sp.</v>
      </c>
      <c r="E4346" t="str">
        <f>IFERROR(__xludf.DUMMYFUNCTION("""COMPUTED_VALUE"""),"EC080619-01")</f>
        <v>EC080619-01</v>
      </c>
    </row>
    <row r="4347" ht="15.75" customHeight="1">
      <c r="A4347" t="str">
        <f t="shared" si="1"/>
        <v>P.sp.</v>
      </c>
      <c r="B4347" s="5" t="s">
        <v>26881</v>
      </c>
      <c r="C4347" s="6" t="str">
        <f>IFERROR(__xludf.DUMMYFUNCTION("SPLIT('2. c'!B4347, "" "", True, True)"),"Pseudonocardia")</f>
        <v>Pseudonocardia</v>
      </c>
      <c r="D4347" t="str">
        <f>IFERROR(__xludf.DUMMYFUNCTION("""COMPUTED_VALUE"""),"sp.")</f>
        <v>sp.</v>
      </c>
      <c r="E4347" t="str">
        <f>IFERROR(__xludf.DUMMYFUNCTION("""COMPUTED_VALUE"""),"EC080625-04")</f>
        <v>EC080625-04</v>
      </c>
    </row>
    <row r="4348" ht="15.75" customHeight="1">
      <c r="A4348" t="str">
        <f t="shared" si="1"/>
        <v>P.sp.</v>
      </c>
      <c r="B4348" s="5" t="s">
        <v>26889</v>
      </c>
      <c r="C4348" s="6" t="str">
        <f>IFERROR(__xludf.DUMMYFUNCTION("SPLIT('2. c'!B4348, "" "", True, True)"),"Pseudonocardia")</f>
        <v>Pseudonocardia</v>
      </c>
      <c r="D4348" t="str">
        <f>IFERROR(__xludf.DUMMYFUNCTION("""COMPUTED_VALUE"""),"sp.")</f>
        <v>sp.</v>
      </c>
      <c r="E4348" t="str">
        <f>IFERROR(__xludf.DUMMYFUNCTION("""COMPUTED_VALUE"""),"HH130629-09")</f>
        <v>HH130629-09</v>
      </c>
    </row>
    <row r="4349" ht="15.75" customHeight="1">
      <c r="A4349" t="str">
        <f t="shared" si="1"/>
        <v>P.hypogea</v>
      </c>
      <c r="B4349" s="5" t="s">
        <v>26893</v>
      </c>
      <c r="C4349" s="6" t="str">
        <f>IFERROR(__xludf.DUMMYFUNCTION("SPLIT('2. c'!B4349, "" "", True, True)"),"Pseudothermotoga")</f>
        <v>Pseudothermotoga</v>
      </c>
      <c r="D4349" t="str">
        <f>IFERROR(__xludf.DUMMYFUNCTION("""COMPUTED_VALUE"""),"hypogea")</f>
        <v>hypogea</v>
      </c>
      <c r="E4349" t="str">
        <f>IFERROR(__xludf.DUMMYFUNCTION("""COMPUTED_VALUE"""),"DSM")</f>
        <v>DSM</v>
      </c>
      <c r="F4349">
        <f>IFERROR(__xludf.DUMMYFUNCTION("""COMPUTED_VALUE"""),11164.0)</f>
        <v>11164</v>
      </c>
      <c r="G4349" t="str">
        <f>IFERROR(__xludf.DUMMYFUNCTION("""COMPUTED_VALUE"""),"=")</f>
        <v>=</v>
      </c>
      <c r="H4349" t="str">
        <f>IFERROR(__xludf.DUMMYFUNCTION("""COMPUTED_VALUE"""),"NBRC")</f>
        <v>NBRC</v>
      </c>
      <c r="I4349">
        <f>IFERROR(__xludf.DUMMYFUNCTION("""COMPUTED_VALUE"""),106472.0)</f>
        <v>106472</v>
      </c>
    </row>
    <row r="4350" ht="15.75" customHeight="1">
      <c r="A4350" t="str">
        <f t="shared" si="1"/>
        <v>P.sp.</v>
      </c>
      <c r="B4350" s="5" t="s">
        <v>26905</v>
      </c>
      <c r="C4350" s="6" t="str">
        <f>IFERROR(__xludf.DUMMYFUNCTION("SPLIT('2. c'!B4350, "" "", True, True)"),"Pseudovibrio")</f>
        <v>Pseudovibrio</v>
      </c>
      <c r="D4350" t="str">
        <f>IFERROR(__xludf.DUMMYFUNCTION("""COMPUTED_VALUE"""),"sp.")</f>
        <v>sp.</v>
      </c>
      <c r="E4350" t="str">
        <f>IFERROR(__xludf.DUMMYFUNCTION("""COMPUTED_VALUE"""),"FO-BEG1")</f>
        <v>FO-BEG1</v>
      </c>
    </row>
    <row r="4351" ht="15.75" customHeight="1">
      <c r="A4351" t="str">
        <f t="shared" si="1"/>
        <v>P.spadix</v>
      </c>
      <c r="B4351" s="5" t="s">
        <v>26914</v>
      </c>
      <c r="C4351" s="6" t="str">
        <f>IFERROR(__xludf.DUMMYFUNCTION("SPLIT('2. c'!B4351, "" "", True, True)"),"Pseudoxanthomonas")</f>
        <v>Pseudoxanthomonas</v>
      </c>
      <c r="D4351" t="str">
        <f>IFERROR(__xludf.DUMMYFUNCTION("""COMPUTED_VALUE"""),"spadix")</f>
        <v>spadix</v>
      </c>
      <c r="E4351" t="str">
        <f>IFERROR(__xludf.DUMMYFUNCTION("""COMPUTED_VALUE"""),"BD-a59")</f>
        <v>BD-a59</v>
      </c>
    </row>
    <row r="4352" ht="15.75" customHeight="1">
      <c r="A4352" t="str">
        <f t="shared" si="1"/>
        <v>P.suwonensis</v>
      </c>
      <c r="B4352" s="5" t="s">
        <v>26925</v>
      </c>
      <c r="C4352" s="6" t="str">
        <f>IFERROR(__xludf.DUMMYFUNCTION("SPLIT('2. c'!B4352, "" "", True, True)"),"Pseudoxanthomonas")</f>
        <v>Pseudoxanthomonas</v>
      </c>
      <c r="D4352" t="str">
        <f>IFERROR(__xludf.DUMMYFUNCTION("""COMPUTED_VALUE"""),"suwonensis")</f>
        <v>suwonensis</v>
      </c>
      <c r="E4352" s="25">
        <f>IFERROR(__xludf.DUMMYFUNCTION("""COMPUTED_VALUE"""),43111.0)</f>
        <v>43111</v>
      </c>
    </row>
    <row r="4353" ht="15.75" customHeight="1">
      <c r="A4353" t="str">
        <f t="shared" si="1"/>
        <v>P.suwonensis</v>
      </c>
      <c r="B4353" s="5" t="s">
        <v>26939</v>
      </c>
      <c r="C4353" s="6" t="str">
        <f>IFERROR(__xludf.DUMMYFUNCTION("SPLIT('2. c'!B4353, "" "", True, True)"),"Pseudoxanthomonas")</f>
        <v>Pseudoxanthomonas</v>
      </c>
      <c r="D4353" t="str">
        <f>IFERROR(__xludf.DUMMYFUNCTION("""COMPUTED_VALUE"""),"suwonensis")</f>
        <v>suwonensis</v>
      </c>
      <c r="E4353" t="str">
        <f>IFERROR(__xludf.DUMMYFUNCTION("""COMPUTED_VALUE"""),"strain")</f>
        <v>strain</v>
      </c>
      <c r="F4353" t="str">
        <f>IFERROR(__xludf.DUMMYFUNCTION("""COMPUTED_VALUE"""),"J1")</f>
        <v>J1</v>
      </c>
    </row>
    <row r="4354" ht="15.75" customHeight="1">
      <c r="A4354" t="str">
        <f t="shared" si="1"/>
        <v>P.alimentarius</v>
      </c>
      <c r="B4354" s="5" t="s">
        <v>26946</v>
      </c>
      <c r="C4354" s="6" t="str">
        <f>IFERROR(__xludf.DUMMYFUNCTION("SPLIT('2. c'!B4354, "" "", True, True)"),"Psychrobacter")</f>
        <v>Psychrobacter</v>
      </c>
      <c r="D4354" t="str">
        <f>IFERROR(__xludf.DUMMYFUNCTION("""COMPUTED_VALUE"""),"alimentarius")</f>
        <v>alimentarius</v>
      </c>
      <c r="E4354" t="str">
        <f>IFERROR(__xludf.DUMMYFUNCTION("""COMPUTED_VALUE"""),"strain")</f>
        <v>strain</v>
      </c>
      <c r="F4354" t="str">
        <f>IFERROR(__xludf.DUMMYFUNCTION("""COMPUTED_VALUE"""),"PAMC")</f>
        <v>PAMC</v>
      </c>
      <c r="G4354">
        <f>IFERROR(__xludf.DUMMYFUNCTION("""COMPUTED_VALUE"""),27889.0)</f>
        <v>27889</v>
      </c>
    </row>
    <row r="4355" ht="15.75" customHeight="1">
      <c r="A4355" t="str">
        <f t="shared" si="1"/>
        <v>P.arcticus</v>
      </c>
      <c r="B4355" s="5" t="s">
        <v>26956</v>
      </c>
      <c r="C4355" s="6" t="str">
        <f>IFERROR(__xludf.DUMMYFUNCTION("SPLIT('2. c'!B4355, "" "", True, True)"),"Psychrobacter")</f>
        <v>Psychrobacter</v>
      </c>
      <c r="D4355" t="str">
        <f>IFERROR(__xludf.DUMMYFUNCTION("""COMPUTED_VALUE"""),"arcticus")</f>
        <v>arcticus</v>
      </c>
      <c r="E4355" t="str">
        <f>IFERROR(__xludf.DUMMYFUNCTION("""COMPUTED_VALUE"""),"273-4")</f>
        <v>273-4</v>
      </c>
    </row>
    <row r="4356" ht="15.75" customHeight="1">
      <c r="A4356" t="str">
        <f t="shared" si="1"/>
        <v>P.cryohalolentis</v>
      </c>
      <c r="B4356" s="5" t="s">
        <v>26963</v>
      </c>
      <c r="C4356" s="6" t="str">
        <f>IFERROR(__xludf.DUMMYFUNCTION("SPLIT('2. c'!B4356, "" "", True, True)"),"Psychrobacter")</f>
        <v>Psychrobacter</v>
      </c>
      <c r="D4356" t="str">
        <f>IFERROR(__xludf.DUMMYFUNCTION("""COMPUTED_VALUE"""),"cryohalolentis")</f>
        <v>cryohalolentis</v>
      </c>
      <c r="E4356" t="str">
        <f>IFERROR(__xludf.DUMMYFUNCTION("""COMPUTED_VALUE"""),"K5")</f>
        <v>K5</v>
      </c>
    </row>
    <row r="4357" ht="15.75" customHeight="1">
      <c r="A4357" t="str">
        <f t="shared" si="1"/>
        <v>P.sp.</v>
      </c>
      <c r="B4357" s="5" t="s">
        <v>26970</v>
      </c>
      <c r="C4357" s="6" t="str">
        <f>IFERROR(__xludf.DUMMYFUNCTION("SPLIT('2. c'!B4357, "" "", True, True)"),"Psychrobacter")</f>
        <v>Psychrobacter</v>
      </c>
      <c r="D4357" t="str">
        <f>IFERROR(__xludf.DUMMYFUNCTION("""COMPUTED_VALUE"""),"sp.")</f>
        <v>sp.</v>
      </c>
      <c r="E4357" t="str">
        <f>IFERROR(__xludf.DUMMYFUNCTION("""COMPUTED_VALUE"""),"G")</f>
        <v>G</v>
      </c>
    </row>
    <row r="4358" ht="15.75" customHeight="1">
      <c r="A4358" t="str">
        <f t="shared" si="1"/>
        <v>P.sp.</v>
      </c>
      <c r="B4358" s="5" t="s">
        <v>26978</v>
      </c>
      <c r="C4358" s="6" t="str">
        <f>IFERROR(__xludf.DUMMYFUNCTION("SPLIT('2. c'!B4358, "" "", True, True)"),"Psychrobacter")</f>
        <v>Psychrobacter</v>
      </c>
      <c r="D4358" t="str">
        <f>IFERROR(__xludf.DUMMYFUNCTION("""COMPUTED_VALUE"""),"sp.")</f>
        <v>sp.</v>
      </c>
      <c r="E4358" t="str">
        <f>IFERROR(__xludf.DUMMYFUNCTION("""COMPUTED_VALUE"""),"P11F6")</f>
        <v>P11F6</v>
      </c>
    </row>
    <row r="4359" ht="15.75" customHeight="1">
      <c r="A4359" t="str">
        <f t="shared" si="1"/>
        <v>P.sp.</v>
      </c>
      <c r="B4359" s="5" t="s">
        <v>26986</v>
      </c>
      <c r="C4359" s="6" t="str">
        <f>IFERROR(__xludf.DUMMYFUNCTION("SPLIT('2. c'!B4359, "" "", True, True)"),"Psychrobacter")</f>
        <v>Psychrobacter</v>
      </c>
      <c r="D4359" t="str">
        <f>IFERROR(__xludf.DUMMYFUNCTION("""COMPUTED_VALUE"""),"sp.")</f>
        <v>sp.</v>
      </c>
      <c r="E4359" t="str">
        <f>IFERROR(__xludf.DUMMYFUNCTION("""COMPUTED_VALUE"""),"P11G3")</f>
        <v>P11G3</v>
      </c>
    </row>
    <row r="4360" ht="15.75" customHeight="1">
      <c r="A4360" t="str">
        <f t="shared" si="1"/>
        <v>P.sp.</v>
      </c>
      <c r="B4360" s="5" t="s">
        <v>26997</v>
      </c>
      <c r="C4360" s="6" t="str">
        <f>IFERROR(__xludf.DUMMYFUNCTION("SPLIT('2. c'!B4360, "" "", True, True)"),"Psychrobacter")</f>
        <v>Psychrobacter</v>
      </c>
      <c r="D4360" t="str">
        <f>IFERROR(__xludf.DUMMYFUNCTION("""COMPUTED_VALUE"""),"sp.")</f>
        <v>sp.</v>
      </c>
      <c r="E4360" t="str">
        <f>IFERROR(__xludf.DUMMYFUNCTION("""COMPUTED_VALUE"""),"P11G5")</f>
        <v>P11G5</v>
      </c>
    </row>
    <row r="4361" ht="15.75" customHeight="1">
      <c r="A4361" t="str">
        <f t="shared" si="1"/>
        <v>P.sp.</v>
      </c>
      <c r="B4361" s="5" t="s">
        <v>27006</v>
      </c>
      <c r="C4361" s="6" t="str">
        <f>IFERROR(__xludf.DUMMYFUNCTION("SPLIT('2. c'!B4361, "" "", True, True)"),"Psychrobacter")</f>
        <v>Psychrobacter</v>
      </c>
      <c r="D4361" t="str">
        <f>IFERROR(__xludf.DUMMYFUNCTION("""COMPUTED_VALUE"""),"sp.")</f>
        <v>sp.</v>
      </c>
      <c r="E4361" t="str">
        <f>IFERROR(__xludf.DUMMYFUNCTION("""COMPUTED_VALUE"""),"P2G3")</f>
        <v>P2G3</v>
      </c>
    </row>
    <row r="4362" ht="15.75" customHeight="1">
      <c r="A4362" t="str">
        <f t="shared" si="1"/>
        <v>P.sp.</v>
      </c>
      <c r="B4362" s="5" t="s">
        <v>27015</v>
      </c>
      <c r="C4362" s="6" t="str">
        <f>IFERROR(__xludf.DUMMYFUNCTION("SPLIT('2. c'!B4362, "" "", True, True)"),"Psychrobacter")</f>
        <v>Psychrobacter</v>
      </c>
      <c r="D4362" t="str">
        <f>IFERROR(__xludf.DUMMYFUNCTION("""COMPUTED_VALUE"""),"sp.")</f>
        <v>sp.</v>
      </c>
      <c r="E4362" t="str">
        <f>IFERROR(__xludf.DUMMYFUNCTION("""COMPUTED_VALUE"""),"PRwf-1")</f>
        <v>PRwf-1</v>
      </c>
    </row>
    <row r="4363" ht="15.75" customHeight="1">
      <c r="A4363" t="str">
        <f t="shared" si="1"/>
        <v>P.urativorans</v>
      </c>
      <c r="B4363" s="5" t="s">
        <v>27023</v>
      </c>
      <c r="C4363" s="6" t="str">
        <f>IFERROR(__xludf.DUMMYFUNCTION("SPLIT('2. c'!B4363, "" "", True, True)"),"Psychrobacter")</f>
        <v>Psychrobacter</v>
      </c>
      <c r="D4363" t="str">
        <f>IFERROR(__xludf.DUMMYFUNCTION("""COMPUTED_VALUE"""),"urativorans")</f>
        <v>urativorans</v>
      </c>
      <c r="E4363" t="str">
        <f>IFERROR(__xludf.DUMMYFUNCTION("""COMPUTED_VALUE"""),"strain")</f>
        <v>strain</v>
      </c>
      <c r="F4363" t="str">
        <f>IFERROR(__xludf.DUMMYFUNCTION("""COMPUTED_VALUE"""),"R310.10B")</f>
        <v>R310.10B</v>
      </c>
    </row>
    <row r="4364" ht="15.75" customHeight="1">
      <c r="A4364" t="str">
        <f t="shared" si="1"/>
        <v>P.ingrahamii</v>
      </c>
      <c r="B4364" s="5" t="s">
        <v>27032</v>
      </c>
      <c r="C4364" s="6" t="str">
        <f>IFERROR(__xludf.DUMMYFUNCTION("SPLIT('2. c'!B4364, "" "", True, True)"),"Psychromonas")</f>
        <v>Psychromonas</v>
      </c>
      <c r="D4364" t="str">
        <f>IFERROR(__xludf.DUMMYFUNCTION("""COMPUTED_VALUE"""),"ingrahamii")</f>
        <v>ingrahamii</v>
      </c>
      <c r="E4364">
        <f>IFERROR(__xludf.DUMMYFUNCTION("""COMPUTED_VALUE"""),37.0)</f>
        <v>37</v>
      </c>
    </row>
    <row r="4365" ht="15.75" customHeight="1">
      <c r="A4365" t="str">
        <f t="shared" si="1"/>
        <v>P.sp.</v>
      </c>
      <c r="B4365" s="5" t="s">
        <v>27040</v>
      </c>
      <c r="C4365" s="6" t="str">
        <f>IFERROR(__xludf.DUMMYFUNCTION("SPLIT('2. c'!B4365, "" "", True, True)"),"Pusillimonas")</f>
        <v>Pusillimonas</v>
      </c>
      <c r="D4365" t="str">
        <f>IFERROR(__xludf.DUMMYFUNCTION("""COMPUTED_VALUE"""),"sp.")</f>
        <v>sp.</v>
      </c>
      <c r="E4365" t="str">
        <f>IFERROR(__xludf.DUMMYFUNCTION("""COMPUTED_VALUE"""),"T7-7")</f>
        <v>T7-7</v>
      </c>
    </row>
    <row r="4366" ht="15.75" customHeight="1">
      <c r="A4366" t="str">
        <f t="shared" si="1"/>
        <v>P.aerophilum</v>
      </c>
      <c r="B4366" s="5" t="s">
        <v>27050</v>
      </c>
      <c r="C4366" s="6" t="str">
        <f>IFERROR(__xludf.DUMMYFUNCTION("SPLIT('2. c'!B4366, "" "", True, True)"),"Pyrobaculum")</f>
        <v>Pyrobaculum</v>
      </c>
      <c r="D4366" t="str">
        <f>IFERROR(__xludf.DUMMYFUNCTION("""COMPUTED_VALUE"""),"aerophilum")</f>
        <v>aerophilum</v>
      </c>
      <c r="E4366" t="str">
        <f>IFERROR(__xludf.DUMMYFUNCTION("""COMPUTED_VALUE"""),"str.")</f>
        <v>str.</v>
      </c>
      <c r="F4366" t="str">
        <f>IFERROR(__xludf.DUMMYFUNCTION("""COMPUTED_VALUE"""),"IM2")</f>
        <v>IM2</v>
      </c>
    </row>
    <row r="4367" ht="15.75" customHeight="1">
      <c r="A4367" t="str">
        <f t="shared" si="1"/>
        <v>P.arsenaticum</v>
      </c>
      <c r="B4367" s="5" t="s">
        <v>27058</v>
      </c>
      <c r="C4367" s="6" t="str">
        <f>IFERROR(__xludf.DUMMYFUNCTION("SPLIT('2. c'!B4367, "" "", True, True)"),"Pyrobaculum")</f>
        <v>Pyrobaculum</v>
      </c>
      <c r="D4367" t="str">
        <f>IFERROR(__xludf.DUMMYFUNCTION("""COMPUTED_VALUE"""),"arsenaticum")</f>
        <v>arsenaticum</v>
      </c>
      <c r="E4367" t="str">
        <f>IFERROR(__xludf.DUMMYFUNCTION("""COMPUTED_VALUE"""),"DSM")</f>
        <v>DSM</v>
      </c>
      <c r="F4367">
        <f>IFERROR(__xludf.DUMMYFUNCTION("""COMPUTED_VALUE"""),13514.0)</f>
        <v>13514</v>
      </c>
    </row>
    <row r="4368" ht="15.75" customHeight="1">
      <c r="A4368" t="str">
        <f t="shared" si="1"/>
        <v>P.calidifontis</v>
      </c>
      <c r="B4368" s="5" t="s">
        <v>27069</v>
      </c>
      <c r="C4368" s="6" t="str">
        <f>IFERROR(__xludf.DUMMYFUNCTION("SPLIT('2. c'!B4368, "" "", True, True)"),"Pyrobaculum")</f>
        <v>Pyrobaculum</v>
      </c>
      <c r="D4368" t="str">
        <f>IFERROR(__xludf.DUMMYFUNCTION("""COMPUTED_VALUE"""),"calidifontis")</f>
        <v>calidifontis</v>
      </c>
      <c r="E4368" t="str">
        <f>IFERROR(__xludf.DUMMYFUNCTION("""COMPUTED_VALUE"""),"JCM")</f>
        <v>JCM</v>
      </c>
      <c r="F4368">
        <f>IFERROR(__xludf.DUMMYFUNCTION("""COMPUTED_VALUE"""),11548.0)</f>
        <v>11548</v>
      </c>
    </row>
    <row r="4369" ht="15.75" customHeight="1">
      <c r="A4369" t="str">
        <f t="shared" si="1"/>
        <v>P.islandicum</v>
      </c>
      <c r="B4369" s="5" t="s">
        <v>27078</v>
      </c>
      <c r="C4369" s="6" t="str">
        <f>IFERROR(__xludf.DUMMYFUNCTION("SPLIT('2. c'!B4369, "" "", True, True)"),"Pyrobaculum")</f>
        <v>Pyrobaculum</v>
      </c>
      <c r="D4369" t="str">
        <f>IFERROR(__xludf.DUMMYFUNCTION("""COMPUTED_VALUE"""),"islandicum")</f>
        <v>islandicum</v>
      </c>
      <c r="E4369" t="str">
        <f>IFERROR(__xludf.DUMMYFUNCTION("""COMPUTED_VALUE"""),"DSM")</f>
        <v>DSM</v>
      </c>
      <c r="F4369">
        <f>IFERROR(__xludf.DUMMYFUNCTION("""COMPUTED_VALUE"""),4184.0)</f>
        <v>4184</v>
      </c>
    </row>
    <row r="4370" ht="15.75" customHeight="1">
      <c r="A4370" t="str">
        <f t="shared" si="1"/>
        <v>P.neutrophilum</v>
      </c>
      <c r="B4370" s="5" t="s">
        <v>27088</v>
      </c>
      <c r="C4370" s="6" t="str">
        <f>IFERROR(__xludf.DUMMYFUNCTION("SPLIT('2. c'!B4370, "" "", True, True)"),"Pyrobaculum")</f>
        <v>Pyrobaculum</v>
      </c>
      <c r="D4370" t="str">
        <f>IFERROR(__xludf.DUMMYFUNCTION("""COMPUTED_VALUE"""),"neutrophilum")</f>
        <v>neutrophilum</v>
      </c>
      <c r="E4370" t="str">
        <f>IFERROR(__xludf.DUMMYFUNCTION("""COMPUTED_VALUE"""),"V24Sta")</f>
        <v>V24Sta</v>
      </c>
    </row>
    <row r="4371" ht="15.75" customHeight="1">
      <c r="A4371" t="str">
        <f t="shared" si="1"/>
        <v>P.oguniense</v>
      </c>
      <c r="B4371" s="5" t="s">
        <v>27095</v>
      </c>
      <c r="C4371" s="6" t="str">
        <f>IFERROR(__xludf.DUMMYFUNCTION("SPLIT('2. c'!B4371, "" "", True, True)"),"Pyrobaculum")</f>
        <v>Pyrobaculum</v>
      </c>
      <c r="D4371" t="str">
        <f>IFERROR(__xludf.DUMMYFUNCTION("""COMPUTED_VALUE"""),"oguniense")</f>
        <v>oguniense</v>
      </c>
      <c r="E4371" t="str">
        <f>IFERROR(__xludf.DUMMYFUNCTION("""COMPUTED_VALUE"""),"TE7")</f>
        <v>TE7</v>
      </c>
    </row>
    <row r="4372" ht="15.75" customHeight="1">
      <c r="A4372" t="str">
        <f t="shared" si="1"/>
        <v>P.sp.</v>
      </c>
      <c r="B4372" s="5" t="s">
        <v>27100</v>
      </c>
      <c r="C4372" s="6" t="str">
        <f>IFERROR(__xludf.DUMMYFUNCTION("SPLIT('2. c'!B4372, "" "", True, True)"),"Pyrobaculum")</f>
        <v>Pyrobaculum</v>
      </c>
      <c r="D4372" t="str">
        <f>IFERROR(__xludf.DUMMYFUNCTION("""COMPUTED_VALUE"""),"sp.")</f>
        <v>sp.</v>
      </c>
      <c r="E4372">
        <f>IFERROR(__xludf.DUMMYFUNCTION("""COMPUTED_VALUE"""),1860.0)</f>
        <v>1860</v>
      </c>
    </row>
    <row r="4373" ht="15.75" customHeight="1">
      <c r="A4373" t="str">
        <f t="shared" si="1"/>
        <v>P.sp.</v>
      </c>
      <c r="B4373" s="5" t="s">
        <v>27106</v>
      </c>
      <c r="C4373" s="6" t="str">
        <f>IFERROR(__xludf.DUMMYFUNCTION("SPLIT('2. c'!B4373, "" "", True, True)"),"Pyrobaculum")</f>
        <v>Pyrobaculum</v>
      </c>
      <c r="D4373" t="str">
        <f>IFERROR(__xludf.DUMMYFUNCTION("""COMPUTED_VALUE"""),"sp.")</f>
        <v>sp.</v>
      </c>
      <c r="E4373" t="str">
        <f>IFERROR(__xludf.DUMMYFUNCTION("""COMPUTED_VALUE"""),"WP30")</f>
        <v>WP30</v>
      </c>
    </row>
    <row r="4374" ht="15.75" customHeight="1">
      <c r="A4374" t="str">
        <f t="shared" si="1"/>
        <v>P.abyssi</v>
      </c>
      <c r="B4374" s="5" t="s">
        <v>27110</v>
      </c>
      <c r="C4374" s="6" t="str">
        <f>IFERROR(__xludf.DUMMYFUNCTION("SPLIT('2. c'!B4374, "" "", True, True)"),"Pyrococcus")</f>
        <v>Pyrococcus</v>
      </c>
      <c r="D4374" t="str">
        <f>IFERROR(__xludf.DUMMYFUNCTION("""COMPUTED_VALUE"""),"abyssi")</f>
        <v>abyssi</v>
      </c>
      <c r="E4374" t="str">
        <f>IFERROR(__xludf.DUMMYFUNCTION("""COMPUTED_VALUE"""),"GE5")</f>
        <v>GE5</v>
      </c>
    </row>
    <row r="4375" ht="15.75" customHeight="1">
      <c r="A4375" t="str">
        <f t="shared" si="1"/>
        <v>P.furiosus</v>
      </c>
      <c r="B4375" s="5" t="s">
        <v>27115</v>
      </c>
      <c r="C4375" s="6" t="str">
        <f>IFERROR(__xludf.DUMMYFUNCTION("SPLIT('2. c'!B4375, "" "", True, True)"),"Pyrococcus")</f>
        <v>Pyrococcus</v>
      </c>
      <c r="D4375" t="str">
        <f>IFERROR(__xludf.DUMMYFUNCTION("""COMPUTED_VALUE"""),"furiosus")</f>
        <v>furiosus</v>
      </c>
      <c r="E4375" t="str">
        <f>IFERROR(__xludf.DUMMYFUNCTION("""COMPUTED_VALUE"""),"COM1")</f>
        <v>COM1</v>
      </c>
    </row>
    <row r="4376" ht="15.75" customHeight="1">
      <c r="A4376" t="str">
        <f t="shared" si="1"/>
        <v>P.furiosus</v>
      </c>
      <c r="B4376" s="5" t="s">
        <v>27119</v>
      </c>
      <c r="C4376" s="6" t="str">
        <f>IFERROR(__xludf.DUMMYFUNCTION("SPLIT('2. c'!B4376, "" "", True, True)"),"Pyrococcus")</f>
        <v>Pyrococcus</v>
      </c>
      <c r="D4376" t="str">
        <f>IFERROR(__xludf.DUMMYFUNCTION("""COMPUTED_VALUE"""),"furiosus")</f>
        <v>furiosus</v>
      </c>
      <c r="E4376" t="str">
        <f>IFERROR(__xludf.DUMMYFUNCTION("""COMPUTED_VALUE"""),"DSM")</f>
        <v>DSM</v>
      </c>
      <c r="F4376">
        <f>IFERROR(__xludf.DUMMYFUNCTION("""COMPUTED_VALUE"""),3638.0)</f>
        <v>3638</v>
      </c>
    </row>
    <row r="4377" ht="15.75" customHeight="1">
      <c r="A4377" t="str">
        <f t="shared" si="1"/>
        <v>P.horikoshii</v>
      </c>
      <c r="B4377" s="5" t="s">
        <v>27125</v>
      </c>
      <c r="C4377" s="6" t="str">
        <f>IFERROR(__xludf.DUMMYFUNCTION("SPLIT('2. c'!B4377, "" "", True, True)"),"Pyrococcus")</f>
        <v>Pyrococcus</v>
      </c>
      <c r="D4377" t="str">
        <f>IFERROR(__xludf.DUMMYFUNCTION("""COMPUTED_VALUE"""),"horikoshii")</f>
        <v>horikoshii</v>
      </c>
      <c r="E4377" t="str">
        <f>IFERROR(__xludf.DUMMYFUNCTION("""COMPUTED_VALUE"""),"OT3")</f>
        <v>OT3</v>
      </c>
    </row>
    <row r="4378" ht="15.75" customHeight="1">
      <c r="A4378" t="str">
        <f t="shared" si="1"/>
        <v>P.sp.</v>
      </c>
      <c r="B4378" s="5" t="s">
        <v>27129</v>
      </c>
      <c r="C4378" s="6" t="str">
        <f>IFERROR(__xludf.DUMMYFUNCTION("SPLIT('2. c'!B4378, "" "", True, True)"),"Pyrococcus")</f>
        <v>Pyrococcus</v>
      </c>
      <c r="D4378" t="str">
        <f>IFERROR(__xludf.DUMMYFUNCTION("""COMPUTED_VALUE"""),"sp.")</f>
        <v>sp.</v>
      </c>
      <c r="E4378" t="str">
        <f>IFERROR(__xludf.DUMMYFUNCTION("""COMPUTED_VALUE"""),"NA2")</f>
        <v>NA2</v>
      </c>
    </row>
    <row r="4379" ht="15.75" customHeight="1">
      <c r="A4379" t="str">
        <f t="shared" si="1"/>
        <v>P.sp.</v>
      </c>
      <c r="B4379" s="5" t="s">
        <v>27134</v>
      </c>
      <c r="C4379" s="6" t="str">
        <f>IFERROR(__xludf.DUMMYFUNCTION("SPLIT('2. c'!B4379, "" "", True, True)"),"Pyrococcus")</f>
        <v>Pyrococcus</v>
      </c>
      <c r="D4379" t="str">
        <f>IFERROR(__xludf.DUMMYFUNCTION("""COMPUTED_VALUE"""),"sp.")</f>
        <v>sp.</v>
      </c>
      <c r="E4379" t="str">
        <f>IFERROR(__xludf.DUMMYFUNCTION("""COMPUTED_VALUE"""),"NCB100")</f>
        <v>NCB100</v>
      </c>
    </row>
    <row r="4380" ht="15.75" customHeight="1">
      <c r="A4380" t="str">
        <f t="shared" si="1"/>
        <v>P.sp.</v>
      </c>
      <c r="B4380" s="5" t="s">
        <v>27141</v>
      </c>
      <c r="C4380" s="6" t="str">
        <f>IFERROR(__xludf.DUMMYFUNCTION("SPLIT('2. c'!B4380, "" "", True, True)"),"Pyrococcus")</f>
        <v>Pyrococcus</v>
      </c>
      <c r="D4380" t="str">
        <f>IFERROR(__xludf.DUMMYFUNCTION("""COMPUTED_VALUE"""),"sp.")</f>
        <v>sp.</v>
      </c>
      <c r="E4380" t="str">
        <f>IFERROR(__xludf.DUMMYFUNCTION("""COMPUTED_VALUE"""),"ST04")</f>
        <v>ST04</v>
      </c>
    </row>
    <row r="4381" ht="15.75" customHeight="1">
      <c r="A4381" t="str">
        <f t="shared" si="1"/>
        <v>P.yayanosii</v>
      </c>
      <c r="B4381" s="5" t="s">
        <v>27147</v>
      </c>
      <c r="C4381" s="6" t="str">
        <f>IFERROR(__xludf.DUMMYFUNCTION("SPLIT('2. c'!B4381, "" "", True, True)"),"Pyrococcus")</f>
        <v>Pyrococcus</v>
      </c>
      <c r="D4381" t="str">
        <f>IFERROR(__xludf.DUMMYFUNCTION("""COMPUTED_VALUE"""),"yayanosii")</f>
        <v>yayanosii</v>
      </c>
      <c r="E4381" t="str">
        <f>IFERROR(__xludf.DUMMYFUNCTION("""COMPUTED_VALUE"""),"CH1")</f>
        <v>CH1</v>
      </c>
    </row>
    <row r="4382" ht="15.75" customHeight="1">
      <c r="A4382" t="str">
        <f t="shared" si="1"/>
        <v>P.delaneyi</v>
      </c>
      <c r="B4382" s="5" t="s">
        <v>27151</v>
      </c>
      <c r="C4382" s="6" t="str">
        <f>IFERROR(__xludf.DUMMYFUNCTION("SPLIT('2. c'!B4382, "" "", True, True)"),"Pyrodictium")</f>
        <v>Pyrodictium</v>
      </c>
      <c r="D4382" t="str">
        <f>IFERROR(__xludf.DUMMYFUNCTION("""COMPUTED_VALUE"""),"delaneyi")</f>
        <v>delaneyi</v>
      </c>
      <c r="E4382" t="str">
        <f>IFERROR(__xludf.DUMMYFUNCTION("""COMPUTED_VALUE"""),"strain")</f>
        <v>strain</v>
      </c>
      <c r="F4382" t="str">
        <f>IFERROR(__xludf.DUMMYFUNCTION("""COMPUTED_VALUE"""),"Su06")</f>
        <v>Su06</v>
      </c>
    </row>
    <row r="4383" ht="15.75" customHeight="1">
      <c r="A4383" t="str">
        <f t="shared" si="1"/>
        <v>P.fumarii</v>
      </c>
      <c r="B4383" s="5" t="s">
        <v>27157</v>
      </c>
      <c r="C4383" s="6" t="str">
        <f>IFERROR(__xludf.DUMMYFUNCTION("SPLIT('2. c'!B4383, "" "", True, True)"),"Pyrolobus")</f>
        <v>Pyrolobus</v>
      </c>
      <c r="D4383" t="str">
        <f>IFERROR(__xludf.DUMMYFUNCTION("""COMPUTED_VALUE"""),"fumarii")</f>
        <v>fumarii</v>
      </c>
      <c r="E4383" t="str">
        <f>IFERROR(__xludf.DUMMYFUNCTION("""COMPUTED_VALUE"""),"1A")</f>
        <v>1A</v>
      </c>
    </row>
    <row r="4384" ht="15.75" customHeight="1">
      <c r="A4384" t="str">
        <f t="shared" si="1"/>
        <v>R.aquatilis</v>
      </c>
      <c r="B4384" s="5" t="s">
        <v>27164</v>
      </c>
      <c r="C4384" s="6" t="str">
        <f>IFERROR(__xludf.DUMMYFUNCTION("SPLIT('2. c'!B4384, "" "", True, True)"),"Rahnella")</f>
        <v>Rahnella</v>
      </c>
      <c r="D4384" t="str">
        <f>IFERROR(__xludf.DUMMYFUNCTION("""COMPUTED_VALUE"""),"aquatilis")</f>
        <v>aquatilis</v>
      </c>
      <c r="E4384" t="str">
        <f>IFERROR(__xludf.DUMMYFUNCTION("""COMPUTED_VALUE"""),"CIP")</f>
        <v>CIP</v>
      </c>
      <c r="F4384" t="str">
        <f>IFERROR(__xludf.DUMMYFUNCTION("""COMPUTED_VALUE"""),"78.65")</f>
        <v>78.65</v>
      </c>
      <c r="G4384" t="str">
        <f>IFERROR(__xludf.DUMMYFUNCTION("""COMPUTED_VALUE"""),"=")</f>
        <v>=</v>
      </c>
      <c r="H4384" t="str">
        <f>IFERROR(__xludf.DUMMYFUNCTION("""COMPUTED_VALUE"""),"ATCC")</f>
        <v>ATCC</v>
      </c>
      <c r="I4384">
        <f>IFERROR(__xludf.DUMMYFUNCTION("""COMPUTED_VALUE"""),33071.0)</f>
        <v>33071</v>
      </c>
    </row>
    <row r="4385" ht="15.75" customHeight="1">
      <c r="A4385" t="str">
        <f t="shared" si="1"/>
        <v>R.aquatilis</v>
      </c>
      <c r="B4385" s="5" t="s">
        <v>27177</v>
      </c>
      <c r="C4385" s="6" t="str">
        <f>IFERROR(__xludf.DUMMYFUNCTION("SPLIT('2. c'!B4385, "" "", True, True)"),"Rahnella")</f>
        <v>Rahnella</v>
      </c>
      <c r="D4385" t="str">
        <f>IFERROR(__xludf.DUMMYFUNCTION("""COMPUTED_VALUE"""),"aquatilis")</f>
        <v>aquatilis</v>
      </c>
      <c r="E4385" t="str">
        <f>IFERROR(__xludf.DUMMYFUNCTION("""COMPUTED_VALUE"""),"HX2")</f>
        <v>HX2</v>
      </c>
    </row>
    <row r="4386" ht="15.75" customHeight="1">
      <c r="A4386" t="str">
        <f t="shared" si="1"/>
        <v>R.sp.</v>
      </c>
      <c r="B4386" s="5" t="s">
        <v>27182</v>
      </c>
      <c r="C4386" s="6" t="str">
        <f>IFERROR(__xludf.DUMMYFUNCTION("SPLIT('2. c'!B4386, "" "", True, True)"),"Rahnella")</f>
        <v>Rahnella</v>
      </c>
      <c r="D4386" t="str">
        <f>IFERROR(__xludf.DUMMYFUNCTION("""COMPUTED_VALUE"""),"sp.")</f>
        <v>sp.</v>
      </c>
      <c r="E4386" t="str">
        <f>IFERROR(__xludf.DUMMYFUNCTION("""COMPUTED_VALUE"""),"Y9602")</f>
        <v>Y9602</v>
      </c>
    </row>
    <row r="4387" ht="15.75" customHeight="1">
      <c r="A4387" t="str">
        <f t="shared" si="1"/>
        <v>R.eutropha</v>
      </c>
      <c r="B4387" s="5" t="s">
        <v>27186</v>
      </c>
      <c r="C4387" s="6" t="str">
        <f>IFERROR(__xludf.DUMMYFUNCTION("SPLIT('2. c'!B4387, "" "", True, True)"),"Ralstonia")</f>
        <v>Ralstonia</v>
      </c>
      <c r="D4387" t="str">
        <f>IFERROR(__xludf.DUMMYFUNCTION("""COMPUTED_VALUE"""),"eutropha")</f>
        <v>eutropha</v>
      </c>
      <c r="E4387" t="str">
        <f>IFERROR(__xludf.DUMMYFUNCTION("""COMPUTED_VALUE"""),"H16")</f>
        <v>H16</v>
      </c>
    </row>
    <row r="4388" ht="15.75" customHeight="1">
      <c r="A4388" t="str">
        <f t="shared" si="1"/>
        <v>R.eutropha</v>
      </c>
      <c r="B4388" s="5" t="s">
        <v>27191</v>
      </c>
      <c r="C4388" s="6" t="str">
        <f>IFERROR(__xludf.DUMMYFUNCTION("SPLIT('2. c'!B4388, "" "", True, True)"),"Ralstonia")</f>
        <v>Ralstonia</v>
      </c>
      <c r="D4388" t="str">
        <f>IFERROR(__xludf.DUMMYFUNCTION("""COMPUTED_VALUE"""),"eutropha")</f>
        <v>eutropha</v>
      </c>
      <c r="E4388" t="str">
        <f>IFERROR(__xludf.DUMMYFUNCTION("""COMPUTED_VALUE"""),"JMP134")</f>
        <v>JMP134</v>
      </c>
    </row>
    <row r="4389" ht="15.75" customHeight="1">
      <c r="A4389" t="str">
        <f t="shared" si="1"/>
        <v>R.insidiosa</v>
      </c>
      <c r="B4389" s="5" t="s">
        <v>27196</v>
      </c>
      <c r="C4389" s="6" t="str">
        <f>IFERROR(__xludf.DUMMYFUNCTION("SPLIT('2. c'!B4389, "" "", True, True)"),"Ralstonia")</f>
        <v>Ralstonia</v>
      </c>
      <c r="D4389" t="str">
        <f>IFERROR(__xludf.DUMMYFUNCTION("""COMPUTED_VALUE"""),"insidiosa")</f>
        <v>insidiosa</v>
      </c>
      <c r="E4389" t="str">
        <f>IFERROR(__xludf.DUMMYFUNCTION("""COMPUTED_VALUE"""),"strain")</f>
        <v>strain</v>
      </c>
      <c r="F4389" t="str">
        <f>IFERROR(__xludf.DUMMYFUNCTION("""COMPUTED_VALUE"""),"ATCC")</f>
        <v>ATCC</v>
      </c>
      <c r="G4389">
        <f>IFERROR(__xludf.DUMMYFUNCTION("""COMPUTED_VALUE"""),49129.0)</f>
        <v>49129</v>
      </c>
    </row>
    <row r="4390" ht="15.75" customHeight="1">
      <c r="A4390" t="str">
        <f t="shared" si="1"/>
        <v>R.insidiosa</v>
      </c>
      <c r="B4390" s="5" t="s">
        <v>27201</v>
      </c>
      <c r="C4390" s="6" t="str">
        <f>IFERROR(__xludf.DUMMYFUNCTION("SPLIT('2. c'!B4390, "" "", True, True)"),"Ralstonia")</f>
        <v>Ralstonia</v>
      </c>
      <c r="D4390" t="str">
        <f>IFERROR(__xludf.DUMMYFUNCTION("""COMPUTED_VALUE"""),"insidiosa")</f>
        <v>insidiosa</v>
      </c>
      <c r="E4390" t="str">
        <f>IFERROR(__xludf.DUMMYFUNCTION("""COMPUTED_VALUE"""),"strain")</f>
        <v>strain</v>
      </c>
      <c r="F4390" t="str">
        <f>IFERROR(__xludf.DUMMYFUNCTION("""COMPUTED_VALUE"""),"FC1138")</f>
        <v>FC1138</v>
      </c>
    </row>
    <row r="4391" ht="15.75" customHeight="1">
      <c r="A4391" t="str">
        <f t="shared" si="1"/>
        <v>R.mannitolilytica</v>
      </c>
      <c r="B4391" s="5" t="s">
        <v>27209</v>
      </c>
      <c r="C4391" s="6" t="str">
        <f>IFERROR(__xludf.DUMMYFUNCTION("SPLIT('2. c'!B4391, "" "", True, True)"),"Ralstonia")</f>
        <v>Ralstonia</v>
      </c>
      <c r="D4391" t="str">
        <f>IFERROR(__xludf.DUMMYFUNCTION("""COMPUTED_VALUE"""),"mannitolilytica")</f>
        <v>mannitolilytica</v>
      </c>
      <c r="E4391" t="str">
        <f>IFERROR(__xludf.DUMMYFUNCTION("""COMPUTED_VALUE"""),"strain")</f>
        <v>strain</v>
      </c>
      <c r="F4391" t="str">
        <f>IFERROR(__xludf.DUMMYFUNCTION("""COMPUTED_VALUE"""),"SN82F48")</f>
        <v>SN82F48</v>
      </c>
    </row>
    <row r="4392" ht="15.75" customHeight="1">
      <c r="A4392" t="str">
        <f t="shared" si="1"/>
        <v>R.mannitolilytica</v>
      </c>
      <c r="B4392" s="5" t="s">
        <v>27213</v>
      </c>
      <c r="C4392" s="6" t="str">
        <f>IFERROR(__xludf.DUMMYFUNCTION("SPLIT('2. c'!B4392, "" "", True, True)"),"Ralstonia")</f>
        <v>Ralstonia</v>
      </c>
      <c r="D4392" t="str">
        <f>IFERROR(__xludf.DUMMYFUNCTION("""COMPUTED_VALUE"""),"mannitolilytica")</f>
        <v>mannitolilytica</v>
      </c>
      <c r="E4392" t="str">
        <f>IFERROR(__xludf.DUMMYFUNCTION("""COMPUTED_VALUE"""),"strain")</f>
        <v>strain</v>
      </c>
      <c r="F4392" t="str">
        <f>IFERROR(__xludf.DUMMYFUNCTION("""COMPUTED_VALUE"""),"SN83A39")</f>
        <v>SN83A39</v>
      </c>
    </row>
    <row r="4393" ht="15.75" customHeight="1">
      <c r="A4393" t="str">
        <f t="shared" si="1"/>
        <v>R.pickettii</v>
      </c>
      <c r="B4393" s="5" t="s">
        <v>27220</v>
      </c>
      <c r="C4393" s="6" t="str">
        <f>IFERROR(__xludf.DUMMYFUNCTION("SPLIT('2. c'!B4393, "" "", True, True)"),"Ralstonia")</f>
        <v>Ralstonia</v>
      </c>
      <c r="D4393" t="str">
        <f>IFERROR(__xludf.DUMMYFUNCTION("""COMPUTED_VALUE"""),"pickettii")</f>
        <v>pickettii</v>
      </c>
      <c r="E4393" t="str">
        <f>IFERROR(__xludf.DUMMYFUNCTION("""COMPUTED_VALUE"""),"12D")</f>
        <v>12D</v>
      </c>
    </row>
    <row r="4394" ht="15.75" customHeight="1">
      <c r="A4394" t="str">
        <f t="shared" si="1"/>
        <v>R.pickettii</v>
      </c>
      <c r="B4394" s="5" t="s">
        <v>27225</v>
      </c>
      <c r="C4394" s="6" t="str">
        <f>IFERROR(__xludf.DUMMYFUNCTION("SPLIT('2. c'!B4394, "" "", True, True)"),"Ralstonia")</f>
        <v>Ralstonia</v>
      </c>
      <c r="D4394" t="str">
        <f>IFERROR(__xludf.DUMMYFUNCTION("""COMPUTED_VALUE"""),"pickettii")</f>
        <v>pickettii</v>
      </c>
      <c r="E4394" t="str">
        <f>IFERROR(__xludf.DUMMYFUNCTION("""COMPUTED_VALUE"""),"12J")</f>
        <v>12J</v>
      </c>
    </row>
    <row r="4395" ht="15.75" customHeight="1">
      <c r="A4395" t="str">
        <f t="shared" si="1"/>
        <v>R.pickettii</v>
      </c>
      <c r="B4395" s="5" t="s">
        <v>27229</v>
      </c>
      <c r="C4395" s="6" t="str">
        <f>IFERROR(__xludf.DUMMYFUNCTION("SPLIT('2. c'!B4395, "" "", True, True)"),"Ralstonia")</f>
        <v>Ralstonia</v>
      </c>
      <c r="D4395" t="str">
        <f>IFERROR(__xludf.DUMMYFUNCTION("""COMPUTED_VALUE"""),"pickettii")</f>
        <v>pickettii</v>
      </c>
      <c r="E4395" t="str">
        <f>IFERROR(__xludf.DUMMYFUNCTION("""COMPUTED_VALUE"""),"DTP0602")</f>
        <v>DTP0602</v>
      </c>
    </row>
    <row r="4396" ht="15.75" customHeight="1">
      <c r="A4396" t="str">
        <f t="shared" si="1"/>
        <v>R.pickettii</v>
      </c>
      <c r="B4396" s="5" t="s">
        <v>27233</v>
      </c>
      <c r="C4396" s="6" t="str">
        <f>IFERROR(__xludf.DUMMYFUNCTION("SPLIT('2. c'!B4396, "" "", True, True)"),"Ralstonia")</f>
        <v>Ralstonia</v>
      </c>
      <c r="D4396" t="str">
        <f>IFERROR(__xludf.DUMMYFUNCTION("""COMPUTED_VALUE"""),"pickettii")</f>
        <v>pickettii</v>
      </c>
      <c r="E4396" t="str">
        <f>IFERROR(__xludf.DUMMYFUNCTION("""COMPUTED_VALUE"""),"strain")</f>
        <v>strain</v>
      </c>
      <c r="F4396" t="str">
        <f>IFERROR(__xludf.DUMMYFUNCTION("""COMPUTED_VALUE"""),"ATCC")</f>
        <v>ATCC</v>
      </c>
      <c r="G4396">
        <f>IFERROR(__xludf.DUMMYFUNCTION("""COMPUTED_VALUE"""),27511.0)</f>
        <v>27511</v>
      </c>
    </row>
    <row r="4397" ht="15.75" customHeight="1">
      <c r="A4397" t="str">
        <f t="shared" si="1"/>
        <v>R.solanacearum</v>
      </c>
      <c r="B4397" s="5" t="s">
        <v>27238</v>
      </c>
      <c r="C4397" s="6" t="str">
        <f>IFERROR(__xludf.DUMMYFUNCTION("SPLIT('2. c'!B4397, "" "", True, True)"),"Ralstonia")</f>
        <v>Ralstonia</v>
      </c>
      <c r="D4397" t="str">
        <f>IFERROR(__xludf.DUMMYFUNCTION("""COMPUTED_VALUE"""),"solanacearum")</f>
        <v>solanacearum</v>
      </c>
    </row>
    <row r="4398" ht="15.75" customHeight="1">
      <c r="A4398" t="str">
        <f t="shared" si="1"/>
        <v>R.solanacearum</v>
      </c>
      <c r="B4398" s="5" t="s">
        <v>27238</v>
      </c>
      <c r="C4398" s="6" t="str">
        <f>IFERROR(__xludf.DUMMYFUNCTION("SPLIT('2. c'!B4398, "" "", True, True)"),"Ralstonia")</f>
        <v>Ralstonia</v>
      </c>
      <c r="D4398" t="str">
        <f>IFERROR(__xludf.DUMMYFUNCTION("""COMPUTED_VALUE"""),"solanacearum")</f>
        <v>solanacearum</v>
      </c>
    </row>
    <row r="4399" ht="15.75" customHeight="1">
      <c r="A4399" t="str">
        <f t="shared" si="1"/>
        <v>R.solanacearum</v>
      </c>
      <c r="B4399" s="5" t="s">
        <v>27238</v>
      </c>
      <c r="C4399" s="6" t="str">
        <f>IFERROR(__xludf.DUMMYFUNCTION("SPLIT('2. c'!B4399, "" "", True, True)"),"Ralstonia")</f>
        <v>Ralstonia</v>
      </c>
      <c r="D4399" t="str">
        <f>IFERROR(__xludf.DUMMYFUNCTION("""COMPUTED_VALUE"""),"solanacearum")</f>
        <v>solanacearum</v>
      </c>
    </row>
    <row r="4400" ht="15.75" customHeight="1">
      <c r="A4400" t="str">
        <f t="shared" si="1"/>
        <v>R.solanacearum</v>
      </c>
      <c r="B4400" s="5" t="s">
        <v>27238</v>
      </c>
      <c r="C4400" s="6" t="str">
        <f>IFERROR(__xludf.DUMMYFUNCTION("SPLIT('2. c'!B4400, "" "", True, True)"),"Ralstonia")</f>
        <v>Ralstonia</v>
      </c>
      <c r="D4400" t="str">
        <f>IFERROR(__xludf.DUMMYFUNCTION("""COMPUTED_VALUE"""),"solanacearum")</f>
        <v>solanacearum</v>
      </c>
    </row>
    <row r="4401" ht="15.75" customHeight="1">
      <c r="A4401" t="str">
        <f t="shared" si="1"/>
        <v>R.solanacearum</v>
      </c>
      <c r="B4401" s="5" t="s">
        <v>27238</v>
      </c>
      <c r="C4401" s="6" t="str">
        <f>IFERROR(__xludf.DUMMYFUNCTION("SPLIT('2. c'!B4401, "" "", True, True)"),"Ralstonia")</f>
        <v>Ralstonia</v>
      </c>
      <c r="D4401" t="str">
        <f>IFERROR(__xludf.DUMMYFUNCTION("""COMPUTED_VALUE"""),"solanacearum")</f>
        <v>solanacearum</v>
      </c>
    </row>
    <row r="4402" ht="15.75" customHeight="1">
      <c r="A4402" t="str">
        <f t="shared" si="1"/>
        <v>R.solanacearum</v>
      </c>
      <c r="B4402" s="5" t="s">
        <v>27257</v>
      </c>
      <c r="C4402" s="6" t="str">
        <f>IFERROR(__xludf.DUMMYFUNCTION("SPLIT('2. c'!B4402, "" "", True, True)"),"Ralstonia")</f>
        <v>Ralstonia</v>
      </c>
      <c r="D4402" t="str">
        <f>IFERROR(__xludf.DUMMYFUNCTION("""COMPUTED_VALUE"""),"solanacearum")</f>
        <v>solanacearum</v>
      </c>
      <c r="E4402" t="str">
        <f>IFERROR(__xludf.DUMMYFUNCTION("""COMPUTED_VALUE"""),"CFBP2957")</f>
        <v>CFBP2957</v>
      </c>
    </row>
    <row r="4403" ht="15.75" customHeight="1">
      <c r="A4403" t="str">
        <f t="shared" si="1"/>
        <v>R.solanacearum</v>
      </c>
      <c r="B4403" s="5" t="s">
        <v>27263</v>
      </c>
      <c r="C4403" s="6" t="str">
        <f>IFERROR(__xludf.DUMMYFUNCTION("SPLIT('2. c'!B4403, "" "", True, True)"),"Ralstonia")</f>
        <v>Ralstonia</v>
      </c>
      <c r="D4403" t="str">
        <f>IFERROR(__xludf.DUMMYFUNCTION("""COMPUTED_VALUE"""),"solanacearum")</f>
        <v>solanacearum</v>
      </c>
      <c r="E4403" t="str">
        <f>IFERROR(__xludf.DUMMYFUNCTION("""COMPUTED_VALUE"""),"CMR15")</f>
        <v>CMR15</v>
      </c>
    </row>
    <row r="4404" ht="15.75" customHeight="1">
      <c r="A4404" t="str">
        <f t="shared" si="1"/>
        <v>R.solanacearum</v>
      </c>
      <c r="B4404" s="5" t="s">
        <v>27268</v>
      </c>
      <c r="C4404" s="6" t="str">
        <f>IFERROR(__xludf.DUMMYFUNCTION("SPLIT('2. c'!B4404, "" "", True, True)"),"Ralstonia")</f>
        <v>Ralstonia</v>
      </c>
      <c r="D4404" t="str">
        <f>IFERROR(__xludf.DUMMYFUNCTION("""COMPUTED_VALUE"""),"solanacearum")</f>
        <v>solanacearum</v>
      </c>
      <c r="E4404" t="str">
        <f>IFERROR(__xludf.DUMMYFUNCTION("""COMPUTED_VALUE"""),"FQY_4")</f>
        <v>FQY_4</v>
      </c>
    </row>
    <row r="4405" ht="15.75" customHeight="1">
      <c r="A4405" t="str">
        <f t="shared" si="1"/>
        <v>R.solanacearum</v>
      </c>
      <c r="B4405" s="5" t="s">
        <v>27273</v>
      </c>
      <c r="C4405" s="6" t="str">
        <f>IFERROR(__xludf.DUMMYFUNCTION("SPLIT('2. c'!B4405, "" "", True, True)"),"Ralstonia")</f>
        <v>Ralstonia</v>
      </c>
      <c r="D4405" t="str">
        <f>IFERROR(__xludf.DUMMYFUNCTION("""COMPUTED_VALUE"""),"solanacearum")</f>
        <v>solanacearum</v>
      </c>
      <c r="E4405" t="str">
        <f>IFERROR(__xludf.DUMMYFUNCTION("""COMPUTED_VALUE"""),"GMI1000")</f>
        <v>GMI1000</v>
      </c>
    </row>
    <row r="4406" ht="15.75" customHeight="1">
      <c r="A4406" t="str">
        <f t="shared" si="1"/>
        <v>R.solanacearum</v>
      </c>
      <c r="B4406" s="5" t="s">
        <v>27278</v>
      </c>
      <c r="C4406" s="6" t="str">
        <f>IFERROR(__xludf.DUMMYFUNCTION("SPLIT('2. c'!B4406, "" "", True, True)"),"Ralstonia")</f>
        <v>Ralstonia</v>
      </c>
      <c r="D4406" t="str">
        <f>IFERROR(__xludf.DUMMYFUNCTION("""COMPUTED_VALUE"""),"solanacearum")</f>
        <v>solanacearum</v>
      </c>
      <c r="E4406" t="str">
        <f>IFERROR(__xludf.DUMMYFUNCTION("""COMPUTED_VALUE"""),"MolK2")</f>
        <v>MolK2</v>
      </c>
    </row>
    <row r="4407" ht="15.75" customHeight="1">
      <c r="A4407" t="str">
        <f t="shared" si="1"/>
        <v>R.solanacearum</v>
      </c>
      <c r="B4407" s="5" t="s">
        <v>27283</v>
      </c>
      <c r="C4407" s="6" t="str">
        <f>IFERROR(__xludf.DUMMYFUNCTION("SPLIT('2. c'!B4407, "" "", True, True)"),"Ralstonia")</f>
        <v>Ralstonia</v>
      </c>
      <c r="D4407" t="str">
        <f>IFERROR(__xludf.DUMMYFUNCTION("""COMPUTED_VALUE"""),"solanacearum")</f>
        <v>solanacearum</v>
      </c>
      <c r="E4407" t="str">
        <f>IFERROR(__xludf.DUMMYFUNCTION("""COMPUTED_VALUE"""),"Po82")</f>
        <v>Po82</v>
      </c>
    </row>
    <row r="4408" ht="15.75" customHeight="1">
      <c r="A4408" t="str">
        <f t="shared" si="1"/>
        <v>R.solanacearum</v>
      </c>
      <c r="B4408" s="5" t="s">
        <v>27288</v>
      </c>
      <c r="C4408" s="6" t="str">
        <f>IFERROR(__xludf.DUMMYFUNCTION("SPLIT('2. c'!B4408, "" "", True, True)"),"Ralstonia")</f>
        <v>Ralstonia</v>
      </c>
      <c r="D4408" t="str">
        <f>IFERROR(__xludf.DUMMYFUNCTION("""COMPUTED_VALUE"""),"solanacearum")</f>
        <v>solanacearum</v>
      </c>
      <c r="E4408" t="str">
        <f>IFERROR(__xludf.DUMMYFUNCTION("""COMPUTED_VALUE"""),"PSI07")</f>
        <v>PSI07</v>
      </c>
    </row>
    <row r="4409" ht="15.75" customHeight="1">
      <c r="A4409" t="str">
        <f t="shared" si="1"/>
        <v>R.solanacearum</v>
      </c>
      <c r="B4409" s="5" t="s">
        <v>27292</v>
      </c>
      <c r="C4409" s="6" t="str">
        <f>IFERROR(__xludf.DUMMYFUNCTION("SPLIT('2. c'!B4409, "" "", True, True)"),"Ralstonia")</f>
        <v>Ralstonia</v>
      </c>
      <c r="D4409" t="str">
        <f>IFERROR(__xludf.DUMMYFUNCTION("""COMPUTED_VALUE"""),"solanacearum")</f>
        <v>solanacearum</v>
      </c>
      <c r="E4409" t="str">
        <f>IFERROR(__xludf.DUMMYFUNCTION("""COMPUTED_VALUE"""),"strain")</f>
        <v>strain</v>
      </c>
      <c r="F4409" t="str">
        <f>IFERROR(__xludf.DUMMYFUNCTION("""COMPUTED_VALUE"""),"IBSBF1503")</f>
        <v>IBSBF1503</v>
      </c>
    </row>
    <row r="4410" ht="15.75" customHeight="1">
      <c r="A4410" t="str">
        <f t="shared" si="1"/>
        <v>R.solanacearum</v>
      </c>
      <c r="B4410" s="5" t="s">
        <v>27296</v>
      </c>
      <c r="C4410" s="6" t="str">
        <f>IFERROR(__xludf.DUMMYFUNCTION("SPLIT('2. c'!B4410, "" "", True, True)"),"Ralstonia")</f>
        <v>Ralstonia</v>
      </c>
      <c r="D4410" t="str">
        <f>IFERROR(__xludf.DUMMYFUNCTION("""COMPUTED_VALUE"""),"solanacearum")</f>
        <v>solanacearum</v>
      </c>
      <c r="E4410" t="str">
        <f>IFERROR(__xludf.DUMMYFUNCTION("""COMPUTED_VALUE"""),"strain")</f>
        <v>strain</v>
      </c>
      <c r="F4410" t="str">
        <f>IFERROR(__xludf.DUMMYFUNCTION("""COMPUTED_VALUE"""),"KACC")</f>
        <v>KACC</v>
      </c>
      <c r="G4410">
        <f>IFERROR(__xludf.DUMMYFUNCTION("""COMPUTED_VALUE"""),10722.0)</f>
        <v>10722</v>
      </c>
    </row>
    <row r="4411" ht="15.75" customHeight="1">
      <c r="A4411" t="str">
        <f t="shared" si="1"/>
        <v>R.solanacearum</v>
      </c>
      <c r="B4411" s="5" t="s">
        <v>27302</v>
      </c>
      <c r="C4411" s="6" t="str">
        <f>IFERROR(__xludf.DUMMYFUNCTION("SPLIT('2. c'!B4411, "" "", True, True)"),"Ralstonia")</f>
        <v>Ralstonia</v>
      </c>
      <c r="D4411" t="str">
        <f>IFERROR(__xludf.DUMMYFUNCTION("""COMPUTED_VALUE"""),"solanacearum")</f>
        <v>solanacearum</v>
      </c>
      <c r="E4411" t="str">
        <f>IFERROR(__xludf.DUMMYFUNCTION("""COMPUTED_VALUE"""),"strain")</f>
        <v>strain</v>
      </c>
      <c r="F4411" t="str">
        <f>IFERROR(__xludf.DUMMYFUNCTION("""COMPUTED_VALUE"""),"UW163")</f>
        <v>UW163</v>
      </c>
    </row>
    <row r="4412" ht="15.75" customHeight="1">
      <c r="A4412" t="str">
        <f t="shared" si="1"/>
        <v>R.solanacearum</v>
      </c>
      <c r="B4412" s="5" t="s">
        <v>27307</v>
      </c>
      <c r="C4412" s="6" t="str">
        <f>IFERROR(__xludf.DUMMYFUNCTION("SPLIT('2. c'!B4412, "" "", True, True)"),"Ralstonia")</f>
        <v>Ralstonia</v>
      </c>
      <c r="D4412" t="str">
        <f>IFERROR(__xludf.DUMMYFUNCTION("""COMPUTED_VALUE"""),"solanacearum")</f>
        <v>solanacearum</v>
      </c>
      <c r="E4412" t="str">
        <f>IFERROR(__xludf.DUMMYFUNCTION("""COMPUTED_VALUE"""),"strain")</f>
        <v>strain</v>
      </c>
      <c r="F4412" t="str">
        <f>IFERROR(__xludf.DUMMYFUNCTION("""COMPUTED_VALUE"""),"UY031")</f>
        <v>UY031</v>
      </c>
    </row>
    <row r="4413" ht="15.75" customHeight="1">
      <c r="A4413" t="str">
        <f t="shared" si="1"/>
        <v>R.solanacearum</v>
      </c>
      <c r="B4413" s="5" t="s">
        <v>27311</v>
      </c>
      <c r="C4413" s="6" t="str">
        <f>IFERROR(__xludf.DUMMYFUNCTION("SPLIT('2. c'!B4413, "" "", True, True)"),"Ralstonia")</f>
        <v>Ralstonia</v>
      </c>
      <c r="D4413" t="str">
        <f>IFERROR(__xludf.DUMMYFUNCTION("""COMPUTED_VALUE"""),"solanacearum")</f>
        <v>solanacearum</v>
      </c>
      <c r="E4413" t="str">
        <f>IFERROR(__xludf.DUMMYFUNCTION("""COMPUTED_VALUE"""),"strain")</f>
        <v>strain</v>
      </c>
      <c r="F4413" t="str">
        <f>IFERROR(__xludf.DUMMYFUNCTION("""COMPUTED_VALUE"""),"YC40-M")</f>
        <v>YC40-M</v>
      </c>
    </row>
    <row r="4414" ht="15.75" customHeight="1">
      <c r="A4414" t="str">
        <f t="shared" si="1"/>
        <v>R.solanacearum</v>
      </c>
      <c r="B4414" s="5" t="s">
        <v>27317</v>
      </c>
      <c r="C4414" s="6" t="str">
        <f>IFERROR(__xludf.DUMMYFUNCTION("SPLIT('2. c'!B4414, "" "", True, True)"),"Ralstonia")</f>
        <v>Ralstonia</v>
      </c>
      <c r="D4414" t="str">
        <f>IFERROR(__xludf.DUMMYFUNCTION("""COMPUTED_VALUE"""),"solanacearum")</f>
        <v>solanacearum</v>
      </c>
      <c r="E4414" t="str">
        <f>IFERROR(__xludf.DUMMYFUNCTION("""COMPUTED_VALUE"""),"strain")</f>
        <v>strain</v>
      </c>
      <c r="F4414" t="str">
        <f>IFERROR(__xludf.DUMMYFUNCTION("""COMPUTED_VALUE"""),"YC45")</f>
        <v>YC45</v>
      </c>
    </row>
    <row r="4415" ht="15.75" customHeight="1">
      <c r="A4415" t="str">
        <f t="shared" si="1"/>
        <v>R.tataouinensis</v>
      </c>
      <c r="B4415" s="5" t="s">
        <v>27325</v>
      </c>
      <c r="C4415" s="6" t="str">
        <f>IFERROR(__xludf.DUMMYFUNCTION("SPLIT('2. c'!B4415, "" "", True, True)"),"Ramlibacter")</f>
        <v>Ramlibacter</v>
      </c>
      <c r="D4415" t="str">
        <f>IFERROR(__xludf.DUMMYFUNCTION("""COMPUTED_VALUE"""),"tataouinensis")</f>
        <v>tataouinensis</v>
      </c>
      <c r="E4415" t="str">
        <f>IFERROR(__xludf.DUMMYFUNCTION("""COMPUTED_VALUE"""),"strain")</f>
        <v>strain</v>
      </c>
      <c r="F4415" s="25">
        <f>IFERROR(__xludf.DUMMYFUNCTION("""COMPUTED_VALUE"""),43378.0)</f>
        <v>43378</v>
      </c>
    </row>
    <row r="4416" ht="15.75" customHeight="1">
      <c r="A4416" t="str">
        <f t="shared" si="1"/>
        <v>R.tataouinensis</v>
      </c>
      <c r="B4416" s="5" t="s">
        <v>27332</v>
      </c>
      <c r="C4416" s="6" t="str">
        <f>IFERROR(__xludf.DUMMYFUNCTION("SPLIT('2. c'!B4416, "" "", True, True)"),"Ramlibacter")</f>
        <v>Ramlibacter</v>
      </c>
      <c r="D4416" t="str">
        <f>IFERROR(__xludf.DUMMYFUNCTION("""COMPUTED_VALUE"""),"tataouinensis")</f>
        <v>tataouinensis</v>
      </c>
      <c r="E4416" t="str">
        <f>IFERROR(__xludf.DUMMYFUNCTION("""COMPUTED_VALUE"""),"TTB310")</f>
        <v>TTB310</v>
      </c>
    </row>
    <row r="4417" ht="15.75" customHeight="1">
      <c r="A4417" t="str">
        <f t="shared" si="1"/>
        <v>R.ornithinolytica</v>
      </c>
      <c r="B4417" s="5" t="s">
        <v>27338</v>
      </c>
      <c r="C4417" s="6" t="str">
        <f>IFERROR(__xludf.DUMMYFUNCTION("SPLIT('2. c'!B4417, "" "", True, True)"),"Raoultella")</f>
        <v>Raoultella</v>
      </c>
      <c r="D4417" t="str">
        <f>IFERROR(__xludf.DUMMYFUNCTION("""COMPUTED_VALUE"""),"ornithinolytica")</f>
        <v>ornithinolytica</v>
      </c>
      <c r="E4417" t="str">
        <f>IFERROR(__xludf.DUMMYFUNCTION("""COMPUTED_VALUE"""),"B6")</f>
        <v>B6</v>
      </c>
    </row>
    <row r="4418" ht="15.75" customHeight="1">
      <c r="A4418" t="str">
        <f t="shared" si="1"/>
        <v>R.ornithinolytica</v>
      </c>
      <c r="B4418" s="5" t="s">
        <v>27342</v>
      </c>
      <c r="C4418" s="6" t="str">
        <f>IFERROR(__xludf.DUMMYFUNCTION("SPLIT('2. c'!B4418, "" "", True, True)"),"Raoultella")</f>
        <v>Raoultella</v>
      </c>
      <c r="D4418" t="str">
        <f>IFERROR(__xludf.DUMMYFUNCTION("""COMPUTED_VALUE"""),"ornithinolytica")</f>
        <v>ornithinolytica</v>
      </c>
      <c r="E4418" t="str">
        <f>IFERROR(__xludf.DUMMYFUNCTION("""COMPUTED_VALUE"""),"strain")</f>
        <v>strain</v>
      </c>
      <c r="F4418" t="str">
        <f>IFERROR(__xludf.DUMMYFUNCTION("""COMPUTED_VALUE"""),"S12")</f>
        <v>S12</v>
      </c>
    </row>
    <row r="4419" ht="15.75" customHeight="1">
      <c r="A4419" t="str">
        <f t="shared" si="1"/>
        <v>R.ornithinolytica</v>
      </c>
      <c r="B4419" s="5" t="s">
        <v>27347</v>
      </c>
      <c r="C4419" s="6" t="str">
        <f>IFERROR(__xludf.DUMMYFUNCTION("SPLIT('2. c'!B4419, "" "", True, True)"),"Raoultella")</f>
        <v>Raoultella</v>
      </c>
      <c r="D4419" t="str">
        <f>IFERROR(__xludf.DUMMYFUNCTION("""COMPUTED_VALUE"""),"ornithinolytica")</f>
        <v>ornithinolytica</v>
      </c>
      <c r="E4419" t="str">
        <f>IFERROR(__xludf.DUMMYFUNCTION("""COMPUTED_VALUE"""),"strain")</f>
        <v>strain</v>
      </c>
      <c r="F4419" t="str">
        <f>IFERROR(__xludf.DUMMYFUNCTION("""COMPUTED_VALUE"""),"Yangling")</f>
        <v>Yangling</v>
      </c>
      <c r="G4419" t="str">
        <f>IFERROR(__xludf.DUMMYFUNCTION("""COMPUTED_VALUE"""),"I2")</f>
        <v>I2</v>
      </c>
    </row>
    <row r="4420" ht="15.75" customHeight="1">
      <c r="A4420" t="str">
        <f t="shared" si="1"/>
        <v>R.toxicus</v>
      </c>
      <c r="B4420" s="5" t="s">
        <v>27353</v>
      </c>
      <c r="C4420" s="6" t="str">
        <f>IFERROR(__xludf.DUMMYFUNCTION("SPLIT('2. c'!B4420, "" "", True, True)"),"Rathayibacter")</f>
        <v>Rathayibacter</v>
      </c>
      <c r="D4420" t="str">
        <f>IFERROR(__xludf.DUMMYFUNCTION("""COMPUTED_VALUE"""),"toxicus")</f>
        <v>toxicus</v>
      </c>
      <c r="E4420" t="str">
        <f>IFERROR(__xludf.DUMMYFUNCTION("""COMPUTED_VALUE"""),"strain")</f>
        <v>strain</v>
      </c>
      <c r="F4420">
        <f>IFERROR(__xludf.DUMMYFUNCTION("""COMPUTED_VALUE"""),70137.0)</f>
        <v>70137</v>
      </c>
    </row>
    <row r="4421" ht="15.75" customHeight="1">
      <c r="A4421" t="str">
        <f t="shared" si="1"/>
        <v>R.toxicus</v>
      </c>
      <c r="B4421" s="5" t="s">
        <v>27361</v>
      </c>
      <c r="C4421" s="6" t="str">
        <f>IFERROR(__xludf.DUMMYFUNCTION("SPLIT('2. c'!B4421, "" "", True, True)"),"Rathayibacter")</f>
        <v>Rathayibacter</v>
      </c>
      <c r="D4421" t="str">
        <f>IFERROR(__xludf.DUMMYFUNCTION("""COMPUTED_VALUE"""),"toxicus")</f>
        <v>toxicus</v>
      </c>
      <c r="E4421" t="str">
        <f>IFERROR(__xludf.DUMMYFUNCTION("""COMPUTED_VALUE"""),"strain")</f>
        <v>strain</v>
      </c>
      <c r="F4421" t="str">
        <f>IFERROR(__xludf.DUMMYFUNCTION("""COMPUTED_VALUE"""),"WAC3373")</f>
        <v>WAC3373</v>
      </c>
    </row>
    <row r="4422" ht="15.75" customHeight="1">
      <c r="A4422" t="str">
        <f t="shared" si="1"/>
        <v>R.tritici</v>
      </c>
      <c r="B4422" s="5" t="s">
        <v>27368</v>
      </c>
      <c r="C4422" s="6" t="str">
        <f>IFERROR(__xludf.DUMMYFUNCTION("SPLIT('2. c'!B4422, "" "", True, True)"),"Rathayibacter")</f>
        <v>Rathayibacter</v>
      </c>
      <c r="D4422" t="str">
        <f>IFERROR(__xludf.DUMMYFUNCTION("""COMPUTED_VALUE"""),"tritici")</f>
        <v>tritici</v>
      </c>
      <c r="E4422" t="str">
        <f>IFERROR(__xludf.DUMMYFUNCTION("""COMPUTED_VALUE"""),"strain")</f>
        <v>strain</v>
      </c>
      <c r="F4422" t="str">
        <f>IFERROR(__xludf.DUMMYFUNCTION("""COMPUTED_VALUE"""),"NCPPB")</f>
        <v>NCPPB</v>
      </c>
      <c r="G4422">
        <f>IFERROR(__xludf.DUMMYFUNCTION("""COMPUTED_VALUE"""),1953.0)</f>
        <v>1953</v>
      </c>
    </row>
    <row r="4423" ht="15.75" customHeight="1">
      <c r="A4423" t="str">
        <f t="shared" si="1"/>
        <v>R.salmoninarum</v>
      </c>
      <c r="B4423" s="5" t="s">
        <v>27377</v>
      </c>
      <c r="C4423" s="6" t="str">
        <f>IFERROR(__xludf.DUMMYFUNCTION("SPLIT('2. c'!B4423, "" "", True, True)"),"Renibacterium")</f>
        <v>Renibacterium</v>
      </c>
      <c r="D4423" t="str">
        <f>IFERROR(__xludf.DUMMYFUNCTION("""COMPUTED_VALUE"""),"salmoninarum")</f>
        <v>salmoninarum</v>
      </c>
      <c r="E4423" t="str">
        <f>IFERROR(__xludf.DUMMYFUNCTION("""COMPUTED_VALUE"""),"ATCC")</f>
        <v>ATCC</v>
      </c>
      <c r="F4423">
        <f>IFERROR(__xludf.DUMMYFUNCTION("""COMPUTED_VALUE"""),33209.0)</f>
        <v>33209</v>
      </c>
    </row>
    <row r="4424" ht="15.75" customHeight="1">
      <c r="A4424" t="str">
        <f t="shared" si="1"/>
        <v>R.sp.</v>
      </c>
      <c r="B4424" s="5" t="s">
        <v>27386</v>
      </c>
      <c r="C4424" s="6" t="str">
        <f>IFERROR(__xludf.DUMMYFUNCTION("SPLIT('2. c'!B4424, "" "", True, True)"),"Rheinheimera")</f>
        <v>Rheinheimera</v>
      </c>
      <c r="D4424" t="str">
        <f>IFERROR(__xludf.DUMMYFUNCTION("""COMPUTED_VALUE"""),"sp.")</f>
        <v>sp.</v>
      </c>
      <c r="E4424" t="str">
        <f>IFERROR(__xludf.DUMMYFUNCTION("""COMPUTED_VALUE"""),"F8")</f>
        <v>F8</v>
      </c>
    </row>
    <row r="4425" ht="15.75" customHeight="1">
      <c r="A4425" t="str">
        <f t="shared" si="1"/>
        <v>R.etli</v>
      </c>
      <c r="B4425" s="5" t="s">
        <v>27394</v>
      </c>
      <c r="C4425" s="6" t="str">
        <f>IFERROR(__xludf.DUMMYFUNCTION("SPLIT('2. c'!B4425, "" "", True, True)"),"Rhizobium")</f>
        <v>Rhizobium</v>
      </c>
      <c r="D4425" t="str">
        <f>IFERROR(__xludf.DUMMYFUNCTION("""COMPUTED_VALUE"""),"etli")</f>
        <v>etli</v>
      </c>
      <c r="E4425" t="str">
        <f>IFERROR(__xludf.DUMMYFUNCTION("""COMPUTED_VALUE"""),"bv.")</f>
        <v>bv.</v>
      </c>
      <c r="F4425" t="str">
        <f>IFERROR(__xludf.DUMMYFUNCTION("""COMPUTED_VALUE"""),"mimosae")</f>
        <v>mimosae</v>
      </c>
      <c r="G4425" t="str">
        <f>IFERROR(__xludf.DUMMYFUNCTION("""COMPUTED_VALUE"""),"str.")</f>
        <v>str.</v>
      </c>
      <c r="H4425" t="str">
        <f>IFERROR(__xludf.DUMMYFUNCTION("""COMPUTED_VALUE"""),"IE4771")</f>
        <v>IE4771</v>
      </c>
    </row>
    <row r="4426" ht="15.75" customHeight="1">
      <c r="A4426" t="str">
        <f t="shared" si="1"/>
        <v>R.etli</v>
      </c>
      <c r="B4426" s="5" t="s">
        <v>27401</v>
      </c>
      <c r="C4426" s="6" t="str">
        <f>IFERROR(__xludf.DUMMYFUNCTION("SPLIT('2. c'!B4426, "" "", True, True)"),"Rhizobium")</f>
        <v>Rhizobium</v>
      </c>
      <c r="D4426" t="str">
        <f>IFERROR(__xludf.DUMMYFUNCTION("""COMPUTED_VALUE"""),"etli")</f>
        <v>etli</v>
      </c>
      <c r="E4426" t="str">
        <f>IFERROR(__xludf.DUMMYFUNCTION("""COMPUTED_VALUE"""),"bv.")</f>
        <v>bv.</v>
      </c>
      <c r="F4426" t="str">
        <f>IFERROR(__xludf.DUMMYFUNCTION("""COMPUTED_VALUE"""),"mimosae")</f>
        <v>mimosae</v>
      </c>
      <c r="G4426" t="str">
        <f>IFERROR(__xludf.DUMMYFUNCTION("""COMPUTED_VALUE"""),"str.")</f>
        <v>str.</v>
      </c>
      <c r="H4426" t="str">
        <f>IFERROR(__xludf.DUMMYFUNCTION("""COMPUTED_VALUE"""),"Mim1")</f>
        <v>Mim1</v>
      </c>
    </row>
    <row r="4427" ht="15.75" customHeight="1">
      <c r="A4427" t="str">
        <f t="shared" si="1"/>
        <v>R.etli</v>
      </c>
      <c r="B4427" s="5" t="s">
        <v>27410</v>
      </c>
      <c r="C4427" s="6" t="str">
        <f>IFERROR(__xludf.DUMMYFUNCTION("SPLIT('2. c'!B4427, "" "", True, True)"),"Rhizobium")</f>
        <v>Rhizobium</v>
      </c>
      <c r="D4427" t="str">
        <f>IFERROR(__xludf.DUMMYFUNCTION("""COMPUTED_VALUE"""),"etli")</f>
        <v>etli</v>
      </c>
      <c r="E4427" t="str">
        <f>IFERROR(__xludf.DUMMYFUNCTION("""COMPUTED_VALUE"""),"bv.")</f>
        <v>bv.</v>
      </c>
      <c r="F4427" t="str">
        <f>IFERROR(__xludf.DUMMYFUNCTION("""COMPUTED_VALUE"""),"phaseoli")</f>
        <v>phaseoli</v>
      </c>
      <c r="G4427" t="str">
        <f>IFERROR(__xludf.DUMMYFUNCTION("""COMPUTED_VALUE"""),"str.")</f>
        <v>str.</v>
      </c>
      <c r="H4427" t="str">
        <f>IFERROR(__xludf.DUMMYFUNCTION("""COMPUTED_VALUE"""),"IE4803")</f>
        <v>IE4803</v>
      </c>
    </row>
    <row r="4428" ht="15.75" customHeight="1">
      <c r="A4428" t="str">
        <f t="shared" si="1"/>
        <v>R.etli</v>
      </c>
      <c r="B4428" s="5" t="s">
        <v>27418</v>
      </c>
      <c r="C4428" s="6" t="str">
        <f>IFERROR(__xludf.DUMMYFUNCTION("SPLIT('2. c'!B4428, "" "", True, True)"),"Rhizobium")</f>
        <v>Rhizobium</v>
      </c>
      <c r="D4428" t="str">
        <f>IFERROR(__xludf.DUMMYFUNCTION("""COMPUTED_VALUE"""),"etli")</f>
        <v>etli</v>
      </c>
      <c r="E4428" t="str">
        <f>IFERROR(__xludf.DUMMYFUNCTION("""COMPUTED_VALUE"""),"CFN")</f>
        <v>CFN</v>
      </c>
      <c r="F4428">
        <f>IFERROR(__xludf.DUMMYFUNCTION("""COMPUTED_VALUE"""),42.0)</f>
        <v>42</v>
      </c>
    </row>
    <row r="4429" ht="15.75" customHeight="1">
      <c r="A4429" t="str">
        <f t="shared" si="1"/>
        <v>R.etli</v>
      </c>
      <c r="B4429" s="5" t="s">
        <v>27427</v>
      </c>
      <c r="C4429" s="6" t="str">
        <f>IFERROR(__xludf.DUMMYFUNCTION("SPLIT('2. c'!B4429, "" "", True, True)"),"Rhizobium")</f>
        <v>Rhizobium</v>
      </c>
      <c r="D4429" t="str">
        <f>IFERROR(__xludf.DUMMYFUNCTION("""COMPUTED_VALUE"""),"etli")</f>
        <v>etli</v>
      </c>
      <c r="E4429" t="str">
        <f>IFERROR(__xludf.DUMMYFUNCTION("""COMPUTED_VALUE"""),"CIAT")</f>
        <v>CIAT</v>
      </c>
      <c r="F4429">
        <f>IFERROR(__xludf.DUMMYFUNCTION("""COMPUTED_VALUE"""),652.0)</f>
        <v>652</v>
      </c>
    </row>
    <row r="4430" ht="15.75" customHeight="1">
      <c r="A4430" t="str">
        <f t="shared" si="1"/>
        <v>R.etli</v>
      </c>
      <c r="B4430" s="5" t="s">
        <v>27437</v>
      </c>
      <c r="C4430" s="6" t="str">
        <f>IFERROR(__xludf.DUMMYFUNCTION("SPLIT('2. c'!B4430, "" "", True, True)"),"Rhizobium")</f>
        <v>Rhizobium</v>
      </c>
      <c r="D4430" t="str">
        <f>IFERROR(__xludf.DUMMYFUNCTION("""COMPUTED_VALUE"""),"etli")</f>
        <v>etli</v>
      </c>
      <c r="E4430" t="str">
        <f>IFERROR(__xludf.DUMMYFUNCTION("""COMPUTED_VALUE"""),"strain")</f>
        <v>strain</v>
      </c>
      <c r="F4430" t="str">
        <f>IFERROR(__xludf.DUMMYFUNCTION("""COMPUTED_VALUE"""),"N561")</f>
        <v>N561</v>
      </c>
    </row>
    <row r="4431" ht="15.75" customHeight="1">
      <c r="A4431" t="str">
        <f t="shared" si="1"/>
        <v>R.gallicum</v>
      </c>
      <c r="B4431" s="5" t="s">
        <v>27446</v>
      </c>
      <c r="C4431" s="6" t="str">
        <f>IFERROR(__xludf.DUMMYFUNCTION("SPLIT('2. c'!B4431, "" "", True, True)"),"Rhizobium")</f>
        <v>Rhizobium</v>
      </c>
      <c r="D4431" t="str">
        <f>IFERROR(__xludf.DUMMYFUNCTION("""COMPUTED_VALUE"""),"gallicum")</f>
        <v>gallicum</v>
      </c>
      <c r="E4431" t="str">
        <f>IFERROR(__xludf.DUMMYFUNCTION("""COMPUTED_VALUE"""),"bv.")</f>
        <v>bv.</v>
      </c>
      <c r="F4431" t="str">
        <f>IFERROR(__xludf.DUMMYFUNCTION("""COMPUTED_VALUE"""),"gallicum")</f>
        <v>gallicum</v>
      </c>
      <c r="G4431" t="str">
        <f>IFERROR(__xludf.DUMMYFUNCTION("""COMPUTED_VALUE"""),"R602")</f>
        <v>R602</v>
      </c>
    </row>
    <row r="4432" ht="15.75" customHeight="1">
      <c r="A4432" t="str">
        <f t="shared" si="1"/>
        <v>R.leguminosarum</v>
      </c>
      <c r="B4432" s="5" t="s">
        <v>27455</v>
      </c>
      <c r="C4432" s="6" t="str">
        <f>IFERROR(__xludf.DUMMYFUNCTION("SPLIT('2. c'!B4432, "" "", True, True)"),"Rhizobium")</f>
        <v>Rhizobium</v>
      </c>
      <c r="D4432" t="str">
        <f>IFERROR(__xludf.DUMMYFUNCTION("""COMPUTED_VALUE"""),"leguminosarum")</f>
        <v>leguminosarum</v>
      </c>
      <c r="E4432" t="str">
        <f>IFERROR(__xludf.DUMMYFUNCTION("""COMPUTED_VALUE"""),"bv.")</f>
        <v>bv.</v>
      </c>
      <c r="F4432" t="str">
        <f>IFERROR(__xludf.DUMMYFUNCTION("""COMPUTED_VALUE"""),"trifolii")</f>
        <v>trifolii</v>
      </c>
      <c r="G4432" t="str">
        <f>IFERROR(__xludf.DUMMYFUNCTION("""COMPUTED_VALUE"""),"CB782")</f>
        <v>CB782</v>
      </c>
    </row>
    <row r="4433" ht="15.75" customHeight="1">
      <c r="A4433" t="str">
        <f t="shared" si="1"/>
        <v>R.leguminosarum</v>
      </c>
      <c r="B4433" s="5" t="s">
        <v>27465</v>
      </c>
      <c r="C4433" s="6" t="str">
        <f>IFERROR(__xludf.DUMMYFUNCTION("SPLIT('2. c'!B4433, "" "", True, True)"),"Rhizobium")</f>
        <v>Rhizobium</v>
      </c>
      <c r="D4433" t="str">
        <f>IFERROR(__xludf.DUMMYFUNCTION("""COMPUTED_VALUE"""),"leguminosarum")</f>
        <v>leguminosarum</v>
      </c>
      <c r="E4433" t="str">
        <f>IFERROR(__xludf.DUMMYFUNCTION("""COMPUTED_VALUE"""),"bv.")</f>
        <v>bv.</v>
      </c>
      <c r="F4433" t="str">
        <f>IFERROR(__xludf.DUMMYFUNCTION("""COMPUTED_VALUE"""),"trifolii")</f>
        <v>trifolii</v>
      </c>
      <c r="G4433" t="str">
        <f>IFERROR(__xludf.DUMMYFUNCTION("""COMPUTED_VALUE"""),"WSM1325")</f>
        <v>WSM1325</v>
      </c>
    </row>
    <row r="4434" ht="15.75" customHeight="1">
      <c r="A4434" t="str">
        <f t="shared" si="1"/>
        <v>R.leguminosarum</v>
      </c>
      <c r="B4434" s="5" t="s">
        <v>27473</v>
      </c>
      <c r="C4434" s="6" t="str">
        <f>IFERROR(__xludf.DUMMYFUNCTION("SPLIT('2. c'!B4434, "" "", True, True)"),"Rhizobium")</f>
        <v>Rhizobium</v>
      </c>
      <c r="D4434" t="str">
        <f>IFERROR(__xludf.DUMMYFUNCTION("""COMPUTED_VALUE"""),"leguminosarum")</f>
        <v>leguminosarum</v>
      </c>
      <c r="E4434" t="str">
        <f>IFERROR(__xludf.DUMMYFUNCTION("""COMPUTED_VALUE"""),"bv.")</f>
        <v>bv.</v>
      </c>
      <c r="F4434" t="str">
        <f>IFERROR(__xludf.DUMMYFUNCTION("""COMPUTED_VALUE"""),"trifolii")</f>
        <v>trifolii</v>
      </c>
      <c r="G4434" t="str">
        <f>IFERROR(__xludf.DUMMYFUNCTION("""COMPUTED_VALUE"""),"WSM1689")</f>
        <v>WSM1689</v>
      </c>
    </row>
    <row r="4435" ht="15.75" customHeight="1">
      <c r="A4435" t="str">
        <f t="shared" si="1"/>
        <v>R.leguminosarum</v>
      </c>
      <c r="B4435" s="5" t="s">
        <v>27482</v>
      </c>
      <c r="C4435" s="6" t="str">
        <f>IFERROR(__xludf.DUMMYFUNCTION("SPLIT('2. c'!B4435, "" "", True, True)"),"Rhizobium")</f>
        <v>Rhizobium</v>
      </c>
      <c r="D4435" t="str">
        <f>IFERROR(__xludf.DUMMYFUNCTION("""COMPUTED_VALUE"""),"leguminosarum")</f>
        <v>leguminosarum</v>
      </c>
      <c r="E4435" t="str">
        <f>IFERROR(__xludf.DUMMYFUNCTION("""COMPUTED_VALUE"""),"bv.")</f>
        <v>bv.</v>
      </c>
      <c r="F4435" t="str">
        <f>IFERROR(__xludf.DUMMYFUNCTION("""COMPUTED_VALUE"""),"trifolii")</f>
        <v>trifolii</v>
      </c>
      <c r="G4435" t="str">
        <f>IFERROR(__xludf.DUMMYFUNCTION("""COMPUTED_VALUE"""),"WSM2304")</f>
        <v>WSM2304</v>
      </c>
    </row>
    <row r="4436" ht="15.75" customHeight="1">
      <c r="A4436" t="str">
        <f t="shared" si="1"/>
        <v>R.leguminosarum</v>
      </c>
      <c r="B4436" s="5" t="s">
        <v>27489</v>
      </c>
      <c r="C4436" s="6" t="str">
        <f>IFERROR(__xludf.DUMMYFUNCTION("SPLIT('2. c'!B4436, "" "", True, True)"),"Rhizobium")</f>
        <v>Rhizobium</v>
      </c>
      <c r="D4436" t="str">
        <f>IFERROR(__xludf.DUMMYFUNCTION("""COMPUTED_VALUE"""),"leguminosarum")</f>
        <v>leguminosarum</v>
      </c>
      <c r="E4436" t="str">
        <f>IFERROR(__xludf.DUMMYFUNCTION("""COMPUTED_VALUE"""),"bv.")</f>
        <v>bv.</v>
      </c>
      <c r="F4436" t="str">
        <f>IFERROR(__xludf.DUMMYFUNCTION("""COMPUTED_VALUE"""),"viciae")</f>
        <v>viciae</v>
      </c>
      <c r="G4436">
        <f>IFERROR(__xludf.DUMMYFUNCTION("""COMPUTED_VALUE"""),3841.0)</f>
        <v>3841</v>
      </c>
    </row>
    <row r="4437" ht="15.75" customHeight="1">
      <c r="A4437" t="str">
        <f t="shared" si="1"/>
        <v>R.phaseoli</v>
      </c>
      <c r="B4437" s="5" t="s">
        <v>27498</v>
      </c>
      <c r="C4437" s="6" t="str">
        <f>IFERROR(__xludf.DUMMYFUNCTION("SPLIT('2. c'!B4437, "" "", True, True)"),"Rhizobium")</f>
        <v>Rhizobium</v>
      </c>
      <c r="D4437" t="str">
        <f>IFERROR(__xludf.DUMMYFUNCTION("""COMPUTED_VALUE"""),"phaseoli")</f>
        <v>phaseoli</v>
      </c>
      <c r="E4437" t="str">
        <f>IFERROR(__xludf.DUMMYFUNCTION("""COMPUTED_VALUE"""),"strain")</f>
        <v>strain</v>
      </c>
      <c r="F4437" t="str">
        <f>IFERROR(__xludf.DUMMYFUNCTION("""COMPUTED_VALUE"""),"N161")</f>
        <v>N161</v>
      </c>
    </row>
    <row r="4438" ht="15.75" customHeight="1">
      <c r="A4438" t="str">
        <f t="shared" si="1"/>
        <v>R.phaseoli</v>
      </c>
      <c r="B4438" s="5" t="s">
        <v>27506</v>
      </c>
      <c r="C4438" s="6" t="str">
        <f>IFERROR(__xludf.DUMMYFUNCTION("SPLIT('2. c'!B4438, "" "", True, True)"),"Rhizobium")</f>
        <v>Rhizobium</v>
      </c>
      <c r="D4438" t="str">
        <f>IFERROR(__xludf.DUMMYFUNCTION("""COMPUTED_VALUE"""),"phaseoli")</f>
        <v>phaseoli</v>
      </c>
      <c r="E4438" t="str">
        <f>IFERROR(__xludf.DUMMYFUNCTION("""COMPUTED_VALUE"""),"strain")</f>
        <v>strain</v>
      </c>
      <c r="F4438" t="str">
        <f>IFERROR(__xludf.DUMMYFUNCTION("""COMPUTED_VALUE"""),"N261")</f>
        <v>N261</v>
      </c>
    </row>
    <row r="4439" ht="15.75" customHeight="1">
      <c r="A4439" t="str">
        <f t="shared" si="1"/>
        <v>R.phaseoli</v>
      </c>
      <c r="B4439" s="5" t="s">
        <v>27513</v>
      </c>
      <c r="C4439" s="6" t="str">
        <f>IFERROR(__xludf.DUMMYFUNCTION("SPLIT('2. c'!B4439, "" "", True, True)"),"Rhizobium")</f>
        <v>Rhizobium</v>
      </c>
      <c r="D4439" t="str">
        <f>IFERROR(__xludf.DUMMYFUNCTION("""COMPUTED_VALUE"""),"phaseoli")</f>
        <v>phaseoli</v>
      </c>
      <c r="E4439" t="str">
        <f>IFERROR(__xludf.DUMMYFUNCTION("""COMPUTED_VALUE"""),"strain")</f>
        <v>strain</v>
      </c>
      <c r="F4439" t="str">
        <f>IFERROR(__xludf.DUMMYFUNCTION("""COMPUTED_VALUE"""),"N671")</f>
        <v>N671</v>
      </c>
    </row>
    <row r="4440" ht="15.75" customHeight="1">
      <c r="A4440" t="str">
        <f t="shared" si="1"/>
        <v>R.phaseoli</v>
      </c>
      <c r="B4440" s="5" t="s">
        <v>27520</v>
      </c>
      <c r="C4440" s="6" t="str">
        <f>IFERROR(__xludf.DUMMYFUNCTION("SPLIT('2. c'!B4440, "" "", True, True)"),"Rhizobium")</f>
        <v>Rhizobium</v>
      </c>
      <c r="D4440" t="str">
        <f>IFERROR(__xludf.DUMMYFUNCTION("""COMPUTED_VALUE"""),"phaseoli")</f>
        <v>phaseoli</v>
      </c>
      <c r="E4440" t="str">
        <f>IFERROR(__xludf.DUMMYFUNCTION("""COMPUTED_VALUE"""),"strain")</f>
        <v>strain</v>
      </c>
      <c r="F4440" t="str">
        <f>IFERROR(__xludf.DUMMYFUNCTION("""COMPUTED_VALUE"""),"N771")</f>
        <v>N771</v>
      </c>
    </row>
    <row r="4441" ht="15.75" customHeight="1">
      <c r="A4441" t="str">
        <f t="shared" si="1"/>
        <v>R.phaseoli</v>
      </c>
      <c r="B4441" s="5" t="s">
        <v>27527</v>
      </c>
      <c r="C4441" s="6" t="str">
        <f>IFERROR(__xludf.DUMMYFUNCTION("SPLIT('2. c'!B4441, "" "", True, True)"),"Rhizobium")</f>
        <v>Rhizobium</v>
      </c>
      <c r="D4441" t="str">
        <f>IFERROR(__xludf.DUMMYFUNCTION("""COMPUTED_VALUE"""),"phaseoli")</f>
        <v>phaseoli</v>
      </c>
      <c r="E4441" t="str">
        <f>IFERROR(__xludf.DUMMYFUNCTION("""COMPUTED_VALUE"""),"strain")</f>
        <v>strain</v>
      </c>
      <c r="F4441" t="str">
        <f>IFERROR(__xludf.DUMMYFUNCTION("""COMPUTED_VALUE"""),"N831")</f>
        <v>N831</v>
      </c>
    </row>
    <row r="4442" ht="15.75" customHeight="1">
      <c r="A4442" t="str">
        <f t="shared" si="1"/>
        <v>R.phaseoli</v>
      </c>
      <c r="B4442" s="5" t="s">
        <v>27534</v>
      </c>
      <c r="C4442" s="6" t="str">
        <f>IFERROR(__xludf.DUMMYFUNCTION("SPLIT('2. c'!B4442, "" "", True, True)"),"Rhizobium")</f>
        <v>Rhizobium</v>
      </c>
      <c r="D4442" t="str">
        <f>IFERROR(__xludf.DUMMYFUNCTION("""COMPUTED_VALUE"""),"phaseoli")</f>
        <v>phaseoli</v>
      </c>
      <c r="E4442" t="str">
        <f>IFERROR(__xludf.DUMMYFUNCTION("""COMPUTED_VALUE"""),"strain")</f>
        <v>strain</v>
      </c>
      <c r="F4442" t="str">
        <f>IFERROR(__xludf.DUMMYFUNCTION("""COMPUTED_VALUE"""),"N841")</f>
        <v>N841</v>
      </c>
    </row>
    <row r="4443" ht="15.75" customHeight="1">
      <c r="A4443" t="str">
        <f t="shared" si="1"/>
        <v>R.phaseoli</v>
      </c>
      <c r="B4443" s="5" t="s">
        <v>27541</v>
      </c>
      <c r="C4443" s="6" t="str">
        <f>IFERROR(__xludf.DUMMYFUNCTION("SPLIT('2. c'!B4443, "" "", True, True)"),"Rhizobium")</f>
        <v>Rhizobium</v>
      </c>
      <c r="D4443" t="str">
        <f>IFERROR(__xludf.DUMMYFUNCTION("""COMPUTED_VALUE"""),"phaseoli")</f>
        <v>phaseoli</v>
      </c>
      <c r="E4443" t="str">
        <f>IFERROR(__xludf.DUMMYFUNCTION("""COMPUTED_VALUE"""),"strain")</f>
        <v>strain</v>
      </c>
      <c r="F4443" t="str">
        <f>IFERROR(__xludf.DUMMYFUNCTION("""COMPUTED_VALUE"""),"N931")</f>
        <v>N931</v>
      </c>
    </row>
    <row r="4444" ht="15.75" customHeight="1">
      <c r="A4444" t="str">
        <f t="shared" si="1"/>
        <v>R.phaseoli</v>
      </c>
      <c r="B4444" s="5" t="s">
        <v>27549</v>
      </c>
      <c r="C4444" s="6" t="str">
        <f>IFERROR(__xludf.DUMMYFUNCTION("SPLIT('2. c'!B4444, "" "", True, True)"),"Rhizobium")</f>
        <v>Rhizobium</v>
      </c>
      <c r="D4444" t="str">
        <f>IFERROR(__xludf.DUMMYFUNCTION("""COMPUTED_VALUE"""),"phaseoli")</f>
        <v>phaseoli</v>
      </c>
      <c r="E4444" t="str">
        <f>IFERROR(__xludf.DUMMYFUNCTION("""COMPUTED_VALUE"""),"strain")</f>
        <v>strain</v>
      </c>
      <c r="F4444" t="str">
        <f>IFERROR(__xludf.DUMMYFUNCTION("""COMPUTED_VALUE"""),"R611")</f>
        <v>R611</v>
      </c>
    </row>
    <row r="4445" ht="15.75" customHeight="1">
      <c r="A4445" t="str">
        <f t="shared" si="1"/>
        <v>R.phaseoli</v>
      </c>
      <c r="B4445" s="5" t="s">
        <v>27559</v>
      </c>
      <c r="C4445" s="6" t="str">
        <f>IFERROR(__xludf.DUMMYFUNCTION("SPLIT('2. c'!B4445, "" "", True, True)"),"Rhizobium")</f>
        <v>Rhizobium</v>
      </c>
      <c r="D4445" t="str">
        <f>IFERROR(__xludf.DUMMYFUNCTION("""COMPUTED_VALUE"""),"phaseoli")</f>
        <v>phaseoli</v>
      </c>
      <c r="E4445" t="str">
        <f>IFERROR(__xludf.DUMMYFUNCTION("""COMPUTED_VALUE"""),"strain")</f>
        <v>strain</v>
      </c>
      <c r="F4445" t="str">
        <f>IFERROR(__xludf.DUMMYFUNCTION("""COMPUTED_VALUE"""),"R620")</f>
        <v>R620</v>
      </c>
    </row>
    <row r="4446" ht="15.75" customHeight="1">
      <c r="A4446" t="str">
        <f t="shared" si="1"/>
        <v>R.phaseoli</v>
      </c>
      <c r="B4446" s="5" t="s">
        <v>27572</v>
      </c>
      <c r="C4446" s="6" t="str">
        <f>IFERROR(__xludf.DUMMYFUNCTION("SPLIT('2. c'!B4446, "" "", True, True)"),"Rhizobium")</f>
        <v>Rhizobium</v>
      </c>
      <c r="D4446" t="str">
        <f>IFERROR(__xludf.DUMMYFUNCTION("""COMPUTED_VALUE"""),"phaseoli")</f>
        <v>phaseoli</v>
      </c>
      <c r="E4446" t="str">
        <f>IFERROR(__xludf.DUMMYFUNCTION("""COMPUTED_VALUE"""),"strain")</f>
        <v>strain</v>
      </c>
      <c r="F4446" t="str">
        <f>IFERROR(__xludf.DUMMYFUNCTION("""COMPUTED_VALUE"""),"R630")</f>
        <v>R630</v>
      </c>
    </row>
    <row r="4447" ht="15.75" customHeight="1">
      <c r="A4447" t="str">
        <f t="shared" si="1"/>
        <v>R.phaseoli</v>
      </c>
      <c r="B4447" s="5" t="s">
        <v>27579</v>
      </c>
      <c r="C4447" s="6" t="str">
        <f>IFERROR(__xludf.DUMMYFUNCTION("SPLIT('2. c'!B4447, "" "", True, True)"),"Rhizobium")</f>
        <v>Rhizobium</v>
      </c>
      <c r="D4447" t="str">
        <f>IFERROR(__xludf.DUMMYFUNCTION("""COMPUTED_VALUE"""),"phaseoli")</f>
        <v>phaseoli</v>
      </c>
      <c r="E4447" t="str">
        <f>IFERROR(__xludf.DUMMYFUNCTION("""COMPUTED_VALUE"""),"strain")</f>
        <v>strain</v>
      </c>
      <c r="F4447" t="str">
        <f>IFERROR(__xludf.DUMMYFUNCTION("""COMPUTED_VALUE"""),"R650")</f>
        <v>R650</v>
      </c>
    </row>
    <row r="4448" ht="15.75" customHeight="1">
      <c r="A4448" t="str">
        <f t="shared" si="1"/>
        <v>R.phaseoli</v>
      </c>
      <c r="B4448" s="5" t="s">
        <v>27586</v>
      </c>
      <c r="C4448" s="6" t="str">
        <f>IFERROR(__xludf.DUMMYFUNCTION("SPLIT('2. c'!B4448, "" "", True, True)"),"Rhizobium")</f>
        <v>Rhizobium</v>
      </c>
      <c r="D4448" t="str">
        <f>IFERROR(__xludf.DUMMYFUNCTION("""COMPUTED_VALUE"""),"phaseoli")</f>
        <v>phaseoli</v>
      </c>
      <c r="E4448" t="str">
        <f>IFERROR(__xludf.DUMMYFUNCTION("""COMPUTED_VALUE"""),"strain")</f>
        <v>strain</v>
      </c>
      <c r="F4448" t="str">
        <f>IFERROR(__xludf.DUMMYFUNCTION("""COMPUTED_VALUE"""),"R723")</f>
        <v>R723</v>
      </c>
    </row>
    <row r="4449" ht="15.75" customHeight="1">
      <c r="A4449" t="str">
        <f t="shared" si="1"/>
        <v>R.phaseoli</v>
      </c>
      <c r="B4449" s="5" t="s">
        <v>27595</v>
      </c>
      <c r="C4449" s="6" t="str">
        <f>IFERROR(__xludf.DUMMYFUNCTION("SPLIT('2. c'!B4449, "" "", True, True)"),"Rhizobium")</f>
        <v>Rhizobium</v>
      </c>
      <c r="D4449" t="str">
        <f>IFERROR(__xludf.DUMMYFUNCTION("""COMPUTED_VALUE"""),"phaseoli")</f>
        <v>phaseoli</v>
      </c>
      <c r="E4449" t="str">
        <f>IFERROR(__xludf.DUMMYFUNCTION("""COMPUTED_VALUE"""),"strain")</f>
        <v>strain</v>
      </c>
      <c r="F4449" t="str">
        <f>IFERROR(__xludf.DUMMYFUNCTION("""COMPUTED_VALUE"""),"R744")</f>
        <v>R744</v>
      </c>
    </row>
    <row r="4450" ht="15.75" customHeight="1">
      <c r="A4450" t="str">
        <f t="shared" si="1"/>
        <v>R.sp.</v>
      </c>
      <c r="B4450" s="5" t="s">
        <v>27602</v>
      </c>
      <c r="C4450" s="6" t="str">
        <f>IFERROR(__xludf.DUMMYFUNCTION("SPLIT('2. c'!B4450, "" "", True, True)"),"Rhizobium")</f>
        <v>Rhizobium</v>
      </c>
      <c r="D4450" t="str">
        <f>IFERROR(__xludf.DUMMYFUNCTION("""COMPUTED_VALUE"""),"sp.")</f>
        <v>sp.</v>
      </c>
      <c r="E4450" t="str">
        <f>IFERROR(__xludf.DUMMYFUNCTION("""COMPUTED_VALUE"""),"IRBG74")</f>
        <v>IRBG74</v>
      </c>
    </row>
    <row r="4451" ht="15.75" customHeight="1">
      <c r="A4451" t="str">
        <f t="shared" si="1"/>
        <v>R.sp.</v>
      </c>
      <c r="B4451" s="5" t="s">
        <v>27613</v>
      </c>
      <c r="C4451" s="6" t="str">
        <f>IFERROR(__xludf.DUMMYFUNCTION("SPLIT('2. c'!B4451, "" "", True, True)"),"Rhizobium")</f>
        <v>Rhizobium</v>
      </c>
      <c r="D4451" t="str">
        <f>IFERROR(__xludf.DUMMYFUNCTION("""COMPUTED_VALUE"""),"sp.")</f>
        <v>sp.</v>
      </c>
      <c r="E4451" t="str">
        <f>IFERROR(__xludf.DUMMYFUNCTION("""COMPUTED_VALUE"""),"LPU83")</f>
        <v>LPU83</v>
      </c>
    </row>
    <row r="4452" ht="15.75" customHeight="1">
      <c r="A4452" t="str">
        <f t="shared" si="1"/>
        <v>R.sp.</v>
      </c>
      <c r="B4452" s="5" t="s">
        <v>27619</v>
      </c>
      <c r="C4452" s="6" t="str">
        <f>IFERROR(__xludf.DUMMYFUNCTION("SPLIT('2. c'!B4452, "" "", True, True)"),"Rhizobium")</f>
        <v>Rhizobium</v>
      </c>
      <c r="D4452" t="str">
        <f>IFERROR(__xludf.DUMMYFUNCTION("""COMPUTED_VALUE"""),"sp.")</f>
        <v>sp.</v>
      </c>
      <c r="E4452" t="str">
        <f>IFERROR(__xludf.DUMMYFUNCTION("""COMPUTED_VALUE"""),"N113")</f>
        <v>N113</v>
      </c>
    </row>
    <row r="4453" ht="15.75" customHeight="1">
      <c r="A4453" t="str">
        <f t="shared" si="1"/>
        <v>R.sp.</v>
      </c>
      <c r="B4453" s="5" t="s">
        <v>27633</v>
      </c>
      <c r="C4453" s="6" t="str">
        <f>IFERROR(__xludf.DUMMYFUNCTION("SPLIT('2. c'!B4453, "" "", True, True)"),"Rhizobium")</f>
        <v>Rhizobium</v>
      </c>
      <c r="D4453" t="str">
        <f>IFERROR(__xludf.DUMMYFUNCTION("""COMPUTED_VALUE"""),"sp.")</f>
        <v>sp.</v>
      </c>
      <c r="E4453" t="str">
        <f>IFERROR(__xludf.DUMMYFUNCTION("""COMPUTED_VALUE"""),"N1314")</f>
        <v>N1314</v>
      </c>
    </row>
    <row r="4454" ht="15.75" customHeight="1">
      <c r="A4454" t="str">
        <f t="shared" si="1"/>
        <v>R.sp.</v>
      </c>
      <c r="B4454" s="5" t="s">
        <v>27643</v>
      </c>
      <c r="C4454" s="6" t="str">
        <f>IFERROR(__xludf.DUMMYFUNCTION("SPLIT('2. c'!B4454, "" "", True, True)"),"Rhizobium")</f>
        <v>Rhizobium</v>
      </c>
      <c r="D4454" t="str">
        <f>IFERROR(__xludf.DUMMYFUNCTION("""COMPUTED_VALUE"""),"sp.")</f>
        <v>sp.</v>
      </c>
      <c r="E4454" t="str">
        <f>IFERROR(__xludf.DUMMYFUNCTION("""COMPUTED_VALUE"""),"N1341")</f>
        <v>N1341</v>
      </c>
    </row>
    <row r="4455" ht="15.75" customHeight="1">
      <c r="A4455" t="str">
        <f t="shared" si="1"/>
        <v>R.sp.</v>
      </c>
      <c r="B4455" s="5" t="s">
        <v>27652</v>
      </c>
      <c r="C4455" s="6" t="str">
        <f>IFERROR(__xludf.DUMMYFUNCTION("SPLIT('2. c'!B4455, "" "", True, True)"),"Rhizobium")</f>
        <v>Rhizobium</v>
      </c>
      <c r="D4455" t="str">
        <f>IFERROR(__xludf.DUMMYFUNCTION("""COMPUTED_VALUE"""),"sp.")</f>
        <v>sp.</v>
      </c>
      <c r="E4455" t="str">
        <f>IFERROR(__xludf.DUMMYFUNCTION("""COMPUTED_VALUE"""),"N324")</f>
        <v>N324</v>
      </c>
    </row>
    <row r="4456" ht="15.75" customHeight="1">
      <c r="A4456" t="str">
        <f t="shared" si="1"/>
        <v>R.sp.</v>
      </c>
      <c r="B4456" s="5" t="s">
        <v>27664</v>
      </c>
      <c r="C4456" s="6" t="str">
        <f>IFERROR(__xludf.DUMMYFUNCTION("SPLIT('2. c'!B4456, "" "", True, True)"),"Rhizobium")</f>
        <v>Rhizobium</v>
      </c>
      <c r="D4456" t="str">
        <f>IFERROR(__xludf.DUMMYFUNCTION("""COMPUTED_VALUE"""),"sp.")</f>
        <v>sp.</v>
      </c>
      <c r="E4456" t="str">
        <f>IFERROR(__xludf.DUMMYFUNCTION("""COMPUTED_VALUE"""),"N541")</f>
        <v>N541</v>
      </c>
    </row>
    <row r="4457" ht="15.75" customHeight="1">
      <c r="A4457" t="str">
        <f t="shared" si="1"/>
        <v>R.sp.</v>
      </c>
      <c r="B4457" s="5" t="s">
        <v>27674</v>
      </c>
      <c r="C4457" s="6" t="str">
        <f>IFERROR(__xludf.DUMMYFUNCTION("SPLIT('2. c'!B4457, "" "", True, True)"),"Rhizobium")</f>
        <v>Rhizobium</v>
      </c>
      <c r="D4457" t="str">
        <f>IFERROR(__xludf.DUMMYFUNCTION("""COMPUTED_VALUE"""),"sp.")</f>
        <v>sp.</v>
      </c>
      <c r="E4457" t="str">
        <f>IFERROR(__xludf.DUMMYFUNCTION("""COMPUTED_VALUE"""),"N621")</f>
        <v>N621</v>
      </c>
    </row>
    <row r="4458" ht="15.75" customHeight="1">
      <c r="A4458" t="str">
        <f t="shared" si="1"/>
        <v>R.sp.</v>
      </c>
      <c r="B4458" s="5" t="s">
        <v>27684</v>
      </c>
      <c r="C4458" s="6" t="str">
        <f>IFERROR(__xludf.DUMMYFUNCTION("SPLIT('2. c'!B4458, "" "", True, True)"),"Rhizobium")</f>
        <v>Rhizobium</v>
      </c>
      <c r="D4458" t="str">
        <f>IFERROR(__xludf.DUMMYFUNCTION("""COMPUTED_VALUE"""),"sp.")</f>
        <v>sp.</v>
      </c>
      <c r="E4458" t="str">
        <f>IFERROR(__xludf.DUMMYFUNCTION("""COMPUTED_VALUE"""),"N6212")</f>
        <v>N6212</v>
      </c>
    </row>
    <row r="4459" ht="15.75" customHeight="1">
      <c r="A4459" t="str">
        <f t="shared" si="1"/>
        <v>R.sp.</v>
      </c>
      <c r="B4459" s="5" t="s">
        <v>27691</v>
      </c>
      <c r="C4459" s="6" t="str">
        <f>IFERROR(__xludf.DUMMYFUNCTION("SPLIT('2. c'!B4459, "" "", True, True)"),"Rhizobium")</f>
        <v>Rhizobium</v>
      </c>
      <c r="D4459" t="str">
        <f>IFERROR(__xludf.DUMMYFUNCTION("""COMPUTED_VALUE"""),"sp.")</f>
        <v>sp.</v>
      </c>
      <c r="E4459" t="str">
        <f>IFERROR(__xludf.DUMMYFUNCTION("""COMPUTED_VALUE"""),"N731")</f>
        <v>N731</v>
      </c>
    </row>
    <row r="4460" ht="15.75" customHeight="1">
      <c r="A4460" t="str">
        <f t="shared" si="1"/>
        <v>R.sp.</v>
      </c>
      <c r="B4460" s="5" t="s">
        <v>27699</v>
      </c>
      <c r="C4460" s="6" t="str">
        <f>IFERROR(__xludf.DUMMYFUNCTION("SPLIT('2. c'!B4460, "" "", True, True)"),"Rhizobium")</f>
        <v>Rhizobium</v>
      </c>
      <c r="D4460" t="str">
        <f>IFERROR(__xludf.DUMMYFUNCTION("""COMPUTED_VALUE"""),"sp.")</f>
        <v>sp.</v>
      </c>
      <c r="E4460" t="str">
        <f>IFERROR(__xludf.DUMMYFUNCTION("""COMPUTED_VALUE"""),"N741")</f>
        <v>N741</v>
      </c>
    </row>
    <row r="4461" ht="15.75" customHeight="1">
      <c r="A4461" t="str">
        <f t="shared" si="1"/>
        <v>R.sp.</v>
      </c>
      <c r="B4461" s="5" t="s">
        <v>27717</v>
      </c>
      <c r="C4461" s="6" t="str">
        <f>IFERROR(__xludf.DUMMYFUNCTION("SPLIT('2. c'!B4461, "" "", True, True)"),"Rhizobium")</f>
        <v>Rhizobium</v>
      </c>
      <c r="D4461" t="str">
        <f>IFERROR(__xludf.DUMMYFUNCTION("""COMPUTED_VALUE"""),"sp.")</f>
        <v>sp.</v>
      </c>
      <c r="E4461" t="str">
        <f>IFERROR(__xludf.DUMMYFUNCTION("""COMPUTED_VALUE"""),"N871")</f>
        <v>N871</v>
      </c>
    </row>
    <row r="4462" ht="15.75" customHeight="1">
      <c r="A4462" t="str">
        <f t="shared" si="1"/>
        <v>R.sp.</v>
      </c>
      <c r="B4462" s="5" t="s">
        <v>27722</v>
      </c>
      <c r="C4462" s="6" t="str">
        <f>IFERROR(__xludf.DUMMYFUNCTION("SPLIT('2. c'!B4462, "" "", True, True)"),"Rhizobium")</f>
        <v>Rhizobium</v>
      </c>
      <c r="D4462" t="str">
        <f>IFERROR(__xludf.DUMMYFUNCTION("""COMPUTED_VALUE"""),"sp.")</f>
        <v>sp.</v>
      </c>
      <c r="E4462" t="str">
        <f>IFERROR(__xludf.DUMMYFUNCTION("""COMPUTED_VALUE"""),"N941")</f>
        <v>N941</v>
      </c>
    </row>
    <row r="4463" ht="15.75" customHeight="1">
      <c r="A4463" t="str">
        <f t="shared" si="1"/>
        <v>R.sp.</v>
      </c>
      <c r="B4463" s="5" t="s">
        <v>27730</v>
      </c>
      <c r="C4463" s="6" t="str">
        <f>IFERROR(__xludf.DUMMYFUNCTION("SPLIT('2. c'!B4463, "" "", True, True)"),"Rhizobium")</f>
        <v>Rhizobium</v>
      </c>
      <c r="D4463" t="str">
        <f>IFERROR(__xludf.DUMMYFUNCTION("""COMPUTED_VALUE"""),"sp.")</f>
        <v>sp.</v>
      </c>
      <c r="E4463" t="str">
        <f>IFERROR(__xludf.DUMMYFUNCTION("""COMPUTED_VALUE"""),"strain")</f>
        <v>strain</v>
      </c>
      <c r="F4463" t="str">
        <f>IFERROR(__xludf.DUMMYFUNCTION("""COMPUTED_VALUE"""),"NT-26")</f>
        <v>NT-26</v>
      </c>
    </row>
    <row r="4464" ht="15.75" customHeight="1">
      <c r="A4464" t="str">
        <f t="shared" si="1"/>
        <v>R.tropici</v>
      </c>
      <c r="B4464" s="5" t="s">
        <v>27742</v>
      </c>
      <c r="C4464" s="6" t="str">
        <f>IFERROR(__xludf.DUMMYFUNCTION("SPLIT('2. c'!B4464, "" "", True, True)"),"Rhizobium")</f>
        <v>Rhizobium</v>
      </c>
      <c r="D4464" t="str">
        <f>IFERROR(__xludf.DUMMYFUNCTION("""COMPUTED_VALUE"""),"tropici")</f>
        <v>tropici</v>
      </c>
      <c r="E4464" t="str">
        <f>IFERROR(__xludf.DUMMYFUNCTION("""COMPUTED_VALUE"""),"CIAT")</f>
        <v>CIAT</v>
      </c>
      <c r="F4464">
        <f>IFERROR(__xludf.DUMMYFUNCTION("""COMPUTED_VALUE"""),899.0)</f>
        <v>899</v>
      </c>
    </row>
    <row r="4465" ht="15.75" customHeight="1">
      <c r="A4465" t="str">
        <f t="shared" si="1"/>
        <v>R.capsulatus</v>
      </c>
      <c r="B4465" s="5" t="s">
        <v>27750</v>
      </c>
      <c r="C4465" s="6" t="str">
        <f>IFERROR(__xludf.DUMMYFUNCTION("SPLIT('2. c'!B4465, "" "", True, True)"),"Rhodobacter")</f>
        <v>Rhodobacter</v>
      </c>
      <c r="D4465" t="str">
        <f>IFERROR(__xludf.DUMMYFUNCTION("""COMPUTED_VALUE"""),"capsulatus")</f>
        <v>capsulatus</v>
      </c>
      <c r="E4465" t="str">
        <f>IFERROR(__xludf.DUMMYFUNCTION("""COMPUTED_VALUE"""),"SB")</f>
        <v>SB</v>
      </c>
      <c r="F4465">
        <f>IFERROR(__xludf.DUMMYFUNCTION("""COMPUTED_VALUE"""),1003.0)</f>
        <v>1003</v>
      </c>
    </row>
    <row r="4466" ht="15.75" customHeight="1">
      <c r="A4466" t="str">
        <f t="shared" si="1"/>
        <v>R.sphaeroides</v>
      </c>
      <c r="B4466" s="5" t="s">
        <v>27761</v>
      </c>
      <c r="C4466" s="6" t="str">
        <f>IFERROR(__xludf.DUMMYFUNCTION("SPLIT('2. c'!B4466, "" "", True, True)"),"Rhodobacter")</f>
        <v>Rhodobacter</v>
      </c>
      <c r="D4466" t="str">
        <f>IFERROR(__xludf.DUMMYFUNCTION("""COMPUTED_VALUE"""),"sphaeroides")</f>
        <v>sphaeroides</v>
      </c>
      <c r="E4466" s="51">
        <f>IFERROR(__xludf.DUMMYFUNCTION("""COMPUTED_VALUE"""),36983.0)</f>
        <v>36983</v>
      </c>
    </row>
    <row r="4467" ht="15.75" customHeight="1">
      <c r="A4467" t="str">
        <f t="shared" si="1"/>
        <v>R.sphaeroides</v>
      </c>
      <c r="B4467" s="5" t="s">
        <v>27761</v>
      </c>
      <c r="C4467" s="6" t="str">
        <f>IFERROR(__xludf.DUMMYFUNCTION("SPLIT('2. c'!B4467, "" "", True, True)"),"Rhodobacter")</f>
        <v>Rhodobacter</v>
      </c>
      <c r="D4467" t="str">
        <f>IFERROR(__xludf.DUMMYFUNCTION("""COMPUTED_VALUE"""),"sphaeroides")</f>
        <v>sphaeroides</v>
      </c>
      <c r="E4467" s="51">
        <f>IFERROR(__xludf.DUMMYFUNCTION("""COMPUTED_VALUE"""),36983.0)</f>
        <v>36983</v>
      </c>
    </row>
    <row r="4468" ht="15.75" customHeight="1">
      <c r="A4468" t="str">
        <f t="shared" si="1"/>
        <v>R.sphaeroides</v>
      </c>
      <c r="B4468" s="5" t="s">
        <v>27761</v>
      </c>
      <c r="C4468" s="6" t="str">
        <f>IFERROR(__xludf.DUMMYFUNCTION("SPLIT('2. c'!B4468, "" "", True, True)"),"Rhodobacter")</f>
        <v>Rhodobacter</v>
      </c>
      <c r="D4468" t="str">
        <f>IFERROR(__xludf.DUMMYFUNCTION("""COMPUTED_VALUE"""),"sphaeroides")</f>
        <v>sphaeroides</v>
      </c>
      <c r="E4468" s="51">
        <f>IFERROR(__xludf.DUMMYFUNCTION("""COMPUTED_VALUE"""),36983.0)</f>
        <v>36983</v>
      </c>
    </row>
    <row r="4469" ht="15.75" customHeight="1">
      <c r="A4469" t="str">
        <f t="shared" si="1"/>
        <v>R.sphaeroides</v>
      </c>
      <c r="B4469" s="5" t="s">
        <v>27777</v>
      </c>
      <c r="C4469" s="6" t="str">
        <f>IFERROR(__xludf.DUMMYFUNCTION("SPLIT('2. c'!B4469, "" "", True, True)"),"Rhodobacter")</f>
        <v>Rhodobacter</v>
      </c>
      <c r="D4469" t="str">
        <f>IFERROR(__xludf.DUMMYFUNCTION("""COMPUTED_VALUE"""),"sphaeroides")</f>
        <v>sphaeroides</v>
      </c>
      <c r="E4469" t="str">
        <f>IFERROR(__xludf.DUMMYFUNCTION("""COMPUTED_VALUE"""),"ATCC")</f>
        <v>ATCC</v>
      </c>
      <c r="F4469">
        <f>IFERROR(__xludf.DUMMYFUNCTION("""COMPUTED_VALUE"""),17025.0)</f>
        <v>17025</v>
      </c>
    </row>
    <row r="4470" ht="15.75" customHeight="1">
      <c r="A4470" t="str">
        <f t="shared" si="1"/>
        <v>R.sphaeroides</v>
      </c>
      <c r="B4470" s="5" t="s">
        <v>27788</v>
      </c>
      <c r="C4470" s="6" t="str">
        <f>IFERROR(__xludf.DUMMYFUNCTION("SPLIT('2. c'!B4470, "" "", True, True)"),"Rhodobacter")</f>
        <v>Rhodobacter</v>
      </c>
      <c r="D4470" t="str">
        <f>IFERROR(__xludf.DUMMYFUNCTION("""COMPUTED_VALUE"""),"sphaeroides")</f>
        <v>sphaeroides</v>
      </c>
      <c r="E4470" t="str">
        <f>IFERROR(__xludf.DUMMYFUNCTION("""COMPUTED_VALUE"""),"ATCC")</f>
        <v>ATCC</v>
      </c>
      <c r="F4470">
        <f>IFERROR(__xludf.DUMMYFUNCTION("""COMPUTED_VALUE"""),17029.0)</f>
        <v>17029</v>
      </c>
    </row>
    <row r="4471" ht="15.75" customHeight="1">
      <c r="A4471" t="str">
        <f t="shared" si="1"/>
        <v>R.sphaeroides</v>
      </c>
      <c r="B4471" s="5" t="s">
        <v>27798</v>
      </c>
      <c r="C4471" s="6" t="str">
        <f>IFERROR(__xludf.DUMMYFUNCTION("SPLIT('2. c'!B4471, "" "", True, True)"),"Rhodobacter")</f>
        <v>Rhodobacter</v>
      </c>
      <c r="D4471" t="str">
        <f>IFERROR(__xludf.DUMMYFUNCTION("""COMPUTED_VALUE"""),"sphaeroides")</f>
        <v>sphaeroides</v>
      </c>
      <c r="E4471" t="str">
        <f>IFERROR(__xludf.DUMMYFUNCTION("""COMPUTED_VALUE"""),"KD131")</f>
        <v>KD131</v>
      </c>
    </row>
    <row r="4472" ht="15.75" customHeight="1">
      <c r="A4472" t="str">
        <f t="shared" si="1"/>
        <v>R.sphaeroides</v>
      </c>
      <c r="B4472" s="5" t="s">
        <v>27805</v>
      </c>
      <c r="C4472" s="6" t="str">
        <f>IFERROR(__xludf.DUMMYFUNCTION("SPLIT('2. c'!B4472, "" "", True, True)"),"Rhodobacter")</f>
        <v>Rhodobacter</v>
      </c>
      <c r="D4472" t="str">
        <f>IFERROR(__xludf.DUMMYFUNCTION("""COMPUTED_VALUE"""),"sphaeroides")</f>
        <v>sphaeroides</v>
      </c>
      <c r="E4472" t="str">
        <f>IFERROR(__xludf.DUMMYFUNCTION("""COMPUTED_VALUE"""),"strain")</f>
        <v>strain</v>
      </c>
      <c r="F4472" t="str">
        <f>IFERROR(__xludf.DUMMYFUNCTION("""COMPUTED_VALUE"""),"MBTLJ-8")</f>
        <v>MBTLJ-8</v>
      </c>
    </row>
    <row r="4473" ht="15.75" customHeight="1">
      <c r="A4473" t="str">
        <f t="shared" si="1"/>
        <v>R.aetherivorans</v>
      </c>
      <c r="B4473" s="5" t="s">
        <v>27812</v>
      </c>
      <c r="C4473" s="6" t="str">
        <f>IFERROR(__xludf.DUMMYFUNCTION("SPLIT('2. c'!B4473, "" "", True, True)"),"Rhodococcus")</f>
        <v>Rhodococcus</v>
      </c>
      <c r="D4473" t="str">
        <f>IFERROR(__xludf.DUMMYFUNCTION("""COMPUTED_VALUE"""),"aetherivorans")</f>
        <v>aetherivorans</v>
      </c>
      <c r="E4473" t="str">
        <f>IFERROR(__xludf.DUMMYFUNCTION("""COMPUTED_VALUE"""),"strain")</f>
        <v>strain</v>
      </c>
      <c r="F4473" t="str">
        <f>IFERROR(__xludf.DUMMYFUNCTION("""COMPUTED_VALUE"""),"BCP1")</f>
        <v>BCP1</v>
      </c>
    </row>
    <row r="4474" ht="15.75" customHeight="1">
      <c r="A4474" t="str">
        <f t="shared" si="1"/>
        <v>R.aetherivorans</v>
      </c>
      <c r="B4474" s="5" t="s">
        <v>27820</v>
      </c>
      <c r="C4474" s="6" t="str">
        <f>IFERROR(__xludf.DUMMYFUNCTION("SPLIT('2. c'!B4474, "" "", True, True)"),"Rhodococcus")</f>
        <v>Rhodococcus</v>
      </c>
      <c r="D4474" t="str">
        <f>IFERROR(__xludf.DUMMYFUNCTION("""COMPUTED_VALUE"""),"aetherivorans")</f>
        <v>aetherivorans</v>
      </c>
      <c r="E4474" t="str">
        <f>IFERROR(__xludf.DUMMYFUNCTION("""COMPUTED_VALUE"""),"strain")</f>
        <v>strain</v>
      </c>
      <c r="F4474" t="str">
        <f>IFERROR(__xludf.DUMMYFUNCTION("""COMPUTED_VALUE"""),"IcdP1")</f>
        <v>IcdP1</v>
      </c>
    </row>
    <row r="4475" ht="15.75" customHeight="1">
      <c r="A4475" t="str">
        <f t="shared" si="1"/>
        <v>R.equi</v>
      </c>
      <c r="B4475" s="5" t="s">
        <v>27827</v>
      </c>
      <c r="C4475" s="6" t="str">
        <f>IFERROR(__xludf.DUMMYFUNCTION("SPLIT('2. c'!B4475, "" "", True, True)"),"Rhodococcus")</f>
        <v>Rhodococcus</v>
      </c>
      <c r="D4475" t="str">
        <f>IFERROR(__xludf.DUMMYFUNCTION("""COMPUTED_VALUE"""),"equi")</f>
        <v>equi</v>
      </c>
      <c r="E4475" t="str">
        <f>IFERROR(__xludf.DUMMYFUNCTION("""COMPUTED_VALUE"""),"103S")</f>
        <v>103S</v>
      </c>
    </row>
    <row r="4476" ht="15.75" customHeight="1">
      <c r="A4476" t="str">
        <f t="shared" si="1"/>
        <v>R.erythropolis</v>
      </c>
      <c r="B4476" s="5" t="s">
        <v>27831</v>
      </c>
      <c r="C4476" s="6" t="str">
        <f>IFERROR(__xludf.DUMMYFUNCTION("SPLIT('2. c'!B4476, "" "", True, True)"),"Rhodococcus")</f>
        <v>Rhodococcus</v>
      </c>
      <c r="D4476" t="str">
        <f>IFERROR(__xludf.DUMMYFUNCTION("""COMPUTED_VALUE"""),"erythropolis")</f>
        <v>erythropolis</v>
      </c>
      <c r="E4476" t="str">
        <f>IFERROR(__xludf.DUMMYFUNCTION("""COMPUTED_VALUE"""),"CCM2595")</f>
        <v>CCM2595</v>
      </c>
    </row>
    <row r="4477" ht="15.75" customHeight="1">
      <c r="A4477" t="str">
        <f t="shared" si="1"/>
        <v>R.erythropolis</v>
      </c>
      <c r="B4477" s="5" t="s">
        <v>27840</v>
      </c>
      <c r="C4477" s="6" t="str">
        <f>IFERROR(__xludf.DUMMYFUNCTION("SPLIT('2. c'!B4477, "" "", True, True)"),"Rhodococcus")</f>
        <v>Rhodococcus</v>
      </c>
      <c r="D4477" t="str">
        <f>IFERROR(__xludf.DUMMYFUNCTION("""COMPUTED_VALUE"""),"erythropolis")</f>
        <v>erythropolis</v>
      </c>
      <c r="E4477" t="str">
        <f>IFERROR(__xludf.DUMMYFUNCTION("""COMPUTED_VALUE"""),"PR4")</f>
        <v>PR4</v>
      </c>
    </row>
    <row r="4478" ht="15.75" customHeight="1">
      <c r="A4478" t="str">
        <f t="shared" si="1"/>
        <v>R.erythropolis</v>
      </c>
      <c r="B4478" s="5" t="s">
        <v>27848</v>
      </c>
      <c r="C4478" s="6" t="str">
        <f>IFERROR(__xludf.DUMMYFUNCTION("SPLIT('2. c'!B4478, "" "", True, True)"),"Rhodococcus")</f>
        <v>Rhodococcus</v>
      </c>
      <c r="D4478" t="str">
        <f>IFERROR(__xludf.DUMMYFUNCTION("""COMPUTED_VALUE"""),"erythropolis")</f>
        <v>erythropolis</v>
      </c>
      <c r="E4478" t="str">
        <f>IFERROR(__xludf.DUMMYFUNCTION("""COMPUTED_VALUE"""),"R138")</f>
        <v>R138</v>
      </c>
    </row>
    <row r="4479" ht="15.75" customHeight="1">
      <c r="A4479" t="str">
        <f t="shared" si="1"/>
        <v>R.erythropolis</v>
      </c>
      <c r="B4479" s="5" t="s">
        <v>27857</v>
      </c>
      <c r="C4479" s="6" t="str">
        <f>IFERROR(__xludf.DUMMYFUNCTION("SPLIT('2. c'!B4479, "" "", True, True)"),"Rhodococcus")</f>
        <v>Rhodococcus</v>
      </c>
      <c r="D4479" t="str">
        <f>IFERROR(__xludf.DUMMYFUNCTION("""COMPUTED_VALUE"""),"erythropolis")</f>
        <v>erythropolis</v>
      </c>
      <c r="E4479" t="str">
        <f>IFERROR(__xludf.DUMMYFUNCTION("""COMPUTED_VALUE"""),"strain")</f>
        <v>strain</v>
      </c>
      <c r="F4479" t="str">
        <f>IFERROR(__xludf.DUMMYFUNCTION("""COMPUTED_VALUE"""),"BG43")</f>
        <v>BG43</v>
      </c>
    </row>
    <row r="4480" ht="15.75" customHeight="1">
      <c r="A4480" t="str">
        <f t="shared" si="1"/>
        <v>R.fascians</v>
      </c>
      <c r="B4480" s="5" t="s">
        <v>27871</v>
      </c>
      <c r="C4480" s="6" t="str">
        <f>IFERROR(__xludf.DUMMYFUNCTION("SPLIT('2. c'!B4480, "" "", True, True)"),"Rhodococcus")</f>
        <v>Rhodococcus</v>
      </c>
      <c r="D4480" t="str">
        <f>IFERROR(__xludf.DUMMYFUNCTION("""COMPUTED_VALUE"""),"fascians")</f>
        <v>fascians</v>
      </c>
      <c r="E4480" t="str">
        <f>IFERROR(__xludf.DUMMYFUNCTION("""COMPUTED_VALUE"""),"D188")</f>
        <v>D188</v>
      </c>
    </row>
    <row r="4481" ht="15.75" customHeight="1">
      <c r="A4481" t="str">
        <f t="shared" si="1"/>
        <v>R.jostii</v>
      </c>
      <c r="B4481" s="5" t="s">
        <v>27878</v>
      </c>
      <c r="C4481" s="6" t="str">
        <f>IFERROR(__xludf.DUMMYFUNCTION("SPLIT('2. c'!B4481, "" "", True, True)"),"Rhodococcus")</f>
        <v>Rhodococcus</v>
      </c>
      <c r="D4481" t="str">
        <f>IFERROR(__xludf.DUMMYFUNCTION("""COMPUTED_VALUE"""),"jostii")</f>
        <v>jostii</v>
      </c>
      <c r="E4481" t="str">
        <f>IFERROR(__xludf.DUMMYFUNCTION("""COMPUTED_VALUE"""),"RHA1")</f>
        <v>RHA1</v>
      </c>
    </row>
    <row r="4482" ht="15.75" customHeight="1">
      <c r="A4482" t="str">
        <f t="shared" si="1"/>
        <v>R.opacus</v>
      </c>
      <c r="B4482" s="5" t="s">
        <v>27888</v>
      </c>
      <c r="C4482" s="6" t="str">
        <f>IFERROR(__xludf.DUMMYFUNCTION("SPLIT('2. c'!B4482, "" "", True, True)"),"Rhodococcus")</f>
        <v>Rhodococcus</v>
      </c>
      <c r="D4482" t="str">
        <f>IFERROR(__xludf.DUMMYFUNCTION("""COMPUTED_VALUE"""),"opacus")</f>
        <v>opacus</v>
      </c>
      <c r="E4482" t="str">
        <f>IFERROR(__xludf.DUMMYFUNCTION("""COMPUTED_VALUE"""),"B4")</f>
        <v>B4</v>
      </c>
    </row>
    <row r="4483" ht="15.75" customHeight="1">
      <c r="A4483" t="str">
        <f t="shared" si="1"/>
        <v>R.opacus</v>
      </c>
      <c r="B4483" s="5" t="s">
        <v>27895</v>
      </c>
      <c r="C4483" s="6" t="str">
        <f>IFERROR(__xludf.DUMMYFUNCTION("SPLIT('2. c'!B4483, "" "", True, True)"),"Rhodococcus")</f>
        <v>Rhodococcus</v>
      </c>
      <c r="D4483" t="str">
        <f>IFERROR(__xludf.DUMMYFUNCTION("""COMPUTED_VALUE"""),"opacus")</f>
        <v>opacus</v>
      </c>
      <c r="E4483" t="str">
        <f>IFERROR(__xludf.DUMMYFUNCTION("""COMPUTED_VALUE"""),"PD630")</f>
        <v>PD630</v>
      </c>
    </row>
    <row r="4484" ht="15.75" customHeight="1">
      <c r="A4484" t="str">
        <f t="shared" si="1"/>
        <v>R.opacus</v>
      </c>
      <c r="B4484" s="5" t="s">
        <v>27902</v>
      </c>
      <c r="C4484" s="6" t="str">
        <f>IFERROR(__xludf.DUMMYFUNCTION("SPLIT('2. c'!B4484, "" "", True, True)"),"Rhodococcus")</f>
        <v>Rhodococcus</v>
      </c>
      <c r="D4484" t="str">
        <f>IFERROR(__xludf.DUMMYFUNCTION("""COMPUTED_VALUE"""),"opacus")</f>
        <v>opacus</v>
      </c>
      <c r="E4484" t="str">
        <f>IFERROR(__xludf.DUMMYFUNCTION("""COMPUTED_VALUE"""),"strain")</f>
        <v>strain</v>
      </c>
      <c r="F4484" t="str">
        <f>IFERROR(__xludf.DUMMYFUNCTION("""COMPUTED_VALUE"""),"R7")</f>
        <v>R7</v>
      </c>
    </row>
    <row r="4485" ht="15.75" customHeight="1">
      <c r="A4485" t="str">
        <f t="shared" si="1"/>
        <v>R.pyridinivorans</v>
      </c>
      <c r="B4485" s="5" t="s">
        <v>27910</v>
      </c>
      <c r="C4485" s="6" t="str">
        <f>IFERROR(__xludf.DUMMYFUNCTION("SPLIT('2. c'!B4485, "" "", True, True)"),"Rhodococcus")</f>
        <v>Rhodococcus</v>
      </c>
      <c r="D4485" t="str">
        <f>IFERROR(__xludf.DUMMYFUNCTION("""COMPUTED_VALUE"""),"pyridinivorans")</f>
        <v>pyridinivorans</v>
      </c>
      <c r="E4485" t="str">
        <f>IFERROR(__xludf.DUMMYFUNCTION("""COMPUTED_VALUE"""),"SB3094")</f>
        <v>SB3094</v>
      </c>
    </row>
    <row r="4486" ht="15.75" customHeight="1">
      <c r="A4486" t="str">
        <f t="shared" si="1"/>
        <v>R.sp.</v>
      </c>
      <c r="B4486" s="5" t="s">
        <v>27917</v>
      </c>
      <c r="C4486" s="6" t="str">
        <f>IFERROR(__xludf.DUMMYFUNCTION("SPLIT('2. c'!B4486, "" "", True, True)"),"Rhodococcus")</f>
        <v>Rhodococcus</v>
      </c>
      <c r="D4486" t="str">
        <f>IFERROR(__xludf.DUMMYFUNCTION("""COMPUTED_VALUE"""),"sp.")</f>
        <v>sp.</v>
      </c>
      <c r="E4486" t="str">
        <f>IFERROR(__xludf.DUMMYFUNCTION("""COMPUTED_VALUE"""),"B7740")</f>
        <v>B7740</v>
      </c>
    </row>
    <row r="4487" ht="15.75" customHeight="1">
      <c r="A4487" t="str">
        <f t="shared" si="1"/>
        <v>R.sp.</v>
      </c>
      <c r="B4487" s="5" t="s">
        <v>27926</v>
      </c>
      <c r="C4487" s="6" t="str">
        <f>IFERROR(__xludf.DUMMYFUNCTION("SPLIT('2. c'!B4487, "" "", True, True)"),"Rhodococcus")</f>
        <v>Rhodococcus</v>
      </c>
      <c r="D4487" t="str">
        <f>IFERROR(__xludf.DUMMYFUNCTION("""COMPUTED_VALUE"""),"sp.")</f>
        <v>sp.</v>
      </c>
      <c r="E4487" t="str">
        <f>IFERROR(__xludf.DUMMYFUNCTION("""COMPUTED_VALUE"""),"PBTS1")</f>
        <v>PBTS1</v>
      </c>
    </row>
    <row r="4488" ht="15.75" customHeight="1">
      <c r="A4488" t="str">
        <f t="shared" si="1"/>
        <v>R.sp.</v>
      </c>
      <c r="B4488" s="5" t="s">
        <v>27933</v>
      </c>
      <c r="C4488" s="6" t="str">
        <f>IFERROR(__xludf.DUMMYFUNCTION("SPLIT('2. c'!B4488, "" "", True, True)"),"Rhodococcus")</f>
        <v>Rhodococcus</v>
      </c>
      <c r="D4488" t="str">
        <f>IFERROR(__xludf.DUMMYFUNCTION("""COMPUTED_VALUE"""),"sp.")</f>
        <v>sp.</v>
      </c>
      <c r="E4488" t="str">
        <f>IFERROR(__xludf.DUMMYFUNCTION("""COMPUTED_VALUE"""),"PBTS2")</f>
        <v>PBTS2</v>
      </c>
    </row>
    <row r="4489" ht="15.75" customHeight="1">
      <c r="A4489" t="str">
        <f t="shared" si="1"/>
        <v>R.bacterium</v>
      </c>
      <c r="B4489" s="5" t="s">
        <v>27941</v>
      </c>
      <c r="C4489" s="6" t="str">
        <f>IFERROR(__xludf.DUMMYFUNCTION("SPLIT('2. c'!B4489, "" "", True, True)"),"Rhodocyclaceae")</f>
        <v>Rhodocyclaceae</v>
      </c>
      <c r="D4489" t="str">
        <f>IFERROR(__xludf.DUMMYFUNCTION("""COMPUTED_VALUE"""),"bacterium")</f>
        <v>bacterium</v>
      </c>
      <c r="E4489" t="str">
        <f>IFERROR(__xludf.DUMMYFUNCTION("""COMPUTED_VALUE"""),"PG1-Ca6")</f>
        <v>PG1-Ca6</v>
      </c>
    </row>
    <row r="4490" ht="15.75" customHeight="1">
      <c r="A4490" t="str">
        <f t="shared" si="1"/>
        <v>R.ferrireducens</v>
      </c>
      <c r="B4490" s="5" t="s">
        <v>27949</v>
      </c>
      <c r="C4490" s="6" t="str">
        <f>IFERROR(__xludf.DUMMYFUNCTION("SPLIT('2. c'!B4490, "" "", True, True)"),"Rhodoferax")</f>
        <v>Rhodoferax</v>
      </c>
      <c r="D4490" t="str">
        <f>IFERROR(__xludf.DUMMYFUNCTION("""COMPUTED_VALUE"""),"ferrireducens")</f>
        <v>ferrireducens</v>
      </c>
      <c r="E4490" t="str">
        <f>IFERROR(__xludf.DUMMYFUNCTION("""COMPUTED_VALUE"""),"T118")</f>
        <v>T118</v>
      </c>
    </row>
    <row r="4491" ht="15.75" customHeight="1">
      <c r="A4491" t="str">
        <f t="shared" si="1"/>
        <v>R.vannielii</v>
      </c>
      <c r="B4491" s="5" t="s">
        <v>27956</v>
      </c>
      <c r="C4491" s="6" t="str">
        <f>IFERROR(__xludf.DUMMYFUNCTION("SPLIT('2. c'!B4491, "" "", True, True)"),"Rhodomicrobium")</f>
        <v>Rhodomicrobium</v>
      </c>
      <c r="D4491" t="str">
        <f>IFERROR(__xludf.DUMMYFUNCTION("""COMPUTED_VALUE"""),"vannielii")</f>
        <v>vannielii</v>
      </c>
      <c r="E4491" t="str">
        <f>IFERROR(__xludf.DUMMYFUNCTION("""COMPUTED_VALUE"""),"ATCC")</f>
        <v>ATCC</v>
      </c>
      <c r="F4491">
        <f>IFERROR(__xludf.DUMMYFUNCTION("""COMPUTED_VALUE"""),17100.0)</f>
        <v>17100</v>
      </c>
    </row>
    <row r="4492" ht="15.75" customHeight="1">
      <c r="A4492" t="str">
        <f t="shared" si="1"/>
        <v>R.baltica</v>
      </c>
      <c r="B4492" s="5" t="s">
        <v>27966</v>
      </c>
      <c r="C4492" s="6" t="str">
        <f>IFERROR(__xludf.DUMMYFUNCTION("SPLIT('2. c'!B4492, "" "", True, True)"),"Rhodopirellula")</f>
        <v>Rhodopirellula</v>
      </c>
      <c r="D4492" t="str">
        <f>IFERROR(__xludf.DUMMYFUNCTION("""COMPUTED_VALUE"""),"baltica")</f>
        <v>baltica</v>
      </c>
      <c r="E4492" t="str">
        <f>IFERROR(__xludf.DUMMYFUNCTION("""COMPUTED_VALUE"""),"SH")</f>
        <v>SH</v>
      </c>
      <c r="F4492">
        <f>IFERROR(__xludf.DUMMYFUNCTION("""COMPUTED_VALUE"""),1.0)</f>
        <v>1</v>
      </c>
    </row>
    <row r="4493" ht="15.75" customHeight="1">
      <c r="A4493" t="str">
        <f t="shared" si="1"/>
        <v>R.sp.</v>
      </c>
      <c r="B4493" s="5" t="s">
        <v>27973</v>
      </c>
      <c r="C4493" s="6" t="str">
        <f>IFERROR(__xludf.DUMMYFUNCTION("SPLIT('2. c'!B4493, "" "", True, True)"),"Rhodoplanes")</f>
        <v>Rhodoplanes</v>
      </c>
      <c r="D4493" t="str">
        <f>IFERROR(__xludf.DUMMYFUNCTION("""COMPUTED_VALUE"""),"sp.")</f>
        <v>sp.</v>
      </c>
      <c r="E4493" t="str">
        <f>IFERROR(__xludf.DUMMYFUNCTION("""COMPUTED_VALUE"""),"Z2-YC6860")</f>
        <v>Z2-YC6860</v>
      </c>
    </row>
    <row r="4494" ht="15.75" customHeight="1">
      <c r="A4494" t="str">
        <f t="shared" si="1"/>
        <v>R.palustris</v>
      </c>
      <c r="B4494" s="5" t="s">
        <v>27986</v>
      </c>
      <c r="C4494" s="6" t="str">
        <f>IFERROR(__xludf.DUMMYFUNCTION("SPLIT('2. c'!B4494, "" "", True, True)"),"Rhodopseudomonas")</f>
        <v>Rhodopseudomonas</v>
      </c>
      <c r="D4494" t="str">
        <f>IFERROR(__xludf.DUMMYFUNCTION("""COMPUTED_VALUE"""),"palustris")</f>
        <v>palustris</v>
      </c>
      <c r="E4494" t="str">
        <f>IFERROR(__xludf.DUMMYFUNCTION("""COMPUTED_VALUE"""),"BisA53")</f>
        <v>BisA53</v>
      </c>
    </row>
    <row r="4495" ht="15.75" customHeight="1">
      <c r="A4495" t="str">
        <f t="shared" si="1"/>
        <v>R.palustris</v>
      </c>
      <c r="B4495" s="5" t="s">
        <v>27995</v>
      </c>
      <c r="C4495" s="6" t="str">
        <f>IFERROR(__xludf.DUMMYFUNCTION("SPLIT('2. c'!B4495, "" "", True, True)"),"Rhodopseudomonas")</f>
        <v>Rhodopseudomonas</v>
      </c>
      <c r="D4495" t="str">
        <f>IFERROR(__xludf.DUMMYFUNCTION("""COMPUTED_VALUE"""),"palustris")</f>
        <v>palustris</v>
      </c>
      <c r="E4495" t="str">
        <f>IFERROR(__xludf.DUMMYFUNCTION("""COMPUTED_VALUE"""),"BisB18")</f>
        <v>BisB18</v>
      </c>
    </row>
    <row r="4496" ht="15.75" customHeight="1">
      <c r="A4496" t="str">
        <f t="shared" si="1"/>
        <v>R.palustris</v>
      </c>
      <c r="B4496" s="5" t="s">
        <v>28003</v>
      </c>
      <c r="C4496" s="6" t="str">
        <f>IFERROR(__xludf.DUMMYFUNCTION("SPLIT('2. c'!B4496, "" "", True, True)"),"Rhodopseudomonas")</f>
        <v>Rhodopseudomonas</v>
      </c>
      <c r="D4496" t="str">
        <f>IFERROR(__xludf.DUMMYFUNCTION("""COMPUTED_VALUE"""),"palustris")</f>
        <v>palustris</v>
      </c>
      <c r="E4496" t="str">
        <f>IFERROR(__xludf.DUMMYFUNCTION("""COMPUTED_VALUE"""),"BisB5")</f>
        <v>BisB5</v>
      </c>
    </row>
    <row r="4497" ht="15.75" customHeight="1">
      <c r="A4497" t="str">
        <f t="shared" si="1"/>
        <v>R.palustris</v>
      </c>
      <c r="B4497" s="5" t="s">
        <v>28011</v>
      </c>
      <c r="C4497" s="6" t="str">
        <f>IFERROR(__xludf.DUMMYFUNCTION("SPLIT('2. c'!B4497, "" "", True, True)"),"Rhodopseudomonas")</f>
        <v>Rhodopseudomonas</v>
      </c>
      <c r="D4497" t="str">
        <f>IFERROR(__xludf.DUMMYFUNCTION("""COMPUTED_VALUE"""),"palustris")</f>
        <v>palustris</v>
      </c>
      <c r="E4497" t="str">
        <f>IFERROR(__xludf.DUMMYFUNCTION("""COMPUTED_VALUE"""),"CGA009")</f>
        <v>CGA009</v>
      </c>
    </row>
    <row r="4498" ht="15.75" customHeight="1">
      <c r="A4498" t="str">
        <f t="shared" si="1"/>
        <v>R.palustris</v>
      </c>
      <c r="B4498" s="5" t="s">
        <v>28019</v>
      </c>
      <c r="C4498" s="6" t="str">
        <f>IFERROR(__xludf.DUMMYFUNCTION("SPLIT('2. c'!B4498, "" "", True, True)"),"Rhodopseudomonas")</f>
        <v>Rhodopseudomonas</v>
      </c>
      <c r="D4498" t="str">
        <f>IFERROR(__xludf.DUMMYFUNCTION("""COMPUTED_VALUE"""),"palustris")</f>
        <v>palustris</v>
      </c>
      <c r="E4498" t="str">
        <f>IFERROR(__xludf.DUMMYFUNCTION("""COMPUTED_VALUE"""),"DX-1")</f>
        <v>DX-1</v>
      </c>
    </row>
    <row r="4499" ht="15.75" customHeight="1">
      <c r="A4499" t="str">
        <f t="shared" si="1"/>
        <v>R.palustris</v>
      </c>
      <c r="B4499" s="5" t="s">
        <v>28028</v>
      </c>
      <c r="C4499" s="6" t="str">
        <f>IFERROR(__xludf.DUMMYFUNCTION("SPLIT('2. c'!B4499, "" "", True, True)"),"Rhodopseudomonas")</f>
        <v>Rhodopseudomonas</v>
      </c>
      <c r="D4499" t="str">
        <f>IFERROR(__xludf.DUMMYFUNCTION("""COMPUTED_VALUE"""),"palustris")</f>
        <v>palustris</v>
      </c>
      <c r="E4499" t="str">
        <f>IFERROR(__xludf.DUMMYFUNCTION("""COMPUTED_VALUE"""),"HaA2")</f>
        <v>HaA2</v>
      </c>
    </row>
    <row r="4500" ht="15.75" customHeight="1">
      <c r="A4500" t="str">
        <f t="shared" si="1"/>
        <v>R.palustris</v>
      </c>
      <c r="B4500" s="5" t="s">
        <v>28036</v>
      </c>
      <c r="C4500" s="6" t="str">
        <f>IFERROR(__xludf.DUMMYFUNCTION("SPLIT('2. c'!B4500, "" "", True, True)"),"Rhodopseudomonas")</f>
        <v>Rhodopseudomonas</v>
      </c>
      <c r="D4500" t="str">
        <f>IFERROR(__xludf.DUMMYFUNCTION("""COMPUTED_VALUE"""),"palustris")</f>
        <v>palustris</v>
      </c>
      <c r="E4500" t="str">
        <f>IFERROR(__xludf.DUMMYFUNCTION("""COMPUTED_VALUE"""),"TIE-1")</f>
        <v>TIE-1</v>
      </c>
    </row>
    <row r="4501" ht="15.75" customHeight="1">
      <c r="A4501" t="str">
        <f t="shared" si="1"/>
        <v>R.centenum</v>
      </c>
      <c r="B4501" s="5" t="s">
        <v>28048</v>
      </c>
      <c r="C4501" s="6" t="str">
        <f>IFERROR(__xludf.DUMMYFUNCTION("SPLIT('2. c'!B4501, "" "", True, True)"),"Rhodospirillum")</f>
        <v>Rhodospirillum</v>
      </c>
      <c r="D4501" t="str">
        <f>IFERROR(__xludf.DUMMYFUNCTION("""COMPUTED_VALUE"""),"centenum")</f>
        <v>centenum</v>
      </c>
      <c r="E4501" t="str">
        <f>IFERROR(__xludf.DUMMYFUNCTION("""COMPUTED_VALUE"""),"SW")</f>
        <v>SW</v>
      </c>
    </row>
    <row r="4502" ht="15.75" customHeight="1">
      <c r="A4502" t="str">
        <f t="shared" si="1"/>
        <v>R.photometricum</v>
      </c>
      <c r="B4502" s="5" t="s">
        <v>28054</v>
      </c>
      <c r="C4502" s="6" t="str">
        <f>IFERROR(__xludf.DUMMYFUNCTION("SPLIT('2. c'!B4502, "" "", True, True)"),"Rhodospirillum")</f>
        <v>Rhodospirillum</v>
      </c>
      <c r="D4502" t="str">
        <f>IFERROR(__xludf.DUMMYFUNCTION("""COMPUTED_VALUE"""),"photometricum")</f>
        <v>photometricum</v>
      </c>
      <c r="E4502" t="str">
        <f>IFERROR(__xludf.DUMMYFUNCTION("""COMPUTED_VALUE"""),"DSM")</f>
        <v>DSM</v>
      </c>
      <c r="F4502">
        <f>IFERROR(__xludf.DUMMYFUNCTION("""COMPUTED_VALUE"""),122.0)</f>
        <v>122</v>
      </c>
    </row>
    <row r="4503" ht="15.75" customHeight="1">
      <c r="A4503" t="str">
        <f t="shared" si="1"/>
        <v>R.rubrum</v>
      </c>
      <c r="B4503" s="5" t="s">
        <v>28062</v>
      </c>
      <c r="C4503" s="6" t="str">
        <f>IFERROR(__xludf.DUMMYFUNCTION("SPLIT('2. c'!B4503, "" "", True, True)"),"Rhodospirillum")</f>
        <v>Rhodospirillum</v>
      </c>
      <c r="D4503" t="str">
        <f>IFERROR(__xludf.DUMMYFUNCTION("""COMPUTED_VALUE"""),"rubrum")</f>
        <v>rubrum</v>
      </c>
      <c r="E4503" t="str">
        <f>IFERROR(__xludf.DUMMYFUNCTION("""COMPUTED_VALUE"""),"ATCC")</f>
        <v>ATCC</v>
      </c>
      <c r="F4503">
        <f>IFERROR(__xludf.DUMMYFUNCTION("""COMPUTED_VALUE"""),11170.0)</f>
        <v>11170</v>
      </c>
    </row>
    <row r="4504" ht="15.75" customHeight="1">
      <c r="A4504" t="str">
        <f t="shared" si="1"/>
        <v>R.rubrum</v>
      </c>
      <c r="B4504" s="5" t="s">
        <v>28069</v>
      </c>
      <c r="C4504" s="6" t="str">
        <f>IFERROR(__xludf.DUMMYFUNCTION("SPLIT('2. c'!B4504, "" "", True, True)"),"Rhodospirillum")</f>
        <v>Rhodospirillum</v>
      </c>
      <c r="D4504" t="str">
        <f>IFERROR(__xludf.DUMMYFUNCTION("""COMPUTED_VALUE"""),"rubrum")</f>
        <v>rubrum</v>
      </c>
      <c r="E4504" t="str">
        <f>IFERROR(__xludf.DUMMYFUNCTION("""COMPUTED_VALUE"""),"F11")</f>
        <v>F11</v>
      </c>
    </row>
    <row r="4505" ht="15.75" customHeight="1">
      <c r="A4505" t="str">
        <f t="shared" si="1"/>
        <v>R.marinus</v>
      </c>
      <c r="B4505" s="5" t="s">
        <v>28077</v>
      </c>
      <c r="C4505" s="6" t="str">
        <f>IFERROR(__xludf.DUMMYFUNCTION("SPLIT('2. c'!B4505, "" "", True, True)"),"Rhodothermus")</f>
        <v>Rhodothermus</v>
      </c>
      <c r="D4505" t="str">
        <f>IFERROR(__xludf.DUMMYFUNCTION("""COMPUTED_VALUE"""),"marinus")</f>
        <v>marinus</v>
      </c>
      <c r="E4505" t="str">
        <f>IFERROR(__xludf.DUMMYFUNCTION("""COMPUTED_VALUE"""),"DSM")</f>
        <v>DSM</v>
      </c>
      <c r="F4505">
        <f>IFERROR(__xludf.DUMMYFUNCTION("""COMPUTED_VALUE"""),4252.0)</f>
        <v>4252</v>
      </c>
    </row>
    <row r="4506" ht="15.75" customHeight="1">
      <c r="A4506" t="str">
        <f t="shared" si="1"/>
        <v>R.marinus</v>
      </c>
      <c r="B4506" s="5" t="s">
        <v>28084</v>
      </c>
      <c r="C4506" s="6" t="str">
        <f>IFERROR(__xludf.DUMMYFUNCTION("SPLIT('2. c'!B4506, "" "", True, True)"),"Rhodothermus")</f>
        <v>Rhodothermus</v>
      </c>
      <c r="D4506" t="str">
        <f>IFERROR(__xludf.DUMMYFUNCTION("""COMPUTED_VALUE"""),"marinus")</f>
        <v>marinus</v>
      </c>
      <c r="E4506" t="str">
        <f>IFERROR(__xludf.DUMMYFUNCTION("""COMPUTED_VALUE"""),"SG0.5JP17-172")</f>
        <v>SG0.5JP17-172</v>
      </c>
    </row>
    <row r="4507" ht="15.75" customHeight="1">
      <c r="A4507" t="str">
        <f t="shared" si="1"/>
        <v>R.sulfidophilum</v>
      </c>
      <c r="B4507" s="5" t="s">
        <v>28090</v>
      </c>
      <c r="C4507" s="6" t="str">
        <f>IFERROR(__xludf.DUMMYFUNCTION("SPLIT('2. c'!B4507, "" "", True, True)"),"Rhodovulum")</f>
        <v>Rhodovulum</v>
      </c>
      <c r="D4507" t="str">
        <f>IFERROR(__xludf.DUMMYFUNCTION("""COMPUTED_VALUE"""),"sulfidophilum")</f>
        <v>sulfidophilum</v>
      </c>
      <c r="E4507" t="str">
        <f>IFERROR(__xludf.DUMMYFUNCTION("""COMPUTED_VALUE"""),"DSM")</f>
        <v>DSM</v>
      </c>
      <c r="F4507">
        <f>IFERROR(__xludf.DUMMYFUNCTION("""COMPUTED_VALUE"""),1374.0)</f>
        <v>1374</v>
      </c>
    </row>
    <row r="4508" ht="15.75" customHeight="1">
      <c r="A4508" t="str">
        <f t="shared" si="1"/>
        <v>R.sulfidophilum</v>
      </c>
      <c r="B4508" s="5" t="s">
        <v>28090</v>
      </c>
      <c r="C4508" s="6" t="str">
        <f>IFERROR(__xludf.DUMMYFUNCTION("SPLIT('2. c'!B4508, "" "", True, True)"),"Rhodovulum")</f>
        <v>Rhodovulum</v>
      </c>
      <c r="D4508" t="str">
        <f>IFERROR(__xludf.DUMMYFUNCTION("""COMPUTED_VALUE"""),"sulfidophilum")</f>
        <v>sulfidophilum</v>
      </c>
      <c r="E4508" t="str">
        <f>IFERROR(__xludf.DUMMYFUNCTION("""COMPUTED_VALUE"""),"DSM")</f>
        <v>DSM</v>
      </c>
      <c r="F4508">
        <f>IFERROR(__xludf.DUMMYFUNCTION("""COMPUTED_VALUE"""),1374.0)</f>
        <v>1374</v>
      </c>
    </row>
    <row r="4509" ht="15.75" customHeight="1">
      <c r="A4509" t="str">
        <f t="shared" si="1"/>
        <v>R.sulfidophilum</v>
      </c>
      <c r="B4509" s="5" t="s">
        <v>28103</v>
      </c>
      <c r="C4509" s="6" t="str">
        <f>IFERROR(__xludf.DUMMYFUNCTION("SPLIT('2. c'!B4509, "" "", True, True)"),"Rhodovulum")</f>
        <v>Rhodovulum</v>
      </c>
      <c r="D4509" t="str">
        <f>IFERROR(__xludf.DUMMYFUNCTION("""COMPUTED_VALUE"""),"sulfidophilum")</f>
        <v>sulfidophilum</v>
      </c>
      <c r="E4509" t="str">
        <f>IFERROR(__xludf.DUMMYFUNCTION("""COMPUTED_VALUE"""),"strain")</f>
        <v>strain</v>
      </c>
      <c r="F4509" t="str">
        <f>IFERROR(__xludf.DUMMYFUNCTION("""COMPUTED_VALUE"""),"DSM")</f>
        <v>DSM</v>
      </c>
      <c r="G4509">
        <f>IFERROR(__xludf.DUMMYFUNCTION("""COMPUTED_VALUE"""),2351.0)</f>
        <v>2351</v>
      </c>
    </row>
    <row r="4510" ht="15.75" customHeight="1">
      <c r="A4510" t="str">
        <f t="shared" si="1"/>
        <v>R.sulfidophilum</v>
      </c>
      <c r="B4510" s="5" t="s">
        <v>28111</v>
      </c>
      <c r="C4510" s="6" t="str">
        <f>IFERROR(__xludf.DUMMYFUNCTION("SPLIT('2. c'!B4510, "" "", True, True)"),"Rhodovulum")</f>
        <v>Rhodovulum</v>
      </c>
      <c r="D4510" t="str">
        <f>IFERROR(__xludf.DUMMYFUNCTION("""COMPUTED_VALUE"""),"sulfidophilum")</f>
        <v>sulfidophilum</v>
      </c>
      <c r="E4510" t="str">
        <f>IFERROR(__xludf.DUMMYFUNCTION("""COMPUTED_VALUE"""),"strain")</f>
        <v>strain</v>
      </c>
      <c r="F4510" t="str">
        <f>IFERROR(__xludf.DUMMYFUNCTION("""COMPUTED_VALUE"""),"TUT")</f>
        <v>TUT</v>
      </c>
    </row>
    <row r="4511" ht="15.75" customHeight="1">
      <c r="A4511" t="str">
        <f t="shared" si="1"/>
        <v>R.africae</v>
      </c>
      <c r="B4511" s="5" t="s">
        <v>28117</v>
      </c>
      <c r="C4511" s="6" t="str">
        <f>IFERROR(__xludf.DUMMYFUNCTION("SPLIT('2. c'!B4511, "" "", True, True)"),"Rickettsia")</f>
        <v>Rickettsia</v>
      </c>
      <c r="D4511" t="str">
        <f>IFERROR(__xludf.DUMMYFUNCTION("""COMPUTED_VALUE"""),"africae")</f>
        <v>africae</v>
      </c>
      <c r="E4511" t="str">
        <f>IFERROR(__xludf.DUMMYFUNCTION("""COMPUTED_VALUE"""),"ESF-5")</f>
        <v>ESF-5</v>
      </c>
    </row>
    <row r="4512" ht="15.75" customHeight="1">
      <c r="A4512" t="str">
        <f t="shared" si="1"/>
        <v>R.akari</v>
      </c>
      <c r="B4512" s="5" t="s">
        <v>28119</v>
      </c>
      <c r="C4512" s="6" t="str">
        <f>IFERROR(__xludf.DUMMYFUNCTION("SPLIT('2. c'!B4512, "" "", True, True)"),"Rickettsia")</f>
        <v>Rickettsia</v>
      </c>
      <c r="D4512" t="str">
        <f>IFERROR(__xludf.DUMMYFUNCTION("""COMPUTED_VALUE"""),"akari")</f>
        <v>akari</v>
      </c>
      <c r="E4512" t="str">
        <f>IFERROR(__xludf.DUMMYFUNCTION("""COMPUTED_VALUE"""),"str.")</f>
        <v>str.</v>
      </c>
      <c r="F4512" t="str">
        <f>IFERROR(__xludf.DUMMYFUNCTION("""COMPUTED_VALUE"""),"Hartford")</f>
        <v>Hartford</v>
      </c>
    </row>
    <row r="4513" ht="15.75" customHeight="1">
      <c r="A4513" t="str">
        <f t="shared" si="1"/>
        <v>R.australis</v>
      </c>
      <c r="B4513" s="5" t="s">
        <v>28124</v>
      </c>
      <c r="C4513" s="6" t="str">
        <f>IFERROR(__xludf.DUMMYFUNCTION("SPLIT('2. c'!B4513, "" "", True, True)"),"Rickettsia")</f>
        <v>Rickettsia</v>
      </c>
      <c r="D4513" t="str">
        <f>IFERROR(__xludf.DUMMYFUNCTION("""COMPUTED_VALUE"""),"australis")</f>
        <v>australis</v>
      </c>
      <c r="E4513" t="str">
        <f>IFERROR(__xludf.DUMMYFUNCTION("""COMPUTED_VALUE"""),"str.")</f>
        <v>str.</v>
      </c>
      <c r="F4513" t="str">
        <f>IFERROR(__xludf.DUMMYFUNCTION("""COMPUTED_VALUE"""),"Cutlack")</f>
        <v>Cutlack</v>
      </c>
    </row>
    <row r="4514" ht="15.75" customHeight="1">
      <c r="A4514" t="str">
        <f t="shared" si="1"/>
        <v>R.bellii</v>
      </c>
      <c r="B4514" s="5" t="s">
        <v>28129</v>
      </c>
      <c r="C4514" s="6" t="str">
        <f>IFERROR(__xludf.DUMMYFUNCTION("SPLIT('2. c'!B4514, "" "", True, True)"),"Rickettsia")</f>
        <v>Rickettsia</v>
      </c>
      <c r="D4514" t="str">
        <f>IFERROR(__xludf.DUMMYFUNCTION("""COMPUTED_VALUE"""),"bellii")</f>
        <v>bellii</v>
      </c>
      <c r="E4514" t="str">
        <f>IFERROR(__xludf.DUMMYFUNCTION("""COMPUTED_VALUE"""),"OSU")</f>
        <v>OSU</v>
      </c>
      <c r="F4514" t="str">
        <f>IFERROR(__xludf.DUMMYFUNCTION("""COMPUTED_VALUE"""),"85-389")</f>
        <v>85-389</v>
      </c>
    </row>
    <row r="4515" ht="15.75" customHeight="1">
      <c r="A4515" t="str">
        <f t="shared" si="1"/>
        <v>R.bellii</v>
      </c>
      <c r="B4515" s="5" t="s">
        <v>28136</v>
      </c>
      <c r="C4515" s="6" t="str">
        <f>IFERROR(__xludf.DUMMYFUNCTION("SPLIT('2. c'!B4515, "" "", True, True)"),"Rickettsia")</f>
        <v>Rickettsia</v>
      </c>
      <c r="D4515" t="str">
        <f>IFERROR(__xludf.DUMMYFUNCTION("""COMPUTED_VALUE"""),"bellii")</f>
        <v>bellii</v>
      </c>
      <c r="E4515" t="str">
        <f>IFERROR(__xludf.DUMMYFUNCTION("""COMPUTED_VALUE"""),"RML369-C")</f>
        <v>RML369-C</v>
      </c>
    </row>
    <row r="4516" ht="15.75" customHeight="1">
      <c r="A4516" t="str">
        <f t="shared" si="1"/>
        <v>R.bellii</v>
      </c>
      <c r="B4516" s="5" t="s">
        <v>28144</v>
      </c>
      <c r="C4516" s="6" t="str">
        <f>IFERROR(__xludf.DUMMYFUNCTION("SPLIT('2. c'!B4516, "" "", True, True)"),"Rickettsia")</f>
        <v>Rickettsia</v>
      </c>
      <c r="D4516" t="str">
        <f>IFERROR(__xludf.DUMMYFUNCTION("""COMPUTED_VALUE"""),"bellii")</f>
        <v>bellii</v>
      </c>
      <c r="E4516" t="str">
        <f>IFERROR(__xludf.DUMMYFUNCTION("""COMPUTED_VALUE"""),"str.")</f>
        <v>str.</v>
      </c>
      <c r="F4516" t="str">
        <f>IFERROR(__xludf.DUMMYFUNCTION("""COMPUTED_VALUE"""),"RML")</f>
        <v>RML</v>
      </c>
      <c r="G4516" t="str">
        <f>IFERROR(__xludf.DUMMYFUNCTION("""COMPUTED_VALUE"""),"An4")</f>
        <v>An4</v>
      </c>
    </row>
    <row r="4517" ht="15.75" customHeight="1">
      <c r="A4517" t="str">
        <f t="shared" si="1"/>
        <v>R.canadensis</v>
      </c>
      <c r="B4517" s="5" t="s">
        <v>28151</v>
      </c>
      <c r="C4517" s="6" t="str">
        <f>IFERROR(__xludf.DUMMYFUNCTION("SPLIT('2. c'!B4517, "" "", True, True)"),"Rickettsia")</f>
        <v>Rickettsia</v>
      </c>
      <c r="D4517" t="str">
        <f>IFERROR(__xludf.DUMMYFUNCTION("""COMPUTED_VALUE"""),"canadensis")</f>
        <v>canadensis</v>
      </c>
      <c r="E4517" t="str">
        <f>IFERROR(__xludf.DUMMYFUNCTION("""COMPUTED_VALUE"""),"str.")</f>
        <v>str.</v>
      </c>
      <c r="F4517" t="str">
        <f>IFERROR(__xludf.DUMMYFUNCTION("""COMPUTED_VALUE"""),"CA410")</f>
        <v>CA410</v>
      </c>
    </row>
    <row r="4518" ht="15.75" customHeight="1">
      <c r="A4518" t="str">
        <f t="shared" si="1"/>
        <v>R.canadensis</v>
      </c>
      <c r="B4518" s="5" t="s">
        <v>28162</v>
      </c>
      <c r="C4518" s="6" t="str">
        <f>IFERROR(__xludf.DUMMYFUNCTION("SPLIT('2. c'!B4518, "" "", True, True)"),"Rickettsia")</f>
        <v>Rickettsia</v>
      </c>
      <c r="D4518" t="str">
        <f>IFERROR(__xludf.DUMMYFUNCTION("""COMPUTED_VALUE"""),"canadensis")</f>
        <v>canadensis</v>
      </c>
      <c r="E4518" t="str">
        <f>IFERROR(__xludf.DUMMYFUNCTION("""COMPUTED_VALUE"""),"str.")</f>
        <v>str.</v>
      </c>
      <c r="F4518" t="str">
        <f>IFERROR(__xludf.DUMMYFUNCTION("""COMPUTED_VALUE"""),"McKiel")</f>
        <v>McKiel</v>
      </c>
    </row>
    <row r="4519" ht="15.75" customHeight="1">
      <c r="A4519" t="str">
        <f t="shared" si="1"/>
        <v>R.conorii</v>
      </c>
      <c r="B4519" s="5" t="s">
        <v>28168</v>
      </c>
      <c r="C4519" s="6" t="str">
        <f>IFERROR(__xludf.DUMMYFUNCTION("SPLIT('2. c'!B4519, "" "", True, True)"),"Rickettsia")</f>
        <v>Rickettsia</v>
      </c>
      <c r="D4519" t="str">
        <f>IFERROR(__xludf.DUMMYFUNCTION("""COMPUTED_VALUE"""),"conorii")</f>
        <v>conorii</v>
      </c>
      <c r="E4519" t="str">
        <f>IFERROR(__xludf.DUMMYFUNCTION("""COMPUTED_VALUE"""),"str.")</f>
        <v>str.</v>
      </c>
      <c r="F4519" t="str">
        <f>IFERROR(__xludf.DUMMYFUNCTION("""COMPUTED_VALUE"""),"Malish")</f>
        <v>Malish</v>
      </c>
      <c r="G4519">
        <f>IFERROR(__xludf.DUMMYFUNCTION("""COMPUTED_VALUE"""),7.0)</f>
        <v>7</v>
      </c>
    </row>
    <row r="4520" ht="15.75" customHeight="1">
      <c r="A4520" t="str">
        <f t="shared" si="1"/>
        <v>R.felis</v>
      </c>
      <c r="B4520" s="5" t="s">
        <v>28176</v>
      </c>
      <c r="C4520" s="6" t="str">
        <f>IFERROR(__xludf.DUMMYFUNCTION("SPLIT('2. c'!B4520, "" "", True, True)"),"Rickettsia")</f>
        <v>Rickettsia</v>
      </c>
      <c r="D4520" t="str">
        <f>IFERROR(__xludf.DUMMYFUNCTION("""COMPUTED_VALUE"""),"felis")</f>
        <v>felis</v>
      </c>
      <c r="E4520" t="str">
        <f>IFERROR(__xludf.DUMMYFUNCTION("""COMPUTED_VALUE"""),"str.")</f>
        <v>str.</v>
      </c>
      <c r="F4520" t="str">
        <f>IFERROR(__xludf.DUMMYFUNCTION("""COMPUTED_VALUE"""),"Pedreira")</f>
        <v>Pedreira</v>
      </c>
    </row>
    <row r="4521" ht="15.75" customHeight="1">
      <c r="A4521" t="str">
        <f t="shared" si="1"/>
        <v>R.felis</v>
      </c>
      <c r="B4521" s="5" t="s">
        <v>28182</v>
      </c>
      <c r="C4521" s="6" t="str">
        <f>IFERROR(__xludf.DUMMYFUNCTION("SPLIT('2. c'!B4521, "" "", True, True)"),"Rickettsia")</f>
        <v>Rickettsia</v>
      </c>
      <c r="D4521" t="str">
        <f>IFERROR(__xludf.DUMMYFUNCTION("""COMPUTED_VALUE"""),"felis")</f>
        <v>felis</v>
      </c>
      <c r="E4521" t="str">
        <f>IFERROR(__xludf.DUMMYFUNCTION("""COMPUTED_VALUE"""),"URRWXCal2")</f>
        <v>URRWXCal2</v>
      </c>
    </row>
    <row r="4522" ht="15.75" customHeight="1">
      <c r="A4522" t="str">
        <f t="shared" si="1"/>
        <v>R.heilongjiangensis</v>
      </c>
      <c r="B4522" s="5" t="s">
        <v>28186</v>
      </c>
      <c r="C4522" s="6" t="str">
        <f>IFERROR(__xludf.DUMMYFUNCTION("SPLIT('2. c'!B4522, "" "", True, True)"),"Rickettsia")</f>
        <v>Rickettsia</v>
      </c>
      <c r="D4522" t="str">
        <f>IFERROR(__xludf.DUMMYFUNCTION("""COMPUTED_VALUE"""),"heilongjiangensis")</f>
        <v>heilongjiangensis</v>
      </c>
      <c r="E4522">
        <f>IFERROR(__xludf.DUMMYFUNCTION("""COMPUTED_VALUE"""),54.0)</f>
        <v>54</v>
      </c>
    </row>
    <row r="4523" ht="15.75" customHeight="1">
      <c r="A4523" t="str">
        <f t="shared" si="1"/>
        <v>R.japonica</v>
      </c>
      <c r="B4523" s="5" t="s">
        <v>28191</v>
      </c>
      <c r="C4523" s="6" t="str">
        <f>IFERROR(__xludf.DUMMYFUNCTION("SPLIT('2. c'!B4523, "" "", True, True)"),"Rickettsia")</f>
        <v>Rickettsia</v>
      </c>
      <c r="D4523" t="str">
        <f>IFERROR(__xludf.DUMMYFUNCTION("""COMPUTED_VALUE"""),"japonica")</f>
        <v>japonica</v>
      </c>
      <c r="E4523" t="str">
        <f>IFERROR(__xludf.DUMMYFUNCTION("""COMPUTED_VALUE"""),"YH")</f>
        <v>YH</v>
      </c>
    </row>
    <row r="4524" ht="15.75" customHeight="1">
      <c r="A4524" t="str">
        <f t="shared" si="1"/>
        <v>R.massiliae</v>
      </c>
      <c r="B4524" s="5" t="s">
        <v>28197</v>
      </c>
      <c r="C4524" s="6" t="str">
        <f>IFERROR(__xludf.DUMMYFUNCTION("SPLIT('2. c'!B4524, "" "", True, True)"),"Rickettsia")</f>
        <v>Rickettsia</v>
      </c>
      <c r="D4524" t="str">
        <f>IFERROR(__xludf.DUMMYFUNCTION("""COMPUTED_VALUE"""),"massiliae")</f>
        <v>massiliae</v>
      </c>
      <c r="E4524" t="str">
        <f>IFERROR(__xludf.DUMMYFUNCTION("""COMPUTED_VALUE"""),"MTU5")</f>
        <v>MTU5</v>
      </c>
    </row>
    <row r="4525" ht="15.75" customHeight="1">
      <c r="A4525" t="str">
        <f t="shared" si="1"/>
        <v>R.massiliae</v>
      </c>
      <c r="B4525" s="5" t="s">
        <v>28204</v>
      </c>
      <c r="C4525" s="6" t="str">
        <f>IFERROR(__xludf.DUMMYFUNCTION("SPLIT('2. c'!B4525, "" "", True, True)"),"Rickettsia")</f>
        <v>Rickettsia</v>
      </c>
      <c r="D4525" t="str">
        <f>IFERROR(__xludf.DUMMYFUNCTION("""COMPUTED_VALUE"""),"massiliae")</f>
        <v>massiliae</v>
      </c>
      <c r="E4525" t="str">
        <f>IFERROR(__xludf.DUMMYFUNCTION("""COMPUTED_VALUE"""),"str.")</f>
        <v>str.</v>
      </c>
      <c r="F4525" t="str">
        <f>IFERROR(__xludf.DUMMYFUNCTION("""COMPUTED_VALUE"""),"AZT80")</f>
        <v>AZT80</v>
      </c>
    </row>
    <row r="4526" ht="15.75" customHeight="1">
      <c r="A4526" t="str">
        <f t="shared" si="1"/>
        <v>R.montanensis</v>
      </c>
      <c r="B4526" s="5" t="s">
        <v>28210</v>
      </c>
      <c r="C4526" s="6" t="str">
        <f>IFERROR(__xludf.DUMMYFUNCTION("SPLIT('2. c'!B4526, "" "", True, True)"),"Rickettsia")</f>
        <v>Rickettsia</v>
      </c>
      <c r="D4526" t="str">
        <f>IFERROR(__xludf.DUMMYFUNCTION("""COMPUTED_VALUE"""),"montanensis")</f>
        <v>montanensis</v>
      </c>
      <c r="E4526" t="str">
        <f>IFERROR(__xludf.DUMMYFUNCTION("""COMPUTED_VALUE"""),"str.")</f>
        <v>str.</v>
      </c>
      <c r="F4526" t="str">
        <f>IFERROR(__xludf.DUMMYFUNCTION("""COMPUTED_VALUE"""),"OSU")</f>
        <v>OSU</v>
      </c>
      <c r="G4526" t="str">
        <f>IFERROR(__xludf.DUMMYFUNCTION("""COMPUTED_VALUE"""),"85-930")</f>
        <v>85-930</v>
      </c>
    </row>
    <row r="4527" ht="15.75" customHeight="1">
      <c r="A4527" t="str">
        <f t="shared" si="1"/>
        <v>R.parkeri</v>
      </c>
      <c r="B4527" s="5" t="s">
        <v>28216</v>
      </c>
      <c r="C4527" s="6" t="str">
        <f>IFERROR(__xludf.DUMMYFUNCTION("SPLIT('2. c'!B4527, "" "", True, True)"),"Rickettsia")</f>
        <v>Rickettsia</v>
      </c>
      <c r="D4527" t="str">
        <f>IFERROR(__xludf.DUMMYFUNCTION("""COMPUTED_VALUE"""),"parkeri")</f>
        <v>parkeri</v>
      </c>
      <c r="E4527" t="str">
        <f>IFERROR(__xludf.DUMMYFUNCTION("""COMPUTED_VALUE"""),"str.")</f>
        <v>str.</v>
      </c>
      <c r="F4527" t="str">
        <f>IFERROR(__xludf.DUMMYFUNCTION("""COMPUTED_VALUE"""),"AT#24")</f>
        <v>AT#24</v>
      </c>
    </row>
    <row r="4528" ht="15.75" customHeight="1">
      <c r="A4528" t="str">
        <f t="shared" si="1"/>
        <v>R.parkeri</v>
      </c>
      <c r="B4528" s="5" t="s">
        <v>28224</v>
      </c>
      <c r="C4528" s="6" t="str">
        <f>IFERROR(__xludf.DUMMYFUNCTION("SPLIT('2. c'!B4528, "" "", True, True)"),"Rickettsia")</f>
        <v>Rickettsia</v>
      </c>
      <c r="D4528" t="str">
        <f>IFERROR(__xludf.DUMMYFUNCTION("""COMPUTED_VALUE"""),"parkeri")</f>
        <v>parkeri</v>
      </c>
      <c r="E4528" t="str">
        <f>IFERROR(__xludf.DUMMYFUNCTION("""COMPUTED_VALUE"""),"str.")</f>
        <v>str.</v>
      </c>
      <c r="F4528" t="str">
        <f>IFERROR(__xludf.DUMMYFUNCTION("""COMPUTED_VALUE"""),"Grand")</f>
        <v>Grand</v>
      </c>
      <c r="G4528" t="str">
        <f>IFERROR(__xludf.DUMMYFUNCTION("""COMPUTED_VALUE"""),"Bay")</f>
        <v>Bay</v>
      </c>
    </row>
    <row r="4529" ht="15.75" customHeight="1">
      <c r="A4529" t="str">
        <f t="shared" si="1"/>
        <v>R.parkeri</v>
      </c>
      <c r="B4529" s="5" t="s">
        <v>28231</v>
      </c>
      <c r="C4529" s="6" t="str">
        <f>IFERROR(__xludf.DUMMYFUNCTION("SPLIT('2. c'!B4529, "" "", True, True)"),"Rickettsia")</f>
        <v>Rickettsia</v>
      </c>
      <c r="D4529" t="str">
        <f>IFERROR(__xludf.DUMMYFUNCTION("""COMPUTED_VALUE"""),"parkeri")</f>
        <v>parkeri</v>
      </c>
      <c r="E4529" t="str">
        <f>IFERROR(__xludf.DUMMYFUNCTION("""COMPUTED_VALUE"""),"str.")</f>
        <v>str.</v>
      </c>
      <c r="F4529" t="str">
        <f>IFERROR(__xludf.DUMMYFUNCTION("""COMPUTED_VALUE"""),"Portsmouth")</f>
        <v>Portsmouth</v>
      </c>
    </row>
    <row r="4530" ht="15.75" customHeight="1">
      <c r="A4530" t="str">
        <f t="shared" si="1"/>
        <v>R.parkeri</v>
      </c>
      <c r="B4530" s="5" t="s">
        <v>28237</v>
      </c>
      <c r="C4530" s="6" t="str">
        <f>IFERROR(__xludf.DUMMYFUNCTION("SPLIT('2. c'!B4530, "" "", True, True)"),"Rickettsia")</f>
        <v>Rickettsia</v>
      </c>
      <c r="D4530" t="str">
        <f>IFERROR(__xludf.DUMMYFUNCTION("""COMPUTED_VALUE"""),"parkeri")</f>
        <v>parkeri</v>
      </c>
      <c r="E4530" t="str">
        <f>IFERROR(__xludf.DUMMYFUNCTION("""COMPUTED_VALUE"""),"str.")</f>
        <v>str.</v>
      </c>
      <c r="F4530" t="str">
        <f>IFERROR(__xludf.DUMMYFUNCTION("""COMPUTED_VALUE"""),"Tate's")</f>
        <v>Tate's</v>
      </c>
      <c r="G4530" t="str">
        <f>IFERROR(__xludf.DUMMYFUNCTION("""COMPUTED_VALUE"""),"Hell")</f>
        <v>Hell</v>
      </c>
    </row>
    <row r="4531" ht="15.75" customHeight="1">
      <c r="A4531" t="str">
        <f t="shared" si="1"/>
        <v>R.peacockii</v>
      </c>
      <c r="B4531" s="5" t="s">
        <v>28244</v>
      </c>
      <c r="C4531" s="6" t="str">
        <f>IFERROR(__xludf.DUMMYFUNCTION("SPLIT('2. c'!B4531, "" "", True, True)"),"Rickettsia")</f>
        <v>Rickettsia</v>
      </c>
      <c r="D4531" t="str">
        <f>IFERROR(__xludf.DUMMYFUNCTION("""COMPUTED_VALUE"""),"peacockii")</f>
        <v>peacockii</v>
      </c>
      <c r="E4531" t="str">
        <f>IFERROR(__xludf.DUMMYFUNCTION("""COMPUTED_VALUE"""),"str.")</f>
        <v>str.</v>
      </c>
      <c r="F4531" t="str">
        <f>IFERROR(__xludf.DUMMYFUNCTION("""COMPUTED_VALUE"""),"Rustic")</f>
        <v>Rustic</v>
      </c>
    </row>
    <row r="4532" ht="15.75" customHeight="1">
      <c r="A4532" t="str">
        <f t="shared" si="1"/>
        <v>R.philipii</v>
      </c>
      <c r="B4532" s="5" t="s">
        <v>28252</v>
      </c>
      <c r="C4532" s="6" t="str">
        <f>IFERROR(__xludf.DUMMYFUNCTION("SPLIT('2. c'!B4532, "" "", True, True)"),"Rickettsia")</f>
        <v>Rickettsia</v>
      </c>
      <c r="D4532" t="str">
        <f>IFERROR(__xludf.DUMMYFUNCTION("""COMPUTED_VALUE"""),"philipii")</f>
        <v>philipii</v>
      </c>
      <c r="E4532" t="str">
        <f>IFERROR(__xludf.DUMMYFUNCTION("""COMPUTED_VALUE"""),"str.")</f>
        <v>str.</v>
      </c>
      <c r="F4532" t="str">
        <f>IFERROR(__xludf.DUMMYFUNCTION("""COMPUTED_VALUE"""),"364D")</f>
        <v>364D</v>
      </c>
    </row>
    <row r="4533" ht="15.75" customHeight="1">
      <c r="A4533" t="str">
        <f t="shared" si="1"/>
        <v>R.prowazekii</v>
      </c>
      <c r="B4533" s="5" t="s">
        <v>28259</v>
      </c>
      <c r="C4533" s="6" t="str">
        <f>IFERROR(__xludf.DUMMYFUNCTION("SPLIT('2. c'!B4533, "" "", True, True)"),"Rickettsia")</f>
        <v>Rickettsia</v>
      </c>
      <c r="D4533" t="str">
        <f>IFERROR(__xludf.DUMMYFUNCTION("""COMPUTED_VALUE"""),"prowazekii")</f>
        <v>prowazekii</v>
      </c>
      <c r="E4533" t="str">
        <f>IFERROR(__xludf.DUMMYFUNCTION("""COMPUTED_VALUE"""),"str.")</f>
        <v>str.</v>
      </c>
      <c r="F4533" t="str">
        <f>IFERROR(__xludf.DUMMYFUNCTION("""COMPUTED_VALUE"""),"Breinl")</f>
        <v>Breinl</v>
      </c>
    </row>
    <row r="4534" ht="15.75" customHeight="1">
      <c r="A4534" t="str">
        <f t="shared" si="1"/>
        <v>R.prowazekii</v>
      </c>
      <c r="B4534" s="5" t="s">
        <v>28265</v>
      </c>
      <c r="C4534" s="6" t="str">
        <f>IFERROR(__xludf.DUMMYFUNCTION("SPLIT('2. c'!B4534, "" "", True, True)"),"Rickettsia")</f>
        <v>Rickettsia</v>
      </c>
      <c r="D4534" t="str">
        <f>IFERROR(__xludf.DUMMYFUNCTION("""COMPUTED_VALUE"""),"prowazekii")</f>
        <v>prowazekii</v>
      </c>
      <c r="E4534" t="str">
        <f>IFERROR(__xludf.DUMMYFUNCTION("""COMPUTED_VALUE"""),"str.")</f>
        <v>str.</v>
      </c>
      <c r="F4534" t="str">
        <f>IFERROR(__xludf.DUMMYFUNCTION("""COMPUTED_VALUE"""),"BuV67-CWPP")</f>
        <v>BuV67-CWPP</v>
      </c>
    </row>
    <row r="4535" ht="15.75" customHeight="1">
      <c r="A4535" t="str">
        <f t="shared" si="1"/>
        <v>R.prowazekii</v>
      </c>
      <c r="B4535" s="5" t="s">
        <v>28270</v>
      </c>
      <c r="C4535" s="6" t="str">
        <f>IFERROR(__xludf.DUMMYFUNCTION("SPLIT('2. c'!B4535, "" "", True, True)"),"Rickettsia")</f>
        <v>Rickettsia</v>
      </c>
      <c r="D4535" t="str">
        <f>IFERROR(__xludf.DUMMYFUNCTION("""COMPUTED_VALUE"""),"prowazekii")</f>
        <v>prowazekii</v>
      </c>
      <c r="E4535" t="str">
        <f>IFERROR(__xludf.DUMMYFUNCTION("""COMPUTED_VALUE"""),"str.")</f>
        <v>str.</v>
      </c>
      <c r="F4535" t="str">
        <f>IFERROR(__xludf.DUMMYFUNCTION("""COMPUTED_VALUE"""),"Chernikova")</f>
        <v>Chernikova</v>
      </c>
    </row>
    <row r="4536" ht="15.75" customHeight="1">
      <c r="A4536" t="str">
        <f t="shared" si="1"/>
        <v>R.prowazekii</v>
      </c>
      <c r="B4536" s="5" t="s">
        <v>28276</v>
      </c>
      <c r="C4536" s="6" t="str">
        <f>IFERROR(__xludf.DUMMYFUNCTION("SPLIT('2. c'!B4536, "" "", True, True)"),"Rickettsia")</f>
        <v>Rickettsia</v>
      </c>
      <c r="D4536" t="str">
        <f>IFERROR(__xludf.DUMMYFUNCTION("""COMPUTED_VALUE"""),"prowazekii")</f>
        <v>prowazekii</v>
      </c>
      <c r="E4536" t="str">
        <f>IFERROR(__xludf.DUMMYFUNCTION("""COMPUTED_VALUE"""),"str.")</f>
        <v>str.</v>
      </c>
      <c r="F4536" t="str">
        <f>IFERROR(__xludf.DUMMYFUNCTION("""COMPUTED_VALUE"""),"Dachau")</f>
        <v>Dachau</v>
      </c>
    </row>
    <row r="4537" ht="15.75" customHeight="1">
      <c r="A4537" t="str">
        <f t="shared" si="1"/>
        <v>R.prowazekii</v>
      </c>
      <c r="B4537" s="5" t="s">
        <v>28279</v>
      </c>
      <c r="C4537" s="6" t="str">
        <f>IFERROR(__xludf.DUMMYFUNCTION("SPLIT('2. c'!B4537, "" "", True, True)"),"Rickettsia")</f>
        <v>Rickettsia</v>
      </c>
      <c r="D4537" t="str">
        <f>IFERROR(__xludf.DUMMYFUNCTION("""COMPUTED_VALUE"""),"prowazekii")</f>
        <v>prowazekii</v>
      </c>
      <c r="E4537" t="str">
        <f>IFERROR(__xludf.DUMMYFUNCTION("""COMPUTED_VALUE"""),"str.")</f>
        <v>str.</v>
      </c>
      <c r="F4537" t="str">
        <f>IFERROR(__xludf.DUMMYFUNCTION("""COMPUTED_VALUE"""),"GvV257")</f>
        <v>GvV257</v>
      </c>
    </row>
    <row r="4538" ht="15.75" customHeight="1">
      <c r="A4538" t="str">
        <f t="shared" si="1"/>
        <v>R.prowazekii</v>
      </c>
      <c r="B4538" s="5" t="s">
        <v>28284</v>
      </c>
      <c r="C4538" s="6" t="str">
        <f>IFERROR(__xludf.DUMMYFUNCTION("SPLIT('2. c'!B4538, "" "", True, True)"),"Rickettsia")</f>
        <v>Rickettsia</v>
      </c>
      <c r="D4538" t="str">
        <f>IFERROR(__xludf.DUMMYFUNCTION("""COMPUTED_VALUE"""),"prowazekii")</f>
        <v>prowazekii</v>
      </c>
      <c r="E4538" t="str">
        <f>IFERROR(__xludf.DUMMYFUNCTION("""COMPUTED_VALUE"""),"str.")</f>
        <v>str.</v>
      </c>
      <c r="F4538" t="str">
        <f>IFERROR(__xludf.DUMMYFUNCTION("""COMPUTED_VALUE"""),"Katsinyian")</f>
        <v>Katsinyian</v>
      </c>
    </row>
    <row r="4539" ht="15.75" customHeight="1">
      <c r="A4539" t="str">
        <f t="shared" si="1"/>
        <v>R.prowazekii</v>
      </c>
      <c r="B4539" s="5" t="s">
        <v>28291</v>
      </c>
      <c r="C4539" s="6" t="str">
        <f>IFERROR(__xludf.DUMMYFUNCTION("SPLIT('2. c'!B4539, "" "", True, True)"),"Rickettsia")</f>
        <v>Rickettsia</v>
      </c>
      <c r="D4539" t="str">
        <f>IFERROR(__xludf.DUMMYFUNCTION("""COMPUTED_VALUE"""),"prowazekii")</f>
        <v>prowazekii</v>
      </c>
      <c r="E4539" t="str">
        <f>IFERROR(__xludf.DUMMYFUNCTION("""COMPUTED_VALUE"""),"str.")</f>
        <v>str.</v>
      </c>
      <c r="F4539" t="str">
        <f>IFERROR(__xludf.DUMMYFUNCTION("""COMPUTED_VALUE"""),"Madrid")</f>
        <v>Madrid</v>
      </c>
      <c r="G4539" t="str">
        <f>IFERROR(__xludf.DUMMYFUNCTION("""COMPUTED_VALUE"""),"E")</f>
        <v>E</v>
      </c>
    </row>
    <row r="4540" ht="15.75" customHeight="1">
      <c r="A4540" t="str">
        <f t="shared" si="1"/>
        <v>R.prowazekii</v>
      </c>
      <c r="B4540" s="5" t="s">
        <v>28298</v>
      </c>
      <c r="C4540" s="6" t="str">
        <f>IFERROR(__xludf.DUMMYFUNCTION("SPLIT('2. c'!B4540, "" "", True, True)"),"Rickettsia")</f>
        <v>Rickettsia</v>
      </c>
      <c r="D4540" t="str">
        <f>IFERROR(__xludf.DUMMYFUNCTION("""COMPUTED_VALUE"""),"prowazekii")</f>
        <v>prowazekii</v>
      </c>
      <c r="E4540" t="str">
        <f>IFERROR(__xludf.DUMMYFUNCTION("""COMPUTED_VALUE"""),"str.")</f>
        <v>str.</v>
      </c>
      <c r="F4540" t="str">
        <f>IFERROR(__xludf.DUMMYFUNCTION("""COMPUTED_VALUE"""),"NMRC")</f>
        <v>NMRC</v>
      </c>
      <c r="G4540" t="str">
        <f>IFERROR(__xludf.DUMMYFUNCTION("""COMPUTED_VALUE"""),"Madrid")</f>
        <v>Madrid</v>
      </c>
      <c r="H4540" t="str">
        <f>IFERROR(__xludf.DUMMYFUNCTION("""COMPUTED_VALUE"""),"E")</f>
        <v>E</v>
      </c>
    </row>
    <row r="4541" ht="15.75" customHeight="1">
      <c r="A4541" t="str">
        <f t="shared" si="1"/>
        <v>R.prowazekii</v>
      </c>
      <c r="B4541" s="5" t="s">
        <v>28307</v>
      </c>
      <c r="C4541" s="6" t="str">
        <f>IFERROR(__xludf.DUMMYFUNCTION("SPLIT('2. c'!B4541, "" "", True, True)"),"Rickettsia")</f>
        <v>Rickettsia</v>
      </c>
      <c r="D4541" t="str">
        <f>IFERROR(__xludf.DUMMYFUNCTION("""COMPUTED_VALUE"""),"prowazekii")</f>
        <v>prowazekii</v>
      </c>
      <c r="E4541" t="str">
        <f>IFERROR(__xludf.DUMMYFUNCTION("""COMPUTED_VALUE"""),"str.")</f>
        <v>str.</v>
      </c>
      <c r="F4541" t="str">
        <f>IFERROR(__xludf.DUMMYFUNCTION("""COMPUTED_VALUE"""),"Rp22")</f>
        <v>Rp22</v>
      </c>
    </row>
    <row r="4542" ht="15.75" customHeight="1">
      <c r="A4542" t="str">
        <f t="shared" si="1"/>
        <v>R.prowazekii</v>
      </c>
      <c r="B4542" s="5" t="s">
        <v>28315</v>
      </c>
      <c r="C4542" s="6" t="str">
        <f>IFERROR(__xludf.DUMMYFUNCTION("SPLIT('2. c'!B4542, "" "", True, True)"),"Rickettsia")</f>
        <v>Rickettsia</v>
      </c>
      <c r="D4542" t="str">
        <f>IFERROR(__xludf.DUMMYFUNCTION("""COMPUTED_VALUE"""),"prowazekii")</f>
        <v>prowazekii</v>
      </c>
      <c r="E4542" t="str">
        <f>IFERROR(__xludf.DUMMYFUNCTION("""COMPUTED_VALUE"""),"str.")</f>
        <v>str.</v>
      </c>
      <c r="F4542" t="str">
        <f>IFERROR(__xludf.DUMMYFUNCTION("""COMPUTED_VALUE"""),"RpGvF24")</f>
        <v>RpGvF24</v>
      </c>
    </row>
    <row r="4543" ht="15.75" customHeight="1">
      <c r="A4543" t="str">
        <f t="shared" si="1"/>
        <v>R.prowazekii</v>
      </c>
      <c r="B4543" s="5" t="s">
        <v>28325</v>
      </c>
      <c r="C4543" s="6" t="str">
        <f>IFERROR(__xludf.DUMMYFUNCTION("SPLIT('2. c'!B4543, "" "", True, True)"),"Rickettsia")</f>
        <v>Rickettsia</v>
      </c>
      <c r="D4543" t="str">
        <f>IFERROR(__xludf.DUMMYFUNCTION("""COMPUTED_VALUE"""),"prowazekii")</f>
        <v>prowazekii</v>
      </c>
      <c r="E4543" t="str">
        <f>IFERROR(__xludf.DUMMYFUNCTION("""COMPUTED_VALUE"""),"strain")</f>
        <v>strain</v>
      </c>
      <c r="F4543" t="str">
        <f>IFERROR(__xludf.DUMMYFUNCTION("""COMPUTED_VALUE"""),"Naples-1")</f>
        <v>Naples-1</v>
      </c>
    </row>
    <row r="4544" ht="15.75" customHeight="1">
      <c r="A4544" t="str">
        <f t="shared" si="1"/>
        <v>R.raoultii</v>
      </c>
      <c r="B4544" s="5" t="s">
        <v>28334</v>
      </c>
      <c r="C4544" s="6" t="str">
        <f>IFERROR(__xludf.DUMMYFUNCTION("SPLIT('2. c'!B4544, "" "", True, True)"),"Rickettsia")</f>
        <v>Rickettsia</v>
      </c>
      <c r="D4544" t="str">
        <f>IFERROR(__xludf.DUMMYFUNCTION("""COMPUTED_VALUE"""),"raoultii")</f>
        <v>raoultii</v>
      </c>
      <c r="E4544" t="str">
        <f>IFERROR(__xludf.DUMMYFUNCTION("""COMPUTED_VALUE"""),"strain")</f>
        <v>strain</v>
      </c>
      <c r="F4544" t="str">
        <f>IFERROR(__xludf.DUMMYFUNCTION("""COMPUTED_VALUE"""),"Khabarovsk")</f>
        <v>Khabarovsk</v>
      </c>
    </row>
    <row r="4545" ht="15.75" customHeight="1">
      <c r="A4545" t="str">
        <f t="shared" si="1"/>
        <v>R.rhipicephali</v>
      </c>
      <c r="B4545" s="5" t="s">
        <v>28340</v>
      </c>
      <c r="C4545" s="6" t="str">
        <f>IFERROR(__xludf.DUMMYFUNCTION("SPLIT('2. c'!B4545, "" "", True, True)"),"Rickettsia")</f>
        <v>Rickettsia</v>
      </c>
      <c r="D4545" t="str">
        <f>IFERROR(__xludf.DUMMYFUNCTION("""COMPUTED_VALUE"""),"rhipicephali")</f>
        <v>rhipicephali</v>
      </c>
      <c r="E4545" t="str">
        <f>IFERROR(__xludf.DUMMYFUNCTION("""COMPUTED_VALUE"""),"str.")</f>
        <v>str.</v>
      </c>
      <c r="F4545" t="str">
        <f>IFERROR(__xludf.DUMMYFUNCTION("""COMPUTED_VALUE"""),"3-7-female6-CWPP")</f>
        <v>3-7-female6-CWPP</v>
      </c>
    </row>
    <row r="4546" ht="15.75" customHeight="1">
      <c r="A4546" t="str">
        <f t="shared" si="1"/>
        <v>R.rhipicephali</v>
      </c>
      <c r="B4546" s="5" t="s">
        <v>28345</v>
      </c>
      <c r="C4546" s="6" t="str">
        <f>IFERROR(__xludf.DUMMYFUNCTION("SPLIT('2. c'!B4546, "" "", True, True)"),"Rickettsia")</f>
        <v>Rickettsia</v>
      </c>
      <c r="D4546" t="str">
        <f>IFERROR(__xludf.DUMMYFUNCTION("""COMPUTED_VALUE"""),"rhipicephali")</f>
        <v>rhipicephali</v>
      </c>
      <c r="E4546" t="str">
        <f>IFERROR(__xludf.DUMMYFUNCTION("""COMPUTED_VALUE"""),"str.")</f>
        <v>str.</v>
      </c>
      <c r="F4546" t="str">
        <f>IFERROR(__xludf.DUMMYFUNCTION("""COMPUTED_VALUE"""),"Ect")</f>
        <v>Ect</v>
      </c>
    </row>
    <row r="4547" ht="15.75" customHeight="1">
      <c r="A4547" t="str">
        <f t="shared" si="1"/>
        <v>R.rhipicephali</v>
      </c>
      <c r="B4547" s="5" t="s">
        <v>28354</v>
      </c>
      <c r="C4547" s="6" t="str">
        <f>IFERROR(__xludf.DUMMYFUNCTION("SPLIT('2. c'!B4547, "" "", True, True)"),"Rickettsia")</f>
        <v>Rickettsia</v>
      </c>
      <c r="D4547" t="str">
        <f>IFERROR(__xludf.DUMMYFUNCTION("""COMPUTED_VALUE"""),"rhipicephali")</f>
        <v>rhipicephali</v>
      </c>
      <c r="E4547" t="str">
        <f>IFERROR(__xludf.DUMMYFUNCTION("""COMPUTED_VALUE"""),"strain")</f>
        <v>strain</v>
      </c>
      <c r="F4547" t="str">
        <f>IFERROR(__xludf.DUMMYFUNCTION("""COMPUTED_VALUE"""),"HJ#5")</f>
        <v>HJ#5</v>
      </c>
    </row>
    <row r="4548" ht="15.75" customHeight="1">
      <c r="A4548" t="str">
        <f t="shared" si="1"/>
        <v>R.rickettsii</v>
      </c>
      <c r="B4548" s="5" t="s">
        <v>28360</v>
      </c>
      <c r="C4548" s="6" t="str">
        <f>IFERROR(__xludf.DUMMYFUNCTION("SPLIT('2. c'!B4548, "" "", True, True)"),"Rickettsia")</f>
        <v>Rickettsia</v>
      </c>
      <c r="D4548" t="str">
        <f>IFERROR(__xludf.DUMMYFUNCTION("""COMPUTED_VALUE"""),"rickettsii")</f>
        <v>rickettsii</v>
      </c>
      <c r="E4548" t="str">
        <f>IFERROR(__xludf.DUMMYFUNCTION("""COMPUTED_VALUE"""),"str.")</f>
        <v>str.</v>
      </c>
      <c r="F4548" t="str">
        <f>IFERROR(__xludf.DUMMYFUNCTION("""COMPUTED_VALUE"""),"Arizona")</f>
        <v>Arizona</v>
      </c>
    </row>
    <row r="4549" ht="15.75" customHeight="1">
      <c r="A4549" t="str">
        <f t="shared" si="1"/>
        <v>R.rickettsii</v>
      </c>
      <c r="B4549" s="5" t="s">
        <v>28366</v>
      </c>
      <c r="C4549" s="6" t="str">
        <f>IFERROR(__xludf.DUMMYFUNCTION("SPLIT('2. c'!B4549, "" "", True, True)"),"Rickettsia")</f>
        <v>Rickettsia</v>
      </c>
      <c r="D4549" t="str">
        <f>IFERROR(__xludf.DUMMYFUNCTION("""COMPUTED_VALUE"""),"rickettsii")</f>
        <v>rickettsii</v>
      </c>
      <c r="E4549" t="str">
        <f>IFERROR(__xludf.DUMMYFUNCTION("""COMPUTED_VALUE"""),"str.")</f>
        <v>str.</v>
      </c>
      <c r="F4549" t="str">
        <f>IFERROR(__xludf.DUMMYFUNCTION("""COMPUTED_VALUE"""),"Brazil")</f>
        <v>Brazil</v>
      </c>
    </row>
    <row r="4550" ht="15.75" customHeight="1">
      <c r="A4550" t="str">
        <f t="shared" si="1"/>
        <v>R.rickettsii</v>
      </c>
      <c r="B4550" s="5" t="s">
        <v>28370</v>
      </c>
      <c r="C4550" s="6" t="str">
        <f>IFERROR(__xludf.DUMMYFUNCTION("SPLIT('2. c'!B4550, "" "", True, True)"),"Rickettsia")</f>
        <v>Rickettsia</v>
      </c>
      <c r="D4550" t="str">
        <f>IFERROR(__xludf.DUMMYFUNCTION("""COMPUTED_VALUE"""),"rickettsii")</f>
        <v>rickettsii</v>
      </c>
      <c r="E4550" t="str">
        <f>IFERROR(__xludf.DUMMYFUNCTION("""COMPUTED_VALUE"""),"str.")</f>
        <v>str.</v>
      </c>
      <c r="F4550" t="str">
        <f>IFERROR(__xludf.DUMMYFUNCTION("""COMPUTED_VALUE"""),"Colombia")</f>
        <v>Colombia</v>
      </c>
    </row>
    <row r="4551" ht="15.75" customHeight="1">
      <c r="A4551" t="str">
        <f t="shared" si="1"/>
        <v>R.rickettsii</v>
      </c>
      <c r="B4551" s="5" t="s">
        <v>28376</v>
      </c>
      <c r="C4551" s="6" t="str">
        <f>IFERROR(__xludf.DUMMYFUNCTION("SPLIT('2. c'!B4551, "" "", True, True)"),"Rickettsia")</f>
        <v>Rickettsia</v>
      </c>
      <c r="D4551" t="str">
        <f>IFERROR(__xludf.DUMMYFUNCTION("""COMPUTED_VALUE"""),"rickettsii")</f>
        <v>rickettsii</v>
      </c>
      <c r="E4551" t="str">
        <f>IFERROR(__xludf.DUMMYFUNCTION("""COMPUTED_VALUE"""),"str.")</f>
        <v>str.</v>
      </c>
      <c r="F4551" t="str">
        <f>IFERROR(__xludf.DUMMYFUNCTION("""COMPUTED_VALUE"""),"Hauke")</f>
        <v>Hauke</v>
      </c>
    </row>
    <row r="4552" ht="15.75" customHeight="1">
      <c r="A4552" t="str">
        <f t="shared" si="1"/>
        <v>R.rickettsii</v>
      </c>
      <c r="B4552" s="5" t="s">
        <v>28382</v>
      </c>
      <c r="C4552" s="6" t="str">
        <f>IFERROR(__xludf.DUMMYFUNCTION("SPLIT('2. c'!B4552, "" "", True, True)"),"Rickettsia")</f>
        <v>Rickettsia</v>
      </c>
      <c r="D4552" t="str">
        <f>IFERROR(__xludf.DUMMYFUNCTION("""COMPUTED_VALUE"""),"rickettsii")</f>
        <v>rickettsii</v>
      </c>
      <c r="E4552" t="str">
        <f>IFERROR(__xludf.DUMMYFUNCTION("""COMPUTED_VALUE"""),"str.")</f>
        <v>str.</v>
      </c>
      <c r="F4552" t="str">
        <f>IFERROR(__xludf.DUMMYFUNCTION("""COMPUTED_VALUE"""),"Hino")</f>
        <v>Hino</v>
      </c>
    </row>
    <row r="4553" ht="15.75" customHeight="1">
      <c r="A4553" t="str">
        <f t="shared" si="1"/>
        <v>R.rickettsii</v>
      </c>
      <c r="B4553" s="5" t="s">
        <v>28388</v>
      </c>
      <c r="C4553" s="6" t="str">
        <f>IFERROR(__xludf.DUMMYFUNCTION("SPLIT('2. c'!B4553, "" "", True, True)"),"Rickettsia")</f>
        <v>Rickettsia</v>
      </c>
      <c r="D4553" t="str">
        <f>IFERROR(__xludf.DUMMYFUNCTION("""COMPUTED_VALUE"""),"rickettsii")</f>
        <v>rickettsii</v>
      </c>
      <c r="E4553" t="str">
        <f>IFERROR(__xludf.DUMMYFUNCTION("""COMPUTED_VALUE"""),"str.")</f>
        <v>str.</v>
      </c>
      <c r="F4553" t="str">
        <f>IFERROR(__xludf.DUMMYFUNCTION("""COMPUTED_VALUE"""),"Hlp#2")</f>
        <v>Hlp#2</v>
      </c>
    </row>
    <row r="4554" ht="15.75" customHeight="1">
      <c r="A4554" t="str">
        <f t="shared" si="1"/>
        <v>R.rickettsii</v>
      </c>
      <c r="B4554" s="5" t="s">
        <v>28393</v>
      </c>
      <c r="C4554" s="6" t="str">
        <f>IFERROR(__xludf.DUMMYFUNCTION("SPLIT('2. c'!B4554, "" "", True, True)"),"Rickettsia")</f>
        <v>Rickettsia</v>
      </c>
      <c r="D4554" t="str">
        <f>IFERROR(__xludf.DUMMYFUNCTION("""COMPUTED_VALUE"""),"rickettsii")</f>
        <v>rickettsii</v>
      </c>
      <c r="E4554" t="str">
        <f>IFERROR(__xludf.DUMMYFUNCTION("""COMPUTED_VALUE"""),"str.")</f>
        <v>str.</v>
      </c>
      <c r="F4554" t="str">
        <f>IFERROR(__xludf.DUMMYFUNCTION("""COMPUTED_VALUE"""),"Iowa")</f>
        <v>Iowa</v>
      </c>
    </row>
    <row r="4555" ht="15.75" customHeight="1">
      <c r="A4555" t="str">
        <f t="shared" si="1"/>
        <v>R.rickettsii</v>
      </c>
      <c r="B4555" s="5" t="s">
        <v>28399</v>
      </c>
      <c r="C4555" s="6" t="str">
        <f>IFERROR(__xludf.DUMMYFUNCTION("SPLIT('2. c'!B4555, "" "", True, True)"),"Rickettsia")</f>
        <v>Rickettsia</v>
      </c>
      <c r="D4555" t="str">
        <f>IFERROR(__xludf.DUMMYFUNCTION("""COMPUTED_VALUE"""),"rickettsii")</f>
        <v>rickettsii</v>
      </c>
      <c r="E4555" t="str">
        <f>IFERROR(__xludf.DUMMYFUNCTION("""COMPUTED_VALUE"""),"str.")</f>
        <v>str.</v>
      </c>
      <c r="F4555" t="str">
        <f>IFERROR(__xludf.DUMMYFUNCTION("""COMPUTED_VALUE"""),"Morgan")</f>
        <v>Morgan</v>
      </c>
    </row>
    <row r="4556" ht="15.75" customHeight="1">
      <c r="A4556" t="str">
        <f t="shared" si="1"/>
        <v>R.rickettsii</v>
      </c>
      <c r="B4556" s="5" t="s">
        <v>28404</v>
      </c>
      <c r="C4556" s="6" t="str">
        <f>IFERROR(__xludf.DUMMYFUNCTION("SPLIT('2. c'!B4556, "" "", True, True)"),"Rickettsia")</f>
        <v>Rickettsia</v>
      </c>
      <c r="D4556" t="str">
        <f>IFERROR(__xludf.DUMMYFUNCTION("""COMPUTED_VALUE"""),"rickettsii")</f>
        <v>rickettsii</v>
      </c>
      <c r="E4556" t="str">
        <f>IFERROR(__xludf.DUMMYFUNCTION("""COMPUTED_VALUE"""),"str.")</f>
        <v>str.</v>
      </c>
      <c r="F4556" t="str">
        <f>IFERROR(__xludf.DUMMYFUNCTION("""COMPUTED_VALUE"""),"R")</f>
        <v>R</v>
      </c>
    </row>
    <row r="4557" ht="15.75" customHeight="1">
      <c r="A4557" t="str">
        <f t="shared" si="1"/>
        <v>R.rickettsii</v>
      </c>
      <c r="B4557" s="5" t="s">
        <v>28410</v>
      </c>
      <c r="C4557" s="6" t="str">
        <f>IFERROR(__xludf.DUMMYFUNCTION("SPLIT('2. c'!B4557, "" "", True, True)"),"Rickettsia")</f>
        <v>Rickettsia</v>
      </c>
      <c r="D4557" t="str">
        <f>IFERROR(__xludf.DUMMYFUNCTION("""COMPUTED_VALUE"""),"rickettsii")</f>
        <v>rickettsii</v>
      </c>
      <c r="E4557" t="str">
        <f>IFERROR(__xludf.DUMMYFUNCTION("""COMPUTED_VALUE"""),"str.")</f>
        <v>str.</v>
      </c>
      <c r="F4557" t="str">
        <f>IFERROR(__xludf.DUMMYFUNCTION("""COMPUTED_VALUE"""),"Sheila")</f>
        <v>Sheila</v>
      </c>
      <c r="G4557" t="str">
        <f>IFERROR(__xludf.DUMMYFUNCTION("""COMPUTED_VALUE"""),"Smith'")</f>
        <v>Smith'</v>
      </c>
    </row>
    <row r="4558" ht="15.75" customHeight="1">
      <c r="A4558" t="str">
        <f t="shared" si="1"/>
        <v>R.slovaca</v>
      </c>
      <c r="B4558" s="5" t="s">
        <v>28415</v>
      </c>
      <c r="C4558" s="6" t="str">
        <f>IFERROR(__xludf.DUMMYFUNCTION("SPLIT('2. c'!B4558, "" "", True, True)"),"Rickettsia")</f>
        <v>Rickettsia</v>
      </c>
      <c r="D4558" t="str">
        <f>IFERROR(__xludf.DUMMYFUNCTION("""COMPUTED_VALUE"""),"slovaca")</f>
        <v>slovaca</v>
      </c>
      <c r="E4558" t="str">
        <f>IFERROR(__xludf.DUMMYFUNCTION("""COMPUTED_VALUE"""),"13-B")</f>
        <v>13-B</v>
      </c>
    </row>
    <row r="4559" ht="15.75" customHeight="1">
      <c r="A4559" t="str">
        <f t="shared" si="1"/>
        <v>R.slovaca</v>
      </c>
      <c r="B4559" s="5" t="s">
        <v>28420</v>
      </c>
      <c r="C4559" s="6" t="str">
        <f>IFERROR(__xludf.DUMMYFUNCTION("SPLIT('2. c'!B4559, "" "", True, True)"),"Rickettsia")</f>
        <v>Rickettsia</v>
      </c>
      <c r="D4559" t="str">
        <f>IFERROR(__xludf.DUMMYFUNCTION("""COMPUTED_VALUE"""),"slovaca")</f>
        <v>slovaca</v>
      </c>
      <c r="E4559" t="str">
        <f>IFERROR(__xludf.DUMMYFUNCTION("""COMPUTED_VALUE"""),"str.")</f>
        <v>str.</v>
      </c>
      <c r="F4559" t="str">
        <f>IFERROR(__xludf.DUMMYFUNCTION("""COMPUTED_VALUE"""),"D-CWPP")</f>
        <v>D-CWPP</v>
      </c>
    </row>
    <row r="4560" ht="15.75" customHeight="1">
      <c r="A4560" t="str">
        <f t="shared" si="1"/>
        <v>R.typhi</v>
      </c>
      <c r="B4560" s="5" t="s">
        <v>28428</v>
      </c>
      <c r="C4560" s="6" t="str">
        <f>IFERROR(__xludf.DUMMYFUNCTION("SPLIT('2. c'!B4560, "" "", True, True)"),"Rickettsia")</f>
        <v>Rickettsia</v>
      </c>
      <c r="D4560" t="str">
        <f>IFERROR(__xludf.DUMMYFUNCTION("""COMPUTED_VALUE"""),"typhi")</f>
        <v>typhi</v>
      </c>
      <c r="E4560" t="str">
        <f>IFERROR(__xludf.DUMMYFUNCTION("""COMPUTED_VALUE"""),"str.")</f>
        <v>str.</v>
      </c>
      <c r="F4560" t="str">
        <f>IFERROR(__xludf.DUMMYFUNCTION("""COMPUTED_VALUE"""),"B9991CWPP")</f>
        <v>B9991CWPP</v>
      </c>
    </row>
    <row r="4561" ht="15.75" customHeight="1">
      <c r="A4561" t="str">
        <f t="shared" si="1"/>
        <v>R.typhi</v>
      </c>
      <c r="B4561" s="5" t="s">
        <v>28434</v>
      </c>
      <c r="C4561" s="6" t="str">
        <f>IFERROR(__xludf.DUMMYFUNCTION("SPLIT('2. c'!B4561, "" "", True, True)"),"Rickettsia")</f>
        <v>Rickettsia</v>
      </c>
      <c r="D4561" t="str">
        <f>IFERROR(__xludf.DUMMYFUNCTION("""COMPUTED_VALUE"""),"typhi")</f>
        <v>typhi</v>
      </c>
      <c r="E4561" t="str">
        <f>IFERROR(__xludf.DUMMYFUNCTION("""COMPUTED_VALUE"""),"str.")</f>
        <v>str.</v>
      </c>
      <c r="F4561" t="str">
        <f>IFERROR(__xludf.DUMMYFUNCTION("""COMPUTED_VALUE"""),"TH1527")</f>
        <v>TH1527</v>
      </c>
    </row>
    <row r="4562" ht="15.75" customHeight="1">
      <c r="A4562" t="str">
        <f t="shared" si="1"/>
        <v>R.typhi</v>
      </c>
      <c r="B4562" s="5" t="s">
        <v>28439</v>
      </c>
      <c r="C4562" s="6" t="str">
        <f>IFERROR(__xludf.DUMMYFUNCTION("SPLIT('2. c'!B4562, "" "", True, True)"),"Rickettsia")</f>
        <v>Rickettsia</v>
      </c>
      <c r="D4562" t="str">
        <f>IFERROR(__xludf.DUMMYFUNCTION("""COMPUTED_VALUE"""),"typhi")</f>
        <v>typhi</v>
      </c>
      <c r="E4562" t="str">
        <f>IFERROR(__xludf.DUMMYFUNCTION("""COMPUTED_VALUE"""),"str.")</f>
        <v>str.</v>
      </c>
      <c r="F4562" t="str">
        <f>IFERROR(__xludf.DUMMYFUNCTION("""COMPUTED_VALUE"""),"Wilmington")</f>
        <v>Wilmington</v>
      </c>
    </row>
    <row r="4563" ht="15.75" customHeight="1">
      <c r="A4563" t="str">
        <f t="shared" si="1"/>
        <v>R.bacterium</v>
      </c>
      <c r="B4563" s="5" t="s">
        <v>28446</v>
      </c>
      <c r="C4563" s="6" t="str">
        <f>IFERROR(__xludf.DUMMYFUNCTION("SPLIT('2. c'!B4563, "" "", True, True)"),"Rickettsiales")</f>
        <v>Rickettsiales</v>
      </c>
      <c r="D4563" t="str">
        <f>IFERROR(__xludf.DUMMYFUNCTION("""COMPUTED_VALUE"""),"bacterium")</f>
        <v>bacterium</v>
      </c>
      <c r="E4563" t="str">
        <f>IFERROR(__xludf.DUMMYFUNCTION("""COMPUTED_VALUE"""),"Ac37b")</f>
        <v>Ac37b</v>
      </c>
    </row>
    <row r="4564" ht="15.75" customHeight="1">
      <c r="A4564" t="str">
        <f t="shared" si="1"/>
        <v>R.anatipestifer</v>
      </c>
      <c r="B4564" s="5" t="s">
        <v>28452</v>
      </c>
      <c r="C4564" s="6" t="str">
        <f>IFERROR(__xludf.DUMMYFUNCTION("SPLIT('2. c'!B4564, "" "", True, True)"),"Riemerella")</f>
        <v>Riemerella</v>
      </c>
      <c r="D4564" t="str">
        <f>IFERROR(__xludf.DUMMYFUNCTION("""COMPUTED_VALUE"""),"anatipestifer")</f>
        <v>anatipestifer</v>
      </c>
      <c r="E4564" t="str">
        <f>IFERROR(__xludf.DUMMYFUNCTION("""COMPUTED_VALUE"""),"ATCC")</f>
        <v>ATCC</v>
      </c>
      <c r="F4564">
        <f>IFERROR(__xludf.DUMMYFUNCTION("""COMPUTED_VALUE"""),11845.0)</f>
        <v>11845</v>
      </c>
      <c r="G4564" t="str">
        <f>IFERROR(__xludf.DUMMYFUNCTION("""COMPUTED_VALUE"""),"=")</f>
        <v>=</v>
      </c>
      <c r="H4564" t="str">
        <f>IFERROR(__xludf.DUMMYFUNCTION("""COMPUTED_VALUE"""),"DSM")</f>
        <v>DSM</v>
      </c>
      <c r="I4564">
        <f>IFERROR(__xludf.DUMMYFUNCTION("""COMPUTED_VALUE"""),15868.0)</f>
        <v>15868</v>
      </c>
    </row>
    <row r="4565" ht="15.75" customHeight="1">
      <c r="A4565" t="str">
        <f t="shared" si="1"/>
        <v>R.anatipestifer</v>
      </c>
      <c r="B4565" s="5" t="s">
        <v>28452</v>
      </c>
      <c r="C4565" s="6" t="str">
        <f>IFERROR(__xludf.DUMMYFUNCTION("SPLIT('2. c'!B4565, "" "", True, True)"),"Riemerella")</f>
        <v>Riemerella</v>
      </c>
      <c r="D4565" t="str">
        <f>IFERROR(__xludf.DUMMYFUNCTION("""COMPUTED_VALUE"""),"anatipestifer")</f>
        <v>anatipestifer</v>
      </c>
      <c r="E4565" t="str">
        <f>IFERROR(__xludf.DUMMYFUNCTION("""COMPUTED_VALUE"""),"ATCC")</f>
        <v>ATCC</v>
      </c>
      <c r="F4565">
        <f>IFERROR(__xludf.DUMMYFUNCTION("""COMPUTED_VALUE"""),11845.0)</f>
        <v>11845</v>
      </c>
      <c r="G4565" t="str">
        <f>IFERROR(__xludf.DUMMYFUNCTION("""COMPUTED_VALUE"""),"=")</f>
        <v>=</v>
      </c>
      <c r="H4565" t="str">
        <f>IFERROR(__xludf.DUMMYFUNCTION("""COMPUTED_VALUE"""),"DSM")</f>
        <v>DSM</v>
      </c>
      <c r="I4565">
        <f>IFERROR(__xludf.DUMMYFUNCTION("""COMPUTED_VALUE"""),15868.0)</f>
        <v>15868</v>
      </c>
    </row>
    <row r="4566" ht="15.75" customHeight="1">
      <c r="A4566" t="str">
        <f t="shared" si="1"/>
        <v>R.anatipestifer</v>
      </c>
      <c r="B4566" s="5" t="s">
        <v>28468</v>
      </c>
      <c r="C4566" s="6" t="str">
        <f>IFERROR(__xludf.DUMMYFUNCTION("SPLIT('2. c'!B4566, "" "", True, True)"),"Riemerella")</f>
        <v>Riemerella</v>
      </c>
      <c r="D4566" t="str">
        <f>IFERROR(__xludf.DUMMYFUNCTION("""COMPUTED_VALUE"""),"anatipestifer")</f>
        <v>anatipestifer</v>
      </c>
      <c r="E4566" t="str">
        <f>IFERROR(__xludf.DUMMYFUNCTION("""COMPUTED_VALUE"""),"CH3")</f>
        <v>CH3</v>
      </c>
    </row>
    <row r="4567" ht="15.75" customHeight="1">
      <c r="A4567" t="str">
        <f t="shared" si="1"/>
        <v>R.anatipestifer</v>
      </c>
      <c r="B4567" s="5" t="s">
        <v>28475</v>
      </c>
      <c r="C4567" s="6" t="str">
        <f>IFERROR(__xludf.DUMMYFUNCTION("SPLIT('2. c'!B4567, "" "", True, True)"),"Riemerella")</f>
        <v>Riemerella</v>
      </c>
      <c r="D4567" t="str">
        <f>IFERROR(__xludf.DUMMYFUNCTION("""COMPUTED_VALUE"""),"anatipestifer")</f>
        <v>anatipestifer</v>
      </c>
      <c r="E4567" t="str">
        <f>IFERROR(__xludf.DUMMYFUNCTION("""COMPUTED_VALUE"""),"RA-CH-1")</f>
        <v>RA-CH-1</v>
      </c>
    </row>
    <row r="4568" ht="15.75" customHeight="1">
      <c r="A4568" t="str">
        <f t="shared" si="1"/>
        <v>R.anatipestifer</v>
      </c>
      <c r="B4568" s="5" t="s">
        <v>28479</v>
      </c>
      <c r="C4568" s="6" t="str">
        <f>IFERROR(__xludf.DUMMYFUNCTION("SPLIT('2. c'!B4568, "" "", True, True)"),"Riemerella")</f>
        <v>Riemerella</v>
      </c>
      <c r="D4568" t="str">
        <f>IFERROR(__xludf.DUMMYFUNCTION("""COMPUTED_VALUE"""),"anatipestifer")</f>
        <v>anatipestifer</v>
      </c>
      <c r="E4568" t="str">
        <f>IFERROR(__xludf.DUMMYFUNCTION("""COMPUTED_VALUE"""),"RA-CH-2")</f>
        <v>RA-CH-2</v>
      </c>
    </row>
    <row r="4569" ht="15.75" customHeight="1">
      <c r="A4569" t="str">
        <f t="shared" si="1"/>
        <v>R.anatipestifer</v>
      </c>
      <c r="B4569" s="5" t="s">
        <v>28484</v>
      </c>
      <c r="C4569" s="6" t="str">
        <f>IFERROR(__xludf.DUMMYFUNCTION("SPLIT('2. c'!B4569, "" "", True, True)"),"Riemerella")</f>
        <v>Riemerella</v>
      </c>
      <c r="D4569" t="str">
        <f>IFERROR(__xludf.DUMMYFUNCTION("""COMPUTED_VALUE"""),"anatipestifer")</f>
        <v>anatipestifer</v>
      </c>
      <c r="E4569" t="str">
        <f>IFERROR(__xludf.DUMMYFUNCTION("""COMPUTED_VALUE"""),"RA-GD")</f>
        <v>RA-GD</v>
      </c>
    </row>
    <row r="4570" ht="15.75" customHeight="1">
      <c r="A4570" t="str">
        <f t="shared" si="1"/>
        <v>R.anatipestifer</v>
      </c>
      <c r="B4570" s="5" t="s">
        <v>28489</v>
      </c>
      <c r="C4570" s="6" t="str">
        <f>IFERROR(__xludf.DUMMYFUNCTION("SPLIT('2. c'!B4570, "" "", True, True)"),"Riemerella")</f>
        <v>Riemerella</v>
      </c>
      <c r="D4570" t="str">
        <f>IFERROR(__xludf.DUMMYFUNCTION("""COMPUTED_VALUE"""),"anatipestifer")</f>
        <v>anatipestifer</v>
      </c>
      <c r="E4570" t="str">
        <f>IFERROR(__xludf.DUMMYFUNCTION("""COMPUTED_VALUE"""),"strain")</f>
        <v>strain</v>
      </c>
      <c r="F4570" t="str">
        <f>IFERROR(__xludf.DUMMYFUNCTION("""COMPUTED_VALUE"""),"RA153")</f>
        <v>RA153</v>
      </c>
    </row>
    <row r="4571" ht="15.75" customHeight="1">
      <c r="A4571" t="str">
        <f t="shared" si="1"/>
        <v>R.anatipestifer</v>
      </c>
      <c r="B4571" s="5" t="s">
        <v>28494</v>
      </c>
      <c r="C4571" s="6" t="str">
        <f>IFERROR(__xludf.DUMMYFUNCTION("SPLIT('2. c'!B4571, "" "", True, True)"),"Riemerella")</f>
        <v>Riemerella</v>
      </c>
      <c r="D4571" t="str">
        <f>IFERROR(__xludf.DUMMYFUNCTION("""COMPUTED_VALUE"""),"anatipestifer")</f>
        <v>anatipestifer</v>
      </c>
      <c r="E4571" t="str">
        <f>IFERROR(__xludf.DUMMYFUNCTION("""COMPUTED_VALUE"""),"strain")</f>
        <v>strain</v>
      </c>
      <c r="F4571" t="str">
        <f>IFERROR(__xludf.DUMMYFUNCTION("""COMPUTED_VALUE"""),"RA17")</f>
        <v>RA17</v>
      </c>
    </row>
    <row r="4572" ht="15.75" customHeight="1">
      <c r="A4572" t="str">
        <f t="shared" si="1"/>
        <v>R.anatipestifer</v>
      </c>
      <c r="B4572" s="5" t="s">
        <v>28500</v>
      </c>
      <c r="C4572" s="6" t="str">
        <f>IFERROR(__xludf.DUMMYFUNCTION("SPLIT('2. c'!B4572, "" "", True, True)"),"Riemerella")</f>
        <v>Riemerella</v>
      </c>
      <c r="D4572" t="str">
        <f>IFERROR(__xludf.DUMMYFUNCTION("""COMPUTED_VALUE"""),"anatipestifer")</f>
        <v>anatipestifer</v>
      </c>
      <c r="E4572" t="str">
        <f>IFERROR(__xludf.DUMMYFUNCTION("""COMPUTED_VALUE"""),"Yb2")</f>
        <v>Yb2</v>
      </c>
    </row>
    <row r="4573" ht="15.75" customHeight="1">
      <c r="A4573" t="str">
        <f t="shared" si="1"/>
        <v>R.bacterium</v>
      </c>
      <c r="B4573" s="5" t="s">
        <v>28507</v>
      </c>
      <c r="C4573" s="6" t="str">
        <f>IFERROR(__xludf.DUMMYFUNCTION("SPLIT('2. c'!B4573, "" "", True, True)"),"Rikenellaceae")</f>
        <v>Rikenellaceae</v>
      </c>
      <c r="D4573" t="str">
        <f>IFERROR(__xludf.DUMMYFUNCTION("""COMPUTED_VALUE"""),"bacterium")</f>
        <v>bacterium</v>
      </c>
      <c r="E4573" t="str">
        <f>IFERROR(__xludf.DUMMYFUNCTION("""COMPUTED_VALUE"""),"M3")</f>
        <v>M3</v>
      </c>
    </row>
    <row r="4574" ht="15.75" customHeight="1">
      <c r="A4574" t="str">
        <f t="shared" si="1"/>
        <v>R.sp.</v>
      </c>
      <c r="B4574" s="5" t="s">
        <v>28513</v>
      </c>
      <c r="C4574" s="6" t="str">
        <f>IFERROR(__xludf.DUMMYFUNCTION("SPLIT('2. c'!B4574, "" "", True, True)"),"Rivularia")</f>
        <v>Rivularia</v>
      </c>
      <c r="D4574" t="str">
        <f>IFERROR(__xludf.DUMMYFUNCTION("""COMPUTED_VALUE"""),"sp.")</f>
        <v>sp.</v>
      </c>
      <c r="E4574" t="str">
        <f>IFERROR(__xludf.DUMMYFUNCTION("""COMPUTED_VALUE"""),"PCC")</f>
        <v>PCC</v>
      </c>
      <c r="F4574">
        <f>IFERROR(__xludf.DUMMYFUNCTION("""COMPUTED_VALUE"""),7116.0)</f>
        <v>7116</v>
      </c>
    </row>
    <row r="4575" ht="15.75" customHeight="1">
      <c r="A4575" t="str">
        <f t="shared" si="1"/>
        <v>R.biformata</v>
      </c>
      <c r="B4575" s="5" t="s">
        <v>28520</v>
      </c>
      <c r="C4575" s="6" t="str">
        <f>IFERROR(__xludf.DUMMYFUNCTION("SPLIT('2. c'!B4575, "" "", True, True)"),"Robiginitalea")</f>
        <v>Robiginitalea</v>
      </c>
      <c r="D4575" t="str">
        <f>IFERROR(__xludf.DUMMYFUNCTION("""COMPUTED_VALUE"""),"biformata")</f>
        <v>biformata</v>
      </c>
      <c r="E4575" t="str">
        <f>IFERROR(__xludf.DUMMYFUNCTION("""COMPUTED_VALUE"""),"HTCC2501")</f>
        <v>HTCC2501</v>
      </c>
    </row>
    <row r="4576" ht="15.75" customHeight="1">
      <c r="A4576" t="str">
        <f t="shared" si="1"/>
        <v>R.depolymerans</v>
      </c>
      <c r="B4576" s="5" t="s">
        <v>28525</v>
      </c>
      <c r="C4576" s="6" t="str">
        <f>IFERROR(__xludf.DUMMYFUNCTION("SPLIT('2. c'!B4576, "" "", True, True)"),"Roseateles")</f>
        <v>Roseateles</v>
      </c>
      <c r="D4576" t="str">
        <f>IFERROR(__xludf.DUMMYFUNCTION("""COMPUTED_VALUE"""),"depolymerans")</f>
        <v>depolymerans</v>
      </c>
      <c r="E4576" t="str">
        <f>IFERROR(__xludf.DUMMYFUNCTION("""COMPUTED_VALUE"""),"strain")</f>
        <v>strain</v>
      </c>
      <c r="F4576" t="str">
        <f>IFERROR(__xludf.DUMMYFUNCTION("""COMPUTED_VALUE"""),"KCTC")</f>
        <v>KCTC</v>
      </c>
      <c r="G4576">
        <f>IFERROR(__xludf.DUMMYFUNCTION("""COMPUTED_VALUE"""),42856.0)</f>
        <v>42856</v>
      </c>
    </row>
    <row r="4577" ht="15.75" customHeight="1">
      <c r="A4577" t="str">
        <f t="shared" si="1"/>
        <v>R.hominis</v>
      </c>
      <c r="B4577" s="5" t="s">
        <v>28533</v>
      </c>
      <c r="C4577" s="6" t="str">
        <f>IFERROR(__xludf.DUMMYFUNCTION("SPLIT('2. c'!B4577, "" "", True, True)"),"Roseburia")</f>
        <v>Roseburia</v>
      </c>
      <c r="D4577" t="str">
        <f>IFERROR(__xludf.DUMMYFUNCTION("""COMPUTED_VALUE"""),"hominis")</f>
        <v>hominis</v>
      </c>
      <c r="E4577" t="str">
        <f>IFERROR(__xludf.DUMMYFUNCTION("""COMPUTED_VALUE"""),"A2-183")</f>
        <v>A2-183</v>
      </c>
    </row>
    <row r="4578" ht="15.75" customHeight="1">
      <c r="A4578" t="str">
        <f t="shared" si="1"/>
        <v>R.intestinalis</v>
      </c>
      <c r="B4578" s="5" t="s">
        <v>28539</v>
      </c>
      <c r="C4578" s="6" t="str">
        <f>IFERROR(__xludf.DUMMYFUNCTION("SPLIT('2. c'!B4578, "" "", True, True)"),"Roseburia")</f>
        <v>Roseburia</v>
      </c>
      <c r="D4578" t="str">
        <f>IFERROR(__xludf.DUMMYFUNCTION("""COMPUTED_VALUE"""),"intestinalis")</f>
        <v>intestinalis</v>
      </c>
      <c r="E4578" t="str">
        <f>IFERROR(__xludf.DUMMYFUNCTION("""COMPUTED_VALUE"""),"M50/1")</f>
        <v>M50/1</v>
      </c>
    </row>
    <row r="4579" ht="15.75" customHeight="1">
      <c r="A4579" t="str">
        <f t="shared" si="1"/>
        <v>R.intestinalis</v>
      </c>
      <c r="B4579" s="5" t="s">
        <v>28545</v>
      </c>
      <c r="C4579" s="6" t="str">
        <f>IFERROR(__xludf.DUMMYFUNCTION("SPLIT('2. c'!B4579, "" "", True, True)"),"Roseburia")</f>
        <v>Roseburia</v>
      </c>
      <c r="D4579" t="str">
        <f>IFERROR(__xludf.DUMMYFUNCTION("""COMPUTED_VALUE"""),"intestinalis")</f>
        <v>intestinalis</v>
      </c>
      <c r="E4579" t="str">
        <f>IFERROR(__xludf.DUMMYFUNCTION("""COMPUTED_VALUE"""),"XB6B4")</f>
        <v>XB6B4</v>
      </c>
    </row>
    <row r="4580" ht="15.75" customHeight="1">
      <c r="A4580" t="str">
        <f t="shared" si="1"/>
        <v>R.elongatum</v>
      </c>
      <c r="B4580" s="5" t="s">
        <v>28551</v>
      </c>
      <c r="C4580" s="6" t="str">
        <f>IFERROR(__xludf.DUMMYFUNCTION("SPLIT('2. c'!B4580, "" "", True, True)"),"Roseibacterium")</f>
        <v>Roseibacterium</v>
      </c>
      <c r="D4580" t="str">
        <f>IFERROR(__xludf.DUMMYFUNCTION("""COMPUTED_VALUE"""),"elongatum")</f>
        <v>elongatum</v>
      </c>
      <c r="E4580" t="str">
        <f>IFERROR(__xludf.DUMMYFUNCTION("""COMPUTED_VALUE"""),"DSM")</f>
        <v>DSM</v>
      </c>
      <c r="F4580">
        <f>IFERROR(__xludf.DUMMYFUNCTION("""COMPUTED_VALUE"""),19469.0)</f>
        <v>19469</v>
      </c>
    </row>
    <row r="4581" ht="15.75" customHeight="1">
      <c r="A4581" t="str">
        <f t="shared" si="1"/>
        <v>R.castenholzii</v>
      </c>
      <c r="B4581" s="5" t="s">
        <v>28558</v>
      </c>
      <c r="C4581" s="6" t="str">
        <f>IFERROR(__xludf.DUMMYFUNCTION("SPLIT('2. c'!B4581, "" "", True, True)"),"Roseiflexus")</f>
        <v>Roseiflexus</v>
      </c>
      <c r="D4581" t="str">
        <f>IFERROR(__xludf.DUMMYFUNCTION("""COMPUTED_VALUE"""),"castenholzii")</f>
        <v>castenholzii</v>
      </c>
      <c r="E4581" t="str">
        <f>IFERROR(__xludf.DUMMYFUNCTION("""COMPUTED_VALUE"""),"DSM")</f>
        <v>DSM</v>
      </c>
      <c r="F4581">
        <f>IFERROR(__xludf.DUMMYFUNCTION("""COMPUTED_VALUE"""),13941.0)</f>
        <v>13941</v>
      </c>
    </row>
    <row r="4582" ht="15.75" customHeight="1">
      <c r="A4582" t="str">
        <f t="shared" si="1"/>
        <v>R.sp.</v>
      </c>
      <c r="B4582" s="5" t="s">
        <v>28565</v>
      </c>
      <c r="C4582" s="6" t="str">
        <f>IFERROR(__xludf.DUMMYFUNCTION("SPLIT('2. c'!B4582, "" "", True, True)"),"Roseiflexus")</f>
        <v>Roseiflexus</v>
      </c>
      <c r="D4582" t="str">
        <f>IFERROR(__xludf.DUMMYFUNCTION("""COMPUTED_VALUE"""),"sp.")</f>
        <v>sp.</v>
      </c>
      <c r="E4582" t="str">
        <f>IFERROR(__xludf.DUMMYFUNCTION("""COMPUTED_VALUE"""),"RS-1")</f>
        <v>RS-1</v>
      </c>
    </row>
    <row r="4583" ht="15.75" customHeight="1">
      <c r="A4583" t="str">
        <f t="shared" si="1"/>
        <v>R.denitrificans</v>
      </c>
      <c r="B4583" s="5" t="s">
        <v>28571</v>
      </c>
      <c r="C4583" s="6" t="str">
        <f>IFERROR(__xludf.DUMMYFUNCTION("SPLIT('2. c'!B4583, "" "", True, True)"),"Roseobacter")</f>
        <v>Roseobacter</v>
      </c>
      <c r="D4583" t="str">
        <f>IFERROR(__xludf.DUMMYFUNCTION("""COMPUTED_VALUE"""),"denitrificans")</f>
        <v>denitrificans</v>
      </c>
      <c r="E4583" t="str">
        <f>IFERROR(__xludf.DUMMYFUNCTION("""COMPUTED_VALUE"""),"OCh")</f>
        <v>OCh</v>
      </c>
      <c r="F4583">
        <f>IFERROR(__xludf.DUMMYFUNCTION("""COMPUTED_VALUE"""),114.0)</f>
        <v>114</v>
      </c>
    </row>
    <row r="4584" ht="15.75" customHeight="1">
      <c r="A4584" t="str">
        <f t="shared" si="1"/>
        <v>R.dentocariosa</v>
      </c>
      <c r="B4584" s="5" t="s">
        <v>28578</v>
      </c>
      <c r="C4584" s="6" t="str">
        <f>IFERROR(__xludf.DUMMYFUNCTION("SPLIT('2. c'!B4584, "" "", True, True)"),"Rothia")</f>
        <v>Rothia</v>
      </c>
      <c r="D4584" t="str">
        <f>IFERROR(__xludf.DUMMYFUNCTION("""COMPUTED_VALUE"""),"dentocariosa")</f>
        <v>dentocariosa</v>
      </c>
      <c r="E4584" t="str">
        <f>IFERROR(__xludf.DUMMYFUNCTION("""COMPUTED_VALUE"""),"ATCC")</f>
        <v>ATCC</v>
      </c>
      <c r="F4584">
        <f>IFERROR(__xludf.DUMMYFUNCTION("""COMPUTED_VALUE"""),17931.0)</f>
        <v>17931</v>
      </c>
    </row>
    <row r="4585" ht="15.75" customHeight="1">
      <c r="A4585" t="str">
        <f t="shared" si="1"/>
        <v>R.mucilaginosa</v>
      </c>
      <c r="B4585" s="5" t="s">
        <v>28585</v>
      </c>
      <c r="C4585" s="6" t="str">
        <f>IFERROR(__xludf.DUMMYFUNCTION("SPLIT('2. c'!B4585, "" "", True, True)"),"Rothia")</f>
        <v>Rothia</v>
      </c>
      <c r="D4585" t="str">
        <f>IFERROR(__xludf.DUMMYFUNCTION("""COMPUTED_VALUE"""),"mucilaginosa")</f>
        <v>mucilaginosa</v>
      </c>
      <c r="E4585" t="str">
        <f>IFERROR(__xludf.DUMMYFUNCTION("""COMPUTED_VALUE"""),"DY-18")</f>
        <v>DY-18</v>
      </c>
    </row>
    <row r="4586" ht="15.75" customHeight="1">
      <c r="A4586" t="str">
        <f t="shared" si="1"/>
        <v>R.mucilaginosa</v>
      </c>
      <c r="B4586" s="5" t="s">
        <v>28590</v>
      </c>
      <c r="C4586" s="6" t="str">
        <f>IFERROR(__xludf.DUMMYFUNCTION("SPLIT('2. c'!B4586, "" "", True, True)"),"Rothia")</f>
        <v>Rothia</v>
      </c>
      <c r="D4586" t="str">
        <f>IFERROR(__xludf.DUMMYFUNCTION("""COMPUTED_VALUE"""),"mucilaginosa")</f>
        <v>mucilaginosa</v>
      </c>
      <c r="E4586" t="str">
        <f>IFERROR(__xludf.DUMMYFUNCTION("""COMPUTED_VALUE"""),"strain")</f>
        <v>strain</v>
      </c>
      <c r="F4586" t="str">
        <f>IFERROR(__xludf.DUMMYFUNCTION("""COMPUTED_VALUE"""),"NUM-Rm6536")</f>
        <v>NUM-Rm6536</v>
      </c>
    </row>
    <row r="4587" ht="15.75" customHeight="1">
      <c r="A4587" t="str">
        <f t="shared" si="1"/>
        <v>R.gelatinosus</v>
      </c>
      <c r="B4587" s="5" t="s">
        <v>28597</v>
      </c>
      <c r="C4587" s="6" t="str">
        <f>IFERROR(__xludf.DUMMYFUNCTION("SPLIT('2. c'!B4587, "" "", True, True)"),"Rubrivivax")</f>
        <v>Rubrivivax</v>
      </c>
      <c r="D4587" t="str">
        <f>IFERROR(__xludf.DUMMYFUNCTION("""COMPUTED_VALUE"""),"gelatinosus")</f>
        <v>gelatinosus</v>
      </c>
      <c r="E4587" t="str">
        <f>IFERROR(__xludf.DUMMYFUNCTION("""COMPUTED_VALUE"""),"IL144")</f>
        <v>IL144</v>
      </c>
    </row>
    <row r="4588" ht="15.75" customHeight="1">
      <c r="A4588" t="str">
        <f t="shared" si="1"/>
        <v>R.radiotolerans</v>
      </c>
      <c r="B4588" s="5" t="s">
        <v>28603</v>
      </c>
      <c r="C4588" s="6" t="str">
        <f>IFERROR(__xludf.DUMMYFUNCTION("SPLIT('2. c'!B4588, "" "", True, True)"),"Rubrobacter")</f>
        <v>Rubrobacter</v>
      </c>
      <c r="D4588" t="str">
        <f>IFERROR(__xludf.DUMMYFUNCTION("""COMPUTED_VALUE"""),"radiotolerans")</f>
        <v>radiotolerans</v>
      </c>
      <c r="E4588" t="str">
        <f>IFERROR(__xludf.DUMMYFUNCTION("""COMPUTED_VALUE"""),"strain")</f>
        <v>strain</v>
      </c>
      <c r="F4588" t="str">
        <f>IFERROR(__xludf.DUMMYFUNCTION("""COMPUTED_VALUE"""),"RSPS-4")</f>
        <v>RSPS-4</v>
      </c>
    </row>
    <row r="4589" ht="15.75" customHeight="1">
      <c r="A4589" t="str">
        <f t="shared" si="1"/>
        <v>R.xylanophilus</v>
      </c>
      <c r="B4589" s="5" t="s">
        <v>28609</v>
      </c>
      <c r="C4589" s="6" t="str">
        <f>IFERROR(__xludf.DUMMYFUNCTION("SPLIT('2. c'!B4589, "" "", True, True)"),"Rubrobacter")</f>
        <v>Rubrobacter</v>
      </c>
      <c r="D4589" t="str">
        <f>IFERROR(__xludf.DUMMYFUNCTION("""COMPUTED_VALUE"""),"xylanophilus")</f>
        <v>xylanophilus</v>
      </c>
      <c r="E4589" t="str">
        <f>IFERROR(__xludf.DUMMYFUNCTION("""COMPUTED_VALUE"""),"DSM")</f>
        <v>DSM</v>
      </c>
      <c r="F4589">
        <f>IFERROR(__xludf.DUMMYFUNCTION("""COMPUTED_VALUE"""),9941.0)</f>
        <v>9941</v>
      </c>
    </row>
    <row r="4590" ht="15.75" customHeight="1">
      <c r="A4590" t="str">
        <f t="shared" si="1"/>
        <v>R.pomeroyi</v>
      </c>
      <c r="B4590" s="5" t="s">
        <v>28617</v>
      </c>
      <c r="C4590" s="6" t="str">
        <f>IFERROR(__xludf.DUMMYFUNCTION("SPLIT('2. c'!B4590, "" "", True, True)"),"Ruegeria")</f>
        <v>Ruegeria</v>
      </c>
      <c r="D4590" t="str">
        <f>IFERROR(__xludf.DUMMYFUNCTION("""COMPUTED_VALUE"""),"pomeroyi")</f>
        <v>pomeroyi</v>
      </c>
      <c r="E4590" t="str">
        <f>IFERROR(__xludf.DUMMYFUNCTION("""COMPUTED_VALUE"""),"DSS-3")</f>
        <v>DSS-3</v>
      </c>
    </row>
    <row r="4591" ht="15.75" customHeight="1">
      <c r="A4591" t="str">
        <f t="shared" si="1"/>
        <v>R.sp.</v>
      </c>
      <c r="B4591" s="5" t="s">
        <v>28623</v>
      </c>
      <c r="C4591" s="6" t="str">
        <f>IFERROR(__xludf.DUMMYFUNCTION("SPLIT('2. c'!B4591, "" "", True, True)"),"Ruegeria")</f>
        <v>Ruegeria</v>
      </c>
      <c r="D4591" t="str">
        <f>IFERROR(__xludf.DUMMYFUNCTION("""COMPUTED_VALUE"""),"sp.")</f>
        <v>sp.</v>
      </c>
      <c r="E4591" t="str">
        <f>IFERROR(__xludf.DUMMYFUNCTION("""COMPUTED_VALUE"""),"TM1040")</f>
        <v>TM1040</v>
      </c>
    </row>
    <row r="4592" ht="15.75" customHeight="1">
      <c r="A4592" t="str">
        <f t="shared" si="1"/>
        <v>R.sp.</v>
      </c>
      <c r="B4592" s="5" t="s">
        <v>28633</v>
      </c>
      <c r="C4592" s="6" t="str">
        <f>IFERROR(__xludf.DUMMYFUNCTION("SPLIT('2. c'!B4592, "" "", True, True)"),"Rufibacter")</f>
        <v>Rufibacter</v>
      </c>
      <c r="D4592" t="str">
        <f>IFERROR(__xludf.DUMMYFUNCTION("""COMPUTED_VALUE"""),"sp.")</f>
        <v>sp.</v>
      </c>
      <c r="E4592" t="str">
        <f>IFERROR(__xludf.DUMMYFUNCTION("""COMPUTED_VALUE"""),"DG15C")</f>
        <v>DG15C</v>
      </c>
    </row>
    <row r="4593" ht="15.75" customHeight="1">
      <c r="A4593" t="str">
        <f t="shared" si="1"/>
        <v>R.sp.</v>
      </c>
      <c r="B4593" s="5" t="s">
        <v>28639</v>
      </c>
      <c r="C4593" s="6" t="str">
        <f>IFERROR(__xludf.DUMMYFUNCTION("SPLIT('2. c'!B4593, "" "", True, True)"),"Rufibacter")</f>
        <v>Rufibacter</v>
      </c>
      <c r="D4593" t="str">
        <f>IFERROR(__xludf.DUMMYFUNCTION("""COMPUTED_VALUE"""),"sp.")</f>
        <v>sp.</v>
      </c>
      <c r="E4593" t="str">
        <f>IFERROR(__xludf.DUMMYFUNCTION("""COMPUTED_VALUE"""),"DG31D")</f>
        <v>DG31D</v>
      </c>
    </row>
    <row r="4594" ht="15.75" customHeight="1">
      <c r="A4594" t="str">
        <f t="shared" si="1"/>
        <v>R.tibetensis</v>
      </c>
      <c r="B4594" s="5" t="s">
        <v>28645</v>
      </c>
      <c r="C4594" s="6" t="str">
        <f>IFERROR(__xludf.DUMMYFUNCTION("SPLIT('2. c'!B4594, "" "", True, True)"),"Rufibacter")</f>
        <v>Rufibacter</v>
      </c>
      <c r="D4594" t="str">
        <f>IFERROR(__xludf.DUMMYFUNCTION("""COMPUTED_VALUE"""),"tibetensis")</f>
        <v>tibetensis</v>
      </c>
      <c r="E4594" t="str">
        <f>IFERROR(__xludf.DUMMYFUNCTION("""COMPUTED_VALUE"""),"strain")</f>
        <v>strain</v>
      </c>
      <c r="F4594" t="str">
        <f>IFERROR(__xludf.DUMMYFUNCTION("""COMPUTED_VALUE"""),"strain")</f>
        <v>strain</v>
      </c>
      <c r="G4594">
        <f>IFERROR(__xludf.DUMMYFUNCTION("""COMPUTED_VALUE"""),1351.0)</f>
        <v>1351</v>
      </c>
    </row>
    <row r="4595" ht="15.75" customHeight="1">
      <c r="A4595" t="str">
        <f t="shared" si="1"/>
        <v>R.albus</v>
      </c>
      <c r="B4595" s="5" t="s">
        <v>28655</v>
      </c>
      <c r="C4595" s="6" t="str">
        <f>IFERROR(__xludf.DUMMYFUNCTION("SPLIT('2. c'!B4595, "" "", True, True)"),"Ruminococcus")</f>
        <v>Ruminococcus</v>
      </c>
      <c r="D4595" t="str">
        <f>IFERROR(__xludf.DUMMYFUNCTION("""COMPUTED_VALUE"""),"albus")</f>
        <v>albus</v>
      </c>
      <c r="E4595">
        <f>IFERROR(__xludf.DUMMYFUNCTION("""COMPUTED_VALUE"""),7.0)</f>
        <v>7</v>
      </c>
    </row>
    <row r="4596" ht="15.75" customHeight="1">
      <c r="A4596" t="str">
        <f t="shared" si="1"/>
        <v>R.bicirculans</v>
      </c>
      <c r="B4596" s="5" t="s">
        <v>28661</v>
      </c>
      <c r="C4596" s="6" t="str">
        <f>IFERROR(__xludf.DUMMYFUNCTION("SPLIT('2. c'!B4596, "" "", True, True)"),"Ruminococcus")</f>
        <v>Ruminococcus</v>
      </c>
      <c r="D4596" t="str">
        <f>IFERROR(__xludf.DUMMYFUNCTION("""COMPUTED_VALUE"""),"bicirculans")</f>
        <v>bicirculans</v>
      </c>
      <c r="E4596" t="str">
        <f>IFERROR(__xludf.DUMMYFUNCTION("""COMPUTED_VALUE"""),"strain")</f>
        <v>strain</v>
      </c>
      <c r="F4596" t="str">
        <f>IFERROR(__xludf.DUMMYFUNCTION("""COMPUTED_VALUE"""),"80/3")</f>
        <v>80/3</v>
      </c>
    </row>
    <row r="4597" ht="15.75" customHeight="1">
      <c r="A4597" t="str">
        <f t="shared" si="1"/>
        <v>R.bromii</v>
      </c>
      <c r="B4597" s="5" t="s">
        <v>28667</v>
      </c>
      <c r="C4597" s="6" t="str">
        <f>IFERROR(__xludf.DUMMYFUNCTION("SPLIT('2. c'!B4597, "" "", True, True)"),"Ruminococcus")</f>
        <v>Ruminococcus</v>
      </c>
      <c r="D4597" t="str">
        <f>IFERROR(__xludf.DUMMYFUNCTION("""COMPUTED_VALUE"""),"bromii")</f>
        <v>bromii</v>
      </c>
      <c r="E4597" t="str">
        <f>IFERROR(__xludf.DUMMYFUNCTION("""COMPUTED_VALUE"""),"L2-63")</f>
        <v>L2-63</v>
      </c>
    </row>
    <row r="4598" ht="15.75" customHeight="1">
      <c r="A4598" t="str">
        <f t="shared" si="1"/>
        <v>R.champanellensis</v>
      </c>
      <c r="B4598" s="5" t="s">
        <v>28671</v>
      </c>
      <c r="C4598" s="6" t="str">
        <f>IFERROR(__xludf.DUMMYFUNCTION("SPLIT('2. c'!B4598, "" "", True, True)"),"Ruminococcus")</f>
        <v>Ruminococcus</v>
      </c>
      <c r="D4598" t="str">
        <f>IFERROR(__xludf.DUMMYFUNCTION("""COMPUTED_VALUE"""),"champanellensis")</f>
        <v>champanellensis</v>
      </c>
      <c r="E4598" t="str">
        <f>IFERROR(__xludf.DUMMYFUNCTION("""COMPUTED_VALUE"""),"18P13")</f>
        <v>18P13</v>
      </c>
    </row>
    <row r="4599" ht="15.75" customHeight="1">
      <c r="A4599" t="str">
        <f t="shared" si="1"/>
        <v>R.obeum</v>
      </c>
      <c r="B4599" s="5" t="s">
        <v>28676</v>
      </c>
      <c r="C4599" s="6" t="str">
        <f>IFERROR(__xludf.DUMMYFUNCTION("SPLIT('2. c'!B4599, "" "", True, True)"),"Ruminococcus")</f>
        <v>Ruminococcus</v>
      </c>
      <c r="D4599" t="str">
        <f>IFERROR(__xludf.DUMMYFUNCTION("""COMPUTED_VALUE"""),"obeum")</f>
        <v>obeum</v>
      </c>
      <c r="E4599" t="str">
        <f>IFERROR(__xludf.DUMMYFUNCTION("""COMPUTED_VALUE"""),"A2-162")</f>
        <v>A2-162</v>
      </c>
    </row>
    <row r="4600" ht="15.75" customHeight="1">
      <c r="A4600" t="str">
        <f t="shared" si="1"/>
        <v>R.sp.</v>
      </c>
      <c r="B4600" s="5" t="s">
        <v>28683</v>
      </c>
      <c r="C4600" s="6" t="str">
        <f>IFERROR(__xludf.DUMMYFUNCTION("SPLIT('2. c'!B4600, "" "", True, True)"),"Ruminococcus")</f>
        <v>Ruminococcus</v>
      </c>
      <c r="D4600" t="str">
        <f>IFERROR(__xludf.DUMMYFUNCTION("""COMPUTED_VALUE"""),"sp.")</f>
        <v>sp.</v>
      </c>
      <c r="E4600" t="str">
        <f>IFERROR(__xludf.DUMMYFUNCTION("""COMPUTED_VALUE"""),"SR1/5")</f>
        <v>SR1/5</v>
      </c>
    </row>
    <row r="4601" ht="15.75" customHeight="1">
      <c r="A4601" t="str">
        <f t="shared" si="1"/>
        <v>R.torques</v>
      </c>
      <c r="B4601" s="5" t="s">
        <v>28689</v>
      </c>
      <c r="C4601" s="6" t="str">
        <f>IFERROR(__xludf.DUMMYFUNCTION("SPLIT('2. c'!B4601, "" "", True, True)"),"Ruminococcus")</f>
        <v>Ruminococcus</v>
      </c>
      <c r="D4601" t="str">
        <f>IFERROR(__xludf.DUMMYFUNCTION("""COMPUTED_VALUE"""),"torques")</f>
        <v>torques</v>
      </c>
      <c r="E4601" t="str">
        <f>IFERROR(__xludf.DUMMYFUNCTION("""COMPUTED_VALUE"""),"L2-14")</f>
        <v>L2-14</v>
      </c>
    </row>
    <row r="4602" ht="15.75" customHeight="1">
      <c r="A4602" t="str">
        <f t="shared" si="1"/>
        <v>R.stabekisii</v>
      </c>
      <c r="B4602" s="5" t="s">
        <v>28694</v>
      </c>
      <c r="C4602" s="6" t="str">
        <f>IFERROR(__xludf.DUMMYFUNCTION("SPLIT('2. c'!B4602, "" "", True, True)"),"Rummeliibacillus")</f>
        <v>Rummeliibacillus</v>
      </c>
      <c r="D4602" t="str">
        <f>IFERROR(__xludf.DUMMYFUNCTION("""COMPUTED_VALUE"""),"stabekisii")</f>
        <v>stabekisii</v>
      </c>
      <c r="E4602" t="str">
        <f>IFERROR(__xludf.DUMMYFUNCTION("""COMPUTED_VALUE"""),"strain")</f>
        <v>strain</v>
      </c>
      <c r="F4602" t="str">
        <f>IFERROR(__xludf.DUMMYFUNCTION("""COMPUTED_VALUE"""),"PP9")</f>
        <v>PP9</v>
      </c>
    </row>
    <row r="4603" ht="15.75" customHeight="1">
      <c r="A4603" t="str">
        <f t="shared" si="1"/>
        <v>R.slithyformis</v>
      </c>
      <c r="B4603" s="5" t="s">
        <v>28699</v>
      </c>
      <c r="C4603" s="6" t="str">
        <f>IFERROR(__xludf.DUMMYFUNCTION("SPLIT('2. c'!B4603, "" "", True, True)"),"Runella")</f>
        <v>Runella</v>
      </c>
      <c r="D4603" t="str">
        <f>IFERROR(__xludf.DUMMYFUNCTION("""COMPUTED_VALUE"""),"slithyformis")</f>
        <v>slithyformis</v>
      </c>
      <c r="E4603" t="str">
        <f>IFERROR(__xludf.DUMMYFUNCTION("""COMPUTED_VALUE"""),"DSM")</f>
        <v>DSM</v>
      </c>
      <c r="F4603">
        <f>IFERROR(__xludf.DUMMYFUNCTION("""COMPUTED_VALUE"""),19594.0)</f>
        <v>19594</v>
      </c>
    </row>
    <row r="4604" ht="15.75" customHeight="1">
      <c r="A4604" t="str">
        <f t="shared" si="1"/>
        <v>S.viridis</v>
      </c>
      <c r="B4604" s="5" t="s">
        <v>28706</v>
      </c>
      <c r="C4604" s="6" t="str">
        <f>IFERROR(__xludf.DUMMYFUNCTION("SPLIT('2. c'!B4604, "" "", True, True)"),"Saccharomonospora")</f>
        <v>Saccharomonospora</v>
      </c>
      <c r="D4604" t="str">
        <f>IFERROR(__xludf.DUMMYFUNCTION("""COMPUTED_VALUE"""),"viridis")</f>
        <v>viridis</v>
      </c>
      <c r="E4604" t="str">
        <f>IFERROR(__xludf.DUMMYFUNCTION("""COMPUTED_VALUE"""),"DSM")</f>
        <v>DSM</v>
      </c>
      <c r="F4604">
        <f>IFERROR(__xludf.DUMMYFUNCTION("""COMPUTED_VALUE"""),43017.0)</f>
        <v>43017</v>
      </c>
    </row>
    <row r="4605" ht="15.75" customHeight="1">
      <c r="A4605" t="str">
        <f t="shared" si="1"/>
        <v>S.degradans</v>
      </c>
      <c r="B4605" s="5" t="s">
        <v>28713</v>
      </c>
      <c r="C4605" s="6" t="str">
        <f>IFERROR(__xludf.DUMMYFUNCTION("SPLIT('2. c'!B4605, "" "", True, True)"),"Saccharophagus")</f>
        <v>Saccharophagus</v>
      </c>
      <c r="D4605" t="str">
        <f>IFERROR(__xludf.DUMMYFUNCTION("""COMPUTED_VALUE"""),"degradans")</f>
        <v>degradans</v>
      </c>
      <c r="E4605" t="str">
        <f>IFERROR(__xludf.DUMMYFUNCTION("""COMPUTED_VALUE"""),"2-40")</f>
        <v>2-40</v>
      </c>
    </row>
    <row r="4606" ht="15.75" customHeight="1">
      <c r="A4606" t="str">
        <f t="shared" si="1"/>
        <v>S.erythraea</v>
      </c>
      <c r="B4606" s="5" t="s">
        <v>28719</v>
      </c>
      <c r="C4606" s="6" t="str">
        <f>IFERROR(__xludf.DUMMYFUNCTION("SPLIT('2. c'!B4606, "" "", True, True)"),"Saccharopolyspora")</f>
        <v>Saccharopolyspora</v>
      </c>
      <c r="D4606" t="str">
        <f>IFERROR(__xludf.DUMMYFUNCTION("""COMPUTED_VALUE"""),"erythraea")</f>
        <v>erythraea</v>
      </c>
      <c r="E4606" t="str">
        <f>IFERROR(__xludf.DUMMYFUNCTION("""COMPUTED_VALUE"""),"NRRL")</f>
        <v>NRRL</v>
      </c>
      <c r="F4606">
        <f>IFERROR(__xludf.DUMMYFUNCTION("""COMPUTED_VALUE"""),2338.0)</f>
        <v>2338</v>
      </c>
    </row>
    <row r="4607" ht="15.75" customHeight="1">
      <c r="A4607" t="str">
        <f t="shared" si="1"/>
        <v>S.espanaensis</v>
      </c>
      <c r="B4607" s="5" t="s">
        <v>28725</v>
      </c>
      <c r="C4607" s="6" t="str">
        <f>IFERROR(__xludf.DUMMYFUNCTION("SPLIT('2. c'!B4607, "" "", True, True)"),"Saccharothrix")</f>
        <v>Saccharothrix</v>
      </c>
      <c r="D4607" t="str">
        <f>IFERROR(__xludf.DUMMYFUNCTION("""COMPUTED_VALUE"""),"espanaensis")</f>
        <v>espanaensis</v>
      </c>
      <c r="E4607" t="str">
        <f>IFERROR(__xludf.DUMMYFUNCTION("""COMPUTED_VALUE"""),"DSM")</f>
        <v>DSM</v>
      </c>
      <c r="F4607">
        <f>IFERROR(__xludf.DUMMYFUNCTION("""COMPUTED_VALUE"""),44229.0)</f>
        <v>44229</v>
      </c>
    </row>
    <row r="4608" ht="15.75" customHeight="1">
      <c r="A4608" t="str">
        <f t="shared" si="1"/>
        <v>S.sp.</v>
      </c>
      <c r="B4608" s="5" t="s">
        <v>28734</v>
      </c>
      <c r="C4608" s="6" t="str">
        <f>IFERROR(__xludf.DUMMYFUNCTION("SPLIT('2. c'!B4608, "" "", True, True)"),"Salinarchaeum")</f>
        <v>Salinarchaeum</v>
      </c>
      <c r="D4608" t="str">
        <f>IFERROR(__xludf.DUMMYFUNCTION("""COMPUTED_VALUE"""),"sp.")</f>
        <v>sp.</v>
      </c>
      <c r="E4608" t="str">
        <f>IFERROR(__xludf.DUMMYFUNCTION("""COMPUTED_VALUE"""),"Harcht-Bsk1")</f>
        <v>Harcht-Bsk1</v>
      </c>
    </row>
    <row r="4609" ht="15.75" customHeight="1">
      <c r="A4609" t="str">
        <f t="shared" si="1"/>
        <v>S.ruber</v>
      </c>
      <c r="B4609" s="5" t="s">
        <v>28740</v>
      </c>
      <c r="C4609" s="6" t="str">
        <f>IFERROR(__xludf.DUMMYFUNCTION("SPLIT('2. c'!B4609, "" "", True, True)"),"Salinibacter")</f>
        <v>Salinibacter</v>
      </c>
      <c r="D4609" t="str">
        <f>IFERROR(__xludf.DUMMYFUNCTION("""COMPUTED_VALUE"""),"ruber")</f>
        <v>ruber</v>
      </c>
      <c r="E4609" t="str">
        <f>IFERROR(__xludf.DUMMYFUNCTION("""COMPUTED_VALUE"""),"DSM")</f>
        <v>DSM</v>
      </c>
      <c r="F4609">
        <f>IFERROR(__xludf.DUMMYFUNCTION("""COMPUTED_VALUE"""),13855.0)</f>
        <v>13855</v>
      </c>
    </row>
    <row r="4610" ht="15.75" customHeight="1">
      <c r="A4610" t="str">
        <f t="shared" si="1"/>
        <v>S.ruber</v>
      </c>
      <c r="B4610" s="5" t="s">
        <v>28746</v>
      </c>
      <c r="C4610" s="6" t="str">
        <f>IFERROR(__xludf.DUMMYFUNCTION("SPLIT('2. c'!B4610, "" "", True, True)"),"Salinibacter")</f>
        <v>Salinibacter</v>
      </c>
      <c r="D4610" t="str">
        <f>IFERROR(__xludf.DUMMYFUNCTION("""COMPUTED_VALUE"""),"ruber")</f>
        <v>ruber</v>
      </c>
      <c r="E4610" t="str">
        <f>IFERROR(__xludf.DUMMYFUNCTION("""COMPUTED_VALUE"""),"M8")</f>
        <v>M8</v>
      </c>
    </row>
    <row r="4611" ht="15.75" customHeight="1">
      <c r="A4611" t="str">
        <f t="shared" si="1"/>
        <v>S.halodurans</v>
      </c>
      <c r="B4611" s="5" t="s">
        <v>28751</v>
      </c>
      <c r="C4611" s="6" t="str">
        <f>IFERROR(__xludf.DUMMYFUNCTION("SPLIT('2. c'!B4611, "" "", True, True)"),"Salinicoccus")</f>
        <v>Salinicoccus</v>
      </c>
      <c r="D4611" t="str">
        <f>IFERROR(__xludf.DUMMYFUNCTION("""COMPUTED_VALUE"""),"halodurans")</f>
        <v>halodurans</v>
      </c>
      <c r="E4611" t="str">
        <f>IFERROR(__xludf.DUMMYFUNCTION("""COMPUTED_VALUE"""),"strain")</f>
        <v>strain</v>
      </c>
      <c r="F4611" t="str">
        <f>IFERROR(__xludf.DUMMYFUNCTION("""COMPUTED_VALUE"""),"H3B36")</f>
        <v>H3B36</v>
      </c>
    </row>
    <row r="4612" ht="15.75" customHeight="1">
      <c r="A4612" t="str">
        <f t="shared" si="1"/>
        <v>S.arenicola</v>
      </c>
      <c r="B4612" s="5" t="s">
        <v>28757</v>
      </c>
      <c r="C4612" s="6" t="str">
        <f>IFERROR(__xludf.DUMMYFUNCTION("SPLIT('2. c'!B4612, "" "", True, True)"),"Salinispora")</f>
        <v>Salinispora</v>
      </c>
      <c r="D4612" t="str">
        <f>IFERROR(__xludf.DUMMYFUNCTION("""COMPUTED_VALUE"""),"arenicola")</f>
        <v>arenicola</v>
      </c>
      <c r="E4612" t="str">
        <f>IFERROR(__xludf.DUMMYFUNCTION("""COMPUTED_VALUE"""),"CNS-205")</f>
        <v>CNS-205</v>
      </c>
    </row>
    <row r="4613" ht="15.75" customHeight="1">
      <c r="A4613" t="str">
        <f t="shared" si="1"/>
        <v>S.tropica</v>
      </c>
      <c r="B4613" s="5" t="s">
        <v>28761</v>
      </c>
      <c r="C4613" s="6" t="str">
        <f>IFERROR(__xludf.DUMMYFUNCTION("SPLIT('2. c'!B4613, "" "", True, True)"),"Salinispora")</f>
        <v>Salinispora</v>
      </c>
      <c r="D4613" t="str">
        <f>IFERROR(__xludf.DUMMYFUNCTION("""COMPUTED_VALUE"""),"tropica")</f>
        <v>tropica</v>
      </c>
      <c r="E4613" t="str">
        <f>IFERROR(__xludf.DUMMYFUNCTION("""COMPUTED_VALUE"""),"CNB-440")</f>
        <v>CNB-440</v>
      </c>
    </row>
    <row r="4614" ht="15.75" customHeight="1">
      <c r="A4614" t="str">
        <f t="shared" si="1"/>
        <v>S.bongori</v>
      </c>
      <c r="B4614" s="5" t="s">
        <v>28766</v>
      </c>
      <c r="C4614" s="6" t="str">
        <f>IFERROR(__xludf.DUMMYFUNCTION("SPLIT('2. c'!B4614, "" "", True, True)"),"Salmonella")</f>
        <v>Salmonella</v>
      </c>
      <c r="D4614" t="str">
        <f>IFERROR(__xludf.DUMMYFUNCTION("""COMPUTED_VALUE"""),"bongori")</f>
        <v>bongori</v>
      </c>
      <c r="E4614" t="str">
        <f>IFERROR(__xludf.DUMMYFUNCTION("""COMPUTED_VALUE"""),"N268-08")</f>
        <v>N268-08</v>
      </c>
    </row>
    <row r="4615" ht="15.75" customHeight="1">
      <c r="A4615" t="str">
        <f t="shared" si="1"/>
        <v>S.bongori</v>
      </c>
      <c r="B4615" s="5" t="s">
        <v>28771</v>
      </c>
      <c r="C4615" s="6" t="str">
        <f>IFERROR(__xludf.DUMMYFUNCTION("SPLIT('2. c'!B4615, "" "", True, True)"),"Salmonella")</f>
        <v>Salmonella</v>
      </c>
      <c r="D4615" t="str">
        <f>IFERROR(__xludf.DUMMYFUNCTION("""COMPUTED_VALUE"""),"bongori")</f>
        <v>bongori</v>
      </c>
      <c r="E4615" t="str">
        <f>IFERROR(__xludf.DUMMYFUNCTION("""COMPUTED_VALUE"""),"NCTC")</f>
        <v>NCTC</v>
      </c>
      <c r="F4615">
        <f>IFERROR(__xludf.DUMMYFUNCTION("""COMPUTED_VALUE"""),12419.0)</f>
        <v>12419</v>
      </c>
    </row>
    <row r="4616" ht="15.75" customHeight="1">
      <c r="A4616" t="str">
        <f t="shared" si="1"/>
        <v>S.bongori</v>
      </c>
      <c r="B4616" s="5" t="s">
        <v>28775</v>
      </c>
      <c r="C4616" s="6" t="str">
        <f>IFERROR(__xludf.DUMMYFUNCTION("SPLIT('2. c'!B4616, "" "", True, True)"),"Salmonella")</f>
        <v>Salmonella</v>
      </c>
      <c r="D4616" t="str">
        <f>IFERROR(__xludf.DUMMYFUNCTION("""COMPUTED_VALUE"""),"bongori")</f>
        <v>bongori</v>
      </c>
      <c r="E4616" t="str">
        <f>IFERROR(__xludf.DUMMYFUNCTION("""COMPUTED_VALUE"""),"serovar")</f>
        <v>serovar</v>
      </c>
      <c r="F4616" t="str">
        <f>IFERROR(__xludf.DUMMYFUNCTION("""COMPUTED_VALUE"""),"48:z41:--")</f>
        <v>48:z41:--</v>
      </c>
      <c r="G4616" t="str">
        <f>IFERROR(__xludf.DUMMYFUNCTION("""COMPUTED_VALUE"""),"str.")</f>
        <v>str.</v>
      </c>
      <c r="H4616" t="str">
        <f>IFERROR(__xludf.DUMMYFUNCTION("""COMPUTED_VALUE"""),"RKS3044")</f>
        <v>RKS3044</v>
      </c>
    </row>
    <row r="4617" ht="15.75" customHeight="1">
      <c r="A4617" t="str">
        <f t="shared" si="1"/>
        <v>S.enterica</v>
      </c>
      <c r="B4617" s="5" t="s">
        <v>28779</v>
      </c>
      <c r="C4617" s="6" t="str">
        <f>IFERROR(__xludf.DUMMYFUNCTION("SPLIT('2. c'!B4617, "" "", True, True)"),"Salmonella")</f>
        <v>Salmonella</v>
      </c>
      <c r="D4617" t="str">
        <f>IFERROR(__xludf.DUMMYFUNCTION("""COMPUTED_VALUE"""),"enterica")</f>
        <v>enterica</v>
      </c>
      <c r="E4617" t="str">
        <f>IFERROR(__xludf.DUMMYFUNCTION("""COMPUTED_VALUE"""),"strain")</f>
        <v>strain</v>
      </c>
      <c r="F4617" t="str">
        <f>IFERROR(__xludf.DUMMYFUNCTION("""COMPUTED_VALUE"""),"C629")</f>
        <v>C629</v>
      </c>
    </row>
    <row r="4618" ht="15.75" customHeight="1">
      <c r="A4618" t="str">
        <f t="shared" si="1"/>
        <v>S.enterica</v>
      </c>
      <c r="B4618" s="5" t="s">
        <v>28783</v>
      </c>
      <c r="C4618" s="6" t="str">
        <f>IFERROR(__xludf.DUMMYFUNCTION("SPLIT('2. c'!B4618, "" "", True, True)"),"Salmonella")</f>
        <v>Salmonella</v>
      </c>
      <c r="D4618" t="str">
        <f>IFERROR(__xludf.DUMMYFUNCTION("""COMPUTED_VALUE"""),"enterica")</f>
        <v>enterica</v>
      </c>
      <c r="E4618" t="str">
        <f>IFERROR(__xludf.DUMMYFUNCTION("""COMPUTED_VALUE"""),"strain")</f>
        <v>strain</v>
      </c>
      <c r="F4618" t="str">
        <f>IFERROR(__xludf.DUMMYFUNCTION("""COMPUTED_VALUE"""),"LT2")</f>
        <v>LT2</v>
      </c>
    </row>
    <row r="4619" ht="15.75" customHeight="1">
      <c r="A4619" t="str">
        <f t="shared" si="1"/>
        <v>S.enterica</v>
      </c>
      <c r="B4619" s="5" t="s">
        <v>28790</v>
      </c>
      <c r="C4619" s="6" t="str">
        <f>IFERROR(__xludf.DUMMYFUNCTION("SPLIT('2. c'!B4619, "" "", True, True)"),"Salmonella")</f>
        <v>Salmonella</v>
      </c>
      <c r="D4619" t="str">
        <f>IFERROR(__xludf.DUMMYFUNCTION("""COMPUTED_VALUE"""),"enterica")</f>
        <v>enterica</v>
      </c>
      <c r="E4619" t="str">
        <f>IFERROR(__xludf.DUMMYFUNCTION("""COMPUTED_VALUE"""),"subsp.")</f>
        <v>subsp.</v>
      </c>
      <c r="F4619" t="str">
        <f>IFERROR(__xludf.DUMMYFUNCTION("""COMPUTED_VALUE"""),"arizonae")</f>
        <v>arizonae</v>
      </c>
      <c r="G4619" t="str">
        <f>IFERROR(__xludf.DUMMYFUNCTION("""COMPUTED_VALUE"""),"serovar")</f>
        <v>serovar</v>
      </c>
      <c r="H4619" t="str">
        <f>IFERROR(__xludf.DUMMYFUNCTION("""COMPUTED_VALUE"""),"62:z36:-")</f>
        <v>62:z36:-</v>
      </c>
      <c r="I4619" t="str">
        <f>IFERROR(__xludf.DUMMYFUNCTION("""COMPUTED_VALUE"""),"str.")</f>
        <v>str.</v>
      </c>
      <c r="J4619" t="str">
        <f>IFERROR(__xludf.DUMMYFUNCTION("""COMPUTED_VALUE"""),"RKS2983")</f>
        <v>RKS2983</v>
      </c>
    </row>
    <row r="4620" ht="15.75" customHeight="1">
      <c r="A4620" t="str">
        <f t="shared" si="1"/>
        <v>S.enterica</v>
      </c>
      <c r="B4620" s="5" t="s">
        <v>28798</v>
      </c>
      <c r="C4620" s="6" t="str">
        <f>IFERROR(__xludf.DUMMYFUNCTION("SPLIT('2. c'!B4620, "" "", True, True)"),"Salmonella")</f>
        <v>Salmonella</v>
      </c>
      <c r="D4620" t="str">
        <f>IFERROR(__xludf.DUMMYFUNCTION("""COMPUTED_VALUE"""),"enterica")</f>
        <v>enterica</v>
      </c>
      <c r="E4620" t="str">
        <f>IFERROR(__xludf.DUMMYFUNCTION("""COMPUTED_VALUE"""),"subsp.")</f>
        <v>subsp.</v>
      </c>
      <c r="F4620" t="str">
        <f>IFERROR(__xludf.DUMMYFUNCTION("""COMPUTED_VALUE"""),"arizonae")</f>
        <v>arizonae</v>
      </c>
      <c r="G4620" t="str">
        <f>IFERROR(__xludf.DUMMYFUNCTION("""COMPUTED_VALUE"""),"serovar")</f>
        <v>serovar</v>
      </c>
      <c r="H4620" t="str">
        <f>IFERROR(__xludf.DUMMYFUNCTION("""COMPUTED_VALUE"""),"62:z4,z23:-")</f>
        <v>62:z4,z23:-</v>
      </c>
    </row>
    <row r="4621" ht="15.75" customHeight="1">
      <c r="A4621" t="str">
        <f t="shared" si="1"/>
        <v>S.enterica</v>
      </c>
      <c r="B4621" s="5" t="s">
        <v>28806</v>
      </c>
      <c r="C4621" s="6" t="str">
        <f>IFERROR(__xludf.DUMMYFUNCTION("SPLIT('2. c'!B4621, "" "", True, True)"),"Salmonella")</f>
        <v>Salmonella</v>
      </c>
      <c r="D4621" t="str">
        <f>IFERROR(__xludf.DUMMYFUNCTION("""COMPUTED_VALUE"""),"enterica")</f>
        <v>enterica</v>
      </c>
      <c r="E4621" t="str">
        <f>IFERROR(__xludf.DUMMYFUNCTION("""COMPUTED_VALUE"""),"subsp.")</f>
        <v>subsp.</v>
      </c>
      <c r="F4621" t="str">
        <f>IFERROR(__xludf.DUMMYFUNCTION("""COMPUTED_VALUE"""),"diarizonae")</f>
        <v>diarizonae</v>
      </c>
    </row>
    <row r="4622" ht="15.75" customHeight="1">
      <c r="A4622" t="str">
        <f t="shared" si="1"/>
        <v>S.enterica</v>
      </c>
      <c r="B4622" s="5" t="s">
        <v>28806</v>
      </c>
      <c r="C4622" s="6" t="str">
        <f>IFERROR(__xludf.DUMMYFUNCTION("SPLIT('2. c'!B4622, "" "", True, True)"),"Salmonella")</f>
        <v>Salmonella</v>
      </c>
      <c r="D4622" t="str">
        <f>IFERROR(__xludf.DUMMYFUNCTION("""COMPUTED_VALUE"""),"enterica")</f>
        <v>enterica</v>
      </c>
      <c r="E4622" t="str">
        <f>IFERROR(__xludf.DUMMYFUNCTION("""COMPUTED_VALUE"""),"subsp.")</f>
        <v>subsp.</v>
      </c>
      <c r="F4622" t="str">
        <f>IFERROR(__xludf.DUMMYFUNCTION("""COMPUTED_VALUE"""),"diarizonae")</f>
        <v>diarizonae</v>
      </c>
    </row>
    <row r="4623" ht="15.75" customHeight="1">
      <c r="A4623" t="str">
        <f t="shared" si="1"/>
        <v>S.enterica</v>
      </c>
      <c r="B4623" s="5" t="s">
        <v>28806</v>
      </c>
      <c r="C4623" s="6" t="str">
        <f>IFERROR(__xludf.DUMMYFUNCTION("SPLIT('2. c'!B4623, "" "", True, True)"),"Salmonella")</f>
        <v>Salmonella</v>
      </c>
      <c r="D4623" t="str">
        <f>IFERROR(__xludf.DUMMYFUNCTION("""COMPUTED_VALUE"""),"enterica")</f>
        <v>enterica</v>
      </c>
      <c r="E4623" t="str">
        <f>IFERROR(__xludf.DUMMYFUNCTION("""COMPUTED_VALUE"""),"subsp.")</f>
        <v>subsp.</v>
      </c>
      <c r="F4623" t="str">
        <f>IFERROR(__xludf.DUMMYFUNCTION("""COMPUTED_VALUE"""),"diarizonae")</f>
        <v>diarizonae</v>
      </c>
    </row>
    <row r="4624" ht="15.75" customHeight="1">
      <c r="A4624" t="str">
        <f t="shared" si="1"/>
        <v>S.enterica</v>
      </c>
      <c r="B4624" s="5" t="s">
        <v>28818</v>
      </c>
      <c r="C4624" s="6" t="str">
        <f>IFERROR(__xludf.DUMMYFUNCTION("SPLIT('2. c'!B4624, "" "", True, True)"),"Salmonella")</f>
        <v>Salmonella</v>
      </c>
      <c r="D4624" t="str">
        <f>IFERROR(__xludf.DUMMYFUNCTION("""COMPUTED_VALUE"""),"enterica")</f>
        <v>enterica</v>
      </c>
      <c r="E4624" t="str">
        <f>IFERROR(__xludf.DUMMYFUNCTION("""COMPUTED_VALUE"""),"subsp.")</f>
        <v>subsp.</v>
      </c>
      <c r="F4624" t="str">
        <f>IFERROR(__xludf.DUMMYFUNCTION("""COMPUTED_VALUE"""),"enterica")</f>
        <v>enterica</v>
      </c>
      <c r="G4624" t="str">
        <f>IFERROR(__xludf.DUMMYFUNCTION("""COMPUTED_VALUE"""),"serovar")</f>
        <v>serovar</v>
      </c>
      <c r="H4624" t="str">
        <f>IFERROR(__xludf.DUMMYFUNCTION("""COMPUTED_VALUE"""),"Agona")</f>
        <v>Agona</v>
      </c>
      <c r="I4624" t="str">
        <f>IFERROR(__xludf.DUMMYFUNCTION("""COMPUTED_VALUE"""),"str.")</f>
        <v>str.</v>
      </c>
      <c r="J4624">
        <f>IFERROR(__xludf.DUMMYFUNCTION("""COMPUTED_VALUE"""),24249.0)</f>
        <v>24249</v>
      </c>
    </row>
    <row r="4625" ht="15.75" customHeight="1">
      <c r="A4625" t="str">
        <f t="shared" si="1"/>
        <v>S.enterica</v>
      </c>
      <c r="B4625" s="5" t="s">
        <v>28823</v>
      </c>
      <c r="C4625" s="6" t="str">
        <f>IFERROR(__xludf.DUMMYFUNCTION("SPLIT('2. c'!B4625, "" "", True, True)"),"Salmonella")</f>
        <v>Salmonella</v>
      </c>
      <c r="D4625" t="str">
        <f>IFERROR(__xludf.DUMMYFUNCTION("""COMPUTED_VALUE"""),"enterica")</f>
        <v>enterica</v>
      </c>
      <c r="E4625" t="str">
        <f>IFERROR(__xludf.DUMMYFUNCTION("""COMPUTED_VALUE"""),"subsp.")</f>
        <v>subsp.</v>
      </c>
      <c r="F4625" t="str">
        <f>IFERROR(__xludf.DUMMYFUNCTION("""COMPUTED_VALUE"""),"enterica")</f>
        <v>enterica</v>
      </c>
      <c r="G4625" t="str">
        <f>IFERROR(__xludf.DUMMYFUNCTION("""COMPUTED_VALUE"""),"serovar")</f>
        <v>serovar</v>
      </c>
      <c r="H4625" t="str">
        <f>IFERROR(__xludf.DUMMYFUNCTION("""COMPUTED_VALUE"""),"Agona")</f>
        <v>Agona</v>
      </c>
      <c r="I4625" t="str">
        <f>IFERROR(__xludf.DUMMYFUNCTION("""COMPUTED_VALUE"""),"str.")</f>
        <v>str.</v>
      </c>
      <c r="J4625" t="str">
        <f>IFERROR(__xludf.DUMMYFUNCTION("""COMPUTED_VALUE"""),"SL483")</f>
        <v>SL483</v>
      </c>
    </row>
    <row r="4626" ht="15.75" customHeight="1">
      <c r="A4626" t="str">
        <f t="shared" si="1"/>
        <v>S.enterica</v>
      </c>
      <c r="B4626" s="5" t="s">
        <v>28830</v>
      </c>
      <c r="C4626" s="6" t="str">
        <f>IFERROR(__xludf.DUMMYFUNCTION("SPLIT('2. c'!B4626, "" "", True, True)"),"Salmonella")</f>
        <v>Salmonella</v>
      </c>
      <c r="D4626" t="str">
        <f>IFERROR(__xludf.DUMMYFUNCTION("""COMPUTED_VALUE"""),"enterica")</f>
        <v>enterica</v>
      </c>
      <c r="E4626" t="str">
        <f>IFERROR(__xludf.DUMMYFUNCTION("""COMPUTED_VALUE"""),"subsp.")</f>
        <v>subsp.</v>
      </c>
      <c r="F4626" t="str">
        <f>IFERROR(__xludf.DUMMYFUNCTION("""COMPUTED_VALUE"""),"enterica")</f>
        <v>enterica</v>
      </c>
      <c r="G4626" t="str">
        <f>IFERROR(__xludf.DUMMYFUNCTION("""COMPUTED_VALUE"""),"serovar")</f>
        <v>serovar</v>
      </c>
      <c r="H4626" t="str">
        <f>IFERROR(__xludf.DUMMYFUNCTION("""COMPUTED_VALUE"""),"Anatum")</f>
        <v>Anatum</v>
      </c>
      <c r="I4626" t="str">
        <f>IFERROR(__xludf.DUMMYFUNCTION("""COMPUTED_VALUE"""),"str.")</f>
        <v>str.</v>
      </c>
      <c r="J4626" t="str">
        <f>IFERROR(__xludf.DUMMYFUNCTION("""COMPUTED_VALUE"""),"CDC")</f>
        <v>CDC</v>
      </c>
      <c r="K4626" s="37">
        <f>IFERROR(__xludf.DUMMYFUNCTION("""COMPUTED_VALUE"""),-499498.0)</f>
        <v>-499498</v>
      </c>
      <c r="L4626" t="str">
        <f>IFERROR(__xludf.DUMMYFUNCTION("""COMPUTED_VALUE"""),"strain")</f>
        <v>strain</v>
      </c>
      <c r="M4626" t="str">
        <f>IFERROR(__xludf.DUMMYFUNCTION("""COMPUTED_VALUE"""),"USDA-ARS-USMARC-1764")</f>
        <v>USDA-ARS-USMARC-1764</v>
      </c>
    </row>
    <row r="4627" ht="15.75" customHeight="1">
      <c r="A4627" t="str">
        <f t="shared" si="1"/>
        <v>S.enterica</v>
      </c>
      <c r="B4627" s="5" t="s">
        <v>28843</v>
      </c>
      <c r="C4627" s="6" t="str">
        <f>IFERROR(__xludf.DUMMYFUNCTION("SPLIT('2. c'!B4627, "" "", True, True)"),"Salmonella")</f>
        <v>Salmonella</v>
      </c>
      <c r="D4627" t="str">
        <f>IFERROR(__xludf.DUMMYFUNCTION("""COMPUTED_VALUE"""),"enterica")</f>
        <v>enterica</v>
      </c>
      <c r="E4627" t="str">
        <f>IFERROR(__xludf.DUMMYFUNCTION("""COMPUTED_VALUE"""),"subsp.")</f>
        <v>subsp.</v>
      </c>
      <c r="F4627" t="str">
        <f>IFERROR(__xludf.DUMMYFUNCTION("""COMPUTED_VALUE"""),"enterica")</f>
        <v>enterica</v>
      </c>
      <c r="G4627" t="str">
        <f>IFERROR(__xludf.DUMMYFUNCTION("""COMPUTED_VALUE"""),"serovar")</f>
        <v>serovar</v>
      </c>
      <c r="H4627" t="str">
        <f>IFERROR(__xludf.DUMMYFUNCTION("""COMPUTED_VALUE"""),"Anatum")</f>
        <v>Anatum</v>
      </c>
      <c r="I4627" t="str">
        <f>IFERROR(__xludf.DUMMYFUNCTION("""COMPUTED_VALUE"""),"str.")</f>
        <v>str.</v>
      </c>
      <c r="J4627" t="str">
        <f>IFERROR(__xludf.DUMMYFUNCTION("""COMPUTED_VALUE"""),"USDA-ARS-USMARC-1175")</f>
        <v>USDA-ARS-USMARC-1175</v>
      </c>
    </row>
    <row r="4628" ht="15.75" customHeight="1">
      <c r="A4628" t="str">
        <f t="shared" si="1"/>
        <v>S.enterica</v>
      </c>
      <c r="B4628" s="5" t="s">
        <v>28849</v>
      </c>
      <c r="C4628" s="6" t="str">
        <f>IFERROR(__xludf.DUMMYFUNCTION("SPLIT('2. c'!B4628, "" "", True, True)"),"Salmonella")</f>
        <v>Salmonella</v>
      </c>
      <c r="D4628" t="str">
        <f>IFERROR(__xludf.DUMMYFUNCTION("""COMPUTED_VALUE"""),"enterica")</f>
        <v>enterica</v>
      </c>
      <c r="E4628" t="str">
        <f>IFERROR(__xludf.DUMMYFUNCTION("""COMPUTED_VALUE"""),"subsp.")</f>
        <v>subsp.</v>
      </c>
      <c r="F4628" t="str">
        <f>IFERROR(__xludf.DUMMYFUNCTION("""COMPUTED_VALUE"""),"enterica")</f>
        <v>enterica</v>
      </c>
      <c r="G4628" t="str">
        <f>IFERROR(__xludf.DUMMYFUNCTION("""COMPUTED_VALUE"""),"serovar")</f>
        <v>serovar</v>
      </c>
      <c r="H4628" t="str">
        <f>IFERROR(__xludf.DUMMYFUNCTION("""COMPUTED_VALUE"""),"Anatum")</f>
        <v>Anatum</v>
      </c>
      <c r="I4628" t="str">
        <f>IFERROR(__xludf.DUMMYFUNCTION("""COMPUTED_VALUE"""),"str.")</f>
        <v>str.</v>
      </c>
      <c r="J4628" t="str">
        <f>IFERROR(__xludf.DUMMYFUNCTION("""COMPUTED_VALUE"""),"USDA-ARS-USMARC-1676")</f>
        <v>USDA-ARS-USMARC-1676</v>
      </c>
    </row>
    <row r="4629" ht="15.75" customHeight="1">
      <c r="A4629" t="str">
        <f t="shared" si="1"/>
        <v>S.enterica</v>
      </c>
      <c r="B4629" s="5" t="s">
        <v>28854</v>
      </c>
      <c r="C4629" s="6" t="str">
        <f>IFERROR(__xludf.DUMMYFUNCTION("SPLIT('2. c'!B4629, "" "", True, True)"),"Salmonella")</f>
        <v>Salmonella</v>
      </c>
      <c r="D4629" t="str">
        <f>IFERROR(__xludf.DUMMYFUNCTION("""COMPUTED_VALUE"""),"enterica")</f>
        <v>enterica</v>
      </c>
      <c r="E4629" t="str">
        <f>IFERROR(__xludf.DUMMYFUNCTION("""COMPUTED_VALUE"""),"subsp.")</f>
        <v>subsp.</v>
      </c>
      <c r="F4629" t="str">
        <f>IFERROR(__xludf.DUMMYFUNCTION("""COMPUTED_VALUE"""),"enterica")</f>
        <v>enterica</v>
      </c>
      <c r="G4629" t="str">
        <f>IFERROR(__xludf.DUMMYFUNCTION("""COMPUTED_VALUE"""),"serovar")</f>
        <v>serovar</v>
      </c>
      <c r="H4629" t="str">
        <f>IFERROR(__xludf.DUMMYFUNCTION("""COMPUTED_VALUE"""),"Anatum")</f>
        <v>Anatum</v>
      </c>
      <c r="I4629" t="str">
        <f>IFERROR(__xludf.DUMMYFUNCTION("""COMPUTED_VALUE"""),"str.")</f>
        <v>str.</v>
      </c>
      <c r="J4629" t="str">
        <f>IFERROR(__xludf.DUMMYFUNCTION("""COMPUTED_VALUE"""),"USDA-ARS-USMARC-1677")</f>
        <v>USDA-ARS-USMARC-1677</v>
      </c>
    </row>
    <row r="4630" ht="15.75" customHeight="1">
      <c r="A4630" t="str">
        <f t="shared" si="1"/>
        <v>S.enterica</v>
      </c>
      <c r="B4630" s="5" t="s">
        <v>28859</v>
      </c>
      <c r="C4630" s="6" t="str">
        <f>IFERROR(__xludf.DUMMYFUNCTION("SPLIT('2. c'!B4630, "" "", True, True)"),"Salmonella")</f>
        <v>Salmonella</v>
      </c>
      <c r="D4630" t="str">
        <f>IFERROR(__xludf.DUMMYFUNCTION("""COMPUTED_VALUE"""),"enterica")</f>
        <v>enterica</v>
      </c>
      <c r="E4630" t="str">
        <f>IFERROR(__xludf.DUMMYFUNCTION("""COMPUTED_VALUE"""),"subsp.")</f>
        <v>subsp.</v>
      </c>
      <c r="F4630" t="str">
        <f>IFERROR(__xludf.DUMMYFUNCTION("""COMPUTED_VALUE"""),"enterica")</f>
        <v>enterica</v>
      </c>
      <c r="G4630" t="str">
        <f>IFERROR(__xludf.DUMMYFUNCTION("""COMPUTED_VALUE"""),"serovar")</f>
        <v>serovar</v>
      </c>
      <c r="H4630" t="str">
        <f>IFERROR(__xludf.DUMMYFUNCTION("""COMPUTED_VALUE"""),"Anatum")</f>
        <v>Anatum</v>
      </c>
      <c r="I4630" t="str">
        <f>IFERROR(__xludf.DUMMYFUNCTION("""COMPUTED_VALUE"""),"str.")</f>
        <v>str.</v>
      </c>
      <c r="J4630" t="str">
        <f>IFERROR(__xludf.DUMMYFUNCTION("""COMPUTED_VALUE"""),"USDA-ARS-USMARC-1727")</f>
        <v>USDA-ARS-USMARC-1727</v>
      </c>
    </row>
    <row r="4631" ht="15.75" customHeight="1">
      <c r="A4631" t="str">
        <f t="shared" si="1"/>
        <v>S.enterica</v>
      </c>
      <c r="B4631" s="5" t="s">
        <v>28866</v>
      </c>
      <c r="C4631" s="6" t="str">
        <f>IFERROR(__xludf.DUMMYFUNCTION("SPLIT('2. c'!B4631, "" "", True, True)"),"Salmonella")</f>
        <v>Salmonella</v>
      </c>
      <c r="D4631" t="str">
        <f>IFERROR(__xludf.DUMMYFUNCTION("""COMPUTED_VALUE"""),"enterica")</f>
        <v>enterica</v>
      </c>
      <c r="E4631" t="str">
        <f>IFERROR(__xludf.DUMMYFUNCTION("""COMPUTED_VALUE"""),"subsp.")</f>
        <v>subsp.</v>
      </c>
      <c r="F4631" t="str">
        <f>IFERROR(__xludf.DUMMYFUNCTION("""COMPUTED_VALUE"""),"enterica")</f>
        <v>enterica</v>
      </c>
      <c r="G4631" t="str">
        <f>IFERROR(__xludf.DUMMYFUNCTION("""COMPUTED_VALUE"""),"serovar")</f>
        <v>serovar</v>
      </c>
      <c r="H4631" t="str">
        <f>IFERROR(__xludf.DUMMYFUNCTION("""COMPUTED_VALUE"""),"Anatum")</f>
        <v>Anatum</v>
      </c>
      <c r="I4631" t="str">
        <f>IFERROR(__xludf.DUMMYFUNCTION("""COMPUTED_VALUE"""),"str.")</f>
        <v>str.</v>
      </c>
      <c r="J4631" t="str">
        <f>IFERROR(__xludf.DUMMYFUNCTION("""COMPUTED_VALUE"""),"USDA-ARS-USMARC-1728")</f>
        <v>USDA-ARS-USMARC-1728</v>
      </c>
    </row>
    <row r="4632" ht="15.75" customHeight="1">
      <c r="A4632" t="str">
        <f t="shared" si="1"/>
        <v>S.enterica</v>
      </c>
      <c r="B4632" s="5" t="s">
        <v>28874</v>
      </c>
      <c r="C4632" s="6" t="str">
        <f>IFERROR(__xludf.DUMMYFUNCTION("SPLIT('2. c'!B4632, "" "", True, True)"),"Salmonella")</f>
        <v>Salmonella</v>
      </c>
      <c r="D4632" t="str">
        <f>IFERROR(__xludf.DUMMYFUNCTION("""COMPUTED_VALUE"""),"enterica")</f>
        <v>enterica</v>
      </c>
      <c r="E4632" t="str">
        <f>IFERROR(__xludf.DUMMYFUNCTION("""COMPUTED_VALUE"""),"subsp.")</f>
        <v>subsp.</v>
      </c>
      <c r="F4632" t="str">
        <f>IFERROR(__xludf.DUMMYFUNCTION("""COMPUTED_VALUE"""),"enterica")</f>
        <v>enterica</v>
      </c>
      <c r="G4632" t="str">
        <f>IFERROR(__xludf.DUMMYFUNCTION("""COMPUTED_VALUE"""),"serovar")</f>
        <v>serovar</v>
      </c>
      <c r="H4632" t="str">
        <f>IFERROR(__xludf.DUMMYFUNCTION("""COMPUTED_VALUE"""),"Anatum")</f>
        <v>Anatum</v>
      </c>
      <c r="I4632" t="str">
        <f>IFERROR(__xludf.DUMMYFUNCTION("""COMPUTED_VALUE"""),"str.")</f>
        <v>str.</v>
      </c>
      <c r="J4632" t="str">
        <f>IFERROR(__xludf.DUMMYFUNCTION("""COMPUTED_VALUE"""),"USDA-ARS-USMARC-1735")</f>
        <v>USDA-ARS-USMARC-1735</v>
      </c>
    </row>
    <row r="4633" ht="15.75" customHeight="1">
      <c r="A4633" t="str">
        <f t="shared" si="1"/>
        <v>S.enterica</v>
      </c>
      <c r="B4633" s="5" t="s">
        <v>28883</v>
      </c>
      <c r="C4633" s="6" t="str">
        <f>IFERROR(__xludf.DUMMYFUNCTION("SPLIT('2. c'!B4633, "" "", True, True)"),"Salmonella")</f>
        <v>Salmonella</v>
      </c>
      <c r="D4633" t="str">
        <f>IFERROR(__xludf.DUMMYFUNCTION("""COMPUTED_VALUE"""),"enterica")</f>
        <v>enterica</v>
      </c>
      <c r="E4633" t="str">
        <f>IFERROR(__xludf.DUMMYFUNCTION("""COMPUTED_VALUE"""),"subsp.")</f>
        <v>subsp.</v>
      </c>
      <c r="F4633" t="str">
        <f>IFERROR(__xludf.DUMMYFUNCTION("""COMPUTED_VALUE"""),"enterica")</f>
        <v>enterica</v>
      </c>
      <c r="G4633" t="str">
        <f>IFERROR(__xludf.DUMMYFUNCTION("""COMPUTED_VALUE"""),"serovar")</f>
        <v>serovar</v>
      </c>
      <c r="H4633" t="str">
        <f>IFERROR(__xludf.DUMMYFUNCTION("""COMPUTED_VALUE"""),"Anatum")</f>
        <v>Anatum</v>
      </c>
      <c r="I4633" t="str">
        <f>IFERROR(__xludf.DUMMYFUNCTION("""COMPUTED_VALUE"""),"str.")</f>
        <v>str.</v>
      </c>
      <c r="J4633" t="str">
        <f>IFERROR(__xludf.DUMMYFUNCTION("""COMPUTED_VALUE"""),"USDA-ARS-USMARC-1736")</f>
        <v>USDA-ARS-USMARC-1736</v>
      </c>
    </row>
    <row r="4634" ht="15.75" customHeight="1">
      <c r="A4634" t="str">
        <f t="shared" si="1"/>
        <v>S.enterica</v>
      </c>
      <c r="B4634" s="5" t="s">
        <v>28890</v>
      </c>
      <c r="C4634" s="6" t="str">
        <f>IFERROR(__xludf.DUMMYFUNCTION("SPLIT('2. c'!B4634, "" "", True, True)"),"Salmonella")</f>
        <v>Salmonella</v>
      </c>
      <c r="D4634" t="str">
        <f>IFERROR(__xludf.DUMMYFUNCTION("""COMPUTED_VALUE"""),"enterica")</f>
        <v>enterica</v>
      </c>
      <c r="E4634" t="str">
        <f>IFERROR(__xludf.DUMMYFUNCTION("""COMPUTED_VALUE"""),"subsp.")</f>
        <v>subsp.</v>
      </c>
      <c r="F4634" t="str">
        <f>IFERROR(__xludf.DUMMYFUNCTION("""COMPUTED_VALUE"""),"enterica")</f>
        <v>enterica</v>
      </c>
      <c r="G4634" t="str">
        <f>IFERROR(__xludf.DUMMYFUNCTION("""COMPUTED_VALUE"""),"serovar")</f>
        <v>serovar</v>
      </c>
      <c r="H4634" t="str">
        <f>IFERROR(__xludf.DUMMYFUNCTION("""COMPUTED_VALUE"""),"Anatum")</f>
        <v>Anatum</v>
      </c>
      <c r="I4634" t="str">
        <f>IFERROR(__xludf.DUMMYFUNCTION("""COMPUTED_VALUE"""),"str.")</f>
        <v>str.</v>
      </c>
      <c r="J4634" t="str">
        <f>IFERROR(__xludf.DUMMYFUNCTION("""COMPUTED_VALUE"""),"USDA-ARS-USMARC-1765")</f>
        <v>USDA-ARS-USMARC-1765</v>
      </c>
    </row>
    <row r="4635" ht="15.75" customHeight="1">
      <c r="A4635" t="str">
        <f t="shared" si="1"/>
        <v>S.enterica</v>
      </c>
      <c r="B4635" s="5" t="s">
        <v>28894</v>
      </c>
      <c r="C4635" s="6" t="str">
        <f>IFERROR(__xludf.DUMMYFUNCTION("SPLIT('2. c'!B4635, "" "", True, True)"),"Salmonella")</f>
        <v>Salmonella</v>
      </c>
      <c r="D4635" t="str">
        <f>IFERROR(__xludf.DUMMYFUNCTION("""COMPUTED_VALUE"""),"enterica")</f>
        <v>enterica</v>
      </c>
      <c r="E4635" t="str">
        <f>IFERROR(__xludf.DUMMYFUNCTION("""COMPUTED_VALUE"""),"subsp.")</f>
        <v>subsp.</v>
      </c>
      <c r="F4635" t="str">
        <f>IFERROR(__xludf.DUMMYFUNCTION("""COMPUTED_VALUE"""),"enterica")</f>
        <v>enterica</v>
      </c>
      <c r="G4635" t="str">
        <f>IFERROR(__xludf.DUMMYFUNCTION("""COMPUTED_VALUE"""),"serovar")</f>
        <v>serovar</v>
      </c>
      <c r="H4635" t="str">
        <f>IFERROR(__xludf.DUMMYFUNCTION("""COMPUTED_VALUE"""),"Anatum")</f>
        <v>Anatum</v>
      </c>
      <c r="I4635" t="str">
        <f>IFERROR(__xludf.DUMMYFUNCTION("""COMPUTED_VALUE"""),"str.")</f>
        <v>str.</v>
      </c>
      <c r="J4635" t="str">
        <f>IFERROR(__xludf.DUMMYFUNCTION("""COMPUTED_VALUE"""),"USDA-ARS-USMARC-1766")</f>
        <v>USDA-ARS-USMARC-1766</v>
      </c>
    </row>
    <row r="4636" ht="15.75" customHeight="1">
      <c r="A4636" t="str">
        <f t="shared" si="1"/>
        <v>S.enterica</v>
      </c>
      <c r="B4636" s="5" t="s">
        <v>28899</v>
      </c>
      <c r="C4636" s="6" t="str">
        <f>IFERROR(__xludf.DUMMYFUNCTION("SPLIT('2. c'!B4636, "" "", True, True)"),"Salmonella")</f>
        <v>Salmonella</v>
      </c>
      <c r="D4636" t="str">
        <f>IFERROR(__xludf.DUMMYFUNCTION("""COMPUTED_VALUE"""),"enterica")</f>
        <v>enterica</v>
      </c>
      <c r="E4636" t="str">
        <f>IFERROR(__xludf.DUMMYFUNCTION("""COMPUTED_VALUE"""),"subsp.")</f>
        <v>subsp.</v>
      </c>
      <c r="F4636" t="str">
        <f>IFERROR(__xludf.DUMMYFUNCTION("""COMPUTED_VALUE"""),"enterica")</f>
        <v>enterica</v>
      </c>
      <c r="G4636" t="str">
        <f>IFERROR(__xludf.DUMMYFUNCTION("""COMPUTED_VALUE"""),"serovar")</f>
        <v>serovar</v>
      </c>
      <c r="H4636" t="str">
        <f>IFERROR(__xludf.DUMMYFUNCTION("""COMPUTED_VALUE"""),"Anatum")</f>
        <v>Anatum</v>
      </c>
      <c r="I4636" t="str">
        <f>IFERROR(__xludf.DUMMYFUNCTION("""COMPUTED_VALUE"""),"str.")</f>
        <v>str.</v>
      </c>
      <c r="J4636" t="str">
        <f>IFERROR(__xludf.DUMMYFUNCTION("""COMPUTED_VALUE"""),"USDA-ARS-USMARC-1781")</f>
        <v>USDA-ARS-USMARC-1781</v>
      </c>
    </row>
    <row r="4637" ht="15.75" customHeight="1">
      <c r="A4637" t="str">
        <f t="shared" si="1"/>
        <v>S.enterica</v>
      </c>
      <c r="B4637" s="5" t="s">
        <v>28904</v>
      </c>
      <c r="C4637" s="6" t="str">
        <f>IFERROR(__xludf.DUMMYFUNCTION("SPLIT('2. c'!B4637, "" "", True, True)"),"Salmonella")</f>
        <v>Salmonella</v>
      </c>
      <c r="D4637" t="str">
        <f>IFERROR(__xludf.DUMMYFUNCTION("""COMPUTED_VALUE"""),"enterica")</f>
        <v>enterica</v>
      </c>
      <c r="E4637" t="str">
        <f>IFERROR(__xludf.DUMMYFUNCTION("""COMPUTED_VALUE"""),"subsp.")</f>
        <v>subsp.</v>
      </c>
      <c r="F4637" t="str">
        <f>IFERROR(__xludf.DUMMYFUNCTION("""COMPUTED_VALUE"""),"enterica")</f>
        <v>enterica</v>
      </c>
      <c r="G4637" t="str">
        <f>IFERROR(__xludf.DUMMYFUNCTION("""COMPUTED_VALUE"""),"serovar")</f>
        <v>serovar</v>
      </c>
      <c r="H4637" t="str">
        <f>IFERROR(__xludf.DUMMYFUNCTION("""COMPUTED_VALUE"""),"Anatum")</f>
        <v>Anatum</v>
      </c>
      <c r="I4637" t="str">
        <f>IFERROR(__xludf.DUMMYFUNCTION("""COMPUTED_VALUE"""),"str.")</f>
        <v>str.</v>
      </c>
      <c r="J4637" t="str">
        <f>IFERROR(__xludf.DUMMYFUNCTION("""COMPUTED_VALUE"""),"USDA-ARS-USMARC-1783")</f>
        <v>USDA-ARS-USMARC-1783</v>
      </c>
    </row>
    <row r="4638" ht="15.75" customHeight="1">
      <c r="A4638" t="str">
        <f t="shared" si="1"/>
        <v>S.enterica</v>
      </c>
      <c r="B4638" s="5" t="s">
        <v>28909</v>
      </c>
      <c r="C4638" s="6" t="str">
        <f>IFERROR(__xludf.DUMMYFUNCTION("SPLIT('2. c'!B4638, "" "", True, True)"),"Salmonella")</f>
        <v>Salmonella</v>
      </c>
      <c r="D4638" t="str">
        <f>IFERROR(__xludf.DUMMYFUNCTION("""COMPUTED_VALUE"""),"enterica")</f>
        <v>enterica</v>
      </c>
      <c r="E4638" t="str">
        <f>IFERROR(__xludf.DUMMYFUNCTION("""COMPUTED_VALUE"""),"subsp.")</f>
        <v>subsp.</v>
      </c>
      <c r="F4638" t="str">
        <f>IFERROR(__xludf.DUMMYFUNCTION("""COMPUTED_VALUE"""),"enterica")</f>
        <v>enterica</v>
      </c>
      <c r="G4638" t="str">
        <f>IFERROR(__xludf.DUMMYFUNCTION("""COMPUTED_VALUE"""),"serovar")</f>
        <v>serovar</v>
      </c>
      <c r="H4638" t="str">
        <f>IFERROR(__xludf.DUMMYFUNCTION("""COMPUTED_VALUE"""),"Anatum")</f>
        <v>Anatum</v>
      </c>
      <c r="I4638" t="str">
        <f>IFERROR(__xludf.DUMMYFUNCTION("""COMPUTED_VALUE"""),"strain")</f>
        <v>strain</v>
      </c>
      <c r="J4638" t="str">
        <f>IFERROR(__xludf.DUMMYFUNCTION("""COMPUTED_VALUE"""),"GT-01")</f>
        <v>GT-01</v>
      </c>
    </row>
    <row r="4639" ht="15.75" customHeight="1">
      <c r="A4639" t="str">
        <f t="shared" si="1"/>
        <v>S.enterica</v>
      </c>
      <c r="B4639" s="5" t="s">
        <v>28913</v>
      </c>
      <c r="C4639" s="6" t="str">
        <f>IFERROR(__xludf.DUMMYFUNCTION("SPLIT('2. c'!B4639, "" "", True, True)"),"Salmonella")</f>
        <v>Salmonella</v>
      </c>
      <c r="D4639" t="str">
        <f>IFERROR(__xludf.DUMMYFUNCTION("""COMPUTED_VALUE"""),"enterica")</f>
        <v>enterica</v>
      </c>
      <c r="E4639" t="str">
        <f>IFERROR(__xludf.DUMMYFUNCTION("""COMPUTED_VALUE"""),"subsp.")</f>
        <v>subsp.</v>
      </c>
      <c r="F4639" t="str">
        <f>IFERROR(__xludf.DUMMYFUNCTION("""COMPUTED_VALUE"""),"enterica")</f>
        <v>enterica</v>
      </c>
      <c r="G4639" t="str">
        <f>IFERROR(__xludf.DUMMYFUNCTION("""COMPUTED_VALUE"""),"serovar")</f>
        <v>serovar</v>
      </c>
      <c r="H4639" t="str">
        <f>IFERROR(__xludf.DUMMYFUNCTION("""COMPUTED_VALUE"""),"Anatum")</f>
        <v>Anatum</v>
      </c>
      <c r="I4639" t="str">
        <f>IFERROR(__xludf.DUMMYFUNCTION("""COMPUTED_VALUE"""),"strain")</f>
        <v>strain</v>
      </c>
      <c r="J4639" t="str">
        <f>IFERROR(__xludf.DUMMYFUNCTION("""COMPUTED_VALUE"""),"GT-38")</f>
        <v>GT-38</v>
      </c>
    </row>
    <row r="4640" ht="15.75" customHeight="1">
      <c r="A4640" t="str">
        <f t="shared" si="1"/>
        <v>S.enterica</v>
      </c>
      <c r="B4640" s="5" t="s">
        <v>28918</v>
      </c>
      <c r="C4640" s="6" t="str">
        <f>IFERROR(__xludf.DUMMYFUNCTION("SPLIT('2. c'!B4640, "" "", True, True)"),"Salmonella")</f>
        <v>Salmonella</v>
      </c>
      <c r="D4640" t="str">
        <f>IFERROR(__xludf.DUMMYFUNCTION("""COMPUTED_VALUE"""),"enterica")</f>
        <v>enterica</v>
      </c>
      <c r="E4640" t="str">
        <f>IFERROR(__xludf.DUMMYFUNCTION("""COMPUTED_VALUE"""),"subsp.")</f>
        <v>subsp.</v>
      </c>
      <c r="F4640" t="str">
        <f>IFERROR(__xludf.DUMMYFUNCTION("""COMPUTED_VALUE"""),"enterica")</f>
        <v>enterica</v>
      </c>
      <c r="G4640" t="str">
        <f>IFERROR(__xludf.DUMMYFUNCTION("""COMPUTED_VALUE"""),"serovar")</f>
        <v>serovar</v>
      </c>
      <c r="H4640" t="str">
        <f>IFERROR(__xludf.DUMMYFUNCTION("""COMPUTED_VALUE"""),"Bareilly")</f>
        <v>Bareilly</v>
      </c>
      <c r="I4640" t="str">
        <f>IFERROR(__xludf.DUMMYFUNCTION("""COMPUTED_VALUE"""),"str.")</f>
        <v>str.</v>
      </c>
      <c r="J4640" t="str">
        <f>IFERROR(__xludf.DUMMYFUNCTION("""COMPUTED_VALUE"""),"CFSAN000189")</f>
        <v>CFSAN000189</v>
      </c>
    </row>
    <row r="4641" ht="15.75" customHeight="1">
      <c r="A4641" t="str">
        <f t="shared" si="1"/>
        <v>S.enterica</v>
      </c>
      <c r="B4641" s="5" t="s">
        <v>28924</v>
      </c>
      <c r="C4641" s="6" t="str">
        <f>IFERROR(__xludf.DUMMYFUNCTION("SPLIT('2. c'!B4641, "" "", True, True)"),"Salmonella")</f>
        <v>Salmonella</v>
      </c>
      <c r="D4641" t="str">
        <f>IFERROR(__xludf.DUMMYFUNCTION("""COMPUTED_VALUE"""),"enterica")</f>
        <v>enterica</v>
      </c>
      <c r="E4641" t="str">
        <f>IFERROR(__xludf.DUMMYFUNCTION("""COMPUTED_VALUE"""),"subsp.")</f>
        <v>subsp.</v>
      </c>
      <c r="F4641" t="str">
        <f>IFERROR(__xludf.DUMMYFUNCTION("""COMPUTED_VALUE"""),"enterica")</f>
        <v>enterica</v>
      </c>
      <c r="G4641" t="str">
        <f>IFERROR(__xludf.DUMMYFUNCTION("""COMPUTED_VALUE"""),"serovar")</f>
        <v>serovar</v>
      </c>
      <c r="H4641" t="str">
        <f>IFERROR(__xludf.DUMMYFUNCTION("""COMPUTED_VALUE"""),"Bovismorbificans")</f>
        <v>Bovismorbificans</v>
      </c>
      <c r="I4641" t="str">
        <f>IFERROR(__xludf.DUMMYFUNCTION("""COMPUTED_VALUE"""),"str.")</f>
        <v>str.</v>
      </c>
      <c r="J4641">
        <f>IFERROR(__xludf.DUMMYFUNCTION("""COMPUTED_VALUE"""),3114.0)</f>
        <v>3114</v>
      </c>
    </row>
    <row r="4642" ht="15.75" customHeight="1">
      <c r="A4642" t="str">
        <f t="shared" si="1"/>
        <v>S.enterica</v>
      </c>
      <c r="B4642" s="5" t="s">
        <v>28929</v>
      </c>
      <c r="C4642" s="6" t="str">
        <f>IFERROR(__xludf.DUMMYFUNCTION("SPLIT('2. c'!B4642, "" "", True, True)"),"Salmonella")</f>
        <v>Salmonella</v>
      </c>
      <c r="D4642" t="str">
        <f>IFERROR(__xludf.DUMMYFUNCTION("""COMPUTED_VALUE"""),"enterica")</f>
        <v>enterica</v>
      </c>
      <c r="E4642" t="str">
        <f>IFERROR(__xludf.DUMMYFUNCTION("""COMPUTED_VALUE"""),"subsp.")</f>
        <v>subsp.</v>
      </c>
      <c r="F4642" t="str">
        <f>IFERROR(__xludf.DUMMYFUNCTION("""COMPUTED_VALUE"""),"enterica")</f>
        <v>enterica</v>
      </c>
      <c r="G4642" t="str">
        <f>IFERROR(__xludf.DUMMYFUNCTION("""COMPUTED_VALUE"""),"serovar")</f>
        <v>serovar</v>
      </c>
      <c r="H4642" t="str">
        <f>IFERROR(__xludf.DUMMYFUNCTION("""COMPUTED_VALUE"""),"Choleraesuis")</f>
        <v>Choleraesuis</v>
      </c>
      <c r="I4642" t="str">
        <f>IFERROR(__xludf.DUMMYFUNCTION("""COMPUTED_VALUE"""),"str.")</f>
        <v>str.</v>
      </c>
      <c r="J4642" t="str">
        <f>IFERROR(__xludf.DUMMYFUNCTION("""COMPUTED_VALUE"""),"SC-B67")</f>
        <v>SC-B67</v>
      </c>
    </row>
    <row r="4643" ht="15.75" customHeight="1">
      <c r="A4643" t="str">
        <f t="shared" si="1"/>
        <v>S.enterica</v>
      </c>
      <c r="B4643" s="5" t="s">
        <v>28934</v>
      </c>
      <c r="C4643" s="6" t="str">
        <f>IFERROR(__xludf.DUMMYFUNCTION("SPLIT('2. c'!B4643, "" "", True, True)"),"Salmonella")</f>
        <v>Salmonella</v>
      </c>
      <c r="D4643" t="str">
        <f>IFERROR(__xludf.DUMMYFUNCTION("""COMPUTED_VALUE"""),"enterica")</f>
        <v>enterica</v>
      </c>
      <c r="E4643" t="str">
        <f>IFERROR(__xludf.DUMMYFUNCTION("""COMPUTED_VALUE"""),"subsp.")</f>
        <v>subsp.</v>
      </c>
      <c r="F4643" t="str">
        <f>IFERROR(__xludf.DUMMYFUNCTION("""COMPUTED_VALUE"""),"enterica")</f>
        <v>enterica</v>
      </c>
      <c r="G4643" t="str">
        <f>IFERROR(__xludf.DUMMYFUNCTION("""COMPUTED_VALUE"""),"serovar")</f>
        <v>serovar</v>
      </c>
      <c r="H4643" t="str">
        <f>IFERROR(__xludf.DUMMYFUNCTION("""COMPUTED_VALUE"""),"Choleraesuis")</f>
        <v>Choleraesuis</v>
      </c>
      <c r="I4643" t="str">
        <f>IFERROR(__xludf.DUMMYFUNCTION("""COMPUTED_VALUE"""),"strain")</f>
        <v>strain</v>
      </c>
      <c r="J4643" t="str">
        <f>IFERROR(__xludf.DUMMYFUNCTION("""COMPUTED_VALUE"""),"C500")</f>
        <v>C500</v>
      </c>
    </row>
    <row r="4644" ht="15.75" customHeight="1">
      <c r="A4644" t="str">
        <f t="shared" si="1"/>
        <v>S.enterica</v>
      </c>
      <c r="B4644" s="5" t="s">
        <v>28942</v>
      </c>
      <c r="C4644" s="6" t="str">
        <f>IFERROR(__xludf.DUMMYFUNCTION("SPLIT('2. c'!B4644, "" "", True, True)"),"Salmonella")</f>
        <v>Salmonella</v>
      </c>
      <c r="D4644" t="str">
        <f>IFERROR(__xludf.DUMMYFUNCTION("""COMPUTED_VALUE"""),"enterica")</f>
        <v>enterica</v>
      </c>
      <c r="E4644" t="str">
        <f>IFERROR(__xludf.DUMMYFUNCTION("""COMPUTED_VALUE"""),"subsp.")</f>
        <v>subsp.</v>
      </c>
      <c r="F4644" t="str">
        <f>IFERROR(__xludf.DUMMYFUNCTION("""COMPUTED_VALUE"""),"enterica")</f>
        <v>enterica</v>
      </c>
      <c r="G4644" t="str">
        <f>IFERROR(__xludf.DUMMYFUNCTION("""COMPUTED_VALUE"""),"serovar")</f>
        <v>serovar</v>
      </c>
      <c r="H4644" t="str">
        <f>IFERROR(__xludf.DUMMYFUNCTION("""COMPUTED_VALUE"""),"Cubana")</f>
        <v>Cubana</v>
      </c>
      <c r="I4644" t="str">
        <f>IFERROR(__xludf.DUMMYFUNCTION("""COMPUTED_VALUE"""),"str.")</f>
        <v>str.</v>
      </c>
      <c r="J4644" t="str">
        <f>IFERROR(__xludf.DUMMYFUNCTION("""COMPUTED_VALUE"""),"CFSAN002050")</f>
        <v>CFSAN002050</v>
      </c>
    </row>
    <row r="4645" ht="15.75" customHeight="1">
      <c r="A4645" t="str">
        <f t="shared" si="1"/>
        <v>S.enterica</v>
      </c>
      <c r="B4645" s="5" t="s">
        <v>28947</v>
      </c>
      <c r="C4645" s="6" t="str">
        <f>IFERROR(__xludf.DUMMYFUNCTION("SPLIT('2. c'!B4645, "" "", True, True)"),"Salmonella")</f>
        <v>Salmonella</v>
      </c>
      <c r="D4645" t="str">
        <f>IFERROR(__xludf.DUMMYFUNCTION("""COMPUTED_VALUE"""),"enterica")</f>
        <v>enterica</v>
      </c>
      <c r="E4645" t="str">
        <f>IFERROR(__xludf.DUMMYFUNCTION("""COMPUTED_VALUE"""),"subsp.")</f>
        <v>subsp.</v>
      </c>
      <c r="F4645" t="str">
        <f>IFERROR(__xludf.DUMMYFUNCTION("""COMPUTED_VALUE"""),"enterica")</f>
        <v>enterica</v>
      </c>
      <c r="G4645" t="str">
        <f>IFERROR(__xludf.DUMMYFUNCTION("""COMPUTED_VALUE"""),"serovar")</f>
        <v>serovar</v>
      </c>
      <c r="H4645" t="str">
        <f>IFERROR(__xludf.DUMMYFUNCTION("""COMPUTED_VALUE"""),"Dublin")</f>
        <v>Dublin</v>
      </c>
    </row>
    <row r="4646" ht="15.75" customHeight="1">
      <c r="A4646" t="str">
        <f t="shared" si="1"/>
        <v>S.enterica</v>
      </c>
      <c r="B4646" s="5" t="s">
        <v>28951</v>
      </c>
      <c r="C4646" s="6" t="str">
        <f>IFERROR(__xludf.DUMMYFUNCTION("SPLIT('2. c'!B4646, "" "", True, True)"),"Salmonella")</f>
        <v>Salmonella</v>
      </c>
      <c r="D4646" t="str">
        <f>IFERROR(__xludf.DUMMYFUNCTION("""COMPUTED_VALUE"""),"enterica")</f>
        <v>enterica</v>
      </c>
      <c r="E4646" t="str">
        <f>IFERROR(__xludf.DUMMYFUNCTION("""COMPUTED_VALUE"""),"subsp.")</f>
        <v>subsp.</v>
      </c>
      <c r="F4646" t="str">
        <f>IFERROR(__xludf.DUMMYFUNCTION("""COMPUTED_VALUE"""),"enterica")</f>
        <v>enterica</v>
      </c>
      <c r="G4646" t="str">
        <f>IFERROR(__xludf.DUMMYFUNCTION("""COMPUTED_VALUE"""),"serovar")</f>
        <v>serovar</v>
      </c>
      <c r="H4646" t="str">
        <f>IFERROR(__xludf.DUMMYFUNCTION("""COMPUTED_VALUE"""),"Dublin")</f>
        <v>Dublin</v>
      </c>
      <c r="I4646" t="str">
        <f>IFERROR(__xludf.DUMMYFUNCTION("""COMPUTED_VALUE"""),"str.")</f>
        <v>str.</v>
      </c>
      <c r="J4646" t="str">
        <f>IFERROR(__xludf.DUMMYFUNCTION("""COMPUTED_VALUE"""),"CT_02021853")</f>
        <v>CT_02021853</v>
      </c>
    </row>
    <row r="4647" ht="15.75" customHeight="1">
      <c r="A4647" t="str">
        <f t="shared" si="1"/>
        <v>S.enterica</v>
      </c>
      <c r="B4647" s="5" t="s">
        <v>28955</v>
      </c>
      <c r="C4647" s="6" t="str">
        <f>IFERROR(__xludf.DUMMYFUNCTION("SPLIT('2. c'!B4647, "" "", True, True)"),"Salmonella")</f>
        <v>Salmonella</v>
      </c>
      <c r="D4647" t="str">
        <f>IFERROR(__xludf.DUMMYFUNCTION("""COMPUTED_VALUE"""),"enterica")</f>
        <v>enterica</v>
      </c>
      <c r="E4647" t="str">
        <f>IFERROR(__xludf.DUMMYFUNCTION("""COMPUTED_VALUE"""),"subsp.")</f>
        <v>subsp.</v>
      </c>
      <c r="F4647" t="str">
        <f>IFERROR(__xludf.DUMMYFUNCTION("""COMPUTED_VALUE"""),"enterica")</f>
        <v>enterica</v>
      </c>
      <c r="G4647" t="str">
        <f>IFERROR(__xludf.DUMMYFUNCTION("""COMPUTED_VALUE"""),"serovar")</f>
        <v>serovar</v>
      </c>
      <c r="H4647" t="str">
        <f>IFERROR(__xludf.DUMMYFUNCTION("""COMPUTED_VALUE"""),"Enteritidis")</f>
        <v>Enteritidis</v>
      </c>
    </row>
    <row r="4648" ht="15.75" customHeight="1">
      <c r="A4648" t="str">
        <f t="shared" si="1"/>
        <v>S.enterica</v>
      </c>
      <c r="B4648" s="5" t="s">
        <v>28955</v>
      </c>
      <c r="C4648" s="6" t="str">
        <f>IFERROR(__xludf.DUMMYFUNCTION("SPLIT('2. c'!B4648, "" "", True, True)"),"Salmonella")</f>
        <v>Salmonella</v>
      </c>
      <c r="D4648" t="str">
        <f>IFERROR(__xludf.DUMMYFUNCTION("""COMPUTED_VALUE"""),"enterica")</f>
        <v>enterica</v>
      </c>
      <c r="E4648" t="str">
        <f>IFERROR(__xludf.DUMMYFUNCTION("""COMPUTED_VALUE"""),"subsp.")</f>
        <v>subsp.</v>
      </c>
      <c r="F4648" t="str">
        <f>IFERROR(__xludf.DUMMYFUNCTION("""COMPUTED_VALUE"""),"enterica")</f>
        <v>enterica</v>
      </c>
      <c r="G4648" t="str">
        <f>IFERROR(__xludf.DUMMYFUNCTION("""COMPUTED_VALUE"""),"serovar")</f>
        <v>serovar</v>
      </c>
      <c r="H4648" t="str">
        <f>IFERROR(__xludf.DUMMYFUNCTION("""COMPUTED_VALUE"""),"Enteritidis")</f>
        <v>Enteritidis</v>
      </c>
    </row>
    <row r="4649" ht="15.75" customHeight="1">
      <c r="A4649" t="str">
        <f t="shared" si="1"/>
        <v>S.enterica</v>
      </c>
      <c r="B4649" s="5" t="s">
        <v>28955</v>
      </c>
      <c r="C4649" s="6" t="str">
        <f>IFERROR(__xludf.DUMMYFUNCTION("SPLIT('2. c'!B4649, "" "", True, True)"),"Salmonella")</f>
        <v>Salmonella</v>
      </c>
      <c r="D4649" t="str">
        <f>IFERROR(__xludf.DUMMYFUNCTION("""COMPUTED_VALUE"""),"enterica")</f>
        <v>enterica</v>
      </c>
      <c r="E4649" t="str">
        <f>IFERROR(__xludf.DUMMYFUNCTION("""COMPUTED_VALUE"""),"subsp.")</f>
        <v>subsp.</v>
      </c>
      <c r="F4649" t="str">
        <f>IFERROR(__xludf.DUMMYFUNCTION("""COMPUTED_VALUE"""),"enterica")</f>
        <v>enterica</v>
      </c>
      <c r="G4649" t="str">
        <f>IFERROR(__xludf.DUMMYFUNCTION("""COMPUTED_VALUE"""),"serovar")</f>
        <v>serovar</v>
      </c>
      <c r="H4649" t="str">
        <f>IFERROR(__xludf.DUMMYFUNCTION("""COMPUTED_VALUE"""),"Enteritidis")</f>
        <v>Enteritidis</v>
      </c>
    </row>
    <row r="4650" ht="15.75" customHeight="1">
      <c r="A4650" t="str">
        <f t="shared" si="1"/>
        <v>S.enterica</v>
      </c>
      <c r="B4650" s="5" t="s">
        <v>28955</v>
      </c>
      <c r="C4650" s="6" t="str">
        <f>IFERROR(__xludf.DUMMYFUNCTION("SPLIT('2. c'!B4650, "" "", True, True)"),"Salmonella")</f>
        <v>Salmonella</v>
      </c>
      <c r="D4650" t="str">
        <f>IFERROR(__xludf.DUMMYFUNCTION("""COMPUTED_VALUE"""),"enterica")</f>
        <v>enterica</v>
      </c>
      <c r="E4650" t="str">
        <f>IFERROR(__xludf.DUMMYFUNCTION("""COMPUTED_VALUE"""),"subsp.")</f>
        <v>subsp.</v>
      </c>
      <c r="F4650" t="str">
        <f>IFERROR(__xludf.DUMMYFUNCTION("""COMPUTED_VALUE"""),"enterica")</f>
        <v>enterica</v>
      </c>
      <c r="G4650" t="str">
        <f>IFERROR(__xludf.DUMMYFUNCTION("""COMPUTED_VALUE"""),"serovar")</f>
        <v>serovar</v>
      </c>
      <c r="H4650" t="str">
        <f>IFERROR(__xludf.DUMMYFUNCTION("""COMPUTED_VALUE"""),"Enteritidis")</f>
        <v>Enteritidis</v>
      </c>
    </row>
    <row r="4651" ht="15.75" customHeight="1">
      <c r="A4651" t="str">
        <f t="shared" si="1"/>
        <v>S.enterica</v>
      </c>
      <c r="B4651" s="5" t="s">
        <v>28955</v>
      </c>
      <c r="C4651" s="6" t="str">
        <f>IFERROR(__xludf.DUMMYFUNCTION("SPLIT('2. c'!B4651, "" "", True, True)"),"Salmonella")</f>
        <v>Salmonella</v>
      </c>
      <c r="D4651" t="str">
        <f>IFERROR(__xludf.DUMMYFUNCTION("""COMPUTED_VALUE"""),"enterica")</f>
        <v>enterica</v>
      </c>
      <c r="E4651" t="str">
        <f>IFERROR(__xludf.DUMMYFUNCTION("""COMPUTED_VALUE"""),"subsp.")</f>
        <v>subsp.</v>
      </c>
      <c r="F4651" t="str">
        <f>IFERROR(__xludf.DUMMYFUNCTION("""COMPUTED_VALUE"""),"enterica")</f>
        <v>enterica</v>
      </c>
      <c r="G4651" t="str">
        <f>IFERROR(__xludf.DUMMYFUNCTION("""COMPUTED_VALUE"""),"serovar")</f>
        <v>serovar</v>
      </c>
      <c r="H4651" t="str">
        <f>IFERROR(__xludf.DUMMYFUNCTION("""COMPUTED_VALUE"""),"Enteritidis")</f>
        <v>Enteritidis</v>
      </c>
    </row>
    <row r="4652" ht="15.75" customHeight="1">
      <c r="A4652" t="str">
        <f t="shared" si="1"/>
        <v>S.enterica</v>
      </c>
      <c r="B4652" s="5" t="s">
        <v>28955</v>
      </c>
      <c r="C4652" s="6" t="str">
        <f>IFERROR(__xludf.DUMMYFUNCTION("SPLIT('2. c'!B4652, "" "", True, True)"),"Salmonella")</f>
        <v>Salmonella</v>
      </c>
      <c r="D4652" t="str">
        <f>IFERROR(__xludf.DUMMYFUNCTION("""COMPUTED_VALUE"""),"enterica")</f>
        <v>enterica</v>
      </c>
      <c r="E4652" t="str">
        <f>IFERROR(__xludf.DUMMYFUNCTION("""COMPUTED_VALUE"""),"subsp.")</f>
        <v>subsp.</v>
      </c>
      <c r="F4652" t="str">
        <f>IFERROR(__xludf.DUMMYFUNCTION("""COMPUTED_VALUE"""),"enterica")</f>
        <v>enterica</v>
      </c>
      <c r="G4652" t="str">
        <f>IFERROR(__xludf.DUMMYFUNCTION("""COMPUTED_VALUE"""),"serovar")</f>
        <v>serovar</v>
      </c>
      <c r="H4652" t="str">
        <f>IFERROR(__xludf.DUMMYFUNCTION("""COMPUTED_VALUE"""),"Enteritidis")</f>
        <v>Enteritidis</v>
      </c>
    </row>
    <row r="4653" ht="15.75" customHeight="1">
      <c r="A4653" t="str">
        <f t="shared" si="1"/>
        <v>S.enterica</v>
      </c>
      <c r="B4653" s="5" t="s">
        <v>28955</v>
      </c>
      <c r="C4653" s="6" t="str">
        <f>IFERROR(__xludf.DUMMYFUNCTION("SPLIT('2. c'!B4653, "" "", True, True)"),"Salmonella")</f>
        <v>Salmonella</v>
      </c>
      <c r="D4653" t="str">
        <f>IFERROR(__xludf.DUMMYFUNCTION("""COMPUTED_VALUE"""),"enterica")</f>
        <v>enterica</v>
      </c>
      <c r="E4653" t="str">
        <f>IFERROR(__xludf.DUMMYFUNCTION("""COMPUTED_VALUE"""),"subsp.")</f>
        <v>subsp.</v>
      </c>
      <c r="F4653" t="str">
        <f>IFERROR(__xludf.DUMMYFUNCTION("""COMPUTED_VALUE"""),"enterica")</f>
        <v>enterica</v>
      </c>
      <c r="G4653" t="str">
        <f>IFERROR(__xludf.DUMMYFUNCTION("""COMPUTED_VALUE"""),"serovar")</f>
        <v>serovar</v>
      </c>
      <c r="H4653" t="str">
        <f>IFERROR(__xludf.DUMMYFUNCTION("""COMPUTED_VALUE"""),"Enteritidis")</f>
        <v>Enteritidis</v>
      </c>
    </row>
    <row r="4654" ht="15.75" customHeight="1">
      <c r="A4654" t="str">
        <f t="shared" si="1"/>
        <v>S.enterica</v>
      </c>
      <c r="B4654" s="5" t="s">
        <v>28955</v>
      </c>
      <c r="C4654" s="6" t="str">
        <f>IFERROR(__xludf.DUMMYFUNCTION("SPLIT('2. c'!B4654, "" "", True, True)"),"Salmonella")</f>
        <v>Salmonella</v>
      </c>
      <c r="D4654" t="str">
        <f>IFERROR(__xludf.DUMMYFUNCTION("""COMPUTED_VALUE"""),"enterica")</f>
        <v>enterica</v>
      </c>
      <c r="E4654" t="str">
        <f>IFERROR(__xludf.DUMMYFUNCTION("""COMPUTED_VALUE"""),"subsp.")</f>
        <v>subsp.</v>
      </c>
      <c r="F4654" t="str">
        <f>IFERROR(__xludf.DUMMYFUNCTION("""COMPUTED_VALUE"""),"enterica")</f>
        <v>enterica</v>
      </c>
      <c r="G4654" t="str">
        <f>IFERROR(__xludf.DUMMYFUNCTION("""COMPUTED_VALUE"""),"serovar")</f>
        <v>serovar</v>
      </c>
      <c r="H4654" t="str">
        <f>IFERROR(__xludf.DUMMYFUNCTION("""COMPUTED_VALUE"""),"Enteritidis")</f>
        <v>Enteritidis</v>
      </c>
    </row>
    <row r="4655" ht="15.75" customHeight="1">
      <c r="A4655" t="str">
        <f t="shared" si="1"/>
        <v>S.enterica</v>
      </c>
      <c r="B4655" s="5" t="s">
        <v>28955</v>
      </c>
      <c r="C4655" s="6" t="str">
        <f>IFERROR(__xludf.DUMMYFUNCTION("SPLIT('2. c'!B4655, "" "", True, True)"),"Salmonella")</f>
        <v>Salmonella</v>
      </c>
      <c r="D4655" t="str">
        <f>IFERROR(__xludf.DUMMYFUNCTION("""COMPUTED_VALUE"""),"enterica")</f>
        <v>enterica</v>
      </c>
      <c r="E4655" t="str">
        <f>IFERROR(__xludf.DUMMYFUNCTION("""COMPUTED_VALUE"""),"subsp.")</f>
        <v>subsp.</v>
      </c>
      <c r="F4655" t="str">
        <f>IFERROR(__xludf.DUMMYFUNCTION("""COMPUTED_VALUE"""),"enterica")</f>
        <v>enterica</v>
      </c>
      <c r="G4655" t="str">
        <f>IFERROR(__xludf.DUMMYFUNCTION("""COMPUTED_VALUE"""),"serovar")</f>
        <v>serovar</v>
      </c>
      <c r="H4655" t="str">
        <f>IFERROR(__xludf.DUMMYFUNCTION("""COMPUTED_VALUE"""),"Enteritidis")</f>
        <v>Enteritidis</v>
      </c>
    </row>
    <row r="4656" ht="15.75" customHeight="1">
      <c r="A4656" t="str">
        <f t="shared" si="1"/>
        <v>S.enterica</v>
      </c>
      <c r="B4656" s="5" t="s">
        <v>28955</v>
      </c>
      <c r="C4656" s="6" t="str">
        <f>IFERROR(__xludf.DUMMYFUNCTION("SPLIT('2. c'!B4656, "" "", True, True)"),"Salmonella")</f>
        <v>Salmonella</v>
      </c>
      <c r="D4656" t="str">
        <f>IFERROR(__xludf.DUMMYFUNCTION("""COMPUTED_VALUE"""),"enterica")</f>
        <v>enterica</v>
      </c>
      <c r="E4656" t="str">
        <f>IFERROR(__xludf.DUMMYFUNCTION("""COMPUTED_VALUE"""),"subsp.")</f>
        <v>subsp.</v>
      </c>
      <c r="F4656" t="str">
        <f>IFERROR(__xludf.DUMMYFUNCTION("""COMPUTED_VALUE"""),"enterica")</f>
        <v>enterica</v>
      </c>
      <c r="G4656" t="str">
        <f>IFERROR(__xludf.DUMMYFUNCTION("""COMPUTED_VALUE"""),"serovar")</f>
        <v>serovar</v>
      </c>
      <c r="H4656" t="str">
        <f>IFERROR(__xludf.DUMMYFUNCTION("""COMPUTED_VALUE"""),"Enteritidis")</f>
        <v>Enteritidis</v>
      </c>
    </row>
    <row r="4657" ht="15.75" customHeight="1">
      <c r="A4657" t="str">
        <f t="shared" si="1"/>
        <v>S.enterica</v>
      </c>
      <c r="B4657" s="5" t="s">
        <v>28955</v>
      </c>
      <c r="C4657" s="6" t="str">
        <f>IFERROR(__xludf.DUMMYFUNCTION("SPLIT('2. c'!B4657, "" "", True, True)"),"Salmonella")</f>
        <v>Salmonella</v>
      </c>
      <c r="D4657" t="str">
        <f>IFERROR(__xludf.DUMMYFUNCTION("""COMPUTED_VALUE"""),"enterica")</f>
        <v>enterica</v>
      </c>
      <c r="E4657" t="str">
        <f>IFERROR(__xludf.DUMMYFUNCTION("""COMPUTED_VALUE"""),"subsp.")</f>
        <v>subsp.</v>
      </c>
      <c r="F4657" t="str">
        <f>IFERROR(__xludf.DUMMYFUNCTION("""COMPUTED_VALUE"""),"enterica")</f>
        <v>enterica</v>
      </c>
      <c r="G4657" t="str">
        <f>IFERROR(__xludf.DUMMYFUNCTION("""COMPUTED_VALUE"""),"serovar")</f>
        <v>serovar</v>
      </c>
      <c r="H4657" t="str">
        <f>IFERROR(__xludf.DUMMYFUNCTION("""COMPUTED_VALUE"""),"Enteritidis")</f>
        <v>Enteritidis</v>
      </c>
    </row>
    <row r="4658" ht="15.75" customHeight="1">
      <c r="A4658" t="str">
        <f t="shared" si="1"/>
        <v>S.enterica</v>
      </c>
      <c r="B4658" s="5" t="s">
        <v>29010</v>
      </c>
      <c r="C4658" s="6" t="str">
        <f>IFERROR(__xludf.DUMMYFUNCTION("SPLIT('2. c'!B4658, "" "", True, True)"),"Salmonella")</f>
        <v>Salmonella</v>
      </c>
      <c r="D4658" t="str">
        <f>IFERROR(__xludf.DUMMYFUNCTION("""COMPUTED_VALUE"""),"enterica")</f>
        <v>enterica</v>
      </c>
      <c r="E4658" t="str">
        <f>IFERROR(__xludf.DUMMYFUNCTION("""COMPUTED_VALUE"""),"subsp.")</f>
        <v>subsp.</v>
      </c>
      <c r="F4658" t="str">
        <f>IFERROR(__xludf.DUMMYFUNCTION("""COMPUTED_VALUE"""),"enterica")</f>
        <v>enterica</v>
      </c>
      <c r="G4658" t="str">
        <f>IFERROR(__xludf.DUMMYFUNCTION("""COMPUTED_VALUE"""),"serovar")</f>
        <v>serovar</v>
      </c>
      <c r="H4658" t="str">
        <f>IFERROR(__xludf.DUMMYFUNCTION("""COMPUTED_VALUE"""),"Enteritidis")</f>
        <v>Enteritidis</v>
      </c>
      <c r="I4658" t="str">
        <f>IFERROR(__xludf.DUMMYFUNCTION("""COMPUTED_VALUE"""),"str.")</f>
        <v>str.</v>
      </c>
      <c r="J4658" t="str">
        <f>IFERROR(__xludf.DUMMYFUNCTION("""COMPUTED_VALUE"""),"EC20090135")</f>
        <v>EC20090135</v>
      </c>
    </row>
    <row r="4659" ht="15.75" customHeight="1">
      <c r="A4659" t="str">
        <f t="shared" si="1"/>
        <v>S.enterica</v>
      </c>
      <c r="B4659" s="5" t="s">
        <v>29019</v>
      </c>
      <c r="C4659" s="6" t="str">
        <f>IFERROR(__xludf.DUMMYFUNCTION("SPLIT('2. c'!B4659, "" "", True, True)"),"Salmonella")</f>
        <v>Salmonella</v>
      </c>
      <c r="D4659" t="str">
        <f>IFERROR(__xludf.DUMMYFUNCTION("""COMPUTED_VALUE"""),"enterica")</f>
        <v>enterica</v>
      </c>
      <c r="E4659" t="str">
        <f>IFERROR(__xludf.DUMMYFUNCTION("""COMPUTED_VALUE"""),"subsp.")</f>
        <v>subsp.</v>
      </c>
      <c r="F4659" t="str">
        <f>IFERROR(__xludf.DUMMYFUNCTION("""COMPUTED_VALUE"""),"enterica")</f>
        <v>enterica</v>
      </c>
      <c r="G4659" t="str">
        <f>IFERROR(__xludf.DUMMYFUNCTION("""COMPUTED_VALUE"""),"serovar")</f>
        <v>serovar</v>
      </c>
      <c r="H4659" t="str">
        <f>IFERROR(__xludf.DUMMYFUNCTION("""COMPUTED_VALUE"""),"Enteritidis")</f>
        <v>Enteritidis</v>
      </c>
      <c r="I4659" t="str">
        <f>IFERROR(__xludf.DUMMYFUNCTION("""COMPUTED_VALUE"""),"str.")</f>
        <v>str.</v>
      </c>
      <c r="J4659" t="str">
        <f>IFERROR(__xludf.DUMMYFUNCTION("""COMPUTED_VALUE"""),"EC20090193")</f>
        <v>EC20090193</v>
      </c>
    </row>
    <row r="4660" ht="15.75" customHeight="1">
      <c r="A4660" t="str">
        <f t="shared" si="1"/>
        <v>S.enterica</v>
      </c>
      <c r="B4660" s="5" t="s">
        <v>29026</v>
      </c>
      <c r="C4660" s="6" t="str">
        <f>IFERROR(__xludf.DUMMYFUNCTION("SPLIT('2. c'!B4660, "" "", True, True)"),"Salmonella")</f>
        <v>Salmonella</v>
      </c>
      <c r="D4660" t="str">
        <f>IFERROR(__xludf.DUMMYFUNCTION("""COMPUTED_VALUE"""),"enterica")</f>
        <v>enterica</v>
      </c>
      <c r="E4660" t="str">
        <f>IFERROR(__xludf.DUMMYFUNCTION("""COMPUTED_VALUE"""),"subsp.")</f>
        <v>subsp.</v>
      </c>
      <c r="F4660" t="str">
        <f>IFERROR(__xludf.DUMMYFUNCTION("""COMPUTED_VALUE"""),"enterica")</f>
        <v>enterica</v>
      </c>
      <c r="G4660" t="str">
        <f>IFERROR(__xludf.DUMMYFUNCTION("""COMPUTED_VALUE"""),"serovar")</f>
        <v>serovar</v>
      </c>
      <c r="H4660" t="str">
        <f>IFERROR(__xludf.DUMMYFUNCTION("""COMPUTED_VALUE"""),"Enteritidis")</f>
        <v>Enteritidis</v>
      </c>
      <c r="I4660" t="str">
        <f>IFERROR(__xludf.DUMMYFUNCTION("""COMPUTED_VALUE"""),"str.")</f>
        <v>str.</v>
      </c>
      <c r="J4660" t="str">
        <f>IFERROR(__xludf.DUMMYFUNCTION("""COMPUTED_VALUE"""),"EC20090195")</f>
        <v>EC20090195</v>
      </c>
    </row>
    <row r="4661" ht="15.75" customHeight="1">
      <c r="A4661" t="str">
        <f t="shared" si="1"/>
        <v>S.enterica</v>
      </c>
      <c r="B4661" s="5" t="s">
        <v>29034</v>
      </c>
      <c r="C4661" s="6" t="str">
        <f>IFERROR(__xludf.DUMMYFUNCTION("SPLIT('2. c'!B4661, "" "", True, True)"),"Salmonella")</f>
        <v>Salmonella</v>
      </c>
      <c r="D4661" t="str">
        <f>IFERROR(__xludf.DUMMYFUNCTION("""COMPUTED_VALUE"""),"enterica")</f>
        <v>enterica</v>
      </c>
      <c r="E4661" t="str">
        <f>IFERROR(__xludf.DUMMYFUNCTION("""COMPUTED_VALUE"""),"subsp.")</f>
        <v>subsp.</v>
      </c>
      <c r="F4661" t="str">
        <f>IFERROR(__xludf.DUMMYFUNCTION("""COMPUTED_VALUE"""),"enterica")</f>
        <v>enterica</v>
      </c>
      <c r="G4661" t="str">
        <f>IFERROR(__xludf.DUMMYFUNCTION("""COMPUTED_VALUE"""),"serovar")</f>
        <v>serovar</v>
      </c>
      <c r="H4661" t="str">
        <f>IFERROR(__xludf.DUMMYFUNCTION("""COMPUTED_VALUE"""),"Enteritidis")</f>
        <v>Enteritidis</v>
      </c>
      <c r="I4661" t="str">
        <f>IFERROR(__xludf.DUMMYFUNCTION("""COMPUTED_VALUE"""),"str.")</f>
        <v>str.</v>
      </c>
      <c r="J4661" t="str">
        <f>IFERROR(__xludf.DUMMYFUNCTION("""COMPUTED_VALUE"""),"EC20090332")</f>
        <v>EC20090332</v>
      </c>
    </row>
    <row r="4662" ht="15.75" customHeight="1">
      <c r="A4662" t="str">
        <f t="shared" si="1"/>
        <v>S.enterica</v>
      </c>
      <c r="B4662" s="5" t="s">
        <v>29043</v>
      </c>
      <c r="C4662" s="6" t="str">
        <f>IFERROR(__xludf.DUMMYFUNCTION("SPLIT('2. c'!B4662, "" "", True, True)"),"Salmonella")</f>
        <v>Salmonella</v>
      </c>
      <c r="D4662" t="str">
        <f>IFERROR(__xludf.DUMMYFUNCTION("""COMPUTED_VALUE"""),"enterica")</f>
        <v>enterica</v>
      </c>
      <c r="E4662" t="str">
        <f>IFERROR(__xludf.DUMMYFUNCTION("""COMPUTED_VALUE"""),"subsp.")</f>
        <v>subsp.</v>
      </c>
      <c r="F4662" t="str">
        <f>IFERROR(__xludf.DUMMYFUNCTION("""COMPUTED_VALUE"""),"enterica")</f>
        <v>enterica</v>
      </c>
      <c r="G4662" t="str">
        <f>IFERROR(__xludf.DUMMYFUNCTION("""COMPUTED_VALUE"""),"serovar")</f>
        <v>serovar</v>
      </c>
      <c r="H4662" t="str">
        <f>IFERROR(__xludf.DUMMYFUNCTION("""COMPUTED_VALUE"""),"Enteritidis")</f>
        <v>Enteritidis</v>
      </c>
      <c r="I4662" t="str">
        <f>IFERROR(__xludf.DUMMYFUNCTION("""COMPUTED_VALUE"""),"str.")</f>
        <v>str.</v>
      </c>
      <c r="J4662" t="str">
        <f>IFERROR(__xludf.DUMMYFUNCTION("""COMPUTED_VALUE"""),"EC20090530")</f>
        <v>EC20090530</v>
      </c>
    </row>
    <row r="4663" ht="15.75" customHeight="1">
      <c r="A4663" t="str">
        <f t="shared" si="1"/>
        <v>S.enterica</v>
      </c>
      <c r="B4663" s="5" t="s">
        <v>29051</v>
      </c>
      <c r="C4663" s="6" t="str">
        <f>IFERROR(__xludf.DUMMYFUNCTION("SPLIT('2. c'!B4663, "" "", True, True)"),"Salmonella")</f>
        <v>Salmonella</v>
      </c>
      <c r="D4663" t="str">
        <f>IFERROR(__xludf.DUMMYFUNCTION("""COMPUTED_VALUE"""),"enterica")</f>
        <v>enterica</v>
      </c>
      <c r="E4663" t="str">
        <f>IFERROR(__xludf.DUMMYFUNCTION("""COMPUTED_VALUE"""),"subsp.")</f>
        <v>subsp.</v>
      </c>
      <c r="F4663" t="str">
        <f>IFERROR(__xludf.DUMMYFUNCTION("""COMPUTED_VALUE"""),"enterica")</f>
        <v>enterica</v>
      </c>
      <c r="G4663" t="str">
        <f>IFERROR(__xludf.DUMMYFUNCTION("""COMPUTED_VALUE"""),"serovar")</f>
        <v>serovar</v>
      </c>
      <c r="H4663" t="str">
        <f>IFERROR(__xludf.DUMMYFUNCTION("""COMPUTED_VALUE"""),"Enteritidis")</f>
        <v>Enteritidis</v>
      </c>
      <c r="I4663" t="str">
        <f>IFERROR(__xludf.DUMMYFUNCTION("""COMPUTED_VALUE"""),"str.")</f>
        <v>str.</v>
      </c>
      <c r="J4663" t="str">
        <f>IFERROR(__xludf.DUMMYFUNCTION("""COMPUTED_VALUE"""),"EC20090531")</f>
        <v>EC20090531</v>
      </c>
    </row>
    <row r="4664" ht="15.75" customHeight="1">
      <c r="A4664" t="str">
        <f t="shared" si="1"/>
        <v>S.enterica</v>
      </c>
      <c r="B4664" s="5" t="s">
        <v>29057</v>
      </c>
      <c r="C4664" s="6" t="str">
        <f>IFERROR(__xludf.DUMMYFUNCTION("SPLIT('2. c'!B4664, "" "", True, True)"),"Salmonella")</f>
        <v>Salmonella</v>
      </c>
      <c r="D4664" t="str">
        <f>IFERROR(__xludf.DUMMYFUNCTION("""COMPUTED_VALUE"""),"enterica")</f>
        <v>enterica</v>
      </c>
      <c r="E4664" t="str">
        <f>IFERROR(__xludf.DUMMYFUNCTION("""COMPUTED_VALUE"""),"subsp.")</f>
        <v>subsp.</v>
      </c>
      <c r="F4664" t="str">
        <f>IFERROR(__xludf.DUMMYFUNCTION("""COMPUTED_VALUE"""),"enterica")</f>
        <v>enterica</v>
      </c>
      <c r="G4664" t="str">
        <f>IFERROR(__xludf.DUMMYFUNCTION("""COMPUTED_VALUE"""),"serovar")</f>
        <v>serovar</v>
      </c>
      <c r="H4664" t="str">
        <f>IFERROR(__xludf.DUMMYFUNCTION("""COMPUTED_VALUE"""),"Enteritidis")</f>
        <v>Enteritidis</v>
      </c>
      <c r="I4664" t="str">
        <f>IFERROR(__xludf.DUMMYFUNCTION("""COMPUTED_VALUE"""),"str.")</f>
        <v>str.</v>
      </c>
      <c r="J4664" t="str">
        <f>IFERROR(__xludf.DUMMYFUNCTION("""COMPUTED_VALUE"""),"EC20090641")</f>
        <v>EC20090641</v>
      </c>
    </row>
    <row r="4665" ht="15.75" customHeight="1">
      <c r="A4665" t="str">
        <f t="shared" si="1"/>
        <v>S.enterica</v>
      </c>
      <c r="B4665" s="5" t="s">
        <v>29064</v>
      </c>
      <c r="C4665" s="6" t="str">
        <f>IFERROR(__xludf.DUMMYFUNCTION("SPLIT('2. c'!B4665, "" "", True, True)"),"Salmonella")</f>
        <v>Salmonella</v>
      </c>
      <c r="D4665" t="str">
        <f>IFERROR(__xludf.DUMMYFUNCTION("""COMPUTED_VALUE"""),"enterica")</f>
        <v>enterica</v>
      </c>
      <c r="E4665" t="str">
        <f>IFERROR(__xludf.DUMMYFUNCTION("""COMPUTED_VALUE"""),"subsp.")</f>
        <v>subsp.</v>
      </c>
      <c r="F4665" t="str">
        <f>IFERROR(__xludf.DUMMYFUNCTION("""COMPUTED_VALUE"""),"enterica")</f>
        <v>enterica</v>
      </c>
      <c r="G4665" t="str">
        <f>IFERROR(__xludf.DUMMYFUNCTION("""COMPUTED_VALUE"""),"serovar")</f>
        <v>serovar</v>
      </c>
      <c r="H4665" t="str">
        <f>IFERROR(__xludf.DUMMYFUNCTION("""COMPUTED_VALUE"""),"Enteritidis")</f>
        <v>Enteritidis</v>
      </c>
      <c r="I4665" t="str">
        <f>IFERROR(__xludf.DUMMYFUNCTION("""COMPUTED_VALUE"""),"str.")</f>
        <v>str.</v>
      </c>
      <c r="J4665" t="str">
        <f>IFERROR(__xludf.DUMMYFUNCTION("""COMPUTED_VALUE"""),"EC20090698")</f>
        <v>EC20090698</v>
      </c>
    </row>
    <row r="4666" ht="15.75" customHeight="1">
      <c r="A4666" t="str">
        <f t="shared" si="1"/>
        <v>S.enterica</v>
      </c>
      <c r="B4666" s="5" t="s">
        <v>29072</v>
      </c>
      <c r="C4666" s="6" t="str">
        <f>IFERROR(__xludf.DUMMYFUNCTION("SPLIT('2. c'!B4666, "" "", True, True)"),"Salmonella")</f>
        <v>Salmonella</v>
      </c>
      <c r="D4666" t="str">
        <f>IFERROR(__xludf.DUMMYFUNCTION("""COMPUTED_VALUE"""),"enterica")</f>
        <v>enterica</v>
      </c>
      <c r="E4666" t="str">
        <f>IFERROR(__xludf.DUMMYFUNCTION("""COMPUTED_VALUE"""),"subsp.")</f>
        <v>subsp.</v>
      </c>
      <c r="F4666" t="str">
        <f>IFERROR(__xludf.DUMMYFUNCTION("""COMPUTED_VALUE"""),"enterica")</f>
        <v>enterica</v>
      </c>
      <c r="G4666" t="str">
        <f>IFERROR(__xludf.DUMMYFUNCTION("""COMPUTED_VALUE"""),"serovar")</f>
        <v>serovar</v>
      </c>
      <c r="H4666" t="str">
        <f>IFERROR(__xludf.DUMMYFUNCTION("""COMPUTED_VALUE"""),"Enteritidis")</f>
        <v>Enteritidis</v>
      </c>
      <c r="I4666" t="str">
        <f>IFERROR(__xludf.DUMMYFUNCTION("""COMPUTED_VALUE"""),"str.")</f>
        <v>str.</v>
      </c>
      <c r="J4666" t="str">
        <f>IFERROR(__xludf.DUMMYFUNCTION("""COMPUTED_VALUE"""),"EC20090884")</f>
        <v>EC20090884</v>
      </c>
    </row>
    <row r="4667" ht="15.75" customHeight="1">
      <c r="A4667" t="str">
        <f t="shared" si="1"/>
        <v>S.enterica</v>
      </c>
      <c r="B4667" s="5" t="s">
        <v>29080</v>
      </c>
      <c r="C4667" s="6" t="str">
        <f>IFERROR(__xludf.DUMMYFUNCTION("SPLIT('2. c'!B4667, "" "", True, True)"),"Salmonella")</f>
        <v>Salmonella</v>
      </c>
      <c r="D4667" t="str">
        <f>IFERROR(__xludf.DUMMYFUNCTION("""COMPUTED_VALUE"""),"enterica")</f>
        <v>enterica</v>
      </c>
      <c r="E4667" t="str">
        <f>IFERROR(__xludf.DUMMYFUNCTION("""COMPUTED_VALUE"""),"subsp.")</f>
        <v>subsp.</v>
      </c>
      <c r="F4667" t="str">
        <f>IFERROR(__xludf.DUMMYFUNCTION("""COMPUTED_VALUE"""),"enterica")</f>
        <v>enterica</v>
      </c>
      <c r="G4667" t="str">
        <f>IFERROR(__xludf.DUMMYFUNCTION("""COMPUTED_VALUE"""),"serovar")</f>
        <v>serovar</v>
      </c>
      <c r="H4667" t="str">
        <f>IFERROR(__xludf.DUMMYFUNCTION("""COMPUTED_VALUE"""),"Enteritidis")</f>
        <v>Enteritidis</v>
      </c>
      <c r="I4667" t="str">
        <f>IFERROR(__xludf.DUMMYFUNCTION("""COMPUTED_VALUE"""),"str.")</f>
        <v>str.</v>
      </c>
      <c r="J4667" t="str">
        <f>IFERROR(__xludf.DUMMYFUNCTION("""COMPUTED_VALUE"""),"EC20100088")</f>
        <v>EC20100088</v>
      </c>
    </row>
    <row r="4668" ht="15.75" customHeight="1">
      <c r="A4668" t="str">
        <f t="shared" si="1"/>
        <v>S.enterica</v>
      </c>
      <c r="B4668" s="5" t="s">
        <v>29085</v>
      </c>
      <c r="C4668" s="6" t="str">
        <f>IFERROR(__xludf.DUMMYFUNCTION("SPLIT('2. c'!B4668, "" "", True, True)"),"Salmonella")</f>
        <v>Salmonella</v>
      </c>
      <c r="D4668" t="str">
        <f>IFERROR(__xludf.DUMMYFUNCTION("""COMPUTED_VALUE"""),"enterica")</f>
        <v>enterica</v>
      </c>
      <c r="E4668" t="str">
        <f>IFERROR(__xludf.DUMMYFUNCTION("""COMPUTED_VALUE"""),"subsp.")</f>
        <v>subsp.</v>
      </c>
      <c r="F4668" t="str">
        <f>IFERROR(__xludf.DUMMYFUNCTION("""COMPUTED_VALUE"""),"enterica")</f>
        <v>enterica</v>
      </c>
      <c r="G4668" t="str">
        <f>IFERROR(__xludf.DUMMYFUNCTION("""COMPUTED_VALUE"""),"serovar")</f>
        <v>serovar</v>
      </c>
      <c r="H4668" t="str">
        <f>IFERROR(__xludf.DUMMYFUNCTION("""COMPUTED_VALUE"""),"Enteritidis")</f>
        <v>Enteritidis</v>
      </c>
      <c r="I4668" t="str">
        <f>IFERROR(__xludf.DUMMYFUNCTION("""COMPUTED_VALUE"""),"str.")</f>
        <v>str.</v>
      </c>
      <c r="J4668" t="str">
        <f>IFERROR(__xludf.DUMMYFUNCTION("""COMPUTED_VALUE"""),"EC20100089")</f>
        <v>EC20100089</v>
      </c>
    </row>
    <row r="4669" ht="15.75" customHeight="1">
      <c r="A4669" t="str">
        <f t="shared" si="1"/>
        <v>S.enterica</v>
      </c>
      <c r="B4669" s="5" t="s">
        <v>29092</v>
      </c>
      <c r="C4669" s="6" t="str">
        <f>IFERROR(__xludf.DUMMYFUNCTION("SPLIT('2. c'!B4669, "" "", True, True)"),"Salmonella")</f>
        <v>Salmonella</v>
      </c>
      <c r="D4669" t="str">
        <f>IFERROR(__xludf.DUMMYFUNCTION("""COMPUTED_VALUE"""),"enterica")</f>
        <v>enterica</v>
      </c>
      <c r="E4669" t="str">
        <f>IFERROR(__xludf.DUMMYFUNCTION("""COMPUTED_VALUE"""),"subsp.")</f>
        <v>subsp.</v>
      </c>
      <c r="F4669" t="str">
        <f>IFERROR(__xludf.DUMMYFUNCTION("""COMPUTED_VALUE"""),"enterica")</f>
        <v>enterica</v>
      </c>
      <c r="G4669" t="str">
        <f>IFERROR(__xludf.DUMMYFUNCTION("""COMPUTED_VALUE"""),"serovar")</f>
        <v>serovar</v>
      </c>
      <c r="H4669" t="str">
        <f>IFERROR(__xludf.DUMMYFUNCTION("""COMPUTED_VALUE"""),"Enteritidis")</f>
        <v>Enteritidis</v>
      </c>
      <c r="I4669" t="str">
        <f>IFERROR(__xludf.DUMMYFUNCTION("""COMPUTED_VALUE"""),"str.")</f>
        <v>str.</v>
      </c>
      <c r="J4669" t="str">
        <f>IFERROR(__xludf.DUMMYFUNCTION("""COMPUTED_VALUE"""),"EC20100100")</f>
        <v>EC20100100</v>
      </c>
    </row>
    <row r="4670" ht="15.75" customHeight="1">
      <c r="A4670" t="str">
        <f t="shared" si="1"/>
        <v>S.enterica</v>
      </c>
      <c r="B4670" s="5" t="s">
        <v>29098</v>
      </c>
      <c r="C4670" s="6" t="str">
        <f>IFERROR(__xludf.DUMMYFUNCTION("SPLIT('2. c'!B4670, "" "", True, True)"),"Salmonella")</f>
        <v>Salmonella</v>
      </c>
      <c r="D4670" t="str">
        <f>IFERROR(__xludf.DUMMYFUNCTION("""COMPUTED_VALUE"""),"enterica")</f>
        <v>enterica</v>
      </c>
      <c r="E4670" t="str">
        <f>IFERROR(__xludf.DUMMYFUNCTION("""COMPUTED_VALUE"""),"subsp.")</f>
        <v>subsp.</v>
      </c>
      <c r="F4670" t="str">
        <f>IFERROR(__xludf.DUMMYFUNCTION("""COMPUTED_VALUE"""),"enterica")</f>
        <v>enterica</v>
      </c>
      <c r="G4670" t="str">
        <f>IFERROR(__xludf.DUMMYFUNCTION("""COMPUTED_VALUE"""),"serovar")</f>
        <v>serovar</v>
      </c>
      <c r="H4670" t="str">
        <f>IFERROR(__xludf.DUMMYFUNCTION("""COMPUTED_VALUE"""),"Enteritidis")</f>
        <v>Enteritidis</v>
      </c>
      <c r="I4670" t="str">
        <f>IFERROR(__xludf.DUMMYFUNCTION("""COMPUTED_VALUE"""),"str.")</f>
        <v>str.</v>
      </c>
      <c r="J4670" t="str">
        <f>IFERROR(__xludf.DUMMYFUNCTION("""COMPUTED_VALUE"""),"EC20100101")</f>
        <v>EC20100101</v>
      </c>
    </row>
    <row r="4671" ht="15.75" customHeight="1">
      <c r="A4671" t="str">
        <f t="shared" si="1"/>
        <v>S.enterica</v>
      </c>
      <c r="B4671" s="5" t="s">
        <v>29103</v>
      </c>
      <c r="C4671" s="6" t="str">
        <f>IFERROR(__xludf.DUMMYFUNCTION("SPLIT('2. c'!B4671, "" "", True, True)"),"Salmonella")</f>
        <v>Salmonella</v>
      </c>
      <c r="D4671" t="str">
        <f>IFERROR(__xludf.DUMMYFUNCTION("""COMPUTED_VALUE"""),"enterica")</f>
        <v>enterica</v>
      </c>
      <c r="E4671" t="str">
        <f>IFERROR(__xludf.DUMMYFUNCTION("""COMPUTED_VALUE"""),"subsp.")</f>
        <v>subsp.</v>
      </c>
      <c r="F4671" t="str">
        <f>IFERROR(__xludf.DUMMYFUNCTION("""COMPUTED_VALUE"""),"enterica")</f>
        <v>enterica</v>
      </c>
      <c r="G4671" t="str">
        <f>IFERROR(__xludf.DUMMYFUNCTION("""COMPUTED_VALUE"""),"serovar")</f>
        <v>serovar</v>
      </c>
      <c r="H4671" t="str">
        <f>IFERROR(__xludf.DUMMYFUNCTION("""COMPUTED_VALUE"""),"Enteritidis")</f>
        <v>Enteritidis</v>
      </c>
      <c r="I4671" t="str">
        <f>IFERROR(__xludf.DUMMYFUNCTION("""COMPUTED_VALUE"""),"str.")</f>
        <v>str.</v>
      </c>
      <c r="J4671" t="str">
        <f>IFERROR(__xludf.DUMMYFUNCTION("""COMPUTED_VALUE"""),"EC20100103")</f>
        <v>EC20100103</v>
      </c>
    </row>
    <row r="4672" ht="15.75" customHeight="1">
      <c r="A4672" t="str">
        <f t="shared" si="1"/>
        <v>S.enterica</v>
      </c>
      <c r="B4672" s="5" t="s">
        <v>29109</v>
      </c>
      <c r="C4672" s="6" t="str">
        <f>IFERROR(__xludf.DUMMYFUNCTION("SPLIT('2. c'!B4672, "" "", True, True)"),"Salmonella")</f>
        <v>Salmonella</v>
      </c>
      <c r="D4672" t="str">
        <f>IFERROR(__xludf.DUMMYFUNCTION("""COMPUTED_VALUE"""),"enterica")</f>
        <v>enterica</v>
      </c>
      <c r="E4672" t="str">
        <f>IFERROR(__xludf.DUMMYFUNCTION("""COMPUTED_VALUE"""),"subsp.")</f>
        <v>subsp.</v>
      </c>
      <c r="F4672" t="str">
        <f>IFERROR(__xludf.DUMMYFUNCTION("""COMPUTED_VALUE"""),"enterica")</f>
        <v>enterica</v>
      </c>
      <c r="G4672" t="str">
        <f>IFERROR(__xludf.DUMMYFUNCTION("""COMPUTED_VALUE"""),"serovar")</f>
        <v>serovar</v>
      </c>
      <c r="H4672" t="str">
        <f>IFERROR(__xludf.DUMMYFUNCTION("""COMPUTED_VALUE"""),"Enteritidis")</f>
        <v>Enteritidis</v>
      </c>
      <c r="I4672" t="str">
        <f>IFERROR(__xludf.DUMMYFUNCTION("""COMPUTED_VALUE"""),"str.")</f>
        <v>str.</v>
      </c>
      <c r="J4672" t="str">
        <f>IFERROR(__xludf.DUMMYFUNCTION("""COMPUTED_VALUE"""),"EC20100130")</f>
        <v>EC20100130</v>
      </c>
    </row>
    <row r="4673" ht="15.75" customHeight="1">
      <c r="A4673" t="str">
        <f t="shared" si="1"/>
        <v>S.enterica</v>
      </c>
      <c r="B4673" s="5" t="s">
        <v>29116</v>
      </c>
      <c r="C4673" s="6" t="str">
        <f>IFERROR(__xludf.DUMMYFUNCTION("SPLIT('2. c'!B4673, "" "", True, True)"),"Salmonella")</f>
        <v>Salmonella</v>
      </c>
      <c r="D4673" t="str">
        <f>IFERROR(__xludf.DUMMYFUNCTION("""COMPUTED_VALUE"""),"enterica")</f>
        <v>enterica</v>
      </c>
      <c r="E4673" t="str">
        <f>IFERROR(__xludf.DUMMYFUNCTION("""COMPUTED_VALUE"""),"subsp.")</f>
        <v>subsp.</v>
      </c>
      <c r="F4673" t="str">
        <f>IFERROR(__xludf.DUMMYFUNCTION("""COMPUTED_VALUE"""),"enterica")</f>
        <v>enterica</v>
      </c>
      <c r="G4673" t="str">
        <f>IFERROR(__xludf.DUMMYFUNCTION("""COMPUTED_VALUE"""),"serovar")</f>
        <v>serovar</v>
      </c>
      <c r="H4673" t="str">
        <f>IFERROR(__xludf.DUMMYFUNCTION("""COMPUTED_VALUE"""),"Enteritidis")</f>
        <v>Enteritidis</v>
      </c>
      <c r="I4673" t="str">
        <f>IFERROR(__xludf.DUMMYFUNCTION("""COMPUTED_VALUE"""),"str.")</f>
        <v>str.</v>
      </c>
      <c r="J4673" t="str">
        <f>IFERROR(__xludf.DUMMYFUNCTION("""COMPUTED_VALUE"""),"EC20100131")</f>
        <v>EC20100131</v>
      </c>
    </row>
    <row r="4674" ht="15.75" customHeight="1">
      <c r="A4674" t="str">
        <f t="shared" si="1"/>
        <v>S.enterica</v>
      </c>
      <c r="B4674" s="5" t="s">
        <v>29121</v>
      </c>
      <c r="C4674" s="6" t="str">
        <f>IFERROR(__xludf.DUMMYFUNCTION("SPLIT('2. c'!B4674, "" "", True, True)"),"Salmonella")</f>
        <v>Salmonella</v>
      </c>
      <c r="D4674" t="str">
        <f>IFERROR(__xludf.DUMMYFUNCTION("""COMPUTED_VALUE"""),"enterica")</f>
        <v>enterica</v>
      </c>
      <c r="E4674" t="str">
        <f>IFERROR(__xludf.DUMMYFUNCTION("""COMPUTED_VALUE"""),"subsp.")</f>
        <v>subsp.</v>
      </c>
      <c r="F4674" t="str">
        <f>IFERROR(__xludf.DUMMYFUNCTION("""COMPUTED_VALUE"""),"enterica")</f>
        <v>enterica</v>
      </c>
      <c r="G4674" t="str">
        <f>IFERROR(__xludf.DUMMYFUNCTION("""COMPUTED_VALUE"""),"serovar")</f>
        <v>serovar</v>
      </c>
      <c r="H4674" t="str">
        <f>IFERROR(__xludf.DUMMYFUNCTION("""COMPUTED_VALUE"""),"Enteritidis")</f>
        <v>Enteritidis</v>
      </c>
      <c r="I4674" t="str">
        <f>IFERROR(__xludf.DUMMYFUNCTION("""COMPUTED_VALUE"""),"str.")</f>
        <v>str.</v>
      </c>
      <c r="J4674" t="str">
        <f>IFERROR(__xludf.DUMMYFUNCTION("""COMPUTED_VALUE"""),"EC20100134")</f>
        <v>EC20100134</v>
      </c>
    </row>
    <row r="4675" ht="15.75" customHeight="1">
      <c r="A4675" t="str">
        <f t="shared" si="1"/>
        <v>S.enterica</v>
      </c>
      <c r="B4675" s="5" t="s">
        <v>29126</v>
      </c>
      <c r="C4675" s="6" t="str">
        <f>IFERROR(__xludf.DUMMYFUNCTION("SPLIT('2. c'!B4675, "" "", True, True)"),"Salmonella")</f>
        <v>Salmonella</v>
      </c>
      <c r="D4675" t="str">
        <f>IFERROR(__xludf.DUMMYFUNCTION("""COMPUTED_VALUE"""),"enterica")</f>
        <v>enterica</v>
      </c>
      <c r="E4675" t="str">
        <f>IFERROR(__xludf.DUMMYFUNCTION("""COMPUTED_VALUE"""),"subsp.")</f>
        <v>subsp.</v>
      </c>
      <c r="F4675" t="str">
        <f>IFERROR(__xludf.DUMMYFUNCTION("""COMPUTED_VALUE"""),"enterica")</f>
        <v>enterica</v>
      </c>
      <c r="G4675" t="str">
        <f>IFERROR(__xludf.DUMMYFUNCTION("""COMPUTED_VALUE"""),"serovar")</f>
        <v>serovar</v>
      </c>
      <c r="H4675" t="str">
        <f>IFERROR(__xludf.DUMMYFUNCTION("""COMPUTED_VALUE"""),"Enteritidis")</f>
        <v>Enteritidis</v>
      </c>
      <c r="I4675" t="str">
        <f>IFERROR(__xludf.DUMMYFUNCTION("""COMPUTED_VALUE"""),"str.")</f>
        <v>str.</v>
      </c>
      <c r="J4675" t="str">
        <f>IFERROR(__xludf.DUMMYFUNCTION("""COMPUTED_VALUE"""),"EC20100325")</f>
        <v>EC20100325</v>
      </c>
    </row>
    <row r="4676" ht="15.75" customHeight="1">
      <c r="A4676" t="str">
        <f t="shared" si="1"/>
        <v>S.enterica</v>
      </c>
      <c r="B4676" s="5" t="s">
        <v>29131</v>
      </c>
      <c r="C4676" s="6" t="str">
        <f>IFERROR(__xludf.DUMMYFUNCTION("SPLIT('2. c'!B4676, "" "", True, True)"),"Salmonella")</f>
        <v>Salmonella</v>
      </c>
      <c r="D4676" t="str">
        <f>IFERROR(__xludf.DUMMYFUNCTION("""COMPUTED_VALUE"""),"enterica")</f>
        <v>enterica</v>
      </c>
      <c r="E4676" t="str">
        <f>IFERROR(__xludf.DUMMYFUNCTION("""COMPUTED_VALUE"""),"subsp.")</f>
        <v>subsp.</v>
      </c>
      <c r="F4676" t="str">
        <f>IFERROR(__xludf.DUMMYFUNCTION("""COMPUTED_VALUE"""),"enterica")</f>
        <v>enterica</v>
      </c>
      <c r="G4676" t="str">
        <f>IFERROR(__xludf.DUMMYFUNCTION("""COMPUTED_VALUE"""),"serovar")</f>
        <v>serovar</v>
      </c>
      <c r="H4676" t="str">
        <f>IFERROR(__xludf.DUMMYFUNCTION("""COMPUTED_VALUE"""),"Enteritidis")</f>
        <v>Enteritidis</v>
      </c>
      <c r="I4676" t="str">
        <f>IFERROR(__xludf.DUMMYFUNCTION("""COMPUTED_VALUE"""),"str.")</f>
        <v>str.</v>
      </c>
      <c r="J4676" t="str">
        <f>IFERROR(__xludf.DUMMYFUNCTION("""COMPUTED_VALUE"""),"EC20110221")</f>
        <v>EC20110221</v>
      </c>
    </row>
    <row r="4677" ht="15.75" customHeight="1">
      <c r="A4677" t="str">
        <f t="shared" si="1"/>
        <v>S.enterica</v>
      </c>
      <c r="B4677" s="5" t="s">
        <v>29136</v>
      </c>
      <c r="C4677" s="6" t="str">
        <f>IFERROR(__xludf.DUMMYFUNCTION("SPLIT('2. c'!B4677, "" "", True, True)"),"Salmonella")</f>
        <v>Salmonella</v>
      </c>
      <c r="D4677" t="str">
        <f>IFERROR(__xludf.DUMMYFUNCTION("""COMPUTED_VALUE"""),"enterica")</f>
        <v>enterica</v>
      </c>
      <c r="E4677" t="str">
        <f>IFERROR(__xludf.DUMMYFUNCTION("""COMPUTED_VALUE"""),"subsp.")</f>
        <v>subsp.</v>
      </c>
      <c r="F4677" t="str">
        <f>IFERROR(__xludf.DUMMYFUNCTION("""COMPUTED_VALUE"""),"enterica")</f>
        <v>enterica</v>
      </c>
      <c r="G4677" t="str">
        <f>IFERROR(__xludf.DUMMYFUNCTION("""COMPUTED_VALUE"""),"serovar")</f>
        <v>serovar</v>
      </c>
      <c r="H4677" t="str">
        <f>IFERROR(__xludf.DUMMYFUNCTION("""COMPUTED_VALUE"""),"Enteritidis")</f>
        <v>Enteritidis</v>
      </c>
      <c r="I4677" t="str">
        <f>IFERROR(__xludf.DUMMYFUNCTION("""COMPUTED_VALUE"""),"str.")</f>
        <v>str.</v>
      </c>
      <c r="J4677" t="str">
        <f>IFERROR(__xludf.DUMMYFUNCTION("""COMPUTED_VALUE"""),"EC20110222")</f>
        <v>EC20110222</v>
      </c>
    </row>
    <row r="4678" ht="15.75" customHeight="1">
      <c r="A4678" t="str">
        <f t="shared" si="1"/>
        <v>S.enterica</v>
      </c>
      <c r="B4678" s="5" t="s">
        <v>29140</v>
      </c>
      <c r="C4678" s="6" t="str">
        <f>IFERROR(__xludf.DUMMYFUNCTION("SPLIT('2. c'!B4678, "" "", True, True)"),"Salmonella")</f>
        <v>Salmonella</v>
      </c>
      <c r="D4678" t="str">
        <f>IFERROR(__xludf.DUMMYFUNCTION("""COMPUTED_VALUE"""),"enterica")</f>
        <v>enterica</v>
      </c>
      <c r="E4678" t="str">
        <f>IFERROR(__xludf.DUMMYFUNCTION("""COMPUTED_VALUE"""),"subsp.")</f>
        <v>subsp.</v>
      </c>
      <c r="F4678" t="str">
        <f>IFERROR(__xludf.DUMMYFUNCTION("""COMPUTED_VALUE"""),"enterica")</f>
        <v>enterica</v>
      </c>
      <c r="G4678" t="str">
        <f>IFERROR(__xludf.DUMMYFUNCTION("""COMPUTED_VALUE"""),"serovar")</f>
        <v>serovar</v>
      </c>
      <c r="H4678" t="str">
        <f>IFERROR(__xludf.DUMMYFUNCTION("""COMPUTED_VALUE"""),"Enteritidis")</f>
        <v>Enteritidis</v>
      </c>
      <c r="I4678" t="str">
        <f>IFERROR(__xludf.DUMMYFUNCTION("""COMPUTED_VALUE"""),"str.")</f>
        <v>str.</v>
      </c>
      <c r="J4678" t="str">
        <f>IFERROR(__xludf.DUMMYFUNCTION("""COMPUTED_VALUE"""),"EC20110223")</f>
        <v>EC20110223</v>
      </c>
    </row>
    <row r="4679" ht="15.75" customHeight="1">
      <c r="A4679" t="str">
        <f t="shared" si="1"/>
        <v>S.enterica</v>
      </c>
      <c r="B4679" s="5" t="s">
        <v>29145</v>
      </c>
      <c r="C4679" s="6" t="str">
        <f>IFERROR(__xludf.DUMMYFUNCTION("SPLIT('2. c'!B4679, "" "", True, True)"),"Salmonella")</f>
        <v>Salmonella</v>
      </c>
      <c r="D4679" t="str">
        <f>IFERROR(__xludf.DUMMYFUNCTION("""COMPUTED_VALUE"""),"enterica")</f>
        <v>enterica</v>
      </c>
      <c r="E4679" t="str">
        <f>IFERROR(__xludf.DUMMYFUNCTION("""COMPUTED_VALUE"""),"subsp.")</f>
        <v>subsp.</v>
      </c>
      <c r="F4679" t="str">
        <f>IFERROR(__xludf.DUMMYFUNCTION("""COMPUTED_VALUE"""),"enterica")</f>
        <v>enterica</v>
      </c>
      <c r="G4679" t="str">
        <f>IFERROR(__xludf.DUMMYFUNCTION("""COMPUTED_VALUE"""),"serovar")</f>
        <v>serovar</v>
      </c>
      <c r="H4679" t="str">
        <f>IFERROR(__xludf.DUMMYFUNCTION("""COMPUTED_VALUE"""),"Enteritidis")</f>
        <v>Enteritidis</v>
      </c>
      <c r="I4679" t="str">
        <f>IFERROR(__xludf.DUMMYFUNCTION("""COMPUTED_VALUE"""),"str.")</f>
        <v>str.</v>
      </c>
      <c r="J4679" t="str">
        <f>IFERROR(__xludf.DUMMYFUNCTION("""COMPUTED_VALUE"""),"EC20110353")</f>
        <v>EC20110353</v>
      </c>
    </row>
    <row r="4680" ht="15.75" customHeight="1">
      <c r="A4680" t="str">
        <f t="shared" si="1"/>
        <v>S.enterica</v>
      </c>
      <c r="B4680" s="5" t="s">
        <v>29149</v>
      </c>
      <c r="C4680" s="6" t="str">
        <f>IFERROR(__xludf.DUMMYFUNCTION("SPLIT('2. c'!B4680, "" "", True, True)"),"Salmonella")</f>
        <v>Salmonella</v>
      </c>
      <c r="D4680" t="str">
        <f>IFERROR(__xludf.DUMMYFUNCTION("""COMPUTED_VALUE"""),"enterica")</f>
        <v>enterica</v>
      </c>
      <c r="E4680" t="str">
        <f>IFERROR(__xludf.DUMMYFUNCTION("""COMPUTED_VALUE"""),"subsp.")</f>
        <v>subsp.</v>
      </c>
      <c r="F4680" t="str">
        <f>IFERROR(__xludf.DUMMYFUNCTION("""COMPUTED_VALUE"""),"enterica")</f>
        <v>enterica</v>
      </c>
      <c r="G4680" t="str">
        <f>IFERROR(__xludf.DUMMYFUNCTION("""COMPUTED_VALUE"""),"serovar")</f>
        <v>serovar</v>
      </c>
      <c r="H4680" t="str">
        <f>IFERROR(__xludf.DUMMYFUNCTION("""COMPUTED_VALUE"""),"Enteritidis")</f>
        <v>Enteritidis</v>
      </c>
      <c r="I4680" t="str">
        <f>IFERROR(__xludf.DUMMYFUNCTION("""COMPUTED_VALUE"""),"str.")</f>
        <v>str.</v>
      </c>
      <c r="J4680" t="str">
        <f>IFERROR(__xludf.DUMMYFUNCTION("""COMPUTED_VALUE"""),"EC20110354")</f>
        <v>EC20110354</v>
      </c>
    </row>
    <row r="4681" ht="15.75" customHeight="1">
      <c r="A4681" t="str">
        <f t="shared" si="1"/>
        <v>S.enterica</v>
      </c>
      <c r="B4681" s="5" t="s">
        <v>29155</v>
      </c>
      <c r="C4681" s="6" t="str">
        <f>IFERROR(__xludf.DUMMYFUNCTION("SPLIT('2. c'!B4681, "" "", True, True)"),"Salmonella")</f>
        <v>Salmonella</v>
      </c>
      <c r="D4681" t="str">
        <f>IFERROR(__xludf.DUMMYFUNCTION("""COMPUTED_VALUE"""),"enterica")</f>
        <v>enterica</v>
      </c>
      <c r="E4681" t="str">
        <f>IFERROR(__xludf.DUMMYFUNCTION("""COMPUTED_VALUE"""),"subsp.")</f>
        <v>subsp.</v>
      </c>
      <c r="F4681" t="str">
        <f>IFERROR(__xludf.DUMMYFUNCTION("""COMPUTED_VALUE"""),"enterica")</f>
        <v>enterica</v>
      </c>
      <c r="G4681" t="str">
        <f>IFERROR(__xludf.DUMMYFUNCTION("""COMPUTED_VALUE"""),"serovar")</f>
        <v>serovar</v>
      </c>
      <c r="H4681" t="str">
        <f>IFERROR(__xludf.DUMMYFUNCTION("""COMPUTED_VALUE"""),"Enteritidis")</f>
        <v>Enteritidis</v>
      </c>
      <c r="I4681" t="str">
        <f>IFERROR(__xludf.DUMMYFUNCTION("""COMPUTED_VALUE"""),"str.")</f>
        <v>str.</v>
      </c>
      <c r="J4681" t="str">
        <f>IFERROR(__xludf.DUMMYFUNCTION("""COMPUTED_VALUE"""),"EC20110355")</f>
        <v>EC20110355</v>
      </c>
    </row>
    <row r="4682" ht="15.75" customHeight="1">
      <c r="A4682" t="str">
        <f t="shared" si="1"/>
        <v>S.enterica</v>
      </c>
      <c r="B4682" s="5" t="s">
        <v>29159</v>
      </c>
      <c r="C4682" s="6" t="str">
        <f>IFERROR(__xludf.DUMMYFUNCTION("SPLIT('2. c'!B4682, "" "", True, True)"),"Salmonella")</f>
        <v>Salmonella</v>
      </c>
      <c r="D4682" t="str">
        <f>IFERROR(__xludf.DUMMYFUNCTION("""COMPUTED_VALUE"""),"enterica")</f>
        <v>enterica</v>
      </c>
      <c r="E4682" t="str">
        <f>IFERROR(__xludf.DUMMYFUNCTION("""COMPUTED_VALUE"""),"subsp.")</f>
        <v>subsp.</v>
      </c>
      <c r="F4682" t="str">
        <f>IFERROR(__xludf.DUMMYFUNCTION("""COMPUTED_VALUE"""),"enterica")</f>
        <v>enterica</v>
      </c>
      <c r="G4682" t="str">
        <f>IFERROR(__xludf.DUMMYFUNCTION("""COMPUTED_VALUE"""),"serovar")</f>
        <v>serovar</v>
      </c>
      <c r="H4682" t="str">
        <f>IFERROR(__xludf.DUMMYFUNCTION("""COMPUTED_VALUE"""),"Enteritidis")</f>
        <v>Enteritidis</v>
      </c>
      <c r="I4682" t="str">
        <f>IFERROR(__xludf.DUMMYFUNCTION("""COMPUTED_VALUE"""),"str.")</f>
        <v>str.</v>
      </c>
      <c r="J4682" t="str">
        <f>IFERROR(__xludf.DUMMYFUNCTION("""COMPUTED_VALUE"""),"EC20110356")</f>
        <v>EC20110356</v>
      </c>
    </row>
    <row r="4683" ht="15.75" customHeight="1">
      <c r="A4683" t="str">
        <f t="shared" si="1"/>
        <v>S.enterica</v>
      </c>
      <c r="B4683" s="5" t="s">
        <v>29162</v>
      </c>
      <c r="C4683" s="6" t="str">
        <f>IFERROR(__xludf.DUMMYFUNCTION("SPLIT('2. c'!B4683, "" "", True, True)"),"Salmonella")</f>
        <v>Salmonella</v>
      </c>
      <c r="D4683" t="str">
        <f>IFERROR(__xludf.DUMMYFUNCTION("""COMPUTED_VALUE"""),"enterica")</f>
        <v>enterica</v>
      </c>
      <c r="E4683" t="str">
        <f>IFERROR(__xludf.DUMMYFUNCTION("""COMPUTED_VALUE"""),"subsp.")</f>
        <v>subsp.</v>
      </c>
      <c r="F4683" t="str">
        <f>IFERROR(__xludf.DUMMYFUNCTION("""COMPUTED_VALUE"""),"enterica")</f>
        <v>enterica</v>
      </c>
      <c r="G4683" t="str">
        <f>IFERROR(__xludf.DUMMYFUNCTION("""COMPUTED_VALUE"""),"serovar")</f>
        <v>serovar</v>
      </c>
      <c r="H4683" t="str">
        <f>IFERROR(__xludf.DUMMYFUNCTION("""COMPUTED_VALUE"""),"Enteritidis")</f>
        <v>Enteritidis</v>
      </c>
      <c r="I4683" t="str">
        <f>IFERROR(__xludf.DUMMYFUNCTION("""COMPUTED_VALUE"""),"str.")</f>
        <v>str.</v>
      </c>
      <c r="J4683" t="str">
        <f>IFERROR(__xludf.DUMMYFUNCTION("""COMPUTED_VALUE"""),"EC20110357")</f>
        <v>EC20110357</v>
      </c>
    </row>
    <row r="4684" ht="15.75" customHeight="1">
      <c r="A4684" t="str">
        <f t="shared" si="1"/>
        <v>S.enterica</v>
      </c>
      <c r="B4684" s="5" t="s">
        <v>29167</v>
      </c>
      <c r="C4684" s="6" t="str">
        <f>IFERROR(__xludf.DUMMYFUNCTION("SPLIT('2. c'!B4684, "" "", True, True)"),"Salmonella")</f>
        <v>Salmonella</v>
      </c>
      <c r="D4684" t="str">
        <f>IFERROR(__xludf.DUMMYFUNCTION("""COMPUTED_VALUE"""),"enterica")</f>
        <v>enterica</v>
      </c>
      <c r="E4684" t="str">
        <f>IFERROR(__xludf.DUMMYFUNCTION("""COMPUTED_VALUE"""),"subsp.")</f>
        <v>subsp.</v>
      </c>
      <c r="F4684" t="str">
        <f>IFERROR(__xludf.DUMMYFUNCTION("""COMPUTED_VALUE"""),"enterica")</f>
        <v>enterica</v>
      </c>
      <c r="G4684" t="str">
        <f>IFERROR(__xludf.DUMMYFUNCTION("""COMPUTED_VALUE"""),"serovar")</f>
        <v>serovar</v>
      </c>
      <c r="H4684" t="str">
        <f>IFERROR(__xludf.DUMMYFUNCTION("""COMPUTED_VALUE"""),"Enteritidis")</f>
        <v>Enteritidis</v>
      </c>
      <c r="I4684" t="str">
        <f>IFERROR(__xludf.DUMMYFUNCTION("""COMPUTED_VALUE"""),"str.")</f>
        <v>str.</v>
      </c>
      <c r="J4684" t="str">
        <f>IFERROR(__xludf.DUMMYFUNCTION("""COMPUTED_VALUE"""),"EC20110358")</f>
        <v>EC20110358</v>
      </c>
    </row>
    <row r="4685" ht="15.75" customHeight="1">
      <c r="A4685" t="str">
        <f t="shared" si="1"/>
        <v>S.enterica</v>
      </c>
      <c r="B4685" s="5" t="s">
        <v>29172</v>
      </c>
      <c r="C4685" s="6" t="str">
        <f>IFERROR(__xludf.DUMMYFUNCTION("SPLIT('2. c'!B4685, "" "", True, True)"),"Salmonella")</f>
        <v>Salmonella</v>
      </c>
      <c r="D4685" t="str">
        <f>IFERROR(__xludf.DUMMYFUNCTION("""COMPUTED_VALUE"""),"enterica")</f>
        <v>enterica</v>
      </c>
      <c r="E4685" t="str">
        <f>IFERROR(__xludf.DUMMYFUNCTION("""COMPUTED_VALUE"""),"subsp.")</f>
        <v>subsp.</v>
      </c>
      <c r="F4685" t="str">
        <f>IFERROR(__xludf.DUMMYFUNCTION("""COMPUTED_VALUE"""),"enterica")</f>
        <v>enterica</v>
      </c>
      <c r="G4685" t="str">
        <f>IFERROR(__xludf.DUMMYFUNCTION("""COMPUTED_VALUE"""),"serovar")</f>
        <v>serovar</v>
      </c>
      <c r="H4685" t="str">
        <f>IFERROR(__xludf.DUMMYFUNCTION("""COMPUTED_VALUE"""),"Enteritidis")</f>
        <v>Enteritidis</v>
      </c>
      <c r="I4685" t="str">
        <f>IFERROR(__xludf.DUMMYFUNCTION("""COMPUTED_VALUE"""),"str.")</f>
        <v>str.</v>
      </c>
      <c r="J4685" t="str">
        <f>IFERROR(__xludf.DUMMYFUNCTION("""COMPUTED_VALUE"""),"EC20110359")</f>
        <v>EC20110359</v>
      </c>
    </row>
    <row r="4686" ht="15.75" customHeight="1">
      <c r="A4686" t="str">
        <f t="shared" si="1"/>
        <v>S.enterica</v>
      </c>
      <c r="B4686" s="5" t="s">
        <v>29177</v>
      </c>
      <c r="C4686" s="6" t="str">
        <f>IFERROR(__xludf.DUMMYFUNCTION("SPLIT('2. c'!B4686, "" "", True, True)"),"Salmonella")</f>
        <v>Salmonella</v>
      </c>
      <c r="D4686" t="str">
        <f>IFERROR(__xludf.DUMMYFUNCTION("""COMPUTED_VALUE"""),"enterica")</f>
        <v>enterica</v>
      </c>
      <c r="E4686" t="str">
        <f>IFERROR(__xludf.DUMMYFUNCTION("""COMPUTED_VALUE"""),"subsp.")</f>
        <v>subsp.</v>
      </c>
      <c r="F4686" t="str">
        <f>IFERROR(__xludf.DUMMYFUNCTION("""COMPUTED_VALUE"""),"enterica")</f>
        <v>enterica</v>
      </c>
      <c r="G4686" t="str">
        <f>IFERROR(__xludf.DUMMYFUNCTION("""COMPUTED_VALUE"""),"serovar")</f>
        <v>serovar</v>
      </c>
      <c r="H4686" t="str">
        <f>IFERROR(__xludf.DUMMYFUNCTION("""COMPUTED_VALUE"""),"Enteritidis")</f>
        <v>Enteritidis</v>
      </c>
      <c r="I4686" t="str">
        <f>IFERROR(__xludf.DUMMYFUNCTION("""COMPUTED_VALUE"""),"str.")</f>
        <v>str.</v>
      </c>
      <c r="J4686" t="str">
        <f>IFERROR(__xludf.DUMMYFUNCTION("""COMPUTED_VALUE"""),"EC20110360")</f>
        <v>EC20110360</v>
      </c>
    </row>
    <row r="4687" ht="15.75" customHeight="1">
      <c r="A4687" t="str">
        <f t="shared" si="1"/>
        <v>S.enterica</v>
      </c>
      <c r="B4687" s="5" t="s">
        <v>29181</v>
      </c>
      <c r="C4687" s="6" t="str">
        <f>IFERROR(__xludf.DUMMYFUNCTION("SPLIT('2. c'!B4687, "" "", True, True)"),"Salmonella")</f>
        <v>Salmonella</v>
      </c>
      <c r="D4687" t="str">
        <f>IFERROR(__xludf.DUMMYFUNCTION("""COMPUTED_VALUE"""),"enterica")</f>
        <v>enterica</v>
      </c>
      <c r="E4687" t="str">
        <f>IFERROR(__xludf.DUMMYFUNCTION("""COMPUTED_VALUE"""),"subsp.")</f>
        <v>subsp.</v>
      </c>
      <c r="F4687" t="str">
        <f>IFERROR(__xludf.DUMMYFUNCTION("""COMPUTED_VALUE"""),"enterica")</f>
        <v>enterica</v>
      </c>
      <c r="G4687" t="str">
        <f>IFERROR(__xludf.DUMMYFUNCTION("""COMPUTED_VALUE"""),"serovar")</f>
        <v>serovar</v>
      </c>
      <c r="H4687" t="str">
        <f>IFERROR(__xludf.DUMMYFUNCTION("""COMPUTED_VALUE"""),"Enteritidis")</f>
        <v>Enteritidis</v>
      </c>
      <c r="I4687" t="str">
        <f>IFERROR(__xludf.DUMMYFUNCTION("""COMPUTED_VALUE"""),"str.")</f>
        <v>str.</v>
      </c>
      <c r="J4687" t="str">
        <f>IFERROR(__xludf.DUMMYFUNCTION("""COMPUTED_VALUE"""),"EC20110361")</f>
        <v>EC20110361</v>
      </c>
    </row>
    <row r="4688" ht="15.75" customHeight="1">
      <c r="A4688" t="str">
        <f t="shared" si="1"/>
        <v>S.enterica</v>
      </c>
      <c r="B4688" s="5" t="s">
        <v>29187</v>
      </c>
      <c r="C4688" s="6" t="str">
        <f>IFERROR(__xludf.DUMMYFUNCTION("SPLIT('2. c'!B4688, "" "", True, True)"),"Salmonella")</f>
        <v>Salmonella</v>
      </c>
      <c r="D4688" t="str">
        <f>IFERROR(__xludf.DUMMYFUNCTION("""COMPUTED_VALUE"""),"enterica")</f>
        <v>enterica</v>
      </c>
      <c r="E4688" t="str">
        <f>IFERROR(__xludf.DUMMYFUNCTION("""COMPUTED_VALUE"""),"subsp.")</f>
        <v>subsp.</v>
      </c>
      <c r="F4688" t="str">
        <f>IFERROR(__xludf.DUMMYFUNCTION("""COMPUTED_VALUE"""),"enterica")</f>
        <v>enterica</v>
      </c>
      <c r="G4688" t="str">
        <f>IFERROR(__xludf.DUMMYFUNCTION("""COMPUTED_VALUE"""),"serovar")</f>
        <v>serovar</v>
      </c>
      <c r="H4688" t="str">
        <f>IFERROR(__xludf.DUMMYFUNCTION("""COMPUTED_VALUE"""),"Enteritidis")</f>
        <v>Enteritidis</v>
      </c>
      <c r="I4688" t="str">
        <f>IFERROR(__xludf.DUMMYFUNCTION("""COMPUTED_VALUE"""),"str.")</f>
        <v>str.</v>
      </c>
      <c r="J4688" t="str">
        <f>IFERROR(__xludf.DUMMYFUNCTION("""COMPUTED_VALUE"""),"EC20111095")</f>
        <v>EC20111095</v>
      </c>
    </row>
    <row r="4689" ht="15.75" customHeight="1">
      <c r="A4689" t="str">
        <f t="shared" si="1"/>
        <v>S.enterica</v>
      </c>
      <c r="B4689" s="5" t="s">
        <v>29191</v>
      </c>
      <c r="C4689" s="6" t="str">
        <f>IFERROR(__xludf.DUMMYFUNCTION("SPLIT('2. c'!B4689, "" "", True, True)"),"Salmonella")</f>
        <v>Salmonella</v>
      </c>
      <c r="D4689" t="str">
        <f>IFERROR(__xludf.DUMMYFUNCTION("""COMPUTED_VALUE"""),"enterica")</f>
        <v>enterica</v>
      </c>
      <c r="E4689" t="str">
        <f>IFERROR(__xludf.DUMMYFUNCTION("""COMPUTED_VALUE"""),"subsp.")</f>
        <v>subsp.</v>
      </c>
      <c r="F4689" t="str">
        <f>IFERROR(__xludf.DUMMYFUNCTION("""COMPUTED_VALUE"""),"enterica")</f>
        <v>enterica</v>
      </c>
      <c r="G4689" t="str">
        <f>IFERROR(__xludf.DUMMYFUNCTION("""COMPUTED_VALUE"""),"serovar")</f>
        <v>serovar</v>
      </c>
      <c r="H4689" t="str">
        <f>IFERROR(__xludf.DUMMYFUNCTION("""COMPUTED_VALUE"""),"Enteritidis")</f>
        <v>Enteritidis</v>
      </c>
      <c r="I4689" t="str">
        <f>IFERROR(__xludf.DUMMYFUNCTION("""COMPUTED_VALUE"""),"str.")</f>
        <v>str.</v>
      </c>
      <c r="J4689" t="str">
        <f>IFERROR(__xludf.DUMMYFUNCTION("""COMPUTED_VALUE"""),"EC20111174")</f>
        <v>EC20111174</v>
      </c>
    </row>
    <row r="4690" ht="15.75" customHeight="1">
      <c r="A4690" t="str">
        <f t="shared" si="1"/>
        <v>S.enterica</v>
      </c>
      <c r="B4690" s="5" t="s">
        <v>29199</v>
      </c>
      <c r="C4690" s="6" t="str">
        <f>IFERROR(__xludf.DUMMYFUNCTION("SPLIT('2. c'!B4690, "" "", True, True)"),"Salmonella")</f>
        <v>Salmonella</v>
      </c>
      <c r="D4690" t="str">
        <f>IFERROR(__xludf.DUMMYFUNCTION("""COMPUTED_VALUE"""),"enterica")</f>
        <v>enterica</v>
      </c>
      <c r="E4690" t="str">
        <f>IFERROR(__xludf.DUMMYFUNCTION("""COMPUTED_VALUE"""),"subsp.")</f>
        <v>subsp.</v>
      </c>
      <c r="F4690" t="str">
        <f>IFERROR(__xludf.DUMMYFUNCTION("""COMPUTED_VALUE"""),"enterica")</f>
        <v>enterica</v>
      </c>
      <c r="G4690" t="str">
        <f>IFERROR(__xludf.DUMMYFUNCTION("""COMPUTED_VALUE"""),"serovar")</f>
        <v>serovar</v>
      </c>
      <c r="H4690" t="str">
        <f>IFERROR(__xludf.DUMMYFUNCTION("""COMPUTED_VALUE"""),"Enteritidis")</f>
        <v>Enteritidis</v>
      </c>
      <c r="I4690" t="str">
        <f>IFERROR(__xludf.DUMMYFUNCTION("""COMPUTED_VALUE"""),"str.")</f>
        <v>str.</v>
      </c>
      <c r="J4690" t="str">
        <f>IFERROR(__xludf.DUMMYFUNCTION("""COMPUTED_VALUE"""),"EC20111175")</f>
        <v>EC20111175</v>
      </c>
    </row>
    <row r="4691" ht="15.75" customHeight="1">
      <c r="A4691" t="str">
        <f t="shared" si="1"/>
        <v>S.enterica</v>
      </c>
      <c r="B4691" s="5" t="s">
        <v>29206</v>
      </c>
      <c r="C4691" s="6" t="str">
        <f>IFERROR(__xludf.DUMMYFUNCTION("SPLIT('2. c'!B4691, "" "", True, True)"),"Salmonella")</f>
        <v>Salmonella</v>
      </c>
      <c r="D4691" t="str">
        <f>IFERROR(__xludf.DUMMYFUNCTION("""COMPUTED_VALUE"""),"enterica")</f>
        <v>enterica</v>
      </c>
      <c r="E4691" t="str">
        <f>IFERROR(__xludf.DUMMYFUNCTION("""COMPUTED_VALUE"""),"subsp.")</f>
        <v>subsp.</v>
      </c>
      <c r="F4691" t="str">
        <f>IFERROR(__xludf.DUMMYFUNCTION("""COMPUTED_VALUE"""),"enterica")</f>
        <v>enterica</v>
      </c>
      <c r="G4691" t="str">
        <f>IFERROR(__xludf.DUMMYFUNCTION("""COMPUTED_VALUE"""),"serovar")</f>
        <v>serovar</v>
      </c>
      <c r="H4691" t="str">
        <f>IFERROR(__xludf.DUMMYFUNCTION("""COMPUTED_VALUE"""),"Enteritidis")</f>
        <v>Enteritidis</v>
      </c>
      <c r="I4691" t="str">
        <f>IFERROR(__xludf.DUMMYFUNCTION("""COMPUTED_VALUE"""),"str.")</f>
        <v>str.</v>
      </c>
      <c r="J4691" t="str">
        <f>IFERROR(__xludf.DUMMYFUNCTION("""COMPUTED_VALUE"""),"EC20111510")</f>
        <v>EC20111510</v>
      </c>
    </row>
    <row r="4692" ht="15.75" customHeight="1">
      <c r="A4692" t="str">
        <f t="shared" si="1"/>
        <v>S.enterica</v>
      </c>
      <c r="B4692" s="5" t="s">
        <v>29214</v>
      </c>
      <c r="C4692" s="6" t="str">
        <f>IFERROR(__xludf.DUMMYFUNCTION("SPLIT('2. c'!B4692, "" "", True, True)"),"Salmonella")</f>
        <v>Salmonella</v>
      </c>
      <c r="D4692" t="str">
        <f>IFERROR(__xludf.DUMMYFUNCTION("""COMPUTED_VALUE"""),"enterica")</f>
        <v>enterica</v>
      </c>
      <c r="E4692" t="str">
        <f>IFERROR(__xludf.DUMMYFUNCTION("""COMPUTED_VALUE"""),"subsp.")</f>
        <v>subsp.</v>
      </c>
      <c r="F4692" t="str">
        <f>IFERROR(__xludf.DUMMYFUNCTION("""COMPUTED_VALUE"""),"enterica")</f>
        <v>enterica</v>
      </c>
      <c r="G4692" t="str">
        <f>IFERROR(__xludf.DUMMYFUNCTION("""COMPUTED_VALUE"""),"serovar")</f>
        <v>serovar</v>
      </c>
      <c r="H4692" t="str">
        <f>IFERROR(__xludf.DUMMYFUNCTION("""COMPUTED_VALUE"""),"Enteritidis")</f>
        <v>Enteritidis</v>
      </c>
      <c r="I4692" t="str">
        <f>IFERROR(__xludf.DUMMYFUNCTION("""COMPUTED_VALUE"""),"str.")</f>
        <v>str.</v>
      </c>
      <c r="J4692" t="str">
        <f>IFERROR(__xludf.DUMMYFUNCTION("""COMPUTED_VALUE"""),"EC20111514")</f>
        <v>EC20111514</v>
      </c>
    </row>
    <row r="4693" ht="15.75" customHeight="1">
      <c r="A4693" t="str">
        <f t="shared" si="1"/>
        <v>S.enterica</v>
      </c>
      <c r="B4693" s="5" t="s">
        <v>29223</v>
      </c>
      <c r="C4693" s="6" t="str">
        <f>IFERROR(__xludf.DUMMYFUNCTION("SPLIT('2. c'!B4693, "" "", True, True)"),"Salmonella")</f>
        <v>Salmonella</v>
      </c>
      <c r="D4693" t="str">
        <f>IFERROR(__xludf.DUMMYFUNCTION("""COMPUTED_VALUE"""),"enterica")</f>
        <v>enterica</v>
      </c>
      <c r="E4693" t="str">
        <f>IFERROR(__xludf.DUMMYFUNCTION("""COMPUTED_VALUE"""),"subsp.")</f>
        <v>subsp.</v>
      </c>
      <c r="F4693" t="str">
        <f>IFERROR(__xludf.DUMMYFUNCTION("""COMPUTED_VALUE"""),"enterica")</f>
        <v>enterica</v>
      </c>
      <c r="G4693" t="str">
        <f>IFERROR(__xludf.DUMMYFUNCTION("""COMPUTED_VALUE"""),"serovar")</f>
        <v>serovar</v>
      </c>
      <c r="H4693" t="str">
        <f>IFERROR(__xludf.DUMMYFUNCTION("""COMPUTED_VALUE"""),"Enteritidis")</f>
        <v>Enteritidis</v>
      </c>
      <c r="I4693" t="str">
        <f>IFERROR(__xludf.DUMMYFUNCTION("""COMPUTED_VALUE"""),"str.")</f>
        <v>str.</v>
      </c>
      <c r="J4693" t="str">
        <f>IFERROR(__xludf.DUMMYFUNCTION("""COMPUTED_VALUE"""),"EC20111515")</f>
        <v>EC20111515</v>
      </c>
    </row>
    <row r="4694" ht="15.75" customHeight="1">
      <c r="A4694" t="str">
        <f t="shared" si="1"/>
        <v>S.enterica</v>
      </c>
      <c r="B4694" s="5" t="s">
        <v>29231</v>
      </c>
      <c r="C4694" s="6" t="str">
        <f>IFERROR(__xludf.DUMMYFUNCTION("SPLIT('2. c'!B4694, "" "", True, True)"),"Salmonella")</f>
        <v>Salmonella</v>
      </c>
      <c r="D4694" t="str">
        <f>IFERROR(__xludf.DUMMYFUNCTION("""COMPUTED_VALUE"""),"enterica")</f>
        <v>enterica</v>
      </c>
      <c r="E4694" t="str">
        <f>IFERROR(__xludf.DUMMYFUNCTION("""COMPUTED_VALUE"""),"subsp.")</f>
        <v>subsp.</v>
      </c>
      <c r="F4694" t="str">
        <f>IFERROR(__xludf.DUMMYFUNCTION("""COMPUTED_VALUE"""),"enterica")</f>
        <v>enterica</v>
      </c>
      <c r="G4694" t="str">
        <f>IFERROR(__xludf.DUMMYFUNCTION("""COMPUTED_VALUE"""),"serovar")</f>
        <v>serovar</v>
      </c>
      <c r="H4694" t="str">
        <f>IFERROR(__xludf.DUMMYFUNCTION("""COMPUTED_VALUE"""),"Enteritidis")</f>
        <v>Enteritidis</v>
      </c>
      <c r="I4694" t="str">
        <f>IFERROR(__xludf.DUMMYFUNCTION("""COMPUTED_VALUE"""),"str.")</f>
        <v>str.</v>
      </c>
      <c r="J4694" t="str">
        <f>IFERROR(__xludf.DUMMYFUNCTION("""COMPUTED_VALUE"""),"EC20111554")</f>
        <v>EC20111554</v>
      </c>
    </row>
    <row r="4695" ht="15.75" customHeight="1">
      <c r="A4695" t="str">
        <f t="shared" si="1"/>
        <v>S.enterica</v>
      </c>
      <c r="B4695" s="5" t="s">
        <v>29236</v>
      </c>
      <c r="C4695" s="6" t="str">
        <f>IFERROR(__xludf.DUMMYFUNCTION("SPLIT('2. c'!B4695, "" "", True, True)"),"Salmonella")</f>
        <v>Salmonella</v>
      </c>
      <c r="D4695" t="str">
        <f>IFERROR(__xludf.DUMMYFUNCTION("""COMPUTED_VALUE"""),"enterica")</f>
        <v>enterica</v>
      </c>
      <c r="E4695" t="str">
        <f>IFERROR(__xludf.DUMMYFUNCTION("""COMPUTED_VALUE"""),"subsp.")</f>
        <v>subsp.</v>
      </c>
      <c r="F4695" t="str">
        <f>IFERROR(__xludf.DUMMYFUNCTION("""COMPUTED_VALUE"""),"enterica")</f>
        <v>enterica</v>
      </c>
      <c r="G4695" t="str">
        <f>IFERROR(__xludf.DUMMYFUNCTION("""COMPUTED_VALUE"""),"serovar")</f>
        <v>serovar</v>
      </c>
      <c r="H4695" t="str">
        <f>IFERROR(__xludf.DUMMYFUNCTION("""COMPUTED_VALUE"""),"Enteritidis")</f>
        <v>Enteritidis</v>
      </c>
      <c r="I4695" t="str">
        <f>IFERROR(__xludf.DUMMYFUNCTION("""COMPUTED_VALUE"""),"str.")</f>
        <v>str.</v>
      </c>
      <c r="J4695" t="str">
        <f>IFERROR(__xludf.DUMMYFUNCTION("""COMPUTED_VALUE"""),"EC20111561")</f>
        <v>EC20111561</v>
      </c>
    </row>
    <row r="4696" ht="15.75" customHeight="1">
      <c r="A4696" t="str">
        <f t="shared" si="1"/>
        <v>S.enterica</v>
      </c>
      <c r="B4696" s="5" t="s">
        <v>29242</v>
      </c>
      <c r="C4696" s="6" t="str">
        <f>IFERROR(__xludf.DUMMYFUNCTION("SPLIT('2. c'!B4696, "" "", True, True)"),"Salmonella")</f>
        <v>Salmonella</v>
      </c>
      <c r="D4696" t="str">
        <f>IFERROR(__xludf.DUMMYFUNCTION("""COMPUTED_VALUE"""),"enterica")</f>
        <v>enterica</v>
      </c>
      <c r="E4696" t="str">
        <f>IFERROR(__xludf.DUMMYFUNCTION("""COMPUTED_VALUE"""),"subsp.")</f>
        <v>subsp.</v>
      </c>
      <c r="F4696" t="str">
        <f>IFERROR(__xludf.DUMMYFUNCTION("""COMPUTED_VALUE"""),"enterica")</f>
        <v>enterica</v>
      </c>
      <c r="G4696" t="str">
        <f>IFERROR(__xludf.DUMMYFUNCTION("""COMPUTED_VALUE"""),"serovar")</f>
        <v>serovar</v>
      </c>
      <c r="H4696" t="str">
        <f>IFERROR(__xludf.DUMMYFUNCTION("""COMPUTED_VALUE"""),"Enteritidis")</f>
        <v>Enteritidis</v>
      </c>
      <c r="I4696" t="str">
        <f>IFERROR(__xludf.DUMMYFUNCTION("""COMPUTED_VALUE"""),"str.")</f>
        <v>str.</v>
      </c>
      <c r="J4696" t="str">
        <f>IFERROR(__xludf.DUMMYFUNCTION("""COMPUTED_VALUE"""),"EC20111576")</f>
        <v>EC20111576</v>
      </c>
    </row>
    <row r="4697" ht="15.75" customHeight="1">
      <c r="A4697" t="str">
        <f t="shared" si="1"/>
        <v>S.enterica</v>
      </c>
      <c r="B4697" s="5" t="s">
        <v>29251</v>
      </c>
      <c r="C4697" s="6" t="str">
        <f>IFERROR(__xludf.DUMMYFUNCTION("SPLIT('2. c'!B4697, "" "", True, True)"),"Salmonella")</f>
        <v>Salmonella</v>
      </c>
      <c r="D4697" t="str">
        <f>IFERROR(__xludf.DUMMYFUNCTION("""COMPUTED_VALUE"""),"enterica")</f>
        <v>enterica</v>
      </c>
      <c r="E4697" t="str">
        <f>IFERROR(__xludf.DUMMYFUNCTION("""COMPUTED_VALUE"""),"subsp.")</f>
        <v>subsp.</v>
      </c>
      <c r="F4697" t="str">
        <f>IFERROR(__xludf.DUMMYFUNCTION("""COMPUTED_VALUE"""),"enterica")</f>
        <v>enterica</v>
      </c>
      <c r="G4697" t="str">
        <f>IFERROR(__xludf.DUMMYFUNCTION("""COMPUTED_VALUE"""),"serovar")</f>
        <v>serovar</v>
      </c>
      <c r="H4697" t="str">
        <f>IFERROR(__xludf.DUMMYFUNCTION("""COMPUTED_VALUE"""),"Enteritidis")</f>
        <v>Enteritidis</v>
      </c>
      <c r="I4697" t="str">
        <f>IFERROR(__xludf.DUMMYFUNCTION("""COMPUTED_VALUE"""),"str.")</f>
        <v>str.</v>
      </c>
      <c r="J4697" t="str">
        <f>IFERROR(__xludf.DUMMYFUNCTION("""COMPUTED_VALUE"""),"EC20120002")</f>
        <v>EC20120002</v>
      </c>
    </row>
    <row r="4698" ht="15.75" customHeight="1">
      <c r="A4698" t="str">
        <f t="shared" si="1"/>
        <v>S.enterica</v>
      </c>
      <c r="B4698" s="5" t="s">
        <v>29259</v>
      </c>
      <c r="C4698" s="6" t="str">
        <f>IFERROR(__xludf.DUMMYFUNCTION("SPLIT('2. c'!B4698, "" "", True, True)"),"Salmonella")</f>
        <v>Salmonella</v>
      </c>
      <c r="D4698" t="str">
        <f>IFERROR(__xludf.DUMMYFUNCTION("""COMPUTED_VALUE"""),"enterica")</f>
        <v>enterica</v>
      </c>
      <c r="E4698" t="str">
        <f>IFERROR(__xludf.DUMMYFUNCTION("""COMPUTED_VALUE"""),"subsp.")</f>
        <v>subsp.</v>
      </c>
      <c r="F4698" t="str">
        <f>IFERROR(__xludf.DUMMYFUNCTION("""COMPUTED_VALUE"""),"enterica")</f>
        <v>enterica</v>
      </c>
      <c r="G4698" t="str">
        <f>IFERROR(__xludf.DUMMYFUNCTION("""COMPUTED_VALUE"""),"serovar")</f>
        <v>serovar</v>
      </c>
      <c r="H4698" t="str">
        <f>IFERROR(__xludf.DUMMYFUNCTION("""COMPUTED_VALUE"""),"Enteritidis")</f>
        <v>Enteritidis</v>
      </c>
      <c r="I4698" t="str">
        <f>IFERROR(__xludf.DUMMYFUNCTION("""COMPUTED_VALUE"""),"str.")</f>
        <v>str.</v>
      </c>
      <c r="J4698" t="str">
        <f>IFERROR(__xludf.DUMMYFUNCTION("""COMPUTED_VALUE"""),"EC20120003")</f>
        <v>EC20120003</v>
      </c>
    </row>
    <row r="4699" ht="15.75" customHeight="1">
      <c r="A4699" t="str">
        <f t="shared" si="1"/>
        <v>S.enterica</v>
      </c>
      <c r="B4699" s="5" t="s">
        <v>29266</v>
      </c>
      <c r="C4699" s="6" t="str">
        <f>IFERROR(__xludf.DUMMYFUNCTION("SPLIT('2. c'!B4699, "" "", True, True)"),"Salmonella")</f>
        <v>Salmonella</v>
      </c>
      <c r="D4699" t="str">
        <f>IFERROR(__xludf.DUMMYFUNCTION("""COMPUTED_VALUE"""),"enterica")</f>
        <v>enterica</v>
      </c>
      <c r="E4699" t="str">
        <f>IFERROR(__xludf.DUMMYFUNCTION("""COMPUTED_VALUE"""),"subsp.")</f>
        <v>subsp.</v>
      </c>
      <c r="F4699" t="str">
        <f>IFERROR(__xludf.DUMMYFUNCTION("""COMPUTED_VALUE"""),"enterica")</f>
        <v>enterica</v>
      </c>
      <c r="G4699" t="str">
        <f>IFERROR(__xludf.DUMMYFUNCTION("""COMPUTED_VALUE"""),"serovar")</f>
        <v>serovar</v>
      </c>
      <c r="H4699" t="str">
        <f>IFERROR(__xludf.DUMMYFUNCTION("""COMPUTED_VALUE"""),"Enteritidis")</f>
        <v>Enteritidis</v>
      </c>
      <c r="I4699" t="str">
        <f>IFERROR(__xludf.DUMMYFUNCTION("""COMPUTED_VALUE"""),"str.")</f>
        <v>str.</v>
      </c>
      <c r="J4699" t="str">
        <f>IFERROR(__xludf.DUMMYFUNCTION("""COMPUTED_VALUE"""),"EC20120005")</f>
        <v>EC20120005</v>
      </c>
    </row>
    <row r="4700" ht="15.75" customHeight="1">
      <c r="A4700" t="str">
        <f t="shared" si="1"/>
        <v>S.enterica</v>
      </c>
      <c r="B4700" s="5" t="s">
        <v>29274</v>
      </c>
      <c r="C4700" s="6" t="str">
        <f>IFERROR(__xludf.DUMMYFUNCTION("SPLIT('2. c'!B4700, "" "", True, True)"),"Salmonella")</f>
        <v>Salmonella</v>
      </c>
      <c r="D4700" t="str">
        <f>IFERROR(__xludf.DUMMYFUNCTION("""COMPUTED_VALUE"""),"enterica")</f>
        <v>enterica</v>
      </c>
      <c r="E4700" t="str">
        <f>IFERROR(__xludf.DUMMYFUNCTION("""COMPUTED_VALUE"""),"subsp.")</f>
        <v>subsp.</v>
      </c>
      <c r="F4700" t="str">
        <f>IFERROR(__xludf.DUMMYFUNCTION("""COMPUTED_VALUE"""),"enterica")</f>
        <v>enterica</v>
      </c>
      <c r="G4700" t="str">
        <f>IFERROR(__xludf.DUMMYFUNCTION("""COMPUTED_VALUE"""),"serovar")</f>
        <v>serovar</v>
      </c>
      <c r="H4700" t="str">
        <f>IFERROR(__xludf.DUMMYFUNCTION("""COMPUTED_VALUE"""),"Enteritidis")</f>
        <v>Enteritidis</v>
      </c>
      <c r="I4700" t="str">
        <f>IFERROR(__xludf.DUMMYFUNCTION("""COMPUTED_VALUE"""),"str.")</f>
        <v>str.</v>
      </c>
      <c r="J4700" t="str">
        <f>IFERROR(__xludf.DUMMYFUNCTION("""COMPUTED_VALUE"""),"EC20120007")</f>
        <v>EC20120007</v>
      </c>
    </row>
    <row r="4701" ht="15.75" customHeight="1">
      <c r="A4701" t="str">
        <f t="shared" si="1"/>
        <v>S.enterica</v>
      </c>
      <c r="B4701" s="5" t="s">
        <v>29282</v>
      </c>
      <c r="C4701" s="6" t="str">
        <f>IFERROR(__xludf.DUMMYFUNCTION("SPLIT('2. c'!B4701, "" "", True, True)"),"Salmonella")</f>
        <v>Salmonella</v>
      </c>
      <c r="D4701" t="str">
        <f>IFERROR(__xludf.DUMMYFUNCTION("""COMPUTED_VALUE"""),"enterica")</f>
        <v>enterica</v>
      </c>
      <c r="E4701" t="str">
        <f>IFERROR(__xludf.DUMMYFUNCTION("""COMPUTED_VALUE"""),"subsp.")</f>
        <v>subsp.</v>
      </c>
      <c r="F4701" t="str">
        <f>IFERROR(__xludf.DUMMYFUNCTION("""COMPUTED_VALUE"""),"enterica")</f>
        <v>enterica</v>
      </c>
      <c r="G4701" t="str">
        <f>IFERROR(__xludf.DUMMYFUNCTION("""COMPUTED_VALUE"""),"serovar")</f>
        <v>serovar</v>
      </c>
      <c r="H4701" t="str">
        <f>IFERROR(__xludf.DUMMYFUNCTION("""COMPUTED_VALUE"""),"Enteritidis")</f>
        <v>Enteritidis</v>
      </c>
      <c r="I4701" t="str">
        <f>IFERROR(__xludf.DUMMYFUNCTION("""COMPUTED_VALUE"""),"str.")</f>
        <v>str.</v>
      </c>
      <c r="J4701" t="str">
        <f>IFERROR(__xludf.DUMMYFUNCTION("""COMPUTED_VALUE"""),"EC20120008")</f>
        <v>EC20120008</v>
      </c>
    </row>
    <row r="4702" ht="15.75" customHeight="1">
      <c r="A4702" t="str">
        <f t="shared" si="1"/>
        <v>S.enterica</v>
      </c>
      <c r="B4702" s="5" t="s">
        <v>29289</v>
      </c>
      <c r="C4702" s="6" t="str">
        <f>IFERROR(__xludf.DUMMYFUNCTION("SPLIT('2. c'!B4702, "" "", True, True)"),"Salmonella")</f>
        <v>Salmonella</v>
      </c>
      <c r="D4702" t="str">
        <f>IFERROR(__xludf.DUMMYFUNCTION("""COMPUTED_VALUE"""),"enterica")</f>
        <v>enterica</v>
      </c>
      <c r="E4702" t="str">
        <f>IFERROR(__xludf.DUMMYFUNCTION("""COMPUTED_VALUE"""),"subsp.")</f>
        <v>subsp.</v>
      </c>
      <c r="F4702" t="str">
        <f>IFERROR(__xludf.DUMMYFUNCTION("""COMPUTED_VALUE"""),"enterica")</f>
        <v>enterica</v>
      </c>
      <c r="G4702" t="str">
        <f>IFERROR(__xludf.DUMMYFUNCTION("""COMPUTED_VALUE"""),"serovar")</f>
        <v>serovar</v>
      </c>
      <c r="H4702" t="str">
        <f>IFERROR(__xludf.DUMMYFUNCTION("""COMPUTED_VALUE"""),"Enteritidis")</f>
        <v>Enteritidis</v>
      </c>
      <c r="I4702" t="str">
        <f>IFERROR(__xludf.DUMMYFUNCTION("""COMPUTED_VALUE"""),"str.")</f>
        <v>str.</v>
      </c>
      <c r="J4702" t="str">
        <f>IFERROR(__xludf.DUMMYFUNCTION("""COMPUTED_VALUE"""),"EC20120009")</f>
        <v>EC20120009</v>
      </c>
    </row>
    <row r="4703" ht="15.75" customHeight="1">
      <c r="A4703" t="str">
        <f t="shared" si="1"/>
        <v>S.enterica</v>
      </c>
      <c r="B4703" s="5" t="s">
        <v>29299</v>
      </c>
      <c r="C4703" s="6" t="str">
        <f>IFERROR(__xludf.DUMMYFUNCTION("SPLIT('2. c'!B4703, "" "", True, True)"),"Salmonella")</f>
        <v>Salmonella</v>
      </c>
      <c r="D4703" t="str">
        <f>IFERROR(__xludf.DUMMYFUNCTION("""COMPUTED_VALUE"""),"enterica")</f>
        <v>enterica</v>
      </c>
      <c r="E4703" t="str">
        <f>IFERROR(__xludf.DUMMYFUNCTION("""COMPUTED_VALUE"""),"subsp.")</f>
        <v>subsp.</v>
      </c>
      <c r="F4703" t="str">
        <f>IFERROR(__xludf.DUMMYFUNCTION("""COMPUTED_VALUE"""),"enterica")</f>
        <v>enterica</v>
      </c>
      <c r="G4703" t="str">
        <f>IFERROR(__xludf.DUMMYFUNCTION("""COMPUTED_VALUE"""),"serovar")</f>
        <v>serovar</v>
      </c>
      <c r="H4703" t="str">
        <f>IFERROR(__xludf.DUMMYFUNCTION("""COMPUTED_VALUE"""),"Enteritidis")</f>
        <v>Enteritidis</v>
      </c>
      <c r="I4703" t="str">
        <f>IFERROR(__xludf.DUMMYFUNCTION("""COMPUTED_VALUE"""),"str.")</f>
        <v>str.</v>
      </c>
      <c r="J4703" t="str">
        <f>IFERROR(__xludf.DUMMYFUNCTION("""COMPUTED_VALUE"""),"EC20120051")</f>
        <v>EC20120051</v>
      </c>
    </row>
    <row r="4704" ht="15.75" customHeight="1">
      <c r="A4704" t="str">
        <f t="shared" si="1"/>
        <v>S.enterica</v>
      </c>
      <c r="B4704" s="5" t="s">
        <v>29306</v>
      </c>
      <c r="C4704" s="6" t="str">
        <f>IFERROR(__xludf.DUMMYFUNCTION("SPLIT('2. c'!B4704, "" "", True, True)"),"Salmonella")</f>
        <v>Salmonella</v>
      </c>
      <c r="D4704" t="str">
        <f>IFERROR(__xludf.DUMMYFUNCTION("""COMPUTED_VALUE"""),"enterica")</f>
        <v>enterica</v>
      </c>
      <c r="E4704" t="str">
        <f>IFERROR(__xludf.DUMMYFUNCTION("""COMPUTED_VALUE"""),"subsp.")</f>
        <v>subsp.</v>
      </c>
      <c r="F4704" t="str">
        <f>IFERROR(__xludf.DUMMYFUNCTION("""COMPUTED_VALUE"""),"enterica")</f>
        <v>enterica</v>
      </c>
      <c r="G4704" t="str">
        <f>IFERROR(__xludf.DUMMYFUNCTION("""COMPUTED_VALUE"""),"serovar")</f>
        <v>serovar</v>
      </c>
      <c r="H4704" t="str">
        <f>IFERROR(__xludf.DUMMYFUNCTION("""COMPUTED_VALUE"""),"Enteritidis")</f>
        <v>Enteritidis</v>
      </c>
      <c r="I4704" t="str">
        <f>IFERROR(__xludf.DUMMYFUNCTION("""COMPUTED_VALUE"""),"str.")</f>
        <v>str.</v>
      </c>
      <c r="J4704" t="str">
        <f>IFERROR(__xludf.DUMMYFUNCTION("""COMPUTED_VALUE"""),"EC20120200")</f>
        <v>EC20120200</v>
      </c>
    </row>
    <row r="4705" ht="15.75" customHeight="1">
      <c r="A4705" t="str">
        <f t="shared" si="1"/>
        <v>S.enterica</v>
      </c>
      <c r="B4705" s="5" t="s">
        <v>29314</v>
      </c>
      <c r="C4705" s="6" t="str">
        <f>IFERROR(__xludf.DUMMYFUNCTION("SPLIT('2. c'!B4705, "" "", True, True)"),"Salmonella")</f>
        <v>Salmonella</v>
      </c>
      <c r="D4705" t="str">
        <f>IFERROR(__xludf.DUMMYFUNCTION("""COMPUTED_VALUE"""),"enterica")</f>
        <v>enterica</v>
      </c>
      <c r="E4705" t="str">
        <f>IFERROR(__xludf.DUMMYFUNCTION("""COMPUTED_VALUE"""),"subsp.")</f>
        <v>subsp.</v>
      </c>
      <c r="F4705" t="str">
        <f>IFERROR(__xludf.DUMMYFUNCTION("""COMPUTED_VALUE"""),"enterica")</f>
        <v>enterica</v>
      </c>
      <c r="G4705" t="str">
        <f>IFERROR(__xludf.DUMMYFUNCTION("""COMPUTED_VALUE"""),"serovar")</f>
        <v>serovar</v>
      </c>
      <c r="H4705" t="str">
        <f>IFERROR(__xludf.DUMMYFUNCTION("""COMPUTED_VALUE"""),"Enteritidis")</f>
        <v>Enteritidis</v>
      </c>
      <c r="I4705" t="str">
        <f>IFERROR(__xludf.DUMMYFUNCTION("""COMPUTED_VALUE"""),"str.")</f>
        <v>str.</v>
      </c>
      <c r="J4705" t="str">
        <f>IFERROR(__xludf.DUMMYFUNCTION("""COMPUTED_VALUE"""),"EC20120213")</f>
        <v>EC20120213</v>
      </c>
    </row>
    <row r="4706" ht="15.75" customHeight="1">
      <c r="A4706" t="str">
        <f t="shared" si="1"/>
        <v>S.enterica</v>
      </c>
      <c r="B4706" s="5" t="s">
        <v>29321</v>
      </c>
      <c r="C4706" s="6" t="str">
        <f>IFERROR(__xludf.DUMMYFUNCTION("SPLIT('2. c'!B4706, "" "", True, True)"),"Salmonella")</f>
        <v>Salmonella</v>
      </c>
      <c r="D4706" t="str">
        <f>IFERROR(__xludf.DUMMYFUNCTION("""COMPUTED_VALUE"""),"enterica")</f>
        <v>enterica</v>
      </c>
      <c r="E4706" t="str">
        <f>IFERROR(__xludf.DUMMYFUNCTION("""COMPUTED_VALUE"""),"subsp.")</f>
        <v>subsp.</v>
      </c>
      <c r="F4706" t="str">
        <f>IFERROR(__xludf.DUMMYFUNCTION("""COMPUTED_VALUE"""),"enterica")</f>
        <v>enterica</v>
      </c>
      <c r="G4706" t="str">
        <f>IFERROR(__xludf.DUMMYFUNCTION("""COMPUTED_VALUE"""),"serovar")</f>
        <v>serovar</v>
      </c>
      <c r="H4706" t="str">
        <f>IFERROR(__xludf.DUMMYFUNCTION("""COMPUTED_VALUE"""),"Enteritidis")</f>
        <v>Enteritidis</v>
      </c>
      <c r="I4706" t="str">
        <f>IFERROR(__xludf.DUMMYFUNCTION("""COMPUTED_VALUE"""),"str.")</f>
        <v>str.</v>
      </c>
      <c r="J4706" t="str">
        <f>IFERROR(__xludf.DUMMYFUNCTION("""COMPUTED_VALUE"""),"EC20120219")</f>
        <v>EC20120219</v>
      </c>
    </row>
    <row r="4707" ht="15.75" customHeight="1">
      <c r="A4707" t="str">
        <f t="shared" si="1"/>
        <v>S.enterica</v>
      </c>
      <c r="B4707" s="5" t="s">
        <v>29329</v>
      </c>
      <c r="C4707" s="6" t="str">
        <f>IFERROR(__xludf.DUMMYFUNCTION("SPLIT('2. c'!B4707, "" "", True, True)"),"Salmonella")</f>
        <v>Salmonella</v>
      </c>
      <c r="D4707" t="str">
        <f>IFERROR(__xludf.DUMMYFUNCTION("""COMPUTED_VALUE"""),"enterica")</f>
        <v>enterica</v>
      </c>
      <c r="E4707" t="str">
        <f>IFERROR(__xludf.DUMMYFUNCTION("""COMPUTED_VALUE"""),"subsp.")</f>
        <v>subsp.</v>
      </c>
      <c r="F4707" t="str">
        <f>IFERROR(__xludf.DUMMYFUNCTION("""COMPUTED_VALUE"""),"enterica")</f>
        <v>enterica</v>
      </c>
      <c r="G4707" t="str">
        <f>IFERROR(__xludf.DUMMYFUNCTION("""COMPUTED_VALUE"""),"serovar")</f>
        <v>serovar</v>
      </c>
      <c r="H4707" t="str">
        <f>IFERROR(__xludf.DUMMYFUNCTION("""COMPUTED_VALUE"""),"Enteritidis")</f>
        <v>Enteritidis</v>
      </c>
      <c r="I4707" t="str">
        <f>IFERROR(__xludf.DUMMYFUNCTION("""COMPUTED_VALUE"""),"str.")</f>
        <v>str.</v>
      </c>
      <c r="J4707" t="str">
        <f>IFERROR(__xludf.DUMMYFUNCTION("""COMPUTED_VALUE"""),"EC20120229")</f>
        <v>EC20120229</v>
      </c>
    </row>
    <row r="4708" ht="15.75" customHeight="1">
      <c r="A4708" t="str">
        <f t="shared" si="1"/>
        <v>S.enterica</v>
      </c>
      <c r="B4708" s="5" t="s">
        <v>29336</v>
      </c>
      <c r="C4708" s="6" t="str">
        <f>IFERROR(__xludf.DUMMYFUNCTION("SPLIT('2. c'!B4708, "" "", True, True)"),"Salmonella")</f>
        <v>Salmonella</v>
      </c>
      <c r="D4708" t="str">
        <f>IFERROR(__xludf.DUMMYFUNCTION("""COMPUTED_VALUE"""),"enterica")</f>
        <v>enterica</v>
      </c>
      <c r="E4708" t="str">
        <f>IFERROR(__xludf.DUMMYFUNCTION("""COMPUTED_VALUE"""),"subsp.")</f>
        <v>subsp.</v>
      </c>
      <c r="F4708" t="str">
        <f>IFERROR(__xludf.DUMMYFUNCTION("""COMPUTED_VALUE"""),"enterica")</f>
        <v>enterica</v>
      </c>
      <c r="G4708" t="str">
        <f>IFERROR(__xludf.DUMMYFUNCTION("""COMPUTED_VALUE"""),"serovar")</f>
        <v>serovar</v>
      </c>
      <c r="H4708" t="str">
        <f>IFERROR(__xludf.DUMMYFUNCTION("""COMPUTED_VALUE"""),"Enteritidis")</f>
        <v>Enteritidis</v>
      </c>
      <c r="I4708" t="str">
        <f>IFERROR(__xludf.DUMMYFUNCTION("""COMPUTED_VALUE"""),"str.")</f>
        <v>str.</v>
      </c>
      <c r="J4708" t="str">
        <f>IFERROR(__xludf.DUMMYFUNCTION("""COMPUTED_VALUE"""),"EC20120240")</f>
        <v>EC20120240</v>
      </c>
    </row>
    <row r="4709" ht="15.75" customHeight="1">
      <c r="A4709" t="str">
        <f t="shared" si="1"/>
        <v>S.enterica</v>
      </c>
      <c r="B4709" s="5" t="s">
        <v>29343</v>
      </c>
      <c r="C4709" s="6" t="str">
        <f>IFERROR(__xludf.DUMMYFUNCTION("SPLIT('2. c'!B4709, "" "", True, True)"),"Salmonella")</f>
        <v>Salmonella</v>
      </c>
      <c r="D4709" t="str">
        <f>IFERROR(__xludf.DUMMYFUNCTION("""COMPUTED_VALUE"""),"enterica")</f>
        <v>enterica</v>
      </c>
      <c r="E4709" t="str">
        <f>IFERROR(__xludf.DUMMYFUNCTION("""COMPUTED_VALUE"""),"subsp.")</f>
        <v>subsp.</v>
      </c>
      <c r="F4709" t="str">
        <f>IFERROR(__xludf.DUMMYFUNCTION("""COMPUTED_VALUE"""),"enterica")</f>
        <v>enterica</v>
      </c>
      <c r="G4709" t="str">
        <f>IFERROR(__xludf.DUMMYFUNCTION("""COMPUTED_VALUE"""),"serovar")</f>
        <v>serovar</v>
      </c>
      <c r="H4709" t="str">
        <f>IFERROR(__xludf.DUMMYFUNCTION("""COMPUTED_VALUE"""),"Enteritidis")</f>
        <v>Enteritidis</v>
      </c>
      <c r="I4709" t="str">
        <f>IFERROR(__xludf.DUMMYFUNCTION("""COMPUTED_VALUE"""),"str.")</f>
        <v>str.</v>
      </c>
      <c r="J4709" t="str">
        <f>IFERROR(__xludf.DUMMYFUNCTION("""COMPUTED_VALUE"""),"EC20120356")</f>
        <v>EC20120356</v>
      </c>
    </row>
    <row r="4710" ht="15.75" customHeight="1">
      <c r="A4710" t="str">
        <f t="shared" si="1"/>
        <v>S.enterica</v>
      </c>
      <c r="B4710" s="5" t="s">
        <v>29351</v>
      </c>
      <c r="C4710" s="6" t="str">
        <f>IFERROR(__xludf.DUMMYFUNCTION("SPLIT('2. c'!B4710, "" "", True, True)"),"Salmonella")</f>
        <v>Salmonella</v>
      </c>
      <c r="D4710" t="str">
        <f>IFERROR(__xludf.DUMMYFUNCTION("""COMPUTED_VALUE"""),"enterica")</f>
        <v>enterica</v>
      </c>
      <c r="E4710" t="str">
        <f>IFERROR(__xludf.DUMMYFUNCTION("""COMPUTED_VALUE"""),"subsp.")</f>
        <v>subsp.</v>
      </c>
      <c r="F4710" t="str">
        <f>IFERROR(__xludf.DUMMYFUNCTION("""COMPUTED_VALUE"""),"enterica")</f>
        <v>enterica</v>
      </c>
      <c r="G4710" t="str">
        <f>IFERROR(__xludf.DUMMYFUNCTION("""COMPUTED_VALUE"""),"serovar")</f>
        <v>serovar</v>
      </c>
      <c r="H4710" t="str">
        <f>IFERROR(__xludf.DUMMYFUNCTION("""COMPUTED_VALUE"""),"Enteritidis")</f>
        <v>Enteritidis</v>
      </c>
      <c r="I4710" t="str">
        <f>IFERROR(__xludf.DUMMYFUNCTION("""COMPUTED_VALUE"""),"str.")</f>
        <v>str.</v>
      </c>
      <c r="J4710" t="str">
        <f>IFERROR(__xludf.DUMMYFUNCTION("""COMPUTED_VALUE"""),"EC20120469")</f>
        <v>EC20120469</v>
      </c>
    </row>
    <row r="4711" ht="15.75" customHeight="1">
      <c r="A4711" t="str">
        <f t="shared" si="1"/>
        <v>S.enterica</v>
      </c>
      <c r="B4711" s="5" t="s">
        <v>29362</v>
      </c>
      <c r="C4711" s="6" t="str">
        <f>IFERROR(__xludf.DUMMYFUNCTION("SPLIT('2. c'!B4711, "" "", True, True)"),"Salmonella")</f>
        <v>Salmonella</v>
      </c>
      <c r="D4711" t="str">
        <f>IFERROR(__xludf.DUMMYFUNCTION("""COMPUTED_VALUE"""),"enterica")</f>
        <v>enterica</v>
      </c>
      <c r="E4711" t="str">
        <f>IFERROR(__xludf.DUMMYFUNCTION("""COMPUTED_VALUE"""),"subsp.")</f>
        <v>subsp.</v>
      </c>
      <c r="F4711" t="str">
        <f>IFERROR(__xludf.DUMMYFUNCTION("""COMPUTED_VALUE"""),"enterica")</f>
        <v>enterica</v>
      </c>
      <c r="G4711" t="str">
        <f>IFERROR(__xludf.DUMMYFUNCTION("""COMPUTED_VALUE"""),"serovar")</f>
        <v>serovar</v>
      </c>
      <c r="H4711" t="str">
        <f>IFERROR(__xludf.DUMMYFUNCTION("""COMPUTED_VALUE"""),"Enteritidis")</f>
        <v>Enteritidis</v>
      </c>
      <c r="I4711" t="str">
        <f>IFERROR(__xludf.DUMMYFUNCTION("""COMPUTED_VALUE"""),"str.")</f>
        <v>str.</v>
      </c>
      <c r="J4711" t="str">
        <f>IFERROR(__xludf.DUMMYFUNCTION("""COMPUTED_VALUE"""),"EC20120496")</f>
        <v>EC20120496</v>
      </c>
    </row>
    <row r="4712" ht="15.75" customHeight="1">
      <c r="A4712" t="str">
        <f t="shared" si="1"/>
        <v>S.enterica</v>
      </c>
      <c r="B4712" s="5" t="s">
        <v>29369</v>
      </c>
      <c r="C4712" s="6" t="str">
        <f>IFERROR(__xludf.DUMMYFUNCTION("SPLIT('2. c'!B4712, "" "", True, True)"),"Salmonella")</f>
        <v>Salmonella</v>
      </c>
      <c r="D4712" t="str">
        <f>IFERROR(__xludf.DUMMYFUNCTION("""COMPUTED_VALUE"""),"enterica")</f>
        <v>enterica</v>
      </c>
      <c r="E4712" t="str">
        <f>IFERROR(__xludf.DUMMYFUNCTION("""COMPUTED_VALUE"""),"subsp.")</f>
        <v>subsp.</v>
      </c>
      <c r="F4712" t="str">
        <f>IFERROR(__xludf.DUMMYFUNCTION("""COMPUTED_VALUE"""),"enterica")</f>
        <v>enterica</v>
      </c>
      <c r="G4712" t="str">
        <f>IFERROR(__xludf.DUMMYFUNCTION("""COMPUTED_VALUE"""),"serovar")</f>
        <v>serovar</v>
      </c>
      <c r="H4712" t="str">
        <f>IFERROR(__xludf.DUMMYFUNCTION("""COMPUTED_VALUE"""),"Enteritidis")</f>
        <v>Enteritidis</v>
      </c>
      <c r="I4712" t="str">
        <f>IFERROR(__xludf.DUMMYFUNCTION("""COMPUTED_VALUE"""),"str.")</f>
        <v>str.</v>
      </c>
      <c r="J4712" t="str">
        <f>IFERROR(__xludf.DUMMYFUNCTION("""COMPUTED_VALUE"""),"EC20120497")</f>
        <v>EC20120497</v>
      </c>
    </row>
    <row r="4713" ht="15.75" customHeight="1">
      <c r="A4713" t="str">
        <f t="shared" si="1"/>
        <v>S.enterica</v>
      </c>
      <c r="B4713" s="5" t="s">
        <v>29377</v>
      </c>
      <c r="C4713" s="6" t="str">
        <f>IFERROR(__xludf.DUMMYFUNCTION("SPLIT('2. c'!B4713, "" "", True, True)"),"Salmonella")</f>
        <v>Salmonella</v>
      </c>
      <c r="D4713" t="str">
        <f>IFERROR(__xludf.DUMMYFUNCTION("""COMPUTED_VALUE"""),"enterica")</f>
        <v>enterica</v>
      </c>
      <c r="E4713" t="str">
        <f>IFERROR(__xludf.DUMMYFUNCTION("""COMPUTED_VALUE"""),"subsp.")</f>
        <v>subsp.</v>
      </c>
      <c r="F4713" t="str">
        <f>IFERROR(__xludf.DUMMYFUNCTION("""COMPUTED_VALUE"""),"enterica")</f>
        <v>enterica</v>
      </c>
      <c r="G4713" t="str">
        <f>IFERROR(__xludf.DUMMYFUNCTION("""COMPUTED_VALUE"""),"serovar")</f>
        <v>serovar</v>
      </c>
      <c r="H4713" t="str">
        <f>IFERROR(__xludf.DUMMYFUNCTION("""COMPUTED_VALUE"""),"Enteritidis")</f>
        <v>Enteritidis</v>
      </c>
      <c r="I4713" t="str">
        <f>IFERROR(__xludf.DUMMYFUNCTION("""COMPUTED_VALUE"""),"str.")</f>
        <v>str.</v>
      </c>
      <c r="J4713" t="str">
        <f>IFERROR(__xludf.DUMMYFUNCTION("""COMPUTED_VALUE"""),"EC20120498")</f>
        <v>EC20120498</v>
      </c>
    </row>
    <row r="4714" ht="15.75" customHeight="1">
      <c r="A4714" t="str">
        <f t="shared" si="1"/>
        <v>S.enterica</v>
      </c>
      <c r="B4714" s="5" t="s">
        <v>29384</v>
      </c>
      <c r="C4714" s="6" t="str">
        <f>IFERROR(__xludf.DUMMYFUNCTION("SPLIT('2. c'!B4714, "" "", True, True)"),"Salmonella")</f>
        <v>Salmonella</v>
      </c>
      <c r="D4714" t="str">
        <f>IFERROR(__xludf.DUMMYFUNCTION("""COMPUTED_VALUE"""),"enterica")</f>
        <v>enterica</v>
      </c>
      <c r="E4714" t="str">
        <f>IFERROR(__xludf.DUMMYFUNCTION("""COMPUTED_VALUE"""),"subsp.")</f>
        <v>subsp.</v>
      </c>
      <c r="F4714" t="str">
        <f>IFERROR(__xludf.DUMMYFUNCTION("""COMPUTED_VALUE"""),"enterica")</f>
        <v>enterica</v>
      </c>
      <c r="G4714" t="str">
        <f>IFERROR(__xludf.DUMMYFUNCTION("""COMPUTED_VALUE"""),"serovar")</f>
        <v>serovar</v>
      </c>
      <c r="H4714" t="str">
        <f>IFERROR(__xludf.DUMMYFUNCTION("""COMPUTED_VALUE"""),"Enteritidis")</f>
        <v>Enteritidis</v>
      </c>
      <c r="I4714" t="str">
        <f>IFERROR(__xludf.DUMMYFUNCTION("""COMPUTED_VALUE"""),"str.")</f>
        <v>str.</v>
      </c>
      <c r="J4714" t="str">
        <f>IFERROR(__xludf.DUMMYFUNCTION("""COMPUTED_VALUE"""),"EC20120505")</f>
        <v>EC20120505</v>
      </c>
    </row>
    <row r="4715" ht="15.75" customHeight="1">
      <c r="A4715" t="str">
        <f t="shared" si="1"/>
        <v>S.enterica</v>
      </c>
      <c r="B4715" s="5" t="s">
        <v>29394</v>
      </c>
      <c r="C4715" s="6" t="str">
        <f>IFERROR(__xludf.DUMMYFUNCTION("SPLIT('2. c'!B4715, "" "", True, True)"),"Salmonella")</f>
        <v>Salmonella</v>
      </c>
      <c r="D4715" t="str">
        <f>IFERROR(__xludf.DUMMYFUNCTION("""COMPUTED_VALUE"""),"enterica")</f>
        <v>enterica</v>
      </c>
      <c r="E4715" t="str">
        <f>IFERROR(__xludf.DUMMYFUNCTION("""COMPUTED_VALUE"""),"subsp.")</f>
        <v>subsp.</v>
      </c>
      <c r="F4715" t="str">
        <f>IFERROR(__xludf.DUMMYFUNCTION("""COMPUTED_VALUE"""),"enterica")</f>
        <v>enterica</v>
      </c>
      <c r="G4715" t="str">
        <f>IFERROR(__xludf.DUMMYFUNCTION("""COMPUTED_VALUE"""),"serovar")</f>
        <v>serovar</v>
      </c>
      <c r="H4715" t="str">
        <f>IFERROR(__xludf.DUMMYFUNCTION("""COMPUTED_VALUE"""),"Enteritidis")</f>
        <v>Enteritidis</v>
      </c>
      <c r="I4715" t="str">
        <f>IFERROR(__xludf.DUMMYFUNCTION("""COMPUTED_VALUE"""),"str.")</f>
        <v>str.</v>
      </c>
      <c r="J4715" t="str">
        <f>IFERROR(__xludf.DUMMYFUNCTION("""COMPUTED_VALUE"""),"EC20120528")</f>
        <v>EC20120528</v>
      </c>
    </row>
    <row r="4716" ht="15.75" customHeight="1">
      <c r="A4716" t="str">
        <f t="shared" si="1"/>
        <v>S.enterica</v>
      </c>
      <c r="B4716" s="5" t="s">
        <v>29399</v>
      </c>
      <c r="C4716" s="6" t="str">
        <f>IFERROR(__xludf.DUMMYFUNCTION("SPLIT('2. c'!B4716, "" "", True, True)"),"Salmonella")</f>
        <v>Salmonella</v>
      </c>
      <c r="D4716" t="str">
        <f>IFERROR(__xludf.DUMMYFUNCTION("""COMPUTED_VALUE"""),"enterica")</f>
        <v>enterica</v>
      </c>
      <c r="E4716" t="str">
        <f>IFERROR(__xludf.DUMMYFUNCTION("""COMPUTED_VALUE"""),"subsp.")</f>
        <v>subsp.</v>
      </c>
      <c r="F4716" t="str">
        <f>IFERROR(__xludf.DUMMYFUNCTION("""COMPUTED_VALUE"""),"enterica")</f>
        <v>enterica</v>
      </c>
      <c r="G4716" t="str">
        <f>IFERROR(__xludf.DUMMYFUNCTION("""COMPUTED_VALUE"""),"serovar")</f>
        <v>serovar</v>
      </c>
      <c r="H4716" t="str">
        <f>IFERROR(__xludf.DUMMYFUNCTION("""COMPUTED_VALUE"""),"Enteritidis")</f>
        <v>Enteritidis</v>
      </c>
      <c r="I4716" t="str">
        <f>IFERROR(__xludf.DUMMYFUNCTION("""COMPUTED_VALUE"""),"str.")</f>
        <v>str.</v>
      </c>
      <c r="J4716" t="str">
        <f>IFERROR(__xludf.DUMMYFUNCTION("""COMPUTED_VALUE"""),"EC20120544")</f>
        <v>EC20120544</v>
      </c>
    </row>
    <row r="4717" ht="15.75" customHeight="1">
      <c r="A4717" t="str">
        <f t="shared" si="1"/>
        <v>S.enterica</v>
      </c>
      <c r="B4717" s="5" t="s">
        <v>29407</v>
      </c>
      <c r="C4717" s="6" t="str">
        <f>IFERROR(__xludf.DUMMYFUNCTION("SPLIT('2. c'!B4717, "" "", True, True)"),"Salmonella")</f>
        <v>Salmonella</v>
      </c>
      <c r="D4717" t="str">
        <f>IFERROR(__xludf.DUMMYFUNCTION("""COMPUTED_VALUE"""),"enterica")</f>
        <v>enterica</v>
      </c>
      <c r="E4717" t="str">
        <f>IFERROR(__xludf.DUMMYFUNCTION("""COMPUTED_VALUE"""),"subsp.")</f>
        <v>subsp.</v>
      </c>
      <c r="F4717" t="str">
        <f>IFERROR(__xludf.DUMMYFUNCTION("""COMPUTED_VALUE"""),"enterica")</f>
        <v>enterica</v>
      </c>
      <c r="G4717" t="str">
        <f>IFERROR(__xludf.DUMMYFUNCTION("""COMPUTED_VALUE"""),"serovar")</f>
        <v>serovar</v>
      </c>
      <c r="H4717" t="str">
        <f>IFERROR(__xludf.DUMMYFUNCTION("""COMPUTED_VALUE"""),"Enteritidis")</f>
        <v>Enteritidis</v>
      </c>
      <c r="I4717" t="str">
        <f>IFERROR(__xludf.DUMMYFUNCTION("""COMPUTED_VALUE"""),"str.")</f>
        <v>str.</v>
      </c>
      <c r="J4717" t="str">
        <f>IFERROR(__xludf.DUMMYFUNCTION("""COMPUTED_VALUE"""),"EC20120548")</f>
        <v>EC20120548</v>
      </c>
    </row>
    <row r="4718" ht="15.75" customHeight="1">
      <c r="A4718" t="str">
        <f t="shared" si="1"/>
        <v>S.enterica</v>
      </c>
      <c r="B4718" s="5" t="s">
        <v>29419</v>
      </c>
      <c r="C4718" s="6" t="str">
        <f>IFERROR(__xludf.DUMMYFUNCTION("SPLIT('2. c'!B4718, "" "", True, True)"),"Salmonella")</f>
        <v>Salmonella</v>
      </c>
      <c r="D4718" t="str">
        <f>IFERROR(__xludf.DUMMYFUNCTION("""COMPUTED_VALUE"""),"enterica")</f>
        <v>enterica</v>
      </c>
      <c r="E4718" t="str">
        <f>IFERROR(__xludf.DUMMYFUNCTION("""COMPUTED_VALUE"""),"subsp.")</f>
        <v>subsp.</v>
      </c>
      <c r="F4718" t="str">
        <f>IFERROR(__xludf.DUMMYFUNCTION("""COMPUTED_VALUE"""),"enterica")</f>
        <v>enterica</v>
      </c>
      <c r="G4718" t="str">
        <f>IFERROR(__xludf.DUMMYFUNCTION("""COMPUTED_VALUE"""),"serovar")</f>
        <v>serovar</v>
      </c>
      <c r="H4718" t="str">
        <f>IFERROR(__xludf.DUMMYFUNCTION("""COMPUTED_VALUE"""),"Enteritidis")</f>
        <v>Enteritidis</v>
      </c>
      <c r="I4718" t="str">
        <f>IFERROR(__xludf.DUMMYFUNCTION("""COMPUTED_VALUE"""),"str.")</f>
        <v>str.</v>
      </c>
      <c r="J4718" t="str">
        <f>IFERROR(__xludf.DUMMYFUNCTION("""COMPUTED_VALUE"""),"EC20120555")</f>
        <v>EC20120555</v>
      </c>
    </row>
    <row r="4719" ht="15.75" customHeight="1">
      <c r="A4719" t="str">
        <f t="shared" si="1"/>
        <v>S.enterica</v>
      </c>
      <c r="B4719" s="5" t="s">
        <v>29425</v>
      </c>
      <c r="C4719" s="6" t="str">
        <f>IFERROR(__xludf.DUMMYFUNCTION("SPLIT('2. c'!B4719, "" "", True, True)"),"Salmonella")</f>
        <v>Salmonella</v>
      </c>
      <c r="D4719" t="str">
        <f>IFERROR(__xludf.DUMMYFUNCTION("""COMPUTED_VALUE"""),"enterica")</f>
        <v>enterica</v>
      </c>
      <c r="E4719" t="str">
        <f>IFERROR(__xludf.DUMMYFUNCTION("""COMPUTED_VALUE"""),"subsp.")</f>
        <v>subsp.</v>
      </c>
      <c r="F4719" t="str">
        <f>IFERROR(__xludf.DUMMYFUNCTION("""COMPUTED_VALUE"""),"enterica")</f>
        <v>enterica</v>
      </c>
      <c r="G4719" t="str">
        <f>IFERROR(__xludf.DUMMYFUNCTION("""COMPUTED_VALUE"""),"serovar")</f>
        <v>serovar</v>
      </c>
      <c r="H4719" t="str">
        <f>IFERROR(__xludf.DUMMYFUNCTION("""COMPUTED_VALUE"""),"Enteritidis")</f>
        <v>Enteritidis</v>
      </c>
      <c r="I4719" t="str">
        <f>IFERROR(__xludf.DUMMYFUNCTION("""COMPUTED_VALUE"""),"str.")</f>
        <v>str.</v>
      </c>
      <c r="J4719" t="str">
        <f>IFERROR(__xludf.DUMMYFUNCTION("""COMPUTED_VALUE"""),"EC20120580")</f>
        <v>EC20120580</v>
      </c>
    </row>
    <row r="4720" ht="15.75" customHeight="1">
      <c r="A4720" t="str">
        <f t="shared" si="1"/>
        <v>S.enterica</v>
      </c>
      <c r="B4720" s="5" t="s">
        <v>29432</v>
      </c>
      <c r="C4720" s="6" t="str">
        <f>IFERROR(__xludf.DUMMYFUNCTION("SPLIT('2. c'!B4720, "" "", True, True)"),"Salmonella")</f>
        <v>Salmonella</v>
      </c>
      <c r="D4720" t="str">
        <f>IFERROR(__xludf.DUMMYFUNCTION("""COMPUTED_VALUE"""),"enterica")</f>
        <v>enterica</v>
      </c>
      <c r="E4720" t="str">
        <f>IFERROR(__xludf.DUMMYFUNCTION("""COMPUTED_VALUE"""),"subsp.")</f>
        <v>subsp.</v>
      </c>
      <c r="F4720" t="str">
        <f>IFERROR(__xludf.DUMMYFUNCTION("""COMPUTED_VALUE"""),"enterica")</f>
        <v>enterica</v>
      </c>
      <c r="G4720" t="str">
        <f>IFERROR(__xludf.DUMMYFUNCTION("""COMPUTED_VALUE"""),"serovar")</f>
        <v>serovar</v>
      </c>
      <c r="H4720" t="str">
        <f>IFERROR(__xludf.DUMMYFUNCTION("""COMPUTED_VALUE"""),"Enteritidis")</f>
        <v>Enteritidis</v>
      </c>
      <c r="I4720" t="str">
        <f>IFERROR(__xludf.DUMMYFUNCTION("""COMPUTED_VALUE"""),"str.")</f>
        <v>str.</v>
      </c>
      <c r="J4720" t="str">
        <f>IFERROR(__xludf.DUMMYFUNCTION("""COMPUTED_VALUE"""),"EC20120581")</f>
        <v>EC20120581</v>
      </c>
    </row>
    <row r="4721" ht="15.75" customHeight="1">
      <c r="A4721" t="str">
        <f t="shared" si="1"/>
        <v>S.enterica</v>
      </c>
      <c r="B4721" s="5" t="s">
        <v>29440</v>
      </c>
      <c r="C4721" s="6" t="str">
        <f>IFERROR(__xludf.DUMMYFUNCTION("SPLIT('2. c'!B4721, "" "", True, True)"),"Salmonella")</f>
        <v>Salmonella</v>
      </c>
      <c r="D4721" t="str">
        <f>IFERROR(__xludf.DUMMYFUNCTION("""COMPUTED_VALUE"""),"enterica")</f>
        <v>enterica</v>
      </c>
      <c r="E4721" t="str">
        <f>IFERROR(__xludf.DUMMYFUNCTION("""COMPUTED_VALUE"""),"subsp.")</f>
        <v>subsp.</v>
      </c>
      <c r="F4721" t="str">
        <f>IFERROR(__xludf.DUMMYFUNCTION("""COMPUTED_VALUE"""),"enterica")</f>
        <v>enterica</v>
      </c>
      <c r="G4721" t="str">
        <f>IFERROR(__xludf.DUMMYFUNCTION("""COMPUTED_VALUE"""),"serovar")</f>
        <v>serovar</v>
      </c>
      <c r="H4721" t="str">
        <f>IFERROR(__xludf.DUMMYFUNCTION("""COMPUTED_VALUE"""),"Enteritidis")</f>
        <v>Enteritidis</v>
      </c>
      <c r="I4721" t="str">
        <f>IFERROR(__xludf.DUMMYFUNCTION("""COMPUTED_VALUE"""),"str.")</f>
        <v>str.</v>
      </c>
      <c r="J4721" t="str">
        <f>IFERROR(__xludf.DUMMYFUNCTION("""COMPUTED_VALUE"""),"EC20120590")</f>
        <v>EC20120590</v>
      </c>
    </row>
    <row r="4722" ht="15.75" customHeight="1">
      <c r="A4722" t="str">
        <f t="shared" si="1"/>
        <v>S.enterica</v>
      </c>
      <c r="B4722" s="5" t="s">
        <v>29448</v>
      </c>
      <c r="C4722" s="6" t="str">
        <f>IFERROR(__xludf.DUMMYFUNCTION("SPLIT('2. c'!B4722, "" "", True, True)"),"Salmonella")</f>
        <v>Salmonella</v>
      </c>
      <c r="D4722" t="str">
        <f>IFERROR(__xludf.DUMMYFUNCTION("""COMPUTED_VALUE"""),"enterica")</f>
        <v>enterica</v>
      </c>
      <c r="E4722" t="str">
        <f>IFERROR(__xludf.DUMMYFUNCTION("""COMPUTED_VALUE"""),"subsp.")</f>
        <v>subsp.</v>
      </c>
      <c r="F4722" t="str">
        <f>IFERROR(__xludf.DUMMYFUNCTION("""COMPUTED_VALUE"""),"enterica")</f>
        <v>enterica</v>
      </c>
      <c r="G4722" t="str">
        <f>IFERROR(__xludf.DUMMYFUNCTION("""COMPUTED_VALUE"""),"serovar")</f>
        <v>serovar</v>
      </c>
      <c r="H4722" t="str">
        <f>IFERROR(__xludf.DUMMYFUNCTION("""COMPUTED_VALUE"""),"Enteritidis")</f>
        <v>Enteritidis</v>
      </c>
      <c r="I4722" t="str">
        <f>IFERROR(__xludf.DUMMYFUNCTION("""COMPUTED_VALUE"""),"str.")</f>
        <v>str.</v>
      </c>
      <c r="J4722" t="str">
        <f>IFERROR(__xludf.DUMMYFUNCTION("""COMPUTED_VALUE"""),"EC20120597")</f>
        <v>EC20120597</v>
      </c>
    </row>
    <row r="4723" ht="15.75" customHeight="1">
      <c r="A4723" t="str">
        <f t="shared" si="1"/>
        <v>S.enterica</v>
      </c>
      <c r="B4723" s="5" t="s">
        <v>29455</v>
      </c>
      <c r="C4723" s="6" t="str">
        <f>IFERROR(__xludf.DUMMYFUNCTION("SPLIT('2. c'!B4723, "" "", True, True)"),"Salmonella")</f>
        <v>Salmonella</v>
      </c>
      <c r="D4723" t="str">
        <f>IFERROR(__xludf.DUMMYFUNCTION("""COMPUTED_VALUE"""),"enterica")</f>
        <v>enterica</v>
      </c>
      <c r="E4723" t="str">
        <f>IFERROR(__xludf.DUMMYFUNCTION("""COMPUTED_VALUE"""),"subsp.")</f>
        <v>subsp.</v>
      </c>
      <c r="F4723" t="str">
        <f>IFERROR(__xludf.DUMMYFUNCTION("""COMPUTED_VALUE"""),"enterica")</f>
        <v>enterica</v>
      </c>
      <c r="G4723" t="str">
        <f>IFERROR(__xludf.DUMMYFUNCTION("""COMPUTED_VALUE"""),"serovar")</f>
        <v>serovar</v>
      </c>
      <c r="H4723" t="str">
        <f>IFERROR(__xludf.DUMMYFUNCTION("""COMPUTED_VALUE"""),"Enteritidis")</f>
        <v>Enteritidis</v>
      </c>
      <c r="I4723" t="str">
        <f>IFERROR(__xludf.DUMMYFUNCTION("""COMPUTED_VALUE"""),"str.")</f>
        <v>str.</v>
      </c>
      <c r="J4723" t="str">
        <f>IFERROR(__xludf.DUMMYFUNCTION("""COMPUTED_VALUE"""),"EC20120677")</f>
        <v>EC20120677</v>
      </c>
    </row>
    <row r="4724" ht="15.75" customHeight="1">
      <c r="A4724" t="str">
        <f t="shared" si="1"/>
        <v>S.enterica</v>
      </c>
      <c r="B4724" s="5" t="s">
        <v>29462</v>
      </c>
      <c r="C4724" s="6" t="str">
        <f>IFERROR(__xludf.DUMMYFUNCTION("SPLIT('2. c'!B4724, "" "", True, True)"),"Salmonella")</f>
        <v>Salmonella</v>
      </c>
      <c r="D4724" t="str">
        <f>IFERROR(__xludf.DUMMYFUNCTION("""COMPUTED_VALUE"""),"enterica")</f>
        <v>enterica</v>
      </c>
      <c r="E4724" t="str">
        <f>IFERROR(__xludf.DUMMYFUNCTION("""COMPUTED_VALUE"""),"subsp.")</f>
        <v>subsp.</v>
      </c>
      <c r="F4724" t="str">
        <f>IFERROR(__xludf.DUMMYFUNCTION("""COMPUTED_VALUE"""),"enterica")</f>
        <v>enterica</v>
      </c>
      <c r="G4724" t="str">
        <f>IFERROR(__xludf.DUMMYFUNCTION("""COMPUTED_VALUE"""),"serovar")</f>
        <v>serovar</v>
      </c>
      <c r="H4724" t="str">
        <f>IFERROR(__xludf.DUMMYFUNCTION("""COMPUTED_VALUE"""),"Enteritidis")</f>
        <v>Enteritidis</v>
      </c>
      <c r="I4724" t="str">
        <f>IFERROR(__xludf.DUMMYFUNCTION("""COMPUTED_VALUE"""),"str.")</f>
        <v>str.</v>
      </c>
      <c r="J4724" t="str">
        <f>IFERROR(__xludf.DUMMYFUNCTION("""COMPUTED_VALUE"""),"EC20120685")</f>
        <v>EC20120685</v>
      </c>
    </row>
    <row r="4725" ht="15.75" customHeight="1">
      <c r="A4725" t="str">
        <f t="shared" si="1"/>
        <v>S.enterica</v>
      </c>
      <c r="B4725" s="5" t="s">
        <v>29470</v>
      </c>
      <c r="C4725" s="6" t="str">
        <f>IFERROR(__xludf.DUMMYFUNCTION("SPLIT('2. c'!B4725, "" "", True, True)"),"Salmonella")</f>
        <v>Salmonella</v>
      </c>
      <c r="D4725" t="str">
        <f>IFERROR(__xludf.DUMMYFUNCTION("""COMPUTED_VALUE"""),"enterica")</f>
        <v>enterica</v>
      </c>
      <c r="E4725" t="str">
        <f>IFERROR(__xludf.DUMMYFUNCTION("""COMPUTED_VALUE"""),"subsp.")</f>
        <v>subsp.</v>
      </c>
      <c r="F4725" t="str">
        <f>IFERROR(__xludf.DUMMYFUNCTION("""COMPUTED_VALUE"""),"enterica")</f>
        <v>enterica</v>
      </c>
      <c r="G4725" t="str">
        <f>IFERROR(__xludf.DUMMYFUNCTION("""COMPUTED_VALUE"""),"serovar")</f>
        <v>serovar</v>
      </c>
      <c r="H4725" t="str">
        <f>IFERROR(__xludf.DUMMYFUNCTION("""COMPUTED_VALUE"""),"Enteritidis")</f>
        <v>Enteritidis</v>
      </c>
      <c r="I4725" t="str">
        <f>IFERROR(__xludf.DUMMYFUNCTION("""COMPUTED_VALUE"""),"str.")</f>
        <v>str.</v>
      </c>
      <c r="J4725" t="str">
        <f>IFERROR(__xludf.DUMMYFUNCTION("""COMPUTED_VALUE"""),"EC20120686")</f>
        <v>EC20120686</v>
      </c>
    </row>
    <row r="4726" ht="15.75" customHeight="1">
      <c r="A4726" t="str">
        <f t="shared" si="1"/>
        <v>S.enterica</v>
      </c>
      <c r="B4726" s="5" t="s">
        <v>29478</v>
      </c>
      <c r="C4726" s="6" t="str">
        <f>IFERROR(__xludf.DUMMYFUNCTION("SPLIT('2. c'!B4726, "" "", True, True)"),"Salmonella")</f>
        <v>Salmonella</v>
      </c>
      <c r="D4726" t="str">
        <f>IFERROR(__xludf.DUMMYFUNCTION("""COMPUTED_VALUE"""),"enterica")</f>
        <v>enterica</v>
      </c>
      <c r="E4726" t="str">
        <f>IFERROR(__xludf.DUMMYFUNCTION("""COMPUTED_VALUE"""),"subsp.")</f>
        <v>subsp.</v>
      </c>
      <c r="F4726" t="str">
        <f>IFERROR(__xludf.DUMMYFUNCTION("""COMPUTED_VALUE"""),"enterica")</f>
        <v>enterica</v>
      </c>
      <c r="G4726" t="str">
        <f>IFERROR(__xludf.DUMMYFUNCTION("""COMPUTED_VALUE"""),"serovar")</f>
        <v>serovar</v>
      </c>
      <c r="H4726" t="str">
        <f>IFERROR(__xludf.DUMMYFUNCTION("""COMPUTED_VALUE"""),"Enteritidis")</f>
        <v>Enteritidis</v>
      </c>
      <c r="I4726" t="str">
        <f>IFERROR(__xludf.DUMMYFUNCTION("""COMPUTED_VALUE"""),"str.")</f>
        <v>str.</v>
      </c>
      <c r="J4726" t="str">
        <f>IFERROR(__xludf.DUMMYFUNCTION("""COMPUTED_VALUE"""),"EC20120687")</f>
        <v>EC20120687</v>
      </c>
    </row>
    <row r="4727" ht="15.75" customHeight="1">
      <c r="A4727" t="str">
        <f t="shared" si="1"/>
        <v>S.enterica</v>
      </c>
      <c r="B4727" s="5" t="s">
        <v>29484</v>
      </c>
      <c r="C4727" s="6" t="str">
        <f>IFERROR(__xludf.DUMMYFUNCTION("SPLIT('2. c'!B4727, "" "", True, True)"),"Salmonella")</f>
        <v>Salmonella</v>
      </c>
      <c r="D4727" t="str">
        <f>IFERROR(__xludf.DUMMYFUNCTION("""COMPUTED_VALUE"""),"enterica")</f>
        <v>enterica</v>
      </c>
      <c r="E4727" t="str">
        <f>IFERROR(__xludf.DUMMYFUNCTION("""COMPUTED_VALUE"""),"subsp.")</f>
        <v>subsp.</v>
      </c>
      <c r="F4727" t="str">
        <f>IFERROR(__xludf.DUMMYFUNCTION("""COMPUTED_VALUE"""),"enterica")</f>
        <v>enterica</v>
      </c>
      <c r="G4727" t="str">
        <f>IFERROR(__xludf.DUMMYFUNCTION("""COMPUTED_VALUE"""),"serovar")</f>
        <v>serovar</v>
      </c>
      <c r="H4727" t="str">
        <f>IFERROR(__xludf.DUMMYFUNCTION("""COMPUTED_VALUE"""),"Enteritidis")</f>
        <v>Enteritidis</v>
      </c>
      <c r="I4727" t="str">
        <f>IFERROR(__xludf.DUMMYFUNCTION("""COMPUTED_VALUE"""),"str.")</f>
        <v>str.</v>
      </c>
      <c r="J4727" t="str">
        <f>IFERROR(__xludf.DUMMYFUNCTION("""COMPUTED_VALUE"""),"EC20120697")</f>
        <v>EC20120697</v>
      </c>
    </row>
    <row r="4728" ht="15.75" customHeight="1">
      <c r="A4728" t="str">
        <f t="shared" si="1"/>
        <v>S.enterica</v>
      </c>
      <c r="B4728" s="5" t="s">
        <v>29490</v>
      </c>
      <c r="C4728" s="6" t="str">
        <f>IFERROR(__xludf.DUMMYFUNCTION("SPLIT('2. c'!B4728, "" "", True, True)"),"Salmonella")</f>
        <v>Salmonella</v>
      </c>
      <c r="D4728" t="str">
        <f>IFERROR(__xludf.DUMMYFUNCTION("""COMPUTED_VALUE"""),"enterica")</f>
        <v>enterica</v>
      </c>
      <c r="E4728" t="str">
        <f>IFERROR(__xludf.DUMMYFUNCTION("""COMPUTED_VALUE"""),"subsp.")</f>
        <v>subsp.</v>
      </c>
      <c r="F4728" t="str">
        <f>IFERROR(__xludf.DUMMYFUNCTION("""COMPUTED_VALUE"""),"enterica")</f>
        <v>enterica</v>
      </c>
      <c r="G4728" t="str">
        <f>IFERROR(__xludf.DUMMYFUNCTION("""COMPUTED_VALUE"""),"serovar")</f>
        <v>serovar</v>
      </c>
      <c r="H4728" t="str">
        <f>IFERROR(__xludf.DUMMYFUNCTION("""COMPUTED_VALUE"""),"Enteritidis")</f>
        <v>Enteritidis</v>
      </c>
      <c r="I4728" t="str">
        <f>IFERROR(__xludf.DUMMYFUNCTION("""COMPUTED_VALUE"""),"str.")</f>
        <v>str.</v>
      </c>
      <c r="J4728" t="str">
        <f>IFERROR(__xludf.DUMMYFUNCTION("""COMPUTED_VALUE"""),"EC20120722")</f>
        <v>EC20120722</v>
      </c>
    </row>
    <row r="4729" ht="15.75" customHeight="1">
      <c r="A4729" t="str">
        <f t="shared" si="1"/>
        <v>S.enterica</v>
      </c>
      <c r="B4729" s="5" t="s">
        <v>29497</v>
      </c>
      <c r="C4729" s="6" t="str">
        <f>IFERROR(__xludf.DUMMYFUNCTION("SPLIT('2. c'!B4729, "" "", True, True)"),"Salmonella")</f>
        <v>Salmonella</v>
      </c>
      <c r="D4729" t="str">
        <f>IFERROR(__xludf.DUMMYFUNCTION("""COMPUTED_VALUE"""),"enterica")</f>
        <v>enterica</v>
      </c>
      <c r="E4729" t="str">
        <f>IFERROR(__xludf.DUMMYFUNCTION("""COMPUTED_VALUE"""),"subsp.")</f>
        <v>subsp.</v>
      </c>
      <c r="F4729" t="str">
        <f>IFERROR(__xludf.DUMMYFUNCTION("""COMPUTED_VALUE"""),"enterica")</f>
        <v>enterica</v>
      </c>
      <c r="G4729" t="str">
        <f>IFERROR(__xludf.DUMMYFUNCTION("""COMPUTED_VALUE"""),"serovar")</f>
        <v>serovar</v>
      </c>
      <c r="H4729" t="str">
        <f>IFERROR(__xludf.DUMMYFUNCTION("""COMPUTED_VALUE"""),"Enteritidis")</f>
        <v>Enteritidis</v>
      </c>
      <c r="I4729" t="str">
        <f>IFERROR(__xludf.DUMMYFUNCTION("""COMPUTED_VALUE"""),"str.")</f>
        <v>str.</v>
      </c>
      <c r="J4729" t="str">
        <f>IFERROR(__xludf.DUMMYFUNCTION("""COMPUTED_VALUE"""),"EC20120734")</f>
        <v>EC20120734</v>
      </c>
    </row>
    <row r="4730" ht="15.75" customHeight="1">
      <c r="A4730" t="str">
        <f t="shared" si="1"/>
        <v>S.enterica</v>
      </c>
      <c r="B4730" s="5" t="s">
        <v>29504</v>
      </c>
      <c r="C4730" s="6" t="str">
        <f>IFERROR(__xludf.DUMMYFUNCTION("SPLIT('2. c'!B4730, "" "", True, True)"),"Salmonella")</f>
        <v>Salmonella</v>
      </c>
      <c r="D4730" t="str">
        <f>IFERROR(__xludf.DUMMYFUNCTION("""COMPUTED_VALUE"""),"enterica")</f>
        <v>enterica</v>
      </c>
      <c r="E4730" t="str">
        <f>IFERROR(__xludf.DUMMYFUNCTION("""COMPUTED_VALUE"""),"subsp.")</f>
        <v>subsp.</v>
      </c>
      <c r="F4730" t="str">
        <f>IFERROR(__xludf.DUMMYFUNCTION("""COMPUTED_VALUE"""),"enterica")</f>
        <v>enterica</v>
      </c>
      <c r="G4730" t="str">
        <f>IFERROR(__xludf.DUMMYFUNCTION("""COMPUTED_VALUE"""),"serovar")</f>
        <v>serovar</v>
      </c>
      <c r="H4730" t="str">
        <f>IFERROR(__xludf.DUMMYFUNCTION("""COMPUTED_VALUE"""),"Enteritidis")</f>
        <v>Enteritidis</v>
      </c>
      <c r="I4730" t="str">
        <f>IFERROR(__xludf.DUMMYFUNCTION("""COMPUTED_VALUE"""),"str.")</f>
        <v>str.</v>
      </c>
      <c r="J4730" t="str">
        <f>IFERROR(__xludf.DUMMYFUNCTION("""COMPUTED_VALUE"""),"EC20120738")</f>
        <v>EC20120738</v>
      </c>
    </row>
    <row r="4731" ht="15.75" customHeight="1">
      <c r="A4731" t="str">
        <f t="shared" si="1"/>
        <v>S.enterica</v>
      </c>
      <c r="B4731" s="5" t="s">
        <v>29511</v>
      </c>
      <c r="C4731" s="6" t="str">
        <f>IFERROR(__xludf.DUMMYFUNCTION("SPLIT('2. c'!B4731, "" "", True, True)"),"Salmonella")</f>
        <v>Salmonella</v>
      </c>
      <c r="D4731" t="str">
        <f>IFERROR(__xludf.DUMMYFUNCTION("""COMPUTED_VALUE"""),"enterica")</f>
        <v>enterica</v>
      </c>
      <c r="E4731" t="str">
        <f>IFERROR(__xludf.DUMMYFUNCTION("""COMPUTED_VALUE"""),"subsp.")</f>
        <v>subsp.</v>
      </c>
      <c r="F4731" t="str">
        <f>IFERROR(__xludf.DUMMYFUNCTION("""COMPUTED_VALUE"""),"enterica")</f>
        <v>enterica</v>
      </c>
      <c r="G4731" t="str">
        <f>IFERROR(__xludf.DUMMYFUNCTION("""COMPUTED_VALUE"""),"serovar")</f>
        <v>serovar</v>
      </c>
      <c r="H4731" t="str">
        <f>IFERROR(__xludf.DUMMYFUNCTION("""COMPUTED_VALUE"""),"Enteritidis")</f>
        <v>Enteritidis</v>
      </c>
      <c r="I4731" t="str">
        <f>IFERROR(__xludf.DUMMYFUNCTION("""COMPUTED_VALUE"""),"str.")</f>
        <v>str.</v>
      </c>
      <c r="J4731" t="str">
        <f>IFERROR(__xludf.DUMMYFUNCTION("""COMPUTED_VALUE"""),"EC20120765")</f>
        <v>EC20120765</v>
      </c>
    </row>
    <row r="4732" ht="15.75" customHeight="1">
      <c r="A4732" t="str">
        <f t="shared" si="1"/>
        <v>S.enterica</v>
      </c>
      <c r="B4732" s="5" t="s">
        <v>29518</v>
      </c>
      <c r="C4732" s="6" t="str">
        <f>IFERROR(__xludf.DUMMYFUNCTION("SPLIT('2. c'!B4732, "" "", True, True)"),"Salmonella")</f>
        <v>Salmonella</v>
      </c>
      <c r="D4732" t="str">
        <f>IFERROR(__xludf.DUMMYFUNCTION("""COMPUTED_VALUE"""),"enterica")</f>
        <v>enterica</v>
      </c>
      <c r="E4732" t="str">
        <f>IFERROR(__xludf.DUMMYFUNCTION("""COMPUTED_VALUE"""),"subsp.")</f>
        <v>subsp.</v>
      </c>
      <c r="F4732" t="str">
        <f>IFERROR(__xludf.DUMMYFUNCTION("""COMPUTED_VALUE"""),"enterica")</f>
        <v>enterica</v>
      </c>
      <c r="G4732" t="str">
        <f>IFERROR(__xludf.DUMMYFUNCTION("""COMPUTED_VALUE"""),"serovar")</f>
        <v>serovar</v>
      </c>
      <c r="H4732" t="str">
        <f>IFERROR(__xludf.DUMMYFUNCTION("""COMPUTED_VALUE"""),"Enteritidis")</f>
        <v>Enteritidis</v>
      </c>
      <c r="I4732" t="str">
        <f>IFERROR(__xludf.DUMMYFUNCTION("""COMPUTED_VALUE"""),"str.")</f>
        <v>str.</v>
      </c>
      <c r="J4732" t="str">
        <f>IFERROR(__xludf.DUMMYFUNCTION("""COMPUTED_VALUE"""),"EC20120773")</f>
        <v>EC20120773</v>
      </c>
    </row>
    <row r="4733" ht="15.75" customHeight="1">
      <c r="A4733" t="str">
        <f t="shared" si="1"/>
        <v>S.enterica</v>
      </c>
      <c r="B4733" s="5" t="s">
        <v>29526</v>
      </c>
      <c r="C4733" s="6" t="str">
        <f>IFERROR(__xludf.DUMMYFUNCTION("SPLIT('2. c'!B4733, "" "", True, True)"),"Salmonella")</f>
        <v>Salmonella</v>
      </c>
      <c r="D4733" t="str">
        <f>IFERROR(__xludf.DUMMYFUNCTION("""COMPUTED_VALUE"""),"enterica")</f>
        <v>enterica</v>
      </c>
      <c r="E4733" t="str">
        <f>IFERROR(__xludf.DUMMYFUNCTION("""COMPUTED_VALUE"""),"subsp.")</f>
        <v>subsp.</v>
      </c>
      <c r="F4733" t="str">
        <f>IFERROR(__xludf.DUMMYFUNCTION("""COMPUTED_VALUE"""),"enterica")</f>
        <v>enterica</v>
      </c>
      <c r="G4733" t="str">
        <f>IFERROR(__xludf.DUMMYFUNCTION("""COMPUTED_VALUE"""),"serovar")</f>
        <v>serovar</v>
      </c>
      <c r="H4733" t="str">
        <f>IFERROR(__xludf.DUMMYFUNCTION("""COMPUTED_VALUE"""),"Enteritidis")</f>
        <v>Enteritidis</v>
      </c>
      <c r="I4733" t="str">
        <f>IFERROR(__xludf.DUMMYFUNCTION("""COMPUTED_VALUE"""),"str.")</f>
        <v>str.</v>
      </c>
      <c r="J4733" t="str">
        <f>IFERROR(__xludf.DUMMYFUNCTION("""COMPUTED_VALUE"""),"EC20120774")</f>
        <v>EC20120774</v>
      </c>
    </row>
    <row r="4734" ht="15.75" customHeight="1">
      <c r="A4734" t="str">
        <f t="shared" si="1"/>
        <v>S.enterica</v>
      </c>
      <c r="B4734" s="5" t="s">
        <v>29533</v>
      </c>
      <c r="C4734" s="6" t="str">
        <f>IFERROR(__xludf.DUMMYFUNCTION("SPLIT('2. c'!B4734, "" "", True, True)"),"Salmonella")</f>
        <v>Salmonella</v>
      </c>
      <c r="D4734" t="str">
        <f>IFERROR(__xludf.DUMMYFUNCTION("""COMPUTED_VALUE"""),"enterica")</f>
        <v>enterica</v>
      </c>
      <c r="E4734" t="str">
        <f>IFERROR(__xludf.DUMMYFUNCTION("""COMPUTED_VALUE"""),"subsp.")</f>
        <v>subsp.</v>
      </c>
      <c r="F4734" t="str">
        <f>IFERROR(__xludf.DUMMYFUNCTION("""COMPUTED_VALUE"""),"enterica")</f>
        <v>enterica</v>
      </c>
      <c r="G4734" t="str">
        <f>IFERROR(__xludf.DUMMYFUNCTION("""COMPUTED_VALUE"""),"serovar")</f>
        <v>serovar</v>
      </c>
      <c r="H4734" t="str">
        <f>IFERROR(__xludf.DUMMYFUNCTION("""COMPUTED_VALUE"""),"Enteritidis")</f>
        <v>Enteritidis</v>
      </c>
      <c r="I4734" t="str">
        <f>IFERROR(__xludf.DUMMYFUNCTION("""COMPUTED_VALUE"""),"str.")</f>
        <v>str.</v>
      </c>
      <c r="J4734" t="str">
        <f>IFERROR(__xludf.DUMMYFUNCTION("""COMPUTED_VALUE"""),"EC20120775")</f>
        <v>EC20120775</v>
      </c>
    </row>
    <row r="4735" ht="15.75" customHeight="1">
      <c r="A4735" t="str">
        <f t="shared" si="1"/>
        <v>S.enterica</v>
      </c>
      <c r="B4735" s="5" t="s">
        <v>29541</v>
      </c>
      <c r="C4735" s="6" t="str">
        <f>IFERROR(__xludf.DUMMYFUNCTION("SPLIT('2. c'!B4735, "" "", True, True)"),"Salmonella")</f>
        <v>Salmonella</v>
      </c>
      <c r="D4735" t="str">
        <f>IFERROR(__xludf.DUMMYFUNCTION("""COMPUTED_VALUE"""),"enterica")</f>
        <v>enterica</v>
      </c>
      <c r="E4735" t="str">
        <f>IFERROR(__xludf.DUMMYFUNCTION("""COMPUTED_VALUE"""),"subsp.")</f>
        <v>subsp.</v>
      </c>
      <c r="F4735" t="str">
        <f>IFERROR(__xludf.DUMMYFUNCTION("""COMPUTED_VALUE"""),"enterica")</f>
        <v>enterica</v>
      </c>
      <c r="G4735" t="str">
        <f>IFERROR(__xludf.DUMMYFUNCTION("""COMPUTED_VALUE"""),"serovar")</f>
        <v>serovar</v>
      </c>
      <c r="H4735" t="str">
        <f>IFERROR(__xludf.DUMMYFUNCTION("""COMPUTED_VALUE"""),"Enteritidis")</f>
        <v>Enteritidis</v>
      </c>
      <c r="I4735" t="str">
        <f>IFERROR(__xludf.DUMMYFUNCTION("""COMPUTED_VALUE"""),"str.")</f>
        <v>str.</v>
      </c>
      <c r="J4735" t="str">
        <f>IFERROR(__xludf.DUMMYFUNCTION("""COMPUTED_VALUE"""),"EC20120776")</f>
        <v>EC20120776</v>
      </c>
    </row>
    <row r="4736" ht="15.75" customHeight="1">
      <c r="A4736" t="str">
        <f t="shared" si="1"/>
        <v>S.enterica</v>
      </c>
      <c r="B4736" s="5" t="s">
        <v>29548</v>
      </c>
      <c r="C4736" s="6" t="str">
        <f>IFERROR(__xludf.DUMMYFUNCTION("SPLIT('2. c'!B4736, "" "", True, True)"),"Salmonella")</f>
        <v>Salmonella</v>
      </c>
      <c r="D4736" t="str">
        <f>IFERROR(__xludf.DUMMYFUNCTION("""COMPUTED_VALUE"""),"enterica")</f>
        <v>enterica</v>
      </c>
      <c r="E4736" t="str">
        <f>IFERROR(__xludf.DUMMYFUNCTION("""COMPUTED_VALUE"""),"subsp.")</f>
        <v>subsp.</v>
      </c>
      <c r="F4736" t="str">
        <f>IFERROR(__xludf.DUMMYFUNCTION("""COMPUTED_VALUE"""),"enterica")</f>
        <v>enterica</v>
      </c>
      <c r="G4736" t="str">
        <f>IFERROR(__xludf.DUMMYFUNCTION("""COMPUTED_VALUE"""),"serovar")</f>
        <v>serovar</v>
      </c>
      <c r="H4736" t="str">
        <f>IFERROR(__xludf.DUMMYFUNCTION("""COMPUTED_VALUE"""),"Enteritidis")</f>
        <v>Enteritidis</v>
      </c>
      <c r="I4736" t="str">
        <f>IFERROR(__xludf.DUMMYFUNCTION("""COMPUTED_VALUE"""),"str.")</f>
        <v>str.</v>
      </c>
      <c r="J4736" t="str">
        <f>IFERROR(__xludf.DUMMYFUNCTION("""COMPUTED_VALUE"""),"EC20120916")</f>
        <v>EC20120916</v>
      </c>
    </row>
    <row r="4737" ht="15.75" customHeight="1">
      <c r="A4737" t="str">
        <f t="shared" si="1"/>
        <v>S.enterica</v>
      </c>
      <c r="B4737" s="5" t="s">
        <v>29558</v>
      </c>
      <c r="C4737" s="6" t="str">
        <f>IFERROR(__xludf.DUMMYFUNCTION("SPLIT('2. c'!B4737, "" "", True, True)"),"Salmonella")</f>
        <v>Salmonella</v>
      </c>
      <c r="D4737" t="str">
        <f>IFERROR(__xludf.DUMMYFUNCTION("""COMPUTED_VALUE"""),"enterica")</f>
        <v>enterica</v>
      </c>
      <c r="E4737" t="str">
        <f>IFERROR(__xludf.DUMMYFUNCTION("""COMPUTED_VALUE"""),"subsp.")</f>
        <v>subsp.</v>
      </c>
      <c r="F4737" t="str">
        <f>IFERROR(__xludf.DUMMYFUNCTION("""COMPUTED_VALUE"""),"enterica")</f>
        <v>enterica</v>
      </c>
      <c r="G4737" t="str">
        <f>IFERROR(__xludf.DUMMYFUNCTION("""COMPUTED_VALUE"""),"serovar")</f>
        <v>serovar</v>
      </c>
      <c r="H4737" t="str">
        <f>IFERROR(__xludf.DUMMYFUNCTION("""COMPUTED_VALUE"""),"Enteritidis")</f>
        <v>Enteritidis</v>
      </c>
      <c r="I4737" t="str">
        <f>IFERROR(__xludf.DUMMYFUNCTION("""COMPUTED_VALUE"""),"str.")</f>
        <v>str.</v>
      </c>
      <c r="J4737" t="str">
        <f>IFERROR(__xludf.DUMMYFUNCTION("""COMPUTED_VALUE"""),"EC20120917")</f>
        <v>EC20120917</v>
      </c>
    </row>
    <row r="4738" ht="15.75" customHeight="1">
      <c r="A4738" t="str">
        <f t="shared" si="1"/>
        <v>S.enterica</v>
      </c>
      <c r="B4738" s="5" t="s">
        <v>29564</v>
      </c>
      <c r="C4738" s="6" t="str">
        <f>IFERROR(__xludf.DUMMYFUNCTION("SPLIT('2. c'!B4738, "" "", True, True)"),"Salmonella")</f>
        <v>Salmonella</v>
      </c>
      <c r="D4738" t="str">
        <f>IFERROR(__xludf.DUMMYFUNCTION("""COMPUTED_VALUE"""),"enterica")</f>
        <v>enterica</v>
      </c>
      <c r="E4738" t="str">
        <f>IFERROR(__xludf.DUMMYFUNCTION("""COMPUTED_VALUE"""),"subsp.")</f>
        <v>subsp.</v>
      </c>
      <c r="F4738" t="str">
        <f>IFERROR(__xludf.DUMMYFUNCTION("""COMPUTED_VALUE"""),"enterica")</f>
        <v>enterica</v>
      </c>
      <c r="G4738" t="str">
        <f>IFERROR(__xludf.DUMMYFUNCTION("""COMPUTED_VALUE"""),"serovar")</f>
        <v>serovar</v>
      </c>
      <c r="H4738" t="str">
        <f>IFERROR(__xludf.DUMMYFUNCTION("""COMPUTED_VALUE"""),"Enteritidis")</f>
        <v>Enteritidis</v>
      </c>
      <c r="I4738" t="str">
        <f>IFERROR(__xludf.DUMMYFUNCTION("""COMPUTED_VALUE"""),"str.")</f>
        <v>str.</v>
      </c>
      <c r="J4738" t="str">
        <f>IFERROR(__xludf.DUMMYFUNCTION("""COMPUTED_VALUE"""),"EC20120918")</f>
        <v>EC20120918</v>
      </c>
    </row>
    <row r="4739" ht="15.75" customHeight="1">
      <c r="A4739" t="str">
        <f t="shared" si="1"/>
        <v>S.enterica</v>
      </c>
      <c r="B4739" s="5" t="s">
        <v>29572</v>
      </c>
      <c r="C4739" s="6" t="str">
        <f>IFERROR(__xludf.DUMMYFUNCTION("SPLIT('2. c'!B4739, "" "", True, True)"),"Salmonella")</f>
        <v>Salmonella</v>
      </c>
      <c r="D4739" t="str">
        <f>IFERROR(__xludf.DUMMYFUNCTION("""COMPUTED_VALUE"""),"enterica")</f>
        <v>enterica</v>
      </c>
      <c r="E4739" t="str">
        <f>IFERROR(__xludf.DUMMYFUNCTION("""COMPUTED_VALUE"""),"subsp.")</f>
        <v>subsp.</v>
      </c>
      <c r="F4739" t="str">
        <f>IFERROR(__xludf.DUMMYFUNCTION("""COMPUTED_VALUE"""),"enterica")</f>
        <v>enterica</v>
      </c>
      <c r="G4739" t="str">
        <f>IFERROR(__xludf.DUMMYFUNCTION("""COMPUTED_VALUE"""),"serovar")</f>
        <v>serovar</v>
      </c>
      <c r="H4739" t="str">
        <f>IFERROR(__xludf.DUMMYFUNCTION("""COMPUTED_VALUE"""),"Enteritidis")</f>
        <v>Enteritidis</v>
      </c>
      <c r="I4739" t="str">
        <f>IFERROR(__xludf.DUMMYFUNCTION("""COMPUTED_VALUE"""),"str.")</f>
        <v>str.</v>
      </c>
      <c r="J4739" t="str">
        <f>IFERROR(__xludf.DUMMYFUNCTION("""COMPUTED_VALUE"""),"EC20120925")</f>
        <v>EC20120925</v>
      </c>
    </row>
    <row r="4740" ht="15.75" customHeight="1">
      <c r="A4740" t="str">
        <f t="shared" si="1"/>
        <v>S.enterica</v>
      </c>
      <c r="B4740" s="5" t="s">
        <v>29576</v>
      </c>
      <c r="C4740" s="6" t="str">
        <f>IFERROR(__xludf.DUMMYFUNCTION("SPLIT('2. c'!B4740, "" "", True, True)"),"Salmonella")</f>
        <v>Salmonella</v>
      </c>
      <c r="D4740" t="str">
        <f>IFERROR(__xludf.DUMMYFUNCTION("""COMPUTED_VALUE"""),"enterica")</f>
        <v>enterica</v>
      </c>
      <c r="E4740" t="str">
        <f>IFERROR(__xludf.DUMMYFUNCTION("""COMPUTED_VALUE"""),"subsp.")</f>
        <v>subsp.</v>
      </c>
      <c r="F4740" t="str">
        <f>IFERROR(__xludf.DUMMYFUNCTION("""COMPUTED_VALUE"""),"enterica")</f>
        <v>enterica</v>
      </c>
      <c r="G4740" t="str">
        <f>IFERROR(__xludf.DUMMYFUNCTION("""COMPUTED_VALUE"""),"serovar")</f>
        <v>serovar</v>
      </c>
      <c r="H4740" t="str">
        <f>IFERROR(__xludf.DUMMYFUNCTION("""COMPUTED_VALUE"""),"Enteritidis")</f>
        <v>Enteritidis</v>
      </c>
      <c r="I4740" t="str">
        <f>IFERROR(__xludf.DUMMYFUNCTION("""COMPUTED_VALUE"""),"str.")</f>
        <v>str.</v>
      </c>
      <c r="J4740" t="str">
        <f>IFERROR(__xludf.DUMMYFUNCTION("""COMPUTED_VALUE"""),"EC20120927")</f>
        <v>EC20120927</v>
      </c>
    </row>
    <row r="4741" ht="15.75" customHeight="1">
      <c r="A4741" t="str">
        <f t="shared" si="1"/>
        <v>S.enterica</v>
      </c>
      <c r="B4741" s="5" t="s">
        <v>29585</v>
      </c>
      <c r="C4741" s="6" t="str">
        <f>IFERROR(__xludf.DUMMYFUNCTION("SPLIT('2. c'!B4741, "" "", True, True)"),"Salmonella")</f>
        <v>Salmonella</v>
      </c>
      <c r="D4741" t="str">
        <f>IFERROR(__xludf.DUMMYFUNCTION("""COMPUTED_VALUE"""),"enterica")</f>
        <v>enterica</v>
      </c>
      <c r="E4741" t="str">
        <f>IFERROR(__xludf.DUMMYFUNCTION("""COMPUTED_VALUE"""),"subsp.")</f>
        <v>subsp.</v>
      </c>
      <c r="F4741" t="str">
        <f>IFERROR(__xludf.DUMMYFUNCTION("""COMPUTED_VALUE"""),"enterica")</f>
        <v>enterica</v>
      </c>
      <c r="G4741" t="str">
        <f>IFERROR(__xludf.DUMMYFUNCTION("""COMPUTED_VALUE"""),"serovar")</f>
        <v>serovar</v>
      </c>
      <c r="H4741" t="str">
        <f>IFERROR(__xludf.DUMMYFUNCTION("""COMPUTED_VALUE"""),"Enteritidis")</f>
        <v>Enteritidis</v>
      </c>
      <c r="I4741" t="str">
        <f>IFERROR(__xludf.DUMMYFUNCTION("""COMPUTED_VALUE"""),"str.")</f>
        <v>str.</v>
      </c>
      <c r="J4741" t="str">
        <f>IFERROR(__xludf.DUMMYFUNCTION("""COMPUTED_VALUE"""),"EC20120929")</f>
        <v>EC20120929</v>
      </c>
    </row>
    <row r="4742" ht="15.75" customHeight="1">
      <c r="A4742" t="str">
        <f t="shared" si="1"/>
        <v>S.enterica</v>
      </c>
      <c r="B4742" s="5" t="s">
        <v>29593</v>
      </c>
      <c r="C4742" s="6" t="str">
        <f>IFERROR(__xludf.DUMMYFUNCTION("SPLIT('2. c'!B4742, "" "", True, True)"),"Salmonella")</f>
        <v>Salmonella</v>
      </c>
      <c r="D4742" t="str">
        <f>IFERROR(__xludf.DUMMYFUNCTION("""COMPUTED_VALUE"""),"enterica")</f>
        <v>enterica</v>
      </c>
      <c r="E4742" t="str">
        <f>IFERROR(__xludf.DUMMYFUNCTION("""COMPUTED_VALUE"""),"subsp.")</f>
        <v>subsp.</v>
      </c>
      <c r="F4742" t="str">
        <f>IFERROR(__xludf.DUMMYFUNCTION("""COMPUTED_VALUE"""),"enterica")</f>
        <v>enterica</v>
      </c>
      <c r="G4742" t="str">
        <f>IFERROR(__xludf.DUMMYFUNCTION("""COMPUTED_VALUE"""),"serovar")</f>
        <v>serovar</v>
      </c>
      <c r="H4742" t="str">
        <f>IFERROR(__xludf.DUMMYFUNCTION("""COMPUTED_VALUE"""),"Enteritidis")</f>
        <v>Enteritidis</v>
      </c>
      <c r="I4742" t="str">
        <f>IFERROR(__xludf.DUMMYFUNCTION("""COMPUTED_VALUE"""),"str.")</f>
        <v>str.</v>
      </c>
      <c r="J4742" t="str">
        <f>IFERROR(__xludf.DUMMYFUNCTION("""COMPUTED_VALUE"""),"EC20120963")</f>
        <v>EC20120963</v>
      </c>
    </row>
    <row r="4743" ht="15.75" customHeight="1">
      <c r="A4743" t="str">
        <f t="shared" si="1"/>
        <v>S.enterica</v>
      </c>
      <c r="B4743" s="5" t="s">
        <v>29599</v>
      </c>
      <c r="C4743" s="6" t="str">
        <f>IFERROR(__xludf.DUMMYFUNCTION("SPLIT('2. c'!B4743, "" "", True, True)"),"Salmonella")</f>
        <v>Salmonella</v>
      </c>
      <c r="D4743" t="str">
        <f>IFERROR(__xludf.DUMMYFUNCTION("""COMPUTED_VALUE"""),"enterica")</f>
        <v>enterica</v>
      </c>
      <c r="E4743" t="str">
        <f>IFERROR(__xludf.DUMMYFUNCTION("""COMPUTED_VALUE"""),"subsp.")</f>
        <v>subsp.</v>
      </c>
      <c r="F4743" t="str">
        <f>IFERROR(__xludf.DUMMYFUNCTION("""COMPUTED_VALUE"""),"enterica")</f>
        <v>enterica</v>
      </c>
      <c r="G4743" t="str">
        <f>IFERROR(__xludf.DUMMYFUNCTION("""COMPUTED_VALUE"""),"serovar")</f>
        <v>serovar</v>
      </c>
      <c r="H4743" t="str">
        <f>IFERROR(__xludf.DUMMYFUNCTION("""COMPUTED_VALUE"""),"Enteritidis")</f>
        <v>Enteritidis</v>
      </c>
      <c r="I4743" t="str">
        <f>IFERROR(__xludf.DUMMYFUNCTION("""COMPUTED_VALUE"""),"str.")</f>
        <v>str.</v>
      </c>
      <c r="J4743" t="str">
        <f>IFERROR(__xludf.DUMMYFUNCTION("""COMPUTED_VALUE"""),"EC20120968")</f>
        <v>EC20120968</v>
      </c>
    </row>
    <row r="4744" ht="15.75" customHeight="1">
      <c r="A4744" t="str">
        <f t="shared" si="1"/>
        <v>S.enterica</v>
      </c>
      <c r="B4744" s="5" t="s">
        <v>29603</v>
      </c>
      <c r="C4744" s="6" t="str">
        <f>IFERROR(__xludf.DUMMYFUNCTION("SPLIT('2. c'!B4744, "" "", True, True)"),"Salmonella")</f>
        <v>Salmonella</v>
      </c>
      <c r="D4744" t="str">
        <f>IFERROR(__xludf.DUMMYFUNCTION("""COMPUTED_VALUE"""),"enterica")</f>
        <v>enterica</v>
      </c>
      <c r="E4744" t="str">
        <f>IFERROR(__xludf.DUMMYFUNCTION("""COMPUTED_VALUE"""),"subsp.")</f>
        <v>subsp.</v>
      </c>
      <c r="F4744" t="str">
        <f>IFERROR(__xludf.DUMMYFUNCTION("""COMPUTED_VALUE"""),"enterica")</f>
        <v>enterica</v>
      </c>
      <c r="G4744" t="str">
        <f>IFERROR(__xludf.DUMMYFUNCTION("""COMPUTED_VALUE"""),"serovar")</f>
        <v>serovar</v>
      </c>
      <c r="H4744" t="str">
        <f>IFERROR(__xludf.DUMMYFUNCTION("""COMPUTED_VALUE"""),"Enteritidis")</f>
        <v>Enteritidis</v>
      </c>
      <c r="I4744" t="str">
        <f>IFERROR(__xludf.DUMMYFUNCTION("""COMPUTED_VALUE"""),"str.")</f>
        <v>str.</v>
      </c>
      <c r="J4744" t="str">
        <f>IFERROR(__xludf.DUMMYFUNCTION("""COMPUTED_VALUE"""),"EC20120969")</f>
        <v>EC20120969</v>
      </c>
    </row>
    <row r="4745" ht="15.75" customHeight="1">
      <c r="A4745" t="str">
        <f t="shared" si="1"/>
        <v>S.enterica</v>
      </c>
      <c r="B4745" s="5" t="s">
        <v>29610</v>
      </c>
      <c r="C4745" s="6" t="str">
        <f>IFERROR(__xludf.DUMMYFUNCTION("SPLIT('2. c'!B4745, "" "", True, True)"),"Salmonella")</f>
        <v>Salmonella</v>
      </c>
      <c r="D4745" t="str">
        <f>IFERROR(__xludf.DUMMYFUNCTION("""COMPUTED_VALUE"""),"enterica")</f>
        <v>enterica</v>
      </c>
      <c r="E4745" t="str">
        <f>IFERROR(__xludf.DUMMYFUNCTION("""COMPUTED_VALUE"""),"subsp.")</f>
        <v>subsp.</v>
      </c>
      <c r="F4745" t="str">
        <f>IFERROR(__xludf.DUMMYFUNCTION("""COMPUTED_VALUE"""),"enterica")</f>
        <v>enterica</v>
      </c>
      <c r="G4745" t="str">
        <f>IFERROR(__xludf.DUMMYFUNCTION("""COMPUTED_VALUE"""),"serovar")</f>
        <v>serovar</v>
      </c>
      <c r="H4745" t="str">
        <f>IFERROR(__xludf.DUMMYFUNCTION("""COMPUTED_VALUE"""),"Enteritidis")</f>
        <v>Enteritidis</v>
      </c>
      <c r="I4745" t="str">
        <f>IFERROR(__xludf.DUMMYFUNCTION("""COMPUTED_VALUE"""),"str.")</f>
        <v>str.</v>
      </c>
      <c r="J4745" t="str">
        <f>IFERROR(__xludf.DUMMYFUNCTION("""COMPUTED_VALUE"""),"EC20120970")</f>
        <v>EC20120970</v>
      </c>
    </row>
    <row r="4746" ht="15.75" customHeight="1">
      <c r="A4746" t="str">
        <f t="shared" si="1"/>
        <v>S.enterica</v>
      </c>
      <c r="B4746" s="5" t="s">
        <v>29618</v>
      </c>
      <c r="C4746" s="6" t="str">
        <f>IFERROR(__xludf.DUMMYFUNCTION("SPLIT('2. c'!B4746, "" "", True, True)"),"Salmonella")</f>
        <v>Salmonella</v>
      </c>
      <c r="D4746" t="str">
        <f>IFERROR(__xludf.DUMMYFUNCTION("""COMPUTED_VALUE"""),"enterica")</f>
        <v>enterica</v>
      </c>
      <c r="E4746" t="str">
        <f>IFERROR(__xludf.DUMMYFUNCTION("""COMPUTED_VALUE"""),"subsp.")</f>
        <v>subsp.</v>
      </c>
      <c r="F4746" t="str">
        <f>IFERROR(__xludf.DUMMYFUNCTION("""COMPUTED_VALUE"""),"enterica")</f>
        <v>enterica</v>
      </c>
      <c r="G4746" t="str">
        <f>IFERROR(__xludf.DUMMYFUNCTION("""COMPUTED_VALUE"""),"serovar")</f>
        <v>serovar</v>
      </c>
      <c r="H4746" t="str">
        <f>IFERROR(__xludf.DUMMYFUNCTION("""COMPUTED_VALUE"""),"Enteritidis")</f>
        <v>Enteritidis</v>
      </c>
      <c r="I4746" t="str">
        <f>IFERROR(__xludf.DUMMYFUNCTION("""COMPUTED_VALUE"""),"str.")</f>
        <v>str.</v>
      </c>
      <c r="J4746" t="str">
        <f>IFERROR(__xludf.DUMMYFUNCTION("""COMPUTED_VALUE"""),"EC20120994")</f>
        <v>EC20120994</v>
      </c>
    </row>
    <row r="4747" ht="15.75" customHeight="1">
      <c r="A4747" t="str">
        <f t="shared" si="1"/>
        <v>S.enterica</v>
      </c>
      <c r="B4747" s="5" t="s">
        <v>29626</v>
      </c>
      <c r="C4747" s="6" t="str">
        <f>IFERROR(__xludf.DUMMYFUNCTION("SPLIT('2. c'!B4747, "" "", True, True)"),"Salmonella")</f>
        <v>Salmonella</v>
      </c>
      <c r="D4747" t="str">
        <f>IFERROR(__xludf.DUMMYFUNCTION("""COMPUTED_VALUE"""),"enterica")</f>
        <v>enterica</v>
      </c>
      <c r="E4747" t="str">
        <f>IFERROR(__xludf.DUMMYFUNCTION("""COMPUTED_VALUE"""),"subsp.")</f>
        <v>subsp.</v>
      </c>
      <c r="F4747" t="str">
        <f>IFERROR(__xludf.DUMMYFUNCTION("""COMPUTED_VALUE"""),"enterica")</f>
        <v>enterica</v>
      </c>
      <c r="G4747" t="str">
        <f>IFERROR(__xludf.DUMMYFUNCTION("""COMPUTED_VALUE"""),"serovar")</f>
        <v>serovar</v>
      </c>
      <c r="H4747" t="str">
        <f>IFERROR(__xludf.DUMMYFUNCTION("""COMPUTED_VALUE"""),"Enteritidis")</f>
        <v>Enteritidis</v>
      </c>
      <c r="I4747" t="str">
        <f>IFERROR(__xludf.DUMMYFUNCTION("""COMPUTED_VALUE"""),"str.")</f>
        <v>str.</v>
      </c>
      <c r="J4747" t="str">
        <f>IFERROR(__xludf.DUMMYFUNCTION("""COMPUTED_VALUE"""),"EC20121004")</f>
        <v>EC20121004</v>
      </c>
    </row>
    <row r="4748" ht="15.75" customHeight="1">
      <c r="A4748" t="str">
        <f t="shared" si="1"/>
        <v>S.enterica</v>
      </c>
      <c r="B4748" s="5" t="s">
        <v>29633</v>
      </c>
      <c r="C4748" s="6" t="str">
        <f>IFERROR(__xludf.DUMMYFUNCTION("SPLIT('2. c'!B4748, "" "", True, True)"),"Salmonella")</f>
        <v>Salmonella</v>
      </c>
      <c r="D4748" t="str">
        <f>IFERROR(__xludf.DUMMYFUNCTION("""COMPUTED_VALUE"""),"enterica")</f>
        <v>enterica</v>
      </c>
      <c r="E4748" t="str">
        <f>IFERROR(__xludf.DUMMYFUNCTION("""COMPUTED_VALUE"""),"subsp.")</f>
        <v>subsp.</v>
      </c>
      <c r="F4748" t="str">
        <f>IFERROR(__xludf.DUMMYFUNCTION("""COMPUTED_VALUE"""),"enterica")</f>
        <v>enterica</v>
      </c>
      <c r="G4748" t="str">
        <f>IFERROR(__xludf.DUMMYFUNCTION("""COMPUTED_VALUE"""),"serovar")</f>
        <v>serovar</v>
      </c>
      <c r="H4748" t="str">
        <f>IFERROR(__xludf.DUMMYFUNCTION("""COMPUTED_VALUE"""),"Enteritidis")</f>
        <v>Enteritidis</v>
      </c>
      <c r="I4748" t="str">
        <f>IFERROR(__xludf.DUMMYFUNCTION("""COMPUTED_VALUE"""),"str.")</f>
        <v>str.</v>
      </c>
      <c r="J4748" t="str">
        <f>IFERROR(__xludf.DUMMYFUNCTION("""COMPUTED_VALUE"""),"EC20121175")</f>
        <v>EC20121175</v>
      </c>
    </row>
    <row r="4749" ht="15.75" customHeight="1">
      <c r="A4749" t="str">
        <f t="shared" si="1"/>
        <v>S.enterica</v>
      </c>
      <c r="B4749" s="5" t="s">
        <v>29643</v>
      </c>
      <c r="C4749" s="6" t="str">
        <f>IFERROR(__xludf.DUMMYFUNCTION("SPLIT('2. c'!B4749, "" "", True, True)"),"Salmonella")</f>
        <v>Salmonella</v>
      </c>
      <c r="D4749" t="str">
        <f>IFERROR(__xludf.DUMMYFUNCTION("""COMPUTED_VALUE"""),"enterica")</f>
        <v>enterica</v>
      </c>
      <c r="E4749" t="str">
        <f>IFERROR(__xludf.DUMMYFUNCTION("""COMPUTED_VALUE"""),"subsp.")</f>
        <v>subsp.</v>
      </c>
      <c r="F4749" t="str">
        <f>IFERROR(__xludf.DUMMYFUNCTION("""COMPUTED_VALUE"""),"enterica")</f>
        <v>enterica</v>
      </c>
      <c r="G4749" t="str">
        <f>IFERROR(__xludf.DUMMYFUNCTION("""COMPUTED_VALUE"""),"serovar")</f>
        <v>serovar</v>
      </c>
      <c r="H4749" t="str">
        <f>IFERROR(__xludf.DUMMYFUNCTION("""COMPUTED_VALUE"""),"Enteritidis")</f>
        <v>Enteritidis</v>
      </c>
      <c r="I4749" t="str">
        <f>IFERROR(__xludf.DUMMYFUNCTION("""COMPUTED_VALUE"""),"str.")</f>
        <v>str.</v>
      </c>
      <c r="J4749" t="str">
        <f>IFERROR(__xludf.DUMMYFUNCTION("""COMPUTED_VALUE"""),"EC20121176")</f>
        <v>EC20121176</v>
      </c>
    </row>
    <row r="4750" ht="15.75" customHeight="1">
      <c r="A4750" t="str">
        <f t="shared" si="1"/>
        <v>S.enterica</v>
      </c>
      <c r="B4750" s="5" t="s">
        <v>29651</v>
      </c>
      <c r="C4750" s="6" t="str">
        <f>IFERROR(__xludf.DUMMYFUNCTION("SPLIT('2. c'!B4750, "" "", True, True)"),"Salmonella")</f>
        <v>Salmonella</v>
      </c>
      <c r="D4750" t="str">
        <f>IFERROR(__xludf.DUMMYFUNCTION("""COMPUTED_VALUE"""),"enterica")</f>
        <v>enterica</v>
      </c>
      <c r="E4750" t="str">
        <f>IFERROR(__xludf.DUMMYFUNCTION("""COMPUTED_VALUE"""),"subsp.")</f>
        <v>subsp.</v>
      </c>
      <c r="F4750" t="str">
        <f>IFERROR(__xludf.DUMMYFUNCTION("""COMPUTED_VALUE"""),"enterica")</f>
        <v>enterica</v>
      </c>
      <c r="G4750" t="str">
        <f>IFERROR(__xludf.DUMMYFUNCTION("""COMPUTED_VALUE"""),"serovar")</f>
        <v>serovar</v>
      </c>
      <c r="H4750" t="str">
        <f>IFERROR(__xludf.DUMMYFUNCTION("""COMPUTED_VALUE"""),"Enteritidis")</f>
        <v>Enteritidis</v>
      </c>
      <c r="I4750" t="str">
        <f>IFERROR(__xludf.DUMMYFUNCTION("""COMPUTED_VALUE"""),"str.")</f>
        <v>str.</v>
      </c>
      <c r="J4750" t="str">
        <f>IFERROR(__xludf.DUMMYFUNCTION("""COMPUTED_VALUE"""),"EC20121177")</f>
        <v>EC20121177</v>
      </c>
    </row>
    <row r="4751" ht="15.75" customHeight="1">
      <c r="A4751" t="str">
        <f t="shared" si="1"/>
        <v>S.enterica</v>
      </c>
      <c r="B4751" s="5" t="s">
        <v>29661</v>
      </c>
      <c r="C4751" s="6" t="str">
        <f>IFERROR(__xludf.DUMMYFUNCTION("SPLIT('2. c'!B4751, "" "", True, True)"),"Salmonella")</f>
        <v>Salmonella</v>
      </c>
      <c r="D4751" t="str">
        <f>IFERROR(__xludf.DUMMYFUNCTION("""COMPUTED_VALUE"""),"enterica")</f>
        <v>enterica</v>
      </c>
      <c r="E4751" t="str">
        <f>IFERROR(__xludf.DUMMYFUNCTION("""COMPUTED_VALUE"""),"subsp.")</f>
        <v>subsp.</v>
      </c>
      <c r="F4751" t="str">
        <f>IFERROR(__xludf.DUMMYFUNCTION("""COMPUTED_VALUE"""),"enterica")</f>
        <v>enterica</v>
      </c>
      <c r="G4751" t="str">
        <f>IFERROR(__xludf.DUMMYFUNCTION("""COMPUTED_VALUE"""),"serovar")</f>
        <v>serovar</v>
      </c>
      <c r="H4751" t="str">
        <f>IFERROR(__xludf.DUMMYFUNCTION("""COMPUTED_VALUE"""),"Enteritidis")</f>
        <v>Enteritidis</v>
      </c>
      <c r="I4751" t="str">
        <f>IFERROR(__xludf.DUMMYFUNCTION("""COMPUTED_VALUE"""),"str.")</f>
        <v>str.</v>
      </c>
      <c r="J4751" t="str">
        <f>IFERROR(__xludf.DUMMYFUNCTION("""COMPUTED_VALUE"""),"EC20121178")</f>
        <v>EC20121178</v>
      </c>
    </row>
    <row r="4752" ht="15.75" customHeight="1">
      <c r="A4752" t="str">
        <f t="shared" si="1"/>
        <v>S.enterica</v>
      </c>
      <c r="B4752" s="5" t="s">
        <v>29669</v>
      </c>
      <c r="C4752" s="6" t="str">
        <f>IFERROR(__xludf.DUMMYFUNCTION("SPLIT('2. c'!B4752, "" "", True, True)"),"Salmonella")</f>
        <v>Salmonella</v>
      </c>
      <c r="D4752" t="str">
        <f>IFERROR(__xludf.DUMMYFUNCTION("""COMPUTED_VALUE"""),"enterica")</f>
        <v>enterica</v>
      </c>
      <c r="E4752" t="str">
        <f>IFERROR(__xludf.DUMMYFUNCTION("""COMPUTED_VALUE"""),"subsp.")</f>
        <v>subsp.</v>
      </c>
      <c r="F4752" t="str">
        <f>IFERROR(__xludf.DUMMYFUNCTION("""COMPUTED_VALUE"""),"enterica")</f>
        <v>enterica</v>
      </c>
      <c r="G4752" t="str">
        <f>IFERROR(__xludf.DUMMYFUNCTION("""COMPUTED_VALUE"""),"serovar")</f>
        <v>serovar</v>
      </c>
      <c r="H4752" t="str">
        <f>IFERROR(__xludf.DUMMYFUNCTION("""COMPUTED_VALUE"""),"Enteritidis")</f>
        <v>Enteritidis</v>
      </c>
      <c r="I4752" t="str">
        <f>IFERROR(__xludf.DUMMYFUNCTION("""COMPUTED_VALUE"""),"str.")</f>
        <v>str.</v>
      </c>
      <c r="J4752" t="str">
        <f>IFERROR(__xludf.DUMMYFUNCTION("""COMPUTED_VALUE"""),"EC20121179")</f>
        <v>EC20121179</v>
      </c>
    </row>
    <row r="4753" ht="15.75" customHeight="1">
      <c r="A4753" t="str">
        <f t="shared" si="1"/>
        <v>S.enterica</v>
      </c>
      <c r="B4753" s="5" t="s">
        <v>29677</v>
      </c>
      <c r="C4753" s="6" t="str">
        <f>IFERROR(__xludf.DUMMYFUNCTION("SPLIT('2. c'!B4753, "" "", True, True)"),"Salmonella")</f>
        <v>Salmonella</v>
      </c>
      <c r="D4753" t="str">
        <f>IFERROR(__xludf.DUMMYFUNCTION("""COMPUTED_VALUE"""),"enterica")</f>
        <v>enterica</v>
      </c>
      <c r="E4753" t="str">
        <f>IFERROR(__xludf.DUMMYFUNCTION("""COMPUTED_VALUE"""),"subsp.")</f>
        <v>subsp.</v>
      </c>
      <c r="F4753" t="str">
        <f>IFERROR(__xludf.DUMMYFUNCTION("""COMPUTED_VALUE"""),"enterica")</f>
        <v>enterica</v>
      </c>
      <c r="G4753" t="str">
        <f>IFERROR(__xludf.DUMMYFUNCTION("""COMPUTED_VALUE"""),"serovar")</f>
        <v>serovar</v>
      </c>
      <c r="H4753" t="str">
        <f>IFERROR(__xludf.DUMMYFUNCTION("""COMPUTED_VALUE"""),"Enteritidis")</f>
        <v>Enteritidis</v>
      </c>
      <c r="I4753" t="str">
        <f>IFERROR(__xludf.DUMMYFUNCTION("""COMPUTED_VALUE"""),"str.")</f>
        <v>str.</v>
      </c>
      <c r="J4753" t="str">
        <f>IFERROR(__xludf.DUMMYFUNCTION("""COMPUTED_VALUE"""),"EC20121180")</f>
        <v>EC20121180</v>
      </c>
    </row>
    <row r="4754" ht="15.75" customHeight="1">
      <c r="A4754" t="str">
        <f t="shared" si="1"/>
        <v>S.enterica</v>
      </c>
      <c r="B4754" s="5" t="s">
        <v>29685</v>
      </c>
      <c r="C4754" s="6" t="str">
        <f>IFERROR(__xludf.DUMMYFUNCTION("SPLIT('2. c'!B4754, "" "", True, True)"),"Salmonella")</f>
        <v>Salmonella</v>
      </c>
      <c r="D4754" t="str">
        <f>IFERROR(__xludf.DUMMYFUNCTION("""COMPUTED_VALUE"""),"enterica")</f>
        <v>enterica</v>
      </c>
      <c r="E4754" t="str">
        <f>IFERROR(__xludf.DUMMYFUNCTION("""COMPUTED_VALUE"""),"subsp.")</f>
        <v>subsp.</v>
      </c>
      <c r="F4754" t="str">
        <f>IFERROR(__xludf.DUMMYFUNCTION("""COMPUTED_VALUE"""),"enterica")</f>
        <v>enterica</v>
      </c>
      <c r="G4754" t="str">
        <f>IFERROR(__xludf.DUMMYFUNCTION("""COMPUTED_VALUE"""),"serovar")</f>
        <v>serovar</v>
      </c>
      <c r="H4754" t="str">
        <f>IFERROR(__xludf.DUMMYFUNCTION("""COMPUTED_VALUE"""),"Enteritidis")</f>
        <v>Enteritidis</v>
      </c>
      <c r="I4754" t="str">
        <f>IFERROR(__xludf.DUMMYFUNCTION("""COMPUTED_VALUE"""),"str.")</f>
        <v>str.</v>
      </c>
      <c r="J4754" t="str">
        <f>IFERROR(__xludf.DUMMYFUNCTION("""COMPUTED_VALUE"""),"EC20121541")</f>
        <v>EC20121541</v>
      </c>
    </row>
    <row r="4755" ht="15.75" customHeight="1">
      <c r="A4755" t="str">
        <f t="shared" si="1"/>
        <v>S.enterica</v>
      </c>
      <c r="B4755" s="5" t="s">
        <v>29695</v>
      </c>
      <c r="C4755" s="6" t="str">
        <f>IFERROR(__xludf.DUMMYFUNCTION("SPLIT('2. c'!B4755, "" "", True, True)"),"Salmonella")</f>
        <v>Salmonella</v>
      </c>
      <c r="D4755" t="str">
        <f>IFERROR(__xludf.DUMMYFUNCTION("""COMPUTED_VALUE"""),"enterica")</f>
        <v>enterica</v>
      </c>
      <c r="E4755" t="str">
        <f>IFERROR(__xludf.DUMMYFUNCTION("""COMPUTED_VALUE"""),"subsp.")</f>
        <v>subsp.</v>
      </c>
      <c r="F4755" t="str">
        <f>IFERROR(__xludf.DUMMYFUNCTION("""COMPUTED_VALUE"""),"enterica")</f>
        <v>enterica</v>
      </c>
      <c r="G4755" t="str">
        <f>IFERROR(__xludf.DUMMYFUNCTION("""COMPUTED_VALUE"""),"serovar")</f>
        <v>serovar</v>
      </c>
      <c r="H4755" t="str">
        <f>IFERROR(__xludf.DUMMYFUNCTION("""COMPUTED_VALUE"""),"Enteritidis")</f>
        <v>Enteritidis</v>
      </c>
      <c r="I4755" t="str">
        <f>IFERROR(__xludf.DUMMYFUNCTION("""COMPUTED_VALUE"""),"str.")</f>
        <v>str.</v>
      </c>
      <c r="J4755" t="str">
        <f>IFERROR(__xludf.DUMMYFUNCTION("""COMPUTED_VALUE"""),"EC20121542")</f>
        <v>EC20121542</v>
      </c>
    </row>
    <row r="4756" ht="15.75" customHeight="1">
      <c r="A4756" t="str">
        <f t="shared" si="1"/>
        <v>S.enterica</v>
      </c>
      <c r="B4756" s="5" t="s">
        <v>29702</v>
      </c>
      <c r="C4756" s="6" t="str">
        <f>IFERROR(__xludf.DUMMYFUNCTION("SPLIT('2. c'!B4756, "" "", True, True)"),"Salmonella")</f>
        <v>Salmonella</v>
      </c>
      <c r="D4756" t="str">
        <f>IFERROR(__xludf.DUMMYFUNCTION("""COMPUTED_VALUE"""),"enterica")</f>
        <v>enterica</v>
      </c>
      <c r="E4756" t="str">
        <f>IFERROR(__xludf.DUMMYFUNCTION("""COMPUTED_VALUE"""),"subsp.")</f>
        <v>subsp.</v>
      </c>
      <c r="F4756" t="str">
        <f>IFERROR(__xludf.DUMMYFUNCTION("""COMPUTED_VALUE"""),"enterica")</f>
        <v>enterica</v>
      </c>
      <c r="G4756" t="str">
        <f>IFERROR(__xludf.DUMMYFUNCTION("""COMPUTED_VALUE"""),"serovar")</f>
        <v>serovar</v>
      </c>
      <c r="H4756" t="str">
        <f>IFERROR(__xludf.DUMMYFUNCTION("""COMPUTED_VALUE"""),"Enteritidis")</f>
        <v>Enteritidis</v>
      </c>
      <c r="I4756" t="str">
        <f>IFERROR(__xludf.DUMMYFUNCTION("""COMPUTED_VALUE"""),"str.")</f>
        <v>str.</v>
      </c>
      <c r="J4756" t="str">
        <f>IFERROR(__xludf.DUMMYFUNCTION("""COMPUTED_VALUE"""),"EC20121671")</f>
        <v>EC20121671</v>
      </c>
    </row>
    <row r="4757" ht="15.75" customHeight="1">
      <c r="A4757" t="str">
        <f t="shared" si="1"/>
        <v>S.enterica</v>
      </c>
      <c r="B4757" s="5" t="s">
        <v>29710</v>
      </c>
      <c r="C4757" s="6" t="str">
        <f>IFERROR(__xludf.DUMMYFUNCTION("SPLIT('2. c'!B4757, "" "", True, True)"),"Salmonella")</f>
        <v>Salmonella</v>
      </c>
      <c r="D4757" t="str">
        <f>IFERROR(__xludf.DUMMYFUNCTION("""COMPUTED_VALUE"""),"enterica")</f>
        <v>enterica</v>
      </c>
      <c r="E4757" t="str">
        <f>IFERROR(__xludf.DUMMYFUNCTION("""COMPUTED_VALUE"""),"subsp.")</f>
        <v>subsp.</v>
      </c>
      <c r="F4757" t="str">
        <f>IFERROR(__xludf.DUMMYFUNCTION("""COMPUTED_VALUE"""),"enterica")</f>
        <v>enterica</v>
      </c>
      <c r="G4757" t="str">
        <f>IFERROR(__xludf.DUMMYFUNCTION("""COMPUTED_VALUE"""),"serovar")</f>
        <v>serovar</v>
      </c>
      <c r="H4757" t="str">
        <f>IFERROR(__xludf.DUMMYFUNCTION("""COMPUTED_VALUE"""),"Enteritidis")</f>
        <v>Enteritidis</v>
      </c>
      <c r="I4757" t="str">
        <f>IFERROR(__xludf.DUMMYFUNCTION("""COMPUTED_VALUE"""),"str.")</f>
        <v>str.</v>
      </c>
      <c r="J4757" t="str">
        <f>IFERROR(__xludf.DUMMYFUNCTION("""COMPUTED_VALUE"""),"EC20121672")</f>
        <v>EC20121672</v>
      </c>
    </row>
    <row r="4758" ht="15.75" customHeight="1">
      <c r="A4758" t="str">
        <f t="shared" si="1"/>
        <v>S.enterica</v>
      </c>
      <c r="B4758" s="5" t="s">
        <v>29718</v>
      </c>
      <c r="C4758" s="6" t="str">
        <f>IFERROR(__xludf.DUMMYFUNCTION("SPLIT('2. c'!B4758, "" "", True, True)"),"Salmonella")</f>
        <v>Salmonella</v>
      </c>
      <c r="D4758" t="str">
        <f>IFERROR(__xludf.DUMMYFUNCTION("""COMPUTED_VALUE"""),"enterica")</f>
        <v>enterica</v>
      </c>
      <c r="E4758" t="str">
        <f>IFERROR(__xludf.DUMMYFUNCTION("""COMPUTED_VALUE"""),"subsp.")</f>
        <v>subsp.</v>
      </c>
      <c r="F4758" t="str">
        <f>IFERROR(__xludf.DUMMYFUNCTION("""COMPUTED_VALUE"""),"enterica")</f>
        <v>enterica</v>
      </c>
      <c r="G4758" t="str">
        <f>IFERROR(__xludf.DUMMYFUNCTION("""COMPUTED_VALUE"""),"serovar")</f>
        <v>serovar</v>
      </c>
      <c r="H4758" t="str">
        <f>IFERROR(__xludf.DUMMYFUNCTION("""COMPUTED_VALUE"""),"Enteritidis")</f>
        <v>Enteritidis</v>
      </c>
      <c r="I4758" t="str">
        <f>IFERROR(__xludf.DUMMYFUNCTION("""COMPUTED_VALUE"""),"str.")</f>
        <v>str.</v>
      </c>
      <c r="J4758" t="str">
        <f>IFERROR(__xludf.DUMMYFUNCTION("""COMPUTED_VALUE"""),"EC20121689")</f>
        <v>EC20121689</v>
      </c>
    </row>
    <row r="4759" ht="15.75" customHeight="1">
      <c r="A4759" t="str">
        <f t="shared" si="1"/>
        <v>S.enterica</v>
      </c>
      <c r="B4759" s="5" t="s">
        <v>29727</v>
      </c>
      <c r="C4759" s="6" t="str">
        <f>IFERROR(__xludf.DUMMYFUNCTION("SPLIT('2. c'!B4759, "" "", True, True)"),"Salmonella")</f>
        <v>Salmonella</v>
      </c>
      <c r="D4759" t="str">
        <f>IFERROR(__xludf.DUMMYFUNCTION("""COMPUTED_VALUE"""),"enterica")</f>
        <v>enterica</v>
      </c>
      <c r="E4759" t="str">
        <f>IFERROR(__xludf.DUMMYFUNCTION("""COMPUTED_VALUE"""),"subsp.")</f>
        <v>subsp.</v>
      </c>
      <c r="F4759" t="str">
        <f>IFERROR(__xludf.DUMMYFUNCTION("""COMPUTED_VALUE"""),"enterica")</f>
        <v>enterica</v>
      </c>
      <c r="G4759" t="str">
        <f>IFERROR(__xludf.DUMMYFUNCTION("""COMPUTED_VALUE"""),"serovar")</f>
        <v>serovar</v>
      </c>
      <c r="H4759" t="str">
        <f>IFERROR(__xludf.DUMMYFUNCTION("""COMPUTED_VALUE"""),"Enteritidis")</f>
        <v>Enteritidis</v>
      </c>
      <c r="I4759" t="str">
        <f>IFERROR(__xludf.DUMMYFUNCTION("""COMPUTED_VALUE"""),"str.")</f>
        <v>str.</v>
      </c>
      <c r="J4759" t="str">
        <f>IFERROR(__xludf.DUMMYFUNCTION("""COMPUTED_VALUE"""),"EC20121744")</f>
        <v>EC20121744</v>
      </c>
    </row>
    <row r="4760" ht="15.75" customHeight="1">
      <c r="A4760" t="str">
        <f t="shared" si="1"/>
        <v>S.enterica</v>
      </c>
      <c r="B4760" s="5" t="s">
        <v>29736</v>
      </c>
      <c r="C4760" s="6" t="str">
        <f>IFERROR(__xludf.DUMMYFUNCTION("SPLIT('2. c'!B4760, "" "", True, True)"),"Salmonella")</f>
        <v>Salmonella</v>
      </c>
      <c r="D4760" t="str">
        <f>IFERROR(__xludf.DUMMYFUNCTION("""COMPUTED_VALUE"""),"enterica")</f>
        <v>enterica</v>
      </c>
      <c r="E4760" t="str">
        <f>IFERROR(__xludf.DUMMYFUNCTION("""COMPUTED_VALUE"""),"subsp.")</f>
        <v>subsp.</v>
      </c>
      <c r="F4760" t="str">
        <f>IFERROR(__xludf.DUMMYFUNCTION("""COMPUTED_VALUE"""),"enterica")</f>
        <v>enterica</v>
      </c>
      <c r="G4760" t="str">
        <f>IFERROR(__xludf.DUMMYFUNCTION("""COMPUTED_VALUE"""),"serovar")</f>
        <v>serovar</v>
      </c>
      <c r="H4760" t="str">
        <f>IFERROR(__xludf.DUMMYFUNCTION("""COMPUTED_VALUE"""),"Enteritidis")</f>
        <v>Enteritidis</v>
      </c>
      <c r="I4760" t="str">
        <f>IFERROR(__xludf.DUMMYFUNCTION("""COMPUTED_VALUE"""),"str.")</f>
        <v>str.</v>
      </c>
      <c r="J4760" t="str">
        <f>IFERROR(__xludf.DUMMYFUNCTION("""COMPUTED_VALUE"""),"EC20121746")</f>
        <v>EC20121746</v>
      </c>
    </row>
    <row r="4761" ht="15.75" customHeight="1">
      <c r="A4761" t="str">
        <f t="shared" si="1"/>
        <v>S.enterica</v>
      </c>
      <c r="B4761" s="5" t="s">
        <v>29744</v>
      </c>
      <c r="C4761" s="6" t="str">
        <f>IFERROR(__xludf.DUMMYFUNCTION("SPLIT('2. c'!B4761, "" "", True, True)"),"Salmonella")</f>
        <v>Salmonella</v>
      </c>
      <c r="D4761" t="str">
        <f>IFERROR(__xludf.DUMMYFUNCTION("""COMPUTED_VALUE"""),"enterica")</f>
        <v>enterica</v>
      </c>
      <c r="E4761" t="str">
        <f>IFERROR(__xludf.DUMMYFUNCTION("""COMPUTED_VALUE"""),"subsp.")</f>
        <v>subsp.</v>
      </c>
      <c r="F4761" t="str">
        <f>IFERROR(__xludf.DUMMYFUNCTION("""COMPUTED_VALUE"""),"enterica")</f>
        <v>enterica</v>
      </c>
      <c r="G4761" t="str">
        <f>IFERROR(__xludf.DUMMYFUNCTION("""COMPUTED_VALUE"""),"serovar")</f>
        <v>serovar</v>
      </c>
      <c r="H4761" t="str">
        <f>IFERROR(__xludf.DUMMYFUNCTION("""COMPUTED_VALUE"""),"Enteritidis")</f>
        <v>Enteritidis</v>
      </c>
      <c r="I4761" t="str">
        <f>IFERROR(__xludf.DUMMYFUNCTION("""COMPUTED_VALUE"""),"str.")</f>
        <v>str.</v>
      </c>
      <c r="J4761" t="str">
        <f>IFERROR(__xludf.DUMMYFUNCTION("""COMPUTED_VALUE"""),"EC20121747")</f>
        <v>EC20121747</v>
      </c>
    </row>
    <row r="4762" ht="15.75" customHeight="1">
      <c r="A4762" t="str">
        <f t="shared" si="1"/>
        <v>S.enterica</v>
      </c>
      <c r="B4762" s="5" t="s">
        <v>29753</v>
      </c>
      <c r="C4762" s="6" t="str">
        <f>IFERROR(__xludf.DUMMYFUNCTION("SPLIT('2. c'!B4762, "" "", True, True)"),"Salmonella")</f>
        <v>Salmonella</v>
      </c>
      <c r="D4762" t="str">
        <f>IFERROR(__xludf.DUMMYFUNCTION("""COMPUTED_VALUE"""),"enterica")</f>
        <v>enterica</v>
      </c>
      <c r="E4762" t="str">
        <f>IFERROR(__xludf.DUMMYFUNCTION("""COMPUTED_VALUE"""),"subsp.")</f>
        <v>subsp.</v>
      </c>
      <c r="F4762" t="str">
        <f>IFERROR(__xludf.DUMMYFUNCTION("""COMPUTED_VALUE"""),"enterica")</f>
        <v>enterica</v>
      </c>
      <c r="G4762" t="str">
        <f>IFERROR(__xludf.DUMMYFUNCTION("""COMPUTED_VALUE"""),"serovar")</f>
        <v>serovar</v>
      </c>
      <c r="H4762" t="str">
        <f>IFERROR(__xludf.DUMMYFUNCTION("""COMPUTED_VALUE"""),"Enteritidis")</f>
        <v>Enteritidis</v>
      </c>
      <c r="I4762" t="str">
        <f>IFERROR(__xludf.DUMMYFUNCTION("""COMPUTED_VALUE"""),"str.")</f>
        <v>str.</v>
      </c>
      <c r="J4762" t="str">
        <f>IFERROR(__xludf.DUMMYFUNCTION("""COMPUTED_VALUE"""),"EC20121748")</f>
        <v>EC20121748</v>
      </c>
    </row>
    <row r="4763" ht="15.75" customHeight="1">
      <c r="A4763" t="str">
        <f t="shared" si="1"/>
        <v>S.enterica</v>
      </c>
      <c r="B4763" s="5" t="s">
        <v>29761</v>
      </c>
      <c r="C4763" s="6" t="str">
        <f>IFERROR(__xludf.DUMMYFUNCTION("SPLIT('2. c'!B4763, "" "", True, True)"),"Salmonella")</f>
        <v>Salmonella</v>
      </c>
      <c r="D4763" t="str">
        <f>IFERROR(__xludf.DUMMYFUNCTION("""COMPUTED_VALUE"""),"enterica")</f>
        <v>enterica</v>
      </c>
      <c r="E4763" t="str">
        <f>IFERROR(__xludf.DUMMYFUNCTION("""COMPUTED_VALUE"""),"subsp.")</f>
        <v>subsp.</v>
      </c>
      <c r="F4763" t="str">
        <f>IFERROR(__xludf.DUMMYFUNCTION("""COMPUTED_VALUE"""),"enterica")</f>
        <v>enterica</v>
      </c>
      <c r="G4763" t="str">
        <f>IFERROR(__xludf.DUMMYFUNCTION("""COMPUTED_VALUE"""),"serovar")</f>
        <v>serovar</v>
      </c>
      <c r="H4763" t="str">
        <f>IFERROR(__xludf.DUMMYFUNCTION("""COMPUTED_VALUE"""),"Enteritidis")</f>
        <v>Enteritidis</v>
      </c>
      <c r="I4763" t="str">
        <f>IFERROR(__xludf.DUMMYFUNCTION("""COMPUTED_VALUE"""),"str.")</f>
        <v>str.</v>
      </c>
      <c r="J4763" t="str">
        <f>IFERROR(__xludf.DUMMYFUNCTION("""COMPUTED_VALUE"""),"EC20121750")</f>
        <v>EC20121750</v>
      </c>
    </row>
    <row r="4764" ht="15.75" customHeight="1">
      <c r="A4764" t="str">
        <f t="shared" si="1"/>
        <v>S.enterica</v>
      </c>
      <c r="B4764" s="5" t="s">
        <v>29770</v>
      </c>
      <c r="C4764" s="6" t="str">
        <f>IFERROR(__xludf.DUMMYFUNCTION("SPLIT('2. c'!B4764, "" "", True, True)"),"Salmonella")</f>
        <v>Salmonella</v>
      </c>
      <c r="D4764" t="str">
        <f>IFERROR(__xludf.DUMMYFUNCTION("""COMPUTED_VALUE"""),"enterica")</f>
        <v>enterica</v>
      </c>
      <c r="E4764" t="str">
        <f>IFERROR(__xludf.DUMMYFUNCTION("""COMPUTED_VALUE"""),"subsp.")</f>
        <v>subsp.</v>
      </c>
      <c r="F4764" t="str">
        <f>IFERROR(__xludf.DUMMYFUNCTION("""COMPUTED_VALUE"""),"enterica")</f>
        <v>enterica</v>
      </c>
      <c r="G4764" t="str">
        <f>IFERROR(__xludf.DUMMYFUNCTION("""COMPUTED_VALUE"""),"serovar")</f>
        <v>serovar</v>
      </c>
      <c r="H4764" t="str">
        <f>IFERROR(__xludf.DUMMYFUNCTION("""COMPUTED_VALUE"""),"Enteritidis")</f>
        <v>Enteritidis</v>
      </c>
      <c r="I4764" t="str">
        <f>IFERROR(__xludf.DUMMYFUNCTION("""COMPUTED_VALUE"""),"str.")</f>
        <v>str.</v>
      </c>
      <c r="J4764" t="str">
        <f>IFERROR(__xludf.DUMMYFUNCTION("""COMPUTED_VALUE"""),"EC20121751")</f>
        <v>EC20121751</v>
      </c>
    </row>
    <row r="4765" ht="15.75" customHeight="1">
      <c r="A4765" t="str">
        <f t="shared" si="1"/>
        <v>S.enterica</v>
      </c>
      <c r="B4765" s="5" t="s">
        <v>29779</v>
      </c>
      <c r="C4765" s="6" t="str">
        <f>IFERROR(__xludf.DUMMYFUNCTION("SPLIT('2. c'!B4765, "" "", True, True)"),"Salmonella")</f>
        <v>Salmonella</v>
      </c>
      <c r="D4765" t="str">
        <f>IFERROR(__xludf.DUMMYFUNCTION("""COMPUTED_VALUE"""),"enterica")</f>
        <v>enterica</v>
      </c>
      <c r="E4765" t="str">
        <f>IFERROR(__xludf.DUMMYFUNCTION("""COMPUTED_VALUE"""),"subsp.")</f>
        <v>subsp.</v>
      </c>
      <c r="F4765" t="str">
        <f>IFERROR(__xludf.DUMMYFUNCTION("""COMPUTED_VALUE"""),"enterica")</f>
        <v>enterica</v>
      </c>
      <c r="G4765" t="str">
        <f>IFERROR(__xludf.DUMMYFUNCTION("""COMPUTED_VALUE"""),"serovar")</f>
        <v>serovar</v>
      </c>
      <c r="H4765" t="str">
        <f>IFERROR(__xludf.DUMMYFUNCTION("""COMPUTED_VALUE"""),"Enteritidis")</f>
        <v>Enteritidis</v>
      </c>
      <c r="I4765" t="str">
        <f>IFERROR(__xludf.DUMMYFUNCTION("""COMPUTED_VALUE"""),"str.")</f>
        <v>str.</v>
      </c>
      <c r="J4765" t="str">
        <f>IFERROR(__xludf.DUMMYFUNCTION("""COMPUTED_VALUE"""),"EC20121753")</f>
        <v>EC20121753</v>
      </c>
    </row>
    <row r="4766" ht="15.75" customHeight="1">
      <c r="A4766" t="str">
        <f t="shared" si="1"/>
        <v>S.enterica</v>
      </c>
      <c r="B4766" s="5" t="s">
        <v>29784</v>
      </c>
      <c r="C4766" s="6" t="str">
        <f>IFERROR(__xludf.DUMMYFUNCTION("SPLIT('2. c'!B4766, "" "", True, True)"),"Salmonella")</f>
        <v>Salmonella</v>
      </c>
      <c r="D4766" t="str">
        <f>IFERROR(__xludf.DUMMYFUNCTION("""COMPUTED_VALUE"""),"enterica")</f>
        <v>enterica</v>
      </c>
      <c r="E4766" t="str">
        <f>IFERROR(__xludf.DUMMYFUNCTION("""COMPUTED_VALUE"""),"subsp.")</f>
        <v>subsp.</v>
      </c>
      <c r="F4766" t="str">
        <f>IFERROR(__xludf.DUMMYFUNCTION("""COMPUTED_VALUE"""),"enterica")</f>
        <v>enterica</v>
      </c>
      <c r="G4766" t="str">
        <f>IFERROR(__xludf.DUMMYFUNCTION("""COMPUTED_VALUE"""),"serovar")</f>
        <v>serovar</v>
      </c>
      <c r="H4766" t="str">
        <f>IFERROR(__xludf.DUMMYFUNCTION("""COMPUTED_VALUE"""),"Enteritidis")</f>
        <v>Enteritidis</v>
      </c>
      <c r="I4766" t="str">
        <f>IFERROR(__xludf.DUMMYFUNCTION("""COMPUTED_VALUE"""),"str.")</f>
        <v>str.</v>
      </c>
      <c r="J4766" t="str">
        <f>IFERROR(__xludf.DUMMYFUNCTION("""COMPUTED_VALUE"""),"EC20121765")</f>
        <v>EC20121765</v>
      </c>
    </row>
    <row r="4767" ht="15.75" customHeight="1">
      <c r="A4767" t="str">
        <f t="shared" si="1"/>
        <v>S.enterica</v>
      </c>
      <c r="B4767" s="5" t="s">
        <v>29793</v>
      </c>
      <c r="C4767" s="6" t="str">
        <f>IFERROR(__xludf.DUMMYFUNCTION("SPLIT('2. c'!B4767, "" "", True, True)"),"Salmonella")</f>
        <v>Salmonella</v>
      </c>
      <c r="D4767" t="str">
        <f>IFERROR(__xludf.DUMMYFUNCTION("""COMPUTED_VALUE"""),"enterica")</f>
        <v>enterica</v>
      </c>
      <c r="E4767" t="str">
        <f>IFERROR(__xludf.DUMMYFUNCTION("""COMPUTED_VALUE"""),"subsp.")</f>
        <v>subsp.</v>
      </c>
      <c r="F4767" t="str">
        <f>IFERROR(__xludf.DUMMYFUNCTION("""COMPUTED_VALUE"""),"enterica")</f>
        <v>enterica</v>
      </c>
      <c r="G4767" t="str">
        <f>IFERROR(__xludf.DUMMYFUNCTION("""COMPUTED_VALUE"""),"serovar")</f>
        <v>serovar</v>
      </c>
      <c r="H4767" t="str">
        <f>IFERROR(__xludf.DUMMYFUNCTION("""COMPUTED_VALUE"""),"Enteritidis")</f>
        <v>Enteritidis</v>
      </c>
      <c r="I4767" t="str">
        <f>IFERROR(__xludf.DUMMYFUNCTION("""COMPUTED_VALUE"""),"str.")</f>
        <v>str.</v>
      </c>
      <c r="J4767" t="str">
        <f>IFERROR(__xludf.DUMMYFUNCTION("""COMPUTED_VALUE"""),"EC20121812")</f>
        <v>EC20121812</v>
      </c>
    </row>
    <row r="4768" ht="15.75" customHeight="1">
      <c r="A4768" t="str">
        <f t="shared" si="1"/>
        <v>S.enterica</v>
      </c>
      <c r="B4768" s="5" t="s">
        <v>29801</v>
      </c>
      <c r="C4768" s="6" t="str">
        <f>IFERROR(__xludf.DUMMYFUNCTION("SPLIT('2. c'!B4768, "" "", True, True)"),"Salmonella")</f>
        <v>Salmonella</v>
      </c>
      <c r="D4768" t="str">
        <f>IFERROR(__xludf.DUMMYFUNCTION("""COMPUTED_VALUE"""),"enterica")</f>
        <v>enterica</v>
      </c>
      <c r="E4768" t="str">
        <f>IFERROR(__xludf.DUMMYFUNCTION("""COMPUTED_VALUE"""),"subsp.")</f>
        <v>subsp.</v>
      </c>
      <c r="F4768" t="str">
        <f>IFERROR(__xludf.DUMMYFUNCTION("""COMPUTED_VALUE"""),"enterica")</f>
        <v>enterica</v>
      </c>
      <c r="G4768" t="str">
        <f>IFERROR(__xludf.DUMMYFUNCTION("""COMPUTED_VALUE"""),"serovar")</f>
        <v>serovar</v>
      </c>
      <c r="H4768" t="str">
        <f>IFERROR(__xludf.DUMMYFUNCTION("""COMPUTED_VALUE"""),"Enteritidis")</f>
        <v>Enteritidis</v>
      </c>
      <c r="I4768" t="str">
        <f>IFERROR(__xludf.DUMMYFUNCTION("""COMPUTED_VALUE"""),"str.")</f>
        <v>str.</v>
      </c>
      <c r="J4768" t="str">
        <f>IFERROR(__xludf.DUMMYFUNCTION("""COMPUTED_VALUE"""),"EC20121825")</f>
        <v>EC20121825</v>
      </c>
    </row>
    <row r="4769" ht="15.75" customHeight="1">
      <c r="A4769" t="str">
        <f t="shared" si="1"/>
        <v>S.enterica</v>
      </c>
      <c r="B4769" s="5" t="s">
        <v>29809</v>
      </c>
      <c r="C4769" s="6" t="str">
        <f>IFERROR(__xludf.DUMMYFUNCTION("SPLIT('2. c'!B4769, "" "", True, True)"),"Salmonella")</f>
        <v>Salmonella</v>
      </c>
      <c r="D4769" t="str">
        <f>IFERROR(__xludf.DUMMYFUNCTION("""COMPUTED_VALUE"""),"enterica")</f>
        <v>enterica</v>
      </c>
      <c r="E4769" t="str">
        <f>IFERROR(__xludf.DUMMYFUNCTION("""COMPUTED_VALUE"""),"subsp.")</f>
        <v>subsp.</v>
      </c>
      <c r="F4769" t="str">
        <f>IFERROR(__xludf.DUMMYFUNCTION("""COMPUTED_VALUE"""),"enterica")</f>
        <v>enterica</v>
      </c>
      <c r="G4769" t="str">
        <f>IFERROR(__xludf.DUMMYFUNCTION("""COMPUTED_VALUE"""),"serovar")</f>
        <v>serovar</v>
      </c>
      <c r="H4769" t="str">
        <f>IFERROR(__xludf.DUMMYFUNCTION("""COMPUTED_VALUE"""),"Enteritidis")</f>
        <v>Enteritidis</v>
      </c>
      <c r="I4769" t="str">
        <f>IFERROR(__xludf.DUMMYFUNCTION("""COMPUTED_VALUE"""),"str.")</f>
        <v>str.</v>
      </c>
      <c r="J4769" t="str">
        <f>IFERROR(__xludf.DUMMYFUNCTION("""COMPUTED_VALUE"""),"EC20121826")</f>
        <v>EC20121826</v>
      </c>
    </row>
    <row r="4770" ht="15.75" customHeight="1">
      <c r="A4770" t="str">
        <f t="shared" si="1"/>
        <v>S.enterica</v>
      </c>
      <c r="B4770" s="5" t="s">
        <v>29817</v>
      </c>
      <c r="C4770" s="6" t="str">
        <f>IFERROR(__xludf.DUMMYFUNCTION("SPLIT('2. c'!B4770, "" "", True, True)"),"Salmonella")</f>
        <v>Salmonella</v>
      </c>
      <c r="D4770" t="str">
        <f>IFERROR(__xludf.DUMMYFUNCTION("""COMPUTED_VALUE"""),"enterica")</f>
        <v>enterica</v>
      </c>
      <c r="E4770" t="str">
        <f>IFERROR(__xludf.DUMMYFUNCTION("""COMPUTED_VALUE"""),"subsp.")</f>
        <v>subsp.</v>
      </c>
      <c r="F4770" t="str">
        <f>IFERROR(__xludf.DUMMYFUNCTION("""COMPUTED_VALUE"""),"enterica")</f>
        <v>enterica</v>
      </c>
      <c r="G4770" t="str">
        <f>IFERROR(__xludf.DUMMYFUNCTION("""COMPUTED_VALUE"""),"serovar")</f>
        <v>serovar</v>
      </c>
      <c r="H4770" t="str">
        <f>IFERROR(__xludf.DUMMYFUNCTION("""COMPUTED_VALUE"""),"Enteritidis")</f>
        <v>Enteritidis</v>
      </c>
      <c r="I4770" t="str">
        <f>IFERROR(__xludf.DUMMYFUNCTION("""COMPUTED_VALUE"""),"str.")</f>
        <v>str.</v>
      </c>
      <c r="J4770" t="str">
        <f>IFERROR(__xludf.DUMMYFUNCTION("""COMPUTED_VALUE"""),"EC20121969")</f>
        <v>EC20121969</v>
      </c>
    </row>
    <row r="4771" ht="15.75" customHeight="1">
      <c r="A4771" t="str">
        <f t="shared" si="1"/>
        <v>S.enterica</v>
      </c>
      <c r="B4771" s="5" t="s">
        <v>29826</v>
      </c>
      <c r="C4771" s="6" t="str">
        <f>IFERROR(__xludf.DUMMYFUNCTION("SPLIT('2. c'!B4771, "" "", True, True)"),"Salmonella")</f>
        <v>Salmonella</v>
      </c>
      <c r="D4771" t="str">
        <f>IFERROR(__xludf.DUMMYFUNCTION("""COMPUTED_VALUE"""),"enterica")</f>
        <v>enterica</v>
      </c>
      <c r="E4771" t="str">
        <f>IFERROR(__xludf.DUMMYFUNCTION("""COMPUTED_VALUE"""),"subsp.")</f>
        <v>subsp.</v>
      </c>
      <c r="F4771" t="str">
        <f>IFERROR(__xludf.DUMMYFUNCTION("""COMPUTED_VALUE"""),"enterica")</f>
        <v>enterica</v>
      </c>
      <c r="G4771" t="str">
        <f>IFERROR(__xludf.DUMMYFUNCTION("""COMPUTED_VALUE"""),"serovar")</f>
        <v>serovar</v>
      </c>
      <c r="H4771" t="str">
        <f>IFERROR(__xludf.DUMMYFUNCTION("""COMPUTED_VALUE"""),"Enteritidis")</f>
        <v>Enteritidis</v>
      </c>
      <c r="I4771" t="str">
        <f>IFERROR(__xludf.DUMMYFUNCTION("""COMPUTED_VALUE"""),"str.")</f>
        <v>str.</v>
      </c>
      <c r="J4771" t="str">
        <f>IFERROR(__xludf.DUMMYFUNCTION("""COMPUTED_VALUE"""),"EC20121970")</f>
        <v>EC20121970</v>
      </c>
    </row>
    <row r="4772" ht="15.75" customHeight="1">
      <c r="A4772" t="str">
        <f t="shared" si="1"/>
        <v>S.enterica</v>
      </c>
      <c r="B4772" s="5" t="s">
        <v>29834</v>
      </c>
      <c r="C4772" s="6" t="str">
        <f>IFERROR(__xludf.DUMMYFUNCTION("SPLIT('2. c'!B4772, "" "", True, True)"),"Salmonella")</f>
        <v>Salmonella</v>
      </c>
      <c r="D4772" t="str">
        <f>IFERROR(__xludf.DUMMYFUNCTION("""COMPUTED_VALUE"""),"enterica")</f>
        <v>enterica</v>
      </c>
      <c r="E4772" t="str">
        <f>IFERROR(__xludf.DUMMYFUNCTION("""COMPUTED_VALUE"""),"subsp.")</f>
        <v>subsp.</v>
      </c>
      <c r="F4772" t="str">
        <f>IFERROR(__xludf.DUMMYFUNCTION("""COMPUTED_VALUE"""),"enterica")</f>
        <v>enterica</v>
      </c>
      <c r="G4772" t="str">
        <f>IFERROR(__xludf.DUMMYFUNCTION("""COMPUTED_VALUE"""),"serovar")</f>
        <v>serovar</v>
      </c>
      <c r="H4772" t="str">
        <f>IFERROR(__xludf.DUMMYFUNCTION("""COMPUTED_VALUE"""),"Enteritidis")</f>
        <v>Enteritidis</v>
      </c>
      <c r="I4772" t="str">
        <f>IFERROR(__xludf.DUMMYFUNCTION("""COMPUTED_VALUE"""),"str.")</f>
        <v>str.</v>
      </c>
      <c r="J4772" t="str">
        <f>IFERROR(__xludf.DUMMYFUNCTION("""COMPUTED_VALUE"""),"EC20121976")</f>
        <v>EC20121976</v>
      </c>
    </row>
    <row r="4773" ht="15.75" customHeight="1">
      <c r="A4773" t="str">
        <f t="shared" si="1"/>
        <v>S.enterica</v>
      </c>
      <c r="B4773" s="5" t="s">
        <v>29841</v>
      </c>
      <c r="C4773" s="6" t="str">
        <f>IFERROR(__xludf.DUMMYFUNCTION("SPLIT('2. c'!B4773, "" "", True, True)"),"Salmonella")</f>
        <v>Salmonella</v>
      </c>
      <c r="D4773" t="str">
        <f>IFERROR(__xludf.DUMMYFUNCTION("""COMPUTED_VALUE"""),"enterica")</f>
        <v>enterica</v>
      </c>
      <c r="E4773" t="str">
        <f>IFERROR(__xludf.DUMMYFUNCTION("""COMPUTED_VALUE"""),"subsp.")</f>
        <v>subsp.</v>
      </c>
      <c r="F4773" t="str">
        <f>IFERROR(__xludf.DUMMYFUNCTION("""COMPUTED_VALUE"""),"enterica")</f>
        <v>enterica</v>
      </c>
      <c r="G4773" t="str">
        <f>IFERROR(__xludf.DUMMYFUNCTION("""COMPUTED_VALUE"""),"serovar")</f>
        <v>serovar</v>
      </c>
      <c r="H4773" t="str">
        <f>IFERROR(__xludf.DUMMYFUNCTION("""COMPUTED_VALUE"""),"Enteritidis")</f>
        <v>Enteritidis</v>
      </c>
      <c r="I4773" t="str">
        <f>IFERROR(__xludf.DUMMYFUNCTION("""COMPUTED_VALUE"""),"str.")</f>
        <v>str.</v>
      </c>
      <c r="J4773" t="str">
        <f>IFERROR(__xludf.DUMMYFUNCTION("""COMPUTED_VALUE"""),"EC20121986")</f>
        <v>EC20121986</v>
      </c>
    </row>
    <row r="4774" ht="15.75" customHeight="1">
      <c r="A4774" t="str">
        <f t="shared" si="1"/>
        <v>S.enterica</v>
      </c>
      <c r="B4774" s="5" t="s">
        <v>29849</v>
      </c>
      <c r="C4774" s="6" t="str">
        <f>IFERROR(__xludf.DUMMYFUNCTION("SPLIT('2. c'!B4774, "" "", True, True)"),"Salmonella")</f>
        <v>Salmonella</v>
      </c>
      <c r="D4774" t="str">
        <f>IFERROR(__xludf.DUMMYFUNCTION("""COMPUTED_VALUE"""),"enterica")</f>
        <v>enterica</v>
      </c>
      <c r="E4774" t="str">
        <f>IFERROR(__xludf.DUMMYFUNCTION("""COMPUTED_VALUE"""),"subsp.")</f>
        <v>subsp.</v>
      </c>
      <c r="F4774" t="str">
        <f>IFERROR(__xludf.DUMMYFUNCTION("""COMPUTED_VALUE"""),"enterica")</f>
        <v>enterica</v>
      </c>
      <c r="G4774" t="str">
        <f>IFERROR(__xludf.DUMMYFUNCTION("""COMPUTED_VALUE"""),"serovar")</f>
        <v>serovar</v>
      </c>
      <c r="H4774" t="str">
        <f>IFERROR(__xludf.DUMMYFUNCTION("""COMPUTED_VALUE"""),"Enteritidis")</f>
        <v>Enteritidis</v>
      </c>
      <c r="I4774" t="str">
        <f>IFERROR(__xludf.DUMMYFUNCTION("""COMPUTED_VALUE"""),"str.")</f>
        <v>str.</v>
      </c>
      <c r="J4774" t="str">
        <f>IFERROR(__xludf.DUMMYFUNCTION("""COMPUTED_VALUE"""),"EC20121989")</f>
        <v>EC20121989</v>
      </c>
    </row>
    <row r="4775" ht="15.75" customHeight="1">
      <c r="A4775" t="str">
        <f t="shared" si="1"/>
        <v>S.enterica</v>
      </c>
      <c r="B4775" s="5" t="s">
        <v>29858</v>
      </c>
      <c r="C4775" s="6" t="str">
        <f>IFERROR(__xludf.DUMMYFUNCTION("SPLIT('2. c'!B4775, "" "", True, True)"),"Salmonella")</f>
        <v>Salmonella</v>
      </c>
      <c r="D4775" t="str">
        <f>IFERROR(__xludf.DUMMYFUNCTION("""COMPUTED_VALUE"""),"enterica")</f>
        <v>enterica</v>
      </c>
      <c r="E4775" t="str">
        <f>IFERROR(__xludf.DUMMYFUNCTION("""COMPUTED_VALUE"""),"subsp.")</f>
        <v>subsp.</v>
      </c>
      <c r="F4775" t="str">
        <f>IFERROR(__xludf.DUMMYFUNCTION("""COMPUTED_VALUE"""),"enterica")</f>
        <v>enterica</v>
      </c>
      <c r="G4775" t="str">
        <f>IFERROR(__xludf.DUMMYFUNCTION("""COMPUTED_VALUE"""),"serovar")</f>
        <v>serovar</v>
      </c>
      <c r="H4775" t="str">
        <f>IFERROR(__xludf.DUMMYFUNCTION("""COMPUTED_VALUE"""),"Enteritidis")</f>
        <v>Enteritidis</v>
      </c>
      <c r="I4775" t="str">
        <f>IFERROR(__xludf.DUMMYFUNCTION("""COMPUTED_VALUE"""),"str.")</f>
        <v>str.</v>
      </c>
      <c r="J4775" t="str">
        <f>IFERROR(__xludf.DUMMYFUNCTION("""COMPUTED_VALUE"""),"EC20121990")</f>
        <v>EC20121990</v>
      </c>
    </row>
    <row r="4776" ht="15.75" customHeight="1">
      <c r="A4776" t="str">
        <f t="shared" si="1"/>
        <v>S.enterica</v>
      </c>
      <c r="B4776" s="5" t="s">
        <v>29865</v>
      </c>
      <c r="C4776" s="6" t="str">
        <f>IFERROR(__xludf.DUMMYFUNCTION("SPLIT('2. c'!B4776, "" "", True, True)"),"Salmonella")</f>
        <v>Salmonella</v>
      </c>
      <c r="D4776" t="str">
        <f>IFERROR(__xludf.DUMMYFUNCTION("""COMPUTED_VALUE"""),"enterica")</f>
        <v>enterica</v>
      </c>
      <c r="E4776" t="str">
        <f>IFERROR(__xludf.DUMMYFUNCTION("""COMPUTED_VALUE"""),"subsp.")</f>
        <v>subsp.</v>
      </c>
      <c r="F4776" t="str">
        <f>IFERROR(__xludf.DUMMYFUNCTION("""COMPUTED_VALUE"""),"enterica")</f>
        <v>enterica</v>
      </c>
      <c r="G4776" t="str">
        <f>IFERROR(__xludf.DUMMYFUNCTION("""COMPUTED_VALUE"""),"serovar")</f>
        <v>serovar</v>
      </c>
      <c r="H4776" t="str">
        <f>IFERROR(__xludf.DUMMYFUNCTION("""COMPUTED_VALUE"""),"Enteritidis")</f>
        <v>Enteritidis</v>
      </c>
      <c r="I4776" t="str">
        <f>IFERROR(__xludf.DUMMYFUNCTION("""COMPUTED_VALUE"""),"str.")</f>
        <v>str.</v>
      </c>
      <c r="J4776" t="str">
        <f>IFERROR(__xludf.DUMMYFUNCTION("""COMPUTED_VALUE"""),"EC20122022")</f>
        <v>EC20122022</v>
      </c>
    </row>
    <row r="4777" ht="15.75" customHeight="1">
      <c r="A4777" t="str">
        <f t="shared" si="1"/>
        <v>S.enterica</v>
      </c>
      <c r="B4777" s="5" t="s">
        <v>29872</v>
      </c>
      <c r="C4777" s="6" t="str">
        <f>IFERROR(__xludf.DUMMYFUNCTION("SPLIT('2. c'!B4777, "" "", True, True)"),"Salmonella")</f>
        <v>Salmonella</v>
      </c>
      <c r="D4777" t="str">
        <f>IFERROR(__xludf.DUMMYFUNCTION("""COMPUTED_VALUE"""),"enterica")</f>
        <v>enterica</v>
      </c>
      <c r="E4777" t="str">
        <f>IFERROR(__xludf.DUMMYFUNCTION("""COMPUTED_VALUE"""),"subsp.")</f>
        <v>subsp.</v>
      </c>
      <c r="F4777" t="str">
        <f>IFERROR(__xludf.DUMMYFUNCTION("""COMPUTED_VALUE"""),"enterica")</f>
        <v>enterica</v>
      </c>
      <c r="G4777" t="str">
        <f>IFERROR(__xludf.DUMMYFUNCTION("""COMPUTED_VALUE"""),"serovar")</f>
        <v>serovar</v>
      </c>
      <c r="H4777" t="str">
        <f>IFERROR(__xludf.DUMMYFUNCTION("""COMPUTED_VALUE"""),"Enteritidis")</f>
        <v>Enteritidis</v>
      </c>
      <c r="I4777" t="str">
        <f>IFERROR(__xludf.DUMMYFUNCTION("""COMPUTED_VALUE"""),"str.")</f>
        <v>str.</v>
      </c>
      <c r="J4777" t="str">
        <f>IFERROR(__xludf.DUMMYFUNCTION("""COMPUTED_VALUE"""),"EC20122026")</f>
        <v>EC20122026</v>
      </c>
    </row>
    <row r="4778" ht="15.75" customHeight="1">
      <c r="A4778" t="str">
        <f t="shared" si="1"/>
        <v>S.enterica</v>
      </c>
      <c r="B4778" s="5" t="s">
        <v>29880</v>
      </c>
      <c r="C4778" s="6" t="str">
        <f>IFERROR(__xludf.DUMMYFUNCTION("SPLIT('2. c'!B4778, "" "", True, True)"),"Salmonella")</f>
        <v>Salmonella</v>
      </c>
      <c r="D4778" t="str">
        <f>IFERROR(__xludf.DUMMYFUNCTION("""COMPUTED_VALUE"""),"enterica")</f>
        <v>enterica</v>
      </c>
      <c r="E4778" t="str">
        <f>IFERROR(__xludf.DUMMYFUNCTION("""COMPUTED_VALUE"""),"subsp.")</f>
        <v>subsp.</v>
      </c>
      <c r="F4778" t="str">
        <f>IFERROR(__xludf.DUMMYFUNCTION("""COMPUTED_VALUE"""),"enterica")</f>
        <v>enterica</v>
      </c>
      <c r="G4778" t="str">
        <f>IFERROR(__xludf.DUMMYFUNCTION("""COMPUTED_VALUE"""),"serovar")</f>
        <v>serovar</v>
      </c>
      <c r="H4778" t="str">
        <f>IFERROR(__xludf.DUMMYFUNCTION("""COMPUTED_VALUE"""),"Enteritidis")</f>
        <v>Enteritidis</v>
      </c>
      <c r="I4778" t="str">
        <f>IFERROR(__xludf.DUMMYFUNCTION("""COMPUTED_VALUE"""),"str.")</f>
        <v>str.</v>
      </c>
      <c r="J4778" t="str">
        <f>IFERROR(__xludf.DUMMYFUNCTION("""COMPUTED_VALUE"""),"EC20122031")</f>
        <v>EC20122031</v>
      </c>
    </row>
    <row r="4779" ht="15.75" customHeight="1">
      <c r="A4779" t="str">
        <f t="shared" si="1"/>
        <v>S.enterica</v>
      </c>
      <c r="B4779" s="5" t="s">
        <v>29889</v>
      </c>
      <c r="C4779" s="6" t="str">
        <f>IFERROR(__xludf.DUMMYFUNCTION("SPLIT('2. c'!B4779, "" "", True, True)"),"Salmonella")</f>
        <v>Salmonella</v>
      </c>
      <c r="D4779" t="str">
        <f>IFERROR(__xludf.DUMMYFUNCTION("""COMPUTED_VALUE"""),"enterica")</f>
        <v>enterica</v>
      </c>
      <c r="E4779" t="str">
        <f>IFERROR(__xludf.DUMMYFUNCTION("""COMPUTED_VALUE"""),"subsp.")</f>
        <v>subsp.</v>
      </c>
      <c r="F4779" t="str">
        <f>IFERROR(__xludf.DUMMYFUNCTION("""COMPUTED_VALUE"""),"enterica")</f>
        <v>enterica</v>
      </c>
      <c r="G4779" t="str">
        <f>IFERROR(__xludf.DUMMYFUNCTION("""COMPUTED_VALUE"""),"serovar")</f>
        <v>serovar</v>
      </c>
      <c r="H4779" t="str">
        <f>IFERROR(__xludf.DUMMYFUNCTION("""COMPUTED_VALUE"""),"Enteritidis")</f>
        <v>Enteritidis</v>
      </c>
      <c r="I4779" t="str">
        <f>IFERROR(__xludf.DUMMYFUNCTION("""COMPUTED_VALUE"""),"str.")</f>
        <v>str.</v>
      </c>
      <c r="J4779" t="str">
        <f>IFERROR(__xludf.DUMMYFUNCTION("""COMPUTED_VALUE"""),"EC20122033")</f>
        <v>EC20122033</v>
      </c>
    </row>
    <row r="4780" ht="15.75" customHeight="1">
      <c r="A4780" t="str">
        <f t="shared" si="1"/>
        <v>S.enterica</v>
      </c>
      <c r="B4780" s="5" t="s">
        <v>29896</v>
      </c>
      <c r="C4780" s="6" t="str">
        <f>IFERROR(__xludf.DUMMYFUNCTION("SPLIT('2. c'!B4780, "" "", True, True)"),"Salmonella")</f>
        <v>Salmonella</v>
      </c>
      <c r="D4780" t="str">
        <f>IFERROR(__xludf.DUMMYFUNCTION("""COMPUTED_VALUE"""),"enterica")</f>
        <v>enterica</v>
      </c>
      <c r="E4780" t="str">
        <f>IFERROR(__xludf.DUMMYFUNCTION("""COMPUTED_VALUE"""),"subsp.")</f>
        <v>subsp.</v>
      </c>
      <c r="F4780" t="str">
        <f>IFERROR(__xludf.DUMMYFUNCTION("""COMPUTED_VALUE"""),"enterica")</f>
        <v>enterica</v>
      </c>
      <c r="G4780" t="str">
        <f>IFERROR(__xludf.DUMMYFUNCTION("""COMPUTED_VALUE"""),"serovar")</f>
        <v>serovar</v>
      </c>
      <c r="H4780" t="str">
        <f>IFERROR(__xludf.DUMMYFUNCTION("""COMPUTED_VALUE"""),"Enteritidis")</f>
        <v>Enteritidis</v>
      </c>
      <c r="I4780" t="str">
        <f>IFERROR(__xludf.DUMMYFUNCTION("""COMPUTED_VALUE"""),"str.")</f>
        <v>str.</v>
      </c>
      <c r="J4780" t="str">
        <f>IFERROR(__xludf.DUMMYFUNCTION("""COMPUTED_VALUE"""),"EC20122045")</f>
        <v>EC20122045</v>
      </c>
    </row>
    <row r="4781" ht="15.75" customHeight="1">
      <c r="A4781" t="str">
        <f t="shared" si="1"/>
        <v>S.enterica</v>
      </c>
      <c r="B4781" s="5" t="s">
        <v>29904</v>
      </c>
      <c r="C4781" s="6" t="str">
        <f>IFERROR(__xludf.DUMMYFUNCTION("SPLIT('2. c'!B4781, "" "", True, True)"),"Salmonella")</f>
        <v>Salmonella</v>
      </c>
      <c r="D4781" t="str">
        <f>IFERROR(__xludf.DUMMYFUNCTION("""COMPUTED_VALUE"""),"enterica")</f>
        <v>enterica</v>
      </c>
      <c r="E4781" t="str">
        <f>IFERROR(__xludf.DUMMYFUNCTION("""COMPUTED_VALUE"""),"subsp.")</f>
        <v>subsp.</v>
      </c>
      <c r="F4781" t="str">
        <f>IFERROR(__xludf.DUMMYFUNCTION("""COMPUTED_VALUE"""),"enterica")</f>
        <v>enterica</v>
      </c>
      <c r="G4781" t="str">
        <f>IFERROR(__xludf.DUMMYFUNCTION("""COMPUTED_VALUE"""),"serovar")</f>
        <v>serovar</v>
      </c>
      <c r="H4781" t="str">
        <f>IFERROR(__xludf.DUMMYFUNCTION("""COMPUTED_VALUE"""),"Enteritidis")</f>
        <v>Enteritidis</v>
      </c>
      <c r="I4781" t="str">
        <f>IFERROR(__xludf.DUMMYFUNCTION("""COMPUTED_VALUE"""),"str.")</f>
        <v>str.</v>
      </c>
      <c r="J4781" t="str">
        <f>IFERROR(__xludf.DUMMYFUNCTION("""COMPUTED_VALUE"""),"EC20130345")</f>
        <v>EC20130345</v>
      </c>
    </row>
    <row r="4782" ht="15.75" customHeight="1">
      <c r="A4782" t="str">
        <f t="shared" si="1"/>
        <v>S.enterica</v>
      </c>
      <c r="B4782" s="5" t="s">
        <v>29913</v>
      </c>
      <c r="C4782" s="6" t="str">
        <f>IFERROR(__xludf.DUMMYFUNCTION("SPLIT('2. c'!B4782, "" "", True, True)"),"Salmonella")</f>
        <v>Salmonella</v>
      </c>
      <c r="D4782" t="str">
        <f>IFERROR(__xludf.DUMMYFUNCTION("""COMPUTED_VALUE"""),"enterica")</f>
        <v>enterica</v>
      </c>
      <c r="E4782" t="str">
        <f>IFERROR(__xludf.DUMMYFUNCTION("""COMPUTED_VALUE"""),"subsp.")</f>
        <v>subsp.</v>
      </c>
      <c r="F4782" t="str">
        <f>IFERROR(__xludf.DUMMYFUNCTION("""COMPUTED_VALUE"""),"enterica")</f>
        <v>enterica</v>
      </c>
      <c r="G4782" t="str">
        <f>IFERROR(__xludf.DUMMYFUNCTION("""COMPUTED_VALUE"""),"serovar")</f>
        <v>serovar</v>
      </c>
      <c r="H4782" t="str">
        <f>IFERROR(__xludf.DUMMYFUNCTION("""COMPUTED_VALUE"""),"Enteritidis")</f>
        <v>Enteritidis</v>
      </c>
      <c r="I4782" t="str">
        <f>IFERROR(__xludf.DUMMYFUNCTION("""COMPUTED_VALUE"""),"str.")</f>
        <v>str.</v>
      </c>
      <c r="J4782" t="str">
        <f>IFERROR(__xludf.DUMMYFUNCTION("""COMPUTED_VALUE"""),"EC20130346")</f>
        <v>EC20130346</v>
      </c>
    </row>
    <row r="4783" ht="15.75" customHeight="1">
      <c r="A4783" t="str">
        <f t="shared" si="1"/>
        <v>S.enterica</v>
      </c>
      <c r="B4783" s="5" t="s">
        <v>29921</v>
      </c>
      <c r="C4783" s="6" t="str">
        <f>IFERROR(__xludf.DUMMYFUNCTION("SPLIT('2. c'!B4783, "" "", True, True)"),"Salmonella")</f>
        <v>Salmonella</v>
      </c>
      <c r="D4783" t="str">
        <f>IFERROR(__xludf.DUMMYFUNCTION("""COMPUTED_VALUE"""),"enterica")</f>
        <v>enterica</v>
      </c>
      <c r="E4783" t="str">
        <f>IFERROR(__xludf.DUMMYFUNCTION("""COMPUTED_VALUE"""),"subsp.")</f>
        <v>subsp.</v>
      </c>
      <c r="F4783" t="str">
        <f>IFERROR(__xludf.DUMMYFUNCTION("""COMPUTED_VALUE"""),"enterica")</f>
        <v>enterica</v>
      </c>
      <c r="G4783" t="str">
        <f>IFERROR(__xludf.DUMMYFUNCTION("""COMPUTED_VALUE"""),"serovar")</f>
        <v>serovar</v>
      </c>
      <c r="H4783" t="str">
        <f>IFERROR(__xludf.DUMMYFUNCTION("""COMPUTED_VALUE"""),"Enteritidis")</f>
        <v>Enteritidis</v>
      </c>
      <c r="I4783" t="str">
        <f>IFERROR(__xludf.DUMMYFUNCTION("""COMPUTED_VALUE"""),"str.")</f>
        <v>str.</v>
      </c>
      <c r="J4783" t="str">
        <f>IFERROR(__xludf.DUMMYFUNCTION("""COMPUTED_VALUE"""),"EC20130347")</f>
        <v>EC20130347</v>
      </c>
    </row>
    <row r="4784" ht="15.75" customHeight="1">
      <c r="A4784" t="str">
        <f t="shared" si="1"/>
        <v>S.enterica</v>
      </c>
      <c r="B4784" s="5" t="s">
        <v>29928</v>
      </c>
      <c r="C4784" s="6" t="str">
        <f>IFERROR(__xludf.DUMMYFUNCTION("SPLIT('2. c'!B4784, "" "", True, True)"),"Salmonella")</f>
        <v>Salmonella</v>
      </c>
      <c r="D4784" t="str">
        <f>IFERROR(__xludf.DUMMYFUNCTION("""COMPUTED_VALUE"""),"enterica")</f>
        <v>enterica</v>
      </c>
      <c r="E4784" t="str">
        <f>IFERROR(__xludf.DUMMYFUNCTION("""COMPUTED_VALUE"""),"subsp.")</f>
        <v>subsp.</v>
      </c>
      <c r="F4784" t="str">
        <f>IFERROR(__xludf.DUMMYFUNCTION("""COMPUTED_VALUE"""),"enterica")</f>
        <v>enterica</v>
      </c>
      <c r="G4784" t="str">
        <f>IFERROR(__xludf.DUMMYFUNCTION("""COMPUTED_VALUE"""),"serovar")</f>
        <v>serovar</v>
      </c>
      <c r="H4784" t="str">
        <f>IFERROR(__xludf.DUMMYFUNCTION("""COMPUTED_VALUE"""),"Enteritidis")</f>
        <v>Enteritidis</v>
      </c>
      <c r="I4784" t="str">
        <f>IFERROR(__xludf.DUMMYFUNCTION("""COMPUTED_VALUE"""),"str.")</f>
        <v>str.</v>
      </c>
      <c r="J4784" t="str">
        <f>IFERROR(__xludf.DUMMYFUNCTION("""COMPUTED_VALUE"""),"EC20130348")</f>
        <v>EC20130348</v>
      </c>
    </row>
    <row r="4785" ht="15.75" customHeight="1">
      <c r="A4785" t="str">
        <f t="shared" si="1"/>
        <v>S.enterica</v>
      </c>
      <c r="B4785" s="5" t="s">
        <v>29938</v>
      </c>
      <c r="C4785" s="6" t="str">
        <f>IFERROR(__xludf.DUMMYFUNCTION("SPLIT('2. c'!B4785, "" "", True, True)"),"Salmonella")</f>
        <v>Salmonella</v>
      </c>
      <c r="D4785" t="str">
        <f>IFERROR(__xludf.DUMMYFUNCTION("""COMPUTED_VALUE"""),"enterica")</f>
        <v>enterica</v>
      </c>
      <c r="E4785" t="str">
        <f>IFERROR(__xludf.DUMMYFUNCTION("""COMPUTED_VALUE"""),"subsp.")</f>
        <v>subsp.</v>
      </c>
      <c r="F4785" t="str">
        <f>IFERROR(__xludf.DUMMYFUNCTION("""COMPUTED_VALUE"""),"enterica")</f>
        <v>enterica</v>
      </c>
      <c r="G4785" t="str">
        <f>IFERROR(__xludf.DUMMYFUNCTION("""COMPUTED_VALUE"""),"serovar")</f>
        <v>serovar</v>
      </c>
      <c r="H4785" t="str">
        <f>IFERROR(__xludf.DUMMYFUNCTION("""COMPUTED_VALUE"""),"Enteritidis")</f>
        <v>Enteritidis</v>
      </c>
      <c r="I4785" t="str">
        <f>IFERROR(__xludf.DUMMYFUNCTION("""COMPUTED_VALUE"""),"str.")</f>
        <v>str.</v>
      </c>
      <c r="J4785" t="str">
        <f>IFERROR(__xludf.DUMMYFUNCTION("""COMPUTED_VALUE"""),"P125109")</f>
        <v>P125109</v>
      </c>
    </row>
    <row r="4786" ht="15.75" customHeight="1">
      <c r="A4786" t="str">
        <f t="shared" si="1"/>
        <v>S.enterica</v>
      </c>
      <c r="B4786" s="5" t="s">
        <v>29946</v>
      </c>
      <c r="C4786" s="6" t="str">
        <f>IFERROR(__xludf.DUMMYFUNCTION("SPLIT('2. c'!B4786, "" "", True, True)"),"Salmonella")</f>
        <v>Salmonella</v>
      </c>
      <c r="D4786" t="str">
        <f>IFERROR(__xludf.DUMMYFUNCTION("""COMPUTED_VALUE"""),"enterica")</f>
        <v>enterica</v>
      </c>
      <c r="E4786" t="str">
        <f>IFERROR(__xludf.DUMMYFUNCTION("""COMPUTED_VALUE"""),"subsp.")</f>
        <v>subsp.</v>
      </c>
      <c r="F4786" t="str">
        <f>IFERROR(__xludf.DUMMYFUNCTION("""COMPUTED_VALUE"""),"enterica")</f>
        <v>enterica</v>
      </c>
      <c r="G4786" t="str">
        <f>IFERROR(__xludf.DUMMYFUNCTION("""COMPUTED_VALUE"""),"serovar")</f>
        <v>serovar</v>
      </c>
      <c r="H4786" t="str">
        <f>IFERROR(__xludf.DUMMYFUNCTION("""COMPUTED_VALUE"""),"Enteritidis")</f>
        <v>Enteritidis</v>
      </c>
      <c r="I4786" t="str">
        <f>IFERROR(__xludf.DUMMYFUNCTION("""COMPUTED_VALUE"""),"str.")</f>
        <v>str.</v>
      </c>
      <c r="J4786" t="str">
        <f>IFERROR(__xludf.DUMMYFUNCTION("""COMPUTED_VALUE"""),"SA19930684")</f>
        <v>SA19930684</v>
      </c>
    </row>
    <row r="4787" ht="15.75" customHeight="1">
      <c r="A4787" t="str">
        <f t="shared" si="1"/>
        <v>S.enterica</v>
      </c>
      <c r="B4787" s="5" t="s">
        <v>29954</v>
      </c>
      <c r="C4787" s="6" t="str">
        <f>IFERROR(__xludf.DUMMYFUNCTION("SPLIT('2. c'!B4787, "" "", True, True)"),"Salmonella")</f>
        <v>Salmonella</v>
      </c>
      <c r="D4787" t="str">
        <f>IFERROR(__xludf.DUMMYFUNCTION("""COMPUTED_VALUE"""),"enterica")</f>
        <v>enterica</v>
      </c>
      <c r="E4787" t="str">
        <f>IFERROR(__xludf.DUMMYFUNCTION("""COMPUTED_VALUE"""),"subsp.")</f>
        <v>subsp.</v>
      </c>
      <c r="F4787" t="str">
        <f>IFERROR(__xludf.DUMMYFUNCTION("""COMPUTED_VALUE"""),"enterica")</f>
        <v>enterica</v>
      </c>
      <c r="G4787" t="str">
        <f>IFERROR(__xludf.DUMMYFUNCTION("""COMPUTED_VALUE"""),"serovar")</f>
        <v>serovar</v>
      </c>
      <c r="H4787" t="str">
        <f>IFERROR(__xludf.DUMMYFUNCTION("""COMPUTED_VALUE"""),"Enteritidis")</f>
        <v>Enteritidis</v>
      </c>
      <c r="I4787" t="str">
        <f>IFERROR(__xludf.DUMMYFUNCTION("""COMPUTED_VALUE"""),"str.")</f>
        <v>str.</v>
      </c>
      <c r="J4787" t="str">
        <f>IFERROR(__xludf.DUMMYFUNCTION("""COMPUTED_VALUE"""),"SA19940857")</f>
        <v>SA19940857</v>
      </c>
    </row>
    <row r="4788" ht="15.75" customHeight="1">
      <c r="A4788" t="str">
        <f t="shared" si="1"/>
        <v>S.enterica</v>
      </c>
      <c r="B4788" s="5" t="s">
        <v>29961</v>
      </c>
      <c r="C4788" s="6" t="str">
        <f>IFERROR(__xludf.DUMMYFUNCTION("SPLIT('2. c'!B4788, "" "", True, True)"),"Salmonella")</f>
        <v>Salmonella</v>
      </c>
      <c r="D4788" t="str">
        <f>IFERROR(__xludf.DUMMYFUNCTION("""COMPUTED_VALUE"""),"enterica")</f>
        <v>enterica</v>
      </c>
      <c r="E4788" t="str">
        <f>IFERROR(__xludf.DUMMYFUNCTION("""COMPUTED_VALUE"""),"subsp.")</f>
        <v>subsp.</v>
      </c>
      <c r="F4788" t="str">
        <f>IFERROR(__xludf.DUMMYFUNCTION("""COMPUTED_VALUE"""),"enterica")</f>
        <v>enterica</v>
      </c>
      <c r="G4788" t="str">
        <f>IFERROR(__xludf.DUMMYFUNCTION("""COMPUTED_VALUE"""),"serovar")</f>
        <v>serovar</v>
      </c>
      <c r="H4788" t="str">
        <f>IFERROR(__xludf.DUMMYFUNCTION("""COMPUTED_VALUE"""),"Enteritidis")</f>
        <v>Enteritidis</v>
      </c>
      <c r="I4788" t="str">
        <f>IFERROR(__xludf.DUMMYFUNCTION("""COMPUTED_VALUE"""),"str.")</f>
        <v>str.</v>
      </c>
      <c r="J4788" t="str">
        <f>IFERROR(__xludf.DUMMYFUNCTION("""COMPUTED_VALUE"""),"SA19942384")</f>
        <v>SA19942384</v>
      </c>
    </row>
    <row r="4789" ht="15.75" customHeight="1">
      <c r="A4789" t="str">
        <f t="shared" si="1"/>
        <v>S.enterica</v>
      </c>
      <c r="B4789" s="5" t="s">
        <v>29967</v>
      </c>
      <c r="C4789" s="6" t="str">
        <f>IFERROR(__xludf.DUMMYFUNCTION("SPLIT('2. c'!B4789, "" "", True, True)"),"Salmonella")</f>
        <v>Salmonella</v>
      </c>
      <c r="D4789" t="str">
        <f>IFERROR(__xludf.DUMMYFUNCTION("""COMPUTED_VALUE"""),"enterica")</f>
        <v>enterica</v>
      </c>
      <c r="E4789" t="str">
        <f>IFERROR(__xludf.DUMMYFUNCTION("""COMPUTED_VALUE"""),"subsp.")</f>
        <v>subsp.</v>
      </c>
      <c r="F4789" t="str">
        <f>IFERROR(__xludf.DUMMYFUNCTION("""COMPUTED_VALUE"""),"enterica")</f>
        <v>enterica</v>
      </c>
      <c r="G4789" t="str">
        <f>IFERROR(__xludf.DUMMYFUNCTION("""COMPUTED_VALUE"""),"serovar")</f>
        <v>serovar</v>
      </c>
      <c r="H4789" t="str">
        <f>IFERROR(__xludf.DUMMYFUNCTION("""COMPUTED_VALUE"""),"Enteritidis")</f>
        <v>Enteritidis</v>
      </c>
      <c r="I4789" t="str">
        <f>IFERROR(__xludf.DUMMYFUNCTION("""COMPUTED_VALUE"""),"str.")</f>
        <v>str.</v>
      </c>
      <c r="J4789" t="str">
        <f>IFERROR(__xludf.DUMMYFUNCTION("""COMPUTED_VALUE"""),"SA19943269")</f>
        <v>SA19943269</v>
      </c>
    </row>
    <row r="4790" ht="15.75" customHeight="1">
      <c r="A4790" t="str">
        <f t="shared" si="1"/>
        <v>S.enterica</v>
      </c>
      <c r="B4790" s="5" t="s">
        <v>29978</v>
      </c>
      <c r="C4790" s="6" t="str">
        <f>IFERROR(__xludf.DUMMYFUNCTION("SPLIT('2. c'!B4790, "" "", True, True)"),"Salmonella")</f>
        <v>Salmonella</v>
      </c>
      <c r="D4790" t="str">
        <f>IFERROR(__xludf.DUMMYFUNCTION("""COMPUTED_VALUE"""),"enterica")</f>
        <v>enterica</v>
      </c>
      <c r="E4790" t="str">
        <f>IFERROR(__xludf.DUMMYFUNCTION("""COMPUTED_VALUE"""),"subsp.")</f>
        <v>subsp.</v>
      </c>
      <c r="F4790" t="str">
        <f>IFERROR(__xludf.DUMMYFUNCTION("""COMPUTED_VALUE"""),"enterica")</f>
        <v>enterica</v>
      </c>
      <c r="G4790" t="str">
        <f>IFERROR(__xludf.DUMMYFUNCTION("""COMPUTED_VALUE"""),"serovar")</f>
        <v>serovar</v>
      </c>
      <c r="H4790" t="str">
        <f>IFERROR(__xludf.DUMMYFUNCTION("""COMPUTED_VALUE"""),"Enteritidis")</f>
        <v>Enteritidis</v>
      </c>
      <c r="I4790" t="str">
        <f>IFERROR(__xludf.DUMMYFUNCTION("""COMPUTED_VALUE"""),"str.")</f>
        <v>str.</v>
      </c>
      <c r="J4790" t="str">
        <f>IFERROR(__xludf.DUMMYFUNCTION("""COMPUTED_VALUE"""),"SA19960848")</f>
        <v>SA19960848</v>
      </c>
    </row>
    <row r="4791" ht="15.75" customHeight="1">
      <c r="A4791" t="str">
        <f t="shared" si="1"/>
        <v>S.enterica</v>
      </c>
      <c r="B4791" s="5" t="s">
        <v>29986</v>
      </c>
      <c r="C4791" s="6" t="str">
        <f>IFERROR(__xludf.DUMMYFUNCTION("SPLIT('2. c'!B4791, "" "", True, True)"),"Salmonella")</f>
        <v>Salmonella</v>
      </c>
      <c r="D4791" t="str">
        <f>IFERROR(__xludf.DUMMYFUNCTION("""COMPUTED_VALUE"""),"enterica")</f>
        <v>enterica</v>
      </c>
      <c r="E4791" t="str">
        <f>IFERROR(__xludf.DUMMYFUNCTION("""COMPUTED_VALUE"""),"subsp.")</f>
        <v>subsp.</v>
      </c>
      <c r="F4791" t="str">
        <f>IFERROR(__xludf.DUMMYFUNCTION("""COMPUTED_VALUE"""),"enterica")</f>
        <v>enterica</v>
      </c>
      <c r="G4791" t="str">
        <f>IFERROR(__xludf.DUMMYFUNCTION("""COMPUTED_VALUE"""),"serovar")</f>
        <v>serovar</v>
      </c>
      <c r="H4791" t="str">
        <f>IFERROR(__xludf.DUMMYFUNCTION("""COMPUTED_VALUE"""),"Enteritidis")</f>
        <v>Enteritidis</v>
      </c>
      <c r="I4791" t="str">
        <f>IFERROR(__xludf.DUMMYFUNCTION("""COMPUTED_VALUE"""),"str.")</f>
        <v>str.</v>
      </c>
      <c r="J4791" t="str">
        <f>IFERROR(__xludf.DUMMYFUNCTION("""COMPUTED_VALUE"""),"SA19961622")</f>
        <v>SA19961622</v>
      </c>
    </row>
    <row r="4792" ht="15.75" customHeight="1">
      <c r="A4792" t="str">
        <f t="shared" si="1"/>
        <v>S.enterica</v>
      </c>
      <c r="B4792" s="5" t="s">
        <v>29993</v>
      </c>
      <c r="C4792" s="6" t="str">
        <f>IFERROR(__xludf.DUMMYFUNCTION("SPLIT('2. c'!B4792, "" "", True, True)"),"Salmonella")</f>
        <v>Salmonella</v>
      </c>
      <c r="D4792" t="str">
        <f>IFERROR(__xludf.DUMMYFUNCTION("""COMPUTED_VALUE"""),"enterica")</f>
        <v>enterica</v>
      </c>
      <c r="E4792" t="str">
        <f>IFERROR(__xludf.DUMMYFUNCTION("""COMPUTED_VALUE"""),"subsp.")</f>
        <v>subsp.</v>
      </c>
      <c r="F4792" t="str">
        <f>IFERROR(__xludf.DUMMYFUNCTION("""COMPUTED_VALUE"""),"enterica")</f>
        <v>enterica</v>
      </c>
      <c r="G4792" t="str">
        <f>IFERROR(__xludf.DUMMYFUNCTION("""COMPUTED_VALUE"""),"serovar")</f>
        <v>serovar</v>
      </c>
      <c r="H4792" t="str">
        <f>IFERROR(__xludf.DUMMYFUNCTION("""COMPUTED_VALUE"""),"Enteritidis")</f>
        <v>Enteritidis</v>
      </c>
      <c r="I4792" t="str">
        <f>IFERROR(__xludf.DUMMYFUNCTION("""COMPUTED_VALUE"""),"str.")</f>
        <v>str.</v>
      </c>
      <c r="J4792" t="str">
        <f>IFERROR(__xludf.DUMMYFUNCTION("""COMPUTED_VALUE"""),"SA19970510")</f>
        <v>SA19970510</v>
      </c>
    </row>
    <row r="4793" ht="15.75" customHeight="1">
      <c r="A4793" t="str">
        <f t="shared" si="1"/>
        <v>S.enterica</v>
      </c>
      <c r="B4793" s="5" t="s">
        <v>30001</v>
      </c>
      <c r="C4793" s="6" t="str">
        <f>IFERROR(__xludf.DUMMYFUNCTION("SPLIT('2. c'!B4793, "" "", True, True)"),"Salmonella")</f>
        <v>Salmonella</v>
      </c>
      <c r="D4793" t="str">
        <f>IFERROR(__xludf.DUMMYFUNCTION("""COMPUTED_VALUE"""),"enterica")</f>
        <v>enterica</v>
      </c>
      <c r="E4793" t="str">
        <f>IFERROR(__xludf.DUMMYFUNCTION("""COMPUTED_VALUE"""),"subsp.")</f>
        <v>subsp.</v>
      </c>
      <c r="F4793" t="str">
        <f>IFERROR(__xludf.DUMMYFUNCTION("""COMPUTED_VALUE"""),"enterica")</f>
        <v>enterica</v>
      </c>
      <c r="G4793" t="str">
        <f>IFERROR(__xludf.DUMMYFUNCTION("""COMPUTED_VALUE"""),"serovar")</f>
        <v>serovar</v>
      </c>
      <c r="H4793" t="str">
        <f>IFERROR(__xludf.DUMMYFUNCTION("""COMPUTED_VALUE"""),"Enteritidis")</f>
        <v>Enteritidis</v>
      </c>
      <c r="I4793" t="str">
        <f>IFERROR(__xludf.DUMMYFUNCTION("""COMPUTED_VALUE"""),"str.")</f>
        <v>str.</v>
      </c>
      <c r="J4793" t="str">
        <f>IFERROR(__xludf.DUMMYFUNCTION("""COMPUTED_VALUE"""),"SA19970769")</f>
        <v>SA19970769</v>
      </c>
    </row>
    <row r="4794" ht="15.75" customHeight="1">
      <c r="A4794" t="str">
        <f t="shared" si="1"/>
        <v>S.enterica</v>
      </c>
      <c r="B4794" s="5" t="s">
        <v>30010</v>
      </c>
      <c r="C4794" s="6" t="str">
        <f>IFERROR(__xludf.DUMMYFUNCTION("SPLIT('2. c'!B4794, "" "", True, True)"),"Salmonella")</f>
        <v>Salmonella</v>
      </c>
      <c r="D4794" t="str">
        <f>IFERROR(__xludf.DUMMYFUNCTION("""COMPUTED_VALUE"""),"enterica")</f>
        <v>enterica</v>
      </c>
      <c r="E4794" t="str">
        <f>IFERROR(__xludf.DUMMYFUNCTION("""COMPUTED_VALUE"""),"subsp.")</f>
        <v>subsp.</v>
      </c>
      <c r="F4794" t="str">
        <f>IFERROR(__xludf.DUMMYFUNCTION("""COMPUTED_VALUE"""),"enterica")</f>
        <v>enterica</v>
      </c>
      <c r="G4794" t="str">
        <f>IFERROR(__xludf.DUMMYFUNCTION("""COMPUTED_VALUE"""),"serovar")</f>
        <v>serovar</v>
      </c>
      <c r="H4794" t="str">
        <f>IFERROR(__xludf.DUMMYFUNCTION("""COMPUTED_VALUE"""),"Enteritidis")</f>
        <v>Enteritidis</v>
      </c>
      <c r="I4794" t="str">
        <f>IFERROR(__xludf.DUMMYFUNCTION("""COMPUTED_VALUE"""),"str.")</f>
        <v>str.</v>
      </c>
      <c r="J4794" t="str">
        <f>IFERROR(__xludf.DUMMYFUNCTION("""COMPUTED_VALUE"""),"SA19971331")</f>
        <v>SA19971331</v>
      </c>
    </row>
    <row r="4795" ht="15.75" customHeight="1">
      <c r="A4795" t="str">
        <f t="shared" si="1"/>
        <v>S.enterica</v>
      </c>
      <c r="B4795" s="5" t="s">
        <v>30017</v>
      </c>
      <c r="C4795" s="6" t="str">
        <f>IFERROR(__xludf.DUMMYFUNCTION("SPLIT('2. c'!B4795, "" "", True, True)"),"Salmonella")</f>
        <v>Salmonella</v>
      </c>
      <c r="D4795" t="str">
        <f>IFERROR(__xludf.DUMMYFUNCTION("""COMPUTED_VALUE"""),"enterica")</f>
        <v>enterica</v>
      </c>
      <c r="E4795" t="str">
        <f>IFERROR(__xludf.DUMMYFUNCTION("""COMPUTED_VALUE"""),"subsp.")</f>
        <v>subsp.</v>
      </c>
      <c r="F4795" t="str">
        <f>IFERROR(__xludf.DUMMYFUNCTION("""COMPUTED_VALUE"""),"enterica")</f>
        <v>enterica</v>
      </c>
      <c r="G4795" t="str">
        <f>IFERROR(__xludf.DUMMYFUNCTION("""COMPUTED_VALUE"""),"serovar")</f>
        <v>serovar</v>
      </c>
      <c r="H4795" t="str">
        <f>IFERROR(__xludf.DUMMYFUNCTION("""COMPUTED_VALUE"""),"Enteritidis")</f>
        <v>Enteritidis</v>
      </c>
      <c r="I4795" t="str">
        <f>IFERROR(__xludf.DUMMYFUNCTION("""COMPUTED_VALUE"""),"str.")</f>
        <v>str.</v>
      </c>
      <c r="J4795" t="str">
        <f>IFERROR(__xludf.DUMMYFUNCTION("""COMPUTED_VALUE"""),"SA19980677")</f>
        <v>SA19980677</v>
      </c>
    </row>
    <row r="4796" ht="15.75" customHeight="1">
      <c r="A4796" t="str">
        <f t="shared" si="1"/>
        <v>S.enterica</v>
      </c>
      <c r="B4796" s="5" t="s">
        <v>30026</v>
      </c>
      <c r="C4796" s="6" t="str">
        <f>IFERROR(__xludf.DUMMYFUNCTION("SPLIT('2. c'!B4796, "" "", True, True)"),"Salmonella")</f>
        <v>Salmonella</v>
      </c>
      <c r="D4796" t="str">
        <f>IFERROR(__xludf.DUMMYFUNCTION("""COMPUTED_VALUE"""),"enterica")</f>
        <v>enterica</v>
      </c>
      <c r="E4796" t="str">
        <f>IFERROR(__xludf.DUMMYFUNCTION("""COMPUTED_VALUE"""),"subsp.")</f>
        <v>subsp.</v>
      </c>
      <c r="F4796" t="str">
        <f>IFERROR(__xludf.DUMMYFUNCTION("""COMPUTED_VALUE"""),"enterica")</f>
        <v>enterica</v>
      </c>
      <c r="G4796" t="str">
        <f>IFERROR(__xludf.DUMMYFUNCTION("""COMPUTED_VALUE"""),"serovar")</f>
        <v>serovar</v>
      </c>
      <c r="H4796" t="str">
        <f>IFERROR(__xludf.DUMMYFUNCTION("""COMPUTED_VALUE"""),"Enteritidis")</f>
        <v>Enteritidis</v>
      </c>
      <c r="I4796" t="str">
        <f>IFERROR(__xludf.DUMMYFUNCTION("""COMPUTED_VALUE"""),"str.")</f>
        <v>str.</v>
      </c>
      <c r="J4796" t="str">
        <f>IFERROR(__xludf.DUMMYFUNCTION("""COMPUTED_VALUE"""),"SA19981522")</f>
        <v>SA19981522</v>
      </c>
    </row>
    <row r="4797" ht="15.75" customHeight="1">
      <c r="A4797" t="str">
        <f t="shared" si="1"/>
        <v>S.enterica</v>
      </c>
      <c r="B4797" s="5" t="s">
        <v>30033</v>
      </c>
      <c r="C4797" s="6" t="str">
        <f>IFERROR(__xludf.DUMMYFUNCTION("SPLIT('2. c'!B4797, "" "", True, True)"),"Salmonella")</f>
        <v>Salmonella</v>
      </c>
      <c r="D4797" t="str">
        <f>IFERROR(__xludf.DUMMYFUNCTION("""COMPUTED_VALUE"""),"enterica")</f>
        <v>enterica</v>
      </c>
      <c r="E4797" t="str">
        <f>IFERROR(__xludf.DUMMYFUNCTION("""COMPUTED_VALUE"""),"subsp.")</f>
        <v>subsp.</v>
      </c>
      <c r="F4797" t="str">
        <f>IFERROR(__xludf.DUMMYFUNCTION("""COMPUTED_VALUE"""),"enterica")</f>
        <v>enterica</v>
      </c>
      <c r="G4797" t="str">
        <f>IFERROR(__xludf.DUMMYFUNCTION("""COMPUTED_VALUE"""),"serovar")</f>
        <v>serovar</v>
      </c>
      <c r="H4797" t="str">
        <f>IFERROR(__xludf.DUMMYFUNCTION("""COMPUTED_VALUE"""),"Enteritidis")</f>
        <v>Enteritidis</v>
      </c>
      <c r="I4797" t="str">
        <f>IFERROR(__xludf.DUMMYFUNCTION("""COMPUTED_VALUE"""),"str.")</f>
        <v>str.</v>
      </c>
      <c r="J4797" t="str">
        <f>IFERROR(__xludf.DUMMYFUNCTION("""COMPUTED_VALUE"""),"SA19981857")</f>
        <v>SA19981857</v>
      </c>
    </row>
    <row r="4798" ht="15.75" customHeight="1">
      <c r="A4798" t="str">
        <f t="shared" si="1"/>
        <v>S.enterica</v>
      </c>
      <c r="B4798" s="5" t="s">
        <v>30041</v>
      </c>
      <c r="C4798" s="6" t="str">
        <f>IFERROR(__xludf.DUMMYFUNCTION("SPLIT('2. c'!B4798, "" "", True, True)"),"Salmonella")</f>
        <v>Salmonella</v>
      </c>
      <c r="D4798" t="str">
        <f>IFERROR(__xludf.DUMMYFUNCTION("""COMPUTED_VALUE"""),"enterica")</f>
        <v>enterica</v>
      </c>
      <c r="E4798" t="str">
        <f>IFERROR(__xludf.DUMMYFUNCTION("""COMPUTED_VALUE"""),"subsp.")</f>
        <v>subsp.</v>
      </c>
      <c r="F4798" t="str">
        <f>IFERROR(__xludf.DUMMYFUNCTION("""COMPUTED_VALUE"""),"enterica")</f>
        <v>enterica</v>
      </c>
      <c r="G4798" t="str">
        <f>IFERROR(__xludf.DUMMYFUNCTION("""COMPUTED_VALUE"""),"serovar")</f>
        <v>serovar</v>
      </c>
      <c r="H4798" t="str">
        <f>IFERROR(__xludf.DUMMYFUNCTION("""COMPUTED_VALUE"""),"Enteritidis")</f>
        <v>Enteritidis</v>
      </c>
      <c r="I4798" t="str">
        <f>IFERROR(__xludf.DUMMYFUNCTION("""COMPUTED_VALUE"""),"str.")</f>
        <v>str.</v>
      </c>
      <c r="J4798" t="str">
        <f>IFERROR(__xludf.DUMMYFUNCTION("""COMPUTED_VALUE"""),"SA19982831")</f>
        <v>SA19982831</v>
      </c>
    </row>
    <row r="4799" ht="15.75" customHeight="1">
      <c r="A4799" t="str">
        <f t="shared" si="1"/>
        <v>S.enterica</v>
      </c>
      <c r="B4799" s="5" t="s">
        <v>30048</v>
      </c>
      <c r="C4799" s="6" t="str">
        <f>IFERROR(__xludf.DUMMYFUNCTION("SPLIT('2. c'!B4799, "" "", True, True)"),"Salmonella")</f>
        <v>Salmonella</v>
      </c>
      <c r="D4799" t="str">
        <f>IFERROR(__xludf.DUMMYFUNCTION("""COMPUTED_VALUE"""),"enterica")</f>
        <v>enterica</v>
      </c>
      <c r="E4799" t="str">
        <f>IFERROR(__xludf.DUMMYFUNCTION("""COMPUTED_VALUE"""),"subsp.")</f>
        <v>subsp.</v>
      </c>
      <c r="F4799" t="str">
        <f>IFERROR(__xludf.DUMMYFUNCTION("""COMPUTED_VALUE"""),"enterica")</f>
        <v>enterica</v>
      </c>
      <c r="G4799" t="str">
        <f>IFERROR(__xludf.DUMMYFUNCTION("""COMPUTED_VALUE"""),"serovar")</f>
        <v>serovar</v>
      </c>
      <c r="H4799" t="str">
        <f>IFERROR(__xludf.DUMMYFUNCTION("""COMPUTED_VALUE"""),"Enteritidis")</f>
        <v>Enteritidis</v>
      </c>
      <c r="I4799" t="str">
        <f>IFERROR(__xludf.DUMMYFUNCTION("""COMPUTED_VALUE"""),"str.")</f>
        <v>str.</v>
      </c>
      <c r="J4799" t="str">
        <f>IFERROR(__xludf.DUMMYFUNCTION("""COMPUTED_VALUE"""),"SA19983126")</f>
        <v>SA19983126</v>
      </c>
    </row>
    <row r="4800" ht="15.75" customHeight="1">
      <c r="A4800" t="str">
        <f t="shared" si="1"/>
        <v>S.enterica</v>
      </c>
      <c r="B4800" s="5" t="s">
        <v>30055</v>
      </c>
      <c r="C4800" s="6" t="str">
        <f>IFERROR(__xludf.DUMMYFUNCTION("SPLIT('2. c'!B4800, "" "", True, True)"),"Salmonella")</f>
        <v>Salmonella</v>
      </c>
      <c r="D4800" t="str">
        <f>IFERROR(__xludf.DUMMYFUNCTION("""COMPUTED_VALUE"""),"enterica")</f>
        <v>enterica</v>
      </c>
      <c r="E4800" t="str">
        <f>IFERROR(__xludf.DUMMYFUNCTION("""COMPUTED_VALUE"""),"subsp.")</f>
        <v>subsp.</v>
      </c>
      <c r="F4800" t="str">
        <f>IFERROR(__xludf.DUMMYFUNCTION("""COMPUTED_VALUE"""),"enterica")</f>
        <v>enterica</v>
      </c>
      <c r="G4800" t="str">
        <f>IFERROR(__xludf.DUMMYFUNCTION("""COMPUTED_VALUE"""),"serovar")</f>
        <v>serovar</v>
      </c>
      <c r="H4800" t="str">
        <f>IFERROR(__xludf.DUMMYFUNCTION("""COMPUTED_VALUE"""),"Enteritidis")</f>
        <v>Enteritidis</v>
      </c>
      <c r="I4800" t="str">
        <f>IFERROR(__xludf.DUMMYFUNCTION("""COMPUTED_VALUE"""),"str.")</f>
        <v>str.</v>
      </c>
      <c r="J4800" t="str">
        <f>IFERROR(__xludf.DUMMYFUNCTION("""COMPUTED_VALUE"""),"SA19992322")</f>
        <v>SA19992322</v>
      </c>
    </row>
    <row r="4801" ht="15.75" customHeight="1">
      <c r="A4801" t="str">
        <f t="shared" si="1"/>
        <v>S.enterica</v>
      </c>
      <c r="B4801" s="5" t="s">
        <v>30064</v>
      </c>
      <c r="C4801" s="6" t="str">
        <f>IFERROR(__xludf.DUMMYFUNCTION("SPLIT('2. c'!B4801, "" "", True, True)"),"Salmonella")</f>
        <v>Salmonella</v>
      </c>
      <c r="D4801" t="str">
        <f>IFERROR(__xludf.DUMMYFUNCTION("""COMPUTED_VALUE"""),"enterica")</f>
        <v>enterica</v>
      </c>
      <c r="E4801" t="str">
        <f>IFERROR(__xludf.DUMMYFUNCTION("""COMPUTED_VALUE"""),"subsp.")</f>
        <v>subsp.</v>
      </c>
      <c r="F4801" t="str">
        <f>IFERROR(__xludf.DUMMYFUNCTION("""COMPUTED_VALUE"""),"enterica")</f>
        <v>enterica</v>
      </c>
      <c r="G4801" t="str">
        <f>IFERROR(__xludf.DUMMYFUNCTION("""COMPUTED_VALUE"""),"serovar")</f>
        <v>serovar</v>
      </c>
      <c r="H4801" t="str">
        <f>IFERROR(__xludf.DUMMYFUNCTION("""COMPUTED_VALUE"""),"Enteritidis")</f>
        <v>Enteritidis</v>
      </c>
      <c r="I4801" t="str">
        <f>IFERROR(__xludf.DUMMYFUNCTION("""COMPUTED_VALUE"""),"str.")</f>
        <v>str.</v>
      </c>
      <c r="J4801" t="str">
        <f>IFERROR(__xludf.DUMMYFUNCTION("""COMPUTED_VALUE"""),"SA19994216")</f>
        <v>SA19994216</v>
      </c>
    </row>
    <row r="4802" ht="15.75" customHeight="1">
      <c r="A4802" t="str">
        <f t="shared" si="1"/>
        <v>S.enterica</v>
      </c>
      <c r="B4802" s="5" t="s">
        <v>30071</v>
      </c>
      <c r="C4802" s="6" t="str">
        <f>IFERROR(__xludf.DUMMYFUNCTION("SPLIT('2. c'!B4802, "" "", True, True)"),"Salmonella")</f>
        <v>Salmonella</v>
      </c>
      <c r="D4802" t="str">
        <f>IFERROR(__xludf.DUMMYFUNCTION("""COMPUTED_VALUE"""),"enterica")</f>
        <v>enterica</v>
      </c>
      <c r="E4802" t="str">
        <f>IFERROR(__xludf.DUMMYFUNCTION("""COMPUTED_VALUE"""),"subsp.")</f>
        <v>subsp.</v>
      </c>
      <c r="F4802" t="str">
        <f>IFERROR(__xludf.DUMMYFUNCTION("""COMPUTED_VALUE"""),"enterica")</f>
        <v>enterica</v>
      </c>
      <c r="G4802" t="str">
        <f>IFERROR(__xludf.DUMMYFUNCTION("""COMPUTED_VALUE"""),"serovar")</f>
        <v>serovar</v>
      </c>
      <c r="H4802" t="str">
        <f>IFERROR(__xludf.DUMMYFUNCTION("""COMPUTED_VALUE"""),"Enteritidis")</f>
        <v>Enteritidis</v>
      </c>
      <c r="I4802" t="str">
        <f>IFERROR(__xludf.DUMMYFUNCTION("""COMPUTED_VALUE"""),"str.")</f>
        <v>str.</v>
      </c>
      <c r="J4802" t="str">
        <f>IFERROR(__xludf.DUMMYFUNCTION("""COMPUTED_VALUE"""),"SA20082034")</f>
        <v>SA20082034</v>
      </c>
    </row>
    <row r="4803" ht="15.75" customHeight="1">
      <c r="A4803" t="str">
        <f t="shared" si="1"/>
        <v>S.enterica</v>
      </c>
      <c r="B4803" s="5" t="s">
        <v>30075</v>
      </c>
      <c r="C4803" s="6" t="str">
        <f>IFERROR(__xludf.DUMMYFUNCTION("SPLIT('2. c'!B4803, "" "", True, True)"),"Salmonella")</f>
        <v>Salmonella</v>
      </c>
      <c r="D4803" t="str">
        <f>IFERROR(__xludf.DUMMYFUNCTION("""COMPUTED_VALUE"""),"enterica")</f>
        <v>enterica</v>
      </c>
      <c r="E4803" t="str">
        <f>IFERROR(__xludf.DUMMYFUNCTION("""COMPUTED_VALUE"""),"subsp.")</f>
        <v>subsp.</v>
      </c>
      <c r="F4803" t="str">
        <f>IFERROR(__xludf.DUMMYFUNCTION("""COMPUTED_VALUE"""),"enterica")</f>
        <v>enterica</v>
      </c>
      <c r="G4803" t="str">
        <f>IFERROR(__xludf.DUMMYFUNCTION("""COMPUTED_VALUE"""),"serovar")</f>
        <v>serovar</v>
      </c>
      <c r="H4803" t="str">
        <f>IFERROR(__xludf.DUMMYFUNCTION("""COMPUTED_VALUE"""),"Enteritidis")</f>
        <v>Enteritidis</v>
      </c>
      <c r="I4803" t="str">
        <f>IFERROR(__xludf.DUMMYFUNCTION("""COMPUTED_VALUE"""),"str.")</f>
        <v>str.</v>
      </c>
      <c r="J4803" t="str">
        <f>IFERROR(__xludf.DUMMYFUNCTION("""COMPUTED_VALUE"""),"SA20083456")</f>
        <v>SA20083456</v>
      </c>
    </row>
    <row r="4804" ht="15.75" customHeight="1">
      <c r="A4804" t="str">
        <f t="shared" si="1"/>
        <v>S.enterica</v>
      </c>
      <c r="B4804" s="5" t="s">
        <v>30083</v>
      </c>
      <c r="C4804" s="6" t="str">
        <f>IFERROR(__xludf.DUMMYFUNCTION("SPLIT('2. c'!B4804, "" "", True, True)"),"Salmonella")</f>
        <v>Salmonella</v>
      </c>
      <c r="D4804" t="str">
        <f>IFERROR(__xludf.DUMMYFUNCTION("""COMPUTED_VALUE"""),"enterica")</f>
        <v>enterica</v>
      </c>
      <c r="E4804" t="str">
        <f>IFERROR(__xludf.DUMMYFUNCTION("""COMPUTED_VALUE"""),"subsp.")</f>
        <v>subsp.</v>
      </c>
      <c r="F4804" t="str">
        <f>IFERROR(__xludf.DUMMYFUNCTION("""COMPUTED_VALUE"""),"enterica")</f>
        <v>enterica</v>
      </c>
      <c r="G4804" t="str">
        <f>IFERROR(__xludf.DUMMYFUNCTION("""COMPUTED_VALUE"""),"serovar")</f>
        <v>serovar</v>
      </c>
      <c r="H4804" t="str">
        <f>IFERROR(__xludf.DUMMYFUNCTION("""COMPUTED_VALUE"""),"Enteritidis")</f>
        <v>Enteritidis</v>
      </c>
      <c r="I4804" t="str">
        <f>IFERROR(__xludf.DUMMYFUNCTION("""COMPUTED_VALUE"""),"str.")</f>
        <v>str.</v>
      </c>
      <c r="J4804" t="str">
        <f>IFERROR(__xludf.DUMMYFUNCTION("""COMPUTED_VALUE"""),"SA20083636")</f>
        <v>SA20083636</v>
      </c>
    </row>
    <row r="4805" ht="15.75" customHeight="1">
      <c r="A4805" t="str">
        <f t="shared" si="1"/>
        <v>S.enterica</v>
      </c>
      <c r="B4805" s="5" t="s">
        <v>30091</v>
      </c>
      <c r="C4805" s="6" t="str">
        <f>IFERROR(__xludf.DUMMYFUNCTION("SPLIT('2. c'!B4805, "" "", True, True)"),"Salmonella")</f>
        <v>Salmonella</v>
      </c>
      <c r="D4805" t="str">
        <f>IFERROR(__xludf.DUMMYFUNCTION("""COMPUTED_VALUE"""),"enterica")</f>
        <v>enterica</v>
      </c>
      <c r="E4805" t="str">
        <f>IFERROR(__xludf.DUMMYFUNCTION("""COMPUTED_VALUE"""),"subsp.")</f>
        <v>subsp.</v>
      </c>
      <c r="F4805" t="str">
        <f>IFERROR(__xludf.DUMMYFUNCTION("""COMPUTED_VALUE"""),"enterica")</f>
        <v>enterica</v>
      </c>
      <c r="G4805" t="str">
        <f>IFERROR(__xludf.DUMMYFUNCTION("""COMPUTED_VALUE"""),"serovar")</f>
        <v>serovar</v>
      </c>
      <c r="H4805" t="str">
        <f>IFERROR(__xludf.DUMMYFUNCTION("""COMPUTED_VALUE"""),"Enteritidis")</f>
        <v>Enteritidis</v>
      </c>
      <c r="I4805" t="str">
        <f>IFERROR(__xludf.DUMMYFUNCTION("""COMPUTED_VALUE"""),"str.")</f>
        <v>str.</v>
      </c>
      <c r="J4805" t="str">
        <f>IFERROR(__xludf.DUMMYFUNCTION("""COMPUTED_VALUE"""),"SA20084384")</f>
        <v>SA20084384</v>
      </c>
    </row>
    <row r="4806" ht="15.75" customHeight="1">
      <c r="A4806" t="str">
        <f t="shared" si="1"/>
        <v>S.enterica</v>
      </c>
      <c r="B4806" s="5" t="s">
        <v>30099</v>
      </c>
      <c r="C4806" s="6" t="str">
        <f>IFERROR(__xludf.DUMMYFUNCTION("SPLIT('2. c'!B4806, "" "", True, True)"),"Salmonella")</f>
        <v>Salmonella</v>
      </c>
      <c r="D4806" t="str">
        <f>IFERROR(__xludf.DUMMYFUNCTION("""COMPUTED_VALUE"""),"enterica")</f>
        <v>enterica</v>
      </c>
      <c r="E4806" t="str">
        <f>IFERROR(__xludf.DUMMYFUNCTION("""COMPUTED_VALUE"""),"subsp.")</f>
        <v>subsp.</v>
      </c>
      <c r="F4806" t="str">
        <f>IFERROR(__xludf.DUMMYFUNCTION("""COMPUTED_VALUE"""),"enterica")</f>
        <v>enterica</v>
      </c>
      <c r="G4806" t="str">
        <f>IFERROR(__xludf.DUMMYFUNCTION("""COMPUTED_VALUE"""),"serovar")</f>
        <v>serovar</v>
      </c>
      <c r="H4806" t="str">
        <f>IFERROR(__xludf.DUMMYFUNCTION("""COMPUTED_VALUE"""),"Enteritidis")</f>
        <v>Enteritidis</v>
      </c>
      <c r="I4806" t="str">
        <f>IFERROR(__xludf.DUMMYFUNCTION("""COMPUTED_VALUE"""),"str.")</f>
        <v>str.</v>
      </c>
      <c r="J4806" t="str">
        <f>IFERROR(__xludf.DUMMYFUNCTION("""COMPUTED_VALUE"""),"SA20084644")</f>
        <v>SA20084644</v>
      </c>
    </row>
    <row r="4807" ht="15.75" customHeight="1">
      <c r="A4807" t="str">
        <f t="shared" si="1"/>
        <v>S.enterica</v>
      </c>
      <c r="B4807" s="5" t="s">
        <v>30108</v>
      </c>
      <c r="C4807" s="6" t="str">
        <f>IFERROR(__xludf.DUMMYFUNCTION("SPLIT('2. c'!B4807, "" "", True, True)"),"Salmonella")</f>
        <v>Salmonella</v>
      </c>
      <c r="D4807" t="str">
        <f>IFERROR(__xludf.DUMMYFUNCTION("""COMPUTED_VALUE"""),"enterica")</f>
        <v>enterica</v>
      </c>
      <c r="E4807" t="str">
        <f>IFERROR(__xludf.DUMMYFUNCTION("""COMPUTED_VALUE"""),"subsp.")</f>
        <v>subsp.</v>
      </c>
      <c r="F4807" t="str">
        <f>IFERROR(__xludf.DUMMYFUNCTION("""COMPUTED_VALUE"""),"enterica")</f>
        <v>enterica</v>
      </c>
      <c r="G4807" t="str">
        <f>IFERROR(__xludf.DUMMYFUNCTION("""COMPUTED_VALUE"""),"serovar")</f>
        <v>serovar</v>
      </c>
      <c r="H4807" t="str">
        <f>IFERROR(__xludf.DUMMYFUNCTION("""COMPUTED_VALUE"""),"Enteritidis")</f>
        <v>Enteritidis</v>
      </c>
      <c r="I4807" t="str">
        <f>IFERROR(__xludf.DUMMYFUNCTION("""COMPUTED_VALUE"""),"str.")</f>
        <v>str.</v>
      </c>
      <c r="J4807" t="str">
        <f>IFERROR(__xludf.DUMMYFUNCTION("""COMPUTED_VALUE"""),"SA20084824")</f>
        <v>SA20084824</v>
      </c>
    </row>
    <row r="4808" ht="15.75" customHeight="1">
      <c r="A4808" t="str">
        <f t="shared" si="1"/>
        <v>S.enterica</v>
      </c>
      <c r="B4808" s="5" t="s">
        <v>30116</v>
      </c>
      <c r="C4808" s="6" t="str">
        <f>IFERROR(__xludf.DUMMYFUNCTION("SPLIT('2. c'!B4808, "" "", True, True)"),"Salmonella")</f>
        <v>Salmonella</v>
      </c>
      <c r="D4808" t="str">
        <f>IFERROR(__xludf.DUMMYFUNCTION("""COMPUTED_VALUE"""),"enterica")</f>
        <v>enterica</v>
      </c>
      <c r="E4808" t="str">
        <f>IFERROR(__xludf.DUMMYFUNCTION("""COMPUTED_VALUE"""),"subsp.")</f>
        <v>subsp.</v>
      </c>
      <c r="F4808" t="str">
        <f>IFERROR(__xludf.DUMMYFUNCTION("""COMPUTED_VALUE"""),"enterica")</f>
        <v>enterica</v>
      </c>
      <c r="G4808" t="str">
        <f>IFERROR(__xludf.DUMMYFUNCTION("""COMPUTED_VALUE"""),"serovar")</f>
        <v>serovar</v>
      </c>
      <c r="H4808" t="str">
        <f>IFERROR(__xludf.DUMMYFUNCTION("""COMPUTED_VALUE"""),"Enteritidis")</f>
        <v>Enteritidis</v>
      </c>
      <c r="I4808" t="str">
        <f>IFERROR(__xludf.DUMMYFUNCTION("""COMPUTED_VALUE"""),"str.")</f>
        <v>str.</v>
      </c>
      <c r="J4808" t="str">
        <f>IFERROR(__xludf.DUMMYFUNCTION("""COMPUTED_VALUE"""),"SA20085285")</f>
        <v>SA20085285</v>
      </c>
    </row>
    <row r="4809" ht="15.75" customHeight="1">
      <c r="A4809" t="str">
        <f t="shared" si="1"/>
        <v>S.enterica</v>
      </c>
      <c r="B4809" s="5" t="s">
        <v>30127</v>
      </c>
      <c r="C4809" s="6" t="str">
        <f>IFERROR(__xludf.DUMMYFUNCTION("SPLIT('2. c'!B4809, "" "", True, True)"),"Salmonella")</f>
        <v>Salmonella</v>
      </c>
      <c r="D4809" t="str">
        <f>IFERROR(__xludf.DUMMYFUNCTION("""COMPUTED_VALUE"""),"enterica")</f>
        <v>enterica</v>
      </c>
      <c r="E4809" t="str">
        <f>IFERROR(__xludf.DUMMYFUNCTION("""COMPUTED_VALUE"""),"subsp.")</f>
        <v>subsp.</v>
      </c>
      <c r="F4809" t="str">
        <f>IFERROR(__xludf.DUMMYFUNCTION("""COMPUTED_VALUE"""),"enterica")</f>
        <v>enterica</v>
      </c>
      <c r="G4809" t="str">
        <f>IFERROR(__xludf.DUMMYFUNCTION("""COMPUTED_VALUE"""),"serovar")</f>
        <v>serovar</v>
      </c>
      <c r="H4809" t="str">
        <f>IFERROR(__xludf.DUMMYFUNCTION("""COMPUTED_VALUE"""),"Enteritidis")</f>
        <v>Enteritidis</v>
      </c>
      <c r="I4809" t="str">
        <f>IFERROR(__xludf.DUMMYFUNCTION("""COMPUTED_VALUE"""),"str.")</f>
        <v>str.</v>
      </c>
      <c r="J4809" t="str">
        <f>IFERROR(__xludf.DUMMYFUNCTION("""COMPUTED_VALUE"""),"SA20090419")</f>
        <v>SA20090419</v>
      </c>
    </row>
    <row r="4810" ht="15.75" customHeight="1">
      <c r="A4810" t="str">
        <f t="shared" si="1"/>
        <v>S.enterica</v>
      </c>
      <c r="B4810" s="5" t="s">
        <v>30134</v>
      </c>
      <c r="C4810" s="6" t="str">
        <f>IFERROR(__xludf.DUMMYFUNCTION("SPLIT('2. c'!B4810, "" "", True, True)"),"Salmonella")</f>
        <v>Salmonella</v>
      </c>
      <c r="D4810" t="str">
        <f>IFERROR(__xludf.DUMMYFUNCTION("""COMPUTED_VALUE"""),"enterica")</f>
        <v>enterica</v>
      </c>
      <c r="E4810" t="str">
        <f>IFERROR(__xludf.DUMMYFUNCTION("""COMPUTED_VALUE"""),"subsp.")</f>
        <v>subsp.</v>
      </c>
      <c r="F4810" t="str">
        <f>IFERROR(__xludf.DUMMYFUNCTION("""COMPUTED_VALUE"""),"enterica")</f>
        <v>enterica</v>
      </c>
      <c r="G4810" t="str">
        <f>IFERROR(__xludf.DUMMYFUNCTION("""COMPUTED_VALUE"""),"serovar")</f>
        <v>serovar</v>
      </c>
      <c r="H4810" t="str">
        <f>IFERROR(__xludf.DUMMYFUNCTION("""COMPUTED_VALUE"""),"Enteritidis")</f>
        <v>Enteritidis</v>
      </c>
      <c r="I4810" t="str">
        <f>IFERROR(__xludf.DUMMYFUNCTION("""COMPUTED_VALUE"""),"str.")</f>
        <v>str.</v>
      </c>
      <c r="J4810" t="str">
        <f>IFERROR(__xludf.DUMMYFUNCTION("""COMPUTED_VALUE"""),"SA20090435")</f>
        <v>SA20090435</v>
      </c>
    </row>
    <row r="4811" ht="15.75" customHeight="1">
      <c r="A4811" t="str">
        <f t="shared" si="1"/>
        <v>S.enterica</v>
      </c>
      <c r="B4811" s="5" t="s">
        <v>30141</v>
      </c>
      <c r="C4811" s="6" t="str">
        <f>IFERROR(__xludf.DUMMYFUNCTION("SPLIT('2. c'!B4811, "" "", True, True)"),"Salmonella")</f>
        <v>Salmonella</v>
      </c>
      <c r="D4811" t="str">
        <f>IFERROR(__xludf.DUMMYFUNCTION("""COMPUTED_VALUE"""),"enterica")</f>
        <v>enterica</v>
      </c>
      <c r="E4811" t="str">
        <f>IFERROR(__xludf.DUMMYFUNCTION("""COMPUTED_VALUE"""),"subsp.")</f>
        <v>subsp.</v>
      </c>
      <c r="F4811" t="str">
        <f>IFERROR(__xludf.DUMMYFUNCTION("""COMPUTED_VALUE"""),"enterica")</f>
        <v>enterica</v>
      </c>
      <c r="G4811" t="str">
        <f>IFERROR(__xludf.DUMMYFUNCTION("""COMPUTED_VALUE"""),"serovar")</f>
        <v>serovar</v>
      </c>
      <c r="H4811" t="str">
        <f>IFERROR(__xludf.DUMMYFUNCTION("""COMPUTED_VALUE"""),"Enteritidis")</f>
        <v>Enteritidis</v>
      </c>
      <c r="I4811" t="str">
        <f>IFERROR(__xludf.DUMMYFUNCTION("""COMPUTED_VALUE"""),"str.")</f>
        <v>str.</v>
      </c>
      <c r="J4811" t="str">
        <f>IFERROR(__xludf.DUMMYFUNCTION("""COMPUTED_VALUE"""),"SA20090877")</f>
        <v>SA20090877</v>
      </c>
    </row>
    <row r="4812" ht="15.75" customHeight="1">
      <c r="A4812" t="str">
        <f t="shared" si="1"/>
        <v>S.enterica</v>
      </c>
      <c r="B4812" s="5" t="s">
        <v>30148</v>
      </c>
      <c r="C4812" s="6" t="str">
        <f>IFERROR(__xludf.DUMMYFUNCTION("SPLIT('2. c'!B4812, "" "", True, True)"),"Salmonella")</f>
        <v>Salmonella</v>
      </c>
      <c r="D4812" t="str">
        <f>IFERROR(__xludf.DUMMYFUNCTION("""COMPUTED_VALUE"""),"enterica")</f>
        <v>enterica</v>
      </c>
      <c r="E4812" t="str">
        <f>IFERROR(__xludf.DUMMYFUNCTION("""COMPUTED_VALUE"""),"subsp.")</f>
        <v>subsp.</v>
      </c>
      <c r="F4812" t="str">
        <f>IFERROR(__xludf.DUMMYFUNCTION("""COMPUTED_VALUE"""),"enterica")</f>
        <v>enterica</v>
      </c>
      <c r="G4812" t="str">
        <f>IFERROR(__xludf.DUMMYFUNCTION("""COMPUTED_VALUE"""),"serovar")</f>
        <v>serovar</v>
      </c>
      <c r="H4812" t="str">
        <f>IFERROR(__xludf.DUMMYFUNCTION("""COMPUTED_VALUE"""),"Enteritidis")</f>
        <v>Enteritidis</v>
      </c>
      <c r="I4812" t="str">
        <f>IFERROR(__xludf.DUMMYFUNCTION("""COMPUTED_VALUE"""),"str.")</f>
        <v>str.</v>
      </c>
      <c r="J4812" t="str">
        <f>IFERROR(__xludf.DUMMYFUNCTION("""COMPUTED_VALUE"""),"SA20091739")</f>
        <v>SA20091739</v>
      </c>
    </row>
    <row r="4813" ht="15.75" customHeight="1">
      <c r="A4813" t="str">
        <f t="shared" si="1"/>
        <v>S.enterica</v>
      </c>
      <c r="B4813" s="5" t="s">
        <v>30157</v>
      </c>
      <c r="C4813" s="6" t="str">
        <f>IFERROR(__xludf.DUMMYFUNCTION("SPLIT('2. c'!B4813, "" "", True, True)"),"Salmonella")</f>
        <v>Salmonella</v>
      </c>
      <c r="D4813" t="str">
        <f>IFERROR(__xludf.DUMMYFUNCTION("""COMPUTED_VALUE"""),"enterica")</f>
        <v>enterica</v>
      </c>
      <c r="E4813" t="str">
        <f>IFERROR(__xludf.DUMMYFUNCTION("""COMPUTED_VALUE"""),"subsp.")</f>
        <v>subsp.</v>
      </c>
      <c r="F4813" t="str">
        <f>IFERROR(__xludf.DUMMYFUNCTION("""COMPUTED_VALUE"""),"enterica")</f>
        <v>enterica</v>
      </c>
      <c r="G4813" t="str">
        <f>IFERROR(__xludf.DUMMYFUNCTION("""COMPUTED_VALUE"""),"serovar")</f>
        <v>serovar</v>
      </c>
      <c r="H4813" t="str">
        <f>IFERROR(__xludf.DUMMYFUNCTION("""COMPUTED_VALUE"""),"Enteritidis")</f>
        <v>Enteritidis</v>
      </c>
      <c r="I4813" t="str">
        <f>IFERROR(__xludf.DUMMYFUNCTION("""COMPUTED_VALUE"""),"str.")</f>
        <v>str.</v>
      </c>
      <c r="J4813" t="str">
        <f>IFERROR(__xludf.DUMMYFUNCTION("""COMPUTED_VALUE"""),"SA20092320")</f>
        <v>SA20092320</v>
      </c>
    </row>
    <row r="4814" ht="15.75" customHeight="1">
      <c r="A4814" t="str">
        <f t="shared" si="1"/>
        <v>S.enterica</v>
      </c>
      <c r="B4814" s="5" t="s">
        <v>30165</v>
      </c>
      <c r="C4814" s="6" t="str">
        <f>IFERROR(__xludf.DUMMYFUNCTION("SPLIT('2. c'!B4814, "" "", True, True)"),"Salmonella")</f>
        <v>Salmonella</v>
      </c>
      <c r="D4814" t="str">
        <f>IFERROR(__xludf.DUMMYFUNCTION("""COMPUTED_VALUE"""),"enterica")</f>
        <v>enterica</v>
      </c>
      <c r="E4814" t="str">
        <f>IFERROR(__xludf.DUMMYFUNCTION("""COMPUTED_VALUE"""),"subsp.")</f>
        <v>subsp.</v>
      </c>
      <c r="F4814" t="str">
        <f>IFERROR(__xludf.DUMMYFUNCTION("""COMPUTED_VALUE"""),"enterica")</f>
        <v>enterica</v>
      </c>
      <c r="G4814" t="str">
        <f>IFERROR(__xludf.DUMMYFUNCTION("""COMPUTED_VALUE"""),"serovar")</f>
        <v>serovar</v>
      </c>
      <c r="H4814" t="str">
        <f>IFERROR(__xludf.DUMMYFUNCTION("""COMPUTED_VALUE"""),"Enteritidis")</f>
        <v>Enteritidis</v>
      </c>
      <c r="I4814" t="str">
        <f>IFERROR(__xludf.DUMMYFUNCTION("""COMPUTED_VALUE"""),"str.")</f>
        <v>str.</v>
      </c>
      <c r="J4814" t="str">
        <f>IFERROR(__xludf.DUMMYFUNCTION("""COMPUTED_VALUE"""),"SA20093266")</f>
        <v>SA20093266</v>
      </c>
    </row>
    <row r="4815" ht="15.75" customHeight="1">
      <c r="A4815" t="str">
        <f t="shared" si="1"/>
        <v>S.enterica</v>
      </c>
      <c r="B4815" s="5" t="s">
        <v>30173</v>
      </c>
      <c r="C4815" s="6" t="str">
        <f>IFERROR(__xludf.DUMMYFUNCTION("SPLIT('2. c'!B4815, "" "", True, True)"),"Salmonella")</f>
        <v>Salmonella</v>
      </c>
      <c r="D4815" t="str">
        <f>IFERROR(__xludf.DUMMYFUNCTION("""COMPUTED_VALUE"""),"enterica")</f>
        <v>enterica</v>
      </c>
      <c r="E4815" t="str">
        <f>IFERROR(__xludf.DUMMYFUNCTION("""COMPUTED_VALUE"""),"subsp.")</f>
        <v>subsp.</v>
      </c>
      <c r="F4815" t="str">
        <f>IFERROR(__xludf.DUMMYFUNCTION("""COMPUTED_VALUE"""),"enterica")</f>
        <v>enterica</v>
      </c>
      <c r="G4815" t="str">
        <f>IFERROR(__xludf.DUMMYFUNCTION("""COMPUTED_VALUE"""),"serovar")</f>
        <v>serovar</v>
      </c>
      <c r="H4815" t="str">
        <f>IFERROR(__xludf.DUMMYFUNCTION("""COMPUTED_VALUE"""),"Enteritidis")</f>
        <v>Enteritidis</v>
      </c>
      <c r="I4815" t="str">
        <f>IFERROR(__xludf.DUMMYFUNCTION("""COMPUTED_VALUE"""),"str.")</f>
        <v>str.</v>
      </c>
      <c r="J4815" t="str">
        <f>IFERROR(__xludf.DUMMYFUNCTION("""COMPUTED_VALUE"""),"SA20093421")</f>
        <v>SA20093421</v>
      </c>
    </row>
    <row r="4816" ht="15.75" customHeight="1">
      <c r="A4816" t="str">
        <f t="shared" si="1"/>
        <v>S.enterica</v>
      </c>
      <c r="B4816" s="5" t="s">
        <v>30180</v>
      </c>
      <c r="C4816" s="6" t="str">
        <f>IFERROR(__xludf.DUMMYFUNCTION("SPLIT('2. c'!B4816, "" "", True, True)"),"Salmonella")</f>
        <v>Salmonella</v>
      </c>
      <c r="D4816" t="str">
        <f>IFERROR(__xludf.DUMMYFUNCTION("""COMPUTED_VALUE"""),"enterica")</f>
        <v>enterica</v>
      </c>
      <c r="E4816" t="str">
        <f>IFERROR(__xludf.DUMMYFUNCTION("""COMPUTED_VALUE"""),"subsp.")</f>
        <v>subsp.</v>
      </c>
      <c r="F4816" t="str">
        <f>IFERROR(__xludf.DUMMYFUNCTION("""COMPUTED_VALUE"""),"enterica")</f>
        <v>enterica</v>
      </c>
      <c r="G4816" t="str">
        <f>IFERROR(__xludf.DUMMYFUNCTION("""COMPUTED_VALUE"""),"serovar")</f>
        <v>serovar</v>
      </c>
      <c r="H4816" t="str">
        <f>IFERROR(__xludf.DUMMYFUNCTION("""COMPUTED_VALUE"""),"Enteritidis")</f>
        <v>Enteritidis</v>
      </c>
      <c r="I4816" t="str">
        <f>IFERROR(__xludf.DUMMYFUNCTION("""COMPUTED_VALUE"""),"str.")</f>
        <v>str.</v>
      </c>
      <c r="J4816" t="str">
        <f>IFERROR(__xludf.DUMMYFUNCTION("""COMPUTED_VALUE"""),"SA20093430")</f>
        <v>SA20093430</v>
      </c>
    </row>
    <row r="4817" ht="15.75" customHeight="1">
      <c r="A4817" t="str">
        <f t="shared" si="1"/>
        <v>S.enterica</v>
      </c>
      <c r="B4817" s="5" t="s">
        <v>30188</v>
      </c>
      <c r="C4817" s="6" t="str">
        <f>IFERROR(__xludf.DUMMYFUNCTION("SPLIT('2. c'!B4817, "" "", True, True)"),"Salmonella")</f>
        <v>Salmonella</v>
      </c>
      <c r="D4817" t="str">
        <f>IFERROR(__xludf.DUMMYFUNCTION("""COMPUTED_VALUE"""),"enterica")</f>
        <v>enterica</v>
      </c>
      <c r="E4817" t="str">
        <f>IFERROR(__xludf.DUMMYFUNCTION("""COMPUTED_VALUE"""),"subsp.")</f>
        <v>subsp.</v>
      </c>
      <c r="F4817" t="str">
        <f>IFERROR(__xludf.DUMMYFUNCTION("""COMPUTED_VALUE"""),"enterica")</f>
        <v>enterica</v>
      </c>
      <c r="G4817" t="str">
        <f>IFERROR(__xludf.DUMMYFUNCTION("""COMPUTED_VALUE"""),"serovar")</f>
        <v>serovar</v>
      </c>
      <c r="H4817" t="str">
        <f>IFERROR(__xludf.DUMMYFUNCTION("""COMPUTED_VALUE"""),"Enteritidis")</f>
        <v>Enteritidis</v>
      </c>
      <c r="I4817" t="str">
        <f>IFERROR(__xludf.DUMMYFUNCTION("""COMPUTED_VALUE"""),"str.")</f>
        <v>str.</v>
      </c>
      <c r="J4817" t="str">
        <f>IFERROR(__xludf.DUMMYFUNCTION("""COMPUTED_VALUE"""),"SA20093538")</f>
        <v>SA20093538</v>
      </c>
    </row>
    <row r="4818" ht="15.75" customHeight="1">
      <c r="A4818" t="str">
        <f t="shared" si="1"/>
        <v>S.enterica</v>
      </c>
      <c r="B4818" s="5" t="s">
        <v>30197</v>
      </c>
      <c r="C4818" s="6" t="str">
        <f>IFERROR(__xludf.DUMMYFUNCTION("SPLIT('2. c'!B4818, "" "", True, True)"),"Salmonella")</f>
        <v>Salmonella</v>
      </c>
      <c r="D4818" t="str">
        <f>IFERROR(__xludf.DUMMYFUNCTION("""COMPUTED_VALUE"""),"enterica")</f>
        <v>enterica</v>
      </c>
      <c r="E4818" t="str">
        <f>IFERROR(__xludf.DUMMYFUNCTION("""COMPUTED_VALUE"""),"subsp.")</f>
        <v>subsp.</v>
      </c>
      <c r="F4818" t="str">
        <f>IFERROR(__xludf.DUMMYFUNCTION("""COMPUTED_VALUE"""),"enterica")</f>
        <v>enterica</v>
      </c>
      <c r="G4818" t="str">
        <f>IFERROR(__xludf.DUMMYFUNCTION("""COMPUTED_VALUE"""),"serovar")</f>
        <v>serovar</v>
      </c>
      <c r="H4818" t="str">
        <f>IFERROR(__xludf.DUMMYFUNCTION("""COMPUTED_VALUE"""),"Enteritidis")</f>
        <v>Enteritidis</v>
      </c>
      <c r="I4818" t="str">
        <f>IFERROR(__xludf.DUMMYFUNCTION("""COMPUTED_VALUE"""),"str.")</f>
        <v>str.</v>
      </c>
      <c r="J4818" t="str">
        <f>IFERROR(__xludf.DUMMYFUNCTION("""COMPUTED_VALUE"""),"SA20093543")</f>
        <v>SA20093543</v>
      </c>
    </row>
    <row r="4819" ht="15.75" customHeight="1">
      <c r="A4819" t="str">
        <f t="shared" si="1"/>
        <v>S.enterica</v>
      </c>
      <c r="B4819" s="5" t="s">
        <v>30205</v>
      </c>
      <c r="C4819" s="6" t="str">
        <f>IFERROR(__xludf.DUMMYFUNCTION("SPLIT('2. c'!B4819, "" "", True, True)"),"Salmonella")</f>
        <v>Salmonella</v>
      </c>
      <c r="D4819" t="str">
        <f>IFERROR(__xludf.DUMMYFUNCTION("""COMPUTED_VALUE"""),"enterica")</f>
        <v>enterica</v>
      </c>
      <c r="E4819" t="str">
        <f>IFERROR(__xludf.DUMMYFUNCTION("""COMPUTED_VALUE"""),"subsp.")</f>
        <v>subsp.</v>
      </c>
      <c r="F4819" t="str">
        <f>IFERROR(__xludf.DUMMYFUNCTION("""COMPUTED_VALUE"""),"enterica")</f>
        <v>enterica</v>
      </c>
      <c r="G4819" t="str">
        <f>IFERROR(__xludf.DUMMYFUNCTION("""COMPUTED_VALUE"""),"serovar")</f>
        <v>serovar</v>
      </c>
      <c r="H4819" t="str">
        <f>IFERROR(__xludf.DUMMYFUNCTION("""COMPUTED_VALUE"""),"Enteritidis")</f>
        <v>Enteritidis</v>
      </c>
      <c r="I4819" t="str">
        <f>IFERROR(__xludf.DUMMYFUNCTION("""COMPUTED_VALUE"""),"str.")</f>
        <v>str.</v>
      </c>
      <c r="J4819" t="str">
        <f>IFERROR(__xludf.DUMMYFUNCTION("""COMPUTED_VALUE"""),"SA20093784")</f>
        <v>SA20093784</v>
      </c>
    </row>
    <row r="4820" ht="15.75" customHeight="1">
      <c r="A4820" t="str">
        <f t="shared" si="1"/>
        <v>S.enterica</v>
      </c>
      <c r="B4820" s="5" t="s">
        <v>30213</v>
      </c>
      <c r="C4820" s="6" t="str">
        <f>IFERROR(__xludf.DUMMYFUNCTION("SPLIT('2. c'!B4820, "" "", True, True)"),"Salmonella")</f>
        <v>Salmonella</v>
      </c>
      <c r="D4820" t="str">
        <f>IFERROR(__xludf.DUMMYFUNCTION("""COMPUTED_VALUE"""),"enterica")</f>
        <v>enterica</v>
      </c>
      <c r="E4820" t="str">
        <f>IFERROR(__xludf.DUMMYFUNCTION("""COMPUTED_VALUE"""),"subsp.")</f>
        <v>subsp.</v>
      </c>
      <c r="F4820" t="str">
        <f>IFERROR(__xludf.DUMMYFUNCTION("""COMPUTED_VALUE"""),"enterica")</f>
        <v>enterica</v>
      </c>
      <c r="G4820" t="str">
        <f>IFERROR(__xludf.DUMMYFUNCTION("""COMPUTED_VALUE"""),"serovar")</f>
        <v>serovar</v>
      </c>
      <c r="H4820" t="str">
        <f>IFERROR(__xludf.DUMMYFUNCTION("""COMPUTED_VALUE"""),"Enteritidis")</f>
        <v>Enteritidis</v>
      </c>
      <c r="I4820" t="str">
        <f>IFERROR(__xludf.DUMMYFUNCTION("""COMPUTED_VALUE"""),"str.")</f>
        <v>str.</v>
      </c>
      <c r="J4820" t="str">
        <f>IFERROR(__xludf.DUMMYFUNCTION("""COMPUTED_VALUE"""),"SA20093788")</f>
        <v>SA20093788</v>
      </c>
    </row>
    <row r="4821" ht="15.75" customHeight="1">
      <c r="A4821" t="str">
        <f t="shared" si="1"/>
        <v>S.enterica</v>
      </c>
      <c r="B4821" s="5" t="s">
        <v>30221</v>
      </c>
      <c r="C4821" s="6" t="str">
        <f>IFERROR(__xludf.DUMMYFUNCTION("SPLIT('2. c'!B4821, "" "", True, True)"),"Salmonella")</f>
        <v>Salmonella</v>
      </c>
      <c r="D4821" t="str">
        <f>IFERROR(__xludf.DUMMYFUNCTION("""COMPUTED_VALUE"""),"enterica")</f>
        <v>enterica</v>
      </c>
      <c r="E4821" t="str">
        <f>IFERROR(__xludf.DUMMYFUNCTION("""COMPUTED_VALUE"""),"subsp.")</f>
        <v>subsp.</v>
      </c>
      <c r="F4821" t="str">
        <f>IFERROR(__xludf.DUMMYFUNCTION("""COMPUTED_VALUE"""),"enterica")</f>
        <v>enterica</v>
      </c>
      <c r="G4821" t="str">
        <f>IFERROR(__xludf.DUMMYFUNCTION("""COMPUTED_VALUE"""),"serovar")</f>
        <v>serovar</v>
      </c>
      <c r="H4821" t="str">
        <f>IFERROR(__xludf.DUMMYFUNCTION("""COMPUTED_VALUE"""),"Enteritidis")</f>
        <v>Enteritidis</v>
      </c>
      <c r="I4821" t="str">
        <f>IFERROR(__xludf.DUMMYFUNCTION("""COMPUTED_VALUE"""),"str.")</f>
        <v>str.</v>
      </c>
      <c r="J4821" t="str">
        <f>IFERROR(__xludf.DUMMYFUNCTION("""COMPUTED_VALUE"""),"SA20093950")</f>
        <v>SA20093950</v>
      </c>
    </row>
    <row r="4822" ht="15.75" customHeight="1">
      <c r="A4822" t="str">
        <f t="shared" si="1"/>
        <v>S.enterica</v>
      </c>
      <c r="B4822" s="5" t="s">
        <v>30228</v>
      </c>
      <c r="C4822" s="6" t="str">
        <f>IFERROR(__xludf.DUMMYFUNCTION("SPLIT('2. c'!B4822, "" "", True, True)"),"Salmonella")</f>
        <v>Salmonella</v>
      </c>
      <c r="D4822" t="str">
        <f>IFERROR(__xludf.DUMMYFUNCTION("""COMPUTED_VALUE"""),"enterica")</f>
        <v>enterica</v>
      </c>
      <c r="E4822" t="str">
        <f>IFERROR(__xludf.DUMMYFUNCTION("""COMPUTED_VALUE"""),"subsp.")</f>
        <v>subsp.</v>
      </c>
      <c r="F4822" t="str">
        <f>IFERROR(__xludf.DUMMYFUNCTION("""COMPUTED_VALUE"""),"enterica")</f>
        <v>enterica</v>
      </c>
      <c r="G4822" t="str">
        <f>IFERROR(__xludf.DUMMYFUNCTION("""COMPUTED_VALUE"""),"serovar")</f>
        <v>serovar</v>
      </c>
      <c r="H4822" t="str">
        <f>IFERROR(__xludf.DUMMYFUNCTION("""COMPUTED_VALUE"""),"Enteritidis")</f>
        <v>Enteritidis</v>
      </c>
      <c r="I4822" t="str">
        <f>IFERROR(__xludf.DUMMYFUNCTION("""COMPUTED_VALUE"""),"str.")</f>
        <v>str.</v>
      </c>
      <c r="J4822" t="str">
        <f>IFERROR(__xludf.DUMMYFUNCTION("""COMPUTED_VALUE"""),"SA20093977")</f>
        <v>SA20093977</v>
      </c>
    </row>
    <row r="4823" ht="15.75" customHeight="1">
      <c r="A4823" t="str">
        <f t="shared" si="1"/>
        <v>S.enterica</v>
      </c>
      <c r="B4823" s="5" t="s">
        <v>30239</v>
      </c>
      <c r="C4823" s="6" t="str">
        <f>IFERROR(__xludf.DUMMYFUNCTION("SPLIT('2. c'!B4823, "" "", True, True)"),"Salmonella")</f>
        <v>Salmonella</v>
      </c>
      <c r="D4823" t="str">
        <f>IFERROR(__xludf.DUMMYFUNCTION("""COMPUTED_VALUE"""),"enterica")</f>
        <v>enterica</v>
      </c>
      <c r="E4823" t="str">
        <f>IFERROR(__xludf.DUMMYFUNCTION("""COMPUTED_VALUE"""),"subsp.")</f>
        <v>subsp.</v>
      </c>
      <c r="F4823" t="str">
        <f>IFERROR(__xludf.DUMMYFUNCTION("""COMPUTED_VALUE"""),"enterica")</f>
        <v>enterica</v>
      </c>
      <c r="G4823" t="str">
        <f>IFERROR(__xludf.DUMMYFUNCTION("""COMPUTED_VALUE"""),"serovar")</f>
        <v>serovar</v>
      </c>
      <c r="H4823" t="str">
        <f>IFERROR(__xludf.DUMMYFUNCTION("""COMPUTED_VALUE"""),"Enteritidis")</f>
        <v>Enteritidis</v>
      </c>
      <c r="I4823" t="str">
        <f>IFERROR(__xludf.DUMMYFUNCTION("""COMPUTED_VALUE"""),"str.")</f>
        <v>str.</v>
      </c>
      <c r="J4823" t="str">
        <f>IFERROR(__xludf.DUMMYFUNCTION("""COMPUTED_VALUE"""),"SA20094079")</f>
        <v>SA20094079</v>
      </c>
    </row>
    <row r="4824" ht="15.75" customHeight="1">
      <c r="A4824" t="str">
        <f t="shared" si="1"/>
        <v>S.enterica</v>
      </c>
      <c r="B4824" s="5" t="s">
        <v>30250</v>
      </c>
      <c r="C4824" s="6" t="str">
        <f>IFERROR(__xludf.DUMMYFUNCTION("SPLIT('2. c'!B4824, "" "", True, True)"),"Salmonella")</f>
        <v>Salmonella</v>
      </c>
      <c r="D4824" t="str">
        <f>IFERROR(__xludf.DUMMYFUNCTION("""COMPUTED_VALUE"""),"enterica")</f>
        <v>enterica</v>
      </c>
      <c r="E4824" t="str">
        <f>IFERROR(__xludf.DUMMYFUNCTION("""COMPUTED_VALUE"""),"subsp.")</f>
        <v>subsp.</v>
      </c>
      <c r="F4824" t="str">
        <f>IFERROR(__xludf.DUMMYFUNCTION("""COMPUTED_VALUE"""),"enterica")</f>
        <v>enterica</v>
      </c>
      <c r="G4824" t="str">
        <f>IFERROR(__xludf.DUMMYFUNCTION("""COMPUTED_VALUE"""),"serovar")</f>
        <v>serovar</v>
      </c>
      <c r="H4824" t="str">
        <f>IFERROR(__xludf.DUMMYFUNCTION("""COMPUTED_VALUE"""),"Enteritidis")</f>
        <v>Enteritidis</v>
      </c>
      <c r="I4824" t="str">
        <f>IFERROR(__xludf.DUMMYFUNCTION("""COMPUTED_VALUE"""),"str.")</f>
        <v>str.</v>
      </c>
      <c r="J4824" t="str">
        <f>IFERROR(__xludf.DUMMYFUNCTION("""COMPUTED_VALUE"""),"SA20094177")</f>
        <v>SA20094177</v>
      </c>
    </row>
    <row r="4825" ht="15.75" customHeight="1">
      <c r="A4825" t="str">
        <f t="shared" si="1"/>
        <v>S.enterica</v>
      </c>
      <c r="B4825" s="5" t="s">
        <v>30261</v>
      </c>
      <c r="C4825" s="6" t="str">
        <f>IFERROR(__xludf.DUMMYFUNCTION("SPLIT('2. c'!B4825, "" "", True, True)"),"Salmonella")</f>
        <v>Salmonella</v>
      </c>
      <c r="D4825" t="str">
        <f>IFERROR(__xludf.DUMMYFUNCTION("""COMPUTED_VALUE"""),"enterica")</f>
        <v>enterica</v>
      </c>
      <c r="E4825" t="str">
        <f>IFERROR(__xludf.DUMMYFUNCTION("""COMPUTED_VALUE"""),"subsp.")</f>
        <v>subsp.</v>
      </c>
      <c r="F4825" t="str">
        <f>IFERROR(__xludf.DUMMYFUNCTION("""COMPUTED_VALUE"""),"enterica")</f>
        <v>enterica</v>
      </c>
      <c r="G4825" t="str">
        <f>IFERROR(__xludf.DUMMYFUNCTION("""COMPUTED_VALUE"""),"serovar")</f>
        <v>serovar</v>
      </c>
      <c r="H4825" t="str">
        <f>IFERROR(__xludf.DUMMYFUNCTION("""COMPUTED_VALUE"""),"Enteritidis")</f>
        <v>Enteritidis</v>
      </c>
      <c r="I4825" t="str">
        <f>IFERROR(__xludf.DUMMYFUNCTION("""COMPUTED_VALUE"""),"str.")</f>
        <v>str.</v>
      </c>
      <c r="J4825" t="str">
        <f>IFERROR(__xludf.DUMMYFUNCTION("""COMPUTED_VALUE"""),"SA20094301")</f>
        <v>SA20094301</v>
      </c>
    </row>
    <row r="4826" ht="15.75" customHeight="1">
      <c r="A4826" t="str">
        <f t="shared" si="1"/>
        <v>S.enterica</v>
      </c>
      <c r="B4826" s="5" t="s">
        <v>30273</v>
      </c>
      <c r="C4826" s="6" t="str">
        <f>IFERROR(__xludf.DUMMYFUNCTION("SPLIT('2. c'!B4826, "" "", True, True)"),"Salmonella")</f>
        <v>Salmonella</v>
      </c>
      <c r="D4826" t="str">
        <f>IFERROR(__xludf.DUMMYFUNCTION("""COMPUTED_VALUE"""),"enterica")</f>
        <v>enterica</v>
      </c>
      <c r="E4826" t="str">
        <f>IFERROR(__xludf.DUMMYFUNCTION("""COMPUTED_VALUE"""),"subsp.")</f>
        <v>subsp.</v>
      </c>
      <c r="F4826" t="str">
        <f>IFERROR(__xludf.DUMMYFUNCTION("""COMPUTED_VALUE"""),"enterica")</f>
        <v>enterica</v>
      </c>
      <c r="G4826" t="str">
        <f>IFERROR(__xludf.DUMMYFUNCTION("""COMPUTED_VALUE"""),"serovar")</f>
        <v>serovar</v>
      </c>
      <c r="H4826" t="str">
        <f>IFERROR(__xludf.DUMMYFUNCTION("""COMPUTED_VALUE"""),"Enteritidis")</f>
        <v>Enteritidis</v>
      </c>
      <c r="I4826" t="str">
        <f>IFERROR(__xludf.DUMMYFUNCTION("""COMPUTED_VALUE"""),"str.")</f>
        <v>str.</v>
      </c>
      <c r="J4826" t="str">
        <f>IFERROR(__xludf.DUMMYFUNCTION("""COMPUTED_VALUE"""),"SA20094350")</f>
        <v>SA20094350</v>
      </c>
    </row>
    <row r="4827" ht="15.75" customHeight="1">
      <c r="A4827" t="str">
        <f t="shared" si="1"/>
        <v>S.enterica</v>
      </c>
      <c r="B4827" s="5" t="s">
        <v>30285</v>
      </c>
      <c r="C4827" s="6" t="str">
        <f>IFERROR(__xludf.DUMMYFUNCTION("SPLIT('2. c'!B4827, "" "", True, True)"),"Salmonella")</f>
        <v>Salmonella</v>
      </c>
      <c r="D4827" t="str">
        <f>IFERROR(__xludf.DUMMYFUNCTION("""COMPUTED_VALUE"""),"enterica")</f>
        <v>enterica</v>
      </c>
      <c r="E4827" t="str">
        <f>IFERROR(__xludf.DUMMYFUNCTION("""COMPUTED_VALUE"""),"subsp.")</f>
        <v>subsp.</v>
      </c>
      <c r="F4827" t="str">
        <f>IFERROR(__xludf.DUMMYFUNCTION("""COMPUTED_VALUE"""),"enterica")</f>
        <v>enterica</v>
      </c>
      <c r="G4827" t="str">
        <f>IFERROR(__xludf.DUMMYFUNCTION("""COMPUTED_VALUE"""),"serovar")</f>
        <v>serovar</v>
      </c>
      <c r="H4827" t="str">
        <f>IFERROR(__xludf.DUMMYFUNCTION("""COMPUTED_VALUE"""),"Enteritidis")</f>
        <v>Enteritidis</v>
      </c>
      <c r="I4827" t="str">
        <f>IFERROR(__xludf.DUMMYFUNCTION("""COMPUTED_VALUE"""),"str.")</f>
        <v>str.</v>
      </c>
      <c r="J4827" t="str">
        <f>IFERROR(__xludf.DUMMYFUNCTION("""COMPUTED_VALUE"""),"SA20094352")</f>
        <v>SA20094352</v>
      </c>
    </row>
    <row r="4828" ht="15.75" customHeight="1">
      <c r="A4828" t="str">
        <f t="shared" si="1"/>
        <v>S.enterica</v>
      </c>
      <c r="B4828" s="5" t="s">
        <v>30298</v>
      </c>
      <c r="C4828" s="6" t="str">
        <f>IFERROR(__xludf.DUMMYFUNCTION("SPLIT('2. c'!B4828, "" "", True, True)"),"Salmonella")</f>
        <v>Salmonella</v>
      </c>
      <c r="D4828" t="str">
        <f>IFERROR(__xludf.DUMMYFUNCTION("""COMPUTED_VALUE"""),"enterica")</f>
        <v>enterica</v>
      </c>
      <c r="E4828" t="str">
        <f>IFERROR(__xludf.DUMMYFUNCTION("""COMPUTED_VALUE"""),"subsp.")</f>
        <v>subsp.</v>
      </c>
      <c r="F4828" t="str">
        <f>IFERROR(__xludf.DUMMYFUNCTION("""COMPUTED_VALUE"""),"enterica")</f>
        <v>enterica</v>
      </c>
      <c r="G4828" t="str">
        <f>IFERROR(__xludf.DUMMYFUNCTION("""COMPUTED_VALUE"""),"serovar")</f>
        <v>serovar</v>
      </c>
      <c r="H4828" t="str">
        <f>IFERROR(__xludf.DUMMYFUNCTION("""COMPUTED_VALUE"""),"Enteritidis")</f>
        <v>Enteritidis</v>
      </c>
      <c r="I4828" t="str">
        <f>IFERROR(__xludf.DUMMYFUNCTION("""COMPUTED_VALUE"""),"str.")</f>
        <v>str.</v>
      </c>
      <c r="J4828" t="str">
        <f>IFERROR(__xludf.DUMMYFUNCTION("""COMPUTED_VALUE"""),"SA20094383")</f>
        <v>SA20094383</v>
      </c>
    </row>
    <row r="4829" ht="15.75" customHeight="1">
      <c r="A4829" t="str">
        <f t="shared" si="1"/>
        <v>S.enterica</v>
      </c>
      <c r="B4829" s="5" t="s">
        <v>30309</v>
      </c>
      <c r="C4829" s="6" t="str">
        <f>IFERROR(__xludf.DUMMYFUNCTION("SPLIT('2. c'!B4829, "" "", True, True)"),"Salmonella")</f>
        <v>Salmonella</v>
      </c>
      <c r="D4829" t="str">
        <f>IFERROR(__xludf.DUMMYFUNCTION("""COMPUTED_VALUE"""),"enterica")</f>
        <v>enterica</v>
      </c>
      <c r="E4829" t="str">
        <f>IFERROR(__xludf.DUMMYFUNCTION("""COMPUTED_VALUE"""),"subsp.")</f>
        <v>subsp.</v>
      </c>
      <c r="F4829" t="str">
        <f>IFERROR(__xludf.DUMMYFUNCTION("""COMPUTED_VALUE"""),"enterica")</f>
        <v>enterica</v>
      </c>
      <c r="G4829" t="str">
        <f>IFERROR(__xludf.DUMMYFUNCTION("""COMPUTED_VALUE"""),"serovar")</f>
        <v>serovar</v>
      </c>
      <c r="H4829" t="str">
        <f>IFERROR(__xludf.DUMMYFUNCTION("""COMPUTED_VALUE"""),"Enteritidis")</f>
        <v>Enteritidis</v>
      </c>
      <c r="I4829" t="str">
        <f>IFERROR(__xludf.DUMMYFUNCTION("""COMPUTED_VALUE"""),"str.")</f>
        <v>str.</v>
      </c>
      <c r="J4829" t="str">
        <f>IFERROR(__xludf.DUMMYFUNCTION("""COMPUTED_VALUE"""),"SA20094389")</f>
        <v>SA20094389</v>
      </c>
    </row>
    <row r="4830" ht="15.75" customHeight="1">
      <c r="A4830" t="str">
        <f t="shared" si="1"/>
        <v>S.enterica</v>
      </c>
      <c r="B4830" s="5" t="s">
        <v>30324</v>
      </c>
      <c r="C4830" s="6" t="str">
        <f>IFERROR(__xludf.DUMMYFUNCTION("SPLIT('2. c'!B4830, "" "", True, True)"),"Salmonella")</f>
        <v>Salmonella</v>
      </c>
      <c r="D4830" t="str">
        <f>IFERROR(__xludf.DUMMYFUNCTION("""COMPUTED_VALUE"""),"enterica")</f>
        <v>enterica</v>
      </c>
      <c r="E4830" t="str">
        <f>IFERROR(__xludf.DUMMYFUNCTION("""COMPUTED_VALUE"""),"subsp.")</f>
        <v>subsp.</v>
      </c>
      <c r="F4830" t="str">
        <f>IFERROR(__xludf.DUMMYFUNCTION("""COMPUTED_VALUE"""),"enterica")</f>
        <v>enterica</v>
      </c>
      <c r="G4830" t="str">
        <f>IFERROR(__xludf.DUMMYFUNCTION("""COMPUTED_VALUE"""),"serovar")</f>
        <v>serovar</v>
      </c>
      <c r="H4830" t="str">
        <f>IFERROR(__xludf.DUMMYFUNCTION("""COMPUTED_VALUE"""),"Enteritidis")</f>
        <v>Enteritidis</v>
      </c>
      <c r="I4830" t="str">
        <f>IFERROR(__xludf.DUMMYFUNCTION("""COMPUTED_VALUE"""),"str.")</f>
        <v>str.</v>
      </c>
      <c r="J4830" t="str">
        <f>IFERROR(__xludf.DUMMYFUNCTION("""COMPUTED_VALUE"""),"SA20094521")</f>
        <v>SA20094521</v>
      </c>
    </row>
    <row r="4831" ht="15.75" customHeight="1">
      <c r="A4831" t="str">
        <f t="shared" si="1"/>
        <v>S.enterica</v>
      </c>
      <c r="B4831" s="5" t="s">
        <v>30337</v>
      </c>
      <c r="C4831" s="6" t="str">
        <f>IFERROR(__xludf.DUMMYFUNCTION("SPLIT('2. c'!B4831, "" "", True, True)"),"Salmonella")</f>
        <v>Salmonella</v>
      </c>
      <c r="D4831" t="str">
        <f>IFERROR(__xludf.DUMMYFUNCTION("""COMPUTED_VALUE"""),"enterica")</f>
        <v>enterica</v>
      </c>
      <c r="E4831" t="str">
        <f>IFERROR(__xludf.DUMMYFUNCTION("""COMPUTED_VALUE"""),"subsp.")</f>
        <v>subsp.</v>
      </c>
      <c r="F4831" t="str">
        <f>IFERROR(__xludf.DUMMYFUNCTION("""COMPUTED_VALUE"""),"enterica")</f>
        <v>enterica</v>
      </c>
      <c r="G4831" t="str">
        <f>IFERROR(__xludf.DUMMYFUNCTION("""COMPUTED_VALUE"""),"serovar")</f>
        <v>serovar</v>
      </c>
      <c r="H4831" t="str">
        <f>IFERROR(__xludf.DUMMYFUNCTION("""COMPUTED_VALUE"""),"Enteritidis")</f>
        <v>Enteritidis</v>
      </c>
      <c r="I4831" t="str">
        <f>IFERROR(__xludf.DUMMYFUNCTION("""COMPUTED_VALUE"""),"str.")</f>
        <v>str.</v>
      </c>
      <c r="J4831" t="str">
        <f>IFERROR(__xludf.DUMMYFUNCTION("""COMPUTED_VALUE"""),"SA20094642")</f>
        <v>SA20094642</v>
      </c>
    </row>
    <row r="4832" ht="15.75" customHeight="1">
      <c r="A4832" t="str">
        <f t="shared" si="1"/>
        <v>S.enterica</v>
      </c>
      <c r="B4832" s="5" t="s">
        <v>30349</v>
      </c>
      <c r="C4832" s="6" t="str">
        <f>IFERROR(__xludf.DUMMYFUNCTION("SPLIT('2. c'!B4832, "" "", True, True)"),"Salmonella")</f>
        <v>Salmonella</v>
      </c>
      <c r="D4832" t="str">
        <f>IFERROR(__xludf.DUMMYFUNCTION("""COMPUTED_VALUE"""),"enterica")</f>
        <v>enterica</v>
      </c>
      <c r="E4832" t="str">
        <f>IFERROR(__xludf.DUMMYFUNCTION("""COMPUTED_VALUE"""),"subsp.")</f>
        <v>subsp.</v>
      </c>
      <c r="F4832" t="str">
        <f>IFERROR(__xludf.DUMMYFUNCTION("""COMPUTED_VALUE"""),"enterica")</f>
        <v>enterica</v>
      </c>
      <c r="G4832" t="str">
        <f>IFERROR(__xludf.DUMMYFUNCTION("""COMPUTED_VALUE"""),"serovar")</f>
        <v>serovar</v>
      </c>
      <c r="H4832" t="str">
        <f>IFERROR(__xludf.DUMMYFUNCTION("""COMPUTED_VALUE"""),"Enteritidis")</f>
        <v>Enteritidis</v>
      </c>
      <c r="I4832" t="str">
        <f>IFERROR(__xludf.DUMMYFUNCTION("""COMPUTED_VALUE"""),"str.")</f>
        <v>str.</v>
      </c>
      <c r="J4832" t="str">
        <f>IFERROR(__xludf.DUMMYFUNCTION("""COMPUTED_VALUE"""),"SA20094682")</f>
        <v>SA20094682</v>
      </c>
    </row>
    <row r="4833" ht="15.75" customHeight="1">
      <c r="A4833" t="str">
        <f t="shared" si="1"/>
        <v>S.enterica</v>
      </c>
      <c r="B4833" s="5" t="s">
        <v>30361</v>
      </c>
      <c r="C4833" s="6" t="str">
        <f>IFERROR(__xludf.DUMMYFUNCTION("SPLIT('2. c'!B4833, "" "", True, True)"),"Salmonella")</f>
        <v>Salmonella</v>
      </c>
      <c r="D4833" t="str">
        <f>IFERROR(__xludf.DUMMYFUNCTION("""COMPUTED_VALUE"""),"enterica")</f>
        <v>enterica</v>
      </c>
      <c r="E4833" t="str">
        <f>IFERROR(__xludf.DUMMYFUNCTION("""COMPUTED_VALUE"""),"subsp.")</f>
        <v>subsp.</v>
      </c>
      <c r="F4833" t="str">
        <f>IFERROR(__xludf.DUMMYFUNCTION("""COMPUTED_VALUE"""),"enterica")</f>
        <v>enterica</v>
      </c>
      <c r="G4833" t="str">
        <f>IFERROR(__xludf.DUMMYFUNCTION("""COMPUTED_VALUE"""),"serovar")</f>
        <v>serovar</v>
      </c>
      <c r="H4833" t="str">
        <f>IFERROR(__xludf.DUMMYFUNCTION("""COMPUTED_VALUE"""),"Enteritidis")</f>
        <v>Enteritidis</v>
      </c>
      <c r="I4833" t="str">
        <f>IFERROR(__xludf.DUMMYFUNCTION("""COMPUTED_VALUE"""),"str.")</f>
        <v>str.</v>
      </c>
      <c r="J4833" t="str">
        <f>IFERROR(__xludf.DUMMYFUNCTION("""COMPUTED_VALUE"""),"SA20094803")</f>
        <v>SA20094803</v>
      </c>
    </row>
    <row r="4834" ht="15.75" customHeight="1">
      <c r="A4834" t="str">
        <f t="shared" si="1"/>
        <v>S.enterica</v>
      </c>
      <c r="B4834" s="5" t="s">
        <v>30371</v>
      </c>
      <c r="C4834" s="6" t="str">
        <f>IFERROR(__xludf.DUMMYFUNCTION("SPLIT('2. c'!B4834, "" "", True, True)"),"Salmonella")</f>
        <v>Salmonella</v>
      </c>
      <c r="D4834" t="str">
        <f>IFERROR(__xludf.DUMMYFUNCTION("""COMPUTED_VALUE"""),"enterica")</f>
        <v>enterica</v>
      </c>
      <c r="E4834" t="str">
        <f>IFERROR(__xludf.DUMMYFUNCTION("""COMPUTED_VALUE"""),"subsp.")</f>
        <v>subsp.</v>
      </c>
      <c r="F4834" t="str">
        <f>IFERROR(__xludf.DUMMYFUNCTION("""COMPUTED_VALUE"""),"enterica")</f>
        <v>enterica</v>
      </c>
      <c r="G4834" t="str">
        <f>IFERROR(__xludf.DUMMYFUNCTION("""COMPUTED_VALUE"""),"serovar")</f>
        <v>serovar</v>
      </c>
      <c r="H4834" t="str">
        <f>IFERROR(__xludf.DUMMYFUNCTION("""COMPUTED_VALUE"""),"Enteritidis")</f>
        <v>Enteritidis</v>
      </c>
      <c r="I4834" t="str">
        <f>IFERROR(__xludf.DUMMYFUNCTION("""COMPUTED_VALUE"""),"str.")</f>
        <v>str.</v>
      </c>
      <c r="J4834" t="str">
        <f>IFERROR(__xludf.DUMMYFUNCTION("""COMPUTED_VALUE"""),"SA20095309")</f>
        <v>SA20095309</v>
      </c>
    </row>
    <row r="4835" ht="15.75" customHeight="1">
      <c r="A4835" t="str">
        <f t="shared" si="1"/>
        <v>S.enterica</v>
      </c>
      <c r="B4835" s="5" t="s">
        <v>30380</v>
      </c>
      <c r="C4835" s="6" t="str">
        <f>IFERROR(__xludf.DUMMYFUNCTION("SPLIT('2. c'!B4835, "" "", True, True)"),"Salmonella")</f>
        <v>Salmonella</v>
      </c>
      <c r="D4835" t="str">
        <f>IFERROR(__xludf.DUMMYFUNCTION("""COMPUTED_VALUE"""),"enterica")</f>
        <v>enterica</v>
      </c>
      <c r="E4835" t="str">
        <f>IFERROR(__xludf.DUMMYFUNCTION("""COMPUTED_VALUE"""),"subsp.")</f>
        <v>subsp.</v>
      </c>
      <c r="F4835" t="str">
        <f>IFERROR(__xludf.DUMMYFUNCTION("""COMPUTED_VALUE"""),"enterica")</f>
        <v>enterica</v>
      </c>
      <c r="G4835" t="str">
        <f>IFERROR(__xludf.DUMMYFUNCTION("""COMPUTED_VALUE"""),"serovar")</f>
        <v>serovar</v>
      </c>
      <c r="H4835" t="str">
        <f>IFERROR(__xludf.DUMMYFUNCTION("""COMPUTED_VALUE"""),"Enteritidis")</f>
        <v>Enteritidis</v>
      </c>
      <c r="I4835" t="str">
        <f>IFERROR(__xludf.DUMMYFUNCTION("""COMPUTED_VALUE"""),"str.")</f>
        <v>str.</v>
      </c>
      <c r="J4835" t="str">
        <f>IFERROR(__xludf.DUMMYFUNCTION("""COMPUTED_VALUE"""),"SA20095440")</f>
        <v>SA20095440</v>
      </c>
    </row>
    <row r="4836" ht="15.75" customHeight="1">
      <c r="A4836" t="str">
        <f t="shared" si="1"/>
        <v>S.enterica</v>
      </c>
      <c r="B4836" s="5" t="s">
        <v>30387</v>
      </c>
      <c r="C4836" s="6" t="str">
        <f>IFERROR(__xludf.DUMMYFUNCTION("SPLIT('2. c'!B4836, "" "", True, True)"),"Salmonella")</f>
        <v>Salmonella</v>
      </c>
      <c r="D4836" t="str">
        <f>IFERROR(__xludf.DUMMYFUNCTION("""COMPUTED_VALUE"""),"enterica")</f>
        <v>enterica</v>
      </c>
      <c r="E4836" t="str">
        <f>IFERROR(__xludf.DUMMYFUNCTION("""COMPUTED_VALUE"""),"subsp.")</f>
        <v>subsp.</v>
      </c>
      <c r="F4836" t="str">
        <f>IFERROR(__xludf.DUMMYFUNCTION("""COMPUTED_VALUE"""),"enterica")</f>
        <v>enterica</v>
      </c>
      <c r="G4836" t="str">
        <f>IFERROR(__xludf.DUMMYFUNCTION("""COMPUTED_VALUE"""),"serovar")</f>
        <v>serovar</v>
      </c>
      <c r="H4836" t="str">
        <f>IFERROR(__xludf.DUMMYFUNCTION("""COMPUTED_VALUE"""),"Enteritidis")</f>
        <v>Enteritidis</v>
      </c>
      <c r="I4836" t="str">
        <f>IFERROR(__xludf.DUMMYFUNCTION("""COMPUTED_VALUE"""),"str.")</f>
        <v>str.</v>
      </c>
      <c r="J4836" t="str">
        <f>IFERROR(__xludf.DUMMYFUNCTION("""COMPUTED_VALUE"""),"SA20100239")</f>
        <v>SA20100239</v>
      </c>
    </row>
    <row r="4837" ht="15.75" customHeight="1">
      <c r="A4837" t="str">
        <f t="shared" si="1"/>
        <v>S.enterica</v>
      </c>
      <c r="B4837" s="5" t="s">
        <v>30395</v>
      </c>
      <c r="C4837" s="6" t="str">
        <f>IFERROR(__xludf.DUMMYFUNCTION("SPLIT('2. c'!B4837, "" "", True, True)"),"Salmonella")</f>
        <v>Salmonella</v>
      </c>
      <c r="D4837" t="str">
        <f>IFERROR(__xludf.DUMMYFUNCTION("""COMPUTED_VALUE"""),"enterica")</f>
        <v>enterica</v>
      </c>
      <c r="E4837" t="str">
        <f>IFERROR(__xludf.DUMMYFUNCTION("""COMPUTED_VALUE"""),"subsp.")</f>
        <v>subsp.</v>
      </c>
      <c r="F4837" t="str">
        <f>IFERROR(__xludf.DUMMYFUNCTION("""COMPUTED_VALUE"""),"enterica")</f>
        <v>enterica</v>
      </c>
      <c r="G4837" t="str">
        <f>IFERROR(__xludf.DUMMYFUNCTION("""COMPUTED_VALUE"""),"serovar")</f>
        <v>serovar</v>
      </c>
      <c r="H4837" t="str">
        <f>IFERROR(__xludf.DUMMYFUNCTION("""COMPUTED_VALUE"""),"Enteritidis")</f>
        <v>Enteritidis</v>
      </c>
      <c r="I4837" t="str">
        <f>IFERROR(__xludf.DUMMYFUNCTION("""COMPUTED_VALUE"""),"str.")</f>
        <v>str.</v>
      </c>
      <c r="J4837" t="str">
        <f>IFERROR(__xludf.DUMMYFUNCTION("""COMPUTED_VALUE"""),"SA20100349")</f>
        <v>SA20100349</v>
      </c>
    </row>
    <row r="4838" ht="15.75" customHeight="1">
      <c r="A4838" t="str">
        <f t="shared" si="1"/>
        <v>S.enterica</v>
      </c>
      <c r="B4838" s="5" t="s">
        <v>30401</v>
      </c>
      <c r="C4838" s="6" t="str">
        <f>IFERROR(__xludf.DUMMYFUNCTION("SPLIT('2. c'!B4838, "" "", True, True)"),"Salmonella")</f>
        <v>Salmonella</v>
      </c>
      <c r="D4838" t="str">
        <f>IFERROR(__xludf.DUMMYFUNCTION("""COMPUTED_VALUE"""),"enterica")</f>
        <v>enterica</v>
      </c>
      <c r="E4838" t="str">
        <f>IFERROR(__xludf.DUMMYFUNCTION("""COMPUTED_VALUE"""),"subsp.")</f>
        <v>subsp.</v>
      </c>
      <c r="F4838" t="str">
        <f>IFERROR(__xludf.DUMMYFUNCTION("""COMPUTED_VALUE"""),"enterica")</f>
        <v>enterica</v>
      </c>
      <c r="G4838" t="str">
        <f>IFERROR(__xludf.DUMMYFUNCTION("""COMPUTED_VALUE"""),"serovar")</f>
        <v>serovar</v>
      </c>
      <c r="H4838" t="str">
        <f>IFERROR(__xludf.DUMMYFUNCTION("""COMPUTED_VALUE"""),"Enteritidis")</f>
        <v>Enteritidis</v>
      </c>
      <c r="I4838" t="str">
        <f>IFERROR(__xludf.DUMMYFUNCTION("""COMPUTED_VALUE"""),"str.")</f>
        <v>str.</v>
      </c>
      <c r="J4838" t="str">
        <f>IFERROR(__xludf.DUMMYFUNCTION("""COMPUTED_VALUE"""),"SA20121703")</f>
        <v>SA20121703</v>
      </c>
    </row>
    <row r="4839" ht="15.75" customHeight="1">
      <c r="A4839" t="str">
        <f t="shared" si="1"/>
        <v>S.enterica</v>
      </c>
      <c r="B4839" s="5" t="s">
        <v>30412</v>
      </c>
      <c r="C4839" s="6" t="str">
        <f>IFERROR(__xludf.DUMMYFUNCTION("SPLIT('2. c'!B4839, "" "", True, True)"),"Salmonella")</f>
        <v>Salmonella</v>
      </c>
      <c r="D4839" t="str">
        <f>IFERROR(__xludf.DUMMYFUNCTION("""COMPUTED_VALUE"""),"enterica")</f>
        <v>enterica</v>
      </c>
      <c r="E4839" t="str">
        <f>IFERROR(__xludf.DUMMYFUNCTION("""COMPUTED_VALUE"""),"subsp.")</f>
        <v>subsp.</v>
      </c>
      <c r="F4839" t="str">
        <f>IFERROR(__xludf.DUMMYFUNCTION("""COMPUTED_VALUE"""),"enterica")</f>
        <v>enterica</v>
      </c>
      <c r="G4839" t="str">
        <f>IFERROR(__xludf.DUMMYFUNCTION("""COMPUTED_VALUE"""),"serovar")</f>
        <v>serovar</v>
      </c>
      <c r="H4839" t="str">
        <f>IFERROR(__xludf.DUMMYFUNCTION("""COMPUTED_VALUE"""),"Enteritidis")</f>
        <v>Enteritidis</v>
      </c>
      <c r="I4839" t="str">
        <f>IFERROR(__xludf.DUMMYFUNCTION("""COMPUTED_VALUE"""),"str.")</f>
        <v>str.</v>
      </c>
      <c r="J4839" t="str">
        <f>IFERROR(__xludf.DUMMYFUNCTION("""COMPUTED_VALUE"""),"SA20123395")</f>
        <v>SA20123395</v>
      </c>
    </row>
    <row r="4840" ht="15.75" customHeight="1">
      <c r="A4840" t="str">
        <f t="shared" si="1"/>
        <v>S.enterica</v>
      </c>
      <c r="B4840" s="5" t="s">
        <v>30418</v>
      </c>
      <c r="C4840" s="6" t="str">
        <f>IFERROR(__xludf.DUMMYFUNCTION("SPLIT('2. c'!B4840, "" "", True, True)"),"Salmonella")</f>
        <v>Salmonella</v>
      </c>
      <c r="D4840" t="str">
        <f>IFERROR(__xludf.DUMMYFUNCTION("""COMPUTED_VALUE"""),"enterica")</f>
        <v>enterica</v>
      </c>
      <c r="E4840" t="str">
        <f>IFERROR(__xludf.DUMMYFUNCTION("""COMPUTED_VALUE"""),"subsp.")</f>
        <v>subsp.</v>
      </c>
      <c r="F4840" t="str">
        <f>IFERROR(__xludf.DUMMYFUNCTION("""COMPUTED_VALUE"""),"enterica")</f>
        <v>enterica</v>
      </c>
      <c r="G4840" t="str">
        <f>IFERROR(__xludf.DUMMYFUNCTION("""COMPUTED_VALUE"""),"serovar")</f>
        <v>serovar</v>
      </c>
      <c r="H4840" t="str">
        <f>IFERROR(__xludf.DUMMYFUNCTION("""COMPUTED_VALUE"""),"Enteritidis")</f>
        <v>Enteritidis</v>
      </c>
      <c r="I4840" t="str">
        <f>IFERROR(__xludf.DUMMYFUNCTION("""COMPUTED_VALUE"""),"strain")</f>
        <v>strain</v>
      </c>
      <c r="J4840" t="str">
        <f>IFERROR(__xludf.DUMMYFUNCTION("""COMPUTED_VALUE"""),"Durban")</f>
        <v>Durban</v>
      </c>
    </row>
    <row r="4841" ht="15.75" customHeight="1">
      <c r="A4841" t="str">
        <f t="shared" si="1"/>
        <v>S.enterica</v>
      </c>
      <c r="B4841" s="5" t="s">
        <v>30426</v>
      </c>
      <c r="C4841" s="6" t="str">
        <f>IFERROR(__xludf.DUMMYFUNCTION("SPLIT('2. c'!B4841, "" "", True, True)"),"Salmonella")</f>
        <v>Salmonella</v>
      </c>
      <c r="D4841" t="str">
        <f>IFERROR(__xludf.DUMMYFUNCTION("""COMPUTED_VALUE"""),"enterica")</f>
        <v>enterica</v>
      </c>
      <c r="E4841" t="str">
        <f>IFERROR(__xludf.DUMMYFUNCTION("""COMPUTED_VALUE"""),"subsp.")</f>
        <v>subsp.</v>
      </c>
      <c r="F4841" t="str">
        <f>IFERROR(__xludf.DUMMYFUNCTION("""COMPUTED_VALUE"""),"enterica")</f>
        <v>enterica</v>
      </c>
      <c r="G4841" t="str">
        <f>IFERROR(__xludf.DUMMYFUNCTION("""COMPUTED_VALUE"""),"serovar")</f>
        <v>serovar</v>
      </c>
      <c r="H4841" t="str">
        <f>IFERROR(__xludf.DUMMYFUNCTION("""COMPUTED_VALUE"""),"Enteritidis")</f>
        <v>Enteritidis</v>
      </c>
      <c r="I4841" t="str">
        <f>IFERROR(__xludf.DUMMYFUNCTION("""COMPUTED_VALUE"""),"strain")</f>
        <v>strain</v>
      </c>
      <c r="J4841" t="str">
        <f>IFERROR(__xludf.DUMMYFUNCTION("""COMPUTED_VALUE"""),"FORC_007")</f>
        <v>FORC_007</v>
      </c>
    </row>
    <row r="4842" ht="15.75" customHeight="1">
      <c r="A4842" t="str">
        <f t="shared" si="1"/>
        <v>S.enterica</v>
      </c>
      <c r="B4842" s="5" t="s">
        <v>30434</v>
      </c>
      <c r="C4842" s="6" t="str">
        <f>IFERROR(__xludf.DUMMYFUNCTION("SPLIT('2. c'!B4842, "" "", True, True)"),"Salmonella")</f>
        <v>Salmonella</v>
      </c>
      <c r="D4842" t="str">
        <f>IFERROR(__xludf.DUMMYFUNCTION("""COMPUTED_VALUE"""),"enterica")</f>
        <v>enterica</v>
      </c>
      <c r="E4842" t="str">
        <f>IFERROR(__xludf.DUMMYFUNCTION("""COMPUTED_VALUE"""),"subsp.")</f>
        <v>subsp.</v>
      </c>
      <c r="F4842" t="str">
        <f>IFERROR(__xludf.DUMMYFUNCTION("""COMPUTED_VALUE"""),"enterica")</f>
        <v>enterica</v>
      </c>
      <c r="G4842" t="str">
        <f>IFERROR(__xludf.DUMMYFUNCTION("""COMPUTED_VALUE"""),"serovar")</f>
        <v>serovar</v>
      </c>
      <c r="H4842" t="str">
        <f>IFERROR(__xludf.DUMMYFUNCTION("""COMPUTED_VALUE"""),"Enteritidis")</f>
        <v>Enteritidis</v>
      </c>
      <c r="I4842" t="str">
        <f>IFERROR(__xludf.DUMMYFUNCTION("""COMPUTED_VALUE"""),"strain")</f>
        <v>strain</v>
      </c>
      <c r="J4842" t="str">
        <f>IFERROR(__xludf.DUMMYFUNCTION("""COMPUTED_VALUE"""),"OLF-SE2-98984-6")</f>
        <v>OLF-SE2-98984-6</v>
      </c>
    </row>
    <row r="4843" ht="15.75" customHeight="1">
      <c r="A4843" t="str">
        <f t="shared" si="1"/>
        <v>S.enterica</v>
      </c>
      <c r="B4843" s="5" t="s">
        <v>30444</v>
      </c>
      <c r="C4843" s="6" t="str">
        <f>IFERROR(__xludf.DUMMYFUNCTION("SPLIT('2. c'!B4843, "" "", True, True)"),"Salmonella")</f>
        <v>Salmonella</v>
      </c>
      <c r="D4843" t="str">
        <f>IFERROR(__xludf.DUMMYFUNCTION("""COMPUTED_VALUE"""),"enterica")</f>
        <v>enterica</v>
      </c>
      <c r="E4843" t="str">
        <f>IFERROR(__xludf.DUMMYFUNCTION("""COMPUTED_VALUE"""),"subsp.")</f>
        <v>subsp.</v>
      </c>
      <c r="F4843" t="str">
        <f>IFERROR(__xludf.DUMMYFUNCTION("""COMPUTED_VALUE"""),"enterica")</f>
        <v>enterica</v>
      </c>
      <c r="G4843" t="str">
        <f>IFERROR(__xludf.DUMMYFUNCTION("""COMPUTED_VALUE"""),"serovar")</f>
        <v>serovar</v>
      </c>
      <c r="H4843" t="str">
        <f>IFERROR(__xludf.DUMMYFUNCTION("""COMPUTED_VALUE"""),"Enteritidis")</f>
        <v>Enteritidis</v>
      </c>
      <c r="I4843" t="str">
        <f>IFERROR(__xludf.DUMMYFUNCTION("""COMPUTED_VALUE"""),"strain")</f>
        <v>strain</v>
      </c>
      <c r="J4843" t="str">
        <f>IFERROR(__xludf.DUMMYFUNCTION("""COMPUTED_VALUE"""),"OLF-SE3-98983-4")</f>
        <v>OLF-SE3-98983-4</v>
      </c>
    </row>
    <row r="4844" ht="15.75" customHeight="1">
      <c r="A4844" t="str">
        <f t="shared" si="1"/>
        <v>S.enterica</v>
      </c>
      <c r="B4844" s="5" t="s">
        <v>30452</v>
      </c>
      <c r="C4844" s="6" t="str">
        <f>IFERROR(__xludf.DUMMYFUNCTION("SPLIT('2. c'!B4844, "" "", True, True)"),"Salmonella")</f>
        <v>Salmonella</v>
      </c>
      <c r="D4844" t="str">
        <f>IFERROR(__xludf.DUMMYFUNCTION("""COMPUTED_VALUE"""),"enterica")</f>
        <v>enterica</v>
      </c>
      <c r="E4844" t="str">
        <f>IFERROR(__xludf.DUMMYFUNCTION("""COMPUTED_VALUE"""),"subsp.")</f>
        <v>subsp.</v>
      </c>
      <c r="F4844" t="str">
        <f>IFERROR(__xludf.DUMMYFUNCTION("""COMPUTED_VALUE"""),"enterica")</f>
        <v>enterica</v>
      </c>
      <c r="G4844" t="str">
        <f>IFERROR(__xludf.DUMMYFUNCTION("""COMPUTED_VALUE"""),"serovar")</f>
        <v>serovar</v>
      </c>
      <c r="H4844" t="str">
        <f>IFERROR(__xludf.DUMMYFUNCTION("""COMPUTED_VALUE"""),"Enteritidis")</f>
        <v>Enteritidis</v>
      </c>
      <c r="I4844" t="str">
        <f>IFERROR(__xludf.DUMMYFUNCTION("""COMPUTED_VALUE"""),"strain")</f>
        <v>strain</v>
      </c>
      <c r="J4844" t="str">
        <f>IFERROR(__xludf.DUMMYFUNCTION("""COMPUTED_VALUE"""),"SEE1")</f>
        <v>SEE1</v>
      </c>
    </row>
    <row r="4845" ht="15.75" customHeight="1">
      <c r="A4845" t="str">
        <f t="shared" si="1"/>
        <v>S.enterica</v>
      </c>
      <c r="B4845" s="5" t="s">
        <v>30456</v>
      </c>
      <c r="C4845" s="6" t="str">
        <f>IFERROR(__xludf.DUMMYFUNCTION("SPLIT('2. c'!B4845, "" "", True, True)"),"Salmonella")</f>
        <v>Salmonella</v>
      </c>
      <c r="D4845" t="str">
        <f>IFERROR(__xludf.DUMMYFUNCTION("""COMPUTED_VALUE"""),"enterica")</f>
        <v>enterica</v>
      </c>
      <c r="E4845" t="str">
        <f>IFERROR(__xludf.DUMMYFUNCTION("""COMPUTED_VALUE"""),"subsp.")</f>
        <v>subsp.</v>
      </c>
      <c r="F4845" t="str">
        <f>IFERROR(__xludf.DUMMYFUNCTION("""COMPUTED_VALUE"""),"enterica")</f>
        <v>enterica</v>
      </c>
      <c r="G4845" t="str">
        <f>IFERROR(__xludf.DUMMYFUNCTION("""COMPUTED_VALUE"""),"serovar")</f>
        <v>serovar</v>
      </c>
      <c r="H4845" t="str">
        <f>IFERROR(__xludf.DUMMYFUNCTION("""COMPUTED_VALUE"""),"Enteritidis")</f>
        <v>Enteritidis</v>
      </c>
      <c r="I4845" t="str">
        <f>IFERROR(__xludf.DUMMYFUNCTION("""COMPUTED_VALUE"""),"strain")</f>
        <v>strain</v>
      </c>
      <c r="J4845" t="str">
        <f>IFERROR(__xludf.DUMMYFUNCTION("""COMPUTED_VALUE"""),"SEE2")</f>
        <v>SEE2</v>
      </c>
    </row>
    <row r="4846" ht="15.75" customHeight="1">
      <c r="A4846" t="str">
        <f t="shared" si="1"/>
        <v>S.enterica</v>
      </c>
      <c r="B4846" s="5" t="s">
        <v>30458</v>
      </c>
      <c r="C4846" s="6" t="str">
        <f>IFERROR(__xludf.DUMMYFUNCTION("SPLIT('2. c'!B4846, "" "", True, True)"),"Salmonella")</f>
        <v>Salmonella</v>
      </c>
      <c r="D4846" t="str">
        <f>IFERROR(__xludf.DUMMYFUNCTION("""COMPUTED_VALUE"""),"enterica")</f>
        <v>enterica</v>
      </c>
      <c r="E4846" t="str">
        <f>IFERROR(__xludf.DUMMYFUNCTION("""COMPUTED_VALUE"""),"subsp.")</f>
        <v>subsp.</v>
      </c>
      <c r="F4846" t="str">
        <f>IFERROR(__xludf.DUMMYFUNCTION("""COMPUTED_VALUE"""),"enterica")</f>
        <v>enterica</v>
      </c>
      <c r="G4846" t="str">
        <f>IFERROR(__xludf.DUMMYFUNCTION("""COMPUTED_VALUE"""),"serovar")</f>
        <v>serovar</v>
      </c>
      <c r="H4846" t="str">
        <f>IFERROR(__xludf.DUMMYFUNCTION("""COMPUTED_VALUE"""),"Enteritidis")</f>
        <v>Enteritidis</v>
      </c>
      <c r="I4846" t="str">
        <f>IFERROR(__xludf.DUMMYFUNCTION("""COMPUTED_VALUE"""),"strain")</f>
        <v>strain</v>
      </c>
      <c r="J4846" t="str">
        <f>IFERROR(__xludf.DUMMYFUNCTION("""COMPUTED_VALUE"""),"SEJ")</f>
        <v>SEJ</v>
      </c>
    </row>
    <row r="4847" ht="15.75" customHeight="1">
      <c r="A4847" t="str">
        <f t="shared" si="1"/>
        <v>S.enterica</v>
      </c>
      <c r="B4847" s="5" t="s">
        <v>30466</v>
      </c>
      <c r="C4847" s="6" t="str">
        <f>IFERROR(__xludf.DUMMYFUNCTION("SPLIT('2. c'!B4847, "" "", True, True)"),"Salmonella")</f>
        <v>Salmonella</v>
      </c>
      <c r="D4847" t="str">
        <f>IFERROR(__xludf.DUMMYFUNCTION("""COMPUTED_VALUE"""),"enterica")</f>
        <v>enterica</v>
      </c>
      <c r="E4847" t="str">
        <f>IFERROR(__xludf.DUMMYFUNCTION("""COMPUTED_VALUE"""),"subsp.")</f>
        <v>subsp.</v>
      </c>
      <c r="F4847" t="str">
        <f>IFERROR(__xludf.DUMMYFUNCTION("""COMPUTED_VALUE"""),"enterica")</f>
        <v>enterica</v>
      </c>
      <c r="G4847" t="str">
        <f>IFERROR(__xludf.DUMMYFUNCTION("""COMPUTED_VALUE"""),"serovar")</f>
        <v>serovar</v>
      </c>
      <c r="H4847" t="str">
        <f>IFERROR(__xludf.DUMMYFUNCTION("""COMPUTED_VALUE"""),"Gallinarum")</f>
        <v>Gallinarum</v>
      </c>
      <c r="I4847" t="str">
        <f>IFERROR(__xludf.DUMMYFUNCTION("""COMPUTED_VALUE"""),"str.")</f>
        <v>str.</v>
      </c>
      <c r="J4847" t="str">
        <f>IFERROR(__xludf.DUMMYFUNCTION("""COMPUTED_VALUE"""),"287/91")</f>
        <v>287/91</v>
      </c>
    </row>
    <row r="4848" ht="15.75" customHeight="1">
      <c r="A4848" t="str">
        <f t="shared" si="1"/>
        <v>S.enterica</v>
      </c>
      <c r="B4848" s="5" t="s">
        <v>30471</v>
      </c>
      <c r="C4848" s="6" t="str">
        <f>IFERROR(__xludf.DUMMYFUNCTION("SPLIT('2. c'!B4848, "" "", True, True)"),"Salmonella")</f>
        <v>Salmonella</v>
      </c>
      <c r="D4848" t="str">
        <f>IFERROR(__xludf.DUMMYFUNCTION("""COMPUTED_VALUE"""),"enterica")</f>
        <v>enterica</v>
      </c>
      <c r="E4848" t="str">
        <f>IFERROR(__xludf.DUMMYFUNCTION("""COMPUTED_VALUE"""),"subsp.")</f>
        <v>subsp.</v>
      </c>
      <c r="F4848" t="str">
        <f>IFERROR(__xludf.DUMMYFUNCTION("""COMPUTED_VALUE"""),"enterica")</f>
        <v>enterica</v>
      </c>
      <c r="G4848" t="str">
        <f>IFERROR(__xludf.DUMMYFUNCTION("""COMPUTED_VALUE"""),"serovar")</f>
        <v>serovar</v>
      </c>
      <c r="H4848" t="str">
        <f>IFERROR(__xludf.DUMMYFUNCTION("""COMPUTED_VALUE"""),"Gallinarum/pullorum")</f>
        <v>Gallinarum/pullorum</v>
      </c>
      <c r="I4848" t="str">
        <f>IFERROR(__xludf.DUMMYFUNCTION("""COMPUTED_VALUE"""),"str.")</f>
        <v>str.</v>
      </c>
      <c r="J4848" t="str">
        <f>IFERROR(__xludf.DUMMYFUNCTION("""COMPUTED_VALUE"""),"CDC1983-67")</f>
        <v>CDC1983-67</v>
      </c>
    </row>
    <row r="4849" ht="15.75" customHeight="1">
      <c r="A4849" t="str">
        <f t="shared" si="1"/>
        <v>S.enterica</v>
      </c>
      <c r="B4849" s="5" t="s">
        <v>30478</v>
      </c>
      <c r="C4849" s="6" t="str">
        <f>IFERROR(__xludf.DUMMYFUNCTION("SPLIT('2. c'!B4849, "" "", True, True)"),"Salmonella")</f>
        <v>Salmonella</v>
      </c>
      <c r="D4849" t="str">
        <f>IFERROR(__xludf.DUMMYFUNCTION("""COMPUTED_VALUE"""),"enterica")</f>
        <v>enterica</v>
      </c>
      <c r="E4849" t="str">
        <f>IFERROR(__xludf.DUMMYFUNCTION("""COMPUTED_VALUE"""),"subsp.")</f>
        <v>subsp.</v>
      </c>
      <c r="F4849" t="str">
        <f>IFERROR(__xludf.DUMMYFUNCTION("""COMPUTED_VALUE"""),"enterica")</f>
        <v>enterica</v>
      </c>
      <c r="G4849" t="str">
        <f>IFERROR(__xludf.DUMMYFUNCTION("""COMPUTED_VALUE"""),"serovar")</f>
        <v>serovar</v>
      </c>
      <c r="H4849" t="str">
        <f>IFERROR(__xludf.DUMMYFUNCTION("""COMPUTED_VALUE"""),"Gallinarum/pullorum")</f>
        <v>Gallinarum/pullorum</v>
      </c>
      <c r="I4849" t="str">
        <f>IFERROR(__xludf.DUMMYFUNCTION("""COMPUTED_VALUE"""),"str.")</f>
        <v>str.</v>
      </c>
      <c r="J4849" t="str">
        <f>IFERROR(__xludf.DUMMYFUNCTION("""COMPUTED_VALUE"""),"RKS5078")</f>
        <v>RKS5078</v>
      </c>
    </row>
    <row r="4850" ht="15.75" customHeight="1">
      <c r="A4850" t="str">
        <f t="shared" si="1"/>
        <v>S.enterica</v>
      </c>
      <c r="B4850" s="5" t="s">
        <v>30487</v>
      </c>
      <c r="C4850" s="6" t="str">
        <f>IFERROR(__xludf.DUMMYFUNCTION("SPLIT('2. c'!B4850, "" "", True, True)"),"Salmonella")</f>
        <v>Salmonella</v>
      </c>
      <c r="D4850" t="str">
        <f>IFERROR(__xludf.DUMMYFUNCTION("""COMPUTED_VALUE"""),"enterica")</f>
        <v>enterica</v>
      </c>
      <c r="E4850" t="str">
        <f>IFERROR(__xludf.DUMMYFUNCTION("""COMPUTED_VALUE"""),"subsp.")</f>
        <v>subsp.</v>
      </c>
      <c r="F4850" t="str">
        <f>IFERROR(__xludf.DUMMYFUNCTION("""COMPUTED_VALUE"""),"enterica")</f>
        <v>enterica</v>
      </c>
      <c r="G4850" t="str">
        <f>IFERROR(__xludf.DUMMYFUNCTION("""COMPUTED_VALUE"""),"serovar")</f>
        <v>serovar</v>
      </c>
      <c r="H4850" t="str">
        <f>IFERROR(__xludf.DUMMYFUNCTION("""COMPUTED_VALUE"""),"Heidelberg")</f>
        <v>Heidelberg</v>
      </c>
      <c r="I4850" t="str">
        <f>IFERROR(__xludf.DUMMYFUNCTION("""COMPUTED_VALUE"""),"str.")</f>
        <v>str.</v>
      </c>
      <c r="J4850">
        <f>IFERROR(__xludf.DUMMYFUNCTION("""COMPUTED_VALUE"""),41578.0)</f>
        <v>41578</v>
      </c>
    </row>
    <row r="4851" ht="15.75" customHeight="1">
      <c r="A4851" t="str">
        <f t="shared" si="1"/>
        <v>S.enterica</v>
      </c>
      <c r="B4851" s="5" t="s">
        <v>30494</v>
      </c>
      <c r="C4851" s="6" t="str">
        <f>IFERROR(__xludf.DUMMYFUNCTION("SPLIT('2. c'!B4851, "" "", True, True)"),"Salmonella")</f>
        <v>Salmonella</v>
      </c>
      <c r="D4851" t="str">
        <f>IFERROR(__xludf.DUMMYFUNCTION("""COMPUTED_VALUE"""),"enterica")</f>
        <v>enterica</v>
      </c>
      <c r="E4851" t="str">
        <f>IFERROR(__xludf.DUMMYFUNCTION("""COMPUTED_VALUE"""),"subsp.")</f>
        <v>subsp.</v>
      </c>
      <c r="F4851" t="str">
        <f>IFERROR(__xludf.DUMMYFUNCTION("""COMPUTED_VALUE"""),"enterica")</f>
        <v>enterica</v>
      </c>
      <c r="G4851" t="str">
        <f>IFERROR(__xludf.DUMMYFUNCTION("""COMPUTED_VALUE"""),"serovar")</f>
        <v>serovar</v>
      </c>
      <c r="H4851" t="str">
        <f>IFERROR(__xludf.DUMMYFUNCTION("""COMPUTED_VALUE"""),"Heidelberg")</f>
        <v>Heidelberg</v>
      </c>
      <c r="I4851" t="str">
        <f>IFERROR(__xludf.DUMMYFUNCTION("""COMPUTED_VALUE"""),"str.")</f>
        <v>str.</v>
      </c>
      <c r="J4851" t="str">
        <f>IFERROR(__xludf.DUMMYFUNCTION("""COMPUTED_VALUE"""),"B182")</f>
        <v>B182</v>
      </c>
    </row>
    <row r="4852" ht="15.75" customHeight="1">
      <c r="A4852" t="str">
        <f t="shared" si="1"/>
        <v>S.enterica</v>
      </c>
      <c r="B4852" s="5" t="s">
        <v>30502</v>
      </c>
      <c r="C4852" s="6" t="str">
        <f>IFERROR(__xludf.DUMMYFUNCTION("SPLIT('2. c'!B4852, "" "", True, True)"),"Salmonella")</f>
        <v>Salmonella</v>
      </c>
      <c r="D4852" t="str">
        <f>IFERROR(__xludf.DUMMYFUNCTION("""COMPUTED_VALUE"""),"enterica")</f>
        <v>enterica</v>
      </c>
      <c r="E4852" t="str">
        <f>IFERROR(__xludf.DUMMYFUNCTION("""COMPUTED_VALUE"""),"subsp.")</f>
        <v>subsp.</v>
      </c>
      <c r="F4852" t="str">
        <f>IFERROR(__xludf.DUMMYFUNCTION("""COMPUTED_VALUE"""),"enterica")</f>
        <v>enterica</v>
      </c>
      <c r="G4852" t="str">
        <f>IFERROR(__xludf.DUMMYFUNCTION("""COMPUTED_VALUE"""),"serovar")</f>
        <v>serovar</v>
      </c>
      <c r="H4852" t="str">
        <f>IFERROR(__xludf.DUMMYFUNCTION("""COMPUTED_VALUE"""),"Heidelberg")</f>
        <v>Heidelberg</v>
      </c>
      <c r="I4852" t="str">
        <f>IFERROR(__xludf.DUMMYFUNCTION("""COMPUTED_VALUE"""),"str.")</f>
        <v>str.</v>
      </c>
      <c r="J4852" t="str">
        <f>IFERROR(__xludf.DUMMYFUNCTION("""COMPUTED_VALUE"""),"CFSAN002064")</f>
        <v>CFSAN002064</v>
      </c>
    </row>
    <row r="4853" ht="15.75" customHeight="1">
      <c r="A4853" t="str">
        <f t="shared" si="1"/>
        <v>S.enterica</v>
      </c>
      <c r="B4853" s="5" t="s">
        <v>30510</v>
      </c>
      <c r="C4853" s="6" t="str">
        <f>IFERROR(__xludf.DUMMYFUNCTION("SPLIT('2. c'!B4853, "" "", True, True)"),"Salmonella")</f>
        <v>Salmonella</v>
      </c>
      <c r="D4853" t="str">
        <f>IFERROR(__xludf.DUMMYFUNCTION("""COMPUTED_VALUE"""),"enterica")</f>
        <v>enterica</v>
      </c>
      <c r="E4853" t="str">
        <f>IFERROR(__xludf.DUMMYFUNCTION("""COMPUTED_VALUE"""),"subsp.")</f>
        <v>subsp.</v>
      </c>
      <c r="F4853" t="str">
        <f>IFERROR(__xludf.DUMMYFUNCTION("""COMPUTED_VALUE"""),"enterica")</f>
        <v>enterica</v>
      </c>
      <c r="G4853" t="str">
        <f>IFERROR(__xludf.DUMMYFUNCTION("""COMPUTED_VALUE"""),"serovar")</f>
        <v>serovar</v>
      </c>
      <c r="H4853" t="str">
        <f>IFERROR(__xludf.DUMMYFUNCTION("""COMPUTED_VALUE"""),"Heidelberg")</f>
        <v>Heidelberg</v>
      </c>
      <c r="I4853" t="str">
        <f>IFERROR(__xludf.DUMMYFUNCTION("""COMPUTED_VALUE"""),"str.")</f>
        <v>str.</v>
      </c>
      <c r="J4853" t="str">
        <f>IFERROR(__xludf.DUMMYFUNCTION("""COMPUTED_VALUE"""),"CFSAN002069")</f>
        <v>CFSAN002069</v>
      </c>
    </row>
    <row r="4854" ht="15.75" customHeight="1">
      <c r="A4854" t="str">
        <f t="shared" si="1"/>
        <v>S.enterica</v>
      </c>
      <c r="B4854" s="5" t="s">
        <v>30519</v>
      </c>
      <c r="C4854" s="6" t="str">
        <f>IFERROR(__xludf.DUMMYFUNCTION("SPLIT('2. c'!B4854, "" "", True, True)"),"Salmonella")</f>
        <v>Salmonella</v>
      </c>
      <c r="D4854" t="str">
        <f>IFERROR(__xludf.DUMMYFUNCTION("""COMPUTED_VALUE"""),"enterica")</f>
        <v>enterica</v>
      </c>
      <c r="E4854" t="str">
        <f>IFERROR(__xludf.DUMMYFUNCTION("""COMPUTED_VALUE"""),"subsp.")</f>
        <v>subsp.</v>
      </c>
      <c r="F4854" t="str">
        <f>IFERROR(__xludf.DUMMYFUNCTION("""COMPUTED_VALUE"""),"enterica")</f>
        <v>enterica</v>
      </c>
      <c r="G4854" t="str">
        <f>IFERROR(__xludf.DUMMYFUNCTION("""COMPUTED_VALUE"""),"serovar")</f>
        <v>serovar</v>
      </c>
      <c r="H4854" t="str">
        <f>IFERROR(__xludf.DUMMYFUNCTION("""COMPUTED_VALUE"""),"Heidelberg")</f>
        <v>Heidelberg</v>
      </c>
      <c r="I4854" t="str">
        <f>IFERROR(__xludf.DUMMYFUNCTION("""COMPUTED_VALUE"""),"str.")</f>
        <v>str.</v>
      </c>
      <c r="J4854" t="str">
        <f>IFERROR(__xludf.DUMMYFUNCTION("""COMPUTED_VALUE"""),"SL476")</f>
        <v>SL476</v>
      </c>
    </row>
    <row r="4855" ht="15.75" customHeight="1">
      <c r="A4855" t="str">
        <f t="shared" si="1"/>
        <v>S.enterica</v>
      </c>
      <c r="B4855" s="5" t="s">
        <v>30526</v>
      </c>
      <c r="C4855" s="6" t="str">
        <f>IFERROR(__xludf.DUMMYFUNCTION("SPLIT('2. c'!B4855, "" "", True, True)"),"Salmonella")</f>
        <v>Salmonella</v>
      </c>
      <c r="D4855" t="str">
        <f>IFERROR(__xludf.DUMMYFUNCTION("""COMPUTED_VALUE"""),"enterica")</f>
        <v>enterica</v>
      </c>
      <c r="E4855" t="str">
        <f>IFERROR(__xludf.DUMMYFUNCTION("""COMPUTED_VALUE"""),"subsp.")</f>
        <v>subsp.</v>
      </c>
      <c r="F4855" t="str">
        <f>IFERROR(__xludf.DUMMYFUNCTION("""COMPUTED_VALUE"""),"enterica")</f>
        <v>enterica</v>
      </c>
      <c r="G4855" t="str">
        <f>IFERROR(__xludf.DUMMYFUNCTION("""COMPUTED_VALUE"""),"serovar")</f>
        <v>serovar</v>
      </c>
      <c r="H4855" t="str">
        <f>IFERROR(__xludf.DUMMYFUNCTION("""COMPUTED_VALUE"""),"Heidelberg")</f>
        <v>Heidelberg</v>
      </c>
      <c r="I4855" t="str">
        <f>IFERROR(__xludf.DUMMYFUNCTION("""COMPUTED_VALUE"""),"strain")</f>
        <v>strain</v>
      </c>
      <c r="J4855" s="54">
        <f>IFERROR(__xludf.DUMMYFUNCTION("""COMPUTED_VALUE"""),903946.0)</f>
        <v>903946</v>
      </c>
    </row>
    <row r="4856" ht="15.75" customHeight="1">
      <c r="A4856" t="str">
        <f t="shared" si="1"/>
        <v>S.enterica</v>
      </c>
      <c r="B4856" s="5" t="s">
        <v>30539</v>
      </c>
      <c r="C4856" s="6" t="str">
        <f>IFERROR(__xludf.DUMMYFUNCTION("SPLIT('2. c'!B4856, "" "", True, True)"),"Salmonella")</f>
        <v>Salmonella</v>
      </c>
      <c r="D4856" t="str">
        <f>IFERROR(__xludf.DUMMYFUNCTION("""COMPUTED_VALUE"""),"enterica")</f>
        <v>enterica</v>
      </c>
      <c r="E4856" t="str">
        <f>IFERROR(__xludf.DUMMYFUNCTION("""COMPUTED_VALUE"""),"subsp.")</f>
        <v>subsp.</v>
      </c>
      <c r="F4856" t="str">
        <f>IFERROR(__xludf.DUMMYFUNCTION("""COMPUTED_VALUE"""),"enterica")</f>
        <v>enterica</v>
      </c>
      <c r="G4856" t="str">
        <f>IFERROR(__xludf.DUMMYFUNCTION("""COMPUTED_VALUE"""),"serovar")</f>
        <v>serovar</v>
      </c>
      <c r="H4856" t="str">
        <f>IFERROR(__xludf.DUMMYFUNCTION("""COMPUTED_VALUE"""),"Heidelberg")</f>
        <v>Heidelberg</v>
      </c>
      <c r="I4856" t="str">
        <f>IFERROR(__xludf.DUMMYFUNCTION("""COMPUTED_VALUE"""),"strain")</f>
        <v>strain</v>
      </c>
      <c r="J4856" t="str">
        <f>IFERROR(__xludf.DUMMYFUNCTION("""COMPUTED_VALUE"""),"N13-01290")</f>
        <v>N13-01290</v>
      </c>
    </row>
    <row r="4857" ht="15.75" customHeight="1">
      <c r="A4857" t="str">
        <f t="shared" si="1"/>
        <v>S.enterica</v>
      </c>
      <c r="B4857" s="5" t="s">
        <v>30547</v>
      </c>
      <c r="C4857" s="6" t="str">
        <f>IFERROR(__xludf.DUMMYFUNCTION("SPLIT('2. c'!B4857, "" "", True, True)"),"Salmonella")</f>
        <v>Salmonella</v>
      </c>
      <c r="D4857" t="str">
        <f>IFERROR(__xludf.DUMMYFUNCTION("""COMPUTED_VALUE"""),"enterica")</f>
        <v>enterica</v>
      </c>
      <c r="E4857" t="str">
        <f>IFERROR(__xludf.DUMMYFUNCTION("""COMPUTED_VALUE"""),"subsp.")</f>
        <v>subsp.</v>
      </c>
      <c r="F4857" t="str">
        <f>IFERROR(__xludf.DUMMYFUNCTION("""COMPUTED_VALUE"""),"enterica")</f>
        <v>enterica</v>
      </c>
      <c r="G4857" t="str">
        <f>IFERROR(__xludf.DUMMYFUNCTION("""COMPUTED_VALUE"""),"serovar")</f>
        <v>serovar</v>
      </c>
      <c r="H4857" t="str">
        <f>IFERROR(__xludf.DUMMYFUNCTION("""COMPUTED_VALUE"""),"Heidelberg")</f>
        <v>Heidelberg</v>
      </c>
      <c r="I4857" t="str">
        <f>IFERROR(__xludf.DUMMYFUNCTION("""COMPUTED_VALUE"""),"strain")</f>
        <v>strain</v>
      </c>
      <c r="J4857" t="str">
        <f>IFERROR(__xludf.DUMMYFUNCTION("""COMPUTED_VALUE"""),"SA02DT10168701")</f>
        <v>SA02DT10168701</v>
      </c>
    </row>
    <row r="4858" ht="15.75" customHeight="1">
      <c r="A4858" t="str">
        <f t="shared" si="1"/>
        <v>S.enterica</v>
      </c>
      <c r="B4858" s="5" t="s">
        <v>30556</v>
      </c>
      <c r="C4858" s="6" t="str">
        <f>IFERROR(__xludf.DUMMYFUNCTION("SPLIT('2. c'!B4858, "" "", True, True)"),"Salmonella")</f>
        <v>Salmonella</v>
      </c>
      <c r="D4858" t="str">
        <f>IFERROR(__xludf.DUMMYFUNCTION("""COMPUTED_VALUE"""),"enterica")</f>
        <v>enterica</v>
      </c>
      <c r="E4858" t="str">
        <f>IFERROR(__xludf.DUMMYFUNCTION("""COMPUTED_VALUE"""),"subsp.")</f>
        <v>subsp.</v>
      </c>
      <c r="F4858" t="str">
        <f>IFERROR(__xludf.DUMMYFUNCTION("""COMPUTED_VALUE"""),"enterica")</f>
        <v>enterica</v>
      </c>
      <c r="G4858" t="str">
        <f>IFERROR(__xludf.DUMMYFUNCTION("""COMPUTED_VALUE"""),"serovar")</f>
        <v>serovar</v>
      </c>
      <c r="H4858" t="str">
        <f>IFERROR(__xludf.DUMMYFUNCTION("""COMPUTED_VALUE"""),"Infantis")</f>
        <v>Infantis</v>
      </c>
      <c r="I4858" t="str">
        <f>IFERROR(__xludf.DUMMYFUNCTION("""COMPUTED_VALUE"""),"strain")</f>
        <v>strain</v>
      </c>
      <c r="J4858" t="str">
        <f>IFERROR(__xludf.DUMMYFUNCTION("""COMPUTED_VALUE"""),"1326/28")</f>
        <v>1326/28</v>
      </c>
    </row>
    <row r="4859" ht="15.75" customHeight="1">
      <c r="A4859" t="str">
        <f t="shared" si="1"/>
        <v>S.enterica</v>
      </c>
      <c r="B4859" s="5" t="s">
        <v>30561</v>
      </c>
      <c r="C4859" s="6" t="str">
        <f>IFERROR(__xludf.DUMMYFUNCTION("SPLIT('2. c'!B4859, "" "", True, True)"),"Salmonella")</f>
        <v>Salmonella</v>
      </c>
      <c r="D4859" t="str">
        <f>IFERROR(__xludf.DUMMYFUNCTION("""COMPUTED_VALUE"""),"enterica")</f>
        <v>enterica</v>
      </c>
      <c r="E4859" t="str">
        <f>IFERROR(__xludf.DUMMYFUNCTION("""COMPUTED_VALUE"""),"subsp.")</f>
        <v>subsp.</v>
      </c>
      <c r="F4859" t="str">
        <f>IFERROR(__xludf.DUMMYFUNCTION("""COMPUTED_VALUE"""),"enterica")</f>
        <v>enterica</v>
      </c>
      <c r="G4859" t="str">
        <f>IFERROR(__xludf.DUMMYFUNCTION("""COMPUTED_VALUE"""),"serovar")</f>
        <v>serovar</v>
      </c>
      <c r="H4859" t="str">
        <f>IFERROR(__xludf.DUMMYFUNCTION("""COMPUTED_VALUE"""),"Java")</f>
        <v>Java</v>
      </c>
    </row>
    <row r="4860" ht="15.75" customHeight="1">
      <c r="A4860" t="str">
        <f t="shared" si="1"/>
        <v>S.enterica</v>
      </c>
      <c r="B4860" s="5" t="s">
        <v>30566</v>
      </c>
      <c r="C4860" s="6" t="str">
        <f>IFERROR(__xludf.DUMMYFUNCTION("SPLIT('2. c'!B4860, "" "", True, True)"),"Salmonella")</f>
        <v>Salmonella</v>
      </c>
      <c r="D4860" t="str">
        <f>IFERROR(__xludf.DUMMYFUNCTION("""COMPUTED_VALUE"""),"enterica")</f>
        <v>enterica</v>
      </c>
      <c r="E4860" t="str">
        <f>IFERROR(__xludf.DUMMYFUNCTION("""COMPUTED_VALUE"""),"subsp.")</f>
        <v>subsp.</v>
      </c>
      <c r="F4860" t="str">
        <f>IFERROR(__xludf.DUMMYFUNCTION("""COMPUTED_VALUE"""),"enterica")</f>
        <v>enterica</v>
      </c>
      <c r="G4860" t="str">
        <f>IFERROR(__xludf.DUMMYFUNCTION("""COMPUTED_VALUE"""),"serovar")</f>
        <v>serovar</v>
      </c>
      <c r="H4860" t="str">
        <f>IFERROR(__xludf.DUMMYFUNCTION("""COMPUTED_VALUE"""),"Javiana")</f>
        <v>Javiana</v>
      </c>
      <c r="I4860" t="str">
        <f>IFERROR(__xludf.DUMMYFUNCTION("""COMPUTED_VALUE"""),"str.")</f>
        <v>str.</v>
      </c>
      <c r="J4860" t="str">
        <f>IFERROR(__xludf.DUMMYFUNCTION("""COMPUTED_VALUE"""),"CFSAN001992")</f>
        <v>CFSAN001992</v>
      </c>
    </row>
    <row r="4861" ht="15.75" customHeight="1">
      <c r="A4861" t="str">
        <f t="shared" si="1"/>
        <v>S.enterica</v>
      </c>
      <c r="B4861" s="5" t="s">
        <v>30573</v>
      </c>
      <c r="C4861" s="6" t="str">
        <f>IFERROR(__xludf.DUMMYFUNCTION("SPLIT('2. c'!B4861, "" "", True, True)"),"Salmonella")</f>
        <v>Salmonella</v>
      </c>
      <c r="D4861" t="str">
        <f>IFERROR(__xludf.DUMMYFUNCTION("""COMPUTED_VALUE"""),"enterica")</f>
        <v>enterica</v>
      </c>
      <c r="E4861" t="str">
        <f>IFERROR(__xludf.DUMMYFUNCTION("""COMPUTED_VALUE"""),"subsp.")</f>
        <v>subsp.</v>
      </c>
      <c r="F4861" t="str">
        <f>IFERROR(__xludf.DUMMYFUNCTION("""COMPUTED_VALUE"""),"enterica")</f>
        <v>enterica</v>
      </c>
      <c r="G4861" t="str">
        <f>IFERROR(__xludf.DUMMYFUNCTION("""COMPUTED_VALUE"""),"serovar")</f>
        <v>serovar</v>
      </c>
      <c r="H4861" t="str">
        <f>IFERROR(__xludf.DUMMYFUNCTION("""COMPUTED_VALUE"""),"Montevideo")</f>
        <v>Montevideo</v>
      </c>
      <c r="I4861" t="str">
        <f>IFERROR(__xludf.DUMMYFUNCTION("""COMPUTED_VALUE"""),"str.")</f>
        <v>str.</v>
      </c>
      <c r="J4861" t="str">
        <f>IFERROR(__xludf.DUMMYFUNCTION("""COMPUTED_VALUE"""),"USDA-ARS-USMARC-1903")</f>
        <v>USDA-ARS-USMARC-1903</v>
      </c>
    </row>
    <row r="4862" ht="15.75" customHeight="1">
      <c r="A4862" t="str">
        <f t="shared" si="1"/>
        <v>S.enterica</v>
      </c>
      <c r="B4862" s="5" t="s">
        <v>30581</v>
      </c>
      <c r="C4862" s="6" t="str">
        <f>IFERROR(__xludf.DUMMYFUNCTION("SPLIT('2. c'!B4862, "" "", True, True)"),"Salmonella")</f>
        <v>Salmonella</v>
      </c>
      <c r="D4862" t="str">
        <f>IFERROR(__xludf.DUMMYFUNCTION("""COMPUTED_VALUE"""),"enterica")</f>
        <v>enterica</v>
      </c>
      <c r="E4862" t="str">
        <f>IFERROR(__xludf.DUMMYFUNCTION("""COMPUTED_VALUE"""),"subsp.")</f>
        <v>subsp.</v>
      </c>
      <c r="F4862" t="str">
        <f>IFERROR(__xludf.DUMMYFUNCTION("""COMPUTED_VALUE"""),"enterica")</f>
        <v>enterica</v>
      </c>
      <c r="G4862" t="str">
        <f>IFERROR(__xludf.DUMMYFUNCTION("""COMPUTED_VALUE"""),"serovar")</f>
        <v>serovar</v>
      </c>
      <c r="H4862" t="str">
        <f>IFERROR(__xludf.DUMMYFUNCTION("""COMPUTED_VALUE"""),"Montevideo")</f>
        <v>Montevideo</v>
      </c>
      <c r="I4862" t="str">
        <f>IFERROR(__xludf.DUMMYFUNCTION("""COMPUTED_VALUE"""),"str.")</f>
        <v>str.</v>
      </c>
      <c r="J4862" t="str">
        <f>IFERROR(__xludf.DUMMYFUNCTION("""COMPUTED_VALUE"""),"USDA-ARS-USMARC-1921")</f>
        <v>USDA-ARS-USMARC-1921</v>
      </c>
    </row>
    <row r="4863" ht="15.75" customHeight="1">
      <c r="A4863" t="str">
        <f t="shared" si="1"/>
        <v>S.enterica</v>
      </c>
      <c r="B4863" s="5" t="s">
        <v>30589</v>
      </c>
      <c r="C4863" s="6" t="str">
        <f>IFERROR(__xludf.DUMMYFUNCTION("SPLIT('2. c'!B4863, "" "", True, True)"),"Salmonella")</f>
        <v>Salmonella</v>
      </c>
      <c r="D4863" t="str">
        <f>IFERROR(__xludf.DUMMYFUNCTION("""COMPUTED_VALUE"""),"enterica")</f>
        <v>enterica</v>
      </c>
      <c r="E4863" t="str">
        <f>IFERROR(__xludf.DUMMYFUNCTION("""COMPUTED_VALUE"""),"subsp.")</f>
        <v>subsp.</v>
      </c>
      <c r="F4863" t="str">
        <f>IFERROR(__xludf.DUMMYFUNCTION("""COMPUTED_VALUE"""),"enterica")</f>
        <v>enterica</v>
      </c>
      <c r="G4863" t="str">
        <f>IFERROR(__xludf.DUMMYFUNCTION("""COMPUTED_VALUE"""),"serovar")</f>
        <v>serovar</v>
      </c>
      <c r="H4863" t="str">
        <f>IFERROR(__xludf.DUMMYFUNCTION("""COMPUTED_VALUE"""),"Newport")</f>
        <v>Newport</v>
      </c>
      <c r="I4863" t="str">
        <f>IFERROR(__xludf.DUMMYFUNCTION("""COMPUTED_VALUE"""),"str.")</f>
        <v>str.</v>
      </c>
      <c r="J4863" t="str">
        <f>IFERROR(__xludf.DUMMYFUNCTION("""COMPUTED_VALUE"""),"CDC")</f>
        <v>CDC</v>
      </c>
      <c r="K4863" t="str">
        <f>IFERROR(__xludf.DUMMYFUNCTION("""COMPUTED_VALUE"""),"2010K-2159")</f>
        <v>2010K-2159</v>
      </c>
    </row>
    <row r="4864" ht="15.75" customHeight="1">
      <c r="A4864" t="str">
        <f t="shared" si="1"/>
        <v>S.enterica</v>
      </c>
      <c r="B4864" s="5" t="s">
        <v>30596</v>
      </c>
      <c r="C4864" s="6" t="str">
        <f>IFERROR(__xludf.DUMMYFUNCTION("SPLIT('2. c'!B4864, "" "", True, True)"),"Salmonella")</f>
        <v>Salmonella</v>
      </c>
      <c r="D4864" t="str">
        <f>IFERROR(__xludf.DUMMYFUNCTION("""COMPUTED_VALUE"""),"enterica")</f>
        <v>enterica</v>
      </c>
      <c r="E4864" t="str">
        <f>IFERROR(__xludf.DUMMYFUNCTION("""COMPUTED_VALUE"""),"subsp.")</f>
        <v>subsp.</v>
      </c>
      <c r="F4864" t="str">
        <f>IFERROR(__xludf.DUMMYFUNCTION("""COMPUTED_VALUE"""),"enterica")</f>
        <v>enterica</v>
      </c>
      <c r="G4864" t="str">
        <f>IFERROR(__xludf.DUMMYFUNCTION("""COMPUTED_VALUE"""),"serovar")</f>
        <v>serovar</v>
      </c>
      <c r="H4864" t="str">
        <f>IFERROR(__xludf.DUMMYFUNCTION("""COMPUTED_VALUE"""),"Newport")</f>
        <v>Newport</v>
      </c>
      <c r="I4864" t="str">
        <f>IFERROR(__xludf.DUMMYFUNCTION("""COMPUTED_VALUE"""),"str.")</f>
        <v>str.</v>
      </c>
      <c r="J4864" t="str">
        <f>IFERROR(__xludf.DUMMYFUNCTION("""COMPUTED_VALUE"""),"SL254")</f>
        <v>SL254</v>
      </c>
    </row>
    <row r="4865" ht="15.75" customHeight="1">
      <c r="A4865" t="str">
        <f t="shared" si="1"/>
        <v>S.enterica</v>
      </c>
      <c r="B4865" s="5" t="s">
        <v>30603</v>
      </c>
      <c r="C4865" s="6" t="str">
        <f>IFERROR(__xludf.DUMMYFUNCTION("SPLIT('2. c'!B4865, "" "", True, True)"),"Salmonella")</f>
        <v>Salmonella</v>
      </c>
      <c r="D4865" t="str">
        <f>IFERROR(__xludf.DUMMYFUNCTION("""COMPUTED_VALUE"""),"enterica")</f>
        <v>enterica</v>
      </c>
      <c r="E4865" t="str">
        <f>IFERROR(__xludf.DUMMYFUNCTION("""COMPUTED_VALUE"""),"subsp.")</f>
        <v>subsp.</v>
      </c>
      <c r="F4865" t="str">
        <f>IFERROR(__xludf.DUMMYFUNCTION("""COMPUTED_VALUE"""),"enterica")</f>
        <v>enterica</v>
      </c>
      <c r="G4865" t="str">
        <f>IFERROR(__xludf.DUMMYFUNCTION("""COMPUTED_VALUE"""),"serovar")</f>
        <v>serovar</v>
      </c>
      <c r="H4865" t="str">
        <f>IFERROR(__xludf.DUMMYFUNCTION("""COMPUTED_VALUE"""),"Newport")</f>
        <v>Newport</v>
      </c>
      <c r="I4865" t="str">
        <f>IFERROR(__xludf.DUMMYFUNCTION("""COMPUTED_VALUE"""),"str.")</f>
        <v>str.</v>
      </c>
      <c r="J4865" t="str">
        <f>IFERROR(__xludf.DUMMYFUNCTION("""COMPUTED_VALUE"""),"USDA-ARS-USMARC-1927")</f>
        <v>USDA-ARS-USMARC-1927</v>
      </c>
    </row>
    <row r="4866" ht="15.75" customHeight="1">
      <c r="A4866" t="str">
        <f t="shared" si="1"/>
        <v>S.enterica</v>
      </c>
      <c r="B4866" s="5" t="s">
        <v>30609</v>
      </c>
      <c r="C4866" s="6" t="str">
        <f>IFERROR(__xludf.DUMMYFUNCTION("SPLIT('2. c'!B4866, "" "", True, True)"),"Salmonella")</f>
        <v>Salmonella</v>
      </c>
      <c r="D4866" t="str">
        <f>IFERROR(__xludf.DUMMYFUNCTION("""COMPUTED_VALUE"""),"enterica")</f>
        <v>enterica</v>
      </c>
      <c r="E4866" t="str">
        <f>IFERROR(__xludf.DUMMYFUNCTION("""COMPUTED_VALUE"""),"subsp.")</f>
        <v>subsp.</v>
      </c>
      <c r="F4866" t="str">
        <f>IFERROR(__xludf.DUMMYFUNCTION("""COMPUTED_VALUE"""),"enterica")</f>
        <v>enterica</v>
      </c>
      <c r="G4866" t="str">
        <f>IFERROR(__xludf.DUMMYFUNCTION("""COMPUTED_VALUE"""),"serovar")</f>
        <v>serovar</v>
      </c>
      <c r="H4866" t="str">
        <f>IFERROR(__xludf.DUMMYFUNCTION("""COMPUTED_VALUE"""),"Newport")</f>
        <v>Newport</v>
      </c>
      <c r="I4866" t="str">
        <f>IFERROR(__xludf.DUMMYFUNCTION("""COMPUTED_VALUE"""),"str.")</f>
        <v>str.</v>
      </c>
      <c r="J4866" t="str">
        <f>IFERROR(__xludf.DUMMYFUNCTION("""COMPUTED_VALUE"""),"USMARC-S3124.1")</f>
        <v>USMARC-S3124.1</v>
      </c>
    </row>
    <row r="4867" ht="15.75" customHeight="1">
      <c r="A4867" t="str">
        <f t="shared" si="1"/>
        <v>S.enterica</v>
      </c>
      <c r="B4867" s="5" t="s">
        <v>30618</v>
      </c>
      <c r="C4867" s="6" t="str">
        <f>IFERROR(__xludf.DUMMYFUNCTION("SPLIT('2. c'!B4867, "" "", True, True)"),"Salmonella")</f>
        <v>Salmonella</v>
      </c>
      <c r="D4867" t="str">
        <f>IFERROR(__xludf.DUMMYFUNCTION("""COMPUTED_VALUE"""),"enterica")</f>
        <v>enterica</v>
      </c>
      <c r="E4867" t="str">
        <f>IFERROR(__xludf.DUMMYFUNCTION("""COMPUTED_VALUE"""),"subsp.")</f>
        <v>subsp.</v>
      </c>
      <c r="F4867" t="str">
        <f>IFERROR(__xludf.DUMMYFUNCTION("""COMPUTED_VALUE"""),"enterica")</f>
        <v>enterica</v>
      </c>
      <c r="G4867" t="str">
        <f>IFERROR(__xludf.DUMMYFUNCTION("""COMPUTED_VALUE"""),"serovar")</f>
        <v>serovar</v>
      </c>
      <c r="H4867" t="str">
        <f>IFERROR(__xludf.DUMMYFUNCTION("""COMPUTED_VALUE"""),"Ouakam")</f>
        <v>Ouakam</v>
      </c>
    </row>
    <row r="4868" ht="15.75" customHeight="1">
      <c r="A4868" t="str">
        <f t="shared" si="1"/>
        <v>S.enterica</v>
      </c>
      <c r="B4868" s="5" t="s">
        <v>30625</v>
      </c>
      <c r="C4868" s="6" t="str">
        <f>IFERROR(__xludf.DUMMYFUNCTION("SPLIT('2. c'!B4868, "" "", True, True)"),"Salmonella")</f>
        <v>Salmonella</v>
      </c>
      <c r="D4868" t="str">
        <f>IFERROR(__xludf.DUMMYFUNCTION("""COMPUTED_VALUE"""),"enterica")</f>
        <v>enterica</v>
      </c>
      <c r="E4868" t="str">
        <f>IFERROR(__xludf.DUMMYFUNCTION("""COMPUTED_VALUE"""),"subsp.")</f>
        <v>subsp.</v>
      </c>
      <c r="F4868" t="str">
        <f>IFERROR(__xludf.DUMMYFUNCTION("""COMPUTED_VALUE"""),"enterica")</f>
        <v>enterica</v>
      </c>
      <c r="G4868" t="str">
        <f>IFERROR(__xludf.DUMMYFUNCTION("""COMPUTED_VALUE"""),"serovar")</f>
        <v>serovar</v>
      </c>
      <c r="H4868" t="str">
        <f>IFERROR(__xludf.DUMMYFUNCTION("""COMPUTED_VALUE"""),"Paratyphi")</f>
        <v>Paratyphi</v>
      </c>
      <c r="I4868" t="str">
        <f>IFERROR(__xludf.DUMMYFUNCTION("""COMPUTED_VALUE"""),"A")</f>
        <v>A</v>
      </c>
      <c r="J4868" t="str">
        <f>IFERROR(__xludf.DUMMYFUNCTION("""COMPUTED_VALUE"""),"CMCC")</f>
        <v>CMCC</v>
      </c>
      <c r="K4868">
        <f>IFERROR(__xludf.DUMMYFUNCTION("""COMPUTED_VALUE"""),50503.0)</f>
        <v>50503</v>
      </c>
    </row>
    <row r="4869" ht="15.75" customHeight="1">
      <c r="A4869" t="str">
        <f t="shared" si="1"/>
        <v>S.enterica</v>
      </c>
      <c r="B4869" s="5" t="s">
        <v>30637</v>
      </c>
      <c r="C4869" s="6" t="str">
        <f>IFERROR(__xludf.DUMMYFUNCTION("SPLIT('2. c'!B4869, "" "", True, True)"),"Salmonella")</f>
        <v>Salmonella</v>
      </c>
      <c r="D4869" t="str">
        <f>IFERROR(__xludf.DUMMYFUNCTION("""COMPUTED_VALUE"""),"enterica")</f>
        <v>enterica</v>
      </c>
      <c r="E4869" t="str">
        <f>IFERROR(__xludf.DUMMYFUNCTION("""COMPUTED_VALUE"""),"subsp.")</f>
        <v>subsp.</v>
      </c>
      <c r="F4869" t="str">
        <f>IFERROR(__xludf.DUMMYFUNCTION("""COMPUTED_VALUE"""),"enterica")</f>
        <v>enterica</v>
      </c>
      <c r="G4869" t="str">
        <f>IFERROR(__xludf.DUMMYFUNCTION("""COMPUTED_VALUE"""),"serovar")</f>
        <v>serovar</v>
      </c>
      <c r="H4869" t="str">
        <f>IFERROR(__xludf.DUMMYFUNCTION("""COMPUTED_VALUE"""),"Paratyphi")</f>
        <v>Paratyphi</v>
      </c>
      <c r="I4869" t="str">
        <f>IFERROR(__xludf.DUMMYFUNCTION("""COMPUTED_VALUE"""),"A")</f>
        <v>A</v>
      </c>
      <c r="J4869" t="str">
        <f>IFERROR(__xludf.DUMMYFUNCTION("""COMPUTED_VALUE"""),"CMCC")</f>
        <v>CMCC</v>
      </c>
      <c r="K4869">
        <f>IFERROR(__xludf.DUMMYFUNCTION("""COMPUTED_VALUE"""),50973.0)</f>
        <v>50973</v>
      </c>
    </row>
    <row r="4870" ht="15.75" customHeight="1">
      <c r="A4870" t="str">
        <f t="shared" si="1"/>
        <v>S.enterica</v>
      </c>
      <c r="B4870" s="5" t="s">
        <v>30645</v>
      </c>
      <c r="C4870" s="6" t="str">
        <f>IFERROR(__xludf.DUMMYFUNCTION("SPLIT('2. c'!B4870, "" "", True, True)"),"Salmonella")</f>
        <v>Salmonella</v>
      </c>
      <c r="D4870" t="str">
        <f>IFERROR(__xludf.DUMMYFUNCTION("""COMPUTED_VALUE"""),"enterica")</f>
        <v>enterica</v>
      </c>
      <c r="E4870" t="str">
        <f>IFERROR(__xludf.DUMMYFUNCTION("""COMPUTED_VALUE"""),"subsp.")</f>
        <v>subsp.</v>
      </c>
      <c r="F4870" t="str">
        <f>IFERROR(__xludf.DUMMYFUNCTION("""COMPUTED_VALUE"""),"enterica")</f>
        <v>enterica</v>
      </c>
      <c r="G4870" t="str">
        <f>IFERROR(__xludf.DUMMYFUNCTION("""COMPUTED_VALUE"""),"serovar")</f>
        <v>serovar</v>
      </c>
      <c r="H4870" t="str">
        <f>IFERROR(__xludf.DUMMYFUNCTION("""COMPUTED_VALUE"""),"Paratyphi")</f>
        <v>Paratyphi</v>
      </c>
      <c r="I4870" t="str">
        <f>IFERROR(__xludf.DUMMYFUNCTION("""COMPUTED_VALUE"""),"A")</f>
        <v>A</v>
      </c>
      <c r="J4870" t="str">
        <f>IFERROR(__xludf.DUMMYFUNCTION("""COMPUTED_VALUE"""),"str.")</f>
        <v>str.</v>
      </c>
      <c r="K4870" t="str">
        <f>IFERROR(__xludf.DUMMYFUNCTION("""COMPUTED_VALUE"""),"AKU_12601")</f>
        <v>AKU_12601</v>
      </c>
    </row>
    <row r="4871" ht="15.75" customHeight="1">
      <c r="A4871" t="str">
        <f t="shared" si="1"/>
        <v>S.enterica</v>
      </c>
      <c r="B4871" s="5" t="s">
        <v>30652</v>
      </c>
      <c r="C4871" s="6" t="str">
        <f>IFERROR(__xludf.DUMMYFUNCTION("SPLIT('2. c'!B4871, "" "", True, True)"),"Salmonella")</f>
        <v>Salmonella</v>
      </c>
      <c r="D4871" t="str">
        <f>IFERROR(__xludf.DUMMYFUNCTION("""COMPUTED_VALUE"""),"enterica")</f>
        <v>enterica</v>
      </c>
      <c r="E4871" t="str">
        <f>IFERROR(__xludf.DUMMYFUNCTION("""COMPUTED_VALUE"""),"subsp.")</f>
        <v>subsp.</v>
      </c>
      <c r="F4871" t="str">
        <f>IFERROR(__xludf.DUMMYFUNCTION("""COMPUTED_VALUE"""),"enterica")</f>
        <v>enterica</v>
      </c>
      <c r="G4871" t="str">
        <f>IFERROR(__xludf.DUMMYFUNCTION("""COMPUTED_VALUE"""),"serovar")</f>
        <v>serovar</v>
      </c>
      <c r="H4871" t="str">
        <f>IFERROR(__xludf.DUMMYFUNCTION("""COMPUTED_VALUE"""),"Paratyphi")</f>
        <v>Paratyphi</v>
      </c>
      <c r="I4871" t="str">
        <f>IFERROR(__xludf.DUMMYFUNCTION("""COMPUTED_VALUE"""),"A")</f>
        <v>A</v>
      </c>
      <c r="J4871" t="str">
        <f>IFERROR(__xludf.DUMMYFUNCTION("""COMPUTED_VALUE"""),"str.")</f>
        <v>str.</v>
      </c>
      <c r="K4871" t="str">
        <f>IFERROR(__xludf.DUMMYFUNCTION("""COMPUTED_VALUE"""),"ATCC")</f>
        <v>ATCC</v>
      </c>
      <c r="L4871">
        <f>IFERROR(__xludf.DUMMYFUNCTION("""COMPUTED_VALUE"""),9150.0)</f>
        <v>9150</v>
      </c>
    </row>
    <row r="4872" ht="15.75" customHeight="1">
      <c r="A4872" t="str">
        <f t="shared" si="1"/>
        <v>S.enterica</v>
      </c>
      <c r="B4872" s="5" t="s">
        <v>30661</v>
      </c>
      <c r="C4872" s="6" t="str">
        <f>IFERROR(__xludf.DUMMYFUNCTION("SPLIT('2. c'!B4872, "" "", True, True)"),"Salmonella")</f>
        <v>Salmonella</v>
      </c>
      <c r="D4872" t="str">
        <f>IFERROR(__xludf.DUMMYFUNCTION("""COMPUTED_VALUE"""),"enterica")</f>
        <v>enterica</v>
      </c>
      <c r="E4872" t="str">
        <f>IFERROR(__xludf.DUMMYFUNCTION("""COMPUTED_VALUE"""),"subsp.")</f>
        <v>subsp.</v>
      </c>
      <c r="F4872" t="str">
        <f>IFERROR(__xludf.DUMMYFUNCTION("""COMPUTED_VALUE"""),"enterica")</f>
        <v>enterica</v>
      </c>
      <c r="G4872" t="str">
        <f>IFERROR(__xludf.DUMMYFUNCTION("""COMPUTED_VALUE"""),"serovar")</f>
        <v>serovar</v>
      </c>
      <c r="H4872" t="str">
        <f>IFERROR(__xludf.DUMMYFUNCTION("""COMPUTED_VALUE"""),"Paratyphi")</f>
        <v>Paratyphi</v>
      </c>
      <c r="I4872" t="str">
        <f>IFERROR(__xludf.DUMMYFUNCTION("""COMPUTED_VALUE"""),"A")</f>
        <v>A</v>
      </c>
      <c r="J4872" t="str">
        <f>IFERROR(__xludf.DUMMYFUNCTION("""COMPUTED_VALUE"""),"strain")</f>
        <v>strain</v>
      </c>
      <c r="K4872">
        <f>IFERROR(__xludf.DUMMYFUNCTION("""COMPUTED_VALUE"""),1.0)</f>
        <v>1</v>
      </c>
      <c r="L4872">
        <f>IFERROR(__xludf.DUMMYFUNCTION("""COMPUTED_VALUE"""),1852.0)</f>
        <v>1852</v>
      </c>
    </row>
    <row r="4873" ht="15.75" customHeight="1">
      <c r="A4873" t="str">
        <f t="shared" si="1"/>
        <v>S.enterica</v>
      </c>
      <c r="B4873" s="5" t="s">
        <v>30672</v>
      </c>
      <c r="C4873" s="6" t="str">
        <f>IFERROR(__xludf.DUMMYFUNCTION("SPLIT('2. c'!B4873, "" "", True, True)"),"Salmonella")</f>
        <v>Salmonella</v>
      </c>
      <c r="D4873" t="str">
        <f>IFERROR(__xludf.DUMMYFUNCTION("""COMPUTED_VALUE"""),"enterica")</f>
        <v>enterica</v>
      </c>
      <c r="E4873" t="str">
        <f>IFERROR(__xludf.DUMMYFUNCTION("""COMPUTED_VALUE"""),"subsp.")</f>
        <v>subsp.</v>
      </c>
      <c r="F4873" t="str">
        <f>IFERROR(__xludf.DUMMYFUNCTION("""COMPUTED_VALUE"""),"enterica")</f>
        <v>enterica</v>
      </c>
      <c r="G4873" t="str">
        <f>IFERROR(__xludf.DUMMYFUNCTION("""COMPUTED_VALUE"""),"serovar")</f>
        <v>serovar</v>
      </c>
      <c r="H4873" t="str">
        <f>IFERROR(__xludf.DUMMYFUNCTION("""COMPUTED_VALUE"""),"Paratyphi")</f>
        <v>Paratyphi</v>
      </c>
      <c r="I4873" t="str">
        <f>IFERROR(__xludf.DUMMYFUNCTION("""COMPUTED_VALUE"""),"A")</f>
        <v>A</v>
      </c>
      <c r="J4873" t="str">
        <f>IFERROR(__xludf.DUMMYFUNCTION("""COMPUTED_VALUE"""),"strain")</f>
        <v>strain</v>
      </c>
      <c r="K4873">
        <f>IFERROR(__xludf.DUMMYFUNCTION("""COMPUTED_VALUE"""),1.0)</f>
        <v>1</v>
      </c>
      <c r="L4873">
        <f>IFERROR(__xludf.DUMMYFUNCTION("""COMPUTED_VALUE"""),5766.0)</f>
        <v>5766</v>
      </c>
    </row>
    <row r="4874" ht="15.75" customHeight="1">
      <c r="A4874" t="str">
        <f t="shared" si="1"/>
        <v>S.enterica</v>
      </c>
      <c r="B4874" s="5" t="s">
        <v>30680</v>
      </c>
      <c r="C4874" s="6" t="str">
        <f>IFERROR(__xludf.DUMMYFUNCTION("SPLIT('2. c'!B4874, "" "", True, True)"),"Salmonella")</f>
        <v>Salmonella</v>
      </c>
      <c r="D4874" t="str">
        <f>IFERROR(__xludf.DUMMYFUNCTION("""COMPUTED_VALUE"""),"enterica")</f>
        <v>enterica</v>
      </c>
      <c r="E4874" t="str">
        <f>IFERROR(__xludf.DUMMYFUNCTION("""COMPUTED_VALUE"""),"subsp.")</f>
        <v>subsp.</v>
      </c>
      <c r="F4874" t="str">
        <f>IFERROR(__xludf.DUMMYFUNCTION("""COMPUTED_VALUE"""),"enterica")</f>
        <v>enterica</v>
      </c>
      <c r="G4874" t="str">
        <f>IFERROR(__xludf.DUMMYFUNCTION("""COMPUTED_VALUE"""),"serovar")</f>
        <v>serovar</v>
      </c>
      <c r="H4874" t="str">
        <f>IFERROR(__xludf.DUMMYFUNCTION("""COMPUTED_VALUE"""),"Paratyphi")</f>
        <v>Paratyphi</v>
      </c>
      <c r="I4874" t="str">
        <f>IFERROR(__xludf.DUMMYFUNCTION("""COMPUTED_VALUE"""),"A")</f>
        <v>A</v>
      </c>
      <c r="J4874" t="str">
        <f>IFERROR(__xludf.DUMMYFUNCTION("""COMPUTED_VALUE"""),"strain")</f>
        <v>strain</v>
      </c>
      <c r="K4874">
        <f>IFERROR(__xludf.DUMMYFUNCTION("""COMPUTED_VALUE"""),2.0)</f>
        <v>2</v>
      </c>
      <c r="L4874">
        <f>IFERROR(__xludf.DUMMYFUNCTION("""COMPUTED_VALUE"""),4282.0)</f>
        <v>4282</v>
      </c>
    </row>
    <row r="4875" ht="15.75" customHeight="1">
      <c r="A4875" t="str">
        <f t="shared" si="1"/>
        <v>S.enterica</v>
      </c>
      <c r="B4875" s="5" t="s">
        <v>30689</v>
      </c>
      <c r="C4875" s="6" t="str">
        <f>IFERROR(__xludf.DUMMYFUNCTION("SPLIT('2. c'!B4875, "" "", True, True)"),"Salmonella")</f>
        <v>Salmonella</v>
      </c>
      <c r="D4875" t="str">
        <f>IFERROR(__xludf.DUMMYFUNCTION("""COMPUTED_VALUE"""),"enterica")</f>
        <v>enterica</v>
      </c>
      <c r="E4875" t="str">
        <f>IFERROR(__xludf.DUMMYFUNCTION("""COMPUTED_VALUE"""),"subsp.")</f>
        <v>subsp.</v>
      </c>
      <c r="F4875" t="str">
        <f>IFERROR(__xludf.DUMMYFUNCTION("""COMPUTED_VALUE"""),"enterica")</f>
        <v>enterica</v>
      </c>
      <c r="G4875" t="str">
        <f>IFERROR(__xludf.DUMMYFUNCTION("""COMPUTED_VALUE"""),"serovar")</f>
        <v>serovar</v>
      </c>
      <c r="H4875" t="str">
        <f>IFERROR(__xludf.DUMMYFUNCTION("""COMPUTED_VALUE"""),"Paratyphi")</f>
        <v>Paratyphi</v>
      </c>
      <c r="I4875" t="str">
        <f>IFERROR(__xludf.DUMMYFUNCTION("""COMPUTED_VALUE"""),"A")</f>
        <v>A</v>
      </c>
      <c r="J4875" t="str">
        <f>IFERROR(__xludf.DUMMYFUNCTION("""COMPUTED_VALUE"""),"strain")</f>
        <v>strain</v>
      </c>
      <c r="K4875">
        <f>IFERROR(__xludf.DUMMYFUNCTION("""COMPUTED_VALUE"""),3.0)</f>
        <v>3</v>
      </c>
      <c r="L4875">
        <f>IFERROR(__xludf.DUMMYFUNCTION("""COMPUTED_VALUE"""),7001.0)</f>
        <v>7001</v>
      </c>
    </row>
    <row r="4876" ht="15.75" customHeight="1">
      <c r="A4876" t="str">
        <f t="shared" si="1"/>
        <v>S.enterica</v>
      </c>
      <c r="B4876" s="5" t="s">
        <v>30704</v>
      </c>
      <c r="C4876" s="6" t="str">
        <f>IFERROR(__xludf.DUMMYFUNCTION("SPLIT('2. c'!B4876, "" "", True, True)"),"Salmonella")</f>
        <v>Salmonella</v>
      </c>
      <c r="D4876" t="str">
        <f>IFERROR(__xludf.DUMMYFUNCTION("""COMPUTED_VALUE"""),"enterica")</f>
        <v>enterica</v>
      </c>
      <c r="E4876" t="str">
        <f>IFERROR(__xludf.DUMMYFUNCTION("""COMPUTED_VALUE"""),"subsp.")</f>
        <v>subsp.</v>
      </c>
      <c r="F4876" t="str">
        <f>IFERROR(__xludf.DUMMYFUNCTION("""COMPUTED_VALUE"""),"enterica")</f>
        <v>enterica</v>
      </c>
      <c r="G4876" t="str">
        <f>IFERROR(__xludf.DUMMYFUNCTION("""COMPUTED_VALUE"""),"serovar")</f>
        <v>serovar</v>
      </c>
      <c r="H4876" t="str">
        <f>IFERROR(__xludf.DUMMYFUNCTION("""COMPUTED_VALUE"""),"Paratyphi")</f>
        <v>Paratyphi</v>
      </c>
      <c r="I4876" t="str">
        <f>IFERROR(__xludf.DUMMYFUNCTION("""COMPUTED_VALUE"""),"A")</f>
        <v>A</v>
      </c>
      <c r="J4876" t="str">
        <f>IFERROR(__xludf.DUMMYFUNCTION("""COMPUTED_VALUE"""),"strain")</f>
        <v>strain</v>
      </c>
      <c r="K4876">
        <f>IFERROR(__xludf.DUMMYFUNCTION("""COMPUTED_VALUE"""),4.0)</f>
        <v>4</v>
      </c>
      <c r="L4876">
        <f>IFERROR(__xludf.DUMMYFUNCTION("""COMPUTED_VALUE"""),406.0)</f>
        <v>406</v>
      </c>
    </row>
    <row r="4877" ht="15.75" customHeight="1">
      <c r="A4877" t="str">
        <f t="shared" si="1"/>
        <v>S.enterica</v>
      </c>
      <c r="B4877" s="5" t="s">
        <v>30718</v>
      </c>
      <c r="C4877" s="6" t="str">
        <f>IFERROR(__xludf.DUMMYFUNCTION("SPLIT('2. c'!B4877, "" "", True, True)"),"Salmonella")</f>
        <v>Salmonella</v>
      </c>
      <c r="D4877" t="str">
        <f>IFERROR(__xludf.DUMMYFUNCTION("""COMPUTED_VALUE"""),"enterica")</f>
        <v>enterica</v>
      </c>
      <c r="E4877" t="str">
        <f>IFERROR(__xludf.DUMMYFUNCTION("""COMPUTED_VALUE"""),"subsp.")</f>
        <v>subsp.</v>
      </c>
      <c r="F4877" t="str">
        <f>IFERROR(__xludf.DUMMYFUNCTION("""COMPUTED_VALUE"""),"enterica")</f>
        <v>enterica</v>
      </c>
      <c r="G4877" t="str">
        <f>IFERROR(__xludf.DUMMYFUNCTION("""COMPUTED_VALUE"""),"serovar")</f>
        <v>serovar</v>
      </c>
      <c r="H4877" t="str">
        <f>IFERROR(__xludf.DUMMYFUNCTION("""COMPUTED_VALUE"""),"Paratyphi")</f>
        <v>Paratyphi</v>
      </c>
      <c r="I4877" t="str">
        <f>IFERROR(__xludf.DUMMYFUNCTION("""COMPUTED_VALUE"""),"A")</f>
        <v>A</v>
      </c>
      <c r="J4877" t="str">
        <f>IFERROR(__xludf.DUMMYFUNCTION("""COMPUTED_VALUE"""),"strain")</f>
        <v>strain</v>
      </c>
      <c r="K4877">
        <f>IFERROR(__xludf.DUMMYFUNCTION("""COMPUTED_VALUE"""),4.0)</f>
        <v>4</v>
      </c>
      <c r="L4877">
        <f>IFERROR(__xludf.DUMMYFUNCTION("""COMPUTED_VALUE"""),6031.0)</f>
        <v>6031</v>
      </c>
    </row>
    <row r="4878" ht="15.75" customHeight="1">
      <c r="A4878" t="str">
        <f t="shared" si="1"/>
        <v>S.enterica</v>
      </c>
      <c r="B4878" s="5" t="s">
        <v>30726</v>
      </c>
      <c r="C4878" s="6" t="str">
        <f>IFERROR(__xludf.DUMMYFUNCTION("SPLIT('2. c'!B4878, "" "", True, True)"),"Salmonella")</f>
        <v>Salmonella</v>
      </c>
      <c r="D4878" t="str">
        <f>IFERROR(__xludf.DUMMYFUNCTION("""COMPUTED_VALUE"""),"enterica")</f>
        <v>enterica</v>
      </c>
      <c r="E4878" t="str">
        <f>IFERROR(__xludf.DUMMYFUNCTION("""COMPUTED_VALUE"""),"subsp.")</f>
        <v>subsp.</v>
      </c>
      <c r="F4878" t="str">
        <f>IFERROR(__xludf.DUMMYFUNCTION("""COMPUTED_VALUE"""),"enterica")</f>
        <v>enterica</v>
      </c>
      <c r="G4878" t="str">
        <f>IFERROR(__xludf.DUMMYFUNCTION("""COMPUTED_VALUE"""),"serovar")</f>
        <v>serovar</v>
      </c>
      <c r="H4878" t="str">
        <f>IFERROR(__xludf.DUMMYFUNCTION("""COMPUTED_VALUE"""),"Paratyphi")</f>
        <v>Paratyphi</v>
      </c>
      <c r="I4878" t="str">
        <f>IFERROR(__xludf.DUMMYFUNCTION("""COMPUTED_VALUE"""),"A")</f>
        <v>A</v>
      </c>
      <c r="J4878" t="str">
        <f>IFERROR(__xludf.DUMMYFUNCTION("""COMPUTED_VALUE"""),"strain")</f>
        <v>strain</v>
      </c>
      <c r="K4878">
        <f>IFERROR(__xludf.DUMMYFUNCTION("""COMPUTED_VALUE"""),4.0)</f>
        <v>4</v>
      </c>
      <c r="L4878">
        <f>IFERROR(__xludf.DUMMYFUNCTION("""COMPUTED_VALUE"""),6500.0)</f>
        <v>6500</v>
      </c>
    </row>
    <row r="4879" ht="15.75" customHeight="1">
      <c r="A4879" t="str">
        <f t="shared" si="1"/>
        <v>S.enterica</v>
      </c>
      <c r="B4879" s="5" t="s">
        <v>30737</v>
      </c>
      <c r="C4879" s="6" t="str">
        <f>IFERROR(__xludf.DUMMYFUNCTION("SPLIT('2. c'!B4879, "" "", True, True)"),"Salmonella")</f>
        <v>Salmonella</v>
      </c>
      <c r="D4879" t="str">
        <f>IFERROR(__xludf.DUMMYFUNCTION("""COMPUTED_VALUE"""),"enterica")</f>
        <v>enterica</v>
      </c>
      <c r="E4879" t="str">
        <f>IFERROR(__xludf.DUMMYFUNCTION("""COMPUTED_VALUE"""),"subsp.")</f>
        <v>subsp.</v>
      </c>
      <c r="F4879" t="str">
        <f>IFERROR(__xludf.DUMMYFUNCTION("""COMPUTED_VALUE"""),"enterica")</f>
        <v>enterica</v>
      </c>
      <c r="G4879" t="str">
        <f>IFERROR(__xludf.DUMMYFUNCTION("""COMPUTED_VALUE"""),"serovar")</f>
        <v>serovar</v>
      </c>
      <c r="H4879" t="str">
        <f>IFERROR(__xludf.DUMMYFUNCTION("""COMPUTED_VALUE"""),"Paratyphi")</f>
        <v>Paratyphi</v>
      </c>
      <c r="I4879" t="str">
        <f>IFERROR(__xludf.DUMMYFUNCTION("""COMPUTED_VALUE"""),"A")</f>
        <v>A</v>
      </c>
      <c r="J4879" t="str">
        <f>IFERROR(__xludf.DUMMYFUNCTION("""COMPUTED_VALUE"""),"strain")</f>
        <v>strain</v>
      </c>
      <c r="K4879">
        <f>IFERROR(__xludf.DUMMYFUNCTION("""COMPUTED_VALUE"""),5.0)</f>
        <v>5</v>
      </c>
      <c r="L4879">
        <f>IFERROR(__xludf.DUMMYFUNCTION("""COMPUTED_VALUE"""),6792.0)</f>
        <v>6792</v>
      </c>
    </row>
    <row r="4880" ht="15.75" customHeight="1">
      <c r="A4880" t="str">
        <f t="shared" si="1"/>
        <v>S.enterica</v>
      </c>
      <c r="B4880" s="5" t="s">
        <v>30746</v>
      </c>
      <c r="C4880" s="6" t="str">
        <f>IFERROR(__xludf.DUMMYFUNCTION("SPLIT('2. c'!B4880, "" "", True, True)"),"Salmonella")</f>
        <v>Salmonella</v>
      </c>
      <c r="D4880" t="str">
        <f>IFERROR(__xludf.DUMMYFUNCTION("""COMPUTED_VALUE"""),"enterica")</f>
        <v>enterica</v>
      </c>
      <c r="E4880" t="str">
        <f>IFERROR(__xludf.DUMMYFUNCTION("""COMPUTED_VALUE"""),"subsp.")</f>
        <v>subsp.</v>
      </c>
      <c r="F4880" t="str">
        <f>IFERROR(__xludf.DUMMYFUNCTION("""COMPUTED_VALUE"""),"enterica")</f>
        <v>enterica</v>
      </c>
      <c r="G4880" t="str">
        <f>IFERROR(__xludf.DUMMYFUNCTION("""COMPUTED_VALUE"""),"serovar")</f>
        <v>serovar</v>
      </c>
      <c r="H4880" t="str">
        <f>IFERROR(__xludf.DUMMYFUNCTION("""COMPUTED_VALUE"""),"Paratyphi")</f>
        <v>Paratyphi</v>
      </c>
      <c r="I4880" t="str">
        <f>IFERROR(__xludf.DUMMYFUNCTION("""COMPUTED_VALUE"""),"A")</f>
        <v>A</v>
      </c>
      <c r="J4880" t="str">
        <f>IFERROR(__xludf.DUMMYFUNCTION("""COMPUTED_VALUE"""),"strain")</f>
        <v>strain</v>
      </c>
      <c r="K4880">
        <f>IFERROR(__xludf.DUMMYFUNCTION("""COMPUTED_VALUE"""),6.0)</f>
        <v>6</v>
      </c>
      <c r="L4880">
        <f>IFERROR(__xludf.DUMMYFUNCTION("""COMPUTED_VALUE"""),2633.0)</f>
        <v>2633</v>
      </c>
    </row>
    <row r="4881" ht="15.75" customHeight="1">
      <c r="A4881" t="str">
        <f t="shared" si="1"/>
        <v>S.enterica</v>
      </c>
      <c r="B4881" s="5" t="s">
        <v>30755</v>
      </c>
      <c r="C4881" s="6" t="str">
        <f>IFERROR(__xludf.DUMMYFUNCTION("SPLIT('2. c'!B4881, "" "", True, True)"),"Salmonella")</f>
        <v>Salmonella</v>
      </c>
      <c r="D4881" t="str">
        <f>IFERROR(__xludf.DUMMYFUNCTION("""COMPUTED_VALUE"""),"enterica")</f>
        <v>enterica</v>
      </c>
      <c r="E4881" t="str">
        <f>IFERROR(__xludf.DUMMYFUNCTION("""COMPUTED_VALUE"""),"subsp.")</f>
        <v>subsp.</v>
      </c>
      <c r="F4881" t="str">
        <f>IFERROR(__xludf.DUMMYFUNCTION("""COMPUTED_VALUE"""),"enterica")</f>
        <v>enterica</v>
      </c>
      <c r="G4881" t="str">
        <f>IFERROR(__xludf.DUMMYFUNCTION("""COMPUTED_VALUE"""),"serovar")</f>
        <v>serovar</v>
      </c>
      <c r="H4881" t="str">
        <f>IFERROR(__xludf.DUMMYFUNCTION("""COMPUTED_VALUE"""),"Paratyphi")</f>
        <v>Paratyphi</v>
      </c>
      <c r="I4881" t="str">
        <f>IFERROR(__xludf.DUMMYFUNCTION("""COMPUTED_VALUE"""),"A")</f>
        <v>A</v>
      </c>
      <c r="J4881" t="str">
        <f>IFERROR(__xludf.DUMMYFUNCTION("""COMPUTED_VALUE"""),"strain")</f>
        <v>strain</v>
      </c>
      <c r="K4881">
        <f>IFERROR(__xludf.DUMMYFUNCTION("""COMPUTED_VALUE"""),6.0)</f>
        <v>6</v>
      </c>
      <c r="L4881">
        <f>IFERROR(__xludf.DUMMYFUNCTION("""COMPUTED_VALUE"""),5568.0)</f>
        <v>5568</v>
      </c>
    </row>
    <row r="4882" ht="15.75" customHeight="1">
      <c r="A4882" t="str">
        <f t="shared" si="1"/>
        <v>S.enterica</v>
      </c>
      <c r="B4882" s="5" t="s">
        <v>30764</v>
      </c>
      <c r="C4882" s="6" t="str">
        <f>IFERROR(__xludf.DUMMYFUNCTION("SPLIT('2. c'!B4882, "" "", True, True)"),"Salmonella")</f>
        <v>Salmonella</v>
      </c>
      <c r="D4882" t="str">
        <f>IFERROR(__xludf.DUMMYFUNCTION("""COMPUTED_VALUE"""),"enterica")</f>
        <v>enterica</v>
      </c>
      <c r="E4882" t="str">
        <f>IFERROR(__xludf.DUMMYFUNCTION("""COMPUTED_VALUE"""),"subsp.")</f>
        <v>subsp.</v>
      </c>
      <c r="F4882" t="str">
        <f>IFERROR(__xludf.DUMMYFUNCTION("""COMPUTED_VALUE"""),"enterica")</f>
        <v>enterica</v>
      </c>
      <c r="G4882" t="str">
        <f>IFERROR(__xludf.DUMMYFUNCTION("""COMPUTED_VALUE"""),"serovar")</f>
        <v>serovar</v>
      </c>
      <c r="H4882" t="str">
        <f>IFERROR(__xludf.DUMMYFUNCTION("""COMPUTED_VALUE"""),"Paratyphi")</f>
        <v>Paratyphi</v>
      </c>
      <c r="I4882" t="str">
        <f>IFERROR(__xludf.DUMMYFUNCTION("""COMPUTED_VALUE"""),"A")</f>
        <v>A</v>
      </c>
      <c r="J4882" t="str">
        <f>IFERROR(__xludf.DUMMYFUNCTION("""COMPUTED_VALUE"""),"strain")</f>
        <v>strain</v>
      </c>
      <c r="K4882">
        <f>IFERROR(__xludf.DUMMYFUNCTION("""COMPUTED_VALUE"""),6.0)</f>
        <v>6</v>
      </c>
      <c r="L4882">
        <f>IFERROR(__xludf.DUMMYFUNCTION("""COMPUTED_VALUE"""),7153.0)</f>
        <v>7153</v>
      </c>
    </row>
    <row r="4883" ht="15.75" customHeight="1">
      <c r="A4883" t="str">
        <f t="shared" si="1"/>
        <v>S.enterica</v>
      </c>
      <c r="B4883" s="5" t="s">
        <v>30773</v>
      </c>
      <c r="C4883" s="6" t="str">
        <f>IFERROR(__xludf.DUMMYFUNCTION("SPLIT('2. c'!B4883, "" "", True, True)"),"Salmonella")</f>
        <v>Salmonella</v>
      </c>
      <c r="D4883" t="str">
        <f>IFERROR(__xludf.DUMMYFUNCTION("""COMPUTED_VALUE"""),"enterica")</f>
        <v>enterica</v>
      </c>
      <c r="E4883" t="str">
        <f>IFERROR(__xludf.DUMMYFUNCTION("""COMPUTED_VALUE"""),"subsp.")</f>
        <v>subsp.</v>
      </c>
      <c r="F4883" t="str">
        <f>IFERROR(__xludf.DUMMYFUNCTION("""COMPUTED_VALUE"""),"enterica")</f>
        <v>enterica</v>
      </c>
      <c r="G4883" t="str">
        <f>IFERROR(__xludf.DUMMYFUNCTION("""COMPUTED_VALUE"""),"serovar")</f>
        <v>serovar</v>
      </c>
      <c r="H4883" t="str">
        <f>IFERROR(__xludf.DUMMYFUNCTION("""COMPUTED_VALUE"""),"Paratyphi")</f>
        <v>Paratyphi</v>
      </c>
      <c r="I4883" t="str">
        <f>IFERROR(__xludf.DUMMYFUNCTION("""COMPUTED_VALUE"""),"A")</f>
        <v>A</v>
      </c>
      <c r="J4883" t="str">
        <f>IFERROR(__xludf.DUMMYFUNCTION("""COMPUTED_VALUE"""),"strain")</f>
        <v>strain</v>
      </c>
      <c r="K4883" t="str">
        <f>IFERROR(__xludf.DUMMYFUNCTION("""COMPUTED_VALUE"""),"138-69")</f>
        <v>138-69</v>
      </c>
    </row>
    <row r="4884" ht="15.75" customHeight="1">
      <c r="A4884" t="str">
        <f t="shared" si="1"/>
        <v>S.enterica</v>
      </c>
      <c r="B4884" s="5" t="s">
        <v>30781</v>
      </c>
      <c r="C4884" s="6" t="str">
        <f>IFERROR(__xludf.DUMMYFUNCTION("SPLIT('2. c'!B4884, "" "", True, True)"),"Salmonella")</f>
        <v>Salmonella</v>
      </c>
      <c r="D4884" t="str">
        <f>IFERROR(__xludf.DUMMYFUNCTION("""COMPUTED_VALUE"""),"enterica")</f>
        <v>enterica</v>
      </c>
      <c r="E4884" t="str">
        <f>IFERROR(__xludf.DUMMYFUNCTION("""COMPUTED_VALUE"""),"subsp.")</f>
        <v>subsp.</v>
      </c>
      <c r="F4884" t="str">
        <f>IFERROR(__xludf.DUMMYFUNCTION("""COMPUTED_VALUE"""),"enterica")</f>
        <v>enterica</v>
      </c>
      <c r="G4884" t="str">
        <f>IFERROR(__xludf.DUMMYFUNCTION("""COMPUTED_VALUE"""),"serovar")</f>
        <v>serovar</v>
      </c>
      <c r="H4884" t="str">
        <f>IFERROR(__xludf.DUMMYFUNCTION("""COMPUTED_VALUE"""),"Paratyphi")</f>
        <v>Paratyphi</v>
      </c>
      <c r="I4884" t="str">
        <f>IFERROR(__xludf.DUMMYFUNCTION("""COMPUTED_VALUE"""),"A")</f>
        <v>A</v>
      </c>
      <c r="J4884" t="str">
        <f>IFERROR(__xludf.DUMMYFUNCTION("""COMPUTED_VALUE"""),"strain")</f>
        <v>strain</v>
      </c>
      <c r="K4884" t="str">
        <f>IFERROR(__xludf.DUMMYFUNCTION("""COMPUTED_VALUE"""),"1K")</f>
        <v>1K</v>
      </c>
    </row>
    <row r="4885" ht="15.75" customHeight="1">
      <c r="A4885" t="str">
        <f t="shared" si="1"/>
        <v>S.enterica</v>
      </c>
      <c r="B4885" s="5" t="s">
        <v>30792</v>
      </c>
      <c r="C4885" s="6" t="str">
        <f>IFERROR(__xludf.DUMMYFUNCTION("SPLIT('2. c'!B4885, "" "", True, True)"),"Salmonella")</f>
        <v>Salmonella</v>
      </c>
      <c r="D4885" t="str">
        <f>IFERROR(__xludf.DUMMYFUNCTION("""COMPUTED_VALUE"""),"enterica")</f>
        <v>enterica</v>
      </c>
      <c r="E4885" t="str">
        <f>IFERROR(__xludf.DUMMYFUNCTION("""COMPUTED_VALUE"""),"subsp.")</f>
        <v>subsp.</v>
      </c>
      <c r="F4885" t="str">
        <f>IFERROR(__xludf.DUMMYFUNCTION("""COMPUTED_VALUE"""),"enterica")</f>
        <v>enterica</v>
      </c>
      <c r="G4885" t="str">
        <f>IFERROR(__xludf.DUMMYFUNCTION("""COMPUTED_VALUE"""),"serovar")</f>
        <v>serovar</v>
      </c>
      <c r="H4885" t="str">
        <f>IFERROR(__xludf.DUMMYFUNCTION("""COMPUTED_VALUE"""),"Paratyphi")</f>
        <v>Paratyphi</v>
      </c>
      <c r="I4885" t="str">
        <f>IFERROR(__xludf.DUMMYFUNCTION("""COMPUTED_VALUE"""),"A")</f>
        <v>A</v>
      </c>
      <c r="J4885" t="str">
        <f>IFERROR(__xludf.DUMMYFUNCTION("""COMPUTED_VALUE"""),"strain")</f>
        <v>strain</v>
      </c>
      <c r="K4885">
        <f>IFERROR(__xludf.DUMMYFUNCTION("""COMPUTED_VALUE"""),40.0)</f>
        <v>40</v>
      </c>
    </row>
    <row r="4886" ht="15.75" customHeight="1">
      <c r="A4886" t="str">
        <f t="shared" si="1"/>
        <v>S.enterica</v>
      </c>
      <c r="B4886" s="5" t="s">
        <v>30802</v>
      </c>
      <c r="C4886" s="6" t="str">
        <f>IFERROR(__xludf.DUMMYFUNCTION("SPLIT('2. c'!B4886, "" "", True, True)"),"Salmonella")</f>
        <v>Salmonella</v>
      </c>
      <c r="D4886" t="str">
        <f>IFERROR(__xludf.DUMMYFUNCTION("""COMPUTED_VALUE"""),"enterica")</f>
        <v>enterica</v>
      </c>
      <c r="E4886" t="str">
        <f>IFERROR(__xludf.DUMMYFUNCTION("""COMPUTED_VALUE"""),"subsp.")</f>
        <v>subsp.</v>
      </c>
      <c r="F4886" t="str">
        <f>IFERROR(__xludf.DUMMYFUNCTION("""COMPUTED_VALUE"""),"enterica")</f>
        <v>enterica</v>
      </c>
      <c r="G4886" t="str">
        <f>IFERROR(__xludf.DUMMYFUNCTION("""COMPUTED_VALUE"""),"serovar")</f>
        <v>serovar</v>
      </c>
      <c r="H4886" t="str">
        <f>IFERROR(__xludf.DUMMYFUNCTION("""COMPUTED_VALUE"""),"Paratyphi")</f>
        <v>Paratyphi</v>
      </c>
      <c r="I4886" t="str">
        <f>IFERROR(__xludf.DUMMYFUNCTION("""COMPUTED_VALUE"""),"A")</f>
        <v>A</v>
      </c>
      <c r="J4886" t="str">
        <f>IFERROR(__xludf.DUMMYFUNCTION("""COMPUTED_VALUE"""),"strain")</f>
        <v>strain</v>
      </c>
      <c r="K4886" t="str">
        <f>IFERROR(__xludf.DUMMYFUNCTION("""COMPUTED_VALUE"""),"6-60")</f>
        <v>6-60</v>
      </c>
    </row>
    <row r="4887" ht="15.75" customHeight="1">
      <c r="A4887" t="str">
        <f t="shared" si="1"/>
        <v>S.enterica</v>
      </c>
      <c r="B4887" s="5" t="s">
        <v>30810</v>
      </c>
      <c r="C4887" s="6" t="str">
        <f>IFERROR(__xludf.DUMMYFUNCTION("SPLIT('2. c'!B4887, "" "", True, True)"),"Salmonella")</f>
        <v>Salmonella</v>
      </c>
      <c r="D4887" t="str">
        <f>IFERROR(__xludf.DUMMYFUNCTION("""COMPUTED_VALUE"""),"enterica")</f>
        <v>enterica</v>
      </c>
      <c r="E4887" t="str">
        <f>IFERROR(__xludf.DUMMYFUNCTION("""COMPUTED_VALUE"""),"subsp.")</f>
        <v>subsp.</v>
      </c>
      <c r="F4887" t="str">
        <f>IFERROR(__xludf.DUMMYFUNCTION("""COMPUTED_VALUE"""),"enterica")</f>
        <v>enterica</v>
      </c>
      <c r="G4887" t="str">
        <f>IFERROR(__xludf.DUMMYFUNCTION("""COMPUTED_VALUE"""),"serovar")</f>
        <v>serovar</v>
      </c>
      <c r="H4887" t="str">
        <f>IFERROR(__xludf.DUMMYFUNCTION("""COMPUTED_VALUE"""),"Paratyphi")</f>
        <v>Paratyphi</v>
      </c>
      <c r="I4887" t="str">
        <f>IFERROR(__xludf.DUMMYFUNCTION("""COMPUTED_VALUE"""),"A")</f>
        <v>A</v>
      </c>
      <c r="J4887" t="str">
        <f>IFERROR(__xludf.DUMMYFUNCTION("""COMPUTED_VALUE"""),"strain")</f>
        <v>strain</v>
      </c>
      <c r="K4887" t="str">
        <f>IFERROR(__xludf.DUMMYFUNCTION("""COMPUTED_VALUE"""),"68-178")</f>
        <v>68-178</v>
      </c>
    </row>
    <row r="4888" ht="15.75" customHeight="1">
      <c r="A4888" t="str">
        <f t="shared" si="1"/>
        <v>S.enterica</v>
      </c>
      <c r="B4888" s="5" t="s">
        <v>30816</v>
      </c>
      <c r="C4888" s="6" t="str">
        <f>IFERROR(__xludf.DUMMYFUNCTION("SPLIT('2. c'!B4888, "" "", True, True)"),"Salmonella")</f>
        <v>Salmonella</v>
      </c>
      <c r="D4888" t="str">
        <f>IFERROR(__xludf.DUMMYFUNCTION("""COMPUTED_VALUE"""),"enterica")</f>
        <v>enterica</v>
      </c>
      <c r="E4888" t="str">
        <f>IFERROR(__xludf.DUMMYFUNCTION("""COMPUTED_VALUE"""),"subsp.")</f>
        <v>subsp.</v>
      </c>
      <c r="F4888" t="str">
        <f>IFERROR(__xludf.DUMMYFUNCTION("""COMPUTED_VALUE"""),"enterica")</f>
        <v>enterica</v>
      </c>
      <c r="G4888" t="str">
        <f>IFERROR(__xludf.DUMMYFUNCTION("""COMPUTED_VALUE"""),"serovar")</f>
        <v>serovar</v>
      </c>
      <c r="H4888" t="str">
        <f>IFERROR(__xludf.DUMMYFUNCTION("""COMPUTED_VALUE"""),"Paratyphi")</f>
        <v>Paratyphi</v>
      </c>
      <c r="I4888" t="str">
        <f>IFERROR(__xludf.DUMMYFUNCTION("""COMPUTED_VALUE"""),"A")</f>
        <v>A</v>
      </c>
      <c r="J4888" t="str">
        <f>IFERROR(__xludf.DUMMYFUNCTION("""COMPUTED_VALUE"""),"strain")</f>
        <v>strain</v>
      </c>
      <c r="K4888">
        <f>IFERROR(__xludf.DUMMYFUNCTION("""COMPUTED_VALUE"""),83.0)</f>
        <v>83</v>
      </c>
    </row>
    <row r="4889" ht="15.75" customHeight="1">
      <c r="A4889" t="str">
        <f t="shared" si="1"/>
        <v>S.enterica</v>
      </c>
      <c r="B4889" s="5" t="s">
        <v>30824</v>
      </c>
      <c r="C4889" s="6" t="str">
        <f>IFERROR(__xludf.DUMMYFUNCTION("SPLIT('2. c'!B4889, "" "", True, True)"),"Salmonella")</f>
        <v>Salmonella</v>
      </c>
      <c r="D4889" t="str">
        <f>IFERROR(__xludf.DUMMYFUNCTION("""COMPUTED_VALUE"""),"enterica")</f>
        <v>enterica</v>
      </c>
      <c r="E4889" t="str">
        <f>IFERROR(__xludf.DUMMYFUNCTION("""COMPUTED_VALUE"""),"subsp.")</f>
        <v>subsp.</v>
      </c>
      <c r="F4889" t="str">
        <f>IFERROR(__xludf.DUMMYFUNCTION("""COMPUTED_VALUE"""),"enterica")</f>
        <v>enterica</v>
      </c>
      <c r="G4889" t="str">
        <f>IFERROR(__xludf.DUMMYFUNCTION("""COMPUTED_VALUE"""),"serovar")</f>
        <v>serovar</v>
      </c>
      <c r="H4889" t="str">
        <f>IFERROR(__xludf.DUMMYFUNCTION("""COMPUTED_VALUE"""),"Paratyphi")</f>
        <v>Paratyphi</v>
      </c>
      <c r="I4889" t="str">
        <f>IFERROR(__xludf.DUMMYFUNCTION("""COMPUTED_VALUE"""),"A")</f>
        <v>A</v>
      </c>
      <c r="J4889" t="str">
        <f>IFERROR(__xludf.DUMMYFUNCTION("""COMPUTED_VALUE"""),"strain")</f>
        <v>strain</v>
      </c>
      <c r="K4889" t="str">
        <f>IFERROR(__xludf.DUMMYFUNCTION("""COMPUTED_VALUE"""),"9-65")</f>
        <v>9-65</v>
      </c>
    </row>
    <row r="4890" ht="15.75" customHeight="1">
      <c r="A4890" t="str">
        <f t="shared" si="1"/>
        <v>S.enterica</v>
      </c>
      <c r="B4890" s="5" t="s">
        <v>30832</v>
      </c>
      <c r="C4890" s="6" t="str">
        <f>IFERROR(__xludf.DUMMYFUNCTION("SPLIT('2. c'!B4890, "" "", True, True)"),"Salmonella")</f>
        <v>Salmonella</v>
      </c>
      <c r="D4890" t="str">
        <f>IFERROR(__xludf.DUMMYFUNCTION("""COMPUTED_VALUE"""),"enterica")</f>
        <v>enterica</v>
      </c>
      <c r="E4890" t="str">
        <f>IFERROR(__xludf.DUMMYFUNCTION("""COMPUTED_VALUE"""),"subsp.")</f>
        <v>subsp.</v>
      </c>
      <c r="F4890" t="str">
        <f>IFERROR(__xludf.DUMMYFUNCTION("""COMPUTED_VALUE"""),"enterica")</f>
        <v>enterica</v>
      </c>
      <c r="G4890" t="str">
        <f>IFERROR(__xludf.DUMMYFUNCTION("""COMPUTED_VALUE"""),"serovar")</f>
        <v>serovar</v>
      </c>
      <c r="H4890" t="str">
        <f>IFERROR(__xludf.DUMMYFUNCTION("""COMPUTED_VALUE"""),"Paratyphi")</f>
        <v>Paratyphi</v>
      </c>
      <c r="I4890" t="str">
        <f>IFERROR(__xludf.DUMMYFUNCTION("""COMPUTED_VALUE"""),"A")</f>
        <v>A</v>
      </c>
      <c r="J4890" t="str">
        <f>IFERROR(__xludf.DUMMYFUNCTION("""COMPUTED_VALUE"""),"strain")</f>
        <v>strain</v>
      </c>
      <c r="K4890">
        <f>IFERROR(__xludf.DUMMYFUNCTION("""COMPUTED_VALUE"""),97.0)</f>
        <v>97</v>
      </c>
      <c r="L4890">
        <f>IFERROR(__xludf.DUMMYFUNCTION("""COMPUTED_VALUE"""),1822.0)</f>
        <v>1822</v>
      </c>
    </row>
    <row r="4891" ht="15.75" customHeight="1">
      <c r="A4891" t="str">
        <f t="shared" si="1"/>
        <v>S.enterica</v>
      </c>
      <c r="B4891" s="5" t="s">
        <v>30841</v>
      </c>
      <c r="C4891" s="6" t="str">
        <f>IFERROR(__xludf.DUMMYFUNCTION("SPLIT('2. c'!B4891, "" "", True, True)"),"Salmonella")</f>
        <v>Salmonella</v>
      </c>
      <c r="D4891" t="str">
        <f>IFERROR(__xludf.DUMMYFUNCTION("""COMPUTED_VALUE"""),"enterica")</f>
        <v>enterica</v>
      </c>
      <c r="E4891" t="str">
        <f>IFERROR(__xludf.DUMMYFUNCTION("""COMPUTED_VALUE"""),"subsp.")</f>
        <v>subsp.</v>
      </c>
      <c r="F4891" t="str">
        <f>IFERROR(__xludf.DUMMYFUNCTION("""COMPUTED_VALUE"""),"enterica")</f>
        <v>enterica</v>
      </c>
      <c r="G4891" t="str">
        <f>IFERROR(__xludf.DUMMYFUNCTION("""COMPUTED_VALUE"""),"serovar")</f>
        <v>serovar</v>
      </c>
      <c r="H4891" t="str">
        <f>IFERROR(__xludf.DUMMYFUNCTION("""COMPUTED_VALUE"""),"Paratyphi")</f>
        <v>Paratyphi</v>
      </c>
      <c r="I4891" t="str">
        <f>IFERROR(__xludf.DUMMYFUNCTION("""COMPUTED_VALUE"""),"A")</f>
        <v>A</v>
      </c>
      <c r="J4891" t="str">
        <f>IFERROR(__xludf.DUMMYFUNCTION("""COMPUTED_VALUE"""),"strain")</f>
        <v>strain</v>
      </c>
      <c r="K4891">
        <f>IFERROR(__xludf.DUMMYFUNCTION("""COMPUTED_VALUE"""),98.0)</f>
        <v>98</v>
      </c>
      <c r="L4891">
        <f>IFERROR(__xludf.DUMMYFUNCTION("""COMPUTED_VALUE"""),9652.0)</f>
        <v>9652</v>
      </c>
    </row>
    <row r="4892" ht="15.75" customHeight="1">
      <c r="A4892" t="str">
        <f t="shared" si="1"/>
        <v>S.enterica</v>
      </c>
      <c r="B4892" s="5" t="s">
        <v>30849</v>
      </c>
      <c r="C4892" s="6" t="str">
        <f>IFERROR(__xludf.DUMMYFUNCTION("SPLIT('2. c'!B4892, "" "", True, True)"),"Salmonella")</f>
        <v>Salmonella</v>
      </c>
      <c r="D4892" t="str">
        <f>IFERROR(__xludf.DUMMYFUNCTION("""COMPUTED_VALUE"""),"enterica")</f>
        <v>enterica</v>
      </c>
      <c r="E4892" t="str">
        <f>IFERROR(__xludf.DUMMYFUNCTION("""COMPUTED_VALUE"""),"subsp.")</f>
        <v>subsp.</v>
      </c>
      <c r="F4892" t="str">
        <f>IFERROR(__xludf.DUMMYFUNCTION("""COMPUTED_VALUE"""),"enterica")</f>
        <v>enterica</v>
      </c>
      <c r="G4892" t="str">
        <f>IFERROR(__xludf.DUMMYFUNCTION("""COMPUTED_VALUE"""),"serovar")</f>
        <v>serovar</v>
      </c>
      <c r="H4892" t="str">
        <f>IFERROR(__xludf.DUMMYFUNCTION("""COMPUTED_VALUE"""),"Paratyphi")</f>
        <v>Paratyphi</v>
      </c>
      <c r="I4892" t="str">
        <f>IFERROR(__xludf.DUMMYFUNCTION("""COMPUTED_VALUE"""),"A")</f>
        <v>A</v>
      </c>
      <c r="J4892" t="str">
        <f>IFERROR(__xludf.DUMMYFUNCTION("""COMPUTED_VALUE"""),"strain")</f>
        <v>strain</v>
      </c>
      <c r="K4892">
        <f>IFERROR(__xludf.DUMMYFUNCTION("""COMPUTED_VALUE"""),99.0)</f>
        <v>99</v>
      </c>
      <c r="L4892">
        <f>IFERROR(__xludf.DUMMYFUNCTION("""COMPUTED_VALUE"""),10258.0)</f>
        <v>10258</v>
      </c>
    </row>
    <row r="4893" ht="15.75" customHeight="1">
      <c r="A4893" t="str">
        <f t="shared" si="1"/>
        <v>S.enterica</v>
      </c>
      <c r="B4893" s="5" t="s">
        <v>30857</v>
      </c>
      <c r="C4893" s="6" t="str">
        <f>IFERROR(__xludf.DUMMYFUNCTION("SPLIT('2. c'!B4893, "" "", True, True)"),"Salmonella")</f>
        <v>Salmonella</v>
      </c>
      <c r="D4893" t="str">
        <f>IFERROR(__xludf.DUMMYFUNCTION("""COMPUTED_VALUE"""),"enterica")</f>
        <v>enterica</v>
      </c>
      <c r="E4893" t="str">
        <f>IFERROR(__xludf.DUMMYFUNCTION("""COMPUTED_VALUE"""),"subsp.")</f>
        <v>subsp.</v>
      </c>
      <c r="F4893" t="str">
        <f>IFERROR(__xludf.DUMMYFUNCTION("""COMPUTED_VALUE"""),"enterica")</f>
        <v>enterica</v>
      </c>
      <c r="G4893" t="str">
        <f>IFERROR(__xludf.DUMMYFUNCTION("""COMPUTED_VALUE"""),"serovar")</f>
        <v>serovar</v>
      </c>
      <c r="H4893" t="str">
        <f>IFERROR(__xludf.DUMMYFUNCTION("""COMPUTED_VALUE"""),"Paratyphi")</f>
        <v>Paratyphi</v>
      </c>
      <c r="I4893" t="str">
        <f>IFERROR(__xludf.DUMMYFUNCTION("""COMPUTED_VALUE"""),"A")</f>
        <v>A</v>
      </c>
      <c r="J4893" t="str">
        <f>IFERROR(__xludf.DUMMYFUNCTION("""COMPUTED_VALUE"""),"strain")</f>
        <v>strain</v>
      </c>
      <c r="K4893">
        <f>IFERROR(__xludf.DUMMYFUNCTION("""COMPUTED_VALUE"""),99.0)</f>
        <v>99</v>
      </c>
      <c r="L4893">
        <f>IFERROR(__xludf.DUMMYFUNCTION("""COMPUTED_VALUE"""),7863.0)</f>
        <v>7863</v>
      </c>
    </row>
    <row r="4894" ht="15.75" customHeight="1">
      <c r="A4894" t="str">
        <f t="shared" si="1"/>
        <v>S.enterica</v>
      </c>
      <c r="B4894" s="5" t="s">
        <v>30865</v>
      </c>
      <c r="C4894" s="6" t="str">
        <f>IFERROR(__xludf.DUMMYFUNCTION("SPLIT('2. c'!B4894, "" "", True, True)"),"Salmonella")</f>
        <v>Salmonella</v>
      </c>
      <c r="D4894" t="str">
        <f>IFERROR(__xludf.DUMMYFUNCTION("""COMPUTED_VALUE"""),"enterica")</f>
        <v>enterica</v>
      </c>
      <c r="E4894" t="str">
        <f>IFERROR(__xludf.DUMMYFUNCTION("""COMPUTED_VALUE"""),"subsp.")</f>
        <v>subsp.</v>
      </c>
      <c r="F4894" t="str">
        <f>IFERROR(__xludf.DUMMYFUNCTION("""COMPUTED_VALUE"""),"enterica")</f>
        <v>enterica</v>
      </c>
      <c r="G4894" t="str">
        <f>IFERROR(__xludf.DUMMYFUNCTION("""COMPUTED_VALUE"""),"serovar")</f>
        <v>serovar</v>
      </c>
      <c r="H4894" t="str">
        <f>IFERROR(__xludf.DUMMYFUNCTION("""COMPUTED_VALUE"""),"Paratyphi")</f>
        <v>Paratyphi</v>
      </c>
      <c r="I4894" t="str">
        <f>IFERROR(__xludf.DUMMYFUNCTION("""COMPUTED_VALUE"""),"A")</f>
        <v>A</v>
      </c>
      <c r="J4894" t="str">
        <f>IFERROR(__xludf.DUMMYFUNCTION("""COMPUTED_VALUE"""),"strain")</f>
        <v>strain</v>
      </c>
      <c r="K4894" t="str">
        <f>IFERROR(__xludf.DUMMYFUNCTION("""COMPUTED_VALUE"""),"A103(ParaA)")</f>
        <v>A103(ParaA)</v>
      </c>
    </row>
    <row r="4895" ht="15.75" customHeight="1">
      <c r="A4895" t="str">
        <f t="shared" si="1"/>
        <v>S.enterica</v>
      </c>
      <c r="B4895" s="5" t="s">
        <v>30873</v>
      </c>
      <c r="C4895" s="6" t="str">
        <f>IFERROR(__xludf.DUMMYFUNCTION("SPLIT('2. c'!B4895, "" "", True, True)"),"Salmonella")</f>
        <v>Salmonella</v>
      </c>
      <c r="D4895" t="str">
        <f>IFERROR(__xludf.DUMMYFUNCTION("""COMPUTED_VALUE"""),"enterica")</f>
        <v>enterica</v>
      </c>
      <c r="E4895" t="str">
        <f>IFERROR(__xludf.DUMMYFUNCTION("""COMPUTED_VALUE"""),"subsp.")</f>
        <v>subsp.</v>
      </c>
      <c r="F4895" t="str">
        <f>IFERROR(__xludf.DUMMYFUNCTION("""COMPUTED_VALUE"""),"enterica")</f>
        <v>enterica</v>
      </c>
      <c r="G4895" t="str">
        <f>IFERROR(__xludf.DUMMYFUNCTION("""COMPUTED_VALUE"""),"serovar")</f>
        <v>serovar</v>
      </c>
      <c r="H4895" t="str">
        <f>IFERROR(__xludf.DUMMYFUNCTION("""COMPUTED_VALUE"""),"Paratyphi")</f>
        <v>Paratyphi</v>
      </c>
      <c r="I4895" t="str">
        <f>IFERROR(__xludf.DUMMYFUNCTION("""COMPUTED_VALUE"""),"A")</f>
        <v>A</v>
      </c>
      <c r="J4895" t="str">
        <f>IFERROR(__xludf.DUMMYFUNCTION("""COMPUTED_VALUE"""),"strain")</f>
        <v>strain</v>
      </c>
      <c r="K4895" t="str">
        <f>IFERROR(__xludf.DUMMYFUNCTION("""COMPUTED_VALUE"""),"A1338")</f>
        <v>A1338</v>
      </c>
    </row>
    <row r="4896" ht="15.75" customHeight="1">
      <c r="A4896" t="str">
        <f t="shared" si="1"/>
        <v>S.enterica</v>
      </c>
      <c r="B4896" s="5" t="s">
        <v>30879</v>
      </c>
      <c r="C4896" s="6" t="str">
        <f>IFERROR(__xludf.DUMMYFUNCTION("SPLIT('2. c'!B4896, "" "", True, True)"),"Salmonella")</f>
        <v>Salmonella</v>
      </c>
      <c r="D4896" t="str">
        <f>IFERROR(__xludf.DUMMYFUNCTION("""COMPUTED_VALUE"""),"enterica")</f>
        <v>enterica</v>
      </c>
      <c r="E4896" t="str">
        <f>IFERROR(__xludf.DUMMYFUNCTION("""COMPUTED_VALUE"""),"subsp.")</f>
        <v>subsp.</v>
      </c>
      <c r="F4896" t="str">
        <f>IFERROR(__xludf.DUMMYFUNCTION("""COMPUTED_VALUE"""),"enterica")</f>
        <v>enterica</v>
      </c>
      <c r="G4896" t="str">
        <f>IFERROR(__xludf.DUMMYFUNCTION("""COMPUTED_VALUE"""),"serovar")</f>
        <v>serovar</v>
      </c>
      <c r="H4896" t="str">
        <f>IFERROR(__xludf.DUMMYFUNCTION("""COMPUTED_VALUE"""),"Paratyphi")</f>
        <v>Paratyphi</v>
      </c>
      <c r="I4896" t="str">
        <f>IFERROR(__xludf.DUMMYFUNCTION("""COMPUTED_VALUE"""),"A")</f>
        <v>A</v>
      </c>
      <c r="J4896" t="str">
        <f>IFERROR(__xludf.DUMMYFUNCTION("""COMPUTED_VALUE"""),"strain")</f>
        <v>strain</v>
      </c>
      <c r="K4896" t="str">
        <f>IFERROR(__xludf.DUMMYFUNCTION("""COMPUTED_VALUE"""),"A1345")</f>
        <v>A1345</v>
      </c>
    </row>
    <row r="4897" ht="15.75" customHeight="1">
      <c r="A4897" t="str">
        <f t="shared" si="1"/>
        <v>S.enterica</v>
      </c>
      <c r="B4897" s="5" t="s">
        <v>30883</v>
      </c>
      <c r="C4897" s="6" t="str">
        <f>IFERROR(__xludf.DUMMYFUNCTION("SPLIT('2. c'!B4897, "" "", True, True)"),"Salmonella")</f>
        <v>Salmonella</v>
      </c>
      <c r="D4897" t="str">
        <f>IFERROR(__xludf.DUMMYFUNCTION("""COMPUTED_VALUE"""),"enterica")</f>
        <v>enterica</v>
      </c>
      <c r="E4897" t="str">
        <f>IFERROR(__xludf.DUMMYFUNCTION("""COMPUTED_VALUE"""),"subsp.")</f>
        <v>subsp.</v>
      </c>
      <c r="F4897" t="str">
        <f>IFERROR(__xludf.DUMMYFUNCTION("""COMPUTED_VALUE"""),"enterica")</f>
        <v>enterica</v>
      </c>
      <c r="G4897" t="str">
        <f>IFERROR(__xludf.DUMMYFUNCTION("""COMPUTED_VALUE"""),"serovar")</f>
        <v>serovar</v>
      </c>
      <c r="H4897" t="str">
        <f>IFERROR(__xludf.DUMMYFUNCTION("""COMPUTED_VALUE"""),"Paratyphi")</f>
        <v>Paratyphi</v>
      </c>
      <c r="I4897" t="str">
        <f>IFERROR(__xludf.DUMMYFUNCTION("""COMPUTED_VALUE"""),"A")</f>
        <v>A</v>
      </c>
      <c r="J4897" t="str">
        <f>IFERROR(__xludf.DUMMYFUNCTION("""COMPUTED_VALUE"""),"strain")</f>
        <v>strain</v>
      </c>
      <c r="K4897" t="str">
        <f>IFERROR(__xludf.DUMMYFUNCTION("""COMPUTED_VALUE"""),"A5291")</f>
        <v>A5291</v>
      </c>
    </row>
    <row r="4898" ht="15.75" customHeight="1">
      <c r="A4898" t="str">
        <f t="shared" si="1"/>
        <v>S.enterica</v>
      </c>
      <c r="B4898" s="5" t="s">
        <v>30889</v>
      </c>
      <c r="C4898" s="6" t="str">
        <f>IFERROR(__xludf.DUMMYFUNCTION("SPLIT('2. c'!B4898, "" "", True, True)"),"Salmonella")</f>
        <v>Salmonella</v>
      </c>
      <c r="D4898" t="str">
        <f>IFERROR(__xludf.DUMMYFUNCTION("""COMPUTED_VALUE"""),"enterica")</f>
        <v>enterica</v>
      </c>
      <c r="E4898" t="str">
        <f>IFERROR(__xludf.DUMMYFUNCTION("""COMPUTED_VALUE"""),"subsp.")</f>
        <v>subsp.</v>
      </c>
      <c r="F4898" t="str">
        <f>IFERROR(__xludf.DUMMYFUNCTION("""COMPUTED_VALUE"""),"enterica")</f>
        <v>enterica</v>
      </c>
      <c r="G4898" t="str">
        <f>IFERROR(__xludf.DUMMYFUNCTION("""COMPUTED_VALUE"""),"serovar")</f>
        <v>serovar</v>
      </c>
      <c r="H4898" t="str">
        <f>IFERROR(__xludf.DUMMYFUNCTION("""COMPUTED_VALUE"""),"Paratyphi")</f>
        <v>Paratyphi</v>
      </c>
      <c r="I4898" t="str">
        <f>IFERROR(__xludf.DUMMYFUNCTION("""COMPUTED_VALUE"""),"A")</f>
        <v>A</v>
      </c>
      <c r="J4898" t="str">
        <f>IFERROR(__xludf.DUMMYFUNCTION("""COMPUTED_VALUE"""),"strain")</f>
        <v>strain</v>
      </c>
      <c r="K4898" t="str">
        <f>IFERROR(__xludf.DUMMYFUNCTION("""COMPUTED_VALUE"""),"A61-139")</f>
        <v>A61-139</v>
      </c>
    </row>
    <row r="4899" ht="15.75" customHeight="1">
      <c r="A4899" t="str">
        <f t="shared" si="1"/>
        <v>S.enterica</v>
      </c>
      <c r="B4899" s="5" t="s">
        <v>30896</v>
      </c>
      <c r="C4899" s="6" t="str">
        <f>IFERROR(__xludf.DUMMYFUNCTION("SPLIT('2. c'!B4899, "" "", True, True)"),"Salmonella")</f>
        <v>Salmonella</v>
      </c>
      <c r="D4899" t="str">
        <f>IFERROR(__xludf.DUMMYFUNCTION("""COMPUTED_VALUE"""),"enterica")</f>
        <v>enterica</v>
      </c>
      <c r="E4899" t="str">
        <f>IFERROR(__xludf.DUMMYFUNCTION("""COMPUTED_VALUE"""),"subsp.")</f>
        <v>subsp.</v>
      </c>
      <c r="F4899" t="str">
        <f>IFERROR(__xludf.DUMMYFUNCTION("""COMPUTED_VALUE"""),"enterica")</f>
        <v>enterica</v>
      </c>
      <c r="G4899" t="str">
        <f>IFERROR(__xludf.DUMMYFUNCTION("""COMPUTED_VALUE"""),"serovar")</f>
        <v>serovar</v>
      </c>
      <c r="H4899" t="str">
        <f>IFERROR(__xludf.DUMMYFUNCTION("""COMPUTED_VALUE"""),"Paratyphi")</f>
        <v>Paratyphi</v>
      </c>
      <c r="I4899" t="str">
        <f>IFERROR(__xludf.DUMMYFUNCTION("""COMPUTED_VALUE"""),"A")</f>
        <v>A</v>
      </c>
      <c r="J4899" t="str">
        <f>IFERROR(__xludf.DUMMYFUNCTION("""COMPUTED_VALUE"""),"strain")</f>
        <v>strain</v>
      </c>
      <c r="K4899" t="str">
        <f>IFERROR(__xludf.DUMMYFUNCTION("""COMPUTED_VALUE"""),"A61-149")</f>
        <v>A61-149</v>
      </c>
    </row>
    <row r="4900" ht="15.75" customHeight="1">
      <c r="A4900" t="str">
        <f t="shared" si="1"/>
        <v>S.enterica</v>
      </c>
      <c r="B4900" s="5" t="s">
        <v>30904</v>
      </c>
      <c r="C4900" s="6" t="str">
        <f>IFERROR(__xludf.DUMMYFUNCTION("SPLIT('2. c'!B4900, "" "", True, True)"),"Salmonella")</f>
        <v>Salmonella</v>
      </c>
      <c r="D4900" t="str">
        <f>IFERROR(__xludf.DUMMYFUNCTION("""COMPUTED_VALUE"""),"enterica")</f>
        <v>enterica</v>
      </c>
      <c r="E4900" t="str">
        <f>IFERROR(__xludf.DUMMYFUNCTION("""COMPUTED_VALUE"""),"subsp.")</f>
        <v>subsp.</v>
      </c>
      <c r="F4900" t="str">
        <f>IFERROR(__xludf.DUMMYFUNCTION("""COMPUTED_VALUE"""),"enterica")</f>
        <v>enterica</v>
      </c>
      <c r="G4900" t="str">
        <f>IFERROR(__xludf.DUMMYFUNCTION("""COMPUTED_VALUE"""),"serovar")</f>
        <v>serovar</v>
      </c>
      <c r="H4900" t="str">
        <f>IFERROR(__xludf.DUMMYFUNCTION("""COMPUTED_VALUE"""),"Paratyphi")</f>
        <v>Paratyphi</v>
      </c>
      <c r="I4900" t="str">
        <f>IFERROR(__xludf.DUMMYFUNCTION("""COMPUTED_VALUE"""),"A")</f>
        <v>A</v>
      </c>
      <c r="J4900" t="str">
        <f>IFERROR(__xludf.DUMMYFUNCTION("""COMPUTED_VALUE"""),"strain")</f>
        <v>strain</v>
      </c>
      <c r="K4900" t="str">
        <f>IFERROR(__xludf.DUMMYFUNCTION("""COMPUTED_VALUE"""),"A61-81")</f>
        <v>A61-81</v>
      </c>
    </row>
    <row r="4901" ht="15.75" customHeight="1">
      <c r="A4901" t="str">
        <f t="shared" si="1"/>
        <v>S.enterica</v>
      </c>
      <c r="B4901" s="5" t="s">
        <v>30909</v>
      </c>
      <c r="C4901" s="6" t="str">
        <f>IFERROR(__xludf.DUMMYFUNCTION("SPLIT('2. c'!B4901, "" "", True, True)"),"Salmonella")</f>
        <v>Salmonella</v>
      </c>
      <c r="D4901" t="str">
        <f>IFERROR(__xludf.DUMMYFUNCTION("""COMPUTED_VALUE"""),"enterica")</f>
        <v>enterica</v>
      </c>
      <c r="E4901" t="str">
        <f>IFERROR(__xludf.DUMMYFUNCTION("""COMPUTED_VALUE"""),"subsp.")</f>
        <v>subsp.</v>
      </c>
      <c r="F4901" t="str">
        <f>IFERROR(__xludf.DUMMYFUNCTION("""COMPUTED_VALUE"""),"enterica")</f>
        <v>enterica</v>
      </c>
      <c r="G4901" t="str">
        <f>IFERROR(__xludf.DUMMYFUNCTION("""COMPUTED_VALUE"""),"serovar")</f>
        <v>serovar</v>
      </c>
      <c r="H4901" t="str">
        <f>IFERROR(__xludf.DUMMYFUNCTION("""COMPUTED_VALUE"""),"Paratyphi")</f>
        <v>Paratyphi</v>
      </c>
      <c r="I4901" t="str">
        <f>IFERROR(__xludf.DUMMYFUNCTION("""COMPUTED_VALUE"""),"A")</f>
        <v>A</v>
      </c>
      <c r="J4901" t="str">
        <f>IFERROR(__xludf.DUMMYFUNCTION("""COMPUTED_VALUE"""),"strain")</f>
        <v>strain</v>
      </c>
      <c r="K4901" t="str">
        <f>IFERROR(__xludf.DUMMYFUNCTION("""COMPUTED_VALUE"""),"A63-72")</f>
        <v>A63-72</v>
      </c>
    </row>
    <row r="4902" ht="15.75" customHeight="1">
      <c r="A4902" t="str">
        <f t="shared" si="1"/>
        <v>S.enterica</v>
      </c>
      <c r="B4902" s="5" t="s">
        <v>30914</v>
      </c>
      <c r="C4902" s="6" t="str">
        <f>IFERROR(__xludf.DUMMYFUNCTION("SPLIT('2. c'!B4902, "" "", True, True)"),"Salmonella")</f>
        <v>Salmonella</v>
      </c>
      <c r="D4902" t="str">
        <f>IFERROR(__xludf.DUMMYFUNCTION("""COMPUTED_VALUE"""),"enterica")</f>
        <v>enterica</v>
      </c>
      <c r="E4902" t="str">
        <f>IFERROR(__xludf.DUMMYFUNCTION("""COMPUTED_VALUE"""),"subsp.")</f>
        <v>subsp.</v>
      </c>
      <c r="F4902" t="str">
        <f>IFERROR(__xludf.DUMMYFUNCTION("""COMPUTED_VALUE"""),"enterica")</f>
        <v>enterica</v>
      </c>
      <c r="G4902" t="str">
        <f>IFERROR(__xludf.DUMMYFUNCTION("""COMPUTED_VALUE"""),"serovar")</f>
        <v>serovar</v>
      </c>
      <c r="H4902" t="str">
        <f>IFERROR(__xludf.DUMMYFUNCTION("""COMPUTED_VALUE"""),"Paratyphi")</f>
        <v>Paratyphi</v>
      </c>
      <c r="I4902" t="str">
        <f>IFERROR(__xludf.DUMMYFUNCTION("""COMPUTED_VALUE"""),"A")</f>
        <v>A</v>
      </c>
      <c r="J4902" t="str">
        <f>IFERROR(__xludf.DUMMYFUNCTION("""COMPUTED_VALUE"""),"strain")</f>
        <v>strain</v>
      </c>
      <c r="K4902" t="str">
        <f>IFERROR(__xludf.DUMMYFUNCTION("""COMPUTED_VALUE"""),"A63-73")</f>
        <v>A63-73</v>
      </c>
    </row>
    <row r="4903" ht="15.75" customHeight="1">
      <c r="A4903" t="str">
        <f t="shared" si="1"/>
        <v>S.enterica</v>
      </c>
      <c r="B4903" s="5" t="s">
        <v>30918</v>
      </c>
      <c r="C4903" s="6" t="str">
        <f>IFERROR(__xludf.DUMMYFUNCTION("SPLIT('2. c'!B4903, "" "", True, True)"),"Salmonella")</f>
        <v>Salmonella</v>
      </c>
      <c r="D4903" t="str">
        <f>IFERROR(__xludf.DUMMYFUNCTION("""COMPUTED_VALUE"""),"enterica")</f>
        <v>enterica</v>
      </c>
      <c r="E4903" t="str">
        <f>IFERROR(__xludf.DUMMYFUNCTION("""COMPUTED_VALUE"""),"subsp.")</f>
        <v>subsp.</v>
      </c>
      <c r="F4903" t="str">
        <f>IFERROR(__xludf.DUMMYFUNCTION("""COMPUTED_VALUE"""),"enterica")</f>
        <v>enterica</v>
      </c>
      <c r="G4903" t="str">
        <f>IFERROR(__xludf.DUMMYFUNCTION("""COMPUTED_VALUE"""),"serovar")</f>
        <v>serovar</v>
      </c>
      <c r="H4903" t="str">
        <f>IFERROR(__xludf.DUMMYFUNCTION("""COMPUTED_VALUE"""),"Paratyphi")</f>
        <v>Paratyphi</v>
      </c>
      <c r="I4903" t="str">
        <f>IFERROR(__xludf.DUMMYFUNCTION("""COMPUTED_VALUE"""),"A")</f>
        <v>A</v>
      </c>
      <c r="J4903" t="str">
        <f>IFERROR(__xludf.DUMMYFUNCTION("""COMPUTED_VALUE"""),"strain")</f>
        <v>strain</v>
      </c>
      <c r="K4903" t="str">
        <f>IFERROR(__xludf.DUMMYFUNCTION("""COMPUTED_VALUE"""),"A73-2")</f>
        <v>A73-2</v>
      </c>
    </row>
    <row r="4904" ht="15.75" customHeight="1">
      <c r="A4904" t="str">
        <f t="shared" si="1"/>
        <v>S.enterica</v>
      </c>
      <c r="B4904" s="5" t="s">
        <v>30922</v>
      </c>
      <c r="C4904" s="6" t="str">
        <f>IFERROR(__xludf.DUMMYFUNCTION("SPLIT('2. c'!B4904, "" "", True, True)"),"Salmonella")</f>
        <v>Salmonella</v>
      </c>
      <c r="D4904" t="str">
        <f>IFERROR(__xludf.DUMMYFUNCTION("""COMPUTED_VALUE"""),"enterica")</f>
        <v>enterica</v>
      </c>
      <c r="E4904" t="str">
        <f>IFERROR(__xludf.DUMMYFUNCTION("""COMPUTED_VALUE"""),"subsp.")</f>
        <v>subsp.</v>
      </c>
      <c r="F4904" t="str">
        <f>IFERROR(__xludf.DUMMYFUNCTION("""COMPUTED_VALUE"""),"enterica")</f>
        <v>enterica</v>
      </c>
      <c r="G4904" t="str">
        <f>IFERROR(__xludf.DUMMYFUNCTION("""COMPUTED_VALUE"""),"serovar")</f>
        <v>serovar</v>
      </c>
      <c r="H4904" t="str">
        <f>IFERROR(__xludf.DUMMYFUNCTION("""COMPUTED_VALUE"""),"Paratyphi")</f>
        <v>Paratyphi</v>
      </c>
      <c r="I4904" t="str">
        <f>IFERROR(__xludf.DUMMYFUNCTION("""COMPUTED_VALUE"""),"A")</f>
        <v>A</v>
      </c>
      <c r="J4904" t="str">
        <f>IFERROR(__xludf.DUMMYFUNCTION("""COMPUTED_VALUE"""),"strain")</f>
        <v>strain</v>
      </c>
      <c r="K4904" t="str">
        <f>IFERROR(__xludf.DUMMYFUNCTION("""COMPUTED_VALUE"""),"Balt8")</f>
        <v>Balt8</v>
      </c>
    </row>
    <row r="4905" ht="15.75" customHeight="1">
      <c r="A4905" t="str">
        <f t="shared" si="1"/>
        <v>S.enterica</v>
      </c>
      <c r="B4905" s="5" t="s">
        <v>30927</v>
      </c>
      <c r="C4905" s="6" t="str">
        <f>IFERROR(__xludf.DUMMYFUNCTION("SPLIT('2. c'!B4905, "" "", True, True)"),"Salmonella")</f>
        <v>Salmonella</v>
      </c>
      <c r="D4905" t="str">
        <f>IFERROR(__xludf.DUMMYFUNCTION("""COMPUTED_VALUE"""),"enterica")</f>
        <v>enterica</v>
      </c>
      <c r="E4905" t="str">
        <f>IFERROR(__xludf.DUMMYFUNCTION("""COMPUTED_VALUE"""),"subsp.")</f>
        <v>subsp.</v>
      </c>
      <c r="F4905" t="str">
        <f>IFERROR(__xludf.DUMMYFUNCTION("""COMPUTED_VALUE"""),"enterica")</f>
        <v>enterica</v>
      </c>
      <c r="G4905" t="str">
        <f>IFERROR(__xludf.DUMMYFUNCTION("""COMPUTED_VALUE"""),"serovar")</f>
        <v>serovar</v>
      </c>
      <c r="H4905" t="str">
        <f>IFERROR(__xludf.DUMMYFUNCTION("""COMPUTED_VALUE"""),"Paratyphi")</f>
        <v>Paratyphi</v>
      </c>
      <c r="I4905" t="str">
        <f>IFERROR(__xludf.DUMMYFUNCTION("""COMPUTED_VALUE"""),"A")</f>
        <v>A</v>
      </c>
      <c r="J4905" t="str">
        <f>IFERROR(__xludf.DUMMYFUNCTION("""COMPUTED_VALUE"""),"strain")</f>
        <v>strain</v>
      </c>
      <c r="K4905" t="str">
        <f>IFERROR(__xludf.DUMMYFUNCTION("""COMPUTED_VALUE"""),"Banker")</f>
        <v>Banker</v>
      </c>
      <c r="L4905" t="str">
        <f>IFERROR(__xludf.DUMMYFUNCTION("""COMPUTED_VALUE"""),"Type4")</f>
        <v>Type4</v>
      </c>
    </row>
    <row r="4906" ht="15.75" customHeight="1">
      <c r="A4906" t="str">
        <f t="shared" si="1"/>
        <v>S.enterica</v>
      </c>
      <c r="B4906" s="5" t="s">
        <v>30933</v>
      </c>
      <c r="C4906" s="6" t="str">
        <f>IFERROR(__xludf.DUMMYFUNCTION("SPLIT('2. c'!B4906, "" "", True, True)"),"Salmonella")</f>
        <v>Salmonella</v>
      </c>
      <c r="D4906" t="str">
        <f>IFERROR(__xludf.DUMMYFUNCTION("""COMPUTED_VALUE"""),"enterica")</f>
        <v>enterica</v>
      </c>
      <c r="E4906" t="str">
        <f>IFERROR(__xludf.DUMMYFUNCTION("""COMPUTED_VALUE"""),"subsp.")</f>
        <v>subsp.</v>
      </c>
      <c r="F4906" t="str">
        <f>IFERROR(__xludf.DUMMYFUNCTION("""COMPUTED_VALUE"""),"enterica")</f>
        <v>enterica</v>
      </c>
      <c r="G4906" t="str">
        <f>IFERROR(__xludf.DUMMYFUNCTION("""COMPUTED_VALUE"""),"serovar")</f>
        <v>serovar</v>
      </c>
      <c r="H4906" t="str">
        <f>IFERROR(__xludf.DUMMYFUNCTION("""COMPUTED_VALUE"""),"Paratyphi")</f>
        <v>Paratyphi</v>
      </c>
      <c r="I4906" t="str">
        <f>IFERROR(__xludf.DUMMYFUNCTION("""COMPUTED_VALUE"""),"A")</f>
        <v>A</v>
      </c>
      <c r="J4906" t="str">
        <f>IFERROR(__xludf.DUMMYFUNCTION("""COMPUTED_VALUE"""),"strain")</f>
        <v>strain</v>
      </c>
      <c r="K4906" t="str">
        <f>IFERROR(__xludf.DUMMYFUNCTION("""COMPUTED_VALUE"""),"C4672")</f>
        <v>C4672</v>
      </c>
    </row>
    <row r="4907" ht="15.75" customHeight="1">
      <c r="A4907" t="str">
        <f t="shared" si="1"/>
        <v>S.enterica</v>
      </c>
      <c r="B4907" s="5" t="s">
        <v>30939</v>
      </c>
      <c r="C4907" s="6" t="str">
        <f>IFERROR(__xludf.DUMMYFUNCTION("SPLIT('2. c'!B4907, "" "", True, True)"),"Salmonella")</f>
        <v>Salmonella</v>
      </c>
      <c r="D4907" t="str">
        <f>IFERROR(__xludf.DUMMYFUNCTION("""COMPUTED_VALUE"""),"enterica")</f>
        <v>enterica</v>
      </c>
      <c r="E4907" t="str">
        <f>IFERROR(__xludf.DUMMYFUNCTION("""COMPUTED_VALUE"""),"subsp.")</f>
        <v>subsp.</v>
      </c>
      <c r="F4907" t="str">
        <f>IFERROR(__xludf.DUMMYFUNCTION("""COMPUTED_VALUE"""),"enterica")</f>
        <v>enterica</v>
      </c>
      <c r="G4907" t="str">
        <f>IFERROR(__xludf.DUMMYFUNCTION("""COMPUTED_VALUE"""),"serovar")</f>
        <v>serovar</v>
      </c>
      <c r="H4907" t="str">
        <f>IFERROR(__xludf.DUMMYFUNCTION("""COMPUTED_VALUE"""),"Paratyphi")</f>
        <v>Paratyphi</v>
      </c>
      <c r="I4907" t="str">
        <f>IFERROR(__xludf.DUMMYFUNCTION("""COMPUTED_VALUE"""),"A")</f>
        <v>A</v>
      </c>
      <c r="J4907" t="str">
        <f>IFERROR(__xludf.DUMMYFUNCTION("""COMPUTED_VALUE"""),"strain")</f>
        <v>strain</v>
      </c>
      <c r="K4907" t="str">
        <f>IFERROR(__xludf.DUMMYFUNCTION("""COMPUTED_VALUE"""),"CMCC50093")</f>
        <v>CMCC50093</v>
      </c>
    </row>
    <row r="4908" ht="15.75" customHeight="1">
      <c r="A4908" t="str">
        <f t="shared" si="1"/>
        <v>S.enterica</v>
      </c>
      <c r="B4908" s="5" t="s">
        <v>30946</v>
      </c>
      <c r="C4908" s="6" t="str">
        <f>IFERROR(__xludf.DUMMYFUNCTION("SPLIT('2. c'!B4908, "" "", True, True)"),"Salmonella")</f>
        <v>Salmonella</v>
      </c>
      <c r="D4908" t="str">
        <f>IFERROR(__xludf.DUMMYFUNCTION("""COMPUTED_VALUE"""),"enterica")</f>
        <v>enterica</v>
      </c>
      <c r="E4908" t="str">
        <f>IFERROR(__xludf.DUMMYFUNCTION("""COMPUTED_VALUE"""),"subsp.")</f>
        <v>subsp.</v>
      </c>
      <c r="F4908" t="str">
        <f>IFERROR(__xludf.DUMMYFUNCTION("""COMPUTED_VALUE"""),"enterica")</f>
        <v>enterica</v>
      </c>
      <c r="G4908" t="str">
        <f>IFERROR(__xludf.DUMMYFUNCTION("""COMPUTED_VALUE"""),"serovar")</f>
        <v>serovar</v>
      </c>
      <c r="H4908" t="str">
        <f>IFERROR(__xludf.DUMMYFUNCTION("""COMPUTED_VALUE"""),"Paratyphi")</f>
        <v>Paratyphi</v>
      </c>
      <c r="I4908" t="str">
        <f>IFERROR(__xludf.DUMMYFUNCTION("""COMPUTED_VALUE"""),"A")</f>
        <v>A</v>
      </c>
      <c r="J4908" t="str">
        <f>IFERROR(__xludf.DUMMYFUNCTION("""COMPUTED_VALUE"""),"strain")</f>
        <v>strain</v>
      </c>
      <c r="K4908" t="str">
        <f>IFERROR(__xludf.DUMMYFUNCTION("""COMPUTED_VALUE"""),"Reil90")</f>
        <v>Reil90</v>
      </c>
    </row>
    <row r="4909" ht="15.75" customHeight="1">
      <c r="A4909" t="str">
        <f t="shared" si="1"/>
        <v>S.enterica</v>
      </c>
      <c r="B4909" s="5" t="s">
        <v>30951</v>
      </c>
      <c r="C4909" s="6" t="str">
        <f>IFERROR(__xludf.DUMMYFUNCTION("SPLIT('2. c'!B4909, "" "", True, True)"),"Salmonella")</f>
        <v>Salmonella</v>
      </c>
      <c r="D4909" t="str">
        <f>IFERROR(__xludf.DUMMYFUNCTION("""COMPUTED_VALUE"""),"enterica")</f>
        <v>enterica</v>
      </c>
      <c r="E4909" t="str">
        <f>IFERROR(__xludf.DUMMYFUNCTION("""COMPUTED_VALUE"""),"subsp.")</f>
        <v>subsp.</v>
      </c>
      <c r="F4909" t="str">
        <f>IFERROR(__xludf.DUMMYFUNCTION("""COMPUTED_VALUE"""),"enterica")</f>
        <v>enterica</v>
      </c>
      <c r="G4909" t="str">
        <f>IFERROR(__xludf.DUMMYFUNCTION("""COMPUTED_VALUE"""),"serovar")</f>
        <v>serovar</v>
      </c>
      <c r="H4909" t="str">
        <f>IFERROR(__xludf.DUMMYFUNCTION("""COMPUTED_VALUE"""),"Paratyphi")</f>
        <v>Paratyphi</v>
      </c>
      <c r="I4909" t="str">
        <f>IFERROR(__xludf.DUMMYFUNCTION("""COMPUTED_VALUE"""),"B")</f>
        <v>B</v>
      </c>
      <c r="J4909" t="str">
        <f>IFERROR(__xludf.DUMMYFUNCTION("""COMPUTED_VALUE"""),"str.")</f>
        <v>str.</v>
      </c>
      <c r="K4909" t="str">
        <f>IFERROR(__xludf.DUMMYFUNCTION("""COMPUTED_VALUE"""),"SPB7")</f>
        <v>SPB7</v>
      </c>
    </row>
    <row r="4910" ht="15.75" customHeight="1">
      <c r="A4910" t="str">
        <f t="shared" si="1"/>
        <v>S.enterica</v>
      </c>
      <c r="B4910" s="5" t="s">
        <v>30956</v>
      </c>
      <c r="C4910" s="6" t="str">
        <f>IFERROR(__xludf.DUMMYFUNCTION("SPLIT('2. c'!B4910, "" "", True, True)"),"Salmonella")</f>
        <v>Salmonella</v>
      </c>
      <c r="D4910" t="str">
        <f>IFERROR(__xludf.DUMMYFUNCTION("""COMPUTED_VALUE"""),"enterica")</f>
        <v>enterica</v>
      </c>
      <c r="E4910" t="str">
        <f>IFERROR(__xludf.DUMMYFUNCTION("""COMPUTED_VALUE"""),"subsp.")</f>
        <v>subsp.</v>
      </c>
      <c r="F4910" t="str">
        <f>IFERROR(__xludf.DUMMYFUNCTION("""COMPUTED_VALUE"""),"enterica")</f>
        <v>enterica</v>
      </c>
      <c r="G4910" t="str">
        <f>IFERROR(__xludf.DUMMYFUNCTION("""COMPUTED_VALUE"""),"serovar")</f>
        <v>serovar</v>
      </c>
      <c r="H4910" t="str">
        <f>IFERROR(__xludf.DUMMYFUNCTION("""COMPUTED_VALUE"""),"Paratyphi")</f>
        <v>Paratyphi</v>
      </c>
      <c r="I4910" t="str">
        <f>IFERROR(__xludf.DUMMYFUNCTION("""COMPUTED_VALUE"""),"C")</f>
        <v>C</v>
      </c>
      <c r="J4910" t="str">
        <f>IFERROR(__xludf.DUMMYFUNCTION("""COMPUTED_VALUE"""),"strain")</f>
        <v>strain</v>
      </c>
      <c r="K4910" t="str">
        <f>IFERROR(__xludf.DUMMYFUNCTION("""COMPUTED_VALUE"""),"RKS4594")</f>
        <v>RKS4594</v>
      </c>
    </row>
    <row r="4911" ht="15.75" customHeight="1">
      <c r="A4911" t="str">
        <f t="shared" si="1"/>
        <v>S.enterica</v>
      </c>
      <c r="B4911" s="5" t="s">
        <v>30961</v>
      </c>
      <c r="C4911" s="6" t="str">
        <f>IFERROR(__xludf.DUMMYFUNCTION("SPLIT('2. c'!B4911, "" "", True, True)"),"Salmonella")</f>
        <v>Salmonella</v>
      </c>
      <c r="D4911" t="str">
        <f>IFERROR(__xludf.DUMMYFUNCTION("""COMPUTED_VALUE"""),"enterica")</f>
        <v>enterica</v>
      </c>
      <c r="E4911" t="str">
        <f>IFERROR(__xludf.DUMMYFUNCTION("""COMPUTED_VALUE"""),"subsp.")</f>
        <v>subsp.</v>
      </c>
      <c r="F4911" t="str">
        <f>IFERROR(__xludf.DUMMYFUNCTION("""COMPUTED_VALUE"""),"enterica")</f>
        <v>enterica</v>
      </c>
      <c r="G4911" t="str">
        <f>IFERROR(__xludf.DUMMYFUNCTION("""COMPUTED_VALUE"""),"serovar")</f>
        <v>serovar</v>
      </c>
      <c r="H4911" t="str">
        <f>IFERROR(__xludf.DUMMYFUNCTION("""COMPUTED_VALUE"""),"Pullorum")</f>
        <v>Pullorum</v>
      </c>
    </row>
    <row r="4912" ht="15.75" customHeight="1">
      <c r="A4912" t="str">
        <f t="shared" si="1"/>
        <v>S.enterica</v>
      </c>
      <c r="B4912" s="5" t="s">
        <v>30968</v>
      </c>
      <c r="C4912" s="6" t="str">
        <f>IFERROR(__xludf.DUMMYFUNCTION("SPLIT('2. c'!B4912, "" "", True, True)"),"Salmonella")</f>
        <v>Salmonella</v>
      </c>
      <c r="D4912" t="str">
        <f>IFERROR(__xludf.DUMMYFUNCTION("""COMPUTED_VALUE"""),"enterica")</f>
        <v>enterica</v>
      </c>
      <c r="E4912" t="str">
        <f>IFERROR(__xludf.DUMMYFUNCTION("""COMPUTED_VALUE"""),"subsp.")</f>
        <v>subsp.</v>
      </c>
      <c r="F4912" t="str">
        <f>IFERROR(__xludf.DUMMYFUNCTION("""COMPUTED_VALUE"""),"enterica")</f>
        <v>enterica</v>
      </c>
      <c r="G4912" t="str">
        <f>IFERROR(__xludf.DUMMYFUNCTION("""COMPUTED_VALUE"""),"serovar")</f>
        <v>serovar</v>
      </c>
      <c r="H4912" t="str">
        <f>IFERROR(__xludf.DUMMYFUNCTION("""COMPUTED_VALUE"""),"Pullorum")</f>
        <v>Pullorum</v>
      </c>
      <c r="I4912" t="str">
        <f>IFERROR(__xludf.DUMMYFUNCTION("""COMPUTED_VALUE"""),"str.")</f>
        <v>str.</v>
      </c>
      <c r="J4912" t="str">
        <f>IFERROR(__xludf.DUMMYFUNCTION("""COMPUTED_VALUE"""),"S06004")</f>
        <v>S06004</v>
      </c>
    </row>
    <row r="4913" ht="15.75" customHeight="1">
      <c r="A4913" t="str">
        <f t="shared" si="1"/>
        <v>S.enterica</v>
      </c>
      <c r="B4913" s="5" t="s">
        <v>30973</v>
      </c>
      <c r="C4913" s="6" t="str">
        <f>IFERROR(__xludf.DUMMYFUNCTION("SPLIT('2. c'!B4913, "" "", True, True)"),"Salmonella")</f>
        <v>Salmonella</v>
      </c>
      <c r="D4913" t="str">
        <f>IFERROR(__xludf.DUMMYFUNCTION("""COMPUTED_VALUE"""),"enterica")</f>
        <v>enterica</v>
      </c>
      <c r="E4913" t="str">
        <f>IFERROR(__xludf.DUMMYFUNCTION("""COMPUTED_VALUE"""),"subsp.")</f>
        <v>subsp.</v>
      </c>
      <c r="F4913" t="str">
        <f>IFERROR(__xludf.DUMMYFUNCTION("""COMPUTED_VALUE"""),"enterica")</f>
        <v>enterica</v>
      </c>
      <c r="G4913" t="str">
        <f>IFERROR(__xludf.DUMMYFUNCTION("""COMPUTED_VALUE"""),"serovar")</f>
        <v>serovar</v>
      </c>
      <c r="H4913" t="str">
        <f>IFERROR(__xludf.DUMMYFUNCTION("""COMPUTED_VALUE"""),"Schwarzengrund")</f>
        <v>Schwarzengrund</v>
      </c>
      <c r="I4913" t="str">
        <f>IFERROR(__xludf.DUMMYFUNCTION("""COMPUTED_VALUE"""),"str.")</f>
        <v>str.</v>
      </c>
      <c r="J4913" t="str">
        <f>IFERROR(__xludf.DUMMYFUNCTION("""COMPUTED_VALUE"""),"CVM19633")</f>
        <v>CVM19633</v>
      </c>
    </row>
    <row r="4914" ht="15.75" customHeight="1">
      <c r="A4914" t="str">
        <f t="shared" si="1"/>
        <v>S.enterica</v>
      </c>
      <c r="B4914" s="5" t="s">
        <v>30978</v>
      </c>
      <c r="C4914" s="6" t="str">
        <f>IFERROR(__xludf.DUMMYFUNCTION("SPLIT('2. c'!B4914, "" "", True, True)"),"Salmonella")</f>
        <v>Salmonella</v>
      </c>
      <c r="D4914" t="str">
        <f>IFERROR(__xludf.DUMMYFUNCTION("""COMPUTED_VALUE"""),"enterica")</f>
        <v>enterica</v>
      </c>
      <c r="E4914" t="str">
        <f>IFERROR(__xludf.DUMMYFUNCTION("""COMPUTED_VALUE"""),"subsp.")</f>
        <v>subsp.</v>
      </c>
      <c r="F4914" t="str">
        <f>IFERROR(__xludf.DUMMYFUNCTION("""COMPUTED_VALUE"""),"enterica")</f>
        <v>enterica</v>
      </c>
      <c r="G4914" t="str">
        <f>IFERROR(__xludf.DUMMYFUNCTION("""COMPUTED_VALUE"""),"serovar")</f>
        <v>serovar</v>
      </c>
      <c r="H4914" t="str">
        <f>IFERROR(__xludf.DUMMYFUNCTION("""COMPUTED_VALUE"""),"Senftenberg")</f>
        <v>Senftenberg</v>
      </c>
    </row>
    <row r="4915" ht="15.75" customHeight="1">
      <c r="A4915" t="str">
        <f t="shared" si="1"/>
        <v>S.enterica</v>
      </c>
      <c r="B4915" s="5" t="s">
        <v>30984</v>
      </c>
      <c r="C4915" s="6" t="str">
        <f>IFERROR(__xludf.DUMMYFUNCTION("SPLIT('2. c'!B4915, "" "", True, True)"),"Salmonella")</f>
        <v>Salmonella</v>
      </c>
      <c r="D4915" t="str">
        <f>IFERROR(__xludf.DUMMYFUNCTION("""COMPUTED_VALUE"""),"enterica")</f>
        <v>enterica</v>
      </c>
      <c r="E4915" t="str">
        <f>IFERROR(__xludf.DUMMYFUNCTION("""COMPUTED_VALUE"""),"subsp.")</f>
        <v>subsp.</v>
      </c>
      <c r="F4915" t="str">
        <f>IFERROR(__xludf.DUMMYFUNCTION("""COMPUTED_VALUE"""),"enterica")</f>
        <v>enterica</v>
      </c>
      <c r="G4915" t="str">
        <f>IFERROR(__xludf.DUMMYFUNCTION("""COMPUTED_VALUE"""),"serovar")</f>
        <v>serovar</v>
      </c>
      <c r="H4915" t="str">
        <f>IFERROR(__xludf.DUMMYFUNCTION("""COMPUTED_VALUE"""),"Thompson")</f>
        <v>Thompson</v>
      </c>
      <c r="I4915" t="str">
        <f>IFERROR(__xludf.DUMMYFUNCTION("""COMPUTED_VALUE"""),"str.")</f>
        <v>str.</v>
      </c>
      <c r="J4915" t="str">
        <f>IFERROR(__xludf.DUMMYFUNCTION("""COMPUTED_VALUE"""),"RM6836")</f>
        <v>RM6836</v>
      </c>
    </row>
    <row r="4916" ht="15.75" customHeight="1">
      <c r="A4916" t="str">
        <f t="shared" si="1"/>
        <v>S.enterica</v>
      </c>
      <c r="B4916" s="5" t="s">
        <v>30990</v>
      </c>
      <c r="C4916" s="6" t="str">
        <f>IFERROR(__xludf.DUMMYFUNCTION("SPLIT('2. c'!B4916, "" "", True, True)"),"Salmonella")</f>
        <v>Salmonella</v>
      </c>
      <c r="D4916" t="str">
        <f>IFERROR(__xludf.DUMMYFUNCTION("""COMPUTED_VALUE"""),"enterica")</f>
        <v>enterica</v>
      </c>
      <c r="E4916" t="str">
        <f>IFERROR(__xludf.DUMMYFUNCTION("""COMPUTED_VALUE"""),"subsp.")</f>
        <v>subsp.</v>
      </c>
      <c r="F4916" t="str">
        <f>IFERROR(__xludf.DUMMYFUNCTION("""COMPUTED_VALUE"""),"enterica")</f>
        <v>enterica</v>
      </c>
      <c r="G4916" t="str">
        <f>IFERROR(__xludf.DUMMYFUNCTION("""COMPUTED_VALUE"""),"serovar")</f>
        <v>serovar</v>
      </c>
      <c r="H4916" t="str">
        <f>IFERROR(__xludf.DUMMYFUNCTION("""COMPUTED_VALUE"""),"Thompson")</f>
        <v>Thompson</v>
      </c>
      <c r="I4916" t="str">
        <f>IFERROR(__xludf.DUMMYFUNCTION("""COMPUTED_VALUE"""),"strain")</f>
        <v>strain</v>
      </c>
      <c r="J4916" t="str">
        <f>IFERROR(__xludf.DUMMYFUNCTION("""COMPUTED_VALUE"""),"RM1984")</f>
        <v>RM1984</v>
      </c>
    </row>
    <row r="4917" ht="15.75" customHeight="1">
      <c r="A4917" t="str">
        <f t="shared" si="1"/>
        <v>S.enterica</v>
      </c>
      <c r="B4917" s="5" t="s">
        <v>30994</v>
      </c>
      <c r="C4917" s="6" t="str">
        <f>IFERROR(__xludf.DUMMYFUNCTION("SPLIT('2. c'!B4917, "" "", True, True)"),"Salmonella")</f>
        <v>Salmonella</v>
      </c>
      <c r="D4917" t="str">
        <f>IFERROR(__xludf.DUMMYFUNCTION("""COMPUTED_VALUE"""),"enterica")</f>
        <v>enterica</v>
      </c>
      <c r="E4917" t="str">
        <f>IFERROR(__xludf.DUMMYFUNCTION("""COMPUTED_VALUE"""),"subsp.")</f>
        <v>subsp.</v>
      </c>
      <c r="F4917" t="str">
        <f>IFERROR(__xludf.DUMMYFUNCTION("""COMPUTED_VALUE"""),"enterica")</f>
        <v>enterica</v>
      </c>
      <c r="G4917" t="str">
        <f>IFERROR(__xludf.DUMMYFUNCTION("""COMPUTED_VALUE"""),"serovar")</f>
        <v>serovar</v>
      </c>
      <c r="H4917" t="str">
        <f>IFERROR(__xludf.DUMMYFUNCTION("""COMPUTED_VALUE"""),"Thompson")</f>
        <v>Thompson</v>
      </c>
      <c r="I4917" t="str">
        <f>IFERROR(__xludf.DUMMYFUNCTION("""COMPUTED_VALUE"""),"strain")</f>
        <v>strain</v>
      </c>
      <c r="J4917" t="str">
        <f>IFERROR(__xludf.DUMMYFUNCTION("""COMPUTED_VALUE"""),"RM1986")</f>
        <v>RM1986</v>
      </c>
    </row>
    <row r="4918" ht="15.75" customHeight="1">
      <c r="A4918" t="str">
        <f t="shared" si="1"/>
        <v>S.enterica</v>
      </c>
      <c r="B4918" s="5" t="s">
        <v>30998</v>
      </c>
      <c r="C4918" s="6" t="str">
        <f>IFERROR(__xludf.DUMMYFUNCTION("SPLIT('2. c'!B4918, "" "", True, True)"),"Salmonella")</f>
        <v>Salmonella</v>
      </c>
      <c r="D4918" t="str">
        <f>IFERROR(__xludf.DUMMYFUNCTION("""COMPUTED_VALUE"""),"enterica")</f>
        <v>enterica</v>
      </c>
      <c r="E4918" t="str">
        <f>IFERROR(__xludf.DUMMYFUNCTION("""COMPUTED_VALUE"""),"subsp.")</f>
        <v>subsp.</v>
      </c>
      <c r="F4918" t="str">
        <f>IFERROR(__xludf.DUMMYFUNCTION("""COMPUTED_VALUE"""),"enterica")</f>
        <v>enterica</v>
      </c>
      <c r="G4918" t="str">
        <f>IFERROR(__xludf.DUMMYFUNCTION("""COMPUTED_VALUE"""),"serovar")</f>
        <v>serovar</v>
      </c>
      <c r="H4918" t="str">
        <f>IFERROR(__xludf.DUMMYFUNCTION("""COMPUTED_VALUE"""),"Typhi")</f>
        <v>Typhi</v>
      </c>
      <c r="I4918" t="str">
        <f>IFERROR(__xludf.DUMMYFUNCTION("""COMPUTED_VALUE"""),"str.")</f>
        <v>str.</v>
      </c>
      <c r="J4918" t="str">
        <f>IFERROR(__xludf.DUMMYFUNCTION("""COMPUTED_VALUE"""),"CT18")</f>
        <v>CT18</v>
      </c>
    </row>
    <row r="4919" ht="15.75" customHeight="1">
      <c r="A4919" t="str">
        <f t="shared" si="1"/>
        <v>S.enterica</v>
      </c>
      <c r="B4919" s="5" t="s">
        <v>31003</v>
      </c>
      <c r="C4919" s="6" t="str">
        <f>IFERROR(__xludf.DUMMYFUNCTION("SPLIT('2. c'!B4919, "" "", True, True)"),"Salmonella")</f>
        <v>Salmonella</v>
      </c>
      <c r="D4919" t="str">
        <f>IFERROR(__xludf.DUMMYFUNCTION("""COMPUTED_VALUE"""),"enterica")</f>
        <v>enterica</v>
      </c>
      <c r="E4919" t="str">
        <f>IFERROR(__xludf.DUMMYFUNCTION("""COMPUTED_VALUE"""),"subsp.")</f>
        <v>subsp.</v>
      </c>
      <c r="F4919" t="str">
        <f>IFERROR(__xludf.DUMMYFUNCTION("""COMPUTED_VALUE"""),"enterica")</f>
        <v>enterica</v>
      </c>
      <c r="G4919" t="str">
        <f>IFERROR(__xludf.DUMMYFUNCTION("""COMPUTED_VALUE"""),"serovar")</f>
        <v>serovar</v>
      </c>
      <c r="H4919" t="str">
        <f>IFERROR(__xludf.DUMMYFUNCTION("""COMPUTED_VALUE"""),"Typhi")</f>
        <v>Typhi</v>
      </c>
      <c r="I4919" t="str">
        <f>IFERROR(__xludf.DUMMYFUNCTION("""COMPUTED_VALUE"""),"str.")</f>
        <v>str.</v>
      </c>
      <c r="J4919" t="str">
        <f>IFERROR(__xludf.DUMMYFUNCTION("""COMPUTED_VALUE"""),"P-stx-12")</f>
        <v>P-stx-12</v>
      </c>
    </row>
    <row r="4920" ht="15.75" customHeight="1">
      <c r="A4920" t="str">
        <f t="shared" si="1"/>
        <v>S.enterica</v>
      </c>
      <c r="B4920" s="5" t="s">
        <v>31007</v>
      </c>
      <c r="C4920" s="6" t="str">
        <f>IFERROR(__xludf.DUMMYFUNCTION("SPLIT('2. c'!B4920, "" "", True, True)"),"Salmonella")</f>
        <v>Salmonella</v>
      </c>
      <c r="D4920" t="str">
        <f>IFERROR(__xludf.DUMMYFUNCTION("""COMPUTED_VALUE"""),"enterica")</f>
        <v>enterica</v>
      </c>
      <c r="E4920" t="str">
        <f>IFERROR(__xludf.DUMMYFUNCTION("""COMPUTED_VALUE"""),"subsp.")</f>
        <v>subsp.</v>
      </c>
      <c r="F4920" t="str">
        <f>IFERROR(__xludf.DUMMYFUNCTION("""COMPUTED_VALUE"""),"enterica")</f>
        <v>enterica</v>
      </c>
      <c r="G4920" t="str">
        <f>IFERROR(__xludf.DUMMYFUNCTION("""COMPUTED_VALUE"""),"serovar")</f>
        <v>serovar</v>
      </c>
      <c r="H4920" t="str">
        <f>IFERROR(__xludf.DUMMYFUNCTION("""COMPUTED_VALUE"""),"Typhi")</f>
        <v>Typhi</v>
      </c>
      <c r="I4920" t="str">
        <f>IFERROR(__xludf.DUMMYFUNCTION("""COMPUTED_VALUE"""),"str.")</f>
        <v>str.</v>
      </c>
      <c r="J4920" t="str">
        <f>IFERROR(__xludf.DUMMYFUNCTION("""COMPUTED_VALUE"""),"Ty2")</f>
        <v>Ty2</v>
      </c>
    </row>
    <row r="4921" ht="15.75" customHeight="1">
      <c r="A4921" t="str">
        <f t="shared" si="1"/>
        <v>S.enterica</v>
      </c>
      <c r="B4921" s="5" t="s">
        <v>31012</v>
      </c>
      <c r="C4921" s="6" t="str">
        <f>IFERROR(__xludf.DUMMYFUNCTION("SPLIT('2. c'!B4921, "" "", True, True)"),"Salmonella")</f>
        <v>Salmonella</v>
      </c>
      <c r="D4921" t="str">
        <f>IFERROR(__xludf.DUMMYFUNCTION("""COMPUTED_VALUE"""),"enterica")</f>
        <v>enterica</v>
      </c>
      <c r="E4921" t="str">
        <f>IFERROR(__xludf.DUMMYFUNCTION("""COMPUTED_VALUE"""),"subsp.")</f>
        <v>subsp.</v>
      </c>
      <c r="F4921" t="str">
        <f>IFERROR(__xludf.DUMMYFUNCTION("""COMPUTED_VALUE"""),"enterica")</f>
        <v>enterica</v>
      </c>
      <c r="G4921" t="str">
        <f>IFERROR(__xludf.DUMMYFUNCTION("""COMPUTED_VALUE"""),"serovar")</f>
        <v>serovar</v>
      </c>
      <c r="H4921" t="str">
        <f>IFERROR(__xludf.DUMMYFUNCTION("""COMPUTED_VALUE"""),"Typhi")</f>
        <v>Typhi</v>
      </c>
      <c r="I4921" t="str">
        <f>IFERROR(__xludf.DUMMYFUNCTION("""COMPUTED_VALUE"""),"str.")</f>
        <v>str.</v>
      </c>
      <c r="J4921" t="str">
        <f>IFERROR(__xludf.DUMMYFUNCTION("""COMPUTED_VALUE"""),"Ty21a")</f>
        <v>Ty21a</v>
      </c>
    </row>
    <row r="4922" ht="15.75" customHeight="1">
      <c r="A4922" t="str">
        <f t="shared" si="1"/>
        <v>S.enterica</v>
      </c>
      <c r="B4922" s="5" t="s">
        <v>31017</v>
      </c>
      <c r="C4922" s="6" t="str">
        <f>IFERROR(__xludf.DUMMYFUNCTION("SPLIT('2. c'!B4922, "" "", True, True)"),"Salmonella")</f>
        <v>Salmonella</v>
      </c>
      <c r="D4922" t="str">
        <f>IFERROR(__xludf.DUMMYFUNCTION("""COMPUTED_VALUE"""),"enterica")</f>
        <v>enterica</v>
      </c>
      <c r="E4922" t="str">
        <f>IFERROR(__xludf.DUMMYFUNCTION("""COMPUTED_VALUE"""),"subsp.")</f>
        <v>subsp.</v>
      </c>
      <c r="F4922" t="str">
        <f>IFERROR(__xludf.DUMMYFUNCTION("""COMPUTED_VALUE"""),"enterica")</f>
        <v>enterica</v>
      </c>
      <c r="G4922" t="str">
        <f>IFERROR(__xludf.DUMMYFUNCTION("""COMPUTED_VALUE"""),"serovar")</f>
        <v>serovar</v>
      </c>
      <c r="H4922" t="str">
        <f>IFERROR(__xludf.DUMMYFUNCTION("""COMPUTED_VALUE"""),"Typhi")</f>
        <v>Typhi</v>
      </c>
      <c r="I4922" t="str">
        <f>IFERROR(__xludf.DUMMYFUNCTION("""COMPUTED_VALUE"""),"strain")</f>
        <v>strain</v>
      </c>
      <c r="J4922" t="str">
        <f>IFERROR(__xludf.DUMMYFUNCTION("""COMPUTED_VALUE"""),"B/SF/13/03/195")</f>
        <v>B/SF/13/03/195</v>
      </c>
    </row>
    <row r="4923" ht="15.75" customHeight="1">
      <c r="A4923" t="str">
        <f t="shared" si="1"/>
        <v>S.enterica</v>
      </c>
      <c r="B4923" s="5" t="s">
        <v>31022</v>
      </c>
      <c r="C4923" s="6" t="str">
        <f>IFERROR(__xludf.DUMMYFUNCTION("SPLIT('2. c'!B4923, "" "", True, True)"),"Salmonella")</f>
        <v>Salmonella</v>
      </c>
      <c r="D4923" t="str">
        <f>IFERROR(__xludf.DUMMYFUNCTION("""COMPUTED_VALUE"""),"enterica")</f>
        <v>enterica</v>
      </c>
      <c r="E4923" t="str">
        <f>IFERROR(__xludf.DUMMYFUNCTION("""COMPUTED_VALUE"""),"subsp.")</f>
        <v>subsp.</v>
      </c>
      <c r="F4923" t="str">
        <f>IFERROR(__xludf.DUMMYFUNCTION("""COMPUTED_VALUE"""),"enterica")</f>
        <v>enterica</v>
      </c>
      <c r="G4923" t="str">
        <f>IFERROR(__xludf.DUMMYFUNCTION("""COMPUTED_VALUE"""),"serovar")</f>
        <v>serovar</v>
      </c>
      <c r="H4923" t="str">
        <f>IFERROR(__xludf.DUMMYFUNCTION("""COMPUTED_VALUE"""),"Typhi")</f>
        <v>Typhi</v>
      </c>
      <c r="I4923" t="str">
        <f>IFERROR(__xludf.DUMMYFUNCTION("""COMPUTED_VALUE"""),"strain")</f>
        <v>strain</v>
      </c>
      <c r="J4923" t="str">
        <f>IFERROR(__xludf.DUMMYFUNCTION("""COMPUTED_VALUE"""),"PM016/13")</f>
        <v>PM016/13</v>
      </c>
    </row>
    <row r="4924" ht="15.75" customHeight="1">
      <c r="A4924" t="str">
        <f t="shared" si="1"/>
        <v>S.enterica</v>
      </c>
      <c r="B4924" s="5" t="s">
        <v>31029</v>
      </c>
      <c r="C4924" s="6" t="str">
        <f>IFERROR(__xludf.DUMMYFUNCTION("SPLIT('2. c'!B4924, "" "", True, True)"),"Salmonella")</f>
        <v>Salmonella</v>
      </c>
      <c r="D4924" t="str">
        <f>IFERROR(__xludf.DUMMYFUNCTION("""COMPUTED_VALUE"""),"enterica")</f>
        <v>enterica</v>
      </c>
      <c r="E4924" t="str">
        <f>IFERROR(__xludf.DUMMYFUNCTION("""COMPUTED_VALUE"""),"subsp.")</f>
        <v>subsp.</v>
      </c>
      <c r="F4924" t="str">
        <f>IFERROR(__xludf.DUMMYFUNCTION("""COMPUTED_VALUE"""),"enterica")</f>
        <v>enterica</v>
      </c>
      <c r="G4924" t="str">
        <f>IFERROR(__xludf.DUMMYFUNCTION("""COMPUTED_VALUE"""),"serovar")</f>
        <v>serovar</v>
      </c>
      <c r="H4924" t="str">
        <f>IFERROR(__xludf.DUMMYFUNCTION("""COMPUTED_VALUE"""),"Typhimurium")</f>
        <v>Typhimurium</v>
      </c>
    </row>
    <row r="4925" ht="15.75" customHeight="1">
      <c r="A4925" t="str">
        <f t="shared" si="1"/>
        <v>S.enterica</v>
      </c>
      <c r="B4925" s="5" t="s">
        <v>31029</v>
      </c>
      <c r="C4925" s="6" t="str">
        <f>IFERROR(__xludf.DUMMYFUNCTION("SPLIT('2. c'!B4925, "" "", True, True)"),"Salmonella")</f>
        <v>Salmonella</v>
      </c>
      <c r="D4925" t="str">
        <f>IFERROR(__xludf.DUMMYFUNCTION("""COMPUTED_VALUE"""),"enterica")</f>
        <v>enterica</v>
      </c>
      <c r="E4925" t="str">
        <f>IFERROR(__xludf.DUMMYFUNCTION("""COMPUTED_VALUE"""),"subsp.")</f>
        <v>subsp.</v>
      </c>
      <c r="F4925" t="str">
        <f>IFERROR(__xludf.DUMMYFUNCTION("""COMPUTED_VALUE"""),"enterica")</f>
        <v>enterica</v>
      </c>
      <c r="G4925" t="str">
        <f>IFERROR(__xludf.DUMMYFUNCTION("""COMPUTED_VALUE"""),"serovar")</f>
        <v>serovar</v>
      </c>
      <c r="H4925" t="str">
        <f>IFERROR(__xludf.DUMMYFUNCTION("""COMPUTED_VALUE"""),"Typhimurium")</f>
        <v>Typhimurium</v>
      </c>
    </row>
    <row r="4926" ht="15.75" customHeight="1">
      <c r="A4926" t="str">
        <f t="shared" si="1"/>
        <v>S.enterica</v>
      </c>
      <c r="B4926" s="5" t="s">
        <v>31029</v>
      </c>
      <c r="C4926" s="6" t="str">
        <f>IFERROR(__xludf.DUMMYFUNCTION("SPLIT('2. c'!B4926, "" "", True, True)"),"Salmonella")</f>
        <v>Salmonella</v>
      </c>
      <c r="D4926" t="str">
        <f>IFERROR(__xludf.DUMMYFUNCTION("""COMPUTED_VALUE"""),"enterica")</f>
        <v>enterica</v>
      </c>
      <c r="E4926" t="str">
        <f>IFERROR(__xludf.DUMMYFUNCTION("""COMPUTED_VALUE"""),"subsp.")</f>
        <v>subsp.</v>
      </c>
      <c r="F4926" t="str">
        <f>IFERROR(__xludf.DUMMYFUNCTION("""COMPUTED_VALUE"""),"enterica")</f>
        <v>enterica</v>
      </c>
      <c r="G4926" t="str">
        <f>IFERROR(__xludf.DUMMYFUNCTION("""COMPUTED_VALUE"""),"serovar")</f>
        <v>serovar</v>
      </c>
      <c r="H4926" t="str">
        <f>IFERROR(__xludf.DUMMYFUNCTION("""COMPUTED_VALUE"""),"Typhimurium")</f>
        <v>Typhimurium</v>
      </c>
    </row>
    <row r="4927" ht="15.75" customHeight="1">
      <c r="A4927" t="str">
        <f t="shared" si="1"/>
        <v>S.enterica</v>
      </c>
      <c r="B4927" s="5" t="s">
        <v>31029</v>
      </c>
      <c r="C4927" s="6" t="str">
        <f>IFERROR(__xludf.DUMMYFUNCTION("SPLIT('2. c'!B4927, "" "", True, True)"),"Salmonella")</f>
        <v>Salmonella</v>
      </c>
      <c r="D4927" t="str">
        <f>IFERROR(__xludf.DUMMYFUNCTION("""COMPUTED_VALUE"""),"enterica")</f>
        <v>enterica</v>
      </c>
      <c r="E4927" t="str">
        <f>IFERROR(__xludf.DUMMYFUNCTION("""COMPUTED_VALUE"""),"subsp.")</f>
        <v>subsp.</v>
      </c>
      <c r="F4927" t="str">
        <f>IFERROR(__xludf.DUMMYFUNCTION("""COMPUTED_VALUE"""),"enterica")</f>
        <v>enterica</v>
      </c>
      <c r="G4927" t="str">
        <f>IFERROR(__xludf.DUMMYFUNCTION("""COMPUTED_VALUE"""),"serovar")</f>
        <v>serovar</v>
      </c>
      <c r="H4927" t="str">
        <f>IFERROR(__xludf.DUMMYFUNCTION("""COMPUTED_VALUE"""),"Typhimurium")</f>
        <v>Typhimurium</v>
      </c>
    </row>
    <row r="4928" ht="15.75" customHeight="1">
      <c r="A4928" t="str">
        <f t="shared" si="1"/>
        <v>S.enterica</v>
      </c>
      <c r="B4928" s="5" t="s">
        <v>31029</v>
      </c>
      <c r="C4928" s="6" t="str">
        <f>IFERROR(__xludf.DUMMYFUNCTION("SPLIT('2. c'!B4928, "" "", True, True)"),"Salmonella")</f>
        <v>Salmonella</v>
      </c>
      <c r="D4928" t="str">
        <f>IFERROR(__xludf.DUMMYFUNCTION("""COMPUTED_VALUE"""),"enterica")</f>
        <v>enterica</v>
      </c>
      <c r="E4928" t="str">
        <f>IFERROR(__xludf.DUMMYFUNCTION("""COMPUTED_VALUE"""),"subsp.")</f>
        <v>subsp.</v>
      </c>
      <c r="F4928" t="str">
        <f>IFERROR(__xludf.DUMMYFUNCTION("""COMPUTED_VALUE"""),"enterica")</f>
        <v>enterica</v>
      </c>
      <c r="G4928" t="str">
        <f>IFERROR(__xludf.DUMMYFUNCTION("""COMPUTED_VALUE"""),"serovar")</f>
        <v>serovar</v>
      </c>
      <c r="H4928" t="str">
        <f>IFERROR(__xludf.DUMMYFUNCTION("""COMPUTED_VALUE"""),"Typhimurium")</f>
        <v>Typhimurium</v>
      </c>
    </row>
    <row r="4929" ht="15.75" customHeight="1">
      <c r="A4929" t="str">
        <f t="shared" si="1"/>
        <v>S.enterica</v>
      </c>
      <c r="B4929" s="5" t="s">
        <v>31029</v>
      </c>
      <c r="C4929" s="6" t="str">
        <f>IFERROR(__xludf.DUMMYFUNCTION("SPLIT('2. c'!B4929, "" "", True, True)"),"Salmonella")</f>
        <v>Salmonella</v>
      </c>
      <c r="D4929" t="str">
        <f>IFERROR(__xludf.DUMMYFUNCTION("""COMPUTED_VALUE"""),"enterica")</f>
        <v>enterica</v>
      </c>
      <c r="E4929" t="str">
        <f>IFERROR(__xludf.DUMMYFUNCTION("""COMPUTED_VALUE"""),"subsp.")</f>
        <v>subsp.</v>
      </c>
      <c r="F4929" t="str">
        <f>IFERROR(__xludf.DUMMYFUNCTION("""COMPUTED_VALUE"""),"enterica")</f>
        <v>enterica</v>
      </c>
      <c r="G4929" t="str">
        <f>IFERROR(__xludf.DUMMYFUNCTION("""COMPUTED_VALUE"""),"serovar")</f>
        <v>serovar</v>
      </c>
      <c r="H4929" t="str">
        <f>IFERROR(__xludf.DUMMYFUNCTION("""COMPUTED_VALUE"""),"Typhimurium")</f>
        <v>Typhimurium</v>
      </c>
    </row>
    <row r="4930" ht="15.75" customHeight="1">
      <c r="A4930" t="str">
        <f t="shared" si="1"/>
        <v>S.enterica</v>
      </c>
      <c r="B4930" s="5" t="s">
        <v>31029</v>
      </c>
      <c r="C4930" s="6" t="str">
        <f>IFERROR(__xludf.DUMMYFUNCTION("SPLIT('2. c'!B4930, "" "", True, True)"),"Salmonella")</f>
        <v>Salmonella</v>
      </c>
      <c r="D4930" t="str">
        <f>IFERROR(__xludf.DUMMYFUNCTION("""COMPUTED_VALUE"""),"enterica")</f>
        <v>enterica</v>
      </c>
      <c r="E4930" t="str">
        <f>IFERROR(__xludf.DUMMYFUNCTION("""COMPUTED_VALUE"""),"subsp.")</f>
        <v>subsp.</v>
      </c>
      <c r="F4930" t="str">
        <f>IFERROR(__xludf.DUMMYFUNCTION("""COMPUTED_VALUE"""),"enterica")</f>
        <v>enterica</v>
      </c>
      <c r="G4930" t="str">
        <f>IFERROR(__xludf.DUMMYFUNCTION("""COMPUTED_VALUE"""),"serovar")</f>
        <v>serovar</v>
      </c>
      <c r="H4930" t="str">
        <f>IFERROR(__xludf.DUMMYFUNCTION("""COMPUTED_VALUE"""),"Typhimurium")</f>
        <v>Typhimurium</v>
      </c>
    </row>
    <row r="4931" ht="15.75" customHeight="1">
      <c r="A4931" t="str">
        <f t="shared" si="1"/>
        <v>S.enterica</v>
      </c>
      <c r="B4931" s="5" t="s">
        <v>31072</v>
      </c>
      <c r="C4931" s="6" t="str">
        <f>IFERROR(__xludf.DUMMYFUNCTION("SPLIT('2. c'!B4931, "" "", True, True)"),"Salmonella")</f>
        <v>Salmonella</v>
      </c>
      <c r="D4931" t="str">
        <f>IFERROR(__xludf.DUMMYFUNCTION("""COMPUTED_VALUE"""),"enterica")</f>
        <v>enterica</v>
      </c>
      <c r="E4931" t="str">
        <f>IFERROR(__xludf.DUMMYFUNCTION("""COMPUTED_VALUE"""),"subsp.")</f>
        <v>subsp.</v>
      </c>
      <c r="F4931" t="str">
        <f>IFERROR(__xludf.DUMMYFUNCTION("""COMPUTED_VALUE"""),"enterica")</f>
        <v>enterica</v>
      </c>
      <c r="G4931" t="str">
        <f>IFERROR(__xludf.DUMMYFUNCTION("""COMPUTED_VALUE"""),"serovar")</f>
        <v>serovar</v>
      </c>
      <c r="H4931" t="str">
        <f>IFERROR(__xludf.DUMMYFUNCTION("""COMPUTED_VALUE"""),"Typhimurium")</f>
        <v>Typhimurium</v>
      </c>
      <c r="I4931" t="str">
        <f>IFERROR(__xludf.DUMMYFUNCTION("""COMPUTED_VALUE"""),"str.")</f>
        <v>str.</v>
      </c>
      <c r="J4931" t="str">
        <f>IFERROR(__xludf.DUMMYFUNCTION("""COMPUTED_VALUE"""),"14028S")</f>
        <v>14028S</v>
      </c>
    </row>
    <row r="4932" ht="15.75" customHeight="1">
      <c r="A4932" t="str">
        <f t="shared" si="1"/>
        <v>S.enterica</v>
      </c>
      <c r="B4932" s="5" t="s">
        <v>31080</v>
      </c>
      <c r="C4932" s="6" t="str">
        <f>IFERROR(__xludf.DUMMYFUNCTION("SPLIT('2. c'!B4932, "" "", True, True)"),"Salmonella")</f>
        <v>Salmonella</v>
      </c>
      <c r="D4932" t="str">
        <f>IFERROR(__xludf.DUMMYFUNCTION("""COMPUTED_VALUE"""),"enterica")</f>
        <v>enterica</v>
      </c>
      <c r="E4932" t="str">
        <f>IFERROR(__xludf.DUMMYFUNCTION("""COMPUTED_VALUE"""),"subsp.")</f>
        <v>subsp.</v>
      </c>
      <c r="F4932" t="str">
        <f>IFERROR(__xludf.DUMMYFUNCTION("""COMPUTED_VALUE"""),"enterica")</f>
        <v>enterica</v>
      </c>
      <c r="G4932" t="str">
        <f>IFERROR(__xludf.DUMMYFUNCTION("""COMPUTED_VALUE"""),"serovar")</f>
        <v>serovar</v>
      </c>
      <c r="H4932" t="str">
        <f>IFERROR(__xludf.DUMMYFUNCTION("""COMPUTED_VALUE"""),"Typhimurium")</f>
        <v>Typhimurium</v>
      </c>
      <c r="I4932" t="str">
        <f>IFERROR(__xludf.DUMMYFUNCTION("""COMPUTED_VALUE"""),"str.")</f>
        <v>str.</v>
      </c>
      <c r="J4932">
        <f>IFERROR(__xludf.DUMMYFUNCTION("""COMPUTED_VALUE"""),798.0)</f>
        <v>798</v>
      </c>
    </row>
    <row r="4933" ht="15.75" customHeight="1">
      <c r="A4933" t="str">
        <f t="shared" si="1"/>
        <v>S.enterica</v>
      </c>
      <c r="B4933" s="5" t="s">
        <v>31088</v>
      </c>
      <c r="C4933" s="6" t="str">
        <f>IFERROR(__xludf.DUMMYFUNCTION("SPLIT('2. c'!B4933, "" "", True, True)"),"Salmonella")</f>
        <v>Salmonella</v>
      </c>
      <c r="D4933" t="str">
        <f>IFERROR(__xludf.DUMMYFUNCTION("""COMPUTED_VALUE"""),"enterica")</f>
        <v>enterica</v>
      </c>
      <c r="E4933" t="str">
        <f>IFERROR(__xludf.DUMMYFUNCTION("""COMPUTED_VALUE"""),"subsp.")</f>
        <v>subsp.</v>
      </c>
      <c r="F4933" t="str">
        <f>IFERROR(__xludf.DUMMYFUNCTION("""COMPUTED_VALUE"""),"enterica")</f>
        <v>enterica</v>
      </c>
      <c r="G4933" t="str">
        <f>IFERROR(__xludf.DUMMYFUNCTION("""COMPUTED_VALUE"""),"serovar")</f>
        <v>serovar</v>
      </c>
      <c r="H4933" t="str">
        <f>IFERROR(__xludf.DUMMYFUNCTION("""COMPUTED_VALUE"""),"Typhimurium")</f>
        <v>Typhimurium</v>
      </c>
      <c r="I4933" t="str">
        <f>IFERROR(__xludf.DUMMYFUNCTION("""COMPUTED_VALUE"""),"str.")</f>
        <v>str.</v>
      </c>
      <c r="J4933" t="str">
        <f>IFERROR(__xludf.DUMMYFUNCTION("""COMPUTED_VALUE"""),"CDC")</f>
        <v>CDC</v>
      </c>
      <c r="K4933" t="str">
        <f>IFERROR(__xludf.DUMMYFUNCTION("""COMPUTED_VALUE"""),"2009K-2059")</f>
        <v>2009K-2059</v>
      </c>
    </row>
    <row r="4934" ht="15.75" customHeight="1">
      <c r="A4934" t="str">
        <f t="shared" si="1"/>
        <v>S.enterica</v>
      </c>
      <c r="B4934" s="5" t="s">
        <v>31095</v>
      </c>
      <c r="C4934" s="6" t="str">
        <f>IFERROR(__xludf.DUMMYFUNCTION("SPLIT('2. c'!B4934, "" "", True, True)"),"Salmonella")</f>
        <v>Salmonella</v>
      </c>
      <c r="D4934" t="str">
        <f>IFERROR(__xludf.DUMMYFUNCTION("""COMPUTED_VALUE"""),"enterica")</f>
        <v>enterica</v>
      </c>
      <c r="E4934" t="str">
        <f>IFERROR(__xludf.DUMMYFUNCTION("""COMPUTED_VALUE"""),"subsp.")</f>
        <v>subsp.</v>
      </c>
      <c r="F4934" t="str">
        <f>IFERROR(__xludf.DUMMYFUNCTION("""COMPUTED_VALUE"""),"enterica")</f>
        <v>enterica</v>
      </c>
      <c r="G4934" t="str">
        <f>IFERROR(__xludf.DUMMYFUNCTION("""COMPUTED_VALUE"""),"serovar")</f>
        <v>serovar</v>
      </c>
      <c r="H4934" t="str">
        <f>IFERROR(__xludf.DUMMYFUNCTION("""COMPUTED_VALUE"""),"Typhimurium")</f>
        <v>Typhimurium</v>
      </c>
      <c r="I4934" t="str">
        <f>IFERROR(__xludf.DUMMYFUNCTION("""COMPUTED_VALUE"""),"str.")</f>
        <v>str.</v>
      </c>
      <c r="J4934" t="str">
        <f>IFERROR(__xludf.DUMMYFUNCTION("""COMPUTED_VALUE"""),"CDC")</f>
        <v>CDC</v>
      </c>
      <c r="K4934" t="str">
        <f>IFERROR(__xludf.DUMMYFUNCTION("""COMPUTED_VALUE"""),"2011K-0870")</f>
        <v>2011K-0870</v>
      </c>
    </row>
    <row r="4935" ht="15.75" customHeight="1">
      <c r="A4935" t="str">
        <f t="shared" si="1"/>
        <v>S.enterica</v>
      </c>
      <c r="B4935" s="5" t="s">
        <v>31102</v>
      </c>
      <c r="C4935" s="6" t="str">
        <f>IFERROR(__xludf.DUMMYFUNCTION("SPLIT('2. c'!B4935, "" "", True, True)"),"Salmonella")</f>
        <v>Salmonella</v>
      </c>
      <c r="D4935" t="str">
        <f>IFERROR(__xludf.DUMMYFUNCTION("""COMPUTED_VALUE"""),"enterica")</f>
        <v>enterica</v>
      </c>
      <c r="E4935" t="str">
        <f>IFERROR(__xludf.DUMMYFUNCTION("""COMPUTED_VALUE"""),"subsp.")</f>
        <v>subsp.</v>
      </c>
      <c r="F4935" t="str">
        <f>IFERROR(__xludf.DUMMYFUNCTION("""COMPUTED_VALUE"""),"enterica")</f>
        <v>enterica</v>
      </c>
      <c r="G4935" t="str">
        <f>IFERROR(__xludf.DUMMYFUNCTION("""COMPUTED_VALUE"""),"serovar")</f>
        <v>serovar</v>
      </c>
      <c r="H4935" t="str">
        <f>IFERROR(__xludf.DUMMYFUNCTION("""COMPUTED_VALUE"""),"Typhimurium")</f>
        <v>Typhimurium</v>
      </c>
      <c r="I4935" t="str">
        <f>IFERROR(__xludf.DUMMYFUNCTION("""COMPUTED_VALUE"""),"str.")</f>
        <v>str.</v>
      </c>
      <c r="J4935" t="str">
        <f>IFERROR(__xludf.DUMMYFUNCTION("""COMPUTED_VALUE"""),"D23580")</f>
        <v>D23580</v>
      </c>
    </row>
    <row r="4936" ht="15.75" customHeight="1">
      <c r="A4936" t="str">
        <f t="shared" si="1"/>
        <v>S.enterica</v>
      </c>
      <c r="B4936" s="5" t="s">
        <v>31110</v>
      </c>
      <c r="C4936" s="6" t="str">
        <f>IFERROR(__xludf.DUMMYFUNCTION("SPLIT('2. c'!B4936, "" "", True, True)"),"Salmonella")</f>
        <v>Salmonella</v>
      </c>
      <c r="D4936" t="str">
        <f>IFERROR(__xludf.DUMMYFUNCTION("""COMPUTED_VALUE"""),"enterica")</f>
        <v>enterica</v>
      </c>
      <c r="E4936" t="str">
        <f>IFERROR(__xludf.DUMMYFUNCTION("""COMPUTED_VALUE"""),"subsp.")</f>
        <v>subsp.</v>
      </c>
      <c r="F4936" t="str">
        <f>IFERROR(__xludf.DUMMYFUNCTION("""COMPUTED_VALUE"""),"enterica")</f>
        <v>enterica</v>
      </c>
      <c r="G4936" t="str">
        <f>IFERROR(__xludf.DUMMYFUNCTION("""COMPUTED_VALUE"""),"serovar")</f>
        <v>serovar</v>
      </c>
      <c r="H4936" t="str">
        <f>IFERROR(__xludf.DUMMYFUNCTION("""COMPUTED_VALUE"""),"Typhimurium")</f>
        <v>Typhimurium</v>
      </c>
      <c r="I4936" t="str">
        <f>IFERROR(__xludf.DUMMYFUNCTION("""COMPUTED_VALUE"""),"str.")</f>
        <v>str.</v>
      </c>
      <c r="J4936" t="str">
        <f>IFERROR(__xludf.DUMMYFUNCTION("""COMPUTED_VALUE"""),"DT104")</f>
        <v>DT104</v>
      </c>
    </row>
    <row r="4937" ht="15.75" customHeight="1">
      <c r="A4937" t="str">
        <f t="shared" si="1"/>
        <v>S.enterica</v>
      </c>
      <c r="B4937" s="5" t="s">
        <v>31117</v>
      </c>
      <c r="C4937" s="6" t="str">
        <f>IFERROR(__xludf.DUMMYFUNCTION("SPLIT('2. c'!B4937, "" "", True, True)"),"Salmonella")</f>
        <v>Salmonella</v>
      </c>
      <c r="D4937" t="str">
        <f>IFERROR(__xludf.DUMMYFUNCTION("""COMPUTED_VALUE"""),"enterica")</f>
        <v>enterica</v>
      </c>
      <c r="E4937" t="str">
        <f>IFERROR(__xludf.DUMMYFUNCTION("""COMPUTED_VALUE"""),"subsp.")</f>
        <v>subsp.</v>
      </c>
      <c r="F4937" t="str">
        <f>IFERROR(__xludf.DUMMYFUNCTION("""COMPUTED_VALUE"""),"enterica")</f>
        <v>enterica</v>
      </c>
      <c r="G4937" t="str">
        <f>IFERROR(__xludf.DUMMYFUNCTION("""COMPUTED_VALUE"""),"serovar")</f>
        <v>serovar</v>
      </c>
      <c r="H4937" t="str">
        <f>IFERROR(__xludf.DUMMYFUNCTION("""COMPUTED_VALUE"""),"Typhimurium")</f>
        <v>Typhimurium</v>
      </c>
      <c r="I4937" t="str">
        <f>IFERROR(__xludf.DUMMYFUNCTION("""COMPUTED_VALUE"""),"str.")</f>
        <v>str.</v>
      </c>
      <c r="J4937" t="str">
        <f>IFERROR(__xludf.DUMMYFUNCTION("""COMPUTED_VALUE"""),"DT2")</f>
        <v>DT2</v>
      </c>
    </row>
    <row r="4938" ht="15.75" customHeight="1">
      <c r="A4938" t="str">
        <f t="shared" si="1"/>
        <v>S.enterica</v>
      </c>
      <c r="B4938" s="5" t="s">
        <v>31124</v>
      </c>
      <c r="C4938" s="6" t="str">
        <f>IFERROR(__xludf.DUMMYFUNCTION("SPLIT('2. c'!B4938, "" "", True, True)"),"Salmonella")</f>
        <v>Salmonella</v>
      </c>
      <c r="D4938" t="str">
        <f>IFERROR(__xludf.DUMMYFUNCTION("""COMPUTED_VALUE"""),"enterica")</f>
        <v>enterica</v>
      </c>
      <c r="E4938" t="str">
        <f>IFERROR(__xludf.DUMMYFUNCTION("""COMPUTED_VALUE"""),"subsp.")</f>
        <v>subsp.</v>
      </c>
      <c r="F4938" t="str">
        <f>IFERROR(__xludf.DUMMYFUNCTION("""COMPUTED_VALUE"""),"enterica")</f>
        <v>enterica</v>
      </c>
      <c r="G4938" t="str">
        <f>IFERROR(__xludf.DUMMYFUNCTION("""COMPUTED_VALUE"""),"serovar")</f>
        <v>serovar</v>
      </c>
      <c r="H4938" t="str">
        <f>IFERROR(__xludf.DUMMYFUNCTION("""COMPUTED_VALUE"""),"Typhimurium")</f>
        <v>Typhimurium</v>
      </c>
      <c r="I4938" t="str">
        <f>IFERROR(__xludf.DUMMYFUNCTION("""COMPUTED_VALUE"""),"str.")</f>
        <v>str.</v>
      </c>
      <c r="J4938" t="str">
        <f>IFERROR(__xludf.DUMMYFUNCTION("""COMPUTED_VALUE"""),"L-3553")</f>
        <v>L-3553</v>
      </c>
    </row>
    <row r="4939" ht="15.75" customHeight="1">
      <c r="A4939" t="str">
        <f t="shared" si="1"/>
        <v>S.enterica</v>
      </c>
      <c r="B4939" s="5" t="s">
        <v>31131</v>
      </c>
      <c r="C4939" s="6" t="str">
        <f>IFERROR(__xludf.DUMMYFUNCTION("SPLIT('2. c'!B4939, "" "", True, True)"),"Salmonella")</f>
        <v>Salmonella</v>
      </c>
      <c r="D4939" t="str">
        <f>IFERROR(__xludf.DUMMYFUNCTION("""COMPUTED_VALUE"""),"enterica")</f>
        <v>enterica</v>
      </c>
      <c r="E4939" t="str">
        <f>IFERROR(__xludf.DUMMYFUNCTION("""COMPUTED_VALUE"""),"subsp.")</f>
        <v>subsp.</v>
      </c>
      <c r="F4939" t="str">
        <f>IFERROR(__xludf.DUMMYFUNCTION("""COMPUTED_VALUE"""),"enterica")</f>
        <v>enterica</v>
      </c>
      <c r="G4939" t="str">
        <f>IFERROR(__xludf.DUMMYFUNCTION("""COMPUTED_VALUE"""),"serovar")</f>
        <v>serovar</v>
      </c>
      <c r="H4939" t="str">
        <f>IFERROR(__xludf.DUMMYFUNCTION("""COMPUTED_VALUE"""),"Typhimurium")</f>
        <v>Typhimurium</v>
      </c>
      <c r="I4939" t="str">
        <f>IFERROR(__xludf.DUMMYFUNCTION("""COMPUTED_VALUE"""),"str.")</f>
        <v>str.</v>
      </c>
      <c r="J4939" t="str">
        <f>IFERROR(__xludf.DUMMYFUNCTION("""COMPUTED_VALUE"""),"LT2")</f>
        <v>LT2</v>
      </c>
    </row>
    <row r="4940" ht="15.75" customHeight="1">
      <c r="A4940" t="str">
        <f t="shared" si="1"/>
        <v>S.enterica</v>
      </c>
      <c r="B4940" s="5" t="s">
        <v>31140</v>
      </c>
      <c r="C4940" s="6" t="str">
        <f>IFERROR(__xludf.DUMMYFUNCTION("SPLIT('2. c'!B4940, "" "", True, True)"),"Salmonella")</f>
        <v>Salmonella</v>
      </c>
      <c r="D4940" t="str">
        <f>IFERROR(__xludf.DUMMYFUNCTION("""COMPUTED_VALUE"""),"enterica")</f>
        <v>enterica</v>
      </c>
      <c r="E4940" t="str">
        <f>IFERROR(__xludf.DUMMYFUNCTION("""COMPUTED_VALUE"""),"subsp.")</f>
        <v>subsp.</v>
      </c>
      <c r="F4940" t="str">
        <f>IFERROR(__xludf.DUMMYFUNCTION("""COMPUTED_VALUE"""),"enterica")</f>
        <v>enterica</v>
      </c>
      <c r="G4940" t="str">
        <f>IFERROR(__xludf.DUMMYFUNCTION("""COMPUTED_VALUE"""),"serovar")</f>
        <v>serovar</v>
      </c>
      <c r="H4940" t="str">
        <f>IFERROR(__xludf.DUMMYFUNCTION("""COMPUTED_VALUE"""),"Typhimurium")</f>
        <v>Typhimurium</v>
      </c>
      <c r="I4940" t="str">
        <f>IFERROR(__xludf.DUMMYFUNCTION("""COMPUTED_VALUE"""),"str.")</f>
        <v>str.</v>
      </c>
      <c r="J4940" t="str">
        <f>IFERROR(__xludf.DUMMYFUNCTION("""COMPUTED_VALUE"""),"SL1344")</f>
        <v>SL1344</v>
      </c>
    </row>
    <row r="4941" ht="15.75" customHeight="1">
      <c r="A4941" t="str">
        <f t="shared" si="1"/>
        <v>S.enterica</v>
      </c>
      <c r="B4941" s="5" t="s">
        <v>31148</v>
      </c>
      <c r="C4941" s="6" t="str">
        <f>IFERROR(__xludf.DUMMYFUNCTION("SPLIT('2. c'!B4941, "" "", True, True)"),"Salmonella")</f>
        <v>Salmonella</v>
      </c>
      <c r="D4941" t="str">
        <f>IFERROR(__xludf.DUMMYFUNCTION("""COMPUTED_VALUE"""),"enterica")</f>
        <v>enterica</v>
      </c>
      <c r="E4941" t="str">
        <f>IFERROR(__xludf.DUMMYFUNCTION("""COMPUTED_VALUE"""),"subsp.")</f>
        <v>subsp.</v>
      </c>
      <c r="F4941" t="str">
        <f>IFERROR(__xludf.DUMMYFUNCTION("""COMPUTED_VALUE"""),"enterica")</f>
        <v>enterica</v>
      </c>
      <c r="G4941" t="str">
        <f>IFERROR(__xludf.DUMMYFUNCTION("""COMPUTED_VALUE"""),"serovar")</f>
        <v>serovar</v>
      </c>
      <c r="H4941" t="str">
        <f>IFERROR(__xludf.DUMMYFUNCTION("""COMPUTED_VALUE"""),"Typhimurium")</f>
        <v>Typhimurium</v>
      </c>
      <c r="I4941" t="str">
        <f>IFERROR(__xludf.DUMMYFUNCTION("""COMPUTED_VALUE"""),"str.")</f>
        <v>str.</v>
      </c>
      <c r="J4941" t="str">
        <f>IFERROR(__xludf.DUMMYFUNCTION("""COMPUTED_VALUE"""),"ST4/74")</f>
        <v>ST4/74</v>
      </c>
    </row>
    <row r="4942" ht="15.75" customHeight="1">
      <c r="A4942" t="str">
        <f t="shared" si="1"/>
        <v>S.enterica</v>
      </c>
      <c r="B4942" s="5" t="s">
        <v>31155</v>
      </c>
      <c r="C4942" s="6" t="str">
        <f>IFERROR(__xludf.DUMMYFUNCTION("SPLIT('2. c'!B4942, "" "", True, True)"),"Salmonella")</f>
        <v>Salmonella</v>
      </c>
      <c r="D4942" t="str">
        <f>IFERROR(__xludf.DUMMYFUNCTION("""COMPUTED_VALUE"""),"enterica")</f>
        <v>enterica</v>
      </c>
      <c r="E4942" t="str">
        <f>IFERROR(__xludf.DUMMYFUNCTION("""COMPUTED_VALUE"""),"subsp.")</f>
        <v>subsp.</v>
      </c>
      <c r="F4942" t="str">
        <f>IFERROR(__xludf.DUMMYFUNCTION("""COMPUTED_VALUE"""),"enterica")</f>
        <v>enterica</v>
      </c>
      <c r="G4942" t="str">
        <f>IFERROR(__xludf.DUMMYFUNCTION("""COMPUTED_VALUE"""),"serovar")</f>
        <v>serovar</v>
      </c>
      <c r="H4942" t="str">
        <f>IFERROR(__xludf.DUMMYFUNCTION("""COMPUTED_VALUE"""),"Typhimurium")</f>
        <v>Typhimurium</v>
      </c>
      <c r="I4942" t="str">
        <f>IFERROR(__xludf.DUMMYFUNCTION("""COMPUTED_VALUE"""),"str.")</f>
        <v>str.</v>
      </c>
      <c r="J4942" t="str">
        <f>IFERROR(__xludf.DUMMYFUNCTION("""COMPUTED_VALUE"""),"T000240")</f>
        <v>T000240</v>
      </c>
    </row>
    <row r="4943" ht="15.75" customHeight="1">
      <c r="A4943" t="str">
        <f t="shared" si="1"/>
        <v>S.enterica</v>
      </c>
      <c r="B4943" s="5" t="s">
        <v>31165</v>
      </c>
      <c r="C4943" s="6" t="str">
        <f>IFERROR(__xludf.DUMMYFUNCTION("SPLIT('2. c'!B4943, "" "", True, True)"),"Salmonella")</f>
        <v>Salmonella</v>
      </c>
      <c r="D4943" t="str">
        <f>IFERROR(__xludf.DUMMYFUNCTION("""COMPUTED_VALUE"""),"enterica")</f>
        <v>enterica</v>
      </c>
      <c r="E4943" t="str">
        <f>IFERROR(__xludf.DUMMYFUNCTION("""COMPUTED_VALUE"""),"subsp.")</f>
        <v>subsp.</v>
      </c>
      <c r="F4943" t="str">
        <f>IFERROR(__xludf.DUMMYFUNCTION("""COMPUTED_VALUE"""),"enterica")</f>
        <v>enterica</v>
      </c>
      <c r="G4943" t="str">
        <f>IFERROR(__xludf.DUMMYFUNCTION("""COMPUTED_VALUE"""),"serovar")</f>
        <v>serovar</v>
      </c>
      <c r="H4943" t="str">
        <f>IFERROR(__xludf.DUMMYFUNCTION("""COMPUTED_VALUE"""),"Typhimurium")</f>
        <v>Typhimurium</v>
      </c>
      <c r="I4943" t="str">
        <f>IFERROR(__xludf.DUMMYFUNCTION("""COMPUTED_VALUE"""),"str.")</f>
        <v>str.</v>
      </c>
      <c r="J4943" t="str">
        <f>IFERROR(__xludf.DUMMYFUNCTION("""COMPUTED_VALUE"""),"U288")</f>
        <v>U288</v>
      </c>
    </row>
    <row r="4944" ht="15.75" customHeight="1">
      <c r="A4944" t="str">
        <f t="shared" si="1"/>
        <v>S.enterica</v>
      </c>
      <c r="B4944" s="5" t="s">
        <v>31173</v>
      </c>
      <c r="C4944" s="6" t="str">
        <f>IFERROR(__xludf.DUMMYFUNCTION("SPLIT('2. c'!B4944, "" "", True, True)"),"Salmonella")</f>
        <v>Salmonella</v>
      </c>
      <c r="D4944" t="str">
        <f>IFERROR(__xludf.DUMMYFUNCTION("""COMPUTED_VALUE"""),"enterica")</f>
        <v>enterica</v>
      </c>
      <c r="E4944" t="str">
        <f>IFERROR(__xludf.DUMMYFUNCTION("""COMPUTED_VALUE"""),"subsp.")</f>
        <v>subsp.</v>
      </c>
      <c r="F4944" t="str">
        <f>IFERROR(__xludf.DUMMYFUNCTION("""COMPUTED_VALUE"""),"enterica")</f>
        <v>enterica</v>
      </c>
      <c r="G4944" t="str">
        <f>IFERROR(__xludf.DUMMYFUNCTION("""COMPUTED_VALUE"""),"serovar")</f>
        <v>serovar</v>
      </c>
      <c r="H4944" t="str">
        <f>IFERROR(__xludf.DUMMYFUNCTION("""COMPUTED_VALUE"""),"Typhimurium")</f>
        <v>Typhimurium</v>
      </c>
      <c r="I4944" t="str">
        <f>IFERROR(__xludf.DUMMYFUNCTION("""COMPUTED_VALUE"""),"str.")</f>
        <v>str.</v>
      </c>
      <c r="J4944" t="str">
        <f>IFERROR(__xludf.DUMMYFUNCTION("""COMPUTED_VALUE"""),"UK-1")</f>
        <v>UK-1</v>
      </c>
    </row>
    <row r="4945" ht="15.75" customHeight="1">
      <c r="A4945" t="str">
        <f t="shared" si="1"/>
        <v>S.enterica</v>
      </c>
      <c r="B4945" s="5" t="s">
        <v>31179</v>
      </c>
      <c r="C4945" s="6" t="str">
        <f>IFERROR(__xludf.DUMMYFUNCTION("SPLIT('2. c'!B4945, "" "", True, True)"),"Salmonella")</f>
        <v>Salmonella</v>
      </c>
      <c r="D4945" t="str">
        <f>IFERROR(__xludf.DUMMYFUNCTION("""COMPUTED_VALUE"""),"enterica")</f>
        <v>enterica</v>
      </c>
      <c r="E4945" t="str">
        <f>IFERROR(__xludf.DUMMYFUNCTION("""COMPUTED_VALUE"""),"subsp.")</f>
        <v>subsp.</v>
      </c>
      <c r="F4945" t="str">
        <f>IFERROR(__xludf.DUMMYFUNCTION("""COMPUTED_VALUE"""),"enterica")</f>
        <v>enterica</v>
      </c>
      <c r="G4945" t="str">
        <f>IFERROR(__xludf.DUMMYFUNCTION("""COMPUTED_VALUE"""),"serovar")</f>
        <v>serovar</v>
      </c>
      <c r="H4945" t="str">
        <f>IFERROR(__xludf.DUMMYFUNCTION("""COMPUTED_VALUE"""),"Typhimurium")</f>
        <v>Typhimurium</v>
      </c>
      <c r="I4945" t="str">
        <f>IFERROR(__xludf.DUMMYFUNCTION("""COMPUTED_VALUE"""),"str.")</f>
        <v>str.</v>
      </c>
      <c r="J4945" t="str">
        <f>IFERROR(__xludf.DUMMYFUNCTION("""COMPUTED_VALUE"""),"USDA-ARS-USMARC-1808")</f>
        <v>USDA-ARS-USMARC-1808</v>
      </c>
    </row>
    <row r="4946" ht="15.75" customHeight="1">
      <c r="A4946" t="str">
        <f t="shared" si="1"/>
        <v>S.enterica</v>
      </c>
      <c r="B4946" s="5" t="s">
        <v>31187</v>
      </c>
      <c r="C4946" s="6" t="str">
        <f>IFERROR(__xludf.DUMMYFUNCTION("SPLIT('2. c'!B4946, "" "", True, True)"),"Salmonella")</f>
        <v>Salmonella</v>
      </c>
      <c r="D4946" t="str">
        <f>IFERROR(__xludf.DUMMYFUNCTION("""COMPUTED_VALUE"""),"enterica")</f>
        <v>enterica</v>
      </c>
      <c r="E4946" t="str">
        <f>IFERROR(__xludf.DUMMYFUNCTION("""COMPUTED_VALUE"""),"subsp.")</f>
        <v>subsp.</v>
      </c>
      <c r="F4946" t="str">
        <f>IFERROR(__xludf.DUMMYFUNCTION("""COMPUTED_VALUE"""),"enterica")</f>
        <v>enterica</v>
      </c>
      <c r="G4946" t="str">
        <f>IFERROR(__xludf.DUMMYFUNCTION("""COMPUTED_VALUE"""),"serovar")</f>
        <v>serovar</v>
      </c>
      <c r="H4946" t="str">
        <f>IFERROR(__xludf.DUMMYFUNCTION("""COMPUTED_VALUE"""),"Typhimurium")</f>
        <v>Typhimurium</v>
      </c>
      <c r="I4946" t="str">
        <f>IFERROR(__xludf.DUMMYFUNCTION("""COMPUTED_VALUE"""),"str.")</f>
        <v>str.</v>
      </c>
      <c r="J4946" t="str">
        <f>IFERROR(__xludf.DUMMYFUNCTION("""COMPUTED_VALUE"""),"USDA-ARS-USMARC-1810")</f>
        <v>USDA-ARS-USMARC-1810</v>
      </c>
    </row>
    <row r="4947" ht="15.75" customHeight="1">
      <c r="A4947" t="str">
        <f t="shared" si="1"/>
        <v>S.enterica</v>
      </c>
      <c r="B4947" s="5" t="s">
        <v>31195</v>
      </c>
      <c r="C4947" s="6" t="str">
        <f>IFERROR(__xludf.DUMMYFUNCTION("SPLIT('2. c'!B4947, "" "", True, True)"),"Salmonella")</f>
        <v>Salmonella</v>
      </c>
      <c r="D4947" t="str">
        <f>IFERROR(__xludf.DUMMYFUNCTION("""COMPUTED_VALUE"""),"enterica")</f>
        <v>enterica</v>
      </c>
      <c r="E4947" t="str">
        <f>IFERROR(__xludf.DUMMYFUNCTION("""COMPUTED_VALUE"""),"subsp.")</f>
        <v>subsp.</v>
      </c>
      <c r="F4947" t="str">
        <f>IFERROR(__xludf.DUMMYFUNCTION("""COMPUTED_VALUE"""),"enterica")</f>
        <v>enterica</v>
      </c>
      <c r="G4947" t="str">
        <f>IFERROR(__xludf.DUMMYFUNCTION("""COMPUTED_VALUE"""),"serovar")</f>
        <v>serovar</v>
      </c>
      <c r="H4947" t="str">
        <f>IFERROR(__xludf.DUMMYFUNCTION("""COMPUTED_VALUE"""),"Typhimurium")</f>
        <v>Typhimurium</v>
      </c>
      <c r="I4947" t="str">
        <f>IFERROR(__xludf.DUMMYFUNCTION("""COMPUTED_VALUE"""),"str.")</f>
        <v>str.</v>
      </c>
      <c r="J4947" t="str">
        <f>IFERROR(__xludf.DUMMYFUNCTION("""COMPUTED_VALUE"""),"USDA-ARS-USMARC-1878")</f>
        <v>USDA-ARS-USMARC-1878</v>
      </c>
    </row>
    <row r="4948" ht="15.75" customHeight="1">
      <c r="A4948" t="str">
        <f t="shared" si="1"/>
        <v>S.enterica</v>
      </c>
      <c r="B4948" s="5" t="s">
        <v>31202</v>
      </c>
      <c r="C4948" s="6" t="str">
        <f>IFERROR(__xludf.DUMMYFUNCTION("SPLIT('2. c'!B4948, "" "", True, True)"),"Salmonella")</f>
        <v>Salmonella</v>
      </c>
      <c r="D4948" t="str">
        <f>IFERROR(__xludf.DUMMYFUNCTION("""COMPUTED_VALUE"""),"enterica")</f>
        <v>enterica</v>
      </c>
      <c r="E4948" t="str">
        <f>IFERROR(__xludf.DUMMYFUNCTION("""COMPUTED_VALUE"""),"subsp.")</f>
        <v>subsp.</v>
      </c>
      <c r="F4948" t="str">
        <f>IFERROR(__xludf.DUMMYFUNCTION("""COMPUTED_VALUE"""),"enterica")</f>
        <v>enterica</v>
      </c>
      <c r="G4948" t="str">
        <f>IFERROR(__xludf.DUMMYFUNCTION("""COMPUTED_VALUE"""),"serovar")</f>
        <v>serovar</v>
      </c>
      <c r="H4948" t="str">
        <f>IFERROR(__xludf.DUMMYFUNCTION("""COMPUTED_VALUE"""),"Typhimurium")</f>
        <v>Typhimurium</v>
      </c>
      <c r="I4948" t="str">
        <f>IFERROR(__xludf.DUMMYFUNCTION("""COMPUTED_VALUE"""),"str.")</f>
        <v>str.</v>
      </c>
      <c r="J4948" t="str">
        <f>IFERROR(__xludf.DUMMYFUNCTION("""COMPUTED_VALUE"""),"USDA-ARS-USMARC-1880")</f>
        <v>USDA-ARS-USMARC-1880</v>
      </c>
    </row>
    <row r="4949" ht="15.75" customHeight="1">
      <c r="A4949" t="str">
        <f t="shared" si="1"/>
        <v>S.enterica</v>
      </c>
      <c r="B4949" s="5" t="s">
        <v>31209</v>
      </c>
      <c r="C4949" s="6" t="str">
        <f>IFERROR(__xludf.DUMMYFUNCTION("SPLIT('2. c'!B4949, "" "", True, True)"),"Salmonella")</f>
        <v>Salmonella</v>
      </c>
      <c r="D4949" t="str">
        <f>IFERROR(__xludf.DUMMYFUNCTION("""COMPUTED_VALUE"""),"enterica")</f>
        <v>enterica</v>
      </c>
      <c r="E4949" t="str">
        <f>IFERROR(__xludf.DUMMYFUNCTION("""COMPUTED_VALUE"""),"subsp.")</f>
        <v>subsp.</v>
      </c>
      <c r="F4949" t="str">
        <f>IFERROR(__xludf.DUMMYFUNCTION("""COMPUTED_VALUE"""),"enterica")</f>
        <v>enterica</v>
      </c>
      <c r="G4949" t="str">
        <f>IFERROR(__xludf.DUMMYFUNCTION("""COMPUTED_VALUE"""),"serovar")</f>
        <v>serovar</v>
      </c>
      <c r="H4949" t="str">
        <f>IFERROR(__xludf.DUMMYFUNCTION("""COMPUTED_VALUE"""),"Typhimurium")</f>
        <v>Typhimurium</v>
      </c>
      <c r="I4949" t="str">
        <f>IFERROR(__xludf.DUMMYFUNCTION("""COMPUTED_VALUE"""),"str.")</f>
        <v>str.</v>
      </c>
      <c r="J4949" t="str">
        <f>IFERROR(__xludf.DUMMYFUNCTION("""COMPUTED_VALUE"""),"USDA-ARS-USMARC-1896")</f>
        <v>USDA-ARS-USMARC-1896</v>
      </c>
    </row>
    <row r="4950" ht="15.75" customHeight="1">
      <c r="A4950" t="str">
        <f t="shared" si="1"/>
        <v>S.enterica</v>
      </c>
      <c r="B4950" s="5" t="s">
        <v>31216</v>
      </c>
      <c r="C4950" s="6" t="str">
        <f>IFERROR(__xludf.DUMMYFUNCTION("SPLIT('2. c'!B4950, "" "", True, True)"),"Salmonella")</f>
        <v>Salmonella</v>
      </c>
      <c r="D4950" t="str">
        <f>IFERROR(__xludf.DUMMYFUNCTION("""COMPUTED_VALUE"""),"enterica")</f>
        <v>enterica</v>
      </c>
      <c r="E4950" t="str">
        <f>IFERROR(__xludf.DUMMYFUNCTION("""COMPUTED_VALUE"""),"subsp.")</f>
        <v>subsp.</v>
      </c>
      <c r="F4950" t="str">
        <f>IFERROR(__xludf.DUMMYFUNCTION("""COMPUTED_VALUE"""),"enterica")</f>
        <v>enterica</v>
      </c>
      <c r="G4950" t="str">
        <f>IFERROR(__xludf.DUMMYFUNCTION("""COMPUTED_VALUE"""),"serovar")</f>
        <v>serovar</v>
      </c>
      <c r="H4950" t="str">
        <f>IFERROR(__xludf.DUMMYFUNCTION("""COMPUTED_VALUE"""),"Typhimurium")</f>
        <v>Typhimurium</v>
      </c>
      <c r="I4950" t="str">
        <f>IFERROR(__xludf.DUMMYFUNCTION("""COMPUTED_VALUE"""),"str.")</f>
        <v>str.</v>
      </c>
      <c r="J4950" t="str">
        <f>IFERROR(__xludf.DUMMYFUNCTION("""COMPUTED_VALUE"""),"USDA-ARS-USMARC-1898")</f>
        <v>USDA-ARS-USMARC-1898</v>
      </c>
    </row>
    <row r="4951" ht="15.75" customHeight="1">
      <c r="A4951" t="str">
        <f t="shared" si="1"/>
        <v>S.enterica</v>
      </c>
      <c r="B4951" s="5" t="s">
        <v>31224</v>
      </c>
      <c r="C4951" s="6" t="str">
        <f>IFERROR(__xludf.DUMMYFUNCTION("SPLIT('2. c'!B4951, "" "", True, True)"),"Salmonella")</f>
        <v>Salmonella</v>
      </c>
      <c r="D4951" t="str">
        <f>IFERROR(__xludf.DUMMYFUNCTION("""COMPUTED_VALUE"""),"enterica")</f>
        <v>enterica</v>
      </c>
      <c r="E4951" t="str">
        <f>IFERROR(__xludf.DUMMYFUNCTION("""COMPUTED_VALUE"""),"subsp.")</f>
        <v>subsp.</v>
      </c>
      <c r="F4951" t="str">
        <f>IFERROR(__xludf.DUMMYFUNCTION("""COMPUTED_VALUE"""),"enterica")</f>
        <v>enterica</v>
      </c>
      <c r="G4951" t="str">
        <f>IFERROR(__xludf.DUMMYFUNCTION("""COMPUTED_VALUE"""),"serovar")</f>
        <v>serovar</v>
      </c>
      <c r="H4951" t="str">
        <f>IFERROR(__xludf.DUMMYFUNCTION("""COMPUTED_VALUE"""),"Typhimurium")</f>
        <v>Typhimurium</v>
      </c>
      <c r="I4951" t="str">
        <f>IFERROR(__xludf.DUMMYFUNCTION("""COMPUTED_VALUE"""),"str.")</f>
        <v>str.</v>
      </c>
      <c r="J4951" t="str">
        <f>IFERROR(__xludf.DUMMYFUNCTION("""COMPUTED_VALUE"""),"USDA-ARS-USMARC-1899")</f>
        <v>USDA-ARS-USMARC-1899</v>
      </c>
    </row>
    <row r="4952" ht="15.75" customHeight="1">
      <c r="A4952" t="str">
        <f t="shared" si="1"/>
        <v>S.enterica</v>
      </c>
      <c r="B4952" s="5" t="s">
        <v>31231</v>
      </c>
      <c r="C4952" s="6" t="str">
        <f>IFERROR(__xludf.DUMMYFUNCTION("SPLIT('2. c'!B4952, "" "", True, True)"),"Salmonella")</f>
        <v>Salmonella</v>
      </c>
      <c r="D4952" t="str">
        <f>IFERROR(__xludf.DUMMYFUNCTION("""COMPUTED_VALUE"""),"enterica")</f>
        <v>enterica</v>
      </c>
      <c r="E4952" t="str">
        <f>IFERROR(__xludf.DUMMYFUNCTION("""COMPUTED_VALUE"""),"subsp.")</f>
        <v>subsp.</v>
      </c>
      <c r="F4952" t="str">
        <f>IFERROR(__xludf.DUMMYFUNCTION("""COMPUTED_VALUE"""),"enterica")</f>
        <v>enterica</v>
      </c>
      <c r="G4952" t="str">
        <f>IFERROR(__xludf.DUMMYFUNCTION("""COMPUTED_VALUE"""),"serovar")</f>
        <v>serovar</v>
      </c>
      <c r="H4952" t="str">
        <f>IFERROR(__xludf.DUMMYFUNCTION("""COMPUTED_VALUE"""),"Typhimurium")</f>
        <v>Typhimurium</v>
      </c>
      <c r="I4952" t="str">
        <f>IFERROR(__xludf.DUMMYFUNCTION("""COMPUTED_VALUE"""),"str.")</f>
        <v>str.</v>
      </c>
      <c r="J4952" t="str">
        <f>IFERROR(__xludf.DUMMYFUNCTION("""COMPUTED_VALUE"""),"USDA-ARS-USMARC-1906")</f>
        <v>USDA-ARS-USMARC-1906</v>
      </c>
    </row>
    <row r="4953" ht="15.75" customHeight="1">
      <c r="A4953" t="str">
        <f t="shared" si="1"/>
        <v>S.enterica</v>
      </c>
      <c r="B4953" s="5" t="s">
        <v>31238</v>
      </c>
      <c r="C4953" s="6" t="str">
        <f>IFERROR(__xludf.DUMMYFUNCTION("SPLIT('2. c'!B4953, "" "", True, True)"),"Salmonella")</f>
        <v>Salmonella</v>
      </c>
      <c r="D4953" t="str">
        <f>IFERROR(__xludf.DUMMYFUNCTION("""COMPUTED_VALUE"""),"enterica")</f>
        <v>enterica</v>
      </c>
      <c r="E4953" t="str">
        <f>IFERROR(__xludf.DUMMYFUNCTION("""COMPUTED_VALUE"""),"subsp.")</f>
        <v>subsp.</v>
      </c>
      <c r="F4953" t="str">
        <f>IFERROR(__xludf.DUMMYFUNCTION("""COMPUTED_VALUE"""),"enterica")</f>
        <v>enterica</v>
      </c>
      <c r="G4953" t="str">
        <f>IFERROR(__xludf.DUMMYFUNCTION("""COMPUTED_VALUE"""),"serovar")</f>
        <v>serovar</v>
      </c>
      <c r="H4953" t="str">
        <f>IFERROR(__xludf.DUMMYFUNCTION("""COMPUTED_VALUE"""),"Typhimurium")</f>
        <v>Typhimurium</v>
      </c>
      <c r="I4953" t="str">
        <f>IFERROR(__xludf.DUMMYFUNCTION("""COMPUTED_VALUE"""),"str.")</f>
        <v>str.</v>
      </c>
      <c r="J4953" t="str">
        <f>IFERROR(__xludf.DUMMYFUNCTION("""COMPUTED_VALUE"""),"USDA-ARS-USMARC-1908")</f>
        <v>USDA-ARS-USMARC-1908</v>
      </c>
    </row>
    <row r="4954" ht="15.75" customHeight="1">
      <c r="A4954" t="str">
        <f t="shared" si="1"/>
        <v>S.enterica</v>
      </c>
      <c r="B4954" s="5" t="s">
        <v>31245</v>
      </c>
      <c r="C4954" s="6" t="str">
        <f>IFERROR(__xludf.DUMMYFUNCTION("SPLIT('2. c'!B4954, "" "", True, True)"),"Salmonella")</f>
        <v>Salmonella</v>
      </c>
      <c r="D4954" t="str">
        <f>IFERROR(__xludf.DUMMYFUNCTION("""COMPUTED_VALUE"""),"enterica")</f>
        <v>enterica</v>
      </c>
      <c r="E4954" t="str">
        <f>IFERROR(__xludf.DUMMYFUNCTION("""COMPUTED_VALUE"""),"subsp.")</f>
        <v>subsp.</v>
      </c>
      <c r="F4954" t="str">
        <f>IFERROR(__xludf.DUMMYFUNCTION("""COMPUTED_VALUE"""),"enterica")</f>
        <v>enterica</v>
      </c>
      <c r="G4954" t="str">
        <f>IFERROR(__xludf.DUMMYFUNCTION("""COMPUTED_VALUE"""),"serovar")</f>
        <v>serovar</v>
      </c>
      <c r="H4954" t="str">
        <f>IFERROR(__xludf.DUMMYFUNCTION("""COMPUTED_VALUE"""),"Typhimurium")</f>
        <v>Typhimurium</v>
      </c>
      <c r="I4954" t="str">
        <f>IFERROR(__xludf.DUMMYFUNCTION("""COMPUTED_VALUE"""),"str.")</f>
        <v>str.</v>
      </c>
      <c r="J4954" t="str">
        <f>IFERROR(__xludf.DUMMYFUNCTION("""COMPUTED_VALUE"""),"USDA-ARS-USMARC-1910")</f>
        <v>USDA-ARS-USMARC-1910</v>
      </c>
    </row>
    <row r="4955" ht="15.75" customHeight="1">
      <c r="A4955" t="str">
        <f t="shared" si="1"/>
        <v>S.enterica</v>
      </c>
      <c r="B4955" s="5" t="s">
        <v>31251</v>
      </c>
      <c r="C4955" s="6" t="str">
        <f>IFERROR(__xludf.DUMMYFUNCTION("SPLIT('2. c'!B4955, "" "", True, True)"),"Salmonella")</f>
        <v>Salmonella</v>
      </c>
      <c r="D4955" t="str">
        <f>IFERROR(__xludf.DUMMYFUNCTION("""COMPUTED_VALUE"""),"enterica")</f>
        <v>enterica</v>
      </c>
      <c r="E4955" t="str">
        <f>IFERROR(__xludf.DUMMYFUNCTION("""COMPUTED_VALUE"""),"subsp.")</f>
        <v>subsp.</v>
      </c>
      <c r="F4955" t="str">
        <f>IFERROR(__xludf.DUMMYFUNCTION("""COMPUTED_VALUE"""),"enterica")</f>
        <v>enterica</v>
      </c>
      <c r="G4955" t="str">
        <f>IFERROR(__xludf.DUMMYFUNCTION("""COMPUTED_VALUE"""),"serovar")</f>
        <v>serovar</v>
      </c>
      <c r="H4955" t="str">
        <f>IFERROR(__xludf.DUMMYFUNCTION("""COMPUTED_VALUE"""),"Typhimurium")</f>
        <v>Typhimurium</v>
      </c>
      <c r="I4955" t="str">
        <f>IFERROR(__xludf.DUMMYFUNCTION("""COMPUTED_VALUE"""),"strain")</f>
        <v>strain</v>
      </c>
      <c r="J4955">
        <f>IFERROR(__xludf.DUMMYFUNCTION("""COMPUTED_VALUE"""),138736.0)</f>
        <v>138736</v>
      </c>
    </row>
    <row r="4956" ht="15.75" customHeight="1">
      <c r="A4956" t="str">
        <f t="shared" si="1"/>
        <v>S.enterica</v>
      </c>
      <c r="B4956" s="5" t="s">
        <v>31256</v>
      </c>
      <c r="C4956" s="6" t="str">
        <f>IFERROR(__xludf.DUMMYFUNCTION("SPLIT('2. c'!B4956, "" "", True, True)"),"Salmonella")</f>
        <v>Salmonella</v>
      </c>
      <c r="D4956" t="str">
        <f>IFERROR(__xludf.DUMMYFUNCTION("""COMPUTED_VALUE"""),"enterica")</f>
        <v>enterica</v>
      </c>
      <c r="E4956" t="str">
        <f>IFERROR(__xludf.DUMMYFUNCTION("""COMPUTED_VALUE"""),"subsp.")</f>
        <v>subsp.</v>
      </c>
      <c r="F4956" t="str">
        <f>IFERROR(__xludf.DUMMYFUNCTION("""COMPUTED_VALUE"""),"enterica")</f>
        <v>enterica</v>
      </c>
      <c r="G4956" t="str">
        <f>IFERROR(__xludf.DUMMYFUNCTION("""COMPUTED_VALUE"""),"serovar")</f>
        <v>serovar</v>
      </c>
      <c r="H4956" t="str">
        <f>IFERROR(__xludf.DUMMYFUNCTION("""COMPUTED_VALUE"""),"Typhimurium")</f>
        <v>Typhimurium</v>
      </c>
      <c r="I4956" t="str">
        <f>IFERROR(__xludf.DUMMYFUNCTION("""COMPUTED_VALUE"""),"strain")</f>
        <v>strain</v>
      </c>
      <c r="J4956">
        <f>IFERROR(__xludf.DUMMYFUNCTION("""COMPUTED_VALUE"""),33676.0)</f>
        <v>33676</v>
      </c>
    </row>
    <row r="4957" ht="15.75" customHeight="1">
      <c r="A4957" t="str">
        <f t="shared" si="1"/>
        <v>S.enterica</v>
      </c>
      <c r="B4957" s="5" t="s">
        <v>31262</v>
      </c>
      <c r="C4957" s="6" t="str">
        <f>IFERROR(__xludf.DUMMYFUNCTION("SPLIT('2. c'!B4957, "" "", True, True)"),"Salmonella")</f>
        <v>Salmonella</v>
      </c>
      <c r="D4957" t="str">
        <f>IFERROR(__xludf.DUMMYFUNCTION("""COMPUTED_VALUE"""),"enterica")</f>
        <v>enterica</v>
      </c>
      <c r="E4957" t="str">
        <f>IFERROR(__xludf.DUMMYFUNCTION("""COMPUTED_VALUE"""),"subsp.")</f>
        <v>subsp.</v>
      </c>
      <c r="F4957" t="str">
        <f>IFERROR(__xludf.DUMMYFUNCTION("""COMPUTED_VALUE"""),"enterica")</f>
        <v>enterica</v>
      </c>
      <c r="G4957" t="str">
        <f>IFERROR(__xludf.DUMMYFUNCTION("""COMPUTED_VALUE"""),"serovar")</f>
        <v>serovar</v>
      </c>
      <c r="H4957" t="str">
        <f>IFERROR(__xludf.DUMMYFUNCTION("""COMPUTED_VALUE"""),"Typhimurium")</f>
        <v>Typhimurium</v>
      </c>
      <c r="I4957" t="str">
        <f>IFERROR(__xludf.DUMMYFUNCTION("""COMPUTED_VALUE"""),"strain")</f>
        <v>strain</v>
      </c>
      <c r="J4957" t="str">
        <f>IFERROR(__xludf.DUMMYFUNCTION("""COMPUTED_VALUE"""),"ATCC")</f>
        <v>ATCC</v>
      </c>
      <c r="K4957">
        <f>IFERROR(__xludf.DUMMYFUNCTION("""COMPUTED_VALUE"""),13311.0)</f>
        <v>13311</v>
      </c>
    </row>
    <row r="4958" ht="15.75" customHeight="1">
      <c r="A4958" t="str">
        <f t="shared" si="1"/>
        <v>S.enterica</v>
      </c>
      <c r="B4958" s="5" t="s">
        <v>31268</v>
      </c>
      <c r="C4958" s="6" t="str">
        <f>IFERROR(__xludf.DUMMYFUNCTION("SPLIT('2. c'!B4958, "" "", True, True)"),"Salmonella")</f>
        <v>Salmonella</v>
      </c>
      <c r="D4958" t="str">
        <f>IFERROR(__xludf.DUMMYFUNCTION("""COMPUTED_VALUE"""),"enterica")</f>
        <v>enterica</v>
      </c>
      <c r="E4958" t="str">
        <f>IFERROR(__xludf.DUMMYFUNCTION("""COMPUTED_VALUE"""),"subsp.")</f>
        <v>subsp.</v>
      </c>
      <c r="F4958" t="str">
        <f>IFERROR(__xludf.DUMMYFUNCTION("""COMPUTED_VALUE"""),"enterica")</f>
        <v>enterica</v>
      </c>
      <c r="G4958" t="str">
        <f>IFERROR(__xludf.DUMMYFUNCTION("""COMPUTED_VALUE"""),"serovar")</f>
        <v>serovar</v>
      </c>
      <c r="H4958" t="str">
        <f>IFERROR(__xludf.DUMMYFUNCTION("""COMPUTED_VALUE"""),"Typhimurium")</f>
        <v>Typhimurium</v>
      </c>
      <c r="I4958" t="str">
        <f>IFERROR(__xludf.DUMMYFUNCTION("""COMPUTED_VALUE"""),"strain")</f>
        <v>strain</v>
      </c>
      <c r="J4958" t="str">
        <f>IFERROR(__xludf.DUMMYFUNCTION("""COMPUTED_VALUE"""),"FORC_015")</f>
        <v>FORC_015</v>
      </c>
    </row>
    <row r="4959" ht="15.75" customHeight="1">
      <c r="A4959" t="str">
        <f t="shared" si="1"/>
        <v>S.enterica</v>
      </c>
      <c r="B4959" s="5" t="s">
        <v>31273</v>
      </c>
      <c r="C4959" s="6" t="str">
        <f>IFERROR(__xludf.DUMMYFUNCTION("SPLIT('2. c'!B4959, "" "", True, True)"),"Salmonella")</f>
        <v>Salmonella</v>
      </c>
      <c r="D4959" t="str">
        <f>IFERROR(__xludf.DUMMYFUNCTION("""COMPUTED_VALUE"""),"enterica")</f>
        <v>enterica</v>
      </c>
      <c r="E4959" t="str">
        <f>IFERROR(__xludf.DUMMYFUNCTION("""COMPUTED_VALUE"""),"subsp.")</f>
        <v>subsp.</v>
      </c>
      <c r="F4959" t="str">
        <f>IFERROR(__xludf.DUMMYFUNCTION("""COMPUTED_VALUE"""),"enterica")</f>
        <v>enterica</v>
      </c>
      <c r="G4959" t="str">
        <f>IFERROR(__xludf.DUMMYFUNCTION("""COMPUTED_VALUE"""),"serovar")</f>
        <v>serovar</v>
      </c>
      <c r="H4959" t="str">
        <f>IFERROR(__xludf.DUMMYFUNCTION("""COMPUTED_VALUE"""),"Typhimurium")</f>
        <v>Typhimurium</v>
      </c>
      <c r="I4959" t="str">
        <f>IFERROR(__xludf.DUMMYFUNCTION("""COMPUTED_VALUE"""),"strain")</f>
        <v>strain</v>
      </c>
      <c r="J4959" t="str">
        <f>IFERROR(__xludf.DUMMYFUNCTION("""COMPUTED_VALUE"""),"VNP20009")</f>
        <v>VNP20009</v>
      </c>
    </row>
    <row r="4960" ht="15.75" customHeight="1">
      <c r="A4960" t="str">
        <f t="shared" si="1"/>
        <v>S.enterica</v>
      </c>
      <c r="B4960" s="5" t="s">
        <v>31278</v>
      </c>
      <c r="C4960" s="6" t="str">
        <f>IFERROR(__xludf.DUMMYFUNCTION("SPLIT('2. c'!B4960, "" "", True, True)"),"Salmonella")</f>
        <v>Salmonella</v>
      </c>
      <c r="D4960" t="str">
        <f>IFERROR(__xludf.DUMMYFUNCTION("""COMPUTED_VALUE"""),"enterica")</f>
        <v>enterica</v>
      </c>
      <c r="E4960" t="str">
        <f>IFERROR(__xludf.DUMMYFUNCTION("""COMPUTED_VALUE"""),"subsp.")</f>
        <v>subsp.</v>
      </c>
      <c r="F4960" t="str">
        <f>IFERROR(__xludf.DUMMYFUNCTION("""COMPUTED_VALUE"""),"enterica")</f>
        <v>enterica</v>
      </c>
      <c r="G4960" t="str">
        <f>IFERROR(__xludf.DUMMYFUNCTION("""COMPUTED_VALUE"""),"serovar")</f>
        <v>serovar</v>
      </c>
      <c r="H4960" t="str">
        <f>IFERROR(__xludf.DUMMYFUNCTION("""COMPUTED_VALUE"""),"Typhimurium")</f>
        <v>Typhimurium</v>
      </c>
      <c r="I4960" t="str">
        <f>IFERROR(__xludf.DUMMYFUNCTION("""COMPUTED_VALUE"""),"var.")</f>
        <v>var.</v>
      </c>
      <c r="J4960" t="str">
        <f>IFERROR(__xludf.DUMMYFUNCTION("""COMPUTED_VALUE"""),"5-")</f>
        <v>5-</v>
      </c>
      <c r="K4960" t="str">
        <f>IFERROR(__xludf.DUMMYFUNCTION("""COMPUTED_VALUE"""),"str.")</f>
        <v>str.</v>
      </c>
      <c r="L4960" t="str">
        <f>IFERROR(__xludf.DUMMYFUNCTION("""COMPUTED_VALUE"""),"CFSAN001921")</f>
        <v>CFSAN001921</v>
      </c>
    </row>
    <row r="4961" ht="15.75" customHeight="1">
      <c r="A4961" t="str">
        <f t="shared" si="1"/>
        <v>S.enterica</v>
      </c>
      <c r="B4961" s="5" t="s">
        <v>31282</v>
      </c>
      <c r="C4961" s="6" t="str">
        <f>IFERROR(__xludf.DUMMYFUNCTION("SPLIT('2. c'!B4961, "" "", True, True)"),"Salmonella")</f>
        <v>Salmonella</v>
      </c>
      <c r="D4961" t="str">
        <f>IFERROR(__xludf.DUMMYFUNCTION("""COMPUTED_VALUE"""),"enterica")</f>
        <v>enterica</v>
      </c>
      <c r="E4961" t="str">
        <f>IFERROR(__xludf.DUMMYFUNCTION("""COMPUTED_VALUE"""),"subsp.")</f>
        <v>subsp.</v>
      </c>
      <c r="F4961" t="str">
        <f>IFERROR(__xludf.DUMMYFUNCTION("""COMPUTED_VALUE"""),"enterica")</f>
        <v>enterica</v>
      </c>
      <c r="G4961" t="str">
        <f>IFERROR(__xludf.DUMMYFUNCTION("""COMPUTED_VALUE"""),"serovar")</f>
        <v>serovar</v>
      </c>
      <c r="H4961" t="str">
        <f>IFERROR(__xludf.DUMMYFUNCTION("""COMPUTED_VALUE"""),"Weltevreden")</f>
        <v>Weltevreden</v>
      </c>
    </row>
    <row r="4962" ht="15.75" customHeight="1">
      <c r="A4962" t="str">
        <f t="shared" si="1"/>
        <v>S.enterica</v>
      </c>
      <c r="B4962" s="5" t="s">
        <v>31282</v>
      </c>
      <c r="C4962" s="6" t="str">
        <f>IFERROR(__xludf.DUMMYFUNCTION("SPLIT('2. c'!B4962, "" "", True, True)"),"Salmonella")</f>
        <v>Salmonella</v>
      </c>
      <c r="D4962" t="str">
        <f>IFERROR(__xludf.DUMMYFUNCTION("""COMPUTED_VALUE"""),"enterica")</f>
        <v>enterica</v>
      </c>
      <c r="E4962" t="str">
        <f>IFERROR(__xludf.DUMMYFUNCTION("""COMPUTED_VALUE"""),"subsp.")</f>
        <v>subsp.</v>
      </c>
      <c r="F4962" t="str">
        <f>IFERROR(__xludf.DUMMYFUNCTION("""COMPUTED_VALUE"""),"enterica")</f>
        <v>enterica</v>
      </c>
      <c r="G4962" t="str">
        <f>IFERROR(__xludf.DUMMYFUNCTION("""COMPUTED_VALUE"""),"serovar")</f>
        <v>serovar</v>
      </c>
      <c r="H4962" t="str">
        <f>IFERROR(__xludf.DUMMYFUNCTION("""COMPUTED_VALUE"""),"Weltevreden")</f>
        <v>Weltevreden</v>
      </c>
    </row>
    <row r="4963" ht="15.75" customHeight="1">
      <c r="A4963" t="str">
        <f t="shared" si="1"/>
        <v>S.enterica</v>
      </c>
      <c r="B4963" s="5" t="s">
        <v>31289</v>
      </c>
      <c r="C4963" s="6" t="str">
        <f>IFERROR(__xludf.DUMMYFUNCTION("SPLIT('2. c'!B4963, "" "", True, True)"),"Salmonella")</f>
        <v>Salmonella</v>
      </c>
      <c r="D4963" t="str">
        <f>IFERROR(__xludf.DUMMYFUNCTION("""COMPUTED_VALUE"""),"enterica")</f>
        <v>enterica</v>
      </c>
      <c r="E4963" t="str">
        <f>IFERROR(__xludf.DUMMYFUNCTION("""COMPUTED_VALUE"""),"subsp.")</f>
        <v>subsp.</v>
      </c>
      <c r="F4963" t="str">
        <f>IFERROR(__xludf.DUMMYFUNCTION("""COMPUTED_VALUE"""),"enterica")</f>
        <v>enterica</v>
      </c>
      <c r="G4963" t="str">
        <f>IFERROR(__xludf.DUMMYFUNCTION("""COMPUTED_VALUE"""),"serovar")</f>
        <v>serovar</v>
      </c>
      <c r="H4963" t="str">
        <f>IFERROR(__xludf.DUMMYFUNCTION("""COMPUTED_VALUE"""),"Weltevreden")</f>
        <v>Weltevreden</v>
      </c>
      <c r="I4963" t="str">
        <f>IFERROR(__xludf.DUMMYFUNCTION("""COMPUTED_VALUE"""),"str.")</f>
        <v>str.</v>
      </c>
      <c r="J4963">
        <f>IFERROR(__xludf.DUMMYFUNCTION("""COMPUTED_VALUE"""),1655.0)</f>
        <v>1655</v>
      </c>
    </row>
    <row r="4964" ht="15.75" customHeight="1">
      <c r="A4964" t="str">
        <f t="shared" si="1"/>
        <v>S.enterica</v>
      </c>
      <c r="B4964" s="5" t="s">
        <v>31294</v>
      </c>
      <c r="C4964" s="6" t="str">
        <f>IFERROR(__xludf.DUMMYFUNCTION("SPLIT('2. c'!B4964, "" "", True, True)"),"Salmonella")</f>
        <v>Salmonella</v>
      </c>
      <c r="D4964" t="str">
        <f>IFERROR(__xludf.DUMMYFUNCTION("""COMPUTED_VALUE"""),"enterica")</f>
        <v>enterica</v>
      </c>
      <c r="E4964" t="str">
        <f>IFERROR(__xludf.DUMMYFUNCTION("""COMPUTED_VALUE"""),"subsp.")</f>
        <v>subsp.</v>
      </c>
      <c r="F4964" t="str">
        <f>IFERROR(__xludf.DUMMYFUNCTION("""COMPUTED_VALUE"""),"enterica")</f>
        <v>enterica</v>
      </c>
      <c r="G4964" t="str">
        <f>IFERROR(__xludf.DUMMYFUNCTION("""COMPUTED_VALUE"""),"serovar")</f>
        <v>serovar</v>
      </c>
      <c r="H4964" t="str">
        <f>IFERROR(__xludf.DUMMYFUNCTION("""COMPUTED_VALUE"""),"Weltevreden")</f>
        <v>Weltevreden</v>
      </c>
      <c r="I4964" t="str">
        <f>IFERROR(__xludf.DUMMYFUNCTION("""COMPUTED_VALUE"""),"str.")</f>
        <v>str.</v>
      </c>
      <c r="J4964" t="str">
        <f>IFERROR(__xludf.DUMMYFUNCTION("""COMPUTED_VALUE"""),"2007-60-3289-1")</f>
        <v>2007-60-3289-1</v>
      </c>
    </row>
    <row r="4965" ht="15.75" customHeight="1">
      <c r="A4965" t="str">
        <f t="shared" si="1"/>
        <v>S.enterica</v>
      </c>
      <c r="B4965" s="5" t="s">
        <v>31301</v>
      </c>
      <c r="C4965" s="6" t="str">
        <f>IFERROR(__xludf.DUMMYFUNCTION("SPLIT('2. c'!B4965, "" "", True, True)"),"Salmonella")</f>
        <v>Salmonella</v>
      </c>
      <c r="D4965" t="str">
        <f>IFERROR(__xludf.DUMMYFUNCTION("""COMPUTED_VALUE"""),"enterica")</f>
        <v>enterica</v>
      </c>
      <c r="E4965" t="str">
        <f>IFERROR(__xludf.DUMMYFUNCTION("""COMPUTED_VALUE"""),"subsp.")</f>
        <v>subsp.</v>
      </c>
      <c r="F4965" t="str">
        <f>IFERROR(__xludf.DUMMYFUNCTION("""COMPUTED_VALUE"""),"enterica")</f>
        <v>enterica</v>
      </c>
      <c r="G4965" t="str">
        <f>IFERROR(__xludf.DUMMYFUNCTION("""COMPUTED_VALUE"""),"serovar")</f>
        <v>serovar</v>
      </c>
      <c r="H4965" t="str">
        <f>IFERROR(__xludf.DUMMYFUNCTION("""COMPUTED_VALUE"""),"Weltevreden")</f>
        <v>Weltevreden</v>
      </c>
      <c r="I4965" t="str">
        <f>IFERROR(__xludf.DUMMYFUNCTION("""COMPUTED_VALUE"""),"strain")</f>
        <v>strain</v>
      </c>
      <c r="J4965">
        <f>IFERROR(__xludf.DUMMYFUNCTION("""COMPUTED_VALUE"""),9811262.0)</f>
        <v>9811262</v>
      </c>
    </row>
    <row r="4966" ht="15.75" customHeight="1">
      <c r="A4966" t="str">
        <f t="shared" si="1"/>
        <v>S.enterica</v>
      </c>
      <c r="B4966" s="5" t="s">
        <v>31309</v>
      </c>
      <c r="C4966" s="6" t="str">
        <f>IFERROR(__xludf.DUMMYFUNCTION("SPLIT('2. c'!B4966, "" "", True, True)"),"Salmonella")</f>
        <v>Salmonella</v>
      </c>
      <c r="D4966" t="str">
        <f>IFERROR(__xludf.DUMMYFUNCTION("""COMPUTED_VALUE"""),"enterica")</f>
        <v>enterica</v>
      </c>
      <c r="E4966" t="str">
        <f>IFERROR(__xludf.DUMMYFUNCTION("""COMPUTED_VALUE"""),"subsp.")</f>
        <v>subsp.</v>
      </c>
      <c r="F4966" t="str">
        <f>IFERROR(__xludf.DUMMYFUNCTION("""COMPUTED_VALUE"""),"enterica")</f>
        <v>enterica</v>
      </c>
      <c r="G4966" t="str">
        <f>IFERROR(__xludf.DUMMYFUNCTION("""COMPUTED_VALUE"""),"serovar")</f>
        <v>serovar</v>
      </c>
      <c r="H4966" t="str">
        <f>IFERROR(__xludf.DUMMYFUNCTION("""COMPUTED_VALUE"""),"Weltevreden")</f>
        <v>Weltevreden</v>
      </c>
      <c r="I4966" t="str">
        <f>IFERROR(__xludf.DUMMYFUNCTION("""COMPUTED_VALUE"""),"strain")</f>
        <v>strain</v>
      </c>
      <c r="J4966">
        <f>IFERROR(__xludf.DUMMYFUNCTION("""COMPUTED_VALUE"""),99.0)</f>
        <v>99</v>
      </c>
      <c r="K4966">
        <f>IFERROR(__xludf.DUMMYFUNCTION("""COMPUTED_VALUE"""),3134.0)</f>
        <v>3134</v>
      </c>
    </row>
    <row r="4967" ht="15.75" customHeight="1">
      <c r="A4967" t="str">
        <f t="shared" si="1"/>
        <v>S.enterica</v>
      </c>
      <c r="B4967" s="5" t="s">
        <v>31316</v>
      </c>
      <c r="C4967" s="6" t="str">
        <f>IFERROR(__xludf.DUMMYFUNCTION("SPLIT('2. c'!B4967, "" "", True, True)"),"Salmonella")</f>
        <v>Salmonella</v>
      </c>
      <c r="D4967" t="str">
        <f>IFERROR(__xludf.DUMMYFUNCTION("""COMPUTED_VALUE"""),"enterica")</f>
        <v>enterica</v>
      </c>
      <c r="E4967" t="str">
        <f>IFERROR(__xludf.DUMMYFUNCTION("""COMPUTED_VALUE"""),"subsp.")</f>
        <v>subsp.</v>
      </c>
      <c r="F4967" t="str">
        <f>IFERROR(__xludf.DUMMYFUNCTION("""COMPUTED_VALUE"""),"enterica")</f>
        <v>enterica</v>
      </c>
      <c r="G4967" t="str">
        <f>IFERROR(__xludf.DUMMYFUNCTION("""COMPUTED_VALUE"""),"strain")</f>
        <v>strain</v>
      </c>
      <c r="H4967" t="str">
        <f>IFERROR(__xludf.DUMMYFUNCTION("""COMPUTED_VALUE"""),"FCC0146")</f>
        <v>FCC0146</v>
      </c>
    </row>
    <row r="4968" ht="15.75" customHeight="1">
      <c r="A4968" t="str">
        <f t="shared" si="1"/>
        <v>S.enterica</v>
      </c>
      <c r="B4968" s="5" t="s">
        <v>31321</v>
      </c>
      <c r="C4968" s="6" t="str">
        <f>IFERROR(__xludf.DUMMYFUNCTION("SPLIT('2. c'!B4968, "" "", True, True)"),"Salmonella")</f>
        <v>Salmonella</v>
      </c>
      <c r="D4968" t="str">
        <f>IFERROR(__xludf.DUMMYFUNCTION("""COMPUTED_VALUE"""),"enterica")</f>
        <v>enterica</v>
      </c>
      <c r="E4968" t="str">
        <f>IFERROR(__xludf.DUMMYFUNCTION("""COMPUTED_VALUE"""),"subsp.")</f>
        <v>subsp.</v>
      </c>
      <c r="F4968" t="str">
        <f>IFERROR(__xludf.DUMMYFUNCTION("""COMPUTED_VALUE"""),"enterica")</f>
        <v>enterica</v>
      </c>
      <c r="G4968" t="str">
        <f>IFERROR(__xludf.DUMMYFUNCTION("""COMPUTED_VALUE"""),"strain")</f>
        <v>strain</v>
      </c>
      <c r="H4968" t="str">
        <f>IFERROR(__xludf.DUMMYFUNCTION("""COMPUTED_VALUE"""),"YU39")</f>
        <v>YU39</v>
      </c>
    </row>
    <row r="4969" ht="15.75" customHeight="1">
      <c r="A4969" t="str">
        <f t="shared" si="1"/>
        <v>S.keddieii</v>
      </c>
      <c r="B4969" s="5" t="s">
        <v>31331</v>
      </c>
      <c r="C4969" s="6" t="str">
        <f>IFERROR(__xludf.DUMMYFUNCTION("SPLIT('2. c'!B4969, "" "", True, True)"),"Sanguibacter")</f>
        <v>Sanguibacter</v>
      </c>
      <c r="D4969" t="str">
        <f>IFERROR(__xludf.DUMMYFUNCTION("""COMPUTED_VALUE"""),"keddieii")</f>
        <v>keddieii</v>
      </c>
      <c r="E4969" t="str">
        <f>IFERROR(__xludf.DUMMYFUNCTION("""COMPUTED_VALUE"""),"DSM")</f>
        <v>DSM</v>
      </c>
      <c r="F4969">
        <f>IFERROR(__xludf.DUMMYFUNCTION("""COMPUTED_VALUE"""),10542.0)</f>
        <v>10542</v>
      </c>
    </row>
    <row r="4970" ht="15.75" customHeight="1">
      <c r="A4970" t="str">
        <f t="shared" si="1"/>
        <v>S.grandis</v>
      </c>
      <c r="B4970" s="5" t="s">
        <v>31337</v>
      </c>
      <c r="C4970" s="6" t="str">
        <f>IFERROR(__xludf.DUMMYFUNCTION("SPLIT('2. c'!B4970, "" "", True, True)"),"Saprospira")</f>
        <v>Saprospira</v>
      </c>
      <c r="D4970" t="str">
        <f>IFERROR(__xludf.DUMMYFUNCTION("""COMPUTED_VALUE"""),"grandis")</f>
        <v>grandis</v>
      </c>
      <c r="E4970" t="str">
        <f>IFERROR(__xludf.DUMMYFUNCTION("""COMPUTED_VALUE"""),"str.")</f>
        <v>str.</v>
      </c>
      <c r="F4970" t="str">
        <f>IFERROR(__xludf.DUMMYFUNCTION("""COMPUTED_VALUE"""),"Lewin")</f>
        <v>Lewin</v>
      </c>
    </row>
    <row r="4971" ht="15.75" customHeight="1">
      <c r="A4971" t="str">
        <f t="shared" si="1"/>
        <v>S.inopinata</v>
      </c>
      <c r="B4971" s="5" t="s">
        <v>31344</v>
      </c>
      <c r="C4971" s="6" t="str">
        <f>IFERROR(__xludf.DUMMYFUNCTION("SPLIT('2. c'!B4971, "" "", True, True)"),"Scardovia")</f>
        <v>Scardovia</v>
      </c>
      <c r="D4971" t="str">
        <f>IFERROR(__xludf.DUMMYFUNCTION("""COMPUTED_VALUE"""),"inopinata")</f>
        <v>inopinata</v>
      </c>
      <c r="E4971" t="str">
        <f>IFERROR(__xludf.DUMMYFUNCTION("""COMPUTED_VALUE"""),"JCM")</f>
        <v>JCM</v>
      </c>
      <c r="F4971">
        <f>IFERROR(__xludf.DUMMYFUNCTION("""COMPUTED_VALUE"""),12537.0)</f>
        <v>12537</v>
      </c>
    </row>
    <row r="4972" ht="15.75" customHeight="1">
      <c r="A4972" t="str">
        <f t="shared" si="1"/>
        <v>S.termitidis</v>
      </c>
      <c r="B4972" s="5" t="s">
        <v>31349</v>
      </c>
      <c r="C4972" s="6" t="str">
        <f>IFERROR(__xludf.DUMMYFUNCTION("SPLIT('2. c'!B4972, "" "", True, True)"),"Sebaldella")</f>
        <v>Sebaldella</v>
      </c>
      <c r="D4972" t="str">
        <f>IFERROR(__xludf.DUMMYFUNCTION("""COMPUTED_VALUE"""),"termitidis")</f>
        <v>termitidis</v>
      </c>
      <c r="E4972" t="str">
        <f>IFERROR(__xludf.DUMMYFUNCTION("""COMPUTED_VALUE"""),"ATCC")</f>
        <v>ATCC</v>
      </c>
      <c r="F4972">
        <f>IFERROR(__xludf.DUMMYFUNCTION("""COMPUTED_VALUE"""),33386.0)</f>
        <v>33386</v>
      </c>
    </row>
    <row r="4973" ht="15.75" customHeight="1">
      <c r="A4973" t="str">
        <f t="shared" si="1"/>
        <v>s.endosymbiont</v>
      </c>
      <c r="B4973" s="5" t="s">
        <v>31353</v>
      </c>
      <c r="C4973" s="6" t="str">
        <f>IFERROR(__xludf.DUMMYFUNCTION("SPLIT('2. c'!B4973, "" "", True, True)"),"secondary")</f>
        <v>secondary</v>
      </c>
      <c r="D4973" t="str">
        <f>IFERROR(__xludf.DUMMYFUNCTION("""COMPUTED_VALUE"""),"endosymbiont")</f>
        <v>endosymbiont</v>
      </c>
      <c r="E4973" t="str">
        <f>IFERROR(__xludf.DUMMYFUNCTION("""COMPUTED_VALUE"""),"of")</f>
        <v>of</v>
      </c>
      <c r="F4973" t="str">
        <f>IFERROR(__xludf.DUMMYFUNCTION("""COMPUTED_VALUE"""),"Ctenarytaina")</f>
        <v>Ctenarytaina</v>
      </c>
      <c r="G4973" t="str">
        <f>IFERROR(__xludf.DUMMYFUNCTION("""COMPUTED_VALUE"""),"eucalypti")</f>
        <v>eucalypti</v>
      </c>
    </row>
    <row r="4974" ht="15.75" customHeight="1">
      <c r="A4974" t="str">
        <f t="shared" si="1"/>
        <v>s.endosymbiont</v>
      </c>
      <c r="B4974" s="5" t="s">
        <v>31357</v>
      </c>
      <c r="C4974" s="6" t="str">
        <f>IFERROR(__xludf.DUMMYFUNCTION("SPLIT('2. c'!B4974, "" "", True, True)"),"secondary")</f>
        <v>secondary</v>
      </c>
      <c r="D4974" t="str">
        <f>IFERROR(__xludf.DUMMYFUNCTION("""COMPUTED_VALUE"""),"endosymbiont")</f>
        <v>endosymbiont</v>
      </c>
      <c r="E4974" t="str">
        <f>IFERROR(__xludf.DUMMYFUNCTION("""COMPUTED_VALUE"""),"of")</f>
        <v>of</v>
      </c>
      <c r="F4974" t="str">
        <f>IFERROR(__xludf.DUMMYFUNCTION("""COMPUTED_VALUE"""),"Heteropsylla")</f>
        <v>Heteropsylla</v>
      </c>
      <c r="G4974" t="str">
        <f>IFERROR(__xludf.DUMMYFUNCTION("""COMPUTED_VALUE"""),"cubana")</f>
        <v>cubana</v>
      </c>
    </row>
    <row r="4975" ht="15.75" customHeight="1">
      <c r="A4975" t="str">
        <f t="shared" si="1"/>
        <v>S.sp.</v>
      </c>
      <c r="B4975" s="5" t="s">
        <v>31361</v>
      </c>
      <c r="C4975" s="6" t="str">
        <f>IFERROR(__xludf.DUMMYFUNCTION("SPLIT('2. c'!B4975, "" "", True, True)"),"Sedimenticola")</f>
        <v>Sedimenticola</v>
      </c>
      <c r="D4975" t="str">
        <f>IFERROR(__xludf.DUMMYFUNCTION("""COMPUTED_VALUE"""),"sp.")</f>
        <v>sp.</v>
      </c>
      <c r="E4975" t="str">
        <f>IFERROR(__xludf.DUMMYFUNCTION("""COMPUTED_VALUE"""),"SIP-G1")</f>
        <v>SIP-G1</v>
      </c>
    </row>
    <row r="4976" ht="15.75" customHeight="1">
      <c r="A4976" t="str">
        <f t="shared" si="1"/>
        <v>S.sp.</v>
      </c>
      <c r="B4976" s="5" t="s">
        <v>31362</v>
      </c>
      <c r="C4976" s="6" t="str">
        <f>IFERROR(__xludf.DUMMYFUNCTION("SPLIT('2. c'!B4976, "" "", True, True)"),"Sediminicola")</f>
        <v>Sediminicola</v>
      </c>
      <c r="D4976" t="str">
        <f>IFERROR(__xludf.DUMMYFUNCTION("""COMPUTED_VALUE"""),"sp.")</f>
        <v>sp.</v>
      </c>
      <c r="E4976" t="str">
        <f>IFERROR(__xludf.DUMMYFUNCTION("""COMPUTED_VALUE"""),"YIK13")</f>
        <v>YIK13</v>
      </c>
    </row>
    <row r="4977" ht="15.75" customHeight="1">
      <c r="A4977" t="str">
        <f t="shared" si="1"/>
        <v>S.rotundus</v>
      </c>
      <c r="B4977" s="5" t="s">
        <v>31368</v>
      </c>
      <c r="C4977" s="6" t="str">
        <f>IFERROR(__xludf.DUMMYFUNCTION("SPLIT('2. c'!B4977, "" "", True, True)"),"Segniliparus")</f>
        <v>Segniliparus</v>
      </c>
      <c r="D4977" t="str">
        <f>IFERROR(__xludf.DUMMYFUNCTION("""COMPUTED_VALUE"""),"rotundus")</f>
        <v>rotundus</v>
      </c>
      <c r="E4977" t="str">
        <f>IFERROR(__xludf.DUMMYFUNCTION("""COMPUTED_VALUE"""),"DSM")</f>
        <v>DSM</v>
      </c>
      <c r="F4977">
        <f>IFERROR(__xludf.DUMMYFUNCTION("""COMPUTED_VALUE"""),44985.0)</f>
        <v>44985</v>
      </c>
    </row>
    <row r="4978" ht="15.75" customHeight="1">
      <c r="A4978" t="str">
        <f t="shared" si="1"/>
        <v>S.ruminantium</v>
      </c>
      <c r="B4978" s="5" t="s">
        <v>31376</v>
      </c>
      <c r="C4978" s="6" t="str">
        <f>IFERROR(__xludf.DUMMYFUNCTION("SPLIT('2. c'!B4978, "" "", True, True)"),"Selenomonas")</f>
        <v>Selenomonas</v>
      </c>
      <c r="D4978" t="str">
        <f>IFERROR(__xludf.DUMMYFUNCTION("""COMPUTED_VALUE"""),"ruminantium")</f>
        <v>ruminantium</v>
      </c>
      <c r="E4978" t="str">
        <f>IFERROR(__xludf.DUMMYFUNCTION("""COMPUTED_VALUE"""),"subsp.")</f>
        <v>subsp.</v>
      </c>
      <c r="F4978" t="str">
        <f>IFERROR(__xludf.DUMMYFUNCTION("""COMPUTED_VALUE"""),"lactilytica")</f>
        <v>lactilytica</v>
      </c>
      <c r="G4978" t="str">
        <f>IFERROR(__xludf.DUMMYFUNCTION("""COMPUTED_VALUE"""),"TAM6421")</f>
        <v>TAM6421</v>
      </c>
    </row>
    <row r="4979" ht="15.75" customHeight="1">
      <c r="A4979" t="str">
        <f t="shared" si="1"/>
        <v>S.sp.</v>
      </c>
      <c r="B4979" s="5" t="s">
        <v>31382</v>
      </c>
      <c r="C4979" s="6" t="str">
        <f>IFERROR(__xludf.DUMMYFUNCTION("SPLIT('2. c'!B4979, "" "", True, True)"),"Selenomonas")</f>
        <v>Selenomonas</v>
      </c>
      <c r="D4979" t="str">
        <f>IFERROR(__xludf.DUMMYFUNCTION("""COMPUTED_VALUE"""),"sp.")</f>
        <v>sp.</v>
      </c>
      <c r="E4979" t="str">
        <f>IFERROR(__xludf.DUMMYFUNCTION("""COMPUTED_VALUE"""),"oral")</f>
        <v>oral</v>
      </c>
      <c r="F4979" t="str">
        <f>IFERROR(__xludf.DUMMYFUNCTION("""COMPUTED_VALUE"""),"taxon")</f>
        <v>taxon</v>
      </c>
      <c r="G4979">
        <f>IFERROR(__xludf.DUMMYFUNCTION("""COMPUTED_VALUE"""),136.0)</f>
        <v>136</v>
      </c>
    </row>
    <row r="4980" ht="15.75" customHeight="1">
      <c r="A4980" t="str">
        <f t="shared" si="1"/>
        <v>S.sp.</v>
      </c>
      <c r="B4980" s="5" t="s">
        <v>31392</v>
      </c>
      <c r="C4980" s="6" t="str">
        <f>IFERROR(__xludf.DUMMYFUNCTION("SPLIT('2. c'!B4980, "" "", True, True)"),"Selenomonas")</f>
        <v>Selenomonas</v>
      </c>
      <c r="D4980" t="str">
        <f>IFERROR(__xludf.DUMMYFUNCTION("""COMPUTED_VALUE"""),"sp.")</f>
        <v>sp.</v>
      </c>
      <c r="E4980" t="str">
        <f>IFERROR(__xludf.DUMMYFUNCTION("""COMPUTED_VALUE"""),"oral")</f>
        <v>oral</v>
      </c>
      <c r="F4980" t="str">
        <f>IFERROR(__xludf.DUMMYFUNCTION("""COMPUTED_VALUE"""),"taxon")</f>
        <v>taxon</v>
      </c>
      <c r="G4980">
        <f>IFERROR(__xludf.DUMMYFUNCTION("""COMPUTED_VALUE"""),478.0)</f>
        <v>478</v>
      </c>
      <c r="H4980" t="str">
        <f>IFERROR(__xludf.DUMMYFUNCTION("""COMPUTED_VALUE"""),"strain")</f>
        <v>strain</v>
      </c>
      <c r="I4980" t="str">
        <f>IFERROR(__xludf.DUMMYFUNCTION("""COMPUTED_VALUE"""),"F0592")</f>
        <v>F0592</v>
      </c>
    </row>
    <row r="4981" ht="15.75" customHeight="1">
      <c r="A4981" t="str">
        <f t="shared" si="1"/>
        <v>S.sputigena</v>
      </c>
      <c r="B4981" s="5" t="s">
        <v>31397</v>
      </c>
      <c r="C4981" s="6" t="str">
        <f>IFERROR(__xludf.DUMMYFUNCTION("SPLIT('2. c'!B4981, "" "", True, True)"),"Selenomonas")</f>
        <v>Selenomonas</v>
      </c>
      <c r="D4981" t="str">
        <f>IFERROR(__xludf.DUMMYFUNCTION("""COMPUTED_VALUE"""),"sputigena")</f>
        <v>sputigena</v>
      </c>
      <c r="E4981" t="str">
        <f>IFERROR(__xludf.DUMMYFUNCTION("""COMPUTED_VALUE"""),"ATCC")</f>
        <v>ATCC</v>
      </c>
      <c r="F4981">
        <f>IFERROR(__xludf.DUMMYFUNCTION("""COMPUTED_VALUE"""),35185.0)</f>
        <v>35185</v>
      </c>
      <c r="G4981" t="str">
        <f>IFERROR(__xludf.DUMMYFUNCTION("""COMPUTED_VALUE"""),"(Prj:66335)")</f>
        <v>(Prj:66335)</v>
      </c>
    </row>
    <row r="4982" ht="15.75" customHeight="1">
      <c r="A4982" t="str">
        <f t="shared" si="1"/>
        <v>S.fonticola</v>
      </c>
      <c r="B4982" s="5" t="s">
        <v>31403</v>
      </c>
      <c r="C4982" s="6" t="str">
        <f>IFERROR(__xludf.DUMMYFUNCTION("SPLIT('2. c'!B4982, "" "", True, True)"),"Serratia")</f>
        <v>Serratia</v>
      </c>
      <c r="D4982" t="str">
        <f>IFERROR(__xludf.DUMMYFUNCTION("""COMPUTED_VALUE"""),"fonticola")</f>
        <v>fonticola</v>
      </c>
      <c r="E4982" t="str">
        <f>IFERROR(__xludf.DUMMYFUNCTION("""COMPUTED_VALUE"""),"RB-25")</f>
        <v>RB-25</v>
      </c>
    </row>
    <row r="4983" ht="15.75" customHeight="1">
      <c r="A4983" t="str">
        <f t="shared" si="1"/>
        <v>S.fonticola</v>
      </c>
      <c r="B4983" s="5" t="s">
        <v>31406</v>
      </c>
      <c r="C4983" s="6" t="str">
        <f>IFERROR(__xludf.DUMMYFUNCTION("SPLIT('2. c'!B4983, "" "", True, True)"),"Serratia")</f>
        <v>Serratia</v>
      </c>
      <c r="D4983" t="str">
        <f>IFERROR(__xludf.DUMMYFUNCTION("""COMPUTED_VALUE"""),"fonticola")</f>
        <v>fonticola</v>
      </c>
      <c r="E4983" t="str">
        <f>IFERROR(__xludf.DUMMYFUNCTION("""COMPUTED_VALUE"""),"strain")</f>
        <v>strain</v>
      </c>
      <c r="F4983" t="str">
        <f>IFERROR(__xludf.DUMMYFUNCTION("""COMPUTED_VALUE"""),"DSM")</f>
        <v>DSM</v>
      </c>
      <c r="G4983">
        <f>IFERROR(__xludf.DUMMYFUNCTION("""COMPUTED_VALUE"""),4576.0)</f>
        <v>4576</v>
      </c>
    </row>
    <row r="4984" ht="15.75" customHeight="1">
      <c r="A4984" t="str">
        <f t="shared" si="1"/>
        <v>S.fonticola</v>
      </c>
      <c r="B4984" s="5" t="s">
        <v>31411</v>
      </c>
      <c r="C4984" s="6" t="str">
        <f>IFERROR(__xludf.DUMMYFUNCTION("SPLIT('2. c'!B4984, "" "", True, True)"),"Serratia")</f>
        <v>Serratia</v>
      </c>
      <c r="D4984" t="str">
        <f>IFERROR(__xludf.DUMMYFUNCTION("""COMPUTED_VALUE"""),"fonticola")</f>
        <v>fonticola</v>
      </c>
      <c r="E4984" t="str">
        <f>IFERROR(__xludf.DUMMYFUNCTION("""COMPUTED_VALUE"""),"strain")</f>
        <v>strain</v>
      </c>
      <c r="F4984" t="str">
        <f>IFERROR(__xludf.DUMMYFUNCTION("""COMPUTED_VALUE"""),"GS2")</f>
        <v>GS2</v>
      </c>
    </row>
    <row r="4985" ht="15.75" customHeight="1">
      <c r="A4985" t="str">
        <f t="shared" si="1"/>
        <v>S.liquefaciens</v>
      </c>
      <c r="B4985" s="5" t="s">
        <v>31414</v>
      </c>
      <c r="C4985" s="6" t="str">
        <f>IFERROR(__xludf.DUMMYFUNCTION("SPLIT('2. c'!B4985, "" "", True, True)"),"Serratia")</f>
        <v>Serratia</v>
      </c>
      <c r="D4985" t="str">
        <f>IFERROR(__xludf.DUMMYFUNCTION("""COMPUTED_VALUE"""),"liquefaciens")</f>
        <v>liquefaciens</v>
      </c>
      <c r="E4985" t="str">
        <f>IFERROR(__xludf.DUMMYFUNCTION("""COMPUTED_VALUE"""),"ATCC")</f>
        <v>ATCC</v>
      </c>
      <c r="F4985">
        <f>IFERROR(__xludf.DUMMYFUNCTION("""COMPUTED_VALUE"""),27592.0)</f>
        <v>27592</v>
      </c>
    </row>
    <row r="4986" ht="15.75" customHeight="1">
      <c r="A4986" t="str">
        <f t="shared" si="1"/>
        <v>S.liquefaciens</v>
      </c>
      <c r="B4986" s="5" t="s">
        <v>31419</v>
      </c>
      <c r="C4986" s="6" t="str">
        <f>IFERROR(__xludf.DUMMYFUNCTION("SPLIT('2. c'!B4986, "" "", True, True)"),"Serratia")</f>
        <v>Serratia</v>
      </c>
      <c r="D4986" t="str">
        <f>IFERROR(__xludf.DUMMYFUNCTION("""COMPUTED_VALUE"""),"liquefaciens")</f>
        <v>liquefaciens</v>
      </c>
      <c r="E4986" t="str">
        <f>IFERROR(__xludf.DUMMYFUNCTION("""COMPUTED_VALUE"""),"strain")</f>
        <v>strain</v>
      </c>
      <c r="F4986" t="str">
        <f>IFERROR(__xludf.DUMMYFUNCTION("""COMPUTED_VALUE"""),"FDAARGOS_125")</f>
        <v>FDAARGOS_125</v>
      </c>
    </row>
    <row r="4987" ht="15.75" customHeight="1">
      <c r="A4987" t="str">
        <f t="shared" si="1"/>
        <v>S.liquefaciens</v>
      </c>
      <c r="B4987" s="5" t="s">
        <v>31422</v>
      </c>
      <c r="C4987" s="6" t="str">
        <f>IFERROR(__xludf.DUMMYFUNCTION("SPLIT('2. c'!B4987, "" "", True, True)"),"Serratia")</f>
        <v>Serratia</v>
      </c>
      <c r="D4987" t="str">
        <f>IFERROR(__xludf.DUMMYFUNCTION("""COMPUTED_VALUE"""),"liquefaciens")</f>
        <v>liquefaciens</v>
      </c>
      <c r="E4987" t="str">
        <f>IFERROR(__xludf.DUMMYFUNCTION("""COMPUTED_VALUE"""),"strain")</f>
        <v>strain</v>
      </c>
      <c r="F4987" t="str">
        <f>IFERROR(__xludf.DUMMYFUNCTION("""COMPUTED_VALUE"""),"HUMV-21")</f>
        <v>HUMV-21</v>
      </c>
    </row>
    <row r="4988" ht="15.75" customHeight="1">
      <c r="A4988" t="str">
        <f t="shared" si="1"/>
        <v>S.marcescens</v>
      </c>
      <c r="B4988" s="5" t="s">
        <v>31426</v>
      </c>
      <c r="C4988" s="6" t="str">
        <f>IFERROR(__xludf.DUMMYFUNCTION("SPLIT('2. c'!B4988, "" "", True, True)"),"Serratia")</f>
        <v>Serratia</v>
      </c>
      <c r="D4988" t="str">
        <f>IFERROR(__xludf.DUMMYFUNCTION("""COMPUTED_VALUE"""),"marcescens")</f>
        <v>marcescens</v>
      </c>
      <c r="E4988" t="str">
        <f>IFERROR(__xludf.DUMMYFUNCTION("""COMPUTED_VALUE"""),"FGI94")</f>
        <v>FGI94</v>
      </c>
    </row>
    <row r="4989" ht="15.75" customHeight="1">
      <c r="A4989" t="str">
        <f t="shared" si="1"/>
        <v>S.marcescens</v>
      </c>
      <c r="B4989" s="5" t="s">
        <v>31429</v>
      </c>
      <c r="C4989" s="6" t="str">
        <f>IFERROR(__xludf.DUMMYFUNCTION("SPLIT('2. c'!B4989, "" "", True, True)"),"Serratia")</f>
        <v>Serratia</v>
      </c>
      <c r="D4989" t="str">
        <f>IFERROR(__xludf.DUMMYFUNCTION("""COMPUTED_VALUE"""),"marcescens")</f>
        <v>marcescens</v>
      </c>
      <c r="E4989" t="str">
        <f>IFERROR(__xludf.DUMMYFUNCTION("""COMPUTED_VALUE"""),"SM39")</f>
        <v>SM39</v>
      </c>
    </row>
    <row r="4990" ht="15.75" customHeight="1">
      <c r="A4990" t="str">
        <f t="shared" si="1"/>
        <v>S.marcescens</v>
      </c>
      <c r="B4990" s="5" t="s">
        <v>31433</v>
      </c>
      <c r="C4990" s="6" t="str">
        <f>IFERROR(__xludf.DUMMYFUNCTION("SPLIT('2. c'!B4990, "" "", True, True)"),"Serratia")</f>
        <v>Serratia</v>
      </c>
      <c r="D4990" t="str">
        <f>IFERROR(__xludf.DUMMYFUNCTION("""COMPUTED_VALUE"""),"marcescens")</f>
        <v>marcescens</v>
      </c>
      <c r="E4990" t="str">
        <f>IFERROR(__xludf.DUMMYFUNCTION("""COMPUTED_VALUE"""),"strain")</f>
        <v>strain</v>
      </c>
      <c r="F4990" t="str">
        <f>IFERROR(__xludf.DUMMYFUNCTION("""COMPUTED_VALUE"""),"B3R3")</f>
        <v>B3R3</v>
      </c>
    </row>
    <row r="4991" ht="15.75" customHeight="1">
      <c r="A4991" t="str">
        <f t="shared" si="1"/>
        <v>S.marcescens</v>
      </c>
      <c r="B4991" s="5" t="s">
        <v>31441</v>
      </c>
      <c r="C4991" s="6" t="str">
        <f>IFERROR(__xludf.DUMMYFUNCTION("SPLIT('2. c'!B4991, "" "", True, True)"),"Serratia")</f>
        <v>Serratia</v>
      </c>
      <c r="D4991" t="str">
        <f>IFERROR(__xludf.DUMMYFUNCTION("""COMPUTED_VALUE"""),"marcescens")</f>
        <v>marcescens</v>
      </c>
      <c r="E4991" t="str">
        <f>IFERROR(__xludf.DUMMYFUNCTION("""COMPUTED_VALUE"""),"strain")</f>
        <v>strain</v>
      </c>
      <c r="F4991" t="str">
        <f>IFERROR(__xludf.DUMMYFUNCTION("""COMPUTED_VALUE"""),"CAV1492")</f>
        <v>CAV1492</v>
      </c>
    </row>
    <row r="4992" ht="15.75" customHeight="1">
      <c r="A4992" t="str">
        <f t="shared" si="1"/>
        <v>S.marcescens</v>
      </c>
      <c r="B4992" s="5" t="s">
        <v>31445</v>
      </c>
      <c r="C4992" s="6" t="str">
        <f>IFERROR(__xludf.DUMMYFUNCTION("SPLIT('2. c'!B4992, "" "", True, True)"),"Serratia")</f>
        <v>Serratia</v>
      </c>
      <c r="D4992" t="str">
        <f>IFERROR(__xludf.DUMMYFUNCTION("""COMPUTED_VALUE"""),"marcescens")</f>
        <v>marcescens</v>
      </c>
      <c r="E4992" t="str">
        <f>IFERROR(__xludf.DUMMYFUNCTION("""COMPUTED_VALUE"""),"strain")</f>
        <v>strain</v>
      </c>
      <c r="F4992" t="str">
        <f>IFERROR(__xludf.DUMMYFUNCTION("""COMPUTED_VALUE"""),"FDAARGOS_65")</f>
        <v>FDAARGOS_65</v>
      </c>
    </row>
    <row r="4993" ht="15.75" customHeight="1">
      <c r="A4993" t="str">
        <f t="shared" si="1"/>
        <v>S.marcescens</v>
      </c>
      <c r="B4993" s="5" t="s">
        <v>31450</v>
      </c>
      <c r="C4993" s="6" t="str">
        <f>IFERROR(__xludf.DUMMYFUNCTION("SPLIT('2. c'!B4993, "" "", True, True)"),"Serratia")</f>
        <v>Serratia</v>
      </c>
      <c r="D4993" t="str">
        <f>IFERROR(__xludf.DUMMYFUNCTION("""COMPUTED_VALUE"""),"marcescens")</f>
        <v>marcescens</v>
      </c>
      <c r="E4993" t="str">
        <f>IFERROR(__xludf.DUMMYFUNCTION("""COMPUTED_VALUE"""),"strain")</f>
        <v>strain</v>
      </c>
      <c r="F4993" t="str">
        <f>IFERROR(__xludf.DUMMYFUNCTION("""COMPUTED_VALUE"""),"RSC-14")</f>
        <v>RSC-14</v>
      </c>
      <c r="G4993" t="str">
        <f>IFERROR(__xludf.DUMMYFUNCTION("""COMPUTED_VALUE"""),"(KNU-AP07,")</f>
        <v>(KNU-AP07,</v>
      </c>
      <c r="H4993" t="str">
        <f>IFERROR(__xludf.DUMMYFUNCTION("""COMPUTED_VALUE"""),"KCTC")</f>
        <v>KCTC</v>
      </c>
      <c r="I4993" t="str">
        <f>IFERROR(__xludf.DUMMYFUNCTION("""COMPUTED_VALUE"""),"12887BP)")</f>
        <v>12887BP)</v>
      </c>
    </row>
    <row r="4994" ht="15.75" customHeight="1">
      <c r="A4994" t="str">
        <f t="shared" si="1"/>
        <v>S.marcescens</v>
      </c>
      <c r="B4994" s="5" t="s">
        <v>31454</v>
      </c>
      <c r="C4994" s="6" t="str">
        <f>IFERROR(__xludf.DUMMYFUNCTION("SPLIT('2. c'!B4994, "" "", True, True)"),"Serratia")</f>
        <v>Serratia</v>
      </c>
      <c r="D4994" t="str">
        <f>IFERROR(__xludf.DUMMYFUNCTION("""COMPUTED_VALUE"""),"marcescens")</f>
        <v>marcescens</v>
      </c>
      <c r="E4994" t="str">
        <f>IFERROR(__xludf.DUMMYFUNCTION("""COMPUTED_VALUE"""),"strain")</f>
        <v>strain</v>
      </c>
      <c r="F4994" t="str">
        <f>IFERROR(__xludf.DUMMYFUNCTION("""COMPUTED_VALUE"""),"SmUNAM836")</f>
        <v>SmUNAM836</v>
      </c>
    </row>
    <row r="4995" ht="15.75" customHeight="1">
      <c r="A4995" t="str">
        <f t="shared" si="1"/>
        <v>S.marcescens</v>
      </c>
      <c r="B4995" s="5" t="s">
        <v>31458</v>
      </c>
      <c r="C4995" s="6" t="str">
        <f>IFERROR(__xludf.DUMMYFUNCTION("SPLIT('2. c'!B4995, "" "", True, True)"),"Serratia")</f>
        <v>Serratia</v>
      </c>
      <c r="D4995" t="str">
        <f>IFERROR(__xludf.DUMMYFUNCTION("""COMPUTED_VALUE"""),"marcescens")</f>
        <v>marcescens</v>
      </c>
      <c r="E4995" t="str">
        <f>IFERROR(__xludf.DUMMYFUNCTION("""COMPUTED_VALUE"""),"strain")</f>
        <v>strain</v>
      </c>
      <c r="F4995" t="str">
        <f>IFERROR(__xludf.DUMMYFUNCTION("""COMPUTED_VALUE"""),"U36365")</f>
        <v>U36365</v>
      </c>
    </row>
    <row r="4996" ht="15.75" customHeight="1">
      <c r="A4996" t="str">
        <f t="shared" si="1"/>
        <v>S.marcescens</v>
      </c>
      <c r="B4996" s="5" t="s">
        <v>31462</v>
      </c>
      <c r="C4996" s="6" t="str">
        <f>IFERROR(__xludf.DUMMYFUNCTION("SPLIT('2. c'!B4996, "" "", True, True)"),"Serratia")</f>
        <v>Serratia</v>
      </c>
      <c r="D4996" t="str">
        <f>IFERROR(__xludf.DUMMYFUNCTION("""COMPUTED_VALUE"""),"marcescens")</f>
        <v>marcescens</v>
      </c>
      <c r="E4996" t="str">
        <f>IFERROR(__xludf.DUMMYFUNCTION("""COMPUTED_VALUE"""),"strain")</f>
        <v>strain</v>
      </c>
      <c r="F4996" t="str">
        <f>IFERROR(__xludf.DUMMYFUNCTION("""COMPUTED_VALUE"""),"UCI88")</f>
        <v>UCI88</v>
      </c>
    </row>
    <row r="4997" ht="15.75" customHeight="1">
      <c r="A4997" t="str">
        <f t="shared" si="1"/>
        <v>S.marcescens</v>
      </c>
      <c r="B4997" s="5" t="s">
        <v>31465</v>
      </c>
      <c r="C4997" s="6" t="str">
        <f>IFERROR(__xludf.DUMMYFUNCTION("SPLIT('2. c'!B4997, "" "", True, True)"),"Serratia")</f>
        <v>Serratia</v>
      </c>
      <c r="D4997" t="str">
        <f>IFERROR(__xludf.DUMMYFUNCTION("""COMPUTED_VALUE"""),"marcescens")</f>
        <v>marcescens</v>
      </c>
      <c r="E4997" t="str">
        <f>IFERROR(__xludf.DUMMYFUNCTION("""COMPUTED_VALUE"""),"subsp.")</f>
        <v>subsp.</v>
      </c>
      <c r="F4997" t="str">
        <f>IFERROR(__xludf.DUMMYFUNCTION("""COMPUTED_VALUE"""),"marcescens")</f>
        <v>marcescens</v>
      </c>
      <c r="G4997" t="str">
        <f>IFERROR(__xludf.DUMMYFUNCTION("""COMPUTED_VALUE"""),"Db11")</f>
        <v>Db11</v>
      </c>
    </row>
    <row r="4998" ht="15.75" customHeight="1">
      <c r="A4998" t="str">
        <f t="shared" si="1"/>
        <v>S.marcescens</v>
      </c>
      <c r="B4998" s="5" t="s">
        <v>31469</v>
      </c>
      <c r="C4998" s="6" t="str">
        <f>IFERROR(__xludf.DUMMYFUNCTION("SPLIT('2. c'!B4998, "" "", True, True)"),"Serratia")</f>
        <v>Serratia</v>
      </c>
      <c r="D4998" t="str">
        <f>IFERROR(__xludf.DUMMYFUNCTION("""COMPUTED_VALUE"""),"marcescens")</f>
        <v>marcescens</v>
      </c>
      <c r="E4998" t="str">
        <f>IFERROR(__xludf.DUMMYFUNCTION("""COMPUTED_VALUE"""),"WW4")</f>
        <v>WW4</v>
      </c>
    </row>
    <row r="4999" ht="15.75" customHeight="1">
      <c r="A4999" t="str">
        <f t="shared" si="1"/>
        <v>S.plymuthica</v>
      </c>
      <c r="B4999" s="5" t="s">
        <v>31473</v>
      </c>
      <c r="C4999" s="6" t="str">
        <f>IFERROR(__xludf.DUMMYFUNCTION("SPLIT('2. c'!B4999, "" "", True, True)"),"Serratia")</f>
        <v>Serratia</v>
      </c>
      <c r="D4999" t="str">
        <f>IFERROR(__xludf.DUMMYFUNCTION("""COMPUTED_VALUE"""),"plymuthica")</f>
        <v>plymuthica</v>
      </c>
      <c r="E4999" t="str">
        <f>IFERROR(__xludf.DUMMYFUNCTION("""COMPUTED_VALUE"""),"4Rx13")</f>
        <v>4Rx13</v>
      </c>
    </row>
    <row r="5000" ht="15.75" customHeight="1">
      <c r="A5000" t="str">
        <f t="shared" si="1"/>
        <v>S.plymuthica</v>
      </c>
      <c r="B5000" s="5" t="s">
        <v>31477</v>
      </c>
      <c r="C5000" s="6" t="str">
        <f>IFERROR(__xludf.DUMMYFUNCTION("SPLIT('2. c'!B5000, "" "", True, True)"),"Serratia")</f>
        <v>Serratia</v>
      </c>
      <c r="D5000" t="str">
        <f>IFERROR(__xludf.DUMMYFUNCTION("""COMPUTED_VALUE"""),"plymuthica")</f>
        <v>plymuthica</v>
      </c>
      <c r="E5000" t="str">
        <f>IFERROR(__xludf.DUMMYFUNCTION("""COMPUTED_VALUE"""),"AS9")</f>
        <v>AS9</v>
      </c>
    </row>
    <row r="5001" ht="15.75" customHeight="1">
      <c r="A5001" t="str">
        <f t="shared" si="1"/>
        <v>S.plymuthica</v>
      </c>
      <c r="B5001" s="5" t="s">
        <v>31480</v>
      </c>
      <c r="C5001" s="6" t="str">
        <f>IFERROR(__xludf.DUMMYFUNCTION("SPLIT('2. c'!B5001, "" "", True, True)"),"Serratia")</f>
        <v>Serratia</v>
      </c>
      <c r="D5001" t="str">
        <f>IFERROR(__xludf.DUMMYFUNCTION("""COMPUTED_VALUE"""),"plymuthica")</f>
        <v>plymuthica</v>
      </c>
      <c r="E5001" t="str">
        <f>IFERROR(__xludf.DUMMYFUNCTION("""COMPUTED_VALUE"""),"RVH1")</f>
        <v>RVH1</v>
      </c>
    </row>
    <row r="5002" ht="15.75" customHeight="1">
      <c r="A5002" t="str">
        <f t="shared" si="1"/>
        <v>S.plymuthica</v>
      </c>
      <c r="B5002" s="5" t="s">
        <v>31484</v>
      </c>
      <c r="C5002" s="6" t="str">
        <f>IFERROR(__xludf.DUMMYFUNCTION("SPLIT('2. c'!B5002, "" "", True, True)"),"Serratia")</f>
        <v>Serratia</v>
      </c>
      <c r="D5002" t="str">
        <f>IFERROR(__xludf.DUMMYFUNCTION("""COMPUTED_VALUE"""),"plymuthica")</f>
        <v>plymuthica</v>
      </c>
      <c r="E5002" t="str">
        <f>IFERROR(__xludf.DUMMYFUNCTION("""COMPUTED_VALUE"""),"S13")</f>
        <v>S13</v>
      </c>
    </row>
    <row r="5003" ht="15.75" customHeight="1">
      <c r="A5003" t="str">
        <f t="shared" si="1"/>
        <v>S.plymuthica</v>
      </c>
      <c r="B5003" s="5" t="s">
        <v>31486</v>
      </c>
      <c r="C5003" s="6" t="str">
        <f>IFERROR(__xludf.DUMMYFUNCTION("SPLIT('2. c'!B5003, "" "", True, True)"),"Serratia")</f>
        <v>Serratia</v>
      </c>
      <c r="D5003" t="str">
        <f>IFERROR(__xludf.DUMMYFUNCTION("""COMPUTED_VALUE"""),"plymuthica")</f>
        <v>plymuthica</v>
      </c>
      <c r="E5003" t="str">
        <f>IFERROR(__xludf.DUMMYFUNCTION("""COMPUTED_VALUE"""),"strain")</f>
        <v>strain</v>
      </c>
      <c r="F5003" t="str">
        <f>IFERROR(__xludf.DUMMYFUNCTION("""COMPUTED_VALUE"""),"3Re4-18")</f>
        <v>3Re4-18</v>
      </c>
    </row>
    <row r="5004" ht="15.75" customHeight="1">
      <c r="A5004" t="str">
        <f t="shared" si="1"/>
        <v>S.plymuthica</v>
      </c>
      <c r="B5004" s="5" t="s">
        <v>31489</v>
      </c>
      <c r="C5004" s="6" t="str">
        <f>IFERROR(__xludf.DUMMYFUNCTION("SPLIT('2. c'!B5004, "" "", True, True)"),"Serratia")</f>
        <v>Serratia</v>
      </c>
      <c r="D5004" t="str">
        <f>IFERROR(__xludf.DUMMYFUNCTION("""COMPUTED_VALUE"""),"plymuthica")</f>
        <v>plymuthica</v>
      </c>
      <c r="E5004" t="str">
        <f>IFERROR(__xludf.DUMMYFUNCTION("""COMPUTED_VALUE"""),"strain")</f>
        <v>strain</v>
      </c>
      <c r="F5004" t="str">
        <f>IFERROR(__xludf.DUMMYFUNCTION("""COMPUTED_VALUE"""),"3Rp8")</f>
        <v>3Rp8</v>
      </c>
    </row>
    <row r="5005" ht="15.75" customHeight="1">
      <c r="A5005" t="str">
        <f t="shared" si="1"/>
        <v>S.plymuthica</v>
      </c>
      <c r="B5005" s="5" t="s">
        <v>31493</v>
      </c>
      <c r="C5005" s="6" t="str">
        <f>IFERROR(__xludf.DUMMYFUNCTION("SPLIT('2. c'!B5005, "" "", True, True)"),"Serratia")</f>
        <v>Serratia</v>
      </c>
      <c r="D5005" t="str">
        <f>IFERROR(__xludf.DUMMYFUNCTION("""COMPUTED_VALUE"""),"plymuthica")</f>
        <v>plymuthica</v>
      </c>
      <c r="E5005" t="str">
        <f>IFERROR(__xludf.DUMMYFUNCTION("""COMPUTED_VALUE"""),"strain")</f>
        <v>strain</v>
      </c>
      <c r="F5005" t="str">
        <f>IFERROR(__xludf.DUMMYFUNCTION("""COMPUTED_VALUE"""),"V4")</f>
        <v>V4</v>
      </c>
    </row>
    <row r="5006" ht="15.75" customHeight="1">
      <c r="A5006" t="str">
        <f t="shared" si="1"/>
        <v>S.proteamaculans</v>
      </c>
      <c r="B5006" s="5" t="s">
        <v>31497</v>
      </c>
      <c r="C5006" s="6" t="str">
        <f>IFERROR(__xludf.DUMMYFUNCTION("SPLIT('2. c'!B5006, "" "", True, True)"),"Serratia")</f>
        <v>Serratia</v>
      </c>
      <c r="D5006" t="str">
        <f>IFERROR(__xludf.DUMMYFUNCTION("""COMPUTED_VALUE"""),"proteamaculans")</f>
        <v>proteamaculans</v>
      </c>
      <c r="E5006">
        <f>IFERROR(__xludf.DUMMYFUNCTION("""COMPUTED_VALUE"""),568.0)</f>
        <v>568</v>
      </c>
    </row>
    <row r="5007" ht="15.75" customHeight="1">
      <c r="A5007" t="str">
        <f t="shared" si="1"/>
        <v>S.rubidaea</v>
      </c>
      <c r="B5007" s="5" t="s">
        <v>31500</v>
      </c>
      <c r="C5007" s="6" t="str">
        <f>IFERROR(__xludf.DUMMYFUNCTION("SPLIT('2. c'!B5007, "" "", True, True)"),"Serratia")</f>
        <v>Serratia</v>
      </c>
      <c r="D5007" t="str">
        <f>IFERROR(__xludf.DUMMYFUNCTION("""COMPUTED_VALUE"""),"rubidaea")</f>
        <v>rubidaea</v>
      </c>
      <c r="E5007" t="str">
        <f>IFERROR(__xludf.DUMMYFUNCTION("""COMPUTED_VALUE"""),"strain")</f>
        <v>strain</v>
      </c>
      <c r="F5007">
        <f>IFERROR(__xludf.DUMMYFUNCTION("""COMPUTED_VALUE"""),1122.0)</f>
        <v>1122</v>
      </c>
    </row>
    <row r="5008" ht="15.75" customHeight="1">
      <c r="A5008" t="str">
        <f t="shared" si="1"/>
        <v>S.sp.</v>
      </c>
      <c r="B5008" s="5" t="s">
        <v>31507</v>
      </c>
      <c r="C5008" s="6" t="str">
        <f>IFERROR(__xludf.DUMMYFUNCTION("SPLIT('2. c'!B5008, "" "", True, True)"),"Serratia")</f>
        <v>Serratia</v>
      </c>
      <c r="D5008" t="str">
        <f>IFERROR(__xludf.DUMMYFUNCTION("""COMPUTED_VALUE"""),"sp.")</f>
        <v>sp.</v>
      </c>
      <c r="E5008" t="str">
        <f>IFERROR(__xludf.DUMMYFUNCTION("""COMPUTED_VALUE"""),"AS12")</f>
        <v>AS12</v>
      </c>
    </row>
    <row r="5009" ht="15.75" customHeight="1">
      <c r="A5009" t="str">
        <f t="shared" si="1"/>
        <v>S.sp.</v>
      </c>
      <c r="B5009" s="5" t="s">
        <v>31511</v>
      </c>
      <c r="C5009" s="6" t="str">
        <f>IFERROR(__xludf.DUMMYFUNCTION("SPLIT('2. c'!B5009, "" "", True, True)"),"Serratia")</f>
        <v>Serratia</v>
      </c>
      <c r="D5009" t="str">
        <f>IFERROR(__xludf.DUMMYFUNCTION("""COMPUTED_VALUE"""),"sp.")</f>
        <v>sp.</v>
      </c>
      <c r="E5009" t="str">
        <f>IFERROR(__xludf.DUMMYFUNCTION("""COMPUTED_VALUE"""),"AS13")</f>
        <v>AS13</v>
      </c>
    </row>
    <row r="5010" ht="15.75" customHeight="1">
      <c r="A5010" t="str">
        <f t="shared" si="1"/>
        <v>S.sp.</v>
      </c>
      <c r="B5010" s="5" t="s">
        <v>31513</v>
      </c>
      <c r="C5010" s="6" t="str">
        <f>IFERROR(__xludf.DUMMYFUNCTION("SPLIT('2. c'!B5010, "" "", True, True)"),"Serratia")</f>
        <v>Serratia</v>
      </c>
      <c r="D5010" t="str">
        <f>IFERROR(__xludf.DUMMYFUNCTION("""COMPUTED_VALUE"""),"sp.")</f>
        <v>sp.</v>
      </c>
      <c r="E5010" t="str">
        <f>IFERROR(__xludf.DUMMYFUNCTION("""COMPUTED_VALUE"""),"ATCC")</f>
        <v>ATCC</v>
      </c>
      <c r="F5010">
        <f>IFERROR(__xludf.DUMMYFUNCTION("""COMPUTED_VALUE"""),39006.0)</f>
        <v>39006</v>
      </c>
    </row>
    <row r="5011" ht="15.75" customHeight="1">
      <c r="A5011" t="str">
        <f t="shared" si="1"/>
        <v>S.sp.</v>
      </c>
      <c r="B5011" s="5" t="s">
        <v>31517</v>
      </c>
      <c r="C5011" s="6" t="str">
        <f>IFERROR(__xludf.DUMMYFUNCTION("SPLIT('2. c'!B5011, "" "", True, True)"),"Serratia")</f>
        <v>Serratia</v>
      </c>
      <c r="D5011" t="str">
        <f>IFERROR(__xludf.DUMMYFUNCTION("""COMPUTED_VALUE"""),"sp.")</f>
        <v>sp.</v>
      </c>
      <c r="E5011" t="str">
        <f>IFERROR(__xludf.DUMMYFUNCTION("""COMPUTED_VALUE"""),"FS14")</f>
        <v>FS14</v>
      </c>
    </row>
    <row r="5012" ht="15.75" customHeight="1">
      <c r="A5012" t="str">
        <f t="shared" si="1"/>
        <v>S.sp.</v>
      </c>
      <c r="B5012" s="5" t="s">
        <v>31520</v>
      </c>
      <c r="C5012" s="6" t="str">
        <f>IFERROR(__xludf.DUMMYFUNCTION("SPLIT('2. c'!B5012, "" "", True, True)"),"Serratia")</f>
        <v>Serratia</v>
      </c>
      <c r="D5012" t="str">
        <f>IFERROR(__xludf.DUMMYFUNCTION("""COMPUTED_VALUE"""),"sp.")</f>
        <v>sp.</v>
      </c>
      <c r="E5012" t="str">
        <f>IFERROR(__xludf.DUMMYFUNCTION("""COMPUTED_VALUE"""),"SCBI")</f>
        <v>SCBI</v>
      </c>
    </row>
    <row r="5013" ht="15.75" customHeight="1">
      <c r="A5013" t="str">
        <f t="shared" si="1"/>
        <v>S.symbiotica</v>
      </c>
      <c r="B5013" s="5" t="s">
        <v>31522</v>
      </c>
      <c r="C5013" s="6" t="str">
        <f>IFERROR(__xludf.DUMMYFUNCTION("SPLIT('2. c'!B5013, "" "", True, True)"),"Serratia")</f>
        <v>Serratia</v>
      </c>
      <c r="D5013" t="str">
        <f>IFERROR(__xludf.DUMMYFUNCTION("""COMPUTED_VALUE"""),"symbiotica")</f>
        <v>symbiotica</v>
      </c>
      <c r="E5013" t="str">
        <f>IFERROR(__xludf.DUMMYFUNCTION("""COMPUTED_VALUE"""),"str.")</f>
        <v>str.</v>
      </c>
      <c r="F5013" t="str">
        <f>IFERROR(__xludf.DUMMYFUNCTION("""COMPUTED_VALUE"""),"Cinara")</f>
        <v>Cinara</v>
      </c>
      <c r="G5013" t="str">
        <f>IFERROR(__xludf.DUMMYFUNCTION("""COMPUTED_VALUE"""),"cedri'")</f>
        <v>cedri'</v>
      </c>
    </row>
    <row r="5014" ht="15.75" customHeight="1">
      <c r="A5014" t="str">
        <f t="shared" si="1"/>
        <v>S.symbiotica</v>
      </c>
      <c r="B5014" s="5" t="s">
        <v>31526</v>
      </c>
      <c r="C5014" s="6" t="str">
        <f>IFERROR(__xludf.DUMMYFUNCTION("SPLIT('2. c'!B5014, "" "", True, True)"),"Serratia")</f>
        <v>Serratia</v>
      </c>
      <c r="D5014" t="str">
        <f>IFERROR(__xludf.DUMMYFUNCTION("""COMPUTED_VALUE"""),"symbiotica")</f>
        <v>symbiotica</v>
      </c>
      <c r="E5014" t="str">
        <f>IFERROR(__xludf.DUMMYFUNCTION("""COMPUTED_VALUE"""),"strain")</f>
        <v>strain</v>
      </c>
      <c r="F5014" t="str">
        <f>IFERROR(__xludf.DUMMYFUNCTION("""COMPUTED_VALUE"""),"STs")</f>
        <v>STs</v>
      </c>
    </row>
    <row r="5015" ht="15.75" customHeight="1">
      <c r="A5015" t="str">
        <f t="shared" si="1"/>
        <v>S.ureilytica</v>
      </c>
      <c r="B5015" s="5" t="s">
        <v>31529</v>
      </c>
      <c r="C5015" s="6" t="str">
        <f>IFERROR(__xludf.DUMMYFUNCTION("SPLIT('2. c'!B5015, "" "", True, True)"),"Serratia")</f>
        <v>Serratia</v>
      </c>
      <c r="D5015" t="str">
        <f>IFERROR(__xludf.DUMMYFUNCTION("""COMPUTED_VALUE"""),"ureilytica")</f>
        <v>ureilytica</v>
      </c>
      <c r="E5015" t="str">
        <f>IFERROR(__xludf.DUMMYFUNCTION("""COMPUTED_VALUE"""),"strain")</f>
        <v>strain</v>
      </c>
      <c r="F5015" t="str">
        <f>IFERROR(__xludf.DUMMYFUNCTION("""COMPUTED_VALUE"""),"Lr5/4")</f>
        <v>Lr5/4</v>
      </c>
    </row>
    <row r="5016" ht="15.75" customHeight="1">
      <c r="A5016" t="str">
        <f t="shared" si="1"/>
        <v>S.amazonensis</v>
      </c>
      <c r="B5016" s="5" t="s">
        <v>31532</v>
      </c>
      <c r="C5016" s="6" t="str">
        <f>IFERROR(__xludf.DUMMYFUNCTION("SPLIT('2. c'!B5016, "" "", True, True)"),"Shewanella")</f>
        <v>Shewanella</v>
      </c>
      <c r="D5016" t="str">
        <f>IFERROR(__xludf.DUMMYFUNCTION("""COMPUTED_VALUE"""),"amazonensis")</f>
        <v>amazonensis</v>
      </c>
      <c r="E5016" t="str">
        <f>IFERROR(__xludf.DUMMYFUNCTION("""COMPUTED_VALUE"""),"SB2B")</f>
        <v>SB2B</v>
      </c>
    </row>
    <row r="5017" ht="15.75" customHeight="1">
      <c r="A5017" t="str">
        <f t="shared" si="1"/>
        <v>S.baltica</v>
      </c>
      <c r="B5017" s="5" t="s">
        <v>31535</v>
      </c>
      <c r="C5017" s="6" t="str">
        <f>IFERROR(__xludf.DUMMYFUNCTION("SPLIT('2. c'!B5017, "" "", True, True)"),"Shewanella")</f>
        <v>Shewanella</v>
      </c>
      <c r="D5017" t="str">
        <f>IFERROR(__xludf.DUMMYFUNCTION("""COMPUTED_VALUE"""),"baltica")</f>
        <v>baltica</v>
      </c>
      <c r="E5017" t="str">
        <f>IFERROR(__xludf.DUMMYFUNCTION("""COMPUTED_VALUE"""),"OS117")</f>
        <v>OS117</v>
      </c>
    </row>
    <row r="5018" ht="15.75" customHeight="1">
      <c r="A5018" t="str">
        <f t="shared" si="1"/>
        <v>S.baltica</v>
      </c>
      <c r="B5018" s="5" t="s">
        <v>31538</v>
      </c>
      <c r="C5018" s="6" t="str">
        <f>IFERROR(__xludf.DUMMYFUNCTION("SPLIT('2. c'!B5018, "" "", True, True)"),"Shewanella")</f>
        <v>Shewanella</v>
      </c>
      <c r="D5018" t="str">
        <f>IFERROR(__xludf.DUMMYFUNCTION("""COMPUTED_VALUE"""),"baltica")</f>
        <v>baltica</v>
      </c>
      <c r="E5018" t="str">
        <f>IFERROR(__xludf.DUMMYFUNCTION("""COMPUTED_VALUE"""),"OS155")</f>
        <v>OS155</v>
      </c>
    </row>
    <row r="5019" ht="15.75" customHeight="1">
      <c r="A5019" t="str">
        <f t="shared" si="1"/>
        <v>S.baltica</v>
      </c>
      <c r="B5019" s="5" t="s">
        <v>31542</v>
      </c>
      <c r="C5019" s="6" t="str">
        <f>IFERROR(__xludf.DUMMYFUNCTION("SPLIT('2. c'!B5019, "" "", True, True)"),"Shewanella")</f>
        <v>Shewanella</v>
      </c>
      <c r="D5019" t="str">
        <f>IFERROR(__xludf.DUMMYFUNCTION("""COMPUTED_VALUE"""),"baltica")</f>
        <v>baltica</v>
      </c>
      <c r="E5019" t="str">
        <f>IFERROR(__xludf.DUMMYFUNCTION("""COMPUTED_VALUE"""),"OS185")</f>
        <v>OS185</v>
      </c>
    </row>
    <row r="5020" ht="15.75" customHeight="1">
      <c r="A5020" t="str">
        <f t="shared" si="1"/>
        <v>S.baltica</v>
      </c>
      <c r="B5020" s="5" t="s">
        <v>31544</v>
      </c>
      <c r="C5020" s="6" t="str">
        <f>IFERROR(__xludf.DUMMYFUNCTION("SPLIT('2. c'!B5020, "" "", True, True)"),"Shewanella")</f>
        <v>Shewanella</v>
      </c>
      <c r="D5020" t="str">
        <f>IFERROR(__xludf.DUMMYFUNCTION("""COMPUTED_VALUE"""),"baltica")</f>
        <v>baltica</v>
      </c>
      <c r="E5020" t="str">
        <f>IFERROR(__xludf.DUMMYFUNCTION("""COMPUTED_VALUE"""),"OS195")</f>
        <v>OS195</v>
      </c>
    </row>
    <row r="5021" ht="15.75" customHeight="1">
      <c r="A5021" t="str">
        <f t="shared" si="1"/>
        <v>S.baltica</v>
      </c>
      <c r="B5021" s="5" t="s">
        <v>31548</v>
      </c>
      <c r="C5021" s="6" t="str">
        <f>IFERROR(__xludf.DUMMYFUNCTION("SPLIT('2. c'!B5021, "" "", True, True)"),"Shewanella")</f>
        <v>Shewanella</v>
      </c>
      <c r="D5021" t="str">
        <f>IFERROR(__xludf.DUMMYFUNCTION("""COMPUTED_VALUE"""),"baltica")</f>
        <v>baltica</v>
      </c>
      <c r="E5021" t="str">
        <f>IFERROR(__xludf.DUMMYFUNCTION("""COMPUTED_VALUE"""),"OS223")</f>
        <v>OS223</v>
      </c>
    </row>
    <row r="5022" ht="15.75" customHeight="1">
      <c r="A5022" t="str">
        <f t="shared" si="1"/>
        <v>S.baltica</v>
      </c>
      <c r="B5022" s="5" t="s">
        <v>31551</v>
      </c>
      <c r="C5022" s="6" t="str">
        <f>IFERROR(__xludf.DUMMYFUNCTION("SPLIT('2. c'!B5022, "" "", True, True)"),"Shewanella")</f>
        <v>Shewanella</v>
      </c>
      <c r="D5022" t="str">
        <f>IFERROR(__xludf.DUMMYFUNCTION("""COMPUTED_VALUE"""),"baltica")</f>
        <v>baltica</v>
      </c>
      <c r="E5022" t="str">
        <f>IFERROR(__xludf.DUMMYFUNCTION("""COMPUTED_VALUE"""),"OS678")</f>
        <v>OS678</v>
      </c>
    </row>
    <row r="5023" ht="15.75" customHeight="1">
      <c r="A5023" t="str">
        <f t="shared" si="1"/>
        <v>S.denitrificans</v>
      </c>
      <c r="B5023" s="5" t="s">
        <v>31554</v>
      </c>
      <c r="C5023" s="6" t="str">
        <f>IFERROR(__xludf.DUMMYFUNCTION("SPLIT('2. c'!B5023, "" "", True, True)"),"Shewanella")</f>
        <v>Shewanella</v>
      </c>
      <c r="D5023" t="str">
        <f>IFERROR(__xludf.DUMMYFUNCTION("""COMPUTED_VALUE"""),"denitrificans")</f>
        <v>denitrificans</v>
      </c>
      <c r="E5023" t="str">
        <f>IFERROR(__xludf.DUMMYFUNCTION("""COMPUTED_VALUE"""),"OS217")</f>
        <v>OS217</v>
      </c>
    </row>
    <row r="5024" ht="15.75" customHeight="1">
      <c r="A5024" t="str">
        <f t="shared" si="1"/>
        <v>S.frigidimarina</v>
      </c>
      <c r="B5024" s="5" t="s">
        <v>31558</v>
      </c>
      <c r="C5024" s="6" t="str">
        <f>IFERROR(__xludf.DUMMYFUNCTION("SPLIT('2. c'!B5024, "" "", True, True)"),"Shewanella")</f>
        <v>Shewanella</v>
      </c>
      <c r="D5024" t="str">
        <f>IFERROR(__xludf.DUMMYFUNCTION("""COMPUTED_VALUE"""),"frigidimarina")</f>
        <v>frigidimarina</v>
      </c>
      <c r="E5024" t="str">
        <f>IFERROR(__xludf.DUMMYFUNCTION("""COMPUTED_VALUE"""),"NCIMB")</f>
        <v>NCIMB</v>
      </c>
      <c r="F5024">
        <f>IFERROR(__xludf.DUMMYFUNCTION("""COMPUTED_VALUE"""),400.0)</f>
        <v>400</v>
      </c>
    </row>
    <row r="5025" ht="15.75" customHeight="1">
      <c r="A5025" t="str">
        <f t="shared" si="1"/>
        <v>S.halifaxensis</v>
      </c>
      <c r="B5025" s="5" t="s">
        <v>31562</v>
      </c>
      <c r="C5025" s="6" t="str">
        <f>IFERROR(__xludf.DUMMYFUNCTION("SPLIT('2. c'!B5025, "" "", True, True)"),"Shewanella")</f>
        <v>Shewanella</v>
      </c>
      <c r="D5025" t="str">
        <f>IFERROR(__xludf.DUMMYFUNCTION("""COMPUTED_VALUE"""),"halifaxensis")</f>
        <v>halifaxensis</v>
      </c>
      <c r="E5025" t="str">
        <f>IFERROR(__xludf.DUMMYFUNCTION("""COMPUTED_VALUE"""),"HAW-EB4")</f>
        <v>HAW-EB4</v>
      </c>
    </row>
    <row r="5026" ht="15.75" customHeight="1">
      <c r="A5026" t="str">
        <f t="shared" si="1"/>
        <v>S.loihica</v>
      </c>
      <c r="B5026" s="5" t="s">
        <v>31565</v>
      </c>
      <c r="C5026" s="6" t="str">
        <f>IFERROR(__xludf.DUMMYFUNCTION("SPLIT('2. c'!B5026, "" "", True, True)"),"Shewanella")</f>
        <v>Shewanella</v>
      </c>
      <c r="D5026" t="str">
        <f>IFERROR(__xludf.DUMMYFUNCTION("""COMPUTED_VALUE"""),"loihica")</f>
        <v>loihica</v>
      </c>
      <c r="E5026" t="str">
        <f>IFERROR(__xludf.DUMMYFUNCTION("""COMPUTED_VALUE"""),"PV-4")</f>
        <v>PV-4</v>
      </c>
    </row>
    <row r="5027" ht="15.75" customHeight="1">
      <c r="A5027" t="str">
        <f t="shared" si="1"/>
        <v>S.oneidensis</v>
      </c>
      <c r="B5027" s="5" t="s">
        <v>31569</v>
      </c>
      <c r="C5027" s="6" t="str">
        <f>IFERROR(__xludf.DUMMYFUNCTION("SPLIT('2. c'!B5027, "" "", True, True)"),"Shewanella")</f>
        <v>Shewanella</v>
      </c>
      <c r="D5027" t="str">
        <f>IFERROR(__xludf.DUMMYFUNCTION("""COMPUTED_VALUE"""),"oneidensis")</f>
        <v>oneidensis</v>
      </c>
      <c r="E5027" t="str">
        <f>IFERROR(__xludf.DUMMYFUNCTION("""COMPUTED_VALUE"""),"MR-1")</f>
        <v>MR-1</v>
      </c>
    </row>
    <row r="5028" ht="15.75" customHeight="1">
      <c r="A5028" t="str">
        <f t="shared" si="1"/>
        <v>S.pealeana</v>
      </c>
      <c r="B5028" s="5" t="s">
        <v>31573</v>
      </c>
      <c r="C5028" s="6" t="str">
        <f>IFERROR(__xludf.DUMMYFUNCTION("SPLIT('2. c'!B5028, "" "", True, True)"),"Shewanella")</f>
        <v>Shewanella</v>
      </c>
      <c r="D5028" t="str">
        <f>IFERROR(__xludf.DUMMYFUNCTION("""COMPUTED_VALUE"""),"pealeana")</f>
        <v>pealeana</v>
      </c>
      <c r="E5028" t="str">
        <f>IFERROR(__xludf.DUMMYFUNCTION("""COMPUTED_VALUE"""),"ATCC")</f>
        <v>ATCC</v>
      </c>
      <c r="F5028">
        <f>IFERROR(__xludf.DUMMYFUNCTION("""COMPUTED_VALUE"""),700345.0)</f>
        <v>700345</v>
      </c>
    </row>
    <row r="5029" ht="15.75" customHeight="1">
      <c r="A5029" t="str">
        <f t="shared" si="1"/>
        <v>S.piezotolerans</v>
      </c>
      <c r="B5029" s="5" t="s">
        <v>31576</v>
      </c>
      <c r="C5029" s="6" t="str">
        <f>IFERROR(__xludf.DUMMYFUNCTION("SPLIT('2. c'!B5029, "" "", True, True)"),"Shewanella")</f>
        <v>Shewanella</v>
      </c>
      <c r="D5029" t="str">
        <f>IFERROR(__xludf.DUMMYFUNCTION("""COMPUTED_VALUE"""),"piezotolerans")</f>
        <v>piezotolerans</v>
      </c>
      <c r="E5029" t="str">
        <f>IFERROR(__xludf.DUMMYFUNCTION("""COMPUTED_VALUE"""),"WP3")</f>
        <v>WP3</v>
      </c>
    </row>
    <row r="5030" ht="15.75" customHeight="1">
      <c r="A5030" t="str">
        <f t="shared" si="1"/>
        <v>S.putrefaciens</v>
      </c>
      <c r="B5030" s="5" t="s">
        <v>31579</v>
      </c>
      <c r="C5030" s="6" t="str">
        <f>IFERROR(__xludf.DUMMYFUNCTION("SPLIT('2. c'!B5030, "" "", True, True)"),"Shewanella")</f>
        <v>Shewanella</v>
      </c>
      <c r="D5030" t="str">
        <f>IFERROR(__xludf.DUMMYFUNCTION("""COMPUTED_VALUE"""),"putrefaciens")</f>
        <v>putrefaciens</v>
      </c>
      <c r="E5030">
        <f>IFERROR(__xludf.DUMMYFUNCTION("""COMPUTED_VALUE"""),200.0)</f>
        <v>200</v>
      </c>
    </row>
    <row r="5031" ht="15.75" customHeight="1">
      <c r="A5031" t="str">
        <f t="shared" si="1"/>
        <v>S.putrefaciens</v>
      </c>
      <c r="B5031" s="5" t="s">
        <v>31583</v>
      </c>
      <c r="C5031" s="6" t="str">
        <f>IFERROR(__xludf.DUMMYFUNCTION("SPLIT('2. c'!B5031, "" "", True, True)"),"Shewanella")</f>
        <v>Shewanella</v>
      </c>
      <c r="D5031" t="str">
        <f>IFERROR(__xludf.DUMMYFUNCTION("""COMPUTED_VALUE"""),"putrefaciens")</f>
        <v>putrefaciens</v>
      </c>
      <c r="E5031" t="str">
        <f>IFERROR(__xludf.DUMMYFUNCTION("""COMPUTED_VALUE"""),"CN-32")</f>
        <v>CN-32</v>
      </c>
    </row>
    <row r="5032" ht="15.75" customHeight="1">
      <c r="A5032" t="str">
        <f t="shared" si="1"/>
        <v>S.sediminis</v>
      </c>
      <c r="B5032" s="5" t="s">
        <v>31586</v>
      </c>
      <c r="C5032" s="6" t="str">
        <f>IFERROR(__xludf.DUMMYFUNCTION("SPLIT('2. c'!B5032, "" "", True, True)"),"Shewanella")</f>
        <v>Shewanella</v>
      </c>
      <c r="D5032" t="str">
        <f>IFERROR(__xludf.DUMMYFUNCTION("""COMPUTED_VALUE"""),"sediminis")</f>
        <v>sediminis</v>
      </c>
      <c r="E5032" t="str">
        <f>IFERROR(__xludf.DUMMYFUNCTION("""COMPUTED_VALUE"""),"HAW-EB3")</f>
        <v>HAW-EB3</v>
      </c>
    </row>
    <row r="5033" ht="15.75" customHeight="1">
      <c r="A5033" t="str">
        <f t="shared" si="1"/>
        <v>S.sp.</v>
      </c>
      <c r="B5033" s="5" t="s">
        <v>31592</v>
      </c>
      <c r="C5033" s="6" t="str">
        <f>IFERROR(__xludf.DUMMYFUNCTION("SPLIT('2. c'!B5033, "" "", True, True)"),"Shewanella")</f>
        <v>Shewanella</v>
      </c>
      <c r="D5033" t="str">
        <f>IFERROR(__xludf.DUMMYFUNCTION("""COMPUTED_VALUE"""),"sp.")</f>
        <v>sp.</v>
      </c>
      <c r="E5033" t="str">
        <f>IFERROR(__xludf.DUMMYFUNCTION("""COMPUTED_VALUE"""),"ANA-3")</f>
        <v>ANA-3</v>
      </c>
    </row>
    <row r="5034" ht="15.75" customHeight="1">
      <c r="A5034" t="str">
        <f t="shared" si="1"/>
        <v>S.sp.</v>
      </c>
      <c r="B5034" s="5" t="s">
        <v>31596</v>
      </c>
      <c r="C5034" s="6" t="str">
        <f>IFERROR(__xludf.DUMMYFUNCTION("SPLIT('2. c'!B5034, "" "", True, True)"),"Shewanella")</f>
        <v>Shewanella</v>
      </c>
      <c r="D5034" t="str">
        <f>IFERROR(__xludf.DUMMYFUNCTION("""COMPUTED_VALUE"""),"sp.")</f>
        <v>sp.</v>
      </c>
      <c r="E5034" t="str">
        <f>IFERROR(__xludf.DUMMYFUNCTION("""COMPUTED_VALUE"""),"MR-4")</f>
        <v>MR-4</v>
      </c>
    </row>
    <row r="5035" ht="15.75" customHeight="1">
      <c r="A5035" t="str">
        <f t="shared" si="1"/>
        <v>S.sp.</v>
      </c>
      <c r="B5035" s="5" t="s">
        <v>31599</v>
      </c>
      <c r="C5035" s="6" t="str">
        <f>IFERROR(__xludf.DUMMYFUNCTION("SPLIT('2. c'!B5035, "" "", True, True)"),"Shewanella")</f>
        <v>Shewanella</v>
      </c>
      <c r="D5035" t="str">
        <f>IFERROR(__xludf.DUMMYFUNCTION("""COMPUTED_VALUE"""),"sp.")</f>
        <v>sp.</v>
      </c>
      <c r="E5035" t="str">
        <f>IFERROR(__xludf.DUMMYFUNCTION("""COMPUTED_VALUE"""),"MR-7")</f>
        <v>MR-7</v>
      </c>
    </row>
    <row r="5036" ht="15.75" customHeight="1">
      <c r="A5036" t="str">
        <f t="shared" si="1"/>
        <v>S.sp.</v>
      </c>
      <c r="B5036" s="5" t="s">
        <v>31603</v>
      </c>
      <c r="C5036" s="6" t="str">
        <f>IFERROR(__xludf.DUMMYFUNCTION("SPLIT('2. c'!B5036, "" "", True, True)"),"Shewanella")</f>
        <v>Shewanella</v>
      </c>
      <c r="D5036" t="str">
        <f>IFERROR(__xludf.DUMMYFUNCTION("""COMPUTED_VALUE"""),"sp.")</f>
        <v>sp.</v>
      </c>
      <c r="E5036" t="str">
        <f>IFERROR(__xludf.DUMMYFUNCTION("""COMPUTED_VALUE"""),"W3-18-1")</f>
        <v>W3-18-1</v>
      </c>
    </row>
    <row r="5037" ht="15.75" customHeight="1">
      <c r="A5037" t="str">
        <f t="shared" si="1"/>
        <v>S.violacea</v>
      </c>
      <c r="B5037" s="5" t="s">
        <v>31606</v>
      </c>
      <c r="C5037" s="6" t="str">
        <f>IFERROR(__xludf.DUMMYFUNCTION("SPLIT('2. c'!B5037, "" "", True, True)"),"Shewanella")</f>
        <v>Shewanella</v>
      </c>
      <c r="D5037" t="str">
        <f>IFERROR(__xludf.DUMMYFUNCTION("""COMPUTED_VALUE"""),"violacea")</f>
        <v>violacea</v>
      </c>
      <c r="E5037" t="str">
        <f>IFERROR(__xludf.DUMMYFUNCTION("""COMPUTED_VALUE"""),"DSS12")</f>
        <v>DSS12</v>
      </c>
    </row>
    <row r="5038" ht="15.75" customHeight="1">
      <c r="A5038" t="str">
        <f t="shared" si="1"/>
        <v>S.woodyi</v>
      </c>
      <c r="B5038" s="5" t="s">
        <v>31609</v>
      </c>
      <c r="C5038" s="6" t="str">
        <f>IFERROR(__xludf.DUMMYFUNCTION("SPLIT('2. c'!B5038, "" "", True, True)"),"Shewanella")</f>
        <v>Shewanella</v>
      </c>
      <c r="D5038" t="str">
        <f>IFERROR(__xludf.DUMMYFUNCTION("""COMPUTED_VALUE"""),"woodyi")</f>
        <v>woodyi</v>
      </c>
      <c r="E5038" t="str">
        <f>IFERROR(__xludf.DUMMYFUNCTION("""COMPUTED_VALUE"""),"ATCC")</f>
        <v>ATCC</v>
      </c>
      <c r="F5038">
        <f>IFERROR(__xludf.DUMMYFUNCTION("""COMPUTED_VALUE"""),51908.0)</f>
        <v>51908</v>
      </c>
    </row>
    <row r="5039" ht="15.75" customHeight="1">
      <c r="A5039" t="str">
        <f t="shared" si="1"/>
        <v>S.boydii</v>
      </c>
      <c r="B5039" s="5" t="s">
        <v>31615</v>
      </c>
      <c r="C5039" s="6" t="str">
        <f>IFERROR(__xludf.DUMMYFUNCTION("SPLIT('2. c'!B5039, "" "", True, True)"),"Shigella")</f>
        <v>Shigella</v>
      </c>
      <c r="D5039" t="str">
        <f>IFERROR(__xludf.DUMMYFUNCTION("""COMPUTED_VALUE"""),"boydii")</f>
        <v>boydii</v>
      </c>
      <c r="E5039" t="str">
        <f>IFERROR(__xludf.DUMMYFUNCTION("""COMPUTED_VALUE"""),"CDC")</f>
        <v>CDC</v>
      </c>
      <c r="F5039" t="str">
        <f>IFERROR(__xludf.DUMMYFUNCTION("""COMPUTED_VALUE"""),"3083-94")</f>
        <v>3083-94</v>
      </c>
    </row>
    <row r="5040" ht="15.75" customHeight="1">
      <c r="A5040" t="str">
        <f t="shared" si="1"/>
        <v>S.boydii</v>
      </c>
      <c r="B5040" s="5" t="s">
        <v>31618</v>
      </c>
      <c r="C5040" s="6" t="str">
        <f>IFERROR(__xludf.DUMMYFUNCTION("SPLIT('2. c'!B5040, "" "", True, True)"),"Shigella")</f>
        <v>Shigella</v>
      </c>
      <c r="D5040" t="str">
        <f>IFERROR(__xludf.DUMMYFUNCTION("""COMPUTED_VALUE"""),"boydii")</f>
        <v>boydii</v>
      </c>
      <c r="E5040" t="str">
        <f>IFERROR(__xludf.DUMMYFUNCTION("""COMPUTED_VALUE"""),"Sb227")</f>
        <v>Sb227</v>
      </c>
    </row>
    <row r="5041" ht="15.75" customHeight="1">
      <c r="A5041" t="str">
        <f t="shared" si="1"/>
        <v>S.boydii</v>
      </c>
      <c r="B5041" s="5" t="s">
        <v>31623</v>
      </c>
      <c r="C5041" s="6" t="str">
        <f>IFERROR(__xludf.DUMMYFUNCTION("SPLIT('2. c'!B5041, "" "", True, True)"),"Shigella")</f>
        <v>Shigella</v>
      </c>
      <c r="D5041" t="str">
        <f>IFERROR(__xludf.DUMMYFUNCTION("""COMPUTED_VALUE"""),"boydii")</f>
        <v>boydii</v>
      </c>
      <c r="E5041" t="str">
        <f>IFERROR(__xludf.DUMMYFUNCTION("""COMPUTED_VALUE"""),"strain")</f>
        <v>strain</v>
      </c>
      <c r="F5041" t="str">
        <f>IFERROR(__xludf.DUMMYFUNCTION("""COMPUTED_VALUE"""),"ATCC")</f>
        <v>ATCC</v>
      </c>
      <c r="G5041">
        <f>IFERROR(__xludf.DUMMYFUNCTION("""COMPUTED_VALUE"""),9210.0)</f>
        <v>9210</v>
      </c>
    </row>
    <row r="5042" ht="15.75" customHeight="1">
      <c r="A5042" t="str">
        <f t="shared" si="1"/>
        <v>S.dysenteriae</v>
      </c>
      <c r="B5042" s="5" t="s">
        <v>31629</v>
      </c>
      <c r="C5042" s="6" t="str">
        <f>IFERROR(__xludf.DUMMYFUNCTION("SPLIT('2. c'!B5042, "" "", True, True)"),"Shigella")</f>
        <v>Shigella</v>
      </c>
      <c r="D5042" t="str">
        <f>IFERROR(__xludf.DUMMYFUNCTION("""COMPUTED_VALUE"""),"dysenteriae")</f>
        <v>dysenteriae</v>
      </c>
      <c r="E5042">
        <f>IFERROR(__xludf.DUMMYFUNCTION("""COMPUTED_VALUE"""),1617.0)</f>
        <v>1617</v>
      </c>
    </row>
    <row r="5043" ht="15.75" customHeight="1">
      <c r="A5043" t="str">
        <f t="shared" si="1"/>
        <v>S.dysenteriae</v>
      </c>
      <c r="B5043" s="5" t="s">
        <v>31634</v>
      </c>
      <c r="C5043" s="6" t="str">
        <f>IFERROR(__xludf.DUMMYFUNCTION("SPLIT('2. c'!B5043, "" "", True, True)"),"Shigella")</f>
        <v>Shigella</v>
      </c>
      <c r="D5043" t="str">
        <f>IFERROR(__xludf.DUMMYFUNCTION("""COMPUTED_VALUE"""),"dysenteriae")</f>
        <v>dysenteriae</v>
      </c>
      <c r="E5043" t="str">
        <f>IFERROR(__xludf.DUMMYFUNCTION("""COMPUTED_VALUE"""),"Sd197")</f>
        <v>Sd197</v>
      </c>
    </row>
    <row r="5044" ht="15.75" customHeight="1">
      <c r="A5044" t="str">
        <f t="shared" si="1"/>
        <v>S.flexneri</v>
      </c>
      <c r="B5044" s="5" t="s">
        <v>31638</v>
      </c>
      <c r="C5044" s="6" t="str">
        <f>IFERROR(__xludf.DUMMYFUNCTION("SPLIT('2. c'!B5044, "" "", True, True)"),"Shigella")</f>
        <v>Shigella</v>
      </c>
      <c r="D5044" t="str">
        <f>IFERROR(__xludf.DUMMYFUNCTION("""COMPUTED_VALUE"""),"flexneri")</f>
        <v>flexneri</v>
      </c>
      <c r="E5044" t="str">
        <f>IFERROR(__xludf.DUMMYFUNCTION("""COMPUTED_VALUE"""),"1a")</f>
        <v>1a</v>
      </c>
    </row>
    <row r="5045" ht="15.75" customHeight="1">
      <c r="A5045" t="str">
        <f t="shared" si="1"/>
        <v>S.flexneri</v>
      </c>
      <c r="B5045" s="5" t="s">
        <v>31644</v>
      </c>
      <c r="C5045" s="6" t="str">
        <f>IFERROR(__xludf.DUMMYFUNCTION("SPLIT('2. c'!B5045, "" "", True, True)"),"Shigella")</f>
        <v>Shigella</v>
      </c>
      <c r="D5045" t="str">
        <f>IFERROR(__xludf.DUMMYFUNCTION("""COMPUTED_VALUE"""),"flexneri")</f>
        <v>flexneri</v>
      </c>
      <c r="E5045">
        <f>IFERROR(__xludf.DUMMYFUNCTION("""COMPUTED_VALUE"""),2002017.0)</f>
        <v>2002017</v>
      </c>
    </row>
    <row r="5046" ht="15.75" customHeight="1">
      <c r="A5046" t="str">
        <f t="shared" si="1"/>
        <v>S.flexneri</v>
      </c>
      <c r="B5046" s="5" t="s">
        <v>31651</v>
      </c>
      <c r="C5046" s="6" t="str">
        <f>IFERROR(__xludf.DUMMYFUNCTION("SPLIT('2. c'!B5046, "" "", True, True)"),"Shigella")</f>
        <v>Shigella</v>
      </c>
      <c r="D5046" t="str">
        <f>IFERROR(__xludf.DUMMYFUNCTION("""COMPUTED_VALUE"""),"flexneri")</f>
        <v>flexneri</v>
      </c>
      <c r="E5046">
        <f>IFERROR(__xludf.DUMMYFUNCTION("""COMPUTED_VALUE"""),2003036.0)</f>
        <v>2003036</v>
      </c>
    </row>
    <row r="5047" ht="15.75" customHeight="1">
      <c r="A5047" t="str">
        <f t="shared" si="1"/>
        <v>S.flexneri</v>
      </c>
      <c r="B5047" s="5" t="s">
        <v>31656</v>
      </c>
      <c r="C5047" s="6" t="str">
        <f>IFERROR(__xludf.DUMMYFUNCTION("SPLIT('2. c'!B5047, "" "", True, True)"),"Shigella")</f>
        <v>Shigella</v>
      </c>
      <c r="D5047" t="str">
        <f>IFERROR(__xludf.DUMMYFUNCTION("""COMPUTED_VALUE"""),"flexneri")</f>
        <v>flexneri</v>
      </c>
      <c r="E5047" t="str">
        <f>IFERROR(__xludf.DUMMYFUNCTION("""COMPUTED_VALUE"""),"2a")</f>
        <v>2a</v>
      </c>
    </row>
    <row r="5048" ht="15.75" customHeight="1">
      <c r="A5048" t="str">
        <f t="shared" si="1"/>
        <v>S.flexneri</v>
      </c>
      <c r="B5048" s="5" t="s">
        <v>31662</v>
      </c>
      <c r="C5048" s="6" t="str">
        <f>IFERROR(__xludf.DUMMYFUNCTION("SPLIT('2. c'!B5048, "" "", True, True)"),"Shigella")</f>
        <v>Shigella</v>
      </c>
      <c r="D5048" t="str">
        <f>IFERROR(__xludf.DUMMYFUNCTION("""COMPUTED_VALUE"""),"flexneri")</f>
        <v>flexneri</v>
      </c>
      <c r="E5048" t="str">
        <f>IFERROR(__xludf.DUMMYFUNCTION("""COMPUTED_VALUE"""),"2a")</f>
        <v>2a</v>
      </c>
      <c r="F5048" t="str">
        <f>IFERROR(__xludf.DUMMYFUNCTION("""COMPUTED_VALUE"""),"str.")</f>
        <v>str.</v>
      </c>
      <c r="G5048" t="str">
        <f>IFERROR(__xludf.DUMMYFUNCTION("""COMPUTED_VALUE"""),"2457T")</f>
        <v>2457T</v>
      </c>
    </row>
    <row r="5049" ht="15.75" customHeight="1">
      <c r="A5049" t="str">
        <f t="shared" si="1"/>
        <v>S.flexneri</v>
      </c>
      <c r="B5049" s="5" t="s">
        <v>31666</v>
      </c>
      <c r="C5049" s="6" t="str">
        <f>IFERROR(__xludf.DUMMYFUNCTION("SPLIT('2. c'!B5049, "" "", True, True)"),"Shigella")</f>
        <v>Shigella</v>
      </c>
      <c r="D5049" t="str">
        <f>IFERROR(__xludf.DUMMYFUNCTION("""COMPUTED_VALUE"""),"flexneri")</f>
        <v>flexneri</v>
      </c>
      <c r="E5049" t="str">
        <f>IFERROR(__xludf.DUMMYFUNCTION("""COMPUTED_VALUE"""),"2a")</f>
        <v>2a</v>
      </c>
      <c r="F5049" t="str">
        <f>IFERROR(__xludf.DUMMYFUNCTION("""COMPUTED_VALUE"""),"str.")</f>
        <v>str.</v>
      </c>
      <c r="G5049">
        <f>IFERROR(__xludf.DUMMYFUNCTION("""COMPUTED_VALUE"""),301.0)</f>
        <v>301</v>
      </c>
    </row>
    <row r="5050" ht="15.75" customHeight="1">
      <c r="A5050" t="str">
        <f t="shared" si="1"/>
        <v>S.flexneri</v>
      </c>
      <c r="B5050" s="5" t="s">
        <v>31673</v>
      </c>
      <c r="C5050" s="6" t="str">
        <f>IFERROR(__xludf.DUMMYFUNCTION("SPLIT('2. c'!B5050, "" "", True, True)"),"Shigella")</f>
        <v>Shigella</v>
      </c>
      <c r="D5050" t="str">
        <f>IFERROR(__xludf.DUMMYFUNCTION("""COMPUTED_VALUE"""),"flexneri")</f>
        <v>flexneri</v>
      </c>
      <c r="E5050" t="str">
        <f>IFERROR(__xludf.DUMMYFUNCTION("""COMPUTED_VALUE"""),"4c")</f>
        <v>4c</v>
      </c>
    </row>
    <row r="5051" ht="15.75" customHeight="1">
      <c r="A5051" t="str">
        <f t="shared" si="1"/>
        <v>S.flexneri</v>
      </c>
      <c r="B5051" s="5" t="s">
        <v>31678</v>
      </c>
      <c r="C5051" s="6" t="str">
        <f>IFERROR(__xludf.DUMMYFUNCTION("SPLIT('2. c'!B5051, "" "", True, True)"),"Shigella")</f>
        <v>Shigella</v>
      </c>
      <c r="D5051" t="str">
        <f>IFERROR(__xludf.DUMMYFUNCTION("""COMPUTED_VALUE"""),"flexneri")</f>
        <v>flexneri</v>
      </c>
      <c r="E5051">
        <f>IFERROR(__xludf.DUMMYFUNCTION("""COMPUTED_VALUE"""),5.0)</f>
        <v>5</v>
      </c>
      <c r="F5051" t="str">
        <f>IFERROR(__xludf.DUMMYFUNCTION("""COMPUTED_VALUE"""),"str.")</f>
        <v>str.</v>
      </c>
      <c r="G5051">
        <f>IFERROR(__xludf.DUMMYFUNCTION("""COMPUTED_VALUE"""),8401.0)</f>
        <v>8401</v>
      </c>
    </row>
    <row r="5052" ht="15.75" customHeight="1">
      <c r="A5052" t="str">
        <f t="shared" si="1"/>
        <v>S.flexneri</v>
      </c>
      <c r="B5052" s="5" t="s">
        <v>31686</v>
      </c>
      <c r="C5052" s="6" t="str">
        <f>IFERROR(__xludf.DUMMYFUNCTION("SPLIT('2. c'!B5052, "" "", True, True)"),"Shigella")</f>
        <v>Shigella</v>
      </c>
      <c r="D5052" t="str">
        <f>IFERROR(__xludf.DUMMYFUNCTION("""COMPUTED_VALUE"""),"flexneri")</f>
        <v>flexneri</v>
      </c>
      <c r="E5052" t="str">
        <f>IFERROR(__xludf.DUMMYFUNCTION("""COMPUTED_VALUE"""),"5a")</f>
        <v>5a</v>
      </c>
      <c r="F5052" t="str">
        <f>IFERROR(__xludf.DUMMYFUNCTION("""COMPUTED_VALUE"""),"str.")</f>
        <v>str.</v>
      </c>
      <c r="G5052" t="str">
        <f>IFERROR(__xludf.DUMMYFUNCTION("""COMPUTED_VALUE"""),"M90T")</f>
        <v>M90T</v>
      </c>
    </row>
    <row r="5053" ht="15.75" customHeight="1">
      <c r="A5053" t="str">
        <f t="shared" si="1"/>
        <v>S.flexneri</v>
      </c>
      <c r="B5053" s="5" t="s">
        <v>31691</v>
      </c>
      <c r="C5053" s="6" t="str">
        <f>IFERROR(__xludf.DUMMYFUNCTION("SPLIT('2. c'!B5053, "" "", True, True)"),"Shigella")</f>
        <v>Shigella</v>
      </c>
      <c r="D5053" t="str">
        <f>IFERROR(__xludf.DUMMYFUNCTION("""COMPUTED_VALUE"""),"flexneri")</f>
        <v>flexneri</v>
      </c>
      <c r="E5053" t="str">
        <f>IFERROR(__xludf.DUMMYFUNCTION("""COMPUTED_VALUE"""),"G1663")</f>
        <v>G1663</v>
      </c>
    </row>
    <row r="5054" ht="15.75" customHeight="1">
      <c r="A5054" t="str">
        <f t="shared" si="1"/>
        <v>S.flexneri</v>
      </c>
      <c r="B5054" s="5" t="s">
        <v>31700</v>
      </c>
      <c r="C5054" s="6" t="str">
        <f>IFERROR(__xludf.DUMMYFUNCTION("SPLIT('2. c'!B5054, "" "", True, True)"),"Shigella")</f>
        <v>Shigella</v>
      </c>
      <c r="D5054" t="str">
        <f>IFERROR(__xludf.DUMMYFUNCTION("""COMPUTED_VALUE"""),"flexneri")</f>
        <v>flexneri</v>
      </c>
      <c r="E5054" t="str">
        <f>IFERROR(__xludf.DUMMYFUNCTION("""COMPUTED_VALUE"""),"Shi06HN006")</f>
        <v>Shi06HN006</v>
      </c>
    </row>
    <row r="5055" ht="15.75" customHeight="1">
      <c r="A5055" t="str">
        <f t="shared" si="1"/>
        <v>S.flexneri</v>
      </c>
      <c r="B5055" s="5" t="s">
        <v>31703</v>
      </c>
      <c r="C5055" s="6" t="str">
        <f>IFERROR(__xludf.DUMMYFUNCTION("SPLIT('2. c'!B5055, "" "", True, True)"),"Shigella")</f>
        <v>Shigella</v>
      </c>
      <c r="D5055" t="str">
        <f>IFERROR(__xludf.DUMMYFUNCTION("""COMPUTED_VALUE"""),"flexneri")</f>
        <v>flexneri</v>
      </c>
      <c r="E5055" t="str">
        <f>IFERROR(__xludf.DUMMYFUNCTION("""COMPUTED_VALUE"""),"strain")</f>
        <v>strain</v>
      </c>
      <c r="F5055" t="str">
        <f>IFERROR(__xludf.DUMMYFUNCTION("""COMPUTED_VALUE"""),"NCTC1")</f>
        <v>NCTC1</v>
      </c>
    </row>
    <row r="5056" ht="15.75" customHeight="1">
      <c r="A5056" t="str">
        <f t="shared" si="1"/>
        <v>S.sonnei</v>
      </c>
      <c r="B5056" s="5" t="s">
        <v>31704</v>
      </c>
      <c r="C5056" s="6" t="str">
        <f>IFERROR(__xludf.DUMMYFUNCTION("SPLIT('2. c'!B5056, "" "", True, True)"),"Shigella")</f>
        <v>Shigella</v>
      </c>
      <c r="D5056" t="str">
        <f>IFERROR(__xludf.DUMMYFUNCTION("""COMPUTED_VALUE"""),"sonnei")</f>
        <v>sonnei</v>
      </c>
      <c r="E5056" t="str">
        <f>IFERROR(__xludf.DUMMYFUNCTION("""COMPUTED_VALUE"""),"53G")</f>
        <v>53G</v>
      </c>
    </row>
    <row r="5057" ht="15.75" customHeight="1">
      <c r="A5057" t="str">
        <f t="shared" si="1"/>
        <v>S.sonnei</v>
      </c>
      <c r="B5057" s="5" t="s">
        <v>31706</v>
      </c>
      <c r="C5057" s="6" t="str">
        <f>IFERROR(__xludf.DUMMYFUNCTION("SPLIT('2. c'!B5057, "" "", True, True)"),"Shigella")</f>
        <v>Shigella</v>
      </c>
      <c r="D5057" t="str">
        <f>IFERROR(__xludf.DUMMYFUNCTION("""COMPUTED_VALUE"""),"sonnei")</f>
        <v>sonnei</v>
      </c>
      <c r="E5057" t="str">
        <f>IFERROR(__xludf.DUMMYFUNCTION("""COMPUTED_VALUE"""),"Ss046")</f>
        <v>Ss046</v>
      </c>
    </row>
    <row r="5058" ht="15.75" customHeight="1">
      <c r="A5058" t="str">
        <f t="shared" si="1"/>
        <v>S.sonnei</v>
      </c>
      <c r="B5058" s="5" t="s">
        <v>31708</v>
      </c>
      <c r="C5058" s="6" t="str">
        <f>IFERROR(__xludf.DUMMYFUNCTION("SPLIT('2. c'!B5058, "" "", True, True)"),"Shigella")</f>
        <v>Shigella</v>
      </c>
      <c r="D5058" t="str">
        <f>IFERROR(__xludf.DUMMYFUNCTION("""COMPUTED_VALUE"""),"sonnei")</f>
        <v>sonnei</v>
      </c>
      <c r="E5058" t="str">
        <f>IFERROR(__xludf.DUMMYFUNCTION("""COMPUTED_VALUE"""),"strain")</f>
        <v>strain</v>
      </c>
      <c r="F5058" t="str">
        <f>IFERROR(__xludf.DUMMYFUNCTION("""COMPUTED_VALUE"""),"FDAARGOS_90")</f>
        <v>FDAARGOS_90</v>
      </c>
    </row>
    <row r="5059" ht="15.75" customHeight="1">
      <c r="A5059" t="str">
        <f t="shared" si="1"/>
        <v>S.sonnei</v>
      </c>
      <c r="B5059" s="5" t="s">
        <v>31713</v>
      </c>
      <c r="C5059" s="6" t="str">
        <f>IFERROR(__xludf.DUMMYFUNCTION("SPLIT('2. c'!B5059, "" "", True, True)"),"Shigella")</f>
        <v>Shigella</v>
      </c>
      <c r="D5059" t="str">
        <f>IFERROR(__xludf.DUMMYFUNCTION("""COMPUTED_VALUE"""),"sonnei")</f>
        <v>sonnei</v>
      </c>
      <c r="E5059" t="str">
        <f>IFERROR(__xludf.DUMMYFUNCTION("""COMPUTED_VALUE"""),"strain")</f>
        <v>strain</v>
      </c>
      <c r="F5059" t="str">
        <f>IFERROR(__xludf.DUMMYFUNCTION("""COMPUTED_VALUE"""),"FORC_011")</f>
        <v>FORC_011</v>
      </c>
    </row>
    <row r="5060" ht="15.75" customHeight="1">
      <c r="A5060" t="str">
        <f t="shared" si="1"/>
        <v>S.sp.</v>
      </c>
      <c r="B5060" s="5" t="s">
        <v>31718</v>
      </c>
      <c r="C5060" s="6" t="str">
        <f>IFERROR(__xludf.DUMMYFUNCTION("SPLIT('2. c'!B5060, "" "", True, True)"),"Shigella")</f>
        <v>Shigella</v>
      </c>
      <c r="D5060" t="str">
        <f>IFERROR(__xludf.DUMMYFUNCTION("""COMPUTED_VALUE"""),"sp.")</f>
        <v>sp.</v>
      </c>
      <c r="E5060" t="str">
        <f>IFERROR(__xludf.DUMMYFUNCTION("""COMPUTED_VALUE"""),"PAMC")</f>
        <v>PAMC</v>
      </c>
      <c r="F5060">
        <f>IFERROR(__xludf.DUMMYFUNCTION("""COMPUTED_VALUE"""),28760.0)</f>
        <v>28760</v>
      </c>
    </row>
    <row r="5061" ht="15.75" customHeight="1">
      <c r="A5061" t="str">
        <f t="shared" si="1"/>
        <v>S.blattae</v>
      </c>
      <c r="B5061" s="5" t="s">
        <v>31721</v>
      </c>
      <c r="C5061" s="6" t="str">
        <f>IFERROR(__xludf.DUMMYFUNCTION("SPLIT('2. c'!B5061, "" "", True, True)"),"Shimwellia")</f>
        <v>Shimwellia</v>
      </c>
      <c r="D5061" t="str">
        <f>IFERROR(__xludf.DUMMYFUNCTION("""COMPUTED_VALUE"""),"blattae")</f>
        <v>blattae</v>
      </c>
      <c r="E5061" t="str">
        <f>IFERROR(__xludf.DUMMYFUNCTION("""COMPUTED_VALUE"""),"DSM")</f>
        <v>DSM</v>
      </c>
      <c r="F5061">
        <f>IFERROR(__xludf.DUMMYFUNCTION("""COMPUTED_VALUE"""),4481.0)</f>
        <v>4481</v>
      </c>
      <c r="G5061" t="str">
        <f>IFERROR(__xludf.DUMMYFUNCTION("""COMPUTED_VALUE"""),"=")</f>
        <v>=</v>
      </c>
      <c r="H5061" t="str">
        <f>IFERROR(__xludf.DUMMYFUNCTION("""COMPUTED_VALUE"""),"NBRC")</f>
        <v>NBRC</v>
      </c>
      <c r="I5061">
        <f>IFERROR(__xludf.DUMMYFUNCTION("""COMPUTED_VALUE"""),105725.0)</f>
        <v>105725</v>
      </c>
    </row>
    <row r="5062" ht="15.75" customHeight="1">
      <c r="A5062" t="str">
        <f t="shared" si="1"/>
        <v>S.sp.</v>
      </c>
      <c r="B5062" s="5" t="s">
        <v>31728</v>
      </c>
      <c r="C5062" s="6" t="str">
        <f>IFERROR(__xludf.DUMMYFUNCTION("SPLIT('2. c'!B5062, "" "", True, True)"),"Shinella")</f>
        <v>Shinella</v>
      </c>
      <c r="D5062" t="str">
        <f>IFERROR(__xludf.DUMMYFUNCTION("""COMPUTED_VALUE"""),"sp.")</f>
        <v>sp.</v>
      </c>
      <c r="E5062" t="str">
        <f>IFERROR(__xludf.DUMMYFUNCTION("""COMPUTED_VALUE"""),"HZN7")</f>
        <v>HZN7</v>
      </c>
    </row>
    <row r="5063" ht="15.75" customHeight="1">
      <c r="A5063" t="str">
        <f t="shared" si="1"/>
        <v>S.zeaxanthinifaciens</v>
      </c>
      <c r="B5063" s="5" t="s">
        <v>31737</v>
      </c>
      <c r="C5063" s="6" t="str">
        <f>IFERROR(__xludf.DUMMYFUNCTION("SPLIT('2. c'!B5063, "" "", True, True)"),"Siansivirga")</f>
        <v>Siansivirga</v>
      </c>
      <c r="D5063" t="str">
        <f>IFERROR(__xludf.DUMMYFUNCTION("""COMPUTED_VALUE"""),"zeaxanthinifaciens")</f>
        <v>zeaxanthinifaciens</v>
      </c>
      <c r="E5063" t="str">
        <f>IFERROR(__xludf.DUMMYFUNCTION("""COMPUTED_VALUE"""),"CC-SAMT-1")</f>
        <v>CC-SAMT-1</v>
      </c>
    </row>
    <row r="5064" ht="15.75" customHeight="1">
      <c r="A5064" t="str">
        <f t="shared" si="1"/>
        <v>S.lithotrophicus</v>
      </c>
      <c r="B5064" s="5" t="s">
        <v>31745</v>
      </c>
      <c r="C5064" s="6" t="str">
        <f>IFERROR(__xludf.DUMMYFUNCTION("SPLIT('2. c'!B5064, "" "", True, True)"),"Sideroxydans")</f>
        <v>Sideroxydans</v>
      </c>
      <c r="D5064" t="str">
        <f>IFERROR(__xludf.DUMMYFUNCTION("""COMPUTED_VALUE"""),"lithotrophicus")</f>
        <v>lithotrophicus</v>
      </c>
      <c r="E5064" t="str">
        <f>IFERROR(__xludf.DUMMYFUNCTION("""COMPUTED_VALUE"""),"ES-1")</f>
        <v>ES-1</v>
      </c>
    </row>
    <row r="5065" ht="15.75" customHeight="1">
      <c r="A5065" t="str">
        <f t="shared" si="1"/>
        <v>S.agarivorans</v>
      </c>
      <c r="B5065" s="5" t="s">
        <v>31754</v>
      </c>
      <c r="C5065" s="6" t="str">
        <f>IFERROR(__xludf.DUMMYFUNCTION("SPLIT('2. c'!B5065, "" "", True, True)"),"Simiduia")</f>
        <v>Simiduia</v>
      </c>
      <c r="D5065" t="str">
        <f>IFERROR(__xludf.DUMMYFUNCTION("""COMPUTED_VALUE"""),"agarivorans")</f>
        <v>agarivorans</v>
      </c>
      <c r="E5065" t="str">
        <f>IFERROR(__xludf.DUMMYFUNCTION("""COMPUTED_VALUE"""),"SA1")</f>
        <v>SA1</v>
      </c>
      <c r="F5065" t="str">
        <f>IFERROR(__xludf.DUMMYFUNCTION("""COMPUTED_VALUE"""),"=")</f>
        <v>=</v>
      </c>
      <c r="G5065" t="str">
        <f>IFERROR(__xludf.DUMMYFUNCTION("""COMPUTED_VALUE"""),"DSM")</f>
        <v>DSM</v>
      </c>
      <c r="H5065">
        <f>IFERROR(__xludf.DUMMYFUNCTION("""COMPUTED_VALUE"""),21679.0)</f>
        <v>21679</v>
      </c>
    </row>
    <row r="5066" ht="15.75" customHeight="1">
      <c r="A5066" t="str">
        <f t="shared" si="1"/>
        <v>S.negevensis</v>
      </c>
      <c r="B5066" s="5" t="s">
        <v>31765</v>
      </c>
      <c r="C5066" s="6" t="str">
        <f>IFERROR(__xludf.DUMMYFUNCTION("SPLIT('2. c'!B5066, "" "", True, True)"),"Simkania")</f>
        <v>Simkania</v>
      </c>
      <c r="D5066" t="str">
        <f>IFERROR(__xludf.DUMMYFUNCTION("""COMPUTED_VALUE"""),"negevensis")</f>
        <v>negevensis</v>
      </c>
      <c r="E5066" t="str">
        <f>IFERROR(__xludf.DUMMYFUNCTION("""COMPUTED_VALUE"""),"Z")</f>
        <v>Z</v>
      </c>
    </row>
    <row r="5067" ht="15.75" customHeight="1">
      <c r="A5067" t="str">
        <f t="shared" si="1"/>
        <v>S.atrocyanea</v>
      </c>
      <c r="B5067" s="5" t="s">
        <v>31773</v>
      </c>
      <c r="C5067" s="6" t="str">
        <f>IFERROR(__xludf.DUMMYFUNCTION("SPLIT('2. c'!B5067, "" "", True, True)"),"Sinomonas")</f>
        <v>Sinomonas</v>
      </c>
      <c r="D5067" t="str">
        <f>IFERROR(__xludf.DUMMYFUNCTION("""COMPUTED_VALUE"""),"atrocyanea")</f>
        <v>atrocyanea</v>
      </c>
      <c r="E5067" t="str">
        <f>IFERROR(__xludf.DUMMYFUNCTION("""COMPUTED_VALUE"""),"strain")</f>
        <v>strain</v>
      </c>
      <c r="F5067" t="str">
        <f>IFERROR(__xludf.DUMMYFUNCTION("""COMPUTED_VALUE"""),"KCTC")</f>
        <v>KCTC</v>
      </c>
      <c r="G5067">
        <f>IFERROR(__xludf.DUMMYFUNCTION("""COMPUTED_VALUE"""),3377.0)</f>
        <v>3377</v>
      </c>
    </row>
    <row r="5068" ht="15.75" customHeight="1">
      <c r="A5068" t="str">
        <f t="shared" si="1"/>
        <v>S.fredii</v>
      </c>
      <c r="B5068" s="5" t="s">
        <v>31780</v>
      </c>
      <c r="C5068" s="6" t="str">
        <f>IFERROR(__xludf.DUMMYFUNCTION("SPLIT('2. c'!B5068, "" "", True, True)"),"Sinorhizobium")</f>
        <v>Sinorhizobium</v>
      </c>
      <c r="D5068" t="str">
        <f>IFERROR(__xludf.DUMMYFUNCTION("""COMPUTED_VALUE"""),"fredii")</f>
        <v>fredii</v>
      </c>
      <c r="E5068" t="str">
        <f>IFERROR(__xludf.DUMMYFUNCTION("""COMPUTED_VALUE"""),"HH103")</f>
        <v>HH103</v>
      </c>
    </row>
    <row r="5069" ht="15.75" customHeight="1">
      <c r="A5069" t="str">
        <f t="shared" si="1"/>
        <v>S.fredii</v>
      </c>
      <c r="B5069" s="5" t="s">
        <v>31786</v>
      </c>
      <c r="C5069" s="6" t="str">
        <f>IFERROR(__xludf.DUMMYFUNCTION("SPLIT('2. c'!B5069, "" "", True, True)"),"Sinorhizobium")</f>
        <v>Sinorhizobium</v>
      </c>
      <c r="D5069" t="str">
        <f>IFERROR(__xludf.DUMMYFUNCTION("""COMPUTED_VALUE"""),"fredii")</f>
        <v>fredii</v>
      </c>
      <c r="E5069" t="str">
        <f>IFERROR(__xludf.DUMMYFUNCTION("""COMPUTED_VALUE"""),"NGR234")</f>
        <v>NGR234</v>
      </c>
    </row>
    <row r="5070" ht="15.75" customHeight="1">
      <c r="A5070" t="str">
        <f t="shared" si="1"/>
        <v>S.fredii</v>
      </c>
      <c r="B5070" s="5" t="s">
        <v>31791</v>
      </c>
      <c r="C5070" s="6" t="str">
        <f>IFERROR(__xludf.DUMMYFUNCTION("SPLIT('2. c'!B5070, "" "", True, True)"),"Sinorhizobium")</f>
        <v>Sinorhizobium</v>
      </c>
      <c r="D5070" t="str">
        <f>IFERROR(__xludf.DUMMYFUNCTION("""COMPUTED_VALUE"""),"fredii")</f>
        <v>fredii</v>
      </c>
      <c r="E5070" t="str">
        <f>IFERROR(__xludf.DUMMYFUNCTION("""COMPUTED_VALUE"""),"USDA")</f>
        <v>USDA</v>
      </c>
      <c r="F5070">
        <f>IFERROR(__xludf.DUMMYFUNCTION("""COMPUTED_VALUE"""),257.0)</f>
        <v>257</v>
      </c>
    </row>
    <row r="5071" ht="15.75" customHeight="1">
      <c r="A5071" t="str">
        <f t="shared" si="1"/>
        <v>S.medicae</v>
      </c>
      <c r="B5071" s="5" t="s">
        <v>31796</v>
      </c>
      <c r="C5071" s="6" t="str">
        <f>IFERROR(__xludf.DUMMYFUNCTION("SPLIT('2. c'!B5071, "" "", True, True)"),"Sinorhizobium")</f>
        <v>Sinorhizobium</v>
      </c>
      <c r="D5071" t="str">
        <f>IFERROR(__xludf.DUMMYFUNCTION("""COMPUTED_VALUE"""),"medicae")</f>
        <v>medicae</v>
      </c>
      <c r="E5071" t="str">
        <f>IFERROR(__xludf.DUMMYFUNCTION("""COMPUTED_VALUE"""),"WSM419")</f>
        <v>WSM419</v>
      </c>
    </row>
    <row r="5072" ht="15.75" customHeight="1">
      <c r="A5072" t="str">
        <f t="shared" si="1"/>
        <v>S.meliloti</v>
      </c>
      <c r="B5072" s="5" t="s">
        <v>31805</v>
      </c>
      <c r="C5072" s="6" t="str">
        <f>IFERROR(__xludf.DUMMYFUNCTION("SPLIT('2. c'!B5072, "" "", True, True)"),"Sinorhizobium")</f>
        <v>Sinorhizobium</v>
      </c>
      <c r="D5072" t="str">
        <f>IFERROR(__xludf.DUMMYFUNCTION("""COMPUTED_VALUE"""),"meliloti")</f>
        <v>meliloti</v>
      </c>
      <c r="E5072">
        <f>IFERROR(__xludf.DUMMYFUNCTION("""COMPUTED_VALUE"""),1021.0)</f>
        <v>1021</v>
      </c>
    </row>
    <row r="5073" ht="15.75" customHeight="1">
      <c r="A5073" t="str">
        <f t="shared" si="1"/>
        <v>S.meliloti</v>
      </c>
      <c r="B5073" s="5" t="s">
        <v>31812</v>
      </c>
      <c r="C5073" s="6" t="str">
        <f>IFERROR(__xludf.DUMMYFUNCTION("SPLIT('2. c'!B5073, "" "", True, True)"),"Sinorhizobium")</f>
        <v>Sinorhizobium</v>
      </c>
      <c r="D5073" t="str">
        <f>IFERROR(__xludf.DUMMYFUNCTION("""COMPUTED_VALUE"""),"meliloti")</f>
        <v>meliloti</v>
      </c>
      <c r="E5073">
        <f>IFERROR(__xludf.DUMMYFUNCTION("""COMPUTED_VALUE"""),2011.0)</f>
        <v>2011</v>
      </c>
    </row>
    <row r="5074" ht="15.75" customHeight="1">
      <c r="A5074" t="str">
        <f t="shared" si="1"/>
        <v>S.meliloti</v>
      </c>
      <c r="B5074" s="5" t="s">
        <v>31818</v>
      </c>
      <c r="C5074" s="6" t="str">
        <f>IFERROR(__xludf.DUMMYFUNCTION("SPLIT('2. c'!B5074, "" "", True, True)"),"Sinorhizobium")</f>
        <v>Sinorhizobium</v>
      </c>
      <c r="D5074" t="str">
        <f>IFERROR(__xludf.DUMMYFUNCTION("""COMPUTED_VALUE"""),"meliloti")</f>
        <v>meliloti</v>
      </c>
      <c r="E5074" t="str">
        <f>IFERROR(__xludf.DUMMYFUNCTION("""COMPUTED_VALUE"""),"GR4")</f>
        <v>GR4</v>
      </c>
    </row>
    <row r="5075" ht="15.75" customHeight="1">
      <c r="A5075" t="str">
        <f t="shared" si="1"/>
        <v>S.meliloti</v>
      </c>
      <c r="B5075" s="5" t="s">
        <v>31822</v>
      </c>
      <c r="C5075" s="6" t="str">
        <f>IFERROR(__xludf.DUMMYFUNCTION("SPLIT('2. c'!B5075, "" "", True, True)"),"Sinorhizobium")</f>
        <v>Sinorhizobium</v>
      </c>
      <c r="D5075" t="str">
        <f>IFERROR(__xludf.DUMMYFUNCTION("""COMPUTED_VALUE"""),"meliloti")</f>
        <v>meliloti</v>
      </c>
      <c r="E5075" t="str">
        <f>IFERROR(__xludf.DUMMYFUNCTION("""COMPUTED_VALUE"""),"Rm41")</f>
        <v>Rm41</v>
      </c>
    </row>
    <row r="5076" ht="15.75" customHeight="1">
      <c r="A5076" t="str">
        <f t="shared" si="1"/>
        <v>S.meliloti</v>
      </c>
      <c r="B5076" s="5" t="s">
        <v>31826</v>
      </c>
      <c r="C5076" s="6" t="str">
        <f>IFERROR(__xludf.DUMMYFUNCTION("SPLIT('2. c'!B5076, "" "", True, True)"),"Sinorhizobium")</f>
        <v>Sinorhizobium</v>
      </c>
      <c r="D5076" t="str">
        <f>IFERROR(__xludf.DUMMYFUNCTION("""COMPUTED_VALUE"""),"meliloti")</f>
        <v>meliloti</v>
      </c>
      <c r="E5076" t="str">
        <f>IFERROR(__xludf.DUMMYFUNCTION("""COMPUTED_VALUE"""),"RU11/001")</f>
        <v>RU11/001</v>
      </c>
    </row>
    <row r="5077" ht="15.75" customHeight="1">
      <c r="A5077" t="str">
        <f t="shared" si="1"/>
        <v>S.meliloti</v>
      </c>
      <c r="B5077" s="5" t="s">
        <v>31829</v>
      </c>
      <c r="C5077" s="6" t="str">
        <f>IFERROR(__xludf.DUMMYFUNCTION("SPLIT('2. c'!B5077, "" "", True, True)"),"Sinorhizobium")</f>
        <v>Sinorhizobium</v>
      </c>
      <c r="D5077" t="str">
        <f>IFERROR(__xludf.DUMMYFUNCTION("""COMPUTED_VALUE"""),"meliloti")</f>
        <v>meliloti</v>
      </c>
      <c r="E5077" t="str">
        <f>IFERROR(__xludf.DUMMYFUNCTION("""COMPUTED_VALUE"""),"SM11")</f>
        <v>SM11</v>
      </c>
    </row>
    <row r="5078" ht="15.75" customHeight="1">
      <c r="A5078" t="str">
        <f t="shared" si="1"/>
        <v>S.meliloti</v>
      </c>
      <c r="B5078" s="5" t="s">
        <v>31832</v>
      </c>
      <c r="C5078" s="6" t="str">
        <f>IFERROR(__xludf.DUMMYFUNCTION("SPLIT('2. c'!B5078, "" "", True, True)"),"Sinorhizobium")</f>
        <v>Sinorhizobium</v>
      </c>
      <c r="D5078" t="str">
        <f>IFERROR(__xludf.DUMMYFUNCTION("""COMPUTED_VALUE"""),"meliloti")</f>
        <v>meliloti</v>
      </c>
      <c r="E5078" t="str">
        <f>IFERROR(__xludf.DUMMYFUNCTION("""COMPUTED_VALUE"""),"strain")</f>
        <v>strain</v>
      </c>
      <c r="F5078" t="str">
        <f>IFERROR(__xludf.DUMMYFUNCTION("""COMPUTED_VALUE"""),"RMO17")</f>
        <v>RMO17</v>
      </c>
    </row>
    <row r="5079" ht="15.75" customHeight="1">
      <c r="A5079" t="str">
        <f t="shared" si="1"/>
        <v>S.heliotrinireducens</v>
      </c>
      <c r="B5079" s="5" t="s">
        <v>31837</v>
      </c>
      <c r="C5079" s="6" t="str">
        <f>IFERROR(__xludf.DUMMYFUNCTION("SPLIT('2. c'!B5079, "" "", True, True)"),"Slackia")</f>
        <v>Slackia</v>
      </c>
      <c r="D5079" t="str">
        <f>IFERROR(__xludf.DUMMYFUNCTION("""COMPUTED_VALUE"""),"heliotrinireducens")</f>
        <v>heliotrinireducens</v>
      </c>
      <c r="E5079" t="str">
        <f>IFERROR(__xludf.DUMMYFUNCTION("""COMPUTED_VALUE"""),"DSM")</f>
        <v>DSM</v>
      </c>
      <c r="F5079">
        <f>IFERROR(__xludf.DUMMYFUNCTION("""COMPUTED_VALUE"""),20476.0)</f>
        <v>20476</v>
      </c>
    </row>
    <row r="5080" ht="15.75" customHeight="1">
      <c r="A5080" t="str">
        <f t="shared" si="1"/>
        <v>S.alvi</v>
      </c>
      <c r="B5080" s="5" t="s">
        <v>31841</v>
      </c>
      <c r="C5080" s="6" t="str">
        <f>IFERROR(__xludf.DUMMYFUNCTION("SPLIT('2. c'!B5080, "" "", True, True)"),"Snodgrassella")</f>
        <v>Snodgrassella</v>
      </c>
      <c r="D5080" t="str">
        <f>IFERROR(__xludf.DUMMYFUNCTION("""COMPUTED_VALUE"""),"alvi")</f>
        <v>alvi</v>
      </c>
      <c r="E5080" t="str">
        <f>IFERROR(__xludf.DUMMYFUNCTION("""COMPUTED_VALUE"""),"wkB2")</f>
        <v>wkB2</v>
      </c>
    </row>
    <row r="5081" ht="15.75" customHeight="1">
      <c r="A5081" t="str">
        <f t="shared" si="1"/>
        <v>S.glossinidius</v>
      </c>
      <c r="B5081" s="5" t="s">
        <v>31845</v>
      </c>
      <c r="C5081" s="6" t="str">
        <f>IFERROR(__xludf.DUMMYFUNCTION("SPLIT('2. c'!B5081, "" "", True, True)"),"Sodalis")</f>
        <v>Sodalis</v>
      </c>
      <c r="D5081" t="str">
        <f>IFERROR(__xludf.DUMMYFUNCTION("""COMPUTED_VALUE"""),"glossinidius")</f>
        <v>glossinidius</v>
      </c>
      <c r="E5081" t="str">
        <f>IFERROR(__xludf.DUMMYFUNCTION("""COMPUTED_VALUE"""),"str.")</f>
        <v>str.</v>
      </c>
      <c r="F5081" t="str">
        <f>IFERROR(__xludf.DUMMYFUNCTION("""COMPUTED_VALUE"""),"morsitans'")</f>
        <v>morsitans'</v>
      </c>
    </row>
    <row r="5082" ht="15.75" customHeight="1">
      <c r="A5082" t="str">
        <f t="shared" si="1"/>
        <v>S.sp.</v>
      </c>
      <c r="B5082" s="5" t="s">
        <v>31849</v>
      </c>
      <c r="C5082" s="6" t="str">
        <f>IFERROR(__xludf.DUMMYFUNCTION("SPLIT('2. c'!B5082, "" "", True, True)"),"Sodalis")</f>
        <v>Sodalis</v>
      </c>
      <c r="D5082" t="str">
        <f>IFERROR(__xludf.DUMMYFUNCTION("""COMPUTED_VALUE"""),"sp.")</f>
        <v>sp.</v>
      </c>
      <c r="E5082" t="str">
        <f>IFERROR(__xludf.DUMMYFUNCTION("""COMPUTED_VALUE"""),"HS1")</f>
        <v>HS1</v>
      </c>
    </row>
    <row r="5083" ht="15.75" customHeight="1">
      <c r="A5083" t="str">
        <f t="shared" si="1"/>
        <v>S.silvestris</v>
      </c>
      <c r="B5083" s="5" t="s">
        <v>31853</v>
      </c>
      <c r="C5083" s="6" t="str">
        <f>IFERROR(__xludf.DUMMYFUNCTION("SPLIT('2. c'!B5083, "" "", True, True)"),"Solibacillus")</f>
        <v>Solibacillus</v>
      </c>
      <c r="D5083" t="str">
        <f>IFERROR(__xludf.DUMMYFUNCTION("""COMPUTED_VALUE"""),"silvestris")</f>
        <v>silvestris</v>
      </c>
      <c r="E5083" t="str">
        <f>IFERROR(__xludf.DUMMYFUNCTION("""COMPUTED_VALUE"""),"StLB046")</f>
        <v>StLB046</v>
      </c>
    </row>
    <row r="5084" ht="15.75" customHeight="1">
      <c r="A5084" t="str">
        <f t="shared" si="1"/>
        <v>S.silvestris</v>
      </c>
      <c r="B5084" s="5" t="s">
        <v>31858</v>
      </c>
      <c r="C5084" s="6" t="str">
        <f>IFERROR(__xludf.DUMMYFUNCTION("SPLIT('2. c'!B5084, "" "", True, True)"),"Solibacillus")</f>
        <v>Solibacillus</v>
      </c>
      <c r="D5084" t="str">
        <f>IFERROR(__xludf.DUMMYFUNCTION("""COMPUTED_VALUE"""),"silvestris")</f>
        <v>silvestris</v>
      </c>
      <c r="E5084" t="str">
        <f>IFERROR(__xludf.DUMMYFUNCTION("""COMPUTED_VALUE"""),"strain")</f>
        <v>strain</v>
      </c>
      <c r="F5084" t="str">
        <f>IFERROR(__xludf.DUMMYFUNCTION("""COMPUTED_VALUE"""),"DSM")</f>
        <v>DSM</v>
      </c>
      <c r="G5084">
        <f>IFERROR(__xludf.DUMMYFUNCTION("""COMPUTED_VALUE"""),12223.0)</f>
        <v>12223</v>
      </c>
    </row>
    <row r="5085" ht="15.75" customHeight="1">
      <c r="A5085" t="str">
        <f t="shared" si="1"/>
        <v>S.cellulosum</v>
      </c>
      <c r="B5085" s="5" t="s">
        <v>31864</v>
      </c>
      <c r="C5085" s="6" t="str">
        <f>IFERROR(__xludf.DUMMYFUNCTION("SPLIT('2. c'!B5085, "" "", True, True)"),"Sorangium")</f>
        <v>Sorangium</v>
      </c>
      <c r="D5085" t="str">
        <f>IFERROR(__xludf.DUMMYFUNCTION("""COMPUTED_VALUE"""),"cellulosum")</f>
        <v>cellulosum</v>
      </c>
      <c r="E5085" t="str">
        <f>IFERROR(__xludf.DUMMYFUNCTION("""COMPUTED_VALUE"""),"So")</f>
        <v>So</v>
      </c>
      <c r="F5085" t="str">
        <f>IFERROR(__xludf.DUMMYFUNCTION("""COMPUTED_VALUE"""),"ce56")</f>
        <v>ce56</v>
      </c>
    </row>
    <row r="5086" ht="15.75" customHeight="1">
      <c r="A5086" t="str">
        <f t="shared" si="1"/>
        <v>S.cellulosum</v>
      </c>
      <c r="B5086" s="5" t="s">
        <v>31870</v>
      </c>
      <c r="C5086" s="6" t="str">
        <f>IFERROR(__xludf.DUMMYFUNCTION("SPLIT('2. c'!B5086, "" "", True, True)"),"Sorangium")</f>
        <v>Sorangium</v>
      </c>
      <c r="D5086" t="str">
        <f>IFERROR(__xludf.DUMMYFUNCTION("""COMPUTED_VALUE"""),"cellulosum")</f>
        <v>cellulosum</v>
      </c>
      <c r="E5086" t="str">
        <f>IFERROR(__xludf.DUMMYFUNCTION("""COMPUTED_VALUE"""),"So0157-2")</f>
        <v>So0157-2</v>
      </c>
    </row>
    <row r="5087" ht="15.75" customHeight="1">
      <c r="A5087" t="str">
        <f t="shared" si="1"/>
        <v>S.thermophilus</v>
      </c>
      <c r="B5087" s="5" t="s">
        <v>31880</v>
      </c>
      <c r="C5087" s="6" t="str">
        <f>IFERROR(__xludf.DUMMYFUNCTION("SPLIT('2. c'!B5087, "" "", True, True)"),"Sphaerobacter")</f>
        <v>Sphaerobacter</v>
      </c>
      <c r="D5087" t="str">
        <f>IFERROR(__xludf.DUMMYFUNCTION("""COMPUTED_VALUE"""),"thermophilus")</f>
        <v>thermophilus</v>
      </c>
      <c r="E5087" t="str">
        <f>IFERROR(__xludf.DUMMYFUNCTION("""COMPUTED_VALUE"""),"DSM")</f>
        <v>DSM</v>
      </c>
      <c r="F5087">
        <f>IFERROR(__xludf.DUMMYFUNCTION("""COMPUTED_VALUE"""),20745.0)</f>
        <v>20745</v>
      </c>
    </row>
    <row r="5088" ht="15.75" customHeight="1">
      <c r="A5088" t="str">
        <f t="shared" si="1"/>
        <v>S.coccoides</v>
      </c>
      <c r="B5088" s="5" t="s">
        <v>31889</v>
      </c>
      <c r="C5088" s="6" t="str">
        <f>IFERROR(__xludf.DUMMYFUNCTION("SPLIT('2. c'!B5088, "" "", True, True)"),"Sphaerochaeta")</f>
        <v>Sphaerochaeta</v>
      </c>
      <c r="D5088" t="str">
        <f>IFERROR(__xludf.DUMMYFUNCTION("""COMPUTED_VALUE"""),"coccoides")</f>
        <v>coccoides</v>
      </c>
      <c r="E5088" t="str">
        <f>IFERROR(__xludf.DUMMYFUNCTION("""COMPUTED_VALUE"""),"DSM")</f>
        <v>DSM</v>
      </c>
      <c r="F5088">
        <f>IFERROR(__xludf.DUMMYFUNCTION("""COMPUTED_VALUE"""),17374.0)</f>
        <v>17374</v>
      </c>
    </row>
    <row r="5089" ht="15.75" customHeight="1">
      <c r="A5089" t="str">
        <f t="shared" si="1"/>
        <v>S.globosa</v>
      </c>
      <c r="B5089" s="5" t="s">
        <v>31895</v>
      </c>
      <c r="C5089" s="6" t="str">
        <f>IFERROR(__xludf.DUMMYFUNCTION("SPLIT('2. c'!B5089, "" "", True, True)"),"Sphaerochaeta")</f>
        <v>Sphaerochaeta</v>
      </c>
      <c r="D5089" t="str">
        <f>IFERROR(__xludf.DUMMYFUNCTION("""COMPUTED_VALUE"""),"globosa")</f>
        <v>globosa</v>
      </c>
      <c r="E5089" t="str">
        <f>IFERROR(__xludf.DUMMYFUNCTION("""COMPUTED_VALUE"""),"str.")</f>
        <v>str.</v>
      </c>
      <c r="F5089" t="str">
        <f>IFERROR(__xludf.DUMMYFUNCTION("""COMPUTED_VALUE"""),"Buddy")</f>
        <v>Buddy</v>
      </c>
    </row>
    <row r="5090" ht="15.75" customHeight="1">
      <c r="A5090" t="str">
        <f t="shared" si="1"/>
        <v>S.pleomorpha</v>
      </c>
      <c r="B5090" s="5" t="s">
        <v>31901</v>
      </c>
      <c r="C5090" s="6" t="str">
        <f>IFERROR(__xludf.DUMMYFUNCTION("SPLIT('2. c'!B5090, "" "", True, True)"),"Sphaerochaeta")</f>
        <v>Sphaerochaeta</v>
      </c>
      <c r="D5090" t="str">
        <f>IFERROR(__xludf.DUMMYFUNCTION("""COMPUTED_VALUE"""),"pleomorpha")</f>
        <v>pleomorpha</v>
      </c>
      <c r="E5090" t="str">
        <f>IFERROR(__xludf.DUMMYFUNCTION("""COMPUTED_VALUE"""),"str.")</f>
        <v>str.</v>
      </c>
      <c r="F5090" t="str">
        <f>IFERROR(__xludf.DUMMYFUNCTION("""COMPUTED_VALUE"""),"Grapes")</f>
        <v>Grapes</v>
      </c>
    </row>
    <row r="5091" ht="15.75" customHeight="1">
      <c r="A5091" t="str">
        <f t="shared" si="1"/>
        <v>S.sp.</v>
      </c>
      <c r="B5091" s="5" t="s">
        <v>31908</v>
      </c>
      <c r="C5091" s="6" t="str">
        <f>IFERROR(__xludf.DUMMYFUNCTION("SPLIT('2. c'!B5091, "" "", True, True)"),"Sphingobacterium")</f>
        <v>Sphingobacterium</v>
      </c>
      <c r="D5091" t="str">
        <f>IFERROR(__xludf.DUMMYFUNCTION("""COMPUTED_VALUE"""),"sp.")</f>
        <v>sp.</v>
      </c>
      <c r="E5091">
        <f>IFERROR(__xludf.DUMMYFUNCTION("""COMPUTED_VALUE"""),21.0)</f>
        <v>21</v>
      </c>
    </row>
    <row r="5092" ht="15.75" customHeight="1">
      <c r="A5092" t="str">
        <f t="shared" si="1"/>
        <v>S.sp.</v>
      </c>
      <c r="B5092" s="5" t="s">
        <v>31913</v>
      </c>
      <c r="C5092" s="6" t="str">
        <f>IFERROR(__xludf.DUMMYFUNCTION("SPLIT('2. c'!B5092, "" "", True, True)"),"Sphingobacterium")</f>
        <v>Sphingobacterium</v>
      </c>
      <c r="D5092" t="str">
        <f>IFERROR(__xludf.DUMMYFUNCTION("""COMPUTED_VALUE"""),"sp.")</f>
        <v>sp.</v>
      </c>
      <c r="E5092" t="str">
        <f>IFERROR(__xludf.DUMMYFUNCTION("""COMPUTED_VALUE"""),"ML3W")</f>
        <v>ML3W</v>
      </c>
    </row>
    <row r="5093" ht="15.75" customHeight="1">
      <c r="A5093" t="str">
        <f t="shared" si="1"/>
        <v>S.baderi</v>
      </c>
      <c r="B5093" s="5" t="s">
        <v>31921</v>
      </c>
      <c r="C5093" s="6" t="str">
        <f>IFERROR(__xludf.DUMMYFUNCTION("SPLIT('2. c'!B5093, "" "", True, True)"),"Sphingobium")</f>
        <v>Sphingobium</v>
      </c>
      <c r="D5093" t="str">
        <f>IFERROR(__xludf.DUMMYFUNCTION("""COMPUTED_VALUE"""),"baderi")</f>
        <v>baderi</v>
      </c>
      <c r="E5093" t="str">
        <f>IFERROR(__xludf.DUMMYFUNCTION("""COMPUTED_VALUE"""),"strain")</f>
        <v>strain</v>
      </c>
      <c r="F5093" t="str">
        <f>IFERROR(__xludf.DUMMYFUNCTION("""COMPUTED_VALUE"""),"DE-13")</f>
        <v>DE-13</v>
      </c>
    </row>
    <row r="5094" ht="15.75" customHeight="1">
      <c r="A5094" t="str">
        <f t="shared" si="1"/>
        <v>S.japonicum</v>
      </c>
      <c r="B5094" s="5" t="s">
        <v>31927</v>
      </c>
      <c r="C5094" s="6" t="str">
        <f>IFERROR(__xludf.DUMMYFUNCTION("SPLIT('2. c'!B5094, "" "", True, True)"),"Sphingobium")</f>
        <v>Sphingobium</v>
      </c>
      <c r="D5094" t="str">
        <f>IFERROR(__xludf.DUMMYFUNCTION("""COMPUTED_VALUE"""),"japonicum")</f>
        <v>japonicum</v>
      </c>
      <c r="E5094" t="str">
        <f>IFERROR(__xludf.DUMMYFUNCTION("""COMPUTED_VALUE"""),"UT26S")</f>
        <v>UT26S</v>
      </c>
    </row>
    <row r="5095" ht="15.75" customHeight="1">
      <c r="A5095" t="str">
        <f t="shared" si="1"/>
        <v>S.sp.</v>
      </c>
      <c r="B5095" s="5" t="s">
        <v>31934</v>
      </c>
      <c r="C5095" s="6" t="str">
        <f>IFERROR(__xludf.DUMMYFUNCTION("SPLIT('2. c'!B5095, "" "", True, True)"),"Sphingobium")</f>
        <v>Sphingobium</v>
      </c>
      <c r="D5095" t="str">
        <f>IFERROR(__xludf.DUMMYFUNCTION("""COMPUTED_VALUE"""),"sp.")</f>
        <v>sp.</v>
      </c>
      <c r="E5095" t="str">
        <f>IFERROR(__xludf.DUMMYFUNCTION("""COMPUTED_VALUE"""),"MI1205")</f>
        <v>MI1205</v>
      </c>
    </row>
    <row r="5096" ht="15.75" customHeight="1">
      <c r="A5096" t="str">
        <f t="shared" si="1"/>
        <v>S.sp.</v>
      </c>
      <c r="B5096" s="5" t="s">
        <v>31939</v>
      </c>
      <c r="C5096" s="6" t="str">
        <f>IFERROR(__xludf.DUMMYFUNCTION("SPLIT('2. c'!B5096, "" "", True, True)"),"Sphingobium")</f>
        <v>Sphingobium</v>
      </c>
      <c r="D5096" t="str">
        <f>IFERROR(__xludf.DUMMYFUNCTION("""COMPUTED_VALUE"""),"sp.")</f>
        <v>sp.</v>
      </c>
      <c r="E5096" t="str">
        <f>IFERROR(__xludf.DUMMYFUNCTION("""COMPUTED_VALUE"""),"SYK-6")</f>
        <v>SYK-6</v>
      </c>
    </row>
    <row r="5097" ht="15.75" customHeight="1">
      <c r="A5097" t="str">
        <f t="shared" si="1"/>
        <v>S.sp.</v>
      </c>
      <c r="B5097" s="5" t="s">
        <v>31944</v>
      </c>
      <c r="C5097" s="6" t="str">
        <f>IFERROR(__xludf.DUMMYFUNCTION("SPLIT('2. c'!B5097, "" "", True, True)"),"Sphingobium")</f>
        <v>Sphingobium</v>
      </c>
      <c r="D5097" t="str">
        <f>IFERROR(__xludf.DUMMYFUNCTION("""COMPUTED_VALUE"""),"sp.")</f>
        <v>sp.</v>
      </c>
      <c r="E5097" t="str">
        <f>IFERROR(__xludf.DUMMYFUNCTION("""COMPUTED_VALUE"""),"TKS")</f>
        <v>TKS</v>
      </c>
    </row>
    <row r="5098" ht="15.75" customHeight="1">
      <c r="A5098" t="str">
        <f t="shared" si="1"/>
        <v>S.sp.</v>
      </c>
      <c r="B5098" s="5" t="s">
        <v>31949</v>
      </c>
      <c r="C5098" s="6" t="str">
        <f>IFERROR(__xludf.DUMMYFUNCTION("SPLIT('2. c'!B5098, "" "", True, True)"),"Sphingobium")</f>
        <v>Sphingobium</v>
      </c>
      <c r="D5098" t="str">
        <f>IFERROR(__xludf.DUMMYFUNCTION("""COMPUTED_VALUE"""),"sp.")</f>
        <v>sp.</v>
      </c>
      <c r="E5098" t="str">
        <f>IFERROR(__xludf.DUMMYFUNCTION("""COMPUTED_VALUE"""),"YBL2")</f>
        <v>YBL2</v>
      </c>
    </row>
    <row r="5099" ht="15.75" customHeight="1">
      <c r="A5099" t="str">
        <f t="shared" si="1"/>
        <v>S.sanxanigenens</v>
      </c>
      <c r="B5099" s="5" t="s">
        <v>31954</v>
      </c>
      <c r="C5099" s="6" t="str">
        <f>IFERROR(__xludf.DUMMYFUNCTION("SPLIT('2. c'!B5099, "" "", True, True)"),"Sphingomonas")</f>
        <v>Sphingomonas</v>
      </c>
      <c r="D5099" t="str">
        <f>IFERROR(__xludf.DUMMYFUNCTION("""COMPUTED_VALUE"""),"sanxanigenens")</f>
        <v>sanxanigenens</v>
      </c>
      <c r="E5099" t="str">
        <f>IFERROR(__xludf.DUMMYFUNCTION("""COMPUTED_VALUE"""),"DSM")</f>
        <v>DSM</v>
      </c>
      <c r="F5099">
        <f>IFERROR(__xludf.DUMMYFUNCTION("""COMPUTED_VALUE"""),19645.0)</f>
        <v>19645</v>
      </c>
      <c r="G5099" t="str">
        <f>IFERROR(__xludf.DUMMYFUNCTION("""COMPUTED_VALUE"""),"=")</f>
        <v>=</v>
      </c>
      <c r="H5099" t="str">
        <f>IFERROR(__xludf.DUMMYFUNCTION("""COMPUTED_VALUE"""),"NX02")</f>
        <v>NX02</v>
      </c>
    </row>
    <row r="5100" ht="15.75" customHeight="1">
      <c r="A5100" t="str">
        <f t="shared" si="1"/>
        <v>S.sp.</v>
      </c>
      <c r="B5100" s="5" t="s">
        <v>31961</v>
      </c>
      <c r="C5100" s="6" t="str">
        <f>IFERROR(__xludf.DUMMYFUNCTION("SPLIT('2. c'!B5100, "" "", True, True)"),"Sphingomonas")</f>
        <v>Sphingomonas</v>
      </c>
      <c r="D5100" t="str">
        <f>IFERROR(__xludf.DUMMYFUNCTION("""COMPUTED_VALUE"""),"sp.")</f>
        <v>sp.</v>
      </c>
      <c r="E5100" t="str">
        <f>IFERROR(__xludf.DUMMYFUNCTION("""COMPUTED_VALUE"""),"MM-1")</f>
        <v>MM-1</v>
      </c>
    </row>
    <row r="5101" ht="15.75" customHeight="1">
      <c r="A5101" t="str">
        <f t="shared" si="1"/>
        <v>S.sp.</v>
      </c>
      <c r="B5101" s="5" t="s">
        <v>31968</v>
      </c>
      <c r="C5101" s="6" t="str">
        <f>IFERROR(__xludf.DUMMYFUNCTION("SPLIT('2. c'!B5101, "" "", True, True)"),"Sphingomonas")</f>
        <v>Sphingomonas</v>
      </c>
      <c r="D5101" t="str">
        <f>IFERROR(__xludf.DUMMYFUNCTION("""COMPUTED_VALUE"""),"sp.")</f>
        <v>sp.</v>
      </c>
      <c r="E5101" t="str">
        <f>IFERROR(__xludf.DUMMYFUNCTION("""COMPUTED_VALUE"""),"NIC1")</f>
        <v>NIC1</v>
      </c>
    </row>
    <row r="5102" ht="15.75" customHeight="1">
      <c r="A5102" t="str">
        <f t="shared" si="1"/>
        <v>S.sp.</v>
      </c>
      <c r="B5102" s="5" t="s">
        <v>31974</v>
      </c>
      <c r="C5102" s="6" t="str">
        <f>IFERROR(__xludf.DUMMYFUNCTION("SPLIT('2. c'!B5102, "" "", True, True)"),"Sphingomonas")</f>
        <v>Sphingomonas</v>
      </c>
      <c r="D5102" t="str">
        <f>IFERROR(__xludf.DUMMYFUNCTION("""COMPUTED_VALUE"""),"sp.")</f>
        <v>sp.</v>
      </c>
      <c r="E5102" t="str">
        <f>IFERROR(__xludf.DUMMYFUNCTION("""COMPUTED_VALUE"""),"WHSC-8")</f>
        <v>WHSC-8</v>
      </c>
    </row>
    <row r="5103" ht="15.75" customHeight="1">
      <c r="A5103" t="str">
        <f t="shared" si="1"/>
        <v>S.taxi</v>
      </c>
      <c r="B5103" s="5" t="s">
        <v>31977</v>
      </c>
      <c r="C5103" s="6" t="str">
        <f>IFERROR(__xludf.DUMMYFUNCTION("SPLIT('2. c'!B5103, "" "", True, True)"),"Sphingomonas")</f>
        <v>Sphingomonas</v>
      </c>
      <c r="D5103" t="str">
        <f>IFERROR(__xludf.DUMMYFUNCTION("""COMPUTED_VALUE"""),"taxi")</f>
        <v>taxi</v>
      </c>
      <c r="E5103" t="str">
        <f>IFERROR(__xludf.DUMMYFUNCTION("""COMPUTED_VALUE"""),"ATCC")</f>
        <v>ATCC</v>
      </c>
      <c r="F5103">
        <f>IFERROR(__xludf.DUMMYFUNCTION("""COMPUTED_VALUE"""),55669.0)</f>
        <v>55669</v>
      </c>
    </row>
    <row r="5104" ht="15.75" customHeight="1">
      <c r="A5104" t="str">
        <f t="shared" si="1"/>
        <v>S.wittichii</v>
      </c>
      <c r="B5104" s="5" t="s">
        <v>31981</v>
      </c>
      <c r="C5104" s="6" t="str">
        <f>IFERROR(__xludf.DUMMYFUNCTION("SPLIT('2. c'!B5104, "" "", True, True)"),"Sphingomonas")</f>
        <v>Sphingomonas</v>
      </c>
      <c r="D5104" t="str">
        <f>IFERROR(__xludf.DUMMYFUNCTION("""COMPUTED_VALUE"""),"wittichii")</f>
        <v>wittichii</v>
      </c>
      <c r="E5104" t="str">
        <f>IFERROR(__xludf.DUMMYFUNCTION("""COMPUTED_VALUE"""),"RW1")</f>
        <v>RW1</v>
      </c>
    </row>
    <row r="5105" ht="15.75" customHeight="1">
      <c r="A5105" t="str">
        <f t="shared" si="1"/>
        <v>S.alaskensis</v>
      </c>
      <c r="B5105" s="5" t="s">
        <v>31987</v>
      </c>
      <c r="C5105" s="6" t="str">
        <f>IFERROR(__xludf.DUMMYFUNCTION("SPLIT('2. c'!B5105, "" "", True, True)"),"Sphingopyxis")</f>
        <v>Sphingopyxis</v>
      </c>
      <c r="D5105" t="str">
        <f>IFERROR(__xludf.DUMMYFUNCTION("""COMPUTED_VALUE"""),"alaskensis")</f>
        <v>alaskensis</v>
      </c>
      <c r="E5105" t="str">
        <f>IFERROR(__xludf.DUMMYFUNCTION("""COMPUTED_VALUE"""),"RB2256")</f>
        <v>RB2256</v>
      </c>
    </row>
    <row r="5106" ht="15.75" customHeight="1">
      <c r="A5106" t="str">
        <f t="shared" si="1"/>
        <v>S.granuli</v>
      </c>
      <c r="B5106" s="5" t="s">
        <v>31991</v>
      </c>
      <c r="C5106" s="6" t="str">
        <f>IFERROR(__xludf.DUMMYFUNCTION("SPLIT('2. c'!B5106, "" "", True, True)"),"Sphingopyxis")</f>
        <v>Sphingopyxis</v>
      </c>
      <c r="D5106" t="str">
        <f>IFERROR(__xludf.DUMMYFUNCTION("""COMPUTED_VALUE"""),"granuli")</f>
        <v>granuli</v>
      </c>
      <c r="E5106" t="str">
        <f>IFERROR(__xludf.DUMMYFUNCTION("""COMPUTED_VALUE"""),"strain")</f>
        <v>strain</v>
      </c>
      <c r="F5106" t="str">
        <f>IFERROR(__xludf.DUMMYFUNCTION("""COMPUTED_VALUE"""),"TFA")</f>
        <v>TFA</v>
      </c>
    </row>
    <row r="5107" ht="15.75" customHeight="1">
      <c r="A5107" t="str">
        <f t="shared" si="1"/>
        <v>S.macrogoltabida</v>
      </c>
      <c r="B5107" s="5" t="s">
        <v>31998</v>
      </c>
      <c r="C5107" s="6" t="str">
        <f>IFERROR(__xludf.DUMMYFUNCTION("SPLIT('2. c'!B5107, "" "", True, True)"),"Sphingopyxis")</f>
        <v>Sphingopyxis</v>
      </c>
      <c r="D5107" t="str">
        <f>IFERROR(__xludf.DUMMYFUNCTION("""COMPUTED_VALUE"""),"macrogoltabida")</f>
        <v>macrogoltabida</v>
      </c>
      <c r="E5107" t="str">
        <f>IFERROR(__xludf.DUMMYFUNCTION("""COMPUTED_VALUE"""),"strain")</f>
        <v>strain</v>
      </c>
      <c r="F5107">
        <f>IFERROR(__xludf.DUMMYFUNCTION("""COMPUTED_VALUE"""),203.0)</f>
        <v>203</v>
      </c>
    </row>
    <row r="5108" ht="15.75" customHeight="1">
      <c r="A5108" t="str">
        <f t="shared" si="1"/>
        <v>S.macrogoltabida</v>
      </c>
      <c r="B5108" s="5" t="s">
        <v>32003</v>
      </c>
      <c r="C5108" s="6" t="str">
        <f>IFERROR(__xludf.DUMMYFUNCTION("SPLIT('2. c'!B5108, "" "", True, True)"),"Sphingopyxis")</f>
        <v>Sphingopyxis</v>
      </c>
      <c r="D5108" t="str">
        <f>IFERROR(__xludf.DUMMYFUNCTION("""COMPUTED_VALUE"""),"macrogoltabida")</f>
        <v>macrogoltabida</v>
      </c>
      <c r="E5108" t="str">
        <f>IFERROR(__xludf.DUMMYFUNCTION("""COMPUTED_VALUE"""),"strain")</f>
        <v>strain</v>
      </c>
      <c r="F5108" t="str">
        <f>IFERROR(__xludf.DUMMYFUNCTION("""COMPUTED_VALUE"""),"203N")</f>
        <v>203N</v>
      </c>
    </row>
    <row r="5109" ht="15.75" customHeight="1">
      <c r="A5109" t="str">
        <f t="shared" si="1"/>
        <v>S.macrogoltabida</v>
      </c>
      <c r="B5109" s="5" t="s">
        <v>32010</v>
      </c>
      <c r="C5109" s="6" t="str">
        <f>IFERROR(__xludf.DUMMYFUNCTION("SPLIT('2. c'!B5109, "" "", True, True)"),"Sphingopyxis")</f>
        <v>Sphingopyxis</v>
      </c>
      <c r="D5109" t="str">
        <f>IFERROR(__xludf.DUMMYFUNCTION("""COMPUTED_VALUE"""),"macrogoltabida")</f>
        <v>macrogoltabida</v>
      </c>
      <c r="E5109" t="str">
        <f>IFERROR(__xludf.DUMMYFUNCTION("""COMPUTED_VALUE"""),"strain")</f>
        <v>strain</v>
      </c>
      <c r="F5109" t="str">
        <f>IFERROR(__xludf.DUMMYFUNCTION("""COMPUTED_VALUE"""),"EY-1")</f>
        <v>EY-1</v>
      </c>
    </row>
    <row r="5110" ht="15.75" customHeight="1">
      <c r="A5110" t="str">
        <f t="shared" si="1"/>
        <v>S.sp.</v>
      </c>
      <c r="B5110" s="5" t="s">
        <v>32018</v>
      </c>
      <c r="C5110" s="6" t="str">
        <f>IFERROR(__xludf.DUMMYFUNCTION("SPLIT('2. c'!B5110, "" "", True, True)"),"Sphingopyxis")</f>
        <v>Sphingopyxis</v>
      </c>
      <c r="D5110" t="str">
        <f>IFERROR(__xludf.DUMMYFUNCTION("""COMPUTED_VALUE"""),"sp.")</f>
        <v>sp.</v>
      </c>
      <c r="E5110" t="str">
        <f>IFERROR(__xludf.DUMMYFUNCTION("""COMPUTED_VALUE"""),"113P3")</f>
        <v>113P3</v>
      </c>
    </row>
    <row r="5111" ht="15.75" customHeight="1">
      <c r="A5111" t="str">
        <f t="shared" si="1"/>
        <v>S.sp.</v>
      </c>
      <c r="B5111" s="5" t="s">
        <v>32026</v>
      </c>
      <c r="C5111" s="6" t="str">
        <f>IFERROR(__xludf.DUMMYFUNCTION("SPLIT('2. c'!B5111, "" "", True, True)"),"Sphingopyxis")</f>
        <v>Sphingopyxis</v>
      </c>
      <c r="D5111" t="str">
        <f>IFERROR(__xludf.DUMMYFUNCTION("""COMPUTED_VALUE"""),"sp.")</f>
        <v>sp.</v>
      </c>
      <c r="E5111" t="str">
        <f>IFERROR(__xludf.DUMMYFUNCTION("""COMPUTED_VALUE"""),"Kp5.2")</f>
        <v>Kp5.2</v>
      </c>
    </row>
    <row r="5112" ht="15.75" customHeight="1">
      <c r="A5112" t="str">
        <f t="shared" si="1"/>
        <v>S.terrae</v>
      </c>
      <c r="B5112" s="5" t="s">
        <v>32037</v>
      </c>
      <c r="C5112" s="6" t="str">
        <f>IFERROR(__xludf.DUMMYFUNCTION("SPLIT('2. c'!B5112, "" "", True, True)"),"Sphingopyxis")</f>
        <v>Sphingopyxis</v>
      </c>
      <c r="D5112" t="str">
        <f>IFERROR(__xludf.DUMMYFUNCTION("""COMPUTED_VALUE"""),"terrae")</f>
        <v>terrae</v>
      </c>
      <c r="E5112" t="str">
        <f>IFERROR(__xludf.DUMMYFUNCTION("""COMPUTED_VALUE"""),"NBRC")</f>
        <v>NBRC</v>
      </c>
      <c r="F5112">
        <f>IFERROR(__xludf.DUMMYFUNCTION("""COMPUTED_VALUE"""),15098.0)</f>
        <v>15098</v>
      </c>
    </row>
    <row r="5113" ht="15.75" customHeight="1">
      <c r="A5113" t="str">
        <f t="shared" si="1"/>
        <v>S.sp.</v>
      </c>
      <c r="B5113" s="5" t="s">
        <v>32048</v>
      </c>
      <c r="C5113" s="6" t="str">
        <f>IFERROR(__xludf.DUMMYFUNCTION("SPLIT('2. c'!B5113, "" "", True, True)"),"Sphingorhabdus")</f>
        <v>Sphingorhabdus</v>
      </c>
      <c r="D5113" t="str">
        <f>IFERROR(__xludf.DUMMYFUNCTION("""COMPUTED_VALUE"""),"sp.")</f>
        <v>sp.</v>
      </c>
      <c r="E5113" t="str">
        <f>IFERROR(__xludf.DUMMYFUNCTION("""COMPUTED_VALUE"""),"M41")</f>
        <v>M41</v>
      </c>
    </row>
    <row r="5114" ht="15.75" customHeight="1">
      <c r="A5114" t="str">
        <f t="shared" si="1"/>
        <v>S.salinus</v>
      </c>
      <c r="B5114" s="5" t="s">
        <v>32056</v>
      </c>
      <c r="C5114" s="6" t="str">
        <f>IFERROR(__xludf.DUMMYFUNCTION("SPLIT('2. c'!B5114, "" "", True, True)"),"Spiribacter")</f>
        <v>Spiribacter</v>
      </c>
      <c r="D5114" t="str">
        <f>IFERROR(__xludf.DUMMYFUNCTION("""COMPUTED_VALUE"""),"salinus")</f>
        <v>salinus</v>
      </c>
      <c r="E5114" t="str">
        <f>IFERROR(__xludf.DUMMYFUNCTION("""COMPUTED_VALUE"""),"M19-40")</f>
        <v>M19-40</v>
      </c>
    </row>
    <row r="5115" ht="15.75" customHeight="1">
      <c r="A5115" t="str">
        <f t="shared" si="1"/>
        <v>S.sp.</v>
      </c>
      <c r="B5115" s="5" t="s">
        <v>32060</v>
      </c>
      <c r="C5115" s="6" t="str">
        <f>IFERROR(__xludf.DUMMYFUNCTION("SPLIT('2. c'!B5115, "" "", True, True)"),"Spiribacter")</f>
        <v>Spiribacter</v>
      </c>
      <c r="D5115" t="str">
        <f>IFERROR(__xludf.DUMMYFUNCTION("""COMPUTED_VALUE"""),"sp.")</f>
        <v>sp.</v>
      </c>
      <c r="E5115" t="str">
        <f>IFERROR(__xludf.DUMMYFUNCTION("""COMPUTED_VALUE"""),"UAH-SP71")</f>
        <v>UAH-SP71</v>
      </c>
    </row>
    <row r="5116" ht="15.75" customHeight="1">
      <c r="A5116" t="str">
        <f t="shared" si="1"/>
        <v>S.africana</v>
      </c>
      <c r="B5116" s="5" t="s">
        <v>32064</v>
      </c>
      <c r="C5116" s="6" t="str">
        <f>IFERROR(__xludf.DUMMYFUNCTION("SPLIT('2. c'!B5116, "" "", True, True)"),"Spirochaeta")</f>
        <v>Spirochaeta</v>
      </c>
      <c r="D5116" t="str">
        <f>IFERROR(__xludf.DUMMYFUNCTION("""COMPUTED_VALUE"""),"africana")</f>
        <v>africana</v>
      </c>
      <c r="E5116" t="str">
        <f>IFERROR(__xludf.DUMMYFUNCTION("""COMPUTED_VALUE"""),"DSM")</f>
        <v>DSM</v>
      </c>
      <c r="F5116">
        <f>IFERROR(__xludf.DUMMYFUNCTION("""COMPUTED_VALUE"""),8902.0)</f>
        <v>8902</v>
      </c>
    </row>
    <row r="5117" ht="15.75" customHeight="1">
      <c r="A5117" t="str">
        <f t="shared" si="1"/>
        <v>S.smaragdinae</v>
      </c>
      <c r="B5117" s="5" t="s">
        <v>32067</v>
      </c>
      <c r="C5117" s="6" t="str">
        <f>IFERROR(__xludf.DUMMYFUNCTION("SPLIT('2. c'!B5117, "" "", True, True)"),"Spirochaeta")</f>
        <v>Spirochaeta</v>
      </c>
      <c r="D5117" t="str">
        <f>IFERROR(__xludf.DUMMYFUNCTION("""COMPUTED_VALUE"""),"smaragdinae")</f>
        <v>smaragdinae</v>
      </c>
      <c r="E5117" t="str">
        <f>IFERROR(__xludf.DUMMYFUNCTION("""COMPUTED_VALUE"""),"DSM")</f>
        <v>DSM</v>
      </c>
      <c r="F5117">
        <f>IFERROR(__xludf.DUMMYFUNCTION("""COMPUTED_VALUE"""),11293.0)</f>
        <v>11293</v>
      </c>
    </row>
    <row r="5118" ht="15.75" customHeight="1">
      <c r="A5118" t="str">
        <f t="shared" si="1"/>
        <v>S.sp.</v>
      </c>
      <c r="B5118" s="5" t="s">
        <v>32071</v>
      </c>
      <c r="C5118" s="6" t="str">
        <f>IFERROR(__xludf.DUMMYFUNCTION("SPLIT('2. c'!B5118, "" "", True, True)"),"Spirochaeta")</f>
        <v>Spirochaeta</v>
      </c>
      <c r="D5118" t="str">
        <f>IFERROR(__xludf.DUMMYFUNCTION("""COMPUTED_VALUE"""),"sp.")</f>
        <v>sp.</v>
      </c>
      <c r="E5118" t="str">
        <f>IFERROR(__xludf.DUMMYFUNCTION("""COMPUTED_VALUE"""),"L21-RPul-D2")</f>
        <v>L21-RPul-D2</v>
      </c>
    </row>
    <row r="5119" ht="15.75" customHeight="1">
      <c r="A5119" t="str">
        <f t="shared" si="1"/>
        <v>S.thermophila</v>
      </c>
      <c r="B5119" s="5" t="s">
        <v>32073</v>
      </c>
      <c r="C5119" s="6" t="str">
        <f>IFERROR(__xludf.DUMMYFUNCTION("SPLIT('2. c'!B5119, "" "", True, True)"),"Spirochaeta")</f>
        <v>Spirochaeta</v>
      </c>
      <c r="D5119" t="str">
        <f>IFERROR(__xludf.DUMMYFUNCTION("""COMPUTED_VALUE"""),"thermophila")</f>
        <v>thermophila</v>
      </c>
      <c r="E5119" t="str">
        <f>IFERROR(__xludf.DUMMYFUNCTION("""COMPUTED_VALUE"""),"DSM")</f>
        <v>DSM</v>
      </c>
      <c r="F5119">
        <f>IFERROR(__xludf.DUMMYFUNCTION("""COMPUTED_VALUE"""),6192.0)</f>
        <v>6192</v>
      </c>
    </row>
    <row r="5120" ht="15.75" customHeight="1">
      <c r="A5120" t="str">
        <f t="shared" si="1"/>
        <v>S.apis</v>
      </c>
      <c r="B5120" s="5" t="s">
        <v>32078</v>
      </c>
      <c r="C5120" s="6" t="str">
        <f>IFERROR(__xludf.DUMMYFUNCTION("SPLIT('2. c'!B5120, "" "", True, True)"),"Spiroplasma")</f>
        <v>Spiroplasma</v>
      </c>
      <c r="D5120" t="str">
        <f>IFERROR(__xludf.DUMMYFUNCTION("""COMPUTED_VALUE"""),"apis")</f>
        <v>apis</v>
      </c>
      <c r="E5120" t="str">
        <f>IFERROR(__xludf.DUMMYFUNCTION("""COMPUTED_VALUE"""),"B31")</f>
        <v>B31</v>
      </c>
    </row>
    <row r="5121" ht="15.75" customHeight="1">
      <c r="A5121" t="str">
        <f t="shared" si="1"/>
        <v>S.atrichopogonis</v>
      </c>
      <c r="B5121" s="5" t="s">
        <v>32084</v>
      </c>
      <c r="C5121" s="6" t="str">
        <f>IFERROR(__xludf.DUMMYFUNCTION("SPLIT('2. c'!B5121, "" "", True, True)"),"Spiroplasma")</f>
        <v>Spiroplasma</v>
      </c>
      <c r="D5121" t="str">
        <f>IFERROR(__xludf.DUMMYFUNCTION("""COMPUTED_VALUE"""),"atrichopogonis")</f>
        <v>atrichopogonis</v>
      </c>
      <c r="E5121" t="str">
        <f>IFERROR(__xludf.DUMMYFUNCTION("""COMPUTED_VALUE"""),"strain")</f>
        <v>strain</v>
      </c>
      <c r="F5121" t="str">
        <f>IFERROR(__xludf.DUMMYFUNCTION("""COMPUTED_VALUE"""),"GNAT3597")</f>
        <v>GNAT3597</v>
      </c>
    </row>
    <row r="5122" ht="15.75" customHeight="1">
      <c r="A5122" t="str">
        <f t="shared" si="1"/>
        <v>S.cantharicola</v>
      </c>
      <c r="B5122" s="5" t="s">
        <v>32088</v>
      </c>
      <c r="C5122" s="6" t="str">
        <f>IFERROR(__xludf.DUMMYFUNCTION("SPLIT('2. c'!B5122, "" "", True, True)"),"Spiroplasma")</f>
        <v>Spiroplasma</v>
      </c>
      <c r="D5122" t="str">
        <f>IFERROR(__xludf.DUMMYFUNCTION("""COMPUTED_VALUE"""),"cantharicola")</f>
        <v>cantharicola</v>
      </c>
      <c r="E5122" t="str">
        <f>IFERROR(__xludf.DUMMYFUNCTION("""COMPUTED_VALUE"""),"strain")</f>
        <v>strain</v>
      </c>
      <c r="F5122" t="str">
        <f>IFERROR(__xludf.DUMMYFUNCTION("""COMPUTED_VALUE"""),"CC-1")</f>
        <v>CC-1</v>
      </c>
    </row>
    <row r="5123" ht="15.75" customHeight="1">
      <c r="A5123" t="str">
        <f t="shared" si="1"/>
        <v>S.chrysopicola</v>
      </c>
      <c r="B5123" s="5" t="s">
        <v>32093</v>
      </c>
      <c r="C5123" s="6" t="str">
        <f>IFERROR(__xludf.DUMMYFUNCTION("SPLIT('2. c'!B5123, "" "", True, True)"),"Spiroplasma")</f>
        <v>Spiroplasma</v>
      </c>
      <c r="D5123" t="str">
        <f>IFERROR(__xludf.DUMMYFUNCTION("""COMPUTED_VALUE"""),"chrysopicola")</f>
        <v>chrysopicola</v>
      </c>
      <c r="E5123" t="str">
        <f>IFERROR(__xludf.DUMMYFUNCTION("""COMPUTED_VALUE"""),"DF-1")</f>
        <v>DF-1</v>
      </c>
    </row>
    <row r="5124" ht="15.75" customHeight="1">
      <c r="A5124" t="str">
        <f t="shared" si="1"/>
        <v>S.culicicola</v>
      </c>
      <c r="B5124" s="5" t="s">
        <v>32097</v>
      </c>
      <c r="C5124" s="6" t="str">
        <f>IFERROR(__xludf.DUMMYFUNCTION("SPLIT('2. c'!B5124, "" "", True, True)"),"Spiroplasma")</f>
        <v>Spiroplasma</v>
      </c>
      <c r="D5124" t="str">
        <f>IFERROR(__xludf.DUMMYFUNCTION("""COMPUTED_VALUE"""),"culicicola")</f>
        <v>culicicola</v>
      </c>
      <c r="E5124" t="str">
        <f>IFERROR(__xludf.DUMMYFUNCTION("""COMPUTED_VALUE"""),"AES-1")</f>
        <v>AES-1</v>
      </c>
    </row>
    <row r="5125" ht="15.75" customHeight="1">
      <c r="A5125" t="str">
        <f t="shared" si="1"/>
        <v>S.diminutum</v>
      </c>
      <c r="B5125" s="5" t="s">
        <v>32104</v>
      </c>
      <c r="C5125" s="6" t="str">
        <f>IFERROR(__xludf.DUMMYFUNCTION("SPLIT('2. c'!B5125, "" "", True, True)"),"Spiroplasma")</f>
        <v>Spiroplasma</v>
      </c>
      <c r="D5125" t="str">
        <f>IFERROR(__xludf.DUMMYFUNCTION("""COMPUTED_VALUE"""),"diminutum")</f>
        <v>diminutum</v>
      </c>
      <c r="E5125" t="str">
        <f>IFERROR(__xludf.DUMMYFUNCTION("""COMPUTED_VALUE"""),"CUAS-1")</f>
        <v>CUAS-1</v>
      </c>
    </row>
    <row r="5126" ht="15.75" customHeight="1">
      <c r="A5126" t="str">
        <f t="shared" si="1"/>
        <v>S.eriocheiris</v>
      </c>
      <c r="B5126" s="5" t="s">
        <v>32110</v>
      </c>
      <c r="C5126" s="6" t="str">
        <f>IFERROR(__xludf.DUMMYFUNCTION("SPLIT('2. c'!B5126, "" "", True, True)"),"Spiroplasma")</f>
        <v>Spiroplasma</v>
      </c>
      <c r="D5126" t="str">
        <f>IFERROR(__xludf.DUMMYFUNCTION("""COMPUTED_VALUE"""),"eriocheiris")</f>
        <v>eriocheiris</v>
      </c>
      <c r="E5126" t="str">
        <f>IFERROR(__xludf.DUMMYFUNCTION("""COMPUTED_VALUE"""),"CCTCC")</f>
        <v>CCTCC</v>
      </c>
      <c r="F5126" t="str">
        <f>IFERROR(__xludf.DUMMYFUNCTION("""COMPUTED_VALUE"""),"M")</f>
        <v>M</v>
      </c>
      <c r="G5126">
        <f>IFERROR(__xludf.DUMMYFUNCTION("""COMPUTED_VALUE"""),207170.0)</f>
        <v>207170</v>
      </c>
      <c r="H5126" t="str">
        <f>IFERROR(__xludf.DUMMYFUNCTION("""COMPUTED_VALUE"""),"strain")</f>
        <v>strain</v>
      </c>
      <c r="I5126" t="str">
        <f>IFERROR(__xludf.DUMMYFUNCTION("""COMPUTED_VALUE"""),"DSM")</f>
        <v>DSM</v>
      </c>
      <c r="J5126">
        <f>IFERROR(__xludf.DUMMYFUNCTION("""COMPUTED_VALUE"""),21848.0)</f>
        <v>21848</v>
      </c>
    </row>
    <row r="5127" ht="15.75" customHeight="1">
      <c r="A5127" t="str">
        <f t="shared" si="1"/>
        <v>S.kunkelii</v>
      </c>
      <c r="B5127" s="5" t="s">
        <v>32120</v>
      </c>
      <c r="C5127" s="6" t="str">
        <f>IFERROR(__xludf.DUMMYFUNCTION("SPLIT('2. c'!B5127, "" "", True, True)"),"Spiroplasma")</f>
        <v>Spiroplasma</v>
      </c>
      <c r="D5127" t="str">
        <f>IFERROR(__xludf.DUMMYFUNCTION("""COMPUTED_VALUE"""),"kunkelii")</f>
        <v>kunkelii</v>
      </c>
      <c r="E5127" t="str">
        <f>IFERROR(__xludf.DUMMYFUNCTION("""COMPUTED_VALUE"""),"CR2-3x")</f>
        <v>CR2-3x</v>
      </c>
    </row>
    <row r="5128" ht="15.75" customHeight="1">
      <c r="A5128" t="str">
        <f t="shared" si="1"/>
        <v>S.litorale</v>
      </c>
      <c r="B5128" s="5" t="s">
        <v>32127</v>
      </c>
      <c r="C5128" s="6" t="str">
        <f>IFERROR(__xludf.DUMMYFUNCTION("SPLIT('2. c'!B5128, "" "", True, True)"),"Spiroplasma")</f>
        <v>Spiroplasma</v>
      </c>
      <c r="D5128" t="str">
        <f>IFERROR(__xludf.DUMMYFUNCTION("""COMPUTED_VALUE"""),"litorale")</f>
        <v>litorale</v>
      </c>
      <c r="E5128" t="str">
        <f>IFERROR(__xludf.DUMMYFUNCTION("""COMPUTED_VALUE"""),"strain")</f>
        <v>strain</v>
      </c>
      <c r="F5128" t="str">
        <f>IFERROR(__xludf.DUMMYFUNCTION("""COMPUTED_VALUE"""),"TN-1")</f>
        <v>TN-1</v>
      </c>
    </row>
    <row r="5129" ht="15.75" customHeight="1">
      <c r="A5129" t="str">
        <f t="shared" si="1"/>
        <v>S.mirum</v>
      </c>
      <c r="B5129" s="5" t="s">
        <v>32132</v>
      </c>
      <c r="C5129" s="6" t="str">
        <f>IFERROR(__xludf.DUMMYFUNCTION("SPLIT('2. c'!B5129, "" "", True, True)"),"Spiroplasma")</f>
        <v>Spiroplasma</v>
      </c>
      <c r="D5129" t="str">
        <f>IFERROR(__xludf.DUMMYFUNCTION("""COMPUTED_VALUE"""),"mirum")</f>
        <v>mirum</v>
      </c>
      <c r="E5129" t="str">
        <f>IFERROR(__xludf.DUMMYFUNCTION("""COMPUTED_VALUE"""),"ATCC")</f>
        <v>ATCC</v>
      </c>
      <c r="F5129">
        <f>IFERROR(__xludf.DUMMYFUNCTION("""COMPUTED_VALUE"""),29335.0)</f>
        <v>29335</v>
      </c>
    </row>
    <row r="5130" ht="15.75" customHeight="1">
      <c r="A5130" t="str">
        <f t="shared" si="1"/>
        <v>S.sabaudiense</v>
      </c>
      <c r="B5130" s="5" t="s">
        <v>32138</v>
      </c>
      <c r="C5130" s="6" t="str">
        <f>IFERROR(__xludf.DUMMYFUNCTION("SPLIT('2. c'!B5130, "" "", True, True)"),"Spiroplasma")</f>
        <v>Spiroplasma</v>
      </c>
      <c r="D5130" t="str">
        <f>IFERROR(__xludf.DUMMYFUNCTION("""COMPUTED_VALUE"""),"sabaudiense")</f>
        <v>sabaudiense</v>
      </c>
      <c r="E5130" t="str">
        <f>IFERROR(__xludf.DUMMYFUNCTION("""COMPUTED_VALUE"""),"Ar-1343")</f>
        <v>Ar-1343</v>
      </c>
    </row>
    <row r="5131" ht="15.75" customHeight="1">
      <c r="A5131" t="str">
        <f t="shared" si="1"/>
        <v>S.syrphidicola</v>
      </c>
      <c r="B5131" s="5" t="s">
        <v>32144</v>
      </c>
      <c r="C5131" s="6" t="str">
        <f>IFERROR(__xludf.DUMMYFUNCTION("SPLIT('2. c'!B5131, "" "", True, True)"),"Spiroplasma")</f>
        <v>Spiroplasma</v>
      </c>
      <c r="D5131" t="str">
        <f>IFERROR(__xludf.DUMMYFUNCTION("""COMPUTED_VALUE"""),"syrphidicola")</f>
        <v>syrphidicola</v>
      </c>
      <c r="E5131" t="str">
        <f>IFERROR(__xludf.DUMMYFUNCTION("""COMPUTED_VALUE"""),"EA-1")</f>
        <v>EA-1</v>
      </c>
    </row>
    <row r="5132" ht="15.75" customHeight="1">
      <c r="A5132" t="str">
        <f t="shared" si="1"/>
        <v>S.taiwanense</v>
      </c>
      <c r="B5132" s="5" t="s">
        <v>32148</v>
      </c>
      <c r="C5132" s="6" t="str">
        <f>IFERROR(__xludf.DUMMYFUNCTION("SPLIT('2. c'!B5132, "" "", True, True)"),"Spiroplasma")</f>
        <v>Spiroplasma</v>
      </c>
      <c r="D5132" t="str">
        <f>IFERROR(__xludf.DUMMYFUNCTION("""COMPUTED_VALUE"""),"taiwanense")</f>
        <v>taiwanense</v>
      </c>
      <c r="E5132" t="str">
        <f>IFERROR(__xludf.DUMMYFUNCTION("""COMPUTED_VALUE"""),"CT-1")</f>
        <v>CT-1</v>
      </c>
    </row>
    <row r="5133" ht="15.75" customHeight="1">
      <c r="A5133" t="str">
        <f t="shared" si="1"/>
        <v>S.turonicum</v>
      </c>
      <c r="B5133" s="5" t="s">
        <v>32154</v>
      </c>
      <c r="C5133" s="6" t="str">
        <f>IFERROR(__xludf.DUMMYFUNCTION("SPLIT('2. c'!B5133, "" "", True, True)"),"Spiroplasma")</f>
        <v>Spiroplasma</v>
      </c>
      <c r="D5133" t="str">
        <f>IFERROR(__xludf.DUMMYFUNCTION("""COMPUTED_VALUE"""),"turonicum")</f>
        <v>turonicum</v>
      </c>
      <c r="E5133" t="str">
        <f>IFERROR(__xludf.DUMMYFUNCTION("""COMPUTED_VALUE"""),"strain")</f>
        <v>strain</v>
      </c>
      <c r="F5133" t="str">
        <f>IFERROR(__xludf.DUMMYFUNCTION("""COMPUTED_VALUE"""),"TAB4c")</f>
        <v>TAB4c</v>
      </c>
    </row>
    <row r="5134" ht="15.75" customHeight="1">
      <c r="A5134" t="str">
        <f t="shared" si="1"/>
        <v>S.turonicum</v>
      </c>
      <c r="B5134" s="5" t="s">
        <v>32161</v>
      </c>
      <c r="C5134" s="6" t="str">
        <f>IFERROR(__xludf.DUMMYFUNCTION("SPLIT('2. c'!B5134, "" "", True, True)"),"Spiroplasma")</f>
        <v>Spiroplasma</v>
      </c>
      <c r="D5134" t="str">
        <f>IFERROR(__xludf.DUMMYFUNCTION("""COMPUTED_VALUE"""),"turonicum")</f>
        <v>turonicum</v>
      </c>
      <c r="E5134" t="str">
        <f>IFERROR(__xludf.DUMMYFUNCTION("""COMPUTED_VALUE"""),"strain")</f>
        <v>strain</v>
      </c>
      <c r="F5134" t="str">
        <f>IFERROR(__xludf.DUMMYFUNCTION("""COMPUTED_VALUE"""),"Tab4c")</f>
        <v>Tab4c</v>
      </c>
    </row>
    <row r="5135" ht="15.75" customHeight="1">
      <c r="A5135" t="str">
        <f t="shared" si="1"/>
        <v>S.linguale</v>
      </c>
      <c r="B5135" s="5" t="s">
        <v>32165</v>
      </c>
      <c r="C5135" s="6" t="str">
        <f>IFERROR(__xludf.DUMMYFUNCTION("SPLIT('2. c'!B5135, "" "", True, True)"),"Spirosoma")</f>
        <v>Spirosoma</v>
      </c>
      <c r="D5135" t="str">
        <f>IFERROR(__xludf.DUMMYFUNCTION("""COMPUTED_VALUE"""),"linguale")</f>
        <v>linguale</v>
      </c>
      <c r="E5135" t="str">
        <f>IFERROR(__xludf.DUMMYFUNCTION("""COMPUTED_VALUE"""),"DSM")</f>
        <v>DSM</v>
      </c>
      <c r="F5135">
        <f>IFERROR(__xludf.DUMMYFUNCTION("""COMPUTED_VALUE"""),74.0)</f>
        <v>74</v>
      </c>
    </row>
    <row r="5136" ht="15.75" customHeight="1">
      <c r="A5136" t="str">
        <f t="shared" si="1"/>
        <v>S.radiotolerans</v>
      </c>
      <c r="B5136" s="5" t="s">
        <v>32172</v>
      </c>
      <c r="C5136" s="6" t="str">
        <f>IFERROR(__xludf.DUMMYFUNCTION("SPLIT('2. c'!B5136, "" "", True, True)"),"Spirosoma")</f>
        <v>Spirosoma</v>
      </c>
      <c r="D5136" t="str">
        <f>IFERROR(__xludf.DUMMYFUNCTION("""COMPUTED_VALUE"""),"radiotolerans")</f>
        <v>radiotolerans</v>
      </c>
      <c r="E5136" t="str">
        <f>IFERROR(__xludf.DUMMYFUNCTION("""COMPUTED_VALUE"""),"strain")</f>
        <v>strain</v>
      </c>
      <c r="F5136" t="str">
        <f>IFERROR(__xludf.DUMMYFUNCTION("""COMPUTED_VALUE"""),"DG5A")</f>
        <v>DG5A</v>
      </c>
    </row>
    <row r="5137" ht="15.75" customHeight="1">
      <c r="A5137" t="str">
        <f t="shared" si="1"/>
        <v>S.sp.</v>
      </c>
      <c r="B5137" s="5" t="s">
        <v>32182</v>
      </c>
      <c r="C5137" s="6" t="str">
        <f>IFERROR(__xludf.DUMMYFUNCTION("SPLIT('2. c'!B5137, "" "", True, True)"),"Spongiibacter")</f>
        <v>Spongiibacter</v>
      </c>
      <c r="D5137" t="str">
        <f>IFERROR(__xludf.DUMMYFUNCTION("""COMPUTED_VALUE"""),"sp.")</f>
        <v>sp.</v>
      </c>
      <c r="E5137" t="str">
        <f>IFERROR(__xludf.DUMMYFUNCTION("""COMPUTED_VALUE"""),"IMCC21906")</f>
        <v>IMCC21906</v>
      </c>
    </row>
    <row r="5138" ht="15.75" customHeight="1">
      <c r="A5138" t="str">
        <f t="shared" si="1"/>
        <v>S.psychrophila</v>
      </c>
      <c r="B5138" s="5" t="s">
        <v>32190</v>
      </c>
      <c r="C5138" s="6" t="str">
        <f>IFERROR(__xludf.DUMMYFUNCTION("SPLIT('2. c'!B5138, "" "", True, True)"),"Sporosarcina")</f>
        <v>Sporosarcina</v>
      </c>
      <c r="D5138" t="str">
        <f>IFERROR(__xludf.DUMMYFUNCTION("""COMPUTED_VALUE"""),"psychrophila")</f>
        <v>psychrophila</v>
      </c>
      <c r="E5138" t="str">
        <f>IFERROR(__xludf.DUMMYFUNCTION("""COMPUTED_VALUE"""),"strain")</f>
        <v>strain</v>
      </c>
      <c r="F5138" t="str">
        <f>IFERROR(__xludf.DUMMYFUNCTION("""COMPUTED_VALUE"""),"DSM")</f>
        <v>DSM</v>
      </c>
      <c r="G5138">
        <f>IFERROR(__xludf.DUMMYFUNCTION("""COMPUTED_VALUE"""),6497.0)</f>
        <v>6497</v>
      </c>
    </row>
    <row r="5139" ht="15.75" customHeight="1">
      <c r="A5139" t="str">
        <f t="shared" si="1"/>
        <v>S.nassauensis</v>
      </c>
      <c r="B5139" s="5" t="s">
        <v>32202</v>
      </c>
      <c r="C5139" s="6" t="str">
        <f>IFERROR(__xludf.DUMMYFUNCTION("SPLIT('2. c'!B5139, "" "", True, True)"),"Stackebrandtia")</f>
        <v>Stackebrandtia</v>
      </c>
      <c r="D5139" t="str">
        <f>IFERROR(__xludf.DUMMYFUNCTION("""COMPUTED_VALUE"""),"nassauensis")</f>
        <v>nassauensis</v>
      </c>
      <c r="E5139" t="str">
        <f>IFERROR(__xludf.DUMMYFUNCTION("""COMPUTED_VALUE"""),"DSM")</f>
        <v>DSM</v>
      </c>
      <c r="F5139">
        <f>IFERROR(__xludf.DUMMYFUNCTION("""COMPUTED_VALUE"""),44728.0)</f>
        <v>44728</v>
      </c>
    </row>
    <row r="5140" ht="15.75" customHeight="1">
      <c r="A5140" t="str">
        <f t="shared" si="1"/>
        <v>S.cyanosphaera</v>
      </c>
      <c r="B5140" s="5" t="s">
        <v>32210</v>
      </c>
      <c r="C5140" s="6" t="str">
        <f>IFERROR(__xludf.DUMMYFUNCTION("SPLIT('2. c'!B5140, "" "", True, True)"),"Stanieria")</f>
        <v>Stanieria</v>
      </c>
      <c r="D5140" t="str">
        <f>IFERROR(__xludf.DUMMYFUNCTION("""COMPUTED_VALUE"""),"cyanosphaera")</f>
        <v>cyanosphaera</v>
      </c>
      <c r="E5140" t="str">
        <f>IFERROR(__xludf.DUMMYFUNCTION("""COMPUTED_VALUE"""),"PCC")</f>
        <v>PCC</v>
      </c>
      <c r="F5140">
        <f>IFERROR(__xludf.DUMMYFUNCTION("""COMPUTED_VALUE"""),7437.0)</f>
        <v>7437</v>
      </c>
    </row>
    <row r="5141" ht="15.75" customHeight="1">
      <c r="A5141" t="str">
        <f t="shared" si="1"/>
        <v>S.agnetis</v>
      </c>
      <c r="B5141" s="5" t="s">
        <v>32219</v>
      </c>
      <c r="C5141" s="6" t="str">
        <f>IFERROR(__xludf.DUMMYFUNCTION("SPLIT('2. c'!B5141, "" "", True, True)"),"Staphylococcus")</f>
        <v>Staphylococcus</v>
      </c>
      <c r="D5141" t="str">
        <f>IFERROR(__xludf.DUMMYFUNCTION("""COMPUTED_VALUE"""),"agnetis")</f>
        <v>agnetis</v>
      </c>
      <c r="E5141" t="str">
        <f>IFERROR(__xludf.DUMMYFUNCTION("""COMPUTED_VALUE"""),"strain")</f>
        <v>strain</v>
      </c>
      <c r="F5141">
        <f>IFERROR(__xludf.DUMMYFUNCTION("""COMPUTED_VALUE"""),908.0)</f>
        <v>908</v>
      </c>
    </row>
    <row r="5142" ht="15.75" customHeight="1">
      <c r="A5142" t="str">
        <f t="shared" si="1"/>
        <v>S.argenteus</v>
      </c>
      <c r="B5142" s="5" t="s">
        <v>32229</v>
      </c>
      <c r="C5142" s="6" t="str">
        <f>IFERROR(__xludf.DUMMYFUNCTION("SPLIT('2. c'!B5142, "" "", True, True)"),"Staphylococcus")</f>
        <v>Staphylococcus</v>
      </c>
      <c r="D5142" t="str">
        <f>IFERROR(__xludf.DUMMYFUNCTION("""COMPUTED_VALUE"""),"argenteus")</f>
        <v>argenteus</v>
      </c>
      <c r="E5142" t="str">
        <f>IFERROR(__xludf.DUMMYFUNCTION("""COMPUTED_VALUE"""),"strain")</f>
        <v>strain</v>
      </c>
      <c r="F5142" t="str">
        <f>IFERROR(__xludf.DUMMYFUNCTION("""COMPUTED_VALUE"""),"MSHR1132")</f>
        <v>MSHR1132</v>
      </c>
    </row>
    <row r="5143" ht="15.75" customHeight="1">
      <c r="A5143" t="str">
        <f t="shared" si="1"/>
        <v>S.aureus</v>
      </c>
      <c r="B5143" s="5" t="s">
        <v>32236</v>
      </c>
      <c r="C5143" s="6" t="str">
        <f>IFERROR(__xludf.DUMMYFUNCTION("SPLIT('2. c'!B5143, "" "", True, True)"),"Staphylococcus")</f>
        <v>Staphylococcus</v>
      </c>
      <c r="D5143" t="str">
        <f>IFERROR(__xludf.DUMMYFUNCTION("""COMPUTED_VALUE"""),"aureus")</f>
        <v>aureus</v>
      </c>
      <c r="E5143" t="str">
        <f>IFERROR(__xludf.DUMMYFUNCTION("""COMPUTED_VALUE"""),"04-02981")</f>
        <v>04-02981</v>
      </c>
    </row>
    <row r="5144" ht="15.75" customHeight="1">
      <c r="A5144" t="str">
        <f t="shared" si="1"/>
        <v>S.aureus</v>
      </c>
      <c r="B5144" s="5" t="s">
        <v>32241</v>
      </c>
      <c r="C5144" s="6" t="str">
        <f>IFERROR(__xludf.DUMMYFUNCTION("SPLIT('2. c'!B5144, "" "", True, True)"),"Staphylococcus")</f>
        <v>Staphylococcus</v>
      </c>
      <c r="D5144" t="str">
        <f>IFERROR(__xludf.DUMMYFUNCTION("""COMPUTED_VALUE"""),"aureus")</f>
        <v>aureus</v>
      </c>
      <c r="E5144" t="str">
        <f>IFERROR(__xludf.DUMMYFUNCTION("""COMPUTED_VALUE"""),"08BA02176")</f>
        <v>08BA02176</v>
      </c>
    </row>
    <row r="5145" ht="15.75" customHeight="1">
      <c r="A5145" t="str">
        <f t="shared" si="1"/>
        <v>S.aureus</v>
      </c>
      <c r="B5145" s="5" t="s">
        <v>32246</v>
      </c>
      <c r="C5145" s="6" t="str">
        <f>IFERROR(__xludf.DUMMYFUNCTION("SPLIT('2. c'!B5145, "" "", True, True)"),"Staphylococcus")</f>
        <v>Staphylococcus</v>
      </c>
      <c r="D5145" t="str">
        <f>IFERROR(__xludf.DUMMYFUNCTION("""COMPUTED_VALUE"""),"aureus")</f>
        <v>aureus</v>
      </c>
      <c r="E5145" t="str">
        <f>IFERROR(__xludf.DUMMYFUNCTION("""COMPUTED_VALUE"""),"25b_MRSA")</f>
        <v>25b_MRSA</v>
      </c>
    </row>
    <row r="5146" ht="15.75" customHeight="1">
      <c r="A5146" t="str">
        <f t="shared" si="1"/>
        <v>S.aureus</v>
      </c>
      <c r="B5146" s="5" t="s">
        <v>32250</v>
      </c>
      <c r="C5146" s="6" t="str">
        <f>IFERROR(__xludf.DUMMYFUNCTION("SPLIT('2. c'!B5146, "" "", True, True)"),"Staphylococcus")</f>
        <v>Staphylococcus</v>
      </c>
      <c r="D5146" t="str">
        <f>IFERROR(__xludf.DUMMYFUNCTION("""COMPUTED_VALUE"""),"aureus")</f>
        <v>aureus</v>
      </c>
      <c r="E5146" t="str">
        <f>IFERROR(__xludf.DUMMYFUNCTION("""COMPUTED_VALUE"""),"26b_MRSA")</f>
        <v>26b_MRSA</v>
      </c>
    </row>
    <row r="5147" ht="15.75" customHeight="1">
      <c r="A5147" t="str">
        <f t="shared" si="1"/>
        <v>S.aureus</v>
      </c>
      <c r="B5147" s="5" t="s">
        <v>32255</v>
      </c>
      <c r="C5147" s="6" t="str">
        <f>IFERROR(__xludf.DUMMYFUNCTION("SPLIT('2. c'!B5147, "" "", True, True)"),"Staphylococcus")</f>
        <v>Staphylococcus</v>
      </c>
      <c r="D5147" t="str">
        <f>IFERROR(__xludf.DUMMYFUNCTION("""COMPUTED_VALUE"""),"aureus")</f>
        <v>aureus</v>
      </c>
      <c r="E5147" t="str">
        <f>IFERROR(__xludf.DUMMYFUNCTION("""COMPUTED_VALUE"""),"27b_MRSA")</f>
        <v>27b_MRSA</v>
      </c>
    </row>
    <row r="5148" ht="15.75" customHeight="1">
      <c r="A5148" t="str">
        <f t="shared" si="1"/>
        <v>S.aureus</v>
      </c>
      <c r="B5148" s="5" t="s">
        <v>32261</v>
      </c>
      <c r="C5148" s="6" t="str">
        <f>IFERROR(__xludf.DUMMYFUNCTION("SPLIT('2. c'!B5148, "" "", True, True)"),"Staphylococcus")</f>
        <v>Staphylococcus</v>
      </c>
      <c r="D5148" t="str">
        <f>IFERROR(__xludf.DUMMYFUNCTION("""COMPUTED_VALUE"""),"aureus")</f>
        <v>aureus</v>
      </c>
      <c r="E5148" t="str">
        <f>IFERROR(__xludf.DUMMYFUNCTION("""COMPUTED_VALUE"""),"29b_MRSA")</f>
        <v>29b_MRSA</v>
      </c>
    </row>
    <row r="5149" ht="15.75" customHeight="1">
      <c r="A5149" t="str">
        <f t="shared" si="1"/>
        <v>S.aureus</v>
      </c>
      <c r="B5149" s="5" t="s">
        <v>32268</v>
      </c>
      <c r="C5149" s="6" t="str">
        <f>IFERROR(__xludf.DUMMYFUNCTION("SPLIT('2. c'!B5149, "" "", True, True)"),"Staphylococcus")</f>
        <v>Staphylococcus</v>
      </c>
      <c r="D5149" t="str">
        <f>IFERROR(__xludf.DUMMYFUNCTION("""COMPUTED_VALUE"""),"aureus")</f>
        <v>aureus</v>
      </c>
      <c r="E5149" t="str">
        <f>IFERROR(__xludf.DUMMYFUNCTION("""COMPUTED_VALUE"""),"31b_MRSA")</f>
        <v>31b_MRSA</v>
      </c>
    </row>
    <row r="5150" ht="15.75" customHeight="1">
      <c r="A5150" t="str">
        <f t="shared" si="1"/>
        <v>S.aureus</v>
      </c>
      <c r="B5150" s="5" t="s">
        <v>32274</v>
      </c>
      <c r="C5150" s="6" t="str">
        <f>IFERROR(__xludf.DUMMYFUNCTION("SPLIT('2. c'!B5150, "" "", True, True)"),"Staphylococcus")</f>
        <v>Staphylococcus</v>
      </c>
      <c r="D5150" t="str">
        <f>IFERROR(__xludf.DUMMYFUNCTION("""COMPUTED_VALUE"""),"aureus")</f>
        <v>aureus</v>
      </c>
      <c r="E5150" t="str">
        <f>IFERROR(__xludf.DUMMYFUNCTION("""COMPUTED_VALUE"""),"33b")</f>
        <v>33b</v>
      </c>
    </row>
    <row r="5151" ht="15.75" customHeight="1">
      <c r="A5151" t="str">
        <f t="shared" si="1"/>
        <v>S.aureus</v>
      </c>
      <c r="B5151" s="5" t="s">
        <v>32276</v>
      </c>
      <c r="C5151" s="6" t="str">
        <f>IFERROR(__xludf.DUMMYFUNCTION("SPLIT('2. c'!B5151, "" "", True, True)"),"Staphylococcus")</f>
        <v>Staphylococcus</v>
      </c>
      <c r="D5151" t="str">
        <f>IFERROR(__xludf.DUMMYFUNCTION("""COMPUTED_VALUE"""),"aureus")</f>
        <v>aureus</v>
      </c>
      <c r="E5151" t="str">
        <f>IFERROR(__xludf.DUMMYFUNCTION("""COMPUTED_VALUE"""),"Bmb9393")</f>
        <v>Bmb9393</v>
      </c>
    </row>
    <row r="5152" ht="15.75" customHeight="1">
      <c r="A5152" t="str">
        <f t="shared" si="1"/>
        <v>S.aureus</v>
      </c>
      <c r="B5152" s="5" t="s">
        <v>32279</v>
      </c>
      <c r="C5152" s="6" t="str">
        <f>IFERROR(__xludf.DUMMYFUNCTION("SPLIT('2. c'!B5152, "" "", True, True)"),"Staphylococcus")</f>
        <v>Staphylococcus</v>
      </c>
      <c r="D5152" t="str">
        <f>IFERROR(__xludf.DUMMYFUNCTION("""COMPUTED_VALUE"""),"aureus")</f>
        <v>aureus</v>
      </c>
      <c r="E5152" t="str">
        <f>IFERROR(__xludf.DUMMYFUNCTION("""COMPUTED_VALUE"""),"CA-347")</f>
        <v>CA-347</v>
      </c>
    </row>
    <row r="5153" ht="15.75" customHeight="1">
      <c r="A5153" t="str">
        <f t="shared" si="1"/>
        <v>S.aureus</v>
      </c>
      <c r="B5153" s="5" t="s">
        <v>32281</v>
      </c>
      <c r="C5153" s="6" t="str">
        <f>IFERROR(__xludf.DUMMYFUNCTION("SPLIT('2. c'!B5153, "" "", True, True)"),"Staphylococcus")</f>
        <v>Staphylococcus</v>
      </c>
      <c r="D5153" t="str">
        <f>IFERROR(__xludf.DUMMYFUNCTION("""COMPUTED_VALUE"""),"aureus")</f>
        <v>aureus</v>
      </c>
      <c r="E5153" t="str">
        <f>IFERROR(__xludf.DUMMYFUNCTION("""COMPUTED_VALUE"""),"M1")</f>
        <v>M1</v>
      </c>
    </row>
    <row r="5154" ht="15.75" customHeight="1">
      <c r="A5154" t="str">
        <f t="shared" si="1"/>
        <v>S.aureus</v>
      </c>
      <c r="B5154" s="5" t="s">
        <v>32286</v>
      </c>
      <c r="C5154" s="6" t="str">
        <f>IFERROR(__xludf.DUMMYFUNCTION("SPLIT('2. c'!B5154, "" "", True, True)"),"Staphylococcus")</f>
        <v>Staphylococcus</v>
      </c>
      <c r="D5154" t="str">
        <f>IFERROR(__xludf.DUMMYFUNCTION("""COMPUTED_VALUE"""),"aureus")</f>
        <v>aureus</v>
      </c>
      <c r="E5154" t="str">
        <f>IFERROR(__xludf.DUMMYFUNCTION("""COMPUTED_VALUE"""),"RF122")</f>
        <v>RF122</v>
      </c>
    </row>
    <row r="5155" ht="15.75" customHeight="1">
      <c r="A5155" t="str">
        <f t="shared" si="1"/>
        <v>S.aureus</v>
      </c>
      <c r="B5155" s="5" t="s">
        <v>32291</v>
      </c>
      <c r="C5155" s="6" t="str">
        <f>IFERROR(__xludf.DUMMYFUNCTION("SPLIT('2. c'!B5155, "" "", True, True)"),"Staphylococcus")</f>
        <v>Staphylococcus</v>
      </c>
      <c r="D5155" t="str">
        <f>IFERROR(__xludf.DUMMYFUNCTION("""COMPUTED_VALUE"""),"aureus")</f>
        <v>aureus</v>
      </c>
      <c r="E5155" t="str">
        <f>IFERROR(__xludf.DUMMYFUNCTION("""COMPUTED_VALUE"""),"ST228/10388")</f>
        <v>ST228/10388</v>
      </c>
    </row>
    <row r="5156" ht="15.75" customHeight="1">
      <c r="A5156" t="str">
        <f t="shared" si="1"/>
        <v>S.aureus</v>
      </c>
      <c r="B5156" s="5" t="s">
        <v>32297</v>
      </c>
      <c r="C5156" s="6" t="str">
        <f>IFERROR(__xludf.DUMMYFUNCTION("SPLIT('2. c'!B5156, "" "", True, True)"),"Staphylococcus")</f>
        <v>Staphylococcus</v>
      </c>
      <c r="D5156" t="str">
        <f>IFERROR(__xludf.DUMMYFUNCTION("""COMPUTED_VALUE"""),"aureus")</f>
        <v>aureus</v>
      </c>
      <c r="E5156" t="str">
        <f>IFERROR(__xludf.DUMMYFUNCTION("""COMPUTED_VALUE"""),"ST228/10497")</f>
        <v>ST228/10497</v>
      </c>
    </row>
    <row r="5157" ht="15.75" customHeight="1">
      <c r="A5157" t="str">
        <f t="shared" si="1"/>
        <v>S.aureus</v>
      </c>
      <c r="B5157" s="5" t="s">
        <v>32302</v>
      </c>
      <c r="C5157" s="6" t="str">
        <f>IFERROR(__xludf.DUMMYFUNCTION("SPLIT('2. c'!B5157, "" "", True, True)"),"Staphylococcus")</f>
        <v>Staphylococcus</v>
      </c>
      <c r="D5157" t="str">
        <f>IFERROR(__xludf.DUMMYFUNCTION("""COMPUTED_VALUE"""),"aureus")</f>
        <v>aureus</v>
      </c>
      <c r="E5157" t="str">
        <f>IFERROR(__xludf.DUMMYFUNCTION("""COMPUTED_VALUE"""),"ST228/15532")</f>
        <v>ST228/15532</v>
      </c>
    </row>
    <row r="5158" ht="15.75" customHeight="1">
      <c r="A5158" t="str">
        <f t="shared" si="1"/>
        <v>S.aureus</v>
      </c>
      <c r="B5158" s="5" t="s">
        <v>32307</v>
      </c>
      <c r="C5158" s="6" t="str">
        <f>IFERROR(__xludf.DUMMYFUNCTION("SPLIT('2. c'!B5158, "" "", True, True)"),"Staphylococcus")</f>
        <v>Staphylococcus</v>
      </c>
      <c r="D5158" t="str">
        <f>IFERROR(__xludf.DUMMYFUNCTION("""COMPUTED_VALUE"""),"aureus")</f>
        <v>aureus</v>
      </c>
      <c r="E5158" t="str">
        <f>IFERROR(__xludf.DUMMYFUNCTION("""COMPUTED_VALUE"""),"ST228/16035")</f>
        <v>ST228/16035</v>
      </c>
    </row>
    <row r="5159" ht="15.75" customHeight="1">
      <c r="A5159" t="str">
        <f t="shared" si="1"/>
        <v>S.aureus</v>
      </c>
      <c r="B5159" s="5" t="s">
        <v>32313</v>
      </c>
      <c r="C5159" s="6" t="str">
        <f>IFERROR(__xludf.DUMMYFUNCTION("SPLIT('2. c'!B5159, "" "", True, True)"),"Staphylococcus")</f>
        <v>Staphylococcus</v>
      </c>
      <c r="D5159" t="str">
        <f>IFERROR(__xludf.DUMMYFUNCTION("""COMPUTED_VALUE"""),"aureus")</f>
        <v>aureus</v>
      </c>
      <c r="E5159" t="str">
        <f>IFERROR(__xludf.DUMMYFUNCTION("""COMPUTED_VALUE"""),"ST228/18412")</f>
        <v>ST228/18412</v>
      </c>
    </row>
    <row r="5160" ht="15.75" customHeight="1">
      <c r="A5160" t="str">
        <f t="shared" si="1"/>
        <v>S.aureus</v>
      </c>
      <c r="B5160" s="5" t="s">
        <v>32325</v>
      </c>
      <c r="C5160" s="6" t="str">
        <f>IFERROR(__xludf.DUMMYFUNCTION("SPLIT('2. c'!B5160, "" "", True, True)"),"Staphylococcus")</f>
        <v>Staphylococcus</v>
      </c>
      <c r="D5160" t="str">
        <f>IFERROR(__xludf.DUMMYFUNCTION("""COMPUTED_VALUE"""),"aureus")</f>
        <v>aureus</v>
      </c>
      <c r="E5160" t="str">
        <f>IFERROR(__xludf.DUMMYFUNCTION("""COMPUTED_VALUE"""),"strain")</f>
        <v>strain</v>
      </c>
      <c r="F5160" t="str">
        <f>IFERROR(__xludf.DUMMYFUNCTION("""COMPUTED_VALUE"""),"08-02119")</f>
        <v>08-02119</v>
      </c>
    </row>
    <row r="5161" ht="15.75" customHeight="1">
      <c r="A5161" t="str">
        <f t="shared" si="1"/>
        <v>S.aureus</v>
      </c>
      <c r="B5161" s="5" t="s">
        <v>32335</v>
      </c>
      <c r="C5161" s="6" t="str">
        <f>IFERROR(__xludf.DUMMYFUNCTION("SPLIT('2. c'!B5161, "" "", True, True)"),"Staphylococcus")</f>
        <v>Staphylococcus</v>
      </c>
      <c r="D5161" t="str">
        <f>IFERROR(__xludf.DUMMYFUNCTION("""COMPUTED_VALUE"""),"aureus")</f>
        <v>aureus</v>
      </c>
      <c r="E5161" t="str">
        <f>IFERROR(__xludf.DUMMYFUNCTION("""COMPUTED_VALUE"""),"strain")</f>
        <v>strain</v>
      </c>
      <c r="F5161" t="str">
        <f>IFERROR(__xludf.DUMMYFUNCTION("""COMPUTED_VALUE"""),"08-02300")</f>
        <v>08-02300</v>
      </c>
    </row>
    <row r="5162" ht="15.75" customHeight="1">
      <c r="A5162" t="str">
        <f t="shared" si="1"/>
        <v>S.aureus</v>
      </c>
      <c r="B5162" s="5" t="s">
        <v>32342</v>
      </c>
      <c r="C5162" s="6" t="str">
        <f>IFERROR(__xludf.DUMMYFUNCTION("SPLIT('2. c'!B5162, "" "", True, True)"),"Staphylococcus")</f>
        <v>Staphylococcus</v>
      </c>
      <c r="D5162" t="str">
        <f>IFERROR(__xludf.DUMMYFUNCTION("""COMPUTED_VALUE"""),"aureus")</f>
        <v>aureus</v>
      </c>
      <c r="E5162" t="str">
        <f>IFERROR(__xludf.DUMMYFUNCTION("""COMPUTED_VALUE"""),"strain")</f>
        <v>strain</v>
      </c>
      <c r="F5162">
        <f>IFERROR(__xludf.DUMMYFUNCTION("""COMPUTED_VALUE"""),2395.0)</f>
        <v>2395</v>
      </c>
      <c r="G5162" t="str">
        <f>IFERROR(__xludf.DUMMYFUNCTION("""COMPUTED_VALUE"""),"USA500")</f>
        <v>USA500</v>
      </c>
    </row>
    <row r="5163" ht="15.75" customHeight="1">
      <c r="A5163" t="str">
        <f t="shared" si="1"/>
        <v>S.aureus</v>
      </c>
      <c r="B5163" s="5" t="s">
        <v>32349</v>
      </c>
      <c r="C5163" s="6" t="str">
        <f>IFERROR(__xludf.DUMMYFUNCTION("SPLIT('2. c'!B5163, "" "", True, True)"),"Staphylococcus")</f>
        <v>Staphylococcus</v>
      </c>
      <c r="D5163" t="str">
        <f>IFERROR(__xludf.DUMMYFUNCTION("""COMPUTED_VALUE"""),"aureus")</f>
        <v>aureus</v>
      </c>
      <c r="E5163" t="str">
        <f>IFERROR(__xludf.DUMMYFUNCTION("""COMPUTED_VALUE"""),"strain")</f>
        <v>strain</v>
      </c>
      <c r="F5163" t="str">
        <f>IFERROR(__xludf.DUMMYFUNCTION("""COMPUTED_VALUE"""),"502A")</f>
        <v>502A</v>
      </c>
    </row>
    <row r="5164" ht="15.75" customHeight="1">
      <c r="A5164" t="str">
        <f t="shared" si="1"/>
        <v>S.aureus</v>
      </c>
      <c r="B5164" s="5" t="s">
        <v>32354</v>
      </c>
      <c r="C5164" s="6" t="str">
        <f>IFERROR(__xludf.DUMMYFUNCTION("SPLIT('2. c'!B5164, "" "", True, True)"),"Staphylococcus")</f>
        <v>Staphylococcus</v>
      </c>
      <c r="D5164" t="str">
        <f>IFERROR(__xludf.DUMMYFUNCTION("""COMPUTED_VALUE"""),"aureus")</f>
        <v>aureus</v>
      </c>
      <c r="E5164" t="str">
        <f>IFERROR(__xludf.DUMMYFUNCTION("""COMPUTED_VALUE"""),"strain")</f>
        <v>strain</v>
      </c>
      <c r="F5164" t="str">
        <f>IFERROR(__xludf.DUMMYFUNCTION("""COMPUTED_VALUE"""),"BB155")</f>
        <v>BB155</v>
      </c>
    </row>
    <row r="5165" ht="15.75" customHeight="1">
      <c r="A5165" t="str">
        <f t="shared" si="1"/>
        <v>S.aureus</v>
      </c>
      <c r="B5165" s="5" t="s">
        <v>32364</v>
      </c>
      <c r="C5165" s="6" t="str">
        <f>IFERROR(__xludf.DUMMYFUNCTION("SPLIT('2. c'!B5165, "" "", True, True)"),"Staphylococcus")</f>
        <v>Staphylococcus</v>
      </c>
      <c r="D5165" t="str">
        <f>IFERROR(__xludf.DUMMYFUNCTION("""COMPUTED_VALUE"""),"aureus")</f>
        <v>aureus</v>
      </c>
      <c r="E5165" t="str">
        <f>IFERROR(__xludf.DUMMYFUNCTION("""COMPUTED_VALUE"""),"strain")</f>
        <v>strain</v>
      </c>
      <c r="F5165" t="str">
        <f>IFERROR(__xludf.DUMMYFUNCTION("""COMPUTED_VALUE"""),"CA12")</f>
        <v>CA12</v>
      </c>
    </row>
    <row r="5166" ht="15.75" customHeight="1">
      <c r="A5166" t="str">
        <f t="shared" si="1"/>
        <v>S.aureus</v>
      </c>
      <c r="B5166" s="5" t="s">
        <v>32373</v>
      </c>
      <c r="C5166" s="6" t="str">
        <f>IFERROR(__xludf.DUMMYFUNCTION("SPLIT('2. c'!B5166, "" "", True, True)"),"Staphylococcus")</f>
        <v>Staphylococcus</v>
      </c>
      <c r="D5166" t="str">
        <f>IFERROR(__xludf.DUMMYFUNCTION("""COMPUTED_VALUE"""),"aureus")</f>
        <v>aureus</v>
      </c>
      <c r="E5166" t="str">
        <f>IFERROR(__xludf.DUMMYFUNCTION("""COMPUTED_VALUE"""),"strain")</f>
        <v>strain</v>
      </c>
      <c r="F5166" t="str">
        <f>IFERROR(__xludf.DUMMYFUNCTION("""COMPUTED_VALUE"""),"CA15")</f>
        <v>CA15</v>
      </c>
    </row>
    <row r="5167" ht="15.75" customHeight="1">
      <c r="A5167" t="str">
        <f t="shared" si="1"/>
        <v>S.aureus</v>
      </c>
      <c r="B5167" s="5" t="s">
        <v>32381</v>
      </c>
      <c r="C5167" s="6" t="str">
        <f>IFERROR(__xludf.DUMMYFUNCTION("SPLIT('2. c'!B5167, "" "", True, True)"),"Staphylococcus")</f>
        <v>Staphylococcus</v>
      </c>
      <c r="D5167" t="str">
        <f>IFERROR(__xludf.DUMMYFUNCTION("""COMPUTED_VALUE"""),"aureus")</f>
        <v>aureus</v>
      </c>
      <c r="E5167" t="str">
        <f>IFERROR(__xludf.DUMMYFUNCTION("""COMPUTED_VALUE"""),"strain")</f>
        <v>strain</v>
      </c>
      <c r="F5167" t="str">
        <f>IFERROR(__xludf.DUMMYFUNCTION("""COMPUTED_VALUE"""),"FCFHV36")</f>
        <v>FCFHV36</v>
      </c>
    </row>
    <row r="5168" ht="15.75" customHeight="1">
      <c r="A5168" t="str">
        <f t="shared" si="1"/>
        <v>S.aureus</v>
      </c>
      <c r="B5168" s="5" t="s">
        <v>32388</v>
      </c>
      <c r="C5168" s="6" t="str">
        <f>IFERROR(__xludf.DUMMYFUNCTION("SPLIT('2. c'!B5168, "" "", True, True)"),"Staphylococcus")</f>
        <v>Staphylococcus</v>
      </c>
      <c r="D5168" t="str">
        <f>IFERROR(__xludf.DUMMYFUNCTION("""COMPUTED_VALUE"""),"aureus")</f>
        <v>aureus</v>
      </c>
      <c r="E5168" t="str">
        <f>IFERROR(__xludf.DUMMYFUNCTION("""COMPUTED_VALUE"""),"strain")</f>
        <v>strain</v>
      </c>
      <c r="F5168" t="str">
        <f>IFERROR(__xludf.DUMMYFUNCTION("""COMPUTED_VALUE"""),"FDA209P")</f>
        <v>FDA209P</v>
      </c>
    </row>
    <row r="5169" ht="15.75" customHeight="1">
      <c r="A5169" t="str">
        <f t="shared" si="1"/>
        <v>S.aureus</v>
      </c>
      <c r="B5169" s="5" t="s">
        <v>32396</v>
      </c>
      <c r="C5169" s="6" t="str">
        <f>IFERROR(__xludf.DUMMYFUNCTION("SPLIT('2. c'!B5169, "" "", True, True)"),"Staphylococcus")</f>
        <v>Staphylococcus</v>
      </c>
      <c r="D5169" t="str">
        <f>IFERROR(__xludf.DUMMYFUNCTION("""COMPUTED_VALUE"""),"aureus")</f>
        <v>aureus</v>
      </c>
      <c r="E5169" t="str">
        <f>IFERROR(__xludf.DUMMYFUNCTION("""COMPUTED_VALUE"""),"strain")</f>
        <v>strain</v>
      </c>
      <c r="F5169" t="str">
        <f>IFERROR(__xludf.DUMMYFUNCTION("""COMPUTED_VALUE"""),"FDAARGOS_159")</f>
        <v>FDAARGOS_159</v>
      </c>
    </row>
    <row r="5170" ht="15.75" customHeight="1">
      <c r="A5170" t="str">
        <f t="shared" si="1"/>
        <v>S.aureus</v>
      </c>
      <c r="B5170" s="5" t="s">
        <v>32405</v>
      </c>
      <c r="C5170" s="6" t="str">
        <f>IFERROR(__xludf.DUMMYFUNCTION("SPLIT('2. c'!B5170, "" "", True, True)"),"Staphylococcus")</f>
        <v>Staphylococcus</v>
      </c>
      <c r="D5170" t="str">
        <f>IFERROR(__xludf.DUMMYFUNCTION("""COMPUTED_VALUE"""),"aureus")</f>
        <v>aureus</v>
      </c>
      <c r="E5170" t="str">
        <f>IFERROR(__xludf.DUMMYFUNCTION("""COMPUTED_VALUE"""),"strain")</f>
        <v>strain</v>
      </c>
      <c r="F5170" t="str">
        <f>IFERROR(__xludf.DUMMYFUNCTION("""COMPUTED_VALUE"""),"FORC_012")</f>
        <v>FORC_012</v>
      </c>
    </row>
    <row r="5171" ht="15.75" customHeight="1">
      <c r="A5171" t="str">
        <f t="shared" si="1"/>
        <v>S.aureus</v>
      </c>
      <c r="B5171" s="5" t="s">
        <v>32414</v>
      </c>
      <c r="C5171" s="6" t="str">
        <f>IFERROR(__xludf.DUMMYFUNCTION("SPLIT('2. c'!B5171, "" "", True, True)"),"Staphylococcus")</f>
        <v>Staphylococcus</v>
      </c>
      <c r="D5171" t="str">
        <f>IFERROR(__xludf.DUMMYFUNCTION("""COMPUTED_VALUE"""),"aureus")</f>
        <v>aureus</v>
      </c>
      <c r="E5171" t="str">
        <f>IFERROR(__xludf.DUMMYFUNCTION("""COMPUTED_VALUE"""),"strain")</f>
        <v>strain</v>
      </c>
      <c r="F5171" t="str">
        <f>IFERROR(__xludf.DUMMYFUNCTION("""COMPUTED_VALUE"""),"HOU1444-VR")</f>
        <v>HOU1444-VR</v>
      </c>
    </row>
    <row r="5172" ht="15.75" customHeight="1">
      <c r="A5172" t="str">
        <f t="shared" si="1"/>
        <v>S.aureus</v>
      </c>
      <c r="B5172" s="5" t="s">
        <v>32424</v>
      </c>
      <c r="C5172" s="6" t="str">
        <f>IFERROR(__xludf.DUMMYFUNCTION("SPLIT('2. c'!B5172, "" "", True, True)"),"Staphylococcus")</f>
        <v>Staphylococcus</v>
      </c>
      <c r="D5172" t="str">
        <f>IFERROR(__xludf.DUMMYFUNCTION("""COMPUTED_VALUE"""),"aureus")</f>
        <v>aureus</v>
      </c>
      <c r="E5172" t="str">
        <f>IFERROR(__xludf.DUMMYFUNCTION("""COMPUTED_VALUE"""),"strain")</f>
        <v>strain</v>
      </c>
      <c r="F5172" t="str">
        <f>IFERROR(__xludf.DUMMYFUNCTION("""COMPUTED_VALUE"""),"HUV05")</f>
        <v>HUV05</v>
      </c>
    </row>
    <row r="5173" ht="15.75" customHeight="1">
      <c r="A5173" t="str">
        <f t="shared" si="1"/>
        <v>S.aureus</v>
      </c>
      <c r="B5173" s="5" t="s">
        <v>32431</v>
      </c>
      <c r="C5173" s="6" t="str">
        <f>IFERROR(__xludf.DUMMYFUNCTION("SPLIT('2. c'!B5173, "" "", True, True)"),"Staphylococcus")</f>
        <v>Staphylococcus</v>
      </c>
      <c r="D5173" t="str">
        <f>IFERROR(__xludf.DUMMYFUNCTION("""COMPUTED_VALUE"""),"aureus")</f>
        <v>aureus</v>
      </c>
      <c r="E5173" t="str">
        <f>IFERROR(__xludf.DUMMYFUNCTION("""COMPUTED_VALUE"""),"strain")</f>
        <v>strain</v>
      </c>
      <c r="F5173" t="str">
        <f>IFERROR(__xludf.DUMMYFUNCTION("""COMPUTED_VALUE"""),"ILRI_Eymole1/1")</f>
        <v>ILRI_Eymole1/1</v>
      </c>
    </row>
    <row r="5174" ht="15.75" customHeight="1">
      <c r="A5174" t="str">
        <f t="shared" si="1"/>
        <v>S.aureus</v>
      </c>
      <c r="B5174" s="5" t="s">
        <v>32440</v>
      </c>
      <c r="C5174" s="6" t="str">
        <f>IFERROR(__xludf.DUMMYFUNCTION("SPLIT('2. c'!B5174, "" "", True, True)"),"Staphylococcus")</f>
        <v>Staphylococcus</v>
      </c>
      <c r="D5174" t="str">
        <f>IFERROR(__xludf.DUMMYFUNCTION("""COMPUTED_VALUE"""),"aureus")</f>
        <v>aureus</v>
      </c>
      <c r="E5174" t="str">
        <f>IFERROR(__xludf.DUMMYFUNCTION("""COMPUTED_VALUE"""),"strain")</f>
        <v>strain</v>
      </c>
      <c r="F5174" t="str">
        <f>IFERROR(__xludf.DUMMYFUNCTION("""COMPUTED_VALUE"""),"M121")</f>
        <v>M121</v>
      </c>
    </row>
    <row r="5175" ht="15.75" customHeight="1">
      <c r="A5175" t="str">
        <f t="shared" si="1"/>
        <v>S.aureus</v>
      </c>
      <c r="B5175" s="5" t="s">
        <v>32448</v>
      </c>
      <c r="C5175" s="6" t="str">
        <f>IFERROR(__xludf.DUMMYFUNCTION("SPLIT('2. c'!B5175, "" "", True, True)"),"Staphylococcus")</f>
        <v>Staphylococcus</v>
      </c>
      <c r="D5175" t="str">
        <f>IFERROR(__xludf.DUMMYFUNCTION("""COMPUTED_VALUE"""),"aureus")</f>
        <v>aureus</v>
      </c>
      <c r="E5175" t="str">
        <f>IFERROR(__xludf.DUMMYFUNCTION("""COMPUTED_VALUE"""),"strain")</f>
        <v>strain</v>
      </c>
      <c r="F5175" t="str">
        <f>IFERROR(__xludf.DUMMYFUNCTION("""COMPUTED_VALUE"""),"MCRF184")</f>
        <v>MCRF184</v>
      </c>
    </row>
    <row r="5176" ht="15.75" customHeight="1">
      <c r="A5176" t="str">
        <f t="shared" si="1"/>
        <v>S.aureus</v>
      </c>
      <c r="B5176" s="5" t="s">
        <v>32455</v>
      </c>
      <c r="C5176" s="6" t="str">
        <f>IFERROR(__xludf.DUMMYFUNCTION("SPLIT('2. c'!B5176, "" "", True, True)"),"Staphylococcus")</f>
        <v>Staphylococcus</v>
      </c>
      <c r="D5176" t="str">
        <f>IFERROR(__xludf.DUMMYFUNCTION("""COMPUTED_VALUE"""),"aureus")</f>
        <v>aureus</v>
      </c>
      <c r="E5176" t="str">
        <f>IFERROR(__xludf.DUMMYFUNCTION("""COMPUTED_VALUE"""),"strain")</f>
        <v>strain</v>
      </c>
      <c r="F5176" t="str">
        <f>IFERROR(__xludf.DUMMYFUNCTION("""COMPUTED_VALUE"""),"MI")</f>
        <v>MI</v>
      </c>
    </row>
    <row r="5177" ht="15.75" customHeight="1">
      <c r="A5177" t="str">
        <f t="shared" si="1"/>
        <v>S.aureus</v>
      </c>
      <c r="B5177" s="5" t="s">
        <v>32463</v>
      </c>
      <c r="C5177" s="6" t="str">
        <f>IFERROR(__xludf.DUMMYFUNCTION("SPLIT('2. c'!B5177, "" "", True, True)"),"Staphylococcus")</f>
        <v>Staphylococcus</v>
      </c>
      <c r="D5177" t="str">
        <f>IFERROR(__xludf.DUMMYFUNCTION("""COMPUTED_VALUE"""),"aureus")</f>
        <v>aureus</v>
      </c>
      <c r="E5177" t="str">
        <f>IFERROR(__xludf.DUMMYFUNCTION("""COMPUTED_VALUE"""),"strain")</f>
        <v>strain</v>
      </c>
      <c r="F5177" t="str">
        <f>IFERROR(__xludf.DUMMYFUNCTION("""COMPUTED_VALUE"""),"MS4")</f>
        <v>MS4</v>
      </c>
    </row>
    <row r="5178" ht="15.75" customHeight="1">
      <c r="A5178" t="str">
        <f t="shared" si="1"/>
        <v>S.aureus</v>
      </c>
      <c r="B5178" s="5" t="s">
        <v>32469</v>
      </c>
      <c r="C5178" s="6" t="str">
        <f>IFERROR(__xludf.DUMMYFUNCTION("SPLIT('2. c'!B5178, "" "", True, True)"),"Staphylococcus")</f>
        <v>Staphylococcus</v>
      </c>
      <c r="D5178" t="str">
        <f>IFERROR(__xludf.DUMMYFUNCTION("""COMPUTED_VALUE"""),"aureus")</f>
        <v>aureus</v>
      </c>
      <c r="E5178" t="str">
        <f>IFERROR(__xludf.DUMMYFUNCTION("""COMPUTED_VALUE"""),"strain")</f>
        <v>strain</v>
      </c>
      <c r="F5178" t="str">
        <f>IFERROR(__xludf.DUMMYFUNCTION("""COMPUTED_VALUE"""),"Mw2")</f>
        <v>Mw2</v>
      </c>
    </row>
    <row r="5179" ht="15.75" customHeight="1">
      <c r="A5179" t="str">
        <f t="shared" si="1"/>
        <v>S.aureus</v>
      </c>
      <c r="B5179" s="5" t="s">
        <v>32479</v>
      </c>
      <c r="C5179" s="6" t="str">
        <f>IFERROR(__xludf.DUMMYFUNCTION("SPLIT('2. c'!B5179, "" "", True, True)"),"Staphylococcus")</f>
        <v>Staphylococcus</v>
      </c>
      <c r="D5179" t="str">
        <f>IFERROR(__xludf.DUMMYFUNCTION("""COMPUTED_VALUE"""),"aureus")</f>
        <v>aureus</v>
      </c>
      <c r="E5179" t="str">
        <f>IFERROR(__xludf.DUMMYFUNCTION("""COMPUTED_VALUE"""),"strain")</f>
        <v>strain</v>
      </c>
      <c r="F5179" t="str">
        <f>IFERROR(__xludf.DUMMYFUNCTION("""COMPUTED_VALUE"""),"NCCP14558")</f>
        <v>NCCP14558</v>
      </c>
    </row>
    <row r="5180" ht="15.75" customHeight="1">
      <c r="A5180" t="str">
        <f t="shared" si="1"/>
        <v>S.aureus</v>
      </c>
      <c r="B5180" s="5" t="s">
        <v>32490</v>
      </c>
      <c r="C5180" s="6" t="str">
        <f>IFERROR(__xludf.DUMMYFUNCTION("SPLIT('2. c'!B5180, "" "", True, True)"),"Staphylococcus")</f>
        <v>Staphylococcus</v>
      </c>
      <c r="D5180" t="str">
        <f>IFERROR(__xludf.DUMMYFUNCTION("""COMPUTED_VALUE"""),"aureus")</f>
        <v>aureus</v>
      </c>
      <c r="E5180" t="str">
        <f>IFERROR(__xludf.DUMMYFUNCTION("""COMPUTED_VALUE"""),"strain")</f>
        <v>strain</v>
      </c>
      <c r="F5180" t="str">
        <f>IFERROR(__xludf.DUMMYFUNCTION("""COMPUTED_VALUE"""),"NCCP14562")</f>
        <v>NCCP14562</v>
      </c>
    </row>
    <row r="5181" ht="15.75" customHeight="1">
      <c r="A5181" t="str">
        <f t="shared" si="1"/>
        <v>S.aureus</v>
      </c>
      <c r="B5181" s="5" t="s">
        <v>32497</v>
      </c>
      <c r="C5181" s="6" t="str">
        <f>IFERROR(__xludf.DUMMYFUNCTION("SPLIT('2. c'!B5181, "" "", True, True)"),"Staphylococcus")</f>
        <v>Staphylococcus</v>
      </c>
      <c r="D5181" t="str">
        <f>IFERROR(__xludf.DUMMYFUNCTION("""COMPUTED_VALUE"""),"aureus")</f>
        <v>aureus</v>
      </c>
      <c r="E5181" t="str">
        <f>IFERROR(__xludf.DUMMYFUNCTION("""COMPUTED_VALUE"""),"strain")</f>
        <v>strain</v>
      </c>
      <c r="F5181" t="str">
        <f>IFERROR(__xludf.DUMMYFUNCTION("""COMPUTED_VALUE"""),"NCTC13435")</f>
        <v>NCTC13435</v>
      </c>
    </row>
    <row r="5182" ht="15.75" customHeight="1">
      <c r="A5182" t="str">
        <f t="shared" si="1"/>
        <v>S.aureus</v>
      </c>
      <c r="B5182" s="5" t="s">
        <v>32509</v>
      </c>
      <c r="C5182" s="6" t="str">
        <f>IFERROR(__xludf.DUMMYFUNCTION("SPLIT('2. c'!B5182, "" "", True, True)"),"Staphylococcus")</f>
        <v>Staphylococcus</v>
      </c>
      <c r="D5182" t="str">
        <f>IFERROR(__xludf.DUMMYFUNCTION("""COMPUTED_VALUE"""),"aureus")</f>
        <v>aureus</v>
      </c>
      <c r="E5182" t="str">
        <f>IFERROR(__xludf.DUMMYFUNCTION("""COMPUTED_VALUE"""),"strain")</f>
        <v>strain</v>
      </c>
      <c r="F5182" t="str">
        <f>IFERROR(__xludf.DUMMYFUNCTION("""COMPUTED_VALUE"""),"NCTC8532")</f>
        <v>NCTC8532</v>
      </c>
    </row>
    <row r="5183" ht="15.75" customHeight="1">
      <c r="A5183" t="str">
        <f t="shared" si="1"/>
        <v>S.aureus</v>
      </c>
      <c r="B5183" s="5" t="s">
        <v>32518</v>
      </c>
      <c r="C5183" s="6" t="str">
        <f>IFERROR(__xludf.DUMMYFUNCTION("SPLIT('2. c'!B5183, "" "", True, True)"),"Staphylococcus")</f>
        <v>Staphylococcus</v>
      </c>
      <c r="D5183" t="str">
        <f>IFERROR(__xludf.DUMMYFUNCTION("""COMPUTED_VALUE"""),"aureus")</f>
        <v>aureus</v>
      </c>
      <c r="E5183" t="str">
        <f>IFERROR(__xludf.DUMMYFUNCTION("""COMPUTED_VALUE"""),"strain")</f>
        <v>strain</v>
      </c>
      <c r="F5183" t="str">
        <f>IFERROR(__xludf.DUMMYFUNCTION("""COMPUTED_VALUE"""),"NRS1")</f>
        <v>NRS1</v>
      </c>
    </row>
    <row r="5184" ht="15.75" customHeight="1">
      <c r="A5184" t="str">
        <f t="shared" si="1"/>
        <v>S.aureus</v>
      </c>
      <c r="B5184" s="5" t="s">
        <v>32526</v>
      </c>
      <c r="C5184" s="6" t="str">
        <f>IFERROR(__xludf.DUMMYFUNCTION("SPLIT('2. c'!B5184, "" "", True, True)"),"Staphylococcus")</f>
        <v>Staphylococcus</v>
      </c>
      <c r="D5184" t="str">
        <f>IFERROR(__xludf.DUMMYFUNCTION("""COMPUTED_VALUE"""),"aureus")</f>
        <v>aureus</v>
      </c>
      <c r="E5184" t="str">
        <f>IFERROR(__xludf.DUMMYFUNCTION("""COMPUTED_VALUE"""),"strain")</f>
        <v>strain</v>
      </c>
      <c r="F5184" t="str">
        <f>IFERROR(__xludf.DUMMYFUNCTION("""COMPUTED_VALUE"""),"NRS100")</f>
        <v>NRS100</v>
      </c>
    </row>
    <row r="5185" ht="15.75" customHeight="1">
      <c r="A5185" t="str">
        <f t="shared" si="1"/>
        <v>S.aureus</v>
      </c>
      <c r="B5185" s="5" t="s">
        <v>32535</v>
      </c>
      <c r="C5185" s="6" t="str">
        <f>IFERROR(__xludf.DUMMYFUNCTION("SPLIT('2. c'!B5185, "" "", True, True)"),"Staphylococcus")</f>
        <v>Staphylococcus</v>
      </c>
      <c r="D5185" t="str">
        <f>IFERROR(__xludf.DUMMYFUNCTION("""COMPUTED_VALUE"""),"aureus")</f>
        <v>aureus</v>
      </c>
      <c r="E5185" t="str">
        <f>IFERROR(__xludf.DUMMYFUNCTION("""COMPUTED_VALUE"""),"strain")</f>
        <v>strain</v>
      </c>
      <c r="F5185" t="str">
        <f>IFERROR(__xludf.DUMMYFUNCTION("""COMPUTED_VALUE"""),"NRS105")</f>
        <v>NRS105</v>
      </c>
    </row>
    <row r="5186" ht="15.75" customHeight="1">
      <c r="A5186" t="str">
        <f t="shared" si="1"/>
        <v>S.aureus</v>
      </c>
      <c r="B5186" s="5" t="s">
        <v>32546</v>
      </c>
      <c r="C5186" s="6" t="str">
        <f>IFERROR(__xludf.DUMMYFUNCTION("SPLIT('2. c'!B5186, "" "", True, True)"),"Staphylococcus")</f>
        <v>Staphylococcus</v>
      </c>
      <c r="D5186" t="str">
        <f>IFERROR(__xludf.DUMMYFUNCTION("""COMPUTED_VALUE"""),"aureus")</f>
        <v>aureus</v>
      </c>
      <c r="E5186" t="str">
        <f>IFERROR(__xludf.DUMMYFUNCTION("""COMPUTED_VALUE"""),"strain")</f>
        <v>strain</v>
      </c>
      <c r="F5186" t="str">
        <f>IFERROR(__xludf.DUMMYFUNCTION("""COMPUTED_VALUE"""),"NRS120")</f>
        <v>NRS120</v>
      </c>
    </row>
    <row r="5187" ht="15.75" customHeight="1">
      <c r="A5187" t="str">
        <f t="shared" si="1"/>
        <v>S.aureus</v>
      </c>
      <c r="B5187" s="5" t="s">
        <v>32554</v>
      </c>
      <c r="C5187" s="6" t="str">
        <f>IFERROR(__xludf.DUMMYFUNCTION("SPLIT('2. c'!B5187, "" "", True, True)"),"Staphylococcus")</f>
        <v>Staphylococcus</v>
      </c>
      <c r="D5187" t="str">
        <f>IFERROR(__xludf.DUMMYFUNCTION("""COMPUTED_VALUE"""),"aureus")</f>
        <v>aureus</v>
      </c>
      <c r="E5187" t="str">
        <f>IFERROR(__xludf.DUMMYFUNCTION("""COMPUTED_VALUE"""),"strain")</f>
        <v>strain</v>
      </c>
      <c r="F5187" t="str">
        <f>IFERROR(__xludf.DUMMYFUNCTION("""COMPUTED_VALUE"""),"NRS133")</f>
        <v>NRS133</v>
      </c>
    </row>
    <row r="5188" ht="15.75" customHeight="1">
      <c r="A5188" t="str">
        <f t="shared" si="1"/>
        <v>S.aureus</v>
      </c>
      <c r="B5188" s="5" t="s">
        <v>32564</v>
      </c>
      <c r="C5188" s="6" t="str">
        <f>IFERROR(__xludf.DUMMYFUNCTION("SPLIT('2. c'!B5188, "" "", True, True)"),"Staphylococcus")</f>
        <v>Staphylococcus</v>
      </c>
      <c r="D5188" t="str">
        <f>IFERROR(__xludf.DUMMYFUNCTION("""COMPUTED_VALUE"""),"aureus")</f>
        <v>aureus</v>
      </c>
      <c r="E5188" t="str">
        <f>IFERROR(__xludf.DUMMYFUNCTION("""COMPUTED_VALUE"""),"strain")</f>
        <v>strain</v>
      </c>
      <c r="F5188" t="str">
        <f>IFERROR(__xludf.DUMMYFUNCTION("""COMPUTED_VALUE"""),"NRS143")</f>
        <v>NRS143</v>
      </c>
    </row>
    <row r="5189" ht="15.75" customHeight="1">
      <c r="A5189" t="str">
        <f t="shared" si="1"/>
        <v>S.aureus</v>
      </c>
      <c r="B5189" s="5" t="s">
        <v>32574</v>
      </c>
      <c r="C5189" s="6" t="str">
        <f>IFERROR(__xludf.DUMMYFUNCTION("SPLIT('2. c'!B5189, "" "", True, True)"),"Staphylococcus")</f>
        <v>Staphylococcus</v>
      </c>
      <c r="D5189" t="str">
        <f>IFERROR(__xludf.DUMMYFUNCTION("""COMPUTED_VALUE"""),"aureus")</f>
        <v>aureus</v>
      </c>
      <c r="E5189" t="str">
        <f>IFERROR(__xludf.DUMMYFUNCTION("""COMPUTED_VALUE"""),"strain")</f>
        <v>strain</v>
      </c>
      <c r="F5189" t="str">
        <f>IFERROR(__xludf.DUMMYFUNCTION("""COMPUTED_VALUE"""),"NRS146")</f>
        <v>NRS146</v>
      </c>
    </row>
    <row r="5190" ht="15.75" customHeight="1">
      <c r="A5190" t="str">
        <f t="shared" si="1"/>
        <v>S.aureus</v>
      </c>
      <c r="B5190" s="5" t="s">
        <v>32581</v>
      </c>
      <c r="C5190" s="6" t="str">
        <f>IFERROR(__xludf.DUMMYFUNCTION("SPLIT('2. c'!B5190, "" "", True, True)"),"Staphylococcus")</f>
        <v>Staphylococcus</v>
      </c>
      <c r="D5190" t="str">
        <f>IFERROR(__xludf.DUMMYFUNCTION("""COMPUTED_VALUE"""),"aureus")</f>
        <v>aureus</v>
      </c>
      <c r="E5190" t="str">
        <f>IFERROR(__xludf.DUMMYFUNCTION("""COMPUTED_VALUE"""),"strain")</f>
        <v>strain</v>
      </c>
      <c r="F5190" t="str">
        <f>IFERROR(__xludf.DUMMYFUNCTION("""COMPUTED_VALUE"""),"NRS149")</f>
        <v>NRS149</v>
      </c>
    </row>
    <row r="5191" ht="15.75" customHeight="1">
      <c r="A5191" t="str">
        <f t="shared" si="1"/>
        <v>S.aureus</v>
      </c>
      <c r="B5191" s="5" t="s">
        <v>32588</v>
      </c>
      <c r="C5191" s="6" t="str">
        <f>IFERROR(__xludf.DUMMYFUNCTION("SPLIT('2. c'!B5191, "" "", True, True)"),"Staphylococcus")</f>
        <v>Staphylococcus</v>
      </c>
      <c r="D5191" t="str">
        <f>IFERROR(__xludf.DUMMYFUNCTION("""COMPUTED_VALUE"""),"aureus")</f>
        <v>aureus</v>
      </c>
      <c r="E5191" t="str">
        <f>IFERROR(__xludf.DUMMYFUNCTION("""COMPUTED_VALUE"""),"strain")</f>
        <v>strain</v>
      </c>
      <c r="F5191" t="str">
        <f>IFERROR(__xludf.DUMMYFUNCTION("""COMPUTED_VALUE"""),"NRS153")</f>
        <v>NRS153</v>
      </c>
    </row>
    <row r="5192" ht="15.75" customHeight="1">
      <c r="A5192" t="str">
        <f t="shared" si="1"/>
        <v>S.aureus</v>
      </c>
      <c r="B5192" s="5" t="s">
        <v>32593</v>
      </c>
      <c r="C5192" s="6" t="str">
        <f>IFERROR(__xludf.DUMMYFUNCTION("SPLIT('2. c'!B5192, "" "", True, True)"),"Staphylococcus")</f>
        <v>Staphylococcus</v>
      </c>
      <c r="D5192" t="str">
        <f>IFERROR(__xludf.DUMMYFUNCTION("""COMPUTED_VALUE"""),"aureus")</f>
        <v>aureus</v>
      </c>
      <c r="E5192" t="str">
        <f>IFERROR(__xludf.DUMMYFUNCTION("""COMPUTED_VALUE"""),"strain")</f>
        <v>strain</v>
      </c>
      <c r="F5192" t="str">
        <f>IFERROR(__xludf.DUMMYFUNCTION("""COMPUTED_VALUE"""),"NRS484")</f>
        <v>NRS484</v>
      </c>
    </row>
    <row r="5193" ht="15.75" customHeight="1">
      <c r="A5193" t="str">
        <f t="shared" si="1"/>
        <v>S.aureus</v>
      </c>
      <c r="B5193" s="5" t="s">
        <v>32601</v>
      </c>
      <c r="C5193" s="6" t="str">
        <f>IFERROR(__xludf.DUMMYFUNCTION("SPLIT('2. c'!B5193, "" "", True, True)"),"Staphylococcus")</f>
        <v>Staphylococcus</v>
      </c>
      <c r="D5193" t="str">
        <f>IFERROR(__xludf.DUMMYFUNCTION("""COMPUTED_VALUE"""),"aureus")</f>
        <v>aureus</v>
      </c>
      <c r="E5193" t="str">
        <f>IFERROR(__xludf.DUMMYFUNCTION("""COMPUTED_VALUE"""),"strain")</f>
        <v>strain</v>
      </c>
      <c r="F5193" t="str">
        <f>IFERROR(__xludf.DUMMYFUNCTION("""COMPUTED_VALUE"""),"NRS70")</f>
        <v>NRS70</v>
      </c>
    </row>
    <row r="5194" ht="15.75" customHeight="1">
      <c r="A5194" t="str">
        <f t="shared" si="1"/>
        <v>S.aureus</v>
      </c>
      <c r="B5194" s="5" t="s">
        <v>32612</v>
      </c>
      <c r="C5194" s="6" t="str">
        <f>IFERROR(__xludf.DUMMYFUNCTION("SPLIT('2. c'!B5194, "" "", True, True)"),"Staphylococcus")</f>
        <v>Staphylococcus</v>
      </c>
      <c r="D5194" t="str">
        <f>IFERROR(__xludf.DUMMYFUNCTION("""COMPUTED_VALUE"""),"aureus")</f>
        <v>aureus</v>
      </c>
      <c r="E5194" t="str">
        <f>IFERROR(__xludf.DUMMYFUNCTION("""COMPUTED_VALUE"""),"strain")</f>
        <v>strain</v>
      </c>
      <c r="F5194" t="str">
        <f>IFERROR(__xludf.DUMMYFUNCTION("""COMPUTED_VALUE"""),"NZAK3")</f>
        <v>NZAK3</v>
      </c>
    </row>
    <row r="5195" ht="15.75" customHeight="1">
      <c r="A5195" t="str">
        <f t="shared" si="1"/>
        <v>S.aureus</v>
      </c>
      <c r="B5195" s="5" t="s">
        <v>32619</v>
      </c>
      <c r="C5195" s="6" t="str">
        <f>IFERROR(__xludf.DUMMYFUNCTION("SPLIT('2. c'!B5195, "" "", True, True)"),"Staphylococcus")</f>
        <v>Staphylococcus</v>
      </c>
      <c r="D5195" t="str">
        <f>IFERROR(__xludf.DUMMYFUNCTION("""COMPUTED_VALUE"""),"aureus")</f>
        <v>aureus</v>
      </c>
      <c r="E5195" t="str">
        <f>IFERROR(__xludf.DUMMYFUNCTION("""COMPUTED_VALUE"""),"strain")</f>
        <v>strain</v>
      </c>
      <c r="F5195" t="str">
        <f>IFERROR(__xludf.DUMMYFUNCTION("""COMPUTED_VALUE"""),"RIVM1295")</f>
        <v>RIVM1295</v>
      </c>
    </row>
    <row r="5196" ht="15.75" customHeight="1">
      <c r="A5196" t="str">
        <f t="shared" si="1"/>
        <v>S.aureus</v>
      </c>
      <c r="B5196" s="5" t="s">
        <v>32626</v>
      </c>
      <c r="C5196" s="6" t="str">
        <f>IFERROR(__xludf.DUMMYFUNCTION("SPLIT('2. c'!B5196, "" "", True, True)"),"Staphylococcus")</f>
        <v>Staphylococcus</v>
      </c>
      <c r="D5196" t="str">
        <f>IFERROR(__xludf.DUMMYFUNCTION("""COMPUTED_VALUE"""),"aureus")</f>
        <v>aureus</v>
      </c>
      <c r="E5196" t="str">
        <f>IFERROR(__xludf.DUMMYFUNCTION("""COMPUTED_VALUE"""),"strain")</f>
        <v>strain</v>
      </c>
      <c r="F5196" t="str">
        <f>IFERROR(__xludf.DUMMYFUNCTION("""COMPUTED_VALUE"""),"RIVM1607")</f>
        <v>RIVM1607</v>
      </c>
    </row>
    <row r="5197" ht="15.75" customHeight="1">
      <c r="A5197" t="str">
        <f t="shared" si="1"/>
        <v>S.aureus</v>
      </c>
      <c r="B5197" s="5" t="s">
        <v>32634</v>
      </c>
      <c r="C5197" s="6" t="str">
        <f>IFERROR(__xludf.DUMMYFUNCTION("SPLIT('2. c'!B5197, "" "", True, True)"),"Staphylococcus")</f>
        <v>Staphylococcus</v>
      </c>
      <c r="D5197" t="str">
        <f>IFERROR(__xludf.DUMMYFUNCTION("""COMPUTED_VALUE"""),"aureus")</f>
        <v>aureus</v>
      </c>
      <c r="E5197" t="str">
        <f>IFERROR(__xludf.DUMMYFUNCTION("""COMPUTED_VALUE"""),"strain")</f>
        <v>strain</v>
      </c>
      <c r="F5197" t="str">
        <f>IFERROR(__xludf.DUMMYFUNCTION("""COMPUTED_VALUE"""),"RIVM3897")</f>
        <v>RIVM3897</v>
      </c>
    </row>
    <row r="5198" ht="15.75" customHeight="1">
      <c r="A5198" t="str">
        <f t="shared" si="1"/>
        <v>S.aureus</v>
      </c>
      <c r="B5198" s="5" t="s">
        <v>32642</v>
      </c>
      <c r="C5198" s="6" t="str">
        <f>IFERROR(__xludf.DUMMYFUNCTION("SPLIT('2. c'!B5198, "" "", True, True)"),"Staphylococcus")</f>
        <v>Staphylococcus</v>
      </c>
      <c r="D5198" t="str">
        <f>IFERROR(__xludf.DUMMYFUNCTION("""COMPUTED_VALUE"""),"aureus")</f>
        <v>aureus</v>
      </c>
      <c r="E5198" t="str">
        <f>IFERROR(__xludf.DUMMYFUNCTION("""COMPUTED_VALUE"""),"strain")</f>
        <v>strain</v>
      </c>
      <c r="F5198" t="str">
        <f>IFERROR(__xludf.DUMMYFUNCTION("""COMPUTED_VALUE"""),"RIVM6519")</f>
        <v>RIVM6519</v>
      </c>
    </row>
    <row r="5199" ht="15.75" customHeight="1">
      <c r="A5199" t="str">
        <f t="shared" si="1"/>
        <v>S.aureus</v>
      </c>
      <c r="B5199" s="5" t="s">
        <v>32650</v>
      </c>
      <c r="C5199" s="6" t="str">
        <f>IFERROR(__xludf.DUMMYFUNCTION("SPLIT('2. c'!B5199, "" "", True, True)"),"Staphylococcus")</f>
        <v>Staphylococcus</v>
      </c>
      <c r="D5199" t="str">
        <f>IFERROR(__xludf.DUMMYFUNCTION("""COMPUTED_VALUE"""),"aureus")</f>
        <v>aureus</v>
      </c>
      <c r="E5199" t="str">
        <f>IFERROR(__xludf.DUMMYFUNCTION("""COMPUTED_VALUE"""),"strain")</f>
        <v>strain</v>
      </c>
      <c r="F5199" t="str">
        <f>IFERROR(__xludf.DUMMYFUNCTION("""COMPUTED_VALUE"""),"RKI4")</f>
        <v>RKI4</v>
      </c>
    </row>
    <row r="5200" ht="15.75" customHeight="1">
      <c r="A5200" t="str">
        <f t="shared" si="1"/>
        <v>S.aureus</v>
      </c>
      <c r="B5200" s="5" t="s">
        <v>32655</v>
      </c>
      <c r="C5200" s="6" t="str">
        <f>IFERROR(__xludf.DUMMYFUNCTION("SPLIT('2. c'!B5200, "" "", True, True)"),"Staphylococcus")</f>
        <v>Staphylococcus</v>
      </c>
      <c r="D5200" t="str">
        <f>IFERROR(__xludf.DUMMYFUNCTION("""COMPUTED_VALUE"""),"aureus")</f>
        <v>aureus</v>
      </c>
      <c r="E5200" t="str">
        <f>IFERROR(__xludf.DUMMYFUNCTION("""COMPUTED_VALUE"""),"strain")</f>
        <v>strain</v>
      </c>
      <c r="F5200" t="str">
        <f>IFERROR(__xludf.DUMMYFUNCTION("""COMPUTED_VALUE"""),"SA564")</f>
        <v>SA564</v>
      </c>
    </row>
    <row r="5201" ht="15.75" customHeight="1">
      <c r="A5201" t="str">
        <f t="shared" si="1"/>
        <v>S.aureus</v>
      </c>
      <c r="B5201" s="5" t="s">
        <v>32661</v>
      </c>
      <c r="C5201" s="6" t="str">
        <f>IFERROR(__xludf.DUMMYFUNCTION("SPLIT('2. c'!B5201, "" "", True, True)"),"Staphylococcus")</f>
        <v>Staphylococcus</v>
      </c>
      <c r="D5201" t="str">
        <f>IFERROR(__xludf.DUMMYFUNCTION("""COMPUTED_VALUE"""),"aureus")</f>
        <v>aureus</v>
      </c>
      <c r="E5201" t="str">
        <f>IFERROR(__xludf.DUMMYFUNCTION("""COMPUTED_VALUE"""),"strain")</f>
        <v>strain</v>
      </c>
      <c r="F5201" t="str">
        <f>IFERROR(__xludf.DUMMYFUNCTION("""COMPUTED_VALUE"""),"ST20130938")</f>
        <v>ST20130938</v>
      </c>
    </row>
    <row r="5202" ht="15.75" customHeight="1">
      <c r="A5202" t="str">
        <f t="shared" si="1"/>
        <v>S.aureus</v>
      </c>
      <c r="B5202" s="5" t="s">
        <v>32669</v>
      </c>
      <c r="C5202" s="6" t="str">
        <f>IFERROR(__xludf.DUMMYFUNCTION("SPLIT('2. c'!B5202, "" "", True, True)"),"Staphylococcus")</f>
        <v>Staphylococcus</v>
      </c>
      <c r="D5202" t="str">
        <f>IFERROR(__xludf.DUMMYFUNCTION("""COMPUTED_VALUE"""),"aureus")</f>
        <v>aureus</v>
      </c>
      <c r="E5202" t="str">
        <f>IFERROR(__xludf.DUMMYFUNCTION("""COMPUTED_VALUE"""),"strain")</f>
        <v>strain</v>
      </c>
      <c r="F5202" t="str">
        <f>IFERROR(__xludf.DUMMYFUNCTION("""COMPUTED_VALUE"""),"ST20130939")</f>
        <v>ST20130939</v>
      </c>
    </row>
    <row r="5203" ht="15.75" customHeight="1">
      <c r="A5203" t="str">
        <f t="shared" si="1"/>
        <v>S.aureus</v>
      </c>
      <c r="B5203" s="5" t="s">
        <v>32675</v>
      </c>
      <c r="C5203" s="6" t="str">
        <f>IFERROR(__xludf.DUMMYFUNCTION("SPLIT('2. c'!B5203, "" "", True, True)"),"Staphylococcus")</f>
        <v>Staphylococcus</v>
      </c>
      <c r="D5203" t="str">
        <f>IFERROR(__xludf.DUMMYFUNCTION("""COMPUTED_VALUE"""),"aureus")</f>
        <v>aureus</v>
      </c>
      <c r="E5203" t="str">
        <f>IFERROR(__xludf.DUMMYFUNCTION("""COMPUTED_VALUE"""),"strain")</f>
        <v>strain</v>
      </c>
      <c r="F5203" t="str">
        <f>IFERROR(__xludf.DUMMYFUNCTION("""COMPUTED_VALUE"""),"ST20130940")</f>
        <v>ST20130940</v>
      </c>
    </row>
    <row r="5204" ht="15.75" customHeight="1">
      <c r="A5204" t="str">
        <f t="shared" si="1"/>
        <v>S.aureus</v>
      </c>
      <c r="B5204" s="5" t="s">
        <v>32681</v>
      </c>
      <c r="C5204" s="6" t="str">
        <f>IFERROR(__xludf.DUMMYFUNCTION("SPLIT('2. c'!B5204, "" "", True, True)"),"Staphylococcus")</f>
        <v>Staphylococcus</v>
      </c>
      <c r="D5204" t="str">
        <f>IFERROR(__xludf.DUMMYFUNCTION("""COMPUTED_VALUE"""),"aureus")</f>
        <v>aureus</v>
      </c>
      <c r="E5204" t="str">
        <f>IFERROR(__xludf.DUMMYFUNCTION("""COMPUTED_VALUE"""),"strain")</f>
        <v>strain</v>
      </c>
      <c r="F5204" t="str">
        <f>IFERROR(__xludf.DUMMYFUNCTION("""COMPUTED_VALUE"""),"ST20130941")</f>
        <v>ST20130941</v>
      </c>
    </row>
    <row r="5205" ht="15.75" customHeight="1">
      <c r="A5205" t="str">
        <f t="shared" si="1"/>
        <v>S.aureus</v>
      </c>
      <c r="B5205" s="5" t="s">
        <v>32686</v>
      </c>
      <c r="C5205" s="6" t="str">
        <f>IFERROR(__xludf.DUMMYFUNCTION("SPLIT('2. c'!B5205, "" "", True, True)"),"Staphylococcus")</f>
        <v>Staphylococcus</v>
      </c>
      <c r="D5205" t="str">
        <f>IFERROR(__xludf.DUMMYFUNCTION("""COMPUTED_VALUE"""),"aureus")</f>
        <v>aureus</v>
      </c>
      <c r="E5205" t="str">
        <f>IFERROR(__xludf.DUMMYFUNCTION("""COMPUTED_VALUE"""),"strain")</f>
        <v>strain</v>
      </c>
      <c r="F5205" t="str">
        <f>IFERROR(__xludf.DUMMYFUNCTION("""COMPUTED_VALUE"""),"ST20130942")</f>
        <v>ST20130942</v>
      </c>
    </row>
    <row r="5206" ht="15.75" customHeight="1">
      <c r="A5206" t="str">
        <f t="shared" si="1"/>
        <v>S.aureus</v>
      </c>
      <c r="B5206" s="5" t="s">
        <v>32693</v>
      </c>
      <c r="C5206" s="6" t="str">
        <f>IFERROR(__xludf.DUMMYFUNCTION("SPLIT('2. c'!B5206, "" "", True, True)"),"Staphylococcus")</f>
        <v>Staphylococcus</v>
      </c>
      <c r="D5206" t="str">
        <f>IFERROR(__xludf.DUMMYFUNCTION("""COMPUTED_VALUE"""),"aureus")</f>
        <v>aureus</v>
      </c>
      <c r="E5206" t="str">
        <f>IFERROR(__xludf.DUMMYFUNCTION("""COMPUTED_VALUE"""),"strain")</f>
        <v>strain</v>
      </c>
      <c r="F5206" t="str">
        <f>IFERROR(__xludf.DUMMYFUNCTION("""COMPUTED_VALUE"""),"ST20130943")</f>
        <v>ST20130943</v>
      </c>
    </row>
    <row r="5207" ht="15.75" customHeight="1">
      <c r="A5207" t="str">
        <f t="shared" si="1"/>
        <v>S.aureus</v>
      </c>
      <c r="B5207" s="5" t="s">
        <v>32702</v>
      </c>
      <c r="C5207" s="6" t="str">
        <f>IFERROR(__xludf.DUMMYFUNCTION("SPLIT('2. c'!B5207, "" "", True, True)"),"Staphylococcus")</f>
        <v>Staphylococcus</v>
      </c>
      <c r="D5207" t="str">
        <f>IFERROR(__xludf.DUMMYFUNCTION("""COMPUTED_VALUE"""),"aureus")</f>
        <v>aureus</v>
      </c>
      <c r="E5207" t="str">
        <f>IFERROR(__xludf.DUMMYFUNCTION("""COMPUTED_VALUE"""),"strain")</f>
        <v>strain</v>
      </c>
      <c r="F5207" t="str">
        <f>IFERROR(__xludf.DUMMYFUNCTION("""COMPUTED_VALUE"""),"Staphylococcous")</f>
        <v>Staphylococcous</v>
      </c>
      <c r="G5207" t="str">
        <f>IFERROR(__xludf.DUMMYFUNCTION("""COMPUTED_VALUE"""),"aureus")</f>
        <v>aureus</v>
      </c>
    </row>
    <row r="5208" ht="15.75" customHeight="1">
      <c r="A5208" t="str">
        <f t="shared" si="1"/>
        <v>S.aureus</v>
      </c>
      <c r="B5208" s="5" t="s">
        <v>32702</v>
      </c>
      <c r="C5208" s="6" t="str">
        <f>IFERROR(__xludf.DUMMYFUNCTION("SPLIT('2. c'!B5208, "" "", True, True)"),"Staphylococcus")</f>
        <v>Staphylococcus</v>
      </c>
      <c r="D5208" t="str">
        <f>IFERROR(__xludf.DUMMYFUNCTION("""COMPUTED_VALUE"""),"aureus")</f>
        <v>aureus</v>
      </c>
      <c r="E5208" t="str">
        <f>IFERROR(__xludf.DUMMYFUNCTION("""COMPUTED_VALUE"""),"strain")</f>
        <v>strain</v>
      </c>
      <c r="F5208" t="str">
        <f>IFERROR(__xludf.DUMMYFUNCTION("""COMPUTED_VALUE"""),"Staphylococcous")</f>
        <v>Staphylococcous</v>
      </c>
      <c r="G5208" t="str">
        <f>IFERROR(__xludf.DUMMYFUNCTION("""COMPUTED_VALUE"""),"aureus")</f>
        <v>aureus</v>
      </c>
    </row>
    <row r="5209" ht="15.75" customHeight="1">
      <c r="A5209" t="str">
        <f t="shared" si="1"/>
        <v>S.aureus</v>
      </c>
      <c r="B5209" s="5" t="s">
        <v>32702</v>
      </c>
      <c r="C5209" s="6" t="str">
        <f>IFERROR(__xludf.DUMMYFUNCTION("SPLIT('2. c'!B5209, "" "", True, True)"),"Staphylococcus")</f>
        <v>Staphylococcus</v>
      </c>
      <c r="D5209" t="str">
        <f>IFERROR(__xludf.DUMMYFUNCTION("""COMPUTED_VALUE"""),"aureus")</f>
        <v>aureus</v>
      </c>
      <c r="E5209" t="str">
        <f>IFERROR(__xludf.DUMMYFUNCTION("""COMPUTED_VALUE"""),"strain")</f>
        <v>strain</v>
      </c>
      <c r="F5209" t="str">
        <f>IFERROR(__xludf.DUMMYFUNCTION("""COMPUTED_VALUE"""),"Staphylococcous")</f>
        <v>Staphylococcous</v>
      </c>
      <c r="G5209" t="str">
        <f>IFERROR(__xludf.DUMMYFUNCTION("""COMPUTED_VALUE"""),"aureus")</f>
        <v>aureus</v>
      </c>
    </row>
    <row r="5210" ht="15.75" customHeight="1">
      <c r="A5210" t="str">
        <f t="shared" si="1"/>
        <v>S.aureus</v>
      </c>
      <c r="B5210" s="5" t="s">
        <v>32702</v>
      </c>
      <c r="C5210" s="6" t="str">
        <f>IFERROR(__xludf.DUMMYFUNCTION("SPLIT('2. c'!B5210, "" "", True, True)"),"Staphylococcus")</f>
        <v>Staphylococcus</v>
      </c>
      <c r="D5210" t="str">
        <f>IFERROR(__xludf.DUMMYFUNCTION("""COMPUTED_VALUE"""),"aureus")</f>
        <v>aureus</v>
      </c>
      <c r="E5210" t="str">
        <f>IFERROR(__xludf.DUMMYFUNCTION("""COMPUTED_VALUE"""),"strain")</f>
        <v>strain</v>
      </c>
      <c r="F5210" t="str">
        <f>IFERROR(__xludf.DUMMYFUNCTION("""COMPUTED_VALUE"""),"Staphylococcous")</f>
        <v>Staphylococcous</v>
      </c>
      <c r="G5210" t="str">
        <f>IFERROR(__xludf.DUMMYFUNCTION("""COMPUTED_VALUE"""),"aureus")</f>
        <v>aureus</v>
      </c>
    </row>
    <row r="5211" ht="15.75" customHeight="1">
      <c r="A5211" t="str">
        <f t="shared" si="1"/>
        <v>S.aureus</v>
      </c>
      <c r="B5211" s="5" t="s">
        <v>32702</v>
      </c>
      <c r="C5211" s="6" t="str">
        <f>IFERROR(__xludf.DUMMYFUNCTION("SPLIT('2. c'!B5211, "" "", True, True)"),"Staphylococcus")</f>
        <v>Staphylococcus</v>
      </c>
      <c r="D5211" t="str">
        <f>IFERROR(__xludf.DUMMYFUNCTION("""COMPUTED_VALUE"""),"aureus")</f>
        <v>aureus</v>
      </c>
      <c r="E5211" t="str">
        <f>IFERROR(__xludf.DUMMYFUNCTION("""COMPUTED_VALUE"""),"strain")</f>
        <v>strain</v>
      </c>
      <c r="F5211" t="str">
        <f>IFERROR(__xludf.DUMMYFUNCTION("""COMPUTED_VALUE"""),"Staphylococcous")</f>
        <v>Staphylococcous</v>
      </c>
      <c r="G5211" t="str">
        <f>IFERROR(__xludf.DUMMYFUNCTION("""COMPUTED_VALUE"""),"aureus")</f>
        <v>aureus</v>
      </c>
    </row>
    <row r="5212" ht="15.75" customHeight="1">
      <c r="A5212" t="str">
        <f t="shared" si="1"/>
        <v>S.aureus</v>
      </c>
      <c r="B5212" s="5" t="s">
        <v>32750</v>
      </c>
      <c r="C5212" s="6" t="str">
        <f>IFERROR(__xludf.DUMMYFUNCTION("SPLIT('2. c'!B5212, "" "", True, True)"),"Staphylococcus")</f>
        <v>Staphylococcus</v>
      </c>
      <c r="D5212" t="str">
        <f>IFERROR(__xludf.DUMMYFUNCTION("""COMPUTED_VALUE"""),"aureus")</f>
        <v>aureus</v>
      </c>
      <c r="E5212" t="str">
        <f>IFERROR(__xludf.DUMMYFUNCTION("""COMPUTED_VALUE"""),"strain")</f>
        <v>strain</v>
      </c>
      <c r="F5212" t="str">
        <f>IFERROR(__xludf.DUMMYFUNCTION("""COMPUTED_VALUE"""),"TCH")</f>
        <v>TCH</v>
      </c>
      <c r="G5212">
        <f>IFERROR(__xludf.DUMMYFUNCTION("""COMPUTED_VALUE"""),959.0)</f>
        <v>959</v>
      </c>
    </row>
    <row r="5213" ht="15.75" customHeight="1">
      <c r="A5213" t="str">
        <f t="shared" si="1"/>
        <v>S.aureus</v>
      </c>
      <c r="B5213" s="5" t="s">
        <v>32754</v>
      </c>
      <c r="C5213" s="6" t="str">
        <f>IFERROR(__xludf.DUMMYFUNCTION("SPLIT('2. c'!B5213, "" "", True, True)"),"Staphylococcus")</f>
        <v>Staphylococcus</v>
      </c>
      <c r="D5213" t="str">
        <f>IFERROR(__xludf.DUMMYFUNCTION("""COMPUTED_VALUE"""),"aureus")</f>
        <v>aureus</v>
      </c>
      <c r="E5213" t="str">
        <f>IFERROR(__xludf.DUMMYFUNCTION("""COMPUTED_VALUE"""),"strain")</f>
        <v>strain</v>
      </c>
      <c r="F5213" t="str">
        <f>IFERROR(__xludf.DUMMYFUNCTION("""COMPUTED_VALUE"""),"UA-S391_USA300")</f>
        <v>UA-S391_USA300</v>
      </c>
    </row>
    <row r="5214" ht="15.75" customHeight="1">
      <c r="A5214" t="str">
        <f t="shared" si="1"/>
        <v>S.aureus</v>
      </c>
      <c r="B5214" s="5" t="s">
        <v>32757</v>
      </c>
      <c r="C5214" s="6" t="str">
        <f>IFERROR(__xludf.DUMMYFUNCTION("SPLIT('2. c'!B5214, "" "", True, True)"),"Staphylococcus")</f>
        <v>Staphylococcus</v>
      </c>
      <c r="D5214" t="str">
        <f>IFERROR(__xludf.DUMMYFUNCTION("""COMPUTED_VALUE"""),"aureus")</f>
        <v>aureus</v>
      </c>
      <c r="E5214" t="str">
        <f>IFERROR(__xludf.DUMMYFUNCTION("""COMPUTED_VALUE"""),"strain")</f>
        <v>strain</v>
      </c>
      <c r="F5214" t="str">
        <f>IFERROR(__xludf.DUMMYFUNCTION("""COMPUTED_VALUE"""),"UTSW")</f>
        <v>UTSW</v>
      </c>
      <c r="G5214" t="str">
        <f>IFERROR(__xludf.DUMMYFUNCTION("""COMPUTED_VALUE"""),"MRSA")</f>
        <v>MRSA</v>
      </c>
      <c r="H5214">
        <f>IFERROR(__xludf.DUMMYFUNCTION("""COMPUTED_VALUE"""),55.0)</f>
        <v>55</v>
      </c>
    </row>
    <row r="5215" ht="15.75" customHeight="1">
      <c r="A5215" t="str">
        <f t="shared" si="1"/>
        <v>S.aureus</v>
      </c>
      <c r="B5215" s="5" t="s">
        <v>32760</v>
      </c>
      <c r="C5215" s="6" t="str">
        <f>IFERROR(__xludf.DUMMYFUNCTION("SPLIT('2. c'!B5215, "" "", True, True)"),"Staphylococcus")</f>
        <v>Staphylococcus</v>
      </c>
      <c r="D5215" t="str">
        <f>IFERROR(__xludf.DUMMYFUNCTION("""COMPUTED_VALUE"""),"aureus")</f>
        <v>aureus</v>
      </c>
      <c r="E5215" t="str">
        <f>IFERROR(__xludf.DUMMYFUNCTION("""COMPUTED_VALUE"""),"strain")</f>
        <v>strain</v>
      </c>
      <c r="F5215" t="str">
        <f>IFERROR(__xludf.DUMMYFUNCTION("""COMPUTED_VALUE"""),"V2200")</f>
        <v>V2200</v>
      </c>
    </row>
    <row r="5216" ht="15.75" customHeight="1">
      <c r="A5216" t="str">
        <f t="shared" si="1"/>
        <v>S.aureus</v>
      </c>
      <c r="B5216" s="5" t="s">
        <v>32765</v>
      </c>
      <c r="C5216" s="6" t="str">
        <f>IFERROR(__xludf.DUMMYFUNCTION("SPLIT('2. c'!B5216, "" "", True, True)"),"Staphylococcus")</f>
        <v>Staphylococcus</v>
      </c>
      <c r="D5216" t="str">
        <f>IFERROR(__xludf.DUMMYFUNCTION("""COMPUTED_VALUE"""),"aureus")</f>
        <v>aureus</v>
      </c>
      <c r="E5216" t="str">
        <f>IFERROR(__xludf.DUMMYFUNCTION("""COMPUTED_VALUE"""),"strain")</f>
        <v>strain</v>
      </c>
      <c r="F5216" t="str">
        <f>IFERROR(__xludf.DUMMYFUNCTION("""COMPUTED_VALUE"""),"V521")</f>
        <v>V521</v>
      </c>
    </row>
    <row r="5217" ht="15.75" customHeight="1">
      <c r="A5217" t="str">
        <f t="shared" si="1"/>
        <v>S.aureus</v>
      </c>
      <c r="B5217" s="5" t="s">
        <v>32772</v>
      </c>
      <c r="C5217" s="6" t="str">
        <f>IFERROR(__xludf.DUMMYFUNCTION("SPLIT('2. c'!B5217, "" "", True, True)"),"Staphylococcus")</f>
        <v>Staphylococcus</v>
      </c>
      <c r="D5217" t="str">
        <f>IFERROR(__xludf.DUMMYFUNCTION("""COMPUTED_VALUE"""),"aureus")</f>
        <v>aureus</v>
      </c>
      <c r="E5217" t="str">
        <f>IFERROR(__xludf.DUMMYFUNCTION("""COMPUTED_VALUE"""),"strain")</f>
        <v>strain</v>
      </c>
      <c r="F5217" t="str">
        <f>IFERROR(__xludf.DUMMYFUNCTION("""COMPUTED_VALUE"""),"V605")</f>
        <v>V605</v>
      </c>
    </row>
    <row r="5218" ht="15.75" customHeight="1">
      <c r="A5218" t="str">
        <f t="shared" si="1"/>
        <v>S.aureus</v>
      </c>
      <c r="B5218" s="5" t="s">
        <v>32776</v>
      </c>
      <c r="C5218" s="6" t="str">
        <f>IFERROR(__xludf.DUMMYFUNCTION("SPLIT('2. c'!B5218, "" "", True, True)"),"Staphylococcus")</f>
        <v>Staphylococcus</v>
      </c>
      <c r="D5218" t="str">
        <f>IFERROR(__xludf.DUMMYFUNCTION("""COMPUTED_VALUE"""),"aureus")</f>
        <v>aureus</v>
      </c>
      <c r="E5218" t="str">
        <f>IFERROR(__xludf.DUMMYFUNCTION("""COMPUTED_VALUE"""),"strain")</f>
        <v>strain</v>
      </c>
      <c r="F5218" t="str">
        <f>IFERROR(__xludf.DUMMYFUNCTION("""COMPUTED_VALUE"""),"XN108")</f>
        <v>XN108</v>
      </c>
    </row>
    <row r="5219" ht="15.75" customHeight="1">
      <c r="A5219" t="str">
        <f t="shared" si="1"/>
        <v>S.aureus</v>
      </c>
      <c r="B5219" s="5" t="s">
        <v>32781</v>
      </c>
      <c r="C5219" s="6" t="str">
        <f>IFERROR(__xludf.DUMMYFUNCTION("SPLIT('2. c'!B5219, "" "", True, True)"),"Staphylococcus")</f>
        <v>Staphylococcus</v>
      </c>
      <c r="D5219" t="str">
        <f>IFERROR(__xludf.DUMMYFUNCTION("""COMPUTED_VALUE"""),"aureus")</f>
        <v>aureus</v>
      </c>
      <c r="E5219" t="str">
        <f>IFERROR(__xludf.DUMMYFUNCTION("""COMPUTED_VALUE"""),"strain")</f>
        <v>strain</v>
      </c>
      <c r="F5219" t="str">
        <f>IFERROR(__xludf.DUMMYFUNCTION("""COMPUTED_VALUE"""),"XQ")</f>
        <v>XQ</v>
      </c>
    </row>
    <row r="5220" ht="15.75" customHeight="1">
      <c r="A5220" t="str">
        <f t="shared" si="1"/>
        <v>S.aureus</v>
      </c>
      <c r="B5220" s="5" t="s">
        <v>32790</v>
      </c>
      <c r="C5220" s="6" t="str">
        <f>IFERROR(__xludf.DUMMYFUNCTION("SPLIT('2. c'!B5220, "" "", True, True)"),"Staphylococcus")</f>
        <v>Staphylococcus</v>
      </c>
      <c r="D5220" t="str">
        <f>IFERROR(__xludf.DUMMYFUNCTION("""COMPUTED_VALUE"""),"aureus")</f>
        <v>aureus</v>
      </c>
      <c r="E5220" t="str">
        <f>IFERROR(__xludf.DUMMYFUNCTION("""COMPUTED_VALUE"""),"strain")</f>
        <v>strain</v>
      </c>
      <c r="F5220" t="str">
        <f>IFERROR(__xludf.DUMMYFUNCTION("""COMPUTED_VALUE"""),"ZJ5499")</f>
        <v>ZJ5499</v>
      </c>
    </row>
    <row r="5221" ht="15.75" customHeight="1">
      <c r="A5221" t="str">
        <f t="shared" si="1"/>
        <v>S.aureus</v>
      </c>
      <c r="B5221" s="5" t="s">
        <v>32795</v>
      </c>
      <c r="C5221" s="6" t="str">
        <f>IFERROR(__xludf.DUMMYFUNCTION("SPLIT('2. c'!B5221, "" "", True, True)"),"Staphylococcus")</f>
        <v>Staphylococcus</v>
      </c>
      <c r="D5221" t="str">
        <f>IFERROR(__xludf.DUMMYFUNCTION("""COMPUTED_VALUE"""),"aureus")</f>
        <v>aureus</v>
      </c>
      <c r="E5221" t="str">
        <f>IFERROR(__xludf.DUMMYFUNCTION("""COMPUTED_VALUE"""),"subsp.")</f>
        <v>subsp.</v>
      </c>
      <c r="F5221" t="str">
        <f>IFERROR(__xludf.DUMMYFUNCTION("""COMPUTED_VALUE"""),"aureus")</f>
        <v>aureus</v>
      </c>
    </row>
    <row r="5222" ht="15.75" customHeight="1">
      <c r="A5222" t="str">
        <f t="shared" si="1"/>
        <v>S.aureus</v>
      </c>
      <c r="B5222" s="5" t="s">
        <v>32795</v>
      </c>
      <c r="C5222" s="6" t="str">
        <f>IFERROR(__xludf.DUMMYFUNCTION("SPLIT('2. c'!B5222, "" "", True, True)"),"Staphylococcus")</f>
        <v>Staphylococcus</v>
      </c>
      <c r="D5222" t="str">
        <f>IFERROR(__xludf.DUMMYFUNCTION("""COMPUTED_VALUE"""),"aureus")</f>
        <v>aureus</v>
      </c>
      <c r="E5222" t="str">
        <f>IFERROR(__xludf.DUMMYFUNCTION("""COMPUTED_VALUE"""),"subsp.")</f>
        <v>subsp.</v>
      </c>
      <c r="F5222" t="str">
        <f>IFERROR(__xludf.DUMMYFUNCTION("""COMPUTED_VALUE"""),"aureus")</f>
        <v>aureus</v>
      </c>
    </row>
    <row r="5223" ht="15.75" customHeight="1">
      <c r="A5223" t="str">
        <f t="shared" si="1"/>
        <v>S.aureus</v>
      </c>
      <c r="B5223" s="5" t="s">
        <v>32795</v>
      </c>
      <c r="C5223" s="6" t="str">
        <f>IFERROR(__xludf.DUMMYFUNCTION("SPLIT('2. c'!B5223, "" "", True, True)"),"Staphylococcus")</f>
        <v>Staphylococcus</v>
      </c>
      <c r="D5223" t="str">
        <f>IFERROR(__xludf.DUMMYFUNCTION("""COMPUTED_VALUE"""),"aureus")</f>
        <v>aureus</v>
      </c>
      <c r="E5223" t="str">
        <f>IFERROR(__xludf.DUMMYFUNCTION("""COMPUTED_VALUE"""),"subsp.")</f>
        <v>subsp.</v>
      </c>
      <c r="F5223" t="str">
        <f>IFERROR(__xludf.DUMMYFUNCTION("""COMPUTED_VALUE"""),"aureus")</f>
        <v>aureus</v>
      </c>
    </row>
    <row r="5224" ht="15.75" customHeight="1">
      <c r="A5224" t="str">
        <f t="shared" si="1"/>
        <v>S.aureus</v>
      </c>
      <c r="B5224" s="5" t="s">
        <v>32795</v>
      </c>
      <c r="C5224" s="6" t="str">
        <f>IFERROR(__xludf.DUMMYFUNCTION("SPLIT('2. c'!B5224, "" "", True, True)"),"Staphylococcus")</f>
        <v>Staphylococcus</v>
      </c>
      <c r="D5224" t="str">
        <f>IFERROR(__xludf.DUMMYFUNCTION("""COMPUTED_VALUE"""),"aureus")</f>
        <v>aureus</v>
      </c>
      <c r="E5224" t="str">
        <f>IFERROR(__xludf.DUMMYFUNCTION("""COMPUTED_VALUE"""),"subsp.")</f>
        <v>subsp.</v>
      </c>
      <c r="F5224" t="str">
        <f>IFERROR(__xludf.DUMMYFUNCTION("""COMPUTED_VALUE"""),"aureus")</f>
        <v>aureus</v>
      </c>
    </row>
    <row r="5225" ht="15.75" customHeight="1">
      <c r="A5225" t="str">
        <f t="shared" si="1"/>
        <v>S.aureus</v>
      </c>
      <c r="B5225" s="5" t="s">
        <v>32795</v>
      </c>
      <c r="C5225" s="6" t="str">
        <f>IFERROR(__xludf.DUMMYFUNCTION("SPLIT('2. c'!B5225, "" "", True, True)"),"Staphylococcus")</f>
        <v>Staphylococcus</v>
      </c>
      <c r="D5225" t="str">
        <f>IFERROR(__xludf.DUMMYFUNCTION("""COMPUTED_VALUE"""),"aureus")</f>
        <v>aureus</v>
      </c>
      <c r="E5225" t="str">
        <f>IFERROR(__xludf.DUMMYFUNCTION("""COMPUTED_VALUE"""),"subsp.")</f>
        <v>subsp.</v>
      </c>
      <c r="F5225" t="str">
        <f>IFERROR(__xludf.DUMMYFUNCTION("""COMPUTED_VALUE"""),"aureus")</f>
        <v>aureus</v>
      </c>
    </row>
    <row r="5226" ht="15.75" customHeight="1">
      <c r="A5226" t="str">
        <f t="shared" si="1"/>
        <v>S.aureus</v>
      </c>
      <c r="B5226" s="5" t="s">
        <v>32795</v>
      </c>
      <c r="C5226" s="6" t="str">
        <f>IFERROR(__xludf.DUMMYFUNCTION("SPLIT('2. c'!B5226, "" "", True, True)"),"Staphylococcus")</f>
        <v>Staphylococcus</v>
      </c>
      <c r="D5226" t="str">
        <f>IFERROR(__xludf.DUMMYFUNCTION("""COMPUTED_VALUE"""),"aureus")</f>
        <v>aureus</v>
      </c>
      <c r="E5226" t="str">
        <f>IFERROR(__xludf.DUMMYFUNCTION("""COMPUTED_VALUE"""),"subsp.")</f>
        <v>subsp.</v>
      </c>
      <c r="F5226" t="str">
        <f>IFERROR(__xludf.DUMMYFUNCTION("""COMPUTED_VALUE"""),"aureus")</f>
        <v>aureus</v>
      </c>
    </row>
    <row r="5227" ht="15.75" customHeight="1">
      <c r="A5227" t="str">
        <f t="shared" si="1"/>
        <v>S.aureus</v>
      </c>
      <c r="B5227" s="5" t="s">
        <v>32795</v>
      </c>
      <c r="C5227" s="6" t="str">
        <f>IFERROR(__xludf.DUMMYFUNCTION("SPLIT('2. c'!B5227, "" "", True, True)"),"Staphylococcus")</f>
        <v>Staphylococcus</v>
      </c>
      <c r="D5227" t="str">
        <f>IFERROR(__xludf.DUMMYFUNCTION("""COMPUTED_VALUE"""),"aureus")</f>
        <v>aureus</v>
      </c>
      <c r="E5227" t="str">
        <f>IFERROR(__xludf.DUMMYFUNCTION("""COMPUTED_VALUE"""),"subsp.")</f>
        <v>subsp.</v>
      </c>
      <c r="F5227" t="str">
        <f>IFERROR(__xludf.DUMMYFUNCTION("""COMPUTED_VALUE"""),"aureus")</f>
        <v>aureus</v>
      </c>
    </row>
    <row r="5228" ht="15.75" customHeight="1">
      <c r="A5228" t="str">
        <f t="shared" si="1"/>
        <v>S.aureus</v>
      </c>
      <c r="B5228" s="5" t="s">
        <v>32823</v>
      </c>
      <c r="C5228" s="6" t="str">
        <f>IFERROR(__xludf.DUMMYFUNCTION("SPLIT('2. c'!B5228, "" "", True, True)"),"Staphylococcus")</f>
        <v>Staphylococcus</v>
      </c>
      <c r="D5228" t="str">
        <f>IFERROR(__xludf.DUMMYFUNCTION("""COMPUTED_VALUE"""),"aureus")</f>
        <v>aureus</v>
      </c>
      <c r="E5228" t="str">
        <f>IFERROR(__xludf.DUMMYFUNCTION("""COMPUTED_VALUE"""),"subsp.")</f>
        <v>subsp.</v>
      </c>
      <c r="F5228" t="str">
        <f>IFERROR(__xludf.DUMMYFUNCTION("""COMPUTED_VALUE"""),"aureus")</f>
        <v>aureus</v>
      </c>
      <c r="G5228" t="str">
        <f>IFERROR(__xludf.DUMMYFUNCTION("""COMPUTED_VALUE"""),"11819-97")</f>
        <v>11819-97</v>
      </c>
    </row>
    <row r="5229" ht="15.75" customHeight="1">
      <c r="A5229" t="str">
        <f t="shared" si="1"/>
        <v>S.aureus</v>
      </c>
      <c r="B5229" s="5" t="s">
        <v>32828</v>
      </c>
      <c r="C5229" s="6" t="str">
        <f>IFERROR(__xludf.DUMMYFUNCTION("SPLIT('2. c'!B5229, "" "", True, True)"),"Staphylococcus")</f>
        <v>Staphylococcus</v>
      </c>
      <c r="D5229" t="str">
        <f>IFERROR(__xludf.DUMMYFUNCTION("""COMPUTED_VALUE"""),"aureus")</f>
        <v>aureus</v>
      </c>
      <c r="E5229" t="str">
        <f>IFERROR(__xludf.DUMMYFUNCTION("""COMPUTED_VALUE"""),"subsp.")</f>
        <v>subsp.</v>
      </c>
      <c r="F5229" t="str">
        <f>IFERROR(__xludf.DUMMYFUNCTION("""COMPUTED_VALUE"""),"aureus")</f>
        <v>aureus</v>
      </c>
      <c r="G5229">
        <f>IFERROR(__xludf.DUMMYFUNCTION("""COMPUTED_VALUE"""),6850.0)</f>
        <v>6850</v>
      </c>
    </row>
    <row r="5230" ht="15.75" customHeight="1">
      <c r="A5230" t="str">
        <f t="shared" si="1"/>
        <v>S.aureus</v>
      </c>
      <c r="B5230" s="5" t="s">
        <v>32833</v>
      </c>
      <c r="C5230" s="6" t="str">
        <f>IFERROR(__xludf.DUMMYFUNCTION("SPLIT('2. c'!B5230, "" "", True, True)"),"Staphylococcus")</f>
        <v>Staphylococcus</v>
      </c>
      <c r="D5230" t="str">
        <f>IFERROR(__xludf.DUMMYFUNCTION("""COMPUTED_VALUE"""),"aureus")</f>
        <v>aureus</v>
      </c>
      <c r="E5230" t="str">
        <f>IFERROR(__xludf.DUMMYFUNCTION("""COMPUTED_VALUE"""),"subsp.")</f>
        <v>subsp.</v>
      </c>
      <c r="F5230" t="str">
        <f>IFERROR(__xludf.DUMMYFUNCTION("""COMPUTED_VALUE"""),"aureus")</f>
        <v>aureus</v>
      </c>
      <c r="G5230">
        <f>IFERROR(__xludf.DUMMYFUNCTION("""COMPUTED_VALUE"""),71193.0)</f>
        <v>71193</v>
      </c>
    </row>
    <row r="5231" ht="15.75" customHeight="1">
      <c r="A5231" t="str">
        <f t="shared" si="1"/>
        <v>S.aureus</v>
      </c>
      <c r="B5231" s="5" t="s">
        <v>32841</v>
      </c>
      <c r="C5231" s="6" t="str">
        <f>IFERROR(__xludf.DUMMYFUNCTION("SPLIT('2. c'!B5231, "" "", True, True)"),"Staphylococcus")</f>
        <v>Staphylococcus</v>
      </c>
      <c r="D5231" t="str">
        <f>IFERROR(__xludf.DUMMYFUNCTION("""COMPUTED_VALUE"""),"aureus")</f>
        <v>aureus</v>
      </c>
      <c r="E5231" t="str">
        <f>IFERROR(__xludf.DUMMYFUNCTION("""COMPUTED_VALUE"""),"subsp.")</f>
        <v>subsp.</v>
      </c>
      <c r="F5231" t="str">
        <f>IFERROR(__xludf.DUMMYFUNCTION("""COMPUTED_VALUE"""),"aureus")</f>
        <v>aureus</v>
      </c>
      <c r="G5231" t="str">
        <f>IFERROR(__xludf.DUMMYFUNCTION("""COMPUTED_VALUE"""),"CN1")</f>
        <v>CN1</v>
      </c>
    </row>
    <row r="5232" ht="15.75" customHeight="1">
      <c r="A5232" t="str">
        <f t="shared" si="1"/>
        <v>S.aureus</v>
      </c>
      <c r="B5232" s="5" t="s">
        <v>32845</v>
      </c>
      <c r="C5232" s="6" t="str">
        <f>IFERROR(__xludf.DUMMYFUNCTION("SPLIT('2. c'!B5232, "" "", True, True)"),"Staphylococcus")</f>
        <v>Staphylococcus</v>
      </c>
      <c r="D5232" t="str">
        <f>IFERROR(__xludf.DUMMYFUNCTION("""COMPUTED_VALUE"""),"aureus")</f>
        <v>aureus</v>
      </c>
      <c r="E5232" t="str">
        <f>IFERROR(__xludf.DUMMYFUNCTION("""COMPUTED_VALUE"""),"subsp.")</f>
        <v>subsp.</v>
      </c>
      <c r="F5232" t="str">
        <f>IFERROR(__xludf.DUMMYFUNCTION("""COMPUTED_VALUE"""),"aureus")</f>
        <v>aureus</v>
      </c>
      <c r="G5232" t="str">
        <f>IFERROR(__xludf.DUMMYFUNCTION("""COMPUTED_VALUE"""),"COL")</f>
        <v>COL</v>
      </c>
    </row>
    <row r="5233" ht="15.75" customHeight="1">
      <c r="A5233" t="str">
        <f t="shared" si="1"/>
        <v>S.aureus</v>
      </c>
      <c r="B5233" s="5" t="s">
        <v>32852</v>
      </c>
      <c r="C5233" s="6" t="str">
        <f>IFERROR(__xludf.DUMMYFUNCTION("SPLIT('2. c'!B5233, "" "", True, True)"),"Staphylococcus")</f>
        <v>Staphylococcus</v>
      </c>
      <c r="D5233" t="str">
        <f>IFERROR(__xludf.DUMMYFUNCTION("""COMPUTED_VALUE"""),"aureus")</f>
        <v>aureus</v>
      </c>
      <c r="E5233" t="str">
        <f>IFERROR(__xludf.DUMMYFUNCTION("""COMPUTED_VALUE"""),"subsp.")</f>
        <v>subsp.</v>
      </c>
      <c r="F5233" t="str">
        <f>IFERROR(__xludf.DUMMYFUNCTION("""COMPUTED_VALUE"""),"aureus")</f>
        <v>aureus</v>
      </c>
      <c r="G5233" t="str">
        <f>IFERROR(__xludf.DUMMYFUNCTION("""COMPUTED_VALUE"""),"DSM")</f>
        <v>DSM</v>
      </c>
      <c r="H5233">
        <f>IFERROR(__xludf.DUMMYFUNCTION("""COMPUTED_VALUE"""),20231.0)</f>
        <v>20231</v>
      </c>
    </row>
    <row r="5234" ht="15.75" customHeight="1">
      <c r="A5234" t="str">
        <f t="shared" si="1"/>
        <v>S.aureus</v>
      </c>
      <c r="B5234" s="5" t="s">
        <v>32858</v>
      </c>
      <c r="C5234" s="6" t="str">
        <f>IFERROR(__xludf.DUMMYFUNCTION("SPLIT('2. c'!B5234, "" "", True, True)"),"Staphylococcus")</f>
        <v>Staphylococcus</v>
      </c>
      <c r="D5234" t="str">
        <f>IFERROR(__xludf.DUMMYFUNCTION("""COMPUTED_VALUE"""),"aureus")</f>
        <v>aureus</v>
      </c>
      <c r="E5234" t="str">
        <f>IFERROR(__xludf.DUMMYFUNCTION("""COMPUTED_VALUE"""),"subsp.")</f>
        <v>subsp.</v>
      </c>
      <c r="F5234" t="str">
        <f>IFERROR(__xludf.DUMMYFUNCTION("""COMPUTED_VALUE"""),"aureus")</f>
        <v>aureus</v>
      </c>
      <c r="G5234" t="str">
        <f>IFERROR(__xludf.DUMMYFUNCTION("""COMPUTED_VALUE"""),"ECT-R")</f>
        <v>ECT-R</v>
      </c>
      <c r="H5234">
        <f>IFERROR(__xludf.DUMMYFUNCTION("""COMPUTED_VALUE"""),2.0)</f>
        <v>2</v>
      </c>
    </row>
    <row r="5235" ht="15.75" customHeight="1">
      <c r="A5235" t="str">
        <f t="shared" si="1"/>
        <v>S.aureus</v>
      </c>
      <c r="B5235" s="5" t="s">
        <v>32864</v>
      </c>
      <c r="C5235" s="6" t="str">
        <f>IFERROR(__xludf.DUMMYFUNCTION("SPLIT('2. c'!B5235, "" "", True, True)"),"Staphylococcus")</f>
        <v>Staphylococcus</v>
      </c>
      <c r="D5235" t="str">
        <f>IFERROR(__xludf.DUMMYFUNCTION("""COMPUTED_VALUE"""),"aureus")</f>
        <v>aureus</v>
      </c>
      <c r="E5235" t="str">
        <f>IFERROR(__xludf.DUMMYFUNCTION("""COMPUTED_VALUE"""),"subsp.")</f>
        <v>subsp.</v>
      </c>
      <c r="F5235" t="str">
        <f>IFERROR(__xludf.DUMMYFUNCTION("""COMPUTED_VALUE"""),"aureus")</f>
        <v>aureus</v>
      </c>
      <c r="G5235" t="str">
        <f>IFERROR(__xludf.DUMMYFUNCTION("""COMPUTED_VALUE"""),"ED133")</f>
        <v>ED133</v>
      </c>
    </row>
    <row r="5236" ht="15.75" customHeight="1">
      <c r="A5236" t="str">
        <f t="shared" si="1"/>
        <v>S.aureus</v>
      </c>
      <c r="B5236" s="5" t="s">
        <v>32868</v>
      </c>
      <c r="C5236" s="6" t="str">
        <f>IFERROR(__xludf.DUMMYFUNCTION("SPLIT('2. c'!B5236, "" "", True, True)"),"Staphylococcus")</f>
        <v>Staphylococcus</v>
      </c>
      <c r="D5236" t="str">
        <f>IFERROR(__xludf.DUMMYFUNCTION("""COMPUTED_VALUE"""),"aureus")</f>
        <v>aureus</v>
      </c>
      <c r="E5236" t="str">
        <f>IFERROR(__xludf.DUMMYFUNCTION("""COMPUTED_VALUE"""),"subsp.")</f>
        <v>subsp.</v>
      </c>
      <c r="F5236" t="str">
        <f>IFERROR(__xludf.DUMMYFUNCTION("""COMPUTED_VALUE"""),"aureus")</f>
        <v>aureus</v>
      </c>
      <c r="G5236" t="str">
        <f>IFERROR(__xludf.DUMMYFUNCTION("""COMPUTED_VALUE"""),"ED98")</f>
        <v>ED98</v>
      </c>
    </row>
    <row r="5237" ht="15.75" customHeight="1">
      <c r="A5237" t="str">
        <f t="shared" si="1"/>
        <v>S.aureus</v>
      </c>
      <c r="B5237" s="5" t="s">
        <v>32873</v>
      </c>
      <c r="C5237" s="6" t="str">
        <f>IFERROR(__xludf.DUMMYFUNCTION("SPLIT('2. c'!B5237, "" "", True, True)"),"Staphylococcus")</f>
        <v>Staphylococcus</v>
      </c>
      <c r="D5237" t="str">
        <f>IFERROR(__xludf.DUMMYFUNCTION("""COMPUTED_VALUE"""),"aureus")</f>
        <v>aureus</v>
      </c>
      <c r="E5237" t="str">
        <f>IFERROR(__xludf.DUMMYFUNCTION("""COMPUTED_VALUE"""),"subsp.")</f>
        <v>subsp.</v>
      </c>
      <c r="F5237" t="str">
        <f>IFERROR(__xludf.DUMMYFUNCTION("""COMPUTED_VALUE"""),"aureus")</f>
        <v>aureus</v>
      </c>
      <c r="G5237" t="str">
        <f>IFERROR(__xludf.DUMMYFUNCTION("""COMPUTED_VALUE"""),"FORC_001")</f>
        <v>FORC_001</v>
      </c>
    </row>
    <row r="5238" ht="15.75" customHeight="1">
      <c r="A5238" t="str">
        <f t="shared" si="1"/>
        <v>S.aureus</v>
      </c>
      <c r="B5238" s="5" t="s">
        <v>32876</v>
      </c>
      <c r="C5238" s="6" t="str">
        <f>IFERROR(__xludf.DUMMYFUNCTION("SPLIT('2. c'!B5238, "" "", True, True)"),"Staphylococcus")</f>
        <v>Staphylococcus</v>
      </c>
      <c r="D5238" t="str">
        <f>IFERROR(__xludf.DUMMYFUNCTION("""COMPUTED_VALUE"""),"aureus")</f>
        <v>aureus</v>
      </c>
      <c r="E5238" t="str">
        <f>IFERROR(__xludf.DUMMYFUNCTION("""COMPUTED_VALUE"""),"subsp.")</f>
        <v>subsp.</v>
      </c>
      <c r="F5238" t="str">
        <f>IFERROR(__xludf.DUMMYFUNCTION("""COMPUTED_VALUE"""),"aureus")</f>
        <v>aureus</v>
      </c>
      <c r="G5238" t="str">
        <f>IFERROR(__xludf.DUMMYFUNCTION("""COMPUTED_VALUE"""),"Gv69")</f>
        <v>Gv69</v>
      </c>
    </row>
    <row r="5239" ht="15.75" customHeight="1">
      <c r="A5239" t="str">
        <f t="shared" si="1"/>
        <v>S.aureus</v>
      </c>
      <c r="B5239" s="5" t="s">
        <v>32881</v>
      </c>
      <c r="C5239" s="6" t="str">
        <f>IFERROR(__xludf.DUMMYFUNCTION("SPLIT('2. c'!B5239, "" "", True, True)"),"Staphylococcus")</f>
        <v>Staphylococcus</v>
      </c>
      <c r="D5239" t="str">
        <f>IFERROR(__xludf.DUMMYFUNCTION("""COMPUTED_VALUE"""),"aureus")</f>
        <v>aureus</v>
      </c>
      <c r="E5239" t="str">
        <f>IFERROR(__xludf.DUMMYFUNCTION("""COMPUTED_VALUE"""),"subsp.")</f>
        <v>subsp.</v>
      </c>
      <c r="F5239" t="str">
        <f>IFERROR(__xludf.DUMMYFUNCTION("""COMPUTED_VALUE"""),"aureus")</f>
        <v>aureus</v>
      </c>
      <c r="G5239" t="str">
        <f>IFERROR(__xludf.DUMMYFUNCTION("""COMPUTED_VALUE"""),"HO")</f>
        <v>HO</v>
      </c>
      <c r="H5239">
        <f>IFERROR(__xludf.DUMMYFUNCTION("""COMPUTED_VALUE"""),5096.0)</f>
        <v>5096</v>
      </c>
      <c r="I5239">
        <f>IFERROR(__xludf.DUMMYFUNCTION("""COMPUTED_VALUE"""),412.0)</f>
        <v>412</v>
      </c>
    </row>
    <row r="5240" ht="15.75" customHeight="1">
      <c r="A5240" t="str">
        <f t="shared" si="1"/>
        <v>S.aureus</v>
      </c>
      <c r="B5240" s="5" t="s">
        <v>32888</v>
      </c>
      <c r="C5240" s="6" t="str">
        <f>IFERROR(__xludf.DUMMYFUNCTION("SPLIT('2. c'!B5240, "" "", True, True)"),"Staphylococcus")</f>
        <v>Staphylococcus</v>
      </c>
      <c r="D5240" t="str">
        <f>IFERROR(__xludf.DUMMYFUNCTION("""COMPUTED_VALUE"""),"aureus")</f>
        <v>aureus</v>
      </c>
      <c r="E5240" t="str">
        <f>IFERROR(__xludf.DUMMYFUNCTION("""COMPUTED_VALUE"""),"subsp.")</f>
        <v>subsp.</v>
      </c>
      <c r="F5240" t="str">
        <f>IFERROR(__xludf.DUMMYFUNCTION("""COMPUTED_VALUE"""),"aureus")</f>
        <v>aureus</v>
      </c>
      <c r="G5240" t="str">
        <f>IFERROR(__xludf.DUMMYFUNCTION("""COMPUTED_VALUE"""),"JH1")</f>
        <v>JH1</v>
      </c>
    </row>
    <row r="5241" ht="15.75" customHeight="1">
      <c r="A5241" t="str">
        <f t="shared" si="1"/>
        <v>S.aureus</v>
      </c>
      <c r="B5241" s="5" t="s">
        <v>32893</v>
      </c>
      <c r="C5241" s="6" t="str">
        <f>IFERROR(__xludf.DUMMYFUNCTION("SPLIT('2. c'!B5241, "" "", True, True)"),"Staphylococcus")</f>
        <v>Staphylococcus</v>
      </c>
      <c r="D5241" t="str">
        <f>IFERROR(__xludf.DUMMYFUNCTION("""COMPUTED_VALUE"""),"aureus")</f>
        <v>aureus</v>
      </c>
      <c r="E5241" t="str">
        <f>IFERROR(__xludf.DUMMYFUNCTION("""COMPUTED_VALUE"""),"subsp.")</f>
        <v>subsp.</v>
      </c>
      <c r="F5241" t="str">
        <f>IFERROR(__xludf.DUMMYFUNCTION("""COMPUTED_VALUE"""),"aureus")</f>
        <v>aureus</v>
      </c>
      <c r="G5241" t="str">
        <f>IFERROR(__xludf.DUMMYFUNCTION("""COMPUTED_VALUE"""),"JH9")</f>
        <v>JH9</v>
      </c>
    </row>
    <row r="5242" ht="15.75" customHeight="1">
      <c r="A5242" t="str">
        <f t="shared" si="1"/>
        <v>S.aureus</v>
      </c>
      <c r="B5242" s="5" t="s">
        <v>32898</v>
      </c>
      <c r="C5242" s="6" t="str">
        <f>IFERROR(__xludf.DUMMYFUNCTION("SPLIT('2. c'!B5242, "" "", True, True)"),"Staphylococcus")</f>
        <v>Staphylococcus</v>
      </c>
      <c r="D5242" t="str">
        <f>IFERROR(__xludf.DUMMYFUNCTION("""COMPUTED_VALUE"""),"aureus")</f>
        <v>aureus</v>
      </c>
      <c r="E5242" t="str">
        <f>IFERROR(__xludf.DUMMYFUNCTION("""COMPUTED_VALUE"""),"subsp.")</f>
        <v>subsp.</v>
      </c>
      <c r="F5242" t="str">
        <f>IFERROR(__xludf.DUMMYFUNCTION("""COMPUTED_VALUE"""),"aureus")</f>
        <v>aureus</v>
      </c>
      <c r="G5242" t="str">
        <f>IFERROR(__xludf.DUMMYFUNCTION("""COMPUTED_VALUE"""),"JKD6159")</f>
        <v>JKD6159</v>
      </c>
    </row>
    <row r="5243" ht="15.75" customHeight="1">
      <c r="A5243" t="str">
        <f t="shared" si="1"/>
        <v>S.aureus</v>
      </c>
      <c r="B5243" s="5" t="s">
        <v>32903</v>
      </c>
      <c r="C5243" s="6" t="str">
        <f>IFERROR(__xludf.DUMMYFUNCTION("SPLIT('2. c'!B5243, "" "", True, True)"),"Staphylococcus")</f>
        <v>Staphylococcus</v>
      </c>
      <c r="D5243" t="str">
        <f>IFERROR(__xludf.DUMMYFUNCTION("""COMPUTED_VALUE"""),"aureus")</f>
        <v>aureus</v>
      </c>
      <c r="E5243" t="str">
        <f>IFERROR(__xludf.DUMMYFUNCTION("""COMPUTED_VALUE"""),"subsp.")</f>
        <v>subsp.</v>
      </c>
      <c r="F5243" t="str">
        <f>IFERROR(__xludf.DUMMYFUNCTION("""COMPUTED_VALUE"""),"aureus")</f>
        <v>aureus</v>
      </c>
      <c r="G5243" t="str">
        <f>IFERROR(__xludf.DUMMYFUNCTION("""COMPUTED_VALUE"""),"LGA251")</f>
        <v>LGA251</v>
      </c>
    </row>
    <row r="5244" ht="15.75" customHeight="1">
      <c r="A5244" t="str">
        <f t="shared" si="1"/>
        <v>S.aureus</v>
      </c>
      <c r="B5244" s="5" t="s">
        <v>32910</v>
      </c>
      <c r="C5244" s="6" t="str">
        <f>IFERROR(__xludf.DUMMYFUNCTION("SPLIT('2. c'!B5244, "" "", True, True)"),"Staphylococcus")</f>
        <v>Staphylococcus</v>
      </c>
      <c r="D5244" t="str">
        <f>IFERROR(__xludf.DUMMYFUNCTION("""COMPUTED_VALUE"""),"aureus")</f>
        <v>aureus</v>
      </c>
      <c r="E5244" t="str">
        <f>IFERROR(__xludf.DUMMYFUNCTION("""COMPUTED_VALUE"""),"subsp.")</f>
        <v>subsp.</v>
      </c>
      <c r="F5244" t="str">
        <f>IFERROR(__xludf.DUMMYFUNCTION("""COMPUTED_VALUE"""),"aureus")</f>
        <v>aureus</v>
      </c>
      <c r="G5244" t="str">
        <f>IFERROR(__xludf.DUMMYFUNCTION("""COMPUTED_VALUE"""),"M013")</f>
        <v>M013</v>
      </c>
    </row>
    <row r="5245" ht="15.75" customHeight="1">
      <c r="A5245" t="str">
        <f t="shared" si="1"/>
        <v>S.aureus</v>
      </c>
      <c r="B5245" s="5" t="s">
        <v>32916</v>
      </c>
      <c r="C5245" s="6" t="str">
        <f>IFERROR(__xludf.DUMMYFUNCTION("SPLIT('2. c'!B5245, "" "", True, True)"),"Staphylococcus")</f>
        <v>Staphylococcus</v>
      </c>
      <c r="D5245" t="str">
        <f>IFERROR(__xludf.DUMMYFUNCTION("""COMPUTED_VALUE"""),"aureus")</f>
        <v>aureus</v>
      </c>
      <c r="E5245" t="str">
        <f>IFERROR(__xludf.DUMMYFUNCTION("""COMPUTED_VALUE"""),"subsp.")</f>
        <v>subsp.</v>
      </c>
      <c r="F5245" t="str">
        <f>IFERROR(__xludf.DUMMYFUNCTION("""COMPUTED_VALUE"""),"aureus")</f>
        <v>aureus</v>
      </c>
      <c r="G5245" t="str">
        <f>IFERROR(__xludf.DUMMYFUNCTION("""COMPUTED_VALUE"""),"MRSA252")</f>
        <v>MRSA252</v>
      </c>
    </row>
    <row r="5246" ht="15.75" customHeight="1">
      <c r="A5246" t="str">
        <f t="shared" si="1"/>
        <v>S.aureus</v>
      </c>
      <c r="B5246" s="5" t="s">
        <v>32919</v>
      </c>
      <c r="C5246" s="6" t="str">
        <f>IFERROR(__xludf.DUMMYFUNCTION("SPLIT('2. c'!B5246, "" "", True, True)"),"Staphylococcus")</f>
        <v>Staphylococcus</v>
      </c>
      <c r="D5246" t="str">
        <f>IFERROR(__xludf.DUMMYFUNCTION("""COMPUTED_VALUE"""),"aureus")</f>
        <v>aureus</v>
      </c>
      <c r="E5246" t="str">
        <f>IFERROR(__xludf.DUMMYFUNCTION("""COMPUTED_VALUE"""),"subsp.")</f>
        <v>subsp.</v>
      </c>
      <c r="F5246" t="str">
        <f>IFERROR(__xludf.DUMMYFUNCTION("""COMPUTED_VALUE"""),"aureus")</f>
        <v>aureus</v>
      </c>
      <c r="G5246" t="str">
        <f>IFERROR(__xludf.DUMMYFUNCTION("""COMPUTED_VALUE"""),"MSSA476")</f>
        <v>MSSA476</v>
      </c>
    </row>
    <row r="5247" ht="15.75" customHeight="1">
      <c r="A5247" t="str">
        <f t="shared" si="1"/>
        <v>S.aureus</v>
      </c>
      <c r="B5247" s="5" t="s">
        <v>32922</v>
      </c>
      <c r="C5247" s="6" t="str">
        <f>IFERROR(__xludf.DUMMYFUNCTION("SPLIT('2. c'!B5247, "" "", True, True)"),"Staphylococcus")</f>
        <v>Staphylococcus</v>
      </c>
      <c r="D5247" t="str">
        <f>IFERROR(__xludf.DUMMYFUNCTION("""COMPUTED_VALUE"""),"aureus")</f>
        <v>aureus</v>
      </c>
      <c r="E5247" t="str">
        <f>IFERROR(__xludf.DUMMYFUNCTION("""COMPUTED_VALUE"""),"subsp.")</f>
        <v>subsp.</v>
      </c>
      <c r="F5247" t="str">
        <f>IFERROR(__xludf.DUMMYFUNCTION("""COMPUTED_VALUE"""),"aureus")</f>
        <v>aureus</v>
      </c>
      <c r="G5247" t="str">
        <f>IFERROR(__xludf.DUMMYFUNCTION("""COMPUTED_VALUE"""),"Mu3")</f>
        <v>Mu3</v>
      </c>
    </row>
    <row r="5248" ht="15.75" customHeight="1">
      <c r="A5248" t="str">
        <f t="shared" si="1"/>
        <v>S.aureus</v>
      </c>
      <c r="B5248" s="5" t="s">
        <v>32925</v>
      </c>
      <c r="C5248" s="6" t="str">
        <f>IFERROR(__xludf.DUMMYFUNCTION("SPLIT('2. c'!B5248, "" "", True, True)"),"Staphylococcus")</f>
        <v>Staphylococcus</v>
      </c>
      <c r="D5248" t="str">
        <f>IFERROR(__xludf.DUMMYFUNCTION("""COMPUTED_VALUE"""),"aureus")</f>
        <v>aureus</v>
      </c>
      <c r="E5248" t="str">
        <f>IFERROR(__xludf.DUMMYFUNCTION("""COMPUTED_VALUE"""),"subsp.")</f>
        <v>subsp.</v>
      </c>
      <c r="F5248" t="str">
        <f>IFERROR(__xludf.DUMMYFUNCTION("""COMPUTED_VALUE"""),"aureus")</f>
        <v>aureus</v>
      </c>
      <c r="G5248" t="str">
        <f>IFERROR(__xludf.DUMMYFUNCTION("""COMPUTED_VALUE"""),"Mu50")</f>
        <v>Mu50</v>
      </c>
    </row>
    <row r="5249" ht="15.75" customHeight="1">
      <c r="A5249" t="str">
        <f t="shared" si="1"/>
        <v>S.aureus</v>
      </c>
      <c r="B5249" s="5" t="s">
        <v>32928</v>
      </c>
      <c r="C5249" s="6" t="str">
        <f>IFERROR(__xludf.DUMMYFUNCTION("SPLIT('2. c'!B5249, "" "", True, True)"),"Staphylococcus")</f>
        <v>Staphylococcus</v>
      </c>
      <c r="D5249" t="str">
        <f>IFERROR(__xludf.DUMMYFUNCTION("""COMPUTED_VALUE"""),"aureus")</f>
        <v>aureus</v>
      </c>
      <c r="E5249" t="str">
        <f>IFERROR(__xludf.DUMMYFUNCTION("""COMPUTED_VALUE"""),"subsp.")</f>
        <v>subsp.</v>
      </c>
      <c r="F5249" t="str">
        <f>IFERROR(__xludf.DUMMYFUNCTION("""COMPUTED_VALUE"""),"aureus")</f>
        <v>aureus</v>
      </c>
      <c r="G5249" t="str">
        <f>IFERROR(__xludf.DUMMYFUNCTION("""COMPUTED_VALUE"""),"MW2")</f>
        <v>MW2</v>
      </c>
    </row>
    <row r="5250" ht="15.75" customHeight="1">
      <c r="A5250" t="str">
        <f t="shared" si="1"/>
        <v>S.aureus</v>
      </c>
      <c r="B5250" s="5" t="s">
        <v>32932</v>
      </c>
      <c r="C5250" s="6" t="str">
        <f>IFERROR(__xludf.DUMMYFUNCTION("SPLIT('2. c'!B5250, "" "", True, True)"),"Staphylococcus")</f>
        <v>Staphylococcus</v>
      </c>
      <c r="D5250" t="str">
        <f>IFERROR(__xludf.DUMMYFUNCTION("""COMPUTED_VALUE"""),"aureus")</f>
        <v>aureus</v>
      </c>
      <c r="E5250" t="str">
        <f>IFERROR(__xludf.DUMMYFUNCTION("""COMPUTED_VALUE"""),"subsp.")</f>
        <v>subsp.</v>
      </c>
      <c r="F5250" t="str">
        <f>IFERROR(__xludf.DUMMYFUNCTION("""COMPUTED_VALUE"""),"aureus")</f>
        <v>aureus</v>
      </c>
      <c r="G5250" t="str">
        <f>IFERROR(__xludf.DUMMYFUNCTION("""COMPUTED_VALUE"""),"N315")</f>
        <v>N315</v>
      </c>
    </row>
    <row r="5251" ht="15.75" customHeight="1">
      <c r="A5251" t="str">
        <f t="shared" si="1"/>
        <v>S.aureus</v>
      </c>
      <c r="B5251" s="5" t="s">
        <v>32934</v>
      </c>
      <c r="C5251" s="6" t="str">
        <f>IFERROR(__xludf.DUMMYFUNCTION("SPLIT('2. c'!B5251, "" "", True, True)"),"Staphylococcus")</f>
        <v>Staphylococcus</v>
      </c>
      <c r="D5251" t="str">
        <f>IFERROR(__xludf.DUMMYFUNCTION("""COMPUTED_VALUE"""),"aureus")</f>
        <v>aureus</v>
      </c>
      <c r="E5251" t="str">
        <f>IFERROR(__xludf.DUMMYFUNCTION("""COMPUTED_VALUE"""),"subsp.")</f>
        <v>subsp.</v>
      </c>
      <c r="F5251" t="str">
        <f>IFERROR(__xludf.DUMMYFUNCTION("""COMPUTED_VALUE"""),"aureus")</f>
        <v>aureus</v>
      </c>
      <c r="G5251" t="str">
        <f>IFERROR(__xludf.DUMMYFUNCTION("""COMPUTED_VALUE"""),"NCTC")</f>
        <v>NCTC</v>
      </c>
      <c r="H5251">
        <f>IFERROR(__xludf.DUMMYFUNCTION("""COMPUTED_VALUE"""),8325.0)</f>
        <v>8325</v>
      </c>
    </row>
    <row r="5252" ht="15.75" customHeight="1">
      <c r="A5252" t="str">
        <f t="shared" si="1"/>
        <v>S.aureus</v>
      </c>
      <c r="B5252" s="5" t="s">
        <v>32937</v>
      </c>
      <c r="C5252" s="6" t="str">
        <f>IFERROR(__xludf.DUMMYFUNCTION("SPLIT('2. c'!B5252, "" "", True, True)"),"Staphylococcus")</f>
        <v>Staphylococcus</v>
      </c>
      <c r="D5252" t="str">
        <f>IFERROR(__xludf.DUMMYFUNCTION("""COMPUTED_VALUE"""),"aureus")</f>
        <v>aureus</v>
      </c>
      <c r="E5252" t="str">
        <f>IFERROR(__xludf.DUMMYFUNCTION("""COMPUTED_VALUE"""),"subsp.")</f>
        <v>subsp.</v>
      </c>
      <c r="F5252" t="str">
        <f>IFERROR(__xludf.DUMMYFUNCTION("""COMPUTED_VALUE"""),"aureus")</f>
        <v>aureus</v>
      </c>
      <c r="G5252" t="str">
        <f>IFERROR(__xludf.DUMMYFUNCTION("""COMPUTED_VALUE"""),"SA268")</f>
        <v>SA268</v>
      </c>
    </row>
    <row r="5253" ht="15.75" customHeight="1">
      <c r="A5253" t="str">
        <f t="shared" si="1"/>
        <v>S.aureus</v>
      </c>
      <c r="B5253" s="5" t="s">
        <v>32939</v>
      </c>
      <c r="C5253" s="6" t="str">
        <f>IFERROR(__xludf.DUMMYFUNCTION("SPLIT('2. c'!B5253, "" "", True, True)"),"Staphylococcus")</f>
        <v>Staphylococcus</v>
      </c>
      <c r="D5253" t="str">
        <f>IFERROR(__xludf.DUMMYFUNCTION("""COMPUTED_VALUE"""),"aureus")</f>
        <v>aureus</v>
      </c>
      <c r="E5253" t="str">
        <f>IFERROR(__xludf.DUMMYFUNCTION("""COMPUTED_VALUE"""),"subsp.")</f>
        <v>subsp.</v>
      </c>
      <c r="F5253" t="str">
        <f>IFERROR(__xludf.DUMMYFUNCTION("""COMPUTED_VALUE"""),"aureus")</f>
        <v>aureus</v>
      </c>
      <c r="G5253" t="str">
        <f>IFERROR(__xludf.DUMMYFUNCTION("""COMPUTED_VALUE"""),"SA40")</f>
        <v>SA40</v>
      </c>
    </row>
    <row r="5254" ht="15.75" customHeight="1">
      <c r="A5254" t="str">
        <f t="shared" si="1"/>
        <v>S.aureus</v>
      </c>
      <c r="B5254" s="5" t="s">
        <v>32942</v>
      </c>
      <c r="C5254" s="6" t="str">
        <f>IFERROR(__xludf.DUMMYFUNCTION("SPLIT('2. c'!B5254, "" "", True, True)"),"Staphylococcus")</f>
        <v>Staphylococcus</v>
      </c>
      <c r="D5254" t="str">
        <f>IFERROR(__xludf.DUMMYFUNCTION("""COMPUTED_VALUE"""),"aureus")</f>
        <v>aureus</v>
      </c>
      <c r="E5254" t="str">
        <f>IFERROR(__xludf.DUMMYFUNCTION("""COMPUTED_VALUE"""),"subsp.")</f>
        <v>subsp.</v>
      </c>
      <c r="F5254" t="str">
        <f>IFERROR(__xludf.DUMMYFUNCTION("""COMPUTED_VALUE"""),"aureus")</f>
        <v>aureus</v>
      </c>
      <c r="G5254" t="str">
        <f>IFERROR(__xludf.DUMMYFUNCTION("""COMPUTED_VALUE"""),"SA957")</f>
        <v>SA957</v>
      </c>
    </row>
    <row r="5255" ht="15.75" customHeight="1">
      <c r="A5255" t="str">
        <f t="shared" si="1"/>
        <v>S.aureus</v>
      </c>
      <c r="B5255" s="5" t="s">
        <v>32946</v>
      </c>
      <c r="C5255" s="6" t="str">
        <f>IFERROR(__xludf.DUMMYFUNCTION("SPLIT('2. c'!B5255, "" "", True, True)"),"Staphylococcus")</f>
        <v>Staphylococcus</v>
      </c>
      <c r="D5255" t="str">
        <f>IFERROR(__xludf.DUMMYFUNCTION("""COMPUTED_VALUE"""),"aureus")</f>
        <v>aureus</v>
      </c>
      <c r="E5255" t="str">
        <f>IFERROR(__xludf.DUMMYFUNCTION("""COMPUTED_VALUE"""),"subsp.")</f>
        <v>subsp.</v>
      </c>
      <c r="F5255" t="str">
        <f>IFERROR(__xludf.DUMMYFUNCTION("""COMPUTED_VALUE"""),"aureus")</f>
        <v>aureus</v>
      </c>
      <c r="G5255" t="str">
        <f>IFERROR(__xludf.DUMMYFUNCTION("""COMPUTED_VALUE"""),"ST228")</f>
        <v>ST228</v>
      </c>
    </row>
    <row r="5256" ht="15.75" customHeight="1">
      <c r="A5256" t="str">
        <f t="shared" si="1"/>
        <v>S.aureus</v>
      </c>
      <c r="B5256" s="5" t="s">
        <v>32946</v>
      </c>
      <c r="C5256" s="6" t="str">
        <f>IFERROR(__xludf.DUMMYFUNCTION("SPLIT('2. c'!B5256, "" "", True, True)"),"Staphylococcus")</f>
        <v>Staphylococcus</v>
      </c>
      <c r="D5256" t="str">
        <f>IFERROR(__xludf.DUMMYFUNCTION("""COMPUTED_VALUE"""),"aureus")</f>
        <v>aureus</v>
      </c>
      <c r="E5256" t="str">
        <f>IFERROR(__xludf.DUMMYFUNCTION("""COMPUTED_VALUE"""),"subsp.")</f>
        <v>subsp.</v>
      </c>
      <c r="F5256" t="str">
        <f>IFERROR(__xludf.DUMMYFUNCTION("""COMPUTED_VALUE"""),"aureus")</f>
        <v>aureus</v>
      </c>
      <c r="G5256" t="str">
        <f>IFERROR(__xludf.DUMMYFUNCTION("""COMPUTED_VALUE"""),"ST228")</f>
        <v>ST228</v>
      </c>
    </row>
    <row r="5257" ht="15.75" customHeight="1">
      <c r="A5257" t="str">
        <f t="shared" si="1"/>
        <v>S.aureus</v>
      </c>
      <c r="B5257" s="5" t="s">
        <v>32946</v>
      </c>
      <c r="C5257" s="6" t="str">
        <f>IFERROR(__xludf.DUMMYFUNCTION("SPLIT('2. c'!B5257, "" "", True, True)"),"Staphylococcus")</f>
        <v>Staphylococcus</v>
      </c>
      <c r="D5257" t="str">
        <f>IFERROR(__xludf.DUMMYFUNCTION("""COMPUTED_VALUE"""),"aureus")</f>
        <v>aureus</v>
      </c>
      <c r="E5257" t="str">
        <f>IFERROR(__xludf.DUMMYFUNCTION("""COMPUTED_VALUE"""),"subsp.")</f>
        <v>subsp.</v>
      </c>
      <c r="F5257" t="str">
        <f>IFERROR(__xludf.DUMMYFUNCTION("""COMPUTED_VALUE"""),"aureus")</f>
        <v>aureus</v>
      </c>
      <c r="G5257" t="str">
        <f>IFERROR(__xludf.DUMMYFUNCTION("""COMPUTED_VALUE"""),"ST228")</f>
        <v>ST228</v>
      </c>
    </row>
    <row r="5258" ht="15.75" customHeight="1">
      <c r="A5258" t="str">
        <f t="shared" si="1"/>
        <v>S.aureus</v>
      </c>
      <c r="B5258" s="5" t="s">
        <v>32954</v>
      </c>
      <c r="C5258" s="6" t="str">
        <f>IFERROR(__xludf.DUMMYFUNCTION("SPLIT('2. c'!B5258, "" "", True, True)"),"Staphylococcus")</f>
        <v>Staphylococcus</v>
      </c>
      <c r="D5258" t="str">
        <f>IFERROR(__xludf.DUMMYFUNCTION("""COMPUTED_VALUE"""),"aureus")</f>
        <v>aureus</v>
      </c>
      <c r="E5258" t="str">
        <f>IFERROR(__xludf.DUMMYFUNCTION("""COMPUTED_VALUE"""),"subsp.")</f>
        <v>subsp.</v>
      </c>
      <c r="F5258" t="str">
        <f>IFERROR(__xludf.DUMMYFUNCTION("""COMPUTED_VALUE"""),"aureus")</f>
        <v>aureus</v>
      </c>
      <c r="G5258" t="str">
        <f>IFERROR(__xludf.DUMMYFUNCTION("""COMPUTED_VALUE"""),"ST398")</f>
        <v>ST398</v>
      </c>
    </row>
    <row r="5259" ht="15.75" customHeight="1">
      <c r="A5259" t="str">
        <f t="shared" si="1"/>
        <v>S.aureus</v>
      </c>
      <c r="B5259" s="5" t="s">
        <v>32958</v>
      </c>
      <c r="C5259" s="6" t="str">
        <f>IFERROR(__xludf.DUMMYFUNCTION("SPLIT('2. c'!B5259, "" "", True, True)"),"Staphylococcus")</f>
        <v>Staphylococcus</v>
      </c>
      <c r="D5259" t="str">
        <f>IFERROR(__xludf.DUMMYFUNCTION("""COMPUTED_VALUE"""),"aureus")</f>
        <v>aureus</v>
      </c>
      <c r="E5259" t="str">
        <f>IFERROR(__xludf.DUMMYFUNCTION("""COMPUTED_VALUE"""),"subsp.")</f>
        <v>subsp.</v>
      </c>
      <c r="F5259" t="str">
        <f>IFERROR(__xludf.DUMMYFUNCTION("""COMPUTED_VALUE"""),"aureus")</f>
        <v>aureus</v>
      </c>
      <c r="G5259" t="str">
        <f>IFERROR(__xludf.DUMMYFUNCTION("""COMPUTED_VALUE"""),"ST772-MRSA-V")</f>
        <v>ST772-MRSA-V</v>
      </c>
      <c r="H5259" t="str">
        <f>IFERROR(__xludf.DUMMYFUNCTION("""COMPUTED_VALUE"""),"strain")</f>
        <v>strain</v>
      </c>
      <c r="I5259" t="str">
        <f>IFERROR(__xludf.DUMMYFUNCTION("""COMPUTED_VALUE"""),"DAR4145")</f>
        <v>DAR4145</v>
      </c>
    </row>
    <row r="5260" ht="15.75" customHeight="1">
      <c r="A5260" t="str">
        <f t="shared" si="1"/>
        <v>S.aureus</v>
      </c>
      <c r="B5260" s="5" t="s">
        <v>32962</v>
      </c>
      <c r="C5260" s="6" t="str">
        <f>IFERROR(__xludf.DUMMYFUNCTION("SPLIT('2. c'!B5260, "" "", True, True)"),"Staphylococcus")</f>
        <v>Staphylococcus</v>
      </c>
      <c r="D5260" t="str">
        <f>IFERROR(__xludf.DUMMYFUNCTION("""COMPUTED_VALUE"""),"aureus")</f>
        <v>aureus</v>
      </c>
      <c r="E5260" t="str">
        <f>IFERROR(__xludf.DUMMYFUNCTION("""COMPUTED_VALUE"""),"subsp.")</f>
        <v>subsp.</v>
      </c>
      <c r="F5260" t="str">
        <f>IFERROR(__xludf.DUMMYFUNCTION("""COMPUTED_VALUE"""),"aureus")</f>
        <v>aureus</v>
      </c>
      <c r="G5260" t="str">
        <f>IFERROR(__xludf.DUMMYFUNCTION("""COMPUTED_VALUE"""),"str.")</f>
        <v>str.</v>
      </c>
      <c r="H5260" t="str">
        <f>IFERROR(__xludf.DUMMYFUNCTION("""COMPUTED_VALUE"""),"JKD6008")</f>
        <v>JKD6008</v>
      </c>
    </row>
    <row r="5261" ht="15.75" customHeight="1">
      <c r="A5261" t="str">
        <f t="shared" si="1"/>
        <v>S.aureus</v>
      </c>
      <c r="B5261" s="5" t="s">
        <v>32966</v>
      </c>
      <c r="C5261" s="6" t="str">
        <f>IFERROR(__xludf.DUMMYFUNCTION("SPLIT('2. c'!B5261, "" "", True, True)"),"Staphylococcus")</f>
        <v>Staphylococcus</v>
      </c>
      <c r="D5261" t="str">
        <f>IFERROR(__xludf.DUMMYFUNCTION("""COMPUTED_VALUE"""),"aureus")</f>
        <v>aureus</v>
      </c>
      <c r="E5261" t="str">
        <f>IFERROR(__xludf.DUMMYFUNCTION("""COMPUTED_VALUE"""),"subsp.")</f>
        <v>subsp.</v>
      </c>
      <c r="F5261" t="str">
        <f>IFERROR(__xludf.DUMMYFUNCTION("""COMPUTED_VALUE"""),"aureus")</f>
        <v>aureus</v>
      </c>
      <c r="G5261" t="str">
        <f>IFERROR(__xludf.DUMMYFUNCTION("""COMPUTED_VALUE"""),"str.")</f>
        <v>str.</v>
      </c>
      <c r="H5261" t="str">
        <f>IFERROR(__xludf.DUMMYFUNCTION("""COMPUTED_VALUE"""),"Newman")</f>
        <v>Newman</v>
      </c>
    </row>
    <row r="5262" ht="15.75" customHeight="1">
      <c r="A5262" t="str">
        <f t="shared" si="1"/>
        <v>S.aureus</v>
      </c>
      <c r="B5262" s="5" t="s">
        <v>32970</v>
      </c>
      <c r="C5262" s="6" t="str">
        <f>IFERROR(__xludf.DUMMYFUNCTION("SPLIT('2. c'!B5262, "" "", True, True)"),"Staphylococcus")</f>
        <v>Staphylococcus</v>
      </c>
      <c r="D5262" t="str">
        <f>IFERROR(__xludf.DUMMYFUNCTION("""COMPUTED_VALUE"""),"aureus")</f>
        <v>aureus</v>
      </c>
      <c r="E5262" t="str">
        <f>IFERROR(__xludf.DUMMYFUNCTION("""COMPUTED_VALUE"""),"subsp.")</f>
        <v>subsp.</v>
      </c>
      <c r="F5262" t="str">
        <f>IFERROR(__xludf.DUMMYFUNCTION("""COMPUTED_VALUE"""),"aureus")</f>
        <v>aureus</v>
      </c>
      <c r="G5262" t="str">
        <f>IFERROR(__xludf.DUMMYFUNCTION("""COMPUTED_VALUE"""),"strain")</f>
        <v>strain</v>
      </c>
      <c r="H5262" t="str">
        <f>IFERROR(__xludf.DUMMYFUNCTION("""COMPUTED_VALUE"""),"ATCC")</f>
        <v>ATCC</v>
      </c>
      <c r="I5262">
        <f>IFERROR(__xludf.DUMMYFUNCTION("""COMPUTED_VALUE"""),25923.0)</f>
        <v>25923</v>
      </c>
    </row>
    <row r="5263" ht="15.75" customHeight="1">
      <c r="A5263" t="str">
        <f t="shared" si="1"/>
        <v>S.aureus</v>
      </c>
      <c r="B5263" s="5" t="s">
        <v>32971</v>
      </c>
      <c r="C5263" s="6" t="str">
        <f>IFERROR(__xludf.DUMMYFUNCTION("SPLIT('2. c'!B5263, "" "", True, True)"),"Staphylococcus")</f>
        <v>Staphylococcus</v>
      </c>
      <c r="D5263" t="str">
        <f>IFERROR(__xludf.DUMMYFUNCTION("""COMPUTED_VALUE"""),"aureus")</f>
        <v>aureus</v>
      </c>
      <c r="E5263" t="str">
        <f>IFERROR(__xludf.DUMMYFUNCTION("""COMPUTED_VALUE"""),"subsp.")</f>
        <v>subsp.</v>
      </c>
      <c r="F5263" t="str">
        <f>IFERROR(__xludf.DUMMYFUNCTION("""COMPUTED_VALUE"""),"aureus")</f>
        <v>aureus</v>
      </c>
      <c r="G5263" t="str">
        <f>IFERROR(__xludf.DUMMYFUNCTION("""COMPUTED_VALUE"""),"strain")</f>
        <v>strain</v>
      </c>
      <c r="H5263" t="str">
        <f>IFERROR(__xludf.DUMMYFUNCTION("""COMPUTED_VALUE"""),"GR2")</f>
        <v>GR2</v>
      </c>
    </row>
    <row r="5264" ht="15.75" customHeight="1">
      <c r="A5264" t="str">
        <f t="shared" si="1"/>
        <v>S.aureus</v>
      </c>
      <c r="B5264" s="5" t="s">
        <v>32972</v>
      </c>
      <c r="C5264" s="6" t="str">
        <f>IFERROR(__xludf.DUMMYFUNCTION("SPLIT('2. c'!B5264, "" "", True, True)"),"Staphylococcus")</f>
        <v>Staphylococcus</v>
      </c>
      <c r="D5264" t="str">
        <f>IFERROR(__xludf.DUMMYFUNCTION("""COMPUTED_VALUE"""),"aureus")</f>
        <v>aureus</v>
      </c>
      <c r="E5264" t="str">
        <f>IFERROR(__xludf.DUMMYFUNCTION("""COMPUTED_VALUE"""),"subsp.")</f>
        <v>subsp.</v>
      </c>
      <c r="F5264" t="str">
        <f>IFERROR(__xludf.DUMMYFUNCTION("""COMPUTED_VALUE"""),"aureus")</f>
        <v>aureus</v>
      </c>
      <c r="G5264" t="str">
        <f>IFERROR(__xludf.DUMMYFUNCTION("""COMPUTED_VALUE"""),"strain")</f>
        <v>strain</v>
      </c>
      <c r="H5264" t="str">
        <f>IFERROR(__xludf.DUMMYFUNCTION("""COMPUTED_VALUE"""),"H-EMRSA-15")</f>
        <v>H-EMRSA-15</v>
      </c>
    </row>
    <row r="5265" ht="15.75" customHeight="1">
      <c r="A5265" t="str">
        <f t="shared" si="1"/>
        <v>S.aureus</v>
      </c>
      <c r="B5265" s="5" t="s">
        <v>32973</v>
      </c>
      <c r="C5265" s="6" t="str">
        <f>IFERROR(__xludf.DUMMYFUNCTION("SPLIT('2. c'!B5265, "" "", True, True)"),"Staphylococcus")</f>
        <v>Staphylococcus</v>
      </c>
      <c r="D5265" t="str">
        <f>IFERROR(__xludf.DUMMYFUNCTION("""COMPUTED_VALUE"""),"aureus")</f>
        <v>aureus</v>
      </c>
      <c r="E5265" t="str">
        <f>IFERROR(__xludf.DUMMYFUNCTION("""COMPUTED_VALUE"""),"subsp.")</f>
        <v>subsp.</v>
      </c>
      <c r="F5265" t="str">
        <f>IFERROR(__xludf.DUMMYFUNCTION("""COMPUTED_VALUE"""),"aureus")</f>
        <v>aureus</v>
      </c>
      <c r="G5265" t="str">
        <f>IFERROR(__xludf.DUMMYFUNCTION("""COMPUTED_VALUE"""),"strain")</f>
        <v>strain</v>
      </c>
      <c r="H5265" t="str">
        <f>IFERROR(__xludf.DUMMYFUNCTION("""COMPUTED_VALUE"""),"JS395")</f>
        <v>JS395</v>
      </c>
    </row>
    <row r="5266" ht="15.75" customHeight="1">
      <c r="A5266" t="str">
        <f t="shared" si="1"/>
        <v>S.aureus</v>
      </c>
      <c r="B5266" s="5" t="s">
        <v>32974</v>
      </c>
      <c r="C5266" s="6" t="str">
        <f>IFERROR(__xludf.DUMMYFUNCTION("SPLIT('2. c'!B5266, "" "", True, True)"),"Staphylococcus")</f>
        <v>Staphylococcus</v>
      </c>
      <c r="D5266" t="str">
        <f>IFERROR(__xludf.DUMMYFUNCTION("""COMPUTED_VALUE"""),"aureus")</f>
        <v>aureus</v>
      </c>
      <c r="E5266" t="str">
        <f>IFERROR(__xludf.DUMMYFUNCTION("""COMPUTED_VALUE"""),"subsp.")</f>
        <v>subsp.</v>
      </c>
      <c r="F5266" t="str">
        <f>IFERROR(__xludf.DUMMYFUNCTION("""COMPUTED_VALUE"""),"aureus")</f>
        <v>aureus</v>
      </c>
      <c r="G5266" t="str">
        <f>IFERROR(__xludf.DUMMYFUNCTION("""COMPUTED_VALUE"""),"strain")</f>
        <v>strain</v>
      </c>
      <c r="H5266" t="str">
        <f>IFERROR(__xludf.DUMMYFUNCTION("""COMPUTED_VALUE"""),"USA300_2014.C01")</f>
        <v>USA300_2014.C01</v>
      </c>
    </row>
    <row r="5267" ht="15.75" customHeight="1">
      <c r="A5267" t="str">
        <f t="shared" si="1"/>
        <v>S.aureus</v>
      </c>
      <c r="B5267" s="5" t="s">
        <v>32975</v>
      </c>
      <c r="C5267" s="6" t="str">
        <f>IFERROR(__xludf.DUMMYFUNCTION("SPLIT('2. c'!B5267, "" "", True, True)"),"Staphylococcus")</f>
        <v>Staphylococcus</v>
      </c>
      <c r="D5267" t="str">
        <f>IFERROR(__xludf.DUMMYFUNCTION("""COMPUTED_VALUE"""),"aureus")</f>
        <v>aureus</v>
      </c>
      <c r="E5267" t="str">
        <f>IFERROR(__xludf.DUMMYFUNCTION("""COMPUTED_VALUE"""),"subsp.")</f>
        <v>subsp.</v>
      </c>
      <c r="F5267" t="str">
        <f>IFERROR(__xludf.DUMMYFUNCTION("""COMPUTED_VALUE"""),"aureus")</f>
        <v>aureus</v>
      </c>
      <c r="G5267" t="str">
        <f>IFERROR(__xludf.DUMMYFUNCTION("""COMPUTED_VALUE"""),"strain")</f>
        <v>strain</v>
      </c>
      <c r="H5267" t="str">
        <f>IFERROR(__xludf.DUMMYFUNCTION("""COMPUTED_VALUE"""),"USA300_2014.C02")</f>
        <v>USA300_2014.C02</v>
      </c>
    </row>
    <row r="5268" ht="15.75" customHeight="1">
      <c r="A5268" t="str">
        <f t="shared" si="1"/>
        <v>S.aureus</v>
      </c>
      <c r="B5268" s="5" t="s">
        <v>32976</v>
      </c>
      <c r="C5268" s="6" t="str">
        <f>IFERROR(__xludf.DUMMYFUNCTION("SPLIT('2. c'!B5268, "" "", True, True)"),"Staphylococcus")</f>
        <v>Staphylococcus</v>
      </c>
      <c r="D5268" t="str">
        <f>IFERROR(__xludf.DUMMYFUNCTION("""COMPUTED_VALUE"""),"aureus")</f>
        <v>aureus</v>
      </c>
      <c r="E5268" t="str">
        <f>IFERROR(__xludf.DUMMYFUNCTION("""COMPUTED_VALUE"""),"subsp.")</f>
        <v>subsp.</v>
      </c>
      <c r="F5268" t="str">
        <f>IFERROR(__xludf.DUMMYFUNCTION("""COMPUTED_VALUE"""),"aureus")</f>
        <v>aureus</v>
      </c>
      <c r="G5268" t="str">
        <f>IFERROR(__xludf.DUMMYFUNCTION("""COMPUTED_VALUE"""),"T0131")</f>
        <v>T0131</v>
      </c>
    </row>
    <row r="5269" ht="15.75" customHeight="1">
      <c r="A5269" t="str">
        <f t="shared" si="1"/>
        <v>S.aureus</v>
      </c>
      <c r="B5269" s="5" t="s">
        <v>32977</v>
      </c>
      <c r="C5269" s="6" t="str">
        <f>IFERROR(__xludf.DUMMYFUNCTION("SPLIT('2. c'!B5269, "" "", True, True)"),"Staphylococcus")</f>
        <v>Staphylococcus</v>
      </c>
      <c r="D5269" t="str">
        <f>IFERROR(__xludf.DUMMYFUNCTION("""COMPUTED_VALUE"""),"aureus")</f>
        <v>aureus</v>
      </c>
      <c r="E5269" t="str">
        <f>IFERROR(__xludf.DUMMYFUNCTION("""COMPUTED_VALUE"""),"subsp.")</f>
        <v>subsp.</v>
      </c>
      <c r="F5269" t="str">
        <f>IFERROR(__xludf.DUMMYFUNCTION("""COMPUTED_VALUE"""),"aureus")</f>
        <v>aureus</v>
      </c>
      <c r="G5269" t="str">
        <f>IFERROR(__xludf.DUMMYFUNCTION("""COMPUTED_VALUE"""),"TCH60")</f>
        <v>TCH60</v>
      </c>
    </row>
    <row r="5270" ht="15.75" customHeight="1">
      <c r="A5270" t="str">
        <f t="shared" si="1"/>
        <v>S.aureus</v>
      </c>
      <c r="B5270" s="5" t="s">
        <v>32978</v>
      </c>
      <c r="C5270" s="6" t="str">
        <f>IFERROR(__xludf.DUMMYFUNCTION("SPLIT('2. c'!B5270, "" "", True, True)"),"Staphylococcus")</f>
        <v>Staphylococcus</v>
      </c>
      <c r="D5270" t="str">
        <f>IFERROR(__xludf.DUMMYFUNCTION("""COMPUTED_VALUE"""),"aureus")</f>
        <v>aureus</v>
      </c>
      <c r="E5270" t="str">
        <f>IFERROR(__xludf.DUMMYFUNCTION("""COMPUTED_VALUE"""),"subsp.")</f>
        <v>subsp.</v>
      </c>
      <c r="F5270" t="str">
        <f>IFERROR(__xludf.DUMMYFUNCTION("""COMPUTED_VALUE"""),"aureus")</f>
        <v>aureus</v>
      </c>
      <c r="G5270" t="str">
        <f>IFERROR(__xludf.DUMMYFUNCTION("""COMPUTED_VALUE"""),"TW20")</f>
        <v>TW20</v>
      </c>
    </row>
    <row r="5271" ht="15.75" customHeight="1">
      <c r="A5271" t="str">
        <f t="shared" si="1"/>
        <v>S.aureus</v>
      </c>
      <c r="B5271" s="5" t="s">
        <v>32979</v>
      </c>
      <c r="C5271" s="6" t="str">
        <f>IFERROR(__xludf.DUMMYFUNCTION("SPLIT('2. c'!B5271, "" "", True, True)"),"Staphylococcus")</f>
        <v>Staphylococcus</v>
      </c>
      <c r="D5271" t="str">
        <f>IFERROR(__xludf.DUMMYFUNCTION("""COMPUTED_VALUE"""),"aureus")</f>
        <v>aureus</v>
      </c>
      <c r="E5271" t="str">
        <f>IFERROR(__xludf.DUMMYFUNCTION("""COMPUTED_VALUE"""),"subsp.")</f>
        <v>subsp.</v>
      </c>
      <c r="F5271" t="str">
        <f>IFERROR(__xludf.DUMMYFUNCTION("""COMPUTED_VALUE"""),"aureus")</f>
        <v>aureus</v>
      </c>
      <c r="G5271" t="str">
        <f>IFERROR(__xludf.DUMMYFUNCTION("""COMPUTED_VALUE"""),"USA300_FPR3757")</f>
        <v>USA300_FPR3757</v>
      </c>
    </row>
    <row r="5272" ht="15.75" customHeight="1">
      <c r="A5272" t="str">
        <f t="shared" si="1"/>
        <v>S.aureus</v>
      </c>
      <c r="B5272" s="5" t="s">
        <v>32980</v>
      </c>
      <c r="C5272" s="6" t="str">
        <f>IFERROR(__xludf.DUMMYFUNCTION("SPLIT('2. c'!B5272, "" "", True, True)"),"Staphylococcus")</f>
        <v>Staphylococcus</v>
      </c>
      <c r="D5272" t="str">
        <f>IFERROR(__xludf.DUMMYFUNCTION("""COMPUTED_VALUE"""),"aureus")</f>
        <v>aureus</v>
      </c>
      <c r="E5272" t="str">
        <f>IFERROR(__xludf.DUMMYFUNCTION("""COMPUTED_VALUE"""),"subsp.")</f>
        <v>subsp.</v>
      </c>
      <c r="F5272" t="str">
        <f>IFERROR(__xludf.DUMMYFUNCTION("""COMPUTED_VALUE"""),"aureus")</f>
        <v>aureus</v>
      </c>
      <c r="G5272" t="str">
        <f>IFERROR(__xludf.DUMMYFUNCTION("""COMPUTED_VALUE"""),"USA300_TCH1516")</f>
        <v>USA300_TCH1516</v>
      </c>
    </row>
    <row r="5273" ht="15.75" customHeight="1">
      <c r="A5273" t="str">
        <f t="shared" si="1"/>
        <v>S.aureus</v>
      </c>
      <c r="B5273" s="5" t="s">
        <v>32981</v>
      </c>
      <c r="C5273" s="6" t="str">
        <f>IFERROR(__xludf.DUMMYFUNCTION("SPLIT('2. c'!B5273, "" "", True, True)"),"Staphylococcus")</f>
        <v>Staphylococcus</v>
      </c>
      <c r="D5273" t="str">
        <f>IFERROR(__xludf.DUMMYFUNCTION("""COMPUTED_VALUE"""),"aureus")</f>
        <v>aureus</v>
      </c>
      <c r="E5273" t="str">
        <f>IFERROR(__xludf.DUMMYFUNCTION("""COMPUTED_VALUE"""),"subsp.")</f>
        <v>subsp.</v>
      </c>
      <c r="F5273" t="str">
        <f>IFERROR(__xludf.DUMMYFUNCTION("""COMPUTED_VALUE"""),"aureus")</f>
        <v>aureus</v>
      </c>
      <c r="G5273" t="str">
        <f>IFERROR(__xludf.DUMMYFUNCTION("""COMPUTED_VALUE"""),"VC40")</f>
        <v>VC40</v>
      </c>
    </row>
    <row r="5274" ht="15.75" customHeight="1">
      <c r="A5274" t="str">
        <f t="shared" si="1"/>
        <v>S.aureus</v>
      </c>
      <c r="B5274" s="5" t="s">
        <v>32982</v>
      </c>
      <c r="C5274" s="6" t="str">
        <f>IFERROR(__xludf.DUMMYFUNCTION("SPLIT('2. c'!B5274, "" "", True, True)"),"Staphylococcus")</f>
        <v>Staphylococcus</v>
      </c>
      <c r="D5274" t="str">
        <f>IFERROR(__xludf.DUMMYFUNCTION("""COMPUTED_VALUE"""),"aureus")</f>
        <v>aureus</v>
      </c>
      <c r="E5274" t="str">
        <f>IFERROR(__xludf.DUMMYFUNCTION("""COMPUTED_VALUE"""),"subsp.")</f>
        <v>subsp.</v>
      </c>
      <c r="F5274" t="str">
        <f>IFERROR(__xludf.DUMMYFUNCTION("""COMPUTED_VALUE"""),"aureus")</f>
        <v>aureus</v>
      </c>
      <c r="G5274" t="str">
        <f>IFERROR(__xludf.DUMMYFUNCTION("""COMPUTED_VALUE"""),"Z172")</f>
        <v>Z172</v>
      </c>
    </row>
    <row r="5275" ht="15.75" customHeight="1">
      <c r="A5275" t="str">
        <f t="shared" si="1"/>
        <v>S.aureus</v>
      </c>
      <c r="B5275" s="5" t="s">
        <v>32983</v>
      </c>
      <c r="C5275" s="6" t="str">
        <f>IFERROR(__xludf.DUMMYFUNCTION("SPLIT('2. c'!B5275, "" "", True, True)"),"Staphylococcus")</f>
        <v>Staphylococcus</v>
      </c>
      <c r="D5275" t="str">
        <f>IFERROR(__xludf.DUMMYFUNCTION("""COMPUTED_VALUE"""),"aureus")</f>
        <v>aureus</v>
      </c>
      <c r="E5275" t="str">
        <f>IFERROR(__xludf.DUMMYFUNCTION("""COMPUTED_VALUE"""),"USA300-ISMMS1")</f>
        <v>USA300-ISMMS1</v>
      </c>
    </row>
    <row r="5276" ht="15.75" customHeight="1">
      <c r="A5276" t="str">
        <f t="shared" si="1"/>
        <v>S.capitis</v>
      </c>
      <c r="B5276" s="5" t="s">
        <v>32984</v>
      </c>
      <c r="C5276" s="6" t="str">
        <f>IFERROR(__xludf.DUMMYFUNCTION("SPLIT('2. c'!B5276, "" "", True, True)"),"Staphylococcus")</f>
        <v>Staphylococcus</v>
      </c>
      <c r="D5276" t="str">
        <f>IFERROR(__xludf.DUMMYFUNCTION("""COMPUTED_VALUE"""),"capitis")</f>
        <v>capitis</v>
      </c>
      <c r="E5276" t="str">
        <f>IFERROR(__xludf.DUMMYFUNCTION("""COMPUTED_VALUE"""),"strain")</f>
        <v>strain</v>
      </c>
      <c r="F5276" t="str">
        <f>IFERROR(__xludf.DUMMYFUNCTION("""COMPUTED_VALUE"""),"CR03")</f>
        <v>CR03</v>
      </c>
    </row>
    <row r="5277" ht="15.75" customHeight="1">
      <c r="A5277" t="str">
        <f t="shared" si="1"/>
        <v>S.capitis</v>
      </c>
      <c r="B5277" s="5" t="s">
        <v>32985</v>
      </c>
      <c r="C5277" s="6" t="str">
        <f>IFERROR(__xludf.DUMMYFUNCTION("SPLIT('2. c'!B5277, "" "", True, True)"),"Staphylococcus")</f>
        <v>Staphylococcus</v>
      </c>
      <c r="D5277" t="str">
        <f>IFERROR(__xludf.DUMMYFUNCTION("""COMPUTED_VALUE"""),"capitis")</f>
        <v>capitis</v>
      </c>
      <c r="E5277" t="str">
        <f>IFERROR(__xludf.DUMMYFUNCTION("""COMPUTED_VALUE"""),"subsp.")</f>
        <v>subsp.</v>
      </c>
      <c r="F5277" t="str">
        <f>IFERROR(__xludf.DUMMYFUNCTION("""COMPUTED_VALUE"""),"capitis")</f>
        <v>capitis</v>
      </c>
      <c r="G5277" t="str">
        <f>IFERROR(__xludf.DUMMYFUNCTION("""COMPUTED_VALUE"""),"strain")</f>
        <v>strain</v>
      </c>
      <c r="H5277" t="str">
        <f>IFERROR(__xludf.DUMMYFUNCTION("""COMPUTED_VALUE"""),"AYP1020")</f>
        <v>AYP1020</v>
      </c>
    </row>
    <row r="5278" ht="15.75" customHeight="1">
      <c r="A5278" t="str">
        <f t="shared" si="1"/>
        <v>S.carnosus</v>
      </c>
      <c r="B5278" s="5" t="s">
        <v>32986</v>
      </c>
      <c r="C5278" s="6" t="str">
        <f>IFERROR(__xludf.DUMMYFUNCTION("SPLIT('2. c'!B5278, "" "", True, True)"),"Staphylococcus")</f>
        <v>Staphylococcus</v>
      </c>
      <c r="D5278" t="str">
        <f>IFERROR(__xludf.DUMMYFUNCTION("""COMPUTED_VALUE"""),"carnosus")</f>
        <v>carnosus</v>
      </c>
      <c r="E5278" t="str">
        <f>IFERROR(__xludf.DUMMYFUNCTION("""COMPUTED_VALUE"""),"subsp.")</f>
        <v>subsp.</v>
      </c>
      <c r="F5278" t="str">
        <f>IFERROR(__xludf.DUMMYFUNCTION("""COMPUTED_VALUE"""),"carnosus")</f>
        <v>carnosus</v>
      </c>
      <c r="G5278" t="str">
        <f>IFERROR(__xludf.DUMMYFUNCTION("""COMPUTED_VALUE"""),"TM300")</f>
        <v>TM300</v>
      </c>
    </row>
    <row r="5279" ht="15.75" customHeight="1">
      <c r="A5279" t="str">
        <f t="shared" si="1"/>
        <v>S.condimenti</v>
      </c>
      <c r="B5279" s="5" t="s">
        <v>32987</v>
      </c>
      <c r="C5279" s="6" t="str">
        <f>IFERROR(__xludf.DUMMYFUNCTION("SPLIT('2. c'!B5279, "" "", True, True)"),"Staphylococcus")</f>
        <v>Staphylococcus</v>
      </c>
      <c r="D5279" t="str">
        <f>IFERROR(__xludf.DUMMYFUNCTION("""COMPUTED_VALUE"""),"condimenti")</f>
        <v>condimenti</v>
      </c>
      <c r="E5279" t="str">
        <f>IFERROR(__xludf.DUMMYFUNCTION("""COMPUTED_VALUE"""),"strain")</f>
        <v>strain</v>
      </c>
      <c r="F5279" t="str">
        <f>IFERROR(__xludf.DUMMYFUNCTION("""COMPUTED_VALUE"""),"DSM")</f>
        <v>DSM</v>
      </c>
      <c r="G5279">
        <f>IFERROR(__xludf.DUMMYFUNCTION("""COMPUTED_VALUE"""),11674.0)</f>
        <v>11674</v>
      </c>
    </row>
    <row r="5280" ht="15.75" customHeight="1">
      <c r="A5280" t="str">
        <f t="shared" si="1"/>
        <v>S.epidermidis</v>
      </c>
      <c r="B5280" s="5" t="s">
        <v>32988</v>
      </c>
      <c r="C5280" s="6" t="str">
        <f>IFERROR(__xludf.DUMMYFUNCTION("SPLIT('2. c'!B5280, "" "", True, True)"),"Staphylococcus")</f>
        <v>Staphylococcus</v>
      </c>
      <c r="D5280" t="str">
        <f>IFERROR(__xludf.DUMMYFUNCTION("""COMPUTED_VALUE"""),"epidermidis")</f>
        <v>epidermidis</v>
      </c>
      <c r="E5280" t="str">
        <f>IFERROR(__xludf.DUMMYFUNCTION("""COMPUTED_VALUE"""),"ATCC")</f>
        <v>ATCC</v>
      </c>
      <c r="F5280">
        <f>IFERROR(__xludf.DUMMYFUNCTION("""COMPUTED_VALUE"""),12228.0)</f>
        <v>12228</v>
      </c>
    </row>
    <row r="5281" ht="15.75" customHeight="1">
      <c r="A5281" t="str">
        <f t="shared" si="1"/>
        <v>S.epidermidis</v>
      </c>
      <c r="B5281" s="5" t="s">
        <v>32989</v>
      </c>
      <c r="C5281" s="6" t="str">
        <f>IFERROR(__xludf.DUMMYFUNCTION("SPLIT('2. c'!B5281, "" "", True, True)"),"Staphylococcus")</f>
        <v>Staphylococcus</v>
      </c>
      <c r="D5281" t="str">
        <f>IFERROR(__xludf.DUMMYFUNCTION("""COMPUTED_VALUE"""),"epidermidis")</f>
        <v>epidermidis</v>
      </c>
      <c r="E5281" t="str">
        <f>IFERROR(__xludf.DUMMYFUNCTION("""COMPUTED_VALUE"""),"PM221")</f>
        <v>PM221</v>
      </c>
    </row>
    <row r="5282" ht="15.75" customHeight="1">
      <c r="A5282" t="str">
        <f t="shared" si="1"/>
        <v>S.epidermidis</v>
      </c>
      <c r="B5282" s="5" t="s">
        <v>32990</v>
      </c>
      <c r="C5282" s="6" t="str">
        <f>IFERROR(__xludf.DUMMYFUNCTION("SPLIT('2. c'!B5282, "" "", True, True)"),"Staphylococcus")</f>
        <v>Staphylococcus</v>
      </c>
      <c r="D5282" t="str">
        <f>IFERROR(__xludf.DUMMYFUNCTION("""COMPUTED_VALUE"""),"epidermidis")</f>
        <v>epidermidis</v>
      </c>
      <c r="E5282" t="str">
        <f>IFERROR(__xludf.DUMMYFUNCTION("""COMPUTED_VALUE"""),"RP62A")</f>
        <v>RP62A</v>
      </c>
    </row>
    <row r="5283" ht="15.75" customHeight="1">
      <c r="A5283" t="str">
        <f t="shared" si="1"/>
        <v>S.epidermidis</v>
      </c>
      <c r="B5283" s="5" t="s">
        <v>32991</v>
      </c>
      <c r="C5283" s="6" t="str">
        <f>IFERROR(__xludf.DUMMYFUNCTION("SPLIT('2. c'!B5283, "" "", True, True)"),"Staphylococcus")</f>
        <v>Staphylococcus</v>
      </c>
      <c r="D5283" t="str">
        <f>IFERROR(__xludf.DUMMYFUNCTION("""COMPUTED_VALUE"""),"epidermidis")</f>
        <v>epidermidis</v>
      </c>
      <c r="E5283" t="str">
        <f>IFERROR(__xludf.DUMMYFUNCTION("""COMPUTED_VALUE"""),"SEI")</f>
        <v>SEI</v>
      </c>
    </row>
    <row r="5284" ht="15.75" customHeight="1">
      <c r="A5284" t="str">
        <f t="shared" si="1"/>
        <v>S.epidermidis</v>
      </c>
      <c r="B5284" s="5" t="s">
        <v>32992</v>
      </c>
      <c r="C5284" s="6" t="str">
        <f>IFERROR(__xludf.DUMMYFUNCTION("SPLIT('2. c'!B5284, "" "", True, True)"),"Staphylococcus")</f>
        <v>Staphylococcus</v>
      </c>
      <c r="D5284" t="str">
        <f>IFERROR(__xludf.DUMMYFUNCTION("""COMPUTED_VALUE"""),"epidermidis")</f>
        <v>epidermidis</v>
      </c>
      <c r="E5284" t="str">
        <f>IFERROR(__xludf.DUMMYFUNCTION("""COMPUTED_VALUE"""),"strain")</f>
        <v>strain</v>
      </c>
      <c r="F5284" t="str">
        <f>IFERROR(__xludf.DUMMYFUNCTION("""COMPUTED_VALUE"""),"BPH0662")</f>
        <v>BPH0662</v>
      </c>
    </row>
    <row r="5285" ht="15.75" customHeight="1">
      <c r="A5285" t="str">
        <f t="shared" si="1"/>
        <v>S.epidermidis</v>
      </c>
      <c r="B5285" s="5" t="s">
        <v>32993</v>
      </c>
      <c r="C5285" s="6" t="str">
        <f>IFERROR(__xludf.DUMMYFUNCTION("SPLIT('2. c'!B5285, "" "", True, True)"),"Staphylococcus")</f>
        <v>Staphylococcus</v>
      </c>
      <c r="D5285" t="str">
        <f>IFERROR(__xludf.DUMMYFUNCTION("""COMPUTED_VALUE"""),"epidermidis")</f>
        <v>epidermidis</v>
      </c>
      <c r="E5285" t="str">
        <f>IFERROR(__xludf.DUMMYFUNCTION("""COMPUTED_VALUE"""),"strain")</f>
        <v>strain</v>
      </c>
      <c r="F5285" t="str">
        <f>IFERROR(__xludf.DUMMYFUNCTION("""COMPUTED_VALUE"""),"Staphylococcous")</f>
        <v>Staphylococcous</v>
      </c>
      <c r="G5285" t="str">
        <f>IFERROR(__xludf.DUMMYFUNCTION("""COMPUTED_VALUE"""),"epidermidis")</f>
        <v>epidermidis</v>
      </c>
    </row>
    <row r="5286" ht="15.75" customHeight="1">
      <c r="A5286" t="str">
        <f t="shared" si="1"/>
        <v>S.equorum</v>
      </c>
      <c r="B5286" s="5" t="s">
        <v>32994</v>
      </c>
      <c r="C5286" s="6" t="str">
        <f>IFERROR(__xludf.DUMMYFUNCTION("SPLIT('2. c'!B5286, "" "", True, True)"),"Staphylococcus")</f>
        <v>Staphylococcus</v>
      </c>
      <c r="D5286" t="str">
        <f>IFERROR(__xludf.DUMMYFUNCTION("""COMPUTED_VALUE"""),"equorum")</f>
        <v>equorum</v>
      </c>
      <c r="E5286" t="str">
        <f>IFERROR(__xludf.DUMMYFUNCTION("""COMPUTED_VALUE"""),"strain")</f>
        <v>strain</v>
      </c>
      <c r="F5286" t="str">
        <f>IFERROR(__xludf.DUMMYFUNCTION("""COMPUTED_VALUE"""),"KS1039")</f>
        <v>KS1039</v>
      </c>
    </row>
    <row r="5287" ht="15.75" customHeight="1">
      <c r="A5287" t="str">
        <f t="shared" si="1"/>
        <v>S.haemolyticus</v>
      </c>
      <c r="B5287" s="5" t="s">
        <v>32995</v>
      </c>
      <c r="C5287" s="6" t="str">
        <f>IFERROR(__xludf.DUMMYFUNCTION("SPLIT('2. c'!B5287, "" "", True, True)"),"Staphylococcus")</f>
        <v>Staphylococcus</v>
      </c>
      <c r="D5287" t="str">
        <f>IFERROR(__xludf.DUMMYFUNCTION("""COMPUTED_VALUE"""),"haemolyticus")</f>
        <v>haemolyticus</v>
      </c>
      <c r="E5287" t="str">
        <f>IFERROR(__xludf.DUMMYFUNCTION("""COMPUTED_VALUE"""),"JCSC1435")</f>
        <v>JCSC1435</v>
      </c>
    </row>
    <row r="5288" ht="15.75" customHeight="1">
      <c r="A5288" t="str">
        <f t="shared" si="1"/>
        <v>S.haemolyticus</v>
      </c>
      <c r="B5288" s="5" t="s">
        <v>32996</v>
      </c>
      <c r="C5288" s="6" t="str">
        <f>IFERROR(__xludf.DUMMYFUNCTION("SPLIT('2. c'!B5288, "" "", True, True)"),"Staphylococcus")</f>
        <v>Staphylococcus</v>
      </c>
      <c r="D5288" t="str">
        <f>IFERROR(__xludf.DUMMYFUNCTION("""COMPUTED_VALUE"""),"haemolyticus")</f>
        <v>haemolyticus</v>
      </c>
      <c r="E5288" t="str">
        <f>IFERROR(__xludf.DUMMYFUNCTION("""COMPUTED_VALUE"""),"strain")</f>
        <v>strain</v>
      </c>
      <c r="F5288" t="str">
        <f>IFERROR(__xludf.DUMMYFUNCTION("""COMPUTED_VALUE"""),"S167")</f>
        <v>S167</v>
      </c>
    </row>
    <row r="5289" ht="15.75" customHeight="1">
      <c r="A5289" t="str">
        <f t="shared" si="1"/>
        <v>S.haemolyticus</v>
      </c>
      <c r="B5289" s="5" t="s">
        <v>32997</v>
      </c>
      <c r="C5289" s="6" t="str">
        <f>IFERROR(__xludf.DUMMYFUNCTION("SPLIT('2. c'!B5289, "" "", True, True)"),"Staphylococcus")</f>
        <v>Staphylococcus</v>
      </c>
      <c r="D5289" t="str">
        <f>IFERROR(__xludf.DUMMYFUNCTION("""COMPUTED_VALUE"""),"haemolyticus")</f>
        <v>haemolyticus</v>
      </c>
      <c r="E5289" t="str">
        <f>IFERROR(__xludf.DUMMYFUNCTION("""COMPUTED_VALUE"""),"strain")</f>
        <v>strain</v>
      </c>
      <c r="F5289" t="str">
        <f>IFERROR(__xludf.DUMMYFUNCTION("""COMPUTED_VALUE"""),"Sh29/312/L2")</f>
        <v>Sh29/312/L2</v>
      </c>
    </row>
    <row r="5290" ht="15.75" customHeight="1">
      <c r="A5290" t="str">
        <f t="shared" si="1"/>
        <v>S.hyicus</v>
      </c>
      <c r="B5290" s="5" t="s">
        <v>32998</v>
      </c>
      <c r="C5290" s="6" t="str">
        <f>IFERROR(__xludf.DUMMYFUNCTION("SPLIT('2. c'!B5290, "" "", True, True)"),"Staphylococcus")</f>
        <v>Staphylococcus</v>
      </c>
      <c r="D5290" t="str">
        <f>IFERROR(__xludf.DUMMYFUNCTION("""COMPUTED_VALUE"""),"hyicus")</f>
        <v>hyicus</v>
      </c>
      <c r="E5290" t="str">
        <f>IFERROR(__xludf.DUMMYFUNCTION("""COMPUTED_VALUE"""),"ATCC")</f>
        <v>ATCC</v>
      </c>
      <c r="F5290">
        <f>IFERROR(__xludf.DUMMYFUNCTION("""COMPUTED_VALUE"""),11249.0)</f>
        <v>11249</v>
      </c>
    </row>
    <row r="5291" ht="15.75" customHeight="1">
      <c r="A5291" t="str">
        <f t="shared" si="1"/>
        <v>S.lugdunensis</v>
      </c>
      <c r="B5291" s="5" t="s">
        <v>32999</v>
      </c>
      <c r="C5291" s="6" t="str">
        <f>IFERROR(__xludf.DUMMYFUNCTION("SPLIT('2. c'!B5291, "" "", True, True)"),"Staphylococcus")</f>
        <v>Staphylococcus</v>
      </c>
      <c r="D5291" t="str">
        <f>IFERROR(__xludf.DUMMYFUNCTION("""COMPUTED_VALUE"""),"lugdunensis")</f>
        <v>lugdunensis</v>
      </c>
      <c r="E5291" t="str">
        <f>IFERROR(__xludf.DUMMYFUNCTION("""COMPUTED_VALUE"""),"HKU09-01")</f>
        <v>HKU09-01</v>
      </c>
    </row>
    <row r="5292" ht="15.75" customHeight="1">
      <c r="A5292" t="str">
        <f t="shared" si="1"/>
        <v>S.lugdunensis</v>
      </c>
      <c r="B5292" s="5" t="s">
        <v>33000</v>
      </c>
      <c r="C5292" s="6" t="str">
        <f>IFERROR(__xludf.DUMMYFUNCTION("SPLIT('2. c'!B5292, "" "", True, True)"),"Staphylococcus")</f>
        <v>Staphylococcus</v>
      </c>
      <c r="D5292" t="str">
        <f>IFERROR(__xludf.DUMMYFUNCTION("""COMPUTED_VALUE"""),"lugdunensis")</f>
        <v>lugdunensis</v>
      </c>
      <c r="E5292" t="str">
        <f>IFERROR(__xludf.DUMMYFUNCTION("""COMPUTED_VALUE"""),"N920143")</f>
        <v>N920143</v>
      </c>
    </row>
    <row r="5293" ht="15.75" customHeight="1">
      <c r="A5293" t="str">
        <f t="shared" si="1"/>
        <v>S.lugdunensis</v>
      </c>
      <c r="B5293" s="5" t="s">
        <v>33001</v>
      </c>
      <c r="C5293" s="6" t="str">
        <f>IFERROR(__xludf.DUMMYFUNCTION("SPLIT('2. c'!B5293, "" "", True, True)"),"Staphylococcus")</f>
        <v>Staphylococcus</v>
      </c>
      <c r="D5293" t="str">
        <f>IFERROR(__xludf.DUMMYFUNCTION("""COMPUTED_VALUE"""),"lugdunensis")</f>
        <v>lugdunensis</v>
      </c>
      <c r="E5293" t="str">
        <f>IFERROR(__xludf.DUMMYFUNCTION("""COMPUTED_VALUE"""),"strain")</f>
        <v>strain</v>
      </c>
      <c r="F5293" t="str">
        <f>IFERROR(__xludf.DUMMYFUNCTION("""COMPUTED_VALUE"""),"FDAARGOS_141")</f>
        <v>FDAARGOS_141</v>
      </c>
    </row>
    <row r="5294" ht="15.75" customHeight="1">
      <c r="A5294" t="str">
        <f t="shared" si="1"/>
        <v>S.lugdunensis</v>
      </c>
      <c r="B5294" s="5" t="s">
        <v>33002</v>
      </c>
      <c r="C5294" s="6" t="str">
        <f>IFERROR(__xludf.DUMMYFUNCTION("SPLIT('2. c'!B5294, "" "", True, True)"),"Staphylococcus")</f>
        <v>Staphylococcus</v>
      </c>
      <c r="D5294" t="str">
        <f>IFERROR(__xludf.DUMMYFUNCTION("""COMPUTED_VALUE"""),"lugdunensis")</f>
        <v>lugdunensis</v>
      </c>
      <c r="E5294" t="str">
        <f>IFERROR(__xludf.DUMMYFUNCTION("""COMPUTED_VALUE"""),"strain")</f>
        <v>strain</v>
      </c>
      <c r="F5294" t="str">
        <f>IFERROR(__xludf.DUMMYFUNCTION("""COMPUTED_VALUE"""),"FDAARGOS_143")</f>
        <v>FDAARGOS_143</v>
      </c>
    </row>
    <row r="5295" ht="15.75" customHeight="1">
      <c r="A5295" t="str">
        <f t="shared" si="1"/>
        <v>S.pasteuri</v>
      </c>
      <c r="B5295" s="5" t="s">
        <v>33003</v>
      </c>
      <c r="C5295" s="6" t="str">
        <f>IFERROR(__xludf.DUMMYFUNCTION("SPLIT('2. c'!B5295, "" "", True, True)"),"Staphylococcus")</f>
        <v>Staphylococcus</v>
      </c>
      <c r="D5295" t="str">
        <f>IFERROR(__xludf.DUMMYFUNCTION("""COMPUTED_VALUE"""),"pasteuri")</f>
        <v>pasteuri</v>
      </c>
      <c r="E5295" t="str">
        <f>IFERROR(__xludf.DUMMYFUNCTION("""COMPUTED_VALUE"""),"SP1")</f>
        <v>SP1</v>
      </c>
    </row>
    <row r="5296" ht="15.75" customHeight="1">
      <c r="A5296" t="str">
        <f t="shared" si="1"/>
        <v>S.pseudintermedius</v>
      </c>
      <c r="B5296" s="5" t="s">
        <v>33004</v>
      </c>
      <c r="C5296" s="6" t="str">
        <f>IFERROR(__xludf.DUMMYFUNCTION("SPLIT('2. c'!B5296, "" "", True, True)"),"Staphylococcus")</f>
        <v>Staphylococcus</v>
      </c>
      <c r="D5296" t="str">
        <f>IFERROR(__xludf.DUMMYFUNCTION("""COMPUTED_VALUE"""),"pseudintermedius")</f>
        <v>pseudintermedius</v>
      </c>
      <c r="E5296" t="str">
        <f>IFERROR(__xludf.DUMMYFUNCTION("""COMPUTED_VALUE"""),"E140")</f>
        <v>E140</v>
      </c>
    </row>
    <row r="5297" ht="15.75" customHeight="1">
      <c r="A5297" t="str">
        <f t="shared" si="1"/>
        <v>S.pseudintermedius</v>
      </c>
      <c r="B5297" s="5" t="s">
        <v>33005</v>
      </c>
      <c r="C5297" s="6" t="str">
        <f>IFERROR(__xludf.DUMMYFUNCTION("SPLIT('2. c'!B5297, "" "", True, True)"),"Staphylococcus")</f>
        <v>Staphylococcus</v>
      </c>
      <c r="D5297" t="str">
        <f>IFERROR(__xludf.DUMMYFUNCTION("""COMPUTED_VALUE"""),"pseudintermedius")</f>
        <v>pseudintermedius</v>
      </c>
      <c r="E5297" t="str">
        <f>IFERROR(__xludf.DUMMYFUNCTION("""COMPUTED_VALUE"""),"ED99")</f>
        <v>ED99</v>
      </c>
    </row>
    <row r="5298" ht="15.75" customHeight="1">
      <c r="A5298" t="str">
        <f t="shared" si="1"/>
        <v>S.pseudintermedius</v>
      </c>
      <c r="B5298" s="5" t="s">
        <v>33006</v>
      </c>
      <c r="C5298" s="6" t="str">
        <f>IFERROR(__xludf.DUMMYFUNCTION("SPLIT('2. c'!B5298, "" "", True, True)"),"Staphylococcus")</f>
        <v>Staphylococcus</v>
      </c>
      <c r="D5298" t="str">
        <f>IFERROR(__xludf.DUMMYFUNCTION("""COMPUTED_VALUE"""),"pseudintermedius")</f>
        <v>pseudintermedius</v>
      </c>
      <c r="E5298" t="str">
        <f>IFERROR(__xludf.DUMMYFUNCTION("""COMPUTED_VALUE"""),"HKU10-03")</f>
        <v>HKU10-03</v>
      </c>
    </row>
    <row r="5299" ht="15.75" customHeight="1">
      <c r="A5299" t="str">
        <f t="shared" si="1"/>
        <v>S.saprophyticus</v>
      </c>
      <c r="B5299" s="5" t="s">
        <v>33007</v>
      </c>
      <c r="C5299" s="6" t="str">
        <f>IFERROR(__xludf.DUMMYFUNCTION("SPLIT('2. c'!B5299, "" "", True, True)"),"Staphylococcus")</f>
        <v>Staphylococcus</v>
      </c>
      <c r="D5299" t="str">
        <f>IFERROR(__xludf.DUMMYFUNCTION("""COMPUTED_VALUE"""),"saprophyticus")</f>
        <v>saprophyticus</v>
      </c>
      <c r="E5299" t="str">
        <f>IFERROR(__xludf.DUMMYFUNCTION("""COMPUTED_VALUE"""),"strain")</f>
        <v>strain</v>
      </c>
      <c r="F5299" t="str">
        <f>IFERROR(__xludf.DUMMYFUNCTION("""COMPUTED_VALUE"""),"FDAARGOS_137")</f>
        <v>FDAARGOS_137</v>
      </c>
    </row>
    <row r="5300" ht="15.75" customHeight="1">
      <c r="A5300" t="str">
        <f t="shared" si="1"/>
        <v>S.saprophyticus</v>
      </c>
      <c r="B5300" s="5" t="s">
        <v>33008</v>
      </c>
      <c r="C5300" s="6" t="str">
        <f>IFERROR(__xludf.DUMMYFUNCTION("SPLIT('2. c'!B5300, "" "", True, True)"),"Staphylococcus")</f>
        <v>Staphylococcus</v>
      </c>
      <c r="D5300" t="str">
        <f>IFERROR(__xludf.DUMMYFUNCTION("""COMPUTED_VALUE"""),"saprophyticus")</f>
        <v>saprophyticus</v>
      </c>
      <c r="E5300" t="str">
        <f>IFERROR(__xludf.DUMMYFUNCTION("""COMPUTED_VALUE"""),"strain")</f>
        <v>strain</v>
      </c>
      <c r="F5300" t="str">
        <f>IFERROR(__xludf.DUMMYFUNCTION("""COMPUTED_VALUE"""),"FDAARGOS_168")</f>
        <v>FDAARGOS_168</v>
      </c>
    </row>
    <row r="5301" ht="15.75" customHeight="1">
      <c r="A5301" t="str">
        <f t="shared" si="1"/>
        <v>S.saprophyticus</v>
      </c>
      <c r="B5301" s="5" t="s">
        <v>33009</v>
      </c>
      <c r="C5301" s="6" t="str">
        <f>IFERROR(__xludf.DUMMYFUNCTION("SPLIT('2. c'!B5301, "" "", True, True)"),"Staphylococcus")</f>
        <v>Staphylococcus</v>
      </c>
      <c r="D5301" t="str">
        <f>IFERROR(__xludf.DUMMYFUNCTION("""COMPUTED_VALUE"""),"saprophyticus")</f>
        <v>saprophyticus</v>
      </c>
      <c r="E5301" t="str">
        <f>IFERROR(__xludf.DUMMYFUNCTION("""COMPUTED_VALUE"""),"subsp.")</f>
        <v>subsp.</v>
      </c>
      <c r="F5301" t="str">
        <f>IFERROR(__xludf.DUMMYFUNCTION("""COMPUTED_VALUE"""),"saprophyticus")</f>
        <v>saprophyticus</v>
      </c>
      <c r="G5301" t="str">
        <f>IFERROR(__xludf.DUMMYFUNCTION("""COMPUTED_VALUE"""),"ATCC")</f>
        <v>ATCC</v>
      </c>
      <c r="H5301">
        <f>IFERROR(__xludf.DUMMYFUNCTION("""COMPUTED_VALUE"""),15305.0)</f>
        <v>15305</v>
      </c>
    </row>
    <row r="5302" ht="15.75" customHeight="1">
      <c r="A5302" t="str">
        <f t="shared" si="1"/>
        <v>S.schleiferi</v>
      </c>
      <c r="B5302" s="5" t="s">
        <v>33010</v>
      </c>
      <c r="C5302" s="6" t="str">
        <f>IFERROR(__xludf.DUMMYFUNCTION("SPLIT('2. c'!B5302, "" "", True, True)"),"Staphylococcus")</f>
        <v>Staphylococcus</v>
      </c>
      <c r="D5302" t="str">
        <f>IFERROR(__xludf.DUMMYFUNCTION("""COMPUTED_VALUE"""),"schleiferi")</f>
        <v>schleiferi</v>
      </c>
      <c r="E5302" t="str">
        <f>IFERROR(__xludf.DUMMYFUNCTION("""COMPUTED_VALUE"""),"strain")</f>
        <v>strain</v>
      </c>
      <c r="F5302" t="str">
        <f>IFERROR(__xludf.DUMMYFUNCTION("""COMPUTED_VALUE"""),"1360-13")</f>
        <v>1360-13</v>
      </c>
    </row>
    <row r="5303" ht="15.75" customHeight="1">
      <c r="A5303" t="str">
        <f t="shared" si="1"/>
        <v>S.schleiferi</v>
      </c>
      <c r="B5303" s="5" t="s">
        <v>33011</v>
      </c>
      <c r="C5303" s="6" t="str">
        <f>IFERROR(__xludf.DUMMYFUNCTION("SPLIT('2. c'!B5303, "" "", True, True)"),"Staphylococcus")</f>
        <v>Staphylococcus</v>
      </c>
      <c r="D5303" t="str">
        <f>IFERROR(__xludf.DUMMYFUNCTION("""COMPUTED_VALUE"""),"schleiferi")</f>
        <v>schleiferi</v>
      </c>
      <c r="E5303" t="str">
        <f>IFERROR(__xludf.DUMMYFUNCTION("""COMPUTED_VALUE"""),"strain")</f>
        <v>strain</v>
      </c>
      <c r="F5303" s="11">
        <f>IFERROR(__xludf.DUMMYFUNCTION("""COMPUTED_VALUE"""),88511.0)</f>
        <v>88511</v>
      </c>
    </row>
    <row r="5304" ht="15.75" customHeight="1">
      <c r="A5304" t="str">
        <f t="shared" si="1"/>
        <v>S.schleiferi</v>
      </c>
      <c r="B5304" s="5" t="s">
        <v>33012</v>
      </c>
      <c r="C5304" s="6" t="str">
        <f>IFERROR(__xludf.DUMMYFUNCTION("SPLIT('2. c'!B5304, "" "", True, True)"),"Staphylococcus")</f>
        <v>Staphylococcus</v>
      </c>
      <c r="D5304" t="str">
        <f>IFERROR(__xludf.DUMMYFUNCTION("""COMPUTED_VALUE"""),"schleiferi")</f>
        <v>schleiferi</v>
      </c>
      <c r="E5304" t="str">
        <f>IFERROR(__xludf.DUMMYFUNCTION("""COMPUTED_VALUE"""),"strain")</f>
        <v>strain</v>
      </c>
      <c r="F5304" s="11">
        <f>IFERROR(__xludf.DUMMYFUNCTION("""COMPUTED_VALUE"""),152367.0)</f>
        <v>152367</v>
      </c>
    </row>
    <row r="5305" ht="15.75" customHeight="1">
      <c r="A5305" t="str">
        <f t="shared" si="1"/>
        <v>S.schleiferi</v>
      </c>
      <c r="B5305" s="5" t="s">
        <v>33013</v>
      </c>
      <c r="C5305" s="6" t="str">
        <f>IFERROR(__xludf.DUMMYFUNCTION("SPLIT('2. c'!B5305, "" "", True, True)"),"Staphylococcus")</f>
        <v>Staphylococcus</v>
      </c>
      <c r="D5305" t="str">
        <f>IFERROR(__xludf.DUMMYFUNCTION("""COMPUTED_VALUE"""),"schleiferi")</f>
        <v>schleiferi</v>
      </c>
      <c r="E5305" t="str">
        <f>IFERROR(__xludf.DUMMYFUNCTION("""COMPUTED_VALUE"""),"strain")</f>
        <v>strain</v>
      </c>
      <c r="F5305" s="11">
        <f>IFERROR(__xludf.DUMMYFUNCTION("""COMPUTED_VALUE"""),1464290.0)</f>
        <v>1464290</v>
      </c>
    </row>
    <row r="5306" ht="15.75" customHeight="1">
      <c r="A5306" t="str">
        <f t="shared" si="1"/>
        <v>S.schleiferi</v>
      </c>
      <c r="B5306" s="5" t="s">
        <v>33014</v>
      </c>
      <c r="C5306" s="6" t="str">
        <f>IFERROR(__xludf.DUMMYFUNCTION("SPLIT('2. c'!B5306, "" "", True, True)"),"Staphylococcus")</f>
        <v>Staphylococcus</v>
      </c>
      <c r="D5306" t="str">
        <f>IFERROR(__xludf.DUMMYFUNCTION("""COMPUTED_VALUE"""),"schleiferi")</f>
        <v>schleiferi</v>
      </c>
      <c r="E5306" t="str">
        <f>IFERROR(__xludf.DUMMYFUNCTION("""COMPUTED_VALUE"""),"strain")</f>
        <v>strain</v>
      </c>
      <c r="F5306" t="str">
        <f>IFERROR(__xludf.DUMMYFUNCTION("""COMPUTED_VALUE"""),"TSCC54")</f>
        <v>TSCC54</v>
      </c>
    </row>
    <row r="5307" ht="15.75" customHeight="1">
      <c r="A5307" t="str">
        <f t="shared" si="1"/>
        <v>S.simulans</v>
      </c>
      <c r="B5307" s="5" t="s">
        <v>33015</v>
      </c>
      <c r="C5307" s="6" t="str">
        <f>IFERROR(__xludf.DUMMYFUNCTION("SPLIT('2. c'!B5307, "" "", True, True)"),"Staphylococcus")</f>
        <v>Staphylococcus</v>
      </c>
      <c r="D5307" t="str">
        <f>IFERROR(__xludf.DUMMYFUNCTION("""COMPUTED_VALUE"""),"simulans")</f>
        <v>simulans</v>
      </c>
      <c r="E5307" t="str">
        <f>IFERROR(__xludf.DUMMYFUNCTION("""COMPUTED_VALUE"""),"strain")</f>
        <v>strain</v>
      </c>
      <c r="F5307" t="str">
        <f>IFERROR(__xludf.DUMMYFUNCTION("""COMPUTED_VALUE"""),"FDAARGOS_124")</f>
        <v>FDAARGOS_124</v>
      </c>
    </row>
    <row r="5308" ht="15.75" customHeight="1">
      <c r="A5308" t="str">
        <f t="shared" si="1"/>
        <v>S.sp.</v>
      </c>
      <c r="B5308" s="5" t="s">
        <v>33016</v>
      </c>
      <c r="C5308" s="6" t="str">
        <f>IFERROR(__xludf.DUMMYFUNCTION("SPLIT('2. c'!B5308, "" "", True, True)"),"Staphylococcus")</f>
        <v>Staphylococcus</v>
      </c>
      <c r="D5308" t="str">
        <f>IFERROR(__xludf.DUMMYFUNCTION("""COMPUTED_VALUE"""),"sp.")</f>
        <v>sp.</v>
      </c>
      <c r="E5308" t="str">
        <f>IFERROR(__xludf.DUMMYFUNCTION("""COMPUTED_VALUE"""),"AntiMn-1")</f>
        <v>AntiMn-1</v>
      </c>
    </row>
    <row r="5309" ht="15.75" customHeight="1">
      <c r="A5309" t="str">
        <f t="shared" si="1"/>
        <v>S.warneri</v>
      </c>
      <c r="B5309" s="5" t="s">
        <v>33017</v>
      </c>
      <c r="C5309" s="6" t="str">
        <f>IFERROR(__xludf.DUMMYFUNCTION("SPLIT('2. c'!B5309, "" "", True, True)"),"Staphylococcus")</f>
        <v>Staphylococcus</v>
      </c>
      <c r="D5309" t="str">
        <f>IFERROR(__xludf.DUMMYFUNCTION("""COMPUTED_VALUE"""),"warneri")</f>
        <v>warneri</v>
      </c>
      <c r="E5309" t="str">
        <f>IFERROR(__xludf.DUMMYFUNCTION("""COMPUTED_VALUE"""),"SG1")</f>
        <v>SG1</v>
      </c>
    </row>
    <row r="5310" ht="15.75" customHeight="1">
      <c r="A5310" t="str">
        <f t="shared" si="1"/>
        <v>S.xylosus</v>
      </c>
      <c r="B5310" s="5" t="s">
        <v>33018</v>
      </c>
      <c r="C5310" s="6" t="str">
        <f>IFERROR(__xludf.DUMMYFUNCTION("SPLIT('2. c'!B5310, "" "", True, True)"),"Staphylococcus")</f>
        <v>Staphylococcus</v>
      </c>
      <c r="D5310" t="str">
        <f>IFERROR(__xludf.DUMMYFUNCTION("""COMPUTED_VALUE"""),"xylosus")</f>
        <v>xylosus</v>
      </c>
      <c r="E5310" t="str">
        <f>IFERROR(__xludf.DUMMYFUNCTION("""COMPUTED_VALUE"""),"strain")</f>
        <v>strain</v>
      </c>
      <c r="F5310" t="str">
        <f>IFERROR(__xludf.DUMMYFUNCTION("""COMPUTED_VALUE"""),"C2a")</f>
        <v>C2a</v>
      </c>
    </row>
    <row r="5311" ht="15.75" customHeight="1">
      <c r="A5311" t="str">
        <f t="shared" si="1"/>
        <v>S.xylosus</v>
      </c>
      <c r="B5311" s="5" t="s">
        <v>33019</v>
      </c>
      <c r="C5311" s="6" t="str">
        <f>IFERROR(__xludf.DUMMYFUNCTION("SPLIT('2. c'!B5311, "" "", True, True)"),"Staphylococcus")</f>
        <v>Staphylococcus</v>
      </c>
      <c r="D5311" t="str">
        <f>IFERROR(__xludf.DUMMYFUNCTION("""COMPUTED_VALUE"""),"xylosus")</f>
        <v>xylosus</v>
      </c>
      <c r="E5311" t="str">
        <f>IFERROR(__xludf.DUMMYFUNCTION("""COMPUTED_VALUE"""),"strain")</f>
        <v>strain</v>
      </c>
      <c r="F5311" t="str">
        <f>IFERROR(__xludf.DUMMYFUNCTION("""COMPUTED_VALUE"""),"HKUOPL8")</f>
        <v>HKUOPL8</v>
      </c>
    </row>
    <row r="5312" ht="15.75" customHeight="1">
      <c r="A5312" t="str">
        <f t="shared" si="1"/>
        <v>S.xylosus</v>
      </c>
      <c r="B5312" s="5" t="s">
        <v>33020</v>
      </c>
      <c r="C5312" s="6" t="str">
        <f>IFERROR(__xludf.DUMMYFUNCTION("SPLIT('2. c'!B5312, "" "", True, True)"),"Staphylococcus")</f>
        <v>Staphylococcus</v>
      </c>
      <c r="D5312" t="str">
        <f>IFERROR(__xludf.DUMMYFUNCTION("""COMPUTED_VALUE"""),"xylosus")</f>
        <v>xylosus</v>
      </c>
      <c r="E5312" t="str">
        <f>IFERROR(__xludf.DUMMYFUNCTION("""COMPUTED_VALUE"""),"strain")</f>
        <v>strain</v>
      </c>
      <c r="F5312" t="str">
        <f>IFERROR(__xludf.DUMMYFUNCTION("""COMPUTED_VALUE"""),"SMQ121")</f>
        <v>SMQ121</v>
      </c>
    </row>
    <row r="5313" ht="15.75" customHeight="1">
      <c r="A5313" t="str">
        <f t="shared" si="1"/>
        <v>S.hellenicus</v>
      </c>
      <c r="B5313" s="5" t="s">
        <v>33021</v>
      </c>
      <c r="C5313" s="6" t="str">
        <f>IFERROR(__xludf.DUMMYFUNCTION("SPLIT('2. c'!B5313, "" "", True, True)"),"Staphylothermus")</f>
        <v>Staphylothermus</v>
      </c>
      <c r="D5313" t="str">
        <f>IFERROR(__xludf.DUMMYFUNCTION("""COMPUTED_VALUE"""),"hellenicus")</f>
        <v>hellenicus</v>
      </c>
      <c r="E5313" t="str">
        <f>IFERROR(__xludf.DUMMYFUNCTION("""COMPUTED_VALUE"""),"DSM")</f>
        <v>DSM</v>
      </c>
      <c r="F5313">
        <f>IFERROR(__xludf.DUMMYFUNCTION("""COMPUTED_VALUE"""),12710.0)</f>
        <v>12710</v>
      </c>
    </row>
    <row r="5314" ht="15.75" customHeight="1">
      <c r="A5314" t="str">
        <f t="shared" si="1"/>
        <v>S.marinus</v>
      </c>
      <c r="B5314" s="5" t="s">
        <v>33022</v>
      </c>
      <c r="C5314" s="6" t="str">
        <f>IFERROR(__xludf.DUMMYFUNCTION("SPLIT('2. c'!B5314, "" "", True, True)"),"Staphylothermus")</f>
        <v>Staphylothermus</v>
      </c>
      <c r="D5314" t="str">
        <f>IFERROR(__xludf.DUMMYFUNCTION("""COMPUTED_VALUE"""),"marinus")</f>
        <v>marinus</v>
      </c>
      <c r="E5314" t="str">
        <f>IFERROR(__xludf.DUMMYFUNCTION("""COMPUTED_VALUE"""),"F1")</f>
        <v>F1</v>
      </c>
    </row>
    <row r="5315" ht="15.75" customHeight="1">
      <c r="A5315" t="str">
        <f t="shared" si="1"/>
        <v>S.novella</v>
      </c>
      <c r="B5315" s="5" t="s">
        <v>33023</v>
      </c>
      <c r="C5315" s="6" t="str">
        <f>IFERROR(__xludf.DUMMYFUNCTION("SPLIT('2. c'!B5315, "" "", True, True)"),"Starkeya")</f>
        <v>Starkeya</v>
      </c>
      <c r="D5315" t="str">
        <f>IFERROR(__xludf.DUMMYFUNCTION("""COMPUTED_VALUE"""),"novella")</f>
        <v>novella</v>
      </c>
      <c r="E5315" t="str">
        <f>IFERROR(__xludf.DUMMYFUNCTION("""COMPUTED_VALUE"""),"DSM")</f>
        <v>DSM</v>
      </c>
      <c r="F5315">
        <f>IFERROR(__xludf.DUMMYFUNCTION("""COMPUTED_VALUE"""),506.0)</f>
        <v>506</v>
      </c>
    </row>
    <row r="5316" ht="15.75" customHeight="1">
      <c r="A5316" t="str">
        <f t="shared" si="1"/>
        <v>S.acidaminiphila</v>
      </c>
      <c r="B5316" s="5" t="s">
        <v>33024</v>
      </c>
      <c r="C5316" s="6" t="str">
        <f>IFERROR(__xludf.DUMMYFUNCTION("SPLIT('2. c'!B5316, "" "", True, True)"),"Stenotrophomonas")</f>
        <v>Stenotrophomonas</v>
      </c>
      <c r="D5316" t="str">
        <f>IFERROR(__xludf.DUMMYFUNCTION("""COMPUTED_VALUE"""),"acidaminiphila")</f>
        <v>acidaminiphila</v>
      </c>
      <c r="E5316" t="str">
        <f>IFERROR(__xludf.DUMMYFUNCTION("""COMPUTED_VALUE"""),"strain")</f>
        <v>strain</v>
      </c>
      <c r="F5316" t="str">
        <f>IFERROR(__xludf.DUMMYFUNCTION("""COMPUTED_VALUE"""),"ZAC14D2_NAIMI4_2")</f>
        <v>ZAC14D2_NAIMI4_2</v>
      </c>
    </row>
    <row r="5317" ht="15.75" customHeight="1">
      <c r="A5317" t="str">
        <f t="shared" si="1"/>
        <v>S.maltophilia</v>
      </c>
      <c r="B5317" s="5" t="s">
        <v>33025</v>
      </c>
      <c r="C5317" s="6" t="str">
        <f>IFERROR(__xludf.DUMMYFUNCTION("SPLIT('2. c'!B5317, "" "", True, True)"),"Stenotrophomonas")</f>
        <v>Stenotrophomonas</v>
      </c>
      <c r="D5317" t="str">
        <f>IFERROR(__xludf.DUMMYFUNCTION("""COMPUTED_VALUE"""),"maltophilia")</f>
        <v>maltophilia</v>
      </c>
      <c r="E5317" t="str">
        <f>IFERROR(__xludf.DUMMYFUNCTION("""COMPUTED_VALUE"""),"D457")</f>
        <v>D457</v>
      </c>
    </row>
    <row r="5318" ht="15.75" customHeight="1">
      <c r="A5318" t="str">
        <f t="shared" si="1"/>
        <v>S.maltophilia</v>
      </c>
      <c r="B5318" s="5" t="s">
        <v>33026</v>
      </c>
      <c r="C5318" s="6" t="str">
        <f>IFERROR(__xludf.DUMMYFUNCTION("SPLIT('2. c'!B5318, "" "", True, True)"),"Stenotrophomonas")</f>
        <v>Stenotrophomonas</v>
      </c>
      <c r="D5318" t="str">
        <f>IFERROR(__xludf.DUMMYFUNCTION("""COMPUTED_VALUE"""),"maltophilia")</f>
        <v>maltophilia</v>
      </c>
      <c r="E5318" t="str">
        <f>IFERROR(__xludf.DUMMYFUNCTION("""COMPUTED_VALUE"""),"JV3")</f>
        <v>JV3</v>
      </c>
    </row>
    <row r="5319" ht="15.75" customHeight="1">
      <c r="A5319" t="str">
        <f t="shared" si="1"/>
        <v>S.maltophilia</v>
      </c>
      <c r="B5319" s="5" t="s">
        <v>33027</v>
      </c>
      <c r="C5319" s="6" t="str">
        <f>IFERROR(__xludf.DUMMYFUNCTION("SPLIT('2. c'!B5319, "" "", True, True)"),"Stenotrophomonas")</f>
        <v>Stenotrophomonas</v>
      </c>
      <c r="D5319" t="str">
        <f>IFERROR(__xludf.DUMMYFUNCTION("""COMPUTED_VALUE"""),"maltophilia")</f>
        <v>maltophilia</v>
      </c>
      <c r="E5319" t="str">
        <f>IFERROR(__xludf.DUMMYFUNCTION("""COMPUTED_VALUE"""),"K279a")</f>
        <v>K279a</v>
      </c>
    </row>
    <row r="5320" ht="15.75" customHeight="1">
      <c r="A5320" t="str">
        <f t="shared" si="1"/>
        <v>S.maltophilia</v>
      </c>
      <c r="B5320" s="5" t="s">
        <v>33028</v>
      </c>
      <c r="C5320" s="6" t="str">
        <f>IFERROR(__xludf.DUMMYFUNCTION("SPLIT('2. c'!B5320, "" "", True, True)"),"Stenotrophomonas")</f>
        <v>Stenotrophomonas</v>
      </c>
      <c r="D5320" t="str">
        <f>IFERROR(__xludf.DUMMYFUNCTION("""COMPUTED_VALUE"""),"maltophilia")</f>
        <v>maltophilia</v>
      </c>
      <c r="E5320" t="str">
        <f>IFERROR(__xludf.DUMMYFUNCTION("""COMPUTED_VALUE"""),"R551-3")</f>
        <v>R551-3</v>
      </c>
    </row>
    <row r="5321" ht="15.75" customHeight="1">
      <c r="A5321" t="str">
        <f t="shared" si="1"/>
        <v>S.maltophilia</v>
      </c>
      <c r="B5321" s="5" t="s">
        <v>33029</v>
      </c>
      <c r="C5321" s="6" t="str">
        <f>IFERROR(__xludf.DUMMYFUNCTION("SPLIT('2. c'!B5321, "" "", True, True)"),"Stenotrophomonas")</f>
        <v>Stenotrophomonas</v>
      </c>
      <c r="D5321" t="str">
        <f>IFERROR(__xludf.DUMMYFUNCTION("""COMPUTED_VALUE"""),"maltophilia")</f>
        <v>maltophilia</v>
      </c>
      <c r="E5321" t="str">
        <f>IFERROR(__xludf.DUMMYFUNCTION("""COMPUTED_VALUE"""),"strain")</f>
        <v>strain</v>
      </c>
      <c r="F5321">
        <f>IFERROR(__xludf.DUMMYFUNCTION("""COMPUTED_VALUE"""),13637.0)</f>
        <v>13637</v>
      </c>
    </row>
    <row r="5322" ht="15.75" customHeight="1">
      <c r="A5322" t="str">
        <f t="shared" si="1"/>
        <v>S.maltophilia</v>
      </c>
      <c r="B5322" s="5" t="s">
        <v>33030</v>
      </c>
      <c r="C5322" s="6" t="str">
        <f>IFERROR(__xludf.DUMMYFUNCTION("SPLIT('2. c'!B5322, "" "", True, True)"),"Stenotrophomonas")</f>
        <v>Stenotrophomonas</v>
      </c>
      <c r="D5322" t="str">
        <f>IFERROR(__xludf.DUMMYFUNCTION("""COMPUTED_VALUE"""),"maltophilia")</f>
        <v>maltophilia</v>
      </c>
      <c r="E5322" t="str">
        <f>IFERROR(__xludf.DUMMYFUNCTION("""COMPUTED_VALUE"""),"strain")</f>
        <v>strain</v>
      </c>
      <c r="F5322" t="str">
        <f>IFERROR(__xludf.DUMMYFUNCTION("""COMPUTED_VALUE"""),"ISMMS2R")</f>
        <v>ISMMS2R</v>
      </c>
    </row>
    <row r="5323" ht="15.75" customHeight="1">
      <c r="A5323" t="str">
        <f t="shared" si="1"/>
        <v>S.maltophilia</v>
      </c>
      <c r="B5323" s="5" t="s">
        <v>33030</v>
      </c>
      <c r="C5323" s="6" t="str">
        <f>IFERROR(__xludf.DUMMYFUNCTION("SPLIT('2. c'!B5323, "" "", True, True)"),"Stenotrophomonas")</f>
        <v>Stenotrophomonas</v>
      </c>
      <c r="D5323" t="str">
        <f>IFERROR(__xludf.DUMMYFUNCTION("""COMPUTED_VALUE"""),"maltophilia")</f>
        <v>maltophilia</v>
      </c>
      <c r="E5323" t="str">
        <f>IFERROR(__xludf.DUMMYFUNCTION("""COMPUTED_VALUE"""),"strain")</f>
        <v>strain</v>
      </c>
      <c r="F5323" t="str">
        <f>IFERROR(__xludf.DUMMYFUNCTION("""COMPUTED_VALUE"""),"ISMMS2R")</f>
        <v>ISMMS2R</v>
      </c>
    </row>
    <row r="5324" ht="15.75" customHeight="1">
      <c r="A5324" t="str">
        <f t="shared" si="1"/>
        <v>S.maltophilia</v>
      </c>
      <c r="B5324" s="5" t="s">
        <v>33031</v>
      </c>
      <c r="C5324" s="6" t="str">
        <f>IFERROR(__xludf.DUMMYFUNCTION("SPLIT('2. c'!B5324, "" "", True, True)"),"Stenotrophomonas")</f>
        <v>Stenotrophomonas</v>
      </c>
      <c r="D5324" t="str">
        <f>IFERROR(__xludf.DUMMYFUNCTION("""COMPUTED_VALUE"""),"maltophilia")</f>
        <v>maltophilia</v>
      </c>
      <c r="E5324" t="str">
        <f>IFERROR(__xludf.DUMMYFUNCTION("""COMPUTED_VALUE"""),"strain")</f>
        <v>strain</v>
      </c>
      <c r="F5324" t="str">
        <f>IFERROR(__xludf.DUMMYFUNCTION("""COMPUTED_VALUE"""),"ISMMS3")</f>
        <v>ISMMS3</v>
      </c>
    </row>
    <row r="5325" ht="15.75" customHeight="1">
      <c r="A5325" t="str">
        <f t="shared" si="1"/>
        <v>S.rhizophila</v>
      </c>
      <c r="B5325" s="5" t="s">
        <v>33032</v>
      </c>
      <c r="C5325" s="6" t="str">
        <f>IFERROR(__xludf.DUMMYFUNCTION("SPLIT('2. c'!B5325, "" "", True, True)"),"Stenotrophomonas")</f>
        <v>Stenotrophomonas</v>
      </c>
      <c r="D5325" t="str">
        <f>IFERROR(__xludf.DUMMYFUNCTION("""COMPUTED_VALUE"""),"rhizophila")</f>
        <v>rhizophila</v>
      </c>
      <c r="E5325" t="str">
        <f>IFERROR(__xludf.DUMMYFUNCTION("""COMPUTED_VALUE"""),"strain")</f>
        <v>strain</v>
      </c>
      <c r="F5325" t="str">
        <f>IFERROR(__xludf.DUMMYFUNCTION("""COMPUTED_VALUE"""),"DSM")</f>
        <v>DSM</v>
      </c>
      <c r="G5325">
        <f>IFERROR(__xludf.DUMMYFUNCTION("""COMPUTED_VALUE"""),14405.0)</f>
        <v>14405</v>
      </c>
    </row>
    <row r="5326" ht="15.75" customHeight="1">
      <c r="A5326" t="str">
        <f t="shared" si="1"/>
        <v>S.sp.</v>
      </c>
      <c r="B5326" s="5" t="s">
        <v>33033</v>
      </c>
      <c r="C5326" s="6" t="str">
        <f>IFERROR(__xludf.DUMMYFUNCTION("SPLIT('2. c'!B5326, "" "", True, True)"),"Stenotrophomonas")</f>
        <v>Stenotrophomonas</v>
      </c>
      <c r="D5326" t="str">
        <f>IFERROR(__xludf.DUMMYFUNCTION("""COMPUTED_VALUE"""),"sp.")</f>
        <v>sp.</v>
      </c>
      <c r="E5326" t="str">
        <f>IFERROR(__xludf.DUMMYFUNCTION("""COMPUTED_VALUE"""),"YM1")</f>
        <v>YM1</v>
      </c>
    </row>
    <row r="5327" ht="15.75" customHeight="1">
      <c r="A5327" t="str">
        <f t="shared" si="1"/>
        <v>S.denitrificans</v>
      </c>
      <c r="B5327" s="5" t="s">
        <v>33034</v>
      </c>
      <c r="C5327" s="6" t="str">
        <f>IFERROR(__xludf.DUMMYFUNCTION("SPLIT('2. c'!B5327, "" "", True, True)"),"Steroidobacter")</f>
        <v>Steroidobacter</v>
      </c>
      <c r="D5327" t="str">
        <f>IFERROR(__xludf.DUMMYFUNCTION("""COMPUTED_VALUE"""),"denitrificans")</f>
        <v>denitrificans</v>
      </c>
      <c r="E5327" t="str">
        <f>IFERROR(__xludf.DUMMYFUNCTION("""COMPUTED_VALUE"""),"strain")</f>
        <v>strain</v>
      </c>
      <c r="F5327" t="str">
        <f>IFERROR(__xludf.DUMMYFUNCTION("""COMPUTED_VALUE"""),"DSM")</f>
        <v>DSM</v>
      </c>
      <c r="G5327">
        <f>IFERROR(__xludf.DUMMYFUNCTION("""COMPUTED_VALUE"""),18526.0)</f>
        <v>18526</v>
      </c>
    </row>
    <row r="5328" ht="15.75" customHeight="1">
      <c r="A5328" t="str">
        <f t="shared" si="1"/>
        <v>S.aurantiaca</v>
      </c>
      <c r="B5328" s="5" t="s">
        <v>33035</v>
      </c>
      <c r="C5328" s="6" t="str">
        <f>IFERROR(__xludf.DUMMYFUNCTION("SPLIT('2. c'!B5328, "" "", True, True)"),"Stigmatella")</f>
        <v>Stigmatella</v>
      </c>
      <c r="D5328" t="str">
        <f>IFERROR(__xludf.DUMMYFUNCTION("""COMPUTED_VALUE"""),"aurantiaca")</f>
        <v>aurantiaca</v>
      </c>
      <c r="E5328" t="str">
        <f>IFERROR(__xludf.DUMMYFUNCTION("""COMPUTED_VALUE"""),"DW4/3-1")</f>
        <v>DW4/3-1</v>
      </c>
      <c r="F5328" t="str">
        <f>IFERROR(__xludf.DUMMYFUNCTION("""COMPUTED_VALUE"""),"(Prj:54333)")</f>
        <v>(Prj:54333)</v>
      </c>
    </row>
    <row r="5329" ht="15.75" customHeight="1">
      <c r="A5329" t="str">
        <f t="shared" si="1"/>
        <v>S.lethal</v>
      </c>
      <c r="B5329" s="5" t="s">
        <v>33036</v>
      </c>
      <c r="C5329" s="6" t="str">
        <f>IFERROR(__xludf.DUMMYFUNCTION("SPLIT('2. c'!B5329, "" "", True, True)"),"Strawberry")</f>
        <v>Strawberry</v>
      </c>
      <c r="D5329" t="str">
        <f>IFERROR(__xludf.DUMMYFUNCTION("""COMPUTED_VALUE"""),"lethal")</f>
        <v>lethal</v>
      </c>
      <c r="E5329" t="str">
        <f>IFERROR(__xludf.DUMMYFUNCTION("""COMPUTED_VALUE"""),"yellows")</f>
        <v>yellows</v>
      </c>
      <c r="F5329" t="str">
        <f>IFERROR(__xludf.DUMMYFUNCTION("""COMPUTED_VALUE"""),"phytoplasma")</f>
        <v>phytoplasma</v>
      </c>
      <c r="G5329" t="str">
        <f>IFERROR(__xludf.DUMMYFUNCTION("""COMPUTED_VALUE"""),"(CPA)")</f>
        <v>(CPA)</v>
      </c>
      <c r="H5329" t="str">
        <f>IFERROR(__xludf.DUMMYFUNCTION("""COMPUTED_VALUE"""),"str.")</f>
        <v>str.</v>
      </c>
      <c r="I5329" t="str">
        <f>IFERROR(__xludf.DUMMYFUNCTION("""COMPUTED_VALUE"""),"NZSb11")</f>
        <v>NZSb11</v>
      </c>
    </row>
    <row r="5330" ht="15.75" customHeight="1">
      <c r="A5330" t="str">
        <f t="shared" si="1"/>
        <v>S.moniliformis</v>
      </c>
      <c r="B5330" s="5" t="s">
        <v>33037</v>
      </c>
      <c r="C5330" s="6" t="str">
        <f>IFERROR(__xludf.DUMMYFUNCTION("SPLIT('2. c'!B5330, "" "", True, True)"),"Streptobacillus")</f>
        <v>Streptobacillus</v>
      </c>
      <c r="D5330" t="str">
        <f>IFERROR(__xludf.DUMMYFUNCTION("""COMPUTED_VALUE"""),"moniliformis")</f>
        <v>moniliformis</v>
      </c>
      <c r="E5330" t="str">
        <f>IFERROR(__xludf.DUMMYFUNCTION("""COMPUTED_VALUE"""),"DSM")</f>
        <v>DSM</v>
      </c>
      <c r="F5330">
        <f>IFERROR(__xludf.DUMMYFUNCTION("""COMPUTED_VALUE"""),12112.0)</f>
        <v>12112</v>
      </c>
    </row>
    <row r="5331" ht="15.75" customHeight="1">
      <c r="A5331" t="str">
        <f t="shared" si="1"/>
        <v>S.agalactiae</v>
      </c>
      <c r="B5331" s="5" t="s">
        <v>33038</v>
      </c>
      <c r="C5331" s="6" t="str">
        <f>IFERROR(__xludf.DUMMYFUNCTION("SPLIT('2. c'!B5331, "" "", True, True)"),"Streptococcus")</f>
        <v>Streptococcus</v>
      </c>
      <c r="D5331" t="str">
        <f>IFERROR(__xludf.DUMMYFUNCTION("""COMPUTED_VALUE"""),"agalactiae")</f>
        <v>agalactiae</v>
      </c>
      <c r="E5331" t="str">
        <f>IFERROR(__xludf.DUMMYFUNCTION("""COMPUTED_VALUE"""),"09mas018883")</f>
        <v>09mas018883</v>
      </c>
    </row>
    <row r="5332" ht="15.75" customHeight="1">
      <c r="A5332" t="str">
        <f t="shared" si="1"/>
        <v>S.agalactiae</v>
      </c>
      <c r="B5332" s="5" t="s">
        <v>33039</v>
      </c>
      <c r="C5332" s="6" t="str">
        <f>IFERROR(__xludf.DUMMYFUNCTION("SPLIT('2. c'!B5332, "" "", True, True)"),"Streptococcus")</f>
        <v>Streptococcus</v>
      </c>
      <c r="D5332" t="str">
        <f>IFERROR(__xludf.DUMMYFUNCTION("""COMPUTED_VALUE"""),"agalactiae")</f>
        <v>agalactiae</v>
      </c>
      <c r="E5332">
        <f>IFERROR(__xludf.DUMMYFUNCTION("""COMPUTED_VALUE"""),138.0)</f>
        <v>138</v>
      </c>
    </row>
    <row r="5333" ht="15.75" customHeight="1">
      <c r="A5333" t="str">
        <f t="shared" si="1"/>
        <v>S.agalactiae</v>
      </c>
      <c r="B5333" s="5" t="s">
        <v>33040</v>
      </c>
      <c r="C5333" s="6" t="str">
        <f>IFERROR(__xludf.DUMMYFUNCTION("SPLIT('2. c'!B5333, "" "", True, True)"),"Streptococcus")</f>
        <v>Streptococcus</v>
      </c>
      <c r="D5333" t="str">
        <f>IFERROR(__xludf.DUMMYFUNCTION("""COMPUTED_VALUE"""),"agalactiae")</f>
        <v>agalactiae</v>
      </c>
      <c r="E5333" t="str">
        <f>IFERROR(__xludf.DUMMYFUNCTION("""COMPUTED_VALUE"""),"2603V/R")</f>
        <v>2603V/R</v>
      </c>
    </row>
    <row r="5334" ht="15.75" customHeight="1">
      <c r="A5334" t="str">
        <f t="shared" si="1"/>
        <v>S.agalactiae</v>
      </c>
      <c r="B5334" s="5" t="s">
        <v>33041</v>
      </c>
      <c r="C5334" s="6" t="str">
        <f>IFERROR(__xludf.DUMMYFUNCTION("SPLIT('2. c'!B5334, "" "", True, True)"),"Streptococcus")</f>
        <v>Streptococcus</v>
      </c>
      <c r="D5334" t="str">
        <f>IFERROR(__xludf.DUMMYFUNCTION("""COMPUTED_VALUE"""),"agalactiae")</f>
        <v>agalactiae</v>
      </c>
      <c r="E5334" t="str">
        <f>IFERROR(__xludf.DUMMYFUNCTION("""COMPUTED_VALUE"""),"A909")</f>
        <v>A909</v>
      </c>
    </row>
    <row r="5335" ht="15.75" customHeight="1">
      <c r="A5335" t="str">
        <f t="shared" si="1"/>
        <v>S.agalactiae</v>
      </c>
      <c r="B5335" s="5" t="s">
        <v>33042</v>
      </c>
      <c r="C5335" s="6" t="str">
        <f>IFERROR(__xludf.DUMMYFUNCTION("SPLIT('2. c'!B5335, "" "", True, True)"),"Streptococcus")</f>
        <v>Streptococcus</v>
      </c>
      <c r="D5335" t="str">
        <f>IFERROR(__xludf.DUMMYFUNCTION("""COMPUTED_VALUE"""),"agalactiae")</f>
        <v>agalactiae</v>
      </c>
      <c r="E5335" t="str">
        <f>IFERROR(__xludf.DUMMYFUNCTION("""COMPUTED_VALUE"""),"CNCTC")</f>
        <v>CNCTC</v>
      </c>
      <c r="F5335" t="str">
        <f>IFERROR(__xludf.DUMMYFUNCTION("""COMPUTED_VALUE"""),"10/84")</f>
        <v>10/84</v>
      </c>
    </row>
    <row r="5336" ht="15.75" customHeight="1">
      <c r="A5336" t="str">
        <f t="shared" si="1"/>
        <v>S.agalactiae</v>
      </c>
      <c r="B5336" s="5" t="s">
        <v>33043</v>
      </c>
      <c r="C5336" s="6" t="str">
        <f>IFERROR(__xludf.DUMMYFUNCTION("SPLIT('2. c'!B5336, "" "", True, True)"),"Streptococcus")</f>
        <v>Streptococcus</v>
      </c>
      <c r="D5336" t="str">
        <f>IFERROR(__xludf.DUMMYFUNCTION("""COMPUTED_VALUE"""),"agalactiae")</f>
        <v>agalactiae</v>
      </c>
      <c r="E5336" t="str">
        <f>IFERROR(__xludf.DUMMYFUNCTION("""COMPUTED_VALUE"""),"COH1")</f>
        <v>COH1</v>
      </c>
    </row>
    <row r="5337" ht="15.75" customHeight="1">
      <c r="A5337" t="str">
        <f t="shared" si="1"/>
        <v>S.agalactiae</v>
      </c>
      <c r="B5337" s="5" t="s">
        <v>33044</v>
      </c>
      <c r="C5337" s="6" t="str">
        <f>IFERROR(__xludf.DUMMYFUNCTION("SPLIT('2. c'!B5337, "" "", True, True)"),"Streptococcus")</f>
        <v>Streptococcus</v>
      </c>
      <c r="D5337" t="str">
        <f>IFERROR(__xludf.DUMMYFUNCTION("""COMPUTED_VALUE"""),"agalactiae")</f>
        <v>agalactiae</v>
      </c>
      <c r="E5337" t="str">
        <f>IFERROR(__xludf.DUMMYFUNCTION("""COMPUTED_VALUE"""),"GD201008-001")</f>
        <v>GD201008-001</v>
      </c>
    </row>
    <row r="5338" ht="15.75" customHeight="1">
      <c r="A5338" t="str">
        <f t="shared" si="1"/>
        <v>S.agalactiae</v>
      </c>
      <c r="B5338" s="5" t="s">
        <v>33045</v>
      </c>
      <c r="C5338" s="6" t="str">
        <f>IFERROR(__xludf.DUMMYFUNCTION("SPLIT('2. c'!B5338, "" "", True, True)"),"Streptococcus")</f>
        <v>Streptococcus</v>
      </c>
      <c r="D5338" t="str">
        <f>IFERROR(__xludf.DUMMYFUNCTION("""COMPUTED_VALUE"""),"agalactiae")</f>
        <v>agalactiae</v>
      </c>
      <c r="E5338" t="str">
        <f>IFERROR(__xludf.DUMMYFUNCTION("""COMPUTED_VALUE"""),"ILRI005")</f>
        <v>ILRI005</v>
      </c>
    </row>
    <row r="5339" ht="15.75" customHeight="1">
      <c r="A5339" t="str">
        <f t="shared" si="1"/>
        <v>S.agalactiae</v>
      </c>
      <c r="B5339" s="5" t="s">
        <v>33046</v>
      </c>
      <c r="C5339" s="6" t="str">
        <f>IFERROR(__xludf.DUMMYFUNCTION("SPLIT('2. c'!B5339, "" "", True, True)"),"Streptococcus")</f>
        <v>Streptococcus</v>
      </c>
      <c r="D5339" t="str">
        <f>IFERROR(__xludf.DUMMYFUNCTION("""COMPUTED_VALUE"""),"agalactiae")</f>
        <v>agalactiae</v>
      </c>
      <c r="E5339" t="str">
        <f>IFERROR(__xludf.DUMMYFUNCTION("""COMPUTED_VALUE"""),"ILRI112")</f>
        <v>ILRI112</v>
      </c>
    </row>
    <row r="5340" ht="15.75" customHeight="1">
      <c r="A5340" t="str">
        <f t="shared" si="1"/>
        <v>S.agalactiae</v>
      </c>
      <c r="B5340" s="5" t="s">
        <v>33047</v>
      </c>
      <c r="C5340" s="6" t="str">
        <f>IFERROR(__xludf.DUMMYFUNCTION("SPLIT('2. c'!B5340, "" "", True, True)"),"Streptococcus")</f>
        <v>Streptococcus</v>
      </c>
      <c r="D5340" t="str">
        <f>IFERROR(__xludf.DUMMYFUNCTION("""COMPUTED_VALUE"""),"agalactiae")</f>
        <v>agalactiae</v>
      </c>
      <c r="E5340" t="str">
        <f>IFERROR(__xludf.DUMMYFUNCTION("""COMPUTED_VALUE"""),"NEM316")</f>
        <v>NEM316</v>
      </c>
    </row>
    <row r="5341" ht="15.75" customHeight="1">
      <c r="A5341" t="str">
        <f t="shared" si="1"/>
        <v>S.agalactiae</v>
      </c>
      <c r="B5341" s="5" t="s">
        <v>33048</v>
      </c>
      <c r="C5341" s="6" t="str">
        <f>IFERROR(__xludf.DUMMYFUNCTION("SPLIT('2. c'!B5341, "" "", True, True)"),"Streptococcus")</f>
        <v>Streptococcus</v>
      </c>
      <c r="D5341" t="str">
        <f>IFERROR(__xludf.DUMMYFUNCTION("""COMPUTED_VALUE"""),"agalactiae")</f>
        <v>agalactiae</v>
      </c>
      <c r="E5341" t="str">
        <f>IFERROR(__xludf.DUMMYFUNCTION("""COMPUTED_VALUE"""),"strain")</f>
        <v>strain</v>
      </c>
      <c r="F5341" t="str">
        <f>IFERROR(__xludf.DUMMYFUNCTION("""COMPUTED_VALUE"""),"138spar")</f>
        <v>138spar</v>
      </c>
    </row>
    <row r="5342" ht="15.75" customHeight="1">
      <c r="A5342" t="str">
        <f t="shared" si="1"/>
        <v>S.agalactiae</v>
      </c>
      <c r="B5342" s="5" t="s">
        <v>33049</v>
      </c>
      <c r="C5342" s="6" t="str">
        <f>IFERROR(__xludf.DUMMYFUNCTION("SPLIT('2. c'!B5342, "" "", True, True)"),"Streptococcus")</f>
        <v>Streptococcus</v>
      </c>
      <c r="D5342" t="str">
        <f>IFERROR(__xludf.DUMMYFUNCTION("""COMPUTED_VALUE"""),"agalactiae")</f>
        <v>agalactiae</v>
      </c>
      <c r="E5342" t="str">
        <f>IFERROR(__xludf.DUMMYFUNCTION("""COMPUTED_VALUE"""),"strain")</f>
        <v>strain</v>
      </c>
      <c r="F5342" t="str">
        <f>IFERROR(__xludf.DUMMYFUNCTION("""COMPUTED_VALUE"""),"22-Feb")</f>
        <v>22-Feb</v>
      </c>
    </row>
    <row r="5343" ht="15.75" customHeight="1">
      <c r="A5343" t="str">
        <f t="shared" si="1"/>
        <v>S.agalactiae</v>
      </c>
      <c r="B5343" s="5" t="s">
        <v>33050</v>
      </c>
      <c r="C5343" s="6" t="str">
        <f>IFERROR(__xludf.DUMMYFUNCTION("SPLIT('2. c'!B5343, "" "", True, True)"),"Streptococcus")</f>
        <v>Streptococcus</v>
      </c>
      <c r="D5343" t="str">
        <f>IFERROR(__xludf.DUMMYFUNCTION("""COMPUTED_VALUE"""),"agalactiae")</f>
        <v>agalactiae</v>
      </c>
      <c r="E5343" t="str">
        <f>IFERROR(__xludf.DUMMYFUNCTION("""COMPUTED_VALUE"""),"strain")</f>
        <v>strain</v>
      </c>
      <c r="F5343" t="str">
        <f>IFERROR(__xludf.DUMMYFUNCTION("""COMPUTED_VALUE"""),"CU_GBS_08")</f>
        <v>CU_GBS_08</v>
      </c>
    </row>
    <row r="5344" ht="15.75" customHeight="1">
      <c r="A5344" t="str">
        <f t="shared" si="1"/>
        <v>S.agalactiae</v>
      </c>
      <c r="B5344" s="5" t="s">
        <v>33051</v>
      </c>
      <c r="C5344" s="6" t="str">
        <f>IFERROR(__xludf.DUMMYFUNCTION("SPLIT('2. c'!B5344, "" "", True, True)"),"Streptococcus")</f>
        <v>Streptococcus</v>
      </c>
      <c r="D5344" t="str">
        <f>IFERROR(__xludf.DUMMYFUNCTION("""COMPUTED_VALUE"""),"agalactiae")</f>
        <v>agalactiae</v>
      </c>
      <c r="E5344" t="str">
        <f>IFERROR(__xludf.DUMMYFUNCTION("""COMPUTED_VALUE"""),"strain")</f>
        <v>strain</v>
      </c>
      <c r="F5344" t="str">
        <f>IFERROR(__xludf.DUMMYFUNCTION("""COMPUTED_VALUE"""),"CU_GBS_98")</f>
        <v>CU_GBS_98</v>
      </c>
    </row>
    <row r="5345" ht="15.75" customHeight="1">
      <c r="A5345" t="str">
        <f t="shared" si="1"/>
        <v>S.agalactiae</v>
      </c>
      <c r="B5345" s="5" t="s">
        <v>33052</v>
      </c>
      <c r="C5345" s="6" t="str">
        <f>IFERROR(__xludf.DUMMYFUNCTION("SPLIT('2. c'!B5345, "" "", True, True)"),"Streptococcus")</f>
        <v>Streptococcus</v>
      </c>
      <c r="D5345" t="str">
        <f>IFERROR(__xludf.DUMMYFUNCTION("""COMPUTED_VALUE"""),"agalactiae")</f>
        <v>agalactiae</v>
      </c>
      <c r="E5345" t="str">
        <f>IFERROR(__xludf.DUMMYFUNCTION("""COMPUTED_VALUE"""),"strain")</f>
        <v>strain</v>
      </c>
      <c r="F5345" t="str">
        <f>IFERROR(__xludf.DUMMYFUNCTION("""COMPUTED_VALUE"""),"GBS")</f>
        <v>GBS</v>
      </c>
      <c r="G5345" t="str">
        <f>IFERROR(__xludf.DUMMYFUNCTION("""COMPUTED_VALUE"""),"ST-1")</f>
        <v>ST-1</v>
      </c>
    </row>
    <row r="5346" ht="15.75" customHeight="1">
      <c r="A5346" t="str">
        <f t="shared" si="1"/>
        <v>S.agalactiae</v>
      </c>
      <c r="B5346" s="5" t="s">
        <v>33053</v>
      </c>
      <c r="C5346" s="6" t="str">
        <f>IFERROR(__xludf.DUMMYFUNCTION("SPLIT('2. c'!B5346, "" "", True, True)"),"Streptococcus")</f>
        <v>Streptococcus</v>
      </c>
      <c r="D5346" t="str">
        <f>IFERROR(__xludf.DUMMYFUNCTION("""COMPUTED_VALUE"""),"agalactiae")</f>
        <v>agalactiae</v>
      </c>
      <c r="E5346" t="str">
        <f>IFERROR(__xludf.DUMMYFUNCTION("""COMPUTED_VALUE"""),"strain")</f>
        <v>strain</v>
      </c>
      <c r="F5346" t="str">
        <f>IFERROR(__xludf.DUMMYFUNCTION("""COMPUTED_VALUE"""),"GBS1-NY")</f>
        <v>GBS1-NY</v>
      </c>
    </row>
    <row r="5347" ht="15.75" customHeight="1">
      <c r="A5347" t="str">
        <f t="shared" si="1"/>
        <v>S.agalactiae</v>
      </c>
      <c r="B5347" s="5" t="s">
        <v>33054</v>
      </c>
      <c r="C5347" s="6" t="str">
        <f>IFERROR(__xludf.DUMMYFUNCTION("SPLIT('2. c'!B5347, "" "", True, True)"),"Streptococcus")</f>
        <v>Streptococcus</v>
      </c>
      <c r="D5347" t="str">
        <f>IFERROR(__xludf.DUMMYFUNCTION("""COMPUTED_VALUE"""),"agalactiae")</f>
        <v>agalactiae</v>
      </c>
      <c r="E5347" t="str">
        <f>IFERROR(__xludf.DUMMYFUNCTION("""COMPUTED_VALUE"""),"strain")</f>
        <v>strain</v>
      </c>
      <c r="F5347" t="str">
        <f>IFERROR(__xludf.DUMMYFUNCTION("""COMPUTED_VALUE"""),"GBS2-NM")</f>
        <v>GBS2-NM</v>
      </c>
    </row>
    <row r="5348" ht="15.75" customHeight="1">
      <c r="A5348" t="str">
        <f t="shared" si="1"/>
        <v>S.agalactiae</v>
      </c>
      <c r="B5348" s="5" t="s">
        <v>33055</v>
      </c>
      <c r="C5348" s="6" t="str">
        <f>IFERROR(__xludf.DUMMYFUNCTION("SPLIT('2. c'!B5348, "" "", True, True)"),"Streptococcus")</f>
        <v>Streptococcus</v>
      </c>
      <c r="D5348" t="str">
        <f>IFERROR(__xludf.DUMMYFUNCTION("""COMPUTED_VALUE"""),"agalactiae")</f>
        <v>agalactiae</v>
      </c>
      <c r="E5348" t="str">
        <f>IFERROR(__xludf.DUMMYFUNCTION("""COMPUTED_VALUE"""),"strain")</f>
        <v>strain</v>
      </c>
      <c r="F5348" t="str">
        <f>IFERROR(__xludf.DUMMYFUNCTION("""COMPUTED_VALUE"""),"GBS6")</f>
        <v>GBS6</v>
      </c>
    </row>
    <row r="5349" ht="15.75" customHeight="1">
      <c r="A5349" t="str">
        <f t="shared" si="1"/>
        <v>S.agalactiae</v>
      </c>
      <c r="B5349" s="5" t="s">
        <v>33056</v>
      </c>
      <c r="C5349" s="6" t="str">
        <f>IFERROR(__xludf.DUMMYFUNCTION("SPLIT('2. c'!B5349, "" "", True, True)"),"Streptococcus")</f>
        <v>Streptococcus</v>
      </c>
      <c r="D5349" t="str">
        <f>IFERROR(__xludf.DUMMYFUNCTION("""COMPUTED_VALUE"""),"agalactiae")</f>
        <v>agalactiae</v>
      </c>
      <c r="E5349" t="str">
        <f>IFERROR(__xludf.DUMMYFUNCTION("""COMPUTED_VALUE"""),"strain")</f>
        <v>strain</v>
      </c>
      <c r="F5349" t="str">
        <f>IFERROR(__xludf.DUMMYFUNCTION("""COMPUTED_VALUE"""),"GBS85147")</f>
        <v>GBS85147</v>
      </c>
    </row>
    <row r="5350" ht="15.75" customHeight="1">
      <c r="A5350" t="str">
        <f t="shared" si="1"/>
        <v>S.agalactiae</v>
      </c>
      <c r="B5350" s="5" t="s">
        <v>33057</v>
      </c>
      <c r="C5350" s="6" t="str">
        <f>IFERROR(__xludf.DUMMYFUNCTION("SPLIT('2. c'!B5350, "" "", True, True)"),"Streptococcus")</f>
        <v>Streptococcus</v>
      </c>
      <c r="D5350" t="str">
        <f>IFERROR(__xludf.DUMMYFUNCTION("""COMPUTED_VALUE"""),"agalactiae")</f>
        <v>agalactiae</v>
      </c>
      <c r="E5350" t="str">
        <f>IFERROR(__xludf.DUMMYFUNCTION("""COMPUTED_VALUE"""),"strain")</f>
        <v>strain</v>
      </c>
      <c r="F5350" t="str">
        <f>IFERROR(__xludf.DUMMYFUNCTION("""COMPUTED_VALUE"""),"GX026")</f>
        <v>GX026</v>
      </c>
    </row>
    <row r="5351" ht="15.75" customHeight="1">
      <c r="A5351" t="str">
        <f t="shared" si="1"/>
        <v>S.agalactiae</v>
      </c>
      <c r="B5351" s="5" t="s">
        <v>33058</v>
      </c>
      <c r="C5351" s="6" t="str">
        <f>IFERROR(__xludf.DUMMYFUNCTION("SPLIT('2. c'!B5351, "" "", True, True)"),"Streptococcus")</f>
        <v>Streptococcus</v>
      </c>
      <c r="D5351" t="str">
        <f>IFERROR(__xludf.DUMMYFUNCTION("""COMPUTED_VALUE"""),"agalactiae")</f>
        <v>agalactiae</v>
      </c>
      <c r="E5351" t="str">
        <f>IFERROR(__xludf.DUMMYFUNCTION("""COMPUTED_VALUE"""),"strain")</f>
        <v>strain</v>
      </c>
      <c r="F5351" t="str">
        <f>IFERROR(__xludf.DUMMYFUNCTION("""COMPUTED_VALUE"""),"GX064")</f>
        <v>GX064</v>
      </c>
    </row>
    <row r="5352" ht="15.75" customHeight="1">
      <c r="A5352" t="str">
        <f t="shared" si="1"/>
        <v>S.agalactiae</v>
      </c>
      <c r="B5352" s="5" t="s">
        <v>33059</v>
      </c>
      <c r="C5352" s="6" t="str">
        <f>IFERROR(__xludf.DUMMYFUNCTION("SPLIT('2. c'!B5352, "" "", True, True)"),"Streptococcus")</f>
        <v>Streptococcus</v>
      </c>
      <c r="D5352" t="str">
        <f>IFERROR(__xludf.DUMMYFUNCTION("""COMPUTED_VALUE"""),"agalactiae")</f>
        <v>agalactiae</v>
      </c>
      <c r="E5352" t="str">
        <f>IFERROR(__xludf.DUMMYFUNCTION("""COMPUTED_VALUE"""),"strain")</f>
        <v>strain</v>
      </c>
      <c r="F5352" t="str">
        <f>IFERROR(__xludf.DUMMYFUNCTION("""COMPUTED_VALUE"""),"H002")</f>
        <v>H002</v>
      </c>
    </row>
    <row r="5353" ht="15.75" customHeight="1">
      <c r="A5353" t="str">
        <f t="shared" si="1"/>
        <v>S.agalactiae</v>
      </c>
      <c r="B5353" s="5" t="s">
        <v>33060</v>
      </c>
      <c r="C5353" s="6" t="str">
        <f>IFERROR(__xludf.DUMMYFUNCTION("SPLIT('2. c'!B5353, "" "", True, True)"),"Streptococcus")</f>
        <v>Streptococcus</v>
      </c>
      <c r="D5353" t="str">
        <f>IFERROR(__xludf.DUMMYFUNCTION("""COMPUTED_VALUE"""),"agalactiae")</f>
        <v>agalactiae</v>
      </c>
      <c r="E5353" t="str">
        <f>IFERROR(__xludf.DUMMYFUNCTION("""COMPUTED_VALUE"""),"strain")</f>
        <v>strain</v>
      </c>
      <c r="F5353" t="str">
        <f>IFERROR(__xludf.DUMMYFUNCTION("""COMPUTED_VALUE"""),"HN016")</f>
        <v>HN016</v>
      </c>
    </row>
    <row r="5354" ht="15.75" customHeight="1">
      <c r="A5354" t="str">
        <f t="shared" si="1"/>
        <v>S.agalactiae</v>
      </c>
      <c r="B5354" s="5" t="s">
        <v>33061</v>
      </c>
      <c r="C5354" s="6" t="str">
        <f>IFERROR(__xludf.DUMMYFUNCTION("SPLIT('2. c'!B5354, "" "", True, True)"),"Streptococcus")</f>
        <v>Streptococcus</v>
      </c>
      <c r="D5354" t="str">
        <f>IFERROR(__xludf.DUMMYFUNCTION("""COMPUTED_VALUE"""),"agalactiae")</f>
        <v>agalactiae</v>
      </c>
      <c r="E5354" t="str">
        <f>IFERROR(__xludf.DUMMYFUNCTION("""COMPUTED_VALUE"""),"strain")</f>
        <v>strain</v>
      </c>
      <c r="F5354" t="str">
        <f>IFERROR(__xludf.DUMMYFUNCTION("""COMPUTED_VALUE"""),"NGBS061")</f>
        <v>NGBS061</v>
      </c>
    </row>
    <row r="5355" ht="15.75" customHeight="1">
      <c r="A5355" t="str">
        <f t="shared" si="1"/>
        <v>S.agalactiae</v>
      </c>
      <c r="B5355" s="5" t="s">
        <v>33062</v>
      </c>
      <c r="C5355" s="6" t="str">
        <f>IFERROR(__xludf.DUMMYFUNCTION("SPLIT('2. c'!B5355, "" "", True, True)"),"Streptococcus")</f>
        <v>Streptococcus</v>
      </c>
      <c r="D5355" t="str">
        <f>IFERROR(__xludf.DUMMYFUNCTION("""COMPUTED_VALUE"""),"agalactiae")</f>
        <v>agalactiae</v>
      </c>
      <c r="E5355" t="str">
        <f>IFERROR(__xludf.DUMMYFUNCTION("""COMPUTED_VALUE"""),"strain")</f>
        <v>strain</v>
      </c>
      <c r="F5355" t="str">
        <f>IFERROR(__xludf.DUMMYFUNCTION("""COMPUTED_VALUE"""),"NGBS128")</f>
        <v>NGBS128</v>
      </c>
    </row>
    <row r="5356" ht="15.75" customHeight="1">
      <c r="A5356" t="str">
        <f t="shared" si="1"/>
        <v>S.agalactiae</v>
      </c>
      <c r="B5356" s="5" t="s">
        <v>33063</v>
      </c>
      <c r="C5356" s="6" t="str">
        <f>IFERROR(__xludf.DUMMYFUNCTION("SPLIT('2. c'!B5356, "" "", True, True)"),"Streptococcus")</f>
        <v>Streptococcus</v>
      </c>
      <c r="D5356" t="str">
        <f>IFERROR(__xludf.DUMMYFUNCTION("""COMPUTED_VALUE"""),"agalactiae")</f>
        <v>agalactiae</v>
      </c>
      <c r="E5356" t="str">
        <f>IFERROR(__xludf.DUMMYFUNCTION("""COMPUTED_VALUE"""),"strain")</f>
        <v>strain</v>
      </c>
      <c r="F5356" t="str">
        <f>IFERROR(__xludf.DUMMYFUNCTION("""COMPUTED_VALUE"""),"NGBS572")</f>
        <v>NGBS572</v>
      </c>
    </row>
    <row r="5357" ht="15.75" customHeight="1">
      <c r="A5357" t="str">
        <f t="shared" si="1"/>
        <v>S.agalactiae</v>
      </c>
      <c r="B5357" s="5" t="s">
        <v>33064</v>
      </c>
      <c r="C5357" s="6" t="str">
        <f>IFERROR(__xludf.DUMMYFUNCTION("SPLIT('2. c'!B5357, "" "", True, True)"),"Streptococcus")</f>
        <v>Streptococcus</v>
      </c>
      <c r="D5357" t="str">
        <f>IFERROR(__xludf.DUMMYFUNCTION("""COMPUTED_VALUE"""),"agalactiae")</f>
        <v>agalactiae</v>
      </c>
      <c r="E5357" t="str">
        <f>IFERROR(__xludf.DUMMYFUNCTION("""COMPUTED_VALUE"""),"strain")</f>
        <v>strain</v>
      </c>
      <c r="F5357" t="str">
        <f>IFERROR(__xludf.DUMMYFUNCTION("""COMPUTED_VALUE"""),"S25")</f>
        <v>S25</v>
      </c>
    </row>
    <row r="5358" ht="15.75" customHeight="1">
      <c r="A5358" t="str">
        <f t="shared" si="1"/>
        <v>S.agalactiae</v>
      </c>
      <c r="B5358" s="5" t="s">
        <v>33065</v>
      </c>
      <c r="C5358" s="6" t="str">
        <f>IFERROR(__xludf.DUMMYFUNCTION("SPLIT('2. c'!B5358, "" "", True, True)"),"Streptococcus")</f>
        <v>Streptococcus</v>
      </c>
      <c r="D5358" t="str">
        <f>IFERROR(__xludf.DUMMYFUNCTION("""COMPUTED_VALUE"""),"agalactiae")</f>
        <v>agalactiae</v>
      </c>
      <c r="E5358" t="str">
        <f>IFERROR(__xludf.DUMMYFUNCTION("""COMPUTED_VALUE"""),"strain")</f>
        <v>strain</v>
      </c>
      <c r="F5358" t="str">
        <f>IFERROR(__xludf.DUMMYFUNCTION("""COMPUTED_VALUE"""),"SG-M1")</f>
        <v>SG-M1</v>
      </c>
    </row>
    <row r="5359" ht="15.75" customHeight="1">
      <c r="A5359" t="str">
        <f t="shared" si="1"/>
        <v>S.agalactiae</v>
      </c>
      <c r="B5359" s="5" t="s">
        <v>33066</v>
      </c>
      <c r="C5359" s="6" t="str">
        <f>IFERROR(__xludf.DUMMYFUNCTION("SPLIT('2. c'!B5359, "" "", True, True)"),"Streptococcus")</f>
        <v>Streptococcus</v>
      </c>
      <c r="D5359" t="str">
        <f>IFERROR(__xludf.DUMMYFUNCTION("""COMPUTED_VALUE"""),"agalactiae")</f>
        <v>agalactiae</v>
      </c>
      <c r="E5359" t="str">
        <f>IFERROR(__xludf.DUMMYFUNCTION("""COMPUTED_VALUE"""),"strain")</f>
        <v>strain</v>
      </c>
      <c r="F5359" t="str">
        <f>IFERROR(__xludf.DUMMYFUNCTION("""COMPUTED_VALUE"""),"SS1")</f>
        <v>SS1</v>
      </c>
    </row>
    <row r="5360" ht="15.75" customHeight="1">
      <c r="A5360" t="str">
        <f t="shared" si="1"/>
        <v>S.agalactiae</v>
      </c>
      <c r="B5360" s="5" t="s">
        <v>33067</v>
      </c>
      <c r="C5360" s="6" t="str">
        <f>IFERROR(__xludf.DUMMYFUNCTION("SPLIT('2. c'!B5360, "" "", True, True)"),"Streptococcus")</f>
        <v>Streptococcus</v>
      </c>
      <c r="D5360" t="str">
        <f>IFERROR(__xludf.DUMMYFUNCTION("""COMPUTED_VALUE"""),"agalactiae")</f>
        <v>agalactiae</v>
      </c>
      <c r="E5360" t="str">
        <f>IFERROR(__xludf.DUMMYFUNCTION("""COMPUTED_VALUE"""),"strain")</f>
        <v>strain</v>
      </c>
      <c r="F5360" t="str">
        <f>IFERROR(__xludf.DUMMYFUNCTION("""COMPUTED_VALUE"""),"YM001")</f>
        <v>YM001</v>
      </c>
    </row>
    <row r="5361" ht="15.75" customHeight="1">
      <c r="A5361" t="str">
        <f t="shared" si="1"/>
        <v>S.anginosus</v>
      </c>
      <c r="B5361" s="5" t="s">
        <v>33068</v>
      </c>
      <c r="C5361" s="6" t="str">
        <f>IFERROR(__xludf.DUMMYFUNCTION("SPLIT('2. c'!B5361, "" "", True, True)"),"Streptococcus")</f>
        <v>Streptococcus</v>
      </c>
      <c r="D5361" t="str">
        <f>IFERROR(__xludf.DUMMYFUNCTION("""COMPUTED_VALUE"""),"anginosus")</f>
        <v>anginosus</v>
      </c>
      <c r="E5361" t="str">
        <f>IFERROR(__xludf.DUMMYFUNCTION("""COMPUTED_VALUE"""),"C1051")</f>
        <v>C1051</v>
      </c>
    </row>
    <row r="5362" ht="15.75" customHeight="1">
      <c r="A5362" t="str">
        <f t="shared" si="1"/>
        <v>S.anginosus</v>
      </c>
      <c r="B5362" s="5" t="s">
        <v>33069</v>
      </c>
      <c r="C5362" s="6" t="str">
        <f>IFERROR(__xludf.DUMMYFUNCTION("SPLIT('2. c'!B5362, "" "", True, True)"),"Streptococcus")</f>
        <v>Streptococcus</v>
      </c>
      <c r="D5362" t="str">
        <f>IFERROR(__xludf.DUMMYFUNCTION("""COMPUTED_VALUE"""),"anginosus")</f>
        <v>anginosus</v>
      </c>
      <c r="E5362" t="str">
        <f>IFERROR(__xludf.DUMMYFUNCTION("""COMPUTED_VALUE"""),"C238")</f>
        <v>C238</v>
      </c>
    </row>
    <row r="5363" ht="15.75" customHeight="1">
      <c r="A5363" t="str">
        <f t="shared" si="1"/>
        <v>S.anginosus</v>
      </c>
      <c r="B5363" s="5" t="s">
        <v>33070</v>
      </c>
      <c r="C5363" s="6" t="str">
        <f>IFERROR(__xludf.DUMMYFUNCTION("SPLIT('2. c'!B5363, "" "", True, True)"),"Streptococcus")</f>
        <v>Streptococcus</v>
      </c>
      <c r="D5363" t="str">
        <f>IFERROR(__xludf.DUMMYFUNCTION("""COMPUTED_VALUE"""),"anginosus")</f>
        <v>anginosus</v>
      </c>
      <c r="E5363" t="str">
        <f>IFERROR(__xludf.DUMMYFUNCTION("""COMPUTED_VALUE"""),"SA1")</f>
        <v>SA1</v>
      </c>
    </row>
    <row r="5364" ht="15.75" customHeight="1">
      <c r="A5364" t="str">
        <f t="shared" si="1"/>
        <v>S.anginosus</v>
      </c>
      <c r="B5364" s="5" t="s">
        <v>33071</v>
      </c>
      <c r="C5364" s="6" t="str">
        <f>IFERROR(__xludf.DUMMYFUNCTION("SPLIT('2. c'!B5364, "" "", True, True)"),"Streptococcus")</f>
        <v>Streptococcus</v>
      </c>
      <c r="D5364" t="str">
        <f>IFERROR(__xludf.DUMMYFUNCTION("""COMPUTED_VALUE"""),"anginosus")</f>
        <v>anginosus</v>
      </c>
      <c r="E5364" t="str">
        <f>IFERROR(__xludf.DUMMYFUNCTION("""COMPUTED_VALUE"""),"strain")</f>
        <v>strain</v>
      </c>
      <c r="F5364" t="str">
        <f>IFERROR(__xludf.DUMMYFUNCTION("""COMPUTED_VALUE"""),"J4211")</f>
        <v>J4211</v>
      </c>
    </row>
    <row r="5365" ht="15.75" customHeight="1">
      <c r="A5365" t="str">
        <f t="shared" si="1"/>
        <v>S.anginosus</v>
      </c>
      <c r="B5365" s="5" t="s">
        <v>33072</v>
      </c>
      <c r="C5365" s="6" t="str">
        <f>IFERROR(__xludf.DUMMYFUNCTION("SPLIT('2. c'!B5365, "" "", True, True)"),"Streptococcus")</f>
        <v>Streptococcus</v>
      </c>
      <c r="D5365" t="str">
        <f>IFERROR(__xludf.DUMMYFUNCTION("""COMPUTED_VALUE"""),"anginosus")</f>
        <v>anginosus</v>
      </c>
      <c r="E5365" t="str">
        <f>IFERROR(__xludf.DUMMYFUNCTION("""COMPUTED_VALUE"""),"subsp.")</f>
        <v>subsp.</v>
      </c>
      <c r="F5365" t="str">
        <f>IFERROR(__xludf.DUMMYFUNCTION("""COMPUTED_VALUE"""),"whileyi")</f>
        <v>whileyi</v>
      </c>
      <c r="G5365" t="str">
        <f>IFERROR(__xludf.DUMMYFUNCTION("""COMPUTED_VALUE"""),"MAS624")</f>
        <v>MAS624</v>
      </c>
    </row>
    <row r="5366" ht="15.75" customHeight="1">
      <c r="A5366" t="str">
        <f t="shared" si="1"/>
        <v>S.constellatus</v>
      </c>
      <c r="B5366" s="5" t="s">
        <v>33073</v>
      </c>
      <c r="C5366" s="6" t="str">
        <f>IFERROR(__xludf.DUMMYFUNCTION("SPLIT('2. c'!B5366, "" "", True, True)"),"Streptococcus")</f>
        <v>Streptococcus</v>
      </c>
      <c r="D5366" t="str">
        <f>IFERROR(__xludf.DUMMYFUNCTION("""COMPUTED_VALUE"""),"constellatus")</f>
        <v>constellatus</v>
      </c>
      <c r="E5366" t="str">
        <f>IFERROR(__xludf.DUMMYFUNCTION("""COMPUTED_VALUE"""),"subsp.")</f>
        <v>subsp.</v>
      </c>
      <c r="F5366" t="str">
        <f>IFERROR(__xludf.DUMMYFUNCTION("""COMPUTED_VALUE"""),"pharyngis")</f>
        <v>pharyngis</v>
      </c>
      <c r="G5366" t="str">
        <f>IFERROR(__xludf.DUMMYFUNCTION("""COMPUTED_VALUE"""),"C1050")</f>
        <v>C1050</v>
      </c>
    </row>
    <row r="5367" ht="15.75" customHeight="1">
      <c r="A5367" t="str">
        <f t="shared" si="1"/>
        <v>S.constellatus</v>
      </c>
      <c r="B5367" s="5" t="s">
        <v>33074</v>
      </c>
      <c r="C5367" s="6" t="str">
        <f>IFERROR(__xludf.DUMMYFUNCTION("SPLIT('2. c'!B5367, "" "", True, True)"),"Streptococcus")</f>
        <v>Streptococcus</v>
      </c>
      <c r="D5367" t="str">
        <f>IFERROR(__xludf.DUMMYFUNCTION("""COMPUTED_VALUE"""),"constellatus")</f>
        <v>constellatus</v>
      </c>
      <c r="E5367" t="str">
        <f>IFERROR(__xludf.DUMMYFUNCTION("""COMPUTED_VALUE"""),"subsp.")</f>
        <v>subsp.</v>
      </c>
      <c r="F5367" t="str">
        <f>IFERROR(__xludf.DUMMYFUNCTION("""COMPUTED_VALUE"""),"pharyngis")</f>
        <v>pharyngis</v>
      </c>
      <c r="G5367" t="str">
        <f>IFERROR(__xludf.DUMMYFUNCTION("""COMPUTED_VALUE"""),"C232")</f>
        <v>C232</v>
      </c>
    </row>
    <row r="5368" ht="15.75" customHeight="1">
      <c r="A5368" t="str">
        <f t="shared" si="1"/>
        <v>S.constellatus</v>
      </c>
      <c r="B5368" s="5" t="s">
        <v>33075</v>
      </c>
      <c r="C5368" s="6" t="str">
        <f>IFERROR(__xludf.DUMMYFUNCTION("SPLIT('2. c'!B5368, "" "", True, True)"),"Streptococcus")</f>
        <v>Streptococcus</v>
      </c>
      <c r="D5368" t="str">
        <f>IFERROR(__xludf.DUMMYFUNCTION("""COMPUTED_VALUE"""),"constellatus")</f>
        <v>constellatus</v>
      </c>
      <c r="E5368" t="str">
        <f>IFERROR(__xludf.DUMMYFUNCTION("""COMPUTED_VALUE"""),"subsp.")</f>
        <v>subsp.</v>
      </c>
      <c r="F5368" t="str">
        <f>IFERROR(__xludf.DUMMYFUNCTION("""COMPUTED_VALUE"""),"pharyngis")</f>
        <v>pharyngis</v>
      </c>
      <c r="G5368" t="str">
        <f>IFERROR(__xludf.DUMMYFUNCTION("""COMPUTED_VALUE"""),"C818")</f>
        <v>C818</v>
      </c>
    </row>
    <row r="5369" ht="15.75" customHeight="1">
      <c r="A5369" t="str">
        <f t="shared" si="1"/>
        <v>S.dysgalactiae</v>
      </c>
      <c r="B5369" s="5" t="s">
        <v>33076</v>
      </c>
      <c r="C5369" s="6" t="str">
        <f>IFERROR(__xludf.DUMMYFUNCTION("SPLIT('2. c'!B5369, "" "", True, True)"),"Streptococcus")</f>
        <v>Streptococcus</v>
      </c>
      <c r="D5369" t="str">
        <f>IFERROR(__xludf.DUMMYFUNCTION("""COMPUTED_VALUE"""),"dysgalactiae")</f>
        <v>dysgalactiae</v>
      </c>
      <c r="E5369" t="str">
        <f>IFERROR(__xludf.DUMMYFUNCTION("""COMPUTED_VALUE"""),"subsp.")</f>
        <v>subsp.</v>
      </c>
      <c r="F5369" t="str">
        <f>IFERROR(__xludf.DUMMYFUNCTION("""COMPUTED_VALUE"""),"equisimilis")</f>
        <v>equisimilis</v>
      </c>
      <c r="G5369">
        <f>IFERROR(__xludf.DUMMYFUNCTION("""COMPUTED_VALUE"""),167.0)</f>
        <v>167</v>
      </c>
    </row>
    <row r="5370" ht="15.75" customHeight="1">
      <c r="A5370" t="str">
        <f t="shared" si="1"/>
        <v>S.dysgalactiae</v>
      </c>
      <c r="B5370" s="5" t="s">
        <v>33077</v>
      </c>
      <c r="C5370" s="6" t="str">
        <f>IFERROR(__xludf.DUMMYFUNCTION("SPLIT('2. c'!B5370, "" "", True, True)"),"Streptococcus")</f>
        <v>Streptococcus</v>
      </c>
      <c r="D5370" t="str">
        <f>IFERROR(__xludf.DUMMYFUNCTION("""COMPUTED_VALUE"""),"dysgalactiae")</f>
        <v>dysgalactiae</v>
      </c>
      <c r="E5370" t="str">
        <f>IFERROR(__xludf.DUMMYFUNCTION("""COMPUTED_VALUE"""),"subsp.")</f>
        <v>subsp.</v>
      </c>
      <c r="F5370" t="str">
        <f>IFERROR(__xludf.DUMMYFUNCTION("""COMPUTED_VALUE"""),"equisimilis")</f>
        <v>equisimilis</v>
      </c>
      <c r="G5370" t="str">
        <f>IFERROR(__xludf.DUMMYFUNCTION("""COMPUTED_VALUE"""),"AC-2713")</f>
        <v>AC-2713</v>
      </c>
    </row>
    <row r="5371" ht="15.75" customHeight="1">
      <c r="A5371" t="str">
        <f t="shared" si="1"/>
        <v>S.dysgalactiae</v>
      </c>
      <c r="B5371" s="5" t="s">
        <v>33078</v>
      </c>
      <c r="C5371" s="6" t="str">
        <f>IFERROR(__xludf.DUMMYFUNCTION("SPLIT('2. c'!B5371, "" "", True, True)"),"Streptococcus")</f>
        <v>Streptococcus</v>
      </c>
      <c r="D5371" t="str">
        <f>IFERROR(__xludf.DUMMYFUNCTION("""COMPUTED_VALUE"""),"dysgalactiae")</f>
        <v>dysgalactiae</v>
      </c>
      <c r="E5371" t="str">
        <f>IFERROR(__xludf.DUMMYFUNCTION("""COMPUTED_VALUE"""),"subsp.")</f>
        <v>subsp.</v>
      </c>
      <c r="F5371" t="str">
        <f>IFERROR(__xludf.DUMMYFUNCTION("""COMPUTED_VALUE"""),"equisimilis")</f>
        <v>equisimilis</v>
      </c>
      <c r="G5371" t="str">
        <f>IFERROR(__xludf.DUMMYFUNCTION("""COMPUTED_VALUE"""),"ATCC")</f>
        <v>ATCC</v>
      </c>
      <c r="H5371">
        <f>IFERROR(__xludf.DUMMYFUNCTION("""COMPUTED_VALUE"""),12394.0)</f>
        <v>12394</v>
      </c>
    </row>
    <row r="5372" ht="15.75" customHeight="1">
      <c r="A5372" t="str">
        <f t="shared" si="1"/>
        <v>S.dysgalactiae</v>
      </c>
      <c r="B5372" s="5" t="s">
        <v>33079</v>
      </c>
      <c r="C5372" s="6" t="str">
        <f>IFERROR(__xludf.DUMMYFUNCTION("SPLIT('2. c'!B5372, "" "", True, True)"),"Streptococcus")</f>
        <v>Streptococcus</v>
      </c>
      <c r="D5372" t="str">
        <f>IFERROR(__xludf.DUMMYFUNCTION("""COMPUTED_VALUE"""),"dysgalactiae")</f>
        <v>dysgalactiae</v>
      </c>
      <c r="E5372" t="str">
        <f>IFERROR(__xludf.DUMMYFUNCTION("""COMPUTED_VALUE"""),"subsp.")</f>
        <v>subsp.</v>
      </c>
      <c r="F5372" t="str">
        <f>IFERROR(__xludf.DUMMYFUNCTION("""COMPUTED_VALUE"""),"equisimilis")</f>
        <v>equisimilis</v>
      </c>
      <c r="G5372" t="str">
        <f>IFERROR(__xludf.DUMMYFUNCTION("""COMPUTED_VALUE"""),"GGS_124")</f>
        <v>GGS_124</v>
      </c>
    </row>
    <row r="5373" ht="15.75" customHeight="1">
      <c r="A5373" t="str">
        <f t="shared" si="1"/>
        <v>S.dysgalactiae</v>
      </c>
      <c r="B5373" s="5" t="s">
        <v>33080</v>
      </c>
      <c r="C5373" s="6" t="str">
        <f>IFERROR(__xludf.DUMMYFUNCTION("SPLIT('2. c'!B5373, "" "", True, True)"),"Streptococcus")</f>
        <v>Streptococcus</v>
      </c>
      <c r="D5373" t="str">
        <f>IFERROR(__xludf.DUMMYFUNCTION("""COMPUTED_VALUE"""),"dysgalactiae")</f>
        <v>dysgalactiae</v>
      </c>
      <c r="E5373" t="str">
        <f>IFERROR(__xludf.DUMMYFUNCTION("""COMPUTED_VALUE"""),"subsp.")</f>
        <v>subsp.</v>
      </c>
      <c r="F5373" t="str">
        <f>IFERROR(__xludf.DUMMYFUNCTION("""COMPUTED_VALUE"""),"equisimilis")</f>
        <v>equisimilis</v>
      </c>
      <c r="G5373" t="str">
        <f>IFERROR(__xludf.DUMMYFUNCTION("""COMPUTED_VALUE"""),"RE378")</f>
        <v>RE378</v>
      </c>
    </row>
    <row r="5374" ht="15.75" customHeight="1">
      <c r="A5374" t="str">
        <f t="shared" si="1"/>
        <v>S.equi</v>
      </c>
      <c r="B5374" s="5" t="s">
        <v>33081</v>
      </c>
      <c r="C5374" s="6" t="str">
        <f>IFERROR(__xludf.DUMMYFUNCTION("SPLIT('2. c'!B5374, "" "", True, True)"),"Streptococcus")</f>
        <v>Streptococcus</v>
      </c>
      <c r="D5374" t="str">
        <f>IFERROR(__xludf.DUMMYFUNCTION("""COMPUTED_VALUE"""),"equi")</f>
        <v>equi</v>
      </c>
      <c r="E5374" t="str">
        <f>IFERROR(__xludf.DUMMYFUNCTION("""COMPUTED_VALUE"""),"subsp.")</f>
        <v>subsp.</v>
      </c>
      <c r="F5374" t="str">
        <f>IFERROR(__xludf.DUMMYFUNCTION("""COMPUTED_VALUE"""),"equi")</f>
        <v>equi</v>
      </c>
      <c r="G5374">
        <f>IFERROR(__xludf.DUMMYFUNCTION("""COMPUTED_VALUE"""),4047.0)</f>
        <v>4047</v>
      </c>
    </row>
    <row r="5375" ht="15.75" customHeight="1">
      <c r="A5375" t="str">
        <f t="shared" si="1"/>
        <v>S.equi</v>
      </c>
      <c r="B5375" s="5" t="s">
        <v>33082</v>
      </c>
      <c r="C5375" s="6" t="str">
        <f>IFERROR(__xludf.DUMMYFUNCTION("SPLIT('2. c'!B5375, "" "", True, True)"),"Streptococcus")</f>
        <v>Streptococcus</v>
      </c>
      <c r="D5375" t="str">
        <f>IFERROR(__xludf.DUMMYFUNCTION("""COMPUTED_VALUE"""),"equi")</f>
        <v>equi</v>
      </c>
      <c r="E5375" t="str">
        <f>IFERROR(__xludf.DUMMYFUNCTION("""COMPUTED_VALUE"""),"subsp.")</f>
        <v>subsp.</v>
      </c>
      <c r="F5375" t="str">
        <f>IFERROR(__xludf.DUMMYFUNCTION("""COMPUTED_VALUE"""),"zooepidemicus")</f>
        <v>zooepidemicus</v>
      </c>
    </row>
    <row r="5376" ht="15.75" customHeight="1">
      <c r="A5376" t="str">
        <f t="shared" si="1"/>
        <v>S.equi</v>
      </c>
      <c r="B5376" s="5" t="s">
        <v>33083</v>
      </c>
      <c r="C5376" s="6" t="str">
        <f>IFERROR(__xludf.DUMMYFUNCTION("SPLIT('2. c'!B5376, "" "", True, True)"),"Streptococcus")</f>
        <v>Streptococcus</v>
      </c>
      <c r="D5376" t="str">
        <f>IFERROR(__xludf.DUMMYFUNCTION("""COMPUTED_VALUE"""),"equi")</f>
        <v>equi</v>
      </c>
      <c r="E5376" t="str">
        <f>IFERROR(__xludf.DUMMYFUNCTION("""COMPUTED_VALUE"""),"subsp.")</f>
        <v>subsp.</v>
      </c>
      <c r="F5376" t="str">
        <f>IFERROR(__xludf.DUMMYFUNCTION("""COMPUTED_VALUE"""),"zooepidemicus")</f>
        <v>zooepidemicus</v>
      </c>
      <c r="G5376" t="str">
        <f>IFERROR(__xludf.DUMMYFUNCTION("""COMPUTED_VALUE"""),"ATCC")</f>
        <v>ATCC</v>
      </c>
      <c r="H5376">
        <f>IFERROR(__xludf.DUMMYFUNCTION("""COMPUTED_VALUE"""),35246.0)</f>
        <v>35246</v>
      </c>
    </row>
    <row r="5377" ht="15.75" customHeight="1">
      <c r="A5377" t="str">
        <f t="shared" si="1"/>
        <v>S.equi</v>
      </c>
      <c r="B5377" s="5" t="s">
        <v>33084</v>
      </c>
      <c r="C5377" s="6" t="str">
        <f>IFERROR(__xludf.DUMMYFUNCTION("SPLIT('2. c'!B5377, "" "", True, True)"),"Streptococcus")</f>
        <v>Streptococcus</v>
      </c>
      <c r="D5377" t="str">
        <f>IFERROR(__xludf.DUMMYFUNCTION("""COMPUTED_VALUE"""),"equi")</f>
        <v>equi</v>
      </c>
      <c r="E5377" t="str">
        <f>IFERROR(__xludf.DUMMYFUNCTION("""COMPUTED_VALUE"""),"subsp.")</f>
        <v>subsp.</v>
      </c>
      <c r="F5377" t="str">
        <f>IFERROR(__xludf.DUMMYFUNCTION("""COMPUTED_VALUE"""),"zooepidemicus")</f>
        <v>zooepidemicus</v>
      </c>
      <c r="G5377" t="str">
        <f>IFERROR(__xludf.DUMMYFUNCTION("""COMPUTED_VALUE"""),"CY")</f>
        <v>CY</v>
      </c>
    </row>
    <row r="5378" ht="15.75" customHeight="1">
      <c r="A5378" t="str">
        <f t="shared" si="1"/>
        <v>S.equi</v>
      </c>
      <c r="B5378" s="5" t="s">
        <v>33085</v>
      </c>
      <c r="C5378" s="6" t="str">
        <f>IFERROR(__xludf.DUMMYFUNCTION("SPLIT('2. c'!B5378, "" "", True, True)"),"Streptococcus")</f>
        <v>Streptococcus</v>
      </c>
      <c r="D5378" t="str">
        <f>IFERROR(__xludf.DUMMYFUNCTION("""COMPUTED_VALUE"""),"equi")</f>
        <v>equi</v>
      </c>
      <c r="E5378" t="str">
        <f>IFERROR(__xludf.DUMMYFUNCTION("""COMPUTED_VALUE"""),"subsp.")</f>
        <v>subsp.</v>
      </c>
      <c r="F5378" t="str">
        <f>IFERROR(__xludf.DUMMYFUNCTION("""COMPUTED_VALUE"""),"zooepidemicus")</f>
        <v>zooepidemicus</v>
      </c>
      <c r="G5378" t="str">
        <f>IFERROR(__xludf.DUMMYFUNCTION("""COMPUTED_VALUE"""),"MGCS10565")</f>
        <v>MGCS10565</v>
      </c>
    </row>
    <row r="5379" ht="15.75" customHeight="1">
      <c r="A5379" t="str">
        <f t="shared" si="1"/>
        <v>S.equinus</v>
      </c>
      <c r="B5379" s="5" t="s">
        <v>33086</v>
      </c>
      <c r="C5379" s="6" t="str">
        <f>IFERROR(__xludf.DUMMYFUNCTION("SPLIT('2. c'!B5379, "" "", True, True)"),"Streptococcus")</f>
        <v>Streptococcus</v>
      </c>
      <c r="D5379" t="str">
        <f>IFERROR(__xludf.DUMMYFUNCTION("""COMPUTED_VALUE"""),"equinus")</f>
        <v>equinus</v>
      </c>
      <c r="E5379" t="str">
        <f>IFERROR(__xludf.DUMMYFUNCTION("""COMPUTED_VALUE"""),"strain")</f>
        <v>strain</v>
      </c>
      <c r="F5379" t="str">
        <f>IFERROR(__xludf.DUMMYFUNCTION("""COMPUTED_VALUE"""),"AG46")</f>
        <v>AG46</v>
      </c>
    </row>
    <row r="5380" ht="15.75" customHeight="1">
      <c r="A5380" t="str">
        <f t="shared" si="1"/>
        <v>S.gallolyticus</v>
      </c>
      <c r="B5380" s="5" t="s">
        <v>33087</v>
      </c>
      <c r="C5380" s="6" t="str">
        <f>IFERROR(__xludf.DUMMYFUNCTION("SPLIT('2. c'!B5380, "" "", True, True)"),"Streptococcus")</f>
        <v>Streptococcus</v>
      </c>
      <c r="D5380" t="str">
        <f>IFERROR(__xludf.DUMMYFUNCTION("""COMPUTED_VALUE"""),"gallolyticus")</f>
        <v>gallolyticus</v>
      </c>
      <c r="E5380" t="str">
        <f>IFERROR(__xludf.DUMMYFUNCTION("""COMPUTED_VALUE"""),"strain")</f>
        <v>strain</v>
      </c>
      <c r="F5380" t="str">
        <f>IFERROR(__xludf.DUMMYFUNCTION("""COMPUTED_VALUE"""),"ICDDRB-NRC-S1")</f>
        <v>ICDDRB-NRC-S1</v>
      </c>
    </row>
    <row r="5381" ht="15.75" customHeight="1">
      <c r="A5381" t="str">
        <f t="shared" si="1"/>
        <v>S.gallolyticus</v>
      </c>
      <c r="B5381" s="5" t="s">
        <v>33088</v>
      </c>
      <c r="C5381" s="6" t="str">
        <f>IFERROR(__xludf.DUMMYFUNCTION("SPLIT('2. c'!B5381, "" "", True, True)"),"Streptococcus")</f>
        <v>Streptococcus</v>
      </c>
      <c r="D5381" t="str">
        <f>IFERROR(__xludf.DUMMYFUNCTION("""COMPUTED_VALUE"""),"gallolyticus")</f>
        <v>gallolyticus</v>
      </c>
      <c r="E5381" t="str">
        <f>IFERROR(__xludf.DUMMYFUNCTION("""COMPUTED_VALUE"""),"subsp.")</f>
        <v>subsp.</v>
      </c>
      <c r="F5381" t="str">
        <f>IFERROR(__xludf.DUMMYFUNCTION("""COMPUTED_VALUE"""),"gallolyticus")</f>
        <v>gallolyticus</v>
      </c>
      <c r="G5381" t="str">
        <f>IFERROR(__xludf.DUMMYFUNCTION("""COMPUTED_VALUE"""),"ATCC")</f>
        <v>ATCC</v>
      </c>
      <c r="H5381">
        <f>IFERROR(__xludf.DUMMYFUNCTION("""COMPUTED_VALUE"""),43143.0)</f>
        <v>43143</v>
      </c>
    </row>
    <row r="5382" ht="15.75" customHeight="1">
      <c r="A5382" t="str">
        <f t="shared" si="1"/>
        <v>S.gallolyticus</v>
      </c>
      <c r="B5382" s="5" t="s">
        <v>33089</v>
      </c>
      <c r="C5382" s="6" t="str">
        <f>IFERROR(__xludf.DUMMYFUNCTION("SPLIT('2. c'!B5382, "" "", True, True)"),"Streptococcus")</f>
        <v>Streptococcus</v>
      </c>
      <c r="D5382" t="str">
        <f>IFERROR(__xludf.DUMMYFUNCTION("""COMPUTED_VALUE"""),"gallolyticus")</f>
        <v>gallolyticus</v>
      </c>
      <c r="E5382" t="str">
        <f>IFERROR(__xludf.DUMMYFUNCTION("""COMPUTED_VALUE"""),"subsp.")</f>
        <v>subsp.</v>
      </c>
      <c r="F5382" t="str">
        <f>IFERROR(__xludf.DUMMYFUNCTION("""COMPUTED_VALUE"""),"gallolyticus")</f>
        <v>gallolyticus</v>
      </c>
      <c r="G5382" t="str">
        <f>IFERROR(__xludf.DUMMYFUNCTION("""COMPUTED_VALUE"""),"ATCC")</f>
        <v>ATCC</v>
      </c>
      <c r="H5382" t="str">
        <f>IFERROR(__xludf.DUMMYFUNCTION("""COMPUTED_VALUE"""),"BAA-2069")</f>
        <v>BAA-2069</v>
      </c>
    </row>
    <row r="5383" ht="15.75" customHeight="1">
      <c r="A5383" t="str">
        <f t="shared" si="1"/>
        <v>S.gallolyticus</v>
      </c>
      <c r="B5383" s="5" t="s">
        <v>33090</v>
      </c>
      <c r="C5383" s="6" t="str">
        <f>IFERROR(__xludf.DUMMYFUNCTION("SPLIT('2. c'!B5383, "" "", True, True)"),"Streptococcus")</f>
        <v>Streptococcus</v>
      </c>
      <c r="D5383" t="str">
        <f>IFERROR(__xludf.DUMMYFUNCTION("""COMPUTED_VALUE"""),"gallolyticus")</f>
        <v>gallolyticus</v>
      </c>
      <c r="E5383" t="str">
        <f>IFERROR(__xludf.DUMMYFUNCTION("""COMPUTED_VALUE"""),"UCN34")</f>
        <v>UCN34</v>
      </c>
    </row>
    <row r="5384" ht="15.75" customHeight="1">
      <c r="A5384" t="str">
        <f t="shared" si="1"/>
        <v>S.gordonii</v>
      </c>
      <c r="B5384" s="5" t="s">
        <v>33091</v>
      </c>
      <c r="C5384" s="6" t="str">
        <f>IFERROR(__xludf.DUMMYFUNCTION("SPLIT('2. c'!B5384, "" "", True, True)"),"Streptococcus")</f>
        <v>Streptococcus</v>
      </c>
      <c r="D5384" t="str">
        <f>IFERROR(__xludf.DUMMYFUNCTION("""COMPUTED_VALUE"""),"gordonii")</f>
        <v>gordonii</v>
      </c>
      <c r="E5384" t="str">
        <f>IFERROR(__xludf.DUMMYFUNCTION("""COMPUTED_VALUE"""),"str.")</f>
        <v>str.</v>
      </c>
      <c r="F5384" t="str">
        <f>IFERROR(__xludf.DUMMYFUNCTION("""COMPUTED_VALUE"""),"Challis")</f>
        <v>Challis</v>
      </c>
      <c r="G5384" t="str">
        <f>IFERROR(__xludf.DUMMYFUNCTION("""COMPUTED_VALUE"""),"substr.")</f>
        <v>substr.</v>
      </c>
      <c r="H5384" t="str">
        <f>IFERROR(__xludf.DUMMYFUNCTION("""COMPUTED_VALUE"""),"CH1")</f>
        <v>CH1</v>
      </c>
    </row>
    <row r="5385" ht="15.75" customHeight="1">
      <c r="A5385" t="str">
        <f t="shared" si="1"/>
        <v>S.gordonii</v>
      </c>
      <c r="B5385" s="5" t="s">
        <v>33092</v>
      </c>
      <c r="C5385" s="6" t="str">
        <f>IFERROR(__xludf.DUMMYFUNCTION("SPLIT('2. c'!B5385, "" "", True, True)"),"Streptococcus")</f>
        <v>Streptococcus</v>
      </c>
      <c r="D5385" t="str">
        <f>IFERROR(__xludf.DUMMYFUNCTION("""COMPUTED_VALUE"""),"gordonii")</f>
        <v>gordonii</v>
      </c>
      <c r="E5385" t="str">
        <f>IFERROR(__xludf.DUMMYFUNCTION("""COMPUTED_VALUE"""),"strain")</f>
        <v>strain</v>
      </c>
      <c r="F5385" t="str">
        <f>IFERROR(__xludf.DUMMYFUNCTION("""COMPUTED_VALUE"""),"KCOM")</f>
        <v>KCOM</v>
      </c>
      <c r="G5385">
        <f>IFERROR(__xludf.DUMMYFUNCTION("""COMPUTED_VALUE"""),1506.0)</f>
        <v>1506</v>
      </c>
      <c r="H5385" t="str">
        <f>IFERROR(__xludf.DUMMYFUNCTION("""COMPUTED_VALUE"""),"(=")</f>
        <v>(=</v>
      </c>
      <c r="I5385" t="str">
        <f>IFERROR(__xludf.DUMMYFUNCTION("""COMPUTED_VALUE"""),"ChDC")</f>
        <v>ChDC</v>
      </c>
      <c r="J5385" t="str">
        <f>IFERROR(__xludf.DUMMYFUNCTION("""COMPUTED_VALUE"""),"B679)")</f>
        <v>B679)</v>
      </c>
    </row>
    <row r="5386" ht="15.75" customHeight="1">
      <c r="A5386" t="str">
        <f t="shared" si="1"/>
        <v>S.infantarius</v>
      </c>
      <c r="B5386" s="5" t="s">
        <v>33093</v>
      </c>
      <c r="C5386" s="6" t="str">
        <f>IFERROR(__xludf.DUMMYFUNCTION("SPLIT('2. c'!B5386, "" "", True, True)"),"Streptococcus")</f>
        <v>Streptococcus</v>
      </c>
      <c r="D5386" t="str">
        <f>IFERROR(__xludf.DUMMYFUNCTION("""COMPUTED_VALUE"""),"infantarius")</f>
        <v>infantarius</v>
      </c>
      <c r="E5386" t="str">
        <f>IFERROR(__xludf.DUMMYFUNCTION("""COMPUTED_VALUE"""),"strain")</f>
        <v>strain</v>
      </c>
      <c r="F5386" t="str">
        <f>IFERROR(__xludf.DUMMYFUNCTION("""COMPUTED_VALUE"""),"ICDDRB-NRC-S5")</f>
        <v>ICDDRB-NRC-S5</v>
      </c>
    </row>
    <row r="5387" ht="15.75" customHeight="1">
      <c r="A5387" t="str">
        <f t="shared" si="1"/>
        <v>S.infantarius</v>
      </c>
      <c r="B5387" s="5" t="s">
        <v>33094</v>
      </c>
      <c r="C5387" s="6" t="str">
        <f>IFERROR(__xludf.DUMMYFUNCTION("SPLIT('2. c'!B5387, "" "", True, True)"),"Streptococcus")</f>
        <v>Streptococcus</v>
      </c>
      <c r="D5387" t="str">
        <f>IFERROR(__xludf.DUMMYFUNCTION("""COMPUTED_VALUE"""),"infantarius")</f>
        <v>infantarius</v>
      </c>
      <c r="E5387" t="str">
        <f>IFERROR(__xludf.DUMMYFUNCTION("""COMPUTED_VALUE"""),"subsp.")</f>
        <v>subsp.</v>
      </c>
      <c r="F5387" t="str">
        <f>IFERROR(__xludf.DUMMYFUNCTION("""COMPUTED_VALUE"""),"infantarius")</f>
        <v>infantarius</v>
      </c>
      <c r="G5387" t="str">
        <f>IFERROR(__xludf.DUMMYFUNCTION("""COMPUTED_VALUE"""),"CJ18")</f>
        <v>CJ18</v>
      </c>
    </row>
    <row r="5388" ht="15.75" customHeight="1">
      <c r="A5388" t="str">
        <f t="shared" si="1"/>
        <v>S.iniae</v>
      </c>
      <c r="B5388" s="5" t="s">
        <v>33095</v>
      </c>
      <c r="C5388" s="6" t="str">
        <f>IFERROR(__xludf.DUMMYFUNCTION("SPLIT('2. c'!B5388, "" "", True, True)"),"Streptococcus")</f>
        <v>Streptococcus</v>
      </c>
      <c r="D5388" t="str">
        <f>IFERROR(__xludf.DUMMYFUNCTION("""COMPUTED_VALUE"""),"iniae")</f>
        <v>iniae</v>
      </c>
      <c r="E5388" t="str">
        <f>IFERROR(__xludf.DUMMYFUNCTION("""COMPUTED_VALUE"""),"SF1")</f>
        <v>SF1</v>
      </c>
    </row>
    <row r="5389" ht="15.75" customHeight="1">
      <c r="A5389" t="str">
        <f t="shared" si="1"/>
        <v>S.iniae</v>
      </c>
      <c r="B5389" s="5" t="s">
        <v>33096</v>
      </c>
      <c r="C5389" s="6" t="str">
        <f>IFERROR(__xludf.DUMMYFUNCTION("SPLIT('2. c'!B5389, "" "", True, True)"),"Streptococcus")</f>
        <v>Streptococcus</v>
      </c>
      <c r="D5389" t="str">
        <f>IFERROR(__xludf.DUMMYFUNCTION("""COMPUTED_VALUE"""),"iniae")</f>
        <v>iniae</v>
      </c>
      <c r="E5389" t="str">
        <f>IFERROR(__xludf.DUMMYFUNCTION("""COMPUTED_VALUE"""),"strain")</f>
        <v>strain</v>
      </c>
      <c r="F5389" t="str">
        <f>IFERROR(__xludf.DUMMYFUNCTION("""COMPUTED_VALUE"""),"ISET0901")</f>
        <v>ISET0901</v>
      </c>
    </row>
    <row r="5390" ht="15.75" customHeight="1">
      <c r="A5390" t="str">
        <f t="shared" si="1"/>
        <v>S.iniae</v>
      </c>
      <c r="B5390" s="5" t="s">
        <v>33097</v>
      </c>
      <c r="C5390" s="6" t="str">
        <f>IFERROR(__xludf.DUMMYFUNCTION("SPLIT('2. c'!B5390, "" "", True, True)"),"Streptococcus")</f>
        <v>Streptococcus</v>
      </c>
      <c r="D5390" t="str">
        <f>IFERROR(__xludf.DUMMYFUNCTION("""COMPUTED_VALUE"""),"iniae")</f>
        <v>iniae</v>
      </c>
      <c r="E5390" t="str">
        <f>IFERROR(__xludf.DUMMYFUNCTION("""COMPUTED_VALUE"""),"strain")</f>
        <v>strain</v>
      </c>
      <c r="F5390" t="str">
        <f>IFERROR(__xludf.DUMMYFUNCTION("""COMPUTED_VALUE"""),"ISNO")</f>
        <v>ISNO</v>
      </c>
    </row>
    <row r="5391" ht="15.75" customHeight="1">
      <c r="A5391" t="str">
        <f t="shared" si="1"/>
        <v>S.iniae</v>
      </c>
      <c r="B5391" s="5" t="s">
        <v>33098</v>
      </c>
      <c r="C5391" s="6" t="str">
        <f>IFERROR(__xludf.DUMMYFUNCTION("SPLIT('2. c'!B5391, "" "", True, True)"),"Streptococcus")</f>
        <v>Streptococcus</v>
      </c>
      <c r="D5391" t="str">
        <f>IFERROR(__xludf.DUMMYFUNCTION("""COMPUTED_VALUE"""),"iniae")</f>
        <v>iniae</v>
      </c>
      <c r="E5391" t="str">
        <f>IFERROR(__xludf.DUMMYFUNCTION("""COMPUTED_VALUE"""),"strain")</f>
        <v>strain</v>
      </c>
      <c r="F5391" t="str">
        <f>IFERROR(__xludf.DUMMYFUNCTION("""COMPUTED_VALUE"""),"YSFST01-82")</f>
        <v>YSFST01-82</v>
      </c>
    </row>
    <row r="5392" ht="15.75" customHeight="1">
      <c r="A5392" t="str">
        <f t="shared" si="1"/>
        <v>S.intermedius</v>
      </c>
      <c r="B5392" s="5" t="s">
        <v>33099</v>
      </c>
      <c r="C5392" s="6" t="str">
        <f>IFERROR(__xludf.DUMMYFUNCTION("SPLIT('2. c'!B5392, "" "", True, True)"),"Streptococcus")</f>
        <v>Streptococcus</v>
      </c>
      <c r="D5392" t="str">
        <f>IFERROR(__xludf.DUMMYFUNCTION("""COMPUTED_VALUE"""),"intermedius")</f>
        <v>intermedius</v>
      </c>
      <c r="E5392" t="str">
        <f>IFERROR(__xludf.DUMMYFUNCTION("""COMPUTED_VALUE"""),"B196")</f>
        <v>B196</v>
      </c>
    </row>
    <row r="5393" ht="15.75" customHeight="1">
      <c r="A5393" t="str">
        <f t="shared" si="1"/>
        <v>S.intermedius</v>
      </c>
      <c r="B5393" s="5" t="s">
        <v>33100</v>
      </c>
      <c r="C5393" s="6" t="str">
        <f>IFERROR(__xludf.DUMMYFUNCTION("SPLIT('2. c'!B5393, "" "", True, True)"),"Streptococcus")</f>
        <v>Streptococcus</v>
      </c>
      <c r="D5393" t="str">
        <f>IFERROR(__xludf.DUMMYFUNCTION("""COMPUTED_VALUE"""),"intermedius")</f>
        <v>intermedius</v>
      </c>
      <c r="E5393" t="str">
        <f>IFERROR(__xludf.DUMMYFUNCTION("""COMPUTED_VALUE"""),"C270")</f>
        <v>C270</v>
      </c>
    </row>
    <row r="5394" ht="15.75" customHeight="1">
      <c r="A5394" t="str">
        <f t="shared" si="1"/>
        <v>S.intermedius</v>
      </c>
      <c r="B5394" s="5" t="s">
        <v>33101</v>
      </c>
      <c r="C5394" s="6" t="str">
        <f>IFERROR(__xludf.DUMMYFUNCTION("SPLIT('2. c'!B5394, "" "", True, True)"),"Streptococcus")</f>
        <v>Streptococcus</v>
      </c>
      <c r="D5394" t="str">
        <f>IFERROR(__xludf.DUMMYFUNCTION("""COMPUTED_VALUE"""),"intermedius")</f>
        <v>intermedius</v>
      </c>
      <c r="E5394" t="str">
        <f>IFERROR(__xludf.DUMMYFUNCTION("""COMPUTED_VALUE"""),"JTH08")</f>
        <v>JTH08</v>
      </c>
    </row>
    <row r="5395" ht="15.75" customHeight="1">
      <c r="A5395" t="str">
        <f t="shared" si="1"/>
        <v>S.intermedius</v>
      </c>
      <c r="B5395" s="5" t="s">
        <v>33102</v>
      </c>
      <c r="C5395" s="6" t="str">
        <f>IFERROR(__xludf.DUMMYFUNCTION("SPLIT('2. c'!B5395, "" "", True, True)"),"Streptococcus")</f>
        <v>Streptococcus</v>
      </c>
      <c r="D5395" t="str">
        <f>IFERROR(__xludf.DUMMYFUNCTION("""COMPUTED_VALUE"""),"intermedius")</f>
        <v>intermedius</v>
      </c>
      <c r="E5395" t="str">
        <f>IFERROR(__xludf.DUMMYFUNCTION("""COMPUTED_VALUE"""),"strain")</f>
        <v>strain</v>
      </c>
      <c r="F5395" t="str">
        <f>IFERROR(__xludf.DUMMYFUNCTION("""COMPUTED_VALUE"""),"KCOM")</f>
        <v>KCOM</v>
      </c>
      <c r="G5395">
        <f>IFERROR(__xludf.DUMMYFUNCTION("""COMPUTED_VALUE"""),1545.0)</f>
        <v>1545</v>
      </c>
      <c r="H5395" t="str">
        <f>IFERROR(__xludf.DUMMYFUNCTION("""COMPUTED_VALUE"""),"(=")</f>
        <v>(=</v>
      </c>
      <c r="I5395" t="str">
        <f>IFERROR(__xludf.DUMMYFUNCTION("""COMPUTED_VALUE"""),"ChDC")</f>
        <v>ChDC</v>
      </c>
      <c r="J5395" t="str">
        <f>IFERROR(__xludf.DUMMYFUNCTION("""COMPUTED_VALUE"""),"B718)")</f>
        <v>B718)</v>
      </c>
    </row>
    <row r="5396" ht="15.75" customHeight="1">
      <c r="A5396" t="str">
        <f t="shared" si="1"/>
        <v>S.lutetiensis</v>
      </c>
      <c r="B5396" s="5" t="s">
        <v>33103</v>
      </c>
      <c r="C5396" s="6" t="str">
        <f>IFERROR(__xludf.DUMMYFUNCTION("SPLIT('2. c'!B5396, "" "", True, True)"),"Streptococcus")</f>
        <v>Streptococcus</v>
      </c>
      <c r="D5396" t="str">
        <f>IFERROR(__xludf.DUMMYFUNCTION("""COMPUTED_VALUE"""),"lutetiensis")</f>
        <v>lutetiensis</v>
      </c>
      <c r="E5396">
        <f>IFERROR(__xludf.DUMMYFUNCTION("""COMPUTED_VALUE"""),33.0)</f>
        <v>33</v>
      </c>
    </row>
    <row r="5397" ht="15.75" customHeight="1">
      <c r="A5397" t="str">
        <f t="shared" si="1"/>
        <v>S.macedonicus</v>
      </c>
      <c r="B5397" s="5" t="s">
        <v>33104</v>
      </c>
      <c r="C5397" s="6" t="str">
        <f>IFERROR(__xludf.DUMMYFUNCTION("SPLIT('2. c'!B5397, "" "", True, True)"),"Streptococcus")</f>
        <v>Streptococcus</v>
      </c>
      <c r="D5397" t="str">
        <f>IFERROR(__xludf.DUMMYFUNCTION("""COMPUTED_VALUE"""),"macedonicus")</f>
        <v>macedonicus</v>
      </c>
      <c r="E5397" t="str">
        <f>IFERROR(__xludf.DUMMYFUNCTION("""COMPUTED_VALUE"""),"ACA-DC")</f>
        <v>ACA-DC</v>
      </c>
      <c r="F5397">
        <f>IFERROR(__xludf.DUMMYFUNCTION("""COMPUTED_VALUE"""),198.0)</f>
        <v>198</v>
      </c>
    </row>
    <row r="5398" ht="15.75" customHeight="1">
      <c r="A5398" t="str">
        <f t="shared" si="1"/>
        <v>S.mitis</v>
      </c>
      <c r="B5398" s="5" t="s">
        <v>33105</v>
      </c>
      <c r="C5398" s="6" t="str">
        <f>IFERROR(__xludf.DUMMYFUNCTION("SPLIT('2. c'!B5398, "" "", True, True)"),"Streptococcus")</f>
        <v>Streptococcus</v>
      </c>
      <c r="D5398" t="str">
        <f>IFERROR(__xludf.DUMMYFUNCTION("""COMPUTED_VALUE"""),"mitis")</f>
        <v>mitis</v>
      </c>
      <c r="E5398" t="str">
        <f>IFERROR(__xludf.DUMMYFUNCTION("""COMPUTED_VALUE"""),"B6")</f>
        <v>B6</v>
      </c>
    </row>
    <row r="5399" ht="15.75" customHeight="1">
      <c r="A5399" t="str">
        <f t="shared" si="1"/>
        <v>S.mitis</v>
      </c>
      <c r="B5399" s="5" t="s">
        <v>33106</v>
      </c>
      <c r="C5399" s="6" t="str">
        <f>IFERROR(__xludf.DUMMYFUNCTION("SPLIT('2. c'!B5399, "" "", True, True)"),"Streptococcus")</f>
        <v>Streptococcus</v>
      </c>
      <c r="D5399" t="str">
        <f>IFERROR(__xludf.DUMMYFUNCTION("""COMPUTED_VALUE"""),"mitis")</f>
        <v>mitis</v>
      </c>
      <c r="E5399" t="str">
        <f>IFERROR(__xludf.DUMMYFUNCTION("""COMPUTED_VALUE"""),"strain")</f>
        <v>strain</v>
      </c>
      <c r="F5399" t="str">
        <f>IFERROR(__xludf.DUMMYFUNCTION("""COMPUTED_VALUE"""),"KCOM")</f>
        <v>KCOM</v>
      </c>
      <c r="G5399">
        <f>IFERROR(__xludf.DUMMYFUNCTION("""COMPUTED_VALUE"""),1350.0)</f>
        <v>1350</v>
      </c>
      <c r="H5399" t="str">
        <f>IFERROR(__xludf.DUMMYFUNCTION("""COMPUTED_VALUE"""),"(=ChDC")</f>
        <v>(=ChDC</v>
      </c>
      <c r="I5399" t="str">
        <f>IFERROR(__xludf.DUMMYFUNCTION("""COMPUTED_VALUE"""),"B183)")</f>
        <v>B183)</v>
      </c>
    </row>
    <row r="5400" ht="15.75" customHeight="1">
      <c r="A5400" t="str">
        <f t="shared" si="1"/>
        <v>S.mitis</v>
      </c>
      <c r="B5400" s="5" t="s">
        <v>33107</v>
      </c>
      <c r="C5400" s="6" t="str">
        <f>IFERROR(__xludf.DUMMYFUNCTION("SPLIT('2. c'!B5400, "" "", True, True)"),"Streptococcus")</f>
        <v>Streptococcus</v>
      </c>
      <c r="D5400" t="str">
        <f>IFERROR(__xludf.DUMMYFUNCTION("""COMPUTED_VALUE"""),"mitis")</f>
        <v>mitis</v>
      </c>
      <c r="E5400" t="str">
        <f>IFERROR(__xludf.DUMMYFUNCTION("""COMPUTED_VALUE"""),"strain")</f>
        <v>strain</v>
      </c>
      <c r="F5400" t="str">
        <f>IFERROR(__xludf.DUMMYFUNCTION("""COMPUTED_VALUE"""),"SVGS_061")</f>
        <v>SVGS_061</v>
      </c>
    </row>
    <row r="5401" ht="15.75" customHeight="1">
      <c r="A5401" t="str">
        <f t="shared" si="1"/>
        <v>S.mutans</v>
      </c>
      <c r="B5401" s="5" t="s">
        <v>33108</v>
      </c>
      <c r="C5401" s="6" t="str">
        <f>IFERROR(__xludf.DUMMYFUNCTION("SPLIT('2. c'!B5401, "" "", True, True)"),"Streptococcus")</f>
        <v>Streptococcus</v>
      </c>
      <c r="D5401" t="str">
        <f>IFERROR(__xludf.DUMMYFUNCTION("""COMPUTED_VALUE"""),"mutans")</f>
        <v>mutans</v>
      </c>
      <c r="E5401" t="str">
        <f>IFERROR(__xludf.DUMMYFUNCTION("""COMPUTED_VALUE"""),"GS-5")</f>
        <v>GS-5</v>
      </c>
    </row>
    <row r="5402" ht="15.75" customHeight="1">
      <c r="A5402" t="str">
        <f t="shared" si="1"/>
        <v>S.mutans</v>
      </c>
      <c r="B5402" s="5" t="s">
        <v>33109</v>
      </c>
      <c r="C5402" s="6" t="str">
        <f>IFERROR(__xludf.DUMMYFUNCTION("SPLIT('2. c'!B5402, "" "", True, True)"),"Streptococcus")</f>
        <v>Streptococcus</v>
      </c>
      <c r="D5402" t="str">
        <f>IFERROR(__xludf.DUMMYFUNCTION("""COMPUTED_VALUE"""),"mutans")</f>
        <v>mutans</v>
      </c>
      <c r="E5402" t="str">
        <f>IFERROR(__xludf.DUMMYFUNCTION("""COMPUTED_VALUE"""),"LJ23")</f>
        <v>LJ23</v>
      </c>
    </row>
    <row r="5403" ht="15.75" customHeight="1">
      <c r="A5403" t="str">
        <f t="shared" si="1"/>
        <v>S.mutans</v>
      </c>
      <c r="B5403" s="5" t="s">
        <v>33110</v>
      </c>
      <c r="C5403" s="6" t="str">
        <f>IFERROR(__xludf.DUMMYFUNCTION("SPLIT('2. c'!B5403, "" "", True, True)"),"Streptococcus")</f>
        <v>Streptococcus</v>
      </c>
      <c r="D5403" t="str">
        <f>IFERROR(__xludf.DUMMYFUNCTION("""COMPUTED_VALUE"""),"mutans")</f>
        <v>mutans</v>
      </c>
      <c r="E5403" t="str">
        <f>IFERROR(__xludf.DUMMYFUNCTION("""COMPUTED_VALUE"""),"NN2025")</f>
        <v>NN2025</v>
      </c>
    </row>
    <row r="5404" ht="15.75" customHeight="1">
      <c r="A5404" t="str">
        <f t="shared" si="1"/>
        <v>S.mutans</v>
      </c>
      <c r="B5404" s="5" t="s">
        <v>33111</v>
      </c>
      <c r="C5404" s="6" t="str">
        <f>IFERROR(__xludf.DUMMYFUNCTION("SPLIT('2. c'!B5404, "" "", True, True)"),"Streptococcus")</f>
        <v>Streptococcus</v>
      </c>
      <c r="D5404" t="str">
        <f>IFERROR(__xludf.DUMMYFUNCTION("""COMPUTED_VALUE"""),"mutans")</f>
        <v>mutans</v>
      </c>
      <c r="E5404" t="str">
        <f>IFERROR(__xludf.DUMMYFUNCTION("""COMPUTED_VALUE"""),"strain")</f>
        <v>strain</v>
      </c>
      <c r="F5404" t="str">
        <f>IFERROR(__xludf.DUMMYFUNCTION("""COMPUTED_VALUE"""),"NG8")</f>
        <v>NG8</v>
      </c>
    </row>
    <row r="5405" ht="15.75" customHeight="1">
      <c r="A5405" t="str">
        <f t="shared" si="1"/>
        <v>S.mutans</v>
      </c>
      <c r="B5405" s="5" t="s">
        <v>33112</v>
      </c>
      <c r="C5405" s="6" t="str">
        <f>IFERROR(__xludf.DUMMYFUNCTION("SPLIT('2. c'!B5405, "" "", True, True)"),"Streptococcus")</f>
        <v>Streptococcus</v>
      </c>
      <c r="D5405" t="str">
        <f>IFERROR(__xludf.DUMMYFUNCTION("""COMPUTED_VALUE"""),"mutans")</f>
        <v>mutans</v>
      </c>
      <c r="E5405" t="str">
        <f>IFERROR(__xludf.DUMMYFUNCTION("""COMPUTED_VALUE"""),"UA159")</f>
        <v>UA159</v>
      </c>
    </row>
    <row r="5406" ht="15.75" customHeight="1">
      <c r="A5406" t="str">
        <f t="shared" si="1"/>
        <v>S.mutans</v>
      </c>
      <c r="B5406" s="5" t="s">
        <v>33113</v>
      </c>
      <c r="C5406" s="6" t="str">
        <f>IFERROR(__xludf.DUMMYFUNCTION("SPLIT('2. c'!B5406, "" "", True, True)"),"Streptococcus")</f>
        <v>Streptococcus</v>
      </c>
      <c r="D5406" t="str">
        <f>IFERROR(__xludf.DUMMYFUNCTION("""COMPUTED_VALUE"""),"mutans")</f>
        <v>mutans</v>
      </c>
      <c r="E5406" t="str">
        <f>IFERROR(__xludf.DUMMYFUNCTION("""COMPUTED_VALUE"""),"UA159-FR")</f>
        <v>UA159-FR</v>
      </c>
    </row>
    <row r="5407" ht="15.75" customHeight="1">
      <c r="A5407" t="str">
        <f t="shared" si="1"/>
        <v>S.oligofermentans</v>
      </c>
      <c r="B5407" s="5" t="s">
        <v>33114</v>
      </c>
      <c r="C5407" s="6" t="str">
        <f>IFERROR(__xludf.DUMMYFUNCTION("SPLIT('2. c'!B5407, "" "", True, True)"),"Streptococcus")</f>
        <v>Streptococcus</v>
      </c>
      <c r="D5407" t="str">
        <f>IFERROR(__xludf.DUMMYFUNCTION("""COMPUTED_VALUE"""),"oligofermentans")</f>
        <v>oligofermentans</v>
      </c>
      <c r="E5407" t="str">
        <f>IFERROR(__xludf.DUMMYFUNCTION("""COMPUTED_VALUE"""),"AS")</f>
        <v>AS</v>
      </c>
      <c r="F5407" s="14">
        <f>IFERROR(__xludf.DUMMYFUNCTION("""COMPUTED_VALUE"""),434276.0)</f>
        <v>434276</v>
      </c>
    </row>
    <row r="5408" ht="15.75" customHeight="1">
      <c r="A5408" t="str">
        <f t="shared" si="1"/>
        <v>S.oralis</v>
      </c>
      <c r="B5408" s="5" t="s">
        <v>33115</v>
      </c>
      <c r="C5408" s="6" t="str">
        <f>IFERROR(__xludf.DUMMYFUNCTION("SPLIT('2. c'!B5408, "" "", True, True)"),"Streptococcus")</f>
        <v>Streptococcus</v>
      </c>
      <c r="D5408" t="str">
        <f>IFERROR(__xludf.DUMMYFUNCTION("""COMPUTED_VALUE"""),"oralis")</f>
        <v>oralis</v>
      </c>
      <c r="E5408" t="str">
        <f>IFERROR(__xludf.DUMMYFUNCTION("""COMPUTED_VALUE"""),"Uo5")</f>
        <v>Uo5</v>
      </c>
    </row>
    <row r="5409" ht="15.75" customHeight="1">
      <c r="A5409" t="str">
        <f t="shared" si="1"/>
        <v>S.parasanguinis</v>
      </c>
      <c r="B5409" s="5" t="s">
        <v>33116</v>
      </c>
      <c r="C5409" s="6" t="str">
        <f>IFERROR(__xludf.DUMMYFUNCTION("SPLIT('2. c'!B5409, "" "", True, True)"),"Streptococcus")</f>
        <v>Streptococcus</v>
      </c>
      <c r="D5409" t="str">
        <f>IFERROR(__xludf.DUMMYFUNCTION("""COMPUTED_VALUE"""),"parasanguinis")</f>
        <v>parasanguinis</v>
      </c>
      <c r="E5409" t="str">
        <f>IFERROR(__xludf.DUMMYFUNCTION("""COMPUTED_VALUE"""),"FW213")</f>
        <v>FW213</v>
      </c>
    </row>
    <row r="5410" ht="15.75" customHeight="1">
      <c r="A5410" t="str">
        <f t="shared" si="1"/>
        <v>S.parauberis</v>
      </c>
      <c r="B5410" s="5" t="s">
        <v>33117</v>
      </c>
      <c r="C5410" s="6" t="str">
        <f>IFERROR(__xludf.DUMMYFUNCTION("SPLIT('2. c'!B5410, "" "", True, True)"),"Streptococcus")</f>
        <v>Streptococcus</v>
      </c>
      <c r="D5410" t="str">
        <f>IFERROR(__xludf.DUMMYFUNCTION("""COMPUTED_VALUE"""),"parauberis")</f>
        <v>parauberis</v>
      </c>
      <c r="E5410" t="str">
        <f>IFERROR(__xludf.DUMMYFUNCTION("""COMPUTED_VALUE"""),"KCTC")</f>
        <v>KCTC</v>
      </c>
      <c r="F5410">
        <f>IFERROR(__xludf.DUMMYFUNCTION("""COMPUTED_VALUE"""),11537.0)</f>
        <v>11537</v>
      </c>
    </row>
    <row r="5411" ht="15.75" customHeight="1">
      <c r="A5411" t="str">
        <f t="shared" si="1"/>
        <v>S.pasteurianus</v>
      </c>
      <c r="B5411" s="5" t="s">
        <v>33118</v>
      </c>
      <c r="C5411" s="6" t="str">
        <f>IFERROR(__xludf.DUMMYFUNCTION("SPLIT('2. c'!B5411, "" "", True, True)"),"Streptococcus")</f>
        <v>Streptococcus</v>
      </c>
      <c r="D5411" t="str">
        <f>IFERROR(__xludf.DUMMYFUNCTION("""COMPUTED_VALUE"""),"pasteurianus")</f>
        <v>pasteurianus</v>
      </c>
      <c r="E5411" t="str">
        <f>IFERROR(__xludf.DUMMYFUNCTION("""COMPUTED_VALUE"""),"ATCC")</f>
        <v>ATCC</v>
      </c>
      <c r="F5411">
        <f>IFERROR(__xludf.DUMMYFUNCTION("""COMPUTED_VALUE"""),43144.0)</f>
        <v>43144</v>
      </c>
    </row>
    <row r="5412" ht="15.75" customHeight="1">
      <c r="A5412" t="str">
        <f t="shared" si="1"/>
        <v>S.pneumoniae</v>
      </c>
      <c r="B5412" s="5" t="s">
        <v>33119</v>
      </c>
      <c r="C5412" s="6" t="str">
        <f>IFERROR(__xludf.DUMMYFUNCTION("SPLIT('2. c'!B5412, "" "", True, True)"),"Streptococcus")</f>
        <v>Streptococcus</v>
      </c>
      <c r="D5412" t="str">
        <f>IFERROR(__xludf.DUMMYFUNCTION("""COMPUTED_VALUE"""),"pneumoniae")</f>
        <v>pneumoniae</v>
      </c>
      <c r="E5412" t="str">
        <f>IFERROR(__xludf.DUMMYFUNCTION("""COMPUTED_VALUE"""),"670-6B")</f>
        <v>670-6B</v>
      </c>
    </row>
    <row r="5413" ht="15.75" customHeight="1">
      <c r="A5413" t="str">
        <f t="shared" si="1"/>
        <v>S.pneumoniae</v>
      </c>
      <c r="B5413" s="5" t="s">
        <v>33120</v>
      </c>
      <c r="C5413" s="6" t="str">
        <f>IFERROR(__xludf.DUMMYFUNCTION("SPLIT('2. c'!B5413, "" "", True, True)"),"Streptococcus")</f>
        <v>Streptococcus</v>
      </c>
      <c r="D5413" t="str">
        <f>IFERROR(__xludf.DUMMYFUNCTION("""COMPUTED_VALUE"""),"pneumoniae")</f>
        <v>pneumoniae</v>
      </c>
      <c r="E5413">
        <f>IFERROR(__xludf.DUMMYFUNCTION("""COMPUTED_VALUE"""),70585.0)</f>
        <v>70585</v>
      </c>
    </row>
    <row r="5414" ht="15.75" customHeight="1">
      <c r="A5414" t="str">
        <f t="shared" si="1"/>
        <v>S.pneumoniae</v>
      </c>
      <c r="B5414" s="5" t="s">
        <v>33121</v>
      </c>
      <c r="C5414" s="6" t="str">
        <f>IFERROR(__xludf.DUMMYFUNCTION("SPLIT('2. c'!B5414, "" "", True, True)"),"Streptococcus")</f>
        <v>Streptococcus</v>
      </c>
      <c r="D5414" t="str">
        <f>IFERROR(__xludf.DUMMYFUNCTION("""COMPUTED_VALUE"""),"pneumoniae")</f>
        <v>pneumoniae</v>
      </c>
      <c r="E5414" t="str">
        <f>IFERROR(__xludf.DUMMYFUNCTION("""COMPUTED_VALUE"""),"A026")</f>
        <v>A026</v>
      </c>
    </row>
    <row r="5415" ht="15.75" customHeight="1">
      <c r="A5415" t="str">
        <f t="shared" si="1"/>
        <v>S.pneumoniae</v>
      </c>
      <c r="B5415" s="5" t="s">
        <v>33122</v>
      </c>
      <c r="C5415" s="6" t="str">
        <f>IFERROR(__xludf.DUMMYFUNCTION("SPLIT('2. c'!B5415, "" "", True, True)"),"Streptococcus")</f>
        <v>Streptococcus</v>
      </c>
      <c r="D5415" t="str">
        <f>IFERROR(__xludf.DUMMYFUNCTION("""COMPUTED_VALUE"""),"pneumoniae")</f>
        <v>pneumoniae</v>
      </c>
      <c r="E5415" t="str">
        <f>IFERROR(__xludf.DUMMYFUNCTION("""COMPUTED_VALUE"""),"AP200")</f>
        <v>AP200</v>
      </c>
    </row>
    <row r="5416" ht="15.75" customHeight="1">
      <c r="A5416" t="str">
        <f t="shared" si="1"/>
        <v>S.pneumoniae</v>
      </c>
      <c r="B5416" s="5" t="s">
        <v>33123</v>
      </c>
      <c r="C5416" s="6" t="str">
        <f>IFERROR(__xludf.DUMMYFUNCTION("SPLIT('2. c'!B5416, "" "", True, True)"),"Streptococcus")</f>
        <v>Streptococcus</v>
      </c>
      <c r="D5416" t="str">
        <f>IFERROR(__xludf.DUMMYFUNCTION("""COMPUTED_VALUE"""),"pneumoniae")</f>
        <v>pneumoniae</v>
      </c>
      <c r="E5416" t="str">
        <f>IFERROR(__xludf.DUMMYFUNCTION("""COMPUTED_VALUE"""),"ATCC")</f>
        <v>ATCC</v>
      </c>
      <c r="F5416">
        <f>IFERROR(__xludf.DUMMYFUNCTION("""COMPUTED_VALUE"""),700669.0)</f>
        <v>700669</v>
      </c>
    </row>
    <row r="5417" ht="15.75" customHeight="1">
      <c r="A5417" t="str">
        <f t="shared" si="1"/>
        <v>S.pneumoniae</v>
      </c>
      <c r="B5417" s="5" t="s">
        <v>33124</v>
      </c>
      <c r="C5417" s="6" t="str">
        <f>IFERROR(__xludf.DUMMYFUNCTION("SPLIT('2. c'!B5417, "" "", True, True)"),"Streptococcus")</f>
        <v>Streptococcus</v>
      </c>
      <c r="D5417" t="str">
        <f>IFERROR(__xludf.DUMMYFUNCTION("""COMPUTED_VALUE"""),"pneumoniae")</f>
        <v>pneumoniae</v>
      </c>
      <c r="E5417" t="str">
        <f>IFERROR(__xludf.DUMMYFUNCTION("""COMPUTED_VALUE"""),"CGSP14")</f>
        <v>CGSP14</v>
      </c>
    </row>
    <row r="5418" ht="15.75" customHeight="1">
      <c r="A5418" t="str">
        <f t="shared" si="1"/>
        <v>S.pneumoniae</v>
      </c>
      <c r="B5418" s="5" t="s">
        <v>33125</v>
      </c>
      <c r="C5418" s="6" t="str">
        <f>IFERROR(__xludf.DUMMYFUNCTION("SPLIT('2. c'!B5418, "" "", True, True)"),"Streptococcus")</f>
        <v>Streptococcus</v>
      </c>
      <c r="D5418" t="str">
        <f>IFERROR(__xludf.DUMMYFUNCTION("""COMPUTED_VALUE"""),"pneumoniae")</f>
        <v>pneumoniae</v>
      </c>
      <c r="E5418" t="str">
        <f>IFERROR(__xludf.DUMMYFUNCTION("""COMPUTED_VALUE"""),"D39")</f>
        <v>D39</v>
      </c>
    </row>
    <row r="5419" ht="15.75" customHeight="1">
      <c r="A5419" t="str">
        <f t="shared" si="1"/>
        <v>S.pneumoniae</v>
      </c>
      <c r="B5419" s="5" t="s">
        <v>33126</v>
      </c>
      <c r="C5419" s="6" t="str">
        <f>IFERROR(__xludf.DUMMYFUNCTION("SPLIT('2. c'!B5419, "" "", True, True)"),"Streptococcus")</f>
        <v>Streptococcus</v>
      </c>
      <c r="D5419" t="str">
        <f>IFERROR(__xludf.DUMMYFUNCTION("""COMPUTED_VALUE"""),"pneumoniae")</f>
        <v>pneumoniae</v>
      </c>
      <c r="E5419" t="str">
        <f>IFERROR(__xludf.DUMMYFUNCTION("""COMPUTED_VALUE"""),"G54")</f>
        <v>G54</v>
      </c>
    </row>
    <row r="5420" ht="15.75" customHeight="1">
      <c r="A5420" t="str">
        <f t="shared" si="1"/>
        <v>S.pneumoniae</v>
      </c>
      <c r="B5420" s="5" t="s">
        <v>33127</v>
      </c>
      <c r="C5420" s="6" t="str">
        <f>IFERROR(__xludf.DUMMYFUNCTION("SPLIT('2. c'!B5420, "" "", True, True)"),"Streptococcus")</f>
        <v>Streptococcus</v>
      </c>
      <c r="D5420" t="str">
        <f>IFERROR(__xludf.DUMMYFUNCTION("""COMPUTED_VALUE"""),"pneumoniae")</f>
        <v>pneumoniae</v>
      </c>
      <c r="E5420" t="str">
        <f>IFERROR(__xludf.DUMMYFUNCTION("""COMPUTED_VALUE"""),"gamPNI0373")</f>
        <v>gamPNI0373</v>
      </c>
    </row>
    <row r="5421" ht="15.75" customHeight="1">
      <c r="A5421" t="str">
        <f t="shared" si="1"/>
        <v>S.pneumoniae</v>
      </c>
      <c r="B5421" s="5" t="s">
        <v>33128</v>
      </c>
      <c r="C5421" s="6" t="str">
        <f>IFERROR(__xludf.DUMMYFUNCTION("SPLIT('2. c'!B5421, "" "", True, True)"),"Streptococcus")</f>
        <v>Streptococcus</v>
      </c>
      <c r="D5421" t="str">
        <f>IFERROR(__xludf.DUMMYFUNCTION("""COMPUTED_VALUE"""),"pneumoniae")</f>
        <v>pneumoniae</v>
      </c>
      <c r="E5421" t="str">
        <f>IFERROR(__xludf.DUMMYFUNCTION("""COMPUTED_VALUE"""),"Hungary19A-6")</f>
        <v>Hungary19A-6</v>
      </c>
    </row>
    <row r="5422" ht="15.75" customHeight="1">
      <c r="A5422" t="str">
        <f t="shared" si="1"/>
        <v>S.pneumoniae</v>
      </c>
      <c r="B5422" s="5" t="s">
        <v>33129</v>
      </c>
      <c r="C5422" s="6" t="str">
        <f>IFERROR(__xludf.DUMMYFUNCTION("SPLIT('2. c'!B5422, "" "", True, True)"),"Streptococcus")</f>
        <v>Streptococcus</v>
      </c>
      <c r="D5422" t="str">
        <f>IFERROR(__xludf.DUMMYFUNCTION("""COMPUTED_VALUE"""),"pneumoniae")</f>
        <v>pneumoniae</v>
      </c>
      <c r="E5422" t="str">
        <f>IFERROR(__xludf.DUMMYFUNCTION("""COMPUTED_VALUE"""),"INV104")</f>
        <v>INV104</v>
      </c>
    </row>
    <row r="5423" ht="15.75" customHeight="1">
      <c r="A5423" t="str">
        <f t="shared" si="1"/>
        <v>S.pneumoniae</v>
      </c>
      <c r="B5423" s="5" t="s">
        <v>33130</v>
      </c>
      <c r="C5423" s="6" t="str">
        <f>IFERROR(__xludf.DUMMYFUNCTION("SPLIT('2. c'!B5423, "" "", True, True)"),"Streptococcus")</f>
        <v>Streptococcus</v>
      </c>
      <c r="D5423" t="str">
        <f>IFERROR(__xludf.DUMMYFUNCTION("""COMPUTED_VALUE"""),"pneumoniae")</f>
        <v>pneumoniae</v>
      </c>
      <c r="E5423" t="str">
        <f>IFERROR(__xludf.DUMMYFUNCTION("""COMPUTED_VALUE"""),"INV200")</f>
        <v>INV200</v>
      </c>
    </row>
    <row r="5424" ht="15.75" customHeight="1">
      <c r="A5424" t="str">
        <f t="shared" si="1"/>
        <v>S.pneumoniae</v>
      </c>
      <c r="B5424" s="5" t="s">
        <v>33131</v>
      </c>
      <c r="C5424" s="6" t="str">
        <f>IFERROR(__xludf.DUMMYFUNCTION("SPLIT('2. c'!B5424, "" "", True, True)"),"Streptococcus")</f>
        <v>Streptococcus</v>
      </c>
      <c r="D5424" t="str">
        <f>IFERROR(__xludf.DUMMYFUNCTION("""COMPUTED_VALUE"""),"pneumoniae")</f>
        <v>pneumoniae</v>
      </c>
      <c r="E5424" t="str">
        <f>IFERROR(__xludf.DUMMYFUNCTION("""COMPUTED_VALUE"""),"JJA")</f>
        <v>JJA</v>
      </c>
    </row>
    <row r="5425" ht="15.75" customHeight="1">
      <c r="A5425" t="str">
        <f t="shared" si="1"/>
        <v>S.pneumoniae</v>
      </c>
      <c r="B5425" s="5" t="s">
        <v>33132</v>
      </c>
      <c r="C5425" s="6" t="str">
        <f>IFERROR(__xludf.DUMMYFUNCTION("SPLIT('2. c'!B5425, "" "", True, True)"),"Streptococcus")</f>
        <v>Streptococcus</v>
      </c>
      <c r="D5425" t="str">
        <f>IFERROR(__xludf.DUMMYFUNCTION("""COMPUTED_VALUE"""),"pneumoniae")</f>
        <v>pneumoniae</v>
      </c>
      <c r="E5425" t="str">
        <f>IFERROR(__xludf.DUMMYFUNCTION("""COMPUTED_VALUE"""),"NT_110_58")</f>
        <v>NT_110_58</v>
      </c>
    </row>
    <row r="5426" ht="15.75" customHeight="1">
      <c r="A5426" t="str">
        <f t="shared" si="1"/>
        <v>S.pneumoniae</v>
      </c>
      <c r="B5426" s="5" t="s">
        <v>33133</v>
      </c>
      <c r="C5426" s="6" t="str">
        <f>IFERROR(__xludf.DUMMYFUNCTION("SPLIT('2. c'!B5426, "" "", True, True)"),"Streptococcus")</f>
        <v>Streptococcus</v>
      </c>
      <c r="D5426" t="str">
        <f>IFERROR(__xludf.DUMMYFUNCTION("""COMPUTED_VALUE"""),"pneumoniae")</f>
        <v>pneumoniae</v>
      </c>
      <c r="E5426" t="str">
        <f>IFERROR(__xludf.DUMMYFUNCTION("""COMPUTED_VALUE"""),"OXC141")</f>
        <v>OXC141</v>
      </c>
    </row>
    <row r="5427" ht="15.75" customHeight="1">
      <c r="A5427" t="str">
        <f t="shared" si="1"/>
        <v>S.pneumoniae</v>
      </c>
      <c r="B5427" s="5" t="s">
        <v>33134</v>
      </c>
      <c r="C5427" s="6" t="str">
        <f>IFERROR(__xludf.DUMMYFUNCTION("SPLIT('2. c'!B5427, "" "", True, True)"),"Streptococcus")</f>
        <v>Streptococcus</v>
      </c>
      <c r="D5427" t="str">
        <f>IFERROR(__xludf.DUMMYFUNCTION("""COMPUTED_VALUE"""),"pneumoniae")</f>
        <v>pneumoniae</v>
      </c>
      <c r="E5427" t="str">
        <f>IFERROR(__xludf.DUMMYFUNCTION("""COMPUTED_VALUE"""),"P1031")</f>
        <v>P1031</v>
      </c>
    </row>
    <row r="5428" ht="15.75" customHeight="1">
      <c r="A5428" t="str">
        <f t="shared" si="1"/>
        <v>S.pneumoniae</v>
      </c>
      <c r="B5428" s="5" t="s">
        <v>33135</v>
      </c>
      <c r="C5428" s="6" t="str">
        <f>IFERROR(__xludf.DUMMYFUNCTION("SPLIT('2. c'!B5428, "" "", True, True)"),"Streptococcus")</f>
        <v>Streptococcus</v>
      </c>
      <c r="D5428" t="str">
        <f>IFERROR(__xludf.DUMMYFUNCTION("""COMPUTED_VALUE"""),"pneumoniae")</f>
        <v>pneumoniae</v>
      </c>
      <c r="E5428" t="str">
        <f>IFERROR(__xludf.DUMMYFUNCTION("""COMPUTED_VALUE"""),"R6")</f>
        <v>R6</v>
      </c>
    </row>
    <row r="5429" ht="15.75" customHeight="1">
      <c r="A5429" t="str">
        <f t="shared" si="1"/>
        <v>S.pneumoniae</v>
      </c>
      <c r="B5429" s="5" t="s">
        <v>33136</v>
      </c>
      <c r="C5429" s="6" t="str">
        <f>IFERROR(__xludf.DUMMYFUNCTION("SPLIT('2. c'!B5429, "" "", True, True)"),"Streptococcus")</f>
        <v>Streptococcus</v>
      </c>
      <c r="D5429" t="str">
        <f>IFERROR(__xludf.DUMMYFUNCTION("""COMPUTED_VALUE"""),"pneumoniae")</f>
        <v>pneumoniae</v>
      </c>
      <c r="E5429" t="str">
        <f>IFERROR(__xludf.DUMMYFUNCTION("""COMPUTED_VALUE"""),"SPN032672")</f>
        <v>SPN032672</v>
      </c>
    </row>
    <row r="5430" ht="15.75" customHeight="1">
      <c r="A5430" t="str">
        <f t="shared" si="1"/>
        <v>S.pneumoniae</v>
      </c>
      <c r="B5430" s="5" t="s">
        <v>33137</v>
      </c>
      <c r="C5430" s="6" t="str">
        <f>IFERROR(__xludf.DUMMYFUNCTION("SPLIT('2. c'!B5430, "" "", True, True)"),"Streptococcus")</f>
        <v>Streptococcus</v>
      </c>
      <c r="D5430" t="str">
        <f>IFERROR(__xludf.DUMMYFUNCTION("""COMPUTED_VALUE"""),"pneumoniae")</f>
        <v>pneumoniae</v>
      </c>
      <c r="E5430" t="str">
        <f>IFERROR(__xludf.DUMMYFUNCTION("""COMPUTED_VALUE"""),"SPN033038")</f>
        <v>SPN033038</v>
      </c>
    </row>
    <row r="5431" ht="15.75" customHeight="1">
      <c r="A5431" t="str">
        <f t="shared" si="1"/>
        <v>S.pneumoniae</v>
      </c>
      <c r="B5431" s="5" t="s">
        <v>33138</v>
      </c>
      <c r="C5431" s="6" t="str">
        <f>IFERROR(__xludf.DUMMYFUNCTION("SPLIT('2. c'!B5431, "" "", True, True)"),"Streptococcus")</f>
        <v>Streptococcus</v>
      </c>
      <c r="D5431" t="str">
        <f>IFERROR(__xludf.DUMMYFUNCTION("""COMPUTED_VALUE"""),"pneumoniae")</f>
        <v>pneumoniae</v>
      </c>
      <c r="E5431" t="str">
        <f>IFERROR(__xludf.DUMMYFUNCTION("""COMPUTED_VALUE"""),"SPN034156")</f>
        <v>SPN034156</v>
      </c>
    </row>
    <row r="5432" ht="15.75" customHeight="1">
      <c r="A5432" t="str">
        <f t="shared" si="1"/>
        <v>S.pneumoniae</v>
      </c>
      <c r="B5432" s="5" t="s">
        <v>33139</v>
      </c>
      <c r="C5432" s="6" t="str">
        <f>IFERROR(__xludf.DUMMYFUNCTION("SPLIT('2. c'!B5432, "" "", True, True)"),"Streptococcus")</f>
        <v>Streptococcus</v>
      </c>
      <c r="D5432" t="str">
        <f>IFERROR(__xludf.DUMMYFUNCTION("""COMPUTED_VALUE"""),"pneumoniae")</f>
        <v>pneumoniae</v>
      </c>
      <c r="E5432" t="str">
        <f>IFERROR(__xludf.DUMMYFUNCTION("""COMPUTED_VALUE"""),"SPN034183")</f>
        <v>SPN034183</v>
      </c>
    </row>
    <row r="5433" ht="15.75" customHeight="1">
      <c r="A5433" t="str">
        <f t="shared" si="1"/>
        <v>S.pneumoniae</v>
      </c>
      <c r="B5433" s="5" t="s">
        <v>33140</v>
      </c>
      <c r="C5433" s="6" t="str">
        <f>IFERROR(__xludf.DUMMYFUNCTION("SPLIT('2. c'!B5433, "" "", True, True)"),"Streptococcus")</f>
        <v>Streptococcus</v>
      </c>
      <c r="D5433" t="str">
        <f>IFERROR(__xludf.DUMMYFUNCTION("""COMPUTED_VALUE"""),"pneumoniae")</f>
        <v>pneumoniae</v>
      </c>
      <c r="E5433" t="str">
        <f>IFERROR(__xludf.DUMMYFUNCTION("""COMPUTED_VALUE"""),"SPN994038")</f>
        <v>SPN994038</v>
      </c>
    </row>
    <row r="5434" ht="15.75" customHeight="1">
      <c r="A5434" t="str">
        <f t="shared" si="1"/>
        <v>S.pneumoniae</v>
      </c>
      <c r="B5434" s="5" t="s">
        <v>33141</v>
      </c>
      <c r="C5434" s="6" t="str">
        <f>IFERROR(__xludf.DUMMYFUNCTION("SPLIT('2. c'!B5434, "" "", True, True)"),"Streptococcus")</f>
        <v>Streptococcus</v>
      </c>
      <c r="D5434" t="str">
        <f>IFERROR(__xludf.DUMMYFUNCTION("""COMPUTED_VALUE"""),"pneumoniae")</f>
        <v>pneumoniae</v>
      </c>
      <c r="E5434" t="str">
        <f>IFERROR(__xludf.DUMMYFUNCTION("""COMPUTED_VALUE"""),"SPN994039")</f>
        <v>SPN994039</v>
      </c>
    </row>
    <row r="5435" ht="15.75" customHeight="1">
      <c r="A5435" t="str">
        <f t="shared" si="1"/>
        <v>S.pneumoniae</v>
      </c>
      <c r="B5435" s="5" t="s">
        <v>33142</v>
      </c>
      <c r="C5435" s="6" t="str">
        <f>IFERROR(__xludf.DUMMYFUNCTION("SPLIT('2. c'!B5435, "" "", True, True)"),"Streptococcus")</f>
        <v>Streptococcus</v>
      </c>
      <c r="D5435" t="str">
        <f>IFERROR(__xludf.DUMMYFUNCTION("""COMPUTED_VALUE"""),"pneumoniae")</f>
        <v>pneumoniae</v>
      </c>
      <c r="E5435" t="str">
        <f>IFERROR(__xludf.DUMMYFUNCTION("""COMPUTED_VALUE"""),"ST556")</f>
        <v>ST556</v>
      </c>
    </row>
    <row r="5436" ht="15.75" customHeight="1">
      <c r="A5436" t="str">
        <f t="shared" si="1"/>
        <v>S.pneumoniae</v>
      </c>
      <c r="B5436" s="5" t="s">
        <v>33143</v>
      </c>
      <c r="C5436" s="6" t="str">
        <f>IFERROR(__xludf.DUMMYFUNCTION("SPLIT('2. c'!B5436, "" "", True, True)"),"Streptococcus")</f>
        <v>Streptococcus</v>
      </c>
      <c r="D5436" t="str">
        <f>IFERROR(__xludf.DUMMYFUNCTION("""COMPUTED_VALUE"""),"pneumoniae")</f>
        <v>pneumoniae</v>
      </c>
      <c r="E5436" t="str">
        <f>IFERROR(__xludf.DUMMYFUNCTION("""COMPUTED_VALUE"""),"strain")</f>
        <v>strain</v>
      </c>
      <c r="F5436" t="str">
        <f>IFERROR(__xludf.DUMMYFUNCTION("""COMPUTED_VALUE"""),"A66")</f>
        <v>A66</v>
      </c>
    </row>
    <row r="5437" ht="15.75" customHeight="1">
      <c r="A5437" t="str">
        <f t="shared" si="1"/>
        <v>S.pneumoniae</v>
      </c>
      <c r="B5437" s="5" t="s">
        <v>33144</v>
      </c>
      <c r="C5437" s="6" t="str">
        <f>IFERROR(__xludf.DUMMYFUNCTION("SPLIT('2. c'!B5437, "" "", True, True)"),"Streptococcus")</f>
        <v>Streptococcus</v>
      </c>
      <c r="D5437" t="str">
        <f>IFERROR(__xludf.DUMMYFUNCTION("""COMPUTED_VALUE"""),"pneumoniae")</f>
        <v>pneumoniae</v>
      </c>
      <c r="E5437" t="str">
        <f>IFERROR(__xludf.DUMMYFUNCTION("""COMPUTED_VALUE"""),"strain")</f>
        <v>strain</v>
      </c>
      <c r="F5437" t="str">
        <f>IFERROR(__xludf.DUMMYFUNCTION("""COMPUTED_VALUE"""),"NCTC7465")</f>
        <v>NCTC7465</v>
      </c>
    </row>
    <row r="5438" ht="15.75" customHeight="1">
      <c r="A5438" t="str">
        <f t="shared" si="1"/>
        <v>S.pneumoniae</v>
      </c>
      <c r="B5438" s="5" t="s">
        <v>33145</v>
      </c>
      <c r="C5438" s="6" t="str">
        <f>IFERROR(__xludf.DUMMYFUNCTION("SPLIT('2. c'!B5438, "" "", True, True)"),"Streptococcus")</f>
        <v>Streptococcus</v>
      </c>
      <c r="D5438" t="str">
        <f>IFERROR(__xludf.DUMMYFUNCTION("""COMPUTED_VALUE"""),"pneumoniae")</f>
        <v>pneumoniae</v>
      </c>
      <c r="E5438" t="str">
        <f>IFERROR(__xludf.DUMMYFUNCTION("""COMPUTED_VALUE"""),"Taiwan19F-14")</f>
        <v>Taiwan19F-14</v>
      </c>
    </row>
    <row r="5439" ht="15.75" customHeight="1">
      <c r="A5439" t="str">
        <f t="shared" si="1"/>
        <v>S.pneumoniae</v>
      </c>
      <c r="B5439" s="5" t="s">
        <v>33146</v>
      </c>
      <c r="C5439" s="6" t="str">
        <f>IFERROR(__xludf.DUMMYFUNCTION("SPLIT('2. c'!B5439, "" "", True, True)"),"Streptococcus")</f>
        <v>Streptococcus</v>
      </c>
      <c r="D5439" t="str">
        <f>IFERROR(__xludf.DUMMYFUNCTION("""COMPUTED_VALUE"""),"pneumoniae")</f>
        <v>pneumoniae</v>
      </c>
      <c r="E5439" t="str">
        <f>IFERROR(__xludf.DUMMYFUNCTION("""COMPUTED_VALUE"""),"TCH8431/19A")</f>
        <v>TCH8431/19A</v>
      </c>
    </row>
    <row r="5440" ht="15.75" customHeight="1">
      <c r="A5440" t="str">
        <f t="shared" si="1"/>
        <v>S.pneumoniae</v>
      </c>
      <c r="B5440" s="5" t="s">
        <v>33147</v>
      </c>
      <c r="C5440" s="6" t="str">
        <f>IFERROR(__xludf.DUMMYFUNCTION("SPLIT('2. c'!B5440, "" "", True, True)"),"Streptococcus")</f>
        <v>Streptococcus</v>
      </c>
      <c r="D5440" t="str">
        <f>IFERROR(__xludf.DUMMYFUNCTION("""COMPUTED_VALUE"""),"pneumoniae")</f>
        <v>pneumoniae</v>
      </c>
      <c r="E5440" t="str">
        <f>IFERROR(__xludf.DUMMYFUNCTION("""COMPUTED_VALUE"""),"TIGR4")</f>
        <v>TIGR4</v>
      </c>
    </row>
    <row r="5441" ht="15.75" customHeight="1">
      <c r="A5441" t="str">
        <f t="shared" si="1"/>
        <v>S.pneumoniae</v>
      </c>
      <c r="B5441" s="5" t="s">
        <v>33147</v>
      </c>
      <c r="C5441" s="6" t="str">
        <f>IFERROR(__xludf.DUMMYFUNCTION("SPLIT('2. c'!B5441, "" "", True, True)"),"Streptococcus")</f>
        <v>Streptococcus</v>
      </c>
      <c r="D5441" t="str">
        <f>IFERROR(__xludf.DUMMYFUNCTION("""COMPUTED_VALUE"""),"pneumoniae")</f>
        <v>pneumoniae</v>
      </c>
      <c r="E5441" t="str">
        <f>IFERROR(__xludf.DUMMYFUNCTION("""COMPUTED_VALUE"""),"TIGR4")</f>
        <v>TIGR4</v>
      </c>
    </row>
    <row r="5442" ht="15.75" customHeight="1">
      <c r="A5442" t="str">
        <f t="shared" si="1"/>
        <v>S.pneumoniae</v>
      </c>
      <c r="B5442" s="5" t="s">
        <v>33147</v>
      </c>
      <c r="C5442" s="6" t="str">
        <f>IFERROR(__xludf.DUMMYFUNCTION("SPLIT('2. c'!B5442, "" "", True, True)"),"Streptococcus")</f>
        <v>Streptococcus</v>
      </c>
      <c r="D5442" t="str">
        <f>IFERROR(__xludf.DUMMYFUNCTION("""COMPUTED_VALUE"""),"pneumoniae")</f>
        <v>pneumoniae</v>
      </c>
      <c r="E5442" t="str">
        <f>IFERROR(__xludf.DUMMYFUNCTION("""COMPUTED_VALUE"""),"TIGR4")</f>
        <v>TIGR4</v>
      </c>
    </row>
    <row r="5443" ht="15.75" customHeight="1">
      <c r="A5443" t="str">
        <f t="shared" si="1"/>
        <v>S.pseudopneumoniae</v>
      </c>
      <c r="B5443" s="5" t="s">
        <v>33148</v>
      </c>
      <c r="C5443" s="6" t="str">
        <f>IFERROR(__xludf.DUMMYFUNCTION("SPLIT('2. c'!B5443, "" "", True, True)"),"Streptococcus")</f>
        <v>Streptococcus</v>
      </c>
      <c r="D5443" t="str">
        <f>IFERROR(__xludf.DUMMYFUNCTION("""COMPUTED_VALUE"""),"pseudopneumoniae")</f>
        <v>pseudopneumoniae</v>
      </c>
      <c r="E5443" t="str">
        <f>IFERROR(__xludf.DUMMYFUNCTION("""COMPUTED_VALUE"""),"IS7493")</f>
        <v>IS7493</v>
      </c>
    </row>
    <row r="5444" ht="15.75" customHeight="1">
      <c r="A5444" t="str">
        <f t="shared" si="1"/>
        <v>S.pyogenes</v>
      </c>
      <c r="B5444" s="5" t="s">
        <v>33149</v>
      </c>
      <c r="C5444" s="6" t="str">
        <f>IFERROR(__xludf.DUMMYFUNCTION("SPLIT('2. c'!B5444, "" "", True, True)"),"Streptococcus")</f>
        <v>Streptococcus</v>
      </c>
      <c r="D5444" t="str">
        <f>IFERROR(__xludf.DUMMYFUNCTION("""COMPUTED_VALUE"""),"pyogenes")</f>
        <v>pyogenes</v>
      </c>
      <c r="E5444" s="35">
        <f>IFERROR(__xludf.DUMMYFUNCTION("""COMPUTED_VALUE"""),10.0)</f>
        <v>10</v>
      </c>
    </row>
    <row r="5445" ht="15.75" customHeight="1">
      <c r="A5445" t="str">
        <f t="shared" si="1"/>
        <v>S.pyogenes</v>
      </c>
      <c r="B5445" s="5" t="s">
        <v>33150</v>
      </c>
      <c r="C5445" s="6" t="str">
        <f>IFERROR(__xludf.DUMMYFUNCTION("SPLIT('2. c'!B5445, "" "", True, True)"),"Streptococcus")</f>
        <v>Streptococcus</v>
      </c>
      <c r="D5445" t="str">
        <f>IFERROR(__xludf.DUMMYFUNCTION("""COMPUTED_VALUE"""),"pyogenes")</f>
        <v>pyogenes</v>
      </c>
      <c r="E5445" t="str">
        <f>IFERROR(__xludf.DUMMYFUNCTION("""COMPUTED_VALUE"""),"7F7")</f>
        <v>7F7</v>
      </c>
    </row>
    <row r="5446" ht="15.75" customHeight="1">
      <c r="A5446" t="str">
        <f t="shared" si="1"/>
        <v>S.pyogenes</v>
      </c>
      <c r="B5446" s="5" t="s">
        <v>33151</v>
      </c>
      <c r="C5446" s="6" t="str">
        <f>IFERROR(__xludf.DUMMYFUNCTION("SPLIT('2. c'!B5446, "" "", True, True)"),"Streptococcus")</f>
        <v>Streptococcus</v>
      </c>
      <c r="D5446" t="str">
        <f>IFERROR(__xludf.DUMMYFUNCTION("""COMPUTED_VALUE"""),"pyogenes")</f>
        <v>pyogenes</v>
      </c>
      <c r="E5446" t="str">
        <f>IFERROR(__xludf.DUMMYFUNCTION("""COMPUTED_VALUE"""),"A20")</f>
        <v>A20</v>
      </c>
    </row>
    <row r="5447" ht="15.75" customHeight="1">
      <c r="A5447" t="str">
        <f t="shared" si="1"/>
        <v>S.pyogenes</v>
      </c>
      <c r="B5447" s="5" t="s">
        <v>33152</v>
      </c>
      <c r="C5447" s="6" t="str">
        <f>IFERROR(__xludf.DUMMYFUNCTION("SPLIT('2. c'!B5447, "" "", True, True)"),"Streptococcus")</f>
        <v>Streptococcus</v>
      </c>
      <c r="D5447" t="str">
        <f>IFERROR(__xludf.DUMMYFUNCTION("""COMPUTED_VALUE"""),"pyogenes")</f>
        <v>pyogenes</v>
      </c>
      <c r="E5447" t="str">
        <f>IFERROR(__xludf.DUMMYFUNCTION("""COMPUTED_VALUE"""),"Alab49")</f>
        <v>Alab49</v>
      </c>
    </row>
    <row r="5448" ht="15.75" customHeight="1">
      <c r="A5448" t="str">
        <f t="shared" si="1"/>
        <v>S.pyogenes</v>
      </c>
      <c r="B5448" s="5" t="s">
        <v>33153</v>
      </c>
      <c r="C5448" s="6" t="str">
        <f>IFERROR(__xludf.DUMMYFUNCTION("SPLIT('2. c'!B5448, "" "", True, True)"),"Streptococcus")</f>
        <v>Streptococcus</v>
      </c>
      <c r="D5448" t="str">
        <f>IFERROR(__xludf.DUMMYFUNCTION("""COMPUTED_VALUE"""),"pyogenes")</f>
        <v>pyogenes</v>
      </c>
      <c r="E5448" t="str">
        <f>IFERROR(__xludf.DUMMYFUNCTION("""COMPUTED_VALUE"""),"HKU")</f>
        <v>HKU</v>
      </c>
      <c r="F5448" t="str">
        <f>IFERROR(__xludf.DUMMYFUNCTION("""COMPUTED_VALUE"""),"QMH11M0907901")</f>
        <v>QMH11M0907901</v>
      </c>
    </row>
    <row r="5449" ht="15.75" customHeight="1">
      <c r="A5449" t="str">
        <f t="shared" si="1"/>
        <v>S.pyogenes</v>
      </c>
      <c r="B5449" s="5" t="s">
        <v>33154</v>
      </c>
      <c r="C5449" s="6" t="str">
        <f>IFERROR(__xludf.DUMMYFUNCTION("SPLIT('2. c'!B5449, "" "", True, True)"),"Streptococcus")</f>
        <v>Streptococcus</v>
      </c>
      <c r="D5449" t="str">
        <f>IFERROR(__xludf.DUMMYFUNCTION("""COMPUTED_VALUE"""),"pyogenes")</f>
        <v>pyogenes</v>
      </c>
      <c r="E5449" t="str">
        <f>IFERROR(__xludf.DUMMYFUNCTION("""COMPUTED_VALUE"""),"HKU360")</f>
        <v>HKU360</v>
      </c>
    </row>
    <row r="5450" ht="15.75" customHeight="1">
      <c r="A5450" t="str">
        <f t="shared" si="1"/>
        <v>S.pyogenes</v>
      </c>
      <c r="B5450" s="5" t="s">
        <v>33155</v>
      </c>
      <c r="C5450" s="6" t="str">
        <f>IFERROR(__xludf.DUMMYFUNCTION("SPLIT('2. c'!B5450, "" "", True, True)"),"Streptococcus")</f>
        <v>Streptococcus</v>
      </c>
      <c r="D5450" t="str">
        <f>IFERROR(__xludf.DUMMYFUNCTION("""COMPUTED_VALUE"""),"pyogenes")</f>
        <v>pyogenes</v>
      </c>
      <c r="E5450" t="str">
        <f>IFERROR(__xludf.DUMMYFUNCTION("""COMPUTED_VALUE"""),"HSC5")</f>
        <v>HSC5</v>
      </c>
    </row>
    <row r="5451" ht="15.75" customHeight="1">
      <c r="A5451" t="str">
        <f t="shared" si="1"/>
        <v>S.pyogenes</v>
      </c>
      <c r="B5451" s="5" t="s">
        <v>33156</v>
      </c>
      <c r="C5451" s="6" t="str">
        <f>IFERROR(__xludf.DUMMYFUNCTION("SPLIT('2. c'!B5451, "" "", True, True)"),"Streptococcus")</f>
        <v>Streptococcus</v>
      </c>
      <c r="D5451" t="str">
        <f>IFERROR(__xludf.DUMMYFUNCTION("""COMPUTED_VALUE"""),"pyogenes")</f>
        <v>pyogenes</v>
      </c>
      <c r="E5451" t="str">
        <f>IFERROR(__xludf.DUMMYFUNCTION("""COMPUTED_VALUE"""),"JRS4")</f>
        <v>JRS4</v>
      </c>
    </row>
    <row r="5452" ht="15.75" customHeight="1">
      <c r="A5452" t="str">
        <f t="shared" si="1"/>
        <v>S.pyogenes</v>
      </c>
      <c r="B5452" s="5" t="s">
        <v>33156</v>
      </c>
      <c r="C5452" s="6" t="str">
        <f>IFERROR(__xludf.DUMMYFUNCTION("SPLIT('2. c'!B5452, "" "", True, True)"),"Streptococcus")</f>
        <v>Streptococcus</v>
      </c>
      <c r="D5452" t="str">
        <f>IFERROR(__xludf.DUMMYFUNCTION("""COMPUTED_VALUE"""),"pyogenes")</f>
        <v>pyogenes</v>
      </c>
      <c r="E5452" t="str">
        <f>IFERROR(__xludf.DUMMYFUNCTION("""COMPUTED_VALUE"""),"JRS4")</f>
        <v>JRS4</v>
      </c>
    </row>
    <row r="5453" ht="15.75" customHeight="1">
      <c r="A5453" t="str">
        <f t="shared" si="1"/>
        <v>S.pyogenes</v>
      </c>
      <c r="B5453" s="5" t="s">
        <v>33157</v>
      </c>
      <c r="C5453" s="6" t="str">
        <f>IFERROR(__xludf.DUMMYFUNCTION("SPLIT('2. c'!B5453, "" "", True, True)"),"Streptococcus")</f>
        <v>Streptococcus</v>
      </c>
      <c r="D5453" t="str">
        <f>IFERROR(__xludf.DUMMYFUNCTION("""COMPUTED_VALUE"""),"pyogenes")</f>
        <v>pyogenes</v>
      </c>
      <c r="E5453" t="str">
        <f>IFERROR(__xludf.DUMMYFUNCTION("""COMPUTED_VALUE"""),"M1")</f>
        <v>M1</v>
      </c>
      <c r="F5453">
        <f>IFERROR(__xludf.DUMMYFUNCTION("""COMPUTED_VALUE"""),476.0)</f>
        <v>476</v>
      </c>
    </row>
    <row r="5454" ht="15.75" customHeight="1">
      <c r="A5454" t="str">
        <f t="shared" si="1"/>
        <v>S.pyogenes</v>
      </c>
      <c r="B5454" s="5" t="s">
        <v>33158</v>
      </c>
      <c r="C5454" s="6" t="str">
        <f>IFERROR(__xludf.DUMMYFUNCTION("SPLIT('2. c'!B5454, "" "", True, True)"),"Streptococcus")</f>
        <v>Streptococcus</v>
      </c>
      <c r="D5454" t="str">
        <f>IFERROR(__xludf.DUMMYFUNCTION("""COMPUTED_VALUE"""),"pyogenes")</f>
        <v>pyogenes</v>
      </c>
      <c r="E5454" t="str">
        <f>IFERROR(__xludf.DUMMYFUNCTION("""COMPUTED_VALUE"""),"M1")</f>
        <v>M1</v>
      </c>
      <c r="F5454" t="str">
        <f>IFERROR(__xludf.DUMMYFUNCTION("""COMPUTED_VALUE"""),"GAS")</f>
        <v>GAS</v>
      </c>
    </row>
    <row r="5455" ht="15.75" customHeight="1">
      <c r="A5455" t="str">
        <f t="shared" si="1"/>
        <v>S.pyogenes</v>
      </c>
      <c r="B5455" s="5" t="s">
        <v>33159</v>
      </c>
      <c r="C5455" s="6" t="str">
        <f>IFERROR(__xludf.DUMMYFUNCTION("SPLIT('2. c'!B5455, "" "", True, True)"),"Streptococcus")</f>
        <v>Streptococcus</v>
      </c>
      <c r="D5455" t="str">
        <f>IFERROR(__xludf.DUMMYFUNCTION("""COMPUTED_VALUE"""),"pyogenes")</f>
        <v>pyogenes</v>
      </c>
      <c r="E5455" t="str">
        <f>IFERROR(__xludf.DUMMYFUNCTION("""COMPUTED_VALUE"""),"M23ND")</f>
        <v>M23ND</v>
      </c>
    </row>
    <row r="5456" ht="15.75" customHeight="1">
      <c r="A5456" t="str">
        <f t="shared" si="1"/>
        <v>S.pyogenes</v>
      </c>
      <c r="B5456" s="5" t="s">
        <v>33160</v>
      </c>
      <c r="C5456" s="6" t="str">
        <f>IFERROR(__xludf.DUMMYFUNCTION("SPLIT('2. c'!B5456, "" "", True, True)"),"Streptococcus")</f>
        <v>Streptococcus</v>
      </c>
      <c r="D5456" t="str">
        <f>IFERROR(__xludf.DUMMYFUNCTION("""COMPUTED_VALUE"""),"pyogenes")</f>
        <v>pyogenes</v>
      </c>
      <c r="E5456" t="str">
        <f>IFERROR(__xludf.DUMMYFUNCTION("""COMPUTED_VALUE"""),"MGAS10270")</f>
        <v>MGAS10270</v>
      </c>
    </row>
    <row r="5457" ht="15.75" customHeight="1">
      <c r="A5457" t="str">
        <f t="shared" si="1"/>
        <v>S.pyogenes</v>
      </c>
      <c r="B5457" s="5" t="s">
        <v>33161</v>
      </c>
      <c r="C5457" s="6" t="str">
        <f>IFERROR(__xludf.DUMMYFUNCTION("SPLIT('2. c'!B5457, "" "", True, True)"),"Streptococcus")</f>
        <v>Streptococcus</v>
      </c>
      <c r="D5457" t="str">
        <f>IFERROR(__xludf.DUMMYFUNCTION("""COMPUTED_VALUE"""),"pyogenes")</f>
        <v>pyogenes</v>
      </c>
      <c r="E5457" t="str">
        <f>IFERROR(__xludf.DUMMYFUNCTION("""COMPUTED_VALUE"""),"MGAS10394")</f>
        <v>MGAS10394</v>
      </c>
    </row>
    <row r="5458" ht="15.75" customHeight="1">
      <c r="A5458" t="str">
        <f t="shared" si="1"/>
        <v>S.pyogenes</v>
      </c>
      <c r="B5458" s="5" t="s">
        <v>33162</v>
      </c>
      <c r="C5458" s="6" t="str">
        <f>IFERROR(__xludf.DUMMYFUNCTION("SPLIT('2. c'!B5458, "" "", True, True)"),"Streptococcus")</f>
        <v>Streptococcus</v>
      </c>
      <c r="D5458" t="str">
        <f>IFERROR(__xludf.DUMMYFUNCTION("""COMPUTED_VALUE"""),"pyogenes")</f>
        <v>pyogenes</v>
      </c>
      <c r="E5458" t="str">
        <f>IFERROR(__xludf.DUMMYFUNCTION("""COMPUTED_VALUE"""),"MGAS10750")</f>
        <v>MGAS10750</v>
      </c>
    </row>
    <row r="5459" ht="15.75" customHeight="1">
      <c r="A5459" t="str">
        <f t="shared" si="1"/>
        <v>S.pyogenes</v>
      </c>
      <c r="B5459" s="5" t="s">
        <v>33163</v>
      </c>
      <c r="C5459" s="6" t="str">
        <f>IFERROR(__xludf.DUMMYFUNCTION("SPLIT('2. c'!B5459, "" "", True, True)"),"Streptococcus")</f>
        <v>Streptococcus</v>
      </c>
      <c r="D5459" t="str">
        <f>IFERROR(__xludf.DUMMYFUNCTION("""COMPUTED_VALUE"""),"pyogenes")</f>
        <v>pyogenes</v>
      </c>
      <c r="E5459" t="str">
        <f>IFERROR(__xludf.DUMMYFUNCTION("""COMPUTED_VALUE"""),"MGAS15252")</f>
        <v>MGAS15252</v>
      </c>
    </row>
    <row r="5460" ht="15.75" customHeight="1">
      <c r="A5460" t="str">
        <f t="shared" si="1"/>
        <v>S.pyogenes</v>
      </c>
      <c r="B5460" s="5" t="s">
        <v>33164</v>
      </c>
      <c r="C5460" s="6" t="str">
        <f>IFERROR(__xludf.DUMMYFUNCTION("SPLIT('2. c'!B5460, "" "", True, True)"),"Streptococcus")</f>
        <v>Streptococcus</v>
      </c>
      <c r="D5460" t="str">
        <f>IFERROR(__xludf.DUMMYFUNCTION("""COMPUTED_VALUE"""),"pyogenes")</f>
        <v>pyogenes</v>
      </c>
      <c r="E5460" t="str">
        <f>IFERROR(__xludf.DUMMYFUNCTION("""COMPUTED_VALUE"""),"MGAS1882")</f>
        <v>MGAS1882</v>
      </c>
    </row>
    <row r="5461" ht="15.75" customHeight="1">
      <c r="A5461" t="str">
        <f t="shared" si="1"/>
        <v>S.pyogenes</v>
      </c>
      <c r="B5461" s="5" t="s">
        <v>33165</v>
      </c>
      <c r="C5461" s="6" t="str">
        <f>IFERROR(__xludf.DUMMYFUNCTION("SPLIT('2. c'!B5461, "" "", True, True)"),"Streptococcus")</f>
        <v>Streptococcus</v>
      </c>
      <c r="D5461" t="str">
        <f>IFERROR(__xludf.DUMMYFUNCTION("""COMPUTED_VALUE"""),"pyogenes")</f>
        <v>pyogenes</v>
      </c>
      <c r="E5461" t="str">
        <f>IFERROR(__xludf.DUMMYFUNCTION("""COMPUTED_VALUE"""),"MGAS2096")</f>
        <v>MGAS2096</v>
      </c>
    </row>
    <row r="5462" ht="15.75" customHeight="1">
      <c r="A5462" t="str">
        <f t="shared" si="1"/>
        <v>S.pyogenes</v>
      </c>
      <c r="B5462" s="5" t="s">
        <v>33166</v>
      </c>
      <c r="C5462" s="6" t="str">
        <f>IFERROR(__xludf.DUMMYFUNCTION("SPLIT('2. c'!B5462, "" "", True, True)"),"Streptococcus")</f>
        <v>Streptococcus</v>
      </c>
      <c r="D5462" t="str">
        <f>IFERROR(__xludf.DUMMYFUNCTION("""COMPUTED_VALUE"""),"pyogenes")</f>
        <v>pyogenes</v>
      </c>
      <c r="E5462" t="str">
        <f>IFERROR(__xludf.DUMMYFUNCTION("""COMPUTED_VALUE"""),"MGAS315")</f>
        <v>MGAS315</v>
      </c>
    </row>
    <row r="5463" ht="15.75" customHeight="1">
      <c r="A5463" t="str">
        <f t="shared" si="1"/>
        <v>S.pyogenes</v>
      </c>
      <c r="B5463" s="5" t="s">
        <v>33167</v>
      </c>
      <c r="C5463" s="6" t="str">
        <f>IFERROR(__xludf.DUMMYFUNCTION("SPLIT('2. c'!B5463, "" "", True, True)"),"Streptococcus")</f>
        <v>Streptococcus</v>
      </c>
      <c r="D5463" t="str">
        <f>IFERROR(__xludf.DUMMYFUNCTION("""COMPUTED_VALUE"""),"pyogenes")</f>
        <v>pyogenes</v>
      </c>
      <c r="E5463" t="str">
        <f>IFERROR(__xludf.DUMMYFUNCTION("""COMPUTED_VALUE"""),"MGAS5005")</f>
        <v>MGAS5005</v>
      </c>
    </row>
    <row r="5464" ht="15.75" customHeight="1">
      <c r="A5464" t="str">
        <f t="shared" si="1"/>
        <v>S.pyogenes</v>
      </c>
      <c r="B5464" s="5" t="s">
        <v>33168</v>
      </c>
      <c r="C5464" s="6" t="str">
        <f>IFERROR(__xludf.DUMMYFUNCTION("SPLIT('2. c'!B5464, "" "", True, True)"),"Streptococcus")</f>
        <v>Streptococcus</v>
      </c>
      <c r="D5464" t="str">
        <f>IFERROR(__xludf.DUMMYFUNCTION("""COMPUTED_VALUE"""),"pyogenes")</f>
        <v>pyogenes</v>
      </c>
      <c r="E5464" t="str">
        <f>IFERROR(__xludf.DUMMYFUNCTION("""COMPUTED_VALUE"""),"MGAS6180")</f>
        <v>MGAS6180</v>
      </c>
    </row>
    <row r="5465" ht="15.75" customHeight="1">
      <c r="A5465" t="str">
        <f t="shared" si="1"/>
        <v>S.pyogenes</v>
      </c>
      <c r="B5465" s="5" t="s">
        <v>33169</v>
      </c>
      <c r="C5465" s="6" t="str">
        <f>IFERROR(__xludf.DUMMYFUNCTION("SPLIT('2. c'!B5465, "" "", True, True)"),"Streptococcus")</f>
        <v>Streptococcus</v>
      </c>
      <c r="D5465" t="str">
        <f>IFERROR(__xludf.DUMMYFUNCTION("""COMPUTED_VALUE"""),"pyogenes")</f>
        <v>pyogenes</v>
      </c>
      <c r="E5465" t="str">
        <f>IFERROR(__xludf.DUMMYFUNCTION("""COMPUTED_VALUE"""),"MGAS8232")</f>
        <v>MGAS8232</v>
      </c>
    </row>
    <row r="5466" ht="15.75" customHeight="1">
      <c r="A5466" t="str">
        <f t="shared" si="1"/>
        <v>S.pyogenes</v>
      </c>
      <c r="B5466" s="5" t="s">
        <v>33170</v>
      </c>
      <c r="C5466" s="6" t="str">
        <f>IFERROR(__xludf.DUMMYFUNCTION("SPLIT('2. c'!B5466, "" "", True, True)"),"Streptococcus")</f>
        <v>Streptococcus</v>
      </c>
      <c r="D5466" t="str">
        <f>IFERROR(__xludf.DUMMYFUNCTION("""COMPUTED_VALUE"""),"pyogenes")</f>
        <v>pyogenes</v>
      </c>
      <c r="E5466" t="str">
        <f>IFERROR(__xludf.DUMMYFUNCTION("""COMPUTED_VALUE"""),"MGAS9429")</f>
        <v>MGAS9429</v>
      </c>
    </row>
    <row r="5467" ht="15.75" customHeight="1">
      <c r="A5467" t="str">
        <f t="shared" si="1"/>
        <v>S.pyogenes</v>
      </c>
      <c r="B5467" s="5" t="s">
        <v>33171</v>
      </c>
      <c r="C5467" s="6" t="str">
        <f>IFERROR(__xludf.DUMMYFUNCTION("SPLIT('2. c'!B5467, "" "", True, True)"),"Streptococcus")</f>
        <v>Streptococcus</v>
      </c>
      <c r="D5467" t="str">
        <f>IFERROR(__xludf.DUMMYFUNCTION("""COMPUTED_VALUE"""),"pyogenes")</f>
        <v>pyogenes</v>
      </c>
      <c r="E5467" t="str">
        <f>IFERROR(__xludf.DUMMYFUNCTION("""COMPUTED_VALUE"""),"NZ131")</f>
        <v>NZ131</v>
      </c>
    </row>
    <row r="5468" ht="15.75" customHeight="1">
      <c r="A5468" t="str">
        <f t="shared" si="1"/>
        <v>S.pyogenes</v>
      </c>
      <c r="B5468" s="5" t="s">
        <v>33172</v>
      </c>
      <c r="C5468" s="6" t="str">
        <f>IFERROR(__xludf.DUMMYFUNCTION("SPLIT('2. c'!B5468, "" "", True, True)"),"Streptococcus")</f>
        <v>Streptococcus</v>
      </c>
      <c r="D5468" t="str">
        <f>IFERROR(__xludf.DUMMYFUNCTION("""COMPUTED_VALUE"""),"pyogenes")</f>
        <v>pyogenes</v>
      </c>
      <c r="E5468" t="str">
        <f>IFERROR(__xludf.DUMMYFUNCTION("""COMPUTED_VALUE"""),"SSI-1")</f>
        <v>SSI-1</v>
      </c>
    </row>
    <row r="5469" ht="15.75" customHeight="1">
      <c r="A5469" t="str">
        <f t="shared" si="1"/>
        <v>S.pyogenes</v>
      </c>
      <c r="B5469" s="5" t="s">
        <v>33173</v>
      </c>
      <c r="C5469" s="6" t="str">
        <f>IFERROR(__xludf.DUMMYFUNCTION("SPLIT('2. c'!B5469, "" "", True, True)"),"Streptococcus")</f>
        <v>Streptococcus</v>
      </c>
      <c r="D5469" t="str">
        <f>IFERROR(__xludf.DUMMYFUNCTION("""COMPUTED_VALUE"""),"pyogenes")</f>
        <v>pyogenes</v>
      </c>
      <c r="E5469" t="str">
        <f>IFERROR(__xludf.DUMMYFUNCTION("""COMPUTED_VALUE"""),"STAB1102")</f>
        <v>STAB1102</v>
      </c>
    </row>
    <row r="5470" ht="15.75" customHeight="1">
      <c r="A5470" t="str">
        <f t="shared" si="1"/>
        <v>S.pyogenes</v>
      </c>
      <c r="B5470" s="5" t="s">
        <v>33174</v>
      </c>
      <c r="C5470" s="6" t="str">
        <f>IFERROR(__xludf.DUMMYFUNCTION("SPLIT('2. c'!B5470, "" "", True, True)"),"Streptococcus")</f>
        <v>Streptococcus</v>
      </c>
      <c r="D5470" t="str">
        <f>IFERROR(__xludf.DUMMYFUNCTION("""COMPUTED_VALUE"""),"pyogenes")</f>
        <v>pyogenes</v>
      </c>
      <c r="E5470" t="str">
        <f>IFERROR(__xludf.DUMMYFUNCTION("""COMPUTED_VALUE"""),"STAB901")</f>
        <v>STAB901</v>
      </c>
    </row>
    <row r="5471" ht="15.75" customHeight="1">
      <c r="A5471" t="str">
        <f t="shared" si="1"/>
        <v>S.pyogenes</v>
      </c>
      <c r="B5471" s="5" t="s">
        <v>33175</v>
      </c>
      <c r="C5471" s="6" t="str">
        <f>IFERROR(__xludf.DUMMYFUNCTION("SPLIT('2. c'!B5471, "" "", True, True)"),"Streptococcus")</f>
        <v>Streptococcus</v>
      </c>
      <c r="D5471" t="str">
        <f>IFERROR(__xludf.DUMMYFUNCTION("""COMPUTED_VALUE"""),"pyogenes")</f>
        <v>pyogenes</v>
      </c>
      <c r="E5471" t="str">
        <f>IFERROR(__xludf.DUMMYFUNCTION("""COMPUTED_VALUE"""),"STAB902")</f>
        <v>STAB902</v>
      </c>
    </row>
    <row r="5472" ht="15.75" customHeight="1">
      <c r="A5472" t="str">
        <f t="shared" si="1"/>
        <v>S.pyogenes</v>
      </c>
      <c r="B5472" s="5" t="s">
        <v>33176</v>
      </c>
      <c r="C5472" s="6" t="str">
        <f>IFERROR(__xludf.DUMMYFUNCTION("SPLIT('2. c'!B5472, "" "", True, True)"),"Streptococcus")</f>
        <v>Streptococcus</v>
      </c>
      <c r="D5472" t="str">
        <f>IFERROR(__xludf.DUMMYFUNCTION("""COMPUTED_VALUE"""),"pyogenes")</f>
        <v>pyogenes</v>
      </c>
      <c r="E5472" t="str">
        <f>IFERROR(__xludf.DUMMYFUNCTION("""COMPUTED_VALUE"""),"str.")</f>
        <v>str.</v>
      </c>
      <c r="F5472" t="str">
        <f>IFERROR(__xludf.DUMMYFUNCTION("""COMPUTED_VALUE"""),"Manfredo")</f>
        <v>Manfredo</v>
      </c>
    </row>
    <row r="5473" ht="15.75" customHeight="1">
      <c r="A5473" t="str">
        <f t="shared" si="1"/>
        <v>S.pyogenes</v>
      </c>
      <c r="B5473" s="5" t="s">
        <v>33177</v>
      </c>
      <c r="C5473" s="6" t="str">
        <f>IFERROR(__xludf.DUMMYFUNCTION("SPLIT('2. c'!B5473, "" "", True, True)"),"Streptococcus")</f>
        <v>Streptococcus</v>
      </c>
      <c r="D5473" t="str">
        <f>IFERROR(__xludf.DUMMYFUNCTION("""COMPUTED_VALUE"""),"pyogenes")</f>
        <v>pyogenes</v>
      </c>
      <c r="E5473" t="str">
        <f>IFERROR(__xludf.DUMMYFUNCTION("""COMPUTED_VALUE"""),"strain")</f>
        <v>strain</v>
      </c>
      <c r="F5473">
        <f>IFERROR(__xludf.DUMMYFUNCTION("""COMPUTED_VALUE"""),19615.0)</f>
        <v>19615</v>
      </c>
    </row>
    <row r="5474" ht="15.75" customHeight="1">
      <c r="A5474" t="str">
        <f t="shared" si="1"/>
        <v>S.pyogenes</v>
      </c>
      <c r="B5474" s="5" t="s">
        <v>33178</v>
      </c>
      <c r="C5474" s="6" t="str">
        <f>IFERROR(__xludf.DUMMYFUNCTION("SPLIT('2. c'!B5474, "" "", True, True)"),"Streptococcus")</f>
        <v>Streptococcus</v>
      </c>
      <c r="D5474" t="str">
        <f>IFERROR(__xludf.DUMMYFUNCTION("""COMPUTED_VALUE"""),"pyogenes")</f>
        <v>pyogenes</v>
      </c>
      <c r="E5474" t="str">
        <f>IFERROR(__xludf.DUMMYFUNCTION("""COMPUTED_VALUE"""),"strain")</f>
        <v>strain</v>
      </c>
      <c r="F5474">
        <f>IFERROR(__xludf.DUMMYFUNCTION("""COMPUTED_VALUE"""),5448.0)</f>
        <v>5448</v>
      </c>
    </row>
    <row r="5475" ht="15.75" customHeight="1">
      <c r="A5475" t="str">
        <f t="shared" si="1"/>
        <v>S.pyogenes</v>
      </c>
      <c r="B5475" s="5" t="s">
        <v>33179</v>
      </c>
      <c r="C5475" s="6" t="str">
        <f>IFERROR(__xludf.DUMMYFUNCTION("SPLIT('2. c'!B5475, "" "", True, True)"),"Streptococcus")</f>
        <v>Streptococcus</v>
      </c>
      <c r="D5475" t="str">
        <f>IFERROR(__xludf.DUMMYFUNCTION("""COMPUTED_VALUE"""),"pyogenes")</f>
        <v>pyogenes</v>
      </c>
      <c r="E5475" t="str">
        <f>IFERROR(__xludf.DUMMYFUNCTION("""COMPUTED_VALUE"""),"strain")</f>
        <v>strain</v>
      </c>
      <c r="F5475" t="str">
        <f>IFERROR(__xludf.DUMMYFUNCTION("""COMPUTED_VALUE"""),"AP1")</f>
        <v>AP1</v>
      </c>
    </row>
    <row r="5476" ht="15.75" customHeight="1">
      <c r="A5476" t="str">
        <f t="shared" si="1"/>
        <v>S.pyogenes</v>
      </c>
      <c r="B5476" s="5" t="s">
        <v>33180</v>
      </c>
      <c r="C5476" s="6" t="str">
        <f>IFERROR(__xludf.DUMMYFUNCTION("SPLIT('2. c'!B5476, "" "", True, True)"),"Streptococcus")</f>
        <v>Streptococcus</v>
      </c>
      <c r="D5476" t="str">
        <f>IFERROR(__xludf.DUMMYFUNCTION("""COMPUTED_VALUE"""),"pyogenes")</f>
        <v>pyogenes</v>
      </c>
      <c r="E5476" t="str">
        <f>IFERROR(__xludf.DUMMYFUNCTION("""COMPUTED_VALUE"""),"strain")</f>
        <v>strain</v>
      </c>
      <c r="F5476" t="str">
        <f>IFERROR(__xludf.DUMMYFUNCTION("""COMPUTED_VALUE"""),"AP53")</f>
        <v>AP53</v>
      </c>
    </row>
    <row r="5477" ht="15.75" customHeight="1">
      <c r="A5477" t="str">
        <f t="shared" si="1"/>
        <v>S.pyogenes</v>
      </c>
      <c r="B5477" s="5" t="s">
        <v>33181</v>
      </c>
      <c r="C5477" s="6" t="str">
        <f>IFERROR(__xludf.DUMMYFUNCTION("SPLIT('2. c'!B5477, "" "", True, True)"),"Streptococcus")</f>
        <v>Streptococcus</v>
      </c>
      <c r="D5477" t="str">
        <f>IFERROR(__xludf.DUMMYFUNCTION("""COMPUTED_VALUE"""),"pyogenes")</f>
        <v>pyogenes</v>
      </c>
      <c r="E5477" t="str">
        <f>IFERROR(__xludf.DUMMYFUNCTION("""COMPUTED_VALUE"""),"strain")</f>
        <v>strain</v>
      </c>
      <c r="F5477" t="str">
        <f>IFERROR(__xludf.DUMMYFUNCTION("""COMPUTED_VALUE"""),"D471")</f>
        <v>D471</v>
      </c>
    </row>
    <row r="5478" ht="15.75" customHeight="1">
      <c r="A5478" t="str">
        <f t="shared" si="1"/>
        <v>S.pyogenes</v>
      </c>
      <c r="B5478" s="5" t="s">
        <v>33182</v>
      </c>
      <c r="C5478" s="6" t="str">
        <f>IFERROR(__xludf.DUMMYFUNCTION("SPLIT('2. c'!B5478, "" "", True, True)"),"Streptococcus")</f>
        <v>Streptococcus</v>
      </c>
      <c r="D5478" t="str">
        <f>IFERROR(__xludf.DUMMYFUNCTION("""COMPUTED_VALUE"""),"pyogenes")</f>
        <v>pyogenes</v>
      </c>
      <c r="E5478" t="str">
        <f>IFERROR(__xludf.DUMMYFUNCTION("""COMPUTED_VALUE"""),"strain")</f>
        <v>strain</v>
      </c>
      <c r="F5478" t="str">
        <f>IFERROR(__xludf.DUMMYFUNCTION("""COMPUTED_VALUE"""),"FDAARGOS_149")</f>
        <v>FDAARGOS_149</v>
      </c>
    </row>
    <row r="5479" ht="15.75" customHeight="1">
      <c r="A5479" t="str">
        <f t="shared" si="1"/>
        <v>S.pyogenes</v>
      </c>
      <c r="B5479" s="5" t="s">
        <v>33183</v>
      </c>
      <c r="C5479" s="6" t="str">
        <f>IFERROR(__xludf.DUMMYFUNCTION("SPLIT('2. c'!B5479, "" "", True, True)"),"Streptococcus")</f>
        <v>Streptococcus</v>
      </c>
      <c r="D5479" t="str">
        <f>IFERROR(__xludf.DUMMYFUNCTION("""COMPUTED_VALUE"""),"pyogenes")</f>
        <v>pyogenes</v>
      </c>
      <c r="E5479" t="str">
        <f>IFERROR(__xludf.DUMMYFUNCTION("""COMPUTED_VALUE"""),"strain")</f>
        <v>strain</v>
      </c>
      <c r="F5479" t="str">
        <f>IFERROR(__xludf.DUMMYFUNCTION("""COMPUTED_VALUE"""),"H293")</f>
        <v>H293</v>
      </c>
    </row>
    <row r="5480" ht="15.75" customHeight="1">
      <c r="A5480" t="str">
        <f t="shared" si="1"/>
        <v>S.pyogenes</v>
      </c>
      <c r="B5480" s="5" t="s">
        <v>33184</v>
      </c>
      <c r="C5480" s="6" t="str">
        <f>IFERROR(__xludf.DUMMYFUNCTION("SPLIT('2. c'!B5480, "" "", True, True)"),"Streptococcus")</f>
        <v>Streptococcus</v>
      </c>
      <c r="D5480" t="str">
        <f>IFERROR(__xludf.DUMMYFUNCTION("""COMPUTED_VALUE"""),"pyogenes")</f>
        <v>pyogenes</v>
      </c>
      <c r="E5480" t="str">
        <f>IFERROR(__xludf.DUMMYFUNCTION("""COMPUTED_VALUE"""),"strain")</f>
        <v>strain</v>
      </c>
      <c r="F5480" t="str">
        <f>IFERROR(__xludf.DUMMYFUNCTION("""COMPUTED_VALUE"""),"HKU488")</f>
        <v>HKU488</v>
      </c>
    </row>
    <row r="5481" ht="15.75" customHeight="1">
      <c r="A5481" t="str">
        <f t="shared" si="1"/>
        <v>S.pyogenes</v>
      </c>
      <c r="B5481" s="5" t="s">
        <v>33185</v>
      </c>
      <c r="C5481" s="6" t="str">
        <f>IFERROR(__xludf.DUMMYFUNCTION("SPLIT('2. c'!B5481, "" "", True, True)"),"Streptococcus")</f>
        <v>Streptococcus</v>
      </c>
      <c r="D5481" t="str">
        <f>IFERROR(__xludf.DUMMYFUNCTION("""COMPUTED_VALUE"""),"pyogenes")</f>
        <v>pyogenes</v>
      </c>
      <c r="E5481" t="str">
        <f>IFERROR(__xludf.DUMMYFUNCTION("""COMPUTED_VALUE"""),"strain")</f>
        <v>strain</v>
      </c>
      <c r="F5481" t="str">
        <f>IFERROR(__xludf.DUMMYFUNCTION("""COMPUTED_VALUE"""),"M28PF1")</f>
        <v>M28PF1</v>
      </c>
    </row>
    <row r="5482" ht="15.75" customHeight="1">
      <c r="A5482" t="str">
        <f t="shared" si="1"/>
        <v>S.pyogenes</v>
      </c>
      <c r="B5482" s="5" t="s">
        <v>33186</v>
      </c>
      <c r="C5482" s="6" t="str">
        <f>IFERROR(__xludf.DUMMYFUNCTION("SPLIT('2. c'!B5482, "" "", True, True)"),"Streptococcus")</f>
        <v>Streptococcus</v>
      </c>
      <c r="D5482" t="str">
        <f>IFERROR(__xludf.DUMMYFUNCTION("""COMPUTED_VALUE"""),"pyogenes")</f>
        <v>pyogenes</v>
      </c>
      <c r="E5482" t="str">
        <f>IFERROR(__xludf.DUMMYFUNCTION("""COMPUTED_VALUE"""),"strain")</f>
        <v>strain</v>
      </c>
      <c r="F5482" t="str">
        <f>IFERROR(__xludf.DUMMYFUNCTION("""COMPUTED_VALUE"""),"MEW123")</f>
        <v>MEW123</v>
      </c>
    </row>
    <row r="5483" ht="15.75" customHeight="1">
      <c r="A5483" t="str">
        <f t="shared" si="1"/>
        <v>S.pyogenes</v>
      </c>
      <c r="B5483" s="5" t="s">
        <v>33187</v>
      </c>
      <c r="C5483" s="6" t="str">
        <f>IFERROR(__xludf.DUMMYFUNCTION("SPLIT('2. c'!B5483, "" "", True, True)"),"Streptococcus")</f>
        <v>Streptococcus</v>
      </c>
      <c r="D5483" t="str">
        <f>IFERROR(__xludf.DUMMYFUNCTION("""COMPUTED_VALUE"""),"pyogenes")</f>
        <v>pyogenes</v>
      </c>
      <c r="E5483" t="str">
        <f>IFERROR(__xludf.DUMMYFUNCTION("""COMPUTED_VALUE"""),"strain")</f>
        <v>strain</v>
      </c>
      <c r="F5483" t="str">
        <f>IFERROR(__xludf.DUMMYFUNCTION("""COMPUTED_VALUE"""),"MEW427")</f>
        <v>MEW427</v>
      </c>
    </row>
    <row r="5484" ht="15.75" customHeight="1">
      <c r="A5484" t="str">
        <f t="shared" si="1"/>
        <v>S.pyogenes</v>
      </c>
      <c r="B5484" s="5" t="s">
        <v>33188</v>
      </c>
      <c r="C5484" s="6" t="str">
        <f>IFERROR(__xludf.DUMMYFUNCTION("SPLIT('2. c'!B5484, "" "", True, True)"),"Streptococcus")</f>
        <v>Streptococcus</v>
      </c>
      <c r="D5484" t="str">
        <f>IFERROR(__xludf.DUMMYFUNCTION("""COMPUTED_VALUE"""),"pyogenes")</f>
        <v>pyogenes</v>
      </c>
      <c r="E5484" t="str">
        <f>IFERROR(__xludf.DUMMYFUNCTION("""COMPUTED_VALUE"""),"strain")</f>
        <v>strain</v>
      </c>
      <c r="F5484" t="str">
        <f>IFERROR(__xludf.DUMMYFUNCTION("""COMPUTED_VALUE"""),"MGAS11027")</f>
        <v>MGAS11027</v>
      </c>
    </row>
    <row r="5485" ht="15.75" customHeight="1">
      <c r="A5485" t="str">
        <f t="shared" si="1"/>
        <v>S.pyogenes</v>
      </c>
      <c r="B5485" s="5" t="s">
        <v>33189</v>
      </c>
      <c r="C5485" s="6" t="str">
        <f>IFERROR(__xludf.DUMMYFUNCTION("SPLIT('2. c'!B5485, "" "", True, True)"),"Streptococcus")</f>
        <v>Streptococcus</v>
      </c>
      <c r="D5485" t="str">
        <f>IFERROR(__xludf.DUMMYFUNCTION("""COMPUTED_VALUE"""),"pyogenes")</f>
        <v>pyogenes</v>
      </c>
      <c r="E5485" t="str">
        <f>IFERROR(__xludf.DUMMYFUNCTION("""COMPUTED_VALUE"""),"strain")</f>
        <v>strain</v>
      </c>
      <c r="F5485" t="str">
        <f>IFERROR(__xludf.DUMMYFUNCTION("""COMPUTED_VALUE"""),"MGAS23530")</f>
        <v>MGAS23530</v>
      </c>
    </row>
    <row r="5486" ht="15.75" customHeight="1">
      <c r="A5486" t="str">
        <f t="shared" si="1"/>
        <v>S.pyogenes</v>
      </c>
      <c r="B5486" s="5" t="s">
        <v>33190</v>
      </c>
      <c r="C5486" s="6" t="str">
        <f>IFERROR(__xludf.DUMMYFUNCTION("SPLIT('2. c'!B5486, "" "", True, True)"),"Streptococcus")</f>
        <v>Streptococcus</v>
      </c>
      <c r="D5486" t="str">
        <f>IFERROR(__xludf.DUMMYFUNCTION("""COMPUTED_VALUE"""),"pyogenes")</f>
        <v>pyogenes</v>
      </c>
      <c r="E5486" t="str">
        <f>IFERROR(__xludf.DUMMYFUNCTION("""COMPUTED_VALUE"""),"strain")</f>
        <v>strain</v>
      </c>
      <c r="F5486" t="str">
        <f>IFERROR(__xludf.DUMMYFUNCTION("""COMPUTED_VALUE"""),"MGAS27061")</f>
        <v>MGAS27061</v>
      </c>
    </row>
    <row r="5487" ht="15.75" customHeight="1">
      <c r="A5487" t="str">
        <f t="shared" si="1"/>
        <v>S.pyogenes</v>
      </c>
      <c r="B5487" s="5" t="s">
        <v>33191</v>
      </c>
      <c r="C5487" s="6" t="str">
        <f>IFERROR(__xludf.DUMMYFUNCTION("SPLIT('2. c'!B5487, "" "", True, True)"),"Streptococcus")</f>
        <v>Streptococcus</v>
      </c>
      <c r="D5487" t="str">
        <f>IFERROR(__xludf.DUMMYFUNCTION("""COMPUTED_VALUE"""),"pyogenes")</f>
        <v>pyogenes</v>
      </c>
      <c r="E5487" t="str">
        <f>IFERROR(__xludf.DUMMYFUNCTION("""COMPUTED_VALUE"""),"strain")</f>
        <v>strain</v>
      </c>
      <c r="F5487" t="str">
        <f>IFERROR(__xludf.DUMMYFUNCTION("""COMPUTED_VALUE"""),"MTB313")</f>
        <v>MTB313</v>
      </c>
    </row>
    <row r="5488" ht="15.75" customHeight="1">
      <c r="A5488" t="str">
        <f t="shared" si="1"/>
        <v>S.pyogenes</v>
      </c>
      <c r="B5488" s="5" t="s">
        <v>33192</v>
      </c>
      <c r="C5488" s="6" t="str">
        <f>IFERROR(__xludf.DUMMYFUNCTION("SPLIT('2. c'!B5488, "" "", True, True)"),"Streptococcus")</f>
        <v>Streptococcus</v>
      </c>
      <c r="D5488" t="str">
        <f>IFERROR(__xludf.DUMMYFUNCTION("""COMPUTED_VALUE"""),"pyogenes")</f>
        <v>pyogenes</v>
      </c>
      <c r="E5488" t="str">
        <f>IFERROR(__xludf.DUMMYFUNCTION("""COMPUTED_VALUE"""),"strain")</f>
        <v>strain</v>
      </c>
      <c r="F5488" t="str">
        <f>IFERROR(__xludf.DUMMYFUNCTION("""COMPUTED_VALUE"""),"MTB314")</f>
        <v>MTB314</v>
      </c>
    </row>
    <row r="5489" ht="15.75" customHeight="1">
      <c r="A5489" t="str">
        <f t="shared" si="1"/>
        <v>S.pyogenes</v>
      </c>
      <c r="B5489" s="5" t="s">
        <v>33193</v>
      </c>
      <c r="C5489" s="6" t="str">
        <f>IFERROR(__xludf.DUMMYFUNCTION("SPLIT('2. c'!B5489, "" "", True, True)"),"Streptococcus")</f>
        <v>Streptococcus</v>
      </c>
      <c r="D5489" t="str">
        <f>IFERROR(__xludf.DUMMYFUNCTION("""COMPUTED_VALUE"""),"pyogenes")</f>
        <v>pyogenes</v>
      </c>
      <c r="E5489" t="str">
        <f>IFERROR(__xludf.DUMMYFUNCTION("""COMPUTED_VALUE"""),"strain")</f>
        <v>strain</v>
      </c>
      <c r="F5489" t="str">
        <f>IFERROR(__xludf.DUMMYFUNCTION("""COMPUTED_VALUE"""),"NGAS322")</f>
        <v>NGAS322</v>
      </c>
    </row>
    <row r="5490" ht="15.75" customHeight="1">
      <c r="A5490" t="str">
        <f t="shared" si="1"/>
        <v>S.pyogenes</v>
      </c>
      <c r="B5490" s="5" t="s">
        <v>33194</v>
      </c>
      <c r="C5490" s="6" t="str">
        <f>IFERROR(__xludf.DUMMYFUNCTION("SPLIT('2. c'!B5490, "" "", True, True)"),"Streptococcus")</f>
        <v>Streptococcus</v>
      </c>
      <c r="D5490" t="str">
        <f>IFERROR(__xludf.DUMMYFUNCTION("""COMPUTED_VALUE"""),"pyogenes")</f>
        <v>pyogenes</v>
      </c>
      <c r="E5490" t="str">
        <f>IFERROR(__xludf.DUMMYFUNCTION("""COMPUTED_VALUE"""),"strain")</f>
        <v>strain</v>
      </c>
      <c r="F5490" t="str">
        <f>IFERROR(__xludf.DUMMYFUNCTION("""COMPUTED_VALUE"""),"NGAS327")</f>
        <v>NGAS327</v>
      </c>
    </row>
    <row r="5491" ht="15.75" customHeight="1">
      <c r="A5491" t="str">
        <f t="shared" si="1"/>
        <v>S.pyogenes</v>
      </c>
      <c r="B5491" s="5" t="s">
        <v>33195</v>
      </c>
      <c r="C5491" s="6" t="str">
        <f>IFERROR(__xludf.DUMMYFUNCTION("SPLIT('2. c'!B5491, "" "", True, True)"),"Streptococcus")</f>
        <v>Streptococcus</v>
      </c>
      <c r="D5491" t="str">
        <f>IFERROR(__xludf.DUMMYFUNCTION("""COMPUTED_VALUE"""),"pyogenes")</f>
        <v>pyogenes</v>
      </c>
      <c r="E5491" t="str">
        <f>IFERROR(__xludf.DUMMYFUNCTION("""COMPUTED_VALUE"""),"strain")</f>
        <v>strain</v>
      </c>
      <c r="F5491" t="str">
        <f>IFERROR(__xludf.DUMMYFUNCTION("""COMPUTED_VALUE"""),"NGAS596")</f>
        <v>NGAS596</v>
      </c>
    </row>
    <row r="5492" ht="15.75" customHeight="1">
      <c r="A5492" t="str">
        <f t="shared" si="1"/>
        <v>S.pyogenes</v>
      </c>
      <c r="B5492" s="5" t="s">
        <v>33196</v>
      </c>
      <c r="C5492" s="6" t="str">
        <f>IFERROR(__xludf.DUMMYFUNCTION("SPLIT('2. c'!B5492, "" "", True, True)"),"Streptococcus")</f>
        <v>Streptococcus</v>
      </c>
      <c r="D5492" t="str">
        <f>IFERROR(__xludf.DUMMYFUNCTION("""COMPUTED_VALUE"""),"pyogenes")</f>
        <v>pyogenes</v>
      </c>
      <c r="E5492" t="str">
        <f>IFERROR(__xludf.DUMMYFUNCTION("""COMPUTED_VALUE"""),"strain")</f>
        <v>strain</v>
      </c>
      <c r="F5492" t="str">
        <f>IFERROR(__xludf.DUMMYFUNCTION("""COMPUTED_VALUE"""),"NGAS638")</f>
        <v>NGAS638</v>
      </c>
    </row>
    <row r="5493" ht="15.75" customHeight="1">
      <c r="A5493" t="str">
        <f t="shared" si="1"/>
        <v>S.pyogenes</v>
      </c>
      <c r="B5493" s="5" t="s">
        <v>33197</v>
      </c>
      <c r="C5493" s="6" t="str">
        <f>IFERROR(__xludf.DUMMYFUNCTION("SPLIT('2. c'!B5493, "" "", True, True)"),"Streptococcus")</f>
        <v>Streptococcus</v>
      </c>
      <c r="D5493" t="str">
        <f>IFERROR(__xludf.DUMMYFUNCTION("""COMPUTED_VALUE"""),"pyogenes")</f>
        <v>pyogenes</v>
      </c>
      <c r="E5493" t="str">
        <f>IFERROR(__xludf.DUMMYFUNCTION("""COMPUTED_VALUE"""),"strain")</f>
        <v>strain</v>
      </c>
      <c r="F5493" t="str">
        <f>IFERROR(__xludf.DUMMYFUNCTION("""COMPUTED_VALUE"""),"NGAS743")</f>
        <v>NGAS743</v>
      </c>
    </row>
    <row r="5494" ht="15.75" customHeight="1">
      <c r="A5494" t="str">
        <f t="shared" si="1"/>
        <v>S.pyogenes</v>
      </c>
      <c r="B5494" s="5" t="s">
        <v>33198</v>
      </c>
      <c r="C5494" s="6" t="str">
        <f>IFERROR(__xludf.DUMMYFUNCTION("SPLIT('2. c'!B5494, "" "", True, True)"),"Streptococcus")</f>
        <v>Streptococcus</v>
      </c>
      <c r="D5494" t="str">
        <f>IFERROR(__xludf.DUMMYFUNCTION("""COMPUTED_VALUE"""),"pyogenes")</f>
        <v>pyogenes</v>
      </c>
      <c r="E5494" t="str">
        <f>IFERROR(__xludf.DUMMYFUNCTION("""COMPUTED_VALUE"""),"strain")</f>
        <v>strain</v>
      </c>
      <c r="F5494" t="str">
        <f>IFERROR(__xludf.DUMMYFUNCTION("""COMPUTED_VALUE"""),"NS53")</f>
        <v>NS53</v>
      </c>
    </row>
    <row r="5495" ht="15.75" customHeight="1">
      <c r="A5495" t="str">
        <f t="shared" si="1"/>
        <v>S.pyogenes</v>
      </c>
      <c r="B5495" s="5" t="s">
        <v>33199</v>
      </c>
      <c r="C5495" s="6" t="str">
        <f>IFERROR(__xludf.DUMMYFUNCTION("SPLIT('2. c'!B5495, "" "", True, True)"),"Streptococcus")</f>
        <v>Streptococcus</v>
      </c>
      <c r="D5495" t="str">
        <f>IFERROR(__xludf.DUMMYFUNCTION("""COMPUTED_VALUE"""),"pyogenes")</f>
        <v>pyogenes</v>
      </c>
      <c r="E5495" t="str">
        <f>IFERROR(__xludf.DUMMYFUNCTION("""COMPUTED_VALUE"""),"strain")</f>
        <v>strain</v>
      </c>
      <c r="F5495" t="str">
        <f>IFERROR(__xludf.DUMMYFUNCTION("""COMPUTED_VALUE"""),"STAB10015")</f>
        <v>STAB10015</v>
      </c>
    </row>
    <row r="5496" ht="15.75" customHeight="1">
      <c r="A5496" t="str">
        <f t="shared" si="1"/>
        <v>S.pyogenes</v>
      </c>
      <c r="B5496" s="5" t="s">
        <v>33200</v>
      </c>
      <c r="C5496" s="6" t="str">
        <f>IFERROR(__xludf.DUMMYFUNCTION("SPLIT('2. c'!B5496, "" "", True, True)"),"Streptococcus")</f>
        <v>Streptococcus</v>
      </c>
      <c r="D5496" t="str">
        <f>IFERROR(__xludf.DUMMYFUNCTION("""COMPUTED_VALUE"""),"pyogenes")</f>
        <v>pyogenes</v>
      </c>
      <c r="E5496" t="str">
        <f>IFERROR(__xludf.DUMMYFUNCTION("""COMPUTED_VALUE"""),"strain")</f>
        <v>strain</v>
      </c>
      <c r="F5496" t="str">
        <f>IFERROR(__xludf.DUMMYFUNCTION("""COMPUTED_VALUE"""),"STAB13021")</f>
        <v>STAB13021</v>
      </c>
    </row>
    <row r="5497" ht="15.75" customHeight="1">
      <c r="A5497" t="str">
        <f t="shared" si="1"/>
        <v>S.salivarius</v>
      </c>
      <c r="B5497" s="5" t="s">
        <v>33201</v>
      </c>
      <c r="C5497" s="6" t="str">
        <f>IFERROR(__xludf.DUMMYFUNCTION("SPLIT('2. c'!B5497, "" "", True, True)"),"Streptococcus")</f>
        <v>Streptococcus</v>
      </c>
      <c r="D5497" t="str">
        <f>IFERROR(__xludf.DUMMYFUNCTION("""COMPUTED_VALUE"""),"salivarius")</f>
        <v>salivarius</v>
      </c>
      <c r="E5497" t="str">
        <f>IFERROR(__xludf.DUMMYFUNCTION("""COMPUTED_VALUE"""),"57.I")</f>
        <v>57.I</v>
      </c>
    </row>
    <row r="5498" ht="15.75" customHeight="1">
      <c r="A5498" t="str">
        <f t="shared" si="1"/>
        <v>S.salivarius</v>
      </c>
      <c r="B5498" s="5" t="s">
        <v>33202</v>
      </c>
      <c r="C5498" s="6" t="str">
        <f>IFERROR(__xludf.DUMMYFUNCTION("SPLIT('2. c'!B5498, "" "", True, True)"),"Streptococcus")</f>
        <v>Streptococcus</v>
      </c>
      <c r="D5498" t="str">
        <f>IFERROR(__xludf.DUMMYFUNCTION("""COMPUTED_VALUE"""),"salivarius")</f>
        <v>salivarius</v>
      </c>
      <c r="E5498" t="str">
        <f>IFERROR(__xludf.DUMMYFUNCTION("""COMPUTED_VALUE"""),"CCHSS3")</f>
        <v>CCHSS3</v>
      </c>
    </row>
    <row r="5499" ht="15.75" customHeight="1">
      <c r="A5499" t="str">
        <f t="shared" si="1"/>
        <v>S.salivarius</v>
      </c>
      <c r="B5499" s="5" t="s">
        <v>33203</v>
      </c>
      <c r="C5499" s="6" t="str">
        <f>IFERROR(__xludf.DUMMYFUNCTION("SPLIT('2. c'!B5499, "" "", True, True)"),"Streptococcus")</f>
        <v>Streptococcus</v>
      </c>
      <c r="D5499" t="str">
        <f>IFERROR(__xludf.DUMMYFUNCTION("""COMPUTED_VALUE"""),"salivarius")</f>
        <v>salivarius</v>
      </c>
      <c r="E5499" t="str">
        <f>IFERROR(__xludf.DUMMYFUNCTION("""COMPUTED_VALUE"""),"JIM8777")</f>
        <v>JIM8777</v>
      </c>
    </row>
    <row r="5500" ht="15.75" customHeight="1">
      <c r="A5500" t="str">
        <f t="shared" si="1"/>
        <v>S.salivarius</v>
      </c>
      <c r="B5500" s="5" t="s">
        <v>33204</v>
      </c>
      <c r="C5500" s="6" t="str">
        <f>IFERROR(__xludf.DUMMYFUNCTION("SPLIT('2. c'!B5500, "" "", True, True)"),"Streptococcus")</f>
        <v>Streptococcus</v>
      </c>
      <c r="D5500" t="str">
        <f>IFERROR(__xludf.DUMMYFUNCTION("""COMPUTED_VALUE"""),"salivarius")</f>
        <v>salivarius</v>
      </c>
      <c r="E5500" t="str">
        <f>IFERROR(__xludf.DUMMYFUNCTION("""COMPUTED_VALUE"""),"strain")</f>
        <v>strain</v>
      </c>
      <c r="F5500" t="str">
        <f>IFERROR(__xludf.DUMMYFUNCTION("""COMPUTED_VALUE"""),"JF")</f>
        <v>JF</v>
      </c>
    </row>
    <row r="5501" ht="15.75" customHeight="1">
      <c r="A5501" t="str">
        <f t="shared" si="1"/>
        <v>S.salivarius</v>
      </c>
      <c r="B5501" s="5" t="s">
        <v>33205</v>
      </c>
      <c r="C5501" s="6" t="str">
        <f>IFERROR(__xludf.DUMMYFUNCTION("SPLIT('2. c'!B5501, "" "", True, True)"),"Streptococcus")</f>
        <v>Streptococcus</v>
      </c>
      <c r="D5501" t="str">
        <f>IFERROR(__xludf.DUMMYFUNCTION("""COMPUTED_VALUE"""),"salivarius")</f>
        <v>salivarius</v>
      </c>
      <c r="E5501" t="str">
        <f>IFERROR(__xludf.DUMMYFUNCTION("""COMPUTED_VALUE"""),"strain")</f>
        <v>strain</v>
      </c>
      <c r="F5501" t="str">
        <f>IFERROR(__xludf.DUMMYFUNCTION("""COMPUTED_VALUE"""),"NCTC")</f>
        <v>NCTC</v>
      </c>
      <c r="G5501">
        <f>IFERROR(__xludf.DUMMYFUNCTION("""COMPUTED_VALUE"""),8618.0)</f>
        <v>8618</v>
      </c>
    </row>
    <row r="5502" ht="15.75" customHeight="1">
      <c r="A5502" t="str">
        <f t="shared" si="1"/>
        <v>S.sanguinis</v>
      </c>
      <c r="B5502" s="5" t="s">
        <v>33206</v>
      </c>
      <c r="C5502" s="6" t="str">
        <f>IFERROR(__xludf.DUMMYFUNCTION("SPLIT('2. c'!B5502, "" "", True, True)"),"Streptococcus")</f>
        <v>Streptococcus</v>
      </c>
      <c r="D5502" t="str">
        <f>IFERROR(__xludf.DUMMYFUNCTION("""COMPUTED_VALUE"""),"sanguinis")</f>
        <v>sanguinis</v>
      </c>
      <c r="E5502" t="str">
        <f>IFERROR(__xludf.DUMMYFUNCTION("""COMPUTED_VALUE"""),"SK36")</f>
        <v>SK36</v>
      </c>
    </row>
    <row r="5503" ht="15.75" customHeight="1">
      <c r="A5503" t="str">
        <f t="shared" si="1"/>
        <v>S.sanguinis</v>
      </c>
      <c r="B5503" s="5" t="s">
        <v>33207</v>
      </c>
      <c r="C5503" s="6" t="str">
        <f>IFERROR(__xludf.DUMMYFUNCTION("SPLIT('2. c'!B5503, "" "", True, True)"),"Streptococcus")</f>
        <v>Streptococcus</v>
      </c>
      <c r="D5503" t="str">
        <f>IFERROR(__xludf.DUMMYFUNCTION("""COMPUTED_VALUE"""),"sanguinis")</f>
        <v>sanguinis</v>
      </c>
      <c r="E5503" t="str">
        <f>IFERROR(__xludf.DUMMYFUNCTION("""COMPUTED_VALUE"""),"strain")</f>
        <v>strain</v>
      </c>
      <c r="F5503">
        <f>IFERROR(__xludf.DUMMYFUNCTION("""COMPUTED_VALUE"""),2908.0)</f>
        <v>2908</v>
      </c>
    </row>
    <row r="5504" ht="15.75" customHeight="1">
      <c r="A5504" t="str">
        <f t="shared" si="1"/>
        <v>S.sp.</v>
      </c>
      <c r="B5504" s="5" t="s">
        <v>33208</v>
      </c>
      <c r="C5504" s="6" t="str">
        <f>IFERROR(__xludf.DUMMYFUNCTION("SPLIT('2. c'!B5504, "" "", True, True)"),"Streptococcus")</f>
        <v>Streptococcus</v>
      </c>
      <c r="D5504" t="str">
        <f>IFERROR(__xludf.DUMMYFUNCTION("""COMPUTED_VALUE"""),"sp.")</f>
        <v>sp.</v>
      </c>
      <c r="E5504" t="str">
        <f>IFERROR(__xludf.DUMMYFUNCTION("""COMPUTED_VALUE"""),"A12")</f>
        <v>A12</v>
      </c>
    </row>
    <row r="5505" ht="15.75" customHeight="1">
      <c r="A5505" t="str">
        <f t="shared" si="1"/>
        <v>S.sp.</v>
      </c>
      <c r="B5505" s="5" t="s">
        <v>33209</v>
      </c>
      <c r="C5505" s="6" t="str">
        <f>IFERROR(__xludf.DUMMYFUNCTION("SPLIT('2. c'!B5505, "" "", True, True)"),"Streptococcus")</f>
        <v>Streptococcus</v>
      </c>
      <c r="D5505" t="str">
        <f>IFERROR(__xludf.DUMMYFUNCTION("""COMPUTED_VALUE"""),"sp.")</f>
        <v>sp.</v>
      </c>
      <c r="E5505" t="str">
        <f>IFERROR(__xludf.DUMMYFUNCTION("""COMPUTED_VALUE"""),"FDAARGOS_146")</f>
        <v>FDAARGOS_146</v>
      </c>
    </row>
    <row r="5506" ht="15.75" customHeight="1">
      <c r="A5506" t="str">
        <f t="shared" si="1"/>
        <v>S.sp.</v>
      </c>
      <c r="B5506" s="5" t="s">
        <v>33210</v>
      </c>
      <c r="C5506" s="6" t="str">
        <f>IFERROR(__xludf.DUMMYFUNCTION("SPLIT('2. c'!B5506, "" "", True, True)"),"Streptococcus")</f>
        <v>Streptococcus</v>
      </c>
      <c r="D5506" t="str">
        <f>IFERROR(__xludf.DUMMYFUNCTION("""COMPUTED_VALUE"""),"sp.")</f>
        <v>sp.</v>
      </c>
      <c r="E5506" t="str">
        <f>IFERROR(__xludf.DUMMYFUNCTION("""COMPUTED_VALUE"""),"HSISB1")</f>
        <v>HSISB1</v>
      </c>
    </row>
    <row r="5507" ht="15.75" customHeight="1">
      <c r="A5507" t="str">
        <f t="shared" si="1"/>
        <v>S.sp.</v>
      </c>
      <c r="B5507" s="5" t="s">
        <v>33211</v>
      </c>
      <c r="C5507" s="6" t="str">
        <f>IFERROR(__xludf.DUMMYFUNCTION("SPLIT('2. c'!B5507, "" "", True, True)"),"Streptococcus")</f>
        <v>Streptococcus</v>
      </c>
      <c r="D5507" t="str">
        <f>IFERROR(__xludf.DUMMYFUNCTION("""COMPUTED_VALUE"""),"sp.")</f>
        <v>sp.</v>
      </c>
      <c r="E5507" t="str">
        <f>IFERROR(__xludf.DUMMYFUNCTION("""COMPUTED_VALUE"""),"HSISM1")</f>
        <v>HSISM1</v>
      </c>
    </row>
    <row r="5508" ht="15.75" customHeight="1">
      <c r="A5508" t="str">
        <f t="shared" si="1"/>
        <v>S.sp.</v>
      </c>
      <c r="B5508" s="5" t="s">
        <v>33212</v>
      </c>
      <c r="C5508" s="6" t="str">
        <f>IFERROR(__xludf.DUMMYFUNCTION("SPLIT('2. c'!B5508, "" "", True, True)"),"Streptococcus")</f>
        <v>Streptococcus</v>
      </c>
      <c r="D5508" t="str">
        <f>IFERROR(__xludf.DUMMYFUNCTION("""COMPUTED_VALUE"""),"sp.")</f>
        <v>sp.</v>
      </c>
      <c r="E5508" t="str">
        <f>IFERROR(__xludf.DUMMYFUNCTION("""COMPUTED_VALUE"""),"HSISS1")</f>
        <v>HSISS1</v>
      </c>
    </row>
    <row r="5509" ht="15.75" customHeight="1">
      <c r="A5509" t="str">
        <f t="shared" si="1"/>
        <v>S.sp.</v>
      </c>
      <c r="B5509" s="5" t="s">
        <v>33213</v>
      </c>
      <c r="C5509" s="6" t="str">
        <f>IFERROR(__xludf.DUMMYFUNCTION("SPLIT('2. c'!B5509, "" "", True, True)"),"Streptococcus")</f>
        <v>Streptococcus</v>
      </c>
      <c r="D5509" t="str">
        <f>IFERROR(__xludf.DUMMYFUNCTION("""COMPUTED_VALUE"""),"sp.")</f>
        <v>sp.</v>
      </c>
      <c r="E5509" t="str">
        <f>IFERROR(__xludf.DUMMYFUNCTION("""COMPUTED_VALUE"""),"HSISS2")</f>
        <v>HSISS2</v>
      </c>
    </row>
    <row r="5510" ht="15.75" customHeight="1">
      <c r="A5510" t="str">
        <f t="shared" si="1"/>
        <v>S.sp.</v>
      </c>
      <c r="B5510" s="5" t="s">
        <v>33214</v>
      </c>
      <c r="C5510" s="6" t="str">
        <f>IFERROR(__xludf.DUMMYFUNCTION("SPLIT('2. c'!B5510, "" "", True, True)"),"Streptococcus")</f>
        <v>Streptococcus</v>
      </c>
      <c r="D5510" t="str">
        <f>IFERROR(__xludf.DUMMYFUNCTION("""COMPUTED_VALUE"""),"sp.")</f>
        <v>sp.</v>
      </c>
      <c r="E5510" t="str">
        <f>IFERROR(__xludf.DUMMYFUNCTION("""COMPUTED_VALUE"""),"HSISS3")</f>
        <v>HSISS3</v>
      </c>
    </row>
    <row r="5511" ht="15.75" customHeight="1">
      <c r="A5511" t="str">
        <f t="shared" si="1"/>
        <v>S.sp.</v>
      </c>
      <c r="B5511" s="5" t="s">
        <v>33215</v>
      </c>
      <c r="C5511" s="6" t="str">
        <f>IFERROR(__xludf.DUMMYFUNCTION("SPLIT('2. c'!B5511, "" "", True, True)"),"Streptococcus")</f>
        <v>Streptococcus</v>
      </c>
      <c r="D5511" t="str">
        <f>IFERROR(__xludf.DUMMYFUNCTION("""COMPUTED_VALUE"""),"sp.")</f>
        <v>sp.</v>
      </c>
      <c r="E5511" t="str">
        <f>IFERROR(__xludf.DUMMYFUNCTION("""COMPUTED_VALUE"""),"HTS5")</f>
        <v>HTS5</v>
      </c>
    </row>
    <row r="5512" ht="15.75" customHeight="1">
      <c r="A5512" t="str">
        <f t="shared" si="1"/>
        <v>S.sp.</v>
      </c>
      <c r="B5512" s="5" t="s">
        <v>33216</v>
      </c>
      <c r="C5512" s="6" t="str">
        <f>IFERROR(__xludf.DUMMYFUNCTION("SPLIT('2. c'!B5512, "" "", True, True)"),"Streptococcus")</f>
        <v>Streptococcus</v>
      </c>
      <c r="D5512" t="str">
        <f>IFERROR(__xludf.DUMMYFUNCTION("""COMPUTED_VALUE"""),"sp.")</f>
        <v>sp.</v>
      </c>
      <c r="E5512" t="str">
        <f>IFERROR(__xludf.DUMMYFUNCTION("""COMPUTED_VALUE"""),"HTS9")</f>
        <v>HTS9</v>
      </c>
    </row>
    <row r="5513" ht="15.75" customHeight="1">
      <c r="A5513" t="str">
        <f t="shared" si="1"/>
        <v>S.sp.</v>
      </c>
      <c r="B5513" s="5" t="s">
        <v>33217</v>
      </c>
      <c r="C5513" s="6" t="str">
        <f>IFERROR(__xludf.DUMMYFUNCTION("SPLIT('2. c'!B5513, "" "", True, True)"),"Streptococcus")</f>
        <v>Streptococcus</v>
      </c>
      <c r="D5513" t="str">
        <f>IFERROR(__xludf.DUMMYFUNCTION("""COMPUTED_VALUE"""),"sp.")</f>
        <v>sp.</v>
      </c>
      <c r="E5513" t="str">
        <f>IFERROR(__xludf.DUMMYFUNCTION("""COMPUTED_VALUE"""),"I-G2")</f>
        <v>I-G2</v>
      </c>
    </row>
    <row r="5514" ht="15.75" customHeight="1">
      <c r="A5514" t="str">
        <f t="shared" si="1"/>
        <v>S.sp.</v>
      </c>
      <c r="B5514" s="5" t="s">
        <v>33218</v>
      </c>
      <c r="C5514" s="6" t="str">
        <f>IFERROR(__xludf.DUMMYFUNCTION("SPLIT('2. c'!B5514, "" "", True, True)"),"Streptococcus")</f>
        <v>Streptococcus</v>
      </c>
      <c r="D5514" t="str">
        <f>IFERROR(__xludf.DUMMYFUNCTION("""COMPUTED_VALUE"""),"sp.")</f>
        <v>sp.</v>
      </c>
      <c r="E5514" t="str">
        <f>IFERROR(__xludf.DUMMYFUNCTION("""COMPUTED_VALUE"""),"I-P16")</f>
        <v>I-P16</v>
      </c>
    </row>
    <row r="5515" ht="15.75" customHeight="1">
      <c r="A5515" t="str">
        <f t="shared" si="1"/>
        <v>S.sp.</v>
      </c>
      <c r="B5515" s="5" t="s">
        <v>33219</v>
      </c>
      <c r="C5515" s="6" t="str">
        <f>IFERROR(__xludf.DUMMYFUNCTION("SPLIT('2. c'!B5515, "" "", True, True)"),"Streptococcus")</f>
        <v>Streptococcus</v>
      </c>
      <c r="D5515" t="str">
        <f>IFERROR(__xludf.DUMMYFUNCTION("""COMPUTED_VALUE"""),"sp.")</f>
        <v>sp.</v>
      </c>
      <c r="E5515" t="str">
        <f>IFERROR(__xludf.DUMMYFUNCTION("""COMPUTED_VALUE"""),"oral")</f>
        <v>oral</v>
      </c>
      <c r="F5515" t="str">
        <f>IFERROR(__xludf.DUMMYFUNCTION("""COMPUTED_VALUE"""),"taxon")</f>
        <v>taxon</v>
      </c>
      <c r="G5515">
        <f>IFERROR(__xludf.DUMMYFUNCTION("""COMPUTED_VALUE"""),431.0)</f>
        <v>431</v>
      </c>
    </row>
    <row r="5516" ht="15.75" customHeight="1">
      <c r="A5516" t="str">
        <f t="shared" si="1"/>
        <v>S.sp.</v>
      </c>
      <c r="B5516" s="5" t="s">
        <v>33220</v>
      </c>
      <c r="C5516" s="6" t="str">
        <f>IFERROR(__xludf.DUMMYFUNCTION("SPLIT('2. c'!B5516, "" "", True, True)"),"Streptococcus")</f>
        <v>Streptococcus</v>
      </c>
      <c r="D5516" t="str">
        <f>IFERROR(__xludf.DUMMYFUNCTION("""COMPUTED_VALUE"""),"sp.")</f>
        <v>sp.</v>
      </c>
      <c r="E5516" t="str">
        <f>IFERROR(__xludf.DUMMYFUNCTION("""COMPUTED_VALUE"""),"TA")</f>
        <v>TA</v>
      </c>
      <c r="F5516">
        <f>IFERROR(__xludf.DUMMYFUNCTION("""COMPUTED_VALUE"""),26.0)</f>
        <v>26</v>
      </c>
    </row>
    <row r="5517" ht="15.75" customHeight="1">
      <c r="A5517" t="str">
        <f t="shared" si="1"/>
        <v>S.sp.</v>
      </c>
      <c r="B5517" s="5" t="s">
        <v>33221</v>
      </c>
      <c r="C5517" s="6" t="str">
        <f>IFERROR(__xludf.DUMMYFUNCTION("SPLIT('2. c'!B5517, "" "", True, True)"),"Streptococcus")</f>
        <v>Streptococcus</v>
      </c>
      <c r="D5517" t="str">
        <f>IFERROR(__xludf.DUMMYFUNCTION("""COMPUTED_VALUE"""),"sp.")</f>
        <v>sp.</v>
      </c>
      <c r="E5517" t="str">
        <f>IFERROR(__xludf.DUMMYFUNCTION("""COMPUTED_VALUE"""),"VT")</f>
        <v>VT</v>
      </c>
      <c r="F5517">
        <f>IFERROR(__xludf.DUMMYFUNCTION("""COMPUTED_VALUE"""),162.0)</f>
        <v>162</v>
      </c>
    </row>
    <row r="5518" ht="15.75" customHeight="1">
      <c r="A5518" t="str">
        <f t="shared" si="1"/>
        <v>S.suis</v>
      </c>
      <c r="B5518" s="5" t="s">
        <v>33222</v>
      </c>
      <c r="C5518" s="6" t="str">
        <f>IFERROR(__xludf.DUMMYFUNCTION("SPLIT('2. c'!B5518, "" "", True, True)"),"Streptococcus")</f>
        <v>Streptococcus</v>
      </c>
      <c r="D5518" t="str">
        <f>IFERROR(__xludf.DUMMYFUNCTION("""COMPUTED_VALUE"""),"suis")</f>
        <v>suis</v>
      </c>
      <c r="E5518" t="str">
        <f>IFERROR(__xludf.DUMMYFUNCTION("""COMPUTED_VALUE"""),"05ZYH33")</f>
        <v>05ZYH33</v>
      </c>
    </row>
    <row r="5519" ht="15.75" customHeight="1">
      <c r="A5519" t="str">
        <f t="shared" si="1"/>
        <v>S.suis</v>
      </c>
      <c r="B5519" s="5" t="s">
        <v>33223</v>
      </c>
      <c r="C5519" s="6" t="str">
        <f>IFERROR(__xludf.DUMMYFUNCTION("SPLIT('2. c'!B5519, "" "", True, True)"),"Streptococcus")</f>
        <v>Streptococcus</v>
      </c>
      <c r="D5519" t="str">
        <f>IFERROR(__xludf.DUMMYFUNCTION("""COMPUTED_VALUE"""),"suis")</f>
        <v>suis</v>
      </c>
      <c r="E5519">
        <f>IFERROR(__xludf.DUMMYFUNCTION("""COMPUTED_VALUE"""),6407.0)</f>
        <v>6407</v>
      </c>
    </row>
    <row r="5520" ht="15.75" customHeight="1">
      <c r="A5520" t="str">
        <f t="shared" si="1"/>
        <v>S.suis</v>
      </c>
      <c r="B5520" s="5" t="s">
        <v>33224</v>
      </c>
      <c r="C5520" s="6" t="str">
        <f>IFERROR(__xludf.DUMMYFUNCTION("SPLIT('2. c'!B5520, "" "", True, True)"),"Streptococcus")</f>
        <v>Streptococcus</v>
      </c>
      <c r="D5520" t="str">
        <f>IFERROR(__xludf.DUMMYFUNCTION("""COMPUTED_VALUE"""),"suis")</f>
        <v>suis</v>
      </c>
      <c r="E5520" t="str">
        <f>IFERROR(__xludf.DUMMYFUNCTION("""COMPUTED_VALUE"""),"98HAH33")</f>
        <v>98HAH33</v>
      </c>
    </row>
    <row r="5521" ht="15.75" customHeight="1">
      <c r="A5521" t="str">
        <f t="shared" si="1"/>
        <v>S.suis</v>
      </c>
      <c r="B5521" s="5" t="s">
        <v>33225</v>
      </c>
      <c r="C5521" s="6" t="str">
        <f>IFERROR(__xludf.DUMMYFUNCTION("SPLIT('2. c'!B5521, "" "", True, True)"),"Streptococcus")</f>
        <v>Streptococcus</v>
      </c>
      <c r="D5521" t="str">
        <f>IFERROR(__xludf.DUMMYFUNCTION("""COMPUTED_VALUE"""),"suis")</f>
        <v>suis</v>
      </c>
      <c r="E5521" t="str">
        <f>IFERROR(__xludf.DUMMYFUNCTION("""COMPUTED_VALUE"""),"A7")</f>
        <v>A7</v>
      </c>
    </row>
    <row r="5522" ht="15.75" customHeight="1">
      <c r="A5522" t="str">
        <f t="shared" si="1"/>
        <v>S.suis</v>
      </c>
      <c r="B5522" s="5" t="s">
        <v>33226</v>
      </c>
      <c r="C5522" s="6" t="str">
        <f>IFERROR(__xludf.DUMMYFUNCTION("SPLIT('2. c'!B5522, "" "", True, True)"),"Streptococcus")</f>
        <v>Streptococcus</v>
      </c>
      <c r="D5522" t="str">
        <f>IFERROR(__xludf.DUMMYFUNCTION("""COMPUTED_VALUE"""),"suis")</f>
        <v>suis</v>
      </c>
      <c r="E5522" t="str">
        <f>IFERROR(__xludf.DUMMYFUNCTION("""COMPUTED_VALUE"""),"BM407")</f>
        <v>BM407</v>
      </c>
    </row>
    <row r="5523" ht="15.75" customHeight="1">
      <c r="A5523" t="str">
        <f t="shared" si="1"/>
        <v>S.suis</v>
      </c>
      <c r="B5523" s="5" t="s">
        <v>33227</v>
      </c>
      <c r="C5523" s="6" t="str">
        <f>IFERROR(__xludf.DUMMYFUNCTION("SPLIT('2. c'!B5523, "" "", True, True)"),"Streptococcus")</f>
        <v>Streptococcus</v>
      </c>
      <c r="D5523" t="str">
        <f>IFERROR(__xludf.DUMMYFUNCTION("""COMPUTED_VALUE"""),"suis")</f>
        <v>suis</v>
      </c>
      <c r="E5523" t="str">
        <f>IFERROR(__xludf.DUMMYFUNCTION("""COMPUTED_VALUE"""),"D12")</f>
        <v>D12</v>
      </c>
    </row>
    <row r="5524" ht="15.75" customHeight="1">
      <c r="A5524" t="str">
        <f t="shared" si="1"/>
        <v>S.suis</v>
      </c>
      <c r="B5524" s="5" t="s">
        <v>33228</v>
      </c>
      <c r="C5524" s="6" t="str">
        <f>IFERROR(__xludf.DUMMYFUNCTION("SPLIT('2. c'!B5524, "" "", True, True)"),"Streptococcus")</f>
        <v>Streptococcus</v>
      </c>
      <c r="D5524" t="str">
        <f>IFERROR(__xludf.DUMMYFUNCTION("""COMPUTED_VALUE"""),"suis")</f>
        <v>suis</v>
      </c>
      <c r="E5524" t="str">
        <f>IFERROR(__xludf.DUMMYFUNCTION("""COMPUTED_VALUE"""),"D9")</f>
        <v>D9</v>
      </c>
    </row>
    <row r="5525" ht="15.75" customHeight="1">
      <c r="A5525" t="str">
        <f t="shared" si="1"/>
        <v>S.suis</v>
      </c>
      <c r="B5525" s="5" t="s">
        <v>33229</v>
      </c>
      <c r="C5525" s="6" t="str">
        <f>IFERROR(__xludf.DUMMYFUNCTION("SPLIT('2. c'!B5525, "" "", True, True)"),"Streptococcus")</f>
        <v>Streptococcus</v>
      </c>
      <c r="D5525" t="str">
        <f>IFERROR(__xludf.DUMMYFUNCTION("""COMPUTED_VALUE"""),"suis")</f>
        <v>suis</v>
      </c>
      <c r="E5525" t="str">
        <f>IFERROR(__xludf.DUMMYFUNCTION("""COMPUTED_VALUE"""),"GZ1")</f>
        <v>GZ1</v>
      </c>
    </row>
    <row r="5526" ht="15.75" customHeight="1">
      <c r="A5526" t="str">
        <f t="shared" si="1"/>
        <v>S.suis</v>
      </c>
      <c r="B5526" s="5" t="s">
        <v>33230</v>
      </c>
      <c r="C5526" s="6" t="str">
        <f>IFERROR(__xludf.DUMMYFUNCTION("SPLIT('2. c'!B5526, "" "", True, True)"),"Streptococcus")</f>
        <v>Streptococcus</v>
      </c>
      <c r="D5526" t="str">
        <f>IFERROR(__xludf.DUMMYFUNCTION("""COMPUTED_VALUE"""),"suis")</f>
        <v>suis</v>
      </c>
      <c r="E5526" t="str">
        <f>IFERROR(__xludf.DUMMYFUNCTION("""COMPUTED_VALUE"""),"JS14")</f>
        <v>JS14</v>
      </c>
    </row>
    <row r="5527" ht="15.75" customHeight="1">
      <c r="A5527" t="str">
        <f t="shared" si="1"/>
        <v>S.suis</v>
      </c>
      <c r="B5527" s="5" t="s">
        <v>33231</v>
      </c>
      <c r="C5527" s="6" t="str">
        <f>IFERROR(__xludf.DUMMYFUNCTION("SPLIT('2. c'!B5527, "" "", True, True)"),"Streptococcus")</f>
        <v>Streptococcus</v>
      </c>
      <c r="D5527" t="str">
        <f>IFERROR(__xludf.DUMMYFUNCTION("""COMPUTED_VALUE"""),"suis")</f>
        <v>suis</v>
      </c>
      <c r="E5527" t="str">
        <f>IFERROR(__xludf.DUMMYFUNCTION("""COMPUTED_VALUE"""),"P1/7")</f>
        <v>P1/7</v>
      </c>
    </row>
    <row r="5528" ht="15.75" customHeight="1">
      <c r="A5528" t="str">
        <f t="shared" si="1"/>
        <v>S.suis</v>
      </c>
      <c r="B5528" s="5" t="s">
        <v>33232</v>
      </c>
      <c r="C5528" s="6" t="str">
        <f>IFERROR(__xludf.DUMMYFUNCTION("SPLIT('2. c'!B5528, "" "", True, True)"),"Streptococcus")</f>
        <v>Streptococcus</v>
      </c>
      <c r="D5528" t="str">
        <f>IFERROR(__xludf.DUMMYFUNCTION("""COMPUTED_VALUE"""),"suis")</f>
        <v>suis</v>
      </c>
      <c r="E5528" t="str">
        <f>IFERROR(__xludf.DUMMYFUNCTION("""COMPUTED_VALUE"""),"S735")</f>
        <v>S735</v>
      </c>
    </row>
    <row r="5529" ht="15.75" customHeight="1">
      <c r="A5529" t="str">
        <f t="shared" si="1"/>
        <v>S.suis</v>
      </c>
      <c r="B5529" s="5" t="s">
        <v>33233</v>
      </c>
      <c r="C5529" s="6" t="str">
        <f>IFERROR(__xludf.DUMMYFUNCTION("SPLIT('2. c'!B5529, "" "", True, True)"),"Streptococcus")</f>
        <v>Streptococcus</v>
      </c>
      <c r="D5529" t="str">
        <f>IFERROR(__xludf.DUMMYFUNCTION("""COMPUTED_VALUE"""),"suis")</f>
        <v>suis</v>
      </c>
      <c r="E5529" t="str">
        <f>IFERROR(__xludf.DUMMYFUNCTION("""COMPUTED_VALUE"""),"SC070731")</f>
        <v>SC070731</v>
      </c>
    </row>
    <row r="5530" ht="15.75" customHeight="1">
      <c r="A5530" t="str">
        <f t="shared" si="1"/>
        <v>S.suis</v>
      </c>
      <c r="B5530" s="5" t="s">
        <v>33234</v>
      </c>
      <c r="C5530" s="6" t="str">
        <f>IFERROR(__xludf.DUMMYFUNCTION("SPLIT('2. c'!B5530, "" "", True, True)"),"Streptococcus")</f>
        <v>Streptococcus</v>
      </c>
      <c r="D5530" t="str">
        <f>IFERROR(__xludf.DUMMYFUNCTION("""COMPUTED_VALUE"""),"suis")</f>
        <v>suis</v>
      </c>
      <c r="E5530" t="str">
        <f>IFERROR(__xludf.DUMMYFUNCTION("""COMPUTED_VALUE"""),"SC84")</f>
        <v>SC84</v>
      </c>
    </row>
    <row r="5531" ht="15.75" customHeight="1">
      <c r="A5531" t="str">
        <f t="shared" si="1"/>
        <v>S.suis</v>
      </c>
      <c r="B5531" s="5" t="s">
        <v>33235</v>
      </c>
      <c r="C5531" s="6" t="str">
        <f>IFERROR(__xludf.DUMMYFUNCTION("SPLIT('2. c'!B5531, "" "", True, True)"),"Streptococcus")</f>
        <v>Streptococcus</v>
      </c>
      <c r="D5531" t="str">
        <f>IFERROR(__xludf.DUMMYFUNCTION("""COMPUTED_VALUE"""),"suis")</f>
        <v>suis</v>
      </c>
      <c r="E5531" t="str">
        <f>IFERROR(__xludf.DUMMYFUNCTION("""COMPUTED_VALUE"""),"SS12")</f>
        <v>SS12</v>
      </c>
    </row>
    <row r="5532" ht="15.75" customHeight="1">
      <c r="A5532" t="str">
        <f t="shared" si="1"/>
        <v>S.suis</v>
      </c>
      <c r="B5532" s="5" t="s">
        <v>33236</v>
      </c>
      <c r="C5532" s="6" t="str">
        <f>IFERROR(__xludf.DUMMYFUNCTION("SPLIT('2. c'!B5532, "" "", True, True)"),"Streptococcus")</f>
        <v>Streptococcus</v>
      </c>
      <c r="D5532" t="str">
        <f>IFERROR(__xludf.DUMMYFUNCTION("""COMPUTED_VALUE"""),"suis")</f>
        <v>suis</v>
      </c>
      <c r="E5532" t="str">
        <f>IFERROR(__xludf.DUMMYFUNCTION("""COMPUTED_VALUE"""),"ST1")</f>
        <v>ST1</v>
      </c>
    </row>
    <row r="5533" ht="15.75" customHeight="1">
      <c r="A5533" t="str">
        <f t="shared" si="1"/>
        <v>S.suis</v>
      </c>
      <c r="B5533" s="5" t="s">
        <v>33237</v>
      </c>
      <c r="C5533" s="6" t="str">
        <f>IFERROR(__xludf.DUMMYFUNCTION("SPLIT('2. c'!B5533, "" "", True, True)"),"Streptococcus")</f>
        <v>Streptococcus</v>
      </c>
      <c r="D5533" t="str">
        <f>IFERROR(__xludf.DUMMYFUNCTION("""COMPUTED_VALUE"""),"suis")</f>
        <v>suis</v>
      </c>
      <c r="E5533" t="str">
        <f>IFERROR(__xludf.DUMMYFUNCTION("""COMPUTED_VALUE"""),"ST3")</f>
        <v>ST3</v>
      </c>
    </row>
    <row r="5534" ht="15.75" customHeight="1">
      <c r="A5534" t="str">
        <f t="shared" si="1"/>
        <v>S.suis</v>
      </c>
      <c r="B5534" s="5" t="s">
        <v>33238</v>
      </c>
      <c r="C5534" s="6" t="str">
        <f>IFERROR(__xludf.DUMMYFUNCTION("SPLIT('2. c'!B5534, "" "", True, True)"),"Streptococcus")</f>
        <v>Streptococcus</v>
      </c>
      <c r="D5534" t="str">
        <f>IFERROR(__xludf.DUMMYFUNCTION("""COMPUTED_VALUE"""),"suis")</f>
        <v>suis</v>
      </c>
      <c r="E5534" t="str">
        <f>IFERROR(__xludf.DUMMYFUNCTION("""COMPUTED_VALUE"""),"strain")</f>
        <v>strain</v>
      </c>
      <c r="F5534" t="str">
        <f>IFERROR(__xludf.DUMMYFUNCTION("""COMPUTED_VALUE"""),"90-1330")</f>
        <v>90-1330</v>
      </c>
    </row>
    <row r="5535" ht="15.75" customHeight="1">
      <c r="A5535" t="str">
        <f t="shared" si="1"/>
        <v>S.suis</v>
      </c>
      <c r="B5535" s="5" t="s">
        <v>33239</v>
      </c>
      <c r="C5535" s="6" t="str">
        <f>IFERROR(__xludf.DUMMYFUNCTION("SPLIT('2. c'!B5535, "" "", True, True)"),"Streptococcus")</f>
        <v>Streptococcus</v>
      </c>
      <c r="D5535" t="str">
        <f>IFERROR(__xludf.DUMMYFUNCTION("""COMPUTED_VALUE"""),"suis")</f>
        <v>suis</v>
      </c>
      <c r="E5535" t="str">
        <f>IFERROR(__xludf.DUMMYFUNCTION("""COMPUTED_VALUE"""),"strain")</f>
        <v>strain</v>
      </c>
      <c r="F5535" t="str">
        <f>IFERROR(__xludf.DUMMYFUNCTION("""COMPUTED_VALUE"""),"DN13")</f>
        <v>DN13</v>
      </c>
    </row>
    <row r="5536" ht="15.75" customHeight="1">
      <c r="A5536" t="str">
        <f t="shared" si="1"/>
        <v>S.suis</v>
      </c>
      <c r="B5536" s="5" t="s">
        <v>33240</v>
      </c>
      <c r="C5536" s="6" t="str">
        <f>IFERROR(__xludf.DUMMYFUNCTION("SPLIT('2. c'!B5536, "" "", True, True)"),"Streptococcus")</f>
        <v>Streptococcus</v>
      </c>
      <c r="D5536" t="str">
        <f>IFERROR(__xludf.DUMMYFUNCTION("""COMPUTED_VALUE"""),"suis")</f>
        <v>suis</v>
      </c>
      <c r="E5536" t="str">
        <f>IFERROR(__xludf.DUMMYFUNCTION("""COMPUTED_VALUE"""),"strain")</f>
        <v>strain</v>
      </c>
      <c r="F5536" t="str">
        <f>IFERROR(__xludf.DUMMYFUNCTION("""COMPUTED_VALUE"""),"NSUI002")</f>
        <v>NSUI002</v>
      </c>
    </row>
    <row r="5537" ht="15.75" customHeight="1">
      <c r="A5537" t="str">
        <f t="shared" si="1"/>
        <v>S.suis</v>
      </c>
      <c r="B5537" s="5" t="s">
        <v>33241</v>
      </c>
      <c r="C5537" s="6" t="str">
        <f>IFERROR(__xludf.DUMMYFUNCTION("SPLIT('2. c'!B5537, "" "", True, True)"),"Streptococcus")</f>
        <v>Streptococcus</v>
      </c>
      <c r="D5537" t="str">
        <f>IFERROR(__xludf.DUMMYFUNCTION("""COMPUTED_VALUE"""),"suis")</f>
        <v>suis</v>
      </c>
      <c r="E5537" t="str">
        <f>IFERROR(__xludf.DUMMYFUNCTION("""COMPUTED_VALUE"""),"strain")</f>
        <v>strain</v>
      </c>
      <c r="F5537" t="str">
        <f>IFERROR(__xludf.DUMMYFUNCTION("""COMPUTED_VALUE"""),"NSUI060")</f>
        <v>NSUI060</v>
      </c>
    </row>
    <row r="5538" ht="15.75" customHeight="1">
      <c r="A5538" t="str">
        <f t="shared" si="1"/>
        <v>S.suis</v>
      </c>
      <c r="B5538" s="5" t="s">
        <v>33242</v>
      </c>
      <c r="C5538" s="6" t="str">
        <f>IFERROR(__xludf.DUMMYFUNCTION("SPLIT('2. c'!B5538, "" "", True, True)"),"Streptococcus")</f>
        <v>Streptococcus</v>
      </c>
      <c r="D5538" t="str">
        <f>IFERROR(__xludf.DUMMYFUNCTION("""COMPUTED_VALUE"""),"suis")</f>
        <v>suis</v>
      </c>
      <c r="E5538" t="str">
        <f>IFERROR(__xludf.DUMMYFUNCTION("""COMPUTED_VALUE"""),"strain")</f>
        <v>strain</v>
      </c>
      <c r="F5538" t="str">
        <f>IFERROR(__xludf.DUMMYFUNCTION("""COMPUTED_VALUE"""),"ZY05719")</f>
        <v>ZY05719</v>
      </c>
    </row>
    <row r="5539" ht="15.75" customHeight="1">
      <c r="A5539" t="str">
        <f t="shared" si="1"/>
        <v>S.suis</v>
      </c>
      <c r="B5539" s="5" t="s">
        <v>33243</v>
      </c>
      <c r="C5539" s="6" t="str">
        <f>IFERROR(__xludf.DUMMYFUNCTION("SPLIT('2. c'!B5539, "" "", True, True)"),"Streptococcus")</f>
        <v>Streptococcus</v>
      </c>
      <c r="D5539" t="str">
        <f>IFERROR(__xludf.DUMMYFUNCTION("""COMPUTED_VALUE"""),"suis")</f>
        <v>suis</v>
      </c>
      <c r="E5539" t="str">
        <f>IFERROR(__xludf.DUMMYFUNCTION("""COMPUTED_VALUE"""),"T15")</f>
        <v>T15</v>
      </c>
    </row>
    <row r="5540" ht="15.75" customHeight="1">
      <c r="A5540" t="str">
        <f t="shared" si="1"/>
        <v>S.suis</v>
      </c>
      <c r="B5540" s="5" t="s">
        <v>33244</v>
      </c>
      <c r="C5540" s="6" t="str">
        <f>IFERROR(__xludf.DUMMYFUNCTION("SPLIT('2. c'!B5540, "" "", True, True)"),"Streptococcus")</f>
        <v>Streptococcus</v>
      </c>
      <c r="D5540" t="str">
        <f>IFERROR(__xludf.DUMMYFUNCTION("""COMPUTED_VALUE"""),"suis")</f>
        <v>suis</v>
      </c>
      <c r="E5540" t="str">
        <f>IFERROR(__xludf.DUMMYFUNCTION("""COMPUTED_VALUE"""),"TL13")</f>
        <v>TL13</v>
      </c>
    </row>
    <row r="5541" ht="15.75" customHeight="1">
      <c r="A5541" t="str">
        <f t="shared" si="1"/>
        <v>S.suis</v>
      </c>
      <c r="B5541" s="5" t="s">
        <v>33245</v>
      </c>
      <c r="C5541" s="6" t="str">
        <f>IFERROR(__xludf.DUMMYFUNCTION("SPLIT('2. c'!B5541, "" "", True, True)"),"Streptococcus")</f>
        <v>Streptococcus</v>
      </c>
      <c r="D5541" t="str">
        <f>IFERROR(__xludf.DUMMYFUNCTION("""COMPUTED_VALUE"""),"suis")</f>
        <v>suis</v>
      </c>
      <c r="E5541" t="str">
        <f>IFERROR(__xludf.DUMMYFUNCTION("""COMPUTED_VALUE"""),"YB51")</f>
        <v>YB51</v>
      </c>
    </row>
    <row r="5542" ht="15.75" customHeight="1">
      <c r="A5542" t="str">
        <f t="shared" si="1"/>
        <v>S.thermophilus</v>
      </c>
      <c r="B5542" s="5" t="s">
        <v>33246</v>
      </c>
      <c r="C5542" s="6" t="str">
        <f>IFERROR(__xludf.DUMMYFUNCTION("SPLIT('2. c'!B5542, "" "", True, True)"),"Streptococcus")</f>
        <v>Streptococcus</v>
      </c>
      <c r="D5542" t="str">
        <f>IFERROR(__xludf.DUMMYFUNCTION("""COMPUTED_VALUE"""),"thermophilus")</f>
        <v>thermophilus</v>
      </c>
      <c r="E5542" t="str">
        <f>IFERROR(__xludf.DUMMYFUNCTION("""COMPUTED_VALUE"""),"ASCC")</f>
        <v>ASCC</v>
      </c>
      <c r="F5542">
        <f>IFERROR(__xludf.DUMMYFUNCTION("""COMPUTED_VALUE"""),1275.0)</f>
        <v>1275</v>
      </c>
    </row>
    <row r="5543" ht="15.75" customHeight="1">
      <c r="A5543" t="str">
        <f t="shared" si="1"/>
        <v>S.thermophilus</v>
      </c>
      <c r="B5543" s="5" t="s">
        <v>33247</v>
      </c>
      <c r="C5543" s="6" t="str">
        <f>IFERROR(__xludf.DUMMYFUNCTION("SPLIT('2. c'!B5543, "" "", True, True)"),"Streptococcus")</f>
        <v>Streptococcus</v>
      </c>
      <c r="D5543" t="str">
        <f>IFERROR(__xludf.DUMMYFUNCTION("""COMPUTED_VALUE"""),"thermophilus")</f>
        <v>thermophilus</v>
      </c>
      <c r="E5543" t="str">
        <f>IFERROR(__xludf.DUMMYFUNCTION("""COMPUTED_VALUE"""),"CNRZ1066")</f>
        <v>CNRZ1066</v>
      </c>
    </row>
    <row r="5544" ht="15.75" customHeight="1">
      <c r="A5544" t="str">
        <f t="shared" si="1"/>
        <v>S.thermophilus</v>
      </c>
      <c r="B5544" s="5" t="s">
        <v>33248</v>
      </c>
      <c r="C5544" s="6" t="str">
        <f>IFERROR(__xludf.DUMMYFUNCTION("SPLIT('2. c'!B5544, "" "", True, True)"),"Streptococcus")</f>
        <v>Streptococcus</v>
      </c>
      <c r="D5544" t="str">
        <f>IFERROR(__xludf.DUMMYFUNCTION("""COMPUTED_VALUE"""),"thermophilus")</f>
        <v>thermophilus</v>
      </c>
      <c r="E5544" t="str">
        <f>IFERROR(__xludf.DUMMYFUNCTION("""COMPUTED_VALUE"""),"JIM")</f>
        <v>JIM</v>
      </c>
      <c r="F5544">
        <f>IFERROR(__xludf.DUMMYFUNCTION("""COMPUTED_VALUE"""),8232.0)</f>
        <v>8232</v>
      </c>
    </row>
    <row r="5545" ht="15.75" customHeight="1">
      <c r="A5545" t="str">
        <f t="shared" si="1"/>
        <v>S.thermophilus</v>
      </c>
      <c r="B5545" s="5" t="s">
        <v>33249</v>
      </c>
      <c r="C5545" s="6" t="str">
        <f>IFERROR(__xludf.DUMMYFUNCTION("SPLIT('2. c'!B5545, "" "", True, True)"),"Streptococcus")</f>
        <v>Streptococcus</v>
      </c>
      <c r="D5545" t="str">
        <f>IFERROR(__xludf.DUMMYFUNCTION("""COMPUTED_VALUE"""),"thermophilus")</f>
        <v>thermophilus</v>
      </c>
      <c r="E5545" t="str">
        <f>IFERROR(__xludf.DUMMYFUNCTION("""COMPUTED_VALUE"""),"LMD-9")</f>
        <v>LMD-9</v>
      </c>
    </row>
    <row r="5546" ht="15.75" customHeight="1">
      <c r="A5546" t="str">
        <f t="shared" si="1"/>
        <v>S.thermophilus</v>
      </c>
      <c r="B5546" s="5" t="s">
        <v>33250</v>
      </c>
      <c r="C5546" s="6" t="str">
        <f>IFERROR(__xludf.DUMMYFUNCTION("SPLIT('2. c'!B5546, "" "", True, True)"),"Streptococcus")</f>
        <v>Streptococcus</v>
      </c>
      <c r="D5546" t="str">
        <f>IFERROR(__xludf.DUMMYFUNCTION("""COMPUTED_VALUE"""),"thermophilus")</f>
        <v>thermophilus</v>
      </c>
      <c r="E5546" t="str">
        <f>IFERROR(__xludf.DUMMYFUNCTION("""COMPUTED_VALUE"""),"LMG")</f>
        <v>LMG</v>
      </c>
      <c r="F5546">
        <f>IFERROR(__xludf.DUMMYFUNCTION("""COMPUTED_VALUE"""),18311.0)</f>
        <v>18311</v>
      </c>
    </row>
    <row r="5547" ht="15.75" customHeight="1">
      <c r="A5547" t="str">
        <f t="shared" si="1"/>
        <v>S.thermophilus</v>
      </c>
      <c r="B5547" s="5" t="s">
        <v>33251</v>
      </c>
      <c r="C5547" s="6" t="str">
        <f>IFERROR(__xludf.DUMMYFUNCTION("SPLIT('2. c'!B5547, "" "", True, True)"),"Streptococcus")</f>
        <v>Streptococcus</v>
      </c>
      <c r="D5547" t="str">
        <f>IFERROR(__xludf.DUMMYFUNCTION("""COMPUTED_VALUE"""),"thermophilus")</f>
        <v>thermophilus</v>
      </c>
      <c r="E5547" t="str">
        <f>IFERROR(__xludf.DUMMYFUNCTION("""COMPUTED_VALUE"""),"MN-ZLW-002")</f>
        <v>MN-ZLW-002</v>
      </c>
    </row>
    <row r="5548" ht="15.75" customHeight="1">
      <c r="A5548" t="str">
        <f t="shared" si="1"/>
        <v>S.thermophilus</v>
      </c>
      <c r="B5548" s="5" t="s">
        <v>33252</v>
      </c>
      <c r="C5548" s="6" t="str">
        <f>IFERROR(__xludf.DUMMYFUNCTION("SPLIT('2. c'!B5548, "" "", True, True)"),"Streptococcus")</f>
        <v>Streptococcus</v>
      </c>
      <c r="D5548" t="str">
        <f>IFERROR(__xludf.DUMMYFUNCTION("""COMPUTED_VALUE"""),"thermophilus")</f>
        <v>thermophilus</v>
      </c>
      <c r="E5548" t="str">
        <f>IFERROR(__xludf.DUMMYFUNCTION("""COMPUTED_VALUE"""),"ND03")</f>
        <v>ND03</v>
      </c>
    </row>
    <row r="5549" ht="15.75" customHeight="1">
      <c r="A5549" t="str">
        <f t="shared" si="1"/>
        <v>S.thermophilus</v>
      </c>
      <c r="B5549" s="5" t="s">
        <v>33253</v>
      </c>
      <c r="C5549" s="6" t="str">
        <f>IFERROR(__xludf.DUMMYFUNCTION("SPLIT('2. c'!B5549, "" "", True, True)"),"Streptococcus")</f>
        <v>Streptococcus</v>
      </c>
      <c r="D5549" t="str">
        <f>IFERROR(__xludf.DUMMYFUNCTION("""COMPUTED_VALUE"""),"thermophilus")</f>
        <v>thermophilus</v>
      </c>
      <c r="E5549" t="str">
        <f>IFERROR(__xludf.DUMMYFUNCTION("""COMPUTED_VALUE"""),"strain")</f>
        <v>strain</v>
      </c>
      <c r="F5549" t="str">
        <f>IFERROR(__xludf.DUMMYFUNCTION("""COMPUTED_VALUE"""),"KLDS")</f>
        <v>KLDS</v>
      </c>
      <c r="G5549" t="str">
        <f>IFERROR(__xludf.DUMMYFUNCTION("""COMPUTED_VALUE"""),"SM")</f>
        <v>SM</v>
      </c>
    </row>
    <row r="5550" ht="15.75" customHeight="1">
      <c r="A5550" t="str">
        <f t="shared" si="1"/>
        <v>S.thermophilus</v>
      </c>
      <c r="B5550" s="5" t="s">
        <v>33254</v>
      </c>
      <c r="C5550" s="6" t="str">
        <f>IFERROR(__xludf.DUMMYFUNCTION("SPLIT('2. c'!B5550, "" "", True, True)"),"Streptococcus")</f>
        <v>Streptococcus</v>
      </c>
      <c r="D5550" t="str">
        <f>IFERROR(__xludf.DUMMYFUNCTION("""COMPUTED_VALUE"""),"thermophilus")</f>
        <v>thermophilus</v>
      </c>
      <c r="E5550" t="str">
        <f>IFERROR(__xludf.DUMMYFUNCTION("""COMPUTED_VALUE"""),"strain")</f>
        <v>strain</v>
      </c>
      <c r="F5550" t="str">
        <f>IFERROR(__xludf.DUMMYFUNCTION("""COMPUTED_VALUE"""),"MN-BM-A01")</f>
        <v>MN-BM-A01</v>
      </c>
    </row>
    <row r="5551" ht="15.75" customHeight="1">
      <c r="A5551" t="str">
        <f t="shared" si="1"/>
        <v>S.thermophilus</v>
      </c>
      <c r="B5551" s="5" t="s">
        <v>33255</v>
      </c>
      <c r="C5551" s="6" t="str">
        <f>IFERROR(__xludf.DUMMYFUNCTION("SPLIT('2. c'!B5551, "" "", True, True)"),"Streptococcus")</f>
        <v>Streptococcus</v>
      </c>
      <c r="D5551" t="str">
        <f>IFERROR(__xludf.DUMMYFUNCTION("""COMPUTED_VALUE"""),"thermophilus")</f>
        <v>thermophilus</v>
      </c>
      <c r="E5551" t="str">
        <f>IFERROR(__xludf.DUMMYFUNCTION("""COMPUTED_VALUE"""),"strain")</f>
        <v>strain</v>
      </c>
      <c r="F5551" t="str">
        <f>IFERROR(__xludf.DUMMYFUNCTION("""COMPUTED_VALUE"""),"MN-BM-A02")</f>
        <v>MN-BM-A02</v>
      </c>
    </row>
    <row r="5552" ht="15.75" customHeight="1">
      <c r="A5552" t="str">
        <f t="shared" si="1"/>
        <v>S.thermophilus</v>
      </c>
      <c r="B5552" s="5" t="s">
        <v>33256</v>
      </c>
      <c r="C5552" s="6" t="str">
        <f>IFERROR(__xludf.DUMMYFUNCTION("SPLIT('2. c'!B5552, "" "", True, True)"),"Streptococcus")</f>
        <v>Streptococcus</v>
      </c>
      <c r="D5552" t="str">
        <f>IFERROR(__xludf.DUMMYFUNCTION("""COMPUTED_VALUE"""),"thermophilus")</f>
        <v>thermophilus</v>
      </c>
      <c r="E5552" t="str">
        <f>IFERROR(__xludf.DUMMYFUNCTION("""COMPUTED_VALUE"""),"strain")</f>
        <v>strain</v>
      </c>
      <c r="F5552" t="str">
        <f>IFERROR(__xludf.DUMMYFUNCTION("""COMPUTED_VALUE"""),"S9")</f>
        <v>S9</v>
      </c>
    </row>
    <row r="5553" ht="15.75" customHeight="1">
      <c r="A5553" t="str">
        <f t="shared" si="1"/>
        <v>S.thermophilus</v>
      </c>
      <c r="B5553" s="5" t="s">
        <v>33257</v>
      </c>
      <c r="C5553" s="6" t="str">
        <f>IFERROR(__xludf.DUMMYFUNCTION("SPLIT('2. c'!B5553, "" "", True, True)"),"Streptococcus")</f>
        <v>Streptococcus</v>
      </c>
      <c r="D5553" t="str">
        <f>IFERROR(__xludf.DUMMYFUNCTION("""COMPUTED_VALUE"""),"thermophilus")</f>
        <v>thermophilus</v>
      </c>
      <c r="E5553" t="str">
        <f>IFERROR(__xludf.DUMMYFUNCTION("""COMPUTED_VALUE"""),"strain")</f>
        <v>strain</v>
      </c>
      <c r="F5553" t="str">
        <f>IFERROR(__xludf.DUMMYFUNCTION("""COMPUTED_VALUE"""),"SMQ-301")</f>
        <v>SMQ-301</v>
      </c>
    </row>
    <row r="5554" ht="15.75" customHeight="1">
      <c r="A5554" t="str">
        <f t="shared" si="1"/>
        <v>S.uberis</v>
      </c>
      <c r="B5554" s="5" t="s">
        <v>33258</v>
      </c>
      <c r="C5554" s="6" t="str">
        <f>IFERROR(__xludf.DUMMYFUNCTION("SPLIT('2. c'!B5554, "" "", True, True)"),"Streptococcus")</f>
        <v>Streptococcus</v>
      </c>
      <c r="D5554" t="str">
        <f>IFERROR(__xludf.DUMMYFUNCTION("""COMPUTED_VALUE"""),"uberis")</f>
        <v>uberis</v>
      </c>
      <c r="E5554" t="str">
        <f>IFERROR(__xludf.DUMMYFUNCTION("""COMPUTED_VALUE"""),"0140J")</f>
        <v>0140J</v>
      </c>
    </row>
    <row r="5555" ht="15.75" customHeight="1">
      <c r="A5555" t="str">
        <f t="shared" si="1"/>
        <v>S.albulus</v>
      </c>
      <c r="B5555" s="5" t="s">
        <v>33259</v>
      </c>
      <c r="C5555" s="6" t="str">
        <f>IFERROR(__xludf.DUMMYFUNCTION("SPLIT('2. c'!B5555, "" "", True, True)"),"Streptomyces")</f>
        <v>Streptomyces</v>
      </c>
      <c r="D5555" t="str">
        <f>IFERROR(__xludf.DUMMYFUNCTION("""COMPUTED_VALUE"""),"albulus")</f>
        <v>albulus</v>
      </c>
      <c r="E5555" t="str">
        <f>IFERROR(__xludf.DUMMYFUNCTION("""COMPUTED_VALUE"""),"strain")</f>
        <v>strain</v>
      </c>
      <c r="F5555" t="str">
        <f>IFERROR(__xludf.DUMMYFUNCTION("""COMPUTED_VALUE"""),"NK660")</f>
        <v>NK660</v>
      </c>
    </row>
    <row r="5556" ht="15.75" customHeight="1">
      <c r="A5556" t="str">
        <f t="shared" si="1"/>
        <v>S.albulus</v>
      </c>
      <c r="B5556" s="5" t="s">
        <v>33260</v>
      </c>
      <c r="C5556" s="6" t="str">
        <f>IFERROR(__xludf.DUMMYFUNCTION("SPLIT('2. c'!B5556, "" "", True, True)"),"Streptomyces")</f>
        <v>Streptomyces</v>
      </c>
      <c r="D5556" t="str">
        <f>IFERROR(__xludf.DUMMYFUNCTION("""COMPUTED_VALUE"""),"albulus")</f>
        <v>albulus</v>
      </c>
      <c r="E5556" t="str">
        <f>IFERROR(__xludf.DUMMYFUNCTION("""COMPUTED_VALUE"""),"ZPM")</f>
        <v>ZPM</v>
      </c>
    </row>
    <row r="5557" ht="15.75" customHeight="1">
      <c r="A5557" t="str">
        <f t="shared" si="1"/>
        <v>S.albus</v>
      </c>
      <c r="B5557" s="5" t="s">
        <v>33261</v>
      </c>
      <c r="C5557" s="6" t="str">
        <f>IFERROR(__xludf.DUMMYFUNCTION("SPLIT('2. c'!B5557, "" "", True, True)"),"Streptomyces")</f>
        <v>Streptomyces</v>
      </c>
      <c r="D5557" t="str">
        <f>IFERROR(__xludf.DUMMYFUNCTION("""COMPUTED_VALUE"""),"albus")</f>
        <v>albus</v>
      </c>
      <c r="E5557" t="str">
        <f>IFERROR(__xludf.DUMMYFUNCTION("""COMPUTED_VALUE"""),"DSM")</f>
        <v>DSM</v>
      </c>
      <c r="F5557">
        <f>IFERROR(__xludf.DUMMYFUNCTION("""COMPUTED_VALUE"""),41398.0)</f>
        <v>41398</v>
      </c>
    </row>
    <row r="5558" ht="15.75" customHeight="1">
      <c r="A5558" t="str">
        <f t="shared" si="1"/>
        <v>S.albus</v>
      </c>
      <c r="B5558" s="5" t="s">
        <v>33262</v>
      </c>
      <c r="C5558" s="6" t="str">
        <f>IFERROR(__xludf.DUMMYFUNCTION("SPLIT('2. c'!B5558, "" "", True, True)"),"Streptomyces")</f>
        <v>Streptomyces</v>
      </c>
      <c r="D5558" t="str">
        <f>IFERROR(__xludf.DUMMYFUNCTION("""COMPUTED_VALUE"""),"albus")</f>
        <v>albus</v>
      </c>
      <c r="E5558" t="str">
        <f>IFERROR(__xludf.DUMMYFUNCTION("""COMPUTED_VALUE"""),"J1074")</f>
        <v>J1074</v>
      </c>
    </row>
    <row r="5559" ht="15.75" customHeight="1">
      <c r="A5559" t="str">
        <f t="shared" si="1"/>
        <v>S.albus</v>
      </c>
      <c r="B5559" s="5" t="s">
        <v>33263</v>
      </c>
      <c r="C5559" s="6" t="str">
        <f>IFERROR(__xludf.DUMMYFUNCTION("SPLIT('2. c'!B5559, "" "", True, True)"),"Streptomyces")</f>
        <v>Streptomyces</v>
      </c>
      <c r="D5559" t="str">
        <f>IFERROR(__xludf.DUMMYFUNCTION("""COMPUTED_VALUE"""),"albus")</f>
        <v>albus</v>
      </c>
      <c r="E5559" t="str">
        <f>IFERROR(__xludf.DUMMYFUNCTION("""COMPUTED_VALUE"""),"strain")</f>
        <v>strain</v>
      </c>
      <c r="F5559" t="str">
        <f>IFERROR(__xludf.DUMMYFUNCTION("""COMPUTED_VALUE"""),"SM254")</f>
        <v>SM254</v>
      </c>
    </row>
    <row r="5560" ht="15.75" customHeight="1">
      <c r="A5560" t="str">
        <f t="shared" si="1"/>
        <v>S.ambofaciens</v>
      </c>
      <c r="B5560" s="5" t="s">
        <v>33264</v>
      </c>
      <c r="C5560" s="6" t="str">
        <f>IFERROR(__xludf.DUMMYFUNCTION("SPLIT('2. c'!B5560, "" "", True, True)"),"Streptomyces")</f>
        <v>Streptomyces</v>
      </c>
      <c r="D5560" t="str">
        <f>IFERROR(__xludf.DUMMYFUNCTION("""COMPUTED_VALUE"""),"ambofaciens")</f>
        <v>ambofaciens</v>
      </c>
      <c r="E5560" t="str">
        <f>IFERROR(__xludf.DUMMYFUNCTION("""COMPUTED_VALUE"""),"ATCC")</f>
        <v>ATCC</v>
      </c>
      <c r="F5560">
        <f>IFERROR(__xludf.DUMMYFUNCTION("""COMPUTED_VALUE"""),23877.0)</f>
        <v>23877</v>
      </c>
    </row>
    <row r="5561" ht="15.75" customHeight="1">
      <c r="A5561" t="str">
        <f t="shared" si="1"/>
        <v>S.ambofaciens</v>
      </c>
      <c r="B5561" s="5" t="s">
        <v>33265</v>
      </c>
      <c r="C5561" s="6" t="str">
        <f>IFERROR(__xludf.DUMMYFUNCTION("SPLIT('2. c'!B5561, "" "", True, True)"),"Streptomyces")</f>
        <v>Streptomyces</v>
      </c>
      <c r="D5561" t="str">
        <f>IFERROR(__xludf.DUMMYFUNCTION("""COMPUTED_VALUE"""),"ambofaciens")</f>
        <v>ambofaciens</v>
      </c>
      <c r="E5561" t="str">
        <f>IFERROR(__xludf.DUMMYFUNCTION("""COMPUTED_VALUE"""),"strain")</f>
        <v>strain</v>
      </c>
      <c r="F5561" t="str">
        <f>IFERROR(__xludf.DUMMYFUNCTION("""COMPUTED_VALUE"""),"DSM")</f>
        <v>DSM</v>
      </c>
      <c r="G5561">
        <f>IFERROR(__xludf.DUMMYFUNCTION("""COMPUTED_VALUE"""),40697.0)</f>
        <v>40697</v>
      </c>
    </row>
    <row r="5562" ht="15.75" customHeight="1">
      <c r="A5562" t="str">
        <f t="shared" si="1"/>
        <v>S.anulatus</v>
      </c>
      <c r="B5562" s="5" t="s">
        <v>33266</v>
      </c>
      <c r="C5562" s="6" t="str">
        <f>IFERROR(__xludf.DUMMYFUNCTION("SPLIT('2. c'!B5562, "" "", True, True)"),"Streptomyces")</f>
        <v>Streptomyces</v>
      </c>
      <c r="D5562" t="str">
        <f>IFERROR(__xludf.DUMMYFUNCTION("""COMPUTED_VALUE"""),"anulatus")</f>
        <v>anulatus</v>
      </c>
      <c r="E5562" t="str">
        <f>IFERROR(__xludf.DUMMYFUNCTION("""COMPUTED_VALUE"""),"strain")</f>
        <v>strain</v>
      </c>
      <c r="F5562" t="str">
        <f>IFERROR(__xludf.DUMMYFUNCTION("""COMPUTED_VALUE"""),"ATCC")</f>
        <v>ATCC</v>
      </c>
      <c r="G5562">
        <f>IFERROR(__xludf.DUMMYFUNCTION("""COMPUTED_VALUE"""),11523.0)</f>
        <v>11523</v>
      </c>
    </row>
    <row r="5563" ht="15.75" customHeight="1">
      <c r="A5563" t="str">
        <f t="shared" si="1"/>
        <v>S.avermitilis</v>
      </c>
      <c r="B5563" s="5" t="s">
        <v>33267</v>
      </c>
      <c r="C5563" s="6" t="str">
        <f>IFERROR(__xludf.DUMMYFUNCTION("SPLIT('2. c'!B5563, "" "", True, True)"),"Streptomyces")</f>
        <v>Streptomyces</v>
      </c>
      <c r="D5563" t="str">
        <f>IFERROR(__xludf.DUMMYFUNCTION("""COMPUTED_VALUE"""),"avermitilis")</f>
        <v>avermitilis</v>
      </c>
      <c r="E5563" t="str">
        <f>IFERROR(__xludf.DUMMYFUNCTION("""COMPUTED_VALUE"""),"MA-4680")</f>
        <v>MA-4680</v>
      </c>
    </row>
    <row r="5564" ht="15.75" customHeight="1">
      <c r="A5564" t="str">
        <f t="shared" si="1"/>
        <v>S.bingchenggensis</v>
      </c>
      <c r="B5564" s="5" t="s">
        <v>33268</v>
      </c>
      <c r="C5564" s="6" t="str">
        <f>IFERROR(__xludf.DUMMYFUNCTION("SPLIT('2. c'!B5564, "" "", True, True)"),"Streptomyces")</f>
        <v>Streptomyces</v>
      </c>
      <c r="D5564" t="str">
        <f>IFERROR(__xludf.DUMMYFUNCTION("""COMPUTED_VALUE"""),"bingchenggensis")</f>
        <v>bingchenggensis</v>
      </c>
      <c r="E5564" t="str">
        <f>IFERROR(__xludf.DUMMYFUNCTION("""COMPUTED_VALUE"""),"BCW-1")</f>
        <v>BCW-1</v>
      </c>
    </row>
    <row r="5565" ht="15.75" customHeight="1">
      <c r="A5565" t="str">
        <f t="shared" si="1"/>
        <v>S.bottropensis</v>
      </c>
      <c r="B5565" s="5" t="s">
        <v>33269</v>
      </c>
      <c r="C5565" s="6" t="str">
        <f>IFERROR(__xludf.DUMMYFUNCTION("SPLIT('2. c'!B5565, "" "", True, True)"),"Streptomyces")</f>
        <v>Streptomyces</v>
      </c>
      <c r="D5565" t="str">
        <f>IFERROR(__xludf.DUMMYFUNCTION("""COMPUTED_VALUE"""),"bottropensis")</f>
        <v>bottropensis</v>
      </c>
      <c r="E5565" t="str">
        <f>IFERROR(__xludf.DUMMYFUNCTION("""COMPUTED_VALUE"""),"ATCC")</f>
        <v>ATCC</v>
      </c>
      <c r="F5565">
        <f>IFERROR(__xludf.DUMMYFUNCTION("""COMPUTED_VALUE"""),25435.0)</f>
        <v>25435</v>
      </c>
    </row>
    <row r="5566" ht="15.75" customHeight="1">
      <c r="A5566" t="str">
        <f t="shared" si="1"/>
        <v>S.cattleya</v>
      </c>
      <c r="B5566" s="5" t="s">
        <v>33270</v>
      </c>
      <c r="C5566" s="6" t="str">
        <f>IFERROR(__xludf.DUMMYFUNCTION("SPLIT('2. c'!B5566, "" "", True, True)"),"Streptomyces")</f>
        <v>Streptomyces</v>
      </c>
      <c r="D5566" t="str">
        <f>IFERROR(__xludf.DUMMYFUNCTION("""COMPUTED_VALUE"""),"cattleya")</f>
        <v>cattleya</v>
      </c>
      <c r="E5566" t="str">
        <f>IFERROR(__xludf.DUMMYFUNCTION("""COMPUTED_VALUE"""),"NRRL")</f>
        <v>NRRL</v>
      </c>
      <c r="F5566">
        <f>IFERROR(__xludf.DUMMYFUNCTION("""COMPUTED_VALUE"""),8057.0)</f>
        <v>8057</v>
      </c>
      <c r="G5566" t="str">
        <f>IFERROR(__xludf.DUMMYFUNCTION("""COMPUTED_VALUE"""),"=")</f>
        <v>=</v>
      </c>
      <c r="H5566" t="str">
        <f>IFERROR(__xludf.DUMMYFUNCTION("""COMPUTED_VALUE"""),"DSM")</f>
        <v>DSM</v>
      </c>
      <c r="I5566">
        <f>IFERROR(__xludf.DUMMYFUNCTION("""COMPUTED_VALUE"""),46488.0)</f>
        <v>46488</v>
      </c>
    </row>
    <row r="5567" ht="15.75" customHeight="1">
      <c r="A5567" t="str">
        <f t="shared" si="1"/>
        <v>S.cattleya</v>
      </c>
      <c r="B5567" s="5" t="s">
        <v>33270</v>
      </c>
      <c r="C5567" s="6" t="str">
        <f>IFERROR(__xludf.DUMMYFUNCTION("SPLIT('2. c'!B5567, "" "", True, True)"),"Streptomyces")</f>
        <v>Streptomyces</v>
      </c>
      <c r="D5567" t="str">
        <f>IFERROR(__xludf.DUMMYFUNCTION("""COMPUTED_VALUE"""),"cattleya")</f>
        <v>cattleya</v>
      </c>
      <c r="E5567" t="str">
        <f>IFERROR(__xludf.DUMMYFUNCTION("""COMPUTED_VALUE"""),"NRRL")</f>
        <v>NRRL</v>
      </c>
      <c r="F5567">
        <f>IFERROR(__xludf.DUMMYFUNCTION("""COMPUTED_VALUE"""),8057.0)</f>
        <v>8057</v>
      </c>
      <c r="G5567" t="str">
        <f>IFERROR(__xludf.DUMMYFUNCTION("""COMPUTED_VALUE"""),"=")</f>
        <v>=</v>
      </c>
      <c r="H5567" t="str">
        <f>IFERROR(__xludf.DUMMYFUNCTION("""COMPUTED_VALUE"""),"DSM")</f>
        <v>DSM</v>
      </c>
      <c r="I5567">
        <f>IFERROR(__xludf.DUMMYFUNCTION("""COMPUTED_VALUE"""),46488.0)</f>
        <v>46488</v>
      </c>
    </row>
    <row r="5568" ht="15.75" customHeight="1">
      <c r="A5568" t="str">
        <f t="shared" si="1"/>
        <v>S.coelicolor</v>
      </c>
      <c r="B5568" s="5" t="s">
        <v>33271</v>
      </c>
      <c r="C5568" s="6" t="str">
        <f>IFERROR(__xludf.DUMMYFUNCTION("SPLIT('2. c'!B5568, "" "", True, True)"),"Streptomyces")</f>
        <v>Streptomyces</v>
      </c>
      <c r="D5568" t="str">
        <f>IFERROR(__xludf.DUMMYFUNCTION("""COMPUTED_VALUE"""),"coelicolor")</f>
        <v>coelicolor</v>
      </c>
      <c r="E5568" t="str">
        <f>IFERROR(__xludf.DUMMYFUNCTION("""COMPUTED_VALUE"""),"A3(2)")</f>
        <v>A3(2)</v>
      </c>
    </row>
    <row r="5569" ht="15.75" customHeight="1">
      <c r="A5569" t="str">
        <f t="shared" si="1"/>
        <v>S.collinus</v>
      </c>
      <c r="B5569" s="5" t="s">
        <v>33272</v>
      </c>
      <c r="C5569" s="6" t="str">
        <f>IFERROR(__xludf.DUMMYFUNCTION("SPLIT('2. c'!B5569, "" "", True, True)"),"Streptomyces")</f>
        <v>Streptomyces</v>
      </c>
      <c r="D5569" t="str">
        <f>IFERROR(__xludf.DUMMYFUNCTION("""COMPUTED_VALUE"""),"collinus")</f>
        <v>collinus</v>
      </c>
      <c r="E5569" t="str">
        <f>IFERROR(__xludf.DUMMYFUNCTION("""COMPUTED_VALUE"""),"Tu")</f>
        <v>Tu</v>
      </c>
      <c r="F5569">
        <f>IFERROR(__xludf.DUMMYFUNCTION("""COMPUTED_VALUE"""),365.0)</f>
        <v>365</v>
      </c>
    </row>
    <row r="5570" ht="15.75" customHeight="1">
      <c r="A5570" t="str">
        <f t="shared" si="1"/>
        <v>S.cyaneogriseus</v>
      </c>
      <c r="B5570" s="5" t="s">
        <v>33273</v>
      </c>
      <c r="C5570" s="6" t="str">
        <f>IFERROR(__xludf.DUMMYFUNCTION("SPLIT('2. c'!B5570, "" "", True, True)"),"Streptomyces")</f>
        <v>Streptomyces</v>
      </c>
      <c r="D5570" t="str">
        <f>IFERROR(__xludf.DUMMYFUNCTION("""COMPUTED_VALUE"""),"cyaneogriseus")</f>
        <v>cyaneogriseus</v>
      </c>
      <c r="E5570" t="str">
        <f>IFERROR(__xludf.DUMMYFUNCTION("""COMPUTED_VALUE"""),"subsp.")</f>
        <v>subsp.</v>
      </c>
      <c r="F5570" t="str">
        <f>IFERROR(__xludf.DUMMYFUNCTION("""COMPUTED_VALUE"""),"noncyanogenus")</f>
        <v>noncyanogenus</v>
      </c>
      <c r="G5570" t="str">
        <f>IFERROR(__xludf.DUMMYFUNCTION("""COMPUTED_VALUE"""),"strain")</f>
        <v>strain</v>
      </c>
      <c r="H5570" t="str">
        <f>IFERROR(__xludf.DUMMYFUNCTION("""COMPUTED_VALUE"""),"NMWT")</f>
        <v>NMWT</v>
      </c>
      <c r="I5570">
        <f>IFERROR(__xludf.DUMMYFUNCTION("""COMPUTED_VALUE"""),1.0)</f>
        <v>1</v>
      </c>
    </row>
    <row r="5571" ht="15.75" customHeight="1">
      <c r="A5571" t="str">
        <f t="shared" si="1"/>
        <v>S.davawensis</v>
      </c>
      <c r="B5571" s="5" t="s">
        <v>33274</v>
      </c>
      <c r="C5571" s="6" t="str">
        <f>IFERROR(__xludf.DUMMYFUNCTION("SPLIT('2. c'!B5571, "" "", True, True)"),"Streptomyces")</f>
        <v>Streptomyces</v>
      </c>
      <c r="D5571" t="str">
        <f>IFERROR(__xludf.DUMMYFUNCTION("""COMPUTED_VALUE"""),"davawensis")</f>
        <v>davawensis</v>
      </c>
      <c r="E5571" t="str">
        <f>IFERROR(__xludf.DUMMYFUNCTION("""COMPUTED_VALUE"""),"JCM")</f>
        <v>JCM</v>
      </c>
      <c r="F5571">
        <f>IFERROR(__xludf.DUMMYFUNCTION("""COMPUTED_VALUE"""),4913.0)</f>
        <v>4913</v>
      </c>
    </row>
    <row r="5572" ht="15.75" customHeight="1">
      <c r="A5572" t="str">
        <f t="shared" si="1"/>
        <v>S.flavogriseus</v>
      </c>
      <c r="B5572" s="5" t="s">
        <v>33275</v>
      </c>
      <c r="C5572" s="6" t="str">
        <f>IFERROR(__xludf.DUMMYFUNCTION("SPLIT('2. c'!B5572, "" "", True, True)"),"Streptomyces")</f>
        <v>Streptomyces</v>
      </c>
      <c r="D5572" t="str">
        <f>IFERROR(__xludf.DUMMYFUNCTION("""COMPUTED_VALUE"""),"flavogriseus")</f>
        <v>flavogriseus</v>
      </c>
      <c r="E5572" t="str">
        <f>IFERROR(__xludf.DUMMYFUNCTION("""COMPUTED_VALUE"""),"ATCC")</f>
        <v>ATCC</v>
      </c>
      <c r="F5572">
        <f>IFERROR(__xludf.DUMMYFUNCTION("""COMPUTED_VALUE"""),33331.0)</f>
        <v>33331</v>
      </c>
    </row>
    <row r="5573" ht="15.75" customHeight="1">
      <c r="A5573" t="str">
        <f t="shared" si="1"/>
        <v>S.fulvissimus</v>
      </c>
      <c r="B5573" s="5" t="s">
        <v>33276</v>
      </c>
      <c r="C5573" s="6" t="str">
        <f>IFERROR(__xludf.DUMMYFUNCTION("SPLIT('2. c'!B5573, "" "", True, True)"),"Streptomyces")</f>
        <v>Streptomyces</v>
      </c>
      <c r="D5573" t="str">
        <f>IFERROR(__xludf.DUMMYFUNCTION("""COMPUTED_VALUE"""),"fulvissimus")</f>
        <v>fulvissimus</v>
      </c>
      <c r="E5573" t="str">
        <f>IFERROR(__xludf.DUMMYFUNCTION("""COMPUTED_VALUE"""),"DSM")</f>
        <v>DSM</v>
      </c>
      <c r="F5573">
        <f>IFERROR(__xludf.DUMMYFUNCTION("""COMPUTED_VALUE"""),40593.0)</f>
        <v>40593</v>
      </c>
    </row>
    <row r="5574" ht="15.75" customHeight="1">
      <c r="A5574" t="str">
        <f t="shared" si="1"/>
        <v>S.glaucescens</v>
      </c>
      <c r="B5574" s="5" t="s">
        <v>33277</v>
      </c>
      <c r="C5574" s="6" t="str">
        <f>IFERROR(__xludf.DUMMYFUNCTION("SPLIT('2. c'!B5574, "" "", True, True)"),"Streptomyces")</f>
        <v>Streptomyces</v>
      </c>
      <c r="D5574" t="str">
        <f>IFERROR(__xludf.DUMMYFUNCTION("""COMPUTED_VALUE"""),"glaucescens")</f>
        <v>glaucescens</v>
      </c>
      <c r="E5574" t="str">
        <f>IFERROR(__xludf.DUMMYFUNCTION("""COMPUTED_VALUE"""),"GLA.O")</f>
        <v>GLA.O</v>
      </c>
    </row>
    <row r="5575" ht="15.75" customHeight="1">
      <c r="A5575" t="str">
        <f t="shared" si="1"/>
        <v>S.griseus</v>
      </c>
      <c r="B5575" s="5" t="s">
        <v>33278</v>
      </c>
      <c r="C5575" s="6" t="str">
        <f>IFERROR(__xludf.DUMMYFUNCTION("SPLIT('2. c'!B5575, "" "", True, True)"),"Streptomyces")</f>
        <v>Streptomyces</v>
      </c>
      <c r="D5575" t="str">
        <f>IFERROR(__xludf.DUMMYFUNCTION("""COMPUTED_VALUE"""),"griseus")</f>
        <v>griseus</v>
      </c>
      <c r="E5575" t="str">
        <f>IFERROR(__xludf.DUMMYFUNCTION("""COMPUTED_VALUE"""),"subsp.")</f>
        <v>subsp.</v>
      </c>
      <c r="F5575" t="str">
        <f>IFERROR(__xludf.DUMMYFUNCTION("""COMPUTED_VALUE"""),"griseus")</f>
        <v>griseus</v>
      </c>
      <c r="G5575" t="str">
        <f>IFERROR(__xludf.DUMMYFUNCTION("""COMPUTED_VALUE"""),"NBRC")</f>
        <v>NBRC</v>
      </c>
      <c r="H5575">
        <f>IFERROR(__xludf.DUMMYFUNCTION("""COMPUTED_VALUE"""),13350.0)</f>
        <v>13350</v>
      </c>
    </row>
    <row r="5576" ht="15.75" customHeight="1">
      <c r="A5576" t="str">
        <f t="shared" si="1"/>
        <v>S.hygroscopicus</v>
      </c>
      <c r="B5576" s="5" t="s">
        <v>33279</v>
      </c>
      <c r="C5576" s="6" t="str">
        <f>IFERROR(__xludf.DUMMYFUNCTION("SPLIT('2. c'!B5576, "" "", True, True)"),"Streptomyces")</f>
        <v>Streptomyces</v>
      </c>
      <c r="D5576" t="str">
        <f>IFERROR(__xludf.DUMMYFUNCTION("""COMPUTED_VALUE"""),"hygroscopicus")</f>
        <v>hygroscopicus</v>
      </c>
      <c r="E5576" t="str">
        <f>IFERROR(__xludf.DUMMYFUNCTION("""COMPUTED_VALUE"""),"subsp.")</f>
        <v>subsp.</v>
      </c>
      <c r="F5576" t="str">
        <f>IFERROR(__xludf.DUMMYFUNCTION("""COMPUTED_VALUE"""),"jinggangensis")</f>
        <v>jinggangensis</v>
      </c>
      <c r="G5576" t="str">
        <f>IFERROR(__xludf.DUMMYFUNCTION("""COMPUTED_VALUE"""),"TL01")</f>
        <v>TL01</v>
      </c>
    </row>
    <row r="5577" ht="15.75" customHeight="1">
      <c r="A5577" t="str">
        <f t="shared" si="1"/>
        <v>S.hygroscopicus</v>
      </c>
      <c r="B5577" s="5" t="s">
        <v>33280</v>
      </c>
      <c r="C5577" s="6" t="str">
        <f>IFERROR(__xludf.DUMMYFUNCTION("SPLIT('2. c'!B5577, "" "", True, True)"),"Streptomyces")</f>
        <v>Streptomyces</v>
      </c>
      <c r="D5577" t="str">
        <f>IFERROR(__xludf.DUMMYFUNCTION("""COMPUTED_VALUE"""),"hygroscopicus")</f>
        <v>hygroscopicus</v>
      </c>
      <c r="E5577" t="str">
        <f>IFERROR(__xludf.DUMMYFUNCTION("""COMPUTED_VALUE"""),"subsp.")</f>
        <v>subsp.</v>
      </c>
      <c r="F5577" t="str">
        <f>IFERROR(__xludf.DUMMYFUNCTION("""COMPUTED_VALUE"""),"limoneus")</f>
        <v>limoneus</v>
      </c>
      <c r="G5577" t="str">
        <f>IFERROR(__xludf.DUMMYFUNCTION("""COMPUTED_VALUE"""),"strain")</f>
        <v>strain</v>
      </c>
      <c r="H5577" t="str">
        <f>IFERROR(__xludf.DUMMYFUNCTION("""COMPUTED_VALUE"""),"KCTC")</f>
        <v>KCTC</v>
      </c>
      <c r="I5577">
        <f>IFERROR(__xludf.DUMMYFUNCTION("""COMPUTED_VALUE"""),1717.0)</f>
        <v>1717</v>
      </c>
    </row>
    <row r="5578" ht="15.75" customHeight="1">
      <c r="A5578" t="str">
        <f t="shared" si="1"/>
        <v>S.incarnatus</v>
      </c>
      <c r="B5578" s="5" t="s">
        <v>33281</v>
      </c>
      <c r="C5578" s="6" t="str">
        <f>IFERROR(__xludf.DUMMYFUNCTION("SPLIT('2. c'!B5578, "" "", True, True)"),"Streptomyces")</f>
        <v>Streptomyces</v>
      </c>
      <c r="D5578" t="str">
        <f>IFERROR(__xludf.DUMMYFUNCTION("""COMPUTED_VALUE"""),"incarnatus")</f>
        <v>incarnatus</v>
      </c>
      <c r="E5578" t="str">
        <f>IFERROR(__xludf.DUMMYFUNCTION("""COMPUTED_VALUE"""),"strain")</f>
        <v>strain</v>
      </c>
      <c r="F5578" t="str">
        <f>IFERROR(__xludf.DUMMYFUNCTION("""COMPUTED_VALUE"""),"NRRL8089")</f>
        <v>NRRL8089</v>
      </c>
    </row>
    <row r="5579" ht="15.75" customHeight="1">
      <c r="A5579" t="str">
        <f t="shared" si="1"/>
        <v>S.leeuwenhoekii</v>
      </c>
      <c r="B5579" s="5" t="s">
        <v>33282</v>
      </c>
      <c r="C5579" s="6" t="str">
        <f>IFERROR(__xludf.DUMMYFUNCTION("SPLIT('2. c'!B5579, "" "", True, True)"),"Streptomyces")</f>
        <v>Streptomyces</v>
      </c>
      <c r="D5579" t="str">
        <f>IFERROR(__xludf.DUMMYFUNCTION("""COMPUTED_VALUE"""),"leeuwenhoekii")</f>
        <v>leeuwenhoekii</v>
      </c>
      <c r="E5579" t="str">
        <f>IFERROR(__xludf.DUMMYFUNCTION("""COMPUTED_VALUE"""),"strain")</f>
        <v>strain</v>
      </c>
      <c r="F5579" t="str">
        <f>IFERROR(__xludf.DUMMYFUNCTION("""COMPUTED_VALUE"""),"type")</f>
        <v>type</v>
      </c>
      <c r="G5579" t="str">
        <f>IFERROR(__xludf.DUMMYFUNCTION("""COMPUTED_VALUE"""),"strain")</f>
        <v>strain</v>
      </c>
      <c r="H5579" t="str">
        <f>IFERROR(__xludf.DUMMYFUNCTION("""COMPUTED_VALUE"""),"(C34")</f>
        <v>(C34</v>
      </c>
      <c r="I5579" t="str">
        <f>IFERROR(__xludf.DUMMYFUNCTION("""COMPUTED_VALUE"""),"=")</f>
        <v>=</v>
      </c>
      <c r="J5579" t="str">
        <f>IFERROR(__xludf.DUMMYFUNCTION("""COMPUTED_VALUE"""),"DSM")</f>
        <v>DSM</v>
      </c>
      <c r="K5579">
        <f>IFERROR(__xludf.DUMMYFUNCTION("""COMPUTED_VALUE"""),42122.0)</f>
        <v>42122</v>
      </c>
      <c r="L5579" t="str">
        <f>IFERROR(__xludf.DUMMYFUNCTION("""COMPUTED_VALUE"""),"=")</f>
        <v>=</v>
      </c>
      <c r="M5579" t="str">
        <f>IFERROR(__xludf.DUMMYFUNCTION("""COMPUTED_VALUE"""),"NRRL")</f>
        <v>NRRL</v>
      </c>
      <c r="N5579" t="str">
        <f>IFERROR(__xludf.DUMMYFUNCTION("""COMPUTED_VALUE"""),"B-24963)")</f>
        <v>B-24963)</v>
      </c>
    </row>
    <row r="5580" ht="15.75" customHeight="1">
      <c r="A5580" t="str">
        <f t="shared" si="1"/>
        <v>S.lividans</v>
      </c>
      <c r="B5580" s="5" t="s">
        <v>33283</v>
      </c>
      <c r="C5580" s="6" t="str">
        <f>IFERROR(__xludf.DUMMYFUNCTION("SPLIT('2. c'!B5580, "" "", True, True)"),"Streptomyces")</f>
        <v>Streptomyces</v>
      </c>
      <c r="D5580" t="str">
        <f>IFERROR(__xludf.DUMMYFUNCTION("""COMPUTED_VALUE"""),"lividans")</f>
        <v>lividans</v>
      </c>
      <c r="E5580" t="str">
        <f>IFERROR(__xludf.DUMMYFUNCTION("""COMPUTED_VALUE"""),"TK24")</f>
        <v>TK24</v>
      </c>
    </row>
    <row r="5581" ht="15.75" customHeight="1">
      <c r="A5581" t="str">
        <f t="shared" si="1"/>
        <v>S.lydicus</v>
      </c>
      <c r="B5581" s="5" t="s">
        <v>33284</v>
      </c>
      <c r="C5581" s="6" t="str">
        <f>IFERROR(__xludf.DUMMYFUNCTION("SPLIT('2. c'!B5581, "" "", True, True)"),"Streptomyces")</f>
        <v>Streptomyces</v>
      </c>
      <c r="D5581" t="str">
        <f>IFERROR(__xludf.DUMMYFUNCTION("""COMPUTED_VALUE"""),"lydicus")</f>
        <v>lydicus</v>
      </c>
      <c r="E5581" t="str">
        <f>IFERROR(__xludf.DUMMYFUNCTION("""COMPUTED_VALUE"""),"A02")</f>
        <v>A02</v>
      </c>
    </row>
    <row r="5582" ht="15.75" customHeight="1">
      <c r="A5582" t="str">
        <f t="shared" si="1"/>
        <v>S.niveus</v>
      </c>
      <c r="B5582" s="5" t="s">
        <v>33285</v>
      </c>
      <c r="C5582" s="6" t="str">
        <f>IFERROR(__xludf.DUMMYFUNCTION("SPLIT('2. c'!B5582, "" "", True, True)"),"Streptomyces")</f>
        <v>Streptomyces</v>
      </c>
      <c r="D5582" t="str">
        <f>IFERROR(__xludf.DUMMYFUNCTION("""COMPUTED_VALUE"""),"niveus")</f>
        <v>niveus</v>
      </c>
      <c r="E5582" t="str">
        <f>IFERROR(__xludf.DUMMYFUNCTION("""COMPUTED_VALUE"""),"NCIMB")</f>
        <v>NCIMB</v>
      </c>
      <c r="F5582">
        <f>IFERROR(__xludf.DUMMYFUNCTION("""COMPUTED_VALUE"""),11891.0)</f>
        <v>11891</v>
      </c>
    </row>
    <row r="5583" ht="15.75" customHeight="1">
      <c r="A5583" t="str">
        <f t="shared" si="1"/>
        <v>S.nodosus</v>
      </c>
      <c r="B5583" s="5" t="s">
        <v>33286</v>
      </c>
      <c r="C5583" s="6" t="str">
        <f>IFERROR(__xludf.DUMMYFUNCTION("SPLIT('2. c'!B5583, "" "", True, True)"),"Streptomyces")</f>
        <v>Streptomyces</v>
      </c>
      <c r="D5583" t="str">
        <f>IFERROR(__xludf.DUMMYFUNCTION("""COMPUTED_VALUE"""),"nodosus")</f>
        <v>nodosus</v>
      </c>
      <c r="E5583" t="str">
        <f>IFERROR(__xludf.DUMMYFUNCTION("""COMPUTED_VALUE"""),"ATCC")</f>
        <v>ATCC</v>
      </c>
      <c r="F5583">
        <f>IFERROR(__xludf.DUMMYFUNCTION("""COMPUTED_VALUE"""),14899.0)</f>
        <v>14899</v>
      </c>
    </row>
    <row r="5584" ht="15.75" customHeight="1">
      <c r="A5584" t="str">
        <f t="shared" si="1"/>
        <v>S.parvulus</v>
      </c>
      <c r="B5584" s="5" t="s">
        <v>33287</v>
      </c>
      <c r="C5584" s="6" t="str">
        <f>IFERROR(__xludf.DUMMYFUNCTION("SPLIT('2. c'!B5584, "" "", True, True)"),"Streptomyces")</f>
        <v>Streptomyces</v>
      </c>
      <c r="D5584" t="str">
        <f>IFERROR(__xludf.DUMMYFUNCTION("""COMPUTED_VALUE"""),"parvulus")</f>
        <v>parvulus</v>
      </c>
      <c r="E5584" t="str">
        <f>IFERROR(__xludf.DUMMYFUNCTION("""COMPUTED_VALUE"""),"strain")</f>
        <v>strain</v>
      </c>
      <c r="F5584">
        <f>IFERROR(__xludf.DUMMYFUNCTION("""COMPUTED_VALUE"""),2297.0)</f>
        <v>2297</v>
      </c>
    </row>
    <row r="5585" ht="15.75" customHeight="1">
      <c r="A5585" t="str">
        <f t="shared" si="1"/>
        <v>S.pristinaespiralis</v>
      </c>
      <c r="B5585" s="5" t="s">
        <v>33288</v>
      </c>
      <c r="C5585" s="6" t="str">
        <f>IFERROR(__xludf.DUMMYFUNCTION("SPLIT('2. c'!B5585, "" "", True, True)"),"Streptomyces")</f>
        <v>Streptomyces</v>
      </c>
      <c r="D5585" t="str">
        <f>IFERROR(__xludf.DUMMYFUNCTION("""COMPUTED_VALUE"""),"pristinaespiralis")</f>
        <v>pristinaespiralis</v>
      </c>
      <c r="E5585" t="str">
        <f>IFERROR(__xludf.DUMMYFUNCTION("""COMPUTED_VALUE"""),"strain")</f>
        <v>strain</v>
      </c>
      <c r="F5585" t="str">
        <f>IFERROR(__xludf.DUMMYFUNCTION("""COMPUTED_VALUE"""),"HCCB")</f>
        <v>HCCB</v>
      </c>
      <c r="G5585">
        <f>IFERROR(__xludf.DUMMYFUNCTION("""COMPUTED_VALUE"""),10218.0)</f>
        <v>10218</v>
      </c>
    </row>
    <row r="5586" ht="15.75" customHeight="1">
      <c r="A5586" t="str">
        <f t="shared" si="1"/>
        <v>S.rapamycinicus</v>
      </c>
      <c r="B5586" s="5" t="s">
        <v>33289</v>
      </c>
      <c r="C5586" s="6" t="str">
        <f>IFERROR(__xludf.DUMMYFUNCTION("SPLIT('2. c'!B5586, "" "", True, True)"),"Streptomyces")</f>
        <v>Streptomyces</v>
      </c>
      <c r="D5586" t="str">
        <f>IFERROR(__xludf.DUMMYFUNCTION("""COMPUTED_VALUE"""),"rapamycinicus")</f>
        <v>rapamycinicus</v>
      </c>
      <c r="E5586" t="str">
        <f>IFERROR(__xludf.DUMMYFUNCTION("""COMPUTED_VALUE"""),"NRRL")</f>
        <v>NRRL</v>
      </c>
      <c r="F5586">
        <f>IFERROR(__xludf.DUMMYFUNCTION("""COMPUTED_VALUE"""),5491.0)</f>
        <v>5491</v>
      </c>
    </row>
    <row r="5587" ht="15.75" customHeight="1">
      <c r="A5587" t="str">
        <f t="shared" si="1"/>
        <v>S.reticuli</v>
      </c>
      <c r="B5587" s="5" t="s">
        <v>33290</v>
      </c>
      <c r="C5587" s="6" t="str">
        <f>IFERROR(__xludf.DUMMYFUNCTION("SPLIT('2. c'!B5587, "" "", True, True)"),"Streptomyces")</f>
        <v>Streptomyces</v>
      </c>
      <c r="D5587" t="str">
        <f>IFERROR(__xludf.DUMMYFUNCTION("""COMPUTED_VALUE"""),"reticuli")</f>
        <v>reticuli</v>
      </c>
    </row>
    <row r="5588" ht="15.75" customHeight="1">
      <c r="A5588" t="str">
        <f t="shared" si="1"/>
        <v>S.roseochromogenus</v>
      </c>
      <c r="B5588" s="5" t="s">
        <v>33291</v>
      </c>
      <c r="C5588" s="6" t="str">
        <f>IFERROR(__xludf.DUMMYFUNCTION("SPLIT('2. c'!B5588, "" "", True, True)"),"Streptomyces")</f>
        <v>Streptomyces</v>
      </c>
      <c r="D5588" t="str">
        <f>IFERROR(__xludf.DUMMYFUNCTION("""COMPUTED_VALUE"""),"roseochromogenus")</f>
        <v>roseochromogenus</v>
      </c>
      <c r="E5588" t="str">
        <f>IFERROR(__xludf.DUMMYFUNCTION("""COMPUTED_VALUE"""),"subsp.")</f>
        <v>subsp.</v>
      </c>
      <c r="F5588" t="str">
        <f>IFERROR(__xludf.DUMMYFUNCTION("""COMPUTED_VALUE"""),"oscitans")</f>
        <v>oscitans</v>
      </c>
      <c r="G5588" t="str">
        <f>IFERROR(__xludf.DUMMYFUNCTION("""COMPUTED_VALUE"""),"DS")</f>
        <v>DS</v>
      </c>
      <c r="H5588" t="str">
        <f>IFERROR(__xludf.DUMMYFUNCTION("""COMPUTED_VALUE"""),"12.976")</f>
        <v>12.976</v>
      </c>
    </row>
    <row r="5589" ht="15.75" customHeight="1">
      <c r="A5589" t="str">
        <f t="shared" si="1"/>
        <v>S.scabiei</v>
      </c>
      <c r="B5589" s="5" t="s">
        <v>33292</v>
      </c>
      <c r="C5589" s="6" t="str">
        <f>IFERROR(__xludf.DUMMYFUNCTION("SPLIT('2. c'!B5589, "" "", True, True)"),"Streptomyces")</f>
        <v>Streptomyces</v>
      </c>
      <c r="D5589" t="str">
        <f>IFERROR(__xludf.DUMMYFUNCTION("""COMPUTED_VALUE"""),"scabiei")</f>
        <v>scabiei</v>
      </c>
      <c r="E5589" t="str">
        <f>IFERROR(__xludf.DUMMYFUNCTION("""COMPUTED_VALUE"""),"87.22")</f>
        <v>87.22</v>
      </c>
    </row>
    <row r="5590" ht="15.75" customHeight="1">
      <c r="A5590" t="str">
        <f t="shared" si="1"/>
        <v>S.sp.</v>
      </c>
      <c r="B5590" s="5" t="s">
        <v>33293</v>
      </c>
      <c r="C5590" s="6" t="str">
        <f>IFERROR(__xludf.DUMMYFUNCTION("SPLIT('2. c'!B5590, "" "", True, True)"),"Streptomyces")</f>
        <v>Streptomyces</v>
      </c>
      <c r="D5590" t="str">
        <f>IFERROR(__xludf.DUMMYFUNCTION("""COMPUTED_VALUE"""),"sp.")</f>
        <v>sp.</v>
      </c>
      <c r="E5590" t="str">
        <f>IFERROR(__xludf.DUMMYFUNCTION("""COMPUTED_VALUE"""),"4F")</f>
        <v>4F</v>
      </c>
    </row>
    <row r="5591" ht="15.75" customHeight="1">
      <c r="A5591" t="str">
        <f t="shared" si="1"/>
        <v>S.sp.</v>
      </c>
      <c r="B5591" s="5" t="s">
        <v>33294</v>
      </c>
      <c r="C5591" s="6" t="str">
        <f>IFERROR(__xludf.DUMMYFUNCTION("SPLIT('2. c'!B5591, "" "", True, True)"),"Streptomyces")</f>
        <v>Streptomyces</v>
      </c>
      <c r="D5591" t="str">
        <f>IFERROR(__xludf.DUMMYFUNCTION("""COMPUTED_VALUE"""),"sp.")</f>
        <v>sp.</v>
      </c>
      <c r="E5591">
        <f>IFERROR(__xludf.DUMMYFUNCTION("""COMPUTED_VALUE"""),769.0)</f>
        <v>769</v>
      </c>
    </row>
    <row r="5592" ht="15.75" customHeight="1">
      <c r="A5592" t="str">
        <f t="shared" si="1"/>
        <v>S.sp.</v>
      </c>
      <c r="B5592" s="5" t="s">
        <v>33295</v>
      </c>
      <c r="C5592" s="6" t="str">
        <f>IFERROR(__xludf.DUMMYFUNCTION("SPLIT('2. c'!B5592, "" "", True, True)"),"Streptomyces")</f>
        <v>Streptomyces</v>
      </c>
      <c r="D5592" t="str">
        <f>IFERROR(__xludf.DUMMYFUNCTION("""COMPUTED_VALUE"""),"sp.")</f>
        <v>sp.</v>
      </c>
      <c r="E5592" t="str">
        <f>IFERROR(__xludf.DUMMYFUNCTION("""COMPUTED_VALUE"""),"CCM_MD2014")</f>
        <v>CCM_MD2014</v>
      </c>
    </row>
    <row r="5593" ht="15.75" customHeight="1">
      <c r="A5593" t="str">
        <f t="shared" si="1"/>
        <v>S.sp.</v>
      </c>
      <c r="B5593" s="5" t="s">
        <v>33296</v>
      </c>
      <c r="C5593" s="6" t="str">
        <f>IFERROR(__xludf.DUMMYFUNCTION("SPLIT('2. c'!B5593, "" "", True, True)"),"Streptomyces")</f>
        <v>Streptomyces</v>
      </c>
      <c r="D5593" t="str">
        <f>IFERROR(__xludf.DUMMYFUNCTION("""COMPUTED_VALUE"""),"sp.")</f>
        <v>sp.</v>
      </c>
      <c r="E5593" t="str">
        <f>IFERROR(__xludf.DUMMYFUNCTION("""COMPUTED_VALUE"""),"CdTB01")</f>
        <v>CdTB01</v>
      </c>
    </row>
    <row r="5594" ht="15.75" customHeight="1">
      <c r="A5594" t="str">
        <f t="shared" si="1"/>
        <v>S.sp.</v>
      </c>
      <c r="B5594" s="5" t="s">
        <v>33297</v>
      </c>
      <c r="C5594" s="6" t="str">
        <f>IFERROR(__xludf.DUMMYFUNCTION("SPLIT('2. c'!B5594, "" "", True, True)"),"Streptomyces")</f>
        <v>Streptomyces</v>
      </c>
      <c r="D5594" t="str">
        <f>IFERROR(__xludf.DUMMYFUNCTION("""COMPUTED_VALUE"""),"sp.")</f>
        <v>sp.</v>
      </c>
      <c r="E5594" t="str">
        <f>IFERROR(__xludf.DUMMYFUNCTION("""COMPUTED_VALUE"""),"CFMR")</f>
        <v>CFMR</v>
      </c>
      <c r="F5594">
        <f>IFERROR(__xludf.DUMMYFUNCTION("""COMPUTED_VALUE"""),7.0)</f>
        <v>7</v>
      </c>
    </row>
    <row r="5595" ht="15.75" customHeight="1">
      <c r="A5595" t="str">
        <f t="shared" si="1"/>
        <v>S.sp.</v>
      </c>
      <c r="B5595" s="5" t="s">
        <v>33298</v>
      </c>
      <c r="C5595" s="6" t="str">
        <f>IFERROR(__xludf.DUMMYFUNCTION("SPLIT('2. c'!B5595, "" "", True, True)"),"Streptomyces")</f>
        <v>Streptomyces</v>
      </c>
      <c r="D5595" t="str">
        <f>IFERROR(__xludf.DUMMYFUNCTION("""COMPUTED_VALUE"""),"sp.")</f>
        <v>sp.</v>
      </c>
      <c r="E5595" t="str">
        <f>IFERROR(__xludf.DUMMYFUNCTION("""COMPUTED_VALUE"""),"CNQ-509")</f>
        <v>CNQ-509</v>
      </c>
    </row>
    <row r="5596" ht="15.75" customHeight="1">
      <c r="A5596" t="str">
        <f t="shared" si="1"/>
        <v>S.sp.</v>
      </c>
      <c r="B5596" s="5" t="s">
        <v>33299</v>
      </c>
      <c r="C5596" s="6" t="str">
        <f>IFERROR(__xludf.DUMMYFUNCTION("SPLIT('2. c'!B5596, "" "", True, True)"),"Streptomyces")</f>
        <v>Streptomyces</v>
      </c>
      <c r="D5596" t="str">
        <f>IFERROR(__xludf.DUMMYFUNCTION("""COMPUTED_VALUE"""),"sp.")</f>
        <v>sp.</v>
      </c>
      <c r="E5596" t="str">
        <f>IFERROR(__xludf.DUMMYFUNCTION("""COMPUTED_VALUE"""),"FR-008")</f>
        <v>FR-008</v>
      </c>
    </row>
    <row r="5597" ht="15.75" customHeight="1">
      <c r="A5597" t="str">
        <f t="shared" si="1"/>
        <v>S.sp.</v>
      </c>
      <c r="B5597" s="5" t="s">
        <v>33300</v>
      </c>
      <c r="C5597" s="6" t="str">
        <f>IFERROR(__xludf.DUMMYFUNCTION("SPLIT('2. c'!B5597, "" "", True, True)"),"Streptomyces")</f>
        <v>Streptomyces</v>
      </c>
      <c r="D5597" t="str">
        <f>IFERROR(__xludf.DUMMYFUNCTION("""COMPUTED_VALUE"""),"sp.")</f>
        <v>sp.</v>
      </c>
      <c r="E5597" t="str">
        <f>IFERROR(__xludf.DUMMYFUNCTION("""COMPUTED_VALUE"""),"GBA")</f>
        <v>GBA</v>
      </c>
      <c r="F5597" t="str">
        <f>IFERROR(__xludf.DUMMYFUNCTION("""COMPUTED_VALUE"""),"94-10")</f>
        <v>94-10</v>
      </c>
    </row>
    <row r="5598" ht="15.75" customHeight="1">
      <c r="A5598" t="str">
        <f t="shared" si="1"/>
        <v>S.sp.</v>
      </c>
      <c r="B5598" s="5" t="s">
        <v>33301</v>
      </c>
      <c r="C5598" s="6" t="str">
        <f>IFERROR(__xludf.DUMMYFUNCTION("SPLIT('2. c'!B5598, "" "", True, True)"),"Streptomyces")</f>
        <v>Streptomyces</v>
      </c>
      <c r="D5598" t="str">
        <f>IFERROR(__xludf.DUMMYFUNCTION("""COMPUTED_VALUE"""),"sp.")</f>
        <v>sp.</v>
      </c>
      <c r="E5598" t="str">
        <f>IFERROR(__xludf.DUMMYFUNCTION("""COMPUTED_VALUE"""),"Mg1")</f>
        <v>Mg1</v>
      </c>
    </row>
    <row r="5599" ht="15.75" customHeight="1">
      <c r="A5599" t="str">
        <f t="shared" si="1"/>
        <v>S.sp.</v>
      </c>
      <c r="B5599" s="5" t="s">
        <v>33302</v>
      </c>
      <c r="C5599" s="6" t="str">
        <f>IFERROR(__xludf.DUMMYFUNCTION("SPLIT('2. c'!B5599, "" "", True, True)"),"Streptomyces")</f>
        <v>Streptomyces</v>
      </c>
      <c r="D5599" t="str">
        <f>IFERROR(__xludf.DUMMYFUNCTION("""COMPUTED_VALUE"""),"sp.")</f>
        <v>sp.</v>
      </c>
      <c r="E5599" t="str">
        <f>IFERROR(__xludf.DUMMYFUNCTION("""COMPUTED_VALUE"""),"PAMC26508")</f>
        <v>PAMC26508</v>
      </c>
    </row>
    <row r="5600" ht="15.75" customHeight="1">
      <c r="A5600" t="str">
        <f t="shared" si="1"/>
        <v>S.sp.</v>
      </c>
      <c r="B5600" s="5" t="s">
        <v>33303</v>
      </c>
      <c r="C5600" s="6" t="str">
        <f>IFERROR(__xludf.DUMMYFUNCTION("SPLIT('2. c'!B5600, "" "", True, True)"),"Streptomyces")</f>
        <v>Streptomyces</v>
      </c>
      <c r="D5600" t="str">
        <f>IFERROR(__xludf.DUMMYFUNCTION("""COMPUTED_VALUE"""),"sp.")</f>
        <v>sp.</v>
      </c>
      <c r="E5600" t="str">
        <f>IFERROR(__xludf.DUMMYFUNCTION("""COMPUTED_VALUE"""),"PBH53")</f>
        <v>PBH53</v>
      </c>
    </row>
    <row r="5601" ht="15.75" customHeight="1">
      <c r="A5601" t="str">
        <f t="shared" si="1"/>
        <v>S.sp.</v>
      </c>
      <c r="B5601" s="5" t="s">
        <v>33304</v>
      </c>
      <c r="C5601" s="6" t="str">
        <f>IFERROR(__xludf.DUMMYFUNCTION("SPLIT('2. c'!B5601, "" "", True, True)"),"Streptomyces")</f>
        <v>Streptomyces</v>
      </c>
      <c r="D5601" t="str">
        <f>IFERROR(__xludf.DUMMYFUNCTION("""COMPUTED_VALUE"""),"sp.")</f>
        <v>sp.</v>
      </c>
      <c r="E5601" t="str">
        <f>IFERROR(__xludf.DUMMYFUNCTION("""COMPUTED_VALUE"""),"PVA")</f>
        <v>PVA</v>
      </c>
      <c r="F5601" t="str">
        <f>IFERROR(__xludf.DUMMYFUNCTION("""COMPUTED_VALUE"""),"94-07")</f>
        <v>94-07</v>
      </c>
    </row>
    <row r="5602" ht="15.75" customHeight="1">
      <c r="A5602" t="str">
        <f t="shared" si="1"/>
        <v>S.sp.</v>
      </c>
      <c r="B5602" s="5" t="s">
        <v>33305</v>
      </c>
      <c r="C5602" s="6" t="str">
        <f>IFERROR(__xludf.DUMMYFUNCTION("SPLIT('2. c'!B5602, "" "", True, True)"),"Streptomyces")</f>
        <v>Streptomyces</v>
      </c>
      <c r="D5602" t="str">
        <f>IFERROR(__xludf.DUMMYFUNCTION("""COMPUTED_VALUE"""),"sp.")</f>
        <v>sp.</v>
      </c>
      <c r="E5602" t="str">
        <f>IFERROR(__xludf.DUMMYFUNCTION("""COMPUTED_VALUE"""),"S10(2016)")</f>
        <v>S10(2016)</v>
      </c>
    </row>
    <row r="5603" ht="15.75" customHeight="1">
      <c r="A5603" t="str">
        <f t="shared" si="1"/>
        <v>S.sp.</v>
      </c>
      <c r="B5603" s="5" t="s">
        <v>33306</v>
      </c>
      <c r="C5603" s="6" t="str">
        <f>IFERROR(__xludf.DUMMYFUNCTION("SPLIT('2. c'!B5603, "" "", True, True)"),"Streptomyces")</f>
        <v>Streptomyces</v>
      </c>
      <c r="D5603" t="str">
        <f>IFERROR(__xludf.DUMMYFUNCTION("""COMPUTED_VALUE"""),"sp.")</f>
        <v>sp.</v>
      </c>
      <c r="E5603" t="str">
        <f>IFERROR(__xludf.DUMMYFUNCTION("""COMPUTED_VALUE"""),"SirexAA-E")</f>
        <v>SirexAA-E</v>
      </c>
    </row>
    <row r="5604" ht="15.75" customHeight="1">
      <c r="A5604" t="str">
        <f t="shared" si="1"/>
        <v>S.venezuelae</v>
      </c>
      <c r="B5604" s="5" t="s">
        <v>33307</v>
      </c>
      <c r="C5604" s="6" t="str">
        <f>IFERROR(__xludf.DUMMYFUNCTION("SPLIT('2. c'!B5604, "" "", True, True)"),"Streptomyces")</f>
        <v>Streptomyces</v>
      </c>
      <c r="D5604" t="str">
        <f>IFERROR(__xludf.DUMMYFUNCTION("""COMPUTED_VALUE"""),"venezuelae")</f>
        <v>venezuelae</v>
      </c>
    </row>
    <row r="5605" ht="15.75" customHeight="1">
      <c r="A5605" t="str">
        <f t="shared" si="1"/>
        <v>S.venezuelae</v>
      </c>
      <c r="B5605" s="5" t="s">
        <v>33308</v>
      </c>
      <c r="C5605" s="6" t="str">
        <f>IFERROR(__xludf.DUMMYFUNCTION("SPLIT('2. c'!B5605, "" "", True, True)"),"Streptomyces")</f>
        <v>Streptomyces</v>
      </c>
      <c r="D5605" t="str">
        <f>IFERROR(__xludf.DUMMYFUNCTION("""COMPUTED_VALUE"""),"venezuelae")</f>
        <v>venezuelae</v>
      </c>
      <c r="E5605" t="str">
        <f>IFERROR(__xludf.DUMMYFUNCTION("""COMPUTED_VALUE"""),"ATCC")</f>
        <v>ATCC</v>
      </c>
      <c r="F5605">
        <f>IFERROR(__xludf.DUMMYFUNCTION("""COMPUTED_VALUE"""),10712.0)</f>
        <v>10712</v>
      </c>
    </row>
    <row r="5606" ht="15.75" customHeight="1">
      <c r="A5606" t="str">
        <f t="shared" si="1"/>
        <v>S.venezuelae</v>
      </c>
      <c r="B5606" s="5" t="s">
        <v>33309</v>
      </c>
      <c r="C5606" s="6" t="str">
        <f>IFERROR(__xludf.DUMMYFUNCTION("SPLIT('2. c'!B5606, "" "", True, True)"),"Streptomyces")</f>
        <v>Streptomyces</v>
      </c>
      <c r="D5606" t="str">
        <f>IFERROR(__xludf.DUMMYFUNCTION("""COMPUTED_VALUE"""),"venezuelae")</f>
        <v>venezuelae</v>
      </c>
      <c r="E5606" t="str">
        <f>IFERROR(__xludf.DUMMYFUNCTION("""COMPUTED_VALUE"""),"strain")</f>
        <v>strain</v>
      </c>
      <c r="F5606" t="str">
        <f>IFERROR(__xludf.DUMMYFUNCTION("""COMPUTED_VALUE"""),"ATCC")</f>
        <v>ATCC</v>
      </c>
      <c r="G5606">
        <f>IFERROR(__xludf.DUMMYFUNCTION("""COMPUTED_VALUE"""),15439.0)</f>
        <v>15439</v>
      </c>
    </row>
    <row r="5607" ht="15.75" customHeight="1">
      <c r="A5607" t="str">
        <f t="shared" si="1"/>
        <v>S.vietnamensis</v>
      </c>
      <c r="B5607" s="5" t="s">
        <v>33310</v>
      </c>
      <c r="C5607" s="6" t="str">
        <f>IFERROR(__xludf.DUMMYFUNCTION("SPLIT('2. c'!B5607, "" "", True, True)"),"Streptomyces")</f>
        <v>Streptomyces</v>
      </c>
      <c r="D5607" t="str">
        <f>IFERROR(__xludf.DUMMYFUNCTION("""COMPUTED_VALUE"""),"vietnamensis")</f>
        <v>vietnamensis</v>
      </c>
      <c r="E5607" t="str">
        <f>IFERROR(__xludf.DUMMYFUNCTION("""COMPUTED_VALUE"""),"GIM4.0001")</f>
        <v>GIM4.0001</v>
      </c>
    </row>
    <row r="5608" ht="15.75" customHeight="1">
      <c r="A5608" t="str">
        <f t="shared" si="1"/>
        <v>S.xiamenensis</v>
      </c>
      <c r="B5608" s="5" t="s">
        <v>33311</v>
      </c>
      <c r="C5608" s="6" t="str">
        <f>IFERROR(__xludf.DUMMYFUNCTION("SPLIT('2. c'!B5608, "" "", True, True)"),"Streptomyces")</f>
        <v>Streptomyces</v>
      </c>
      <c r="D5608" t="str">
        <f>IFERROR(__xludf.DUMMYFUNCTION("""COMPUTED_VALUE"""),"xiamenensis")</f>
        <v>xiamenensis</v>
      </c>
      <c r="E5608" t="str">
        <f>IFERROR(__xludf.DUMMYFUNCTION("""COMPUTED_VALUE"""),"strain")</f>
        <v>strain</v>
      </c>
      <c r="F5608" t="str">
        <f>IFERROR(__xludf.DUMMYFUNCTION("""COMPUTED_VALUE"""),"MCCC")</f>
        <v>MCCC</v>
      </c>
      <c r="G5608" t="str">
        <f>IFERROR(__xludf.DUMMYFUNCTION("""COMPUTED_VALUE"""),"1A01550")</f>
        <v>1A01550</v>
      </c>
    </row>
    <row r="5609" ht="15.75" customHeight="1">
      <c r="A5609" t="str">
        <f t="shared" si="1"/>
        <v>S.roseum</v>
      </c>
      <c r="B5609" s="5" t="s">
        <v>33312</v>
      </c>
      <c r="C5609" s="6" t="str">
        <f>IFERROR(__xludf.DUMMYFUNCTION("SPLIT('2. c'!B5609, "" "", True, True)"),"Streptosporangium")</f>
        <v>Streptosporangium</v>
      </c>
      <c r="D5609" t="str">
        <f>IFERROR(__xludf.DUMMYFUNCTION("""COMPUTED_VALUE"""),"roseum")</f>
        <v>roseum</v>
      </c>
      <c r="E5609" t="str">
        <f>IFERROR(__xludf.DUMMYFUNCTION("""COMPUTED_VALUE"""),"DSM")</f>
        <v>DSM</v>
      </c>
      <c r="F5609">
        <f>IFERROR(__xludf.DUMMYFUNCTION("""COMPUTED_VALUE"""),43021.0)</f>
        <v>43021</v>
      </c>
    </row>
    <row r="5610" ht="15.75" customHeight="1">
      <c r="A5610" t="str">
        <f t="shared" si="1"/>
        <v>S.acidophilus</v>
      </c>
      <c r="B5610" s="5" t="s">
        <v>33313</v>
      </c>
      <c r="C5610" s="6" t="str">
        <f>IFERROR(__xludf.DUMMYFUNCTION("SPLIT('2. c'!B5610, "" "", True, True)"),"Sulfobacillus")</f>
        <v>Sulfobacillus</v>
      </c>
      <c r="D5610" t="str">
        <f>IFERROR(__xludf.DUMMYFUNCTION("""COMPUTED_VALUE"""),"acidophilus")</f>
        <v>acidophilus</v>
      </c>
      <c r="E5610" t="str">
        <f>IFERROR(__xludf.DUMMYFUNCTION("""COMPUTED_VALUE"""),"DSM")</f>
        <v>DSM</v>
      </c>
      <c r="F5610">
        <f>IFERROR(__xludf.DUMMYFUNCTION("""COMPUTED_VALUE"""),10332.0)</f>
        <v>10332</v>
      </c>
    </row>
    <row r="5611" ht="15.75" customHeight="1">
      <c r="A5611" t="str">
        <f t="shared" si="1"/>
        <v>S.acidophilus</v>
      </c>
      <c r="B5611" s="5" t="s">
        <v>33314</v>
      </c>
      <c r="C5611" s="6" t="str">
        <f>IFERROR(__xludf.DUMMYFUNCTION("SPLIT('2. c'!B5611, "" "", True, True)"),"Sulfobacillus")</f>
        <v>Sulfobacillus</v>
      </c>
      <c r="D5611" t="str">
        <f>IFERROR(__xludf.DUMMYFUNCTION("""COMPUTED_VALUE"""),"acidophilus")</f>
        <v>acidophilus</v>
      </c>
      <c r="E5611" t="str">
        <f>IFERROR(__xludf.DUMMYFUNCTION("""COMPUTED_VALUE"""),"TPY")</f>
        <v>TPY</v>
      </c>
    </row>
    <row r="5612" ht="15.75" customHeight="1">
      <c r="A5612" t="str">
        <f t="shared" si="1"/>
        <v>S.acidophilus</v>
      </c>
      <c r="B5612" s="5" t="s">
        <v>33314</v>
      </c>
      <c r="C5612" s="6" t="str">
        <f>IFERROR(__xludf.DUMMYFUNCTION("SPLIT('2. c'!B5612, "" "", True, True)"),"Sulfobacillus")</f>
        <v>Sulfobacillus</v>
      </c>
      <c r="D5612" t="str">
        <f>IFERROR(__xludf.DUMMYFUNCTION("""COMPUTED_VALUE"""),"acidophilus")</f>
        <v>acidophilus</v>
      </c>
      <c r="E5612" t="str">
        <f>IFERROR(__xludf.DUMMYFUNCTION("""COMPUTED_VALUE"""),"TPY")</f>
        <v>TPY</v>
      </c>
    </row>
    <row r="5613" ht="15.75" customHeight="1">
      <c r="A5613" t="str">
        <f t="shared" si="1"/>
        <v>S.acidocaldarius</v>
      </c>
      <c r="B5613" s="5" t="s">
        <v>33315</v>
      </c>
      <c r="C5613" s="6" t="str">
        <f>IFERROR(__xludf.DUMMYFUNCTION("SPLIT('2. c'!B5613, "" "", True, True)"),"Sulfolobus")</f>
        <v>Sulfolobus</v>
      </c>
      <c r="D5613" t="str">
        <f>IFERROR(__xludf.DUMMYFUNCTION("""COMPUTED_VALUE"""),"acidocaldarius")</f>
        <v>acidocaldarius</v>
      </c>
      <c r="E5613" t="str">
        <f>IFERROR(__xludf.DUMMYFUNCTION("""COMPUTED_VALUE"""),"DSM")</f>
        <v>DSM</v>
      </c>
      <c r="F5613">
        <f>IFERROR(__xludf.DUMMYFUNCTION("""COMPUTED_VALUE"""),639.0)</f>
        <v>639</v>
      </c>
    </row>
    <row r="5614" ht="15.75" customHeight="1">
      <c r="A5614" t="str">
        <f t="shared" si="1"/>
        <v>S.acidocaldarius</v>
      </c>
      <c r="B5614" s="5" t="s">
        <v>33316</v>
      </c>
      <c r="C5614" s="6" t="str">
        <f>IFERROR(__xludf.DUMMYFUNCTION("SPLIT('2. c'!B5614, "" "", True, True)"),"Sulfolobus")</f>
        <v>Sulfolobus</v>
      </c>
      <c r="D5614" t="str">
        <f>IFERROR(__xludf.DUMMYFUNCTION("""COMPUTED_VALUE"""),"acidocaldarius")</f>
        <v>acidocaldarius</v>
      </c>
      <c r="E5614" t="str">
        <f>IFERROR(__xludf.DUMMYFUNCTION("""COMPUTED_VALUE"""),"N8")</f>
        <v>N8</v>
      </c>
    </row>
    <row r="5615" ht="15.75" customHeight="1">
      <c r="A5615" t="str">
        <f t="shared" si="1"/>
        <v>S.acidocaldarius</v>
      </c>
      <c r="B5615" s="5" t="s">
        <v>33317</v>
      </c>
      <c r="C5615" s="6" t="str">
        <f>IFERROR(__xludf.DUMMYFUNCTION("SPLIT('2. c'!B5615, "" "", True, True)"),"Sulfolobus")</f>
        <v>Sulfolobus</v>
      </c>
      <c r="D5615" t="str">
        <f>IFERROR(__xludf.DUMMYFUNCTION("""COMPUTED_VALUE"""),"acidocaldarius")</f>
        <v>acidocaldarius</v>
      </c>
      <c r="E5615" t="str">
        <f>IFERROR(__xludf.DUMMYFUNCTION("""COMPUTED_VALUE"""),"Ron12/I")</f>
        <v>Ron12/I</v>
      </c>
    </row>
    <row r="5616" ht="15.75" customHeight="1">
      <c r="A5616" t="str">
        <f t="shared" si="1"/>
        <v>S.acidocaldarius</v>
      </c>
      <c r="B5616" s="5" t="s">
        <v>33318</v>
      </c>
      <c r="C5616" s="6" t="str">
        <f>IFERROR(__xludf.DUMMYFUNCTION("SPLIT('2. c'!B5616, "" "", True, True)"),"Sulfolobus")</f>
        <v>Sulfolobus</v>
      </c>
      <c r="D5616" t="str">
        <f>IFERROR(__xludf.DUMMYFUNCTION("""COMPUTED_VALUE"""),"acidocaldarius")</f>
        <v>acidocaldarius</v>
      </c>
      <c r="E5616" t="str">
        <f>IFERROR(__xludf.DUMMYFUNCTION("""COMPUTED_VALUE"""),"strain")</f>
        <v>strain</v>
      </c>
      <c r="F5616" t="str">
        <f>IFERROR(__xludf.DUMMYFUNCTION("""COMPUTED_VALUE"""),"GG12-C01-09")</f>
        <v>GG12-C01-09</v>
      </c>
    </row>
    <row r="5617" ht="15.75" customHeight="1">
      <c r="A5617" t="str">
        <f t="shared" si="1"/>
        <v>S.acidocaldarius</v>
      </c>
      <c r="B5617" s="5" t="s">
        <v>33319</v>
      </c>
      <c r="C5617" s="6" t="str">
        <f>IFERROR(__xludf.DUMMYFUNCTION("SPLIT('2. c'!B5617, "" "", True, True)"),"Sulfolobus")</f>
        <v>Sulfolobus</v>
      </c>
      <c r="D5617" t="str">
        <f>IFERROR(__xludf.DUMMYFUNCTION("""COMPUTED_VALUE"""),"acidocaldarius")</f>
        <v>acidocaldarius</v>
      </c>
      <c r="E5617" t="str">
        <f>IFERROR(__xludf.DUMMYFUNCTION("""COMPUTED_VALUE"""),"strain")</f>
        <v>strain</v>
      </c>
      <c r="F5617" t="str">
        <f>IFERROR(__xludf.DUMMYFUNCTION("""COMPUTED_VALUE"""),"NG05B_CO5_07")</f>
        <v>NG05B_CO5_07</v>
      </c>
    </row>
    <row r="5618" ht="15.75" customHeight="1">
      <c r="A5618" t="str">
        <f t="shared" si="1"/>
        <v>S.acidocaldarius</v>
      </c>
      <c r="B5618" s="5" t="s">
        <v>33320</v>
      </c>
      <c r="C5618" s="6" t="str">
        <f>IFERROR(__xludf.DUMMYFUNCTION("SPLIT('2. c'!B5618, "" "", True, True)"),"Sulfolobus")</f>
        <v>Sulfolobus</v>
      </c>
      <c r="D5618" t="str">
        <f>IFERROR(__xludf.DUMMYFUNCTION("""COMPUTED_VALUE"""),"acidocaldarius")</f>
        <v>acidocaldarius</v>
      </c>
      <c r="E5618" t="str">
        <f>IFERROR(__xludf.DUMMYFUNCTION("""COMPUTED_VALUE"""),"SUSAZ")</f>
        <v>SUSAZ</v>
      </c>
    </row>
    <row r="5619" ht="15.75" customHeight="1">
      <c r="A5619" t="str">
        <f t="shared" si="1"/>
        <v>S.islandicus</v>
      </c>
      <c r="B5619" s="5" t="s">
        <v>33321</v>
      </c>
      <c r="C5619" s="6" t="str">
        <f>IFERROR(__xludf.DUMMYFUNCTION("SPLIT('2. c'!B5619, "" "", True, True)"),"Sulfolobus")</f>
        <v>Sulfolobus</v>
      </c>
      <c r="D5619" t="str">
        <f>IFERROR(__xludf.DUMMYFUNCTION("""COMPUTED_VALUE"""),"islandicus")</f>
        <v>islandicus</v>
      </c>
      <c r="E5619" t="str">
        <f>IFERROR(__xludf.DUMMYFUNCTION("""COMPUTED_VALUE"""),"HVE10/4")</f>
        <v>HVE10/4</v>
      </c>
    </row>
    <row r="5620" ht="15.75" customHeight="1">
      <c r="A5620" t="str">
        <f t="shared" si="1"/>
        <v>S.islandicus</v>
      </c>
      <c r="B5620" s="5" t="s">
        <v>33322</v>
      </c>
      <c r="C5620" s="6" t="str">
        <f>IFERROR(__xludf.DUMMYFUNCTION("SPLIT('2. c'!B5620, "" "", True, True)"),"Sulfolobus")</f>
        <v>Sulfolobus</v>
      </c>
      <c r="D5620" t="str">
        <f>IFERROR(__xludf.DUMMYFUNCTION("""COMPUTED_VALUE"""),"islandicus")</f>
        <v>islandicus</v>
      </c>
      <c r="E5620" t="str">
        <f>IFERROR(__xludf.DUMMYFUNCTION("""COMPUTED_VALUE"""),"L.D.8.5")</f>
        <v>L.D.8.5</v>
      </c>
    </row>
    <row r="5621" ht="15.75" customHeight="1">
      <c r="A5621" t="str">
        <f t="shared" si="1"/>
        <v>S.islandicus</v>
      </c>
      <c r="B5621" s="5" t="s">
        <v>33323</v>
      </c>
      <c r="C5621" s="6" t="str">
        <f>IFERROR(__xludf.DUMMYFUNCTION("SPLIT('2. c'!B5621, "" "", True, True)"),"Sulfolobus")</f>
        <v>Sulfolobus</v>
      </c>
      <c r="D5621" t="str">
        <f>IFERROR(__xludf.DUMMYFUNCTION("""COMPUTED_VALUE"""),"islandicus")</f>
        <v>islandicus</v>
      </c>
      <c r="E5621" t="str">
        <f>IFERROR(__xludf.DUMMYFUNCTION("""COMPUTED_VALUE"""),"L.S.2.15")</f>
        <v>L.S.2.15</v>
      </c>
    </row>
    <row r="5622" ht="15.75" customHeight="1">
      <c r="A5622" t="str">
        <f t="shared" si="1"/>
        <v>S.islandicus</v>
      </c>
      <c r="B5622" s="5" t="s">
        <v>33324</v>
      </c>
      <c r="C5622" s="6" t="str">
        <f>IFERROR(__xludf.DUMMYFUNCTION("SPLIT('2. c'!B5622, "" "", True, True)"),"Sulfolobus")</f>
        <v>Sulfolobus</v>
      </c>
      <c r="D5622" t="str">
        <f>IFERROR(__xludf.DUMMYFUNCTION("""COMPUTED_VALUE"""),"islandicus")</f>
        <v>islandicus</v>
      </c>
      <c r="E5622" t="str">
        <f>IFERROR(__xludf.DUMMYFUNCTION("""COMPUTED_VALUE"""),"LAL14/1")</f>
        <v>LAL14/1</v>
      </c>
    </row>
    <row r="5623" ht="15.75" customHeight="1">
      <c r="A5623" t="str">
        <f t="shared" si="1"/>
        <v>S.islandicus</v>
      </c>
      <c r="B5623" s="5" t="s">
        <v>33325</v>
      </c>
      <c r="C5623" s="6" t="str">
        <f>IFERROR(__xludf.DUMMYFUNCTION("SPLIT('2. c'!B5623, "" "", True, True)"),"Sulfolobus")</f>
        <v>Sulfolobus</v>
      </c>
      <c r="D5623" t="str">
        <f>IFERROR(__xludf.DUMMYFUNCTION("""COMPUTED_VALUE"""),"islandicus")</f>
        <v>islandicus</v>
      </c>
      <c r="E5623" t="str">
        <f>IFERROR(__xludf.DUMMYFUNCTION("""COMPUTED_VALUE"""),"M.14.25")</f>
        <v>M.14.25</v>
      </c>
    </row>
    <row r="5624" ht="15.75" customHeight="1">
      <c r="A5624" t="str">
        <f t="shared" si="1"/>
        <v>S.islandicus</v>
      </c>
      <c r="B5624" s="5" t="s">
        <v>33326</v>
      </c>
      <c r="C5624" s="6" t="str">
        <f>IFERROR(__xludf.DUMMYFUNCTION("SPLIT('2. c'!B5624, "" "", True, True)"),"Sulfolobus")</f>
        <v>Sulfolobus</v>
      </c>
      <c r="D5624" t="str">
        <f>IFERROR(__xludf.DUMMYFUNCTION("""COMPUTED_VALUE"""),"islandicus")</f>
        <v>islandicus</v>
      </c>
      <c r="E5624" t="str">
        <f>IFERROR(__xludf.DUMMYFUNCTION("""COMPUTED_VALUE"""),"M.16.2")</f>
        <v>M.16.2</v>
      </c>
    </row>
    <row r="5625" ht="15.75" customHeight="1">
      <c r="A5625" t="str">
        <f t="shared" si="1"/>
        <v>S.islandicus</v>
      </c>
      <c r="B5625" s="5" t="s">
        <v>33327</v>
      </c>
      <c r="C5625" s="6" t="str">
        <f>IFERROR(__xludf.DUMMYFUNCTION("SPLIT('2. c'!B5625, "" "", True, True)"),"Sulfolobus")</f>
        <v>Sulfolobus</v>
      </c>
      <c r="D5625" t="str">
        <f>IFERROR(__xludf.DUMMYFUNCTION("""COMPUTED_VALUE"""),"islandicus")</f>
        <v>islandicus</v>
      </c>
      <c r="E5625" t="str">
        <f>IFERROR(__xludf.DUMMYFUNCTION("""COMPUTED_VALUE"""),"M.16.23")</f>
        <v>M.16.23</v>
      </c>
    </row>
    <row r="5626" ht="15.75" customHeight="1">
      <c r="A5626" t="str">
        <f t="shared" si="1"/>
        <v>S.islandicus</v>
      </c>
      <c r="B5626" s="5" t="s">
        <v>33328</v>
      </c>
      <c r="C5626" s="6" t="str">
        <f>IFERROR(__xludf.DUMMYFUNCTION("SPLIT('2. c'!B5626, "" "", True, True)"),"Sulfolobus")</f>
        <v>Sulfolobus</v>
      </c>
      <c r="D5626" t="str">
        <f>IFERROR(__xludf.DUMMYFUNCTION("""COMPUTED_VALUE"""),"islandicus")</f>
        <v>islandicus</v>
      </c>
      <c r="E5626" t="str">
        <f>IFERROR(__xludf.DUMMYFUNCTION("""COMPUTED_VALUE"""),"M.16.27")</f>
        <v>M.16.27</v>
      </c>
    </row>
    <row r="5627" ht="15.75" customHeight="1">
      <c r="A5627" t="str">
        <f t="shared" si="1"/>
        <v>S.islandicus</v>
      </c>
      <c r="B5627" s="5" t="s">
        <v>33329</v>
      </c>
      <c r="C5627" s="6" t="str">
        <f>IFERROR(__xludf.DUMMYFUNCTION("SPLIT('2. c'!B5627, "" "", True, True)"),"Sulfolobus")</f>
        <v>Sulfolobus</v>
      </c>
      <c r="D5627" t="str">
        <f>IFERROR(__xludf.DUMMYFUNCTION("""COMPUTED_VALUE"""),"islandicus")</f>
        <v>islandicus</v>
      </c>
      <c r="E5627" t="str">
        <f>IFERROR(__xludf.DUMMYFUNCTION("""COMPUTED_VALUE"""),"M.16.4")</f>
        <v>M.16.4</v>
      </c>
    </row>
    <row r="5628" ht="15.75" customHeight="1">
      <c r="A5628" t="str">
        <f t="shared" si="1"/>
        <v>S.islandicus</v>
      </c>
      <c r="B5628" s="5" t="s">
        <v>33330</v>
      </c>
      <c r="C5628" s="6" t="str">
        <f>IFERROR(__xludf.DUMMYFUNCTION("SPLIT('2. c'!B5628, "" "", True, True)"),"Sulfolobus")</f>
        <v>Sulfolobus</v>
      </c>
      <c r="D5628" t="str">
        <f>IFERROR(__xludf.DUMMYFUNCTION("""COMPUTED_VALUE"""),"islandicus")</f>
        <v>islandicus</v>
      </c>
      <c r="E5628" t="str">
        <f>IFERROR(__xludf.DUMMYFUNCTION("""COMPUTED_VALUE"""),"M.16.40")</f>
        <v>M.16.40</v>
      </c>
    </row>
    <row r="5629" ht="15.75" customHeight="1">
      <c r="A5629" t="str">
        <f t="shared" si="1"/>
        <v>S.islandicus</v>
      </c>
      <c r="B5629" s="5" t="s">
        <v>33331</v>
      </c>
      <c r="C5629" s="6" t="str">
        <f>IFERROR(__xludf.DUMMYFUNCTION("SPLIT('2. c'!B5629, "" "", True, True)"),"Sulfolobus")</f>
        <v>Sulfolobus</v>
      </c>
      <c r="D5629" t="str">
        <f>IFERROR(__xludf.DUMMYFUNCTION("""COMPUTED_VALUE"""),"islandicus")</f>
        <v>islandicus</v>
      </c>
      <c r="E5629" t="str">
        <f>IFERROR(__xludf.DUMMYFUNCTION("""COMPUTED_VALUE"""),"M.16.43")</f>
        <v>M.16.43</v>
      </c>
    </row>
    <row r="5630" ht="15.75" customHeight="1">
      <c r="A5630" t="str">
        <f t="shared" si="1"/>
        <v>S.islandicus</v>
      </c>
      <c r="B5630" s="5" t="s">
        <v>33332</v>
      </c>
      <c r="C5630" s="6" t="str">
        <f>IFERROR(__xludf.DUMMYFUNCTION("SPLIT('2. c'!B5630, "" "", True, True)"),"Sulfolobus")</f>
        <v>Sulfolobus</v>
      </c>
      <c r="D5630" t="str">
        <f>IFERROR(__xludf.DUMMYFUNCTION("""COMPUTED_VALUE"""),"islandicus")</f>
        <v>islandicus</v>
      </c>
      <c r="E5630" t="str">
        <f>IFERROR(__xludf.DUMMYFUNCTION("""COMPUTED_VALUE"""),"M.16.47")</f>
        <v>M.16.47</v>
      </c>
    </row>
    <row r="5631" ht="15.75" customHeight="1">
      <c r="A5631" t="str">
        <f t="shared" si="1"/>
        <v>S.islandicus</v>
      </c>
      <c r="B5631" s="5" t="s">
        <v>33333</v>
      </c>
      <c r="C5631" s="6" t="str">
        <f>IFERROR(__xludf.DUMMYFUNCTION("SPLIT('2. c'!B5631, "" "", True, True)"),"Sulfolobus")</f>
        <v>Sulfolobus</v>
      </c>
      <c r="D5631" t="str">
        <f>IFERROR(__xludf.DUMMYFUNCTION("""COMPUTED_VALUE"""),"islandicus")</f>
        <v>islandicus</v>
      </c>
      <c r="E5631" t="str">
        <f>IFERROR(__xludf.DUMMYFUNCTION("""COMPUTED_VALUE"""),"REY15A")</f>
        <v>REY15A</v>
      </c>
    </row>
    <row r="5632" ht="15.75" customHeight="1">
      <c r="A5632" t="str">
        <f t="shared" si="1"/>
        <v>S.islandicus</v>
      </c>
      <c r="B5632" s="5" t="s">
        <v>33334</v>
      </c>
      <c r="C5632" s="6" t="str">
        <f>IFERROR(__xludf.DUMMYFUNCTION("SPLIT('2. c'!B5632, "" "", True, True)"),"Sulfolobus")</f>
        <v>Sulfolobus</v>
      </c>
      <c r="D5632" t="str">
        <f>IFERROR(__xludf.DUMMYFUNCTION("""COMPUTED_VALUE"""),"islandicus")</f>
        <v>islandicus</v>
      </c>
      <c r="E5632" t="str">
        <f>IFERROR(__xludf.DUMMYFUNCTION("""COMPUTED_VALUE"""),"Y.G.57.14")</f>
        <v>Y.G.57.14</v>
      </c>
    </row>
    <row r="5633" ht="15.75" customHeight="1">
      <c r="A5633" t="str">
        <f t="shared" si="1"/>
        <v>S.islandicus</v>
      </c>
      <c r="B5633" s="5" t="s">
        <v>33335</v>
      </c>
      <c r="C5633" s="6" t="str">
        <f>IFERROR(__xludf.DUMMYFUNCTION("SPLIT('2. c'!B5633, "" "", True, True)"),"Sulfolobus")</f>
        <v>Sulfolobus</v>
      </c>
      <c r="D5633" t="str">
        <f>IFERROR(__xludf.DUMMYFUNCTION("""COMPUTED_VALUE"""),"islandicus")</f>
        <v>islandicus</v>
      </c>
      <c r="E5633" t="str">
        <f>IFERROR(__xludf.DUMMYFUNCTION("""COMPUTED_VALUE"""),"Y.N.15.51")</f>
        <v>Y.N.15.51</v>
      </c>
    </row>
    <row r="5634" ht="15.75" customHeight="1">
      <c r="A5634" t="str">
        <f t="shared" si="1"/>
        <v>S.solfataricus</v>
      </c>
      <c r="B5634" s="5" t="s">
        <v>33336</v>
      </c>
      <c r="C5634" s="6" t="str">
        <f>IFERROR(__xludf.DUMMYFUNCTION("SPLIT('2. c'!B5634, "" "", True, True)"),"Sulfolobus")</f>
        <v>Sulfolobus</v>
      </c>
      <c r="D5634" t="str">
        <f>IFERROR(__xludf.DUMMYFUNCTION("""COMPUTED_VALUE"""),"solfataricus")</f>
        <v>solfataricus</v>
      </c>
      <c r="E5634" t="str">
        <f>IFERROR(__xludf.DUMMYFUNCTION("""COMPUTED_VALUE"""),"98/2")</f>
        <v>98/2</v>
      </c>
    </row>
    <row r="5635" ht="15.75" customHeight="1">
      <c r="A5635" t="str">
        <f t="shared" si="1"/>
        <v>S.solfataricus</v>
      </c>
      <c r="B5635" s="5" t="s">
        <v>33337</v>
      </c>
      <c r="C5635" s="6" t="str">
        <f>IFERROR(__xludf.DUMMYFUNCTION("SPLIT('2. c'!B5635, "" "", True, True)"),"Sulfolobus")</f>
        <v>Sulfolobus</v>
      </c>
      <c r="D5635" t="str">
        <f>IFERROR(__xludf.DUMMYFUNCTION("""COMPUTED_VALUE"""),"solfataricus")</f>
        <v>solfataricus</v>
      </c>
      <c r="E5635" t="str">
        <f>IFERROR(__xludf.DUMMYFUNCTION("""COMPUTED_VALUE"""),"P2")</f>
        <v>P2</v>
      </c>
    </row>
    <row r="5636" ht="15.75" customHeight="1">
      <c r="A5636" t="str">
        <f t="shared" si="1"/>
        <v>S.solfataricus</v>
      </c>
      <c r="B5636" s="5" t="s">
        <v>33338</v>
      </c>
      <c r="C5636" s="6" t="str">
        <f>IFERROR(__xludf.DUMMYFUNCTION("SPLIT('2. c'!B5636, "" "", True, True)"),"Sulfolobus")</f>
        <v>Sulfolobus</v>
      </c>
      <c r="D5636" t="str">
        <f>IFERROR(__xludf.DUMMYFUNCTION("""COMPUTED_VALUE"""),"solfataricus")</f>
        <v>solfataricus</v>
      </c>
      <c r="E5636" t="str">
        <f>IFERROR(__xludf.DUMMYFUNCTION("""COMPUTED_VALUE"""),"strain")</f>
        <v>strain</v>
      </c>
      <c r="F5636" t="str">
        <f>IFERROR(__xludf.DUMMYFUNCTION("""COMPUTED_VALUE"""),"98/2")</f>
        <v>98/2</v>
      </c>
      <c r="G5636" t="str">
        <f>IFERROR(__xludf.DUMMYFUNCTION("""COMPUTED_VALUE"""),"SULC")</f>
        <v>SULC</v>
      </c>
    </row>
    <row r="5637" ht="15.75" customHeight="1">
      <c r="A5637" t="str">
        <f t="shared" si="1"/>
        <v>S.solfataricus</v>
      </c>
      <c r="B5637" s="5" t="s">
        <v>33339</v>
      </c>
      <c r="C5637" s="6" t="str">
        <f>IFERROR(__xludf.DUMMYFUNCTION("SPLIT('2. c'!B5637, "" "", True, True)"),"Sulfolobus")</f>
        <v>Sulfolobus</v>
      </c>
      <c r="D5637" t="str">
        <f>IFERROR(__xludf.DUMMYFUNCTION("""COMPUTED_VALUE"""),"solfataricus")</f>
        <v>solfataricus</v>
      </c>
      <c r="E5637" t="str">
        <f>IFERROR(__xludf.DUMMYFUNCTION("""COMPUTED_VALUE"""),"strain")</f>
        <v>strain</v>
      </c>
      <c r="F5637" t="str">
        <f>IFERROR(__xludf.DUMMYFUNCTION("""COMPUTED_VALUE"""),"P1")</f>
        <v>P1</v>
      </c>
    </row>
    <row r="5638" ht="15.75" customHeight="1">
      <c r="A5638" t="str">
        <f t="shared" si="1"/>
        <v>S.solfataricus</v>
      </c>
      <c r="B5638" s="5" t="s">
        <v>33340</v>
      </c>
      <c r="C5638" s="6" t="str">
        <f>IFERROR(__xludf.DUMMYFUNCTION("SPLIT('2. c'!B5638, "" "", True, True)"),"Sulfolobus")</f>
        <v>Sulfolobus</v>
      </c>
      <c r="D5638" t="str">
        <f>IFERROR(__xludf.DUMMYFUNCTION("""COMPUTED_VALUE"""),"solfataricus")</f>
        <v>solfataricus</v>
      </c>
      <c r="E5638" t="str">
        <f>IFERROR(__xludf.DUMMYFUNCTION("""COMPUTED_VALUE"""),"strain")</f>
        <v>strain</v>
      </c>
      <c r="F5638" t="str">
        <f>IFERROR(__xludf.DUMMYFUNCTION("""COMPUTED_VALUE"""),"SULA")</f>
        <v>SULA</v>
      </c>
    </row>
    <row r="5639" ht="15.75" customHeight="1">
      <c r="A5639" t="str">
        <f t="shared" si="1"/>
        <v>S.solfataricus</v>
      </c>
      <c r="B5639" s="5" t="s">
        <v>33341</v>
      </c>
      <c r="C5639" s="6" t="str">
        <f>IFERROR(__xludf.DUMMYFUNCTION("SPLIT('2. c'!B5639, "" "", True, True)"),"Sulfolobus")</f>
        <v>Sulfolobus</v>
      </c>
      <c r="D5639" t="str">
        <f>IFERROR(__xludf.DUMMYFUNCTION("""COMPUTED_VALUE"""),"solfataricus")</f>
        <v>solfataricus</v>
      </c>
      <c r="E5639" t="str">
        <f>IFERROR(__xludf.DUMMYFUNCTION("""COMPUTED_VALUE"""),"strain")</f>
        <v>strain</v>
      </c>
      <c r="F5639" t="str">
        <f>IFERROR(__xludf.DUMMYFUNCTION("""COMPUTED_VALUE"""),"SULB")</f>
        <v>SULB</v>
      </c>
    </row>
    <row r="5640" ht="15.75" customHeight="1">
      <c r="A5640" t="str">
        <f t="shared" si="1"/>
        <v>S.tokodaii</v>
      </c>
      <c r="B5640" s="5" t="s">
        <v>33342</v>
      </c>
      <c r="C5640" s="6" t="str">
        <f>IFERROR(__xludf.DUMMYFUNCTION("SPLIT('2. c'!B5640, "" "", True, True)"),"Sulfolobus")</f>
        <v>Sulfolobus</v>
      </c>
      <c r="D5640" t="str">
        <f>IFERROR(__xludf.DUMMYFUNCTION("""COMPUTED_VALUE"""),"tokodaii")</f>
        <v>tokodaii</v>
      </c>
      <c r="E5640" t="str">
        <f>IFERROR(__xludf.DUMMYFUNCTION("""COMPUTED_VALUE"""),"str.")</f>
        <v>str.</v>
      </c>
      <c r="F5640">
        <f>IFERROR(__xludf.DUMMYFUNCTION("""COMPUTED_VALUE"""),7.0)</f>
        <v>7</v>
      </c>
    </row>
    <row r="5641" ht="15.75" customHeight="1">
      <c r="A5641" t="str">
        <f t="shared" si="1"/>
        <v>S.kujiense</v>
      </c>
      <c r="B5641" s="5" t="s">
        <v>33343</v>
      </c>
      <c r="C5641" s="6" t="str">
        <f>IFERROR(__xludf.DUMMYFUNCTION("SPLIT('2. c'!B5641, "" "", True, True)"),"Sulfuricurvum")</f>
        <v>Sulfuricurvum</v>
      </c>
      <c r="D5641" t="str">
        <f>IFERROR(__xludf.DUMMYFUNCTION("""COMPUTED_VALUE"""),"kujiense")</f>
        <v>kujiense</v>
      </c>
      <c r="E5641" t="str">
        <f>IFERROR(__xludf.DUMMYFUNCTION("""COMPUTED_VALUE"""),"DSM")</f>
        <v>DSM</v>
      </c>
      <c r="F5641">
        <f>IFERROR(__xludf.DUMMYFUNCTION("""COMPUTED_VALUE"""),16994.0)</f>
        <v>16994</v>
      </c>
    </row>
    <row r="5642" ht="15.75" customHeight="1">
      <c r="A5642" t="str">
        <f t="shared" si="1"/>
        <v>S.azorense</v>
      </c>
      <c r="B5642" s="5" t="s">
        <v>33344</v>
      </c>
      <c r="C5642" s="6" t="str">
        <f>IFERROR(__xludf.DUMMYFUNCTION("SPLIT('2. c'!B5642, "" "", True, True)"),"Sulfurihydrogenibium")</f>
        <v>Sulfurihydrogenibium</v>
      </c>
      <c r="D5642" t="str">
        <f>IFERROR(__xludf.DUMMYFUNCTION("""COMPUTED_VALUE"""),"azorense")</f>
        <v>azorense</v>
      </c>
      <c r="E5642" t="str">
        <f>IFERROR(__xludf.DUMMYFUNCTION("""COMPUTED_VALUE"""),"Az-Fu1")</f>
        <v>Az-Fu1</v>
      </c>
    </row>
    <row r="5643" ht="15.75" customHeight="1">
      <c r="A5643" t="str">
        <f t="shared" si="1"/>
        <v>S.sp.</v>
      </c>
      <c r="B5643" s="5" t="s">
        <v>33345</v>
      </c>
      <c r="C5643" s="6" t="str">
        <f>IFERROR(__xludf.DUMMYFUNCTION("SPLIT('2. c'!B5643, "" "", True, True)"),"Sulfurihydrogenibium")</f>
        <v>Sulfurihydrogenibium</v>
      </c>
      <c r="D5643" t="str">
        <f>IFERROR(__xludf.DUMMYFUNCTION("""COMPUTED_VALUE"""),"sp.")</f>
        <v>sp.</v>
      </c>
      <c r="E5643" t="str">
        <f>IFERROR(__xludf.DUMMYFUNCTION("""COMPUTED_VALUE"""),"YO3AOP1")</f>
        <v>YO3AOP1</v>
      </c>
    </row>
    <row r="5644" ht="15.75" customHeight="1">
      <c r="A5644" t="str">
        <f t="shared" si="1"/>
        <v>S.autotrophica</v>
      </c>
      <c r="B5644" s="5" t="s">
        <v>33346</v>
      </c>
      <c r="C5644" s="6" t="str">
        <f>IFERROR(__xludf.DUMMYFUNCTION("SPLIT('2. c'!B5644, "" "", True, True)"),"Sulfurimonas")</f>
        <v>Sulfurimonas</v>
      </c>
      <c r="D5644" t="str">
        <f>IFERROR(__xludf.DUMMYFUNCTION("""COMPUTED_VALUE"""),"autotrophica")</f>
        <v>autotrophica</v>
      </c>
      <c r="E5644" t="str">
        <f>IFERROR(__xludf.DUMMYFUNCTION("""COMPUTED_VALUE"""),"DSM")</f>
        <v>DSM</v>
      </c>
      <c r="F5644">
        <f>IFERROR(__xludf.DUMMYFUNCTION("""COMPUTED_VALUE"""),16294.0)</f>
        <v>16294</v>
      </c>
    </row>
    <row r="5645" ht="15.75" customHeight="1">
      <c r="A5645" t="str">
        <f t="shared" si="1"/>
        <v>S.denitrificans</v>
      </c>
      <c r="B5645" s="5" t="s">
        <v>33347</v>
      </c>
      <c r="C5645" s="6" t="str">
        <f>IFERROR(__xludf.DUMMYFUNCTION("SPLIT('2. c'!B5645, "" "", True, True)"),"Sulfurimonas")</f>
        <v>Sulfurimonas</v>
      </c>
      <c r="D5645" t="str">
        <f>IFERROR(__xludf.DUMMYFUNCTION("""COMPUTED_VALUE"""),"denitrificans")</f>
        <v>denitrificans</v>
      </c>
      <c r="E5645" t="str">
        <f>IFERROR(__xludf.DUMMYFUNCTION("""COMPUTED_VALUE"""),"DSM")</f>
        <v>DSM</v>
      </c>
      <c r="F5645">
        <f>IFERROR(__xludf.DUMMYFUNCTION("""COMPUTED_VALUE"""),1251.0)</f>
        <v>1251</v>
      </c>
    </row>
    <row r="5646" ht="15.75" customHeight="1">
      <c r="A5646" t="str">
        <f t="shared" si="1"/>
        <v>S.hydrogenivorans</v>
      </c>
      <c r="B5646" s="5" t="s">
        <v>33348</v>
      </c>
      <c r="C5646" s="6" t="str">
        <f>IFERROR(__xludf.DUMMYFUNCTION("SPLIT('2. c'!B5646, "" "", True, True)"),"Sulfuritalea")</f>
        <v>Sulfuritalea</v>
      </c>
      <c r="D5646" t="str">
        <f>IFERROR(__xludf.DUMMYFUNCTION("""COMPUTED_VALUE"""),"hydrogenivorans")</f>
        <v>hydrogenivorans</v>
      </c>
      <c r="E5646" t="str">
        <f>IFERROR(__xludf.DUMMYFUNCTION("""COMPUTED_VALUE"""),"sk43H")</f>
        <v>sk43H</v>
      </c>
      <c r="F5646" t="str">
        <f>IFERROR(__xludf.DUMMYFUNCTION("""COMPUTED_VALUE"""),"DSM22779")</f>
        <v>DSM22779</v>
      </c>
    </row>
    <row r="5647" ht="15.75" customHeight="1">
      <c r="A5647" t="str">
        <f t="shared" si="1"/>
        <v>S.barnesii</v>
      </c>
      <c r="B5647" s="5" t="s">
        <v>33349</v>
      </c>
      <c r="C5647" s="6" t="str">
        <f>IFERROR(__xludf.DUMMYFUNCTION("SPLIT('2. c'!B5647, "" "", True, True)"),"Sulfurospirillum")</f>
        <v>Sulfurospirillum</v>
      </c>
      <c r="D5647" t="str">
        <f>IFERROR(__xludf.DUMMYFUNCTION("""COMPUTED_VALUE"""),"barnesii")</f>
        <v>barnesii</v>
      </c>
      <c r="E5647" t="str">
        <f>IFERROR(__xludf.DUMMYFUNCTION("""COMPUTED_VALUE"""),"SES-3")</f>
        <v>SES-3</v>
      </c>
    </row>
    <row r="5648" ht="15.75" customHeight="1">
      <c r="A5648" t="str">
        <f t="shared" si="1"/>
        <v>S.cavolei</v>
      </c>
      <c r="B5648" s="5" t="s">
        <v>33350</v>
      </c>
      <c r="C5648" s="6" t="str">
        <f>IFERROR(__xludf.DUMMYFUNCTION("SPLIT('2. c'!B5648, "" "", True, True)"),"Sulfurospirillum")</f>
        <v>Sulfurospirillum</v>
      </c>
      <c r="D5648" t="str">
        <f>IFERROR(__xludf.DUMMYFUNCTION("""COMPUTED_VALUE"""),"cavolei")</f>
        <v>cavolei</v>
      </c>
      <c r="E5648" t="str">
        <f>IFERROR(__xludf.DUMMYFUNCTION("""COMPUTED_VALUE"""),"strain")</f>
        <v>strain</v>
      </c>
      <c r="F5648" t="str">
        <f>IFERROR(__xludf.DUMMYFUNCTION("""COMPUTED_VALUE"""),"UCH003")</f>
        <v>UCH003</v>
      </c>
    </row>
    <row r="5649" ht="15.75" customHeight="1">
      <c r="A5649" t="str">
        <f t="shared" si="1"/>
        <v>S.deleyianum</v>
      </c>
      <c r="B5649" s="5" t="s">
        <v>33351</v>
      </c>
      <c r="C5649" s="6" t="str">
        <f>IFERROR(__xludf.DUMMYFUNCTION("SPLIT('2. c'!B5649, "" "", True, True)"),"Sulfurospirillum")</f>
        <v>Sulfurospirillum</v>
      </c>
      <c r="D5649" t="str">
        <f>IFERROR(__xludf.DUMMYFUNCTION("""COMPUTED_VALUE"""),"deleyianum")</f>
        <v>deleyianum</v>
      </c>
      <c r="E5649" t="str">
        <f>IFERROR(__xludf.DUMMYFUNCTION("""COMPUTED_VALUE"""),"DSM")</f>
        <v>DSM</v>
      </c>
      <c r="F5649">
        <f>IFERROR(__xludf.DUMMYFUNCTION("""COMPUTED_VALUE"""),6946.0)</f>
        <v>6946</v>
      </c>
    </row>
    <row r="5650" ht="15.75" customHeight="1">
      <c r="A5650" t="str">
        <f t="shared" si="1"/>
        <v>S.multivorans</v>
      </c>
      <c r="B5650" s="5" t="s">
        <v>33352</v>
      </c>
      <c r="C5650" s="6" t="str">
        <f>IFERROR(__xludf.DUMMYFUNCTION("SPLIT('2. c'!B5650, "" "", True, True)"),"Sulfurospirillum")</f>
        <v>Sulfurospirillum</v>
      </c>
      <c r="D5650" t="str">
        <f>IFERROR(__xludf.DUMMYFUNCTION("""COMPUTED_VALUE"""),"multivorans")</f>
        <v>multivorans</v>
      </c>
      <c r="E5650" t="str">
        <f>IFERROR(__xludf.DUMMYFUNCTION("""COMPUTED_VALUE"""),"DSM")</f>
        <v>DSM</v>
      </c>
      <c r="F5650">
        <f>IFERROR(__xludf.DUMMYFUNCTION("""COMPUTED_VALUE"""),12446.0)</f>
        <v>12446</v>
      </c>
    </row>
    <row r="5651" ht="15.75" customHeight="1">
      <c r="A5651" t="str">
        <f t="shared" si="1"/>
        <v>S.sp.</v>
      </c>
      <c r="B5651" s="5" t="s">
        <v>33353</v>
      </c>
      <c r="C5651" s="6" t="str">
        <f>IFERROR(__xludf.DUMMYFUNCTION("SPLIT('2. c'!B5651, "" "", True, True)"),"Sulfurospirillum")</f>
        <v>Sulfurospirillum</v>
      </c>
      <c r="D5651" t="str">
        <f>IFERROR(__xludf.DUMMYFUNCTION("""COMPUTED_VALUE"""),"sp.")</f>
        <v>sp.</v>
      </c>
      <c r="E5651" t="str">
        <f>IFERROR(__xludf.DUMMYFUNCTION("""COMPUTED_VALUE"""),"UCH001")</f>
        <v>UCH001</v>
      </c>
    </row>
    <row r="5652" ht="15.75" customHeight="1">
      <c r="A5652" t="str">
        <f t="shared" si="1"/>
        <v>S.lithotrophicum</v>
      </c>
      <c r="B5652" s="5" t="s">
        <v>33354</v>
      </c>
      <c r="C5652" s="6" t="str">
        <f>IFERROR(__xludf.DUMMYFUNCTION("SPLIT('2. c'!B5652, "" "", True, True)"),"Sulfurovum")</f>
        <v>Sulfurovum</v>
      </c>
      <c r="D5652" t="str">
        <f>IFERROR(__xludf.DUMMYFUNCTION("""COMPUTED_VALUE"""),"lithotrophicum")</f>
        <v>lithotrophicum</v>
      </c>
      <c r="E5652" t="str">
        <f>IFERROR(__xludf.DUMMYFUNCTION("""COMPUTED_VALUE"""),"strain")</f>
        <v>strain</v>
      </c>
      <c r="F5652" t="str">
        <f>IFERROR(__xludf.DUMMYFUNCTION("""COMPUTED_VALUE"""),"ATCC")</f>
        <v>ATCC</v>
      </c>
      <c r="G5652" t="str">
        <f>IFERROR(__xludf.DUMMYFUNCTION("""COMPUTED_VALUE"""),"BAA-797")</f>
        <v>BAA-797</v>
      </c>
    </row>
    <row r="5653" ht="15.75" customHeight="1">
      <c r="A5653" t="str">
        <f t="shared" si="1"/>
        <v>S.sp.</v>
      </c>
      <c r="B5653" s="5" t="s">
        <v>33355</v>
      </c>
      <c r="C5653" s="6" t="str">
        <f>IFERROR(__xludf.DUMMYFUNCTION("SPLIT('2. c'!B5653, "" "", True, True)"),"Sulfurovum")</f>
        <v>Sulfurovum</v>
      </c>
      <c r="D5653" t="str">
        <f>IFERROR(__xludf.DUMMYFUNCTION("""COMPUTED_VALUE"""),"sp.")</f>
        <v>sp.</v>
      </c>
      <c r="E5653" t="str">
        <f>IFERROR(__xludf.DUMMYFUNCTION("""COMPUTED_VALUE"""),"NBC37-1")</f>
        <v>NBC37-1</v>
      </c>
    </row>
    <row r="5654" ht="15.75" customHeight="1">
      <c r="A5654" t="str">
        <f t="shared" si="1"/>
        <v>S.thermophilum</v>
      </c>
      <c r="B5654" s="5" t="s">
        <v>33356</v>
      </c>
      <c r="C5654" s="6" t="str">
        <f>IFERROR(__xludf.DUMMYFUNCTION("SPLIT('2. c'!B5654, "" "", True, True)"),"Symbiobacterium")</f>
        <v>Symbiobacterium</v>
      </c>
      <c r="D5654" t="str">
        <f>IFERROR(__xludf.DUMMYFUNCTION("""COMPUTED_VALUE"""),"thermophilum")</f>
        <v>thermophilum</v>
      </c>
      <c r="E5654" t="str">
        <f>IFERROR(__xludf.DUMMYFUNCTION("""COMPUTED_VALUE"""),"IAM")</f>
        <v>IAM</v>
      </c>
      <c r="F5654">
        <f>IFERROR(__xludf.DUMMYFUNCTION("""COMPUTED_VALUE"""),14863.0)</f>
        <v>14863</v>
      </c>
    </row>
    <row r="5655" ht="15.75" customHeight="1">
      <c r="A5655" t="str">
        <f t="shared" si="1"/>
        <v>s.bacterium</v>
      </c>
      <c r="B5655" s="5" t="s">
        <v>33357</v>
      </c>
      <c r="C5655" s="6" t="str">
        <f>IFERROR(__xludf.DUMMYFUNCTION("SPLIT('2. c'!B5655, "" "", True, True)"),"symbiont")</f>
        <v>symbiont</v>
      </c>
      <c r="D5655" t="str">
        <f>IFERROR(__xludf.DUMMYFUNCTION("""COMPUTED_VALUE"""),"bacterium")</f>
        <v>bacterium</v>
      </c>
      <c r="E5655" t="str">
        <f>IFERROR(__xludf.DUMMYFUNCTION("""COMPUTED_VALUE"""),"UwTKB")</f>
        <v>UwTKB</v>
      </c>
      <c r="F5655" t="str">
        <f>IFERROR(__xludf.DUMMYFUNCTION("""COMPUTED_VALUE"""),"of")</f>
        <v>of</v>
      </c>
      <c r="G5655" t="str">
        <f>IFERROR(__xludf.DUMMYFUNCTION("""COMPUTED_VALUE"""),"Urostylis")</f>
        <v>Urostylis</v>
      </c>
      <c r="H5655" t="str">
        <f>IFERROR(__xludf.DUMMYFUNCTION("""COMPUTED_VALUE"""),"westwoodii")</f>
        <v>westwoodii</v>
      </c>
    </row>
    <row r="5656" ht="15.75" customHeight="1">
      <c r="A5656" t="str">
        <f t="shared" si="1"/>
        <v>S.elongatus</v>
      </c>
      <c r="B5656" s="5" t="s">
        <v>33358</v>
      </c>
      <c r="C5656" s="6" t="str">
        <f>IFERROR(__xludf.DUMMYFUNCTION("SPLIT('2. c'!B5656, "" "", True, True)"),"Synechococcus")</f>
        <v>Synechococcus</v>
      </c>
      <c r="D5656" t="str">
        <f>IFERROR(__xludf.DUMMYFUNCTION("""COMPUTED_VALUE"""),"elongatus")</f>
        <v>elongatus</v>
      </c>
      <c r="E5656" t="str">
        <f>IFERROR(__xludf.DUMMYFUNCTION("""COMPUTED_VALUE"""),"PCC")</f>
        <v>PCC</v>
      </c>
      <c r="F5656">
        <f>IFERROR(__xludf.DUMMYFUNCTION("""COMPUTED_VALUE"""),6301.0)</f>
        <v>6301</v>
      </c>
    </row>
    <row r="5657" ht="15.75" customHeight="1">
      <c r="A5657" t="str">
        <f t="shared" si="1"/>
        <v>S.elongatus</v>
      </c>
      <c r="B5657" s="5" t="s">
        <v>33359</v>
      </c>
      <c r="C5657" s="6" t="str">
        <f>IFERROR(__xludf.DUMMYFUNCTION("SPLIT('2. c'!B5657, "" "", True, True)"),"Synechococcus")</f>
        <v>Synechococcus</v>
      </c>
      <c r="D5657" t="str">
        <f>IFERROR(__xludf.DUMMYFUNCTION("""COMPUTED_VALUE"""),"elongatus")</f>
        <v>elongatus</v>
      </c>
      <c r="E5657" t="str">
        <f>IFERROR(__xludf.DUMMYFUNCTION("""COMPUTED_VALUE"""),"PCC")</f>
        <v>PCC</v>
      </c>
      <c r="F5657">
        <f>IFERROR(__xludf.DUMMYFUNCTION("""COMPUTED_VALUE"""),7942.0)</f>
        <v>7942</v>
      </c>
    </row>
    <row r="5658" ht="15.75" customHeight="1">
      <c r="A5658" t="str">
        <f t="shared" si="1"/>
        <v>S.sp.</v>
      </c>
      <c r="B5658" s="5" t="s">
        <v>33360</v>
      </c>
      <c r="C5658" s="6" t="str">
        <f>IFERROR(__xludf.DUMMYFUNCTION("SPLIT('2. c'!B5658, "" "", True, True)"),"Synechococcus")</f>
        <v>Synechococcus</v>
      </c>
      <c r="D5658" t="str">
        <f>IFERROR(__xludf.DUMMYFUNCTION("""COMPUTED_VALUE"""),"sp.")</f>
        <v>sp.</v>
      </c>
      <c r="E5658" t="str">
        <f>IFERROR(__xludf.DUMMYFUNCTION("""COMPUTED_VALUE"""),"CC9311")</f>
        <v>CC9311</v>
      </c>
    </row>
    <row r="5659" ht="15.75" customHeight="1">
      <c r="A5659" t="str">
        <f t="shared" si="1"/>
        <v>S.sp.</v>
      </c>
      <c r="B5659" s="5" t="s">
        <v>33361</v>
      </c>
      <c r="C5659" s="6" t="str">
        <f>IFERROR(__xludf.DUMMYFUNCTION("SPLIT('2. c'!B5659, "" "", True, True)"),"Synechococcus")</f>
        <v>Synechococcus</v>
      </c>
      <c r="D5659" t="str">
        <f>IFERROR(__xludf.DUMMYFUNCTION("""COMPUTED_VALUE"""),"sp.")</f>
        <v>sp.</v>
      </c>
      <c r="E5659" t="str">
        <f>IFERROR(__xludf.DUMMYFUNCTION("""COMPUTED_VALUE"""),"CC9605")</f>
        <v>CC9605</v>
      </c>
    </row>
    <row r="5660" ht="15.75" customHeight="1">
      <c r="A5660" t="str">
        <f t="shared" si="1"/>
        <v>S.sp.</v>
      </c>
      <c r="B5660" s="5" t="s">
        <v>33362</v>
      </c>
      <c r="C5660" s="6" t="str">
        <f>IFERROR(__xludf.DUMMYFUNCTION("SPLIT('2. c'!B5660, "" "", True, True)"),"Synechococcus")</f>
        <v>Synechococcus</v>
      </c>
      <c r="D5660" t="str">
        <f>IFERROR(__xludf.DUMMYFUNCTION("""COMPUTED_VALUE"""),"sp.")</f>
        <v>sp.</v>
      </c>
      <c r="E5660" t="str">
        <f>IFERROR(__xludf.DUMMYFUNCTION("""COMPUTED_VALUE"""),"CC9902")</f>
        <v>CC9902</v>
      </c>
    </row>
    <row r="5661" ht="15.75" customHeight="1">
      <c r="A5661" t="str">
        <f t="shared" si="1"/>
        <v>S.sp.</v>
      </c>
      <c r="B5661" s="5" t="s">
        <v>33363</v>
      </c>
      <c r="C5661" s="6" t="str">
        <f>IFERROR(__xludf.DUMMYFUNCTION("SPLIT('2. c'!B5661, "" "", True, True)"),"Synechococcus")</f>
        <v>Synechococcus</v>
      </c>
      <c r="D5661" t="str">
        <f>IFERROR(__xludf.DUMMYFUNCTION("""COMPUTED_VALUE"""),"sp.")</f>
        <v>sp.</v>
      </c>
      <c r="E5661" t="str">
        <f>IFERROR(__xludf.DUMMYFUNCTION("""COMPUTED_VALUE"""),"JA-2-3B'a(2-13)")</f>
        <v>JA-2-3B'a(2-13)</v>
      </c>
    </row>
    <row r="5662" ht="15.75" customHeight="1">
      <c r="A5662" t="str">
        <f t="shared" si="1"/>
        <v>S.sp.</v>
      </c>
      <c r="B5662" s="5" t="s">
        <v>33364</v>
      </c>
      <c r="C5662" s="6" t="str">
        <f>IFERROR(__xludf.DUMMYFUNCTION("SPLIT('2. c'!B5662, "" "", True, True)"),"Synechococcus")</f>
        <v>Synechococcus</v>
      </c>
      <c r="D5662" t="str">
        <f>IFERROR(__xludf.DUMMYFUNCTION("""COMPUTED_VALUE"""),"sp.")</f>
        <v>sp.</v>
      </c>
      <c r="E5662" t="str">
        <f>IFERROR(__xludf.DUMMYFUNCTION("""COMPUTED_VALUE"""),"JA-3-3Ab")</f>
        <v>JA-3-3Ab</v>
      </c>
    </row>
    <row r="5663" ht="15.75" customHeight="1">
      <c r="A5663" t="str">
        <f t="shared" si="1"/>
        <v>S.sp.</v>
      </c>
      <c r="B5663" s="5" t="s">
        <v>33365</v>
      </c>
      <c r="C5663" s="6" t="str">
        <f>IFERROR(__xludf.DUMMYFUNCTION("SPLIT('2. c'!B5663, "" "", True, True)"),"Synechococcus")</f>
        <v>Synechococcus</v>
      </c>
      <c r="D5663" t="str">
        <f>IFERROR(__xludf.DUMMYFUNCTION("""COMPUTED_VALUE"""),"sp.")</f>
        <v>sp.</v>
      </c>
      <c r="E5663" t="str">
        <f>IFERROR(__xludf.DUMMYFUNCTION("""COMPUTED_VALUE"""),"KORDI-100")</f>
        <v>KORDI-100</v>
      </c>
    </row>
    <row r="5664" ht="15.75" customHeight="1">
      <c r="A5664" t="str">
        <f t="shared" si="1"/>
        <v>S.sp.</v>
      </c>
      <c r="B5664" s="5" t="s">
        <v>33366</v>
      </c>
      <c r="C5664" s="6" t="str">
        <f>IFERROR(__xludf.DUMMYFUNCTION("SPLIT('2. c'!B5664, "" "", True, True)"),"Synechococcus")</f>
        <v>Synechococcus</v>
      </c>
      <c r="D5664" t="str">
        <f>IFERROR(__xludf.DUMMYFUNCTION("""COMPUTED_VALUE"""),"sp.")</f>
        <v>sp.</v>
      </c>
      <c r="E5664" t="str">
        <f>IFERROR(__xludf.DUMMYFUNCTION("""COMPUTED_VALUE"""),"KORDI-49")</f>
        <v>KORDI-49</v>
      </c>
    </row>
    <row r="5665" ht="15.75" customHeight="1">
      <c r="A5665" t="str">
        <f t="shared" si="1"/>
        <v>S.sp.</v>
      </c>
      <c r="B5665" s="5" t="s">
        <v>33367</v>
      </c>
      <c r="C5665" s="6" t="str">
        <f>IFERROR(__xludf.DUMMYFUNCTION("SPLIT('2. c'!B5665, "" "", True, True)"),"Synechococcus")</f>
        <v>Synechococcus</v>
      </c>
      <c r="D5665" t="str">
        <f>IFERROR(__xludf.DUMMYFUNCTION("""COMPUTED_VALUE"""),"sp.")</f>
        <v>sp.</v>
      </c>
      <c r="E5665" t="str">
        <f>IFERROR(__xludf.DUMMYFUNCTION("""COMPUTED_VALUE"""),"KORDI-52")</f>
        <v>KORDI-52</v>
      </c>
    </row>
    <row r="5666" ht="15.75" customHeight="1">
      <c r="A5666" t="str">
        <f t="shared" si="1"/>
        <v>S.sp.</v>
      </c>
      <c r="B5666" s="5" t="s">
        <v>33368</v>
      </c>
      <c r="C5666" s="6" t="str">
        <f>IFERROR(__xludf.DUMMYFUNCTION("SPLIT('2. c'!B5666, "" "", True, True)"),"Synechococcus")</f>
        <v>Synechococcus</v>
      </c>
      <c r="D5666" t="str">
        <f>IFERROR(__xludf.DUMMYFUNCTION("""COMPUTED_VALUE"""),"sp.")</f>
        <v>sp.</v>
      </c>
      <c r="E5666" t="str">
        <f>IFERROR(__xludf.DUMMYFUNCTION("""COMPUTED_VALUE"""),"PCC")</f>
        <v>PCC</v>
      </c>
      <c r="F5666">
        <f>IFERROR(__xludf.DUMMYFUNCTION("""COMPUTED_VALUE"""),6312.0)</f>
        <v>6312</v>
      </c>
    </row>
    <row r="5667" ht="15.75" customHeight="1">
      <c r="A5667" t="str">
        <f t="shared" si="1"/>
        <v>S.sp.</v>
      </c>
      <c r="B5667" s="5" t="s">
        <v>33369</v>
      </c>
      <c r="C5667" s="6" t="str">
        <f>IFERROR(__xludf.DUMMYFUNCTION("SPLIT('2. c'!B5667, "" "", True, True)"),"Synechococcus")</f>
        <v>Synechococcus</v>
      </c>
      <c r="D5667" t="str">
        <f>IFERROR(__xludf.DUMMYFUNCTION("""COMPUTED_VALUE"""),"sp.")</f>
        <v>sp.</v>
      </c>
      <c r="E5667" t="str">
        <f>IFERROR(__xludf.DUMMYFUNCTION("""COMPUTED_VALUE"""),"PCC")</f>
        <v>PCC</v>
      </c>
      <c r="F5667">
        <f>IFERROR(__xludf.DUMMYFUNCTION("""COMPUTED_VALUE"""),7002.0)</f>
        <v>7002</v>
      </c>
    </row>
    <row r="5668" ht="15.75" customHeight="1">
      <c r="A5668" t="str">
        <f t="shared" si="1"/>
        <v>S.sp.</v>
      </c>
      <c r="B5668" s="5" t="s">
        <v>33370</v>
      </c>
      <c r="C5668" s="6" t="str">
        <f>IFERROR(__xludf.DUMMYFUNCTION("SPLIT('2. c'!B5668, "" "", True, True)"),"Synechococcus")</f>
        <v>Synechococcus</v>
      </c>
      <c r="D5668" t="str">
        <f>IFERROR(__xludf.DUMMYFUNCTION("""COMPUTED_VALUE"""),"sp.")</f>
        <v>sp.</v>
      </c>
      <c r="E5668" t="str">
        <f>IFERROR(__xludf.DUMMYFUNCTION("""COMPUTED_VALUE"""),"PCC")</f>
        <v>PCC</v>
      </c>
      <c r="F5668">
        <f>IFERROR(__xludf.DUMMYFUNCTION("""COMPUTED_VALUE"""),73109.0)</f>
        <v>73109</v>
      </c>
    </row>
    <row r="5669" ht="15.75" customHeight="1">
      <c r="A5669" t="str">
        <f t="shared" si="1"/>
        <v>S.sp.</v>
      </c>
      <c r="B5669" s="5" t="s">
        <v>33371</v>
      </c>
      <c r="C5669" s="6" t="str">
        <f>IFERROR(__xludf.DUMMYFUNCTION("SPLIT('2. c'!B5669, "" "", True, True)"),"Synechococcus")</f>
        <v>Synechococcus</v>
      </c>
      <c r="D5669" t="str">
        <f>IFERROR(__xludf.DUMMYFUNCTION("""COMPUTED_VALUE"""),"sp.")</f>
        <v>sp.</v>
      </c>
      <c r="E5669" t="str">
        <f>IFERROR(__xludf.DUMMYFUNCTION("""COMPUTED_VALUE"""),"PCC")</f>
        <v>PCC</v>
      </c>
      <c r="F5669">
        <f>IFERROR(__xludf.DUMMYFUNCTION("""COMPUTED_VALUE"""),7502.0)</f>
        <v>7502</v>
      </c>
    </row>
    <row r="5670" ht="15.75" customHeight="1">
      <c r="A5670" t="str">
        <f t="shared" si="1"/>
        <v>S.sp.</v>
      </c>
      <c r="B5670" s="5" t="s">
        <v>33372</v>
      </c>
      <c r="C5670" s="6" t="str">
        <f>IFERROR(__xludf.DUMMYFUNCTION("SPLIT('2. c'!B5670, "" "", True, True)"),"Synechococcus")</f>
        <v>Synechococcus</v>
      </c>
      <c r="D5670" t="str">
        <f>IFERROR(__xludf.DUMMYFUNCTION("""COMPUTED_VALUE"""),"sp.")</f>
        <v>sp.</v>
      </c>
      <c r="E5670" t="str">
        <f>IFERROR(__xludf.DUMMYFUNCTION("""COMPUTED_VALUE"""),"RCC307")</f>
        <v>RCC307</v>
      </c>
    </row>
    <row r="5671" ht="15.75" customHeight="1">
      <c r="A5671" t="str">
        <f t="shared" si="1"/>
        <v>S.sp.</v>
      </c>
      <c r="B5671" s="5" t="s">
        <v>33373</v>
      </c>
      <c r="C5671" s="6" t="str">
        <f>IFERROR(__xludf.DUMMYFUNCTION("SPLIT('2. c'!B5671, "" "", True, True)"),"Synechococcus")</f>
        <v>Synechococcus</v>
      </c>
      <c r="D5671" t="str">
        <f>IFERROR(__xludf.DUMMYFUNCTION("""COMPUTED_VALUE"""),"sp.")</f>
        <v>sp.</v>
      </c>
      <c r="E5671" t="str">
        <f>IFERROR(__xludf.DUMMYFUNCTION("""COMPUTED_VALUE"""),"UTEX")</f>
        <v>UTEX</v>
      </c>
      <c r="F5671">
        <f>IFERROR(__xludf.DUMMYFUNCTION("""COMPUTED_VALUE"""),2973.0)</f>
        <v>2973</v>
      </c>
    </row>
    <row r="5672" ht="15.75" customHeight="1">
      <c r="A5672" t="str">
        <f t="shared" si="1"/>
        <v>S.sp.</v>
      </c>
      <c r="B5672" s="5" t="s">
        <v>33374</v>
      </c>
      <c r="C5672" s="6" t="str">
        <f>IFERROR(__xludf.DUMMYFUNCTION("SPLIT('2. c'!B5672, "" "", True, True)"),"Synechococcus")</f>
        <v>Synechococcus</v>
      </c>
      <c r="D5672" t="str">
        <f>IFERROR(__xludf.DUMMYFUNCTION("""COMPUTED_VALUE"""),"sp.")</f>
        <v>sp.</v>
      </c>
      <c r="E5672" t="str">
        <f>IFERROR(__xludf.DUMMYFUNCTION("""COMPUTED_VALUE"""),"WH")</f>
        <v>WH</v>
      </c>
      <c r="F5672">
        <f>IFERROR(__xludf.DUMMYFUNCTION("""COMPUTED_VALUE"""),7803.0)</f>
        <v>7803</v>
      </c>
    </row>
    <row r="5673" ht="15.75" customHeight="1">
      <c r="A5673" t="str">
        <f t="shared" si="1"/>
        <v>S.sp.</v>
      </c>
      <c r="B5673" s="5" t="s">
        <v>33375</v>
      </c>
      <c r="C5673" s="6" t="str">
        <f>IFERROR(__xludf.DUMMYFUNCTION("SPLIT('2. c'!B5673, "" "", True, True)"),"Synechococcus")</f>
        <v>Synechococcus</v>
      </c>
      <c r="D5673" t="str">
        <f>IFERROR(__xludf.DUMMYFUNCTION("""COMPUTED_VALUE"""),"sp.")</f>
        <v>sp.</v>
      </c>
      <c r="E5673" t="str">
        <f>IFERROR(__xludf.DUMMYFUNCTION("""COMPUTED_VALUE"""),"WH")</f>
        <v>WH</v>
      </c>
      <c r="F5673">
        <f>IFERROR(__xludf.DUMMYFUNCTION("""COMPUTED_VALUE"""),8020.0)</f>
        <v>8020</v>
      </c>
    </row>
    <row r="5674" ht="15.75" customHeight="1">
      <c r="A5674" t="str">
        <f t="shared" si="1"/>
        <v>S.sp.</v>
      </c>
      <c r="B5674" s="5" t="s">
        <v>33376</v>
      </c>
      <c r="C5674" s="6" t="str">
        <f>IFERROR(__xludf.DUMMYFUNCTION("SPLIT('2. c'!B5674, "" "", True, True)"),"Synechococcus")</f>
        <v>Synechococcus</v>
      </c>
      <c r="D5674" t="str">
        <f>IFERROR(__xludf.DUMMYFUNCTION("""COMPUTED_VALUE"""),"sp.")</f>
        <v>sp.</v>
      </c>
      <c r="E5674" t="str">
        <f>IFERROR(__xludf.DUMMYFUNCTION("""COMPUTED_VALUE"""),"WH")</f>
        <v>WH</v>
      </c>
      <c r="F5674">
        <f>IFERROR(__xludf.DUMMYFUNCTION("""COMPUTED_VALUE"""),8102.0)</f>
        <v>8102</v>
      </c>
    </row>
    <row r="5675" ht="15.75" customHeight="1">
      <c r="A5675" t="str">
        <f t="shared" si="1"/>
        <v>S.sp.</v>
      </c>
      <c r="B5675" s="5" t="s">
        <v>33377</v>
      </c>
      <c r="C5675" s="6" t="str">
        <f>IFERROR(__xludf.DUMMYFUNCTION("SPLIT('2. c'!B5675, "" "", True, True)"),"Synechococcus")</f>
        <v>Synechococcus</v>
      </c>
      <c r="D5675" t="str">
        <f>IFERROR(__xludf.DUMMYFUNCTION("""COMPUTED_VALUE"""),"sp.")</f>
        <v>sp.</v>
      </c>
      <c r="E5675" t="str">
        <f>IFERROR(__xludf.DUMMYFUNCTION("""COMPUTED_VALUE"""),"WH")</f>
        <v>WH</v>
      </c>
      <c r="F5675">
        <f>IFERROR(__xludf.DUMMYFUNCTION("""COMPUTED_VALUE"""),8103.0)</f>
        <v>8103</v>
      </c>
    </row>
    <row r="5676" ht="15.75" customHeight="1">
      <c r="A5676" t="str">
        <f t="shared" si="1"/>
        <v>S.sp.</v>
      </c>
      <c r="B5676" s="5" t="s">
        <v>33378</v>
      </c>
      <c r="C5676" s="6" t="str">
        <f>IFERROR(__xludf.DUMMYFUNCTION("SPLIT('2. c'!B5676, "" "", True, True)"),"Synechocystis")</f>
        <v>Synechocystis</v>
      </c>
      <c r="D5676" t="str">
        <f>IFERROR(__xludf.DUMMYFUNCTION("""COMPUTED_VALUE"""),"sp.")</f>
        <v>sp.</v>
      </c>
      <c r="E5676" t="str">
        <f>IFERROR(__xludf.DUMMYFUNCTION("""COMPUTED_VALUE"""),"PCC")</f>
        <v>PCC</v>
      </c>
      <c r="F5676">
        <f>IFERROR(__xludf.DUMMYFUNCTION("""COMPUTED_VALUE"""),6803.0)</f>
        <v>6803</v>
      </c>
    </row>
    <row r="5677" ht="15.75" customHeight="1">
      <c r="A5677" t="str">
        <f t="shared" si="1"/>
        <v>S.sp.</v>
      </c>
      <c r="B5677" s="5" t="s">
        <v>33378</v>
      </c>
      <c r="C5677" s="6" t="str">
        <f>IFERROR(__xludf.DUMMYFUNCTION("SPLIT('2. c'!B5677, "" "", True, True)"),"Synechocystis")</f>
        <v>Synechocystis</v>
      </c>
      <c r="D5677" t="str">
        <f>IFERROR(__xludf.DUMMYFUNCTION("""COMPUTED_VALUE"""),"sp.")</f>
        <v>sp.</v>
      </c>
      <c r="E5677" t="str">
        <f>IFERROR(__xludf.DUMMYFUNCTION("""COMPUTED_VALUE"""),"PCC")</f>
        <v>PCC</v>
      </c>
      <c r="F5677">
        <f>IFERROR(__xludf.DUMMYFUNCTION("""COMPUTED_VALUE"""),6803.0)</f>
        <v>6803</v>
      </c>
    </row>
    <row r="5678" ht="15.75" customHeight="1">
      <c r="A5678" t="str">
        <f t="shared" si="1"/>
        <v>S.sp.</v>
      </c>
      <c r="B5678" s="5" t="s">
        <v>33378</v>
      </c>
      <c r="C5678" s="6" t="str">
        <f>IFERROR(__xludf.DUMMYFUNCTION("SPLIT('2. c'!B5678, "" "", True, True)"),"Synechocystis")</f>
        <v>Synechocystis</v>
      </c>
      <c r="D5678" t="str">
        <f>IFERROR(__xludf.DUMMYFUNCTION("""COMPUTED_VALUE"""),"sp.")</f>
        <v>sp.</v>
      </c>
      <c r="E5678" t="str">
        <f>IFERROR(__xludf.DUMMYFUNCTION("""COMPUTED_VALUE"""),"PCC")</f>
        <v>PCC</v>
      </c>
      <c r="F5678">
        <f>IFERROR(__xludf.DUMMYFUNCTION("""COMPUTED_VALUE"""),6803.0)</f>
        <v>6803</v>
      </c>
    </row>
    <row r="5679" ht="15.75" customHeight="1">
      <c r="A5679" t="str">
        <f t="shared" si="1"/>
        <v>S.sp.</v>
      </c>
      <c r="B5679" s="5" t="s">
        <v>33379</v>
      </c>
      <c r="C5679" s="6" t="str">
        <f>IFERROR(__xludf.DUMMYFUNCTION("SPLIT('2. c'!B5679, "" "", True, True)"),"Synechocystis")</f>
        <v>Synechocystis</v>
      </c>
      <c r="D5679" t="str">
        <f>IFERROR(__xludf.DUMMYFUNCTION("""COMPUTED_VALUE"""),"sp.")</f>
        <v>sp.</v>
      </c>
      <c r="E5679" t="str">
        <f>IFERROR(__xludf.DUMMYFUNCTION("""COMPUTED_VALUE"""),"PCC")</f>
        <v>PCC</v>
      </c>
      <c r="F5679">
        <f>IFERROR(__xludf.DUMMYFUNCTION("""COMPUTED_VALUE"""),6803.0)</f>
        <v>6803</v>
      </c>
      <c r="G5679" t="str">
        <f>IFERROR(__xludf.DUMMYFUNCTION("""COMPUTED_VALUE"""),"strain")</f>
        <v>strain</v>
      </c>
      <c r="H5679" t="str">
        <f>IFERROR(__xludf.DUMMYFUNCTION("""COMPUTED_VALUE"""),"GT-S")</f>
        <v>GT-S</v>
      </c>
    </row>
    <row r="5680" ht="15.75" customHeight="1">
      <c r="A5680" t="str">
        <f t="shared" si="1"/>
        <v>S.sp.</v>
      </c>
      <c r="B5680" s="5" t="s">
        <v>33380</v>
      </c>
      <c r="C5680" s="6" t="str">
        <f>IFERROR(__xludf.DUMMYFUNCTION("SPLIT('2. c'!B5680, "" "", True, True)"),"Synechocystis")</f>
        <v>Synechocystis</v>
      </c>
      <c r="D5680" t="str">
        <f>IFERROR(__xludf.DUMMYFUNCTION("""COMPUTED_VALUE"""),"sp.")</f>
        <v>sp.</v>
      </c>
      <c r="E5680" t="str">
        <f>IFERROR(__xludf.DUMMYFUNCTION("""COMPUTED_VALUE"""),"PCC")</f>
        <v>PCC</v>
      </c>
      <c r="F5680">
        <f>IFERROR(__xludf.DUMMYFUNCTION("""COMPUTED_VALUE"""),6803.0)</f>
        <v>6803</v>
      </c>
      <c r="G5680" t="str">
        <f>IFERROR(__xludf.DUMMYFUNCTION("""COMPUTED_VALUE"""),"substr.")</f>
        <v>substr.</v>
      </c>
      <c r="H5680" t="str">
        <f>IFERROR(__xludf.DUMMYFUNCTION("""COMPUTED_VALUE"""),"GT-I")</f>
        <v>GT-I</v>
      </c>
    </row>
    <row r="5681" ht="15.75" customHeight="1">
      <c r="A5681" t="str">
        <f t="shared" si="1"/>
        <v>S.sp.</v>
      </c>
      <c r="B5681" s="5" t="s">
        <v>33381</v>
      </c>
      <c r="C5681" s="6" t="str">
        <f>IFERROR(__xludf.DUMMYFUNCTION("SPLIT('2. c'!B5681, "" "", True, True)"),"Synechocystis")</f>
        <v>Synechocystis</v>
      </c>
      <c r="D5681" t="str">
        <f>IFERROR(__xludf.DUMMYFUNCTION("""COMPUTED_VALUE"""),"sp.")</f>
        <v>sp.</v>
      </c>
      <c r="E5681" t="str">
        <f>IFERROR(__xludf.DUMMYFUNCTION("""COMPUTED_VALUE"""),"PCC")</f>
        <v>PCC</v>
      </c>
      <c r="F5681">
        <f>IFERROR(__xludf.DUMMYFUNCTION("""COMPUTED_VALUE"""),6803.0)</f>
        <v>6803</v>
      </c>
      <c r="G5681" t="str">
        <f>IFERROR(__xludf.DUMMYFUNCTION("""COMPUTED_VALUE"""),"substr.")</f>
        <v>substr.</v>
      </c>
      <c r="H5681" t="str">
        <f>IFERROR(__xludf.DUMMYFUNCTION("""COMPUTED_VALUE"""),"PCC-N")</f>
        <v>PCC-N</v>
      </c>
    </row>
    <row r="5682" ht="15.75" customHeight="1">
      <c r="A5682" t="str">
        <f t="shared" si="1"/>
        <v>S.sp.</v>
      </c>
      <c r="B5682" s="5" t="s">
        <v>33382</v>
      </c>
      <c r="C5682" s="6" t="str">
        <f>IFERROR(__xludf.DUMMYFUNCTION("SPLIT('2. c'!B5682, "" "", True, True)"),"Synechocystis")</f>
        <v>Synechocystis</v>
      </c>
      <c r="D5682" t="str">
        <f>IFERROR(__xludf.DUMMYFUNCTION("""COMPUTED_VALUE"""),"sp.")</f>
        <v>sp.</v>
      </c>
      <c r="E5682" t="str">
        <f>IFERROR(__xludf.DUMMYFUNCTION("""COMPUTED_VALUE"""),"PCC")</f>
        <v>PCC</v>
      </c>
      <c r="F5682">
        <f>IFERROR(__xludf.DUMMYFUNCTION("""COMPUTED_VALUE"""),6803.0)</f>
        <v>6803</v>
      </c>
      <c r="G5682" t="str">
        <f>IFERROR(__xludf.DUMMYFUNCTION("""COMPUTED_VALUE"""),"substr.")</f>
        <v>substr.</v>
      </c>
      <c r="H5682" t="str">
        <f>IFERROR(__xludf.DUMMYFUNCTION("""COMPUTED_VALUE"""),"PCC-P")</f>
        <v>PCC-P</v>
      </c>
    </row>
    <row r="5683" ht="15.75" customHeight="1">
      <c r="A5683" t="str">
        <f t="shared" si="1"/>
        <v>S.bacterium</v>
      </c>
      <c r="B5683" s="5" t="s">
        <v>33383</v>
      </c>
      <c r="C5683" s="6" t="str">
        <f>IFERROR(__xludf.DUMMYFUNCTION("SPLIT('2. c'!B5683, "" "", True, True)"),"Synergistetes")</f>
        <v>Synergistetes</v>
      </c>
      <c r="D5683" t="str">
        <f>IFERROR(__xludf.DUMMYFUNCTION("""COMPUTED_VALUE"""),"bacterium")</f>
        <v>bacterium</v>
      </c>
      <c r="E5683" t="str">
        <f>IFERROR(__xludf.DUMMYFUNCTION("""COMPUTED_VALUE"""),"SGP1")</f>
        <v>SGP1</v>
      </c>
    </row>
    <row r="5684" ht="15.75" customHeight="1">
      <c r="A5684" t="str">
        <f t="shared" si="1"/>
        <v>s.Escherichia</v>
      </c>
      <c r="B5684" s="5" t="s">
        <v>33384</v>
      </c>
      <c r="C5684" s="6" t="str">
        <f>IFERROR(__xludf.DUMMYFUNCTION("SPLIT('2. c'!B5684, "" "", True, True)"),"synthetic")</f>
        <v>synthetic</v>
      </c>
      <c r="D5684" t="str">
        <f>IFERROR(__xludf.DUMMYFUNCTION("""COMPUTED_VALUE"""),"Escherichia")</f>
        <v>Escherichia</v>
      </c>
      <c r="E5684" t="str">
        <f>IFERROR(__xludf.DUMMYFUNCTION("""COMPUTED_VALUE"""),"coli")</f>
        <v>coli</v>
      </c>
      <c r="F5684" t="str">
        <f>IFERROR(__xludf.DUMMYFUNCTION("""COMPUTED_VALUE"""),"C321.deltaA")</f>
        <v>C321.deltaA</v>
      </c>
    </row>
    <row r="5685" ht="15.75" customHeight="1">
      <c r="A5685" t="str">
        <f t="shared" si="1"/>
        <v>s.Escherichia</v>
      </c>
      <c r="B5685" s="5" t="s">
        <v>33384</v>
      </c>
      <c r="C5685" s="6" t="str">
        <f>IFERROR(__xludf.DUMMYFUNCTION("SPLIT('2. c'!B5685, "" "", True, True)"),"synthetic")</f>
        <v>synthetic</v>
      </c>
      <c r="D5685" t="str">
        <f>IFERROR(__xludf.DUMMYFUNCTION("""COMPUTED_VALUE"""),"Escherichia")</f>
        <v>Escherichia</v>
      </c>
      <c r="E5685" t="str">
        <f>IFERROR(__xludf.DUMMYFUNCTION("""COMPUTED_VALUE"""),"coli")</f>
        <v>coli</v>
      </c>
      <c r="F5685" t="str">
        <f>IFERROR(__xludf.DUMMYFUNCTION("""COMPUTED_VALUE"""),"C321.deltaA")</f>
        <v>C321.deltaA</v>
      </c>
    </row>
    <row r="5686" ht="15.75" customHeight="1">
      <c r="A5686" t="str">
        <f t="shared" si="1"/>
        <v>S.fumaroxidans</v>
      </c>
      <c r="B5686" s="5" t="s">
        <v>33385</v>
      </c>
      <c r="C5686" s="6" t="str">
        <f>IFERROR(__xludf.DUMMYFUNCTION("SPLIT('2. c'!B5686, "" "", True, True)"),"Syntrophobacter")</f>
        <v>Syntrophobacter</v>
      </c>
      <c r="D5686" t="str">
        <f>IFERROR(__xludf.DUMMYFUNCTION("""COMPUTED_VALUE"""),"fumaroxidans")</f>
        <v>fumaroxidans</v>
      </c>
      <c r="E5686" t="str">
        <f>IFERROR(__xludf.DUMMYFUNCTION("""COMPUTED_VALUE"""),"MPOB")</f>
        <v>MPOB</v>
      </c>
    </row>
    <row r="5687" ht="15.75" customHeight="1">
      <c r="A5687" t="str">
        <f t="shared" si="1"/>
        <v>S.glycolicus</v>
      </c>
      <c r="B5687" s="5" t="s">
        <v>33386</v>
      </c>
      <c r="C5687" s="6" t="str">
        <f>IFERROR(__xludf.DUMMYFUNCTION("SPLIT('2. c'!B5687, "" "", True, True)"),"Syntrophobotulus")</f>
        <v>Syntrophobotulus</v>
      </c>
      <c r="D5687" t="str">
        <f>IFERROR(__xludf.DUMMYFUNCTION("""COMPUTED_VALUE"""),"glycolicus")</f>
        <v>glycolicus</v>
      </c>
      <c r="E5687" t="str">
        <f>IFERROR(__xludf.DUMMYFUNCTION("""COMPUTED_VALUE"""),"DSM")</f>
        <v>DSM</v>
      </c>
      <c r="F5687">
        <f>IFERROR(__xludf.DUMMYFUNCTION("""COMPUTED_VALUE"""),8271.0)</f>
        <v>8271</v>
      </c>
    </row>
    <row r="5688" ht="15.75" customHeight="1">
      <c r="A5688" t="str">
        <f t="shared" si="1"/>
        <v>S.wolfei</v>
      </c>
      <c r="B5688" s="5" t="s">
        <v>33387</v>
      </c>
      <c r="C5688" s="6" t="str">
        <f>IFERROR(__xludf.DUMMYFUNCTION("SPLIT('2. c'!B5688, "" "", True, True)"),"Syntrophomonas")</f>
        <v>Syntrophomonas</v>
      </c>
      <c r="D5688" t="str">
        <f>IFERROR(__xludf.DUMMYFUNCTION("""COMPUTED_VALUE"""),"wolfei")</f>
        <v>wolfei</v>
      </c>
      <c r="E5688" t="str">
        <f>IFERROR(__xludf.DUMMYFUNCTION("""COMPUTED_VALUE"""),"subsp.")</f>
        <v>subsp.</v>
      </c>
      <c r="F5688" t="str">
        <f>IFERROR(__xludf.DUMMYFUNCTION("""COMPUTED_VALUE"""),"wolfei")</f>
        <v>wolfei</v>
      </c>
      <c r="G5688" t="str">
        <f>IFERROR(__xludf.DUMMYFUNCTION("""COMPUTED_VALUE"""),"str.")</f>
        <v>str.</v>
      </c>
      <c r="H5688" t="str">
        <f>IFERROR(__xludf.DUMMYFUNCTION("""COMPUTED_VALUE"""),"Goettingen")</f>
        <v>Goettingen</v>
      </c>
    </row>
    <row r="5689" ht="15.75" customHeight="1">
      <c r="A5689" t="str">
        <f t="shared" si="1"/>
        <v>S.lipocalidus</v>
      </c>
      <c r="B5689" s="5" t="s">
        <v>33388</v>
      </c>
      <c r="C5689" s="6" t="str">
        <f>IFERROR(__xludf.DUMMYFUNCTION("SPLIT('2. c'!B5689, "" "", True, True)"),"Syntrophothermus")</f>
        <v>Syntrophothermus</v>
      </c>
      <c r="D5689" t="str">
        <f>IFERROR(__xludf.DUMMYFUNCTION("""COMPUTED_VALUE"""),"lipocalidus")</f>
        <v>lipocalidus</v>
      </c>
      <c r="E5689" t="str">
        <f>IFERROR(__xludf.DUMMYFUNCTION("""COMPUTED_VALUE"""),"DSM")</f>
        <v>DSM</v>
      </c>
      <c r="F5689">
        <f>IFERROR(__xludf.DUMMYFUNCTION("""COMPUTED_VALUE"""),12680.0)</f>
        <v>12680</v>
      </c>
    </row>
    <row r="5690" ht="15.75" customHeight="1">
      <c r="A5690" t="str">
        <f t="shared" si="1"/>
        <v>S.aciditrophicus</v>
      </c>
      <c r="B5690" s="5" t="s">
        <v>33389</v>
      </c>
      <c r="C5690" s="6" t="str">
        <f>IFERROR(__xludf.DUMMYFUNCTION("SPLIT('2. c'!B5690, "" "", True, True)"),"Syntrophus")</f>
        <v>Syntrophus</v>
      </c>
      <c r="D5690" t="str">
        <f>IFERROR(__xludf.DUMMYFUNCTION("""COMPUTED_VALUE"""),"aciditrophicus")</f>
        <v>aciditrophicus</v>
      </c>
      <c r="E5690" t="str">
        <f>IFERROR(__xludf.DUMMYFUNCTION("""COMPUTED_VALUE"""),"SB")</f>
        <v>SB</v>
      </c>
    </row>
    <row r="5691" ht="15.75" customHeight="1">
      <c r="A5691" t="str">
        <f t="shared" si="1"/>
        <v>T.forsythia</v>
      </c>
      <c r="B5691" s="5" t="s">
        <v>33390</v>
      </c>
      <c r="C5691" s="6" t="str">
        <f>IFERROR(__xludf.DUMMYFUNCTION("SPLIT('2. c'!B5691, "" "", True, True)"),"Tannerella")</f>
        <v>Tannerella</v>
      </c>
      <c r="D5691" t="str">
        <f>IFERROR(__xludf.DUMMYFUNCTION("""COMPUTED_VALUE"""),"forsythia")</f>
        <v>forsythia</v>
      </c>
      <c r="E5691">
        <f>IFERROR(__xludf.DUMMYFUNCTION("""COMPUTED_VALUE"""),3313.0)</f>
        <v>3313</v>
      </c>
    </row>
    <row r="5692" ht="15.75" customHeight="1">
      <c r="A5692" t="str">
        <f t="shared" si="1"/>
        <v>T.forsythia</v>
      </c>
      <c r="B5692" s="5" t="s">
        <v>33391</v>
      </c>
      <c r="C5692" s="6" t="str">
        <f>IFERROR(__xludf.DUMMYFUNCTION("SPLIT('2. c'!B5692, "" "", True, True)"),"Tannerella")</f>
        <v>Tannerella</v>
      </c>
      <c r="D5692" t="str">
        <f>IFERROR(__xludf.DUMMYFUNCTION("""COMPUTED_VALUE"""),"forsythia")</f>
        <v>forsythia</v>
      </c>
      <c r="E5692" t="str">
        <f>IFERROR(__xludf.DUMMYFUNCTION("""COMPUTED_VALUE"""),"ATCC")</f>
        <v>ATCC</v>
      </c>
      <c r="F5692">
        <f>IFERROR(__xludf.DUMMYFUNCTION("""COMPUTED_VALUE"""),43037.0)</f>
        <v>43037</v>
      </c>
    </row>
    <row r="5693" ht="15.75" customHeight="1">
      <c r="A5693" t="str">
        <f t="shared" si="1"/>
        <v>T.forsythia</v>
      </c>
      <c r="B5693" s="5" t="s">
        <v>33392</v>
      </c>
      <c r="C5693" s="6" t="str">
        <f>IFERROR(__xludf.DUMMYFUNCTION("SPLIT('2. c'!B5693, "" "", True, True)"),"Tannerella")</f>
        <v>Tannerella</v>
      </c>
      <c r="D5693" t="str">
        <f>IFERROR(__xludf.DUMMYFUNCTION("""COMPUTED_VALUE"""),"forsythia")</f>
        <v>forsythia</v>
      </c>
      <c r="E5693" t="str">
        <f>IFERROR(__xludf.DUMMYFUNCTION("""COMPUTED_VALUE"""),"KS16")</f>
        <v>KS16</v>
      </c>
    </row>
    <row r="5694" ht="15.75" customHeight="1">
      <c r="A5694" t="str">
        <f t="shared" si="1"/>
        <v>T.micdadei</v>
      </c>
      <c r="B5694" s="5" t="s">
        <v>33393</v>
      </c>
      <c r="C5694" s="6" t="str">
        <f>IFERROR(__xludf.DUMMYFUNCTION("SPLIT('2. c'!B5694, "" "", True, True)"),"Tatlockia")</f>
        <v>Tatlockia</v>
      </c>
      <c r="D5694" t="str">
        <f>IFERROR(__xludf.DUMMYFUNCTION("""COMPUTED_VALUE"""),"micdadei")</f>
        <v>micdadei</v>
      </c>
      <c r="E5694" t="str">
        <f>IFERROR(__xludf.DUMMYFUNCTION("""COMPUTED_VALUE"""),"strain")</f>
        <v>strain</v>
      </c>
      <c r="F5694" t="str">
        <f>IFERROR(__xludf.DUMMYFUNCTION("""COMPUTED_VALUE"""),"ATCC33218")</f>
        <v>ATCC33218</v>
      </c>
    </row>
    <row r="5695" ht="15.75" customHeight="1">
      <c r="A5695" t="str">
        <f t="shared" si="1"/>
        <v>T.asinigenitalis</v>
      </c>
      <c r="B5695" s="5" t="s">
        <v>33394</v>
      </c>
      <c r="C5695" s="6" t="str">
        <f>IFERROR(__xludf.DUMMYFUNCTION("SPLIT('2. c'!B5695, "" "", True, True)"),"Taylorella")</f>
        <v>Taylorella</v>
      </c>
      <c r="D5695" t="str">
        <f>IFERROR(__xludf.DUMMYFUNCTION("""COMPUTED_VALUE"""),"asinigenitalis")</f>
        <v>asinigenitalis</v>
      </c>
      <c r="E5695" t="str">
        <f>IFERROR(__xludf.DUMMYFUNCTION("""COMPUTED_VALUE"""),"14/45")</f>
        <v>14/45</v>
      </c>
    </row>
    <row r="5696" ht="15.75" customHeight="1">
      <c r="A5696" t="str">
        <f t="shared" si="1"/>
        <v>T.asinigenitalis</v>
      </c>
      <c r="B5696" s="5" t="s">
        <v>33395</v>
      </c>
      <c r="C5696" s="6" t="str">
        <f>IFERROR(__xludf.DUMMYFUNCTION("SPLIT('2. c'!B5696, "" "", True, True)"),"Taylorella")</f>
        <v>Taylorella</v>
      </c>
      <c r="D5696" t="str">
        <f>IFERROR(__xludf.DUMMYFUNCTION("""COMPUTED_VALUE"""),"asinigenitalis")</f>
        <v>asinigenitalis</v>
      </c>
      <c r="E5696" t="str">
        <f>IFERROR(__xludf.DUMMYFUNCTION("""COMPUTED_VALUE"""),"MCE3")</f>
        <v>MCE3</v>
      </c>
    </row>
    <row r="5697" ht="15.75" customHeight="1">
      <c r="A5697" t="str">
        <f t="shared" si="1"/>
        <v>T.equigenitalis</v>
      </c>
      <c r="B5697" s="5" t="s">
        <v>33396</v>
      </c>
      <c r="C5697" s="6" t="str">
        <f>IFERROR(__xludf.DUMMYFUNCTION("SPLIT('2. c'!B5697, "" "", True, True)"),"Taylorella")</f>
        <v>Taylorella</v>
      </c>
      <c r="D5697" t="str">
        <f>IFERROR(__xludf.DUMMYFUNCTION("""COMPUTED_VALUE"""),"equigenitalis")</f>
        <v>equigenitalis</v>
      </c>
      <c r="E5697" t="str">
        <f>IFERROR(__xludf.DUMMYFUNCTION("""COMPUTED_VALUE"""),"14/56")</f>
        <v>14/56</v>
      </c>
    </row>
    <row r="5698" ht="15.75" customHeight="1">
      <c r="A5698" t="str">
        <f t="shared" si="1"/>
        <v>T.equigenitalis</v>
      </c>
      <c r="B5698" s="5" t="s">
        <v>33397</v>
      </c>
      <c r="C5698" s="6" t="str">
        <f>IFERROR(__xludf.DUMMYFUNCTION("SPLIT('2. c'!B5698, "" "", True, True)"),"Taylorella")</f>
        <v>Taylorella</v>
      </c>
      <c r="D5698" t="str">
        <f>IFERROR(__xludf.DUMMYFUNCTION("""COMPUTED_VALUE"""),"equigenitalis")</f>
        <v>equigenitalis</v>
      </c>
      <c r="E5698" t="str">
        <f>IFERROR(__xludf.DUMMYFUNCTION("""COMPUTED_VALUE"""),"ATCC")</f>
        <v>ATCC</v>
      </c>
      <c r="F5698">
        <f>IFERROR(__xludf.DUMMYFUNCTION("""COMPUTED_VALUE"""),35865.0)</f>
        <v>35865</v>
      </c>
    </row>
    <row r="5699" ht="15.75" customHeight="1">
      <c r="A5699" t="str">
        <f t="shared" si="1"/>
        <v>T.equigenitalis</v>
      </c>
      <c r="B5699" s="5" t="s">
        <v>33398</v>
      </c>
      <c r="C5699" s="6" t="str">
        <f>IFERROR(__xludf.DUMMYFUNCTION("SPLIT('2. c'!B5699, "" "", True, True)"),"Taylorella")</f>
        <v>Taylorella</v>
      </c>
      <c r="D5699" t="str">
        <f>IFERROR(__xludf.DUMMYFUNCTION("""COMPUTED_VALUE"""),"equigenitalis")</f>
        <v>equigenitalis</v>
      </c>
      <c r="E5699" t="str">
        <f>IFERROR(__xludf.DUMMYFUNCTION("""COMPUTED_VALUE"""),"MCE9")</f>
        <v>MCE9</v>
      </c>
    </row>
    <row r="5700" ht="15.75" customHeight="1">
      <c r="A5700" t="str">
        <f t="shared" si="1"/>
        <v>T.dicentrarchi</v>
      </c>
      <c r="B5700" s="5" t="s">
        <v>33399</v>
      </c>
      <c r="C5700" s="6" t="str">
        <f>IFERROR(__xludf.DUMMYFUNCTION("SPLIT('2. c'!B5700, "" "", True, True)"),"Tenacibaculum")</f>
        <v>Tenacibaculum</v>
      </c>
      <c r="D5700" t="str">
        <f>IFERROR(__xludf.DUMMYFUNCTION("""COMPUTED_VALUE"""),"dicentrarchi")</f>
        <v>dicentrarchi</v>
      </c>
      <c r="E5700" t="str">
        <f>IFERROR(__xludf.DUMMYFUNCTION("""COMPUTED_VALUE"""),"strain")</f>
        <v>strain</v>
      </c>
      <c r="F5700" t="str">
        <f>IFERROR(__xludf.DUMMYFUNCTION("""COMPUTED_VALUE"""),"AY7486TD")</f>
        <v>AY7486TD</v>
      </c>
    </row>
    <row r="5701" ht="15.75" customHeight="1">
      <c r="A5701" t="str">
        <f t="shared" si="1"/>
        <v>T.acetatoxydans</v>
      </c>
      <c r="B5701" s="5" t="s">
        <v>33400</v>
      </c>
      <c r="C5701" s="6" t="str">
        <f>IFERROR(__xludf.DUMMYFUNCTION("SPLIT('2. c'!B5701, "" "", True, True)"),"Tepidanaerobacter")</f>
        <v>Tepidanaerobacter</v>
      </c>
      <c r="D5701" t="str">
        <f>IFERROR(__xludf.DUMMYFUNCTION("""COMPUTED_VALUE"""),"acetatoxydans")</f>
        <v>acetatoxydans</v>
      </c>
      <c r="E5701" t="str">
        <f>IFERROR(__xludf.DUMMYFUNCTION("""COMPUTED_VALUE"""),"Re1")</f>
        <v>Re1</v>
      </c>
    </row>
    <row r="5702" ht="15.75" customHeight="1">
      <c r="A5702" t="str">
        <f t="shared" si="1"/>
        <v>T.acetatoxydans</v>
      </c>
      <c r="B5702" s="5" t="s">
        <v>33401</v>
      </c>
      <c r="C5702" s="6" t="str">
        <f>IFERROR(__xludf.DUMMYFUNCTION("SPLIT('2. c'!B5702, "" "", True, True)"),"Tepidanaerobacter")</f>
        <v>Tepidanaerobacter</v>
      </c>
      <c r="D5702" t="str">
        <f>IFERROR(__xludf.DUMMYFUNCTION("""COMPUTED_VALUE"""),"acetatoxydans")</f>
        <v>acetatoxydans</v>
      </c>
      <c r="E5702" t="str">
        <f>IFERROR(__xludf.DUMMYFUNCTION("""COMPUTED_VALUE"""),"strain")</f>
        <v>strain</v>
      </c>
      <c r="F5702" t="str">
        <f>IFERROR(__xludf.DUMMYFUNCTION("""COMPUTED_VALUE"""),"Re1")</f>
        <v>Re1</v>
      </c>
    </row>
    <row r="5703" ht="15.75" customHeight="1">
      <c r="A5703" t="str">
        <f t="shared" si="1"/>
        <v>T.sp.</v>
      </c>
      <c r="B5703" s="5" t="s">
        <v>33402</v>
      </c>
      <c r="C5703" s="6" t="str">
        <f>IFERROR(__xludf.DUMMYFUNCTION("SPLIT('2. c'!B5703, "" "", True, True)"),"Teredinibacter")</f>
        <v>Teredinibacter</v>
      </c>
      <c r="D5703" t="str">
        <f>IFERROR(__xludf.DUMMYFUNCTION("""COMPUTED_VALUE"""),"sp.")</f>
        <v>sp.</v>
      </c>
      <c r="E5703" t="str">
        <f>IFERROR(__xludf.DUMMYFUNCTION("""COMPUTED_VALUE"""),"1162T.S.0a.05")</f>
        <v>1162T.S.0a.05</v>
      </c>
    </row>
    <row r="5704" ht="15.75" customHeight="1">
      <c r="A5704" t="str">
        <f t="shared" si="1"/>
        <v>T.turnerae</v>
      </c>
      <c r="B5704" s="5" t="s">
        <v>33403</v>
      </c>
      <c r="C5704" s="6" t="str">
        <f>IFERROR(__xludf.DUMMYFUNCTION("SPLIT('2. c'!B5704, "" "", True, True)"),"Teredinibacter")</f>
        <v>Teredinibacter</v>
      </c>
      <c r="D5704" t="str">
        <f>IFERROR(__xludf.DUMMYFUNCTION("""COMPUTED_VALUE"""),"turnerae")</f>
        <v>turnerae</v>
      </c>
      <c r="E5704" t="str">
        <f>IFERROR(__xludf.DUMMYFUNCTION("""COMPUTED_VALUE"""),"T7901")</f>
        <v>T7901</v>
      </c>
    </row>
    <row r="5705" ht="15.75" customHeight="1">
      <c r="A5705" t="str">
        <f t="shared" si="1"/>
        <v>T.aidingensis</v>
      </c>
      <c r="B5705" s="5" t="s">
        <v>33404</v>
      </c>
      <c r="C5705" s="6" t="str">
        <f>IFERROR(__xludf.DUMMYFUNCTION("SPLIT('2. c'!B5705, "" "", True, True)"),"Terribacillus")</f>
        <v>Terribacillus</v>
      </c>
      <c r="D5705" t="str">
        <f>IFERROR(__xludf.DUMMYFUNCTION("""COMPUTED_VALUE"""),"aidingensis")</f>
        <v>aidingensis</v>
      </c>
      <c r="E5705" t="str">
        <f>IFERROR(__xludf.DUMMYFUNCTION("""COMPUTED_VALUE"""),"strain")</f>
        <v>strain</v>
      </c>
      <c r="F5705" t="str">
        <f>IFERROR(__xludf.DUMMYFUNCTION("""COMPUTED_VALUE"""),"MP602")</f>
        <v>MP602</v>
      </c>
    </row>
    <row r="5706" ht="15.75" customHeight="1">
      <c r="A5706" t="str">
        <f t="shared" si="1"/>
        <v>T.roseus</v>
      </c>
      <c r="B5706" s="5" t="s">
        <v>33405</v>
      </c>
      <c r="C5706" s="6" t="str">
        <f>IFERROR(__xludf.DUMMYFUNCTION("SPLIT('2. c'!B5706, "" "", True, True)"),"Terriglobus")</f>
        <v>Terriglobus</v>
      </c>
      <c r="D5706" t="str">
        <f>IFERROR(__xludf.DUMMYFUNCTION("""COMPUTED_VALUE"""),"roseus")</f>
        <v>roseus</v>
      </c>
      <c r="E5706" t="str">
        <f>IFERROR(__xludf.DUMMYFUNCTION("""COMPUTED_VALUE"""),"DSM")</f>
        <v>DSM</v>
      </c>
      <c r="F5706">
        <f>IFERROR(__xludf.DUMMYFUNCTION("""COMPUTED_VALUE"""),18391.0)</f>
        <v>18391</v>
      </c>
    </row>
    <row r="5707" ht="15.75" customHeight="1">
      <c r="A5707" t="str">
        <f t="shared" si="1"/>
        <v>T.saanensis</v>
      </c>
      <c r="B5707" s="5" t="s">
        <v>33406</v>
      </c>
      <c r="C5707" s="6" t="str">
        <f>IFERROR(__xludf.DUMMYFUNCTION("SPLIT('2. c'!B5707, "" "", True, True)"),"Terriglobus")</f>
        <v>Terriglobus</v>
      </c>
      <c r="D5707" t="str">
        <f>IFERROR(__xludf.DUMMYFUNCTION("""COMPUTED_VALUE"""),"saanensis")</f>
        <v>saanensis</v>
      </c>
      <c r="E5707" t="str">
        <f>IFERROR(__xludf.DUMMYFUNCTION("""COMPUTED_VALUE"""),"SP1PR4")</f>
        <v>SP1PR4</v>
      </c>
    </row>
    <row r="5708" ht="15.75" customHeight="1">
      <c r="A5708" t="str">
        <f t="shared" si="1"/>
        <v>T.halophilus</v>
      </c>
      <c r="B5708" s="5" t="s">
        <v>33407</v>
      </c>
      <c r="C5708" s="6" t="str">
        <f>IFERROR(__xludf.DUMMYFUNCTION("SPLIT('2. c'!B5708, "" "", True, True)"),"Tetragenococcus")</f>
        <v>Tetragenococcus</v>
      </c>
      <c r="D5708" t="str">
        <f>IFERROR(__xludf.DUMMYFUNCTION("""COMPUTED_VALUE"""),"halophilus")</f>
        <v>halophilus</v>
      </c>
      <c r="E5708" t="str">
        <f>IFERROR(__xludf.DUMMYFUNCTION("""COMPUTED_VALUE"""),"NBRC")</f>
        <v>NBRC</v>
      </c>
      <c r="F5708">
        <f>IFERROR(__xludf.DUMMYFUNCTION("""COMPUTED_VALUE"""),12172.0)</f>
        <v>12172</v>
      </c>
    </row>
    <row r="5709" ht="15.75" customHeight="1">
      <c r="A5709" t="str">
        <f t="shared" si="1"/>
        <v>T.australiensis</v>
      </c>
      <c r="B5709" s="5" t="s">
        <v>33408</v>
      </c>
      <c r="C5709" s="6" t="str">
        <f>IFERROR(__xludf.DUMMYFUNCTION("SPLIT('2. c'!B5709, "" "", True, True)"),"Tetrasphaera")</f>
        <v>Tetrasphaera</v>
      </c>
      <c r="D5709" t="str">
        <f>IFERROR(__xludf.DUMMYFUNCTION("""COMPUTED_VALUE"""),"australiensis")</f>
        <v>australiensis</v>
      </c>
      <c r="E5709" t="str">
        <f>IFERROR(__xludf.DUMMYFUNCTION("""COMPUTED_VALUE"""),"Ben110")</f>
        <v>Ben110</v>
      </c>
    </row>
    <row r="5710" ht="15.75" customHeight="1">
      <c r="A5710" t="str">
        <f t="shared" si="1"/>
        <v>T.japonica</v>
      </c>
      <c r="B5710" s="5" t="s">
        <v>33409</v>
      </c>
      <c r="C5710" s="6" t="str">
        <f>IFERROR(__xludf.DUMMYFUNCTION("SPLIT('2. c'!B5710, "" "", True, True)"),"Tetrasphaera")</f>
        <v>Tetrasphaera</v>
      </c>
      <c r="D5710" t="str">
        <f>IFERROR(__xludf.DUMMYFUNCTION("""COMPUTED_VALUE"""),"japonica")</f>
        <v>japonica</v>
      </c>
      <c r="E5710" t="str">
        <f>IFERROR(__xludf.DUMMYFUNCTION("""COMPUTED_VALUE"""),"T1-X7")</f>
        <v>T1-X7</v>
      </c>
    </row>
    <row r="5711" ht="15.75" customHeight="1">
      <c r="A5711" t="str">
        <f t="shared" si="1"/>
        <v>T.jenkinsii</v>
      </c>
      <c r="B5711" s="5" t="s">
        <v>33410</v>
      </c>
      <c r="C5711" s="6" t="str">
        <f>IFERROR(__xludf.DUMMYFUNCTION("SPLIT('2. c'!B5711, "" "", True, True)"),"Tetrasphaera")</f>
        <v>Tetrasphaera</v>
      </c>
      <c r="D5711" t="str">
        <f>IFERROR(__xludf.DUMMYFUNCTION("""COMPUTED_VALUE"""),"jenkinsii")</f>
        <v>jenkinsii</v>
      </c>
      <c r="E5711" t="str">
        <f>IFERROR(__xludf.DUMMYFUNCTION("""COMPUTED_VALUE"""),"Ben")</f>
        <v>Ben</v>
      </c>
      <c r="F5711">
        <f>IFERROR(__xludf.DUMMYFUNCTION("""COMPUTED_VALUE"""),74.0)</f>
        <v>74</v>
      </c>
    </row>
    <row r="5712" ht="15.75" customHeight="1">
      <c r="A5712" t="str">
        <f t="shared" si="1"/>
        <v>T.oleivorans</v>
      </c>
      <c r="B5712" s="5" t="s">
        <v>33411</v>
      </c>
      <c r="C5712" s="6" t="str">
        <f>IFERROR(__xludf.DUMMYFUNCTION("SPLIT('2. c'!B5712, "" "", True, True)"),"Thalassolituus")</f>
        <v>Thalassolituus</v>
      </c>
      <c r="D5712" t="str">
        <f>IFERROR(__xludf.DUMMYFUNCTION("""COMPUTED_VALUE"""),"oleivorans")</f>
        <v>oleivorans</v>
      </c>
      <c r="E5712" t="str">
        <f>IFERROR(__xludf.DUMMYFUNCTION("""COMPUTED_VALUE"""),"MIL-1")</f>
        <v>MIL-1</v>
      </c>
    </row>
    <row r="5713" ht="15.75" customHeight="1">
      <c r="A5713" t="str">
        <f t="shared" si="1"/>
        <v>T.oleivorans</v>
      </c>
      <c r="B5713" s="5" t="s">
        <v>33412</v>
      </c>
      <c r="C5713" s="6" t="str">
        <f>IFERROR(__xludf.DUMMYFUNCTION("SPLIT('2. c'!B5713, "" "", True, True)"),"Thalassolituus")</f>
        <v>Thalassolituus</v>
      </c>
      <c r="D5713" t="str">
        <f>IFERROR(__xludf.DUMMYFUNCTION("""COMPUTED_VALUE"""),"oleivorans")</f>
        <v>oleivorans</v>
      </c>
      <c r="E5713" t="str">
        <f>IFERROR(__xludf.DUMMYFUNCTION("""COMPUTED_VALUE"""),"R6-15")</f>
        <v>R6-15</v>
      </c>
    </row>
    <row r="5714" ht="15.75" customHeight="1">
      <c r="A5714" t="str">
        <f t="shared" si="1"/>
        <v>T.sp.</v>
      </c>
      <c r="B5714" s="5" t="s">
        <v>33413</v>
      </c>
      <c r="C5714" s="6" t="str">
        <f>IFERROR(__xludf.DUMMYFUNCTION("SPLIT('2. c'!B5714, "" "", True, True)"),"Thauera")</f>
        <v>Thauera</v>
      </c>
      <c r="D5714" t="str">
        <f>IFERROR(__xludf.DUMMYFUNCTION("""COMPUTED_VALUE"""),"sp.")</f>
        <v>sp.</v>
      </c>
      <c r="E5714" t="str">
        <f>IFERROR(__xludf.DUMMYFUNCTION("""COMPUTED_VALUE"""),"MZ1T")</f>
        <v>MZ1T</v>
      </c>
    </row>
    <row r="5715" ht="15.75" customHeight="1">
      <c r="A5715" t="str">
        <f t="shared" si="1"/>
        <v>T.archaeon</v>
      </c>
      <c r="B5715" s="5" t="s">
        <v>33414</v>
      </c>
      <c r="C5715" s="6" t="str">
        <f>IFERROR(__xludf.DUMMYFUNCTION("SPLIT('2. c'!B5715, "" "", True, True)"),"Thaumarchaeota")</f>
        <v>Thaumarchaeota</v>
      </c>
      <c r="D5715" t="str">
        <f>IFERROR(__xludf.DUMMYFUNCTION("""COMPUTED_VALUE"""),"archaeon")</f>
        <v>archaeon</v>
      </c>
      <c r="E5715" t="str">
        <f>IFERROR(__xludf.DUMMYFUNCTION("""COMPUTED_VALUE"""),"SAT1")</f>
        <v>SAT1</v>
      </c>
    </row>
    <row r="5716" ht="15.75" customHeight="1">
      <c r="A5716" t="str">
        <f t="shared" si="1"/>
        <v>T.phaeum</v>
      </c>
      <c r="B5716" s="5" t="s">
        <v>33415</v>
      </c>
      <c r="C5716" s="6" t="str">
        <f>IFERROR(__xludf.DUMMYFUNCTION("SPLIT('2. c'!B5716, "" "", True, True)"),"Thermacetogenium")</f>
        <v>Thermacetogenium</v>
      </c>
      <c r="D5716" t="str">
        <f>IFERROR(__xludf.DUMMYFUNCTION("""COMPUTED_VALUE"""),"phaeum")</f>
        <v>phaeum</v>
      </c>
      <c r="E5716" t="str">
        <f>IFERROR(__xludf.DUMMYFUNCTION("""COMPUTED_VALUE"""),"DSM")</f>
        <v>DSM</v>
      </c>
      <c r="F5716">
        <f>IFERROR(__xludf.DUMMYFUNCTION("""COMPUTED_VALUE"""),12270.0)</f>
        <v>12270</v>
      </c>
    </row>
    <row r="5717" ht="15.75" customHeight="1">
      <c r="A5717" t="str">
        <f t="shared" si="1"/>
        <v>T.marianensis</v>
      </c>
      <c r="B5717" s="5" t="s">
        <v>33416</v>
      </c>
      <c r="C5717" s="6" t="str">
        <f>IFERROR(__xludf.DUMMYFUNCTION("SPLIT('2. c'!B5717, "" "", True, True)"),"Thermaerobacter")</f>
        <v>Thermaerobacter</v>
      </c>
      <c r="D5717" t="str">
        <f>IFERROR(__xludf.DUMMYFUNCTION("""COMPUTED_VALUE"""),"marianensis")</f>
        <v>marianensis</v>
      </c>
      <c r="E5717" t="str">
        <f>IFERROR(__xludf.DUMMYFUNCTION("""COMPUTED_VALUE"""),"DSM")</f>
        <v>DSM</v>
      </c>
      <c r="F5717">
        <f>IFERROR(__xludf.DUMMYFUNCTION("""COMPUTED_VALUE"""),12885.0)</f>
        <v>12885</v>
      </c>
    </row>
    <row r="5718" ht="15.75" customHeight="1">
      <c r="A5718" t="str">
        <f t="shared" si="1"/>
        <v>T.acidaminovorans</v>
      </c>
      <c r="B5718" s="5" t="s">
        <v>33417</v>
      </c>
      <c r="C5718" s="6" t="str">
        <f>IFERROR(__xludf.DUMMYFUNCTION("SPLIT('2. c'!B5718, "" "", True, True)"),"Thermanaerovibrio")</f>
        <v>Thermanaerovibrio</v>
      </c>
      <c r="D5718" t="str">
        <f>IFERROR(__xludf.DUMMYFUNCTION("""COMPUTED_VALUE"""),"acidaminovorans")</f>
        <v>acidaminovorans</v>
      </c>
      <c r="E5718" t="str">
        <f>IFERROR(__xludf.DUMMYFUNCTION("""COMPUTED_VALUE"""),"DSM")</f>
        <v>DSM</v>
      </c>
      <c r="F5718">
        <f>IFERROR(__xludf.DUMMYFUNCTION("""COMPUTED_VALUE"""),6589.0)</f>
        <v>6589</v>
      </c>
    </row>
    <row r="5719" ht="15.75" customHeight="1">
      <c r="A5719" t="str">
        <f t="shared" si="1"/>
        <v>T.potens</v>
      </c>
      <c r="B5719" s="5" t="s">
        <v>33418</v>
      </c>
      <c r="C5719" s="6" t="str">
        <f>IFERROR(__xludf.DUMMYFUNCTION("SPLIT('2. c'!B5719, "" "", True, True)"),"Thermincola")</f>
        <v>Thermincola</v>
      </c>
      <c r="D5719" t="str">
        <f>IFERROR(__xludf.DUMMYFUNCTION("""COMPUTED_VALUE"""),"potens")</f>
        <v>potens</v>
      </c>
      <c r="E5719" t="str">
        <f>IFERROR(__xludf.DUMMYFUNCTION("""COMPUTED_VALUE"""),"JR")</f>
        <v>JR</v>
      </c>
    </row>
    <row r="5720" ht="15.75" customHeight="1">
      <c r="A5720" t="str">
        <f t="shared" si="1"/>
        <v>T.brockii</v>
      </c>
      <c r="B5720" s="5" t="s">
        <v>33419</v>
      </c>
      <c r="C5720" s="6" t="str">
        <f>IFERROR(__xludf.DUMMYFUNCTION("SPLIT('2. c'!B5720, "" "", True, True)"),"Thermoanaerobacter")</f>
        <v>Thermoanaerobacter</v>
      </c>
      <c r="D5720" t="str">
        <f>IFERROR(__xludf.DUMMYFUNCTION("""COMPUTED_VALUE"""),"brockii")</f>
        <v>brockii</v>
      </c>
      <c r="E5720" t="str">
        <f>IFERROR(__xludf.DUMMYFUNCTION("""COMPUTED_VALUE"""),"subsp.")</f>
        <v>subsp.</v>
      </c>
      <c r="F5720" t="str">
        <f>IFERROR(__xludf.DUMMYFUNCTION("""COMPUTED_VALUE"""),"finnii")</f>
        <v>finnii</v>
      </c>
      <c r="G5720" t="str">
        <f>IFERROR(__xludf.DUMMYFUNCTION("""COMPUTED_VALUE"""),"Ako-1")</f>
        <v>Ako-1</v>
      </c>
    </row>
    <row r="5721" ht="15.75" customHeight="1">
      <c r="A5721" t="str">
        <f t="shared" si="1"/>
        <v>T.italicus</v>
      </c>
      <c r="B5721" s="5" t="s">
        <v>33420</v>
      </c>
      <c r="C5721" s="6" t="str">
        <f>IFERROR(__xludf.DUMMYFUNCTION("SPLIT('2. c'!B5721, "" "", True, True)"),"Thermoanaerobacter")</f>
        <v>Thermoanaerobacter</v>
      </c>
      <c r="D5721" t="str">
        <f>IFERROR(__xludf.DUMMYFUNCTION("""COMPUTED_VALUE"""),"italicus")</f>
        <v>italicus</v>
      </c>
      <c r="E5721" t="str">
        <f>IFERROR(__xludf.DUMMYFUNCTION("""COMPUTED_VALUE"""),"Ab9")</f>
        <v>Ab9</v>
      </c>
    </row>
    <row r="5722" ht="15.75" customHeight="1">
      <c r="A5722" t="str">
        <f t="shared" si="1"/>
        <v>T.kivui</v>
      </c>
      <c r="B5722" s="5" t="s">
        <v>33421</v>
      </c>
      <c r="C5722" s="6" t="str">
        <f>IFERROR(__xludf.DUMMYFUNCTION("SPLIT('2. c'!B5722, "" "", True, True)"),"Thermoanaerobacter")</f>
        <v>Thermoanaerobacter</v>
      </c>
      <c r="D5722" t="str">
        <f>IFERROR(__xludf.DUMMYFUNCTION("""COMPUTED_VALUE"""),"kivui")</f>
        <v>kivui</v>
      </c>
      <c r="E5722" t="str">
        <f>IFERROR(__xludf.DUMMYFUNCTION("""COMPUTED_VALUE"""),"DSM")</f>
        <v>DSM</v>
      </c>
      <c r="F5722">
        <f>IFERROR(__xludf.DUMMYFUNCTION("""COMPUTED_VALUE"""),2030.0)</f>
        <v>2030</v>
      </c>
    </row>
    <row r="5723" ht="15.75" customHeight="1">
      <c r="A5723" t="str">
        <f t="shared" si="1"/>
        <v>T.mathranii</v>
      </c>
      <c r="B5723" s="5" t="s">
        <v>33422</v>
      </c>
      <c r="C5723" s="6" t="str">
        <f>IFERROR(__xludf.DUMMYFUNCTION("SPLIT('2. c'!B5723, "" "", True, True)"),"Thermoanaerobacter")</f>
        <v>Thermoanaerobacter</v>
      </c>
      <c r="D5723" t="str">
        <f>IFERROR(__xludf.DUMMYFUNCTION("""COMPUTED_VALUE"""),"mathranii")</f>
        <v>mathranii</v>
      </c>
      <c r="E5723" t="str">
        <f>IFERROR(__xludf.DUMMYFUNCTION("""COMPUTED_VALUE"""),"subsp.")</f>
        <v>subsp.</v>
      </c>
      <c r="F5723" t="str">
        <f>IFERROR(__xludf.DUMMYFUNCTION("""COMPUTED_VALUE"""),"mathranii")</f>
        <v>mathranii</v>
      </c>
      <c r="G5723" t="str">
        <f>IFERROR(__xludf.DUMMYFUNCTION("""COMPUTED_VALUE"""),"str.")</f>
        <v>str.</v>
      </c>
      <c r="H5723" t="str">
        <f>IFERROR(__xludf.DUMMYFUNCTION("""COMPUTED_VALUE"""),"A3")</f>
        <v>A3</v>
      </c>
    </row>
    <row r="5724" ht="15.75" customHeight="1">
      <c r="A5724" t="str">
        <f t="shared" si="1"/>
        <v>T.pseudethanolicus</v>
      </c>
      <c r="B5724" s="5" t="s">
        <v>33423</v>
      </c>
      <c r="C5724" s="6" t="str">
        <f>IFERROR(__xludf.DUMMYFUNCTION("SPLIT('2. c'!B5724, "" "", True, True)"),"Thermoanaerobacter")</f>
        <v>Thermoanaerobacter</v>
      </c>
      <c r="D5724" t="str">
        <f>IFERROR(__xludf.DUMMYFUNCTION("""COMPUTED_VALUE"""),"pseudethanolicus")</f>
        <v>pseudethanolicus</v>
      </c>
      <c r="E5724" t="str">
        <f>IFERROR(__xludf.DUMMYFUNCTION("""COMPUTED_VALUE"""),"ATCC")</f>
        <v>ATCC</v>
      </c>
      <c r="F5724">
        <f>IFERROR(__xludf.DUMMYFUNCTION("""COMPUTED_VALUE"""),33223.0)</f>
        <v>33223</v>
      </c>
    </row>
    <row r="5725" ht="15.75" customHeight="1">
      <c r="A5725" t="str">
        <f t="shared" si="1"/>
        <v>T.siderophilus</v>
      </c>
      <c r="B5725" s="5" t="s">
        <v>33424</v>
      </c>
      <c r="C5725" s="6" t="str">
        <f>IFERROR(__xludf.DUMMYFUNCTION("SPLIT('2. c'!B5725, "" "", True, True)"),"Thermoanaerobacter")</f>
        <v>Thermoanaerobacter</v>
      </c>
      <c r="D5725" t="str">
        <f>IFERROR(__xludf.DUMMYFUNCTION("""COMPUTED_VALUE"""),"siderophilus")</f>
        <v>siderophilus</v>
      </c>
      <c r="E5725" t="str">
        <f>IFERROR(__xludf.DUMMYFUNCTION("""COMPUTED_VALUE"""),"SR4")</f>
        <v>SR4</v>
      </c>
    </row>
    <row r="5726" ht="15.75" customHeight="1">
      <c r="A5726" t="str">
        <f t="shared" si="1"/>
        <v>T.sp.</v>
      </c>
      <c r="B5726" s="5" t="s">
        <v>33425</v>
      </c>
      <c r="C5726" s="6" t="str">
        <f>IFERROR(__xludf.DUMMYFUNCTION("SPLIT('2. c'!B5726, "" "", True, True)"),"Thermoanaerobacter")</f>
        <v>Thermoanaerobacter</v>
      </c>
      <c r="D5726" t="str">
        <f>IFERROR(__xludf.DUMMYFUNCTION("""COMPUTED_VALUE"""),"sp.")</f>
        <v>sp.</v>
      </c>
      <c r="E5726" t="str">
        <f>IFERROR(__xludf.DUMMYFUNCTION("""COMPUTED_VALUE"""),"X513")</f>
        <v>X513</v>
      </c>
    </row>
    <row r="5727" ht="15.75" customHeight="1">
      <c r="A5727" t="str">
        <f t="shared" si="1"/>
        <v>T.sp.</v>
      </c>
      <c r="B5727" s="5" t="s">
        <v>33426</v>
      </c>
      <c r="C5727" s="6" t="str">
        <f>IFERROR(__xludf.DUMMYFUNCTION("SPLIT('2. c'!B5727, "" "", True, True)"),"Thermoanaerobacter")</f>
        <v>Thermoanaerobacter</v>
      </c>
      <c r="D5727" t="str">
        <f>IFERROR(__xludf.DUMMYFUNCTION("""COMPUTED_VALUE"""),"sp.")</f>
        <v>sp.</v>
      </c>
      <c r="E5727" t="str">
        <f>IFERROR(__xludf.DUMMYFUNCTION("""COMPUTED_VALUE"""),"X514")</f>
        <v>X514</v>
      </c>
    </row>
    <row r="5728" ht="15.75" customHeight="1">
      <c r="A5728" t="str">
        <f t="shared" si="1"/>
        <v>T.tengcongensis</v>
      </c>
      <c r="B5728" s="5" t="s">
        <v>33427</v>
      </c>
      <c r="C5728" s="6" t="str">
        <f>IFERROR(__xludf.DUMMYFUNCTION("SPLIT('2. c'!B5728, "" "", True, True)"),"Thermoanaerobacter")</f>
        <v>Thermoanaerobacter</v>
      </c>
      <c r="D5728" t="str">
        <f>IFERROR(__xludf.DUMMYFUNCTION("""COMPUTED_VALUE"""),"tengcongensis")</f>
        <v>tengcongensis</v>
      </c>
      <c r="E5728" t="str">
        <f>IFERROR(__xludf.DUMMYFUNCTION("""COMPUTED_VALUE"""),"MB4")</f>
        <v>MB4</v>
      </c>
    </row>
    <row r="5729" ht="15.75" customHeight="1">
      <c r="A5729" t="str">
        <f t="shared" si="1"/>
        <v>T.saccharolyticum</v>
      </c>
      <c r="B5729" s="5" t="s">
        <v>33428</v>
      </c>
      <c r="C5729" s="6" t="str">
        <f>IFERROR(__xludf.DUMMYFUNCTION("SPLIT('2. c'!B5729, "" "", True, True)"),"Thermoanaerobacterium")</f>
        <v>Thermoanaerobacterium</v>
      </c>
      <c r="D5729" t="str">
        <f>IFERROR(__xludf.DUMMYFUNCTION("""COMPUTED_VALUE"""),"saccharolyticum")</f>
        <v>saccharolyticum</v>
      </c>
      <c r="E5729" t="str">
        <f>IFERROR(__xludf.DUMMYFUNCTION("""COMPUTED_VALUE"""),"JW/SL-YS485")</f>
        <v>JW/SL-YS485</v>
      </c>
    </row>
    <row r="5730" ht="15.75" customHeight="1">
      <c r="A5730" t="str">
        <f t="shared" si="1"/>
        <v>T.thermosaccharolyticum</v>
      </c>
      <c r="B5730" s="5" t="s">
        <v>33429</v>
      </c>
      <c r="C5730" s="6" t="str">
        <f>IFERROR(__xludf.DUMMYFUNCTION("SPLIT('2. c'!B5730, "" "", True, True)"),"Thermoanaerobacterium")</f>
        <v>Thermoanaerobacterium</v>
      </c>
      <c r="D5730" t="str">
        <f>IFERROR(__xludf.DUMMYFUNCTION("""COMPUTED_VALUE"""),"thermosaccharolyticum")</f>
        <v>thermosaccharolyticum</v>
      </c>
      <c r="E5730" t="str">
        <f>IFERROR(__xludf.DUMMYFUNCTION("""COMPUTED_VALUE"""),"DSM")</f>
        <v>DSM</v>
      </c>
      <c r="F5730">
        <f>IFERROR(__xludf.DUMMYFUNCTION("""COMPUTED_VALUE"""),571.0)</f>
        <v>571</v>
      </c>
    </row>
    <row r="5731" ht="15.75" customHeight="1">
      <c r="A5731" t="str">
        <f t="shared" si="1"/>
        <v>T.thermosaccharolyticum</v>
      </c>
      <c r="B5731" s="5" t="s">
        <v>33430</v>
      </c>
      <c r="C5731" s="6" t="str">
        <f>IFERROR(__xludf.DUMMYFUNCTION("SPLIT('2. c'!B5731, "" "", True, True)"),"Thermoanaerobacterium")</f>
        <v>Thermoanaerobacterium</v>
      </c>
      <c r="D5731" t="str">
        <f>IFERROR(__xludf.DUMMYFUNCTION("""COMPUTED_VALUE"""),"thermosaccharolyticum")</f>
        <v>thermosaccharolyticum</v>
      </c>
      <c r="E5731" t="str">
        <f>IFERROR(__xludf.DUMMYFUNCTION("""COMPUTED_VALUE"""),"M0795")</f>
        <v>M0795</v>
      </c>
    </row>
    <row r="5732" ht="15.75" customHeight="1">
      <c r="A5732" t="str">
        <f t="shared" si="1"/>
        <v>T.terrenum</v>
      </c>
      <c r="B5732" s="5" t="s">
        <v>33431</v>
      </c>
      <c r="C5732" s="6" t="str">
        <f>IFERROR(__xludf.DUMMYFUNCTION("SPLIT('2. c'!B5732, "" "", True, True)"),"Thermobaculum")</f>
        <v>Thermobaculum</v>
      </c>
      <c r="D5732" t="str">
        <f>IFERROR(__xludf.DUMMYFUNCTION("""COMPUTED_VALUE"""),"terrenum")</f>
        <v>terrenum</v>
      </c>
      <c r="E5732" t="str">
        <f>IFERROR(__xludf.DUMMYFUNCTION("""COMPUTED_VALUE"""),"ATCC")</f>
        <v>ATCC</v>
      </c>
      <c r="F5732" t="str">
        <f>IFERROR(__xludf.DUMMYFUNCTION("""COMPUTED_VALUE"""),"BAA-798")</f>
        <v>BAA-798</v>
      </c>
    </row>
    <row r="5733" ht="15.75" customHeight="1">
      <c r="A5733" t="str">
        <f t="shared" si="1"/>
        <v>T.fusca</v>
      </c>
      <c r="B5733" s="5" t="s">
        <v>33432</v>
      </c>
      <c r="C5733" s="6" t="str">
        <f>IFERROR(__xludf.DUMMYFUNCTION("SPLIT('2. c'!B5733, "" "", True, True)"),"Thermobifida")</f>
        <v>Thermobifida</v>
      </c>
      <c r="D5733" t="str">
        <f>IFERROR(__xludf.DUMMYFUNCTION("""COMPUTED_VALUE"""),"fusca")</f>
        <v>fusca</v>
      </c>
      <c r="E5733" t="str">
        <f>IFERROR(__xludf.DUMMYFUNCTION("""COMPUTED_VALUE"""),"YX")</f>
        <v>YX</v>
      </c>
    </row>
    <row r="5734" ht="15.75" customHeight="1">
      <c r="A5734" t="str">
        <f t="shared" si="1"/>
        <v>T.bispora</v>
      </c>
      <c r="B5734" s="5" t="s">
        <v>33433</v>
      </c>
      <c r="C5734" s="6" t="str">
        <f>IFERROR(__xludf.DUMMYFUNCTION("SPLIT('2. c'!B5734, "" "", True, True)"),"Thermobispora")</f>
        <v>Thermobispora</v>
      </c>
      <c r="D5734" t="str">
        <f>IFERROR(__xludf.DUMMYFUNCTION("""COMPUTED_VALUE"""),"bispora")</f>
        <v>bispora</v>
      </c>
      <c r="E5734" t="str">
        <f>IFERROR(__xludf.DUMMYFUNCTION("""COMPUTED_VALUE"""),"DSM")</f>
        <v>DSM</v>
      </c>
      <c r="F5734">
        <f>IFERROR(__xludf.DUMMYFUNCTION("""COMPUTED_VALUE"""),43833.0)</f>
        <v>43833</v>
      </c>
    </row>
    <row r="5735" ht="15.75" customHeight="1">
      <c r="A5735" t="str">
        <f t="shared" si="1"/>
        <v>T.barophilus</v>
      </c>
      <c r="B5735" s="5" t="s">
        <v>33434</v>
      </c>
      <c r="C5735" s="6" t="str">
        <f>IFERROR(__xludf.DUMMYFUNCTION("SPLIT('2. c'!B5735, "" "", True, True)"),"Thermococcus")</f>
        <v>Thermococcus</v>
      </c>
      <c r="D5735" t="str">
        <f>IFERROR(__xludf.DUMMYFUNCTION("""COMPUTED_VALUE"""),"barophilus")</f>
        <v>barophilus</v>
      </c>
      <c r="E5735" t="str">
        <f>IFERROR(__xludf.DUMMYFUNCTION("""COMPUTED_VALUE"""),"MP")</f>
        <v>MP</v>
      </c>
    </row>
    <row r="5736" ht="15.75" customHeight="1">
      <c r="A5736" t="str">
        <f t="shared" si="1"/>
        <v>T.barophilus</v>
      </c>
      <c r="B5736" s="5" t="s">
        <v>33435</v>
      </c>
      <c r="C5736" s="6" t="str">
        <f>IFERROR(__xludf.DUMMYFUNCTION("SPLIT('2. c'!B5736, "" "", True, True)"),"Thermococcus")</f>
        <v>Thermococcus</v>
      </c>
      <c r="D5736" t="str">
        <f>IFERROR(__xludf.DUMMYFUNCTION("""COMPUTED_VALUE"""),"barophilus")</f>
        <v>barophilus</v>
      </c>
      <c r="E5736" t="str">
        <f>IFERROR(__xludf.DUMMYFUNCTION("""COMPUTED_VALUE"""),"strain")</f>
        <v>strain</v>
      </c>
      <c r="F5736" t="str">
        <f>IFERROR(__xludf.DUMMYFUNCTION("""COMPUTED_VALUE"""),"CH5")</f>
        <v>CH5</v>
      </c>
    </row>
    <row r="5737" ht="15.75" customHeight="1">
      <c r="A5737" t="str">
        <f t="shared" si="1"/>
        <v>T.eurythermalis</v>
      </c>
      <c r="B5737" s="5" t="s">
        <v>33436</v>
      </c>
      <c r="C5737" s="6" t="str">
        <f>IFERROR(__xludf.DUMMYFUNCTION("SPLIT('2. c'!B5737, "" "", True, True)"),"Thermococcus")</f>
        <v>Thermococcus</v>
      </c>
      <c r="D5737" t="str">
        <f>IFERROR(__xludf.DUMMYFUNCTION("""COMPUTED_VALUE"""),"eurythermalis")</f>
        <v>eurythermalis</v>
      </c>
      <c r="E5737" t="str">
        <f>IFERROR(__xludf.DUMMYFUNCTION("""COMPUTED_VALUE"""),"A501")</f>
        <v>A501</v>
      </c>
    </row>
    <row r="5738" ht="15.75" customHeight="1">
      <c r="A5738" t="str">
        <f t="shared" si="1"/>
        <v>T.gammatolerans</v>
      </c>
      <c r="B5738" s="5" t="s">
        <v>33437</v>
      </c>
      <c r="C5738" s="6" t="str">
        <f>IFERROR(__xludf.DUMMYFUNCTION("SPLIT('2. c'!B5738, "" "", True, True)"),"Thermococcus")</f>
        <v>Thermococcus</v>
      </c>
      <c r="D5738" t="str">
        <f>IFERROR(__xludf.DUMMYFUNCTION("""COMPUTED_VALUE"""),"gammatolerans")</f>
        <v>gammatolerans</v>
      </c>
      <c r="E5738" t="str">
        <f>IFERROR(__xludf.DUMMYFUNCTION("""COMPUTED_VALUE"""),"EJ3")</f>
        <v>EJ3</v>
      </c>
    </row>
    <row r="5739" ht="15.75" customHeight="1">
      <c r="A5739" t="str">
        <f t="shared" si="1"/>
        <v>T.guaymasensis</v>
      </c>
      <c r="B5739" s="5" t="s">
        <v>33438</v>
      </c>
      <c r="C5739" s="6" t="str">
        <f>IFERROR(__xludf.DUMMYFUNCTION("SPLIT('2. c'!B5739, "" "", True, True)"),"Thermococcus")</f>
        <v>Thermococcus</v>
      </c>
      <c r="D5739" t="str">
        <f>IFERROR(__xludf.DUMMYFUNCTION("""COMPUTED_VALUE"""),"guaymasensis")</f>
        <v>guaymasensis</v>
      </c>
      <c r="E5739" t="str">
        <f>IFERROR(__xludf.DUMMYFUNCTION("""COMPUTED_VALUE"""),"DSM")</f>
        <v>DSM</v>
      </c>
      <c r="F5739">
        <f>IFERROR(__xludf.DUMMYFUNCTION("""COMPUTED_VALUE"""),11113.0)</f>
        <v>11113</v>
      </c>
    </row>
    <row r="5740" ht="15.75" customHeight="1">
      <c r="A5740" t="str">
        <f t="shared" si="1"/>
        <v>T.kodakarensis</v>
      </c>
      <c r="B5740" s="5" t="s">
        <v>33439</v>
      </c>
      <c r="C5740" s="6" t="str">
        <f>IFERROR(__xludf.DUMMYFUNCTION("SPLIT('2. c'!B5740, "" "", True, True)"),"Thermococcus")</f>
        <v>Thermococcus</v>
      </c>
      <c r="D5740" t="str">
        <f>IFERROR(__xludf.DUMMYFUNCTION("""COMPUTED_VALUE"""),"kodakarensis")</f>
        <v>kodakarensis</v>
      </c>
      <c r="E5740" t="str">
        <f>IFERROR(__xludf.DUMMYFUNCTION("""COMPUTED_VALUE"""),"KOD1")</f>
        <v>KOD1</v>
      </c>
    </row>
    <row r="5741" ht="15.75" customHeight="1">
      <c r="A5741" t="str">
        <f t="shared" si="1"/>
        <v>T.litoralis</v>
      </c>
      <c r="B5741" s="5" t="s">
        <v>33440</v>
      </c>
      <c r="C5741" s="6" t="str">
        <f>IFERROR(__xludf.DUMMYFUNCTION("SPLIT('2. c'!B5741, "" "", True, True)"),"Thermococcus")</f>
        <v>Thermococcus</v>
      </c>
      <c r="D5741" t="str">
        <f>IFERROR(__xludf.DUMMYFUNCTION("""COMPUTED_VALUE"""),"litoralis")</f>
        <v>litoralis</v>
      </c>
      <c r="E5741" t="str">
        <f>IFERROR(__xludf.DUMMYFUNCTION("""COMPUTED_VALUE"""),"DSM")</f>
        <v>DSM</v>
      </c>
      <c r="F5741">
        <f>IFERROR(__xludf.DUMMYFUNCTION("""COMPUTED_VALUE"""),5473.0)</f>
        <v>5473</v>
      </c>
    </row>
    <row r="5742" ht="15.75" customHeight="1">
      <c r="A5742" t="str">
        <f t="shared" si="1"/>
        <v>T.nautili</v>
      </c>
      <c r="B5742" s="5" t="s">
        <v>33441</v>
      </c>
      <c r="C5742" s="6" t="str">
        <f>IFERROR(__xludf.DUMMYFUNCTION("SPLIT('2. c'!B5742, "" "", True, True)"),"Thermococcus")</f>
        <v>Thermococcus</v>
      </c>
      <c r="D5742" t="str">
        <f>IFERROR(__xludf.DUMMYFUNCTION("""COMPUTED_VALUE"""),"nautili")</f>
        <v>nautili</v>
      </c>
      <c r="E5742" t="str">
        <f>IFERROR(__xludf.DUMMYFUNCTION("""COMPUTED_VALUE"""),"strain")</f>
        <v>strain</v>
      </c>
      <c r="F5742" s="25">
        <f>IFERROR(__xludf.DUMMYFUNCTION("""COMPUTED_VALUE"""),43130.0)</f>
        <v>43130</v>
      </c>
    </row>
    <row r="5743" ht="15.75" customHeight="1">
      <c r="A5743" t="str">
        <f t="shared" si="1"/>
        <v>T.onnurineus</v>
      </c>
      <c r="B5743" s="5" t="s">
        <v>33442</v>
      </c>
      <c r="C5743" s="6" t="str">
        <f>IFERROR(__xludf.DUMMYFUNCTION("SPLIT('2. c'!B5743, "" "", True, True)"),"Thermococcus")</f>
        <v>Thermococcus</v>
      </c>
      <c r="D5743" t="str">
        <f>IFERROR(__xludf.DUMMYFUNCTION("""COMPUTED_VALUE"""),"onnurineus")</f>
        <v>onnurineus</v>
      </c>
      <c r="E5743" t="str">
        <f>IFERROR(__xludf.DUMMYFUNCTION("""COMPUTED_VALUE"""),"NA1")</f>
        <v>NA1</v>
      </c>
    </row>
    <row r="5744" ht="15.75" customHeight="1">
      <c r="A5744" t="str">
        <f t="shared" si="1"/>
        <v>T.peptonophilus</v>
      </c>
      <c r="B5744" s="5" t="s">
        <v>33443</v>
      </c>
      <c r="C5744" s="6" t="str">
        <f>IFERROR(__xludf.DUMMYFUNCTION("SPLIT('2. c'!B5744, "" "", True, True)"),"Thermococcus")</f>
        <v>Thermococcus</v>
      </c>
      <c r="D5744" t="str">
        <f>IFERROR(__xludf.DUMMYFUNCTION("""COMPUTED_VALUE"""),"peptonophilus")</f>
        <v>peptonophilus</v>
      </c>
      <c r="E5744" t="str">
        <f>IFERROR(__xludf.DUMMYFUNCTION("""COMPUTED_VALUE"""),"strain")</f>
        <v>strain</v>
      </c>
      <c r="F5744" t="str">
        <f>IFERROR(__xludf.DUMMYFUNCTION("""COMPUTED_VALUE"""),"OG-1")</f>
        <v>OG-1</v>
      </c>
    </row>
    <row r="5745" ht="15.75" customHeight="1">
      <c r="A5745" t="str">
        <f t="shared" si="1"/>
        <v>T.sibiricus</v>
      </c>
      <c r="B5745" s="5" t="s">
        <v>33444</v>
      </c>
      <c r="C5745" s="6" t="str">
        <f>IFERROR(__xludf.DUMMYFUNCTION("SPLIT('2. c'!B5745, "" "", True, True)"),"Thermococcus")</f>
        <v>Thermococcus</v>
      </c>
      <c r="D5745" t="str">
        <f>IFERROR(__xludf.DUMMYFUNCTION("""COMPUTED_VALUE"""),"sibiricus")</f>
        <v>sibiricus</v>
      </c>
      <c r="E5745" t="str">
        <f>IFERROR(__xludf.DUMMYFUNCTION("""COMPUTED_VALUE"""),"MM")</f>
        <v>MM</v>
      </c>
      <c r="F5745">
        <f>IFERROR(__xludf.DUMMYFUNCTION("""COMPUTED_VALUE"""),739.0)</f>
        <v>739</v>
      </c>
    </row>
    <row r="5746" ht="15.75" customHeight="1">
      <c r="A5746" t="str">
        <f t="shared" si="1"/>
        <v>T.sp.</v>
      </c>
      <c r="B5746" s="5" t="s">
        <v>33445</v>
      </c>
      <c r="C5746" s="6" t="str">
        <f>IFERROR(__xludf.DUMMYFUNCTION("SPLIT('2. c'!B5746, "" "", True, True)"),"Thermococcus")</f>
        <v>Thermococcus</v>
      </c>
      <c r="D5746" t="str">
        <f>IFERROR(__xludf.DUMMYFUNCTION("""COMPUTED_VALUE"""),"sp.")</f>
        <v>sp.</v>
      </c>
      <c r="E5746" t="str">
        <f>IFERROR(__xludf.DUMMYFUNCTION("""COMPUTED_VALUE"""),"2319x1")</f>
        <v>2319x1</v>
      </c>
    </row>
    <row r="5747" ht="15.75" customHeight="1">
      <c r="A5747" t="str">
        <f t="shared" si="1"/>
        <v>T.sp.</v>
      </c>
      <c r="B5747" s="5" t="s">
        <v>33446</v>
      </c>
      <c r="C5747" s="6" t="str">
        <f>IFERROR(__xludf.DUMMYFUNCTION("SPLIT('2. c'!B5747, "" "", True, True)"),"Thermococcus")</f>
        <v>Thermococcus</v>
      </c>
      <c r="D5747" t="str">
        <f>IFERROR(__xludf.DUMMYFUNCTION("""COMPUTED_VALUE"""),"sp.")</f>
        <v>sp.</v>
      </c>
      <c r="E5747">
        <f>IFERROR(__xludf.DUMMYFUNCTION("""COMPUTED_VALUE"""),4557.0)</f>
        <v>4557</v>
      </c>
    </row>
    <row r="5748" ht="15.75" customHeight="1">
      <c r="A5748" t="str">
        <f t="shared" si="1"/>
        <v>T.sp.</v>
      </c>
      <c r="B5748" s="5" t="s">
        <v>33447</v>
      </c>
      <c r="C5748" s="6" t="str">
        <f>IFERROR(__xludf.DUMMYFUNCTION("SPLIT('2. c'!B5748, "" "", True, True)"),"Thermococcus")</f>
        <v>Thermococcus</v>
      </c>
      <c r="D5748" t="str">
        <f>IFERROR(__xludf.DUMMYFUNCTION("""COMPUTED_VALUE"""),"sp.")</f>
        <v>sp.</v>
      </c>
      <c r="E5748" t="str">
        <f>IFERROR(__xludf.DUMMYFUNCTION("""COMPUTED_VALUE"""),"AM4")</f>
        <v>AM4</v>
      </c>
    </row>
    <row r="5749" ht="15.75" customHeight="1">
      <c r="A5749" t="str">
        <f t="shared" si="1"/>
        <v>T.sp.</v>
      </c>
      <c r="B5749" s="5" t="s">
        <v>33448</v>
      </c>
      <c r="C5749" s="6" t="str">
        <f>IFERROR(__xludf.DUMMYFUNCTION("SPLIT('2. c'!B5749, "" "", True, True)"),"Thermococcus")</f>
        <v>Thermococcus</v>
      </c>
      <c r="D5749" t="str">
        <f>IFERROR(__xludf.DUMMYFUNCTION("""COMPUTED_VALUE"""),"sp.")</f>
        <v>sp.</v>
      </c>
      <c r="E5749" t="str">
        <f>IFERROR(__xludf.DUMMYFUNCTION("""COMPUTED_VALUE"""),"CDGS")</f>
        <v>CDGS</v>
      </c>
    </row>
    <row r="5750" ht="15.75" customHeight="1">
      <c r="A5750" t="str">
        <f t="shared" si="1"/>
        <v>T.sp.</v>
      </c>
      <c r="B5750" s="5" t="s">
        <v>33449</v>
      </c>
      <c r="C5750" s="6" t="str">
        <f>IFERROR(__xludf.DUMMYFUNCTION("SPLIT('2. c'!B5750, "" "", True, True)"),"Thermococcus")</f>
        <v>Thermococcus</v>
      </c>
      <c r="D5750" t="str">
        <f>IFERROR(__xludf.DUMMYFUNCTION("""COMPUTED_VALUE"""),"sp.")</f>
        <v>sp.</v>
      </c>
      <c r="E5750" t="str">
        <f>IFERROR(__xludf.DUMMYFUNCTION("""COMPUTED_VALUE"""),"CL1")</f>
        <v>CL1</v>
      </c>
    </row>
    <row r="5751" ht="15.75" customHeight="1">
      <c r="A5751" t="str">
        <f t="shared" si="1"/>
        <v>T.sp.</v>
      </c>
      <c r="B5751" s="5" t="s">
        <v>33450</v>
      </c>
      <c r="C5751" s="6" t="str">
        <f>IFERROR(__xludf.DUMMYFUNCTION("SPLIT('2. c'!B5751, "" "", True, True)"),"Thermococcus")</f>
        <v>Thermococcus</v>
      </c>
      <c r="D5751" t="str">
        <f>IFERROR(__xludf.DUMMYFUNCTION("""COMPUTED_VALUE"""),"sp.")</f>
        <v>sp.</v>
      </c>
      <c r="E5751" t="str">
        <f>IFERROR(__xludf.DUMMYFUNCTION("""COMPUTED_VALUE"""),"ES1")</f>
        <v>ES1</v>
      </c>
    </row>
    <row r="5752" ht="15.75" customHeight="1">
      <c r="A5752" t="str">
        <f t="shared" si="1"/>
        <v>T.albus</v>
      </c>
      <c r="B5752" s="5" t="s">
        <v>33451</v>
      </c>
      <c r="C5752" s="6" t="str">
        <f>IFERROR(__xludf.DUMMYFUNCTION("SPLIT('2. c'!B5752, "" "", True, True)"),"Thermocrinis")</f>
        <v>Thermocrinis</v>
      </c>
      <c r="D5752" t="str">
        <f>IFERROR(__xludf.DUMMYFUNCTION("""COMPUTED_VALUE"""),"albus")</f>
        <v>albus</v>
      </c>
      <c r="E5752" t="str">
        <f>IFERROR(__xludf.DUMMYFUNCTION("""COMPUTED_VALUE"""),"DSM")</f>
        <v>DSM</v>
      </c>
      <c r="F5752">
        <f>IFERROR(__xludf.DUMMYFUNCTION("""COMPUTED_VALUE"""),14484.0)</f>
        <v>14484</v>
      </c>
    </row>
    <row r="5753" ht="15.75" customHeight="1">
      <c r="A5753" t="str">
        <f t="shared" si="1"/>
        <v>T.ruber</v>
      </c>
      <c r="B5753" s="5" t="s">
        <v>33452</v>
      </c>
      <c r="C5753" s="6" t="str">
        <f>IFERROR(__xludf.DUMMYFUNCTION("SPLIT('2. c'!B5753, "" "", True, True)"),"Thermocrinis")</f>
        <v>Thermocrinis</v>
      </c>
      <c r="D5753" t="str">
        <f>IFERROR(__xludf.DUMMYFUNCTION("""COMPUTED_VALUE"""),"ruber")</f>
        <v>ruber</v>
      </c>
      <c r="E5753" t="str">
        <f>IFERROR(__xludf.DUMMYFUNCTION("""COMPUTED_VALUE"""),"strain")</f>
        <v>strain</v>
      </c>
      <c r="F5753" t="str">
        <f>IFERROR(__xludf.DUMMYFUNCTION("""COMPUTED_VALUE"""),"DSM")</f>
        <v>DSM</v>
      </c>
      <c r="G5753">
        <f>IFERROR(__xludf.DUMMYFUNCTION("""COMPUTED_VALUE"""),23557.0)</f>
        <v>23557</v>
      </c>
    </row>
    <row r="5754" ht="15.75" customHeight="1">
      <c r="A5754" t="str">
        <f t="shared" si="1"/>
        <v>T.indicus</v>
      </c>
      <c r="B5754" s="5" t="s">
        <v>33453</v>
      </c>
      <c r="C5754" s="6" t="str">
        <f>IFERROR(__xludf.DUMMYFUNCTION("SPLIT('2. c'!B5754, "" "", True, True)"),"Thermodesulfatator")</f>
        <v>Thermodesulfatator</v>
      </c>
      <c r="D5754" t="str">
        <f>IFERROR(__xludf.DUMMYFUNCTION("""COMPUTED_VALUE"""),"indicus")</f>
        <v>indicus</v>
      </c>
      <c r="E5754" t="str">
        <f>IFERROR(__xludf.DUMMYFUNCTION("""COMPUTED_VALUE"""),"DSM")</f>
        <v>DSM</v>
      </c>
      <c r="F5754">
        <f>IFERROR(__xludf.DUMMYFUNCTION("""COMPUTED_VALUE"""),15286.0)</f>
        <v>15286</v>
      </c>
    </row>
    <row r="5755" ht="15.75" customHeight="1">
      <c r="A5755" t="str">
        <f t="shared" si="1"/>
        <v>T.bacterium</v>
      </c>
      <c r="B5755" s="5" t="s">
        <v>33454</v>
      </c>
      <c r="C5755" s="6" t="str">
        <f>IFERROR(__xludf.DUMMYFUNCTION("SPLIT('2. c'!B5755, "" "", True, True)"),"Thermodesulfobacteriaceae")</f>
        <v>Thermodesulfobacteriaceae</v>
      </c>
      <c r="D5755" t="str">
        <f>IFERROR(__xludf.DUMMYFUNCTION("""COMPUTED_VALUE"""),"bacterium")</f>
        <v>bacterium</v>
      </c>
      <c r="E5755" t="str">
        <f>IFERROR(__xludf.DUMMYFUNCTION("""COMPUTED_VALUE"""),"TF1")</f>
        <v>TF1</v>
      </c>
    </row>
    <row r="5756" ht="15.75" customHeight="1">
      <c r="A5756" t="str">
        <f t="shared" si="1"/>
        <v>T.commune</v>
      </c>
      <c r="B5756" s="5" t="s">
        <v>33455</v>
      </c>
      <c r="C5756" s="6" t="str">
        <f>IFERROR(__xludf.DUMMYFUNCTION("SPLIT('2. c'!B5756, "" "", True, True)"),"Thermodesulfobacterium")</f>
        <v>Thermodesulfobacterium</v>
      </c>
      <c r="D5756" t="str">
        <f>IFERROR(__xludf.DUMMYFUNCTION("""COMPUTED_VALUE"""),"commune")</f>
        <v>commune</v>
      </c>
      <c r="E5756" t="str">
        <f>IFERROR(__xludf.DUMMYFUNCTION("""COMPUTED_VALUE"""),"DSM")</f>
        <v>DSM</v>
      </c>
      <c r="F5756">
        <f>IFERROR(__xludf.DUMMYFUNCTION("""COMPUTED_VALUE"""),2178.0)</f>
        <v>2178</v>
      </c>
    </row>
    <row r="5757" ht="15.75" customHeight="1">
      <c r="A5757" t="str">
        <f t="shared" si="1"/>
        <v>T.geofontis</v>
      </c>
      <c r="B5757" s="5" t="s">
        <v>33456</v>
      </c>
      <c r="C5757" s="6" t="str">
        <f>IFERROR(__xludf.DUMMYFUNCTION("SPLIT('2. c'!B5757, "" "", True, True)"),"Thermodesulfobacterium")</f>
        <v>Thermodesulfobacterium</v>
      </c>
      <c r="D5757" t="str">
        <f>IFERROR(__xludf.DUMMYFUNCTION("""COMPUTED_VALUE"""),"geofontis")</f>
        <v>geofontis</v>
      </c>
      <c r="E5757" t="str">
        <f>IFERROR(__xludf.DUMMYFUNCTION("""COMPUTED_VALUE"""),"OPF15")</f>
        <v>OPF15</v>
      </c>
    </row>
    <row r="5758" ht="15.75" customHeight="1">
      <c r="A5758" t="str">
        <f t="shared" si="1"/>
        <v>T.narugense</v>
      </c>
      <c r="B5758" s="5" t="s">
        <v>33457</v>
      </c>
      <c r="C5758" s="6" t="str">
        <f>IFERROR(__xludf.DUMMYFUNCTION("SPLIT('2. c'!B5758, "" "", True, True)"),"Thermodesulfobium")</f>
        <v>Thermodesulfobium</v>
      </c>
      <c r="D5758" t="str">
        <f>IFERROR(__xludf.DUMMYFUNCTION("""COMPUTED_VALUE"""),"narugense")</f>
        <v>narugense</v>
      </c>
      <c r="E5758" t="str">
        <f>IFERROR(__xludf.DUMMYFUNCTION("""COMPUTED_VALUE"""),"DSM")</f>
        <v>DSM</v>
      </c>
      <c r="F5758">
        <f>IFERROR(__xludf.DUMMYFUNCTION("""COMPUTED_VALUE"""),14796.0)</f>
        <v>14796</v>
      </c>
    </row>
    <row r="5759" ht="15.75" customHeight="1">
      <c r="A5759" t="str">
        <f t="shared" si="1"/>
        <v>T.yellowstonii</v>
      </c>
      <c r="B5759" s="5" t="s">
        <v>33458</v>
      </c>
      <c r="C5759" s="6" t="str">
        <f>IFERROR(__xludf.DUMMYFUNCTION("SPLIT('2. c'!B5759, "" "", True, True)"),"Thermodesulfovibrio")</f>
        <v>Thermodesulfovibrio</v>
      </c>
      <c r="D5759" t="str">
        <f>IFERROR(__xludf.DUMMYFUNCTION("""COMPUTED_VALUE"""),"yellowstonii")</f>
        <v>yellowstonii</v>
      </c>
      <c r="E5759" t="str">
        <f>IFERROR(__xludf.DUMMYFUNCTION("""COMPUTED_VALUE"""),"DSM")</f>
        <v>DSM</v>
      </c>
      <c r="F5759">
        <f>IFERROR(__xludf.DUMMYFUNCTION("""COMPUTED_VALUE"""),11347.0)</f>
        <v>11347</v>
      </c>
    </row>
    <row r="5760" ht="15.75" customHeight="1">
      <c r="A5760" t="str">
        <f t="shared" si="1"/>
        <v>T.carboxyditrophus</v>
      </c>
      <c r="B5760" s="5" t="s">
        <v>33459</v>
      </c>
      <c r="C5760" s="6" t="str">
        <f>IFERROR(__xludf.DUMMYFUNCTION("SPLIT('2. c'!B5760, "" "", True, True)"),"Thermofilum")</f>
        <v>Thermofilum</v>
      </c>
      <c r="D5760" t="str">
        <f>IFERROR(__xludf.DUMMYFUNCTION("""COMPUTED_VALUE"""),"carboxyditrophus")</f>
        <v>carboxyditrophus</v>
      </c>
      <c r="E5760">
        <f>IFERROR(__xludf.DUMMYFUNCTION("""COMPUTED_VALUE"""),1505.0)</f>
        <v>1505</v>
      </c>
    </row>
    <row r="5761" ht="15.75" customHeight="1">
      <c r="A5761" t="str">
        <f t="shared" si="1"/>
        <v>T.pendens</v>
      </c>
      <c r="B5761" s="5" t="s">
        <v>33460</v>
      </c>
      <c r="C5761" s="6" t="str">
        <f>IFERROR(__xludf.DUMMYFUNCTION("SPLIT('2. c'!B5761, "" "", True, True)"),"Thermofilum")</f>
        <v>Thermofilum</v>
      </c>
      <c r="D5761" t="str">
        <f>IFERROR(__xludf.DUMMYFUNCTION("""COMPUTED_VALUE"""),"pendens")</f>
        <v>pendens</v>
      </c>
      <c r="E5761" t="str">
        <f>IFERROR(__xludf.DUMMYFUNCTION("""COMPUTED_VALUE"""),"Hrk")</f>
        <v>Hrk</v>
      </c>
      <c r="F5761">
        <f>IFERROR(__xludf.DUMMYFUNCTION("""COMPUTED_VALUE"""),5.0)</f>
        <v>5</v>
      </c>
    </row>
    <row r="5762" ht="15.75" customHeight="1">
      <c r="A5762" t="str">
        <f t="shared" si="1"/>
        <v>T.sp.</v>
      </c>
      <c r="B5762" s="5" t="s">
        <v>33461</v>
      </c>
      <c r="C5762" s="6" t="str">
        <f>IFERROR(__xludf.DUMMYFUNCTION("SPLIT('2. c'!B5762, "" "", True, True)"),"Thermofilum")</f>
        <v>Thermofilum</v>
      </c>
      <c r="D5762" t="str">
        <f>IFERROR(__xludf.DUMMYFUNCTION("""COMPUTED_VALUE"""),"sp.")</f>
        <v>sp.</v>
      </c>
      <c r="E5762" s="12">
        <f>IFERROR(__xludf.DUMMYFUNCTION("""COMPUTED_VALUE"""),-33935.0)</f>
        <v>-33935</v>
      </c>
    </row>
    <row r="5763" ht="15.75" customHeight="1">
      <c r="A5763" t="str">
        <f t="shared" si="1"/>
        <v>T.sp.</v>
      </c>
      <c r="B5763" s="5" t="s">
        <v>33462</v>
      </c>
      <c r="C5763" s="6" t="str">
        <f>IFERROR(__xludf.DUMMYFUNCTION("SPLIT('2. c'!B5763, "" "", True, True)"),"Thermofilum")</f>
        <v>Thermofilum</v>
      </c>
      <c r="D5763" t="str">
        <f>IFERROR(__xludf.DUMMYFUNCTION("""COMPUTED_VALUE"""),"sp.")</f>
        <v>sp.</v>
      </c>
      <c r="E5763" t="str">
        <f>IFERROR(__xludf.DUMMYFUNCTION("""COMPUTED_VALUE"""),"1910b")</f>
        <v>1910b</v>
      </c>
    </row>
    <row r="5764" ht="15.75" customHeight="1">
      <c r="A5764" t="str">
        <f t="shared" si="1"/>
        <v>T.cellulolyticus</v>
      </c>
      <c r="B5764" s="5" t="s">
        <v>33463</v>
      </c>
      <c r="C5764" s="6" t="str">
        <f>IFERROR(__xludf.DUMMYFUNCTION("SPLIT('2. c'!B5764, "" "", True, True)"),"Thermogladius")</f>
        <v>Thermogladius</v>
      </c>
      <c r="D5764" t="str">
        <f>IFERROR(__xludf.DUMMYFUNCTION("""COMPUTED_VALUE"""),"cellulolyticus")</f>
        <v>cellulolyticus</v>
      </c>
      <c r="E5764">
        <f>IFERROR(__xludf.DUMMYFUNCTION("""COMPUTED_VALUE"""),1633.0)</f>
        <v>1633</v>
      </c>
    </row>
    <row r="5765" ht="15.75" customHeight="1">
      <c r="A5765" t="str">
        <f t="shared" si="1"/>
        <v>T.roseum</v>
      </c>
      <c r="B5765" s="5" t="s">
        <v>33464</v>
      </c>
      <c r="C5765" s="6" t="str">
        <f>IFERROR(__xludf.DUMMYFUNCTION("SPLIT('2. c'!B5765, "" "", True, True)"),"Thermomicrobium")</f>
        <v>Thermomicrobium</v>
      </c>
      <c r="D5765" t="str">
        <f>IFERROR(__xludf.DUMMYFUNCTION("""COMPUTED_VALUE"""),"roseum")</f>
        <v>roseum</v>
      </c>
      <c r="E5765" t="str">
        <f>IFERROR(__xludf.DUMMYFUNCTION("""COMPUTED_VALUE"""),"DSM")</f>
        <v>DSM</v>
      </c>
      <c r="F5765">
        <f>IFERROR(__xludf.DUMMYFUNCTION("""COMPUTED_VALUE"""),5159.0)</f>
        <v>5159</v>
      </c>
    </row>
    <row r="5766" ht="15.75" customHeight="1">
      <c r="A5766" t="str">
        <f t="shared" si="1"/>
        <v>T.curvata</v>
      </c>
      <c r="B5766" s="5" t="s">
        <v>33465</v>
      </c>
      <c r="C5766" s="6" t="str">
        <f>IFERROR(__xludf.DUMMYFUNCTION("SPLIT('2. c'!B5766, "" "", True, True)"),"Thermomonospora")</f>
        <v>Thermomonospora</v>
      </c>
      <c r="D5766" t="str">
        <f>IFERROR(__xludf.DUMMYFUNCTION("""COMPUTED_VALUE"""),"curvata")</f>
        <v>curvata</v>
      </c>
      <c r="E5766" t="str">
        <f>IFERROR(__xludf.DUMMYFUNCTION("""COMPUTED_VALUE"""),"DSM")</f>
        <v>DSM</v>
      </c>
      <c r="F5766">
        <f>IFERROR(__xludf.DUMMYFUNCTION("""COMPUTED_VALUE"""),43183.0)</f>
        <v>43183</v>
      </c>
    </row>
    <row r="5767" ht="15.75" customHeight="1">
      <c r="A5767" t="str">
        <f t="shared" si="1"/>
        <v>T.acidophilum</v>
      </c>
      <c r="B5767" s="5" t="s">
        <v>33466</v>
      </c>
      <c r="C5767" s="6" t="str">
        <f>IFERROR(__xludf.DUMMYFUNCTION("SPLIT('2. c'!B5767, "" "", True, True)"),"Thermoplasma")</f>
        <v>Thermoplasma</v>
      </c>
      <c r="D5767" t="str">
        <f>IFERROR(__xludf.DUMMYFUNCTION("""COMPUTED_VALUE"""),"acidophilum")</f>
        <v>acidophilum</v>
      </c>
      <c r="E5767" t="str">
        <f>IFERROR(__xludf.DUMMYFUNCTION("""COMPUTED_VALUE"""),"DSM")</f>
        <v>DSM</v>
      </c>
      <c r="F5767">
        <f>IFERROR(__xludf.DUMMYFUNCTION("""COMPUTED_VALUE"""),1728.0)</f>
        <v>1728</v>
      </c>
    </row>
    <row r="5768" ht="15.75" customHeight="1">
      <c r="A5768" t="str">
        <f t="shared" si="1"/>
        <v>T.volcanium</v>
      </c>
      <c r="B5768" s="5" t="s">
        <v>33467</v>
      </c>
      <c r="C5768" s="6" t="str">
        <f>IFERROR(__xludf.DUMMYFUNCTION("SPLIT('2. c'!B5768, "" "", True, True)"),"Thermoplasma")</f>
        <v>Thermoplasma</v>
      </c>
      <c r="D5768" t="str">
        <f>IFERROR(__xludf.DUMMYFUNCTION("""COMPUTED_VALUE"""),"volcanium")</f>
        <v>volcanium</v>
      </c>
      <c r="E5768" t="str">
        <f>IFERROR(__xludf.DUMMYFUNCTION("""COMPUTED_VALUE"""),"GSS1")</f>
        <v>GSS1</v>
      </c>
    </row>
    <row r="5769" ht="15.75" customHeight="1">
      <c r="A5769" t="str">
        <f t="shared" si="1"/>
        <v>T.archaeon</v>
      </c>
      <c r="B5769" s="5" t="s">
        <v>33468</v>
      </c>
      <c r="C5769" s="6" t="str">
        <f>IFERROR(__xludf.DUMMYFUNCTION("SPLIT('2. c'!B5769, "" "", True, True)"),"Thermoplasmatales")</f>
        <v>Thermoplasmatales</v>
      </c>
      <c r="D5769" t="str">
        <f>IFERROR(__xludf.DUMMYFUNCTION("""COMPUTED_VALUE"""),"archaeon")</f>
        <v>archaeon</v>
      </c>
      <c r="E5769" t="str">
        <f>IFERROR(__xludf.DUMMYFUNCTION("""COMPUTED_VALUE"""),"BRNA1")</f>
        <v>BRNA1</v>
      </c>
    </row>
    <row r="5770" ht="15.75" customHeight="1">
      <c r="A5770" t="str">
        <f t="shared" si="1"/>
        <v>T.tenax</v>
      </c>
      <c r="B5770" s="5" t="s">
        <v>33469</v>
      </c>
      <c r="C5770" s="6" t="str">
        <f>IFERROR(__xludf.DUMMYFUNCTION("SPLIT('2. c'!B5770, "" "", True, True)"),"Thermoproteus")</f>
        <v>Thermoproteus</v>
      </c>
      <c r="D5770" t="str">
        <f>IFERROR(__xludf.DUMMYFUNCTION("""COMPUTED_VALUE"""),"tenax")</f>
        <v>tenax</v>
      </c>
      <c r="E5770" t="str">
        <f>IFERROR(__xludf.DUMMYFUNCTION("""COMPUTED_VALUE"""),"Kra")</f>
        <v>Kra</v>
      </c>
      <c r="F5770">
        <f>IFERROR(__xludf.DUMMYFUNCTION("""COMPUTED_VALUE"""),1.0)</f>
        <v>1</v>
      </c>
    </row>
    <row r="5771" ht="15.75" customHeight="1">
      <c r="A5771" t="str">
        <f t="shared" si="1"/>
        <v>T.uzoniensis</v>
      </c>
      <c r="B5771" s="5" t="s">
        <v>33470</v>
      </c>
      <c r="C5771" s="6" t="str">
        <f>IFERROR(__xludf.DUMMYFUNCTION("SPLIT('2. c'!B5771, "" "", True, True)"),"Thermoproteus")</f>
        <v>Thermoproteus</v>
      </c>
      <c r="D5771" t="str">
        <f>IFERROR(__xludf.DUMMYFUNCTION("""COMPUTED_VALUE"""),"uzoniensis")</f>
        <v>uzoniensis</v>
      </c>
      <c r="E5771" t="str">
        <f>IFERROR(__xludf.DUMMYFUNCTION("""COMPUTED_VALUE"""),"768-20")</f>
        <v>768-20</v>
      </c>
    </row>
    <row r="5772" ht="15.75" customHeight="1">
      <c r="A5772" t="str">
        <f t="shared" si="1"/>
        <v>T.oceani</v>
      </c>
      <c r="B5772" s="5" t="s">
        <v>33471</v>
      </c>
      <c r="C5772" s="6" t="str">
        <f>IFERROR(__xludf.DUMMYFUNCTION("SPLIT('2. c'!B5772, "" "", True, True)"),"Thermosediminibacter")</f>
        <v>Thermosediminibacter</v>
      </c>
      <c r="D5772" t="str">
        <f>IFERROR(__xludf.DUMMYFUNCTION("""COMPUTED_VALUE"""),"oceani")</f>
        <v>oceani</v>
      </c>
      <c r="E5772" t="str">
        <f>IFERROR(__xludf.DUMMYFUNCTION("""COMPUTED_VALUE"""),"DSM")</f>
        <v>DSM</v>
      </c>
      <c r="F5772">
        <f>IFERROR(__xludf.DUMMYFUNCTION("""COMPUTED_VALUE"""),16646.0)</f>
        <v>16646</v>
      </c>
    </row>
    <row r="5773" ht="15.75" customHeight="1">
      <c r="A5773" t="str">
        <f t="shared" si="1"/>
        <v>T.africanus</v>
      </c>
      <c r="B5773" s="5" t="s">
        <v>33472</v>
      </c>
      <c r="C5773" s="6" t="str">
        <f>IFERROR(__xludf.DUMMYFUNCTION("SPLIT('2. c'!B5773, "" "", True, True)"),"Thermosipho")</f>
        <v>Thermosipho</v>
      </c>
      <c r="D5773" t="str">
        <f>IFERROR(__xludf.DUMMYFUNCTION("""COMPUTED_VALUE"""),"africanus")</f>
        <v>africanus</v>
      </c>
      <c r="E5773" t="str">
        <f>IFERROR(__xludf.DUMMYFUNCTION("""COMPUTED_VALUE"""),"TCF52B")</f>
        <v>TCF52B</v>
      </c>
    </row>
    <row r="5774" ht="15.75" customHeight="1">
      <c r="A5774" t="str">
        <f t="shared" si="1"/>
        <v>T.melanesiensis</v>
      </c>
      <c r="B5774" s="5" t="s">
        <v>33473</v>
      </c>
      <c r="C5774" s="6" t="str">
        <f>IFERROR(__xludf.DUMMYFUNCTION("SPLIT('2. c'!B5774, "" "", True, True)"),"Thermosipho")</f>
        <v>Thermosipho</v>
      </c>
      <c r="D5774" t="str">
        <f>IFERROR(__xludf.DUMMYFUNCTION("""COMPUTED_VALUE"""),"melanesiensis")</f>
        <v>melanesiensis</v>
      </c>
      <c r="E5774" t="str">
        <f>IFERROR(__xludf.DUMMYFUNCTION("""COMPUTED_VALUE"""),"BI429")</f>
        <v>BI429</v>
      </c>
    </row>
    <row r="5775" ht="15.75" customHeight="1">
      <c r="A5775" t="str">
        <f t="shared" si="1"/>
        <v>T.aggregans</v>
      </c>
      <c r="B5775" s="5" t="s">
        <v>33474</v>
      </c>
      <c r="C5775" s="6" t="str">
        <f>IFERROR(__xludf.DUMMYFUNCTION("SPLIT('2. c'!B5775, "" "", True, True)"),"Thermosphaera")</f>
        <v>Thermosphaera</v>
      </c>
      <c r="D5775" t="str">
        <f>IFERROR(__xludf.DUMMYFUNCTION("""COMPUTED_VALUE"""),"aggregans")</f>
        <v>aggregans</v>
      </c>
      <c r="E5775" t="str">
        <f>IFERROR(__xludf.DUMMYFUNCTION("""COMPUTED_VALUE"""),"DSM")</f>
        <v>DSM</v>
      </c>
      <c r="F5775">
        <f>IFERROR(__xludf.DUMMYFUNCTION("""COMPUTED_VALUE"""),11486.0)</f>
        <v>11486</v>
      </c>
    </row>
    <row r="5776" ht="15.75" customHeight="1">
      <c r="A5776" t="str">
        <f t="shared" si="1"/>
        <v>T.takaii</v>
      </c>
      <c r="B5776" s="5" t="s">
        <v>33475</v>
      </c>
      <c r="C5776" s="6" t="str">
        <f>IFERROR(__xludf.DUMMYFUNCTION("SPLIT('2. c'!B5776, "" "", True, True)"),"Thermosulfidibacter")</f>
        <v>Thermosulfidibacter</v>
      </c>
      <c r="D5776" t="str">
        <f>IFERROR(__xludf.DUMMYFUNCTION("""COMPUTED_VALUE"""),"takaii")</f>
        <v>takaii</v>
      </c>
      <c r="E5776" t="str">
        <f>IFERROR(__xludf.DUMMYFUNCTION("""COMPUTED_VALUE"""),"ABI70S6")</f>
        <v>ABI70S6</v>
      </c>
    </row>
    <row r="5777" ht="15.75" customHeight="1">
      <c r="A5777" t="str">
        <f t="shared" si="1"/>
        <v>T.elongatus</v>
      </c>
      <c r="B5777" s="5" t="s">
        <v>33476</v>
      </c>
      <c r="C5777" s="6" t="str">
        <f>IFERROR(__xludf.DUMMYFUNCTION("SPLIT('2. c'!B5777, "" "", True, True)"),"Thermosynechococcus")</f>
        <v>Thermosynechococcus</v>
      </c>
      <c r="D5777" t="str">
        <f>IFERROR(__xludf.DUMMYFUNCTION("""COMPUTED_VALUE"""),"elongatus")</f>
        <v>elongatus</v>
      </c>
      <c r="E5777" t="str">
        <f>IFERROR(__xludf.DUMMYFUNCTION("""COMPUTED_VALUE"""),"BP-1")</f>
        <v>BP-1</v>
      </c>
    </row>
    <row r="5778" ht="15.75" customHeight="1">
      <c r="A5778" t="str">
        <f t="shared" si="1"/>
        <v>T.sp.</v>
      </c>
      <c r="B5778" s="5" t="s">
        <v>33477</v>
      </c>
      <c r="C5778" s="6" t="str">
        <f>IFERROR(__xludf.DUMMYFUNCTION("SPLIT('2. c'!B5778, "" "", True, True)"),"Thermosynechococcus")</f>
        <v>Thermosynechococcus</v>
      </c>
      <c r="D5778" t="str">
        <f>IFERROR(__xludf.DUMMYFUNCTION("""COMPUTED_VALUE"""),"sp.")</f>
        <v>sp.</v>
      </c>
      <c r="E5778" t="str">
        <f>IFERROR(__xludf.DUMMYFUNCTION("""COMPUTED_VALUE"""),"NK55")</f>
        <v>NK55</v>
      </c>
    </row>
    <row r="5779" ht="15.75" customHeight="1">
      <c r="A5779" t="str">
        <f t="shared" si="1"/>
        <v>T.caldifontis</v>
      </c>
      <c r="B5779" s="5" t="s">
        <v>33478</v>
      </c>
      <c r="C5779" s="6" t="str">
        <f>IFERROR(__xludf.DUMMYFUNCTION("SPLIT('2. c'!B5779, "" "", True, True)"),"Thermotoga")</f>
        <v>Thermotoga</v>
      </c>
      <c r="D5779" t="str">
        <f>IFERROR(__xludf.DUMMYFUNCTION("""COMPUTED_VALUE"""),"caldifontis")</f>
        <v>caldifontis</v>
      </c>
      <c r="E5779" t="str">
        <f>IFERROR(__xludf.DUMMYFUNCTION("""COMPUTED_VALUE"""),"AZM44c09")</f>
        <v>AZM44c09</v>
      </c>
    </row>
    <row r="5780" ht="15.75" customHeight="1">
      <c r="A5780" t="str">
        <f t="shared" si="1"/>
        <v>T.lettingae</v>
      </c>
      <c r="B5780" s="5" t="s">
        <v>33479</v>
      </c>
      <c r="C5780" s="6" t="str">
        <f>IFERROR(__xludf.DUMMYFUNCTION("SPLIT('2. c'!B5780, "" "", True, True)"),"Thermotoga")</f>
        <v>Thermotoga</v>
      </c>
      <c r="D5780" t="str">
        <f>IFERROR(__xludf.DUMMYFUNCTION("""COMPUTED_VALUE"""),"lettingae")</f>
        <v>lettingae</v>
      </c>
      <c r="E5780" t="str">
        <f>IFERROR(__xludf.DUMMYFUNCTION("""COMPUTED_VALUE"""),"TMO")</f>
        <v>TMO</v>
      </c>
    </row>
    <row r="5781" ht="15.75" customHeight="1">
      <c r="A5781" t="str">
        <f t="shared" si="1"/>
        <v>T.maritima</v>
      </c>
      <c r="B5781" s="5" t="s">
        <v>33480</v>
      </c>
      <c r="C5781" s="6" t="str">
        <f>IFERROR(__xludf.DUMMYFUNCTION("SPLIT('2. c'!B5781, "" "", True, True)"),"Thermotoga")</f>
        <v>Thermotoga</v>
      </c>
      <c r="D5781" t="str">
        <f>IFERROR(__xludf.DUMMYFUNCTION("""COMPUTED_VALUE"""),"maritima")</f>
        <v>maritima</v>
      </c>
      <c r="E5781" t="str">
        <f>IFERROR(__xludf.DUMMYFUNCTION("""COMPUTED_VALUE"""),"MSB8")</f>
        <v>MSB8</v>
      </c>
    </row>
    <row r="5782" ht="15.75" customHeight="1">
      <c r="A5782" t="str">
        <f t="shared" si="1"/>
        <v>T.maritima</v>
      </c>
      <c r="B5782" s="5" t="s">
        <v>33480</v>
      </c>
      <c r="C5782" s="6" t="str">
        <f>IFERROR(__xludf.DUMMYFUNCTION("SPLIT('2. c'!B5782, "" "", True, True)"),"Thermotoga")</f>
        <v>Thermotoga</v>
      </c>
      <c r="D5782" t="str">
        <f>IFERROR(__xludf.DUMMYFUNCTION("""COMPUTED_VALUE"""),"maritima")</f>
        <v>maritima</v>
      </c>
      <c r="E5782" t="str">
        <f>IFERROR(__xludf.DUMMYFUNCTION("""COMPUTED_VALUE"""),"MSB8")</f>
        <v>MSB8</v>
      </c>
    </row>
    <row r="5783" ht="15.75" customHeight="1">
      <c r="A5783" t="str">
        <f t="shared" si="1"/>
        <v>T.maritima</v>
      </c>
      <c r="B5783" s="5" t="s">
        <v>33480</v>
      </c>
      <c r="C5783" s="6" t="str">
        <f>IFERROR(__xludf.DUMMYFUNCTION("SPLIT('2. c'!B5783, "" "", True, True)"),"Thermotoga")</f>
        <v>Thermotoga</v>
      </c>
      <c r="D5783" t="str">
        <f>IFERROR(__xludf.DUMMYFUNCTION("""COMPUTED_VALUE"""),"maritima")</f>
        <v>maritima</v>
      </c>
      <c r="E5783" t="str">
        <f>IFERROR(__xludf.DUMMYFUNCTION("""COMPUTED_VALUE"""),"MSB8")</f>
        <v>MSB8</v>
      </c>
    </row>
    <row r="5784" ht="15.75" customHeight="1">
      <c r="A5784" t="str">
        <f t="shared" si="1"/>
        <v>T.maritima</v>
      </c>
      <c r="B5784" s="5" t="s">
        <v>33480</v>
      </c>
      <c r="C5784" s="6" t="str">
        <f>IFERROR(__xludf.DUMMYFUNCTION("SPLIT('2. c'!B5784, "" "", True, True)"),"Thermotoga")</f>
        <v>Thermotoga</v>
      </c>
      <c r="D5784" t="str">
        <f>IFERROR(__xludf.DUMMYFUNCTION("""COMPUTED_VALUE"""),"maritima")</f>
        <v>maritima</v>
      </c>
      <c r="E5784" t="str">
        <f>IFERROR(__xludf.DUMMYFUNCTION("""COMPUTED_VALUE"""),"MSB8")</f>
        <v>MSB8</v>
      </c>
    </row>
    <row r="5785" ht="15.75" customHeight="1">
      <c r="A5785" t="str">
        <f t="shared" si="1"/>
        <v>T.maritima</v>
      </c>
      <c r="B5785" s="5" t="s">
        <v>33481</v>
      </c>
      <c r="C5785" s="6" t="str">
        <f>IFERROR(__xludf.DUMMYFUNCTION("SPLIT('2. c'!B5785, "" "", True, True)"),"Thermotoga")</f>
        <v>Thermotoga</v>
      </c>
      <c r="D5785" t="str">
        <f>IFERROR(__xludf.DUMMYFUNCTION("""COMPUTED_VALUE"""),"maritima")</f>
        <v>maritima</v>
      </c>
      <c r="E5785" t="str">
        <f>IFERROR(__xludf.DUMMYFUNCTION("""COMPUTED_VALUE"""),"strain")</f>
        <v>strain</v>
      </c>
      <c r="F5785" t="str">
        <f>IFERROR(__xludf.DUMMYFUNCTION("""COMPUTED_VALUE"""),"Tma100")</f>
        <v>Tma100</v>
      </c>
    </row>
    <row r="5786" ht="15.75" customHeight="1">
      <c r="A5786" t="str">
        <f t="shared" si="1"/>
        <v>T.maritima</v>
      </c>
      <c r="B5786" s="5" t="s">
        <v>33482</v>
      </c>
      <c r="C5786" s="6" t="str">
        <f>IFERROR(__xludf.DUMMYFUNCTION("SPLIT('2. c'!B5786, "" "", True, True)"),"Thermotoga")</f>
        <v>Thermotoga</v>
      </c>
      <c r="D5786" t="str">
        <f>IFERROR(__xludf.DUMMYFUNCTION("""COMPUTED_VALUE"""),"maritima")</f>
        <v>maritima</v>
      </c>
      <c r="E5786" t="str">
        <f>IFERROR(__xludf.DUMMYFUNCTION("""COMPUTED_VALUE"""),"strain")</f>
        <v>strain</v>
      </c>
      <c r="F5786" t="str">
        <f>IFERROR(__xludf.DUMMYFUNCTION("""COMPUTED_VALUE"""),"Tma200")</f>
        <v>Tma200</v>
      </c>
    </row>
    <row r="5787" ht="15.75" customHeight="1">
      <c r="A5787" t="str">
        <f t="shared" si="1"/>
        <v>T.naphthophila</v>
      </c>
      <c r="B5787" s="5" t="s">
        <v>33483</v>
      </c>
      <c r="C5787" s="6" t="str">
        <f>IFERROR(__xludf.DUMMYFUNCTION("SPLIT('2. c'!B5787, "" "", True, True)"),"Thermotoga")</f>
        <v>Thermotoga</v>
      </c>
      <c r="D5787" t="str">
        <f>IFERROR(__xludf.DUMMYFUNCTION("""COMPUTED_VALUE"""),"naphthophila")</f>
        <v>naphthophila</v>
      </c>
      <c r="E5787" t="str">
        <f>IFERROR(__xludf.DUMMYFUNCTION("""COMPUTED_VALUE"""),"RKU-10")</f>
        <v>RKU-10</v>
      </c>
    </row>
    <row r="5788" ht="15.75" customHeight="1">
      <c r="A5788" t="str">
        <f t="shared" si="1"/>
        <v>T.neapolitana</v>
      </c>
      <c r="B5788" s="5" t="s">
        <v>33484</v>
      </c>
      <c r="C5788" s="6" t="str">
        <f>IFERROR(__xludf.DUMMYFUNCTION("SPLIT('2. c'!B5788, "" "", True, True)"),"Thermotoga")</f>
        <v>Thermotoga</v>
      </c>
      <c r="D5788" t="str">
        <f>IFERROR(__xludf.DUMMYFUNCTION("""COMPUTED_VALUE"""),"neapolitana")</f>
        <v>neapolitana</v>
      </c>
      <c r="E5788" t="str">
        <f>IFERROR(__xludf.DUMMYFUNCTION("""COMPUTED_VALUE"""),"DSM")</f>
        <v>DSM</v>
      </c>
      <c r="F5788">
        <f>IFERROR(__xludf.DUMMYFUNCTION("""COMPUTED_VALUE"""),4359.0)</f>
        <v>4359</v>
      </c>
    </row>
    <row r="5789" ht="15.75" customHeight="1">
      <c r="A5789" t="str">
        <f t="shared" si="1"/>
        <v>T.petrophila</v>
      </c>
      <c r="B5789" s="5" t="s">
        <v>33485</v>
      </c>
      <c r="C5789" s="6" t="str">
        <f>IFERROR(__xludf.DUMMYFUNCTION("SPLIT('2. c'!B5789, "" "", True, True)"),"Thermotoga")</f>
        <v>Thermotoga</v>
      </c>
      <c r="D5789" t="str">
        <f>IFERROR(__xludf.DUMMYFUNCTION("""COMPUTED_VALUE"""),"petrophila")</f>
        <v>petrophila</v>
      </c>
      <c r="E5789" t="str">
        <f>IFERROR(__xludf.DUMMYFUNCTION("""COMPUTED_VALUE"""),"RKU-1")</f>
        <v>RKU-1</v>
      </c>
    </row>
    <row r="5790" ht="15.75" customHeight="1">
      <c r="A5790" t="str">
        <f t="shared" si="1"/>
        <v>T.profunda</v>
      </c>
      <c r="B5790" s="5" t="s">
        <v>33486</v>
      </c>
      <c r="C5790" s="6" t="str">
        <f>IFERROR(__xludf.DUMMYFUNCTION("SPLIT('2. c'!B5790, "" "", True, True)"),"Thermotoga")</f>
        <v>Thermotoga</v>
      </c>
      <c r="D5790" t="str">
        <f>IFERROR(__xludf.DUMMYFUNCTION("""COMPUTED_VALUE"""),"profunda")</f>
        <v>profunda</v>
      </c>
      <c r="E5790" t="str">
        <f>IFERROR(__xludf.DUMMYFUNCTION("""COMPUTED_VALUE"""),"AZM34c06")</f>
        <v>AZM34c06</v>
      </c>
    </row>
    <row r="5791" ht="15.75" customHeight="1">
      <c r="A5791" t="str">
        <f t="shared" si="1"/>
        <v>T.sp.</v>
      </c>
      <c r="B5791" s="5" t="s">
        <v>33487</v>
      </c>
      <c r="C5791" s="6" t="str">
        <f>IFERROR(__xludf.DUMMYFUNCTION("SPLIT('2. c'!B5791, "" "", True, True)"),"Thermotoga")</f>
        <v>Thermotoga</v>
      </c>
      <c r="D5791" t="str">
        <f>IFERROR(__xludf.DUMMYFUNCTION("""COMPUTED_VALUE"""),"sp.")</f>
        <v>sp.</v>
      </c>
      <c r="E5791" t="str">
        <f>IFERROR(__xludf.DUMMYFUNCTION("""COMPUTED_VALUE"""),"2812B")</f>
        <v>2812B</v>
      </c>
    </row>
    <row r="5792" ht="15.75" customHeight="1">
      <c r="A5792" t="str">
        <f t="shared" si="1"/>
        <v>T.sp.</v>
      </c>
      <c r="B5792" s="5" t="s">
        <v>33488</v>
      </c>
      <c r="C5792" s="6" t="str">
        <f>IFERROR(__xludf.DUMMYFUNCTION("SPLIT('2. c'!B5792, "" "", True, True)"),"Thermotoga")</f>
        <v>Thermotoga</v>
      </c>
      <c r="D5792" t="str">
        <f>IFERROR(__xludf.DUMMYFUNCTION("""COMPUTED_VALUE"""),"sp.")</f>
        <v>sp.</v>
      </c>
      <c r="E5792" t="str">
        <f>IFERROR(__xludf.DUMMYFUNCTION("""COMPUTED_VALUE"""),"Cell2")</f>
        <v>Cell2</v>
      </c>
    </row>
    <row r="5793" ht="15.75" customHeight="1">
      <c r="A5793" t="str">
        <f t="shared" si="1"/>
        <v>T.sp.</v>
      </c>
      <c r="B5793" s="5" t="s">
        <v>33489</v>
      </c>
      <c r="C5793" s="6" t="str">
        <f>IFERROR(__xludf.DUMMYFUNCTION("SPLIT('2. c'!B5793, "" "", True, True)"),"Thermotoga")</f>
        <v>Thermotoga</v>
      </c>
      <c r="D5793" t="str">
        <f>IFERROR(__xludf.DUMMYFUNCTION("""COMPUTED_VALUE"""),"sp.")</f>
        <v>sp.</v>
      </c>
      <c r="E5793" t="str">
        <f>IFERROR(__xludf.DUMMYFUNCTION("""COMPUTED_VALUE"""),"RQ2")</f>
        <v>RQ2</v>
      </c>
    </row>
    <row r="5794" ht="15.75" customHeight="1">
      <c r="A5794" t="str">
        <f t="shared" si="1"/>
        <v>T.sp.</v>
      </c>
      <c r="B5794" s="5" t="s">
        <v>33490</v>
      </c>
      <c r="C5794" s="6" t="str">
        <f>IFERROR(__xludf.DUMMYFUNCTION("SPLIT('2. c'!B5794, "" "", True, True)"),"Thermotoga")</f>
        <v>Thermotoga</v>
      </c>
      <c r="D5794" t="str">
        <f>IFERROR(__xludf.DUMMYFUNCTION("""COMPUTED_VALUE"""),"sp.")</f>
        <v>sp.</v>
      </c>
      <c r="E5794" t="str">
        <f>IFERROR(__xludf.DUMMYFUNCTION("""COMPUTED_VALUE"""),"RQ7")</f>
        <v>RQ7</v>
      </c>
    </row>
    <row r="5795" ht="15.75" customHeight="1">
      <c r="A5795" t="str">
        <f t="shared" si="1"/>
        <v>T.thermarum</v>
      </c>
      <c r="B5795" s="5" t="s">
        <v>33491</v>
      </c>
      <c r="C5795" s="6" t="str">
        <f>IFERROR(__xludf.DUMMYFUNCTION("SPLIT('2. c'!B5795, "" "", True, True)"),"Thermotoga")</f>
        <v>Thermotoga</v>
      </c>
      <c r="D5795" t="str">
        <f>IFERROR(__xludf.DUMMYFUNCTION("""COMPUTED_VALUE"""),"thermarum")</f>
        <v>thermarum</v>
      </c>
      <c r="E5795" t="str">
        <f>IFERROR(__xludf.DUMMYFUNCTION("""COMPUTED_VALUE"""),"DSM")</f>
        <v>DSM</v>
      </c>
      <c r="F5795">
        <f>IFERROR(__xludf.DUMMYFUNCTION("""COMPUTED_VALUE"""),5069.0)</f>
        <v>5069</v>
      </c>
    </row>
    <row r="5796" ht="15.75" customHeight="1">
      <c r="A5796" t="str">
        <f t="shared" si="1"/>
        <v>T.ammonificans</v>
      </c>
      <c r="B5796" s="5" t="s">
        <v>33492</v>
      </c>
      <c r="C5796" s="6" t="str">
        <f>IFERROR(__xludf.DUMMYFUNCTION("SPLIT('2. c'!B5796, "" "", True, True)"),"Thermovibrio")</f>
        <v>Thermovibrio</v>
      </c>
      <c r="D5796" t="str">
        <f>IFERROR(__xludf.DUMMYFUNCTION("""COMPUTED_VALUE"""),"ammonificans")</f>
        <v>ammonificans</v>
      </c>
      <c r="E5796" t="str">
        <f>IFERROR(__xludf.DUMMYFUNCTION("""COMPUTED_VALUE"""),"HB-1")</f>
        <v>HB-1</v>
      </c>
    </row>
    <row r="5797" ht="15.75" customHeight="1">
      <c r="A5797" t="str">
        <f t="shared" si="1"/>
        <v>T.lienii</v>
      </c>
      <c r="B5797" s="5" t="s">
        <v>33493</v>
      </c>
      <c r="C5797" s="6" t="str">
        <f>IFERROR(__xludf.DUMMYFUNCTION("SPLIT('2. c'!B5797, "" "", True, True)"),"Thermovirga")</f>
        <v>Thermovirga</v>
      </c>
      <c r="D5797" t="str">
        <f>IFERROR(__xludf.DUMMYFUNCTION("""COMPUTED_VALUE"""),"lienii")</f>
        <v>lienii</v>
      </c>
      <c r="E5797" t="str">
        <f>IFERROR(__xludf.DUMMYFUNCTION("""COMPUTED_VALUE"""),"DSM")</f>
        <v>DSM</v>
      </c>
      <c r="F5797">
        <f>IFERROR(__xludf.DUMMYFUNCTION("""COMPUTED_VALUE"""),17291.0)</f>
        <v>17291</v>
      </c>
    </row>
    <row r="5798" ht="15.75" customHeight="1">
      <c r="A5798" t="str">
        <f t="shared" si="1"/>
        <v>T.oshimai</v>
      </c>
      <c r="B5798" s="5" t="s">
        <v>33494</v>
      </c>
      <c r="C5798" s="6" t="str">
        <f>IFERROR(__xludf.DUMMYFUNCTION("SPLIT('2. c'!B5798, "" "", True, True)"),"Thermus")</f>
        <v>Thermus</v>
      </c>
      <c r="D5798" t="str">
        <f>IFERROR(__xludf.DUMMYFUNCTION("""COMPUTED_VALUE"""),"oshimai")</f>
        <v>oshimai</v>
      </c>
      <c r="E5798" t="str">
        <f>IFERROR(__xludf.DUMMYFUNCTION("""COMPUTED_VALUE"""),"JL-2")</f>
        <v>JL-2</v>
      </c>
    </row>
    <row r="5799" ht="15.75" customHeight="1">
      <c r="A5799" t="str">
        <f t="shared" si="1"/>
        <v>T.parvatiensis</v>
      </c>
      <c r="B5799" s="5" t="s">
        <v>33495</v>
      </c>
      <c r="C5799" s="6" t="str">
        <f>IFERROR(__xludf.DUMMYFUNCTION("SPLIT('2. c'!B5799, "" "", True, True)"),"Thermus")</f>
        <v>Thermus</v>
      </c>
      <c r="D5799" t="str">
        <f>IFERROR(__xludf.DUMMYFUNCTION("""COMPUTED_VALUE"""),"parvatiensis")</f>
        <v>parvatiensis</v>
      </c>
      <c r="E5799" t="str">
        <f>IFERROR(__xludf.DUMMYFUNCTION("""COMPUTED_VALUE"""),"strain")</f>
        <v>strain</v>
      </c>
      <c r="F5799" t="str">
        <f>IFERROR(__xludf.DUMMYFUNCTION("""COMPUTED_VALUE"""),"RL")</f>
        <v>RL</v>
      </c>
    </row>
    <row r="5800" ht="15.75" customHeight="1">
      <c r="A5800" t="str">
        <f t="shared" si="1"/>
        <v>T.scotoductus</v>
      </c>
      <c r="B5800" s="5" t="s">
        <v>33496</v>
      </c>
      <c r="C5800" s="6" t="str">
        <f>IFERROR(__xludf.DUMMYFUNCTION("SPLIT('2. c'!B5800, "" "", True, True)"),"Thermus")</f>
        <v>Thermus</v>
      </c>
      <c r="D5800" t="str">
        <f>IFERROR(__xludf.DUMMYFUNCTION("""COMPUTED_VALUE"""),"scotoductus")</f>
        <v>scotoductus</v>
      </c>
      <c r="E5800" t="str">
        <f>IFERROR(__xludf.DUMMYFUNCTION("""COMPUTED_VALUE"""),"SA-01")</f>
        <v>SA-01</v>
      </c>
    </row>
    <row r="5801" ht="15.75" customHeight="1">
      <c r="A5801" t="str">
        <f t="shared" si="1"/>
        <v>T.sp.</v>
      </c>
      <c r="B5801" s="5" t="s">
        <v>33497</v>
      </c>
      <c r="C5801" s="6" t="str">
        <f>IFERROR(__xludf.DUMMYFUNCTION("SPLIT('2. c'!B5801, "" "", True, True)"),"Thermus")</f>
        <v>Thermus</v>
      </c>
      <c r="D5801" t="str">
        <f>IFERROR(__xludf.DUMMYFUNCTION("""COMPUTED_VALUE"""),"sp.")</f>
        <v>sp.</v>
      </c>
      <c r="E5801" t="str">
        <f>IFERROR(__xludf.DUMMYFUNCTION("""COMPUTED_VALUE"""),"CCB_US3_UF1")</f>
        <v>CCB_US3_UF1</v>
      </c>
    </row>
    <row r="5802" ht="15.75" customHeight="1">
      <c r="A5802" t="str">
        <f t="shared" si="1"/>
        <v>T.thermophilus</v>
      </c>
      <c r="B5802" s="5" t="s">
        <v>33498</v>
      </c>
      <c r="C5802" s="6" t="str">
        <f>IFERROR(__xludf.DUMMYFUNCTION("SPLIT('2. c'!B5802, "" "", True, True)"),"Thermus")</f>
        <v>Thermus</v>
      </c>
      <c r="D5802" t="str">
        <f>IFERROR(__xludf.DUMMYFUNCTION("""COMPUTED_VALUE"""),"thermophilus")</f>
        <v>thermophilus</v>
      </c>
      <c r="E5802" t="str">
        <f>IFERROR(__xludf.DUMMYFUNCTION("""COMPUTED_VALUE"""),"HB27")</f>
        <v>HB27</v>
      </c>
    </row>
    <row r="5803" ht="15.75" customHeight="1">
      <c r="A5803" t="str">
        <f t="shared" si="1"/>
        <v>T.thermophilus</v>
      </c>
      <c r="B5803" s="5" t="s">
        <v>33499</v>
      </c>
      <c r="C5803" s="6" t="str">
        <f>IFERROR(__xludf.DUMMYFUNCTION("SPLIT('2. c'!B5803, "" "", True, True)"),"Thermus")</f>
        <v>Thermus</v>
      </c>
      <c r="D5803" t="str">
        <f>IFERROR(__xludf.DUMMYFUNCTION("""COMPUTED_VALUE"""),"thermophilus")</f>
        <v>thermophilus</v>
      </c>
      <c r="E5803" t="str">
        <f>IFERROR(__xludf.DUMMYFUNCTION("""COMPUTED_VALUE"""),"HB8")</f>
        <v>HB8</v>
      </c>
    </row>
    <row r="5804" ht="15.75" customHeight="1">
      <c r="A5804" t="str">
        <f t="shared" si="1"/>
        <v>T.thermophilus</v>
      </c>
      <c r="B5804" s="5" t="s">
        <v>33500</v>
      </c>
      <c r="C5804" s="6" t="str">
        <f>IFERROR(__xludf.DUMMYFUNCTION("SPLIT('2. c'!B5804, "" "", True, True)"),"Thermus")</f>
        <v>Thermus</v>
      </c>
      <c r="D5804" t="str">
        <f>IFERROR(__xludf.DUMMYFUNCTION("""COMPUTED_VALUE"""),"thermophilus")</f>
        <v>thermophilus</v>
      </c>
      <c r="E5804" t="str">
        <f>IFERROR(__xludf.DUMMYFUNCTION("""COMPUTED_VALUE"""),"JL-18")</f>
        <v>JL-18</v>
      </c>
    </row>
    <row r="5805" ht="15.75" customHeight="1">
      <c r="A5805" t="str">
        <f t="shared" si="1"/>
        <v>T.thermophilus</v>
      </c>
      <c r="B5805" s="5" t="s">
        <v>33501</v>
      </c>
      <c r="C5805" s="6" t="str">
        <f>IFERROR(__xludf.DUMMYFUNCTION("SPLIT('2. c'!B5805, "" "", True, True)"),"Thermus")</f>
        <v>Thermus</v>
      </c>
      <c r="D5805" t="str">
        <f>IFERROR(__xludf.DUMMYFUNCTION("""COMPUTED_VALUE"""),"thermophilus")</f>
        <v>thermophilus</v>
      </c>
      <c r="E5805" t="str">
        <f>IFERROR(__xludf.DUMMYFUNCTION("""COMPUTED_VALUE"""),"SG0.5JP17-16")</f>
        <v>SG0.5JP17-16</v>
      </c>
    </row>
    <row r="5806" ht="15.75" customHeight="1">
      <c r="A5806" t="str">
        <f t="shared" si="1"/>
        <v>T.cyclicum</v>
      </c>
      <c r="B5806" s="5" t="s">
        <v>33502</v>
      </c>
      <c r="C5806" s="6" t="str">
        <f>IFERROR(__xludf.DUMMYFUNCTION("SPLIT('2. c'!B5806, "" "", True, True)"),"Thioalkalimicrobium")</f>
        <v>Thioalkalimicrobium</v>
      </c>
      <c r="D5806" t="str">
        <f>IFERROR(__xludf.DUMMYFUNCTION("""COMPUTED_VALUE"""),"cyclicum")</f>
        <v>cyclicum</v>
      </c>
      <c r="E5806" t="str">
        <f>IFERROR(__xludf.DUMMYFUNCTION("""COMPUTED_VALUE"""),"ALM1")</f>
        <v>ALM1</v>
      </c>
    </row>
    <row r="5807" ht="15.75" customHeight="1">
      <c r="A5807" t="str">
        <f t="shared" si="1"/>
        <v>T.nitratireducens</v>
      </c>
      <c r="B5807" s="5" t="s">
        <v>33503</v>
      </c>
      <c r="C5807" s="6" t="str">
        <f>IFERROR(__xludf.DUMMYFUNCTION("SPLIT('2. c'!B5807, "" "", True, True)"),"Thioalkalivibrio")</f>
        <v>Thioalkalivibrio</v>
      </c>
      <c r="D5807" t="str">
        <f>IFERROR(__xludf.DUMMYFUNCTION("""COMPUTED_VALUE"""),"nitratireducens")</f>
        <v>nitratireducens</v>
      </c>
      <c r="E5807" t="str">
        <f>IFERROR(__xludf.DUMMYFUNCTION("""COMPUTED_VALUE"""),"DSM")</f>
        <v>DSM</v>
      </c>
      <c r="F5807">
        <f>IFERROR(__xludf.DUMMYFUNCTION("""COMPUTED_VALUE"""),14787.0)</f>
        <v>14787</v>
      </c>
    </row>
    <row r="5808" ht="15.75" customHeight="1">
      <c r="A5808" t="str">
        <f t="shared" si="1"/>
        <v>T.sp.</v>
      </c>
      <c r="B5808" s="5" t="s">
        <v>33504</v>
      </c>
      <c r="C5808" s="6" t="str">
        <f>IFERROR(__xludf.DUMMYFUNCTION("SPLIT('2. c'!B5808, "" "", True, True)"),"Thioalkalivibrio")</f>
        <v>Thioalkalivibrio</v>
      </c>
      <c r="D5808" t="str">
        <f>IFERROR(__xludf.DUMMYFUNCTION("""COMPUTED_VALUE"""),"sp.")</f>
        <v>sp.</v>
      </c>
      <c r="E5808" t="str">
        <f>IFERROR(__xludf.DUMMYFUNCTION("""COMPUTED_VALUE"""),"K90mix")</f>
        <v>K90mix</v>
      </c>
    </row>
    <row r="5809" ht="15.75" customHeight="1">
      <c r="A5809" t="str">
        <f t="shared" si="1"/>
        <v>T.sulfidophilus</v>
      </c>
      <c r="B5809" s="5" t="s">
        <v>33505</v>
      </c>
      <c r="C5809" s="6" t="str">
        <f>IFERROR(__xludf.DUMMYFUNCTION("SPLIT('2. c'!B5809, "" "", True, True)"),"Thioalkalivibrio")</f>
        <v>Thioalkalivibrio</v>
      </c>
      <c r="D5809" t="str">
        <f>IFERROR(__xludf.DUMMYFUNCTION("""COMPUTED_VALUE"""),"sulfidophilus")</f>
        <v>sulfidophilus</v>
      </c>
      <c r="E5809" t="str">
        <f>IFERROR(__xludf.DUMMYFUNCTION("""COMPUTED_VALUE"""),"HL-EbGr7")</f>
        <v>HL-EbGr7</v>
      </c>
    </row>
    <row r="5810" ht="15.75" customHeight="1">
      <c r="A5810" t="str">
        <f t="shared" si="1"/>
        <v>T.versutus</v>
      </c>
      <c r="B5810" s="5" t="s">
        <v>33506</v>
      </c>
      <c r="C5810" s="6" t="str">
        <f>IFERROR(__xludf.DUMMYFUNCTION("SPLIT('2. c'!B5810, "" "", True, True)"),"Thioalkalivibrio")</f>
        <v>Thioalkalivibrio</v>
      </c>
      <c r="D5810" t="str">
        <f>IFERROR(__xludf.DUMMYFUNCTION("""COMPUTED_VALUE"""),"versutus")</f>
        <v>versutus</v>
      </c>
      <c r="E5810" t="str">
        <f>IFERROR(__xludf.DUMMYFUNCTION("""COMPUTED_VALUE"""),"strain")</f>
        <v>strain</v>
      </c>
      <c r="F5810" t="str">
        <f>IFERROR(__xludf.DUMMYFUNCTION("""COMPUTED_VALUE"""),"D301")</f>
        <v>D301</v>
      </c>
    </row>
    <row r="5811" ht="15.75" customHeight="1">
      <c r="A5811" t="str">
        <f t="shared" si="1"/>
        <v>T.denitrificans</v>
      </c>
      <c r="B5811" s="5" t="s">
        <v>33507</v>
      </c>
      <c r="C5811" s="6" t="str">
        <f>IFERROR(__xludf.DUMMYFUNCTION("SPLIT('2. c'!B5811, "" "", True, True)"),"Thiobacillus")</f>
        <v>Thiobacillus</v>
      </c>
      <c r="D5811" t="str">
        <f>IFERROR(__xludf.DUMMYFUNCTION("""COMPUTED_VALUE"""),"denitrificans")</f>
        <v>denitrificans</v>
      </c>
      <c r="E5811" t="str">
        <f>IFERROR(__xludf.DUMMYFUNCTION("""COMPUTED_VALUE"""),"ATCC")</f>
        <v>ATCC</v>
      </c>
      <c r="F5811">
        <f>IFERROR(__xludf.DUMMYFUNCTION("""COMPUTED_VALUE"""),25259.0)</f>
        <v>25259</v>
      </c>
    </row>
    <row r="5812" ht="15.75" customHeight="1">
      <c r="A5812" t="str">
        <f t="shared" si="1"/>
        <v>T.mobilis</v>
      </c>
      <c r="B5812" s="5" t="s">
        <v>33508</v>
      </c>
      <c r="C5812" s="6" t="str">
        <f>IFERROR(__xludf.DUMMYFUNCTION("SPLIT('2. c'!B5812, "" "", True, True)"),"Thioflavicoccus")</f>
        <v>Thioflavicoccus</v>
      </c>
      <c r="D5812" t="str">
        <f>IFERROR(__xludf.DUMMYFUNCTION("""COMPUTED_VALUE"""),"mobilis")</f>
        <v>mobilis</v>
      </c>
      <c r="E5812">
        <f>IFERROR(__xludf.DUMMYFUNCTION("""COMPUTED_VALUE"""),8321.0)</f>
        <v>8321</v>
      </c>
    </row>
    <row r="5813" ht="15.75" customHeight="1">
      <c r="A5813" t="str">
        <f t="shared" si="1"/>
        <v>T.brandeum</v>
      </c>
      <c r="B5813" s="5" t="s">
        <v>33509</v>
      </c>
      <c r="C5813" s="6" t="str">
        <f>IFERROR(__xludf.DUMMYFUNCTION("SPLIT('2. c'!B5813, "" "", True, True)"),"Thiolapillus")</f>
        <v>Thiolapillus</v>
      </c>
      <c r="D5813" t="str">
        <f>IFERROR(__xludf.DUMMYFUNCTION("""COMPUTED_VALUE"""),"brandeum")</f>
        <v>brandeum</v>
      </c>
      <c r="E5813" t="str">
        <f>IFERROR(__xludf.DUMMYFUNCTION("""COMPUTED_VALUE"""),"Hiromi")</f>
        <v>Hiromi</v>
      </c>
      <c r="F5813">
        <f>IFERROR(__xludf.DUMMYFUNCTION("""COMPUTED_VALUE"""),1.0)</f>
        <v>1</v>
      </c>
    </row>
    <row r="5814" ht="15.75" customHeight="1">
      <c r="A5814" t="str">
        <f t="shared" si="1"/>
        <v>T.crunogena</v>
      </c>
      <c r="B5814" s="5" t="s">
        <v>33510</v>
      </c>
      <c r="C5814" s="6" t="str">
        <f>IFERROR(__xludf.DUMMYFUNCTION("SPLIT('2. c'!B5814, "" "", True, True)"),"Thiomicrospira")</f>
        <v>Thiomicrospira</v>
      </c>
      <c r="D5814" t="str">
        <f>IFERROR(__xludf.DUMMYFUNCTION("""COMPUTED_VALUE"""),"crunogena")</f>
        <v>crunogena</v>
      </c>
      <c r="E5814" t="str">
        <f>IFERROR(__xludf.DUMMYFUNCTION("""COMPUTED_VALUE"""),"XCL-2")</f>
        <v>XCL-2</v>
      </c>
    </row>
    <row r="5815" ht="15.75" customHeight="1">
      <c r="A5815" t="str">
        <f t="shared" si="1"/>
        <v>T.arsenitoxydans</v>
      </c>
      <c r="B5815" s="5" t="s">
        <v>33511</v>
      </c>
      <c r="C5815" s="6" t="str">
        <f>IFERROR(__xludf.DUMMYFUNCTION("SPLIT('2. c'!B5815, "" "", True, True)"),"Thiomonas")</f>
        <v>Thiomonas</v>
      </c>
      <c r="D5815" t="str">
        <f>IFERROR(__xludf.DUMMYFUNCTION("""COMPUTED_VALUE"""),"arsenitoxydans")</f>
        <v>arsenitoxydans</v>
      </c>
      <c r="E5815" t="str">
        <f>IFERROR(__xludf.DUMMYFUNCTION("""COMPUTED_VALUE"""),"strain")</f>
        <v>strain</v>
      </c>
      <c r="F5815" t="str">
        <f>IFERROR(__xludf.DUMMYFUNCTION("""COMPUTED_VALUE"""),"3As")</f>
        <v>3As</v>
      </c>
    </row>
    <row r="5816" ht="15.75" customHeight="1">
      <c r="A5816" t="str">
        <f t="shared" si="1"/>
        <v>T.intermedia</v>
      </c>
      <c r="B5816" s="5" t="s">
        <v>33512</v>
      </c>
      <c r="C5816" s="6" t="str">
        <f>IFERROR(__xludf.DUMMYFUNCTION("SPLIT('2. c'!B5816, "" "", True, True)"),"Thiomonas")</f>
        <v>Thiomonas</v>
      </c>
      <c r="D5816" t="str">
        <f>IFERROR(__xludf.DUMMYFUNCTION("""COMPUTED_VALUE"""),"intermedia")</f>
        <v>intermedia</v>
      </c>
      <c r="E5816" t="str">
        <f>IFERROR(__xludf.DUMMYFUNCTION("""COMPUTED_VALUE"""),"K12")</f>
        <v>K12</v>
      </c>
    </row>
    <row r="5817" ht="15.75" customHeight="1">
      <c r="A5817" t="str">
        <f t="shared" si="1"/>
        <v>T.ingrica</v>
      </c>
      <c r="B5817" s="5" t="s">
        <v>33513</v>
      </c>
      <c r="C5817" s="6" t="str">
        <f>IFERROR(__xludf.DUMMYFUNCTION("SPLIT('2. c'!B5817, "" "", True, True)"),"Thioploca")</f>
        <v>Thioploca</v>
      </c>
      <c r="D5817" t="str">
        <f>IFERROR(__xludf.DUMMYFUNCTION("""COMPUTED_VALUE"""),"ingrica")</f>
        <v>ingrica</v>
      </c>
    </row>
    <row r="5818" ht="15.75" customHeight="1">
      <c r="A5818" t="str">
        <f t="shared" si="1"/>
        <v>T.mobilis</v>
      </c>
      <c r="B5818" s="5" t="s">
        <v>33514</v>
      </c>
      <c r="C5818" s="6" t="str">
        <f>IFERROR(__xludf.DUMMYFUNCTION("SPLIT('2. c'!B5818, "" "", True, True)"),"Tistrella")</f>
        <v>Tistrella</v>
      </c>
      <c r="D5818" t="str">
        <f>IFERROR(__xludf.DUMMYFUNCTION("""COMPUTED_VALUE"""),"mobilis")</f>
        <v>mobilis</v>
      </c>
      <c r="E5818" t="str">
        <f>IFERROR(__xludf.DUMMYFUNCTION("""COMPUTED_VALUE"""),"KA081020-065")</f>
        <v>KA081020-065</v>
      </c>
    </row>
    <row r="5819" ht="15.75" customHeight="1">
      <c r="A5819" t="str">
        <f t="shared" si="1"/>
        <v>T.auensis</v>
      </c>
      <c r="B5819" s="5" t="s">
        <v>33515</v>
      </c>
      <c r="C5819" s="6" t="str">
        <f>IFERROR(__xludf.DUMMYFUNCTION("SPLIT('2. c'!B5819, "" "", True, True)"),"Tolumonas")</f>
        <v>Tolumonas</v>
      </c>
      <c r="D5819" t="str">
        <f>IFERROR(__xludf.DUMMYFUNCTION("""COMPUTED_VALUE"""),"auensis")</f>
        <v>auensis</v>
      </c>
      <c r="E5819" t="str">
        <f>IFERROR(__xludf.DUMMYFUNCTION("""COMPUTED_VALUE"""),"DSM")</f>
        <v>DSM</v>
      </c>
      <c r="F5819">
        <f>IFERROR(__xludf.DUMMYFUNCTION("""COMPUTED_VALUE"""),9187.0)</f>
        <v>9187</v>
      </c>
    </row>
    <row r="5820" ht="15.75" customHeight="1">
      <c r="A5820" t="str">
        <f t="shared" si="1"/>
        <v>T.azotonutricium</v>
      </c>
      <c r="B5820" s="5" t="s">
        <v>33516</v>
      </c>
      <c r="C5820" s="6" t="str">
        <f>IFERROR(__xludf.DUMMYFUNCTION("SPLIT('2. c'!B5820, "" "", True, True)"),"Treponema")</f>
        <v>Treponema</v>
      </c>
      <c r="D5820" t="str">
        <f>IFERROR(__xludf.DUMMYFUNCTION("""COMPUTED_VALUE"""),"azotonutricium")</f>
        <v>azotonutricium</v>
      </c>
      <c r="E5820" t="str">
        <f>IFERROR(__xludf.DUMMYFUNCTION("""COMPUTED_VALUE"""),"ZAS-9")</f>
        <v>ZAS-9</v>
      </c>
    </row>
    <row r="5821" ht="15.75" customHeight="1">
      <c r="A5821" t="str">
        <f t="shared" si="1"/>
        <v>T.brennaborense</v>
      </c>
      <c r="B5821" s="5" t="s">
        <v>33517</v>
      </c>
      <c r="C5821" s="6" t="str">
        <f>IFERROR(__xludf.DUMMYFUNCTION("SPLIT('2. c'!B5821, "" "", True, True)"),"Treponema")</f>
        <v>Treponema</v>
      </c>
      <c r="D5821" t="str">
        <f>IFERROR(__xludf.DUMMYFUNCTION("""COMPUTED_VALUE"""),"brennaborense")</f>
        <v>brennaborense</v>
      </c>
      <c r="E5821" t="str">
        <f>IFERROR(__xludf.DUMMYFUNCTION("""COMPUTED_VALUE"""),"DSM")</f>
        <v>DSM</v>
      </c>
      <c r="F5821">
        <f>IFERROR(__xludf.DUMMYFUNCTION("""COMPUTED_VALUE"""),12168.0)</f>
        <v>12168</v>
      </c>
    </row>
    <row r="5822" ht="15.75" customHeight="1">
      <c r="A5822" t="str">
        <f t="shared" si="1"/>
        <v>T.caldaria</v>
      </c>
      <c r="B5822" s="5" t="s">
        <v>33518</v>
      </c>
      <c r="C5822" s="6" t="str">
        <f>IFERROR(__xludf.DUMMYFUNCTION("SPLIT('2. c'!B5822, "" "", True, True)"),"Treponema")</f>
        <v>Treponema</v>
      </c>
      <c r="D5822" t="str">
        <f>IFERROR(__xludf.DUMMYFUNCTION("""COMPUTED_VALUE"""),"caldaria")</f>
        <v>caldaria</v>
      </c>
      <c r="E5822" t="str">
        <f>IFERROR(__xludf.DUMMYFUNCTION("""COMPUTED_VALUE"""),"DSM")</f>
        <v>DSM</v>
      </c>
      <c r="F5822">
        <f>IFERROR(__xludf.DUMMYFUNCTION("""COMPUTED_VALUE"""),7334.0)</f>
        <v>7334</v>
      </c>
    </row>
    <row r="5823" ht="15.75" customHeight="1">
      <c r="A5823" t="str">
        <f t="shared" si="1"/>
        <v>T.denticola</v>
      </c>
      <c r="B5823" s="5" t="s">
        <v>33519</v>
      </c>
      <c r="C5823" s="6" t="str">
        <f>IFERROR(__xludf.DUMMYFUNCTION("SPLIT('2. c'!B5823, "" "", True, True)"),"Treponema")</f>
        <v>Treponema</v>
      </c>
      <c r="D5823" t="str">
        <f>IFERROR(__xludf.DUMMYFUNCTION("""COMPUTED_VALUE"""),"denticola")</f>
        <v>denticola</v>
      </c>
      <c r="E5823" t="str">
        <f>IFERROR(__xludf.DUMMYFUNCTION("""COMPUTED_VALUE"""),"AL-2")</f>
        <v>AL-2</v>
      </c>
    </row>
    <row r="5824" ht="15.75" customHeight="1">
      <c r="A5824" t="str">
        <f t="shared" si="1"/>
        <v>T.denticola</v>
      </c>
      <c r="B5824" s="5" t="s">
        <v>33520</v>
      </c>
      <c r="C5824" s="6" t="str">
        <f>IFERROR(__xludf.DUMMYFUNCTION("SPLIT('2. c'!B5824, "" "", True, True)"),"Treponema")</f>
        <v>Treponema</v>
      </c>
      <c r="D5824" t="str">
        <f>IFERROR(__xludf.DUMMYFUNCTION("""COMPUTED_VALUE"""),"denticola")</f>
        <v>denticola</v>
      </c>
      <c r="E5824" t="str">
        <f>IFERROR(__xludf.DUMMYFUNCTION("""COMPUTED_VALUE"""),"ATCC")</f>
        <v>ATCC</v>
      </c>
      <c r="F5824">
        <f>IFERROR(__xludf.DUMMYFUNCTION("""COMPUTED_VALUE"""),35405.0)</f>
        <v>35405</v>
      </c>
    </row>
    <row r="5825" ht="15.75" customHeight="1">
      <c r="A5825" t="str">
        <f t="shared" si="1"/>
        <v>T.denticola</v>
      </c>
      <c r="B5825" s="5" t="s">
        <v>33521</v>
      </c>
      <c r="C5825" s="6" t="str">
        <f>IFERROR(__xludf.DUMMYFUNCTION("SPLIT('2. c'!B5825, "" "", True, True)"),"Treponema")</f>
        <v>Treponema</v>
      </c>
      <c r="D5825" t="str">
        <f>IFERROR(__xludf.DUMMYFUNCTION("""COMPUTED_VALUE"""),"denticola")</f>
        <v>denticola</v>
      </c>
      <c r="E5825" t="str">
        <f>IFERROR(__xludf.DUMMYFUNCTION("""COMPUTED_VALUE"""),"H-22")</f>
        <v>H-22</v>
      </c>
    </row>
    <row r="5826" ht="15.75" customHeight="1">
      <c r="A5826" t="str">
        <f t="shared" si="1"/>
        <v>T.pallidum</v>
      </c>
      <c r="B5826" s="5" t="s">
        <v>33522</v>
      </c>
      <c r="C5826" s="6" t="str">
        <f>IFERROR(__xludf.DUMMYFUNCTION("SPLIT('2. c'!B5826, "" "", True, True)"),"Treponema")</f>
        <v>Treponema</v>
      </c>
      <c r="D5826" t="str">
        <f>IFERROR(__xludf.DUMMYFUNCTION("""COMPUTED_VALUE"""),"pallidum")</f>
        <v>pallidum</v>
      </c>
      <c r="E5826" t="str">
        <f>IFERROR(__xludf.DUMMYFUNCTION("""COMPUTED_VALUE"""),"str.")</f>
        <v>str.</v>
      </c>
      <c r="F5826" t="str">
        <f>IFERROR(__xludf.DUMMYFUNCTION("""COMPUTED_VALUE"""),"Fribourg-Blanc")</f>
        <v>Fribourg-Blanc</v>
      </c>
    </row>
    <row r="5827" ht="15.75" customHeight="1">
      <c r="A5827" t="str">
        <f t="shared" si="1"/>
        <v>T.pallidum</v>
      </c>
      <c r="B5827" s="5" t="s">
        <v>33523</v>
      </c>
      <c r="C5827" s="6" t="str">
        <f>IFERROR(__xludf.DUMMYFUNCTION("SPLIT('2. c'!B5827, "" "", True, True)"),"Treponema")</f>
        <v>Treponema</v>
      </c>
      <c r="D5827" t="str">
        <f>IFERROR(__xludf.DUMMYFUNCTION("""COMPUTED_VALUE"""),"pallidum")</f>
        <v>pallidum</v>
      </c>
      <c r="E5827" t="str">
        <f>IFERROR(__xludf.DUMMYFUNCTION("""COMPUTED_VALUE"""),"subsp.")</f>
        <v>subsp.</v>
      </c>
      <c r="F5827" t="str">
        <f>IFERROR(__xludf.DUMMYFUNCTION("""COMPUTED_VALUE"""),"endemicum")</f>
        <v>endemicum</v>
      </c>
      <c r="G5827" t="str">
        <f>IFERROR(__xludf.DUMMYFUNCTION("""COMPUTED_VALUE"""),"str.")</f>
        <v>str.</v>
      </c>
      <c r="H5827" t="str">
        <f>IFERROR(__xludf.DUMMYFUNCTION("""COMPUTED_VALUE"""),"Bosnia")</f>
        <v>Bosnia</v>
      </c>
      <c r="I5827" t="str">
        <f>IFERROR(__xludf.DUMMYFUNCTION("""COMPUTED_VALUE"""),"A")</f>
        <v>A</v>
      </c>
    </row>
    <row r="5828" ht="15.75" customHeight="1">
      <c r="A5828" t="str">
        <f t="shared" si="1"/>
        <v>T.pallidum</v>
      </c>
      <c r="B5828" s="5" t="s">
        <v>33524</v>
      </c>
      <c r="C5828" s="6" t="str">
        <f>IFERROR(__xludf.DUMMYFUNCTION("SPLIT('2. c'!B5828, "" "", True, True)"),"Treponema")</f>
        <v>Treponema</v>
      </c>
      <c r="D5828" t="str">
        <f>IFERROR(__xludf.DUMMYFUNCTION("""COMPUTED_VALUE"""),"pallidum")</f>
        <v>pallidum</v>
      </c>
      <c r="E5828" t="str">
        <f>IFERROR(__xludf.DUMMYFUNCTION("""COMPUTED_VALUE"""),"subsp.")</f>
        <v>subsp.</v>
      </c>
      <c r="F5828" t="str">
        <f>IFERROR(__xludf.DUMMYFUNCTION("""COMPUTED_VALUE"""),"pallidum")</f>
        <v>pallidum</v>
      </c>
    </row>
    <row r="5829" ht="15.75" customHeight="1">
      <c r="A5829" t="str">
        <f t="shared" si="1"/>
        <v>T.pallidum</v>
      </c>
      <c r="B5829" s="5" t="s">
        <v>33524</v>
      </c>
      <c r="C5829" s="6" t="str">
        <f>IFERROR(__xludf.DUMMYFUNCTION("SPLIT('2. c'!B5829, "" "", True, True)"),"Treponema")</f>
        <v>Treponema</v>
      </c>
      <c r="D5829" t="str">
        <f>IFERROR(__xludf.DUMMYFUNCTION("""COMPUTED_VALUE"""),"pallidum")</f>
        <v>pallidum</v>
      </c>
      <c r="E5829" t="str">
        <f>IFERROR(__xludf.DUMMYFUNCTION("""COMPUTED_VALUE"""),"subsp.")</f>
        <v>subsp.</v>
      </c>
      <c r="F5829" t="str">
        <f>IFERROR(__xludf.DUMMYFUNCTION("""COMPUTED_VALUE"""),"pallidum")</f>
        <v>pallidum</v>
      </c>
    </row>
    <row r="5830" ht="15.75" customHeight="1">
      <c r="A5830" t="str">
        <f t="shared" si="1"/>
        <v>T.pallidum</v>
      </c>
      <c r="B5830" s="5" t="s">
        <v>33524</v>
      </c>
      <c r="C5830" s="6" t="str">
        <f>IFERROR(__xludf.DUMMYFUNCTION("SPLIT('2. c'!B5830, "" "", True, True)"),"Treponema")</f>
        <v>Treponema</v>
      </c>
      <c r="D5830" t="str">
        <f>IFERROR(__xludf.DUMMYFUNCTION("""COMPUTED_VALUE"""),"pallidum")</f>
        <v>pallidum</v>
      </c>
      <c r="E5830" t="str">
        <f>IFERROR(__xludf.DUMMYFUNCTION("""COMPUTED_VALUE"""),"subsp.")</f>
        <v>subsp.</v>
      </c>
      <c r="F5830" t="str">
        <f>IFERROR(__xludf.DUMMYFUNCTION("""COMPUTED_VALUE"""),"pallidum")</f>
        <v>pallidum</v>
      </c>
    </row>
    <row r="5831" ht="15.75" customHeight="1">
      <c r="A5831" t="str">
        <f t="shared" si="1"/>
        <v>T.pallidum</v>
      </c>
      <c r="B5831" s="5" t="s">
        <v>33524</v>
      </c>
      <c r="C5831" s="6" t="str">
        <f>IFERROR(__xludf.DUMMYFUNCTION("SPLIT('2. c'!B5831, "" "", True, True)"),"Treponema")</f>
        <v>Treponema</v>
      </c>
      <c r="D5831" t="str">
        <f>IFERROR(__xludf.DUMMYFUNCTION("""COMPUTED_VALUE"""),"pallidum")</f>
        <v>pallidum</v>
      </c>
      <c r="E5831" t="str">
        <f>IFERROR(__xludf.DUMMYFUNCTION("""COMPUTED_VALUE"""),"subsp.")</f>
        <v>subsp.</v>
      </c>
      <c r="F5831" t="str">
        <f>IFERROR(__xludf.DUMMYFUNCTION("""COMPUTED_VALUE"""),"pallidum")</f>
        <v>pallidum</v>
      </c>
    </row>
    <row r="5832" ht="15.75" customHeight="1">
      <c r="A5832" t="str">
        <f t="shared" si="1"/>
        <v>T.pallidum</v>
      </c>
      <c r="B5832" s="5" t="s">
        <v>33524</v>
      </c>
      <c r="C5832" s="6" t="str">
        <f>IFERROR(__xludf.DUMMYFUNCTION("SPLIT('2. c'!B5832, "" "", True, True)"),"Treponema")</f>
        <v>Treponema</v>
      </c>
      <c r="D5832" t="str">
        <f>IFERROR(__xludf.DUMMYFUNCTION("""COMPUTED_VALUE"""),"pallidum")</f>
        <v>pallidum</v>
      </c>
      <c r="E5832" t="str">
        <f>IFERROR(__xludf.DUMMYFUNCTION("""COMPUTED_VALUE"""),"subsp.")</f>
        <v>subsp.</v>
      </c>
      <c r="F5832" t="str">
        <f>IFERROR(__xludf.DUMMYFUNCTION("""COMPUTED_VALUE"""),"pallidum")</f>
        <v>pallidum</v>
      </c>
    </row>
    <row r="5833" ht="15.75" customHeight="1">
      <c r="A5833" t="str">
        <f t="shared" si="1"/>
        <v>T.pallidum</v>
      </c>
      <c r="B5833" s="5" t="s">
        <v>33524</v>
      </c>
      <c r="C5833" s="6" t="str">
        <f>IFERROR(__xludf.DUMMYFUNCTION("SPLIT('2. c'!B5833, "" "", True, True)"),"Treponema")</f>
        <v>Treponema</v>
      </c>
      <c r="D5833" t="str">
        <f>IFERROR(__xludf.DUMMYFUNCTION("""COMPUTED_VALUE"""),"pallidum")</f>
        <v>pallidum</v>
      </c>
      <c r="E5833" t="str">
        <f>IFERROR(__xludf.DUMMYFUNCTION("""COMPUTED_VALUE"""),"subsp.")</f>
        <v>subsp.</v>
      </c>
      <c r="F5833" t="str">
        <f>IFERROR(__xludf.DUMMYFUNCTION("""COMPUTED_VALUE"""),"pallidum")</f>
        <v>pallidum</v>
      </c>
    </row>
    <row r="5834" ht="15.75" customHeight="1">
      <c r="A5834" t="str">
        <f t="shared" si="1"/>
        <v>T.pallidum</v>
      </c>
      <c r="B5834" s="5" t="s">
        <v>33524</v>
      </c>
      <c r="C5834" s="6" t="str">
        <f>IFERROR(__xludf.DUMMYFUNCTION("SPLIT('2. c'!B5834, "" "", True, True)"),"Treponema")</f>
        <v>Treponema</v>
      </c>
      <c r="D5834" t="str">
        <f>IFERROR(__xludf.DUMMYFUNCTION("""COMPUTED_VALUE"""),"pallidum")</f>
        <v>pallidum</v>
      </c>
      <c r="E5834" t="str">
        <f>IFERROR(__xludf.DUMMYFUNCTION("""COMPUTED_VALUE"""),"subsp.")</f>
        <v>subsp.</v>
      </c>
      <c r="F5834" t="str">
        <f>IFERROR(__xludf.DUMMYFUNCTION("""COMPUTED_VALUE"""),"pallidum")</f>
        <v>pallidum</v>
      </c>
    </row>
    <row r="5835" ht="15.75" customHeight="1">
      <c r="A5835" t="str">
        <f t="shared" si="1"/>
        <v>T.pallidum</v>
      </c>
      <c r="B5835" s="5" t="s">
        <v>33524</v>
      </c>
      <c r="C5835" s="6" t="str">
        <f>IFERROR(__xludf.DUMMYFUNCTION("SPLIT('2. c'!B5835, "" "", True, True)"),"Treponema")</f>
        <v>Treponema</v>
      </c>
      <c r="D5835" t="str">
        <f>IFERROR(__xludf.DUMMYFUNCTION("""COMPUTED_VALUE"""),"pallidum")</f>
        <v>pallidum</v>
      </c>
      <c r="E5835" t="str">
        <f>IFERROR(__xludf.DUMMYFUNCTION("""COMPUTED_VALUE"""),"subsp.")</f>
        <v>subsp.</v>
      </c>
      <c r="F5835" t="str">
        <f>IFERROR(__xludf.DUMMYFUNCTION("""COMPUTED_VALUE"""),"pallidum")</f>
        <v>pallidum</v>
      </c>
    </row>
    <row r="5836" ht="15.75" customHeight="1">
      <c r="A5836" t="str">
        <f t="shared" si="1"/>
        <v>T.pallidum</v>
      </c>
      <c r="B5836" s="5" t="s">
        <v>33524</v>
      </c>
      <c r="C5836" s="6" t="str">
        <f>IFERROR(__xludf.DUMMYFUNCTION("SPLIT('2. c'!B5836, "" "", True, True)"),"Treponema")</f>
        <v>Treponema</v>
      </c>
      <c r="D5836" t="str">
        <f>IFERROR(__xludf.DUMMYFUNCTION("""COMPUTED_VALUE"""),"pallidum")</f>
        <v>pallidum</v>
      </c>
      <c r="E5836" t="str">
        <f>IFERROR(__xludf.DUMMYFUNCTION("""COMPUTED_VALUE"""),"subsp.")</f>
        <v>subsp.</v>
      </c>
      <c r="F5836" t="str">
        <f>IFERROR(__xludf.DUMMYFUNCTION("""COMPUTED_VALUE"""),"pallidum")</f>
        <v>pallidum</v>
      </c>
    </row>
    <row r="5837" ht="15.75" customHeight="1">
      <c r="A5837" t="str">
        <f t="shared" si="1"/>
        <v>T.pallidum</v>
      </c>
      <c r="B5837" s="5" t="s">
        <v>33524</v>
      </c>
      <c r="C5837" s="6" t="str">
        <f>IFERROR(__xludf.DUMMYFUNCTION("SPLIT('2. c'!B5837, "" "", True, True)"),"Treponema")</f>
        <v>Treponema</v>
      </c>
      <c r="D5837" t="str">
        <f>IFERROR(__xludf.DUMMYFUNCTION("""COMPUTED_VALUE"""),"pallidum")</f>
        <v>pallidum</v>
      </c>
      <c r="E5837" t="str">
        <f>IFERROR(__xludf.DUMMYFUNCTION("""COMPUTED_VALUE"""),"subsp.")</f>
        <v>subsp.</v>
      </c>
      <c r="F5837" t="str">
        <f>IFERROR(__xludf.DUMMYFUNCTION("""COMPUTED_VALUE"""),"pallidum")</f>
        <v>pallidum</v>
      </c>
    </row>
    <row r="5838" ht="15.75" customHeight="1">
      <c r="A5838" t="str">
        <f t="shared" si="1"/>
        <v>T.pallidum</v>
      </c>
      <c r="B5838" s="5" t="s">
        <v>33525</v>
      </c>
      <c r="C5838" s="6" t="str">
        <f>IFERROR(__xludf.DUMMYFUNCTION("SPLIT('2. c'!B5838, "" "", True, True)"),"Treponema")</f>
        <v>Treponema</v>
      </c>
      <c r="D5838" t="str">
        <f>IFERROR(__xludf.DUMMYFUNCTION("""COMPUTED_VALUE"""),"pallidum")</f>
        <v>pallidum</v>
      </c>
      <c r="E5838" t="str">
        <f>IFERROR(__xludf.DUMMYFUNCTION("""COMPUTED_VALUE"""),"subsp.")</f>
        <v>subsp.</v>
      </c>
      <c r="F5838" t="str">
        <f>IFERROR(__xludf.DUMMYFUNCTION("""COMPUTED_VALUE"""),"pallidum")</f>
        <v>pallidum</v>
      </c>
      <c r="G5838" t="str">
        <f>IFERROR(__xludf.DUMMYFUNCTION("""COMPUTED_VALUE"""),"DAL-1")</f>
        <v>DAL-1</v>
      </c>
    </row>
    <row r="5839" ht="15.75" customHeight="1">
      <c r="A5839" t="str">
        <f t="shared" si="1"/>
        <v>T.pallidum</v>
      </c>
      <c r="B5839" s="5" t="s">
        <v>33526</v>
      </c>
      <c r="C5839" s="6" t="str">
        <f>IFERROR(__xludf.DUMMYFUNCTION("SPLIT('2. c'!B5839, "" "", True, True)"),"Treponema")</f>
        <v>Treponema</v>
      </c>
      <c r="D5839" t="str">
        <f>IFERROR(__xludf.DUMMYFUNCTION("""COMPUTED_VALUE"""),"pallidum")</f>
        <v>pallidum</v>
      </c>
      <c r="E5839" t="str">
        <f>IFERROR(__xludf.DUMMYFUNCTION("""COMPUTED_VALUE"""),"subsp.")</f>
        <v>subsp.</v>
      </c>
      <c r="F5839" t="str">
        <f>IFERROR(__xludf.DUMMYFUNCTION("""COMPUTED_VALUE"""),"pallidum")</f>
        <v>pallidum</v>
      </c>
      <c r="G5839" t="str">
        <f>IFERROR(__xludf.DUMMYFUNCTION("""COMPUTED_VALUE"""),"SS14")</f>
        <v>SS14</v>
      </c>
    </row>
    <row r="5840" ht="15.75" customHeight="1">
      <c r="A5840" t="str">
        <f t="shared" si="1"/>
        <v>T.pallidum</v>
      </c>
      <c r="B5840" s="5" t="s">
        <v>33526</v>
      </c>
      <c r="C5840" s="6" t="str">
        <f>IFERROR(__xludf.DUMMYFUNCTION("SPLIT('2. c'!B5840, "" "", True, True)"),"Treponema")</f>
        <v>Treponema</v>
      </c>
      <c r="D5840" t="str">
        <f>IFERROR(__xludf.DUMMYFUNCTION("""COMPUTED_VALUE"""),"pallidum")</f>
        <v>pallidum</v>
      </c>
      <c r="E5840" t="str">
        <f>IFERROR(__xludf.DUMMYFUNCTION("""COMPUTED_VALUE"""),"subsp.")</f>
        <v>subsp.</v>
      </c>
      <c r="F5840" t="str">
        <f>IFERROR(__xludf.DUMMYFUNCTION("""COMPUTED_VALUE"""),"pallidum")</f>
        <v>pallidum</v>
      </c>
      <c r="G5840" t="str">
        <f>IFERROR(__xludf.DUMMYFUNCTION("""COMPUTED_VALUE"""),"SS14")</f>
        <v>SS14</v>
      </c>
    </row>
    <row r="5841" ht="15.75" customHeight="1">
      <c r="A5841" t="str">
        <f t="shared" si="1"/>
        <v>T.pallidum</v>
      </c>
      <c r="B5841" s="5" t="s">
        <v>33527</v>
      </c>
      <c r="C5841" s="6" t="str">
        <f>IFERROR(__xludf.DUMMYFUNCTION("SPLIT('2. c'!B5841, "" "", True, True)"),"Treponema")</f>
        <v>Treponema</v>
      </c>
      <c r="D5841" t="str">
        <f>IFERROR(__xludf.DUMMYFUNCTION("""COMPUTED_VALUE"""),"pallidum")</f>
        <v>pallidum</v>
      </c>
      <c r="E5841" t="str">
        <f>IFERROR(__xludf.DUMMYFUNCTION("""COMPUTED_VALUE"""),"subsp.")</f>
        <v>subsp.</v>
      </c>
      <c r="F5841" t="str">
        <f>IFERROR(__xludf.DUMMYFUNCTION("""COMPUTED_VALUE"""),"pallidum")</f>
        <v>pallidum</v>
      </c>
      <c r="G5841" t="str">
        <f>IFERROR(__xludf.DUMMYFUNCTION("""COMPUTED_VALUE"""),"str.")</f>
        <v>str.</v>
      </c>
      <c r="H5841" t="str">
        <f>IFERROR(__xludf.DUMMYFUNCTION("""COMPUTED_VALUE"""),"Chicago")</f>
        <v>Chicago</v>
      </c>
    </row>
    <row r="5842" ht="15.75" customHeight="1">
      <c r="A5842" t="str">
        <f t="shared" si="1"/>
        <v>T.pallidum</v>
      </c>
      <c r="B5842" s="5" t="s">
        <v>33528</v>
      </c>
      <c r="C5842" s="6" t="str">
        <f>IFERROR(__xludf.DUMMYFUNCTION("SPLIT('2. c'!B5842, "" "", True, True)"),"Treponema")</f>
        <v>Treponema</v>
      </c>
      <c r="D5842" t="str">
        <f>IFERROR(__xludf.DUMMYFUNCTION("""COMPUTED_VALUE"""),"pallidum")</f>
        <v>pallidum</v>
      </c>
      <c r="E5842" t="str">
        <f>IFERROR(__xludf.DUMMYFUNCTION("""COMPUTED_VALUE"""),"subsp.")</f>
        <v>subsp.</v>
      </c>
      <c r="F5842" t="str">
        <f>IFERROR(__xludf.DUMMYFUNCTION("""COMPUTED_VALUE"""),"pallidum")</f>
        <v>pallidum</v>
      </c>
      <c r="G5842" t="str">
        <f>IFERROR(__xludf.DUMMYFUNCTION("""COMPUTED_VALUE"""),"str.")</f>
        <v>str.</v>
      </c>
      <c r="H5842" t="str">
        <f>IFERROR(__xludf.DUMMYFUNCTION("""COMPUTED_VALUE"""),"Mexico")</f>
        <v>Mexico</v>
      </c>
      <c r="I5842" t="str">
        <f>IFERROR(__xludf.DUMMYFUNCTION("""COMPUTED_VALUE"""),"A")</f>
        <v>A</v>
      </c>
    </row>
    <row r="5843" ht="15.75" customHeight="1">
      <c r="A5843" t="str">
        <f t="shared" si="1"/>
        <v>T.pallidum</v>
      </c>
      <c r="B5843" s="5" t="s">
        <v>33529</v>
      </c>
      <c r="C5843" s="6" t="str">
        <f>IFERROR(__xludf.DUMMYFUNCTION("SPLIT('2. c'!B5843, "" "", True, True)"),"Treponema")</f>
        <v>Treponema</v>
      </c>
      <c r="D5843" t="str">
        <f>IFERROR(__xludf.DUMMYFUNCTION("""COMPUTED_VALUE"""),"pallidum")</f>
        <v>pallidum</v>
      </c>
      <c r="E5843" t="str">
        <f>IFERROR(__xludf.DUMMYFUNCTION("""COMPUTED_VALUE"""),"subsp.")</f>
        <v>subsp.</v>
      </c>
      <c r="F5843" t="str">
        <f>IFERROR(__xludf.DUMMYFUNCTION("""COMPUTED_VALUE"""),"pallidum")</f>
        <v>pallidum</v>
      </c>
      <c r="G5843" t="str">
        <f>IFERROR(__xludf.DUMMYFUNCTION("""COMPUTED_VALUE"""),"str.")</f>
        <v>str.</v>
      </c>
      <c r="H5843" t="str">
        <f>IFERROR(__xludf.DUMMYFUNCTION("""COMPUTED_VALUE"""),"Nichols")</f>
        <v>Nichols</v>
      </c>
    </row>
    <row r="5844" ht="15.75" customHeight="1">
      <c r="A5844" t="str">
        <f t="shared" si="1"/>
        <v>T.pallidum</v>
      </c>
      <c r="B5844" s="5" t="s">
        <v>33529</v>
      </c>
      <c r="C5844" s="6" t="str">
        <f>IFERROR(__xludf.DUMMYFUNCTION("SPLIT('2. c'!B5844, "" "", True, True)"),"Treponema")</f>
        <v>Treponema</v>
      </c>
      <c r="D5844" t="str">
        <f>IFERROR(__xludf.DUMMYFUNCTION("""COMPUTED_VALUE"""),"pallidum")</f>
        <v>pallidum</v>
      </c>
      <c r="E5844" t="str">
        <f>IFERROR(__xludf.DUMMYFUNCTION("""COMPUTED_VALUE"""),"subsp.")</f>
        <v>subsp.</v>
      </c>
      <c r="F5844" t="str">
        <f>IFERROR(__xludf.DUMMYFUNCTION("""COMPUTED_VALUE"""),"pallidum")</f>
        <v>pallidum</v>
      </c>
      <c r="G5844" t="str">
        <f>IFERROR(__xludf.DUMMYFUNCTION("""COMPUTED_VALUE"""),"str.")</f>
        <v>str.</v>
      </c>
      <c r="H5844" t="str">
        <f>IFERROR(__xludf.DUMMYFUNCTION("""COMPUTED_VALUE"""),"Nichols")</f>
        <v>Nichols</v>
      </c>
    </row>
    <row r="5845" ht="15.75" customHeight="1">
      <c r="A5845" t="str">
        <f t="shared" si="1"/>
        <v>T.pallidum</v>
      </c>
      <c r="B5845" s="5" t="s">
        <v>33530</v>
      </c>
      <c r="C5845" s="6" t="str">
        <f>IFERROR(__xludf.DUMMYFUNCTION("SPLIT('2. c'!B5845, "" "", True, True)"),"Treponema")</f>
        <v>Treponema</v>
      </c>
      <c r="D5845" t="str">
        <f>IFERROR(__xludf.DUMMYFUNCTION("""COMPUTED_VALUE"""),"pallidum")</f>
        <v>pallidum</v>
      </c>
      <c r="E5845" t="str">
        <f>IFERROR(__xludf.DUMMYFUNCTION("""COMPUTED_VALUE"""),"subsp.")</f>
        <v>subsp.</v>
      </c>
      <c r="F5845" t="str">
        <f>IFERROR(__xludf.DUMMYFUNCTION("""COMPUTED_VALUE"""),"pallidum")</f>
        <v>pallidum</v>
      </c>
      <c r="G5845" t="str">
        <f>IFERROR(__xludf.DUMMYFUNCTION("""COMPUTED_VALUE"""),"str.")</f>
        <v>str.</v>
      </c>
      <c r="H5845" t="str">
        <f>IFERROR(__xludf.DUMMYFUNCTION("""COMPUTED_VALUE"""),"Sea")</f>
        <v>Sea</v>
      </c>
      <c r="I5845" t="str">
        <f>IFERROR(__xludf.DUMMYFUNCTION("""COMPUTED_VALUE"""),"81-4")</f>
        <v>81-4</v>
      </c>
    </row>
    <row r="5846" ht="15.75" customHeight="1">
      <c r="A5846" t="str">
        <f t="shared" si="1"/>
        <v>T.pallidum</v>
      </c>
      <c r="B5846" s="5" t="s">
        <v>33531</v>
      </c>
      <c r="C5846" s="6" t="str">
        <f>IFERROR(__xludf.DUMMYFUNCTION("SPLIT('2. c'!B5846, "" "", True, True)"),"Treponema")</f>
        <v>Treponema</v>
      </c>
      <c r="D5846" t="str">
        <f>IFERROR(__xludf.DUMMYFUNCTION("""COMPUTED_VALUE"""),"pallidum")</f>
        <v>pallidum</v>
      </c>
      <c r="E5846" t="str">
        <f>IFERROR(__xludf.DUMMYFUNCTION("""COMPUTED_VALUE"""),"subsp.")</f>
        <v>subsp.</v>
      </c>
      <c r="F5846" t="str">
        <f>IFERROR(__xludf.DUMMYFUNCTION("""COMPUTED_VALUE"""),"pertenue")</f>
        <v>pertenue</v>
      </c>
      <c r="G5846" t="str">
        <f>IFERROR(__xludf.DUMMYFUNCTION("""COMPUTED_VALUE"""),"str.")</f>
        <v>str.</v>
      </c>
      <c r="H5846" t="str">
        <f>IFERROR(__xludf.DUMMYFUNCTION("""COMPUTED_VALUE"""),"CDC2")</f>
        <v>CDC2</v>
      </c>
    </row>
    <row r="5847" ht="15.75" customHeight="1">
      <c r="A5847" t="str">
        <f t="shared" si="1"/>
        <v>T.pallidum</v>
      </c>
      <c r="B5847" s="5" t="s">
        <v>33532</v>
      </c>
      <c r="C5847" s="6" t="str">
        <f>IFERROR(__xludf.DUMMYFUNCTION("SPLIT('2. c'!B5847, "" "", True, True)"),"Treponema")</f>
        <v>Treponema</v>
      </c>
      <c r="D5847" t="str">
        <f>IFERROR(__xludf.DUMMYFUNCTION("""COMPUTED_VALUE"""),"pallidum")</f>
        <v>pallidum</v>
      </c>
      <c r="E5847" t="str">
        <f>IFERROR(__xludf.DUMMYFUNCTION("""COMPUTED_VALUE"""),"subsp.")</f>
        <v>subsp.</v>
      </c>
      <c r="F5847" t="str">
        <f>IFERROR(__xludf.DUMMYFUNCTION("""COMPUTED_VALUE"""),"pertenue")</f>
        <v>pertenue</v>
      </c>
      <c r="G5847" t="str">
        <f>IFERROR(__xludf.DUMMYFUNCTION("""COMPUTED_VALUE"""),"str.")</f>
        <v>str.</v>
      </c>
      <c r="H5847" t="str">
        <f>IFERROR(__xludf.DUMMYFUNCTION("""COMPUTED_VALUE"""),"Gauthier")</f>
        <v>Gauthier</v>
      </c>
    </row>
    <row r="5848" ht="15.75" customHeight="1">
      <c r="A5848" t="str">
        <f t="shared" si="1"/>
        <v>T.pallidum</v>
      </c>
      <c r="B5848" s="5" t="s">
        <v>33533</v>
      </c>
      <c r="C5848" s="6" t="str">
        <f>IFERROR(__xludf.DUMMYFUNCTION("SPLIT('2. c'!B5848, "" "", True, True)"),"Treponema")</f>
        <v>Treponema</v>
      </c>
      <c r="D5848" t="str">
        <f>IFERROR(__xludf.DUMMYFUNCTION("""COMPUTED_VALUE"""),"pallidum")</f>
        <v>pallidum</v>
      </c>
      <c r="E5848" t="str">
        <f>IFERROR(__xludf.DUMMYFUNCTION("""COMPUTED_VALUE"""),"subsp.")</f>
        <v>subsp.</v>
      </c>
      <c r="F5848" t="str">
        <f>IFERROR(__xludf.DUMMYFUNCTION("""COMPUTED_VALUE"""),"pertenue")</f>
        <v>pertenue</v>
      </c>
      <c r="G5848" t="str">
        <f>IFERROR(__xludf.DUMMYFUNCTION("""COMPUTED_VALUE"""),"str.")</f>
        <v>str.</v>
      </c>
      <c r="H5848" t="str">
        <f>IFERROR(__xludf.DUMMYFUNCTION("""COMPUTED_VALUE"""),"SamoaD")</f>
        <v>SamoaD</v>
      </c>
    </row>
    <row r="5849" ht="15.75" customHeight="1">
      <c r="A5849" t="str">
        <f t="shared" si="1"/>
        <v>T.paraluiscuniculi</v>
      </c>
      <c r="B5849" s="5" t="s">
        <v>33534</v>
      </c>
      <c r="C5849" s="6" t="str">
        <f>IFERROR(__xludf.DUMMYFUNCTION("SPLIT('2. c'!B5849, "" "", True, True)"),"Treponema")</f>
        <v>Treponema</v>
      </c>
      <c r="D5849" t="str">
        <f>IFERROR(__xludf.DUMMYFUNCTION("""COMPUTED_VALUE"""),"paraluiscuniculi")</f>
        <v>paraluiscuniculi</v>
      </c>
      <c r="E5849" t="str">
        <f>IFERROR(__xludf.DUMMYFUNCTION("""COMPUTED_VALUE"""),"Cuniculi")</f>
        <v>Cuniculi</v>
      </c>
      <c r="F5849" t="str">
        <f>IFERROR(__xludf.DUMMYFUNCTION("""COMPUTED_VALUE"""),"A")</f>
        <v>A</v>
      </c>
    </row>
    <row r="5850" ht="15.75" customHeight="1">
      <c r="A5850" t="str">
        <f t="shared" si="1"/>
        <v>T.pedis</v>
      </c>
      <c r="B5850" s="5" t="s">
        <v>33535</v>
      </c>
      <c r="C5850" s="6" t="str">
        <f>IFERROR(__xludf.DUMMYFUNCTION("SPLIT('2. c'!B5850, "" "", True, True)"),"Treponema")</f>
        <v>Treponema</v>
      </c>
      <c r="D5850" t="str">
        <f>IFERROR(__xludf.DUMMYFUNCTION("""COMPUTED_VALUE"""),"pedis")</f>
        <v>pedis</v>
      </c>
      <c r="E5850" t="str">
        <f>IFERROR(__xludf.DUMMYFUNCTION("""COMPUTED_VALUE"""),"str.")</f>
        <v>str.</v>
      </c>
      <c r="F5850" t="str">
        <f>IFERROR(__xludf.DUMMYFUNCTION("""COMPUTED_VALUE"""),"T")</f>
        <v>T</v>
      </c>
      <c r="G5850" t="str">
        <f>IFERROR(__xludf.DUMMYFUNCTION("""COMPUTED_VALUE"""),"A4")</f>
        <v>A4</v>
      </c>
    </row>
    <row r="5851" ht="15.75" customHeight="1">
      <c r="A5851" t="str">
        <f t="shared" si="1"/>
        <v>T.primitia</v>
      </c>
      <c r="B5851" s="5" t="s">
        <v>33536</v>
      </c>
      <c r="C5851" s="6" t="str">
        <f>IFERROR(__xludf.DUMMYFUNCTION("SPLIT('2. c'!B5851, "" "", True, True)"),"Treponema")</f>
        <v>Treponema</v>
      </c>
      <c r="D5851" t="str">
        <f>IFERROR(__xludf.DUMMYFUNCTION("""COMPUTED_VALUE"""),"primitia")</f>
        <v>primitia</v>
      </c>
      <c r="E5851" t="str">
        <f>IFERROR(__xludf.DUMMYFUNCTION("""COMPUTED_VALUE"""),"ZAS-2")</f>
        <v>ZAS-2</v>
      </c>
    </row>
    <row r="5852" ht="15.75" customHeight="1">
      <c r="A5852" t="str">
        <f t="shared" si="1"/>
        <v>T.putidum</v>
      </c>
      <c r="B5852" s="5" t="s">
        <v>33537</v>
      </c>
      <c r="C5852" s="6" t="str">
        <f>IFERROR(__xludf.DUMMYFUNCTION("SPLIT('2. c'!B5852, "" "", True, True)"),"Treponema")</f>
        <v>Treponema</v>
      </c>
      <c r="D5852" t="str">
        <f>IFERROR(__xludf.DUMMYFUNCTION("""COMPUTED_VALUE"""),"putidum")</f>
        <v>putidum</v>
      </c>
      <c r="E5852" t="str">
        <f>IFERROR(__xludf.DUMMYFUNCTION("""COMPUTED_VALUE"""),"strain")</f>
        <v>strain</v>
      </c>
      <c r="F5852" t="str">
        <f>IFERROR(__xludf.DUMMYFUNCTION("""COMPUTED_VALUE"""),"OMZ")</f>
        <v>OMZ</v>
      </c>
      <c r="G5852">
        <f>IFERROR(__xludf.DUMMYFUNCTION("""COMPUTED_VALUE"""),758.0)</f>
        <v>758</v>
      </c>
      <c r="H5852" t="str">
        <f>IFERROR(__xludf.DUMMYFUNCTION("""COMPUTED_VALUE"""),"(ATCC")</f>
        <v>(ATCC</v>
      </c>
      <c r="I5852" t="str">
        <f>IFERROR(__xludf.DUMMYFUNCTION("""COMPUTED_VALUE"""),"700334)")</f>
        <v>700334)</v>
      </c>
    </row>
    <row r="5853" ht="15.75" customHeight="1">
      <c r="A5853" t="str">
        <f t="shared" si="1"/>
        <v>T.sp.</v>
      </c>
      <c r="B5853" s="5" t="s">
        <v>33538</v>
      </c>
      <c r="C5853" s="6" t="str">
        <f>IFERROR(__xludf.DUMMYFUNCTION("SPLIT('2. c'!B5853, "" "", True, True)"),"Treponema")</f>
        <v>Treponema</v>
      </c>
      <c r="D5853" t="str">
        <f>IFERROR(__xludf.DUMMYFUNCTION("""COMPUTED_VALUE"""),"sp.")</f>
        <v>sp.</v>
      </c>
      <c r="E5853" t="str">
        <f>IFERROR(__xludf.DUMMYFUNCTION("""COMPUTED_VALUE"""),"OMZ")</f>
        <v>OMZ</v>
      </c>
      <c r="F5853">
        <f>IFERROR(__xludf.DUMMYFUNCTION("""COMPUTED_VALUE"""),838.0)</f>
        <v>838</v>
      </c>
    </row>
    <row r="5854" ht="15.75" customHeight="1">
      <c r="A5854" t="str">
        <f t="shared" si="1"/>
        <v>T.succinifaciens</v>
      </c>
      <c r="B5854" s="5" t="s">
        <v>33539</v>
      </c>
      <c r="C5854" s="6" t="str">
        <f>IFERROR(__xludf.DUMMYFUNCTION("SPLIT('2. c'!B5854, "" "", True, True)"),"Treponema")</f>
        <v>Treponema</v>
      </c>
      <c r="D5854" t="str">
        <f>IFERROR(__xludf.DUMMYFUNCTION("""COMPUTED_VALUE"""),"succinifaciens")</f>
        <v>succinifaciens</v>
      </c>
      <c r="E5854" t="str">
        <f>IFERROR(__xludf.DUMMYFUNCTION("""COMPUTED_VALUE"""),"DSM")</f>
        <v>DSM</v>
      </c>
      <c r="F5854">
        <f>IFERROR(__xludf.DUMMYFUNCTION("""COMPUTED_VALUE"""),2489.0)</f>
        <v>2489</v>
      </c>
    </row>
    <row r="5855" ht="15.75" customHeight="1">
      <c r="A5855" t="str">
        <f t="shared" si="1"/>
        <v>T.erythraeum</v>
      </c>
      <c r="B5855" s="5" t="s">
        <v>33540</v>
      </c>
      <c r="C5855" s="6" t="str">
        <f>IFERROR(__xludf.DUMMYFUNCTION("SPLIT('2. c'!B5855, "" "", True, True)"),"Trichodesmium")</f>
        <v>Trichodesmium</v>
      </c>
      <c r="D5855" t="str">
        <f>IFERROR(__xludf.DUMMYFUNCTION("""COMPUTED_VALUE"""),"erythraeum")</f>
        <v>erythraeum</v>
      </c>
      <c r="E5855" t="str">
        <f>IFERROR(__xludf.DUMMYFUNCTION("""COMPUTED_VALUE"""),"IMS101")</f>
        <v>IMS101</v>
      </c>
    </row>
    <row r="5856" ht="15.75" customHeight="1">
      <c r="A5856" t="str">
        <f t="shared" si="1"/>
        <v>T.whipplei</v>
      </c>
      <c r="B5856" s="5" t="s">
        <v>33541</v>
      </c>
      <c r="C5856" s="6" t="str">
        <f>IFERROR(__xludf.DUMMYFUNCTION("SPLIT('2. c'!B5856, "" "", True, True)"),"Tropheryma")</f>
        <v>Tropheryma</v>
      </c>
      <c r="D5856" t="str">
        <f>IFERROR(__xludf.DUMMYFUNCTION("""COMPUTED_VALUE"""),"whipplei")</f>
        <v>whipplei</v>
      </c>
      <c r="E5856" t="str">
        <f>IFERROR(__xludf.DUMMYFUNCTION("""COMPUTED_VALUE"""),"str.")</f>
        <v>str.</v>
      </c>
      <c r="F5856" t="str">
        <f>IFERROR(__xludf.DUMMYFUNCTION("""COMPUTED_VALUE"""),"Twist")</f>
        <v>Twist</v>
      </c>
    </row>
    <row r="5857" ht="15.75" customHeight="1">
      <c r="A5857" t="str">
        <f t="shared" si="1"/>
        <v>T.whipplei</v>
      </c>
      <c r="B5857" s="5" t="s">
        <v>33542</v>
      </c>
      <c r="C5857" s="6" t="str">
        <f>IFERROR(__xludf.DUMMYFUNCTION("SPLIT('2. c'!B5857, "" "", True, True)"),"Tropheryma")</f>
        <v>Tropheryma</v>
      </c>
      <c r="D5857" t="str">
        <f>IFERROR(__xludf.DUMMYFUNCTION("""COMPUTED_VALUE"""),"whipplei")</f>
        <v>whipplei</v>
      </c>
      <c r="E5857" t="str">
        <f>IFERROR(__xludf.DUMMYFUNCTION("""COMPUTED_VALUE"""),"TW08/27")</f>
        <v>TW08/27</v>
      </c>
    </row>
    <row r="5858" ht="15.75" customHeight="1">
      <c r="A5858" t="str">
        <f t="shared" si="1"/>
        <v>T.radiovictrix</v>
      </c>
      <c r="B5858" s="5" t="s">
        <v>33543</v>
      </c>
      <c r="C5858" s="6" t="str">
        <f>IFERROR(__xludf.DUMMYFUNCTION("SPLIT('2. c'!B5858, "" "", True, True)"),"Truepera")</f>
        <v>Truepera</v>
      </c>
      <c r="D5858" t="str">
        <f>IFERROR(__xludf.DUMMYFUNCTION("""COMPUTED_VALUE"""),"radiovictrix")</f>
        <v>radiovictrix</v>
      </c>
      <c r="E5858" t="str">
        <f>IFERROR(__xludf.DUMMYFUNCTION("""COMPUTED_VALUE"""),"DSM")</f>
        <v>DSM</v>
      </c>
      <c r="F5858">
        <f>IFERROR(__xludf.DUMMYFUNCTION("""COMPUTED_VALUE"""),17093.0)</f>
        <v>17093</v>
      </c>
    </row>
    <row r="5859" ht="15.75" customHeight="1">
      <c r="A5859" t="str">
        <f t="shared" si="1"/>
        <v>T.pyogenes</v>
      </c>
      <c r="B5859" s="5" t="s">
        <v>33544</v>
      </c>
      <c r="C5859" s="6" t="str">
        <f>IFERROR(__xludf.DUMMYFUNCTION("SPLIT('2. c'!B5859, "" "", True, True)"),"Trueperella")</f>
        <v>Trueperella</v>
      </c>
      <c r="D5859" t="str">
        <f>IFERROR(__xludf.DUMMYFUNCTION("""COMPUTED_VALUE"""),"pyogenes")</f>
        <v>pyogenes</v>
      </c>
      <c r="E5859" t="str">
        <f>IFERROR(__xludf.DUMMYFUNCTION("""COMPUTED_VALUE"""),"strain")</f>
        <v>strain</v>
      </c>
      <c r="F5859" t="str">
        <f>IFERROR(__xludf.DUMMYFUNCTION("""COMPUTED_VALUE"""),"2012CQ-ZSH")</f>
        <v>2012CQ-ZSH</v>
      </c>
    </row>
    <row r="5860" ht="15.75" customHeight="1">
      <c r="A5860" t="str">
        <f t="shared" si="1"/>
        <v>T.pyogenes</v>
      </c>
      <c r="B5860" s="5" t="s">
        <v>33545</v>
      </c>
      <c r="C5860" s="6" t="str">
        <f>IFERROR(__xludf.DUMMYFUNCTION("SPLIT('2. c'!B5860, "" "", True, True)"),"Trueperella")</f>
        <v>Trueperella</v>
      </c>
      <c r="D5860" t="str">
        <f>IFERROR(__xludf.DUMMYFUNCTION("""COMPUTED_VALUE"""),"pyogenes")</f>
        <v>pyogenes</v>
      </c>
      <c r="E5860" t="str">
        <f>IFERROR(__xludf.DUMMYFUNCTION("""COMPUTED_VALUE"""),"strain")</f>
        <v>strain</v>
      </c>
      <c r="F5860" t="str">
        <f>IFERROR(__xludf.DUMMYFUNCTION("""COMPUTED_VALUE"""),"TP6375")</f>
        <v>TP6375</v>
      </c>
    </row>
    <row r="5861" ht="15.75" customHeight="1">
      <c r="A5861" t="str">
        <f t="shared" si="1"/>
        <v>T.pyogenes</v>
      </c>
      <c r="B5861" s="5" t="s">
        <v>33546</v>
      </c>
      <c r="C5861" s="6" t="str">
        <f>IFERROR(__xludf.DUMMYFUNCTION("SPLIT('2. c'!B5861, "" "", True, True)"),"Trueperella")</f>
        <v>Trueperella</v>
      </c>
      <c r="D5861" t="str">
        <f>IFERROR(__xludf.DUMMYFUNCTION("""COMPUTED_VALUE"""),"pyogenes")</f>
        <v>pyogenes</v>
      </c>
      <c r="E5861" t="str">
        <f>IFERROR(__xludf.DUMMYFUNCTION("""COMPUTED_VALUE"""),"TP8")</f>
        <v>TP8</v>
      </c>
    </row>
    <row r="5862" ht="15.75" customHeight="1">
      <c r="A5862" t="str">
        <f t="shared" si="1"/>
        <v>T.paurometabola</v>
      </c>
      <c r="B5862" s="5" t="s">
        <v>33547</v>
      </c>
      <c r="C5862" s="6" t="str">
        <f>IFERROR(__xludf.DUMMYFUNCTION("SPLIT('2. c'!B5862, "" "", True, True)"),"Tsukamurella")</f>
        <v>Tsukamurella</v>
      </c>
      <c r="D5862" t="str">
        <f>IFERROR(__xludf.DUMMYFUNCTION("""COMPUTED_VALUE"""),"paurometabola")</f>
        <v>paurometabola</v>
      </c>
      <c r="E5862" t="str">
        <f>IFERROR(__xludf.DUMMYFUNCTION("""COMPUTED_VALUE"""),"DSM")</f>
        <v>DSM</v>
      </c>
      <c r="F5862">
        <f>IFERROR(__xludf.DUMMYFUNCTION("""COMPUTED_VALUE"""),20162.0)</f>
        <v>20162</v>
      </c>
    </row>
    <row r="5863" ht="15.75" customHeight="1">
      <c r="A5863" t="str">
        <f t="shared" si="1"/>
        <v>T.sp.</v>
      </c>
      <c r="B5863" s="5" t="s">
        <v>33548</v>
      </c>
      <c r="C5863" s="6" t="str">
        <f>IFERROR(__xludf.DUMMYFUNCTION("SPLIT('2. c'!B5863, "" "", True, True)"),"Turicibacter")</f>
        <v>Turicibacter</v>
      </c>
      <c r="D5863" t="str">
        <f>IFERROR(__xludf.DUMMYFUNCTION("""COMPUTED_VALUE"""),"sp.")</f>
        <v>sp.</v>
      </c>
      <c r="E5863" t="str">
        <f>IFERROR(__xludf.DUMMYFUNCTION("""COMPUTED_VALUE"""),"H121")</f>
        <v>H121</v>
      </c>
    </row>
    <row r="5864" ht="15.75" customHeight="1">
      <c r="A5864" t="str">
        <f t="shared" si="1"/>
        <v>T.parva</v>
      </c>
      <c r="B5864" s="5" t="s">
        <v>33549</v>
      </c>
      <c r="C5864" s="6" t="str">
        <f>IFERROR(__xludf.DUMMYFUNCTION("SPLIT('2. c'!B5864, "" "", True, True)"),"Turneriella")</f>
        <v>Turneriella</v>
      </c>
      <c r="D5864" t="str">
        <f>IFERROR(__xludf.DUMMYFUNCTION("""COMPUTED_VALUE"""),"parva")</f>
        <v>parva</v>
      </c>
      <c r="E5864" t="str">
        <f>IFERROR(__xludf.DUMMYFUNCTION("""COMPUTED_VALUE"""),"DSM")</f>
        <v>DSM</v>
      </c>
      <c r="F5864">
        <f>IFERROR(__xludf.DUMMYFUNCTION("""COMPUTED_VALUE"""),21527.0)</f>
        <v>21527</v>
      </c>
    </row>
    <row r="5865" ht="15.75" customHeight="1">
      <c r="A5865" t="str">
        <f t="shared" si="1"/>
        <v>U.diversum</v>
      </c>
      <c r="B5865" s="5" t="s">
        <v>33550</v>
      </c>
      <c r="C5865" s="6" t="str">
        <f>IFERROR(__xludf.DUMMYFUNCTION("SPLIT('2. c'!B5865, "" "", True, True)"),"Ureaplasma")</f>
        <v>Ureaplasma</v>
      </c>
      <c r="D5865" t="str">
        <f>IFERROR(__xludf.DUMMYFUNCTION("""COMPUTED_VALUE"""),"diversum")</f>
        <v>diversum</v>
      </c>
      <c r="E5865" t="str">
        <f>IFERROR(__xludf.DUMMYFUNCTION("""COMPUTED_VALUE"""),"strain")</f>
        <v>strain</v>
      </c>
      <c r="F5865" t="str">
        <f>IFERROR(__xludf.DUMMYFUNCTION("""COMPUTED_VALUE"""),"ATCC")</f>
        <v>ATCC</v>
      </c>
      <c r="G5865">
        <f>IFERROR(__xludf.DUMMYFUNCTION("""COMPUTED_VALUE"""),49782.0)</f>
        <v>49782</v>
      </c>
    </row>
    <row r="5866" ht="15.75" customHeight="1">
      <c r="A5866" t="str">
        <f t="shared" si="1"/>
        <v>U.parvum</v>
      </c>
      <c r="B5866" s="5" t="s">
        <v>33551</v>
      </c>
      <c r="C5866" s="6" t="str">
        <f>IFERROR(__xludf.DUMMYFUNCTION("SPLIT('2. c'!B5866, "" "", True, True)"),"Ureaplasma")</f>
        <v>Ureaplasma</v>
      </c>
      <c r="D5866" t="str">
        <f>IFERROR(__xludf.DUMMYFUNCTION("""COMPUTED_VALUE"""),"parvum")</f>
        <v>parvum</v>
      </c>
      <c r="E5866" t="str">
        <f>IFERROR(__xludf.DUMMYFUNCTION("""COMPUTED_VALUE"""),"serovar")</f>
        <v>serovar</v>
      </c>
      <c r="F5866">
        <f>IFERROR(__xludf.DUMMYFUNCTION("""COMPUTED_VALUE"""),3.0)</f>
        <v>3</v>
      </c>
      <c r="G5866" t="str">
        <f>IFERROR(__xludf.DUMMYFUNCTION("""COMPUTED_VALUE"""),"str.")</f>
        <v>str.</v>
      </c>
      <c r="H5866" t="str">
        <f>IFERROR(__xludf.DUMMYFUNCTION("""COMPUTED_VALUE"""),"ATCC")</f>
        <v>ATCC</v>
      </c>
      <c r="I5866">
        <f>IFERROR(__xludf.DUMMYFUNCTION("""COMPUTED_VALUE"""),27815.0)</f>
        <v>27815</v>
      </c>
    </row>
    <row r="5867" ht="15.75" customHeight="1">
      <c r="A5867" t="str">
        <f t="shared" si="1"/>
        <v>U.parvum</v>
      </c>
      <c r="B5867" s="5" t="s">
        <v>33552</v>
      </c>
      <c r="C5867" s="6" t="str">
        <f>IFERROR(__xludf.DUMMYFUNCTION("SPLIT('2. c'!B5867, "" "", True, True)"),"Ureaplasma")</f>
        <v>Ureaplasma</v>
      </c>
      <c r="D5867" t="str">
        <f>IFERROR(__xludf.DUMMYFUNCTION("""COMPUTED_VALUE"""),"parvum")</f>
        <v>parvum</v>
      </c>
      <c r="E5867" t="str">
        <f>IFERROR(__xludf.DUMMYFUNCTION("""COMPUTED_VALUE"""),"serovar")</f>
        <v>serovar</v>
      </c>
      <c r="F5867">
        <f>IFERROR(__xludf.DUMMYFUNCTION("""COMPUTED_VALUE"""),3.0)</f>
        <v>3</v>
      </c>
      <c r="G5867" t="str">
        <f>IFERROR(__xludf.DUMMYFUNCTION("""COMPUTED_VALUE"""),"str.")</f>
        <v>str.</v>
      </c>
      <c r="H5867" t="str">
        <f>IFERROR(__xludf.DUMMYFUNCTION("""COMPUTED_VALUE"""),"ATCC")</f>
        <v>ATCC</v>
      </c>
      <c r="I5867">
        <f>IFERROR(__xludf.DUMMYFUNCTION("""COMPUTED_VALUE"""),700970.0)</f>
        <v>700970</v>
      </c>
    </row>
    <row r="5868" ht="15.75" customHeight="1">
      <c r="A5868" t="str">
        <f t="shared" si="1"/>
        <v>U.parvum</v>
      </c>
      <c r="B5868" s="5" t="s">
        <v>33553</v>
      </c>
      <c r="C5868" s="6" t="str">
        <f>IFERROR(__xludf.DUMMYFUNCTION("SPLIT('2. c'!B5868, "" "", True, True)"),"Ureaplasma")</f>
        <v>Ureaplasma</v>
      </c>
      <c r="D5868" t="str">
        <f>IFERROR(__xludf.DUMMYFUNCTION("""COMPUTED_VALUE"""),"parvum")</f>
        <v>parvum</v>
      </c>
      <c r="E5868" t="str">
        <f>IFERROR(__xludf.DUMMYFUNCTION("""COMPUTED_VALUE"""),"serovar")</f>
        <v>serovar</v>
      </c>
      <c r="F5868">
        <f>IFERROR(__xludf.DUMMYFUNCTION("""COMPUTED_VALUE"""),3.0)</f>
        <v>3</v>
      </c>
      <c r="G5868" t="str">
        <f>IFERROR(__xludf.DUMMYFUNCTION("""COMPUTED_VALUE"""),"SV3F4")</f>
        <v>SV3F4</v>
      </c>
    </row>
    <row r="5869" ht="15.75" customHeight="1">
      <c r="A5869" t="str">
        <f t="shared" si="1"/>
        <v>U.urealyticum</v>
      </c>
      <c r="B5869" s="5" t="s">
        <v>33554</v>
      </c>
      <c r="C5869" s="6" t="str">
        <f>IFERROR(__xludf.DUMMYFUNCTION("SPLIT('2. c'!B5869, "" "", True, True)"),"Ureaplasma")</f>
        <v>Ureaplasma</v>
      </c>
      <c r="D5869" t="str">
        <f>IFERROR(__xludf.DUMMYFUNCTION("""COMPUTED_VALUE"""),"urealyticum")</f>
        <v>urealyticum</v>
      </c>
      <c r="E5869" t="str">
        <f>IFERROR(__xludf.DUMMYFUNCTION("""COMPUTED_VALUE"""),"serovar")</f>
        <v>serovar</v>
      </c>
      <c r="F5869">
        <f>IFERROR(__xludf.DUMMYFUNCTION("""COMPUTED_VALUE"""),10.0)</f>
        <v>10</v>
      </c>
      <c r="G5869" t="str">
        <f>IFERROR(__xludf.DUMMYFUNCTION("""COMPUTED_VALUE"""),"str.")</f>
        <v>str.</v>
      </c>
      <c r="H5869" t="str">
        <f>IFERROR(__xludf.DUMMYFUNCTION("""COMPUTED_VALUE"""),"ATCC")</f>
        <v>ATCC</v>
      </c>
      <c r="I5869">
        <f>IFERROR(__xludf.DUMMYFUNCTION("""COMPUTED_VALUE"""),33699.0)</f>
        <v>33699</v>
      </c>
    </row>
    <row r="5870" ht="15.75" customHeight="1">
      <c r="A5870" t="str">
        <f t="shared" si="1"/>
        <v>V.paradoxus</v>
      </c>
      <c r="B5870" s="5" t="s">
        <v>33555</v>
      </c>
      <c r="C5870" s="6" t="str">
        <f>IFERROR(__xludf.DUMMYFUNCTION("SPLIT('2. c'!B5870, "" "", True, True)"),"Variovorax")</f>
        <v>Variovorax</v>
      </c>
      <c r="D5870" t="str">
        <f>IFERROR(__xludf.DUMMYFUNCTION("""COMPUTED_VALUE"""),"paradoxus")</f>
        <v>paradoxus</v>
      </c>
      <c r="E5870" t="str">
        <f>IFERROR(__xludf.DUMMYFUNCTION("""COMPUTED_VALUE"""),"B4")</f>
        <v>B4</v>
      </c>
    </row>
    <row r="5871" ht="15.75" customHeight="1">
      <c r="A5871" t="str">
        <f t="shared" si="1"/>
        <v>V.paradoxus</v>
      </c>
      <c r="B5871" s="5" t="s">
        <v>33556</v>
      </c>
      <c r="C5871" s="6" t="str">
        <f>IFERROR(__xludf.DUMMYFUNCTION("SPLIT('2. c'!B5871, "" "", True, True)"),"Variovorax")</f>
        <v>Variovorax</v>
      </c>
      <c r="D5871" t="str">
        <f>IFERROR(__xludf.DUMMYFUNCTION("""COMPUTED_VALUE"""),"paradoxus")</f>
        <v>paradoxus</v>
      </c>
      <c r="E5871" t="str">
        <f>IFERROR(__xludf.DUMMYFUNCTION("""COMPUTED_VALUE"""),"EPS")</f>
        <v>EPS</v>
      </c>
    </row>
    <row r="5872" ht="15.75" customHeight="1">
      <c r="A5872" t="str">
        <f t="shared" si="1"/>
        <v>V.paradoxus</v>
      </c>
      <c r="B5872" s="5" t="s">
        <v>33557</v>
      </c>
      <c r="C5872" s="6" t="str">
        <f>IFERROR(__xludf.DUMMYFUNCTION("SPLIT('2. c'!B5872, "" "", True, True)"),"Variovorax")</f>
        <v>Variovorax</v>
      </c>
      <c r="D5872" t="str">
        <f>IFERROR(__xludf.DUMMYFUNCTION("""COMPUTED_VALUE"""),"paradoxus")</f>
        <v>paradoxus</v>
      </c>
      <c r="E5872" t="str">
        <f>IFERROR(__xludf.DUMMYFUNCTION("""COMPUTED_VALUE"""),"S110")</f>
        <v>S110</v>
      </c>
    </row>
    <row r="5873" ht="15.75" customHeight="1">
      <c r="A5873" t="str">
        <f t="shared" si="1"/>
        <v>V.sp.</v>
      </c>
      <c r="B5873" s="5" t="s">
        <v>33558</v>
      </c>
      <c r="C5873" s="6" t="str">
        <f>IFERROR(__xludf.DUMMYFUNCTION("SPLIT('2. c'!B5873, "" "", True, True)"),"Variovorax")</f>
        <v>Variovorax</v>
      </c>
      <c r="D5873" t="str">
        <f>IFERROR(__xludf.DUMMYFUNCTION("""COMPUTED_VALUE"""),"sp.")</f>
        <v>sp.</v>
      </c>
      <c r="E5873" t="str">
        <f>IFERROR(__xludf.DUMMYFUNCTION("""COMPUTED_VALUE"""),"PAMC")</f>
        <v>PAMC</v>
      </c>
      <c r="F5873">
        <f>IFERROR(__xludf.DUMMYFUNCTION("""COMPUTED_VALUE"""),28711.0)</f>
        <v>28711</v>
      </c>
    </row>
    <row r="5874" ht="15.75" customHeight="1">
      <c r="A5874" t="str">
        <f t="shared" si="1"/>
        <v>V.parvula</v>
      </c>
      <c r="B5874" s="5" t="s">
        <v>33559</v>
      </c>
      <c r="C5874" s="6" t="str">
        <f>IFERROR(__xludf.DUMMYFUNCTION("SPLIT('2. c'!B5874, "" "", True, True)"),"Veillonella")</f>
        <v>Veillonella</v>
      </c>
      <c r="D5874" t="str">
        <f>IFERROR(__xludf.DUMMYFUNCTION("""COMPUTED_VALUE"""),"parvula")</f>
        <v>parvula</v>
      </c>
      <c r="E5874" t="str">
        <f>IFERROR(__xludf.DUMMYFUNCTION("""COMPUTED_VALUE"""),"DSM")</f>
        <v>DSM</v>
      </c>
      <c r="F5874">
        <f>IFERROR(__xludf.DUMMYFUNCTION("""COMPUTED_VALUE"""),2008.0)</f>
        <v>2008</v>
      </c>
    </row>
    <row r="5875" ht="15.75" customHeight="1">
      <c r="A5875" t="str">
        <f t="shared" si="1"/>
        <v>V.parvula</v>
      </c>
      <c r="B5875" s="5" t="s">
        <v>33560</v>
      </c>
      <c r="C5875" s="6" t="str">
        <f>IFERROR(__xludf.DUMMYFUNCTION("SPLIT('2. c'!B5875, "" "", True, True)"),"Veillonella")</f>
        <v>Veillonella</v>
      </c>
      <c r="D5875" t="str">
        <f>IFERROR(__xludf.DUMMYFUNCTION("""COMPUTED_VALUE"""),"parvula")</f>
        <v>parvula</v>
      </c>
      <c r="E5875" t="str">
        <f>IFERROR(__xludf.DUMMYFUNCTION("""COMPUTED_VALUE"""),"HSIVP1")</f>
        <v>HSIVP1</v>
      </c>
    </row>
    <row r="5876" ht="15.75" customHeight="1">
      <c r="A5876" t="str">
        <f t="shared" si="1"/>
        <v>V.eiseniae</v>
      </c>
      <c r="B5876" s="5" t="s">
        <v>33561</v>
      </c>
      <c r="C5876" s="6" t="str">
        <f>IFERROR(__xludf.DUMMYFUNCTION("SPLIT('2. c'!B5876, "" "", True, True)"),"Verminephrobacter")</f>
        <v>Verminephrobacter</v>
      </c>
      <c r="D5876" t="str">
        <f>IFERROR(__xludf.DUMMYFUNCTION("""COMPUTED_VALUE"""),"eiseniae")</f>
        <v>eiseniae</v>
      </c>
      <c r="E5876" t="str">
        <f>IFERROR(__xludf.DUMMYFUNCTION("""COMPUTED_VALUE"""),"EF01-2")</f>
        <v>EF01-2</v>
      </c>
    </row>
    <row r="5877" ht="15.75" customHeight="1">
      <c r="A5877" t="str">
        <f t="shared" si="1"/>
        <v>V.bacterium</v>
      </c>
      <c r="B5877" s="5" t="s">
        <v>33562</v>
      </c>
      <c r="C5877" s="6" t="str">
        <f>IFERROR(__xludf.DUMMYFUNCTION("SPLIT('2. c'!B5877, "" "", True, True)"),"Verrucomicrobia")</f>
        <v>Verrucomicrobia</v>
      </c>
      <c r="D5877" t="str">
        <f>IFERROR(__xludf.DUMMYFUNCTION("""COMPUTED_VALUE"""),"bacterium")</f>
        <v>bacterium</v>
      </c>
      <c r="E5877" t="str">
        <f>IFERROR(__xludf.DUMMYFUNCTION("""COMPUTED_VALUE"""),"IMCC26134")</f>
        <v>IMCC26134</v>
      </c>
    </row>
    <row r="5878" ht="15.75" customHeight="1">
      <c r="A5878" t="str">
        <f t="shared" si="1"/>
        <v>V.bacterium</v>
      </c>
      <c r="B5878" s="5" t="s">
        <v>33563</v>
      </c>
      <c r="C5878" s="6" t="str">
        <f>IFERROR(__xludf.DUMMYFUNCTION("SPLIT('2. c'!B5878, "" "", True, True)"),"Verrucomicrobia")</f>
        <v>Verrucomicrobia</v>
      </c>
      <c r="D5878" t="str">
        <f>IFERROR(__xludf.DUMMYFUNCTION("""COMPUTED_VALUE"""),"bacterium")</f>
        <v>bacterium</v>
      </c>
      <c r="E5878" t="str">
        <f>IFERROR(__xludf.DUMMYFUNCTION("""COMPUTED_VALUE"""),"L21-Fru-AB")</f>
        <v>L21-Fru-AB</v>
      </c>
    </row>
    <row r="5879" ht="15.75" customHeight="1">
      <c r="A5879" t="str">
        <f t="shared" si="1"/>
        <v>V.maris</v>
      </c>
      <c r="B5879" s="5" t="s">
        <v>33564</v>
      </c>
      <c r="C5879" s="6" t="str">
        <f>IFERROR(__xludf.DUMMYFUNCTION("SPLIT('2. c'!B5879, "" "", True, True)"),"Verrucosispora")</f>
        <v>Verrucosispora</v>
      </c>
      <c r="D5879" t="str">
        <f>IFERROR(__xludf.DUMMYFUNCTION("""COMPUTED_VALUE"""),"maris")</f>
        <v>maris</v>
      </c>
      <c r="E5879" t="str">
        <f>IFERROR(__xludf.DUMMYFUNCTION("""COMPUTED_VALUE"""),"AB-18-032")</f>
        <v>AB-18-032</v>
      </c>
    </row>
    <row r="5880" ht="15.75" customHeight="1">
      <c r="A5880" t="str">
        <f t="shared" si="1"/>
        <v>V.alginolyticus</v>
      </c>
      <c r="B5880" s="5" t="s">
        <v>33565</v>
      </c>
      <c r="C5880" s="6" t="str">
        <f>IFERROR(__xludf.DUMMYFUNCTION("SPLIT('2. c'!B5880, "" "", True, True)"),"Vibrio")</f>
        <v>Vibrio</v>
      </c>
      <c r="D5880" t="str">
        <f>IFERROR(__xludf.DUMMYFUNCTION("""COMPUTED_VALUE"""),"alginolyticus")</f>
        <v>alginolyticus</v>
      </c>
      <c r="E5880" t="str">
        <f>IFERROR(__xludf.DUMMYFUNCTION("""COMPUTED_VALUE"""),"strain")</f>
        <v>strain</v>
      </c>
      <c r="F5880" t="str">
        <f>IFERROR(__xludf.DUMMYFUNCTION("""COMPUTED_VALUE"""),"ATCC")</f>
        <v>ATCC</v>
      </c>
      <c r="G5880">
        <f>IFERROR(__xludf.DUMMYFUNCTION("""COMPUTED_VALUE"""),33787.0)</f>
        <v>33787</v>
      </c>
    </row>
    <row r="5881" ht="15.75" customHeight="1">
      <c r="A5881" t="str">
        <f t="shared" si="1"/>
        <v>V.anguillarum</v>
      </c>
      <c r="B5881" s="5" t="s">
        <v>33566</v>
      </c>
      <c r="C5881" s="6" t="str">
        <f>IFERROR(__xludf.DUMMYFUNCTION("SPLIT('2. c'!B5881, "" "", True, True)"),"Vibrio")</f>
        <v>Vibrio</v>
      </c>
      <c r="D5881" t="str">
        <f>IFERROR(__xludf.DUMMYFUNCTION("""COMPUTED_VALUE"""),"anguillarum")</f>
        <v>anguillarum</v>
      </c>
      <c r="E5881">
        <f>IFERROR(__xludf.DUMMYFUNCTION("""COMPUTED_VALUE"""),775.0)</f>
        <v>775</v>
      </c>
    </row>
    <row r="5882" ht="15.75" customHeight="1">
      <c r="A5882" t="str">
        <f t="shared" si="1"/>
        <v>V.anguillarum</v>
      </c>
      <c r="B5882" s="5" t="s">
        <v>33567</v>
      </c>
      <c r="C5882" s="6" t="str">
        <f>IFERROR(__xludf.DUMMYFUNCTION("SPLIT('2. c'!B5882, "" "", True, True)"),"Vibrio")</f>
        <v>Vibrio</v>
      </c>
      <c r="D5882" t="str">
        <f>IFERROR(__xludf.DUMMYFUNCTION("""COMPUTED_VALUE"""),"anguillarum")</f>
        <v>anguillarum</v>
      </c>
      <c r="E5882" t="str">
        <f>IFERROR(__xludf.DUMMYFUNCTION("""COMPUTED_VALUE"""),"NB10")</f>
        <v>NB10</v>
      </c>
    </row>
    <row r="5883" ht="15.75" customHeight="1">
      <c r="A5883" t="str">
        <f t="shared" si="1"/>
        <v>V.anguillarum</v>
      </c>
      <c r="B5883" s="5" t="s">
        <v>33568</v>
      </c>
      <c r="C5883" s="6" t="str">
        <f>IFERROR(__xludf.DUMMYFUNCTION("SPLIT('2. c'!B5883, "" "", True, True)"),"Vibrio")</f>
        <v>Vibrio</v>
      </c>
      <c r="D5883" t="str">
        <f>IFERROR(__xludf.DUMMYFUNCTION("""COMPUTED_VALUE"""),"anguillarum")</f>
        <v>anguillarum</v>
      </c>
      <c r="E5883" t="str">
        <f>IFERROR(__xludf.DUMMYFUNCTION("""COMPUTED_VALUE"""),"strain")</f>
        <v>strain</v>
      </c>
      <c r="F5883" t="str">
        <f>IFERROR(__xludf.DUMMYFUNCTION("""COMPUTED_VALUE"""),"90-11-286")</f>
        <v>90-11-286</v>
      </c>
    </row>
    <row r="5884" ht="15.75" customHeight="1">
      <c r="A5884" t="str">
        <f t="shared" si="1"/>
        <v>V.campbellii</v>
      </c>
      <c r="B5884" s="5" t="s">
        <v>33569</v>
      </c>
      <c r="C5884" s="6" t="str">
        <f>IFERROR(__xludf.DUMMYFUNCTION("SPLIT('2. c'!B5884, "" "", True, True)"),"Vibrio")</f>
        <v>Vibrio</v>
      </c>
      <c r="D5884" t="str">
        <f>IFERROR(__xludf.DUMMYFUNCTION("""COMPUTED_VALUE"""),"campbellii")</f>
        <v>campbellii</v>
      </c>
      <c r="E5884" t="str">
        <f>IFERROR(__xludf.DUMMYFUNCTION("""COMPUTED_VALUE"""),"ATCC")</f>
        <v>ATCC</v>
      </c>
      <c r="F5884" t="str">
        <f>IFERROR(__xludf.DUMMYFUNCTION("""COMPUTED_VALUE"""),"BAA-1116")</f>
        <v>BAA-1116</v>
      </c>
    </row>
    <row r="5885" ht="15.75" customHeight="1">
      <c r="A5885" t="str">
        <f t="shared" si="1"/>
        <v>V.cholerae</v>
      </c>
      <c r="B5885" s="5" t="s">
        <v>33570</v>
      </c>
      <c r="C5885" s="6" t="str">
        <f>IFERROR(__xludf.DUMMYFUNCTION("SPLIT('2. c'!B5885, "" "", True, True)"),"Vibrio")</f>
        <v>Vibrio</v>
      </c>
      <c r="D5885" t="str">
        <f>IFERROR(__xludf.DUMMYFUNCTION("""COMPUTED_VALUE"""),"cholerae")</f>
        <v>cholerae</v>
      </c>
      <c r="E5885" t="str">
        <f>IFERROR(__xludf.DUMMYFUNCTION("""COMPUTED_VALUE"""),"2012EL-2176")</f>
        <v>2012EL-2176</v>
      </c>
    </row>
    <row r="5886" ht="15.75" customHeight="1">
      <c r="A5886" t="str">
        <f t="shared" si="1"/>
        <v>V.cholerae</v>
      </c>
      <c r="B5886" s="5" t="s">
        <v>33571</v>
      </c>
      <c r="C5886" s="6" t="str">
        <f>IFERROR(__xludf.DUMMYFUNCTION("SPLIT('2. c'!B5886, "" "", True, True)"),"Vibrio")</f>
        <v>Vibrio</v>
      </c>
      <c r="D5886" t="str">
        <f>IFERROR(__xludf.DUMMYFUNCTION("""COMPUTED_VALUE"""),"cholerae")</f>
        <v>cholerae</v>
      </c>
      <c r="E5886" t="str">
        <f>IFERROR(__xludf.DUMMYFUNCTION("""COMPUTED_VALUE"""),"Ban5")</f>
        <v>Ban5</v>
      </c>
    </row>
    <row r="5887" ht="15.75" customHeight="1">
      <c r="A5887" t="str">
        <f t="shared" si="1"/>
        <v>V.cholerae</v>
      </c>
      <c r="B5887" s="5" t="s">
        <v>33572</v>
      </c>
      <c r="C5887" s="6" t="str">
        <f>IFERROR(__xludf.DUMMYFUNCTION("SPLIT('2. c'!B5887, "" "", True, True)"),"Vibrio")</f>
        <v>Vibrio</v>
      </c>
      <c r="D5887" t="str">
        <f>IFERROR(__xludf.DUMMYFUNCTION("""COMPUTED_VALUE"""),"cholerae")</f>
        <v>cholerae</v>
      </c>
      <c r="E5887" t="str">
        <f>IFERROR(__xludf.DUMMYFUNCTION("""COMPUTED_VALUE"""),"H1")</f>
        <v>H1</v>
      </c>
    </row>
    <row r="5888" ht="15.75" customHeight="1">
      <c r="A5888" t="str">
        <f t="shared" si="1"/>
        <v>V.cholerae</v>
      </c>
      <c r="B5888" s="5" t="s">
        <v>33573</v>
      </c>
      <c r="C5888" s="6" t="str">
        <f>IFERROR(__xludf.DUMMYFUNCTION("SPLIT('2. c'!B5888, "" "", True, True)"),"Vibrio")</f>
        <v>Vibrio</v>
      </c>
      <c r="D5888" t="str">
        <f>IFERROR(__xludf.DUMMYFUNCTION("""COMPUTED_VALUE"""),"cholerae")</f>
        <v>cholerae</v>
      </c>
      <c r="E5888" t="str">
        <f>IFERROR(__xludf.DUMMYFUNCTION("""COMPUTED_VALUE"""),"IEC224")</f>
        <v>IEC224</v>
      </c>
    </row>
    <row r="5889" ht="15.75" customHeight="1">
      <c r="A5889" t="str">
        <f t="shared" si="1"/>
        <v>V.cholerae</v>
      </c>
      <c r="B5889" s="5" t="s">
        <v>33574</v>
      </c>
      <c r="C5889" s="6" t="str">
        <f>IFERROR(__xludf.DUMMYFUNCTION("SPLIT('2. c'!B5889, "" "", True, True)"),"Vibrio")</f>
        <v>Vibrio</v>
      </c>
      <c r="D5889" t="str">
        <f>IFERROR(__xludf.DUMMYFUNCTION("""COMPUTED_VALUE"""),"cholerae")</f>
        <v>cholerae</v>
      </c>
      <c r="E5889" t="str">
        <f>IFERROR(__xludf.DUMMYFUNCTION("""COMPUTED_VALUE"""),"Ind4")</f>
        <v>Ind4</v>
      </c>
    </row>
    <row r="5890" ht="15.75" customHeight="1">
      <c r="A5890" t="str">
        <f t="shared" si="1"/>
        <v>V.cholerae</v>
      </c>
      <c r="B5890" s="5" t="s">
        <v>33575</v>
      </c>
      <c r="C5890" s="6" t="str">
        <f>IFERROR(__xludf.DUMMYFUNCTION("SPLIT('2. c'!B5890, "" "", True, True)"),"Vibrio")</f>
        <v>Vibrio</v>
      </c>
      <c r="D5890" t="str">
        <f>IFERROR(__xludf.DUMMYFUNCTION("""COMPUTED_VALUE"""),"cholerae")</f>
        <v>cholerae</v>
      </c>
      <c r="E5890" t="str">
        <f>IFERROR(__xludf.DUMMYFUNCTION("""COMPUTED_VALUE"""),"Ind5")</f>
        <v>Ind5</v>
      </c>
    </row>
    <row r="5891" ht="15.75" customHeight="1">
      <c r="A5891" t="str">
        <f t="shared" si="1"/>
        <v>V.cholerae</v>
      </c>
      <c r="B5891" s="5" t="s">
        <v>33576</v>
      </c>
      <c r="C5891" s="6" t="str">
        <f>IFERROR(__xludf.DUMMYFUNCTION("SPLIT('2. c'!B5891, "" "", True, True)"),"Vibrio")</f>
        <v>Vibrio</v>
      </c>
      <c r="D5891" t="str">
        <f>IFERROR(__xludf.DUMMYFUNCTION("""COMPUTED_VALUE"""),"cholerae")</f>
        <v>cholerae</v>
      </c>
      <c r="E5891" t="str">
        <f>IFERROR(__xludf.DUMMYFUNCTION("""COMPUTED_VALUE"""),"LMA3984-4")</f>
        <v>LMA3984-4</v>
      </c>
    </row>
    <row r="5892" ht="15.75" customHeight="1">
      <c r="A5892" t="str">
        <f t="shared" si="1"/>
        <v>V.cholerae</v>
      </c>
      <c r="B5892" s="5" t="s">
        <v>33577</v>
      </c>
      <c r="C5892" s="6" t="str">
        <f>IFERROR(__xludf.DUMMYFUNCTION("SPLIT('2. c'!B5892, "" "", True, True)"),"Vibrio")</f>
        <v>Vibrio</v>
      </c>
      <c r="D5892" t="str">
        <f>IFERROR(__xludf.DUMMYFUNCTION("""COMPUTED_VALUE"""),"cholerae")</f>
        <v>cholerae</v>
      </c>
      <c r="E5892" t="str">
        <f>IFERROR(__xludf.DUMMYFUNCTION("""COMPUTED_VALUE"""),"M66-2")</f>
        <v>M66-2</v>
      </c>
    </row>
    <row r="5893" ht="15.75" customHeight="1">
      <c r="A5893" t="str">
        <f t="shared" si="1"/>
        <v>V.cholerae</v>
      </c>
      <c r="B5893" s="5" t="s">
        <v>33578</v>
      </c>
      <c r="C5893" s="6" t="str">
        <f>IFERROR(__xludf.DUMMYFUNCTION("SPLIT('2. c'!B5893, "" "", True, True)"),"Vibrio")</f>
        <v>Vibrio</v>
      </c>
      <c r="D5893" t="str">
        <f>IFERROR(__xludf.DUMMYFUNCTION("""COMPUTED_VALUE"""),"cholerae")</f>
        <v>cholerae</v>
      </c>
      <c r="E5893" t="str">
        <f>IFERROR(__xludf.DUMMYFUNCTION("""COMPUTED_VALUE"""),"Mex1")</f>
        <v>Mex1</v>
      </c>
    </row>
    <row r="5894" ht="15.75" customHeight="1">
      <c r="A5894" t="str">
        <f t="shared" si="1"/>
        <v>V.cholerae</v>
      </c>
      <c r="B5894" s="5" t="s">
        <v>33579</v>
      </c>
      <c r="C5894" s="6" t="str">
        <f>IFERROR(__xludf.DUMMYFUNCTION("SPLIT('2. c'!B5894, "" "", True, True)"),"Vibrio")</f>
        <v>Vibrio</v>
      </c>
      <c r="D5894" t="str">
        <f>IFERROR(__xludf.DUMMYFUNCTION("""COMPUTED_VALUE"""),"cholerae")</f>
        <v>cholerae</v>
      </c>
      <c r="E5894" t="str">
        <f>IFERROR(__xludf.DUMMYFUNCTION("""COMPUTED_VALUE"""),"MJ-1236")</f>
        <v>MJ-1236</v>
      </c>
    </row>
    <row r="5895" ht="15.75" customHeight="1">
      <c r="A5895" t="str">
        <f t="shared" si="1"/>
        <v>V.cholerae</v>
      </c>
      <c r="B5895" s="5" t="s">
        <v>33580</v>
      </c>
      <c r="C5895" s="6" t="str">
        <f>IFERROR(__xludf.DUMMYFUNCTION("SPLIT('2. c'!B5895, "" "", True, True)"),"Vibrio")</f>
        <v>Vibrio</v>
      </c>
      <c r="D5895" t="str">
        <f>IFERROR(__xludf.DUMMYFUNCTION("""COMPUTED_VALUE"""),"cholerae")</f>
        <v>cholerae</v>
      </c>
      <c r="E5895" t="str">
        <f>IFERROR(__xludf.DUMMYFUNCTION("""COMPUTED_VALUE"""),"MS6")</f>
        <v>MS6</v>
      </c>
    </row>
    <row r="5896" ht="15.75" customHeight="1">
      <c r="A5896" t="str">
        <f t="shared" si="1"/>
        <v>V.cholerae</v>
      </c>
      <c r="B5896" s="5" t="s">
        <v>33581</v>
      </c>
      <c r="C5896" s="6" t="str">
        <f>IFERROR(__xludf.DUMMYFUNCTION("SPLIT('2. c'!B5896, "" "", True, True)"),"Vibrio")</f>
        <v>Vibrio</v>
      </c>
      <c r="D5896" t="str">
        <f>IFERROR(__xludf.DUMMYFUNCTION("""COMPUTED_VALUE"""),"cholerae")</f>
        <v>cholerae</v>
      </c>
      <c r="E5896" t="str">
        <f>IFERROR(__xludf.DUMMYFUNCTION("""COMPUTED_VALUE"""),"O1")</f>
        <v>O1</v>
      </c>
      <c r="F5896" t="str">
        <f>IFERROR(__xludf.DUMMYFUNCTION("""COMPUTED_VALUE"""),"biovar")</f>
        <v>biovar</v>
      </c>
      <c r="G5896" t="str">
        <f>IFERROR(__xludf.DUMMYFUNCTION("""COMPUTED_VALUE"""),"El")</f>
        <v>El</v>
      </c>
      <c r="H5896" t="str">
        <f>IFERROR(__xludf.DUMMYFUNCTION("""COMPUTED_VALUE"""),"Tor")</f>
        <v>Tor</v>
      </c>
      <c r="I5896" t="str">
        <f>IFERROR(__xludf.DUMMYFUNCTION("""COMPUTED_VALUE"""),"str.")</f>
        <v>str.</v>
      </c>
      <c r="J5896" t="str">
        <f>IFERROR(__xludf.DUMMYFUNCTION("""COMPUTED_VALUE"""),"N16961")</f>
        <v>N16961</v>
      </c>
    </row>
    <row r="5897" ht="15.75" customHeight="1">
      <c r="A5897" t="str">
        <f t="shared" si="1"/>
        <v>V.cholerae</v>
      </c>
      <c r="B5897" s="5" t="s">
        <v>33582</v>
      </c>
      <c r="C5897" s="6" t="str">
        <f>IFERROR(__xludf.DUMMYFUNCTION("SPLIT('2. c'!B5897, "" "", True, True)"),"Vibrio")</f>
        <v>Vibrio</v>
      </c>
      <c r="D5897" t="str">
        <f>IFERROR(__xludf.DUMMYFUNCTION("""COMPUTED_VALUE"""),"cholerae")</f>
        <v>cholerae</v>
      </c>
      <c r="E5897" t="str">
        <f>IFERROR(__xludf.DUMMYFUNCTION("""COMPUTED_VALUE"""),"O1")</f>
        <v>O1</v>
      </c>
      <c r="F5897" t="str">
        <f>IFERROR(__xludf.DUMMYFUNCTION("""COMPUTED_VALUE"""),"biovar")</f>
        <v>biovar</v>
      </c>
      <c r="G5897" t="str">
        <f>IFERROR(__xludf.DUMMYFUNCTION("""COMPUTED_VALUE"""),"El")</f>
        <v>El</v>
      </c>
      <c r="H5897" t="str">
        <f>IFERROR(__xludf.DUMMYFUNCTION("""COMPUTED_VALUE"""),"Tor")</f>
        <v>Tor</v>
      </c>
      <c r="I5897" t="str">
        <f>IFERROR(__xludf.DUMMYFUNCTION("""COMPUTED_VALUE"""),"strain")</f>
        <v>strain</v>
      </c>
      <c r="J5897" t="str">
        <f>IFERROR(__xludf.DUMMYFUNCTION("""COMPUTED_VALUE"""),"FJ147")</f>
        <v>FJ147</v>
      </c>
    </row>
    <row r="5898" ht="15.75" customHeight="1">
      <c r="A5898" t="str">
        <f t="shared" si="1"/>
        <v>V.cholerae</v>
      </c>
      <c r="B5898" s="5" t="s">
        <v>33583</v>
      </c>
      <c r="C5898" s="6" t="str">
        <f>IFERROR(__xludf.DUMMYFUNCTION("SPLIT('2. c'!B5898, "" "", True, True)"),"Vibrio")</f>
        <v>Vibrio</v>
      </c>
      <c r="D5898" t="str">
        <f>IFERROR(__xludf.DUMMYFUNCTION("""COMPUTED_VALUE"""),"cholerae")</f>
        <v>cholerae</v>
      </c>
      <c r="E5898" t="str">
        <f>IFERROR(__xludf.DUMMYFUNCTION("""COMPUTED_VALUE"""),"O1")</f>
        <v>O1</v>
      </c>
      <c r="F5898" t="str">
        <f>IFERROR(__xludf.DUMMYFUNCTION("""COMPUTED_VALUE"""),"biovar")</f>
        <v>biovar</v>
      </c>
      <c r="G5898" t="str">
        <f>IFERROR(__xludf.DUMMYFUNCTION("""COMPUTED_VALUE"""),"El")</f>
        <v>El</v>
      </c>
      <c r="H5898" t="str">
        <f>IFERROR(__xludf.DUMMYFUNCTION("""COMPUTED_VALUE"""),"Tor")</f>
        <v>Tor</v>
      </c>
      <c r="I5898" t="str">
        <f>IFERROR(__xludf.DUMMYFUNCTION("""COMPUTED_VALUE"""),"strain")</f>
        <v>strain</v>
      </c>
      <c r="J5898" t="str">
        <f>IFERROR(__xludf.DUMMYFUNCTION("""COMPUTED_VALUE"""),"I-1471")</f>
        <v>I-1471</v>
      </c>
    </row>
    <row r="5899" ht="15.75" customHeight="1">
      <c r="A5899" t="str">
        <f t="shared" si="1"/>
        <v>V.cholerae</v>
      </c>
      <c r="B5899" s="5" t="s">
        <v>33584</v>
      </c>
      <c r="C5899" s="6" t="str">
        <f>IFERROR(__xludf.DUMMYFUNCTION("SPLIT('2. c'!B5899, "" "", True, True)"),"Vibrio")</f>
        <v>Vibrio</v>
      </c>
      <c r="D5899" t="str">
        <f>IFERROR(__xludf.DUMMYFUNCTION("""COMPUTED_VALUE"""),"cholerae")</f>
        <v>cholerae</v>
      </c>
      <c r="E5899" t="str">
        <f>IFERROR(__xludf.DUMMYFUNCTION("""COMPUTED_VALUE"""),"O1")</f>
        <v>O1</v>
      </c>
      <c r="F5899" t="str">
        <f>IFERROR(__xludf.DUMMYFUNCTION("""COMPUTED_VALUE"""),"str.")</f>
        <v>str.</v>
      </c>
      <c r="G5899" t="str">
        <f>IFERROR(__xludf.DUMMYFUNCTION("""COMPUTED_VALUE"""),"Inaba")</f>
        <v>Inaba</v>
      </c>
      <c r="H5899" t="str">
        <f>IFERROR(__xludf.DUMMYFUNCTION("""COMPUTED_VALUE"""),"G4222")</f>
        <v>G4222</v>
      </c>
    </row>
    <row r="5900" ht="15.75" customHeight="1">
      <c r="A5900" t="str">
        <f t="shared" si="1"/>
        <v>V.cholerae</v>
      </c>
      <c r="B5900" s="5" t="s">
        <v>33585</v>
      </c>
      <c r="C5900" s="6" t="str">
        <f>IFERROR(__xludf.DUMMYFUNCTION("SPLIT('2. c'!B5900, "" "", True, True)"),"Vibrio")</f>
        <v>Vibrio</v>
      </c>
      <c r="D5900" t="str">
        <f>IFERROR(__xludf.DUMMYFUNCTION("""COMPUTED_VALUE"""),"cholerae")</f>
        <v>cholerae</v>
      </c>
      <c r="E5900" t="str">
        <f>IFERROR(__xludf.DUMMYFUNCTION("""COMPUTED_VALUE"""),"O1")</f>
        <v>O1</v>
      </c>
      <c r="F5900" t="str">
        <f>IFERROR(__xludf.DUMMYFUNCTION("""COMPUTED_VALUE"""),"str.")</f>
        <v>str.</v>
      </c>
      <c r="G5900" t="str">
        <f>IFERROR(__xludf.DUMMYFUNCTION("""COMPUTED_VALUE"""),"KW3")</f>
        <v>KW3</v>
      </c>
    </row>
    <row r="5901" ht="15.75" customHeight="1">
      <c r="A5901" t="str">
        <f t="shared" si="1"/>
        <v>V.cholerae</v>
      </c>
      <c r="B5901" s="5" t="s">
        <v>33586</v>
      </c>
      <c r="C5901" s="6" t="str">
        <f>IFERROR(__xludf.DUMMYFUNCTION("SPLIT('2. c'!B5901, "" "", True, True)"),"Vibrio")</f>
        <v>Vibrio</v>
      </c>
      <c r="D5901" t="str">
        <f>IFERROR(__xludf.DUMMYFUNCTION("""COMPUTED_VALUE"""),"cholerae")</f>
        <v>cholerae</v>
      </c>
      <c r="E5901" t="str">
        <f>IFERROR(__xludf.DUMMYFUNCTION("""COMPUTED_VALUE"""),"O395")</f>
        <v>O395</v>
      </c>
    </row>
    <row r="5902" ht="15.75" customHeight="1">
      <c r="A5902" t="str">
        <f t="shared" si="1"/>
        <v>V.cholerae</v>
      </c>
      <c r="B5902" s="5" t="s">
        <v>33587</v>
      </c>
      <c r="C5902" s="6" t="str">
        <f>IFERROR(__xludf.DUMMYFUNCTION("SPLIT('2. c'!B5902, "" "", True, True)"),"Vibrio")</f>
        <v>Vibrio</v>
      </c>
      <c r="D5902" t="str">
        <f>IFERROR(__xludf.DUMMYFUNCTION("""COMPUTED_VALUE"""),"cholerae")</f>
        <v>cholerae</v>
      </c>
      <c r="E5902" t="str">
        <f>IFERROR(__xludf.DUMMYFUNCTION("""COMPUTED_VALUE"""),"O395")</f>
        <v>O395</v>
      </c>
      <c r="F5902" t="str">
        <f>IFERROR(__xludf.DUMMYFUNCTION("""COMPUTED_VALUE"""),"(Prj:32853)")</f>
        <v>(Prj:32853)</v>
      </c>
    </row>
    <row r="5903" ht="15.75" customHeight="1">
      <c r="A5903" t="str">
        <f t="shared" si="1"/>
        <v>V.cholerae</v>
      </c>
      <c r="B5903" s="5" t="s">
        <v>33588</v>
      </c>
      <c r="C5903" s="6" t="str">
        <f>IFERROR(__xludf.DUMMYFUNCTION("SPLIT('2. c'!B5903, "" "", True, True)"),"Vibrio")</f>
        <v>Vibrio</v>
      </c>
      <c r="D5903" t="str">
        <f>IFERROR(__xludf.DUMMYFUNCTION("""COMPUTED_VALUE"""),"cholerae")</f>
        <v>cholerae</v>
      </c>
      <c r="E5903" t="str">
        <f>IFERROR(__xludf.DUMMYFUNCTION("""COMPUTED_VALUE"""),"strain")</f>
        <v>strain</v>
      </c>
      <c r="F5903" t="str">
        <f>IFERROR(__xludf.DUMMYFUNCTION("""COMPUTED_VALUE"""),"10432-62")</f>
        <v>10432-62</v>
      </c>
    </row>
    <row r="5904" ht="15.75" customHeight="1">
      <c r="A5904" t="str">
        <f t="shared" si="1"/>
        <v>V.cholerae</v>
      </c>
      <c r="B5904" s="5" t="s">
        <v>33589</v>
      </c>
      <c r="C5904" s="6" t="str">
        <f>IFERROR(__xludf.DUMMYFUNCTION("SPLIT('2. c'!B5904, "" "", True, True)"),"Vibrio")</f>
        <v>Vibrio</v>
      </c>
      <c r="D5904" t="str">
        <f>IFERROR(__xludf.DUMMYFUNCTION("""COMPUTED_VALUE"""),"cholerae")</f>
        <v>cholerae</v>
      </c>
      <c r="E5904" t="str">
        <f>IFERROR(__xludf.DUMMYFUNCTION("""COMPUTED_VALUE"""),"strain")</f>
        <v>strain</v>
      </c>
      <c r="F5904" t="str">
        <f>IFERROR(__xludf.DUMMYFUNCTION("""COMPUTED_VALUE"""),"1154-74")</f>
        <v>1154-74</v>
      </c>
    </row>
    <row r="5905" ht="15.75" customHeight="1">
      <c r="A5905" t="str">
        <f t="shared" si="1"/>
        <v>V.cholerae</v>
      </c>
      <c r="B5905" s="5" t="s">
        <v>33590</v>
      </c>
      <c r="C5905" s="6" t="str">
        <f>IFERROR(__xludf.DUMMYFUNCTION("SPLIT('2. c'!B5905, "" "", True, True)"),"Vibrio")</f>
        <v>Vibrio</v>
      </c>
      <c r="D5905" t="str">
        <f>IFERROR(__xludf.DUMMYFUNCTION("""COMPUTED_VALUE"""),"cholerae")</f>
        <v>cholerae</v>
      </c>
      <c r="E5905" t="str">
        <f>IFERROR(__xludf.DUMMYFUNCTION("""COMPUTED_VALUE"""),"strain")</f>
        <v>strain</v>
      </c>
      <c r="F5905" t="str">
        <f>IFERROR(__xludf.DUMMYFUNCTION("""COMPUTED_VALUE"""),"I-1300")</f>
        <v>I-1300</v>
      </c>
    </row>
    <row r="5906" ht="15.75" customHeight="1">
      <c r="A5906" t="str">
        <f t="shared" si="1"/>
        <v>V.cholerae</v>
      </c>
      <c r="B5906" s="5" t="s">
        <v>33591</v>
      </c>
      <c r="C5906" s="6" t="str">
        <f>IFERROR(__xludf.DUMMYFUNCTION("SPLIT('2. c'!B5906, "" "", True, True)"),"Vibrio")</f>
        <v>Vibrio</v>
      </c>
      <c r="D5906" t="str">
        <f>IFERROR(__xludf.DUMMYFUNCTION("""COMPUTED_VALUE"""),"cholerae")</f>
        <v>cholerae</v>
      </c>
      <c r="E5906" t="str">
        <f>IFERROR(__xludf.DUMMYFUNCTION("""COMPUTED_VALUE"""),"strain")</f>
        <v>strain</v>
      </c>
      <c r="F5906" t="str">
        <f>IFERROR(__xludf.DUMMYFUNCTION("""COMPUTED_VALUE"""),"InDRE")</f>
        <v>InDRE</v>
      </c>
      <c r="G5906">
        <f>IFERROR(__xludf.DUMMYFUNCTION("""COMPUTED_VALUE"""),3140.0)</f>
        <v>3140</v>
      </c>
    </row>
    <row r="5907" ht="15.75" customHeight="1">
      <c r="A5907" t="str">
        <f t="shared" si="1"/>
        <v>V.cholerae</v>
      </c>
      <c r="B5907" s="5" t="s">
        <v>33592</v>
      </c>
      <c r="C5907" s="6" t="str">
        <f>IFERROR(__xludf.DUMMYFUNCTION("SPLIT('2. c'!B5907, "" "", True, True)"),"Vibrio")</f>
        <v>Vibrio</v>
      </c>
      <c r="D5907" t="str">
        <f>IFERROR(__xludf.DUMMYFUNCTION("""COMPUTED_VALUE"""),"cholerae")</f>
        <v>cholerae</v>
      </c>
      <c r="E5907" t="str">
        <f>IFERROR(__xludf.DUMMYFUNCTION("""COMPUTED_VALUE"""),"strain")</f>
        <v>strain</v>
      </c>
      <c r="F5907" t="str">
        <f>IFERROR(__xludf.DUMMYFUNCTION("""COMPUTED_VALUE"""),"InDRE")</f>
        <v>InDRE</v>
      </c>
      <c r="G5907">
        <f>IFERROR(__xludf.DUMMYFUNCTION("""COMPUTED_VALUE"""),3683.0)</f>
        <v>3683</v>
      </c>
    </row>
    <row r="5908" ht="15.75" customHeight="1">
      <c r="A5908" t="str">
        <f t="shared" si="1"/>
        <v>V.cholerae</v>
      </c>
      <c r="B5908" s="5" t="s">
        <v>33593</v>
      </c>
      <c r="C5908" s="6" t="str">
        <f>IFERROR(__xludf.DUMMYFUNCTION("SPLIT('2. c'!B5908, "" "", True, True)"),"Vibrio")</f>
        <v>Vibrio</v>
      </c>
      <c r="D5908" t="str">
        <f>IFERROR(__xludf.DUMMYFUNCTION("""COMPUTED_VALUE"""),"cholerae")</f>
        <v>cholerae</v>
      </c>
      <c r="E5908" t="str">
        <f>IFERROR(__xludf.DUMMYFUNCTION("""COMPUTED_VALUE"""),"strain")</f>
        <v>strain</v>
      </c>
      <c r="F5908" t="str">
        <f>IFERROR(__xludf.DUMMYFUNCTION("""COMPUTED_VALUE"""),"InDRE")</f>
        <v>InDRE</v>
      </c>
      <c r="G5908">
        <f>IFERROR(__xludf.DUMMYFUNCTION("""COMPUTED_VALUE"""),4262.0)</f>
        <v>4262</v>
      </c>
    </row>
    <row r="5909" ht="15.75" customHeight="1">
      <c r="A5909" t="str">
        <f t="shared" si="1"/>
        <v>V.cholerae</v>
      </c>
      <c r="B5909" s="5" t="s">
        <v>33594</v>
      </c>
      <c r="C5909" s="6" t="str">
        <f>IFERROR(__xludf.DUMMYFUNCTION("SPLIT('2. c'!B5909, "" "", True, True)"),"Vibrio")</f>
        <v>Vibrio</v>
      </c>
      <c r="D5909" t="str">
        <f>IFERROR(__xludf.DUMMYFUNCTION("""COMPUTED_VALUE"""),"cholerae")</f>
        <v>cholerae</v>
      </c>
      <c r="E5909" t="str">
        <f>IFERROR(__xludf.DUMMYFUNCTION("""COMPUTED_VALUE"""),"strain")</f>
        <v>strain</v>
      </c>
      <c r="F5909" t="str">
        <f>IFERROR(__xludf.DUMMYFUNCTION("""COMPUTED_VALUE"""),"InDRE")</f>
        <v>InDRE</v>
      </c>
      <c r="G5909">
        <f>IFERROR(__xludf.DUMMYFUNCTION("""COMPUTED_VALUE"""),4354.0)</f>
        <v>4354</v>
      </c>
    </row>
    <row r="5910" ht="15.75" customHeight="1">
      <c r="A5910" t="str">
        <f t="shared" si="1"/>
        <v>V.cholerae</v>
      </c>
      <c r="B5910" s="5" t="s">
        <v>33595</v>
      </c>
      <c r="C5910" s="6" t="str">
        <f>IFERROR(__xludf.DUMMYFUNCTION("SPLIT('2. c'!B5910, "" "", True, True)"),"Vibrio")</f>
        <v>Vibrio</v>
      </c>
      <c r="D5910" t="str">
        <f>IFERROR(__xludf.DUMMYFUNCTION("""COMPUTED_VALUE"""),"cholerae")</f>
        <v>cholerae</v>
      </c>
      <c r="E5910" t="str">
        <f>IFERROR(__xludf.DUMMYFUNCTION("""COMPUTED_VALUE"""),"strain")</f>
        <v>strain</v>
      </c>
      <c r="F5910" t="str">
        <f>IFERROR(__xludf.DUMMYFUNCTION("""COMPUTED_VALUE"""),"TSY216")</f>
        <v>TSY216</v>
      </c>
    </row>
    <row r="5911" ht="15.75" customHeight="1">
      <c r="A5911" t="str">
        <f t="shared" si="1"/>
        <v>V.cholerae</v>
      </c>
      <c r="B5911" s="5" t="s">
        <v>33596</v>
      </c>
      <c r="C5911" s="6" t="str">
        <f>IFERROR(__xludf.DUMMYFUNCTION("SPLIT('2. c'!B5911, "" "", True, True)"),"Vibrio")</f>
        <v>Vibrio</v>
      </c>
      <c r="D5911" t="str">
        <f>IFERROR(__xludf.DUMMYFUNCTION("""COMPUTED_VALUE"""),"cholerae")</f>
        <v>cholerae</v>
      </c>
      <c r="E5911" t="str">
        <f>IFERROR(__xludf.DUMMYFUNCTION("""COMPUTED_VALUE"""),"strain")</f>
        <v>strain</v>
      </c>
      <c r="F5911" t="str">
        <f>IFERROR(__xludf.DUMMYFUNCTION("""COMPUTED_VALUE"""),"YN2011004")</f>
        <v>YN2011004</v>
      </c>
    </row>
    <row r="5912" ht="15.75" customHeight="1">
      <c r="A5912" t="str">
        <f t="shared" si="1"/>
        <v>V.cholerae</v>
      </c>
      <c r="B5912" s="5" t="s">
        <v>33597</v>
      </c>
      <c r="C5912" s="6" t="str">
        <f>IFERROR(__xludf.DUMMYFUNCTION("SPLIT('2. c'!B5912, "" "", True, True)"),"Vibrio")</f>
        <v>Vibrio</v>
      </c>
      <c r="D5912" t="str">
        <f>IFERROR(__xludf.DUMMYFUNCTION("""COMPUTED_VALUE"""),"cholerae")</f>
        <v>cholerae</v>
      </c>
      <c r="E5912" t="str">
        <f>IFERROR(__xludf.DUMMYFUNCTION("""COMPUTED_VALUE"""),"strain")</f>
        <v>strain</v>
      </c>
      <c r="F5912" t="str">
        <f>IFERROR(__xludf.DUMMYFUNCTION("""COMPUTED_VALUE"""),"YN89004")</f>
        <v>YN89004</v>
      </c>
    </row>
    <row r="5913" ht="15.75" customHeight="1">
      <c r="A5913" t="str">
        <f t="shared" si="1"/>
        <v>V.cholerae</v>
      </c>
      <c r="B5913" s="5" t="s">
        <v>33598</v>
      </c>
      <c r="C5913" s="6" t="str">
        <f>IFERROR(__xludf.DUMMYFUNCTION("SPLIT('2. c'!B5913, "" "", True, True)"),"Vibrio")</f>
        <v>Vibrio</v>
      </c>
      <c r="D5913" t="str">
        <f>IFERROR(__xludf.DUMMYFUNCTION("""COMPUTED_VALUE"""),"cholerae")</f>
        <v>cholerae</v>
      </c>
      <c r="E5913" t="str">
        <f>IFERROR(__xludf.DUMMYFUNCTION("""COMPUTED_VALUE"""),"strain")</f>
        <v>strain</v>
      </c>
      <c r="F5913" t="str">
        <f>IFERROR(__xludf.DUMMYFUNCTION("""COMPUTED_VALUE"""),"YN97083")</f>
        <v>YN97083</v>
      </c>
    </row>
    <row r="5914" ht="15.75" customHeight="1">
      <c r="A5914" t="str">
        <f t="shared" si="1"/>
        <v>V.cholerae</v>
      </c>
      <c r="B5914" s="5" t="s">
        <v>33599</v>
      </c>
      <c r="C5914" s="6" t="str">
        <f>IFERROR(__xludf.DUMMYFUNCTION("SPLIT('2. c'!B5914, "" "", True, True)"),"Vibrio")</f>
        <v>Vibrio</v>
      </c>
      <c r="D5914" t="str">
        <f>IFERROR(__xludf.DUMMYFUNCTION("""COMPUTED_VALUE"""),"cholerae")</f>
        <v>cholerae</v>
      </c>
      <c r="E5914" t="str">
        <f>IFERROR(__xludf.DUMMYFUNCTION("""COMPUTED_VALUE"""),"strain")</f>
        <v>strain</v>
      </c>
      <c r="F5914" t="str">
        <f>IFERROR(__xludf.DUMMYFUNCTION("""COMPUTED_VALUE"""),"YN98296")</f>
        <v>YN98296</v>
      </c>
    </row>
    <row r="5915" ht="15.75" customHeight="1">
      <c r="A5915" t="str">
        <f t="shared" si="1"/>
        <v>V.coralliilyticus</v>
      </c>
      <c r="B5915" s="5" t="s">
        <v>33600</v>
      </c>
      <c r="C5915" s="6" t="str">
        <f>IFERROR(__xludf.DUMMYFUNCTION("SPLIT('2. c'!B5915, "" "", True, True)"),"Vibrio")</f>
        <v>Vibrio</v>
      </c>
      <c r="D5915" t="str">
        <f>IFERROR(__xludf.DUMMYFUNCTION("""COMPUTED_VALUE"""),"coralliilyticus")</f>
        <v>coralliilyticus</v>
      </c>
      <c r="E5915" t="str">
        <f>IFERROR(__xludf.DUMMYFUNCTION("""COMPUTED_VALUE"""),"OCN014")</f>
        <v>OCN014</v>
      </c>
    </row>
    <row r="5916" ht="15.75" customHeight="1">
      <c r="A5916" t="str">
        <f t="shared" si="1"/>
        <v>V.coralliilyticus</v>
      </c>
      <c r="B5916" s="5" t="s">
        <v>33601</v>
      </c>
      <c r="C5916" s="6" t="str">
        <f>IFERROR(__xludf.DUMMYFUNCTION("SPLIT('2. c'!B5916, "" "", True, True)"),"Vibrio")</f>
        <v>Vibrio</v>
      </c>
      <c r="D5916" t="str">
        <f>IFERROR(__xludf.DUMMYFUNCTION("""COMPUTED_VALUE"""),"coralliilyticus")</f>
        <v>coralliilyticus</v>
      </c>
      <c r="E5916" t="str">
        <f>IFERROR(__xludf.DUMMYFUNCTION("""COMPUTED_VALUE"""),"RE98")</f>
        <v>RE98</v>
      </c>
    </row>
    <row r="5917" ht="15.75" customHeight="1">
      <c r="A5917" t="str">
        <f t="shared" si="1"/>
        <v>V.fischeri</v>
      </c>
      <c r="B5917" s="5" t="s">
        <v>33602</v>
      </c>
      <c r="C5917" s="6" t="str">
        <f>IFERROR(__xludf.DUMMYFUNCTION("SPLIT('2. c'!B5917, "" "", True, True)"),"Vibrio")</f>
        <v>Vibrio</v>
      </c>
      <c r="D5917" t="str">
        <f>IFERROR(__xludf.DUMMYFUNCTION("""COMPUTED_VALUE"""),"fischeri")</f>
        <v>fischeri</v>
      </c>
      <c r="E5917" t="str">
        <f>IFERROR(__xludf.DUMMYFUNCTION("""COMPUTED_VALUE"""),"ES114")</f>
        <v>ES114</v>
      </c>
    </row>
    <row r="5918" ht="15.75" customHeight="1">
      <c r="A5918" t="str">
        <f t="shared" si="1"/>
        <v>V.fischeri</v>
      </c>
      <c r="B5918" s="5" t="s">
        <v>33603</v>
      </c>
      <c r="C5918" s="6" t="str">
        <f>IFERROR(__xludf.DUMMYFUNCTION("SPLIT('2. c'!B5918, "" "", True, True)"),"Vibrio")</f>
        <v>Vibrio</v>
      </c>
      <c r="D5918" t="str">
        <f>IFERROR(__xludf.DUMMYFUNCTION("""COMPUTED_VALUE"""),"fischeri")</f>
        <v>fischeri</v>
      </c>
      <c r="E5918" t="str">
        <f>IFERROR(__xludf.DUMMYFUNCTION("""COMPUTED_VALUE"""),"MJ11")</f>
        <v>MJ11</v>
      </c>
    </row>
    <row r="5919" ht="15.75" customHeight="1">
      <c r="A5919" t="str">
        <f t="shared" si="1"/>
        <v>V.fluvialis</v>
      </c>
      <c r="B5919" s="5" t="s">
        <v>33604</v>
      </c>
      <c r="C5919" s="6" t="str">
        <f>IFERROR(__xludf.DUMMYFUNCTION("SPLIT('2. c'!B5919, "" "", True, True)"),"Vibrio")</f>
        <v>Vibrio</v>
      </c>
      <c r="D5919" t="str">
        <f>IFERROR(__xludf.DUMMYFUNCTION("""COMPUTED_VALUE"""),"fluvialis")</f>
        <v>fluvialis</v>
      </c>
      <c r="E5919" t="str">
        <f>IFERROR(__xludf.DUMMYFUNCTION("""COMPUTED_VALUE"""),"Ind1")</f>
        <v>Ind1</v>
      </c>
    </row>
    <row r="5920" ht="15.75" customHeight="1">
      <c r="A5920" t="str">
        <f t="shared" si="1"/>
        <v>V.fluvialis</v>
      </c>
      <c r="B5920" s="5" t="s">
        <v>33605</v>
      </c>
      <c r="C5920" s="6" t="str">
        <f>IFERROR(__xludf.DUMMYFUNCTION("SPLIT('2. c'!B5920, "" "", True, True)"),"Vibrio")</f>
        <v>Vibrio</v>
      </c>
      <c r="D5920" t="str">
        <f>IFERROR(__xludf.DUMMYFUNCTION("""COMPUTED_VALUE"""),"fluvialis")</f>
        <v>fluvialis</v>
      </c>
      <c r="E5920" t="str">
        <f>IFERROR(__xludf.DUMMYFUNCTION("""COMPUTED_VALUE"""),"strain")</f>
        <v>strain</v>
      </c>
      <c r="F5920" t="str">
        <f>IFERROR(__xludf.DUMMYFUNCTION("""COMPUTED_VALUE"""),"ATCC")</f>
        <v>ATCC</v>
      </c>
      <c r="G5920">
        <f>IFERROR(__xludf.DUMMYFUNCTION("""COMPUTED_VALUE"""),33809.0)</f>
        <v>33809</v>
      </c>
    </row>
    <row r="5921" ht="15.75" customHeight="1">
      <c r="A5921" t="str">
        <f t="shared" si="1"/>
        <v>V.furnissii</v>
      </c>
      <c r="B5921" s="5" t="s">
        <v>33606</v>
      </c>
      <c r="C5921" s="6" t="str">
        <f>IFERROR(__xludf.DUMMYFUNCTION("SPLIT('2. c'!B5921, "" "", True, True)"),"Vibrio")</f>
        <v>Vibrio</v>
      </c>
      <c r="D5921" t="str">
        <f>IFERROR(__xludf.DUMMYFUNCTION("""COMPUTED_VALUE"""),"furnissii")</f>
        <v>furnissii</v>
      </c>
      <c r="E5921" t="str">
        <f>IFERROR(__xludf.DUMMYFUNCTION("""COMPUTED_VALUE"""),"NCTC")</f>
        <v>NCTC</v>
      </c>
      <c r="F5921">
        <f>IFERROR(__xludf.DUMMYFUNCTION("""COMPUTED_VALUE"""),11218.0)</f>
        <v>11218</v>
      </c>
    </row>
    <row r="5922" ht="15.75" customHeight="1">
      <c r="A5922" t="str">
        <f t="shared" si="1"/>
        <v>V.harveyi</v>
      </c>
      <c r="B5922" s="5" t="s">
        <v>33607</v>
      </c>
      <c r="C5922" s="6" t="str">
        <f>IFERROR(__xludf.DUMMYFUNCTION("SPLIT('2. c'!B5922, "" "", True, True)"),"Vibrio")</f>
        <v>Vibrio</v>
      </c>
      <c r="D5922" t="str">
        <f>IFERROR(__xludf.DUMMYFUNCTION("""COMPUTED_VALUE"""),"harveyi")</f>
        <v>harveyi</v>
      </c>
      <c r="E5922" t="str">
        <f>IFERROR(__xludf.DUMMYFUNCTION("""COMPUTED_VALUE"""),"ATCC")</f>
        <v>ATCC</v>
      </c>
      <c r="F5922" t="str">
        <f>IFERROR(__xludf.DUMMYFUNCTION("""COMPUTED_VALUE"""),"BAA-1116")</f>
        <v>BAA-1116</v>
      </c>
    </row>
    <row r="5923" ht="15.75" customHeight="1">
      <c r="A5923" t="str">
        <f t="shared" si="1"/>
        <v>V.harveyi</v>
      </c>
      <c r="B5923" s="5" t="s">
        <v>33608</v>
      </c>
      <c r="C5923" s="6" t="str">
        <f>IFERROR(__xludf.DUMMYFUNCTION("SPLIT('2. c'!B5923, "" "", True, True)"),"Vibrio")</f>
        <v>Vibrio</v>
      </c>
      <c r="D5923" t="str">
        <f>IFERROR(__xludf.DUMMYFUNCTION("""COMPUTED_VALUE"""),"harveyi")</f>
        <v>harveyi</v>
      </c>
      <c r="E5923" t="str">
        <f>IFERROR(__xludf.DUMMYFUNCTION("""COMPUTED_VALUE"""),"strain")</f>
        <v>strain</v>
      </c>
      <c r="F5923" t="str">
        <f>IFERROR(__xludf.DUMMYFUNCTION("""COMPUTED_VALUE"""),"ATCC")</f>
        <v>ATCC</v>
      </c>
      <c r="G5923">
        <f>IFERROR(__xludf.DUMMYFUNCTION("""COMPUTED_VALUE"""),43516.0)</f>
        <v>43516</v>
      </c>
    </row>
    <row r="5924" ht="15.75" customHeight="1">
      <c r="A5924" t="str">
        <f t="shared" si="1"/>
        <v>V.mimicus</v>
      </c>
      <c r="B5924" s="5" t="s">
        <v>33609</v>
      </c>
      <c r="C5924" s="6" t="str">
        <f>IFERROR(__xludf.DUMMYFUNCTION("SPLIT('2. c'!B5924, "" "", True, True)"),"Vibrio")</f>
        <v>Vibrio</v>
      </c>
      <c r="D5924" t="str">
        <f>IFERROR(__xludf.DUMMYFUNCTION("""COMPUTED_VALUE"""),"mimicus")</f>
        <v>mimicus</v>
      </c>
      <c r="E5924" t="str">
        <f>IFERROR(__xludf.DUMMYFUNCTION("""COMPUTED_VALUE"""),"strain")</f>
        <v>strain</v>
      </c>
      <c r="F5924" t="str">
        <f>IFERROR(__xludf.DUMMYFUNCTION("""COMPUTED_VALUE"""),"ATCC")</f>
        <v>ATCC</v>
      </c>
      <c r="G5924">
        <f>IFERROR(__xludf.DUMMYFUNCTION("""COMPUTED_VALUE"""),33654.0)</f>
        <v>33654</v>
      </c>
    </row>
    <row r="5925" ht="15.75" customHeight="1">
      <c r="A5925" t="str">
        <f t="shared" si="1"/>
        <v>V.nigripulchritudo</v>
      </c>
      <c r="B5925" s="5" t="s">
        <v>33610</v>
      </c>
      <c r="C5925" s="6" t="str">
        <f>IFERROR(__xludf.DUMMYFUNCTION("SPLIT('2. c'!B5925, "" "", True, True)"),"Vibrio")</f>
        <v>Vibrio</v>
      </c>
      <c r="D5925" t="str">
        <f>IFERROR(__xludf.DUMMYFUNCTION("""COMPUTED_VALUE"""),"nigripulchritudo")</f>
        <v>nigripulchritudo</v>
      </c>
      <c r="E5925" t="str">
        <f>IFERROR(__xludf.DUMMYFUNCTION("""COMPUTED_VALUE"""),"strain")</f>
        <v>strain</v>
      </c>
      <c r="F5925" t="str">
        <f>IFERROR(__xludf.DUMMYFUNCTION("""COMPUTED_VALUE"""),"SnF1")</f>
        <v>SnF1</v>
      </c>
    </row>
    <row r="5926" ht="15.75" customHeight="1">
      <c r="A5926" t="str">
        <f t="shared" si="1"/>
        <v>V.parahaemolyticus</v>
      </c>
      <c r="B5926" s="5" t="s">
        <v>33611</v>
      </c>
      <c r="C5926" s="6" t="str">
        <f>IFERROR(__xludf.DUMMYFUNCTION("SPLIT('2. c'!B5926, "" "", True, True)"),"Vibrio")</f>
        <v>Vibrio</v>
      </c>
      <c r="D5926" t="str">
        <f>IFERROR(__xludf.DUMMYFUNCTION("""COMPUTED_VALUE"""),"parahaemolyticus")</f>
        <v>parahaemolyticus</v>
      </c>
      <c r="E5926" t="str">
        <f>IFERROR(__xludf.DUMMYFUNCTION("""COMPUTED_VALUE"""),"BB22OP")</f>
        <v>BB22OP</v>
      </c>
    </row>
    <row r="5927" ht="15.75" customHeight="1">
      <c r="A5927" t="str">
        <f t="shared" si="1"/>
        <v>V.parahaemolyticus</v>
      </c>
      <c r="B5927" s="5" t="s">
        <v>33612</v>
      </c>
      <c r="C5927" s="6" t="str">
        <f>IFERROR(__xludf.DUMMYFUNCTION("SPLIT('2. c'!B5927, "" "", True, True)"),"Vibrio")</f>
        <v>Vibrio</v>
      </c>
      <c r="D5927" t="str">
        <f>IFERROR(__xludf.DUMMYFUNCTION("""COMPUTED_VALUE"""),"parahaemolyticus")</f>
        <v>parahaemolyticus</v>
      </c>
      <c r="E5927" t="str">
        <f>IFERROR(__xludf.DUMMYFUNCTION("""COMPUTED_VALUE"""),"O1:K33")</f>
        <v>O1:K33</v>
      </c>
      <c r="F5927" t="str">
        <f>IFERROR(__xludf.DUMMYFUNCTION("""COMPUTED_VALUE"""),"str.")</f>
        <v>str.</v>
      </c>
      <c r="G5927" t="str">
        <f>IFERROR(__xludf.DUMMYFUNCTION("""COMPUTED_VALUE"""),"CDC_K4557")</f>
        <v>CDC_K4557</v>
      </c>
    </row>
    <row r="5928" ht="15.75" customHeight="1">
      <c r="A5928" t="str">
        <f t="shared" si="1"/>
        <v>V.parahaemolyticus</v>
      </c>
      <c r="B5928" s="5" t="s">
        <v>33613</v>
      </c>
      <c r="C5928" s="6" t="str">
        <f>IFERROR(__xludf.DUMMYFUNCTION("SPLIT('2. c'!B5928, "" "", True, True)"),"Vibrio")</f>
        <v>Vibrio</v>
      </c>
      <c r="D5928" t="str">
        <f>IFERROR(__xludf.DUMMYFUNCTION("""COMPUTED_VALUE"""),"parahaemolyticus")</f>
        <v>parahaemolyticus</v>
      </c>
      <c r="E5928" t="str">
        <f>IFERROR(__xludf.DUMMYFUNCTION("""COMPUTED_VALUE"""),"O1:Kuk")</f>
        <v>O1:Kuk</v>
      </c>
      <c r="F5928" t="str">
        <f>IFERROR(__xludf.DUMMYFUNCTION("""COMPUTED_VALUE"""),"str.")</f>
        <v>str.</v>
      </c>
      <c r="G5928" t="str">
        <f>IFERROR(__xludf.DUMMYFUNCTION("""COMPUTED_VALUE"""),"FDA_R31")</f>
        <v>FDA_R31</v>
      </c>
    </row>
    <row r="5929" ht="15.75" customHeight="1">
      <c r="A5929" t="str">
        <f t="shared" si="1"/>
        <v>V.parahaemolyticus</v>
      </c>
      <c r="B5929" s="5" t="s">
        <v>33614</v>
      </c>
      <c r="C5929" s="6" t="str">
        <f>IFERROR(__xludf.DUMMYFUNCTION("SPLIT('2. c'!B5929, "" "", True, True)"),"Vibrio")</f>
        <v>Vibrio</v>
      </c>
      <c r="D5929" t="str">
        <f>IFERROR(__xludf.DUMMYFUNCTION("""COMPUTED_VALUE"""),"parahaemolyticus")</f>
        <v>parahaemolyticus</v>
      </c>
      <c r="E5929" t="str">
        <f>IFERROR(__xludf.DUMMYFUNCTION("""COMPUTED_VALUE"""),"RIMD")</f>
        <v>RIMD</v>
      </c>
      <c r="F5929">
        <f>IFERROR(__xludf.DUMMYFUNCTION("""COMPUTED_VALUE"""),2210633.0)</f>
        <v>2210633</v>
      </c>
    </row>
    <row r="5930" ht="15.75" customHeight="1">
      <c r="A5930" t="str">
        <f t="shared" si="1"/>
        <v>V.parahaemolyticus</v>
      </c>
      <c r="B5930" s="5" t="s">
        <v>33615</v>
      </c>
      <c r="C5930" s="6" t="str">
        <f>IFERROR(__xludf.DUMMYFUNCTION("SPLIT('2. c'!B5930, "" "", True, True)"),"Vibrio")</f>
        <v>Vibrio</v>
      </c>
      <c r="D5930" t="str">
        <f>IFERROR(__xludf.DUMMYFUNCTION("""COMPUTED_VALUE"""),"parahaemolyticus")</f>
        <v>parahaemolyticus</v>
      </c>
      <c r="E5930" t="str">
        <f>IFERROR(__xludf.DUMMYFUNCTION("""COMPUTED_VALUE"""),"strain")</f>
        <v>strain</v>
      </c>
      <c r="F5930" t="str">
        <f>IFERROR(__xludf.DUMMYFUNCTION("""COMPUTED_VALUE"""),"ATCC")</f>
        <v>ATCC</v>
      </c>
      <c r="G5930">
        <f>IFERROR(__xludf.DUMMYFUNCTION("""COMPUTED_VALUE"""),17802.0)</f>
        <v>17802</v>
      </c>
    </row>
    <row r="5931" ht="15.75" customHeight="1">
      <c r="A5931" t="str">
        <f t="shared" si="1"/>
        <v>V.parahaemolyticus</v>
      </c>
      <c r="B5931" s="5" t="s">
        <v>33616</v>
      </c>
      <c r="C5931" s="6" t="str">
        <f>IFERROR(__xludf.DUMMYFUNCTION("SPLIT('2. c'!B5931, "" "", True, True)"),"Vibrio")</f>
        <v>Vibrio</v>
      </c>
      <c r="D5931" t="str">
        <f>IFERROR(__xludf.DUMMYFUNCTION("""COMPUTED_VALUE"""),"parahaemolyticus")</f>
        <v>parahaemolyticus</v>
      </c>
      <c r="E5931" t="str">
        <f>IFERROR(__xludf.DUMMYFUNCTION("""COMPUTED_VALUE"""),"strain")</f>
        <v>strain</v>
      </c>
      <c r="F5931" t="str">
        <f>IFERROR(__xludf.DUMMYFUNCTION("""COMPUTED_VALUE"""),"FORC_004")</f>
        <v>FORC_004</v>
      </c>
    </row>
    <row r="5932" ht="15.75" customHeight="1">
      <c r="A5932" t="str">
        <f t="shared" si="1"/>
        <v>V.parahaemolyticus</v>
      </c>
      <c r="B5932" s="5" t="s">
        <v>33617</v>
      </c>
      <c r="C5932" s="6" t="str">
        <f>IFERROR(__xludf.DUMMYFUNCTION("SPLIT('2. c'!B5932, "" "", True, True)"),"Vibrio")</f>
        <v>Vibrio</v>
      </c>
      <c r="D5932" t="str">
        <f>IFERROR(__xludf.DUMMYFUNCTION("""COMPUTED_VALUE"""),"parahaemolyticus")</f>
        <v>parahaemolyticus</v>
      </c>
      <c r="E5932" t="str">
        <f>IFERROR(__xludf.DUMMYFUNCTION("""COMPUTED_VALUE"""),"strain")</f>
        <v>strain</v>
      </c>
      <c r="F5932" t="str">
        <f>IFERROR(__xludf.DUMMYFUNCTION("""COMPUTED_VALUE"""),"FORC_006")</f>
        <v>FORC_006</v>
      </c>
    </row>
    <row r="5933" ht="15.75" customHeight="1">
      <c r="A5933" t="str">
        <f t="shared" si="1"/>
        <v>V.parahaemolyticus</v>
      </c>
      <c r="B5933" s="5" t="s">
        <v>33618</v>
      </c>
      <c r="C5933" s="6" t="str">
        <f>IFERROR(__xludf.DUMMYFUNCTION("SPLIT('2. c'!B5933, "" "", True, True)"),"Vibrio")</f>
        <v>Vibrio</v>
      </c>
      <c r="D5933" t="str">
        <f>IFERROR(__xludf.DUMMYFUNCTION("""COMPUTED_VALUE"""),"parahaemolyticus")</f>
        <v>parahaemolyticus</v>
      </c>
      <c r="E5933" t="str">
        <f>IFERROR(__xludf.DUMMYFUNCTION("""COMPUTED_VALUE"""),"strain")</f>
        <v>strain</v>
      </c>
      <c r="F5933" t="str">
        <f>IFERROR(__xludf.DUMMYFUNCTION("""COMPUTED_VALUE"""),"FORC_008")</f>
        <v>FORC_008</v>
      </c>
    </row>
    <row r="5934" ht="15.75" customHeight="1">
      <c r="A5934" t="str">
        <f t="shared" si="1"/>
        <v>V.parahaemolyticus</v>
      </c>
      <c r="B5934" s="5" t="s">
        <v>33619</v>
      </c>
      <c r="C5934" s="6" t="str">
        <f>IFERROR(__xludf.DUMMYFUNCTION("SPLIT('2. c'!B5934, "" "", True, True)"),"Vibrio")</f>
        <v>Vibrio</v>
      </c>
      <c r="D5934" t="str">
        <f>IFERROR(__xludf.DUMMYFUNCTION("""COMPUTED_VALUE"""),"parahaemolyticus")</f>
        <v>parahaemolyticus</v>
      </c>
      <c r="E5934" t="str">
        <f>IFERROR(__xludf.DUMMYFUNCTION("""COMPUTED_VALUE"""),"strain")</f>
        <v>strain</v>
      </c>
      <c r="F5934" t="str">
        <f>IFERROR(__xludf.DUMMYFUNCTION("""COMPUTED_VALUE"""),"FORC_014")</f>
        <v>FORC_014</v>
      </c>
    </row>
    <row r="5935" ht="15.75" customHeight="1">
      <c r="A5935" t="str">
        <f t="shared" si="1"/>
        <v>V.parahaemolyticus</v>
      </c>
      <c r="B5935" s="5" t="s">
        <v>33620</v>
      </c>
      <c r="C5935" s="6" t="str">
        <f>IFERROR(__xludf.DUMMYFUNCTION("SPLIT('2. c'!B5935, "" "", True, True)"),"Vibrio")</f>
        <v>Vibrio</v>
      </c>
      <c r="D5935" t="str">
        <f>IFERROR(__xludf.DUMMYFUNCTION("""COMPUTED_VALUE"""),"parahaemolyticus")</f>
        <v>parahaemolyticus</v>
      </c>
      <c r="E5935" t="str">
        <f>IFERROR(__xludf.DUMMYFUNCTION("""COMPUTED_VALUE"""),"UCM-V493")</f>
        <v>UCM-V493</v>
      </c>
    </row>
    <row r="5936" ht="15.75" customHeight="1">
      <c r="A5936" t="str">
        <f t="shared" si="1"/>
        <v>V.sp.</v>
      </c>
      <c r="B5936" s="5" t="s">
        <v>33621</v>
      </c>
      <c r="C5936" s="6" t="str">
        <f>IFERROR(__xludf.DUMMYFUNCTION("SPLIT('2. c'!B5936, "" "", True, True)"),"Vibrio")</f>
        <v>Vibrio</v>
      </c>
      <c r="D5936" t="str">
        <f>IFERROR(__xludf.DUMMYFUNCTION("""COMPUTED_VALUE"""),"sp.")</f>
        <v>sp.</v>
      </c>
      <c r="E5936" t="str">
        <f>IFERROR(__xludf.DUMMYFUNCTION("""COMPUTED_VALUE"""),"EJY3")</f>
        <v>EJY3</v>
      </c>
    </row>
    <row r="5937" ht="15.75" customHeight="1">
      <c r="A5937" t="str">
        <f t="shared" si="1"/>
        <v>V.sp.</v>
      </c>
      <c r="B5937" s="5" t="s">
        <v>33622</v>
      </c>
      <c r="C5937" s="6" t="str">
        <f>IFERROR(__xludf.DUMMYFUNCTION("SPLIT('2. c'!B5937, "" "", True, True)"),"Vibrio")</f>
        <v>Vibrio</v>
      </c>
      <c r="D5937" t="str">
        <f>IFERROR(__xludf.DUMMYFUNCTION("""COMPUTED_VALUE"""),"sp.")</f>
        <v>sp.</v>
      </c>
      <c r="E5937" t="str">
        <f>IFERROR(__xludf.DUMMYFUNCTION("""COMPUTED_VALUE"""),"Ex25")</f>
        <v>Ex25</v>
      </c>
      <c r="F5937" t="str">
        <f>IFERROR(__xludf.DUMMYFUNCTION("""COMPUTED_VALUE"""),"(Prj:41601)")</f>
        <v>(Prj:41601)</v>
      </c>
    </row>
    <row r="5938" ht="15.75" customHeight="1">
      <c r="A5938" t="str">
        <f t="shared" si="1"/>
        <v>V.splendidus</v>
      </c>
      <c r="B5938" s="5" t="s">
        <v>33623</v>
      </c>
      <c r="C5938" s="6" t="str">
        <f>IFERROR(__xludf.DUMMYFUNCTION("SPLIT('2. c'!B5938, "" "", True, True)"),"Vibrio")</f>
        <v>Vibrio</v>
      </c>
      <c r="D5938" t="str">
        <f>IFERROR(__xludf.DUMMYFUNCTION("""COMPUTED_VALUE"""),"splendidus")</f>
        <v>splendidus</v>
      </c>
      <c r="E5938" t="str">
        <f>IFERROR(__xludf.DUMMYFUNCTION("""COMPUTED_VALUE"""),"LGP32")</f>
        <v>LGP32</v>
      </c>
    </row>
    <row r="5939" ht="15.75" customHeight="1">
      <c r="A5939" t="str">
        <f t="shared" si="1"/>
        <v>V.tritonius</v>
      </c>
      <c r="B5939" s="5" t="s">
        <v>33624</v>
      </c>
      <c r="C5939" s="6" t="str">
        <f>IFERROR(__xludf.DUMMYFUNCTION("SPLIT('2. c'!B5939, "" "", True, True)"),"Vibrio")</f>
        <v>Vibrio</v>
      </c>
      <c r="D5939" t="str">
        <f>IFERROR(__xludf.DUMMYFUNCTION("""COMPUTED_VALUE"""),"tritonius")</f>
        <v>tritonius</v>
      </c>
      <c r="E5939" t="str">
        <f>IFERROR(__xludf.DUMMYFUNCTION("""COMPUTED_VALUE"""),"strain")</f>
        <v>strain</v>
      </c>
      <c r="F5939" t="str">
        <f>IFERROR(__xludf.DUMMYFUNCTION("""COMPUTED_VALUE"""),"JCM")</f>
        <v>JCM</v>
      </c>
      <c r="G5939">
        <f>IFERROR(__xludf.DUMMYFUNCTION("""COMPUTED_VALUE"""),16456.0)</f>
        <v>16456</v>
      </c>
    </row>
    <row r="5940" ht="15.75" customHeight="1">
      <c r="A5940" t="str">
        <f t="shared" si="1"/>
        <v>V.tubiashii</v>
      </c>
      <c r="B5940" s="5" t="s">
        <v>33625</v>
      </c>
      <c r="C5940" s="6" t="str">
        <f>IFERROR(__xludf.DUMMYFUNCTION("SPLIT('2. c'!B5940, "" "", True, True)"),"Vibrio")</f>
        <v>Vibrio</v>
      </c>
      <c r="D5940" t="str">
        <f>IFERROR(__xludf.DUMMYFUNCTION("""COMPUTED_VALUE"""),"tubiashii")</f>
        <v>tubiashii</v>
      </c>
      <c r="E5940" t="str">
        <f>IFERROR(__xludf.DUMMYFUNCTION("""COMPUTED_VALUE"""),"ATCC")</f>
        <v>ATCC</v>
      </c>
      <c r="F5940">
        <f>IFERROR(__xludf.DUMMYFUNCTION("""COMPUTED_VALUE"""),19109.0)</f>
        <v>19109</v>
      </c>
    </row>
    <row r="5941" ht="15.75" customHeight="1">
      <c r="A5941" t="str">
        <f t="shared" si="1"/>
        <v>V.vulnificus</v>
      </c>
      <c r="B5941" s="5" t="s">
        <v>33626</v>
      </c>
      <c r="C5941" s="6" t="str">
        <f>IFERROR(__xludf.DUMMYFUNCTION("SPLIT('2. c'!B5941, "" "", True, True)"),"Vibrio")</f>
        <v>Vibrio</v>
      </c>
      <c r="D5941" t="str">
        <f>IFERROR(__xludf.DUMMYFUNCTION("""COMPUTED_VALUE"""),"vulnificus")</f>
        <v>vulnificus</v>
      </c>
      <c r="E5941" t="str">
        <f>IFERROR(__xludf.DUMMYFUNCTION("""COMPUTED_VALUE"""),"CMCP6")</f>
        <v>CMCP6</v>
      </c>
    </row>
    <row r="5942" ht="15.75" customHeight="1">
      <c r="A5942" t="str">
        <f t="shared" si="1"/>
        <v>V.vulnificus</v>
      </c>
      <c r="B5942" s="5" t="s">
        <v>33627</v>
      </c>
      <c r="C5942" s="6" t="str">
        <f>IFERROR(__xludf.DUMMYFUNCTION("SPLIT('2. c'!B5942, "" "", True, True)"),"Vibrio")</f>
        <v>Vibrio</v>
      </c>
      <c r="D5942" t="str">
        <f>IFERROR(__xludf.DUMMYFUNCTION("""COMPUTED_VALUE"""),"vulnificus")</f>
        <v>vulnificus</v>
      </c>
      <c r="E5942" t="str">
        <f>IFERROR(__xludf.DUMMYFUNCTION("""COMPUTED_VALUE"""),"MO6-24/O")</f>
        <v>MO6-24/O</v>
      </c>
    </row>
    <row r="5943" ht="15.75" customHeight="1">
      <c r="A5943" t="str">
        <f t="shared" si="1"/>
        <v>V.vulnificus</v>
      </c>
      <c r="B5943" s="5" t="s">
        <v>33628</v>
      </c>
      <c r="C5943" s="6" t="str">
        <f>IFERROR(__xludf.DUMMYFUNCTION("SPLIT('2. c'!B5943, "" "", True, True)"),"Vibrio")</f>
        <v>Vibrio</v>
      </c>
      <c r="D5943" t="str">
        <f>IFERROR(__xludf.DUMMYFUNCTION("""COMPUTED_VALUE"""),"vulnificus")</f>
        <v>vulnificus</v>
      </c>
      <c r="E5943" t="str">
        <f>IFERROR(__xludf.DUMMYFUNCTION("""COMPUTED_VALUE"""),"strain")</f>
        <v>strain</v>
      </c>
      <c r="F5943" t="str">
        <f>IFERROR(__xludf.DUMMYFUNCTION("""COMPUTED_VALUE"""),"93U204")</f>
        <v>93U204</v>
      </c>
    </row>
    <row r="5944" ht="15.75" customHeight="1">
      <c r="A5944" t="str">
        <f t="shared" si="1"/>
        <v>V.vulnificus</v>
      </c>
      <c r="B5944" s="5" t="s">
        <v>33629</v>
      </c>
      <c r="C5944" s="6" t="str">
        <f>IFERROR(__xludf.DUMMYFUNCTION("SPLIT('2. c'!B5944, "" "", True, True)"),"Vibrio")</f>
        <v>Vibrio</v>
      </c>
      <c r="D5944" t="str">
        <f>IFERROR(__xludf.DUMMYFUNCTION("""COMPUTED_VALUE"""),"vulnificus")</f>
        <v>vulnificus</v>
      </c>
      <c r="E5944" t="str">
        <f>IFERROR(__xludf.DUMMYFUNCTION("""COMPUTED_VALUE"""),"strain")</f>
        <v>strain</v>
      </c>
      <c r="F5944" t="str">
        <f>IFERROR(__xludf.DUMMYFUNCTION("""COMPUTED_VALUE"""),"ATL")</f>
        <v>ATL</v>
      </c>
      <c r="G5944" s="54">
        <f>IFERROR(__xludf.DUMMYFUNCTION("""COMPUTED_VALUE"""),-216801.0)</f>
        <v>-216801</v>
      </c>
    </row>
    <row r="5945" ht="15.75" customHeight="1">
      <c r="A5945" t="str">
        <f t="shared" si="1"/>
        <v>V.vulnificus</v>
      </c>
      <c r="B5945" s="5" t="s">
        <v>33630</v>
      </c>
      <c r="C5945" s="6" t="str">
        <f>IFERROR(__xludf.DUMMYFUNCTION("SPLIT('2. c'!B5945, "" "", True, True)"),"Vibrio")</f>
        <v>Vibrio</v>
      </c>
      <c r="D5945" t="str">
        <f>IFERROR(__xludf.DUMMYFUNCTION("""COMPUTED_VALUE"""),"vulnificus")</f>
        <v>vulnificus</v>
      </c>
      <c r="E5945" t="str">
        <f>IFERROR(__xludf.DUMMYFUNCTION("""COMPUTED_VALUE"""),"strain")</f>
        <v>strain</v>
      </c>
      <c r="F5945" t="str">
        <f>IFERROR(__xludf.DUMMYFUNCTION("""COMPUTED_VALUE"""),"FORC_009")</f>
        <v>FORC_009</v>
      </c>
    </row>
    <row r="5946" ht="15.75" customHeight="1">
      <c r="A5946" t="str">
        <f t="shared" si="1"/>
        <v>V.vulnificus</v>
      </c>
      <c r="B5946" s="5" t="s">
        <v>33631</v>
      </c>
      <c r="C5946" s="6" t="str">
        <f>IFERROR(__xludf.DUMMYFUNCTION("SPLIT('2. c'!B5946, "" "", True, True)"),"Vibrio")</f>
        <v>Vibrio</v>
      </c>
      <c r="D5946" t="str">
        <f>IFERROR(__xludf.DUMMYFUNCTION("""COMPUTED_VALUE"""),"vulnificus")</f>
        <v>vulnificus</v>
      </c>
      <c r="E5946" t="str">
        <f>IFERROR(__xludf.DUMMYFUNCTION("""COMPUTED_VALUE"""),"strain")</f>
        <v>strain</v>
      </c>
      <c r="F5946" t="str">
        <f>IFERROR(__xludf.DUMMYFUNCTION("""COMPUTED_VALUE"""),"FORC_016")</f>
        <v>FORC_016</v>
      </c>
    </row>
    <row r="5947" ht="15.75" customHeight="1">
      <c r="A5947" t="str">
        <f t="shared" si="1"/>
        <v>V.vulnificus</v>
      </c>
      <c r="B5947" s="5" t="s">
        <v>33632</v>
      </c>
      <c r="C5947" s="6" t="str">
        <f>IFERROR(__xludf.DUMMYFUNCTION("SPLIT('2. c'!B5947, "" "", True, True)"),"Vibrio")</f>
        <v>Vibrio</v>
      </c>
      <c r="D5947" t="str">
        <f>IFERROR(__xludf.DUMMYFUNCTION("""COMPUTED_VALUE"""),"vulnificus")</f>
        <v>vulnificus</v>
      </c>
      <c r="E5947" t="str">
        <f>IFERROR(__xludf.DUMMYFUNCTION("""COMPUTED_VALUE"""),"strain")</f>
        <v>strain</v>
      </c>
      <c r="F5947" t="str">
        <f>IFERROR(__xludf.DUMMYFUNCTION("""COMPUTED_VALUE"""),"FORC_017")</f>
        <v>FORC_017</v>
      </c>
    </row>
    <row r="5948" ht="15.75" customHeight="1">
      <c r="A5948" t="str">
        <f t="shared" si="1"/>
        <v>V.vulnificus</v>
      </c>
      <c r="B5948" s="5" t="s">
        <v>33633</v>
      </c>
      <c r="C5948" s="6" t="str">
        <f>IFERROR(__xludf.DUMMYFUNCTION("SPLIT('2. c'!B5948, "" "", True, True)"),"Vibrio")</f>
        <v>Vibrio</v>
      </c>
      <c r="D5948" t="str">
        <f>IFERROR(__xludf.DUMMYFUNCTION("""COMPUTED_VALUE"""),"vulnificus")</f>
        <v>vulnificus</v>
      </c>
      <c r="E5948" t="str">
        <f>IFERROR(__xludf.DUMMYFUNCTION("""COMPUTED_VALUE"""),"YJ016")</f>
        <v>YJ016</v>
      </c>
    </row>
    <row r="5949" ht="15.75" customHeight="1">
      <c r="A5949" t="str">
        <f t="shared" si="1"/>
        <v>V.sp.</v>
      </c>
      <c r="B5949" s="5" t="s">
        <v>33634</v>
      </c>
      <c r="C5949" s="6" t="str">
        <f>IFERROR(__xludf.DUMMYFUNCTION("SPLIT('2. c'!B5949, "" "", True, True)"),"Virgibacillus")</f>
        <v>Virgibacillus</v>
      </c>
      <c r="D5949" t="str">
        <f>IFERROR(__xludf.DUMMYFUNCTION("""COMPUTED_VALUE"""),"sp.")</f>
        <v>sp.</v>
      </c>
      <c r="E5949" t="str">
        <f>IFERROR(__xludf.DUMMYFUNCTION("""COMPUTED_VALUE"""),"SK37")</f>
        <v>SK37</v>
      </c>
    </row>
    <row r="5950" ht="15.75" customHeight="1">
      <c r="A5950" t="str">
        <f t="shared" si="1"/>
        <v>V.distributa</v>
      </c>
      <c r="B5950" s="5" t="s">
        <v>33635</v>
      </c>
      <c r="C5950" s="6" t="str">
        <f>IFERROR(__xludf.DUMMYFUNCTION("SPLIT('2. c'!B5950, "" "", True, True)"),"Vulcanisaeta")</f>
        <v>Vulcanisaeta</v>
      </c>
      <c r="D5950" t="str">
        <f>IFERROR(__xludf.DUMMYFUNCTION("""COMPUTED_VALUE"""),"distributa")</f>
        <v>distributa</v>
      </c>
      <c r="E5950" t="str">
        <f>IFERROR(__xludf.DUMMYFUNCTION("""COMPUTED_VALUE"""),"DSM")</f>
        <v>DSM</v>
      </c>
      <c r="F5950">
        <f>IFERROR(__xludf.DUMMYFUNCTION("""COMPUTED_VALUE"""),14429.0)</f>
        <v>14429</v>
      </c>
    </row>
    <row r="5951" ht="15.75" customHeight="1">
      <c r="A5951" t="str">
        <f t="shared" si="1"/>
        <v>V.moutnovskia</v>
      </c>
      <c r="B5951" s="5" t="s">
        <v>33636</v>
      </c>
      <c r="C5951" s="6" t="str">
        <f>IFERROR(__xludf.DUMMYFUNCTION("SPLIT('2. c'!B5951, "" "", True, True)"),"Vulcanisaeta")</f>
        <v>Vulcanisaeta</v>
      </c>
      <c r="D5951" t="str">
        <f>IFERROR(__xludf.DUMMYFUNCTION("""COMPUTED_VALUE"""),"moutnovskia")</f>
        <v>moutnovskia</v>
      </c>
      <c r="E5951" t="str">
        <f>IFERROR(__xludf.DUMMYFUNCTION("""COMPUTED_VALUE"""),"768-28")</f>
        <v>768-28</v>
      </c>
    </row>
    <row r="5952" ht="15.75" customHeight="1">
      <c r="A5952" t="str">
        <f t="shared" si="1"/>
        <v>V.incomptus</v>
      </c>
      <c r="B5952" s="5" t="s">
        <v>33637</v>
      </c>
      <c r="C5952" s="6" t="str">
        <f>IFERROR(__xludf.DUMMYFUNCTION("SPLIT('2. c'!B5952, "" "", True, True)"),"Vulgatibacter")</f>
        <v>Vulgatibacter</v>
      </c>
      <c r="D5952" t="str">
        <f>IFERROR(__xludf.DUMMYFUNCTION("""COMPUTED_VALUE"""),"incomptus")</f>
        <v>incomptus</v>
      </c>
      <c r="E5952" t="str">
        <f>IFERROR(__xludf.DUMMYFUNCTION("""COMPUTED_VALUE"""),"strain")</f>
        <v>strain</v>
      </c>
      <c r="F5952" t="str">
        <f>IFERROR(__xludf.DUMMYFUNCTION("""COMPUTED_VALUE"""),"DSM")</f>
        <v>DSM</v>
      </c>
      <c r="G5952">
        <f>IFERROR(__xludf.DUMMYFUNCTION("""COMPUTED_VALUE"""),27710.0)</f>
        <v>27710</v>
      </c>
    </row>
    <row r="5953" ht="15.75" customHeight="1">
      <c r="A5953" t="str">
        <f t="shared" si="1"/>
        <v>W.chondrophila</v>
      </c>
      <c r="B5953" s="5" t="s">
        <v>33638</v>
      </c>
      <c r="C5953" s="6" t="str">
        <f>IFERROR(__xludf.DUMMYFUNCTION("SPLIT('2. c'!B5953, "" "", True, True)"),"Waddlia")</f>
        <v>Waddlia</v>
      </c>
      <c r="D5953" t="str">
        <f>IFERROR(__xludf.DUMMYFUNCTION("""COMPUTED_VALUE"""),"chondrophila")</f>
        <v>chondrophila</v>
      </c>
      <c r="E5953" t="str">
        <f>IFERROR(__xludf.DUMMYFUNCTION("""COMPUTED_VALUE"""),"WSU")</f>
        <v>WSU</v>
      </c>
      <c r="F5953" t="str">
        <f>IFERROR(__xludf.DUMMYFUNCTION("""COMPUTED_VALUE"""),"86-1044")</f>
        <v>86-1044</v>
      </c>
    </row>
    <row r="5954" ht="15.75" customHeight="1">
      <c r="A5954" t="str">
        <f t="shared" si="1"/>
        <v>W.virosa</v>
      </c>
      <c r="B5954" s="5" t="s">
        <v>33639</v>
      </c>
      <c r="C5954" s="6" t="str">
        <f>IFERROR(__xludf.DUMMYFUNCTION("SPLIT('2. c'!B5954, "" "", True, True)"),"Weeksella")</f>
        <v>Weeksella</v>
      </c>
      <c r="D5954" t="str">
        <f>IFERROR(__xludf.DUMMYFUNCTION("""COMPUTED_VALUE"""),"virosa")</f>
        <v>virosa</v>
      </c>
      <c r="E5954" t="str">
        <f>IFERROR(__xludf.DUMMYFUNCTION("""COMPUTED_VALUE"""),"DSM")</f>
        <v>DSM</v>
      </c>
      <c r="F5954">
        <f>IFERROR(__xludf.DUMMYFUNCTION("""COMPUTED_VALUE"""),16922.0)</f>
        <v>16922</v>
      </c>
    </row>
    <row r="5955" ht="15.75" customHeight="1">
      <c r="A5955" t="str">
        <f t="shared" si="1"/>
        <v>W.ceti</v>
      </c>
      <c r="B5955" s="5" t="s">
        <v>33640</v>
      </c>
      <c r="C5955" s="6" t="str">
        <f>IFERROR(__xludf.DUMMYFUNCTION("SPLIT('2. c'!B5955, "" "", True, True)"),"Weissella")</f>
        <v>Weissella</v>
      </c>
      <c r="D5955" t="str">
        <f>IFERROR(__xludf.DUMMYFUNCTION("""COMPUTED_VALUE"""),"ceti")</f>
        <v>ceti</v>
      </c>
      <c r="E5955" t="str">
        <f>IFERROR(__xludf.DUMMYFUNCTION("""COMPUTED_VALUE"""),"strain")</f>
        <v>strain</v>
      </c>
      <c r="F5955" t="str">
        <f>IFERROR(__xludf.DUMMYFUNCTION("""COMPUTED_VALUE"""),"WS08")</f>
        <v>WS08</v>
      </c>
    </row>
    <row r="5956" ht="15.75" customHeight="1">
      <c r="A5956" t="str">
        <f t="shared" si="1"/>
        <v>W.ceti</v>
      </c>
      <c r="B5956" s="5" t="s">
        <v>33641</v>
      </c>
      <c r="C5956" s="6" t="str">
        <f>IFERROR(__xludf.DUMMYFUNCTION("SPLIT('2. c'!B5956, "" "", True, True)"),"Weissella")</f>
        <v>Weissella</v>
      </c>
      <c r="D5956" t="str">
        <f>IFERROR(__xludf.DUMMYFUNCTION("""COMPUTED_VALUE"""),"ceti")</f>
        <v>ceti</v>
      </c>
      <c r="E5956" t="str">
        <f>IFERROR(__xludf.DUMMYFUNCTION("""COMPUTED_VALUE"""),"strain")</f>
        <v>strain</v>
      </c>
      <c r="F5956" t="str">
        <f>IFERROR(__xludf.DUMMYFUNCTION("""COMPUTED_VALUE"""),"WS105")</f>
        <v>WS105</v>
      </c>
    </row>
    <row r="5957" ht="15.75" customHeight="1">
      <c r="A5957" t="str">
        <f t="shared" si="1"/>
        <v>W.ceti</v>
      </c>
      <c r="B5957" s="5" t="s">
        <v>33642</v>
      </c>
      <c r="C5957" s="6" t="str">
        <f>IFERROR(__xludf.DUMMYFUNCTION("SPLIT('2. c'!B5957, "" "", True, True)"),"Weissella")</f>
        <v>Weissella</v>
      </c>
      <c r="D5957" t="str">
        <f>IFERROR(__xludf.DUMMYFUNCTION("""COMPUTED_VALUE"""),"ceti")</f>
        <v>ceti</v>
      </c>
      <c r="E5957" t="str">
        <f>IFERROR(__xludf.DUMMYFUNCTION("""COMPUTED_VALUE"""),"strain")</f>
        <v>strain</v>
      </c>
      <c r="F5957" t="str">
        <f>IFERROR(__xludf.DUMMYFUNCTION("""COMPUTED_VALUE"""),"WS74")</f>
        <v>WS74</v>
      </c>
    </row>
    <row r="5958" ht="15.75" customHeight="1">
      <c r="A5958" t="str">
        <f t="shared" si="1"/>
        <v>W.cibaria</v>
      </c>
      <c r="B5958" s="5" t="s">
        <v>33643</v>
      </c>
      <c r="C5958" s="6" t="str">
        <f>IFERROR(__xludf.DUMMYFUNCTION("SPLIT('2. c'!B5958, "" "", True, True)"),"Weissella")</f>
        <v>Weissella</v>
      </c>
      <c r="D5958" t="str">
        <f>IFERROR(__xludf.DUMMYFUNCTION("""COMPUTED_VALUE"""),"cibaria")</f>
        <v>cibaria</v>
      </c>
      <c r="E5958" t="str">
        <f>IFERROR(__xludf.DUMMYFUNCTION("""COMPUTED_VALUE"""),"strain")</f>
        <v>strain</v>
      </c>
      <c r="F5958" t="str">
        <f>IFERROR(__xludf.DUMMYFUNCTION("""COMPUTED_VALUE"""),"CH2")</f>
        <v>CH2</v>
      </c>
    </row>
    <row r="5959" ht="15.75" customHeight="1">
      <c r="A5959" t="str">
        <f t="shared" si="1"/>
        <v>W.koreensis</v>
      </c>
      <c r="B5959" s="5" t="s">
        <v>33644</v>
      </c>
      <c r="C5959" s="6" t="str">
        <f>IFERROR(__xludf.DUMMYFUNCTION("SPLIT('2. c'!B5959, "" "", True, True)"),"Weissella")</f>
        <v>Weissella</v>
      </c>
      <c r="D5959" t="str">
        <f>IFERROR(__xludf.DUMMYFUNCTION("""COMPUTED_VALUE"""),"koreensis")</f>
        <v>koreensis</v>
      </c>
      <c r="E5959" t="str">
        <f>IFERROR(__xludf.DUMMYFUNCTION("""COMPUTED_VALUE"""),"KACC")</f>
        <v>KACC</v>
      </c>
      <c r="F5959">
        <f>IFERROR(__xludf.DUMMYFUNCTION("""COMPUTED_VALUE"""),15510.0)</f>
        <v>15510</v>
      </c>
    </row>
    <row r="5960" ht="15.75" customHeight="1">
      <c r="A5960" t="str">
        <f t="shared" si="1"/>
        <v>W.marina</v>
      </c>
      <c r="B5960" s="5" t="s">
        <v>33645</v>
      </c>
      <c r="C5960" s="6" t="str">
        <f>IFERROR(__xludf.DUMMYFUNCTION("SPLIT('2. c'!B5960, "" "", True, True)"),"Wenzhouxiangella")</f>
        <v>Wenzhouxiangella</v>
      </c>
      <c r="D5960" t="str">
        <f>IFERROR(__xludf.DUMMYFUNCTION("""COMPUTED_VALUE"""),"marina")</f>
        <v>marina</v>
      </c>
      <c r="E5960" t="str">
        <f>IFERROR(__xludf.DUMMYFUNCTION("""COMPUTED_VALUE"""),"strain")</f>
        <v>strain</v>
      </c>
      <c r="F5960" t="str">
        <f>IFERROR(__xludf.DUMMYFUNCTION("""COMPUTED_VALUE"""),"KCTC")</f>
        <v>KCTC</v>
      </c>
      <c r="G5960">
        <f>IFERROR(__xludf.DUMMYFUNCTION("""COMPUTED_VALUE"""),42284.0)</f>
        <v>42284</v>
      </c>
    </row>
    <row r="5961" ht="15.75" customHeight="1">
      <c r="A5961" t="str">
        <f t="shared" si="1"/>
        <v>W.glossinidia</v>
      </c>
      <c r="B5961" s="5" t="s">
        <v>33646</v>
      </c>
      <c r="C5961" s="6" t="str">
        <f>IFERROR(__xludf.DUMMYFUNCTION("SPLIT('2. c'!B5961, "" "", True, True)"),"Wigglesworthia")</f>
        <v>Wigglesworthia</v>
      </c>
      <c r="D5961" t="str">
        <f>IFERROR(__xludf.DUMMYFUNCTION("""COMPUTED_VALUE"""),"glossinidia")</f>
        <v>glossinidia</v>
      </c>
      <c r="E5961" t="str">
        <f>IFERROR(__xludf.DUMMYFUNCTION("""COMPUTED_VALUE"""),"endosymbiont")</f>
        <v>endosymbiont</v>
      </c>
      <c r="F5961" t="str">
        <f>IFERROR(__xludf.DUMMYFUNCTION("""COMPUTED_VALUE"""),"of")</f>
        <v>of</v>
      </c>
      <c r="G5961" t="str">
        <f>IFERROR(__xludf.DUMMYFUNCTION("""COMPUTED_VALUE"""),"Glossina")</f>
        <v>Glossina</v>
      </c>
      <c r="H5961" t="str">
        <f>IFERROR(__xludf.DUMMYFUNCTION("""COMPUTED_VALUE"""),"brevipalpis")</f>
        <v>brevipalpis</v>
      </c>
    </row>
    <row r="5962" ht="15.75" customHeight="1">
      <c r="A5962" t="str">
        <f t="shared" si="1"/>
        <v>W.glossinidia</v>
      </c>
      <c r="B5962" s="5" t="s">
        <v>33647</v>
      </c>
      <c r="C5962" s="6" t="str">
        <f>IFERROR(__xludf.DUMMYFUNCTION("SPLIT('2. c'!B5962, "" "", True, True)"),"Wigglesworthia")</f>
        <v>Wigglesworthia</v>
      </c>
      <c r="D5962" t="str">
        <f>IFERROR(__xludf.DUMMYFUNCTION("""COMPUTED_VALUE"""),"glossinidia")</f>
        <v>glossinidia</v>
      </c>
      <c r="E5962" t="str">
        <f>IFERROR(__xludf.DUMMYFUNCTION("""COMPUTED_VALUE"""),"endosymbiont")</f>
        <v>endosymbiont</v>
      </c>
      <c r="F5962" t="str">
        <f>IFERROR(__xludf.DUMMYFUNCTION("""COMPUTED_VALUE"""),"of")</f>
        <v>of</v>
      </c>
      <c r="G5962" t="str">
        <f>IFERROR(__xludf.DUMMYFUNCTION("""COMPUTED_VALUE"""),"Glossina")</f>
        <v>Glossina</v>
      </c>
      <c r="H5962" t="str">
        <f>IFERROR(__xludf.DUMMYFUNCTION("""COMPUTED_VALUE"""),"morsitans")</f>
        <v>morsitans</v>
      </c>
    </row>
    <row r="5963" ht="15.75" customHeight="1">
      <c r="A5963" t="str">
        <f t="shared" si="1"/>
        <v>W.sp.</v>
      </c>
      <c r="B5963" s="5" t="s">
        <v>33648</v>
      </c>
      <c r="C5963" s="6" t="str">
        <f>IFERROR(__xludf.DUMMYFUNCTION("SPLIT('2. c'!B5963, "" "", True, True)"),"Winogradskyella")</f>
        <v>Winogradskyella</v>
      </c>
      <c r="D5963" t="str">
        <f>IFERROR(__xludf.DUMMYFUNCTION("""COMPUTED_VALUE"""),"sp.")</f>
        <v>sp.</v>
      </c>
      <c r="E5963" t="str">
        <f>IFERROR(__xludf.DUMMYFUNCTION("""COMPUTED_VALUE"""),"PG-2")</f>
        <v>PG-2</v>
      </c>
    </row>
    <row r="5964" ht="15.75" customHeight="1">
      <c r="A5964" t="str">
        <f t="shared" si="1"/>
        <v>W.endosymbiont</v>
      </c>
      <c r="B5964" s="5" t="s">
        <v>33649</v>
      </c>
      <c r="C5964" s="6" t="str">
        <f>IFERROR(__xludf.DUMMYFUNCTION("SPLIT('2. c'!B5964, "" "", True, True)"),"Wolbachia")</f>
        <v>Wolbachia</v>
      </c>
      <c r="D5964" t="str">
        <f>IFERROR(__xludf.DUMMYFUNCTION("""COMPUTED_VALUE"""),"endosymbiont")</f>
        <v>endosymbiont</v>
      </c>
      <c r="E5964" t="str">
        <f>IFERROR(__xludf.DUMMYFUNCTION("""COMPUTED_VALUE"""),"of")</f>
        <v>of</v>
      </c>
      <c r="F5964" t="str">
        <f>IFERROR(__xludf.DUMMYFUNCTION("""COMPUTED_VALUE"""),"Cimex")</f>
        <v>Cimex</v>
      </c>
      <c r="G5964" t="str">
        <f>IFERROR(__xludf.DUMMYFUNCTION("""COMPUTED_VALUE"""),"lectularius")</f>
        <v>lectularius</v>
      </c>
      <c r="H5964" t="str">
        <f>IFERROR(__xludf.DUMMYFUNCTION("""COMPUTED_VALUE"""),"wCle")</f>
        <v>wCle</v>
      </c>
    </row>
    <row r="5965" ht="15.75" customHeight="1">
      <c r="A5965" t="str">
        <f t="shared" si="1"/>
        <v>W.endosymbiont</v>
      </c>
      <c r="B5965" s="5" t="s">
        <v>33650</v>
      </c>
      <c r="C5965" s="6" t="str">
        <f>IFERROR(__xludf.DUMMYFUNCTION("SPLIT('2. c'!B5965, "" "", True, True)"),"Wolbachia")</f>
        <v>Wolbachia</v>
      </c>
      <c r="D5965" t="str">
        <f>IFERROR(__xludf.DUMMYFUNCTION("""COMPUTED_VALUE"""),"endosymbiont")</f>
        <v>endosymbiont</v>
      </c>
      <c r="E5965" t="str">
        <f>IFERROR(__xludf.DUMMYFUNCTION("""COMPUTED_VALUE"""),"of")</f>
        <v>of</v>
      </c>
      <c r="F5965" t="str">
        <f>IFERROR(__xludf.DUMMYFUNCTION("""COMPUTED_VALUE"""),"Culex")</f>
        <v>Culex</v>
      </c>
      <c r="G5965" t="str">
        <f>IFERROR(__xludf.DUMMYFUNCTION("""COMPUTED_VALUE"""),"quinquefasciatus")</f>
        <v>quinquefasciatus</v>
      </c>
      <c r="H5965" t="str">
        <f>IFERROR(__xludf.DUMMYFUNCTION("""COMPUTED_VALUE"""),"Pel")</f>
        <v>Pel</v>
      </c>
    </row>
    <row r="5966" ht="15.75" customHeight="1">
      <c r="A5966" t="str">
        <f t="shared" si="1"/>
        <v>W.endosymbiont</v>
      </c>
      <c r="B5966" s="5" t="s">
        <v>33651</v>
      </c>
      <c r="C5966" s="6" t="str">
        <f>IFERROR(__xludf.DUMMYFUNCTION("SPLIT('2. c'!B5966, "" "", True, True)"),"Wolbachia")</f>
        <v>Wolbachia</v>
      </c>
      <c r="D5966" t="str">
        <f>IFERROR(__xludf.DUMMYFUNCTION("""COMPUTED_VALUE"""),"endosymbiont")</f>
        <v>endosymbiont</v>
      </c>
      <c r="E5966" t="str">
        <f>IFERROR(__xludf.DUMMYFUNCTION("""COMPUTED_VALUE"""),"of")</f>
        <v>of</v>
      </c>
      <c r="F5966" t="str">
        <f>IFERROR(__xludf.DUMMYFUNCTION("""COMPUTED_VALUE"""),"Drosophila")</f>
        <v>Drosophila</v>
      </c>
      <c r="G5966" t="str">
        <f>IFERROR(__xludf.DUMMYFUNCTION("""COMPUTED_VALUE"""),"melanogaster")</f>
        <v>melanogaster</v>
      </c>
    </row>
    <row r="5967" ht="15.75" customHeight="1">
      <c r="A5967" t="str">
        <f t="shared" si="1"/>
        <v>W.endosymbiont</v>
      </c>
      <c r="B5967" s="5" t="s">
        <v>33652</v>
      </c>
      <c r="C5967" s="6" t="str">
        <f>IFERROR(__xludf.DUMMYFUNCTION("SPLIT('2. c'!B5967, "" "", True, True)"),"Wolbachia")</f>
        <v>Wolbachia</v>
      </c>
      <c r="D5967" t="str">
        <f>IFERROR(__xludf.DUMMYFUNCTION("""COMPUTED_VALUE"""),"endosymbiont")</f>
        <v>endosymbiont</v>
      </c>
      <c r="E5967" t="str">
        <f>IFERROR(__xludf.DUMMYFUNCTION("""COMPUTED_VALUE"""),"of")</f>
        <v>of</v>
      </c>
      <c r="F5967" t="str">
        <f>IFERROR(__xludf.DUMMYFUNCTION("""COMPUTED_VALUE"""),"Drosophila")</f>
        <v>Drosophila</v>
      </c>
      <c r="G5967" t="str">
        <f>IFERROR(__xludf.DUMMYFUNCTION("""COMPUTED_VALUE"""),"simulans")</f>
        <v>simulans</v>
      </c>
      <c r="H5967" t="str">
        <f>IFERROR(__xludf.DUMMYFUNCTION("""COMPUTED_VALUE"""),"wHa")</f>
        <v>wHa</v>
      </c>
    </row>
    <row r="5968" ht="15.75" customHeight="1">
      <c r="A5968" t="str">
        <f t="shared" si="1"/>
        <v>W.endosymbiont</v>
      </c>
      <c r="B5968" s="5" t="s">
        <v>33653</v>
      </c>
      <c r="C5968" s="6" t="str">
        <f>IFERROR(__xludf.DUMMYFUNCTION("SPLIT('2. c'!B5968, "" "", True, True)"),"Wolbachia")</f>
        <v>Wolbachia</v>
      </c>
      <c r="D5968" t="str">
        <f>IFERROR(__xludf.DUMMYFUNCTION("""COMPUTED_VALUE"""),"endosymbiont")</f>
        <v>endosymbiont</v>
      </c>
      <c r="E5968" t="str">
        <f>IFERROR(__xludf.DUMMYFUNCTION("""COMPUTED_VALUE"""),"of")</f>
        <v>of</v>
      </c>
      <c r="F5968" t="str">
        <f>IFERROR(__xludf.DUMMYFUNCTION("""COMPUTED_VALUE"""),"Drosophila")</f>
        <v>Drosophila</v>
      </c>
      <c r="G5968" t="str">
        <f>IFERROR(__xludf.DUMMYFUNCTION("""COMPUTED_VALUE"""),"simulans")</f>
        <v>simulans</v>
      </c>
      <c r="H5968" t="str">
        <f>IFERROR(__xludf.DUMMYFUNCTION("""COMPUTED_VALUE"""),"wNo")</f>
        <v>wNo</v>
      </c>
    </row>
    <row r="5969" ht="15.75" customHeight="1">
      <c r="A5969" t="str">
        <f t="shared" si="1"/>
        <v>W.endosymbiont</v>
      </c>
      <c r="B5969" s="5" t="s">
        <v>33654</v>
      </c>
      <c r="C5969" s="6" t="str">
        <f>IFERROR(__xludf.DUMMYFUNCTION("SPLIT('2. c'!B5969, "" "", True, True)"),"Wolbachia")</f>
        <v>Wolbachia</v>
      </c>
      <c r="D5969" t="str">
        <f>IFERROR(__xludf.DUMMYFUNCTION("""COMPUTED_VALUE"""),"endosymbiont")</f>
        <v>endosymbiont</v>
      </c>
      <c r="E5969" t="str">
        <f>IFERROR(__xludf.DUMMYFUNCTION("""COMPUTED_VALUE"""),"of")</f>
        <v>of</v>
      </c>
      <c r="F5969" t="str">
        <f>IFERROR(__xludf.DUMMYFUNCTION("""COMPUTED_VALUE"""),"Onchocerca")</f>
        <v>Onchocerca</v>
      </c>
      <c r="G5969" t="str">
        <f>IFERROR(__xludf.DUMMYFUNCTION("""COMPUTED_VALUE"""),"ochengi")</f>
        <v>ochengi</v>
      </c>
    </row>
    <row r="5970" ht="15.75" customHeight="1">
      <c r="A5970" t="str">
        <f t="shared" si="1"/>
        <v>W.endosymbiont</v>
      </c>
      <c r="B5970" s="5" t="s">
        <v>33655</v>
      </c>
      <c r="C5970" s="6" t="str">
        <f>IFERROR(__xludf.DUMMYFUNCTION("SPLIT('2. c'!B5970, "" "", True, True)"),"Wolbachia")</f>
        <v>Wolbachia</v>
      </c>
      <c r="D5970" t="str">
        <f>IFERROR(__xludf.DUMMYFUNCTION("""COMPUTED_VALUE"""),"endosymbiont")</f>
        <v>endosymbiont</v>
      </c>
      <c r="E5970" t="str">
        <f>IFERROR(__xludf.DUMMYFUNCTION("""COMPUTED_VALUE"""),"of")</f>
        <v>of</v>
      </c>
      <c r="F5970" t="str">
        <f>IFERROR(__xludf.DUMMYFUNCTION("""COMPUTED_VALUE"""),"Onchocerca")</f>
        <v>Onchocerca</v>
      </c>
      <c r="G5970" t="str">
        <f>IFERROR(__xludf.DUMMYFUNCTION("""COMPUTED_VALUE"""),"volvulus")</f>
        <v>volvulus</v>
      </c>
      <c r="H5970" t="str">
        <f>IFERROR(__xludf.DUMMYFUNCTION("""COMPUTED_VALUE"""),"str.")</f>
        <v>str.</v>
      </c>
      <c r="I5970" t="str">
        <f>IFERROR(__xludf.DUMMYFUNCTION("""COMPUTED_VALUE"""),"Cameroon")</f>
        <v>Cameroon</v>
      </c>
    </row>
    <row r="5971" ht="15.75" customHeight="1">
      <c r="A5971" t="str">
        <f t="shared" si="1"/>
        <v>W.endosymbiont</v>
      </c>
      <c r="B5971" s="5" t="s">
        <v>33656</v>
      </c>
      <c r="C5971" s="6" t="str">
        <f>IFERROR(__xludf.DUMMYFUNCTION("SPLIT('2. c'!B5971, "" "", True, True)"),"Wolbachia")</f>
        <v>Wolbachia</v>
      </c>
      <c r="D5971" t="str">
        <f>IFERROR(__xludf.DUMMYFUNCTION("""COMPUTED_VALUE"""),"endosymbiont")</f>
        <v>endosymbiont</v>
      </c>
      <c r="E5971" t="str">
        <f>IFERROR(__xludf.DUMMYFUNCTION("""COMPUTED_VALUE"""),"of")</f>
        <v>of</v>
      </c>
      <c r="F5971" t="str">
        <f>IFERROR(__xludf.DUMMYFUNCTION("""COMPUTED_VALUE"""),"Trichogramma")</f>
        <v>Trichogramma</v>
      </c>
      <c r="G5971" t="str">
        <f>IFERROR(__xludf.DUMMYFUNCTION("""COMPUTED_VALUE"""),"pretiosum")</f>
        <v>pretiosum</v>
      </c>
    </row>
    <row r="5972" ht="15.75" customHeight="1">
      <c r="A5972" t="str">
        <f t="shared" si="1"/>
        <v>W.endosymbiont</v>
      </c>
      <c r="B5972" s="5" t="s">
        <v>33657</v>
      </c>
      <c r="C5972" s="6" t="str">
        <f>IFERROR(__xludf.DUMMYFUNCTION("SPLIT('2. c'!B5972, "" "", True, True)"),"Wolbachia")</f>
        <v>Wolbachia</v>
      </c>
      <c r="D5972" t="str">
        <f>IFERROR(__xludf.DUMMYFUNCTION("""COMPUTED_VALUE"""),"endosymbiont")</f>
        <v>endosymbiont</v>
      </c>
      <c r="E5972" t="str">
        <f>IFERROR(__xludf.DUMMYFUNCTION("""COMPUTED_VALUE"""),"strain")</f>
        <v>strain</v>
      </c>
      <c r="F5972" t="str">
        <f>IFERROR(__xludf.DUMMYFUNCTION("""COMPUTED_VALUE"""),"TRS")</f>
        <v>TRS</v>
      </c>
      <c r="G5972" t="str">
        <f>IFERROR(__xludf.DUMMYFUNCTION("""COMPUTED_VALUE"""),"of")</f>
        <v>of</v>
      </c>
      <c r="H5972" t="str">
        <f>IFERROR(__xludf.DUMMYFUNCTION("""COMPUTED_VALUE"""),"Brugia")</f>
        <v>Brugia</v>
      </c>
      <c r="I5972" t="str">
        <f>IFERROR(__xludf.DUMMYFUNCTION("""COMPUTED_VALUE"""),"malayi")</f>
        <v>malayi</v>
      </c>
    </row>
    <row r="5973" ht="15.75" customHeight="1">
      <c r="A5973" t="str">
        <f t="shared" si="1"/>
        <v>W.endosymbiont</v>
      </c>
      <c r="B5973" s="5" t="s">
        <v>33658</v>
      </c>
      <c r="C5973" s="6" t="str">
        <f>IFERROR(__xludf.DUMMYFUNCTION("SPLIT('2. c'!B5973, "" "", True, True)"),"Wolbachia")</f>
        <v>Wolbachia</v>
      </c>
      <c r="D5973" t="str">
        <f>IFERROR(__xludf.DUMMYFUNCTION("""COMPUTED_VALUE"""),"endosymbiont")</f>
        <v>endosymbiont</v>
      </c>
      <c r="E5973" t="str">
        <f>IFERROR(__xludf.DUMMYFUNCTION("""COMPUTED_VALUE"""),"wPip_Mol")</f>
        <v>wPip_Mol</v>
      </c>
      <c r="F5973" t="str">
        <f>IFERROR(__xludf.DUMMYFUNCTION("""COMPUTED_VALUE"""),"of")</f>
        <v>of</v>
      </c>
      <c r="G5973" t="str">
        <f>IFERROR(__xludf.DUMMYFUNCTION("""COMPUTED_VALUE"""),"Culex")</f>
        <v>Culex</v>
      </c>
      <c r="H5973" t="str">
        <f>IFERROR(__xludf.DUMMYFUNCTION("""COMPUTED_VALUE"""),"molestus")</f>
        <v>molestus</v>
      </c>
    </row>
    <row r="5974" ht="15.75" customHeight="1">
      <c r="A5974" t="str">
        <f t="shared" si="1"/>
        <v>W.sp.</v>
      </c>
      <c r="B5974" s="5" t="s">
        <v>33659</v>
      </c>
      <c r="C5974" s="6" t="str">
        <f>IFERROR(__xludf.DUMMYFUNCTION("SPLIT('2. c'!B5974, "" "", True, True)"),"Wolbachia")</f>
        <v>Wolbachia</v>
      </c>
      <c r="D5974" t="str">
        <f>IFERROR(__xludf.DUMMYFUNCTION("""COMPUTED_VALUE"""),"sp.")</f>
        <v>sp.</v>
      </c>
      <c r="E5974" t="str">
        <f>IFERROR(__xludf.DUMMYFUNCTION("""COMPUTED_VALUE"""),"wRi")</f>
        <v>wRi</v>
      </c>
    </row>
    <row r="5975" ht="15.75" customHeight="1">
      <c r="A5975" t="str">
        <f t="shared" si="1"/>
        <v>W.strain</v>
      </c>
      <c r="B5975" s="5" t="s">
        <v>33660</v>
      </c>
      <c r="C5975" s="6" t="str">
        <f>IFERROR(__xludf.DUMMYFUNCTION("SPLIT('2. c'!B5975, "" "", True, True)"),"Wolbachia")</f>
        <v>Wolbachia</v>
      </c>
      <c r="D5975" t="str">
        <f>IFERROR(__xludf.DUMMYFUNCTION("""COMPUTED_VALUE"""),"strain")</f>
        <v>strain</v>
      </c>
      <c r="E5975" t="str">
        <f>IFERROR(__xludf.DUMMYFUNCTION("""COMPUTED_VALUE"""),"wAu")</f>
        <v>wAu</v>
      </c>
    </row>
    <row r="5976" ht="15.75" customHeight="1">
      <c r="A5976" t="str">
        <f t="shared" si="1"/>
        <v>W.succinogenes</v>
      </c>
      <c r="B5976" s="5" t="s">
        <v>33661</v>
      </c>
      <c r="C5976" s="6" t="str">
        <f>IFERROR(__xludf.DUMMYFUNCTION("SPLIT('2. c'!B5976, "" "", True, True)"),"Wolinella")</f>
        <v>Wolinella</v>
      </c>
      <c r="D5976" t="str">
        <f>IFERROR(__xludf.DUMMYFUNCTION("""COMPUTED_VALUE"""),"succinogenes")</f>
        <v>succinogenes</v>
      </c>
      <c r="E5976" t="str">
        <f>IFERROR(__xludf.DUMMYFUNCTION("""COMPUTED_VALUE"""),"DSM")</f>
        <v>DSM</v>
      </c>
      <c r="F5976">
        <f>IFERROR(__xludf.DUMMYFUNCTION("""COMPUTED_VALUE"""),1740.0)</f>
        <v>1740</v>
      </c>
    </row>
    <row r="5977" ht="15.75" customHeight="1">
      <c r="A5977" t="str">
        <f t="shared" si="1"/>
        <v>X.autotrophicus</v>
      </c>
      <c r="B5977" s="5" t="s">
        <v>33662</v>
      </c>
      <c r="C5977" s="6" t="str">
        <f>IFERROR(__xludf.DUMMYFUNCTION("SPLIT('2. c'!B5977, "" "", True, True)"),"Xanthobacter")</f>
        <v>Xanthobacter</v>
      </c>
      <c r="D5977" t="str">
        <f>IFERROR(__xludf.DUMMYFUNCTION("""COMPUTED_VALUE"""),"autotrophicus")</f>
        <v>autotrophicus</v>
      </c>
      <c r="E5977" t="str">
        <f>IFERROR(__xludf.DUMMYFUNCTION("""COMPUTED_VALUE"""),"Py2")</f>
        <v>Py2</v>
      </c>
    </row>
    <row r="5978" ht="15.75" customHeight="1">
      <c r="A5978" t="str">
        <f t="shared" si="1"/>
        <v>X.albilineans</v>
      </c>
      <c r="B5978" s="5" t="s">
        <v>33663</v>
      </c>
      <c r="C5978" s="6" t="str">
        <f>IFERROR(__xludf.DUMMYFUNCTION("SPLIT('2. c'!B5978, "" "", True, True)"),"Xanthomonas")</f>
        <v>Xanthomonas</v>
      </c>
      <c r="D5978" t="str">
        <f>IFERROR(__xludf.DUMMYFUNCTION("""COMPUTED_VALUE"""),"albilineans")</f>
        <v>albilineans</v>
      </c>
      <c r="E5978" t="str">
        <f>IFERROR(__xludf.DUMMYFUNCTION("""COMPUTED_VALUE"""),"strain")</f>
        <v>strain</v>
      </c>
      <c r="F5978" t="str">
        <f>IFERROR(__xludf.DUMMYFUNCTION("""COMPUTED_VALUE"""),"FIJ080")</f>
        <v>FIJ080</v>
      </c>
    </row>
    <row r="5979" ht="15.75" customHeight="1">
      <c r="A5979" t="str">
        <f t="shared" si="1"/>
        <v>X.albilineans</v>
      </c>
      <c r="B5979" s="5" t="s">
        <v>33664</v>
      </c>
      <c r="C5979" s="6" t="str">
        <f>IFERROR(__xludf.DUMMYFUNCTION("SPLIT('2. c'!B5979, "" "", True, True)"),"Xanthomonas")</f>
        <v>Xanthomonas</v>
      </c>
      <c r="D5979" t="str">
        <f>IFERROR(__xludf.DUMMYFUNCTION("""COMPUTED_VALUE"""),"albilineans")</f>
        <v>albilineans</v>
      </c>
      <c r="E5979" t="str">
        <f>IFERROR(__xludf.DUMMYFUNCTION("""COMPUTED_VALUE"""),"strain")</f>
        <v>strain</v>
      </c>
      <c r="F5979" t="str">
        <f>IFERROR(__xludf.DUMMYFUNCTION("""COMPUTED_VALUE"""),"GPE")</f>
        <v>GPE</v>
      </c>
      <c r="G5979" t="str">
        <f>IFERROR(__xludf.DUMMYFUNCTION("""COMPUTED_VALUE"""),"PC73")</f>
        <v>PC73</v>
      </c>
    </row>
    <row r="5980" ht="15.75" customHeight="1">
      <c r="A5980" t="str">
        <f t="shared" si="1"/>
        <v>X.albilineans</v>
      </c>
      <c r="B5980" s="5" t="s">
        <v>33665</v>
      </c>
      <c r="C5980" s="6" t="str">
        <f>IFERROR(__xludf.DUMMYFUNCTION("SPLIT('2. c'!B5980, "" "", True, True)"),"Xanthomonas")</f>
        <v>Xanthomonas</v>
      </c>
      <c r="D5980" t="str">
        <f>IFERROR(__xludf.DUMMYFUNCTION("""COMPUTED_VALUE"""),"albilineans")</f>
        <v>albilineans</v>
      </c>
      <c r="E5980" t="str">
        <f>IFERROR(__xludf.DUMMYFUNCTION("""COMPUTED_VALUE"""),"strain")</f>
        <v>strain</v>
      </c>
      <c r="F5980" t="str">
        <f>IFERROR(__xludf.DUMMYFUNCTION("""COMPUTED_VALUE"""),"HVO082")</f>
        <v>HVO082</v>
      </c>
    </row>
    <row r="5981" ht="15.75" customHeight="1">
      <c r="A5981" t="str">
        <f t="shared" si="1"/>
        <v>X.arboricola</v>
      </c>
      <c r="B5981" s="5" t="s">
        <v>33666</v>
      </c>
      <c r="C5981" s="6" t="str">
        <f>IFERROR(__xludf.DUMMYFUNCTION("SPLIT('2. c'!B5981, "" "", True, True)"),"Xanthomonas")</f>
        <v>Xanthomonas</v>
      </c>
      <c r="D5981" t="str">
        <f>IFERROR(__xludf.DUMMYFUNCTION("""COMPUTED_VALUE"""),"arboricola")</f>
        <v>arboricola</v>
      </c>
      <c r="E5981" t="str">
        <f>IFERROR(__xludf.DUMMYFUNCTION("""COMPUTED_VALUE"""),"pv.")</f>
        <v>pv.</v>
      </c>
      <c r="F5981" t="str">
        <f>IFERROR(__xludf.DUMMYFUNCTION("""COMPUTED_VALUE"""),"juglandis")</f>
        <v>juglandis</v>
      </c>
      <c r="G5981" t="str">
        <f>IFERROR(__xludf.DUMMYFUNCTION("""COMPUTED_VALUE"""),"strain")</f>
        <v>strain</v>
      </c>
      <c r="H5981" t="str">
        <f>IFERROR(__xludf.DUMMYFUNCTION("""COMPUTED_VALUE"""),"Xaj")</f>
        <v>Xaj</v>
      </c>
      <c r="I5981">
        <f>IFERROR(__xludf.DUMMYFUNCTION("""COMPUTED_VALUE"""),417.0)</f>
        <v>417</v>
      </c>
    </row>
    <row r="5982" ht="15.75" customHeight="1">
      <c r="A5982" t="str">
        <f t="shared" si="1"/>
        <v>X.axonopodis</v>
      </c>
      <c r="B5982" s="5" t="s">
        <v>33667</v>
      </c>
      <c r="C5982" s="6" t="str">
        <f>IFERROR(__xludf.DUMMYFUNCTION("SPLIT('2. c'!B5982, "" "", True, True)"),"Xanthomonas")</f>
        <v>Xanthomonas</v>
      </c>
      <c r="D5982" t="str">
        <f>IFERROR(__xludf.DUMMYFUNCTION("""COMPUTED_VALUE"""),"axonopodis")</f>
        <v>axonopodis</v>
      </c>
      <c r="E5982" t="str">
        <f>IFERROR(__xludf.DUMMYFUNCTION("""COMPUTED_VALUE"""),"pv.")</f>
        <v>pv.</v>
      </c>
      <c r="F5982" t="str">
        <f>IFERROR(__xludf.DUMMYFUNCTION("""COMPUTED_VALUE"""),"allii")</f>
        <v>allii</v>
      </c>
      <c r="G5982" t="str">
        <f>IFERROR(__xludf.DUMMYFUNCTION("""COMPUTED_VALUE"""),"CFBP6369")</f>
        <v>CFBP6369</v>
      </c>
    </row>
    <row r="5983" ht="15.75" customHeight="1">
      <c r="A5983" t="str">
        <f t="shared" si="1"/>
        <v>X.axonopodis</v>
      </c>
      <c r="B5983" s="5" t="s">
        <v>33668</v>
      </c>
      <c r="C5983" s="6" t="str">
        <f>IFERROR(__xludf.DUMMYFUNCTION("SPLIT('2. c'!B5983, "" "", True, True)"),"Xanthomonas")</f>
        <v>Xanthomonas</v>
      </c>
      <c r="D5983" t="str">
        <f>IFERROR(__xludf.DUMMYFUNCTION("""COMPUTED_VALUE"""),"axonopodis")</f>
        <v>axonopodis</v>
      </c>
      <c r="E5983" t="str">
        <f>IFERROR(__xludf.DUMMYFUNCTION("""COMPUTED_VALUE"""),"pv.")</f>
        <v>pv.</v>
      </c>
      <c r="F5983" t="str">
        <f>IFERROR(__xludf.DUMMYFUNCTION("""COMPUTED_VALUE"""),"citri")</f>
        <v>citri</v>
      </c>
      <c r="G5983" t="str">
        <f>IFERROR(__xludf.DUMMYFUNCTION("""COMPUTED_VALUE"""),"str.")</f>
        <v>str.</v>
      </c>
      <c r="H5983">
        <f>IFERROR(__xludf.DUMMYFUNCTION("""COMPUTED_VALUE"""),306.0)</f>
        <v>306</v>
      </c>
    </row>
    <row r="5984" ht="15.75" customHeight="1">
      <c r="A5984" t="str">
        <f t="shared" si="1"/>
        <v>X.axonopodis</v>
      </c>
      <c r="B5984" s="5" t="s">
        <v>33669</v>
      </c>
      <c r="C5984" s="6" t="str">
        <f>IFERROR(__xludf.DUMMYFUNCTION("SPLIT('2. c'!B5984, "" "", True, True)"),"Xanthomonas")</f>
        <v>Xanthomonas</v>
      </c>
      <c r="D5984" t="str">
        <f>IFERROR(__xludf.DUMMYFUNCTION("""COMPUTED_VALUE"""),"axonopodis")</f>
        <v>axonopodis</v>
      </c>
      <c r="E5984" t="str">
        <f>IFERROR(__xludf.DUMMYFUNCTION("""COMPUTED_VALUE"""),"pv.")</f>
        <v>pv.</v>
      </c>
      <c r="F5984" t="str">
        <f>IFERROR(__xludf.DUMMYFUNCTION("""COMPUTED_VALUE"""),"citrumelo")</f>
        <v>citrumelo</v>
      </c>
      <c r="G5984" t="str">
        <f>IFERROR(__xludf.DUMMYFUNCTION("""COMPUTED_VALUE"""),"F1")</f>
        <v>F1</v>
      </c>
    </row>
    <row r="5985" ht="15.75" customHeight="1">
      <c r="A5985" t="str">
        <f t="shared" si="1"/>
        <v>X.axonopodis</v>
      </c>
      <c r="B5985" s="5" t="s">
        <v>33670</v>
      </c>
      <c r="C5985" s="6" t="str">
        <f>IFERROR(__xludf.DUMMYFUNCTION("SPLIT('2. c'!B5985, "" "", True, True)"),"Xanthomonas")</f>
        <v>Xanthomonas</v>
      </c>
      <c r="D5985" t="str">
        <f>IFERROR(__xludf.DUMMYFUNCTION("""COMPUTED_VALUE"""),"axonopodis")</f>
        <v>axonopodis</v>
      </c>
      <c r="E5985" t="str">
        <f>IFERROR(__xludf.DUMMYFUNCTION("""COMPUTED_VALUE"""),"pv.")</f>
        <v>pv.</v>
      </c>
      <c r="F5985" t="str">
        <f>IFERROR(__xludf.DUMMYFUNCTION("""COMPUTED_VALUE"""),"dieffenbachiae")</f>
        <v>dieffenbachiae</v>
      </c>
      <c r="G5985" t="str">
        <f>IFERROR(__xludf.DUMMYFUNCTION("""COMPUTED_VALUE"""),"LMG")</f>
        <v>LMG</v>
      </c>
      <c r="H5985">
        <f>IFERROR(__xludf.DUMMYFUNCTION("""COMPUTED_VALUE"""),695.0)</f>
        <v>695</v>
      </c>
    </row>
    <row r="5986" ht="15.75" customHeight="1">
      <c r="A5986" t="str">
        <f t="shared" si="1"/>
        <v>X.axonopodis</v>
      </c>
      <c r="B5986" s="5" t="s">
        <v>33671</v>
      </c>
      <c r="C5986" s="6" t="str">
        <f>IFERROR(__xludf.DUMMYFUNCTION("SPLIT('2. c'!B5986, "" "", True, True)"),"Xanthomonas")</f>
        <v>Xanthomonas</v>
      </c>
      <c r="D5986" t="str">
        <f>IFERROR(__xludf.DUMMYFUNCTION("""COMPUTED_VALUE"""),"axonopodis")</f>
        <v>axonopodis</v>
      </c>
      <c r="E5986" t="str">
        <f>IFERROR(__xludf.DUMMYFUNCTION("""COMPUTED_VALUE"""),"pv.")</f>
        <v>pv.</v>
      </c>
      <c r="F5986" t="str">
        <f>IFERROR(__xludf.DUMMYFUNCTION("""COMPUTED_VALUE"""),"glycines")</f>
        <v>glycines</v>
      </c>
      <c r="G5986" t="str">
        <f>IFERROR(__xludf.DUMMYFUNCTION("""COMPUTED_VALUE"""),"CFBP")</f>
        <v>CFBP</v>
      </c>
      <c r="H5986">
        <f>IFERROR(__xludf.DUMMYFUNCTION("""COMPUTED_VALUE"""),2526.0)</f>
        <v>2526</v>
      </c>
    </row>
    <row r="5987" ht="15.75" customHeight="1">
      <c r="A5987" t="str">
        <f t="shared" si="1"/>
        <v>X.axonopodis</v>
      </c>
      <c r="B5987" s="5" t="s">
        <v>33672</v>
      </c>
      <c r="C5987" s="6" t="str">
        <f>IFERROR(__xludf.DUMMYFUNCTION("SPLIT('2. c'!B5987, "" "", True, True)"),"Xanthomonas")</f>
        <v>Xanthomonas</v>
      </c>
      <c r="D5987" t="str">
        <f>IFERROR(__xludf.DUMMYFUNCTION("""COMPUTED_VALUE"""),"axonopodis")</f>
        <v>axonopodis</v>
      </c>
      <c r="E5987" t="str">
        <f>IFERROR(__xludf.DUMMYFUNCTION("""COMPUTED_VALUE"""),"pv.")</f>
        <v>pv.</v>
      </c>
      <c r="F5987" t="str">
        <f>IFERROR(__xludf.DUMMYFUNCTION("""COMPUTED_VALUE"""),"glycines")</f>
        <v>glycines</v>
      </c>
      <c r="G5987" t="str">
        <f>IFERROR(__xludf.DUMMYFUNCTION("""COMPUTED_VALUE"""),"CFBP")</f>
        <v>CFBP</v>
      </c>
      <c r="H5987">
        <f>IFERROR(__xludf.DUMMYFUNCTION("""COMPUTED_VALUE"""),7119.0)</f>
        <v>7119</v>
      </c>
    </row>
    <row r="5988" ht="15.75" customHeight="1">
      <c r="A5988" t="str">
        <f t="shared" si="1"/>
        <v>X.axonopodis</v>
      </c>
      <c r="B5988" s="5" t="s">
        <v>33673</v>
      </c>
      <c r="C5988" s="6" t="str">
        <f>IFERROR(__xludf.DUMMYFUNCTION("SPLIT('2. c'!B5988, "" "", True, True)"),"Xanthomonas")</f>
        <v>Xanthomonas</v>
      </c>
      <c r="D5988" t="str">
        <f>IFERROR(__xludf.DUMMYFUNCTION("""COMPUTED_VALUE"""),"axonopodis")</f>
        <v>axonopodis</v>
      </c>
      <c r="E5988" t="str">
        <f>IFERROR(__xludf.DUMMYFUNCTION("""COMPUTED_VALUE"""),"Xac29-1")</f>
        <v>Xac29-1</v>
      </c>
    </row>
    <row r="5989" ht="15.75" customHeight="1">
      <c r="A5989" t="str">
        <f t="shared" si="1"/>
        <v>X.campestris</v>
      </c>
      <c r="B5989" s="5" t="s">
        <v>33674</v>
      </c>
      <c r="C5989" s="6" t="str">
        <f>IFERROR(__xludf.DUMMYFUNCTION("SPLIT('2. c'!B5989, "" "", True, True)"),"Xanthomonas")</f>
        <v>Xanthomonas</v>
      </c>
      <c r="D5989" t="str">
        <f>IFERROR(__xludf.DUMMYFUNCTION("""COMPUTED_VALUE"""),"campestris")</f>
        <v>campestris</v>
      </c>
      <c r="E5989" t="str">
        <f>IFERROR(__xludf.DUMMYFUNCTION("""COMPUTED_VALUE"""),"pv.")</f>
        <v>pv.</v>
      </c>
      <c r="F5989" t="str">
        <f>IFERROR(__xludf.DUMMYFUNCTION("""COMPUTED_VALUE"""),"campestris")</f>
        <v>campestris</v>
      </c>
      <c r="G5989" t="str">
        <f>IFERROR(__xludf.DUMMYFUNCTION("""COMPUTED_VALUE"""),"str.")</f>
        <v>str.</v>
      </c>
      <c r="H5989">
        <f>IFERROR(__xludf.DUMMYFUNCTION("""COMPUTED_VALUE"""),8004.0)</f>
        <v>8004</v>
      </c>
    </row>
    <row r="5990" ht="15.75" customHeight="1">
      <c r="A5990" t="str">
        <f t="shared" si="1"/>
        <v>X.campestris</v>
      </c>
      <c r="B5990" s="5" t="s">
        <v>33675</v>
      </c>
      <c r="C5990" s="6" t="str">
        <f>IFERROR(__xludf.DUMMYFUNCTION("SPLIT('2. c'!B5990, "" "", True, True)"),"Xanthomonas")</f>
        <v>Xanthomonas</v>
      </c>
      <c r="D5990" t="str">
        <f>IFERROR(__xludf.DUMMYFUNCTION("""COMPUTED_VALUE"""),"campestris")</f>
        <v>campestris</v>
      </c>
      <c r="E5990" t="str">
        <f>IFERROR(__xludf.DUMMYFUNCTION("""COMPUTED_VALUE"""),"pv.")</f>
        <v>pv.</v>
      </c>
      <c r="F5990" t="str">
        <f>IFERROR(__xludf.DUMMYFUNCTION("""COMPUTED_VALUE"""),"campestris")</f>
        <v>campestris</v>
      </c>
      <c r="G5990" t="str">
        <f>IFERROR(__xludf.DUMMYFUNCTION("""COMPUTED_VALUE"""),"str.")</f>
        <v>str.</v>
      </c>
      <c r="H5990" t="str">
        <f>IFERROR(__xludf.DUMMYFUNCTION("""COMPUTED_VALUE"""),"ATCC")</f>
        <v>ATCC</v>
      </c>
      <c r="I5990">
        <f>IFERROR(__xludf.DUMMYFUNCTION("""COMPUTED_VALUE"""),33913.0)</f>
        <v>33913</v>
      </c>
    </row>
    <row r="5991" ht="15.75" customHeight="1">
      <c r="A5991" t="str">
        <f t="shared" si="1"/>
        <v>X.campestris</v>
      </c>
      <c r="B5991" s="5" t="s">
        <v>33676</v>
      </c>
      <c r="C5991" s="6" t="str">
        <f>IFERROR(__xludf.DUMMYFUNCTION("SPLIT('2. c'!B5991, "" "", True, True)"),"Xanthomonas")</f>
        <v>Xanthomonas</v>
      </c>
      <c r="D5991" t="str">
        <f>IFERROR(__xludf.DUMMYFUNCTION("""COMPUTED_VALUE"""),"campestris")</f>
        <v>campestris</v>
      </c>
      <c r="E5991" t="str">
        <f>IFERROR(__xludf.DUMMYFUNCTION("""COMPUTED_VALUE"""),"pv.")</f>
        <v>pv.</v>
      </c>
      <c r="F5991" t="str">
        <f>IFERROR(__xludf.DUMMYFUNCTION("""COMPUTED_VALUE"""),"campestris")</f>
        <v>campestris</v>
      </c>
      <c r="G5991" t="str">
        <f>IFERROR(__xludf.DUMMYFUNCTION("""COMPUTED_VALUE"""),"str.")</f>
        <v>str.</v>
      </c>
      <c r="H5991" t="str">
        <f>IFERROR(__xludf.DUMMYFUNCTION("""COMPUTED_VALUE"""),"B100")</f>
        <v>B100</v>
      </c>
    </row>
    <row r="5992" ht="15.75" customHeight="1">
      <c r="A5992" t="str">
        <f t="shared" si="1"/>
        <v>X.campestris</v>
      </c>
      <c r="B5992" s="5" t="s">
        <v>33677</v>
      </c>
      <c r="C5992" s="6" t="str">
        <f>IFERROR(__xludf.DUMMYFUNCTION("SPLIT('2. c'!B5992, "" "", True, True)"),"Xanthomonas")</f>
        <v>Xanthomonas</v>
      </c>
      <c r="D5992" t="str">
        <f>IFERROR(__xludf.DUMMYFUNCTION("""COMPUTED_VALUE"""),"campestris")</f>
        <v>campestris</v>
      </c>
      <c r="E5992" t="str">
        <f>IFERROR(__xludf.DUMMYFUNCTION("""COMPUTED_VALUE"""),"pv.")</f>
        <v>pv.</v>
      </c>
      <c r="F5992" t="str">
        <f>IFERROR(__xludf.DUMMYFUNCTION("""COMPUTED_VALUE"""),"campestris")</f>
        <v>campestris</v>
      </c>
      <c r="G5992" t="str">
        <f>IFERROR(__xludf.DUMMYFUNCTION("""COMPUTED_VALUE"""),"strain")</f>
        <v>strain</v>
      </c>
      <c r="H5992">
        <f>IFERROR(__xludf.DUMMYFUNCTION("""COMPUTED_VALUE"""),17.0)</f>
        <v>17</v>
      </c>
    </row>
    <row r="5993" ht="15.75" customHeight="1">
      <c r="A5993" t="str">
        <f t="shared" si="1"/>
        <v>X.campestris</v>
      </c>
      <c r="B5993" s="5" t="s">
        <v>33678</v>
      </c>
      <c r="C5993" s="6" t="str">
        <f>IFERROR(__xludf.DUMMYFUNCTION("SPLIT('2. c'!B5993, "" "", True, True)"),"Xanthomonas")</f>
        <v>Xanthomonas</v>
      </c>
      <c r="D5993" t="str">
        <f>IFERROR(__xludf.DUMMYFUNCTION("""COMPUTED_VALUE"""),"campestris")</f>
        <v>campestris</v>
      </c>
      <c r="E5993" t="str">
        <f>IFERROR(__xludf.DUMMYFUNCTION("""COMPUTED_VALUE"""),"pv.")</f>
        <v>pv.</v>
      </c>
      <c r="F5993" t="str">
        <f>IFERROR(__xludf.DUMMYFUNCTION("""COMPUTED_VALUE"""),"campestris")</f>
        <v>campestris</v>
      </c>
      <c r="G5993" t="str">
        <f>IFERROR(__xludf.DUMMYFUNCTION("""COMPUTED_VALUE"""),"strain")</f>
        <v>strain</v>
      </c>
      <c r="H5993" t="str">
        <f>IFERROR(__xludf.DUMMYFUNCTION("""COMPUTED_VALUE"""),"ICMP")</f>
        <v>ICMP</v>
      </c>
      <c r="I5993">
        <f>IFERROR(__xludf.DUMMYFUNCTION("""COMPUTED_VALUE"""),21080.0)</f>
        <v>21080</v>
      </c>
    </row>
    <row r="5994" ht="15.75" customHeight="1">
      <c r="A5994" t="str">
        <f t="shared" si="1"/>
        <v>X.campestris</v>
      </c>
      <c r="B5994" s="5" t="s">
        <v>33679</v>
      </c>
      <c r="C5994" s="6" t="str">
        <f>IFERROR(__xludf.DUMMYFUNCTION("SPLIT('2. c'!B5994, "" "", True, True)"),"Xanthomonas")</f>
        <v>Xanthomonas</v>
      </c>
      <c r="D5994" t="str">
        <f>IFERROR(__xludf.DUMMYFUNCTION("""COMPUTED_VALUE"""),"campestris")</f>
        <v>campestris</v>
      </c>
      <c r="E5994" t="str">
        <f>IFERROR(__xludf.DUMMYFUNCTION("""COMPUTED_VALUE"""),"pv.")</f>
        <v>pv.</v>
      </c>
      <c r="F5994" t="str">
        <f>IFERROR(__xludf.DUMMYFUNCTION("""COMPUTED_VALUE"""),"campestris")</f>
        <v>campestris</v>
      </c>
      <c r="G5994" t="str">
        <f>IFERROR(__xludf.DUMMYFUNCTION("""COMPUTED_VALUE"""),"strain")</f>
        <v>strain</v>
      </c>
      <c r="H5994" t="str">
        <f>IFERROR(__xludf.DUMMYFUNCTION("""COMPUTED_VALUE"""),"ICMP")</f>
        <v>ICMP</v>
      </c>
      <c r="I5994">
        <f>IFERROR(__xludf.DUMMYFUNCTION("""COMPUTED_VALUE"""),4013.0)</f>
        <v>4013</v>
      </c>
    </row>
    <row r="5995" ht="15.75" customHeight="1">
      <c r="A5995" t="str">
        <f t="shared" si="1"/>
        <v>X.campestris</v>
      </c>
      <c r="B5995" s="5" t="s">
        <v>33680</v>
      </c>
      <c r="C5995" s="6" t="str">
        <f>IFERROR(__xludf.DUMMYFUNCTION("SPLIT('2. c'!B5995, "" "", True, True)"),"Xanthomonas")</f>
        <v>Xanthomonas</v>
      </c>
      <c r="D5995" t="str">
        <f>IFERROR(__xludf.DUMMYFUNCTION("""COMPUTED_VALUE"""),"campestris")</f>
        <v>campestris</v>
      </c>
      <c r="E5995" t="str">
        <f>IFERROR(__xludf.DUMMYFUNCTION("""COMPUTED_VALUE"""),"pv.")</f>
        <v>pv.</v>
      </c>
      <c r="F5995" t="str">
        <f>IFERROR(__xludf.DUMMYFUNCTION("""COMPUTED_VALUE"""),"raphani")</f>
        <v>raphani</v>
      </c>
      <c r="G5995" t="str">
        <f>IFERROR(__xludf.DUMMYFUNCTION("""COMPUTED_VALUE"""),"756C")</f>
        <v>756C</v>
      </c>
    </row>
    <row r="5996" ht="15.75" customHeight="1">
      <c r="A5996" t="str">
        <f t="shared" si="1"/>
        <v>X.campestris</v>
      </c>
      <c r="B5996" s="5" t="s">
        <v>33681</v>
      </c>
      <c r="C5996" s="6" t="str">
        <f>IFERROR(__xludf.DUMMYFUNCTION("SPLIT('2. c'!B5996, "" "", True, True)"),"Xanthomonas")</f>
        <v>Xanthomonas</v>
      </c>
      <c r="D5996" t="str">
        <f>IFERROR(__xludf.DUMMYFUNCTION("""COMPUTED_VALUE"""),"campestris")</f>
        <v>campestris</v>
      </c>
      <c r="E5996" t="str">
        <f>IFERROR(__xludf.DUMMYFUNCTION("""COMPUTED_VALUE"""),"pv.")</f>
        <v>pv.</v>
      </c>
      <c r="F5996" t="str">
        <f>IFERROR(__xludf.DUMMYFUNCTION("""COMPUTED_VALUE"""),"vesicatoria")</f>
        <v>vesicatoria</v>
      </c>
      <c r="G5996" t="str">
        <f>IFERROR(__xludf.DUMMYFUNCTION("""COMPUTED_VALUE"""),"str.")</f>
        <v>str.</v>
      </c>
      <c r="H5996" t="str">
        <f>IFERROR(__xludf.DUMMYFUNCTION("""COMPUTED_VALUE"""),"85-10")</f>
        <v>85-10</v>
      </c>
    </row>
    <row r="5997" ht="15.75" customHeight="1">
      <c r="A5997" t="str">
        <f t="shared" si="1"/>
        <v>X.campestris</v>
      </c>
      <c r="B5997" s="5" t="s">
        <v>33682</v>
      </c>
      <c r="C5997" s="6" t="str">
        <f>IFERROR(__xludf.DUMMYFUNCTION("SPLIT('2. c'!B5997, "" "", True, True)"),"Xanthomonas")</f>
        <v>Xanthomonas</v>
      </c>
      <c r="D5997" t="str">
        <f>IFERROR(__xludf.DUMMYFUNCTION("""COMPUTED_VALUE"""),"campestris")</f>
        <v>campestris</v>
      </c>
      <c r="E5997" t="str">
        <f>IFERROR(__xludf.DUMMYFUNCTION("""COMPUTED_VALUE"""),"strain")</f>
        <v>strain</v>
      </c>
      <c r="F5997">
        <f>IFERROR(__xludf.DUMMYFUNCTION("""COMPUTED_VALUE"""),17.0)</f>
        <v>17</v>
      </c>
    </row>
    <row r="5998" ht="15.75" customHeight="1">
      <c r="A5998" t="str">
        <f t="shared" si="1"/>
        <v>X.cassavae</v>
      </c>
      <c r="B5998" s="5" t="s">
        <v>33683</v>
      </c>
      <c r="C5998" s="6" t="str">
        <f>IFERROR(__xludf.DUMMYFUNCTION("SPLIT('2. c'!B5998, "" "", True, True)"),"Xanthomonas")</f>
        <v>Xanthomonas</v>
      </c>
      <c r="D5998" t="str">
        <f>IFERROR(__xludf.DUMMYFUNCTION("""COMPUTED_VALUE"""),"cassavae")</f>
        <v>cassavae</v>
      </c>
      <c r="E5998" t="str">
        <f>IFERROR(__xludf.DUMMYFUNCTION("""COMPUTED_VALUE"""),"CFBP")</f>
        <v>CFBP</v>
      </c>
      <c r="F5998">
        <f>IFERROR(__xludf.DUMMYFUNCTION("""COMPUTED_VALUE"""),4642.0)</f>
        <v>4642</v>
      </c>
    </row>
    <row r="5999" ht="15.75" customHeight="1">
      <c r="A5999" t="str">
        <f t="shared" si="1"/>
        <v>X.citri</v>
      </c>
      <c r="B5999" s="5" t="s">
        <v>33684</v>
      </c>
      <c r="C5999" s="6" t="str">
        <f>IFERROR(__xludf.DUMMYFUNCTION("SPLIT('2. c'!B5999, "" "", True, True)"),"Xanthomonas")</f>
        <v>Xanthomonas</v>
      </c>
      <c r="D5999" t="str">
        <f>IFERROR(__xludf.DUMMYFUNCTION("""COMPUTED_VALUE"""),"citri")</f>
        <v>citri</v>
      </c>
      <c r="E5999" t="str">
        <f>IFERROR(__xludf.DUMMYFUNCTION("""COMPUTED_VALUE"""),"pv.")</f>
        <v>pv.</v>
      </c>
      <c r="F5999" t="str">
        <f>IFERROR(__xludf.DUMMYFUNCTION("""COMPUTED_VALUE"""),"citri")</f>
        <v>citri</v>
      </c>
    </row>
    <row r="6000" ht="15.75" customHeight="1">
      <c r="A6000" t="str">
        <f t="shared" si="1"/>
        <v>X.citri</v>
      </c>
      <c r="B6000" s="5" t="s">
        <v>33684</v>
      </c>
      <c r="C6000" s="6" t="str">
        <f>IFERROR(__xludf.DUMMYFUNCTION("SPLIT('2. c'!B6000, "" "", True, True)"),"Xanthomonas")</f>
        <v>Xanthomonas</v>
      </c>
      <c r="D6000" t="str">
        <f>IFERROR(__xludf.DUMMYFUNCTION("""COMPUTED_VALUE"""),"citri")</f>
        <v>citri</v>
      </c>
      <c r="E6000" t="str">
        <f>IFERROR(__xludf.DUMMYFUNCTION("""COMPUTED_VALUE"""),"pv.")</f>
        <v>pv.</v>
      </c>
      <c r="F6000" t="str">
        <f>IFERROR(__xludf.DUMMYFUNCTION("""COMPUTED_VALUE"""),"citri")</f>
        <v>citri</v>
      </c>
    </row>
    <row r="6001" ht="15.75" customHeight="1">
      <c r="A6001" t="str">
        <f t="shared" si="1"/>
        <v>X.citri</v>
      </c>
      <c r="B6001" s="5" t="s">
        <v>33685</v>
      </c>
      <c r="C6001" s="6" t="str">
        <f>IFERROR(__xludf.DUMMYFUNCTION("SPLIT('2. c'!B6001, "" "", True, True)"),"Xanthomonas")</f>
        <v>Xanthomonas</v>
      </c>
      <c r="D6001" t="str">
        <f>IFERROR(__xludf.DUMMYFUNCTION("""COMPUTED_VALUE"""),"citri")</f>
        <v>citri</v>
      </c>
      <c r="E6001" t="str">
        <f>IFERROR(__xludf.DUMMYFUNCTION("""COMPUTED_VALUE"""),"pv.")</f>
        <v>pv.</v>
      </c>
      <c r="F6001" t="str">
        <f>IFERROR(__xludf.DUMMYFUNCTION("""COMPUTED_VALUE"""),"citri")</f>
        <v>citri</v>
      </c>
      <c r="G6001" t="str">
        <f>IFERROR(__xludf.DUMMYFUNCTION("""COMPUTED_VALUE"""),"strain")</f>
        <v>strain</v>
      </c>
      <c r="H6001" t="str">
        <f>IFERROR(__xludf.DUMMYFUNCTION("""COMPUTED_VALUE"""),"jx-6")</f>
        <v>jx-6</v>
      </c>
    </row>
    <row r="6002" ht="15.75" customHeight="1">
      <c r="A6002" t="str">
        <f t="shared" si="1"/>
        <v>X.citri</v>
      </c>
      <c r="B6002" s="5" t="s">
        <v>33686</v>
      </c>
      <c r="C6002" s="6" t="str">
        <f>IFERROR(__xludf.DUMMYFUNCTION("SPLIT('2. c'!B6002, "" "", True, True)"),"Xanthomonas")</f>
        <v>Xanthomonas</v>
      </c>
      <c r="D6002" t="str">
        <f>IFERROR(__xludf.DUMMYFUNCTION("""COMPUTED_VALUE"""),"citri")</f>
        <v>citri</v>
      </c>
      <c r="E6002" t="str">
        <f>IFERROR(__xludf.DUMMYFUNCTION("""COMPUTED_VALUE"""),"pv.")</f>
        <v>pv.</v>
      </c>
      <c r="F6002" t="str">
        <f>IFERROR(__xludf.DUMMYFUNCTION("""COMPUTED_VALUE"""),"malvacearum")</f>
        <v>malvacearum</v>
      </c>
      <c r="G6002" t="str">
        <f>IFERROR(__xludf.DUMMYFUNCTION("""COMPUTED_VALUE"""),"X18")</f>
        <v>X18</v>
      </c>
    </row>
    <row r="6003" ht="15.75" customHeight="1">
      <c r="A6003" t="str">
        <f t="shared" si="1"/>
        <v>X.citri</v>
      </c>
      <c r="B6003" s="5" t="s">
        <v>33687</v>
      </c>
      <c r="C6003" s="6" t="str">
        <f>IFERROR(__xludf.DUMMYFUNCTION("SPLIT('2. c'!B6003, "" "", True, True)"),"Xanthomonas")</f>
        <v>Xanthomonas</v>
      </c>
      <c r="D6003" t="str">
        <f>IFERROR(__xludf.DUMMYFUNCTION("""COMPUTED_VALUE"""),"citri")</f>
        <v>citri</v>
      </c>
      <c r="E6003" t="str">
        <f>IFERROR(__xludf.DUMMYFUNCTION("""COMPUTED_VALUE"""),"pv.")</f>
        <v>pv.</v>
      </c>
      <c r="F6003" t="str">
        <f>IFERROR(__xludf.DUMMYFUNCTION("""COMPUTED_VALUE"""),"malvacearum")</f>
        <v>malvacearum</v>
      </c>
      <c r="G6003" t="str">
        <f>IFERROR(__xludf.DUMMYFUNCTION("""COMPUTED_VALUE"""),"X20")</f>
        <v>X20</v>
      </c>
    </row>
    <row r="6004" ht="15.75" customHeight="1">
      <c r="A6004" t="str">
        <f t="shared" si="1"/>
        <v>X.citri</v>
      </c>
      <c r="B6004" s="5" t="s">
        <v>33688</v>
      </c>
      <c r="C6004" s="6" t="str">
        <f>IFERROR(__xludf.DUMMYFUNCTION("SPLIT('2. c'!B6004, "" "", True, True)"),"Xanthomonas")</f>
        <v>Xanthomonas</v>
      </c>
      <c r="D6004" t="str">
        <f>IFERROR(__xludf.DUMMYFUNCTION("""COMPUTED_VALUE"""),"citri")</f>
        <v>citri</v>
      </c>
      <c r="E6004" t="str">
        <f>IFERROR(__xludf.DUMMYFUNCTION("""COMPUTED_VALUE"""),"subsp.")</f>
        <v>subsp.</v>
      </c>
      <c r="F6004" t="str">
        <f>IFERROR(__xludf.DUMMYFUNCTION("""COMPUTED_VALUE"""),"citri")</f>
        <v>citri</v>
      </c>
      <c r="G6004" t="str">
        <f>IFERROR(__xludf.DUMMYFUNCTION("""COMPUTED_VALUE"""),"A306")</f>
        <v>A306</v>
      </c>
    </row>
    <row r="6005" ht="15.75" customHeight="1">
      <c r="A6005" t="str">
        <f t="shared" si="1"/>
        <v>X.citri</v>
      </c>
      <c r="B6005" s="5" t="s">
        <v>33689</v>
      </c>
      <c r="C6005" s="6" t="str">
        <f>IFERROR(__xludf.DUMMYFUNCTION("SPLIT('2. c'!B6005, "" "", True, True)"),"Xanthomonas")</f>
        <v>Xanthomonas</v>
      </c>
      <c r="D6005" t="str">
        <f>IFERROR(__xludf.DUMMYFUNCTION("""COMPUTED_VALUE"""),"citri")</f>
        <v>citri</v>
      </c>
      <c r="E6005" t="str">
        <f>IFERROR(__xludf.DUMMYFUNCTION("""COMPUTED_VALUE"""),"subsp.")</f>
        <v>subsp.</v>
      </c>
      <c r="F6005" t="str">
        <f>IFERROR(__xludf.DUMMYFUNCTION("""COMPUTED_VALUE"""),"citri")</f>
        <v>citri</v>
      </c>
      <c r="G6005" t="str">
        <f>IFERROR(__xludf.DUMMYFUNCTION("""COMPUTED_VALUE"""),"Aw12879")</f>
        <v>Aw12879</v>
      </c>
    </row>
    <row r="6006" ht="15.75" customHeight="1">
      <c r="A6006" t="str">
        <f t="shared" si="1"/>
        <v>X.citri</v>
      </c>
      <c r="B6006" s="5" t="s">
        <v>33690</v>
      </c>
      <c r="C6006" s="6" t="str">
        <f>IFERROR(__xludf.DUMMYFUNCTION("SPLIT('2. c'!B6006, "" "", True, True)"),"Xanthomonas")</f>
        <v>Xanthomonas</v>
      </c>
      <c r="D6006" t="str">
        <f>IFERROR(__xludf.DUMMYFUNCTION("""COMPUTED_VALUE"""),"citri")</f>
        <v>citri</v>
      </c>
      <c r="E6006" t="str">
        <f>IFERROR(__xludf.DUMMYFUNCTION("""COMPUTED_VALUE"""),"subsp.")</f>
        <v>subsp.</v>
      </c>
      <c r="F6006" t="str">
        <f>IFERROR(__xludf.DUMMYFUNCTION("""COMPUTED_VALUE"""),"citri")</f>
        <v>citri</v>
      </c>
      <c r="G6006" t="str">
        <f>IFERROR(__xludf.DUMMYFUNCTION("""COMPUTED_VALUE"""),"strain")</f>
        <v>strain</v>
      </c>
      <c r="H6006">
        <f>IFERROR(__xludf.DUMMYFUNCTION("""COMPUTED_VALUE"""),5208.0)</f>
        <v>5208</v>
      </c>
    </row>
    <row r="6007" ht="15.75" customHeight="1">
      <c r="A6007" t="str">
        <f t="shared" si="1"/>
        <v>X.citri</v>
      </c>
      <c r="B6007" s="5" t="s">
        <v>33691</v>
      </c>
      <c r="C6007" s="6" t="str">
        <f>IFERROR(__xludf.DUMMYFUNCTION("SPLIT('2. c'!B6007, "" "", True, True)"),"Xanthomonas")</f>
        <v>Xanthomonas</v>
      </c>
      <c r="D6007" t="str">
        <f>IFERROR(__xludf.DUMMYFUNCTION("""COMPUTED_VALUE"""),"citri")</f>
        <v>citri</v>
      </c>
      <c r="E6007" t="str">
        <f>IFERROR(__xludf.DUMMYFUNCTION("""COMPUTED_VALUE"""),"subsp.")</f>
        <v>subsp.</v>
      </c>
      <c r="F6007" t="str">
        <f>IFERROR(__xludf.DUMMYFUNCTION("""COMPUTED_VALUE"""),"citri")</f>
        <v>citri</v>
      </c>
      <c r="G6007" t="str">
        <f>IFERROR(__xludf.DUMMYFUNCTION("""COMPUTED_VALUE"""),"strain")</f>
        <v>strain</v>
      </c>
      <c r="H6007" t="str">
        <f>IFERROR(__xludf.DUMMYFUNCTION("""COMPUTED_VALUE"""),"AW13")</f>
        <v>AW13</v>
      </c>
    </row>
    <row r="6008" ht="15.75" customHeight="1">
      <c r="A6008" t="str">
        <f t="shared" si="1"/>
        <v>X.citri</v>
      </c>
      <c r="B6008" s="5" t="s">
        <v>33692</v>
      </c>
      <c r="C6008" s="6" t="str">
        <f>IFERROR(__xludf.DUMMYFUNCTION("SPLIT('2. c'!B6008, "" "", True, True)"),"Xanthomonas")</f>
        <v>Xanthomonas</v>
      </c>
      <c r="D6008" t="str">
        <f>IFERROR(__xludf.DUMMYFUNCTION("""COMPUTED_VALUE"""),"citri")</f>
        <v>citri</v>
      </c>
      <c r="E6008" t="str">
        <f>IFERROR(__xludf.DUMMYFUNCTION("""COMPUTED_VALUE"""),"subsp.")</f>
        <v>subsp.</v>
      </c>
      <c r="F6008" t="str">
        <f>IFERROR(__xludf.DUMMYFUNCTION("""COMPUTED_VALUE"""),"citri")</f>
        <v>citri</v>
      </c>
      <c r="G6008" t="str">
        <f>IFERROR(__xludf.DUMMYFUNCTION("""COMPUTED_VALUE"""),"strain")</f>
        <v>strain</v>
      </c>
      <c r="H6008" t="str">
        <f>IFERROR(__xludf.DUMMYFUNCTION("""COMPUTED_VALUE"""),"AW14")</f>
        <v>AW14</v>
      </c>
    </row>
    <row r="6009" ht="15.75" customHeight="1">
      <c r="A6009" t="str">
        <f t="shared" si="1"/>
        <v>X.citri</v>
      </c>
      <c r="B6009" s="5" t="s">
        <v>33693</v>
      </c>
      <c r="C6009" s="6" t="str">
        <f>IFERROR(__xludf.DUMMYFUNCTION("SPLIT('2. c'!B6009, "" "", True, True)"),"Xanthomonas")</f>
        <v>Xanthomonas</v>
      </c>
      <c r="D6009" t="str">
        <f>IFERROR(__xludf.DUMMYFUNCTION("""COMPUTED_VALUE"""),"citri")</f>
        <v>citri</v>
      </c>
      <c r="E6009" t="str">
        <f>IFERROR(__xludf.DUMMYFUNCTION("""COMPUTED_VALUE"""),"subsp.")</f>
        <v>subsp.</v>
      </c>
      <c r="F6009" t="str">
        <f>IFERROR(__xludf.DUMMYFUNCTION("""COMPUTED_VALUE"""),"citri")</f>
        <v>citri</v>
      </c>
      <c r="G6009" t="str">
        <f>IFERROR(__xludf.DUMMYFUNCTION("""COMPUTED_VALUE"""),"strain")</f>
        <v>strain</v>
      </c>
      <c r="H6009" t="str">
        <f>IFERROR(__xludf.DUMMYFUNCTION("""COMPUTED_VALUE"""),"AW15")</f>
        <v>AW15</v>
      </c>
    </row>
    <row r="6010" ht="15.75" customHeight="1">
      <c r="A6010" t="str">
        <f t="shared" si="1"/>
        <v>X.citri</v>
      </c>
      <c r="B6010" s="5" t="s">
        <v>33694</v>
      </c>
      <c r="C6010" s="6" t="str">
        <f>IFERROR(__xludf.DUMMYFUNCTION("SPLIT('2. c'!B6010, "" "", True, True)"),"Xanthomonas")</f>
        <v>Xanthomonas</v>
      </c>
      <c r="D6010" t="str">
        <f>IFERROR(__xludf.DUMMYFUNCTION("""COMPUTED_VALUE"""),"citri")</f>
        <v>citri</v>
      </c>
      <c r="E6010" t="str">
        <f>IFERROR(__xludf.DUMMYFUNCTION("""COMPUTED_VALUE"""),"subsp.")</f>
        <v>subsp.</v>
      </c>
      <c r="F6010" t="str">
        <f>IFERROR(__xludf.DUMMYFUNCTION("""COMPUTED_VALUE"""),"citri")</f>
        <v>citri</v>
      </c>
      <c r="G6010" t="str">
        <f>IFERROR(__xludf.DUMMYFUNCTION("""COMPUTED_VALUE"""),"strain")</f>
        <v>strain</v>
      </c>
      <c r="H6010" t="str">
        <f>IFERROR(__xludf.DUMMYFUNCTION("""COMPUTED_VALUE"""),"AW16")</f>
        <v>AW16</v>
      </c>
    </row>
    <row r="6011" ht="15.75" customHeight="1">
      <c r="A6011" t="str">
        <f t="shared" si="1"/>
        <v>X.citri</v>
      </c>
      <c r="B6011" s="5" t="s">
        <v>33695</v>
      </c>
      <c r="C6011" s="6" t="str">
        <f>IFERROR(__xludf.DUMMYFUNCTION("SPLIT('2. c'!B6011, "" "", True, True)"),"Xanthomonas")</f>
        <v>Xanthomonas</v>
      </c>
      <c r="D6011" t="str">
        <f>IFERROR(__xludf.DUMMYFUNCTION("""COMPUTED_VALUE"""),"citri")</f>
        <v>citri</v>
      </c>
      <c r="E6011" t="str">
        <f>IFERROR(__xludf.DUMMYFUNCTION("""COMPUTED_VALUE"""),"subsp.")</f>
        <v>subsp.</v>
      </c>
      <c r="F6011" t="str">
        <f>IFERROR(__xludf.DUMMYFUNCTION("""COMPUTED_VALUE"""),"citri")</f>
        <v>citri</v>
      </c>
      <c r="G6011" t="str">
        <f>IFERROR(__xludf.DUMMYFUNCTION("""COMPUTED_VALUE"""),"strain")</f>
        <v>strain</v>
      </c>
      <c r="H6011" t="str">
        <f>IFERROR(__xludf.DUMMYFUNCTION("""COMPUTED_VALUE"""),"BL18")</f>
        <v>BL18</v>
      </c>
    </row>
    <row r="6012" ht="15.75" customHeight="1">
      <c r="A6012" t="str">
        <f t="shared" si="1"/>
        <v>X.citri</v>
      </c>
      <c r="B6012" s="5" t="s">
        <v>33696</v>
      </c>
      <c r="C6012" s="6" t="str">
        <f>IFERROR(__xludf.DUMMYFUNCTION("SPLIT('2. c'!B6012, "" "", True, True)"),"Xanthomonas")</f>
        <v>Xanthomonas</v>
      </c>
      <c r="D6012" t="str">
        <f>IFERROR(__xludf.DUMMYFUNCTION("""COMPUTED_VALUE"""),"citri")</f>
        <v>citri</v>
      </c>
      <c r="E6012" t="str">
        <f>IFERROR(__xludf.DUMMYFUNCTION("""COMPUTED_VALUE"""),"subsp.")</f>
        <v>subsp.</v>
      </c>
      <c r="F6012" t="str">
        <f>IFERROR(__xludf.DUMMYFUNCTION("""COMPUTED_VALUE"""),"citri")</f>
        <v>citri</v>
      </c>
      <c r="G6012" t="str">
        <f>IFERROR(__xludf.DUMMYFUNCTION("""COMPUTED_VALUE"""),"strain")</f>
        <v>strain</v>
      </c>
      <c r="H6012" t="str">
        <f>IFERROR(__xludf.DUMMYFUNCTION("""COMPUTED_VALUE"""),"FB19")</f>
        <v>FB19</v>
      </c>
    </row>
    <row r="6013" ht="15.75" customHeight="1">
      <c r="A6013" t="str">
        <f t="shared" si="1"/>
        <v>X.citri</v>
      </c>
      <c r="B6013" s="5" t="s">
        <v>33697</v>
      </c>
      <c r="C6013" s="6" t="str">
        <f>IFERROR(__xludf.DUMMYFUNCTION("SPLIT('2. c'!B6013, "" "", True, True)"),"Xanthomonas")</f>
        <v>Xanthomonas</v>
      </c>
      <c r="D6013" t="str">
        <f>IFERROR(__xludf.DUMMYFUNCTION("""COMPUTED_VALUE"""),"citri")</f>
        <v>citri</v>
      </c>
      <c r="E6013" t="str">
        <f>IFERROR(__xludf.DUMMYFUNCTION("""COMPUTED_VALUE"""),"subsp.")</f>
        <v>subsp.</v>
      </c>
      <c r="F6013" t="str">
        <f>IFERROR(__xludf.DUMMYFUNCTION("""COMPUTED_VALUE"""),"citri")</f>
        <v>citri</v>
      </c>
      <c r="G6013" t="str">
        <f>IFERROR(__xludf.DUMMYFUNCTION("""COMPUTED_VALUE"""),"strain")</f>
        <v>strain</v>
      </c>
      <c r="H6013" t="str">
        <f>IFERROR(__xludf.DUMMYFUNCTION("""COMPUTED_VALUE"""),"GD2")</f>
        <v>GD2</v>
      </c>
    </row>
    <row r="6014" ht="15.75" customHeight="1">
      <c r="A6014" t="str">
        <f t="shared" si="1"/>
        <v>X.citri</v>
      </c>
      <c r="B6014" s="5" t="s">
        <v>33698</v>
      </c>
      <c r="C6014" s="6" t="str">
        <f>IFERROR(__xludf.DUMMYFUNCTION("SPLIT('2. c'!B6014, "" "", True, True)"),"Xanthomonas")</f>
        <v>Xanthomonas</v>
      </c>
      <c r="D6014" t="str">
        <f>IFERROR(__xludf.DUMMYFUNCTION("""COMPUTED_VALUE"""),"citri")</f>
        <v>citri</v>
      </c>
      <c r="E6014" t="str">
        <f>IFERROR(__xludf.DUMMYFUNCTION("""COMPUTED_VALUE"""),"subsp.")</f>
        <v>subsp.</v>
      </c>
      <c r="F6014" t="str">
        <f>IFERROR(__xludf.DUMMYFUNCTION("""COMPUTED_VALUE"""),"citri")</f>
        <v>citri</v>
      </c>
      <c r="G6014" t="str">
        <f>IFERROR(__xludf.DUMMYFUNCTION("""COMPUTED_VALUE"""),"strain")</f>
        <v>strain</v>
      </c>
      <c r="H6014" t="str">
        <f>IFERROR(__xludf.DUMMYFUNCTION("""COMPUTED_VALUE"""),"GD3")</f>
        <v>GD3</v>
      </c>
    </row>
    <row r="6015" ht="15.75" customHeight="1">
      <c r="A6015" t="str">
        <f t="shared" si="1"/>
        <v>X.citri</v>
      </c>
      <c r="B6015" s="5" t="s">
        <v>33699</v>
      </c>
      <c r="C6015" s="6" t="str">
        <f>IFERROR(__xludf.DUMMYFUNCTION("SPLIT('2. c'!B6015, "" "", True, True)"),"Xanthomonas")</f>
        <v>Xanthomonas</v>
      </c>
      <c r="D6015" t="str">
        <f>IFERROR(__xludf.DUMMYFUNCTION("""COMPUTED_VALUE"""),"citri")</f>
        <v>citri</v>
      </c>
      <c r="E6015" t="str">
        <f>IFERROR(__xludf.DUMMYFUNCTION("""COMPUTED_VALUE"""),"subsp.")</f>
        <v>subsp.</v>
      </c>
      <c r="F6015" t="str">
        <f>IFERROR(__xludf.DUMMYFUNCTION("""COMPUTED_VALUE"""),"citri")</f>
        <v>citri</v>
      </c>
      <c r="G6015" t="str">
        <f>IFERROR(__xludf.DUMMYFUNCTION("""COMPUTED_VALUE"""),"strain")</f>
        <v>strain</v>
      </c>
      <c r="H6015" t="str">
        <f>IFERROR(__xludf.DUMMYFUNCTION("""COMPUTED_VALUE"""),"JX4")</f>
        <v>JX4</v>
      </c>
    </row>
    <row r="6016" ht="15.75" customHeight="1">
      <c r="A6016" t="str">
        <f t="shared" si="1"/>
        <v>X.citri</v>
      </c>
      <c r="B6016" s="5" t="s">
        <v>33700</v>
      </c>
      <c r="C6016" s="6" t="str">
        <f>IFERROR(__xludf.DUMMYFUNCTION("SPLIT('2. c'!B6016, "" "", True, True)"),"Xanthomonas")</f>
        <v>Xanthomonas</v>
      </c>
      <c r="D6016" t="str">
        <f>IFERROR(__xludf.DUMMYFUNCTION("""COMPUTED_VALUE"""),"citri")</f>
        <v>citri</v>
      </c>
      <c r="E6016" t="str">
        <f>IFERROR(__xludf.DUMMYFUNCTION("""COMPUTED_VALUE"""),"subsp.")</f>
        <v>subsp.</v>
      </c>
      <c r="F6016" t="str">
        <f>IFERROR(__xludf.DUMMYFUNCTION("""COMPUTED_VALUE"""),"citri")</f>
        <v>citri</v>
      </c>
      <c r="G6016" t="str">
        <f>IFERROR(__xludf.DUMMYFUNCTION("""COMPUTED_VALUE"""),"strain")</f>
        <v>strain</v>
      </c>
      <c r="H6016" t="str">
        <f>IFERROR(__xludf.DUMMYFUNCTION("""COMPUTED_VALUE"""),"JX5")</f>
        <v>JX5</v>
      </c>
    </row>
    <row r="6017" ht="15.75" customHeight="1">
      <c r="A6017" t="str">
        <f t="shared" si="1"/>
        <v>X.citri</v>
      </c>
      <c r="B6017" s="5" t="s">
        <v>33701</v>
      </c>
      <c r="C6017" s="6" t="str">
        <f>IFERROR(__xludf.DUMMYFUNCTION("SPLIT('2. c'!B6017, "" "", True, True)"),"Xanthomonas")</f>
        <v>Xanthomonas</v>
      </c>
      <c r="D6017" t="str">
        <f>IFERROR(__xludf.DUMMYFUNCTION("""COMPUTED_VALUE"""),"citri")</f>
        <v>citri</v>
      </c>
      <c r="E6017" t="str">
        <f>IFERROR(__xludf.DUMMYFUNCTION("""COMPUTED_VALUE"""),"subsp.")</f>
        <v>subsp.</v>
      </c>
      <c r="F6017" t="str">
        <f>IFERROR(__xludf.DUMMYFUNCTION("""COMPUTED_VALUE"""),"citri")</f>
        <v>citri</v>
      </c>
      <c r="G6017" t="str">
        <f>IFERROR(__xludf.DUMMYFUNCTION("""COMPUTED_VALUE"""),"strain")</f>
        <v>strain</v>
      </c>
      <c r="H6017" t="str">
        <f>IFERROR(__xludf.DUMMYFUNCTION("""COMPUTED_VALUE"""),"MF20")</f>
        <v>MF20</v>
      </c>
    </row>
    <row r="6018" ht="15.75" customHeight="1">
      <c r="A6018" t="str">
        <f t="shared" si="1"/>
        <v>X.citri</v>
      </c>
      <c r="B6018" s="5" t="s">
        <v>33702</v>
      </c>
      <c r="C6018" s="6" t="str">
        <f>IFERROR(__xludf.DUMMYFUNCTION("SPLIT('2. c'!B6018, "" "", True, True)"),"Xanthomonas")</f>
        <v>Xanthomonas</v>
      </c>
      <c r="D6018" t="str">
        <f>IFERROR(__xludf.DUMMYFUNCTION("""COMPUTED_VALUE"""),"citri")</f>
        <v>citri</v>
      </c>
      <c r="E6018" t="str">
        <f>IFERROR(__xludf.DUMMYFUNCTION("""COMPUTED_VALUE"""),"subsp.")</f>
        <v>subsp.</v>
      </c>
      <c r="F6018" t="str">
        <f>IFERROR(__xludf.DUMMYFUNCTION("""COMPUTED_VALUE"""),"citri")</f>
        <v>citri</v>
      </c>
      <c r="G6018" t="str">
        <f>IFERROR(__xludf.DUMMYFUNCTION("""COMPUTED_VALUE"""),"strain")</f>
        <v>strain</v>
      </c>
      <c r="H6018" t="str">
        <f>IFERROR(__xludf.DUMMYFUNCTION("""COMPUTED_VALUE"""),"MN10")</f>
        <v>MN10</v>
      </c>
    </row>
    <row r="6019" ht="15.75" customHeight="1">
      <c r="A6019" t="str">
        <f t="shared" si="1"/>
        <v>X.citri</v>
      </c>
      <c r="B6019" s="5" t="s">
        <v>33703</v>
      </c>
      <c r="C6019" s="6" t="str">
        <f>IFERROR(__xludf.DUMMYFUNCTION("SPLIT('2. c'!B6019, "" "", True, True)"),"Xanthomonas")</f>
        <v>Xanthomonas</v>
      </c>
      <c r="D6019" t="str">
        <f>IFERROR(__xludf.DUMMYFUNCTION("""COMPUTED_VALUE"""),"citri")</f>
        <v>citri</v>
      </c>
      <c r="E6019" t="str">
        <f>IFERROR(__xludf.DUMMYFUNCTION("""COMPUTED_VALUE"""),"subsp.")</f>
        <v>subsp.</v>
      </c>
      <c r="F6019" t="str">
        <f>IFERROR(__xludf.DUMMYFUNCTION("""COMPUTED_VALUE"""),"citri")</f>
        <v>citri</v>
      </c>
      <c r="G6019" t="str">
        <f>IFERROR(__xludf.DUMMYFUNCTION("""COMPUTED_VALUE"""),"strain")</f>
        <v>strain</v>
      </c>
      <c r="H6019" t="str">
        <f>IFERROR(__xludf.DUMMYFUNCTION("""COMPUTED_VALUE"""),"MN11")</f>
        <v>MN11</v>
      </c>
    </row>
    <row r="6020" ht="15.75" customHeight="1">
      <c r="A6020" t="str">
        <f t="shared" si="1"/>
        <v>X.citri</v>
      </c>
      <c r="B6020" s="5" t="s">
        <v>33704</v>
      </c>
      <c r="C6020" s="6" t="str">
        <f>IFERROR(__xludf.DUMMYFUNCTION("SPLIT('2. c'!B6020, "" "", True, True)"),"Xanthomonas")</f>
        <v>Xanthomonas</v>
      </c>
      <c r="D6020" t="str">
        <f>IFERROR(__xludf.DUMMYFUNCTION("""COMPUTED_VALUE"""),"citri")</f>
        <v>citri</v>
      </c>
      <c r="E6020" t="str">
        <f>IFERROR(__xludf.DUMMYFUNCTION("""COMPUTED_VALUE"""),"subsp.")</f>
        <v>subsp.</v>
      </c>
      <c r="F6020" t="str">
        <f>IFERROR(__xludf.DUMMYFUNCTION("""COMPUTED_VALUE"""),"citri")</f>
        <v>citri</v>
      </c>
      <c r="G6020" t="str">
        <f>IFERROR(__xludf.DUMMYFUNCTION("""COMPUTED_VALUE"""),"strain")</f>
        <v>strain</v>
      </c>
      <c r="H6020" t="str">
        <f>IFERROR(__xludf.DUMMYFUNCTION("""COMPUTED_VALUE"""),"MN12")</f>
        <v>MN12</v>
      </c>
    </row>
    <row r="6021" ht="15.75" customHeight="1">
      <c r="A6021" t="str">
        <f t="shared" si="1"/>
        <v>X.citri</v>
      </c>
      <c r="B6021" s="5" t="s">
        <v>33705</v>
      </c>
      <c r="C6021" s="6" t="str">
        <f>IFERROR(__xludf.DUMMYFUNCTION("SPLIT('2. c'!B6021, "" "", True, True)"),"Xanthomonas")</f>
        <v>Xanthomonas</v>
      </c>
      <c r="D6021" t="str">
        <f>IFERROR(__xludf.DUMMYFUNCTION("""COMPUTED_VALUE"""),"citri")</f>
        <v>citri</v>
      </c>
      <c r="E6021" t="str">
        <f>IFERROR(__xludf.DUMMYFUNCTION("""COMPUTED_VALUE"""),"subsp.")</f>
        <v>subsp.</v>
      </c>
      <c r="F6021" t="str">
        <f>IFERROR(__xludf.DUMMYFUNCTION("""COMPUTED_VALUE"""),"citri")</f>
        <v>citri</v>
      </c>
      <c r="G6021" t="str">
        <f>IFERROR(__xludf.DUMMYFUNCTION("""COMPUTED_VALUE"""),"strain")</f>
        <v>strain</v>
      </c>
      <c r="H6021" t="str">
        <f>IFERROR(__xludf.DUMMYFUNCTION("""COMPUTED_VALUE"""),"NT17")</f>
        <v>NT17</v>
      </c>
    </row>
    <row r="6022" ht="15.75" customHeight="1">
      <c r="A6022" t="str">
        <f t="shared" si="1"/>
        <v>X.citri</v>
      </c>
      <c r="B6022" s="5" t="s">
        <v>33706</v>
      </c>
      <c r="C6022" s="6" t="str">
        <f>IFERROR(__xludf.DUMMYFUNCTION("SPLIT('2. c'!B6022, "" "", True, True)"),"Xanthomonas")</f>
        <v>Xanthomonas</v>
      </c>
      <c r="D6022" t="str">
        <f>IFERROR(__xludf.DUMMYFUNCTION("""COMPUTED_VALUE"""),"citri")</f>
        <v>citri</v>
      </c>
      <c r="E6022" t="str">
        <f>IFERROR(__xludf.DUMMYFUNCTION("""COMPUTED_VALUE"""),"subsp.")</f>
        <v>subsp.</v>
      </c>
      <c r="F6022" t="str">
        <f>IFERROR(__xludf.DUMMYFUNCTION("""COMPUTED_VALUE"""),"citri")</f>
        <v>citri</v>
      </c>
      <c r="G6022" t="str">
        <f>IFERROR(__xludf.DUMMYFUNCTION("""COMPUTED_VALUE"""),"strain")</f>
        <v>strain</v>
      </c>
      <c r="H6022" t="str">
        <f>IFERROR(__xludf.DUMMYFUNCTION("""COMPUTED_VALUE"""),"UI7")</f>
        <v>UI7</v>
      </c>
    </row>
    <row r="6023" ht="15.75" customHeight="1">
      <c r="A6023" t="str">
        <f t="shared" si="1"/>
        <v>X.citri</v>
      </c>
      <c r="B6023" s="5" t="s">
        <v>33707</v>
      </c>
      <c r="C6023" s="6" t="str">
        <f>IFERROR(__xludf.DUMMYFUNCTION("SPLIT('2. c'!B6023, "" "", True, True)"),"Xanthomonas")</f>
        <v>Xanthomonas</v>
      </c>
      <c r="D6023" t="str">
        <f>IFERROR(__xludf.DUMMYFUNCTION("""COMPUTED_VALUE"""),"citri")</f>
        <v>citri</v>
      </c>
      <c r="E6023" t="str">
        <f>IFERROR(__xludf.DUMMYFUNCTION("""COMPUTED_VALUE"""),"subsp.")</f>
        <v>subsp.</v>
      </c>
      <c r="F6023" t="str">
        <f>IFERROR(__xludf.DUMMYFUNCTION("""COMPUTED_VALUE"""),"citri")</f>
        <v>citri</v>
      </c>
      <c r="G6023" t="str">
        <f>IFERROR(__xludf.DUMMYFUNCTION("""COMPUTED_VALUE"""),"UI6")</f>
        <v>UI6</v>
      </c>
    </row>
    <row r="6024" ht="15.75" customHeight="1">
      <c r="A6024" t="str">
        <f t="shared" si="1"/>
        <v>X.fuscans</v>
      </c>
      <c r="B6024" s="5" t="s">
        <v>33708</v>
      </c>
      <c r="C6024" s="6" t="str">
        <f>IFERROR(__xludf.DUMMYFUNCTION("SPLIT('2. c'!B6024, "" "", True, True)"),"Xanthomonas")</f>
        <v>Xanthomonas</v>
      </c>
      <c r="D6024" t="str">
        <f>IFERROR(__xludf.DUMMYFUNCTION("""COMPUTED_VALUE"""),"fuscans")</f>
        <v>fuscans</v>
      </c>
      <c r="E6024" t="str">
        <f>IFERROR(__xludf.DUMMYFUNCTION("""COMPUTED_VALUE"""),"subsp.")</f>
        <v>subsp.</v>
      </c>
      <c r="F6024" t="str">
        <f>IFERROR(__xludf.DUMMYFUNCTION("""COMPUTED_VALUE"""),"fuscans")</f>
        <v>fuscans</v>
      </c>
      <c r="G6024" t="str">
        <f>IFERROR(__xludf.DUMMYFUNCTION("""COMPUTED_VALUE"""),"strain")</f>
        <v>strain</v>
      </c>
      <c r="H6024" t="str">
        <f>IFERROR(__xludf.DUMMYFUNCTION("""COMPUTED_VALUE"""),"4834-R")</f>
        <v>4834-R</v>
      </c>
    </row>
    <row r="6025" ht="15.75" customHeight="1">
      <c r="A6025" t="str">
        <f t="shared" si="1"/>
        <v>X.hortorum</v>
      </c>
      <c r="B6025" s="5" t="s">
        <v>33709</v>
      </c>
      <c r="C6025" s="6" t="str">
        <f>IFERROR(__xludf.DUMMYFUNCTION("SPLIT('2. c'!B6025, "" "", True, True)"),"Xanthomonas")</f>
        <v>Xanthomonas</v>
      </c>
      <c r="D6025" t="str">
        <f>IFERROR(__xludf.DUMMYFUNCTION("""COMPUTED_VALUE"""),"hortorum")</f>
        <v>hortorum</v>
      </c>
      <c r="E6025" t="str">
        <f>IFERROR(__xludf.DUMMYFUNCTION("""COMPUTED_VALUE"""),"pv.")</f>
        <v>pv.</v>
      </c>
      <c r="F6025" t="str">
        <f>IFERROR(__xludf.DUMMYFUNCTION("""COMPUTED_VALUE"""),"carotae")</f>
        <v>carotae</v>
      </c>
      <c r="G6025" t="str">
        <f>IFERROR(__xludf.DUMMYFUNCTION("""COMPUTED_VALUE"""),"str.")</f>
        <v>str.</v>
      </c>
      <c r="H6025" t="str">
        <f>IFERROR(__xludf.DUMMYFUNCTION("""COMPUTED_VALUE"""),"M081")</f>
        <v>M081</v>
      </c>
    </row>
    <row r="6026" ht="15.75" customHeight="1">
      <c r="A6026" t="str">
        <f t="shared" si="1"/>
        <v>X.oryzae</v>
      </c>
      <c r="B6026" s="5" t="s">
        <v>33710</v>
      </c>
      <c r="C6026" s="6" t="str">
        <f>IFERROR(__xludf.DUMMYFUNCTION("SPLIT('2. c'!B6026, "" "", True, True)"),"Xanthomonas")</f>
        <v>Xanthomonas</v>
      </c>
      <c r="D6026" t="str">
        <f>IFERROR(__xludf.DUMMYFUNCTION("""COMPUTED_VALUE"""),"oryzae")</f>
        <v>oryzae</v>
      </c>
      <c r="E6026" t="str">
        <f>IFERROR(__xludf.DUMMYFUNCTION("""COMPUTED_VALUE"""),"pv.")</f>
        <v>pv.</v>
      </c>
      <c r="F6026" t="str">
        <f>IFERROR(__xludf.DUMMYFUNCTION("""COMPUTED_VALUE"""),"oryzae")</f>
        <v>oryzae</v>
      </c>
    </row>
    <row r="6027" ht="15.75" customHeight="1">
      <c r="A6027" t="str">
        <f t="shared" si="1"/>
        <v>X.oryzae</v>
      </c>
      <c r="B6027" s="5" t="s">
        <v>33710</v>
      </c>
      <c r="C6027" s="6" t="str">
        <f>IFERROR(__xludf.DUMMYFUNCTION("SPLIT('2. c'!B6027, "" "", True, True)"),"Xanthomonas")</f>
        <v>Xanthomonas</v>
      </c>
      <c r="D6027" t="str">
        <f>IFERROR(__xludf.DUMMYFUNCTION("""COMPUTED_VALUE"""),"oryzae")</f>
        <v>oryzae</v>
      </c>
      <c r="E6027" t="str">
        <f>IFERROR(__xludf.DUMMYFUNCTION("""COMPUTED_VALUE"""),"pv.")</f>
        <v>pv.</v>
      </c>
      <c r="F6027" t="str">
        <f>IFERROR(__xludf.DUMMYFUNCTION("""COMPUTED_VALUE"""),"oryzae")</f>
        <v>oryzae</v>
      </c>
    </row>
    <row r="6028" ht="15.75" customHeight="1">
      <c r="A6028" t="str">
        <f t="shared" si="1"/>
        <v>X.oryzae</v>
      </c>
      <c r="B6028" s="5" t="s">
        <v>33711</v>
      </c>
      <c r="C6028" s="6" t="str">
        <f>IFERROR(__xludf.DUMMYFUNCTION("SPLIT('2. c'!B6028, "" "", True, True)"),"Xanthomonas")</f>
        <v>Xanthomonas</v>
      </c>
      <c r="D6028" t="str">
        <f>IFERROR(__xludf.DUMMYFUNCTION("""COMPUTED_VALUE"""),"oryzae")</f>
        <v>oryzae</v>
      </c>
      <c r="E6028" t="str">
        <f>IFERROR(__xludf.DUMMYFUNCTION("""COMPUTED_VALUE"""),"pv.")</f>
        <v>pv.</v>
      </c>
      <c r="F6028" t="str">
        <f>IFERROR(__xludf.DUMMYFUNCTION("""COMPUTED_VALUE"""),"oryzae")</f>
        <v>oryzae</v>
      </c>
      <c r="G6028" t="str">
        <f>IFERROR(__xludf.DUMMYFUNCTION("""COMPUTED_VALUE"""),"KACC")</f>
        <v>KACC</v>
      </c>
      <c r="H6028">
        <f>IFERROR(__xludf.DUMMYFUNCTION("""COMPUTED_VALUE"""),10331.0)</f>
        <v>10331</v>
      </c>
    </row>
    <row r="6029" ht="15.75" customHeight="1">
      <c r="A6029" t="str">
        <f t="shared" si="1"/>
        <v>X.oryzae</v>
      </c>
      <c r="B6029" s="5" t="s">
        <v>33712</v>
      </c>
      <c r="C6029" s="6" t="str">
        <f>IFERROR(__xludf.DUMMYFUNCTION("SPLIT('2. c'!B6029, "" "", True, True)"),"Xanthomonas")</f>
        <v>Xanthomonas</v>
      </c>
      <c r="D6029" t="str">
        <f>IFERROR(__xludf.DUMMYFUNCTION("""COMPUTED_VALUE"""),"oryzae")</f>
        <v>oryzae</v>
      </c>
      <c r="E6029" t="str">
        <f>IFERROR(__xludf.DUMMYFUNCTION("""COMPUTED_VALUE"""),"pv.")</f>
        <v>pv.</v>
      </c>
      <c r="F6029" t="str">
        <f>IFERROR(__xludf.DUMMYFUNCTION("""COMPUTED_VALUE"""),"oryzae")</f>
        <v>oryzae</v>
      </c>
      <c r="G6029" t="str">
        <f>IFERROR(__xludf.DUMMYFUNCTION("""COMPUTED_VALUE"""),"MAFF")</f>
        <v>MAFF</v>
      </c>
      <c r="H6029">
        <f>IFERROR(__xludf.DUMMYFUNCTION("""COMPUTED_VALUE"""),311018.0)</f>
        <v>311018</v>
      </c>
    </row>
    <row r="6030" ht="15.75" customHeight="1">
      <c r="A6030" t="str">
        <f t="shared" si="1"/>
        <v>X.oryzae</v>
      </c>
      <c r="B6030" s="5" t="s">
        <v>33713</v>
      </c>
      <c r="C6030" s="6" t="str">
        <f>IFERROR(__xludf.DUMMYFUNCTION("SPLIT('2. c'!B6030, "" "", True, True)"),"Xanthomonas")</f>
        <v>Xanthomonas</v>
      </c>
      <c r="D6030" t="str">
        <f>IFERROR(__xludf.DUMMYFUNCTION("""COMPUTED_VALUE"""),"oryzae")</f>
        <v>oryzae</v>
      </c>
      <c r="E6030" t="str">
        <f>IFERROR(__xludf.DUMMYFUNCTION("""COMPUTED_VALUE"""),"pv.")</f>
        <v>pv.</v>
      </c>
      <c r="F6030" t="str">
        <f>IFERROR(__xludf.DUMMYFUNCTION("""COMPUTED_VALUE"""),"oryzae")</f>
        <v>oryzae</v>
      </c>
      <c r="G6030" t="str">
        <f>IFERROR(__xludf.DUMMYFUNCTION("""COMPUTED_VALUE"""),"PXO86")</f>
        <v>PXO86</v>
      </c>
    </row>
    <row r="6031" ht="15.75" customHeight="1">
      <c r="A6031" t="str">
        <f t="shared" si="1"/>
        <v>X.oryzae</v>
      </c>
      <c r="B6031" s="5" t="s">
        <v>33714</v>
      </c>
      <c r="C6031" s="6" t="str">
        <f>IFERROR(__xludf.DUMMYFUNCTION("SPLIT('2. c'!B6031, "" "", True, True)"),"Xanthomonas")</f>
        <v>Xanthomonas</v>
      </c>
      <c r="D6031" t="str">
        <f>IFERROR(__xludf.DUMMYFUNCTION("""COMPUTED_VALUE"""),"oryzae")</f>
        <v>oryzae</v>
      </c>
      <c r="E6031" t="str">
        <f>IFERROR(__xludf.DUMMYFUNCTION("""COMPUTED_VALUE"""),"pv.")</f>
        <v>pv.</v>
      </c>
      <c r="F6031" t="str">
        <f>IFERROR(__xludf.DUMMYFUNCTION("""COMPUTED_VALUE"""),"oryzae")</f>
        <v>oryzae</v>
      </c>
      <c r="G6031" t="str">
        <f>IFERROR(__xludf.DUMMYFUNCTION("""COMPUTED_VALUE"""),"PXO99A")</f>
        <v>PXO99A</v>
      </c>
    </row>
    <row r="6032" ht="15.75" customHeight="1">
      <c r="A6032" t="str">
        <f t="shared" si="1"/>
        <v>X.oryzae</v>
      </c>
      <c r="B6032" s="5" t="s">
        <v>33715</v>
      </c>
      <c r="C6032" s="6" t="str">
        <f>IFERROR(__xludf.DUMMYFUNCTION("SPLIT('2. c'!B6032, "" "", True, True)"),"Xanthomonas")</f>
        <v>Xanthomonas</v>
      </c>
      <c r="D6032" t="str">
        <f>IFERROR(__xludf.DUMMYFUNCTION("""COMPUTED_VALUE"""),"oryzae")</f>
        <v>oryzae</v>
      </c>
      <c r="E6032" t="str">
        <f>IFERROR(__xludf.DUMMYFUNCTION("""COMPUTED_VALUE"""),"pv.")</f>
        <v>pv.</v>
      </c>
      <c r="F6032" t="str">
        <f>IFERROR(__xludf.DUMMYFUNCTION("""COMPUTED_VALUE"""),"oryzicola")</f>
        <v>oryzicola</v>
      </c>
      <c r="G6032" t="str">
        <f>IFERROR(__xludf.DUMMYFUNCTION("""COMPUTED_VALUE"""),"strain")</f>
        <v>strain</v>
      </c>
      <c r="H6032" t="str">
        <f>IFERROR(__xludf.DUMMYFUNCTION("""COMPUTED_VALUE"""),"B8-12")</f>
        <v>B8-12</v>
      </c>
    </row>
    <row r="6033" ht="15.75" customHeight="1">
      <c r="A6033" t="str">
        <f t="shared" si="1"/>
        <v>X.oryzae</v>
      </c>
      <c r="B6033" s="5" t="s">
        <v>33716</v>
      </c>
      <c r="C6033" s="6" t="str">
        <f>IFERROR(__xludf.DUMMYFUNCTION("SPLIT('2. c'!B6033, "" "", True, True)"),"Xanthomonas")</f>
        <v>Xanthomonas</v>
      </c>
      <c r="D6033" t="str">
        <f>IFERROR(__xludf.DUMMYFUNCTION("""COMPUTED_VALUE"""),"oryzae")</f>
        <v>oryzae</v>
      </c>
      <c r="E6033" t="str">
        <f>IFERROR(__xludf.DUMMYFUNCTION("""COMPUTED_VALUE"""),"pv.")</f>
        <v>pv.</v>
      </c>
      <c r="F6033" t="str">
        <f>IFERROR(__xludf.DUMMYFUNCTION("""COMPUTED_VALUE"""),"oryzicola")</f>
        <v>oryzicola</v>
      </c>
      <c r="G6033" t="str">
        <f>IFERROR(__xludf.DUMMYFUNCTION("""COMPUTED_VALUE"""),"strain")</f>
        <v>strain</v>
      </c>
      <c r="H6033" t="str">
        <f>IFERROR(__xludf.DUMMYFUNCTION("""COMPUTED_VALUE"""),"BLS279")</f>
        <v>BLS279</v>
      </c>
    </row>
    <row r="6034" ht="15.75" customHeight="1">
      <c r="A6034" t="str">
        <f t="shared" si="1"/>
        <v>X.oryzae</v>
      </c>
      <c r="B6034" s="5" t="s">
        <v>33717</v>
      </c>
      <c r="C6034" s="6" t="str">
        <f>IFERROR(__xludf.DUMMYFUNCTION("SPLIT('2. c'!B6034, "" "", True, True)"),"Xanthomonas")</f>
        <v>Xanthomonas</v>
      </c>
      <c r="D6034" t="str">
        <f>IFERROR(__xludf.DUMMYFUNCTION("""COMPUTED_VALUE"""),"oryzae")</f>
        <v>oryzae</v>
      </c>
      <c r="E6034" t="str">
        <f>IFERROR(__xludf.DUMMYFUNCTION("""COMPUTED_VALUE"""),"pv.")</f>
        <v>pv.</v>
      </c>
      <c r="F6034" t="str">
        <f>IFERROR(__xludf.DUMMYFUNCTION("""COMPUTED_VALUE"""),"oryzicola")</f>
        <v>oryzicola</v>
      </c>
      <c r="G6034" t="str">
        <f>IFERROR(__xludf.DUMMYFUNCTION("""COMPUTED_VALUE"""),"strain")</f>
        <v>strain</v>
      </c>
      <c r="H6034" t="str">
        <f>IFERROR(__xludf.DUMMYFUNCTION("""COMPUTED_VALUE"""),"BXOR1")</f>
        <v>BXOR1</v>
      </c>
    </row>
    <row r="6035" ht="15.75" customHeight="1">
      <c r="A6035" t="str">
        <f t="shared" si="1"/>
        <v>X.oryzae</v>
      </c>
      <c r="B6035" s="5" t="s">
        <v>33718</v>
      </c>
      <c r="C6035" s="6" t="str">
        <f>IFERROR(__xludf.DUMMYFUNCTION("SPLIT('2. c'!B6035, "" "", True, True)"),"Xanthomonas")</f>
        <v>Xanthomonas</v>
      </c>
      <c r="D6035" t="str">
        <f>IFERROR(__xludf.DUMMYFUNCTION("""COMPUTED_VALUE"""),"oryzae")</f>
        <v>oryzae</v>
      </c>
      <c r="E6035" t="str">
        <f>IFERROR(__xludf.DUMMYFUNCTION("""COMPUTED_VALUE"""),"pv.")</f>
        <v>pv.</v>
      </c>
      <c r="F6035" t="str">
        <f>IFERROR(__xludf.DUMMYFUNCTION("""COMPUTED_VALUE"""),"oryzicola")</f>
        <v>oryzicola</v>
      </c>
      <c r="G6035" t="str">
        <f>IFERROR(__xludf.DUMMYFUNCTION("""COMPUTED_VALUE"""),"strain")</f>
        <v>strain</v>
      </c>
      <c r="H6035" t="str">
        <f>IFERROR(__xludf.DUMMYFUNCTION("""COMPUTED_VALUE"""),"CFBP2286")</f>
        <v>CFBP2286</v>
      </c>
    </row>
    <row r="6036" ht="15.75" customHeight="1">
      <c r="A6036" t="str">
        <f t="shared" si="1"/>
        <v>X.oryzae</v>
      </c>
      <c r="B6036" s="5" t="s">
        <v>33719</v>
      </c>
      <c r="C6036" s="6" t="str">
        <f>IFERROR(__xludf.DUMMYFUNCTION("SPLIT('2. c'!B6036, "" "", True, True)"),"Xanthomonas")</f>
        <v>Xanthomonas</v>
      </c>
      <c r="D6036" t="str">
        <f>IFERROR(__xludf.DUMMYFUNCTION("""COMPUTED_VALUE"""),"oryzae")</f>
        <v>oryzae</v>
      </c>
      <c r="E6036" t="str">
        <f>IFERROR(__xludf.DUMMYFUNCTION("""COMPUTED_VALUE"""),"pv.")</f>
        <v>pv.</v>
      </c>
      <c r="F6036" t="str">
        <f>IFERROR(__xludf.DUMMYFUNCTION("""COMPUTED_VALUE"""),"oryzicola")</f>
        <v>oryzicola</v>
      </c>
      <c r="G6036" t="str">
        <f>IFERROR(__xludf.DUMMYFUNCTION("""COMPUTED_VALUE"""),"strain")</f>
        <v>strain</v>
      </c>
      <c r="H6036" t="str">
        <f>IFERROR(__xludf.DUMMYFUNCTION("""COMPUTED_VALUE"""),"CFBP7331")</f>
        <v>CFBP7331</v>
      </c>
    </row>
    <row r="6037" ht="15.75" customHeight="1">
      <c r="A6037" t="str">
        <f t="shared" si="1"/>
        <v>X.oryzae</v>
      </c>
      <c r="B6037" s="5" t="s">
        <v>33720</v>
      </c>
      <c r="C6037" s="6" t="str">
        <f>IFERROR(__xludf.DUMMYFUNCTION("SPLIT('2. c'!B6037, "" "", True, True)"),"Xanthomonas")</f>
        <v>Xanthomonas</v>
      </c>
      <c r="D6037" t="str">
        <f>IFERROR(__xludf.DUMMYFUNCTION("""COMPUTED_VALUE"""),"oryzae")</f>
        <v>oryzae</v>
      </c>
      <c r="E6037" t="str">
        <f>IFERROR(__xludf.DUMMYFUNCTION("""COMPUTED_VALUE"""),"pv.")</f>
        <v>pv.</v>
      </c>
      <c r="F6037" t="str">
        <f>IFERROR(__xludf.DUMMYFUNCTION("""COMPUTED_VALUE"""),"oryzicola")</f>
        <v>oryzicola</v>
      </c>
      <c r="G6037" t="str">
        <f>IFERROR(__xludf.DUMMYFUNCTION("""COMPUTED_VALUE"""),"strain")</f>
        <v>strain</v>
      </c>
      <c r="H6037" t="str">
        <f>IFERROR(__xludf.DUMMYFUNCTION("""COMPUTED_VALUE"""),"CFBP7341")</f>
        <v>CFBP7341</v>
      </c>
    </row>
    <row r="6038" ht="15.75" customHeight="1">
      <c r="A6038" t="str">
        <f t="shared" si="1"/>
        <v>X.oryzae</v>
      </c>
      <c r="B6038" s="5" t="s">
        <v>33721</v>
      </c>
      <c r="C6038" s="6" t="str">
        <f>IFERROR(__xludf.DUMMYFUNCTION("SPLIT('2. c'!B6038, "" "", True, True)"),"Xanthomonas")</f>
        <v>Xanthomonas</v>
      </c>
      <c r="D6038" t="str">
        <f>IFERROR(__xludf.DUMMYFUNCTION("""COMPUTED_VALUE"""),"oryzae")</f>
        <v>oryzae</v>
      </c>
      <c r="E6038" t="str">
        <f>IFERROR(__xludf.DUMMYFUNCTION("""COMPUTED_VALUE"""),"pv.")</f>
        <v>pv.</v>
      </c>
      <c r="F6038" t="str">
        <f>IFERROR(__xludf.DUMMYFUNCTION("""COMPUTED_VALUE"""),"oryzicola")</f>
        <v>oryzicola</v>
      </c>
      <c r="G6038" t="str">
        <f>IFERROR(__xludf.DUMMYFUNCTION("""COMPUTED_VALUE"""),"strain")</f>
        <v>strain</v>
      </c>
      <c r="H6038" t="str">
        <f>IFERROR(__xludf.DUMMYFUNCTION("""COMPUTED_VALUE"""),"CFBP7342")</f>
        <v>CFBP7342</v>
      </c>
    </row>
    <row r="6039" ht="15.75" customHeight="1">
      <c r="A6039" t="str">
        <f t="shared" si="1"/>
        <v>X.oryzae</v>
      </c>
      <c r="B6039" s="5" t="s">
        <v>33722</v>
      </c>
      <c r="C6039" s="6" t="str">
        <f>IFERROR(__xludf.DUMMYFUNCTION("SPLIT('2. c'!B6039, "" "", True, True)"),"Xanthomonas")</f>
        <v>Xanthomonas</v>
      </c>
      <c r="D6039" t="str">
        <f>IFERROR(__xludf.DUMMYFUNCTION("""COMPUTED_VALUE"""),"oryzae")</f>
        <v>oryzae</v>
      </c>
      <c r="E6039" t="str">
        <f>IFERROR(__xludf.DUMMYFUNCTION("""COMPUTED_VALUE"""),"pv.")</f>
        <v>pv.</v>
      </c>
      <c r="F6039" t="str">
        <f>IFERROR(__xludf.DUMMYFUNCTION("""COMPUTED_VALUE"""),"oryzicola")</f>
        <v>oryzicola</v>
      </c>
      <c r="G6039" t="str">
        <f>IFERROR(__xludf.DUMMYFUNCTION("""COMPUTED_VALUE"""),"strain")</f>
        <v>strain</v>
      </c>
      <c r="H6039" t="str">
        <f>IFERROR(__xludf.DUMMYFUNCTION("""COMPUTED_VALUE"""),"L8")</f>
        <v>L8</v>
      </c>
    </row>
    <row r="6040" ht="15.75" customHeight="1">
      <c r="A6040" t="str">
        <f t="shared" si="1"/>
        <v>X.oryzae</v>
      </c>
      <c r="B6040" s="5" t="s">
        <v>33723</v>
      </c>
      <c r="C6040" s="6" t="str">
        <f>IFERROR(__xludf.DUMMYFUNCTION("SPLIT('2. c'!B6040, "" "", True, True)"),"Xanthomonas")</f>
        <v>Xanthomonas</v>
      </c>
      <c r="D6040" t="str">
        <f>IFERROR(__xludf.DUMMYFUNCTION("""COMPUTED_VALUE"""),"oryzae")</f>
        <v>oryzae</v>
      </c>
      <c r="E6040" t="str">
        <f>IFERROR(__xludf.DUMMYFUNCTION("""COMPUTED_VALUE"""),"pv.")</f>
        <v>pv.</v>
      </c>
      <c r="F6040" t="str">
        <f>IFERROR(__xludf.DUMMYFUNCTION("""COMPUTED_VALUE"""),"oryzicola")</f>
        <v>oryzicola</v>
      </c>
      <c r="G6040" t="str">
        <f>IFERROR(__xludf.DUMMYFUNCTION("""COMPUTED_VALUE"""),"strain")</f>
        <v>strain</v>
      </c>
      <c r="H6040" t="str">
        <f>IFERROR(__xludf.DUMMYFUNCTION("""COMPUTED_VALUE"""),"RS105")</f>
        <v>RS105</v>
      </c>
    </row>
    <row r="6041" ht="15.75" customHeight="1">
      <c r="A6041" t="str">
        <f t="shared" si="1"/>
        <v>X.oryzae</v>
      </c>
      <c r="B6041" s="5" t="s">
        <v>33724</v>
      </c>
      <c r="C6041" s="6" t="str">
        <f>IFERROR(__xludf.DUMMYFUNCTION("SPLIT('2. c'!B6041, "" "", True, True)"),"Xanthomonas")</f>
        <v>Xanthomonas</v>
      </c>
      <c r="D6041" t="str">
        <f>IFERROR(__xludf.DUMMYFUNCTION("""COMPUTED_VALUE"""),"oryzae")</f>
        <v>oryzae</v>
      </c>
      <c r="E6041" t="str">
        <f>IFERROR(__xludf.DUMMYFUNCTION("""COMPUTED_VALUE"""),"pv.")</f>
        <v>pv.</v>
      </c>
      <c r="F6041" t="str">
        <f>IFERROR(__xludf.DUMMYFUNCTION("""COMPUTED_VALUE"""),"oryzicola")</f>
        <v>oryzicola</v>
      </c>
      <c r="G6041" t="str">
        <f>IFERROR(__xludf.DUMMYFUNCTION("""COMPUTED_VALUE"""),"strain")</f>
        <v>strain</v>
      </c>
      <c r="H6041" t="str">
        <f>IFERROR(__xludf.DUMMYFUNCTION("""COMPUTED_VALUE"""),"YM15")</f>
        <v>YM15</v>
      </c>
    </row>
    <row r="6042" ht="15.75" customHeight="1">
      <c r="A6042" t="str">
        <f t="shared" si="1"/>
        <v>X.sacchari</v>
      </c>
      <c r="B6042" s="5" t="s">
        <v>33725</v>
      </c>
      <c r="C6042" s="6" t="str">
        <f>IFERROR(__xludf.DUMMYFUNCTION("SPLIT('2. c'!B6042, "" "", True, True)"),"Xanthomonas")</f>
        <v>Xanthomonas</v>
      </c>
      <c r="D6042" t="str">
        <f>IFERROR(__xludf.DUMMYFUNCTION("""COMPUTED_VALUE"""),"sacchari")</f>
        <v>sacchari</v>
      </c>
      <c r="E6042" t="str">
        <f>IFERROR(__xludf.DUMMYFUNCTION("""COMPUTED_VALUE"""),"R1")</f>
        <v>R1</v>
      </c>
    </row>
    <row r="6043" ht="15.75" customHeight="1">
      <c r="A6043" t="str">
        <f t="shared" si="1"/>
        <v>X.translucens</v>
      </c>
      <c r="B6043" s="5" t="s">
        <v>33726</v>
      </c>
      <c r="C6043" s="6" t="str">
        <f>IFERROR(__xludf.DUMMYFUNCTION("SPLIT('2. c'!B6043, "" "", True, True)"),"Xanthomonas")</f>
        <v>Xanthomonas</v>
      </c>
      <c r="D6043" t="str">
        <f>IFERROR(__xludf.DUMMYFUNCTION("""COMPUTED_VALUE"""),"translucens")</f>
        <v>translucens</v>
      </c>
      <c r="E6043" t="str">
        <f>IFERROR(__xludf.DUMMYFUNCTION("""COMPUTED_VALUE"""),"pv.")</f>
        <v>pv.</v>
      </c>
      <c r="F6043" t="str">
        <f>IFERROR(__xludf.DUMMYFUNCTION("""COMPUTED_VALUE"""),"undulosa")</f>
        <v>undulosa</v>
      </c>
      <c r="G6043" t="str">
        <f>IFERROR(__xludf.DUMMYFUNCTION("""COMPUTED_VALUE"""),"strain")</f>
        <v>strain</v>
      </c>
      <c r="H6043" t="str">
        <f>IFERROR(__xludf.DUMMYFUNCTION("""COMPUTED_VALUE"""),"Xtu")</f>
        <v>Xtu</v>
      </c>
      <c r="I6043">
        <f>IFERROR(__xludf.DUMMYFUNCTION("""COMPUTED_VALUE"""),4699.0)</f>
        <v>4699</v>
      </c>
    </row>
    <row r="6044" ht="15.75" customHeight="1">
      <c r="A6044" t="str">
        <f t="shared" si="1"/>
        <v>X.bovienii</v>
      </c>
      <c r="B6044" s="5" t="s">
        <v>33727</v>
      </c>
      <c r="C6044" s="6" t="str">
        <f>IFERROR(__xludf.DUMMYFUNCTION("SPLIT('2. c'!B6044, "" "", True, True)"),"Xenorhabdus")</f>
        <v>Xenorhabdus</v>
      </c>
      <c r="D6044" t="str">
        <f>IFERROR(__xludf.DUMMYFUNCTION("""COMPUTED_VALUE"""),"bovienii")</f>
        <v>bovienii</v>
      </c>
      <c r="E6044" t="str">
        <f>IFERROR(__xludf.DUMMYFUNCTION("""COMPUTED_VALUE"""),"SS-2004")</f>
        <v>SS-2004</v>
      </c>
    </row>
    <row r="6045" ht="15.75" customHeight="1">
      <c r="A6045" t="str">
        <f t="shared" si="1"/>
        <v>X.bovienii</v>
      </c>
      <c r="B6045" s="5" t="s">
        <v>33728</v>
      </c>
      <c r="C6045" s="6" t="str">
        <f>IFERROR(__xludf.DUMMYFUNCTION("SPLIT('2. c'!B6045, "" "", True, True)"),"Xenorhabdus")</f>
        <v>Xenorhabdus</v>
      </c>
      <c r="D6045" t="str">
        <f>IFERROR(__xludf.DUMMYFUNCTION("""COMPUTED_VALUE"""),"bovienii")</f>
        <v>bovienii</v>
      </c>
      <c r="E6045" t="str">
        <f>IFERROR(__xludf.DUMMYFUNCTION("""COMPUTED_VALUE"""),"strain")</f>
        <v>strain</v>
      </c>
      <c r="F6045" t="str">
        <f>IFERROR(__xludf.DUMMYFUNCTION("""COMPUTED_VALUE"""),"CS03")</f>
        <v>CS03</v>
      </c>
    </row>
    <row r="6046" ht="15.75" customHeight="1">
      <c r="A6046" t="str">
        <f t="shared" si="1"/>
        <v>X.doucetiae</v>
      </c>
      <c r="B6046" s="5" t="s">
        <v>33729</v>
      </c>
      <c r="C6046" s="6" t="str">
        <f>IFERROR(__xludf.DUMMYFUNCTION("SPLIT('2. c'!B6046, "" "", True, True)"),"Xenorhabdus")</f>
        <v>Xenorhabdus</v>
      </c>
      <c r="D6046" t="str">
        <f>IFERROR(__xludf.DUMMYFUNCTION("""COMPUTED_VALUE"""),"doucetiae")</f>
        <v>doucetiae</v>
      </c>
      <c r="E6046" t="str">
        <f>IFERROR(__xludf.DUMMYFUNCTION("""COMPUTED_VALUE"""),"strain")</f>
        <v>strain</v>
      </c>
      <c r="F6046" t="str">
        <f>IFERROR(__xludf.DUMMYFUNCTION("""COMPUTED_VALUE"""),"FRM16")</f>
        <v>FRM16</v>
      </c>
      <c r="G6046" t="str">
        <f>IFERROR(__xludf.DUMMYFUNCTION("""COMPUTED_VALUE"""),"=")</f>
        <v>=</v>
      </c>
      <c r="H6046" t="str">
        <f>IFERROR(__xludf.DUMMYFUNCTION("""COMPUTED_VALUE"""),"DSM")</f>
        <v>DSM</v>
      </c>
      <c r="I6046">
        <f>IFERROR(__xludf.DUMMYFUNCTION("""COMPUTED_VALUE"""),17909.0)</f>
        <v>17909</v>
      </c>
    </row>
    <row r="6047" ht="15.75" customHeight="1">
      <c r="A6047" t="str">
        <f t="shared" si="1"/>
        <v>X.nematophila</v>
      </c>
      <c r="B6047" s="5" t="s">
        <v>33730</v>
      </c>
      <c r="C6047" s="6" t="str">
        <f>IFERROR(__xludf.DUMMYFUNCTION("SPLIT('2. c'!B6047, "" "", True, True)"),"Xenorhabdus")</f>
        <v>Xenorhabdus</v>
      </c>
      <c r="D6047" t="str">
        <f>IFERROR(__xludf.DUMMYFUNCTION("""COMPUTED_VALUE"""),"nematophila")</f>
        <v>nematophila</v>
      </c>
      <c r="E6047" t="str">
        <f>IFERROR(__xludf.DUMMYFUNCTION("""COMPUTED_VALUE"""),"AN6/1")</f>
        <v>AN6/1</v>
      </c>
    </row>
    <row r="6048" ht="15.75" customHeight="1">
      <c r="A6048" t="str">
        <f t="shared" si="1"/>
        <v>X.nematophila</v>
      </c>
      <c r="B6048" s="5" t="s">
        <v>33731</v>
      </c>
      <c r="C6048" s="6" t="str">
        <f>IFERROR(__xludf.DUMMYFUNCTION("SPLIT('2. c'!B6048, "" "", True, True)"),"Xenorhabdus")</f>
        <v>Xenorhabdus</v>
      </c>
      <c r="D6048" t="str">
        <f>IFERROR(__xludf.DUMMYFUNCTION("""COMPUTED_VALUE"""),"nematophila")</f>
        <v>nematophila</v>
      </c>
      <c r="E6048" t="str">
        <f>IFERROR(__xludf.DUMMYFUNCTION("""COMPUTED_VALUE"""),"ATCC")</f>
        <v>ATCC</v>
      </c>
      <c r="F6048">
        <f>IFERROR(__xludf.DUMMYFUNCTION("""COMPUTED_VALUE"""),19061.0)</f>
        <v>19061</v>
      </c>
    </row>
    <row r="6049" ht="15.75" customHeight="1">
      <c r="A6049" t="str">
        <f t="shared" si="1"/>
        <v>X.poinarii</v>
      </c>
      <c r="B6049" s="5" t="s">
        <v>33732</v>
      </c>
      <c r="C6049" s="6" t="str">
        <f>IFERROR(__xludf.DUMMYFUNCTION("SPLIT('2. c'!B6049, "" "", True, True)"),"Xenorhabdus")</f>
        <v>Xenorhabdus</v>
      </c>
      <c r="D6049" t="str">
        <f>IFERROR(__xludf.DUMMYFUNCTION("""COMPUTED_VALUE"""),"poinarii")</f>
        <v>poinarii</v>
      </c>
      <c r="E6049" t="str">
        <f>IFERROR(__xludf.DUMMYFUNCTION("""COMPUTED_VALUE"""),"G6")</f>
        <v>G6</v>
      </c>
    </row>
    <row r="6050" ht="15.75" customHeight="1">
      <c r="A6050" t="str">
        <f t="shared" si="1"/>
        <v>X.cellulosilytica</v>
      </c>
      <c r="B6050" s="5" t="s">
        <v>33733</v>
      </c>
      <c r="C6050" s="6" t="str">
        <f>IFERROR(__xludf.DUMMYFUNCTION("SPLIT('2. c'!B6050, "" "", True, True)"),"Xylanimonas")</f>
        <v>Xylanimonas</v>
      </c>
      <c r="D6050" t="str">
        <f>IFERROR(__xludf.DUMMYFUNCTION("""COMPUTED_VALUE"""),"cellulosilytica")</f>
        <v>cellulosilytica</v>
      </c>
      <c r="E6050" t="str">
        <f>IFERROR(__xludf.DUMMYFUNCTION("""COMPUTED_VALUE"""),"DSM")</f>
        <v>DSM</v>
      </c>
      <c r="F6050">
        <f>IFERROR(__xludf.DUMMYFUNCTION("""COMPUTED_VALUE"""),15894.0)</f>
        <v>15894</v>
      </c>
    </row>
    <row r="6051" ht="15.75" customHeight="1">
      <c r="A6051" t="str">
        <f t="shared" si="1"/>
        <v>X.fastidiosa</v>
      </c>
      <c r="B6051" s="5" t="s">
        <v>33734</v>
      </c>
      <c r="C6051" s="6" t="str">
        <f>IFERROR(__xludf.DUMMYFUNCTION("SPLIT('2. c'!B6051, "" "", True, True)"),"Xylella")</f>
        <v>Xylella</v>
      </c>
      <c r="D6051" t="str">
        <f>IFERROR(__xludf.DUMMYFUNCTION("""COMPUTED_VALUE"""),"fastidiosa")</f>
        <v>fastidiosa</v>
      </c>
      <c r="E6051" t="str">
        <f>IFERROR(__xludf.DUMMYFUNCTION("""COMPUTED_VALUE"""),"9a5c")</f>
        <v>9a5c</v>
      </c>
    </row>
    <row r="6052" ht="15.75" customHeight="1">
      <c r="A6052" t="str">
        <f t="shared" si="1"/>
        <v>X.fastidiosa</v>
      </c>
      <c r="B6052" s="5" t="s">
        <v>33735</v>
      </c>
      <c r="C6052" s="6" t="str">
        <f>IFERROR(__xludf.DUMMYFUNCTION("SPLIT('2. c'!B6052, "" "", True, True)"),"Xylella")</f>
        <v>Xylella</v>
      </c>
      <c r="D6052" t="str">
        <f>IFERROR(__xludf.DUMMYFUNCTION("""COMPUTED_VALUE"""),"fastidiosa")</f>
        <v>fastidiosa</v>
      </c>
      <c r="E6052" t="str">
        <f>IFERROR(__xludf.DUMMYFUNCTION("""COMPUTED_VALUE"""),"M12")</f>
        <v>M12</v>
      </c>
    </row>
    <row r="6053" ht="15.75" customHeight="1">
      <c r="A6053" t="str">
        <f t="shared" si="1"/>
        <v>X.fastidiosa</v>
      </c>
      <c r="B6053" s="5" t="s">
        <v>33736</v>
      </c>
      <c r="C6053" s="6" t="str">
        <f>IFERROR(__xludf.DUMMYFUNCTION("SPLIT('2. c'!B6053, "" "", True, True)"),"Xylella")</f>
        <v>Xylella</v>
      </c>
      <c r="D6053" t="str">
        <f>IFERROR(__xludf.DUMMYFUNCTION("""COMPUTED_VALUE"""),"fastidiosa")</f>
        <v>fastidiosa</v>
      </c>
      <c r="E6053" t="str">
        <f>IFERROR(__xludf.DUMMYFUNCTION("""COMPUTED_VALUE"""),"M23")</f>
        <v>M23</v>
      </c>
    </row>
    <row r="6054" ht="15.75" customHeight="1">
      <c r="A6054" t="str">
        <f t="shared" si="1"/>
        <v>X.fastidiosa</v>
      </c>
      <c r="B6054" s="5" t="s">
        <v>33737</v>
      </c>
      <c r="C6054" s="6" t="str">
        <f>IFERROR(__xludf.DUMMYFUNCTION("SPLIT('2. c'!B6054, "" "", True, True)"),"Xylella")</f>
        <v>Xylella</v>
      </c>
      <c r="D6054" t="str">
        <f>IFERROR(__xludf.DUMMYFUNCTION("""COMPUTED_VALUE"""),"fastidiosa")</f>
        <v>fastidiosa</v>
      </c>
      <c r="E6054" t="str">
        <f>IFERROR(__xludf.DUMMYFUNCTION("""COMPUTED_VALUE"""),"MUL0034")</f>
        <v>MUL0034</v>
      </c>
    </row>
    <row r="6055" ht="15.75" customHeight="1">
      <c r="A6055" t="str">
        <f t="shared" si="1"/>
        <v>X.fastidiosa</v>
      </c>
      <c r="B6055" s="5" t="s">
        <v>33738</v>
      </c>
      <c r="C6055" s="6" t="str">
        <f>IFERROR(__xludf.DUMMYFUNCTION("SPLIT('2. c'!B6055, "" "", True, True)"),"Xylella")</f>
        <v>Xylella</v>
      </c>
      <c r="D6055" t="str">
        <f>IFERROR(__xludf.DUMMYFUNCTION("""COMPUTED_VALUE"""),"fastidiosa")</f>
        <v>fastidiosa</v>
      </c>
      <c r="E6055" t="str">
        <f>IFERROR(__xludf.DUMMYFUNCTION("""COMPUTED_VALUE"""),"subsp.")</f>
        <v>subsp.</v>
      </c>
      <c r="F6055" t="str">
        <f>IFERROR(__xludf.DUMMYFUNCTION("""COMPUTED_VALUE"""),"fastidiosa")</f>
        <v>fastidiosa</v>
      </c>
      <c r="G6055" t="str">
        <f>IFERROR(__xludf.DUMMYFUNCTION("""COMPUTED_VALUE"""),"GB514")</f>
        <v>GB514</v>
      </c>
    </row>
    <row r="6056" ht="15.75" customHeight="1">
      <c r="A6056" t="str">
        <f t="shared" si="1"/>
        <v>X.fastidiosa</v>
      </c>
      <c r="B6056" s="5" t="s">
        <v>33739</v>
      </c>
      <c r="C6056" s="6" t="str">
        <f>IFERROR(__xludf.DUMMYFUNCTION("SPLIT('2. c'!B6056, "" "", True, True)"),"Xylella")</f>
        <v>Xylella</v>
      </c>
      <c r="D6056" t="str">
        <f>IFERROR(__xludf.DUMMYFUNCTION("""COMPUTED_VALUE"""),"fastidiosa")</f>
        <v>fastidiosa</v>
      </c>
      <c r="E6056" t="str">
        <f>IFERROR(__xludf.DUMMYFUNCTION("""COMPUTED_VALUE"""),"subsp.")</f>
        <v>subsp.</v>
      </c>
      <c r="F6056" t="str">
        <f>IFERROR(__xludf.DUMMYFUNCTION("""COMPUTED_VALUE"""),"sandyi")</f>
        <v>sandyi</v>
      </c>
      <c r="G6056" t="str">
        <f>IFERROR(__xludf.DUMMYFUNCTION("""COMPUTED_VALUE"""),"Ann-1")</f>
        <v>Ann-1</v>
      </c>
    </row>
    <row r="6057" ht="15.75" customHeight="1">
      <c r="A6057" t="str">
        <f t="shared" si="1"/>
        <v>X.fastidiosa</v>
      </c>
      <c r="B6057" s="5" t="s">
        <v>33740</v>
      </c>
      <c r="C6057" s="6" t="str">
        <f>IFERROR(__xludf.DUMMYFUNCTION("SPLIT('2. c'!B6057, "" "", True, True)"),"Xylella")</f>
        <v>Xylella</v>
      </c>
      <c r="D6057" t="str">
        <f>IFERROR(__xludf.DUMMYFUNCTION("""COMPUTED_VALUE"""),"fastidiosa")</f>
        <v>fastidiosa</v>
      </c>
      <c r="E6057" t="str">
        <f>IFERROR(__xludf.DUMMYFUNCTION("""COMPUTED_VALUE"""),"Temecula1")</f>
        <v>Temecula1</v>
      </c>
    </row>
    <row r="6058" ht="15.75" customHeight="1">
      <c r="A6058" t="str">
        <f t="shared" si="1"/>
        <v>Y.aldovae</v>
      </c>
      <c r="B6058" s="5" t="s">
        <v>33741</v>
      </c>
      <c r="C6058" s="6" t="str">
        <f>IFERROR(__xludf.DUMMYFUNCTION("SPLIT('2. c'!B6058, "" "", True, True)"),"Yersinia")</f>
        <v>Yersinia</v>
      </c>
      <c r="D6058" t="str">
        <f>IFERROR(__xludf.DUMMYFUNCTION("""COMPUTED_VALUE"""),"aldovae")</f>
        <v>aldovae</v>
      </c>
      <c r="E6058" t="str">
        <f>IFERROR(__xludf.DUMMYFUNCTION("""COMPUTED_VALUE"""),"670-83")</f>
        <v>670-83</v>
      </c>
    </row>
    <row r="6059" ht="15.75" customHeight="1">
      <c r="A6059" t="str">
        <f t="shared" si="1"/>
        <v>Y.aleksiciae</v>
      </c>
      <c r="B6059" s="5" t="s">
        <v>33742</v>
      </c>
      <c r="C6059" s="6" t="str">
        <f>IFERROR(__xludf.DUMMYFUNCTION("SPLIT('2. c'!B6059, "" "", True, True)"),"Yersinia")</f>
        <v>Yersinia</v>
      </c>
      <c r="D6059" t="str">
        <f>IFERROR(__xludf.DUMMYFUNCTION("""COMPUTED_VALUE"""),"aleksiciae")</f>
        <v>aleksiciae</v>
      </c>
      <c r="E6059" t="str">
        <f>IFERROR(__xludf.DUMMYFUNCTION("""COMPUTED_VALUE"""),"strain")</f>
        <v>strain</v>
      </c>
      <c r="F6059">
        <f>IFERROR(__xludf.DUMMYFUNCTION("""COMPUTED_VALUE"""),159.0)</f>
        <v>159</v>
      </c>
    </row>
    <row r="6060" ht="15.75" customHeight="1">
      <c r="A6060" t="str">
        <f t="shared" si="1"/>
        <v>Y.enterocolitica</v>
      </c>
      <c r="B6060" s="5" t="s">
        <v>33743</v>
      </c>
      <c r="C6060" s="6" t="str">
        <f>IFERROR(__xludf.DUMMYFUNCTION("SPLIT('2. c'!B6060, "" "", True, True)"),"Yersinia")</f>
        <v>Yersinia</v>
      </c>
      <c r="D6060" t="str">
        <f>IFERROR(__xludf.DUMMYFUNCTION("""COMPUTED_VALUE"""),"enterocolitica")</f>
        <v>enterocolitica</v>
      </c>
      <c r="E6060" t="str">
        <f>IFERROR(__xludf.DUMMYFUNCTION("""COMPUTED_VALUE"""),"(type")</f>
        <v>(type</v>
      </c>
      <c r="F6060" t="str">
        <f>IFERROR(__xludf.DUMMYFUNCTION("""COMPUTED_VALUE"""),"O:2)")</f>
        <v>O:2)</v>
      </c>
      <c r="G6060" t="str">
        <f>IFERROR(__xludf.DUMMYFUNCTION("""COMPUTED_VALUE"""),"str.")</f>
        <v>str.</v>
      </c>
      <c r="H6060" t="str">
        <f>IFERROR(__xludf.DUMMYFUNCTION("""COMPUTED_VALUE"""),"YE3094/96")</f>
        <v>YE3094/96</v>
      </c>
    </row>
    <row r="6061" ht="15.75" customHeight="1">
      <c r="A6061" t="str">
        <f t="shared" si="1"/>
        <v>Y.enterocolitica</v>
      </c>
      <c r="B6061" s="5" t="s">
        <v>33744</v>
      </c>
      <c r="C6061" s="6" t="str">
        <f>IFERROR(__xludf.DUMMYFUNCTION("SPLIT('2. c'!B6061, "" "", True, True)"),"Yersinia")</f>
        <v>Yersinia</v>
      </c>
      <c r="D6061" t="str">
        <f>IFERROR(__xludf.DUMMYFUNCTION("""COMPUTED_VALUE"""),"enterocolitica")</f>
        <v>enterocolitica</v>
      </c>
      <c r="E6061" t="str">
        <f>IFERROR(__xludf.DUMMYFUNCTION("""COMPUTED_VALUE"""),"(type")</f>
        <v>(type</v>
      </c>
      <c r="F6061" t="str">
        <f>IFERROR(__xludf.DUMMYFUNCTION("""COMPUTED_VALUE"""),"O:3)")</f>
        <v>O:3)</v>
      </c>
      <c r="G6061" t="str">
        <f>IFERROR(__xludf.DUMMYFUNCTION("""COMPUTED_VALUE"""),"str.")</f>
        <v>str.</v>
      </c>
      <c r="H6061" t="str">
        <f>IFERROR(__xludf.DUMMYFUNCTION("""COMPUTED_VALUE"""),"YE12/03")</f>
        <v>YE12/03</v>
      </c>
    </row>
    <row r="6062" ht="15.75" customHeight="1">
      <c r="A6062" t="str">
        <f t="shared" si="1"/>
        <v>Y.enterocolitica</v>
      </c>
      <c r="B6062" s="5" t="s">
        <v>33745</v>
      </c>
      <c r="C6062" s="6" t="str">
        <f>IFERROR(__xludf.DUMMYFUNCTION("SPLIT('2. c'!B6062, "" "", True, True)"),"Yersinia")</f>
        <v>Yersinia</v>
      </c>
      <c r="D6062" t="str">
        <f>IFERROR(__xludf.DUMMYFUNCTION("""COMPUTED_VALUE"""),"enterocolitica")</f>
        <v>enterocolitica</v>
      </c>
      <c r="E6062" t="str">
        <f>IFERROR(__xludf.DUMMYFUNCTION("""COMPUTED_VALUE"""),"(type")</f>
        <v>(type</v>
      </c>
      <c r="F6062" t="str">
        <f>IFERROR(__xludf.DUMMYFUNCTION("""COMPUTED_VALUE"""),"O:5)")</f>
        <v>O:5)</v>
      </c>
      <c r="G6062" t="str">
        <f>IFERROR(__xludf.DUMMYFUNCTION("""COMPUTED_VALUE"""),"str.")</f>
        <v>str.</v>
      </c>
      <c r="H6062" t="str">
        <f>IFERROR(__xludf.DUMMYFUNCTION("""COMPUTED_VALUE"""),"YE53/03")</f>
        <v>YE53/03</v>
      </c>
    </row>
    <row r="6063" ht="15.75" customHeight="1">
      <c r="A6063" t="str">
        <f t="shared" si="1"/>
        <v>Y.enterocolitica</v>
      </c>
      <c r="B6063" s="5" t="s">
        <v>33746</v>
      </c>
      <c r="C6063" s="6" t="str">
        <f>IFERROR(__xludf.DUMMYFUNCTION("SPLIT('2. c'!B6063, "" "", True, True)"),"Yersinia")</f>
        <v>Yersinia</v>
      </c>
      <c r="D6063" t="str">
        <f>IFERROR(__xludf.DUMMYFUNCTION("""COMPUTED_VALUE"""),"enterocolitica")</f>
        <v>enterocolitica</v>
      </c>
      <c r="E6063" t="str">
        <f>IFERROR(__xludf.DUMMYFUNCTION("""COMPUTED_VALUE"""),"(type")</f>
        <v>(type</v>
      </c>
      <c r="F6063" t="str">
        <f>IFERROR(__xludf.DUMMYFUNCTION("""COMPUTED_VALUE"""),"O:5,27)")</f>
        <v>O:5,27)</v>
      </c>
      <c r="G6063" t="str">
        <f>IFERROR(__xludf.DUMMYFUNCTION("""COMPUTED_VALUE"""),"str.")</f>
        <v>str.</v>
      </c>
      <c r="H6063" t="str">
        <f>IFERROR(__xludf.DUMMYFUNCTION("""COMPUTED_VALUE"""),"YE149/02")</f>
        <v>YE149/02</v>
      </c>
    </row>
    <row r="6064" ht="15.75" customHeight="1">
      <c r="A6064" t="str">
        <f t="shared" si="1"/>
        <v>Y.enterocolitica</v>
      </c>
      <c r="B6064" s="5" t="s">
        <v>33747</v>
      </c>
      <c r="C6064" s="6" t="str">
        <f>IFERROR(__xludf.DUMMYFUNCTION("SPLIT('2. c'!B6064, "" "", True, True)"),"Yersinia")</f>
        <v>Yersinia</v>
      </c>
      <c r="D6064" t="str">
        <f>IFERROR(__xludf.DUMMYFUNCTION("""COMPUTED_VALUE"""),"enterocolitica")</f>
        <v>enterocolitica</v>
      </c>
      <c r="E6064" t="str">
        <f>IFERROR(__xludf.DUMMYFUNCTION("""COMPUTED_VALUE"""),"(type")</f>
        <v>(type</v>
      </c>
      <c r="F6064" t="str">
        <f>IFERROR(__xludf.DUMMYFUNCTION("""COMPUTED_VALUE"""),"O:9)")</f>
        <v>O:9)</v>
      </c>
      <c r="G6064" t="str">
        <f>IFERROR(__xludf.DUMMYFUNCTION("""COMPUTED_VALUE"""),"str.")</f>
        <v>str.</v>
      </c>
      <c r="H6064" t="str">
        <f>IFERROR(__xludf.DUMMYFUNCTION("""COMPUTED_VALUE"""),"YE212/02")</f>
        <v>YE212/02</v>
      </c>
    </row>
    <row r="6065" ht="15.75" customHeight="1">
      <c r="A6065" t="str">
        <f t="shared" si="1"/>
        <v>Y.enterocolitica</v>
      </c>
      <c r="B6065" s="5" t="s">
        <v>33748</v>
      </c>
      <c r="C6065" s="6" t="str">
        <f>IFERROR(__xludf.DUMMYFUNCTION("SPLIT('2. c'!B6065, "" "", True, True)"),"Yersinia")</f>
        <v>Yersinia</v>
      </c>
      <c r="D6065" t="str">
        <f>IFERROR(__xludf.DUMMYFUNCTION("""COMPUTED_VALUE"""),"enterocolitica")</f>
        <v>enterocolitica</v>
      </c>
      <c r="E6065" t="str">
        <f>IFERROR(__xludf.DUMMYFUNCTION("""COMPUTED_VALUE"""),"(type")</f>
        <v>(type</v>
      </c>
      <c r="F6065" t="str">
        <f>IFERROR(__xludf.DUMMYFUNCTION("""COMPUTED_VALUE"""),"O:9)")</f>
        <v>O:9)</v>
      </c>
      <c r="G6065" t="str">
        <f>IFERROR(__xludf.DUMMYFUNCTION("""COMPUTED_VALUE"""),"str.")</f>
        <v>str.</v>
      </c>
      <c r="H6065" t="str">
        <f>IFERROR(__xludf.DUMMYFUNCTION("""COMPUTED_VALUE"""),"YE56/03")</f>
        <v>YE56/03</v>
      </c>
    </row>
    <row r="6066" ht="15.75" customHeight="1">
      <c r="A6066" t="str">
        <f t="shared" si="1"/>
        <v>Y.enterocolitica</v>
      </c>
      <c r="B6066" s="5" t="s">
        <v>33749</v>
      </c>
      <c r="C6066" s="6" t="str">
        <f>IFERROR(__xludf.DUMMYFUNCTION("SPLIT('2. c'!B6066, "" "", True, True)"),"Yersinia")</f>
        <v>Yersinia</v>
      </c>
      <c r="D6066" t="str">
        <f>IFERROR(__xludf.DUMMYFUNCTION("""COMPUTED_VALUE"""),"enterocolitica")</f>
        <v>enterocolitica</v>
      </c>
      <c r="E6066" t="str">
        <f>IFERROR(__xludf.DUMMYFUNCTION("""COMPUTED_VALUE"""),"2516-87")</f>
        <v>2516-87</v>
      </c>
    </row>
    <row r="6067" ht="15.75" customHeight="1">
      <c r="A6067" t="str">
        <f t="shared" si="1"/>
        <v>Y.enterocolitica</v>
      </c>
      <c r="B6067" s="5" t="s">
        <v>33750</v>
      </c>
      <c r="C6067" s="6" t="str">
        <f>IFERROR(__xludf.DUMMYFUNCTION("SPLIT('2. c'!B6067, "" "", True, True)"),"Yersinia")</f>
        <v>Yersinia</v>
      </c>
      <c r="D6067" t="str">
        <f>IFERROR(__xludf.DUMMYFUNCTION("""COMPUTED_VALUE"""),"enterocolitica")</f>
        <v>enterocolitica</v>
      </c>
      <c r="E6067">
        <f>IFERROR(__xludf.DUMMYFUNCTION("""COMPUTED_VALUE"""),8081.0)</f>
        <v>8081</v>
      </c>
    </row>
    <row r="6068" ht="15.75" customHeight="1">
      <c r="A6068" t="str">
        <f t="shared" si="1"/>
        <v>Y.enterocolitica</v>
      </c>
      <c r="B6068" s="5" t="s">
        <v>33751</v>
      </c>
      <c r="C6068" s="6" t="str">
        <f>IFERROR(__xludf.DUMMYFUNCTION("SPLIT('2. c'!B6068, "" "", True, True)"),"Yersinia")</f>
        <v>Yersinia</v>
      </c>
      <c r="D6068" t="str">
        <f>IFERROR(__xludf.DUMMYFUNCTION("""COMPUTED_VALUE"""),"enterocolitica")</f>
        <v>enterocolitica</v>
      </c>
      <c r="E6068" t="str">
        <f>IFERROR(__xludf.DUMMYFUNCTION("""COMPUTED_VALUE"""),"LC20")</f>
        <v>LC20</v>
      </c>
    </row>
    <row r="6069" ht="15.75" customHeight="1">
      <c r="A6069" t="str">
        <f t="shared" si="1"/>
        <v>Y.enterocolitica</v>
      </c>
      <c r="B6069" s="5" t="s">
        <v>33752</v>
      </c>
      <c r="C6069" s="6" t="str">
        <f>IFERROR(__xludf.DUMMYFUNCTION("SPLIT('2. c'!B6069, "" "", True, True)"),"Yersinia")</f>
        <v>Yersinia</v>
      </c>
      <c r="D6069" t="str">
        <f>IFERROR(__xludf.DUMMYFUNCTION("""COMPUTED_VALUE"""),"enterocolitica")</f>
        <v>enterocolitica</v>
      </c>
      <c r="E6069" t="str">
        <f>IFERROR(__xludf.DUMMYFUNCTION("""COMPUTED_VALUE"""),"strain")</f>
        <v>strain</v>
      </c>
      <c r="F6069" t="str">
        <f>IFERROR(__xludf.DUMMYFUNCTION("""COMPUTED_VALUE"""),"ATCC")</f>
        <v>ATCC</v>
      </c>
      <c r="G6069">
        <f>IFERROR(__xludf.DUMMYFUNCTION("""COMPUTED_VALUE"""),9610.0)</f>
        <v>9610</v>
      </c>
    </row>
    <row r="6070" ht="15.75" customHeight="1">
      <c r="A6070" t="str">
        <f t="shared" si="1"/>
        <v>Y.enterocolitica</v>
      </c>
      <c r="B6070" s="5" t="s">
        <v>33753</v>
      </c>
      <c r="C6070" s="6" t="str">
        <f>IFERROR(__xludf.DUMMYFUNCTION("SPLIT('2. c'!B6070, "" "", True, True)"),"Yersinia")</f>
        <v>Yersinia</v>
      </c>
      <c r="D6070" t="str">
        <f>IFERROR(__xludf.DUMMYFUNCTION("""COMPUTED_VALUE"""),"enterocolitica")</f>
        <v>enterocolitica</v>
      </c>
      <c r="E6070" t="str">
        <f>IFERROR(__xludf.DUMMYFUNCTION("""COMPUTED_VALUE"""),"strain")</f>
        <v>strain</v>
      </c>
      <c r="F6070" t="str">
        <f>IFERROR(__xludf.DUMMYFUNCTION("""COMPUTED_VALUE"""),"FORC_002")</f>
        <v>FORC_002</v>
      </c>
    </row>
    <row r="6071" ht="15.75" customHeight="1">
      <c r="A6071" t="str">
        <f t="shared" si="1"/>
        <v>Y.enterocolitica</v>
      </c>
      <c r="B6071" s="5" t="s">
        <v>33754</v>
      </c>
      <c r="C6071" s="6" t="str">
        <f>IFERROR(__xludf.DUMMYFUNCTION("SPLIT('2. c'!B6071, "" "", True, True)"),"Yersinia")</f>
        <v>Yersinia</v>
      </c>
      <c r="D6071" t="str">
        <f>IFERROR(__xludf.DUMMYFUNCTION("""COMPUTED_VALUE"""),"enterocolitica")</f>
        <v>enterocolitica</v>
      </c>
      <c r="E6071" t="str">
        <f>IFERROR(__xludf.DUMMYFUNCTION("""COMPUTED_VALUE"""),"strain")</f>
        <v>strain</v>
      </c>
      <c r="F6071" t="str">
        <f>IFERROR(__xludf.DUMMYFUNCTION("""COMPUTED_VALUE"""),"FORC-002")</f>
        <v>FORC-002</v>
      </c>
    </row>
    <row r="6072" ht="15.75" customHeight="1">
      <c r="A6072" t="str">
        <f t="shared" si="1"/>
        <v>Y.enterocolitica</v>
      </c>
      <c r="B6072" s="5" t="s">
        <v>33755</v>
      </c>
      <c r="C6072" s="6" t="str">
        <f>IFERROR(__xludf.DUMMYFUNCTION("SPLIT('2. c'!B6072, "" "", True, True)"),"Yersinia")</f>
        <v>Yersinia</v>
      </c>
      <c r="D6072" t="str">
        <f>IFERROR(__xludf.DUMMYFUNCTION("""COMPUTED_VALUE"""),"enterocolitica")</f>
        <v>enterocolitica</v>
      </c>
      <c r="E6072" t="str">
        <f>IFERROR(__xludf.DUMMYFUNCTION("""COMPUTED_VALUE"""),"strain")</f>
        <v>strain</v>
      </c>
      <c r="F6072" t="str">
        <f>IFERROR(__xludf.DUMMYFUNCTION("""COMPUTED_VALUE"""),"KNG22703")</f>
        <v>KNG22703</v>
      </c>
    </row>
    <row r="6073" ht="15.75" customHeight="1">
      <c r="A6073" t="str">
        <f t="shared" si="1"/>
        <v>Y.enterocolitica</v>
      </c>
      <c r="B6073" s="5" t="s">
        <v>33756</v>
      </c>
      <c r="C6073" s="6" t="str">
        <f>IFERROR(__xludf.DUMMYFUNCTION("SPLIT('2. c'!B6073, "" "", True, True)"),"Yersinia")</f>
        <v>Yersinia</v>
      </c>
      <c r="D6073" t="str">
        <f>IFERROR(__xludf.DUMMYFUNCTION("""COMPUTED_VALUE"""),"enterocolitica")</f>
        <v>enterocolitica</v>
      </c>
      <c r="E6073" t="str">
        <f>IFERROR(__xludf.DUMMYFUNCTION("""COMPUTED_VALUE"""),"subsp.")</f>
        <v>subsp.</v>
      </c>
      <c r="F6073" t="str">
        <f>IFERROR(__xludf.DUMMYFUNCTION("""COMPUTED_VALUE"""),"enterocolitica")</f>
        <v>enterocolitica</v>
      </c>
      <c r="G6073">
        <f>IFERROR(__xludf.DUMMYFUNCTION("""COMPUTED_VALUE"""),8081.0)</f>
        <v>8081</v>
      </c>
    </row>
    <row r="6074" ht="15.75" customHeight="1">
      <c r="A6074" t="str">
        <f t="shared" si="1"/>
        <v>Y.enterocolitica</v>
      </c>
      <c r="B6074" s="5" t="s">
        <v>33757</v>
      </c>
      <c r="C6074" s="6" t="str">
        <f>IFERROR(__xludf.DUMMYFUNCTION("SPLIT('2. c'!B6074, "" "", True, True)"),"Yersinia")</f>
        <v>Yersinia</v>
      </c>
      <c r="D6074" t="str">
        <f>IFERROR(__xludf.DUMMYFUNCTION("""COMPUTED_VALUE"""),"enterocolitica")</f>
        <v>enterocolitica</v>
      </c>
      <c r="E6074" t="str">
        <f>IFERROR(__xludf.DUMMYFUNCTION("""COMPUTED_VALUE"""),"subsp.")</f>
        <v>subsp.</v>
      </c>
      <c r="F6074" t="str">
        <f>IFERROR(__xludf.DUMMYFUNCTION("""COMPUTED_VALUE"""),"palearctica")</f>
        <v>palearctica</v>
      </c>
      <c r="G6074" t="str">
        <f>IFERROR(__xludf.DUMMYFUNCTION("""COMPUTED_VALUE"""),"105.5R(r)")</f>
        <v>105.5R(r)</v>
      </c>
    </row>
    <row r="6075" ht="15.75" customHeight="1">
      <c r="A6075" t="str">
        <f t="shared" si="1"/>
        <v>Y.enterocolitica</v>
      </c>
      <c r="B6075" s="5" t="s">
        <v>33758</v>
      </c>
      <c r="C6075" s="6" t="str">
        <f>IFERROR(__xludf.DUMMYFUNCTION("SPLIT('2. c'!B6075, "" "", True, True)"),"Yersinia")</f>
        <v>Yersinia</v>
      </c>
      <c r="D6075" t="str">
        <f>IFERROR(__xludf.DUMMYFUNCTION("""COMPUTED_VALUE"""),"enterocolitica")</f>
        <v>enterocolitica</v>
      </c>
      <c r="E6075" t="str">
        <f>IFERROR(__xludf.DUMMYFUNCTION("""COMPUTED_VALUE"""),"subsp.")</f>
        <v>subsp.</v>
      </c>
      <c r="F6075" t="str">
        <f>IFERROR(__xludf.DUMMYFUNCTION("""COMPUTED_VALUE"""),"palearctica")</f>
        <v>palearctica</v>
      </c>
      <c r="G6075" t="str">
        <f>IFERROR(__xludf.DUMMYFUNCTION("""COMPUTED_VALUE"""),"Y11")</f>
        <v>Y11</v>
      </c>
    </row>
    <row r="6076" ht="15.75" customHeight="1">
      <c r="A6076" t="str">
        <f t="shared" si="1"/>
        <v>Y.enterocolitica</v>
      </c>
      <c r="B6076" s="5" t="s">
        <v>33759</v>
      </c>
      <c r="C6076" s="6" t="str">
        <f>IFERROR(__xludf.DUMMYFUNCTION("SPLIT('2. c'!B6076, "" "", True, True)"),"Yersinia")</f>
        <v>Yersinia</v>
      </c>
      <c r="D6076" t="str">
        <f>IFERROR(__xludf.DUMMYFUNCTION("""COMPUTED_VALUE"""),"enterocolitica")</f>
        <v>enterocolitica</v>
      </c>
      <c r="E6076" t="str">
        <f>IFERROR(__xludf.DUMMYFUNCTION("""COMPUTED_VALUE"""),"WA")</f>
        <v>WA</v>
      </c>
    </row>
    <row r="6077" ht="15.75" customHeight="1">
      <c r="A6077" t="str">
        <f t="shared" si="1"/>
        <v>Y.entomophaga</v>
      </c>
      <c r="B6077" s="5" t="s">
        <v>33760</v>
      </c>
      <c r="C6077" s="6" t="str">
        <f>IFERROR(__xludf.DUMMYFUNCTION("SPLIT('2. c'!B6077, "" "", True, True)"),"Yersinia")</f>
        <v>Yersinia</v>
      </c>
      <c r="D6077" t="str">
        <f>IFERROR(__xludf.DUMMYFUNCTION("""COMPUTED_VALUE"""),"entomophaga")</f>
        <v>entomophaga</v>
      </c>
      <c r="E6077" t="str">
        <f>IFERROR(__xludf.DUMMYFUNCTION("""COMPUTED_VALUE"""),"strain")</f>
        <v>strain</v>
      </c>
      <c r="F6077" t="str">
        <f>IFERROR(__xludf.DUMMYFUNCTION("""COMPUTED_VALUE"""),"MH96")</f>
        <v>MH96</v>
      </c>
    </row>
    <row r="6078" ht="15.75" customHeight="1">
      <c r="A6078" t="str">
        <f t="shared" si="1"/>
        <v>Y.frederiksenii</v>
      </c>
      <c r="B6078" s="5" t="s">
        <v>33761</v>
      </c>
      <c r="C6078" s="6" t="str">
        <f>IFERROR(__xludf.DUMMYFUNCTION("SPLIT('2. c'!B6078, "" "", True, True)"),"Yersinia")</f>
        <v>Yersinia</v>
      </c>
      <c r="D6078" t="str">
        <f>IFERROR(__xludf.DUMMYFUNCTION("""COMPUTED_VALUE"""),"frederiksenii")</f>
        <v>frederiksenii</v>
      </c>
      <c r="E6078" t="str">
        <f>IFERROR(__xludf.DUMMYFUNCTION("""COMPUTED_VALUE"""),"Y225")</f>
        <v>Y225</v>
      </c>
    </row>
    <row r="6079" ht="15.75" customHeight="1">
      <c r="A6079" t="str">
        <f t="shared" si="1"/>
        <v>Y.intermedia</v>
      </c>
      <c r="B6079" s="5" t="s">
        <v>33762</v>
      </c>
      <c r="C6079" s="6" t="str">
        <f>IFERROR(__xludf.DUMMYFUNCTION("SPLIT('2. c'!B6079, "" "", True, True)"),"Yersinia")</f>
        <v>Yersinia</v>
      </c>
      <c r="D6079" t="str">
        <f>IFERROR(__xludf.DUMMYFUNCTION("""COMPUTED_VALUE"""),"intermedia")</f>
        <v>intermedia</v>
      </c>
      <c r="E6079" t="str">
        <f>IFERROR(__xludf.DUMMYFUNCTION("""COMPUTED_VALUE"""),"Y228")</f>
        <v>Y228</v>
      </c>
    </row>
    <row r="6080" ht="15.75" customHeight="1">
      <c r="A6080" t="str">
        <f t="shared" si="1"/>
        <v>Y.kristensenii</v>
      </c>
      <c r="B6080" s="5" t="s">
        <v>33763</v>
      </c>
      <c r="C6080" s="6" t="str">
        <f>IFERROR(__xludf.DUMMYFUNCTION("SPLIT('2. c'!B6080, "" "", True, True)"),"Yersinia")</f>
        <v>Yersinia</v>
      </c>
      <c r="D6080" t="str">
        <f>IFERROR(__xludf.DUMMYFUNCTION("""COMPUTED_VALUE"""),"kristensenii")</f>
        <v>kristensenii</v>
      </c>
      <c r="E6080" t="str">
        <f>IFERROR(__xludf.DUMMYFUNCTION("""COMPUTED_VALUE"""),"strain")</f>
        <v>strain</v>
      </c>
      <c r="F6080" t="str">
        <f>IFERROR(__xludf.DUMMYFUNCTION("""COMPUTED_VALUE"""),"ATCC")</f>
        <v>ATCC</v>
      </c>
      <c r="G6080">
        <f>IFERROR(__xludf.DUMMYFUNCTION("""COMPUTED_VALUE"""),33639.0)</f>
        <v>33639</v>
      </c>
    </row>
    <row r="6081" ht="15.75" customHeight="1">
      <c r="A6081" t="str">
        <f t="shared" si="1"/>
        <v>Y.kristensenii</v>
      </c>
      <c r="B6081" s="5" t="s">
        <v>33764</v>
      </c>
      <c r="C6081" s="6" t="str">
        <f>IFERROR(__xludf.DUMMYFUNCTION("SPLIT('2. c'!B6081, "" "", True, True)"),"Yersinia")</f>
        <v>Yersinia</v>
      </c>
      <c r="D6081" t="str">
        <f>IFERROR(__xludf.DUMMYFUNCTION("""COMPUTED_VALUE"""),"kristensenii")</f>
        <v>kristensenii</v>
      </c>
      <c r="E6081" t="str">
        <f>IFERROR(__xludf.DUMMYFUNCTION("""COMPUTED_VALUE"""),"strain")</f>
        <v>strain</v>
      </c>
      <c r="F6081" t="str">
        <f>IFERROR(__xludf.DUMMYFUNCTION("""COMPUTED_VALUE"""),"Y231")</f>
        <v>Y231</v>
      </c>
    </row>
    <row r="6082" ht="15.75" customHeight="1">
      <c r="A6082" t="str">
        <f t="shared" si="1"/>
        <v>Y.pestis</v>
      </c>
      <c r="B6082" s="5" t="s">
        <v>33765</v>
      </c>
      <c r="C6082" s="6" t="str">
        <f>IFERROR(__xludf.DUMMYFUNCTION("SPLIT('2. c'!B6082, "" "", True, True)"),"Yersinia")</f>
        <v>Yersinia</v>
      </c>
      <c r="D6082" t="str">
        <f>IFERROR(__xludf.DUMMYFUNCTION("""COMPUTED_VALUE"""),"pestis")</f>
        <v>pestis</v>
      </c>
      <c r="E6082">
        <f>IFERROR(__xludf.DUMMYFUNCTION("""COMPUTED_VALUE"""),1045.0)</f>
        <v>1045</v>
      </c>
    </row>
    <row r="6083" ht="15.75" customHeight="1">
      <c r="A6083" t="str">
        <f t="shared" si="1"/>
        <v>Y.pestis</v>
      </c>
      <c r="B6083" s="5" t="s">
        <v>33766</v>
      </c>
      <c r="C6083" s="6" t="str">
        <f>IFERROR(__xludf.DUMMYFUNCTION("SPLIT('2. c'!B6083, "" "", True, True)"),"Yersinia")</f>
        <v>Yersinia</v>
      </c>
      <c r="D6083" t="str">
        <f>IFERROR(__xludf.DUMMYFUNCTION("""COMPUTED_VALUE"""),"pestis")</f>
        <v>pestis</v>
      </c>
      <c r="E6083">
        <f>IFERROR(__xludf.DUMMYFUNCTION("""COMPUTED_VALUE"""),1412.0)</f>
        <v>1412</v>
      </c>
    </row>
    <row r="6084" ht="15.75" customHeight="1">
      <c r="A6084" t="str">
        <f t="shared" si="1"/>
        <v>Y.pestis</v>
      </c>
      <c r="B6084" s="5" t="s">
        <v>33767</v>
      </c>
      <c r="C6084" s="6" t="str">
        <f>IFERROR(__xludf.DUMMYFUNCTION("SPLIT('2. c'!B6084, "" "", True, True)"),"Yersinia")</f>
        <v>Yersinia</v>
      </c>
      <c r="D6084" t="str">
        <f>IFERROR(__xludf.DUMMYFUNCTION("""COMPUTED_VALUE"""),"pestis")</f>
        <v>pestis</v>
      </c>
      <c r="E6084">
        <f>IFERROR(__xludf.DUMMYFUNCTION("""COMPUTED_VALUE"""),1413.0)</f>
        <v>1413</v>
      </c>
    </row>
    <row r="6085" ht="15.75" customHeight="1">
      <c r="A6085" t="str">
        <f t="shared" si="1"/>
        <v>Y.pestis</v>
      </c>
      <c r="B6085" s="5" t="s">
        <v>33768</v>
      </c>
      <c r="C6085" s="6" t="str">
        <f>IFERROR(__xludf.DUMMYFUNCTION("SPLIT('2. c'!B6085, "" "", True, True)"),"Yersinia")</f>
        <v>Yersinia</v>
      </c>
      <c r="D6085" t="str">
        <f>IFERROR(__xludf.DUMMYFUNCTION("""COMPUTED_VALUE"""),"pestis")</f>
        <v>pestis</v>
      </c>
      <c r="E6085">
        <f>IFERROR(__xludf.DUMMYFUNCTION("""COMPUTED_VALUE"""),1522.0)</f>
        <v>1522</v>
      </c>
    </row>
    <row r="6086" ht="15.75" customHeight="1">
      <c r="A6086" t="str">
        <f t="shared" si="1"/>
        <v>Y.pestis</v>
      </c>
      <c r="B6086" s="5" t="s">
        <v>33769</v>
      </c>
      <c r="C6086" s="6" t="str">
        <f>IFERROR(__xludf.DUMMYFUNCTION("SPLIT('2. c'!B6086, "" "", True, True)"),"Yersinia")</f>
        <v>Yersinia</v>
      </c>
      <c r="D6086" t="str">
        <f>IFERROR(__xludf.DUMMYFUNCTION("""COMPUTED_VALUE"""),"pestis")</f>
        <v>pestis</v>
      </c>
      <c r="E6086">
        <f>IFERROR(__xludf.DUMMYFUNCTION("""COMPUTED_VALUE"""),2944.0)</f>
        <v>2944</v>
      </c>
    </row>
    <row r="6087" ht="15.75" customHeight="1">
      <c r="A6087" t="str">
        <f t="shared" si="1"/>
        <v>Y.pestis</v>
      </c>
      <c r="B6087" s="5" t="s">
        <v>33770</v>
      </c>
      <c r="C6087" s="6" t="str">
        <f>IFERROR(__xludf.DUMMYFUNCTION("SPLIT('2. c'!B6087, "" "", True, True)"),"Yersinia")</f>
        <v>Yersinia</v>
      </c>
      <c r="D6087" t="str">
        <f>IFERROR(__xludf.DUMMYFUNCTION("""COMPUTED_VALUE"""),"pestis")</f>
        <v>pestis</v>
      </c>
      <c r="E6087">
        <f>IFERROR(__xludf.DUMMYFUNCTION("""COMPUTED_VALUE"""),3067.0)</f>
        <v>3067</v>
      </c>
    </row>
    <row r="6088" ht="15.75" customHeight="1">
      <c r="A6088" t="str">
        <f t="shared" si="1"/>
        <v>Y.pestis</v>
      </c>
      <c r="B6088" s="5" t="s">
        <v>33771</v>
      </c>
      <c r="C6088" s="6" t="str">
        <f>IFERROR(__xludf.DUMMYFUNCTION("SPLIT('2. c'!B6088, "" "", True, True)"),"Yersinia")</f>
        <v>Yersinia</v>
      </c>
      <c r="D6088" t="str">
        <f>IFERROR(__xludf.DUMMYFUNCTION("""COMPUTED_VALUE"""),"pestis")</f>
        <v>pestis</v>
      </c>
      <c r="E6088">
        <f>IFERROR(__xludf.DUMMYFUNCTION("""COMPUTED_VALUE"""),3770.0)</f>
        <v>3770</v>
      </c>
    </row>
    <row r="6089" ht="15.75" customHeight="1">
      <c r="A6089" t="str">
        <f t="shared" si="1"/>
        <v>Y.pestis</v>
      </c>
      <c r="B6089" s="5" t="s">
        <v>33772</v>
      </c>
      <c r="C6089" s="6" t="str">
        <f>IFERROR(__xludf.DUMMYFUNCTION("SPLIT('2. c'!B6089, "" "", True, True)"),"Yersinia")</f>
        <v>Yersinia</v>
      </c>
      <c r="D6089" t="str">
        <f>IFERROR(__xludf.DUMMYFUNCTION("""COMPUTED_VALUE"""),"pestis")</f>
        <v>pestis</v>
      </c>
      <c r="E6089">
        <f>IFERROR(__xludf.DUMMYFUNCTION("""COMPUTED_VALUE"""),790.0)</f>
        <v>790</v>
      </c>
    </row>
    <row r="6090" ht="15.75" customHeight="1">
      <c r="A6090" t="str">
        <f t="shared" si="1"/>
        <v>Y.pestis</v>
      </c>
      <c r="B6090" s="5" t="s">
        <v>33773</v>
      </c>
      <c r="C6090" s="6" t="str">
        <f>IFERROR(__xludf.DUMMYFUNCTION("SPLIT('2. c'!B6090, "" "", True, True)"),"Yersinia")</f>
        <v>Yersinia</v>
      </c>
      <c r="D6090" t="str">
        <f>IFERROR(__xludf.DUMMYFUNCTION("""COMPUTED_VALUE"""),"pestis")</f>
        <v>pestis</v>
      </c>
      <c r="E6090">
        <f>IFERROR(__xludf.DUMMYFUNCTION("""COMPUTED_VALUE"""),8787.0)</f>
        <v>8787</v>
      </c>
    </row>
    <row r="6091" ht="15.75" customHeight="1">
      <c r="A6091" t="str">
        <f t="shared" si="1"/>
        <v>Y.pestis</v>
      </c>
      <c r="B6091" s="5" t="s">
        <v>33774</v>
      </c>
      <c r="C6091" s="6" t="str">
        <f>IFERROR(__xludf.DUMMYFUNCTION("SPLIT('2. c'!B6091, "" "", True, True)"),"Yersinia")</f>
        <v>Yersinia</v>
      </c>
      <c r="D6091" t="str">
        <f>IFERROR(__xludf.DUMMYFUNCTION("""COMPUTED_VALUE"""),"pestis")</f>
        <v>pestis</v>
      </c>
      <c r="E6091" t="str">
        <f>IFERROR(__xludf.DUMMYFUNCTION("""COMPUTED_VALUE"""),"A1122")</f>
        <v>A1122</v>
      </c>
    </row>
    <row r="6092" ht="15.75" customHeight="1">
      <c r="A6092" t="str">
        <f t="shared" si="1"/>
        <v>Y.pestis</v>
      </c>
      <c r="B6092" s="5" t="s">
        <v>33774</v>
      </c>
      <c r="C6092" s="6" t="str">
        <f>IFERROR(__xludf.DUMMYFUNCTION("SPLIT('2. c'!B6092, "" "", True, True)"),"Yersinia")</f>
        <v>Yersinia</v>
      </c>
      <c r="D6092" t="str">
        <f>IFERROR(__xludf.DUMMYFUNCTION("""COMPUTED_VALUE"""),"pestis")</f>
        <v>pestis</v>
      </c>
      <c r="E6092" t="str">
        <f>IFERROR(__xludf.DUMMYFUNCTION("""COMPUTED_VALUE"""),"A1122")</f>
        <v>A1122</v>
      </c>
    </row>
    <row r="6093" ht="15.75" customHeight="1">
      <c r="A6093" t="str">
        <f t="shared" si="1"/>
        <v>Y.pestis</v>
      </c>
      <c r="B6093" s="5" t="s">
        <v>33775</v>
      </c>
      <c r="C6093" s="6" t="str">
        <f>IFERROR(__xludf.DUMMYFUNCTION("SPLIT('2. c'!B6093, "" "", True, True)"),"Yersinia")</f>
        <v>Yersinia</v>
      </c>
      <c r="D6093" t="str">
        <f>IFERROR(__xludf.DUMMYFUNCTION("""COMPUTED_VALUE"""),"pestis")</f>
        <v>pestis</v>
      </c>
      <c r="E6093" t="str">
        <f>IFERROR(__xludf.DUMMYFUNCTION("""COMPUTED_VALUE"""),"Angola")</f>
        <v>Angola</v>
      </c>
    </row>
    <row r="6094" ht="15.75" customHeight="1">
      <c r="A6094" t="str">
        <f t="shared" si="1"/>
        <v>Y.pestis</v>
      </c>
      <c r="B6094" s="5" t="s">
        <v>33775</v>
      </c>
      <c r="C6094" s="6" t="str">
        <f>IFERROR(__xludf.DUMMYFUNCTION("SPLIT('2. c'!B6094, "" "", True, True)"),"Yersinia")</f>
        <v>Yersinia</v>
      </c>
      <c r="D6094" t="str">
        <f>IFERROR(__xludf.DUMMYFUNCTION("""COMPUTED_VALUE"""),"pestis")</f>
        <v>pestis</v>
      </c>
      <c r="E6094" t="str">
        <f>IFERROR(__xludf.DUMMYFUNCTION("""COMPUTED_VALUE"""),"Angola")</f>
        <v>Angola</v>
      </c>
    </row>
    <row r="6095" ht="15.75" customHeight="1">
      <c r="A6095" t="str">
        <f t="shared" si="1"/>
        <v>Y.pestis</v>
      </c>
      <c r="B6095" s="5" t="s">
        <v>33776</v>
      </c>
      <c r="C6095" s="6" t="str">
        <f>IFERROR(__xludf.DUMMYFUNCTION("SPLIT('2. c'!B6095, "" "", True, True)"),"Yersinia")</f>
        <v>Yersinia</v>
      </c>
      <c r="D6095" t="str">
        <f>IFERROR(__xludf.DUMMYFUNCTION("""COMPUTED_VALUE"""),"pestis")</f>
        <v>pestis</v>
      </c>
      <c r="E6095" t="str">
        <f>IFERROR(__xludf.DUMMYFUNCTION("""COMPUTED_VALUE"""),"Antiqua")</f>
        <v>Antiqua</v>
      </c>
    </row>
    <row r="6096" ht="15.75" customHeight="1">
      <c r="A6096" t="str">
        <f t="shared" si="1"/>
        <v>Y.pestis</v>
      </c>
      <c r="B6096" s="5" t="s">
        <v>33776</v>
      </c>
      <c r="C6096" s="6" t="str">
        <f>IFERROR(__xludf.DUMMYFUNCTION("SPLIT('2. c'!B6096, "" "", True, True)"),"Yersinia")</f>
        <v>Yersinia</v>
      </c>
      <c r="D6096" t="str">
        <f>IFERROR(__xludf.DUMMYFUNCTION("""COMPUTED_VALUE"""),"pestis")</f>
        <v>pestis</v>
      </c>
      <c r="E6096" t="str">
        <f>IFERROR(__xludf.DUMMYFUNCTION("""COMPUTED_VALUE"""),"Antiqua")</f>
        <v>Antiqua</v>
      </c>
    </row>
    <row r="6097" ht="15.75" customHeight="1">
      <c r="A6097" t="str">
        <f t="shared" si="1"/>
        <v>Y.pestis</v>
      </c>
      <c r="B6097" s="5" t="s">
        <v>33777</v>
      </c>
      <c r="C6097" s="6" t="str">
        <f>IFERROR(__xludf.DUMMYFUNCTION("SPLIT('2. c'!B6097, "" "", True, True)"),"Yersinia")</f>
        <v>Yersinia</v>
      </c>
      <c r="D6097" t="str">
        <f>IFERROR(__xludf.DUMMYFUNCTION("""COMPUTED_VALUE"""),"pestis")</f>
        <v>pestis</v>
      </c>
      <c r="E6097" t="str">
        <f>IFERROR(__xludf.DUMMYFUNCTION("""COMPUTED_VALUE"""),"biovar")</f>
        <v>biovar</v>
      </c>
      <c r="F6097" t="str">
        <f>IFERROR(__xludf.DUMMYFUNCTION("""COMPUTED_VALUE"""),"Medievalis")</f>
        <v>Medievalis</v>
      </c>
      <c r="G6097" t="str">
        <f>IFERROR(__xludf.DUMMYFUNCTION("""COMPUTED_VALUE"""),"str.")</f>
        <v>str.</v>
      </c>
      <c r="H6097" t="str">
        <f>IFERROR(__xludf.DUMMYFUNCTION("""COMPUTED_VALUE"""),"Harbin")</f>
        <v>Harbin</v>
      </c>
      <c r="I6097">
        <f>IFERROR(__xludf.DUMMYFUNCTION("""COMPUTED_VALUE"""),35.0)</f>
        <v>35</v>
      </c>
    </row>
    <row r="6098" ht="15.75" customHeight="1">
      <c r="A6098" t="str">
        <f t="shared" si="1"/>
        <v>Y.pestis</v>
      </c>
      <c r="B6098" s="5" t="s">
        <v>33778</v>
      </c>
      <c r="C6098" s="6" t="str">
        <f>IFERROR(__xludf.DUMMYFUNCTION("SPLIT('2. c'!B6098, "" "", True, True)"),"Yersinia")</f>
        <v>Yersinia</v>
      </c>
      <c r="D6098" t="str">
        <f>IFERROR(__xludf.DUMMYFUNCTION("""COMPUTED_VALUE"""),"pestis")</f>
        <v>pestis</v>
      </c>
      <c r="E6098" t="str">
        <f>IFERROR(__xludf.DUMMYFUNCTION("""COMPUTED_VALUE"""),"biovar")</f>
        <v>biovar</v>
      </c>
      <c r="F6098" t="str">
        <f>IFERROR(__xludf.DUMMYFUNCTION("""COMPUTED_VALUE"""),"Microtus")</f>
        <v>Microtus</v>
      </c>
      <c r="G6098" t="str">
        <f>IFERROR(__xludf.DUMMYFUNCTION("""COMPUTED_VALUE"""),"str.")</f>
        <v>str.</v>
      </c>
      <c r="H6098">
        <f>IFERROR(__xludf.DUMMYFUNCTION("""COMPUTED_VALUE"""),91001.0)</f>
        <v>91001</v>
      </c>
    </row>
    <row r="6099" ht="15.75" customHeight="1">
      <c r="A6099" t="str">
        <f t="shared" si="1"/>
        <v>Y.pestis</v>
      </c>
      <c r="B6099" s="5" t="s">
        <v>33779</v>
      </c>
      <c r="C6099" s="6" t="str">
        <f>IFERROR(__xludf.DUMMYFUNCTION("SPLIT('2. c'!B6099, "" "", True, True)"),"Yersinia")</f>
        <v>Yersinia</v>
      </c>
      <c r="D6099" t="str">
        <f>IFERROR(__xludf.DUMMYFUNCTION("""COMPUTED_VALUE"""),"pestis")</f>
        <v>pestis</v>
      </c>
      <c r="E6099" t="str">
        <f>IFERROR(__xludf.DUMMYFUNCTION("""COMPUTED_VALUE"""),"CO92")</f>
        <v>CO92</v>
      </c>
    </row>
    <row r="6100" ht="15.75" customHeight="1">
      <c r="A6100" t="str">
        <f t="shared" si="1"/>
        <v>Y.pestis</v>
      </c>
      <c r="B6100" s="5" t="s">
        <v>33779</v>
      </c>
      <c r="C6100" s="6" t="str">
        <f>IFERROR(__xludf.DUMMYFUNCTION("SPLIT('2. c'!B6100, "" "", True, True)"),"Yersinia")</f>
        <v>Yersinia</v>
      </c>
      <c r="D6100" t="str">
        <f>IFERROR(__xludf.DUMMYFUNCTION("""COMPUTED_VALUE"""),"pestis")</f>
        <v>pestis</v>
      </c>
      <c r="E6100" t="str">
        <f>IFERROR(__xludf.DUMMYFUNCTION("""COMPUTED_VALUE"""),"CO92")</f>
        <v>CO92</v>
      </c>
    </row>
    <row r="6101" ht="15.75" customHeight="1">
      <c r="A6101" t="str">
        <f t="shared" si="1"/>
        <v>Y.pestis</v>
      </c>
      <c r="B6101" s="5" t="s">
        <v>33780</v>
      </c>
      <c r="C6101" s="6" t="str">
        <f>IFERROR(__xludf.DUMMYFUNCTION("SPLIT('2. c'!B6101, "" "", True, True)"),"Yersinia")</f>
        <v>Yersinia</v>
      </c>
      <c r="D6101" t="str">
        <f>IFERROR(__xludf.DUMMYFUNCTION("""COMPUTED_VALUE"""),"pestis")</f>
        <v>pestis</v>
      </c>
      <c r="E6101" t="str">
        <f>IFERROR(__xludf.DUMMYFUNCTION("""COMPUTED_VALUE"""),"D106004")</f>
        <v>D106004</v>
      </c>
    </row>
    <row r="6102" ht="15.75" customHeight="1">
      <c r="A6102" t="str">
        <f t="shared" si="1"/>
        <v>Y.pestis</v>
      </c>
      <c r="B6102" s="5" t="s">
        <v>33781</v>
      </c>
      <c r="C6102" s="6" t="str">
        <f>IFERROR(__xludf.DUMMYFUNCTION("SPLIT('2. c'!B6102, "" "", True, True)"),"Yersinia")</f>
        <v>Yersinia</v>
      </c>
      <c r="D6102" t="str">
        <f>IFERROR(__xludf.DUMMYFUNCTION("""COMPUTED_VALUE"""),"pestis")</f>
        <v>pestis</v>
      </c>
      <c r="E6102" t="str">
        <f>IFERROR(__xludf.DUMMYFUNCTION("""COMPUTED_VALUE"""),"D182038")</f>
        <v>D182038</v>
      </c>
    </row>
    <row r="6103" ht="15.75" customHeight="1">
      <c r="A6103" t="str">
        <f t="shared" si="1"/>
        <v>Y.pestis</v>
      </c>
      <c r="B6103" s="5" t="s">
        <v>33782</v>
      </c>
      <c r="C6103" s="6" t="str">
        <f>IFERROR(__xludf.DUMMYFUNCTION("SPLIT('2. c'!B6103, "" "", True, True)"),"Yersinia")</f>
        <v>Yersinia</v>
      </c>
      <c r="D6103" t="str">
        <f>IFERROR(__xludf.DUMMYFUNCTION("""COMPUTED_VALUE"""),"pestis")</f>
        <v>pestis</v>
      </c>
      <c r="E6103" t="str">
        <f>IFERROR(__xludf.DUMMYFUNCTION("""COMPUTED_VALUE"""),"Dodson")</f>
        <v>Dodson</v>
      </c>
    </row>
    <row r="6104" ht="15.75" customHeight="1">
      <c r="A6104" t="str">
        <f t="shared" si="1"/>
        <v>Y.pestis</v>
      </c>
      <c r="B6104" s="5" t="s">
        <v>33783</v>
      </c>
      <c r="C6104" s="6" t="str">
        <f>IFERROR(__xludf.DUMMYFUNCTION("SPLIT('2. c'!B6104, "" "", True, True)"),"Yersinia")</f>
        <v>Yersinia</v>
      </c>
      <c r="D6104" t="str">
        <f>IFERROR(__xludf.DUMMYFUNCTION("""COMPUTED_VALUE"""),"pestis")</f>
        <v>pestis</v>
      </c>
      <c r="E6104" t="str">
        <f>IFERROR(__xludf.DUMMYFUNCTION("""COMPUTED_VALUE"""),"El")</f>
        <v>El</v>
      </c>
      <c r="F6104" t="str">
        <f>IFERROR(__xludf.DUMMYFUNCTION("""COMPUTED_VALUE"""),"Dorado")</f>
        <v>Dorado</v>
      </c>
    </row>
    <row r="6105" ht="15.75" customHeight="1">
      <c r="A6105" t="str">
        <f t="shared" si="1"/>
        <v>Y.pestis</v>
      </c>
      <c r="B6105" s="5" t="s">
        <v>33784</v>
      </c>
      <c r="C6105" s="6" t="str">
        <f>IFERROR(__xludf.DUMMYFUNCTION("SPLIT('2. c'!B6105, "" "", True, True)"),"Yersinia")</f>
        <v>Yersinia</v>
      </c>
      <c r="D6105" t="str">
        <f>IFERROR(__xludf.DUMMYFUNCTION("""COMPUTED_VALUE"""),"pestis")</f>
        <v>pestis</v>
      </c>
      <c r="E6105" t="str">
        <f>IFERROR(__xludf.DUMMYFUNCTION("""COMPUTED_VALUE"""),"Harbin35")</f>
        <v>Harbin35</v>
      </c>
    </row>
    <row r="6106" ht="15.75" customHeight="1">
      <c r="A6106" t="str">
        <f t="shared" si="1"/>
        <v>Y.pestis</v>
      </c>
      <c r="B6106" s="5" t="s">
        <v>33785</v>
      </c>
      <c r="C6106" s="6" t="str">
        <f>IFERROR(__xludf.DUMMYFUNCTION("SPLIT('2. c'!B6106, "" "", True, True)"),"Yersinia")</f>
        <v>Yersinia</v>
      </c>
      <c r="D6106" t="str">
        <f>IFERROR(__xludf.DUMMYFUNCTION("""COMPUTED_VALUE"""),"pestis")</f>
        <v>pestis</v>
      </c>
      <c r="E6106" t="str">
        <f>IFERROR(__xludf.DUMMYFUNCTION("""COMPUTED_VALUE"""),"Java9")</f>
        <v>Java9</v>
      </c>
    </row>
    <row r="6107" ht="15.75" customHeight="1">
      <c r="A6107" t="str">
        <f t="shared" si="1"/>
        <v>Y.pestis</v>
      </c>
      <c r="B6107" s="5" t="s">
        <v>33786</v>
      </c>
      <c r="C6107" s="6" t="str">
        <f>IFERROR(__xludf.DUMMYFUNCTION("SPLIT('2. c'!B6107, "" "", True, True)"),"Yersinia")</f>
        <v>Yersinia</v>
      </c>
      <c r="D6107" t="str">
        <f>IFERROR(__xludf.DUMMYFUNCTION("""COMPUTED_VALUE"""),"pestis")</f>
        <v>pestis</v>
      </c>
      <c r="E6107" t="str">
        <f>IFERROR(__xludf.DUMMYFUNCTION("""COMPUTED_VALUE"""),"KIM10+")</f>
        <v>KIM10+</v>
      </c>
    </row>
    <row r="6108" ht="15.75" customHeight="1">
      <c r="A6108" t="str">
        <f t="shared" si="1"/>
        <v>Y.pestis</v>
      </c>
      <c r="B6108" s="5" t="s">
        <v>33787</v>
      </c>
      <c r="C6108" s="6" t="str">
        <f>IFERROR(__xludf.DUMMYFUNCTION("SPLIT('2. c'!B6108, "" "", True, True)"),"Yersinia")</f>
        <v>Yersinia</v>
      </c>
      <c r="D6108" t="str">
        <f>IFERROR(__xludf.DUMMYFUNCTION("""COMPUTED_VALUE"""),"pestis")</f>
        <v>pestis</v>
      </c>
      <c r="E6108" t="str">
        <f>IFERROR(__xludf.DUMMYFUNCTION("""COMPUTED_VALUE"""),"Nairobi")</f>
        <v>Nairobi</v>
      </c>
    </row>
    <row r="6109" ht="15.75" customHeight="1">
      <c r="A6109" t="str">
        <f t="shared" si="1"/>
        <v>Y.pestis</v>
      </c>
      <c r="B6109" s="5" t="s">
        <v>33788</v>
      </c>
      <c r="C6109" s="6" t="str">
        <f>IFERROR(__xludf.DUMMYFUNCTION("SPLIT('2. c'!B6109, "" "", True, True)"),"Yersinia")</f>
        <v>Yersinia</v>
      </c>
      <c r="D6109" t="str">
        <f>IFERROR(__xludf.DUMMYFUNCTION("""COMPUTED_VALUE"""),"pestis")</f>
        <v>pestis</v>
      </c>
      <c r="E6109" t="str">
        <f>IFERROR(__xludf.DUMMYFUNCTION("""COMPUTED_VALUE"""),"Nepal516")</f>
        <v>Nepal516</v>
      </c>
    </row>
    <row r="6110" ht="15.75" customHeight="1">
      <c r="A6110" t="str">
        <f t="shared" si="1"/>
        <v>Y.pestis</v>
      </c>
      <c r="B6110" s="5" t="s">
        <v>33789</v>
      </c>
      <c r="C6110" s="6" t="str">
        <f>IFERROR(__xludf.DUMMYFUNCTION("SPLIT('2. c'!B6110, "" "", True, True)"),"Yersinia")</f>
        <v>Yersinia</v>
      </c>
      <c r="D6110" t="str">
        <f>IFERROR(__xludf.DUMMYFUNCTION("""COMPUTED_VALUE"""),"pestis")</f>
        <v>pestis</v>
      </c>
      <c r="E6110" t="str">
        <f>IFERROR(__xludf.DUMMYFUNCTION("""COMPUTED_VALUE"""),"Nicholisk")</f>
        <v>Nicholisk</v>
      </c>
      <c r="F6110">
        <f>IFERROR(__xludf.DUMMYFUNCTION("""COMPUTED_VALUE"""),41.0)</f>
        <v>41</v>
      </c>
    </row>
    <row r="6111" ht="15.75" customHeight="1">
      <c r="A6111" t="str">
        <f t="shared" si="1"/>
        <v>Y.pestis</v>
      </c>
      <c r="B6111" s="5" t="s">
        <v>33790</v>
      </c>
      <c r="C6111" s="6" t="str">
        <f>IFERROR(__xludf.DUMMYFUNCTION("SPLIT('2. c'!B6111, "" "", True, True)"),"Yersinia")</f>
        <v>Yersinia</v>
      </c>
      <c r="D6111" t="str">
        <f>IFERROR(__xludf.DUMMYFUNCTION("""COMPUTED_VALUE"""),"pestis")</f>
        <v>pestis</v>
      </c>
      <c r="E6111" t="str">
        <f>IFERROR(__xludf.DUMMYFUNCTION("""COMPUTED_VALUE"""),"PBM19")</f>
        <v>PBM19</v>
      </c>
    </row>
    <row r="6112" ht="15.75" customHeight="1">
      <c r="A6112" t="str">
        <f t="shared" si="1"/>
        <v>Y.pestis</v>
      </c>
      <c r="B6112" s="5" t="s">
        <v>33791</v>
      </c>
      <c r="C6112" s="6" t="str">
        <f>IFERROR(__xludf.DUMMYFUNCTION("SPLIT('2. c'!B6112, "" "", True, True)"),"Yersinia")</f>
        <v>Yersinia</v>
      </c>
      <c r="D6112" t="str">
        <f>IFERROR(__xludf.DUMMYFUNCTION("""COMPUTED_VALUE"""),"pestis")</f>
        <v>pestis</v>
      </c>
      <c r="E6112" t="str">
        <f>IFERROR(__xludf.DUMMYFUNCTION("""COMPUTED_VALUE"""),"Pestoides")</f>
        <v>Pestoides</v>
      </c>
      <c r="F6112" t="str">
        <f>IFERROR(__xludf.DUMMYFUNCTION("""COMPUTED_VALUE"""),"F")</f>
        <v>F</v>
      </c>
    </row>
    <row r="6113" ht="15.75" customHeight="1">
      <c r="A6113" t="str">
        <f t="shared" si="1"/>
        <v>Y.pestis</v>
      </c>
      <c r="B6113" s="5" t="s">
        <v>33791</v>
      </c>
      <c r="C6113" s="6" t="str">
        <f>IFERROR(__xludf.DUMMYFUNCTION("SPLIT('2. c'!B6113, "" "", True, True)"),"Yersinia")</f>
        <v>Yersinia</v>
      </c>
      <c r="D6113" t="str">
        <f>IFERROR(__xludf.DUMMYFUNCTION("""COMPUTED_VALUE"""),"pestis")</f>
        <v>pestis</v>
      </c>
      <c r="E6113" t="str">
        <f>IFERROR(__xludf.DUMMYFUNCTION("""COMPUTED_VALUE"""),"Pestoides")</f>
        <v>Pestoides</v>
      </c>
      <c r="F6113" t="str">
        <f>IFERROR(__xludf.DUMMYFUNCTION("""COMPUTED_VALUE"""),"F")</f>
        <v>F</v>
      </c>
    </row>
    <row r="6114" ht="15.75" customHeight="1">
      <c r="A6114" t="str">
        <f t="shared" si="1"/>
        <v>Y.pestis</v>
      </c>
      <c r="B6114" s="5" t="s">
        <v>33792</v>
      </c>
      <c r="C6114" s="6" t="str">
        <f>IFERROR(__xludf.DUMMYFUNCTION("SPLIT('2. c'!B6114, "" "", True, True)"),"Yersinia")</f>
        <v>Yersinia</v>
      </c>
      <c r="D6114" t="str">
        <f>IFERROR(__xludf.DUMMYFUNCTION("""COMPUTED_VALUE"""),"pestis")</f>
        <v>pestis</v>
      </c>
      <c r="E6114" t="str">
        <f>IFERROR(__xludf.DUMMYFUNCTION("""COMPUTED_VALUE"""),"Pestoides")</f>
        <v>Pestoides</v>
      </c>
      <c r="F6114" t="str">
        <f>IFERROR(__xludf.DUMMYFUNCTION("""COMPUTED_VALUE"""),"G")</f>
        <v>G</v>
      </c>
    </row>
    <row r="6115" ht="15.75" customHeight="1">
      <c r="A6115" t="str">
        <f t="shared" si="1"/>
        <v>Y.pestis</v>
      </c>
      <c r="B6115" s="5" t="s">
        <v>33793</v>
      </c>
      <c r="C6115" s="6" t="str">
        <f>IFERROR(__xludf.DUMMYFUNCTION("SPLIT('2. c'!B6115, "" "", True, True)"),"Yersinia")</f>
        <v>Yersinia</v>
      </c>
      <c r="D6115" t="str">
        <f>IFERROR(__xludf.DUMMYFUNCTION("""COMPUTED_VALUE"""),"pestis")</f>
        <v>pestis</v>
      </c>
      <c r="E6115" t="str">
        <f>IFERROR(__xludf.DUMMYFUNCTION("""COMPUTED_VALUE"""),"Shasta")</f>
        <v>Shasta</v>
      </c>
    </row>
    <row r="6116" ht="15.75" customHeight="1">
      <c r="A6116" t="str">
        <f t="shared" si="1"/>
        <v>Y.pestis</v>
      </c>
      <c r="B6116" s="5" t="s">
        <v>33794</v>
      </c>
      <c r="C6116" s="6" t="str">
        <f>IFERROR(__xludf.DUMMYFUNCTION("SPLIT('2. c'!B6116, "" "", True, True)"),"Yersinia")</f>
        <v>Yersinia</v>
      </c>
      <c r="D6116" t="str">
        <f>IFERROR(__xludf.DUMMYFUNCTION("""COMPUTED_VALUE"""),"pestis")</f>
        <v>pestis</v>
      </c>
      <c r="E6116" t="str">
        <f>IFERROR(__xludf.DUMMYFUNCTION("""COMPUTED_VALUE"""),"str.")</f>
        <v>str.</v>
      </c>
      <c r="F6116" t="str">
        <f>IFERROR(__xludf.DUMMYFUNCTION("""COMPUTED_VALUE"""),"Pestoides")</f>
        <v>Pestoides</v>
      </c>
      <c r="G6116" t="str">
        <f>IFERROR(__xludf.DUMMYFUNCTION("""COMPUTED_VALUE"""),"B")</f>
        <v>B</v>
      </c>
    </row>
    <row r="6117" ht="15.75" customHeight="1">
      <c r="A6117" t="str">
        <f t="shared" si="1"/>
        <v>Y.pestis</v>
      </c>
      <c r="B6117" s="5" t="s">
        <v>33795</v>
      </c>
      <c r="C6117" s="6" t="str">
        <f>IFERROR(__xludf.DUMMYFUNCTION("SPLIT('2. c'!B6117, "" "", True, True)"),"Yersinia")</f>
        <v>Yersinia</v>
      </c>
      <c r="D6117" t="str">
        <f>IFERROR(__xludf.DUMMYFUNCTION("""COMPUTED_VALUE"""),"pestis")</f>
        <v>pestis</v>
      </c>
      <c r="E6117" t="str">
        <f>IFERROR(__xludf.DUMMYFUNCTION("""COMPUTED_VALUE"""),"strain")</f>
        <v>strain</v>
      </c>
      <c r="F6117" t="str">
        <f>IFERROR(__xludf.DUMMYFUNCTION("""COMPUTED_VALUE"""),"KIM5")</f>
        <v>KIM5</v>
      </c>
    </row>
    <row r="6118" ht="15.75" customHeight="1">
      <c r="A6118" t="str">
        <f t="shared" si="1"/>
        <v>Y.pestis</v>
      </c>
      <c r="B6118" s="5" t="s">
        <v>33796</v>
      </c>
      <c r="C6118" s="6" t="str">
        <f>IFERROR(__xludf.DUMMYFUNCTION("SPLIT('2. c'!B6118, "" "", True, True)"),"Yersinia")</f>
        <v>Yersinia</v>
      </c>
      <c r="D6118" t="str">
        <f>IFERROR(__xludf.DUMMYFUNCTION("""COMPUTED_VALUE"""),"pestis")</f>
        <v>pestis</v>
      </c>
      <c r="E6118" t="str">
        <f>IFERROR(__xludf.DUMMYFUNCTION("""COMPUTED_VALUE"""),"Z176003")</f>
        <v>Z176003</v>
      </c>
    </row>
    <row r="6119" ht="15.75" customHeight="1">
      <c r="A6119" t="str">
        <f t="shared" si="1"/>
        <v>Y.pseudotuberculosis</v>
      </c>
      <c r="B6119" s="5" t="s">
        <v>33797</v>
      </c>
      <c r="C6119" s="6" t="str">
        <f>IFERROR(__xludf.DUMMYFUNCTION("SPLIT('2. c'!B6119, "" "", True, True)"),"Yersinia")</f>
        <v>Yersinia</v>
      </c>
      <c r="D6119" t="str">
        <f>IFERROR(__xludf.DUMMYFUNCTION("""COMPUTED_VALUE"""),"pseudotuberculosis")</f>
        <v>pseudotuberculosis</v>
      </c>
      <c r="E6119">
        <f>IFERROR(__xludf.DUMMYFUNCTION("""COMPUTED_VALUE"""),1.0)</f>
        <v>1</v>
      </c>
    </row>
    <row r="6120" ht="15.75" customHeight="1">
      <c r="A6120" t="str">
        <f t="shared" si="1"/>
        <v>Y.pseudotuberculosis</v>
      </c>
      <c r="B6120" s="5" t="s">
        <v>33798</v>
      </c>
      <c r="C6120" s="6" t="str">
        <f>IFERROR(__xludf.DUMMYFUNCTION("SPLIT('2. c'!B6120, "" "", True, True)"),"Yersinia")</f>
        <v>Yersinia</v>
      </c>
      <c r="D6120" t="str">
        <f>IFERROR(__xludf.DUMMYFUNCTION("""COMPUTED_VALUE"""),"pseudotuberculosis")</f>
        <v>pseudotuberculosis</v>
      </c>
      <c r="E6120" t="str">
        <f>IFERROR(__xludf.DUMMYFUNCTION("""COMPUTED_VALUE"""),"EP2/+")</f>
        <v>EP2/+</v>
      </c>
    </row>
    <row r="6121" ht="15.75" customHeight="1">
      <c r="A6121" t="str">
        <f t="shared" si="1"/>
        <v>Y.pseudotuberculosis</v>
      </c>
      <c r="B6121" s="5" t="s">
        <v>33799</v>
      </c>
      <c r="C6121" s="6" t="str">
        <f>IFERROR(__xludf.DUMMYFUNCTION("SPLIT('2. c'!B6121, "" "", True, True)"),"Yersinia")</f>
        <v>Yersinia</v>
      </c>
      <c r="D6121" t="str">
        <f>IFERROR(__xludf.DUMMYFUNCTION("""COMPUTED_VALUE"""),"pseudotuberculosis")</f>
        <v>pseudotuberculosis</v>
      </c>
      <c r="E6121" t="str">
        <f>IFERROR(__xludf.DUMMYFUNCTION("""COMPUTED_VALUE"""),"IP")</f>
        <v>IP</v>
      </c>
      <c r="F6121">
        <f>IFERROR(__xludf.DUMMYFUNCTION("""COMPUTED_VALUE"""),31758.0)</f>
        <v>31758</v>
      </c>
    </row>
    <row r="6122" ht="15.75" customHeight="1">
      <c r="A6122" t="str">
        <f t="shared" si="1"/>
        <v>Y.pseudotuberculosis</v>
      </c>
      <c r="B6122" s="5" t="s">
        <v>33800</v>
      </c>
      <c r="C6122" s="6" t="str">
        <f>IFERROR(__xludf.DUMMYFUNCTION("SPLIT('2. c'!B6122, "" "", True, True)"),"Yersinia")</f>
        <v>Yersinia</v>
      </c>
      <c r="D6122" t="str">
        <f>IFERROR(__xludf.DUMMYFUNCTION("""COMPUTED_VALUE"""),"pseudotuberculosis")</f>
        <v>pseudotuberculosis</v>
      </c>
      <c r="E6122" t="str">
        <f>IFERROR(__xludf.DUMMYFUNCTION("""COMPUTED_VALUE"""),"IP")</f>
        <v>IP</v>
      </c>
      <c r="F6122">
        <f>IFERROR(__xludf.DUMMYFUNCTION("""COMPUTED_VALUE"""),32953.0)</f>
        <v>32953</v>
      </c>
    </row>
    <row r="6123" ht="15.75" customHeight="1">
      <c r="A6123" t="str">
        <f t="shared" si="1"/>
        <v>Y.pseudotuberculosis</v>
      </c>
      <c r="B6123" s="5" t="s">
        <v>33800</v>
      </c>
      <c r="C6123" s="6" t="str">
        <f>IFERROR(__xludf.DUMMYFUNCTION("SPLIT('2. c'!B6123, "" "", True, True)"),"Yersinia")</f>
        <v>Yersinia</v>
      </c>
      <c r="D6123" t="str">
        <f>IFERROR(__xludf.DUMMYFUNCTION("""COMPUTED_VALUE"""),"pseudotuberculosis")</f>
        <v>pseudotuberculosis</v>
      </c>
      <c r="E6123" t="str">
        <f>IFERROR(__xludf.DUMMYFUNCTION("""COMPUTED_VALUE"""),"IP")</f>
        <v>IP</v>
      </c>
      <c r="F6123">
        <f>IFERROR(__xludf.DUMMYFUNCTION("""COMPUTED_VALUE"""),32953.0)</f>
        <v>32953</v>
      </c>
    </row>
    <row r="6124" ht="15.75" customHeight="1">
      <c r="A6124" t="str">
        <f t="shared" si="1"/>
        <v>Y.pseudotuberculosis</v>
      </c>
      <c r="B6124" s="5" t="s">
        <v>33801</v>
      </c>
      <c r="C6124" s="6" t="str">
        <f>IFERROR(__xludf.DUMMYFUNCTION("SPLIT('2. c'!B6124, "" "", True, True)"),"Yersinia")</f>
        <v>Yersinia</v>
      </c>
      <c r="D6124" t="str">
        <f>IFERROR(__xludf.DUMMYFUNCTION("""COMPUTED_VALUE"""),"pseudotuberculosis")</f>
        <v>pseudotuberculosis</v>
      </c>
      <c r="E6124" t="str">
        <f>IFERROR(__xludf.DUMMYFUNCTION("""COMPUTED_VALUE"""),"MD67")</f>
        <v>MD67</v>
      </c>
    </row>
    <row r="6125" ht="15.75" customHeight="1">
      <c r="A6125" t="str">
        <f t="shared" si="1"/>
        <v>Y.pseudotuberculosis</v>
      </c>
      <c r="B6125" s="5" t="s">
        <v>33802</v>
      </c>
      <c r="C6125" s="6" t="str">
        <f>IFERROR(__xludf.DUMMYFUNCTION("SPLIT('2. c'!B6125, "" "", True, True)"),"Yersinia")</f>
        <v>Yersinia</v>
      </c>
      <c r="D6125" t="str">
        <f>IFERROR(__xludf.DUMMYFUNCTION("""COMPUTED_VALUE"""),"pseudotuberculosis")</f>
        <v>pseudotuberculosis</v>
      </c>
      <c r="E6125" t="str">
        <f>IFERROR(__xludf.DUMMYFUNCTION("""COMPUTED_VALUE"""),"PB1/+")</f>
        <v>PB1/+</v>
      </c>
    </row>
    <row r="6126" ht="15.75" customHeight="1">
      <c r="A6126" t="str">
        <f t="shared" si="1"/>
        <v>Y.pseudotuberculosis</v>
      </c>
      <c r="B6126" s="5" t="s">
        <v>33802</v>
      </c>
      <c r="C6126" s="6" t="str">
        <f>IFERROR(__xludf.DUMMYFUNCTION("SPLIT('2. c'!B6126, "" "", True, True)"),"Yersinia")</f>
        <v>Yersinia</v>
      </c>
      <c r="D6126" t="str">
        <f>IFERROR(__xludf.DUMMYFUNCTION("""COMPUTED_VALUE"""),"pseudotuberculosis")</f>
        <v>pseudotuberculosis</v>
      </c>
      <c r="E6126" t="str">
        <f>IFERROR(__xludf.DUMMYFUNCTION("""COMPUTED_VALUE"""),"PB1/+")</f>
        <v>PB1/+</v>
      </c>
    </row>
    <row r="6127" ht="15.75" customHeight="1">
      <c r="A6127" t="str">
        <f t="shared" si="1"/>
        <v>Y.pseudotuberculosis</v>
      </c>
      <c r="B6127" s="5" t="s">
        <v>33803</v>
      </c>
      <c r="C6127" s="6" t="str">
        <f>IFERROR(__xludf.DUMMYFUNCTION("SPLIT('2. c'!B6127, "" "", True, True)"),"Yersinia")</f>
        <v>Yersinia</v>
      </c>
      <c r="D6127" t="str">
        <f>IFERROR(__xludf.DUMMYFUNCTION("""COMPUTED_VALUE"""),"pseudotuberculosis")</f>
        <v>pseudotuberculosis</v>
      </c>
      <c r="E6127" t="str">
        <f>IFERROR(__xludf.DUMMYFUNCTION("""COMPUTED_VALUE"""),"str.")</f>
        <v>str.</v>
      </c>
      <c r="F6127" t="str">
        <f>IFERROR(__xludf.DUMMYFUNCTION("""COMPUTED_VALUE"""),"PA3606")</f>
        <v>PA3606</v>
      </c>
      <c r="G6127" t="str">
        <f>IFERROR(__xludf.DUMMYFUNCTION("""COMPUTED_VALUE"""),"Pa3606")</f>
        <v>Pa3606</v>
      </c>
    </row>
    <row r="6128" ht="15.75" customHeight="1">
      <c r="A6128" t="str">
        <f t="shared" si="1"/>
        <v>Y.pseudotuberculosis</v>
      </c>
      <c r="B6128" s="5" t="s">
        <v>33804</v>
      </c>
      <c r="C6128" s="6" t="str">
        <f>IFERROR(__xludf.DUMMYFUNCTION("SPLIT('2. c'!B6128, "" "", True, True)"),"Yersinia")</f>
        <v>Yersinia</v>
      </c>
      <c r="D6128" t="str">
        <f>IFERROR(__xludf.DUMMYFUNCTION("""COMPUTED_VALUE"""),"pseudotuberculosis")</f>
        <v>pseudotuberculosis</v>
      </c>
      <c r="E6128" t="str">
        <f>IFERROR(__xludf.DUMMYFUNCTION("""COMPUTED_VALUE"""),"strain")</f>
        <v>strain</v>
      </c>
      <c r="F6128">
        <f>IFERROR(__xludf.DUMMYFUNCTION("""COMPUTED_VALUE"""),6904.0)</f>
        <v>6904</v>
      </c>
    </row>
    <row r="6129" ht="15.75" customHeight="1">
      <c r="A6129" t="str">
        <f t="shared" si="1"/>
        <v>Y.pseudotuberculosis</v>
      </c>
      <c r="B6129" s="5" t="s">
        <v>33805</v>
      </c>
      <c r="C6129" s="6" t="str">
        <f>IFERROR(__xludf.DUMMYFUNCTION("SPLIT('2. c'!B6129, "" "", True, True)"),"Yersinia")</f>
        <v>Yersinia</v>
      </c>
      <c r="D6129" t="str">
        <f>IFERROR(__xludf.DUMMYFUNCTION("""COMPUTED_VALUE"""),"pseudotuberculosis")</f>
        <v>pseudotuberculosis</v>
      </c>
      <c r="E6129" t="str">
        <f>IFERROR(__xludf.DUMMYFUNCTION("""COMPUTED_VALUE"""),"YPIII")</f>
        <v>YPIII</v>
      </c>
    </row>
    <row r="6130" ht="15.75" customHeight="1">
      <c r="A6130" t="str">
        <f t="shared" si="1"/>
        <v>Y.pseudotuberculosis</v>
      </c>
      <c r="B6130" s="5" t="s">
        <v>33805</v>
      </c>
      <c r="C6130" s="6" t="str">
        <f>IFERROR(__xludf.DUMMYFUNCTION("SPLIT('2. c'!B6130, "" "", True, True)"),"Yersinia")</f>
        <v>Yersinia</v>
      </c>
      <c r="D6130" t="str">
        <f>IFERROR(__xludf.DUMMYFUNCTION("""COMPUTED_VALUE"""),"pseudotuberculosis")</f>
        <v>pseudotuberculosis</v>
      </c>
      <c r="E6130" t="str">
        <f>IFERROR(__xludf.DUMMYFUNCTION("""COMPUTED_VALUE"""),"YPIII")</f>
        <v>YPIII</v>
      </c>
    </row>
    <row r="6131" ht="15.75" customHeight="1">
      <c r="A6131" t="str">
        <f t="shared" si="1"/>
        <v>Y.rohdei</v>
      </c>
      <c r="B6131" s="5" t="s">
        <v>33806</v>
      </c>
      <c r="C6131" s="6" t="str">
        <f>IFERROR(__xludf.DUMMYFUNCTION("SPLIT('2. c'!B6131, "" "", True, True)"),"Yersinia")</f>
        <v>Yersinia</v>
      </c>
      <c r="D6131" t="str">
        <f>IFERROR(__xludf.DUMMYFUNCTION("""COMPUTED_VALUE"""),"rohdei")</f>
        <v>rohdei</v>
      </c>
      <c r="E6131" t="str">
        <f>IFERROR(__xludf.DUMMYFUNCTION("""COMPUTED_VALUE"""),"YRA")</f>
        <v>YRA</v>
      </c>
    </row>
    <row r="6132" ht="15.75" customHeight="1">
      <c r="A6132" t="str">
        <f t="shared" si="1"/>
        <v>Y.ruckeri</v>
      </c>
      <c r="B6132" s="5" t="s">
        <v>33807</v>
      </c>
      <c r="C6132" s="6" t="str">
        <f>IFERROR(__xludf.DUMMYFUNCTION("SPLIT('2. c'!B6132, "" "", True, True)"),"Yersinia")</f>
        <v>Yersinia</v>
      </c>
      <c r="D6132" t="str">
        <f>IFERROR(__xludf.DUMMYFUNCTION("""COMPUTED_VALUE"""),"ruckeri")</f>
        <v>ruckeri</v>
      </c>
      <c r="E6132" t="str">
        <f>IFERROR(__xludf.DUMMYFUNCTION("""COMPUTED_VALUE"""),"strain")</f>
        <v>strain</v>
      </c>
      <c r="F6132" t="str">
        <f>IFERROR(__xludf.DUMMYFUNCTION("""COMPUTED_VALUE"""),"Big")</f>
        <v>Big</v>
      </c>
      <c r="G6132" t="str">
        <f>IFERROR(__xludf.DUMMYFUNCTION("""COMPUTED_VALUE"""),"Creek")</f>
        <v>Creek</v>
      </c>
      <c r="H6132">
        <f>IFERROR(__xludf.DUMMYFUNCTION("""COMPUTED_VALUE"""),74.0)</f>
        <v>74</v>
      </c>
    </row>
    <row r="6133" ht="15.75" customHeight="1">
      <c r="A6133" t="str">
        <f t="shared" si="1"/>
        <v>Y.ruckeri</v>
      </c>
      <c r="B6133" s="5" t="s">
        <v>33808</v>
      </c>
      <c r="C6133" s="6" t="str">
        <f>IFERROR(__xludf.DUMMYFUNCTION("SPLIT('2. c'!B6133, "" "", True, True)"),"Yersinia")</f>
        <v>Yersinia</v>
      </c>
      <c r="D6133" t="str">
        <f>IFERROR(__xludf.DUMMYFUNCTION("""COMPUTED_VALUE"""),"ruckeri")</f>
        <v>ruckeri</v>
      </c>
      <c r="E6133" t="str">
        <f>IFERROR(__xludf.DUMMYFUNCTION("""COMPUTED_VALUE"""),"YRB")</f>
        <v>YRB</v>
      </c>
    </row>
    <row r="6134" ht="15.75" customHeight="1">
      <c r="A6134" t="str">
        <f t="shared" si="1"/>
        <v>Y.similis</v>
      </c>
      <c r="B6134" s="5" t="s">
        <v>33809</v>
      </c>
      <c r="C6134" s="6" t="str">
        <f>IFERROR(__xludf.DUMMYFUNCTION("SPLIT('2. c'!B6134, "" "", True, True)"),"Yersinia")</f>
        <v>Yersinia</v>
      </c>
      <c r="D6134" t="str">
        <f>IFERROR(__xludf.DUMMYFUNCTION("""COMPUTED_VALUE"""),"similis")</f>
        <v>similis</v>
      </c>
      <c r="E6134" t="str">
        <f>IFERROR(__xludf.DUMMYFUNCTION("""COMPUTED_VALUE"""),"strain")</f>
        <v>strain</v>
      </c>
      <c r="F6134">
        <f>IFERROR(__xludf.DUMMYFUNCTION("""COMPUTED_VALUE"""),228.0)</f>
        <v>228</v>
      </c>
    </row>
    <row r="6135" ht="15.75" customHeight="1">
      <c r="A6135" t="str">
        <f t="shared" si="1"/>
        <v>Z.aliphaticivorans</v>
      </c>
      <c r="B6135" s="5" t="s">
        <v>33810</v>
      </c>
      <c r="C6135" s="6" t="str">
        <f>IFERROR(__xludf.DUMMYFUNCTION("SPLIT('2. c'!B6135, "" "", True, True)"),"Zhongshania")</f>
        <v>Zhongshania</v>
      </c>
      <c r="D6135" t="str">
        <f>IFERROR(__xludf.DUMMYFUNCTION("""COMPUTED_VALUE"""),"aliphaticivorans")</f>
        <v>aliphaticivorans</v>
      </c>
      <c r="E6135" t="str">
        <f>IFERROR(__xludf.DUMMYFUNCTION("""COMPUTED_VALUE"""),"strain")</f>
        <v>strain</v>
      </c>
      <c r="F6135" t="str">
        <f>IFERROR(__xludf.DUMMYFUNCTION("""COMPUTED_VALUE"""),"SM2")</f>
        <v>SM2</v>
      </c>
    </row>
    <row r="6136" ht="15.75" customHeight="1">
      <c r="A6136" t="str">
        <f t="shared" si="1"/>
        <v>Z.galactanivorans</v>
      </c>
      <c r="B6136" s="5" t="s">
        <v>33811</v>
      </c>
      <c r="C6136" s="6" t="str">
        <f>IFERROR(__xludf.DUMMYFUNCTION("SPLIT('2. c'!B6136, "" "", True, True)"),"Zobellia")</f>
        <v>Zobellia</v>
      </c>
      <c r="D6136" t="str">
        <f>IFERROR(__xludf.DUMMYFUNCTION("""COMPUTED_VALUE"""),"galactanivorans")</f>
        <v>galactanivorans</v>
      </c>
      <c r="E6136" t="str">
        <f>IFERROR(__xludf.DUMMYFUNCTION("""COMPUTED_VALUE"""),"strain")</f>
        <v>strain</v>
      </c>
      <c r="F6136" t="str">
        <f>IFERROR(__xludf.DUMMYFUNCTION("""COMPUTED_VALUE"""),"Dsij")</f>
        <v>Dsij</v>
      </c>
    </row>
    <row r="6137" ht="15.75" customHeight="1">
      <c r="A6137" t="str">
        <f t="shared" si="1"/>
        <v>Z.profunda</v>
      </c>
      <c r="B6137" s="5" t="s">
        <v>33812</v>
      </c>
      <c r="C6137" s="6" t="str">
        <f>IFERROR(__xludf.DUMMYFUNCTION("SPLIT('2. c'!B6137, "" "", True, True)"),"Zunongwangia")</f>
        <v>Zunongwangia</v>
      </c>
      <c r="D6137" t="str">
        <f>IFERROR(__xludf.DUMMYFUNCTION("""COMPUTED_VALUE"""),"profunda")</f>
        <v>profunda</v>
      </c>
      <c r="E6137" t="str">
        <f>IFERROR(__xludf.DUMMYFUNCTION("""COMPUTED_VALUE"""),"SM-A87")</f>
        <v>SM-A87</v>
      </c>
    </row>
    <row r="6138" ht="15.75" customHeight="1">
      <c r="A6138" t="str">
        <f t="shared" si="1"/>
        <v>Z.mobilis</v>
      </c>
      <c r="B6138" s="5" t="s">
        <v>33813</v>
      </c>
      <c r="C6138" s="6" t="str">
        <f>IFERROR(__xludf.DUMMYFUNCTION("SPLIT('2. c'!B6138, "" "", True, True)"),"Zymomonas")</f>
        <v>Zymomonas</v>
      </c>
      <c r="D6138" t="str">
        <f>IFERROR(__xludf.DUMMYFUNCTION("""COMPUTED_VALUE"""),"mobilis")</f>
        <v>mobilis</v>
      </c>
      <c r="E6138" t="str">
        <f>IFERROR(__xludf.DUMMYFUNCTION("""COMPUTED_VALUE"""),"subsp.")</f>
        <v>subsp.</v>
      </c>
      <c r="F6138" t="str">
        <f>IFERROR(__xludf.DUMMYFUNCTION("""COMPUTED_VALUE"""),"mobilis")</f>
        <v>mobilis</v>
      </c>
      <c r="G6138" t="str">
        <f>IFERROR(__xludf.DUMMYFUNCTION("""COMPUTED_VALUE"""),"ATCC")</f>
        <v>ATCC</v>
      </c>
      <c r="H6138">
        <f>IFERROR(__xludf.DUMMYFUNCTION("""COMPUTED_VALUE"""),29191.0)</f>
        <v>29191</v>
      </c>
    </row>
    <row r="6139" ht="15.75" customHeight="1">
      <c r="A6139" t="str">
        <f t="shared" si="1"/>
        <v>Z.mobilis</v>
      </c>
      <c r="B6139" s="5" t="s">
        <v>33814</v>
      </c>
      <c r="C6139" s="6" t="str">
        <f>IFERROR(__xludf.DUMMYFUNCTION("SPLIT('2. c'!B6139, "" "", True, True)"),"Zymomonas")</f>
        <v>Zymomonas</v>
      </c>
      <c r="D6139" t="str">
        <f>IFERROR(__xludf.DUMMYFUNCTION("""COMPUTED_VALUE"""),"mobilis")</f>
        <v>mobilis</v>
      </c>
      <c r="E6139" t="str">
        <f>IFERROR(__xludf.DUMMYFUNCTION("""COMPUTED_VALUE"""),"subsp.")</f>
        <v>subsp.</v>
      </c>
      <c r="F6139" t="str">
        <f>IFERROR(__xludf.DUMMYFUNCTION("""COMPUTED_VALUE"""),"mobilis")</f>
        <v>mobilis</v>
      </c>
      <c r="G6139" t="str">
        <f>IFERROR(__xludf.DUMMYFUNCTION("""COMPUTED_VALUE"""),"NCIMB")</f>
        <v>NCIMB</v>
      </c>
      <c r="H6139">
        <f>IFERROR(__xludf.DUMMYFUNCTION("""COMPUTED_VALUE"""),11163.0)</f>
        <v>11163</v>
      </c>
    </row>
    <row r="6140" ht="15.75" customHeight="1">
      <c r="A6140" t="str">
        <f t="shared" si="1"/>
        <v>Z.mobilis</v>
      </c>
      <c r="B6140" s="5" t="s">
        <v>33815</v>
      </c>
      <c r="C6140" s="6" t="str">
        <f>IFERROR(__xludf.DUMMYFUNCTION("SPLIT('2. c'!B6140, "" "", True, True)"),"Zymomonas")</f>
        <v>Zymomonas</v>
      </c>
      <c r="D6140" t="str">
        <f>IFERROR(__xludf.DUMMYFUNCTION("""COMPUTED_VALUE"""),"mobilis")</f>
        <v>mobilis</v>
      </c>
      <c r="E6140" t="str">
        <f>IFERROR(__xludf.DUMMYFUNCTION("""COMPUTED_VALUE"""),"subsp.")</f>
        <v>subsp.</v>
      </c>
      <c r="F6140" t="str">
        <f>IFERROR(__xludf.DUMMYFUNCTION("""COMPUTED_VALUE"""),"mobilis")</f>
        <v>mobilis</v>
      </c>
      <c r="G6140" t="str">
        <f>IFERROR(__xludf.DUMMYFUNCTION("""COMPUTED_VALUE"""),"NRRL")</f>
        <v>NRRL</v>
      </c>
      <c r="H6140" t="str">
        <f>IFERROR(__xludf.DUMMYFUNCTION("""COMPUTED_VALUE"""),"B-12526")</f>
        <v>B-12526</v>
      </c>
    </row>
    <row r="6141" ht="15.75" customHeight="1">
      <c r="A6141" t="str">
        <f t="shared" si="1"/>
        <v>Z.mobilis</v>
      </c>
      <c r="B6141" s="5" t="s">
        <v>33816</v>
      </c>
      <c r="C6141" s="6" t="str">
        <f>IFERROR(__xludf.DUMMYFUNCTION("SPLIT('2. c'!B6141, "" "", True, True)"),"Zymomonas")</f>
        <v>Zymomonas</v>
      </c>
      <c r="D6141" t="str">
        <f>IFERROR(__xludf.DUMMYFUNCTION("""COMPUTED_VALUE"""),"mobilis")</f>
        <v>mobilis</v>
      </c>
      <c r="E6141" t="str">
        <f>IFERROR(__xludf.DUMMYFUNCTION("""COMPUTED_VALUE"""),"subsp.")</f>
        <v>subsp.</v>
      </c>
      <c r="F6141" t="str">
        <f>IFERROR(__xludf.DUMMYFUNCTION("""COMPUTED_VALUE"""),"mobilis")</f>
        <v>mobilis</v>
      </c>
      <c r="G6141" t="str">
        <f>IFERROR(__xludf.DUMMYFUNCTION("""COMPUTED_VALUE"""),"str.")</f>
        <v>str.</v>
      </c>
      <c r="H6141" t="str">
        <f>IFERROR(__xludf.DUMMYFUNCTION("""COMPUTED_VALUE"""),"CP4")</f>
        <v>CP4</v>
      </c>
      <c r="I6141" t="str">
        <f>IFERROR(__xludf.DUMMYFUNCTION("""COMPUTED_VALUE"""),"=")</f>
        <v>=</v>
      </c>
      <c r="J6141" t="str">
        <f>IFERROR(__xludf.DUMMYFUNCTION("""COMPUTED_VALUE"""),"NRRL")</f>
        <v>NRRL</v>
      </c>
      <c r="K6141" t="str">
        <f>IFERROR(__xludf.DUMMYFUNCTION("""COMPUTED_VALUE"""),"B-14023")</f>
        <v>B-14023</v>
      </c>
    </row>
    <row r="6142" ht="15.75" customHeight="1">
      <c r="A6142" t="str">
        <f t="shared" si="1"/>
        <v>Z.mobilis</v>
      </c>
      <c r="B6142" s="5" t="s">
        <v>33816</v>
      </c>
      <c r="C6142" s="6" t="str">
        <f>IFERROR(__xludf.DUMMYFUNCTION("SPLIT('2. c'!B6142, "" "", True, True)"),"Zymomonas")</f>
        <v>Zymomonas</v>
      </c>
      <c r="D6142" t="str">
        <f>IFERROR(__xludf.DUMMYFUNCTION("""COMPUTED_VALUE"""),"mobilis")</f>
        <v>mobilis</v>
      </c>
      <c r="E6142" t="str">
        <f>IFERROR(__xludf.DUMMYFUNCTION("""COMPUTED_VALUE"""),"subsp.")</f>
        <v>subsp.</v>
      </c>
      <c r="F6142" t="str">
        <f>IFERROR(__xludf.DUMMYFUNCTION("""COMPUTED_VALUE"""),"mobilis")</f>
        <v>mobilis</v>
      </c>
      <c r="G6142" t="str">
        <f>IFERROR(__xludf.DUMMYFUNCTION("""COMPUTED_VALUE"""),"str.")</f>
        <v>str.</v>
      </c>
      <c r="H6142" t="str">
        <f>IFERROR(__xludf.DUMMYFUNCTION("""COMPUTED_VALUE"""),"CP4")</f>
        <v>CP4</v>
      </c>
      <c r="I6142" t="str">
        <f>IFERROR(__xludf.DUMMYFUNCTION("""COMPUTED_VALUE"""),"=")</f>
        <v>=</v>
      </c>
      <c r="J6142" t="str">
        <f>IFERROR(__xludf.DUMMYFUNCTION("""COMPUTED_VALUE"""),"NRRL")</f>
        <v>NRRL</v>
      </c>
      <c r="K6142" t="str">
        <f>IFERROR(__xludf.DUMMYFUNCTION("""COMPUTED_VALUE"""),"B-14023")</f>
        <v>B-14023</v>
      </c>
    </row>
    <row r="6143" ht="15.75" customHeight="1">
      <c r="A6143" t="str">
        <f t="shared" si="1"/>
        <v>Z.mobilis</v>
      </c>
      <c r="B6143" s="5" t="s">
        <v>33817</v>
      </c>
      <c r="C6143" s="6" t="str">
        <f>IFERROR(__xludf.DUMMYFUNCTION("SPLIT('2. c'!B6143, "" "", True, True)"),"Zymomonas")</f>
        <v>Zymomonas</v>
      </c>
      <c r="D6143" t="str">
        <f>IFERROR(__xludf.DUMMYFUNCTION("""COMPUTED_VALUE"""),"mobilis")</f>
        <v>mobilis</v>
      </c>
      <c r="E6143" t="str">
        <f>IFERROR(__xludf.DUMMYFUNCTION("""COMPUTED_VALUE"""),"subsp.")</f>
        <v>subsp.</v>
      </c>
      <c r="F6143" t="str">
        <f>IFERROR(__xludf.DUMMYFUNCTION("""COMPUTED_VALUE"""),"mobilis")</f>
        <v>mobilis</v>
      </c>
      <c r="G6143" t="str">
        <f>IFERROR(__xludf.DUMMYFUNCTION("""COMPUTED_VALUE"""),"ZM4")</f>
        <v>ZM4</v>
      </c>
      <c r="H6143" t="str">
        <f>IFERROR(__xludf.DUMMYFUNCTION("""COMPUTED_VALUE"""),"=")</f>
        <v>=</v>
      </c>
      <c r="I6143" t="str">
        <f>IFERROR(__xludf.DUMMYFUNCTION("""COMPUTED_VALUE"""),"ATCC")</f>
        <v>ATCC</v>
      </c>
      <c r="J6143">
        <f>IFERROR(__xludf.DUMMYFUNCTION("""COMPUTED_VALUE"""),31821.0)</f>
        <v>31821</v>
      </c>
    </row>
    <row r="6144" ht="15.75" customHeight="1">
      <c r="A6144" t="str">
        <f t="shared" si="1"/>
        <v>Z.mobilis</v>
      </c>
      <c r="B6144" s="5" t="s">
        <v>33818</v>
      </c>
      <c r="C6144" s="6" t="str">
        <f>IFERROR(__xludf.DUMMYFUNCTION("SPLIT('2. c'!B6144, "" "", True, True)"),"Zymomonas")</f>
        <v>Zymomonas</v>
      </c>
      <c r="D6144" t="str">
        <f>IFERROR(__xludf.DUMMYFUNCTION("""COMPUTED_VALUE"""),"mobilis")</f>
        <v>mobilis</v>
      </c>
      <c r="E6144" t="str">
        <f>IFERROR(__xludf.DUMMYFUNCTION("""COMPUTED_VALUE"""),"subsp.")</f>
        <v>subsp.</v>
      </c>
      <c r="F6144" t="str">
        <f>IFERROR(__xludf.DUMMYFUNCTION("""COMPUTED_VALUE"""),"pomaceae")</f>
        <v>pomaceae</v>
      </c>
      <c r="G6144" t="str">
        <f>IFERROR(__xludf.DUMMYFUNCTION("""COMPUTED_VALUE"""),"ATCC")</f>
        <v>ATCC</v>
      </c>
      <c r="H6144">
        <f>IFERROR(__xludf.DUMMYFUNCTION("""COMPUTED_VALUE"""),29192.0)</f>
        <v>29192</v>
      </c>
    </row>
  </sheetData>
  <conditionalFormatting sqref="C2:C6144">
    <cfRule type="expression" dxfId="0" priority="1">
      <formula>CONCAT(CONCAT(LEFT(CELL("contents", D2), 1), "."), MID(CELL("contents", D2), SEARCH(" ", CELL("contents", D2)), LEN(CELL("contents", D2)) + 1 - SEARCH(" ", CELL("contents", D2))))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3" t="s">
        <v>3</v>
      </c>
      <c r="B1" s="3" t="s">
        <v>4</v>
      </c>
      <c r="C1" s="3" t="s">
        <v>5</v>
      </c>
      <c r="D1" s="2"/>
      <c r="E1" s="2"/>
      <c r="F1" s="2"/>
      <c r="G1" s="7"/>
      <c r="H1" s="3"/>
      <c r="I1" s="3"/>
      <c r="J1" s="3"/>
      <c r="K1" s="2"/>
      <c r="L1" s="2"/>
    </row>
    <row r="2">
      <c r="A2" s="8" t="s">
        <v>6</v>
      </c>
      <c r="B2" s="9" t="str">
        <f>CONCATENATE("0-", A2)</f>
        <v>0-1</v>
      </c>
      <c r="C2">
        <f>COUNTIF(from3i!G:G, CONCATENATE("&lt;", A2))</f>
        <v>91</v>
      </c>
      <c r="G2" s="9"/>
      <c r="H2" s="8"/>
      <c r="I2" s="9"/>
    </row>
    <row r="3">
      <c r="A3" s="8" t="s">
        <v>7</v>
      </c>
      <c r="B3" s="8" t="str">
        <f t="shared" ref="B3:B13" si="1">  CONCATENATE(A2, "-", A3)</f>
        <v>1-2</v>
      </c>
      <c r="C3">
        <f>COUNTIFS(from3i!G:G, CONCATENATE("&lt;", A3), from3i!G:G, CONCATENATE("&gt;", A2))</f>
        <v>324</v>
      </c>
      <c r="G3" s="9"/>
      <c r="H3" s="8"/>
      <c r="I3" s="8"/>
    </row>
    <row r="4">
      <c r="A4" s="8" t="s">
        <v>8</v>
      </c>
      <c r="B4" s="8" t="str">
        <f t="shared" si="1"/>
        <v>2-4</v>
      </c>
      <c r="C4">
        <f>COUNTIFS(from3i!G:G, CONCATENATE("&lt;", A4), from3i!G:G, CONCATENATE("&gt;", A3))</f>
        <v>996</v>
      </c>
      <c r="G4" s="7"/>
      <c r="H4" s="8"/>
      <c r="I4" s="8"/>
    </row>
    <row r="5">
      <c r="A5" s="8" t="s">
        <v>9</v>
      </c>
      <c r="B5" s="8" t="str">
        <f t="shared" si="1"/>
        <v>4-8</v>
      </c>
      <c r="C5">
        <f>COUNTIFS(from3i!G:G, CONCATENATE("&lt;", A5), from3i!G:G, CONCATENATE("&gt;", A4))</f>
        <v>1564</v>
      </c>
      <c r="G5" s="9"/>
      <c r="H5" s="8"/>
      <c r="I5" s="8"/>
    </row>
    <row r="6">
      <c r="A6" s="8" t="s">
        <v>10</v>
      </c>
      <c r="B6" s="8" t="str">
        <f t="shared" si="1"/>
        <v>8-16</v>
      </c>
      <c r="C6">
        <f>COUNTIFS(from3i!G:G, CONCATENATE("&lt;", A6), from3i!G:G, CONCATENATE("&gt;", A5))</f>
        <v>1779</v>
      </c>
      <c r="G6" s="7"/>
      <c r="H6" s="8"/>
      <c r="I6" s="8"/>
    </row>
    <row r="7">
      <c r="A7" s="8" t="s">
        <v>11</v>
      </c>
      <c r="B7" s="8" t="str">
        <f t="shared" si="1"/>
        <v>16-32</v>
      </c>
      <c r="C7">
        <f>COUNTIFS(from3i!G:G, CONCATENATE("&lt;", A7), from3i!G:G, CONCATENATE("&gt;", A6))</f>
        <v>630</v>
      </c>
      <c r="G7" s="7"/>
      <c r="H7" s="8"/>
      <c r="I7" s="8"/>
    </row>
    <row r="8">
      <c r="A8" s="8" t="s">
        <v>12</v>
      </c>
      <c r="B8" s="8" t="str">
        <f t="shared" si="1"/>
        <v>32-64</v>
      </c>
      <c r="C8">
        <f>COUNTIFS(from3i!G:G, CONCATENATE("&lt;", A8), from3i!G:G, CONCATENATE("&gt;", A7))</f>
        <v>2491</v>
      </c>
      <c r="G8" s="9"/>
      <c r="H8" s="8"/>
      <c r="I8" s="8"/>
    </row>
    <row r="9">
      <c r="A9" s="8" t="s">
        <v>13</v>
      </c>
      <c r="B9" s="8" t="str">
        <f t="shared" si="1"/>
        <v>64-128</v>
      </c>
      <c r="C9">
        <f>COUNTIFS(from3i!G:G, CONCATENATE("&lt;", A9), from3i!G:G, CONCATENATE("&gt;", A8))</f>
        <v>667</v>
      </c>
      <c r="G9" s="7"/>
      <c r="H9" s="8"/>
      <c r="I9" s="8"/>
    </row>
    <row r="10">
      <c r="A10" s="8" t="s">
        <v>14</v>
      </c>
      <c r="B10" s="8" t="str">
        <f t="shared" si="1"/>
        <v>128-256</v>
      </c>
      <c r="C10">
        <f>COUNTIFS(from3i!G:G, CONCATENATE("&lt;", A10), from3i!G:G, CONCATENATE("&gt;", A9))</f>
        <v>846</v>
      </c>
      <c r="G10" s="7"/>
      <c r="H10" s="8"/>
      <c r="I10" s="8"/>
    </row>
    <row r="11">
      <c r="A11" s="8" t="s">
        <v>15</v>
      </c>
      <c r="B11" s="8" t="str">
        <f t="shared" si="1"/>
        <v>256-512</v>
      </c>
      <c r="C11">
        <f>COUNTIFS(from3i!G:G, CONCATENATE("&lt;", A11), from3i!G:G, CONCATENATE("&gt;", A10))</f>
        <v>64</v>
      </c>
      <c r="G11" s="7"/>
      <c r="H11" s="8"/>
      <c r="I11" s="8"/>
    </row>
    <row r="12">
      <c r="A12" s="8" t="s">
        <v>16</v>
      </c>
      <c r="B12" s="8" t="str">
        <f t="shared" si="1"/>
        <v>512-1 024</v>
      </c>
      <c r="C12">
        <f>COUNTIFS(from3i!G:G, CONCATENATE("&lt;", A12), from3i!G:G, CONCATENATE("&gt;", A11))</f>
        <v>8</v>
      </c>
      <c r="G12" s="7"/>
      <c r="H12" s="8"/>
      <c r="I12" s="8"/>
    </row>
    <row r="13">
      <c r="A13" s="8" t="s">
        <v>17</v>
      </c>
      <c r="B13" s="8" t="str">
        <f t="shared" si="1"/>
        <v>1 024-2 048</v>
      </c>
      <c r="C13">
        <f>COUNTIFS(from3i!G:G, CONCATENATE("&lt;", A13), from3i!G:G, CONCATENATE("&gt;", A12))</f>
        <v>3</v>
      </c>
      <c r="G13" s="7"/>
      <c r="H13" s="8"/>
      <c r="I13" s="8"/>
    </row>
    <row r="14">
      <c r="A14" s="10"/>
      <c r="B14" s="8"/>
      <c r="G14" s="7"/>
    </row>
    <row r="15">
      <c r="G15" s="7"/>
    </row>
    <row r="16">
      <c r="G16" s="7"/>
    </row>
    <row r="17">
      <c r="G17" s="7"/>
    </row>
    <row r="18">
      <c r="G18" s="7"/>
    </row>
    <row r="19">
      <c r="G19" s="7"/>
    </row>
    <row r="20">
      <c r="G20" s="7"/>
    </row>
    <row r="21">
      <c r="G21" s="7"/>
    </row>
    <row r="22">
      <c r="G22" s="7"/>
    </row>
    <row r="23">
      <c r="G23" s="7"/>
    </row>
    <row r="24">
      <c r="G24" s="7"/>
    </row>
    <row r="25">
      <c r="G25" s="7"/>
    </row>
    <row r="26">
      <c r="G26" s="7"/>
    </row>
    <row r="27">
      <c r="G27" s="7"/>
    </row>
    <row r="28">
      <c r="G28" s="7"/>
    </row>
    <row r="29">
      <c r="G29" s="7"/>
    </row>
    <row r="30">
      <c r="G30" s="7"/>
    </row>
    <row r="31">
      <c r="G31" s="7"/>
    </row>
    <row r="32">
      <c r="G32" s="7"/>
    </row>
    <row r="33">
      <c r="G33" s="7"/>
    </row>
    <row r="34">
      <c r="G34" s="7"/>
    </row>
    <row r="35">
      <c r="G35" s="7"/>
    </row>
    <row r="36">
      <c r="G36" s="7"/>
    </row>
    <row r="37">
      <c r="G37" s="7"/>
    </row>
    <row r="38">
      <c r="G38" s="7"/>
    </row>
    <row r="39">
      <c r="G39" s="7"/>
    </row>
    <row r="40">
      <c r="G40" s="7"/>
    </row>
    <row r="41">
      <c r="G41" s="7"/>
    </row>
    <row r="42">
      <c r="G42" s="7"/>
    </row>
    <row r="43">
      <c r="G43" s="7"/>
    </row>
    <row r="44">
      <c r="G44" s="7"/>
    </row>
    <row r="45">
      <c r="G45" s="7"/>
    </row>
    <row r="46">
      <c r="G46" s="7"/>
    </row>
    <row r="47">
      <c r="G47" s="7"/>
    </row>
    <row r="48">
      <c r="G48" s="7"/>
    </row>
    <row r="49">
      <c r="G49" s="7"/>
    </row>
    <row r="50">
      <c r="G50" s="7"/>
    </row>
    <row r="51">
      <c r="G51" s="7"/>
    </row>
    <row r="52">
      <c r="G52" s="7"/>
    </row>
    <row r="53">
      <c r="G53" s="7"/>
    </row>
    <row r="54">
      <c r="G54" s="7"/>
    </row>
    <row r="55">
      <c r="G55" s="7"/>
    </row>
    <row r="56">
      <c r="G56" s="7"/>
    </row>
    <row r="57">
      <c r="G57" s="7"/>
    </row>
    <row r="58">
      <c r="G58" s="7"/>
    </row>
    <row r="59">
      <c r="G59" s="7"/>
    </row>
    <row r="60">
      <c r="G60" s="7"/>
    </row>
    <row r="61">
      <c r="G61" s="7"/>
    </row>
    <row r="62">
      <c r="G62" s="7"/>
    </row>
    <row r="63">
      <c r="G63" s="7"/>
    </row>
    <row r="64">
      <c r="G64" s="7"/>
    </row>
    <row r="65">
      <c r="G65" s="7"/>
    </row>
    <row r="66">
      <c r="G66" s="7"/>
    </row>
    <row r="67">
      <c r="G67" s="7"/>
    </row>
    <row r="68">
      <c r="G68" s="7"/>
    </row>
    <row r="69">
      <c r="G69" s="7"/>
    </row>
    <row r="70">
      <c r="G70" s="7"/>
    </row>
    <row r="71">
      <c r="G71" s="7"/>
    </row>
    <row r="72">
      <c r="G72" s="7"/>
    </row>
    <row r="73">
      <c r="G73" s="7"/>
    </row>
    <row r="74">
      <c r="G74" s="7"/>
    </row>
    <row r="75">
      <c r="G75" s="7"/>
    </row>
    <row r="76">
      <c r="G76" s="7"/>
    </row>
    <row r="77">
      <c r="G77" s="7"/>
    </row>
    <row r="78">
      <c r="G78" s="7"/>
    </row>
    <row r="79">
      <c r="G79" s="7"/>
    </row>
    <row r="80">
      <c r="G80" s="7"/>
    </row>
    <row r="81">
      <c r="G81" s="7"/>
    </row>
    <row r="82">
      <c r="G82" s="7"/>
    </row>
    <row r="83">
      <c r="G83" s="7"/>
    </row>
    <row r="84">
      <c r="G84" s="7"/>
    </row>
    <row r="85">
      <c r="G85" s="7"/>
    </row>
    <row r="86">
      <c r="G86" s="7"/>
    </row>
    <row r="87">
      <c r="G87" s="7"/>
    </row>
    <row r="88">
      <c r="G88" s="7"/>
    </row>
    <row r="89">
      <c r="G89" s="7"/>
    </row>
    <row r="90">
      <c r="G90" s="7"/>
    </row>
    <row r="91">
      <c r="G91" s="7"/>
    </row>
    <row r="92">
      <c r="G92" s="7"/>
    </row>
    <row r="93">
      <c r="G93" s="7"/>
    </row>
    <row r="94">
      <c r="G94" s="7"/>
    </row>
    <row r="95">
      <c r="G95" s="7"/>
    </row>
    <row r="96">
      <c r="G96" s="7"/>
    </row>
    <row r="97">
      <c r="G97" s="7"/>
    </row>
    <row r="98">
      <c r="G98" s="7"/>
    </row>
    <row r="99">
      <c r="G99" s="7"/>
    </row>
    <row r="100">
      <c r="G100" s="7"/>
    </row>
    <row r="101">
      <c r="G101" s="7"/>
    </row>
    <row r="102">
      <c r="G102" s="7"/>
    </row>
    <row r="103">
      <c r="G103" s="7"/>
    </row>
    <row r="104">
      <c r="G104" s="7"/>
    </row>
    <row r="105">
      <c r="G105" s="7"/>
    </row>
    <row r="106">
      <c r="G106" s="7"/>
    </row>
    <row r="107">
      <c r="G107" s="7"/>
    </row>
    <row r="108">
      <c r="G108" s="7"/>
    </row>
    <row r="109">
      <c r="G109" s="7"/>
    </row>
    <row r="110">
      <c r="G110" s="7"/>
    </row>
    <row r="111">
      <c r="G111" s="7"/>
    </row>
    <row r="112">
      <c r="G112" s="7"/>
    </row>
    <row r="113">
      <c r="G113" s="7"/>
    </row>
    <row r="114">
      <c r="G114" s="7"/>
    </row>
    <row r="115">
      <c r="G115" s="7"/>
    </row>
    <row r="116">
      <c r="G116" s="7"/>
    </row>
    <row r="117">
      <c r="G117" s="7"/>
    </row>
    <row r="118">
      <c r="G118" s="7"/>
    </row>
    <row r="119">
      <c r="G119" s="7"/>
    </row>
    <row r="120">
      <c r="G120" s="7"/>
    </row>
    <row r="121">
      <c r="G121" s="7"/>
    </row>
    <row r="122">
      <c r="G122" s="7"/>
    </row>
    <row r="123">
      <c r="G123" s="7"/>
    </row>
    <row r="124">
      <c r="G124" s="7"/>
    </row>
    <row r="125">
      <c r="G125" s="7"/>
    </row>
    <row r="126">
      <c r="G126" s="7"/>
    </row>
    <row r="127">
      <c r="G127" s="7"/>
    </row>
    <row r="128">
      <c r="G128" s="7"/>
    </row>
    <row r="129">
      <c r="G129" s="7"/>
    </row>
    <row r="130">
      <c r="G130" s="7"/>
    </row>
    <row r="131">
      <c r="G131" s="7"/>
    </row>
    <row r="132">
      <c r="G132" s="7"/>
    </row>
    <row r="133">
      <c r="G133" s="7"/>
    </row>
    <row r="134">
      <c r="G134" s="7"/>
    </row>
    <row r="135">
      <c r="G135" s="7"/>
    </row>
    <row r="136">
      <c r="G136" s="7"/>
    </row>
    <row r="137">
      <c r="G137" s="7"/>
    </row>
    <row r="138">
      <c r="G138" s="7"/>
    </row>
    <row r="139">
      <c r="G139" s="7"/>
    </row>
    <row r="140">
      <c r="G140" s="7"/>
    </row>
    <row r="141">
      <c r="G141" s="7"/>
    </row>
    <row r="142">
      <c r="G142" s="7"/>
    </row>
    <row r="143">
      <c r="G143" s="7"/>
    </row>
    <row r="144">
      <c r="G144" s="7"/>
    </row>
    <row r="145">
      <c r="G145" s="7"/>
    </row>
    <row r="146">
      <c r="G146" s="7"/>
    </row>
    <row r="147">
      <c r="G147" s="7"/>
    </row>
    <row r="148">
      <c r="G148" s="7"/>
    </row>
    <row r="149">
      <c r="G149" s="7"/>
    </row>
    <row r="150">
      <c r="G150" s="7"/>
    </row>
    <row r="151">
      <c r="G151" s="7"/>
    </row>
    <row r="152">
      <c r="G152" s="7"/>
    </row>
    <row r="153">
      <c r="G153" s="7"/>
    </row>
    <row r="154">
      <c r="G154" s="7"/>
    </row>
    <row r="155">
      <c r="G155" s="7"/>
    </row>
    <row r="156">
      <c r="G156" s="7"/>
    </row>
    <row r="157">
      <c r="G157" s="7"/>
    </row>
    <row r="158">
      <c r="G158" s="7"/>
    </row>
    <row r="159">
      <c r="G159" s="7"/>
    </row>
    <row r="160">
      <c r="G160" s="7"/>
    </row>
    <row r="161">
      <c r="G161" s="7"/>
    </row>
    <row r="162">
      <c r="G162" s="7"/>
    </row>
    <row r="163">
      <c r="G163" s="7"/>
    </row>
    <row r="164">
      <c r="G164" s="7"/>
    </row>
    <row r="165">
      <c r="G165" s="7"/>
    </row>
    <row r="166">
      <c r="G166" s="7"/>
    </row>
    <row r="167">
      <c r="G167" s="7"/>
    </row>
    <row r="168">
      <c r="G168" s="7"/>
    </row>
    <row r="169">
      <c r="G169" s="7"/>
    </row>
    <row r="170">
      <c r="G170" s="7"/>
    </row>
    <row r="171">
      <c r="G171" s="7"/>
    </row>
    <row r="172">
      <c r="G172" s="7"/>
    </row>
    <row r="173">
      <c r="G173" s="7"/>
    </row>
    <row r="174">
      <c r="G174" s="7"/>
    </row>
    <row r="175">
      <c r="G175" s="7"/>
    </row>
    <row r="176">
      <c r="G176" s="7"/>
    </row>
    <row r="177">
      <c r="G177" s="7"/>
    </row>
    <row r="178">
      <c r="G178" s="7"/>
    </row>
    <row r="179">
      <c r="G179" s="7"/>
    </row>
    <row r="180">
      <c r="G180" s="7"/>
    </row>
    <row r="181">
      <c r="G181" s="7"/>
    </row>
    <row r="182">
      <c r="G182" s="7"/>
    </row>
    <row r="183">
      <c r="G183" s="7"/>
    </row>
    <row r="184">
      <c r="G184" s="7"/>
    </row>
    <row r="185">
      <c r="G185" s="7"/>
    </row>
    <row r="186">
      <c r="G186" s="7"/>
    </row>
    <row r="187">
      <c r="G187" s="7"/>
    </row>
    <row r="188">
      <c r="G188" s="7"/>
    </row>
    <row r="189">
      <c r="G189" s="7"/>
    </row>
    <row r="190">
      <c r="G190" s="7"/>
    </row>
    <row r="191">
      <c r="G191" s="7"/>
    </row>
    <row r="192">
      <c r="G192" s="7"/>
    </row>
    <row r="193">
      <c r="G193" s="7"/>
    </row>
    <row r="194">
      <c r="G194" s="7"/>
    </row>
    <row r="195">
      <c r="G195" s="7"/>
    </row>
    <row r="196">
      <c r="G196" s="7"/>
    </row>
    <row r="197">
      <c r="G197" s="7"/>
    </row>
    <row r="198">
      <c r="G198" s="7"/>
    </row>
    <row r="199">
      <c r="G199" s="7"/>
    </row>
    <row r="200">
      <c r="G200" s="7"/>
    </row>
    <row r="201">
      <c r="G201" s="7"/>
    </row>
    <row r="202">
      <c r="G202" s="7"/>
    </row>
    <row r="203">
      <c r="G203" s="7"/>
    </row>
    <row r="204">
      <c r="G204" s="7"/>
    </row>
    <row r="205">
      <c r="G205" s="7"/>
    </row>
    <row r="206">
      <c r="G206" s="7"/>
    </row>
    <row r="207">
      <c r="G207" s="7"/>
    </row>
    <row r="208">
      <c r="G208" s="7"/>
    </row>
    <row r="209">
      <c r="G209" s="7"/>
    </row>
    <row r="210">
      <c r="G210" s="7"/>
    </row>
    <row r="211">
      <c r="G211" s="7"/>
    </row>
    <row r="212">
      <c r="G212" s="7"/>
    </row>
    <row r="213">
      <c r="G213" s="7"/>
    </row>
    <row r="214">
      <c r="G214" s="7"/>
    </row>
    <row r="215">
      <c r="G215" s="7"/>
    </row>
    <row r="216">
      <c r="G216" s="7"/>
    </row>
    <row r="217">
      <c r="G217" s="7"/>
    </row>
    <row r="218">
      <c r="G218" s="7"/>
    </row>
    <row r="219">
      <c r="G219" s="7"/>
    </row>
    <row r="220">
      <c r="G220" s="7"/>
    </row>
    <row r="221">
      <c r="G221" s="7"/>
    </row>
    <row r="222">
      <c r="G222" s="7"/>
    </row>
    <row r="223">
      <c r="G223" s="7"/>
    </row>
    <row r="224">
      <c r="G224" s="7"/>
    </row>
    <row r="225">
      <c r="G225" s="7"/>
    </row>
    <row r="226">
      <c r="G226" s="7"/>
    </row>
    <row r="227">
      <c r="G227" s="7"/>
    </row>
    <row r="228">
      <c r="G228" s="7"/>
    </row>
    <row r="229">
      <c r="G229" s="7"/>
    </row>
    <row r="230">
      <c r="G230" s="7"/>
    </row>
    <row r="231">
      <c r="G231" s="7"/>
    </row>
    <row r="232">
      <c r="G232" s="7"/>
    </row>
    <row r="233">
      <c r="G233" s="7"/>
    </row>
    <row r="234">
      <c r="G234" s="7"/>
    </row>
    <row r="235">
      <c r="G235" s="7"/>
    </row>
    <row r="236">
      <c r="G236" s="7"/>
    </row>
    <row r="237">
      <c r="G237" s="7"/>
    </row>
    <row r="238">
      <c r="G238" s="7"/>
    </row>
    <row r="239">
      <c r="G239" s="7"/>
    </row>
    <row r="240">
      <c r="G240" s="7"/>
    </row>
    <row r="241">
      <c r="G241" s="7"/>
    </row>
    <row r="242">
      <c r="G242" s="7"/>
    </row>
    <row r="243">
      <c r="G243" s="7"/>
    </row>
    <row r="244">
      <c r="G244" s="7"/>
    </row>
    <row r="245">
      <c r="G245" s="7"/>
    </row>
    <row r="246">
      <c r="G246" s="7"/>
    </row>
    <row r="247">
      <c r="G247" s="7"/>
    </row>
    <row r="248">
      <c r="G248" s="7"/>
    </row>
    <row r="249">
      <c r="G249" s="7"/>
    </row>
    <row r="250">
      <c r="G250" s="7"/>
    </row>
    <row r="251">
      <c r="G251" s="7"/>
    </row>
    <row r="252">
      <c r="G252" s="7"/>
    </row>
    <row r="253">
      <c r="G253" s="7"/>
    </row>
    <row r="254">
      <c r="G254" s="7"/>
    </row>
    <row r="255">
      <c r="G255" s="7"/>
    </row>
    <row r="256">
      <c r="G256" s="7"/>
    </row>
    <row r="257">
      <c r="G257" s="7"/>
    </row>
    <row r="258">
      <c r="G258" s="7"/>
    </row>
    <row r="259">
      <c r="G259" s="7"/>
    </row>
    <row r="260">
      <c r="G260" s="7"/>
    </row>
    <row r="261">
      <c r="G261" s="7"/>
    </row>
    <row r="262">
      <c r="G262" s="7"/>
    </row>
    <row r="263">
      <c r="G263" s="7"/>
    </row>
    <row r="264">
      <c r="G264" s="7"/>
    </row>
    <row r="265">
      <c r="G265" s="7"/>
    </row>
    <row r="266">
      <c r="G266" s="7"/>
    </row>
    <row r="267">
      <c r="G267" s="7"/>
    </row>
    <row r="268">
      <c r="G268" s="7"/>
    </row>
    <row r="269">
      <c r="G269" s="7"/>
    </row>
    <row r="270">
      <c r="G270" s="7"/>
    </row>
    <row r="271">
      <c r="G271" s="7"/>
    </row>
    <row r="272">
      <c r="G272" s="7"/>
    </row>
    <row r="273">
      <c r="G273" s="7"/>
    </row>
    <row r="274">
      <c r="G274" s="7"/>
    </row>
    <row r="275">
      <c r="G275" s="7"/>
    </row>
    <row r="276">
      <c r="G276" s="7"/>
    </row>
    <row r="277">
      <c r="G277" s="7"/>
    </row>
    <row r="278">
      <c r="G278" s="7"/>
    </row>
    <row r="279">
      <c r="G279" s="7"/>
    </row>
    <row r="280">
      <c r="G280" s="7"/>
    </row>
    <row r="281">
      <c r="G281" s="7"/>
    </row>
    <row r="282">
      <c r="G282" s="7"/>
    </row>
    <row r="283">
      <c r="G283" s="7"/>
    </row>
    <row r="284">
      <c r="G284" s="7"/>
    </row>
    <row r="285">
      <c r="G285" s="7"/>
    </row>
    <row r="286">
      <c r="G286" s="7"/>
    </row>
    <row r="287">
      <c r="G287" s="7"/>
    </row>
    <row r="288">
      <c r="G288" s="7"/>
    </row>
    <row r="289">
      <c r="G289" s="7"/>
    </row>
    <row r="290">
      <c r="G290" s="7"/>
    </row>
    <row r="291">
      <c r="G291" s="7"/>
    </row>
    <row r="292">
      <c r="G292" s="7"/>
    </row>
    <row r="293">
      <c r="G293" s="7"/>
    </row>
    <row r="294">
      <c r="G294" s="7"/>
    </row>
    <row r="295">
      <c r="G295" s="7"/>
    </row>
    <row r="296">
      <c r="G296" s="7"/>
    </row>
    <row r="297">
      <c r="G297" s="7"/>
    </row>
    <row r="298">
      <c r="G298" s="7"/>
    </row>
    <row r="299">
      <c r="G299" s="7"/>
    </row>
    <row r="300">
      <c r="G300" s="7"/>
    </row>
    <row r="301">
      <c r="G301" s="7"/>
    </row>
    <row r="302">
      <c r="G302" s="7"/>
    </row>
    <row r="303">
      <c r="G303" s="7"/>
    </row>
    <row r="304">
      <c r="G304" s="7"/>
    </row>
    <row r="305">
      <c r="G305" s="7"/>
    </row>
    <row r="306">
      <c r="G306" s="7"/>
    </row>
    <row r="307">
      <c r="G307" s="7"/>
    </row>
    <row r="308">
      <c r="G308" s="7"/>
    </row>
    <row r="309">
      <c r="G309" s="7"/>
    </row>
    <row r="310">
      <c r="G310" s="7"/>
    </row>
    <row r="311">
      <c r="G311" s="7"/>
    </row>
    <row r="312">
      <c r="G312" s="7"/>
    </row>
    <row r="313">
      <c r="G313" s="7"/>
    </row>
    <row r="314">
      <c r="G314" s="7"/>
    </row>
    <row r="315">
      <c r="G315" s="7"/>
    </row>
    <row r="316">
      <c r="G316" s="7"/>
    </row>
    <row r="317">
      <c r="G317" s="7"/>
    </row>
    <row r="318">
      <c r="G318" s="7"/>
    </row>
    <row r="319">
      <c r="G319" s="7"/>
    </row>
    <row r="320">
      <c r="G320" s="7"/>
    </row>
    <row r="321">
      <c r="G321" s="7"/>
    </row>
    <row r="322">
      <c r="G322" s="7"/>
    </row>
    <row r="323">
      <c r="G323" s="7"/>
    </row>
    <row r="324">
      <c r="G324" s="7"/>
    </row>
    <row r="325">
      <c r="G325" s="7"/>
    </row>
    <row r="326">
      <c r="G326" s="7"/>
    </row>
    <row r="327">
      <c r="G327" s="7"/>
    </row>
    <row r="328">
      <c r="G328" s="7"/>
    </row>
    <row r="329">
      <c r="G329" s="7"/>
    </row>
    <row r="330">
      <c r="G330" s="7"/>
    </row>
    <row r="331">
      <c r="G331" s="7"/>
    </row>
    <row r="332">
      <c r="G332" s="7"/>
    </row>
    <row r="333">
      <c r="G333" s="7"/>
    </row>
    <row r="334">
      <c r="G334" s="7"/>
    </row>
    <row r="335">
      <c r="G335" s="7"/>
    </row>
    <row r="336">
      <c r="G336" s="7"/>
    </row>
    <row r="337">
      <c r="G337" s="7"/>
    </row>
    <row r="338">
      <c r="G338" s="7"/>
    </row>
    <row r="339">
      <c r="G339" s="7"/>
    </row>
    <row r="340">
      <c r="G340" s="7"/>
    </row>
    <row r="341">
      <c r="G341" s="7"/>
    </row>
    <row r="342">
      <c r="G342" s="7"/>
    </row>
    <row r="343">
      <c r="G343" s="7"/>
    </row>
    <row r="344">
      <c r="G344" s="7"/>
    </row>
    <row r="345">
      <c r="G345" s="7"/>
    </row>
    <row r="346">
      <c r="G346" s="7"/>
    </row>
    <row r="347">
      <c r="G347" s="7"/>
    </row>
    <row r="348">
      <c r="G348" s="7"/>
    </row>
    <row r="349">
      <c r="G349" s="7"/>
    </row>
    <row r="350">
      <c r="G350" s="7"/>
    </row>
    <row r="351">
      <c r="G351" s="7"/>
    </row>
    <row r="352">
      <c r="G352" s="7"/>
    </row>
    <row r="353">
      <c r="G353" s="7"/>
    </row>
    <row r="354">
      <c r="G354" s="7"/>
    </row>
    <row r="355">
      <c r="G355" s="7"/>
    </row>
    <row r="356">
      <c r="G356" s="7"/>
    </row>
    <row r="357">
      <c r="G357" s="7"/>
    </row>
    <row r="358">
      <c r="G358" s="7"/>
    </row>
    <row r="359">
      <c r="G359" s="7"/>
    </row>
    <row r="360">
      <c r="G360" s="7"/>
    </row>
    <row r="361">
      <c r="G361" s="7"/>
    </row>
    <row r="362">
      <c r="G362" s="7"/>
    </row>
    <row r="363">
      <c r="G363" s="7"/>
    </row>
    <row r="364">
      <c r="G364" s="7"/>
    </row>
    <row r="365">
      <c r="G365" s="7"/>
    </row>
    <row r="366">
      <c r="G366" s="7"/>
    </row>
    <row r="367">
      <c r="G367" s="7"/>
    </row>
    <row r="368">
      <c r="G368" s="7"/>
    </row>
    <row r="369">
      <c r="G369" s="7"/>
    </row>
    <row r="370">
      <c r="G370" s="7"/>
    </row>
    <row r="371">
      <c r="G371" s="7"/>
    </row>
    <row r="372">
      <c r="G372" s="7"/>
    </row>
    <row r="373">
      <c r="G373" s="7"/>
    </row>
    <row r="374">
      <c r="G374" s="7"/>
    </row>
    <row r="375">
      <c r="G375" s="7"/>
    </row>
    <row r="376">
      <c r="G376" s="7"/>
    </row>
    <row r="377">
      <c r="G377" s="7"/>
    </row>
    <row r="378">
      <c r="G378" s="7"/>
    </row>
    <row r="379">
      <c r="G379" s="7"/>
    </row>
    <row r="380">
      <c r="G380" s="7"/>
    </row>
    <row r="381">
      <c r="G381" s="7"/>
    </row>
    <row r="382">
      <c r="G382" s="7"/>
    </row>
    <row r="383">
      <c r="G383" s="7"/>
    </row>
    <row r="384">
      <c r="G384" s="7"/>
    </row>
    <row r="385">
      <c r="G385" s="7"/>
    </row>
    <row r="386">
      <c r="G386" s="7"/>
    </row>
    <row r="387">
      <c r="G387" s="7"/>
    </row>
    <row r="388">
      <c r="G388" s="7"/>
    </row>
    <row r="389">
      <c r="G389" s="7"/>
    </row>
    <row r="390">
      <c r="G390" s="7"/>
    </row>
    <row r="391">
      <c r="G391" s="7"/>
    </row>
    <row r="392">
      <c r="G392" s="7"/>
    </row>
    <row r="393">
      <c r="G393" s="7"/>
    </row>
    <row r="394">
      <c r="G394" s="7"/>
    </row>
    <row r="395">
      <c r="G395" s="7"/>
    </row>
    <row r="396">
      <c r="G396" s="7"/>
    </row>
    <row r="397">
      <c r="G397" s="7"/>
    </row>
    <row r="398">
      <c r="G398" s="7"/>
    </row>
    <row r="399">
      <c r="G399" s="7"/>
    </row>
    <row r="400">
      <c r="G400" s="7"/>
    </row>
    <row r="401">
      <c r="G401" s="7"/>
    </row>
    <row r="402">
      <c r="G402" s="7"/>
    </row>
    <row r="403">
      <c r="G403" s="7"/>
    </row>
    <row r="404">
      <c r="G404" s="7"/>
    </row>
    <row r="405">
      <c r="G405" s="7"/>
    </row>
    <row r="406">
      <c r="G406" s="7"/>
    </row>
    <row r="407">
      <c r="G407" s="7"/>
    </row>
    <row r="408">
      <c r="G408" s="7"/>
    </row>
    <row r="409">
      <c r="G409" s="7"/>
    </row>
    <row r="410">
      <c r="G410" s="7"/>
    </row>
    <row r="411">
      <c r="G411" s="7"/>
    </row>
    <row r="412">
      <c r="G412" s="7"/>
    </row>
    <row r="413">
      <c r="G413" s="7"/>
    </row>
    <row r="414">
      <c r="G414" s="7"/>
    </row>
    <row r="415">
      <c r="G415" s="7"/>
    </row>
    <row r="416">
      <c r="G416" s="7"/>
    </row>
    <row r="417">
      <c r="G417" s="7"/>
    </row>
    <row r="418">
      <c r="G418" s="7"/>
    </row>
    <row r="419">
      <c r="G419" s="7"/>
    </row>
    <row r="420">
      <c r="G420" s="7"/>
    </row>
    <row r="421">
      <c r="G421" s="7"/>
    </row>
    <row r="422">
      <c r="G422" s="7"/>
    </row>
    <row r="423">
      <c r="G423" s="7"/>
    </row>
    <row r="424">
      <c r="G424" s="7"/>
    </row>
    <row r="425">
      <c r="G425" s="7"/>
    </row>
    <row r="426">
      <c r="G426" s="7"/>
    </row>
    <row r="427">
      <c r="G427" s="7"/>
    </row>
    <row r="428">
      <c r="G428" s="7"/>
    </row>
    <row r="429">
      <c r="G429" s="7"/>
    </row>
    <row r="430">
      <c r="G430" s="7"/>
    </row>
    <row r="431">
      <c r="G431" s="7"/>
    </row>
    <row r="432">
      <c r="G432" s="7"/>
    </row>
    <row r="433">
      <c r="G433" s="7"/>
    </row>
    <row r="434">
      <c r="G434" s="7"/>
    </row>
    <row r="435">
      <c r="G435" s="7"/>
    </row>
    <row r="436">
      <c r="G436" s="7"/>
    </row>
    <row r="437">
      <c r="G437" s="7"/>
    </row>
    <row r="438">
      <c r="G438" s="7"/>
    </row>
    <row r="439">
      <c r="G439" s="7"/>
    </row>
    <row r="440">
      <c r="G440" s="7"/>
    </row>
    <row r="441">
      <c r="G441" s="7"/>
    </row>
    <row r="442">
      <c r="G442" s="7"/>
    </row>
    <row r="443">
      <c r="G443" s="7"/>
    </row>
    <row r="444">
      <c r="G444" s="7"/>
    </row>
    <row r="445">
      <c r="G445" s="7"/>
    </row>
    <row r="446">
      <c r="G446" s="7"/>
    </row>
    <row r="447">
      <c r="G447" s="7"/>
    </row>
    <row r="448">
      <c r="G448" s="7"/>
    </row>
    <row r="449">
      <c r="G449" s="7"/>
    </row>
    <row r="450">
      <c r="G450" s="7"/>
    </row>
    <row r="451">
      <c r="G451" s="7"/>
    </row>
    <row r="452">
      <c r="G452" s="7"/>
    </row>
    <row r="453">
      <c r="G453" s="7"/>
    </row>
    <row r="454">
      <c r="G454" s="7"/>
    </row>
    <row r="455">
      <c r="G455" s="7"/>
    </row>
    <row r="456">
      <c r="G456" s="7"/>
    </row>
    <row r="457">
      <c r="G457" s="7"/>
    </row>
    <row r="458">
      <c r="G458" s="7"/>
    </row>
    <row r="459">
      <c r="G459" s="7"/>
    </row>
    <row r="460">
      <c r="G460" s="7"/>
    </row>
    <row r="461">
      <c r="G461" s="7"/>
    </row>
    <row r="462">
      <c r="G462" s="7"/>
    </row>
    <row r="463">
      <c r="G463" s="7"/>
    </row>
    <row r="464">
      <c r="G464" s="7"/>
    </row>
    <row r="465">
      <c r="G465" s="7"/>
    </row>
    <row r="466">
      <c r="G466" s="7"/>
    </row>
    <row r="467">
      <c r="G467" s="7"/>
    </row>
    <row r="468">
      <c r="G468" s="7"/>
    </row>
    <row r="469">
      <c r="G469" s="7"/>
    </row>
    <row r="470">
      <c r="G470" s="7"/>
    </row>
    <row r="471">
      <c r="G471" s="7"/>
    </row>
    <row r="472">
      <c r="G472" s="7"/>
    </row>
    <row r="473">
      <c r="G473" s="7"/>
    </row>
    <row r="474">
      <c r="G474" s="7"/>
    </row>
    <row r="475">
      <c r="G475" s="7"/>
    </row>
    <row r="476">
      <c r="G476" s="7"/>
    </row>
    <row r="477">
      <c r="G477" s="7"/>
    </row>
    <row r="478">
      <c r="G478" s="7"/>
    </row>
    <row r="479">
      <c r="G479" s="7"/>
    </row>
    <row r="480">
      <c r="G480" s="7"/>
    </row>
    <row r="481">
      <c r="G481" s="7"/>
    </row>
    <row r="482">
      <c r="G482" s="7"/>
    </row>
    <row r="483">
      <c r="G483" s="7"/>
    </row>
    <row r="484">
      <c r="G484" s="7"/>
    </row>
    <row r="485">
      <c r="G485" s="7"/>
    </row>
    <row r="486">
      <c r="G486" s="7"/>
    </row>
    <row r="487">
      <c r="G487" s="7"/>
    </row>
    <row r="488">
      <c r="G488" s="7"/>
    </row>
    <row r="489">
      <c r="G489" s="7"/>
    </row>
    <row r="490">
      <c r="G490" s="7"/>
    </row>
    <row r="491">
      <c r="G491" s="7"/>
    </row>
    <row r="492">
      <c r="G492" s="7"/>
    </row>
    <row r="493">
      <c r="G493" s="7"/>
    </row>
    <row r="494">
      <c r="G494" s="7"/>
    </row>
    <row r="495">
      <c r="G495" s="7"/>
    </row>
    <row r="496">
      <c r="G496" s="7"/>
    </row>
    <row r="497">
      <c r="G497" s="7"/>
    </row>
    <row r="498">
      <c r="G498" s="7"/>
    </row>
    <row r="499">
      <c r="G499" s="7"/>
    </row>
    <row r="500">
      <c r="G500" s="7"/>
    </row>
    <row r="501">
      <c r="G501" s="7"/>
    </row>
    <row r="502">
      <c r="G502" s="7"/>
    </row>
    <row r="503">
      <c r="G503" s="7"/>
    </row>
    <row r="504">
      <c r="G504" s="7"/>
    </row>
    <row r="505">
      <c r="G505" s="7"/>
    </row>
    <row r="506">
      <c r="G506" s="7"/>
    </row>
    <row r="507">
      <c r="G507" s="7"/>
    </row>
    <row r="508">
      <c r="G508" s="7"/>
    </row>
    <row r="509">
      <c r="G509" s="7"/>
    </row>
    <row r="510">
      <c r="G510" s="7"/>
    </row>
    <row r="511">
      <c r="G511" s="7"/>
    </row>
    <row r="512">
      <c r="G512" s="7"/>
    </row>
    <row r="513">
      <c r="G513" s="7"/>
    </row>
    <row r="514">
      <c r="G514" s="7"/>
    </row>
    <row r="515">
      <c r="G515" s="7"/>
    </row>
    <row r="516">
      <c r="G516" s="7"/>
    </row>
    <row r="517">
      <c r="G517" s="7"/>
    </row>
    <row r="518">
      <c r="G518" s="7"/>
    </row>
    <row r="519">
      <c r="G519" s="7"/>
    </row>
    <row r="520">
      <c r="G520" s="7"/>
    </row>
    <row r="521">
      <c r="G521" s="7"/>
    </row>
    <row r="522">
      <c r="G522" s="7"/>
    </row>
    <row r="523">
      <c r="G523" s="7"/>
    </row>
    <row r="524">
      <c r="G524" s="7"/>
    </row>
    <row r="525">
      <c r="G525" s="7"/>
    </row>
    <row r="526">
      <c r="G526" s="7"/>
    </row>
    <row r="527">
      <c r="G527" s="7"/>
    </row>
    <row r="528">
      <c r="G528" s="7"/>
    </row>
    <row r="529">
      <c r="G529" s="7"/>
    </row>
    <row r="530">
      <c r="G530" s="7"/>
    </row>
    <row r="531">
      <c r="G531" s="7"/>
    </row>
    <row r="532">
      <c r="G532" s="7"/>
    </row>
    <row r="533">
      <c r="G533" s="7"/>
    </row>
    <row r="534">
      <c r="G534" s="7"/>
    </row>
    <row r="535">
      <c r="G535" s="7"/>
    </row>
    <row r="536">
      <c r="G536" s="7"/>
    </row>
    <row r="537">
      <c r="G537" s="7"/>
    </row>
    <row r="538">
      <c r="G538" s="7"/>
    </row>
    <row r="539">
      <c r="G539" s="7"/>
    </row>
    <row r="540">
      <c r="G540" s="7"/>
    </row>
    <row r="541">
      <c r="G541" s="7"/>
    </row>
    <row r="542">
      <c r="G542" s="7"/>
    </row>
    <row r="543">
      <c r="G543" s="7"/>
    </row>
    <row r="544">
      <c r="G544" s="7"/>
    </row>
    <row r="545">
      <c r="G545" s="7"/>
    </row>
    <row r="546">
      <c r="G546" s="7"/>
    </row>
    <row r="547">
      <c r="G547" s="7"/>
    </row>
    <row r="548">
      <c r="G548" s="7"/>
    </row>
    <row r="549">
      <c r="G549" s="7"/>
    </row>
    <row r="550">
      <c r="G550" s="7"/>
    </row>
    <row r="551">
      <c r="G551" s="7"/>
    </row>
    <row r="552">
      <c r="G552" s="7"/>
    </row>
    <row r="553">
      <c r="G553" s="7"/>
    </row>
    <row r="554">
      <c r="G554" s="7"/>
    </row>
    <row r="555">
      <c r="G555" s="7"/>
    </row>
    <row r="556">
      <c r="G556" s="7"/>
    </row>
    <row r="557">
      <c r="G557" s="7"/>
    </row>
    <row r="558">
      <c r="G558" s="7"/>
    </row>
    <row r="559">
      <c r="G559" s="7"/>
    </row>
    <row r="560">
      <c r="G560" s="7"/>
    </row>
    <row r="561">
      <c r="G561" s="7"/>
    </row>
    <row r="562">
      <c r="G562" s="7"/>
    </row>
    <row r="563">
      <c r="G563" s="7"/>
    </row>
    <row r="564">
      <c r="G564" s="7"/>
    </row>
    <row r="565">
      <c r="G565" s="7"/>
    </row>
    <row r="566">
      <c r="G566" s="7"/>
    </row>
    <row r="567">
      <c r="G567" s="7"/>
    </row>
    <row r="568">
      <c r="G568" s="7"/>
    </row>
    <row r="569">
      <c r="G569" s="7"/>
    </row>
    <row r="570">
      <c r="G570" s="7"/>
    </row>
    <row r="571">
      <c r="G571" s="7"/>
    </row>
    <row r="572">
      <c r="G572" s="7"/>
    </row>
    <row r="573">
      <c r="G573" s="7"/>
    </row>
    <row r="574">
      <c r="G574" s="7"/>
    </row>
    <row r="575">
      <c r="G575" s="7"/>
    </row>
    <row r="576">
      <c r="G576" s="7"/>
    </row>
    <row r="577">
      <c r="G577" s="7"/>
    </row>
    <row r="578">
      <c r="G578" s="7"/>
    </row>
    <row r="579">
      <c r="G579" s="7"/>
    </row>
    <row r="580">
      <c r="G580" s="7"/>
    </row>
    <row r="581">
      <c r="G581" s="7"/>
    </row>
    <row r="582">
      <c r="G582" s="7"/>
    </row>
    <row r="583">
      <c r="G583" s="7"/>
    </row>
    <row r="584">
      <c r="G584" s="7"/>
    </row>
    <row r="585">
      <c r="G585" s="7"/>
    </row>
    <row r="586">
      <c r="G586" s="7"/>
    </row>
    <row r="587">
      <c r="G587" s="7"/>
    </row>
    <row r="588">
      <c r="G588" s="7"/>
    </row>
    <row r="589">
      <c r="G589" s="7"/>
    </row>
    <row r="590">
      <c r="G590" s="7"/>
    </row>
    <row r="591">
      <c r="G591" s="7"/>
    </row>
    <row r="592">
      <c r="G592" s="7"/>
    </row>
    <row r="593">
      <c r="G593" s="7"/>
    </row>
    <row r="594">
      <c r="G594" s="7"/>
    </row>
    <row r="595">
      <c r="G595" s="7"/>
    </row>
    <row r="596">
      <c r="G596" s="7"/>
    </row>
    <row r="597">
      <c r="G597" s="7"/>
    </row>
    <row r="598">
      <c r="G598" s="7"/>
    </row>
    <row r="599">
      <c r="G599" s="7"/>
    </row>
    <row r="600">
      <c r="G600" s="7"/>
    </row>
    <row r="601">
      <c r="G601" s="7"/>
    </row>
    <row r="602">
      <c r="G602" s="7"/>
    </row>
    <row r="603">
      <c r="G603" s="7"/>
    </row>
    <row r="604">
      <c r="G604" s="7"/>
    </row>
    <row r="605">
      <c r="G605" s="7"/>
    </row>
    <row r="606">
      <c r="G606" s="7"/>
    </row>
    <row r="607">
      <c r="G607" s="7"/>
    </row>
    <row r="608">
      <c r="G608" s="7"/>
    </row>
    <row r="609">
      <c r="G609" s="7"/>
    </row>
    <row r="610">
      <c r="G610" s="7"/>
    </row>
    <row r="611">
      <c r="G611" s="7"/>
    </row>
    <row r="612">
      <c r="G612" s="7"/>
    </row>
    <row r="613">
      <c r="G613" s="7"/>
    </row>
    <row r="614">
      <c r="G614" s="7"/>
    </row>
    <row r="615">
      <c r="G615" s="7"/>
    </row>
    <row r="616">
      <c r="G616" s="7"/>
    </row>
    <row r="617">
      <c r="G617" s="7"/>
    </row>
    <row r="618">
      <c r="G618" s="7"/>
    </row>
    <row r="619">
      <c r="G619" s="7"/>
    </row>
    <row r="620">
      <c r="G620" s="7"/>
    </row>
    <row r="621">
      <c r="G621" s="7"/>
    </row>
    <row r="622">
      <c r="G622" s="7"/>
    </row>
    <row r="623">
      <c r="G623" s="7"/>
    </row>
    <row r="624">
      <c r="G624" s="7"/>
    </row>
    <row r="625">
      <c r="G625" s="7"/>
    </row>
    <row r="626">
      <c r="G626" s="7"/>
    </row>
    <row r="627">
      <c r="G627" s="7"/>
    </row>
    <row r="628">
      <c r="G628" s="7"/>
    </row>
    <row r="629">
      <c r="G629" s="7"/>
    </row>
    <row r="630">
      <c r="G630" s="7"/>
    </row>
    <row r="631">
      <c r="G631" s="7"/>
    </row>
    <row r="632">
      <c r="G632" s="7"/>
    </row>
    <row r="633">
      <c r="G633" s="7"/>
    </row>
    <row r="634">
      <c r="G634" s="7"/>
    </row>
    <row r="635">
      <c r="G635" s="7"/>
    </row>
    <row r="636">
      <c r="G636" s="7"/>
    </row>
    <row r="637">
      <c r="G637" s="7"/>
    </row>
    <row r="638">
      <c r="G638" s="7"/>
    </row>
    <row r="639">
      <c r="G639" s="7"/>
    </row>
    <row r="640">
      <c r="G640" s="7"/>
    </row>
    <row r="641">
      <c r="G641" s="7"/>
    </row>
    <row r="642">
      <c r="G642" s="7"/>
    </row>
    <row r="643">
      <c r="G643" s="7"/>
    </row>
    <row r="644">
      <c r="G644" s="7"/>
    </row>
    <row r="645">
      <c r="G645" s="7"/>
    </row>
    <row r="646">
      <c r="G646" s="7"/>
    </row>
    <row r="647">
      <c r="G647" s="7"/>
    </row>
    <row r="648">
      <c r="G648" s="7"/>
    </row>
    <row r="649">
      <c r="G649" s="7"/>
    </row>
    <row r="650">
      <c r="G650" s="7"/>
    </row>
    <row r="651">
      <c r="G651" s="7"/>
    </row>
    <row r="652">
      <c r="G652" s="7"/>
    </row>
    <row r="653">
      <c r="G653" s="7"/>
    </row>
    <row r="654">
      <c r="G654" s="7"/>
    </row>
    <row r="655">
      <c r="G655" s="7"/>
    </row>
    <row r="656">
      <c r="G656" s="7"/>
    </row>
    <row r="657">
      <c r="G657" s="7"/>
    </row>
    <row r="658">
      <c r="G658" s="7"/>
    </row>
    <row r="659">
      <c r="G659" s="7"/>
    </row>
    <row r="660">
      <c r="G660" s="7"/>
    </row>
    <row r="661">
      <c r="G661" s="7"/>
    </row>
    <row r="662">
      <c r="G662" s="7"/>
    </row>
    <row r="663">
      <c r="G663" s="7"/>
    </row>
    <row r="664">
      <c r="G664" s="7"/>
    </row>
    <row r="665">
      <c r="G665" s="7"/>
    </row>
    <row r="666">
      <c r="G666" s="7"/>
    </row>
    <row r="667">
      <c r="G667" s="7"/>
    </row>
    <row r="668">
      <c r="G668" s="7"/>
    </row>
    <row r="669">
      <c r="G669" s="7"/>
    </row>
    <row r="670">
      <c r="G670" s="7"/>
    </row>
    <row r="671">
      <c r="G671" s="7"/>
    </row>
    <row r="672">
      <c r="G672" s="7"/>
    </row>
    <row r="673">
      <c r="G673" s="7"/>
    </row>
    <row r="674">
      <c r="G674" s="7"/>
    </row>
    <row r="675">
      <c r="G675" s="7"/>
    </row>
    <row r="676">
      <c r="G676" s="7"/>
    </row>
    <row r="677">
      <c r="G677" s="7"/>
    </row>
    <row r="678">
      <c r="G678" s="7"/>
    </row>
    <row r="679">
      <c r="G679" s="7"/>
    </row>
    <row r="680">
      <c r="G680" s="7"/>
    </row>
    <row r="681">
      <c r="G681" s="7"/>
    </row>
    <row r="682">
      <c r="G682" s="7"/>
    </row>
    <row r="683">
      <c r="G683" s="7"/>
    </row>
    <row r="684">
      <c r="G684" s="7"/>
    </row>
    <row r="685">
      <c r="G685" s="7"/>
    </row>
    <row r="686">
      <c r="G686" s="7"/>
    </row>
    <row r="687">
      <c r="G687" s="7"/>
    </row>
    <row r="688">
      <c r="G688" s="7"/>
    </row>
    <row r="689">
      <c r="G689" s="7"/>
    </row>
    <row r="690">
      <c r="G690" s="7"/>
    </row>
    <row r="691">
      <c r="G691" s="7"/>
    </row>
    <row r="692">
      <c r="G692" s="7"/>
    </row>
    <row r="693">
      <c r="G693" s="7"/>
    </row>
    <row r="694">
      <c r="G694" s="7"/>
    </row>
    <row r="695">
      <c r="G695" s="7"/>
    </row>
    <row r="696">
      <c r="G696" s="7"/>
    </row>
    <row r="697">
      <c r="G697" s="7"/>
    </row>
    <row r="698">
      <c r="G698" s="7"/>
    </row>
    <row r="699">
      <c r="G699" s="7"/>
    </row>
    <row r="700">
      <c r="G700" s="7"/>
    </row>
    <row r="701">
      <c r="G701" s="7"/>
    </row>
    <row r="702">
      <c r="G702" s="7"/>
    </row>
    <row r="703">
      <c r="G703" s="7"/>
    </row>
    <row r="704">
      <c r="G704" s="7"/>
    </row>
    <row r="705">
      <c r="G705" s="7"/>
    </row>
    <row r="706">
      <c r="G706" s="7"/>
    </row>
    <row r="707">
      <c r="G707" s="7"/>
    </row>
    <row r="708">
      <c r="G708" s="7"/>
    </row>
    <row r="709">
      <c r="G709" s="7"/>
    </row>
    <row r="710">
      <c r="G710" s="7"/>
    </row>
    <row r="711">
      <c r="G711" s="7"/>
    </row>
    <row r="712">
      <c r="G712" s="7"/>
    </row>
    <row r="713">
      <c r="G713" s="7"/>
    </row>
    <row r="714">
      <c r="G714" s="7"/>
    </row>
    <row r="715">
      <c r="G715" s="7"/>
    </row>
    <row r="716">
      <c r="G716" s="7"/>
    </row>
    <row r="717">
      <c r="G717" s="7"/>
    </row>
    <row r="718">
      <c r="G718" s="7"/>
    </row>
    <row r="719">
      <c r="G719" s="7"/>
    </row>
    <row r="720">
      <c r="G720" s="7"/>
    </row>
    <row r="721">
      <c r="G721" s="7"/>
    </row>
    <row r="722">
      <c r="G722" s="7"/>
    </row>
    <row r="723">
      <c r="G723" s="7"/>
    </row>
    <row r="724">
      <c r="G724" s="7"/>
    </row>
    <row r="725">
      <c r="G725" s="7"/>
    </row>
    <row r="726">
      <c r="G726" s="7"/>
    </row>
    <row r="727">
      <c r="G727" s="7"/>
    </row>
    <row r="728">
      <c r="G728" s="7"/>
    </row>
    <row r="729">
      <c r="G729" s="7"/>
    </row>
    <row r="730">
      <c r="G730" s="7"/>
    </row>
    <row r="731">
      <c r="G731" s="7"/>
    </row>
    <row r="732">
      <c r="G732" s="7"/>
    </row>
    <row r="733">
      <c r="G733" s="7"/>
    </row>
    <row r="734">
      <c r="G734" s="7"/>
    </row>
    <row r="735">
      <c r="G735" s="7"/>
    </row>
    <row r="736">
      <c r="G736" s="7"/>
    </row>
    <row r="737">
      <c r="G737" s="7"/>
    </row>
    <row r="738">
      <c r="G738" s="7"/>
    </row>
    <row r="739">
      <c r="G739" s="7"/>
    </row>
    <row r="740">
      <c r="G740" s="7"/>
    </row>
    <row r="741">
      <c r="G741" s="7"/>
    </row>
    <row r="742">
      <c r="G742" s="7"/>
    </row>
    <row r="743">
      <c r="G743" s="7"/>
    </row>
    <row r="744">
      <c r="G744" s="7"/>
    </row>
    <row r="745">
      <c r="G745" s="7"/>
    </row>
    <row r="746">
      <c r="G746" s="7"/>
    </row>
    <row r="747">
      <c r="G747" s="7"/>
    </row>
    <row r="748">
      <c r="G748" s="7"/>
    </row>
    <row r="749">
      <c r="G749" s="7"/>
    </row>
    <row r="750">
      <c r="G750" s="7"/>
    </row>
    <row r="751">
      <c r="G751" s="7"/>
    </row>
    <row r="752">
      <c r="G752" s="7"/>
    </row>
    <row r="753">
      <c r="G753" s="7"/>
    </row>
    <row r="754">
      <c r="G754" s="7"/>
    </row>
    <row r="755">
      <c r="G755" s="7"/>
    </row>
    <row r="756">
      <c r="G756" s="7"/>
    </row>
    <row r="757">
      <c r="G757" s="7"/>
    </row>
    <row r="758">
      <c r="G758" s="7"/>
    </row>
    <row r="759">
      <c r="G759" s="7"/>
    </row>
    <row r="760">
      <c r="G760" s="7"/>
    </row>
    <row r="761">
      <c r="G761" s="7"/>
    </row>
    <row r="762">
      <c r="G762" s="7"/>
    </row>
    <row r="763">
      <c r="G763" s="7"/>
    </row>
    <row r="764">
      <c r="G764" s="7"/>
    </row>
    <row r="765">
      <c r="G765" s="7"/>
    </row>
    <row r="766">
      <c r="G766" s="7"/>
    </row>
    <row r="767">
      <c r="G767" s="7"/>
    </row>
    <row r="768">
      <c r="G768" s="7"/>
    </row>
    <row r="769">
      <c r="G769" s="7"/>
    </row>
    <row r="770">
      <c r="G770" s="7"/>
    </row>
    <row r="771">
      <c r="G771" s="7"/>
    </row>
    <row r="772">
      <c r="G772" s="7"/>
    </row>
    <row r="773">
      <c r="G773" s="7"/>
    </row>
    <row r="774">
      <c r="G774" s="7"/>
    </row>
    <row r="775">
      <c r="G775" s="7"/>
    </row>
    <row r="776">
      <c r="G776" s="7"/>
    </row>
    <row r="777">
      <c r="G777" s="7"/>
    </row>
    <row r="778">
      <c r="G778" s="7"/>
    </row>
    <row r="779">
      <c r="G779" s="7"/>
    </row>
    <row r="780">
      <c r="G780" s="7"/>
    </row>
    <row r="781">
      <c r="G781" s="7"/>
    </row>
    <row r="782">
      <c r="G782" s="7"/>
    </row>
    <row r="783">
      <c r="G783" s="7"/>
    </row>
    <row r="784">
      <c r="G784" s="7"/>
    </row>
    <row r="785">
      <c r="G785" s="7"/>
    </row>
    <row r="786">
      <c r="G786" s="7"/>
    </row>
    <row r="787">
      <c r="G787" s="7"/>
    </row>
    <row r="788">
      <c r="G788" s="7"/>
    </row>
    <row r="789">
      <c r="G789" s="7"/>
    </row>
    <row r="790">
      <c r="G790" s="7"/>
    </row>
    <row r="791">
      <c r="G791" s="7"/>
    </row>
    <row r="792">
      <c r="G792" s="7"/>
    </row>
    <row r="793">
      <c r="G793" s="7"/>
    </row>
    <row r="794">
      <c r="G794" s="7"/>
    </row>
    <row r="795">
      <c r="G795" s="7"/>
    </row>
    <row r="796">
      <c r="G796" s="7"/>
    </row>
    <row r="797">
      <c r="G797" s="7"/>
    </row>
    <row r="798">
      <c r="G798" s="7"/>
    </row>
    <row r="799">
      <c r="G799" s="7"/>
    </row>
    <row r="800">
      <c r="G800" s="7"/>
    </row>
    <row r="801">
      <c r="G801" s="7"/>
    </row>
    <row r="802">
      <c r="G802" s="7"/>
    </row>
    <row r="803">
      <c r="G803" s="7"/>
    </row>
    <row r="804">
      <c r="G804" s="7"/>
    </row>
    <row r="805">
      <c r="G805" s="7"/>
    </row>
    <row r="806">
      <c r="G806" s="7"/>
    </row>
    <row r="807">
      <c r="G807" s="7"/>
    </row>
    <row r="808">
      <c r="G808" s="7"/>
    </row>
    <row r="809">
      <c r="G809" s="7"/>
    </row>
    <row r="810">
      <c r="G810" s="7"/>
    </row>
    <row r="811">
      <c r="G811" s="7"/>
    </row>
    <row r="812">
      <c r="G812" s="7"/>
    </row>
    <row r="813">
      <c r="G813" s="7"/>
    </row>
    <row r="814">
      <c r="G814" s="7"/>
    </row>
    <row r="815">
      <c r="G815" s="7"/>
    </row>
    <row r="816">
      <c r="G816" s="7"/>
    </row>
    <row r="817">
      <c r="G817" s="7"/>
    </row>
    <row r="818">
      <c r="G818" s="7"/>
    </row>
    <row r="819">
      <c r="G819" s="7"/>
    </row>
    <row r="820">
      <c r="G820" s="7"/>
    </row>
    <row r="821">
      <c r="G821" s="7"/>
    </row>
    <row r="822">
      <c r="G822" s="7"/>
    </row>
    <row r="823">
      <c r="G823" s="7"/>
    </row>
    <row r="824">
      <c r="G824" s="7"/>
    </row>
    <row r="825">
      <c r="G825" s="7"/>
    </row>
    <row r="826">
      <c r="G826" s="7"/>
    </row>
    <row r="827">
      <c r="G827" s="7"/>
    </row>
    <row r="828">
      <c r="G828" s="7"/>
    </row>
    <row r="829">
      <c r="G829" s="7"/>
    </row>
    <row r="830">
      <c r="G830" s="7"/>
    </row>
    <row r="831">
      <c r="G831" s="7"/>
    </row>
    <row r="832">
      <c r="G832" s="7"/>
    </row>
    <row r="833">
      <c r="G833" s="7"/>
    </row>
    <row r="834">
      <c r="G834" s="7"/>
    </row>
    <row r="835">
      <c r="G835" s="7"/>
    </row>
    <row r="836">
      <c r="G836" s="7"/>
    </row>
    <row r="837">
      <c r="G837" s="7"/>
    </row>
    <row r="838">
      <c r="G838" s="7"/>
    </row>
    <row r="839">
      <c r="G839" s="7"/>
    </row>
    <row r="840">
      <c r="G840" s="7"/>
    </row>
    <row r="841">
      <c r="G841" s="7"/>
    </row>
    <row r="842">
      <c r="G842" s="7"/>
    </row>
    <row r="843">
      <c r="G843" s="7"/>
    </row>
    <row r="844">
      <c r="G844" s="7"/>
    </row>
    <row r="845">
      <c r="G845" s="7"/>
    </row>
    <row r="846">
      <c r="G846" s="7"/>
    </row>
    <row r="847">
      <c r="G847" s="7"/>
    </row>
    <row r="848">
      <c r="G848" s="7"/>
    </row>
    <row r="849">
      <c r="G849" s="7"/>
    </row>
    <row r="850">
      <c r="G850" s="7"/>
    </row>
    <row r="851">
      <c r="G851" s="7"/>
    </row>
    <row r="852">
      <c r="G852" s="7"/>
    </row>
    <row r="853">
      <c r="G853" s="7"/>
    </row>
    <row r="854">
      <c r="G854" s="7"/>
    </row>
    <row r="855">
      <c r="G855" s="7"/>
    </row>
    <row r="856">
      <c r="G856" s="7"/>
    </row>
    <row r="857">
      <c r="G857" s="7"/>
    </row>
    <row r="858">
      <c r="G858" s="7"/>
    </row>
    <row r="859">
      <c r="G859" s="7"/>
    </row>
    <row r="860">
      <c r="G860" s="7"/>
    </row>
    <row r="861">
      <c r="G861" s="7"/>
    </row>
    <row r="862">
      <c r="G862" s="7"/>
    </row>
    <row r="863">
      <c r="G863" s="7"/>
    </row>
    <row r="864">
      <c r="G864" s="7"/>
    </row>
    <row r="865">
      <c r="G865" s="7"/>
    </row>
    <row r="866">
      <c r="G866" s="7"/>
    </row>
    <row r="867">
      <c r="G867" s="7"/>
    </row>
    <row r="868">
      <c r="G868" s="7"/>
    </row>
    <row r="869">
      <c r="G869" s="7"/>
    </row>
    <row r="870">
      <c r="G870" s="7"/>
    </row>
    <row r="871">
      <c r="G871" s="7"/>
    </row>
    <row r="872">
      <c r="G872" s="7"/>
    </row>
    <row r="873">
      <c r="G873" s="7"/>
    </row>
    <row r="874">
      <c r="G874" s="7"/>
    </row>
    <row r="875">
      <c r="G875" s="7"/>
    </row>
    <row r="876">
      <c r="G876" s="7"/>
    </row>
    <row r="877">
      <c r="G877" s="7"/>
    </row>
    <row r="878">
      <c r="G878" s="7"/>
    </row>
    <row r="879">
      <c r="G879" s="7"/>
    </row>
    <row r="880">
      <c r="G880" s="7"/>
    </row>
    <row r="881">
      <c r="G881" s="7"/>
    </row>
    <row r="882">
      <c r="G882" s="7"/>
    </row>
    <row r="883">
      <c r="G883" s="7"/>
    </row>
    <row r="884">
      <c r="G884" s="7"/>
    </row>
    <row r="885">
      <c r="G885" s="7"/>
    </row>
    <row r="886">
      <c r="G886" s="7"/>
    </row>
    <row r="887">
      <c r="G887" s="7"/>
    </row>
    <row r="888">
      <c r="G888" s="7"/>
    </row>
    <row r="889">
      <c r="G889" s="7"/>
    </row>
    <row r="890">
      <c r="G890" s="7"/>
    </row>
    <row r="891">
      <c r="G891" s="7"/>
    </row>
    <row r="892">
      <c r="G892" s="7"/>
    </row>
    <row r="893">
      <c r="G893" s="7"/>
    </row>
    <row r="894">
      <c r="G894" s="7"/>
    </row>
    <row r="895">
      <c r="G895" s="7"/>
    </row>
    <row r="896">
      <c r="G896" s="7"/>
    </row>
    <row r="897">
      <c r="G897" s="7"/>
    </row>
    <row r="898">
      <c r="G898" s="7"/>
    </row>
    <row r="899">
      <c r="G899" s="7"/>
    </row>
    <row r="900">
      <c r="G900" s="7"/>
    </row>
    <row r="901">
      <c r="G901" s="7"/>
    </row>
    <row r="902">
      <c r="G902" s="7"/>
    </row>
    <row r="903">
      <c r="G903" s="7"/>
    </row>
    <row r="904">
      <c r="G904" s="7"/>
    </row>
    <row r="905">
      <c r="G905" s="7"/>
    </row>
    <row r="906">
      <c r="G906" s="7"/>
    </row>
    <row r="907">
      <c r="G907" s="7"/>
    </row>
    <row r="908">
      <c r="G908" s="7"/>
    </row>
    <row r="909">
      <c r="G909" s="7"/>
    </row>
    <row r="910">
      <c r="G910" s="7"/>
    </row>
    <row r="911">
      <c r="G911" s="7"/>
    </row>
    <row r="912">
      <c r="G912" s="7"/>
    </row>
    <row r="913">
      <c r="G913" s="7"/>
    </row>
    <row r="914">
      <c r="G914" s="7"/>
    </row>
    <row r="915">
      <c r="G915" s="7"/>
    </row>
    <row r="916">
      <c r="G916" s="7"/>
    </row>
    <row r="917">
      <c r="G917" s="7"/>
    </row>
    <row r="918">
      <c r="G918" s="7"/>
    </row>
    <row r="919">
      <c r="G919" s="7"/>
    </row>
    <row r="920">
      <c r="G920" s="7"/>
    </row>
    <row r="921">
      <c r="G921" s="7"/>
    </row>
    <row r="922">
      <c r="G922" s="7"/>
    </row>
    <row r="923">
      <c r="G923" s="7"/>
    </row>
    <row r="924">
      <c r="G924" s="7"/>
    </row>
    <row r="925">
      <c r="G925" s="7"/>
    </row>
    <row r="926">
      <c r="G926" s="7"/>
    </row>
    <row r="927">
      <c r="G927" s="7"/>
    </row>
    <row r="928">
      <c r="G928" s="7"/>
    </row>
    <row r="929">
      <c r="G929" s="7"/>
    </row>
    <row r="930">
      <c r="G930" s="7"/>
    </row>
    <row r="931">
      <c r="G931" s="7"/>
    </row>
    <row r="932">
      <c r="G932" s="7"/>
    </row>
    <row r="933">
      <c r="G933" s="7"/>
    </row>
    <row r="934">
      <c r="G934" s="7"/>
    </row>
    <row r="935">
      <c r="G935" s="7"/>
    </row>
    <row r="936">
      <c r="G936" s="7"/>
    </row>
    <row r="937">
      <c r="G937" s="7"/>
    </row>
    <row r="938">
      <c r="G938" s="7"/>
    </row>
    <row r="939">
      <c r="G939" s="7"/>
    </row>
    <row r="940">
      <c r="G940" s="7"/>
    </row>
    <row r="941">
      <c r="G941" s="7"/>
    </row>
    <row r="942">
      <c r="G942" s="7"/>
    </row>
    <row r="943">
      <c r="G943" s="7"/>
    </row>
    <row r="944">
      <c r="G944" s="7"/>
    </row>
    <row r="945">
      <c r="G945" s="7"/>
    </row>
    <row r="946">
      <c r="G946" s="7"/>
    </row>
    <row r="947">
      <c r="G947" s="7"/>
    </row>
    <row r="948">
      <c r="G948" s="7"/>
    </row>
    <row r="949">
      <c r="G949" s="7"/>
    </row>
    <row r="950">
      <c r="G950" s="7"/>
    </row>
    <row r="951">
      <c r="G951" s="7"/>
    </row>
    <row r="952">
      <c r="G952" s="7"/>
    </row>
    <row r="953">
      <c r="G953" s="7"/>
    </row>
    <row r="954">
      <c r="G954" s="7"/>
    </row>
    <row r="955">
      <c r="G955" s="7"/>
    </row>
    <row r="956">
      <c r="G956" s="7"/>
    </row>
    <row r="957">
      <c r="G957" s="7"/>
    </row>
    <row r="958">
      <c r="G958" s="7"/>
    </row>
    <row r="959">
      <c r="G959" s="7"/>
    </row>
    <row r="960">
      <c r="G960" s="7"/>
    </row>
    <row r="961">
      <c r="G961" s="7"/>
    </row>
    <row r="962">
      <c r="G962" s="7"/>
    </row>
    <row r="963">
      <c r="G963" s="7"/>
    </row>
    <row r="964">
      <c r="G964" s="7"/>
    </row>
    <row r="965">
      <c r="G965" s="7"/>
    </row>
    <row r="966">
      <c r="G966" s="7"/>
    </row>
    <row r="967">
      <c r="G967" s="7"/>
    </row>
    <row r="968">
      <c r="G968" s="7"/>
    </row>
    <row r="969">
      <c r="G969" s="7"/>
    </row>
    <row r="970">
      <c r="G970" s="7"/>
    </row>
    <row r="971">
      <c r="G971" s="7"/>
    </row>
    <row r="972">
      <c r="G972" s="7"/>
    </row>
    <row r="973">
      <c r="G973" s="7"/>
    </row>
    <row r="974">
      <c r="G974" s="7"/>
    </row>
    <row r="975">
      <c r="G975" s="7"/>
    </row>
    <row r="976">
      <c r="G976" s="7"/>
    </row>
    <row r="977">
      <c r="G977" s="7"/>
    </row>
    <row r="978">
      <c r="G978" s="7"/>
    </row>
    <row r="979">
      <c r="G979" s="7"/>
    </row>
    <row r="980">
      <c r="G980" s="7"/>
    </row>
    <row r="981">
      <c r="G981" s="7"/>
    </row>
    <row r="982">
      <c r="G982" s="7"/>
    </row>
    <row r="983">
      <c r="G983" s="7"/>
    </row>
    <row r="984">
      <c r="G984" s="7"/>
    </row>
    <row r="985">
      <c r="G985" s="7"/>
    </row>
    <row r="986">
      <c r="G986" s="7"/>
    </row>
    <row r="987">
      <c r="G987" s="7"/>
    </row>
    <row r="988">
      <c r="G988" s="7"/>
    </row>
    <row r="989">
      <c r="G989" s="7"/>
    </row>
    <row r="990">
      <c r="G990" s="7"/>
    </row>
    <row r="991">
      <c r="G991" s="7"/>
    </row>
    <row r="992">
      <c r="G992" s="7"/>
    </row>
    <row r="993">
      <c r="G993" s="7"/>
    </row>
    <row r="994">
      <c r="G994" s="7"/>
    </row>
    <row r="995">
      <c r="G995" s="7"/>
    </row>
    <row r="996">
      <c r="G996" s="7"/>
    </row>
    <row r="997">
      <c r="G997" s="7"/>
    </row>
    <row r="998">
      <c r="G998" s="7"/>
    </row>
    <row r="999">
      <c r="G999" s="7"/>
    </row>
    <row r="1000">
      <c r="G1000" s="7"/>
    </row>
    <row r="1001">
      <c r="G1001" s="7"/>
    </row>
    <row r="1002">
      <c r="G1002" s="7"/>
    </row>
    <row r="1003">
      <c r="G1003" s="7"/>
    </row>
    <row r="1004">
      <c r="G1004" s="7"/>
    </row>
    <row r="1005">
      <c r="G1005" s="7"/>
    </row>
    <row r="1006">
      <c r="G1006" s="7"/>
    </row>
    <row r="1007">
      <c r="G1007" s="7"/>
    </row>
    <row r="1008">
      <c r="G1008" s="7"/>
    </row>
    <row r="1009">
      <c r="G1009" s="7"/>
    </row>
    <row r="1010">
      <c r="G1010" s="7"/>
    </row>
    <row r="1011">
      <c r="G1011" s="7"/>
    </row>
    <row r="1012">
      <c r="G1012" s="7"/>
    </row>
    <row r="1013">
      <c r="G1013" s="7"/>
    </row>
    <row r="1014">
      <c r="G1014" s="7"/>
    </row>
    <row r="1015">
      <c r="G1015" s="7"/>
    </row>
    <row r="1016">
      <c r="G1016" s="7"/>
    </row>
    <row r="1017">
      <c r="G1017" s="7"/>
    </row>
    <row r="1018">
      <c r="G1018" s="7"/>
    </row>
    <row r="1019">
      <c r="G1019" s="7"/>
    </row>
    <row r="1020">
      <c r="G1020" s="7"/>
    </row>
    <row r="1021">
      <c r="G1021" s="7"/>
    </row>
    <row r="1022">
      <c r="G1022" s="7"/>
    </row>
    <row r="1023">
      <c r="G1023" s="7"/>
    </row>
    <row r="1024">
      <c r="G1024" s="7"/>
    </row>
    <row r="1025">
      <c r="G1025" s="7"/>
    </row>
    <row r="1026">
      <c r="G1026" s="7"/>
    </row>
    <row r="1027">
      <c r="G1027" s="7"/>
    </row>
    <row r="1028">
      <c r="G1028" s="7"/>
    </row>
    <row r="1029">
      <c r="G1029" s="7"/>
    </row>
    <row r="1030">
      <c r="G1030" s="7"/>
    </row>
    <row r="1031">
      <c r="G1031" s="7"/>
    </row>
    <row r="1032">
      <c r="G1032" s="7"/>
    </row>
    <row r="1033">
      <c r="G1033" s="7"/>
    </row>
    <row r="1034">
      <c r="G1034" s="7"/>
    </row>
    <row r="1035">
      <c r="G1035" s="7"/>
    </row>
    <row r="1036">
      <c r="G1036" s="7"/>
    </row>
    <row r="1037">
      <c r="G1037" s="7"/>
    </row>
    <row r="1038">
      <c r="G1038" s="7"/>
    </row>
    <row r="1039">
      <c r="G1039" s="7"/>
    </row>
    <row r="1040">
      <c r="G1040" s="7"/>
    </row>
    <row r="1041">
      <c r="G1041" s="7"/>
    </row>
    <row r="1042">
      <c r="G1042" s="7"/>
    </row>
    <row r="1043">
      <c r="G1043" s="7"/>
    </row>
    <row r="1044">
      <c r="G1044" s="7"/>
    </row>
    <row r="1045">
      <c r="G1045" s="7"/>
    </row>
    <row r="1046">
      <c r="G1046" s="7"/>
    </row>
    <row r="1047">
      <c r="G1047" s="7"/>
    </row>
    <row r="1048">
      <c r="G1048" s="7"/>
    </row>
    <row r="1049">
      <c r="G1049" s="7"/>
    </row>
    <row r="1050">
      <c r="G1050" s="7"/>
    </row>
    <row r="1051">
      <c r="G1051" s="7"/>
    </row>
    <row r="1052">
      <c r="G1052" s="7"/>
    </row>
    <row r="1053">
      <c r="G1053" s="7"/>
    </row>
    <row r="1054">
      <c r="G1054" s="7"/>
    </row>
    <row r="1055">
      <c r="G1055" s="7"/>
    </row>
    <row r="1056">
      <c r="G1056" s="7"/>
    </row>
    <row r="1057">
      <c r="G1057" s="7"/>
    </row>
    <row r="1058">
      <c r="G1058" s="7"/>
    </row>
    <row r="1059">
      <c r="G1059" s="7"/>
    </row>
    <row r="1060">
      <c r="G1060" s="7"/>
    </row>
    <row r="1061">
      <c r="G1061" s="7"/>
    </row>
    <row r="1062">
      <c r="G1062" s="7"/>
    </row>
    <row r="1063">
      <c r="G1063" s="7"/>
    </row>
    <row r="1064">
      <c r="G1064" s="7"/>
    </row>
    <row r="1065">
      <c r="G1065" s="7"/>
    </row>
    <row r="1066">
      <c r="G1066" s="7"/>
    </row>
    <row r="1067">
      <c r="G1067" s="7"/>
    </row>
    <row r="1068">
      <c r="G1068" s="7"/>
    </row>
    <row r="1069">
      <c r="G1069" s="7"/>
    </row>
    <row r="1070">
      <c r="G1070" s="7"/>
    </row>
    <row r="1071">
      <c r="G1071" s="7"/>
    </row>
    <row r="1072">
      <c r="G1072" s="7"/>
    </row>
    <row r="1073">
      <c r="G1073" s="7"/>
    </row>
    <row r="1074">
      <c r="G1074" s="7"/>
    </row>
    <row r="1075">
      <c r="G1075" s="7"/>
    </row>
    <row r="1076">
      <c r="G1076" s="7"/>
    </row>
    <row r="1077">
      <c r="G1077" s="7"/>
    </row>
    <row r="1078">
      <c r="G1078" s="7"/>
    </row>
    <row r="1079">
      <c r="G1079" s="7"/>
    </row>
    <row r="1080">
      <c r="G1080" s="7"/>
    </row>
    <row r="1081">
      <c r="G1081" s="7"/>
    </row>
    <row r="1082">
      <c r="G1082" s="7"/>
    </row>
    <row r="1083">
      <c r="G1083" s="7"/>
    </row>
    <row r="1084">
      <c r="G1084" s="7"/>
    </row>
    <row r="1085">
      <c r="G1085" s="7"/>
    </row>
    <row r="1086">
      <c r="G1086" s="7"/>
    </row>
    <row r="1087">
      <c r="G1087" s="7"/>
    </row>
    <row r="1088">
      <c r="G1088" s="7"/>
    </row>
    <row r="1089">
      <c r="G1089" s="7"/>
    </row>
    <row r="1090">
      <c r="G1090" s="7"/>
    </row>
    <row r="1091">
      <c r="G1091" s="7"/>
    </row>
    <row r="1092">
      <c r="G1092" s="7"/>
    </row>
    <row r="1093">
      <c r="G1093" s="7"/>
    </row>
    <row r="1094">
      <c r="G1094" s="7"/>
    </row>
    <row r="1095">
      <c r="G1095" s="7"/>
    </row>
    <row r="1096">
      <c r="G1096" s="7"/>
    </row>
    <row r="1097">
      <c r="G1097" s="7"/>
    </row>
    <row r="1098">
      <c r="G1098" s="7"/>
    </row>
    <row r="1099">
      <c r="G1099" s="7"/>
    </row>
    <row r="1100">
      <c r="G1100" s="7"/>
    </row>
    <row r="1101">
      <c r="G1101" s="7"/>
    </row>
    <row r="1102">
      <c r="G1102" s="7"/>
    </row>
    <row r="1103">
      <c r="G1103" s="7"/>
    </row>
    <row r="1104">
      <c r="G1104" s="7"/>
    </row>
    <row r="1105">
      <c r="G1105" s="7"/>
    </row>
    <row r="1106">
      <c r="G1106" s="7"/>
    </row>
    <row r="1107">
      <c r="G1107" s="7"/>
    </row>
    <row r="1108">
      <c r="G1108" s="7"/>
    </row>
    <row r="1109">
      <c r="G1109" s="7"/>
    </row>
    <row r="1110">
      <c r="G1110" s="7"/>
    </row>
    <row r="1111">
      <c r="G1111" s="7"/>
    </row>
    <row r="1112">
      <c r="G1112" s="7"/>
    </row>
    <row r="1113">
      <c r="G1113" s="7"/>
    </row>
    <row r="1114">
      <c r="G1114" s="7"/>
    </row>
    <row r="1115">
      <c r="G1115" s="7"/>
    </row>
    <row r="1116">
      <c r="G1116" s="7"/>
    </row>
    <row r="1117">
      <c r="G1117" s="7"/>
    </row>
    <row r="1118">
      <c r="G1118" s="7"/>
    </row>
    <row r="1119">
      <c r="G1119" s="7"/>
    </row>
    <row r="1120">
      <c r="G1120" s="7"/>
    </row>
    <row r="1121">
      <c r="G1121" s="7"/>
    </row>
    <row r="1122">
      <c r="G1122" s="7"/>
    </row>
    <row r="1123">
      <c r="G1123" s="7"/>
    </row>
    <row r="1124">
      <c r="G1124" s="7"/>
    </row>
    <row r="1125">
      <c r="G1125" s="7"/>
    </row>
    <row r="1126">
      <c r="G1126" s="7"/>
    </row>
    <row r="1127">
      <c r="G1127" s="7"/>
    </row>
    <row r="1128">
      <c r="G1128" s="7"/>
    </row>
    <row r="1129">
      <c r="G1129" s="7"/>
    </row>
    <row r="1130">
      <c r="G1130" s="7"/>
    </row>
    <row r="1131">
      <c r="G1131" s="7"/>
    </row>
    <row r="1132">
      <c r="G1132" s="7"/>
    </row>
    <row r="1133">
      <c r="G1133" s="7"/>
    </row>
    <row r="1134">
      <c r="G1134" s="7"/>
    </row>
    <row r="1135">
      <c r="G1135" s="7"/>
    </row>
    <row r="1136">
      <c r="G1136" s="7"/>
    </row>
    <row r="1137">
      <c r="G1137" s="7"/>
    </row>
    <row r="1138">
      <c r="G1138" s="7"/>
    </row>
    <row r="1139">
      <c r="G1139" s="7"/>
    </row>
    <row r="1140">
      <c r="G1140" s="7"/>
    </row>
    <row r="1141">
      <c r="G1141" s="7"/>
    </row>
    <row r="1142">
      <c r="G1142" s="7"/>
    </row>
    <row r="1143">
      <c r="G1143" s="7"/>
    </row>
    <row r="1144">
      <c r="G1144" s="7"/>
    </row>
    <row r="1145">
      <c r="G1145" s="7"/>
    </row>
    <row r="1146">
      <c r="G1146" s="7"/>
    </row>
    <row r="1147">
      <c r="G1147" s="7"/>
    </row>
    <row r="1148">
      <c r="G1148" s="7"/>
    </row>
    <row r="1149">
      <c r="G1149" s="7"/>
    </row>
    <row r="1150">
      <c r="G1150" s="7"/>
    </row>
    <row r="1151">
      <c r="G1151" s="7"/>
    </row>
    <row r="1152">
      <c r="G1152" s="7"/>
    </row>
    <row r="1153">
      <c r="G1153" s="7"/>
    </row>
    <row r="1154">
      <c r="G1154" s="7"/>
    </row>
    <row r="1155">
      <c r="G1155" s="7"/>
    </row>
    <row r="1156">
      <c r="G1156" s="7"/>
    </row>
    <row r="1157">
      <c r="G1157" s="7"/>
    </row>
    <row r="1158">
      <c r="G1158" s="7"/>
    </row>
    <row r="1159">
      <c r="G1159" s="7"/>
    </row>
    <row r="1160">
      <c r="G1160" s="7"/>
    </row>
    <row r="1161">
      <c r="G1161" s="7"/>
    </row>
    <row r="1162">
      <c r="G1162" s="7"/>
    </row>
    <row r="1163">
      <c r="G1163" s="7"/>
    </row>
    <row r="1164">
      <c r="G1164" s="7"/>
    </row>
    <row r="1165">
      <c r="G1165" s="7"/>
    </row>
    <row r="1166">
      <c r="G1166" s="7"/>
    </row>
    <row r="1167">
      <c r="G1167" s="7"/>
    </row>
    <row r="1168">
      <c r="G1168" s="7"/>
    </row>
    <row r="1169">
      <c r="G1169" s="7"/>
    </row>
    <row r="1170">
      <c r="G1170" s="7"/>
    </row>
    <row r="1171">
      <c r="G1171" s="7"/>
    </row>
    <row r="1172">
      <c r="G1172" s="7"/>
    </row>
    <row r="1173">
      <c r="G1173" s="7"/>
    </row>
    <row r="1174">
      <c r="G1174" s="7"/>
    </row>
    <row r="1175">
      <c r="G1175" s="7"/>
    </row>
    <row r="1176">
      <c r="G1176" s="7"/>
    </row>
    <row r="1177">
      <c r="G1177" s="7"/>
    </row>
    <row r="1178">
      <c r="G1178" s="7"/>
    </row>
    <row r="1179">
      <c r="G1179" s="7"/>
    </row>
    <row r="1180">
      <c r="G1180" s="7"/>
    </row>
    <row r="1181">
      <c r="G1181" s="7"/>
    </row>
    <row r="1182">
      <c r="G1182" s="7"/>
    </row>
    <row r="1183">
      <c r="G1183" s="7"/>
    </row>
    <row r="1184">
      <c r="G1184" s="7"/>
    </row>
    <row r="1185">
      <c r="G1185" s="7"/>
    </row>
    <row r="1186">
      <c r="G1186" s="7"/>
    </row>
    <row r="1187">
      <c r="G1187" s="7"/>
    </row>
    <row r="1188">
      <c r="G1188" s="7"/>
    </row>
    <row r="1189">
      <c r="G1189" s="7"/>
    </row>
    <row r="1190">
      <c r="G1190" s="7"/>
    </row>
    <row r="1191">
      <c r="G1191" s="7"/>
    </row>
    <row r="1192">
      <c r="G1192" s="7"/>
    </row>
    <row r="1193">
      <c r="G1193" s="7"/>
    </row>
    <row r="1194">
      <c r="G1194" s="7"/>
    </row>
    <row r="1195">
      <c r="G1195" s="7"/>
    </row>
    <row r="1196">
      <c r="G1196" s="7"/>
    </row>
    <row r="1197">
      <c r="G1197" s="7"/>
    </row>
    <row r="1198">
      <c r="G1198" s="7"/>
    </row>
    <row r="1199">
      <c r="G1199" s="7"/>
    </row>
    <row r="1200">
      <c r="G1200" s="7"/>
    </row>
    <row r="1201">
      <c r="G1201" s="7"/>
    </row>
    <row r="1202">
      <c r="G1202" s="7"/>
    </row>
    <row r="1203">
      <c r="G1203" s="7"/>
    </row>
    <row r="1204">
      <c r="G1204" s="7"/>
    </row>
    <row r="1205">
      <c r="G1205" s="7"/>
    </row>
    <row r="1206">
      <c r="G1206" s="7"/>
    </row>
    <row r="1207">
      <c r="G1207" s="7"/>
    </row>
    <row r="1208">
      <c r="G1208" s="7"/>
    </row>
    <row r="1209">
      <c r="G1209" s="7"/>
    </row>
    <row r="1210">
      <c r="G1210" s="7"/>
    </row>
    <row r="1211">
      <c r="G1211" s="7"/>
    </row>
    <row r="1212">
      <c r="G1212" s="7"/>
    </row>
    <row r="1213">
      <c r="G1213" s="7"/>
    </row>
    <row r="1214">
      <c r="G1214" s="7"/>
    </row>
    <row r="1215">
      <c r="G1215" s="7"/>
    </row>
    <row r="1216">
      <c r="G1216" s="7"/>
    </row>
    <row r="1217">
      <c r="G1217" s="7"/>
    </row>
    <row r="1218">
      <c r="G1218" s="7"/>
    </row>
    <row r="1219">
      <c r="G1219" s="7"/>
    </row>
    <row r="1220">
      <c r="G1220" s="7"/>
    </row>
    <row r="1221">
      <c r="G1221" s="7"/>
    </row>
    <row r="1222">
      <c r="G1222" s="7"/>
    </row>
    <row r="1223">
      <c r="G1223" s="7"/>
    </row>
    <row r="1224">
      <c r="G1224" s="7"/>
    </row>
    <row r="1225">
      <c r="G1225" s="7"/>
    </row>
    <row r="1226">
      <c r="G1226" s="7"/>
    </row>
    <row r="1227">
      <c r="G1227" s="7"/>
    </row>
    <row r="1228">
      <c r="G1228" s="7"/>
    </row>
    <row r="1229">
      <c r="G1229" s="7"/>
    </row>
    <row r="1230">
      <c r="G1230" s="7"/>
    </row>
    <row r="1231">
      <c r="G1231" s="7"/>
    </row>
    <row r="1232">
      <c r="G1232" s="7"/>
    </row>
    <row r="1233">
      <c r="G1233" s="7"/>
    </row>
    <row r="1234">
      <c r="G1234" s="7"/>
    </row>
    <row r="1235">
      <c r="G1235" s="7"/>
    </row>
    <row r="1236">
      <c r="G1236" s="7"/>
    </row>
    <row r="1237">
      <c r="G1237" s="7"/>
    </row>
    <row r="1238">
      <c r="G1238" s="7"/>
    </row>
    <row r="1239">
      <c r="G1239" s="7"/>
    </row>
    <row r="1240">
      <c r="G1240" s="7"/>
    </row>
    <row r="1241">
      <c r="G1241" s="7"/>
    </row>
    <row r="1242">
      <c r="G1242" s="7"/>
    </row>
    <row r="1243">
      <c r="G1243" s="7"/>
    </row>
    <row r="1244">
      <c r="G1244" s="7"/>
    </row>
    <row r="1245">
      <c r="G1245" s="7"/>
    </row>
    <row r="1246">
      <c r="G1246" s="7"/>
    </row>
    <row r="1247">
      <c r="G1247" s="7"/>
    </row>
    <row r="1248">
      <c r="G1248" s="7"/>
    </row>
    <row r="1249">
      <c r="G1249" s="7"/>
    </row>
    <row r="1250">
      <c r="G1250" s="7"/>
    </row>
    <row r="1251">
      <c r="G1251" s="7"/>
    </row>
    <row r="1252">
      <c r="G1252" s="7"/>
    </row>
    <row r="1253">
      <c r="G1253" s="7"/>
    </row>
    <row r="1254">
      <c r="G1254" s="7"/>
    </row>
    <row r="1255">
      <c r="G1255" s="7"/>
    </row>
    <row r="1256">
      <c r="G1256" s="7"/>
    </row>
    <row r="1257">
      <c r="G1257" s="7"/>
    </row>
    <row r="1258">
      <c r="G1258" s="7"/>
    </row>
    <row r="1259">
      <c r="G1259" s="7"/>
    </row>
    <row r="1260">
      <c r="G1260" s="7"/>
    </row>
    <row r="1261">
      <c r="G1261" s="7"/>
    </row>
    <row r="1262">
      <c r="G1262" s="7"/>
    </row>
    <row r="1263">
      <c r="G1263" s="7"/>
    </row>
    <row r="1264">
      <c r="G1264" s="7"/>
    </row>
    <row r="1265">
      <c r="G1265" s="7"/>
    </row>
    <row r="1266">
      <c r="G1266" s="7"/>
    </row>
    <row r="1267">
      <c r="G1267" s="7"/>
    </row>
    <row r="1268">
      <c r="G1268" s="7"/>
    </row>
    <row r="1269">
      <c r="G1269" s="7"/>
    </row>
    <row r="1270">
      <c r="G1270" s="7"/>
    </row>
    <row r="1271">
      <c r="G1271" s="7"/>
    </row>
    <row r="1272">
      <c r="G1272" s="7"/>
    </row>
    <row r="1273">
      <c r="G1273" s="7"/>
    </row>
    <row r="1274">
      <c r="G1274" s="7"/>
    </row>
    <row r="1275">
      <c r="G1275" s="7"/>
    </row>
    <row r="1276">
      <c r="G1276" s="7"/>
    </row>
    <row r="1277">
      <c r="G1277" s="7"/>
    </row>
    <row r="1278">
      <c r="G1278" s="7"/>
    </row>
    <row r="1279">
      <c r="G1279" s="7"/>
    </row>
    <row r="1280">
      <c r="G1280" s="7"/>
    </row>
    <row r="1281">
      <c r="G1281" s="7"/>
    </row>
    <row r="1282">
      <c r="G1282" s="7"/>
    </row>
    <row r="1283">
      <c r="G1283" s="7"/>
    </row>
    <row r="1284">
      <c r="G1284" s="7"/>
    </row>
    <row r="1285">
      <c r="G1285" s="7"/>
    </row>
    <row r="1286">
      <c r="G1286" s="7"/>
    </row>
    <row r="1287">
      <c r="G1287" s="7"/>
    </row>
    <row r="1288">
      <c r="G1288" s="7"/>
    </row>
    <row r="1289">
      <c r="G1289" s="7"/>
    </row>
    <row r="1290">
      <c r="G1290" s="7"/>
    </row>
    <row r="1291">
      <c r="G1291" s="7"/>
    </row>
    <row r="1292">
      <c r="G1292" s="7"/>
    </row>
    <row r="1293">
      <c r="G1293" s="7"/>
    </row>
    <row r="1294">
      <c r="G1294" s="7"/>
    </row>
    <row r="1295">
      <c r="G1295" s="7"/>
    </row>
    <row r="1296">
      <c r="G1296" s="7"/>
    </row>
    <row r="1297">
      <c r="G1297" s="7"/>
    </row>
    <row r="1298">
      <c r="G1298" s="7"/>
    </row>
    <row r="1299">
      <c r="G1299" s="7"/>
    </row>
    <row r="1300">
      <c r="G1300" s="7"/>
    </row>
    <row r="1301">
      <c r="G1301" s="7"/>
    </row>
    <row r="1302">
      <c r="G1302" s="7"/>
    </row>
    <row r="1303">
      <c r="G1303" s="7"/>
    </row>
    <row r="1304">
      <c r="G1304" s="7"/>
    </row>
    <row r="1305">
      <c r="G1305" s="7"/>
    </row>
    <row r="1306">
      <c r="G1306" s="7"/>
    </row>
    <row r="1307">
      <c r="G1307" s="7"/>
    </row>
    <row r="1308">
      <c r="G1308" s="7"/>
    </row>
    <row r="1309">
      <c r="G1309" s="7"/>
    </row>
    <row r="1310">
      <c r="G1310" s="7"/>
    </row>
    <row r="1311">
      <c r="G1311" s="7"/>
    </row>
    <row r="1312">
      <c r="G1312" s="7"/>
    </row>
    <row r="1313">
      <c r="G1313" s="7"/>
    </row>
    <row r="1314">
      <c r="G1314" s="7"/>
    </row>
    <row r="1315">
      <c r="G1315" s="7"/>
    </row>
    <row r="1316">
      <c r="G1316" s="7"/>
    </row>
    <row r="1317">
      <c r="G1317" s="7"/>
    </row>
    <row r="1318">
      <c r="G1318" s="7"/>
    </row>
    <row r="1319">
      <c r="G1319" s="7"/>
    </row>
    <row r="1320">
      <c r="G1320" s="7"/>
    </row>
    <row r="1321">
      <c r="G1321" s="7"/>
    </row>
    <row r="1322">
      <c r="G1322" s="7"/>
    </row>
    <row r="1323">
      <c r="G1323" s="7"/>
    </row>
    <row r="1324">
      <c r="G1324" s="7"/>
    </row>
    <row r="1325">
      <c r="G1325" s="7"/>
    </row>
    <row r="1326">
      <c r="G1326" s="7"/>
    </row>
    <row r="1327">
      <c r="G1327" s="7"/>
    </row>
    <row r="1328">
      <c r="G1328" s="7"/>
    </row>
    <row r="1329">
      <c r="G1329" s="7"/>
    </row>
    <row r="1330">
      <c r="G1330" s="7"/>
    </row>
    <row r="1331">
      <c r="G1331" s="7"/>
    </row>
    <row r="1332">
      <c r="G1332" s="7"/>
    </row>
    <row r="1333">
      <c r="G1333" s="7"/>
    </row>
    <row r="1334">
      <c r="G1334" s="7"/>
    </row>
    <row r="1335">
      <c r="G1335" s="7"/>
    </row>
    <row r="1336">
      <c r="G1336" s="7"/>
    </row>
    <row r="1337">
      <c r="G1337" s="7"/>
    </row>
    <row r="1338">
      <c r="G1338" s="7"/>
    </row>
    <row r="1339">
      <c r="G1339" s="7"/>
    </row>
    <row r="1340">
      <c r="G1340" s="7"/>
    </row>
    <row r="1341">
      <c r="G1341" s="7"/>
    </row>
    <row r="1342">
      <c r="G1342" s="7"/>
    </row>
    <row r="1343">
      <c r="G1343" s="7"/>
    </row>
    <row r="1344">
      <c r="G1344" s="7"/>
    </row>
    <row r="1345">
      <c r="G1345" s="7"/>
    </row>
    <row r="1346">
      <c r="G1346" s="7"/>
    </row>
    <row r="1347">
      <c r="G1347" s="7"/>
    </row>
    <row r="1348">
      <c r="G1348" s="7"/>
    </row>
    <row r="1349">
      <c r="G1349" s="7"/>
    </row>
    <row r="1350">
      <c r="G1350" s="7"/>
    </row>
    <row r="1351">
      <c r="G1351" s="7"/>
    </row>
    <row r="1352">
      <c r="G1352" s="7"/>
    </row>
    <row r="1353">
      <c r="G1353" s="7"/>
    </row>
    <row r="1354">
      <c r="G1354" s="7"/>
    </row>
    <row r="1355">
      <c r="G1355" s="7"/>
    </row>
    <row r="1356">
      <c r="G1356" s="7"/>
    </row>
    <row r="1357">
      <c r="G1357" s="7"/>
    </row>
    <row r="1358">
      <c r="G1358" s="7"/>
    </row>
    <row r="1359">
      <c r="G1359" s="7"/>
    </row>
    <row r="1360">
      <c r="G1360" s="7"/>
    </row>
    <row r="1361">
      <c r="G1361" s="7"/>
    </row>
    <row r="1362">
      <c r="G1362" s="7"/>
    </row>
    <row r="1363">
      <c r="G1363" s="7"/>
    </row>
    <row r="1364">
      <c r="G1364" s="7"/>
    </row>
    <row r="1365">
      <c r="G1365" s="7"/>
    </row>
    <row r="1366">
      <c r="G1366" s="7"/>
    </row>
    <row r="1367">
      <c r="G1367" s="7"/>
    </row>
    <row r="1368">
      <c r="G1368" s="7"/>
    </row>
    <row r="1369">
      <c r="G1369" s="7"/>
    </row>
    <row r="1370">
      <c r="G1370" s="7"/>
    </row>
    <row r="1371">
      <c r="G1371" s="7"/>
    </row>
    <row r="1372">
      <c r="G1372" s="7"/>
    </row>
    <row r="1373">
      <c r="G1373" s="7"/>
    </row>
    <row r="1374">
      <c r="G1374" s="7"/>
    </row>
    <row r="1375">
      <c r="G1375" s="7"/>
    </row>
    <row r="1376">
      <c r="G1376" s="7"/>
    </row>
    <row r="1377">
      <c r="G1377" s="7"/>
    </row>
    <row r="1378">
      <c r="G1378" s="7"/>
    </row>
    <row r="1379">
      <c r="G1379" s="7"/>
    </row>
    <row r="1380">
      <c r="G1380" s="7"/>
    </row>
    <row r="1381">
      <c r="G1381" s="7"/>
    </row>
    <row r="1382">
      <c r="G1382" s="7"/>
    </row>
    <row r="1383">
      <c r="G1383" s="7"/>
    </row>
    <row r="1384">
      <c r="G1384" s="7"/>
    </row>
    <row r="1385">
      <c r="G1385" s="7"/>
    </row>
    <row r="1386">
      <c r="G1386" s="7"/>
    </row>
    <row r="1387">
      <c r="G1387" s="7"/>
    </row>
    <row r="1388">
      <c r="G1388" s="7"/>
    </row>
    <row r="1389">
      <c r="G1389" s="7"/>
    </row>
    <row r="1390">
      <c r="G1390" s="7"/>
    </row>
    <row r="1391">
      <c r="G1391" s="7"/>
    </row>
    <row r="1392">
      <c r="G1392" s="7"/>
    </row>
    <row r="1393">
      <c r="G1393" s="7"/>
    </row>
    <row r="1394">
      <c r="G1394" s="7"/>
    </row>
    <row r="1395">
      <c r="G1395" s="7"/>
    </row>
    <row r="1396">
      <c r="G1396" s="7"/>
    </row>
    <row r="1397">
      <c r="G1397" s="7"/>
    </row>
    <row r="1398">
      <c r="G1398" s="7"/>
    </row>
    <row r="1399">
      <c r="G1399" s="7"/>
    </row>
    <row r="1400">
      <c r="G1400" s="7"/>
    </row>
    <row r="1401">
      <c r="G1401" s="7"/>
    </row>
    <row r="1402">
      <c r="G1402" s="7"/>
    </row>
    <row r="1403">
      <c r="G1403" s="7"/>
    </row>
    <row r="1404">
      <c r="G1404" s="7"/>
    </row>
    <row r="1405">
      <c r="G1405" s="7"/>
    </row>
    <row r="1406">
      <c r="G1406" s="7"/>
    </row>
    <row r="1407">
      <c r="G1407" s="7"/>
    </row>
    <row r="1408">
      <c r="G1408" s="7"/>
    </row>
    <row r="1409">
      <c r="G1409" s="7"/>
    </row>
    <row r="1410">
      <c r="G1410" s="7"/>
    </row>
    <row r="1411">
      <c r="G1411" s="7"/>
    </row>
    <row r="1412">
      <c r="G1412" s="7"/>
    </row>
    <row r="1413">
      <c r="G1413" s="7"/>
    </row>
    <row r="1414">
      <c r="G1414" s="7"/>
    </row>
    <row r="1415">
      <c r="G1415" s="7"/>
    </row>
    <row r="1416">
      <c r="G1416" s="7"/>
    </row>
    <row r="1417">
      <c r="G1417" s="7"/>
    </row>
    <row r="1418">
      <c r="G1418" s="7"/>
    </row>
    <row r="1419">
      <c r="G1419" s="7"/>
    </row>
    <row r="1420">
      <c r="G1420" s="7"/>
    </row>
    <row r="1421">
      <c r="G1421" s="7"/>
    </row>
    <row r="1422">
      <c r="G1422" s="7"/>
    </row>
    <row r="1423">
      <c r="G1423" s="7"/>
    </row>
    <row r="1424">
      <c r="G1424" s="7"/>
    </row>
    <row r="1425">
      <c r="G1425" s="7"/>
    </row>
    <row r="1426">
      <c r="G1426" s="7"/>
    </row>
    <row r="1427">
      <c r="G1427" s="7"/>
    </row>
    <row r="1428">
      <c r="G1428" s="7"/>
    </row>
    <row r="1429">
      <c r="G1429" s="7"/>
    </row>
    <row r="1430">
      <c r="G1430" s="7"/>
    </row>
    <row r="1431">
      <c r="G1431" s="7"/>
    </row>
    <row r="1432">
      <c r="G1432" s="7"/>
    </row>
    <row r="1433">
      <c r="G1433" s="7"/>
    </row>
    <row r="1434">
      <c r="G1434" s="7"/>
    </row>
    <row r="1435">
      <c r="G1435" s="7"/>
    </row>
    <row r="1436">
      <c r="G1436" s="7"/>
    </row>
    <row r="1437">
      <c r="G1437" s="7"/>
    </row>
    <row r="1438">
      <c r="G1438" s="7"/>
    </row>
    <row r="1439">
      <c r="G1439" s="7"/>
    </row>
    <row r="1440">
      <c r="G1440" s="7"/>
    </row>
    <row r="1441">
      <c r="G1441" s="7"/>
    </row>
    <row r="1442">
      <c r="G1442" s="7"/>
    </row>
    <row r="1443">
      <c r="G1443" s="7"/>
    </row>
    <row r="1444">
      <c r="G1444" s="7"/>
    </row>
    <row r="1445">
      <c r="G1445" s="7"/>
    </row>
    <row r="1446">
      <c r="G1446" s="7"/>
    </row>
    <row r="1447">
      <c r="G1447" s="7"/>
    </row>
    <row r="1448">
      <c r="G1448" s="7"/>
    </row>
    <row r="1449">
      <c r="G1449" s="7"/>
    </row>
    <row r="1450">
      <c r="G1450" s="7"/>
    </row>
    <row r="1451">
      <c r="G1451" s="7"/>
    </row>
    <row r="1452">
      <c r="G1452" s="7"/>
    </row>
    <row r="1453">
      <c r="G1453" s="7"/>
    </row>
    <row r="1454">
      <c r="G1454" s="7"/>
    </row>
    <row r="1455">
      <c r="G1455" s="7"/>
    </row>
    <row r="1456">
      <c r="G1456" s="7"/>
    </row>
    <row r="1457">
      <c r="G1457" s="7"/>
    </row>
    <row r="1458">
      <c r="G1458" s="7"/>
    </row>
    <row r="1459">
      <c r="G1459" s="7"/>
    </row>
    <row r="1460">
      <c r="G1460" s="7"/>
    </row>
    <row r="1461">
      <c r="G1461" s="7"/>
    </row>
    <row r="1462">
      <c r="G1462" s="7"/>
    </row>
    <row r="1463">
      <c r="G1463" s="7"/>
    </row>
    <row r="1464">
      <c r="G1464" s="7"/>
    </row>
    <row r="1465">
      <c r="G1465" s="7"/>
    </row>
    <row r="1466">
      <c r="G1466" s="7"/>
    </row>
    <row r="1467">
      <c r="G1467" s="7"/>
    </row>
    <row r="1468">
      <c r="G1468" s="7"/>
    </row>
    <row r="1469">
      <c r="G1469" s="7"/>
    </row>
    <row r="1470">
      <c r="G1470" s="7"/>
    </row>
    <row r="1471">
      <c r="G1471" s="7"/>
    </row>
    <row r="1472">
      <c r="G1472" s="7"/>
    </row>
    <row r="1473">
      <c r="G1473" s="7"/>
    </row>
    <row r="1474">
      <c r="G1474" s="7"/>
    </row>
    <row r="1475">
      <c r="G1475" s="7"/>
    </row>
    <row r="1476">
      <c r="G1476" s="7"/>
    </row>
    <row r="1477">
      <c r="G1477" s="7"/>
    </row>
    <row r="1478">
      <c r="G1478" s="7"/>
    </row>
    <row r="1479">
      <c r="G1479" s="7"/>
    </row>
    <row r="1480">
      <c r="G1480" s="7"/>
    </row>
    <row r="1481">
      <c r="G1481" s="7"/>
    </row>
    <row r="1482">
      <c r="G1482" s="7"/>
    </row>
    <row r="1483">
      <c r="G1483" s="7"/>
    </row>
    <row r="1484">
      <c r="G1484" s="7"/>
    </row>
    <row r="1485">
      <c r="G1485" s="7"/>
    </row>
    <row r="1486">
      <c r="G1486" s="7"/>
    </row>
    <row r="1487">
      <c r="G1487" s="7"/>
    </row>
    <row r="1488">
      <c r="G1488" s="7"/>
    </row>
    <row r="1489">
      <c r="G1489" s="7"/>
    </row>
    <row r="1490">
      <c r="G1490" s="7"/>
    </row>
    <row r="1491">
      <c r="G1491" s="7"/>
    </row>
    <row r="1492">
      <c r="G1492" s="7"/>
    </row>
    <row r="1493">
      <c r="G1493" s="7"/>
    </row>
    <row r="1494">
      <c r="G1494" s="7"/>
    </row>
    <row r="1495">
      <c r="G1495" s="7"/>
    </row>
    <row r="1496">
      <c r="G1496" s="7"/>
    </row>
    <row r="1497">
      <c r="G1497" s="7"/>
    </row>
    <row r="1498">
      <c r="G1498" s="7"/>
    </row>
    <row r="1499">
      <c r="G1499" s="7"/>
    </row>
    <row r="1500">
      <c r="G1500" s="7"/>
    </row>
    <row r="1501">
      <c r="G1501" s="7"/>
    </row>
    <row r="1502">
      <c r="G1502" s="7"/>
    </row>
    <row r="1503">
      <c r="G1503" s="7"/>
    </row>
    <row r="1504">
      <c r="G1504" s="7"/>
    </row>
    <row r="1505">
      <c r="G1505" s="7"/>
    </row>
    <row r="1506">
      <c r="G1506" s="7"/>
    </row>
    <row r="1507">
      <c r="G1507" s="7"/>
    </row>
    <row r="1508">
      <c r="G1508" s="7"/>
    </row>
    <row r="1509">
      <c r="G1509" s="7"/>
    </row>
    <row r="1510">
      <c r="G1510" s="7"/>
    </row>
    <row r="1511">
      <c r="G1511" s="7"/>
    </row>
    <row r="1512">
      <c r="G1512" s="7"/>
    </row>
    <row r="1513">
      <c r="G1513" s="7"/>
    </row>
    <row r="1514">
      <c r="G1514" s="7"/>
    </row>
    <row r="1515">
      <c r="G1515" s="7"/>
    </row>
    <row r="1516">
      <c r="G1516" s="7"/>
    </row>
    <row r="1517">
      <c r="G1517" s="7"/>
    </row>
    <row r="1518">
      <c r="G1518" s="7"/>
    </row>
    <row r="1519">
      <c r="G1519" s="7"/>
    </row>
    <row r="1520">
      <c r="G1520" s="7"/>
    </row>
    <row r="1521">
      <c r="G1521" s="7"/>
    </row>
    <row r="1522">
      <c r="G1522" s="7"/>
    </row>
    <row r="1523">
      <c r="G1523" s="7"/>
    </row>
    <row r="1524">
      <c r="G1524" s="7"/>
    </row>
    <row r="1525">
      <c r="G1525" s="7"/>
    </row>
    <row r="1526">
      <c r="G1526" s="7"/>
    </row>
    <row r="1527">
      <c r="G1527" s="7"/>
    </row>
    <row r="1528">
      <c r="G1528" s="7"/>
    </row>
    <row r="1529">
      <c r="G1529" s="7"/>
    </row>
    <row r="1530">
      <c r="G1530" s="7"/>
    </row>
    <row r="1531">
      <c r="G1531" s="7"/>
    </row>
    <row r="1532">
      <c r="G1532" s="7"/>
    </row>
    <row r="1533">
      <c r="G1533" s="7"/>
    </row>
    <row r="1534">
      <c r="G1534" s="7"/>
    </row>
    <row r="1535">
      <c r="G1535" s="7"/>
    </row>
    <row r="1536">
      <c r="G1536" s="7"/>
    </row>
    <row r="1537">
      <c r="G1537" s="7"/>
    </row>
    <row r="1538">
      <c r="G1538" s="7"/>
    </row>
    <row r="1539">
      <c r="G1539" s="7"/>
    </row>
    <row r="1540">
      <c r="G1540" s="7"/>
    </row>
    <row r="1541">
      <c r="G1541" s="7"/>
    </row>
    <row r="1542">
      <c r="G1542" s="7"/>
    </row>
    <row r="1543">
      <c r="G1543" s="7"/>
    </row>
    <row r="1544">
      <c r="G1544" s="7"/>
    </row>
    <row r="1545">
      <c r="G1545" s="7"/>
    </row>
    <row r="1546">
      <c r="G1546" s="7"/>
    </row>
    <row r="1547">
      <c r="G1547" s="7"/>
    </row>
    <row r="1548">
      <c r="G1548" s="7"/>
    </row>
    <row r="1549">
      <c r="G1549" s="7"/>
    </row>
    <row r="1550">
      <c r="G1550" s="7"/>
    </row>
    <row r="1551">
      <c r="G1551" s="7"/>
    </row>
    <row r="1552">
      <c r="G1552" s="7"/>
    </row>
    <row r="1553">
      <c r="G1553" s="7"/>
    </row>
    <row r="1554">
      <c r="G1554" s="7"/>
    </row>
    <row r="1555">
      <c r="G1555" s="7"/>
    </row>
    <row r="1556">
      <c r="G1556" s="7"/>
    </row>
    <row r="1557">
      <c r="G1557" s="7"/>
    </row>
    <row r="1558">
      <c r="G1558" s="7"/>
    </row>
    <row r="1559">
      <c r="G1559" s="7"/>
    </row>
    <row r="1560">
      <c r="G1560" s="7"/>
    </row>
    <row r="1561">
      <c r="G1561" s="7"/>
    </row>
    <row r="1562">
      <c r="G1562" s="7"/>
    </row>
    <row r="1563">
      <c r="G1563" s="7"/>
    </row>
    <row r="1564">
      <c r="G1564" s="7"/>
    </row>
    <row r="1565">
      <c r="G1565" s="7"/>
    </row>
    <row r="1566">
      <c r="G1566" s="7"/>
    </row>
    <row r="1567">
      <c r="G1567" s="7"/>
    </row>
    <row r="1568">
      <c r="G1568" s="7"/>
    </row>
    <row r="1569">
      <c r="G1569" s="7"/>
    </row>
    <row r="1570">
      <c r="G1570" s="7"/>
    </row>
    <row r="1571">
      <c r="G1571" s="7"/>
    </row>
    <row r="1572">
      <c r="G1572" s="7"/>
    </row>
    <row r="1573">
      <c r="G1573" s="7"/>
    </row>
    <row r="1574">
      <c r="G1574" s="7"/>
    </row>
    <row r="1575">
      <c r="G1575" s="7"/>
    </row>
    <row r="1576">
      <c r="G1576" s="7"/>
    </row>
    <row r="1577">
      <c r="G1577" s="7"/>
    </row>
    <row r="1578">
      <c r="G1578" s="7"/>
    </row>
    <row r="1579">
      <c r="G1579" s="7"/>
    </row>
    <row r="1580">
      <c r="G1580" s="7"/>
    </row>
    <row r="1581">
      <c r="G1581" s="7"/>
    </row>
    <row r="1582">
      <c r="G1582" s="7"/>
    </row>
    <row r="1583">
      <c r="G1583" s="7"/>
    </row>
    <row r="1584">
      <c r="G1584" s="7"/>
    </row>
    <row r="1585">
      <c r="G1585" s="7"/>
    </row>
    <row r="1586">
      <c r="G1586" s="7"/>
    </row>
    <row r="1587">
      <c r="G1587" s="7"/>
    </row>
    <row r="1588">
      <c r="G1588" s="7"/>
    </row>
    <row r="1589">
      <c r="G1589" s="7"/>
    </row>
    <row r="1590">
      <c r="G1590" s="7"/>
    </row>
    <row r="1591">
      <c r="G1591" s="7"/>
    </row>
    <row r="1592">
      <c r="G1592" s="7"/>
    </row>
    <row r="1593">
      <c r="G1593" s="7"/>
    </row>
    <row r="1594">
      <c r="G1594" s="7"/>
    </row>
    <row r="1595">
      <c r="G1595" s="7"/>
    </row>
    <row r="1596">
      <c r="G1596" s="7"/>
    </row>
    <row r="1597">
      <c r="G1597" s="7"/>
    </row>
    <row r="1598">
      <c r="G1598" s="7"/>
    </row>
    <row r="1599">
      <c r="G1599" s="7"/>
    </row>
    <row r="1600">
      <c r="G1600" s="7"/>
    </row>
    <row r="1601">
      <c r="G1601" s="7"/>
    </row>
    <row r="1602">
      <c r="G1602" s="7"/>
    </row>
    <row r="1603">
      <c r="G1603" s="7"/>
    </row>
    <row r="1604">
      <c r="G1604" s="7"/>
    </row>
    <row r="1605">
      <c r="G1605" s="7"/>
    </row>
    <row r="1606">
      <c r="G1606" s="7"/>
    </row>
    <row r="1607">
      <c r="G1607" s="7"/>
    </row>
    <row r="1608">
      <c r="G1608" s="7"/>
    </row>
    <row r="1609">
      <c r="G1609" s="7"/>
    </row>
    <row r="1610">
      <c r="G1610" s="7"/>
    </row>
    <row r="1611">
      <c r="G1611" s="7"/>
    </row>
    <row r="1612">
      <c r="G1612" s="7"/>
    </row>
    <row r="1613">
      <c r="G1613" s="7"/>
    </row>
    <row r="1614">
      <c r="G1614" s="7"/>
    </row>
    <row r="1615">
      <c r="G1615" s="7"/>
    </row>
    <row r="1616">
      <c r="G1616" s="7"/>
    </row>
    <row r="1617">
      <c r="G1617" s="7"/>
    </row>
    <row r="1618">
      <c r="G1618" s="7"/>
    </row>
    <row r="1619">
      <c r="G1619" s="7"/>
    </row>
    <row r="1620">
      <c r="G1620" s="7"/>
    </row>
    <row r="1621">
      <c r="G1621" s="7"/>
    </row>
    <row r="1622">
      <c r="G1622" s="7"/>
    </row>
    <row r="1623">
      <c r="G1623" s="7"/>
    </row>
    <row r="1624">
      <c r="G1624" s="7"/>
    </row>
    <row r="1625">
      <c r="G1625" s="7"/>
    </row>
    <row r="1626">
      <c r="G1626" s="7"/>
    </row>
    <row r="1627">
      <c r="G1627" s="7"/>
    </row>
    <row r="1628">
      <c r="G1628" s="7"/>
    </row>
    <row r="1629">
      <c r="G1629" s="7"/>
    </row>
    <row r="1630">
      <c r="G1630" s="7"/>
    </row>
    <row r="1631">
      <c r="G1631" s="7"/>
    </row>
    <row r="1632">
      <c r="G1632" s="7"/>
    </row>
    <row r="1633">
      <c r="G1633" s="7"/>
    </row>
    <row r="1634">
      <c r="G1634" s="7"/>
    </row>
    <row r="1635">
      <c r="G1635" s="7"/>
    </row>
    <row r="1636">
      <c r="G1636" s="7"/>
    </row>
    <row r="1637">
      <c r="G1637" s="7"/>
    </row>
    <row r="1638">
      <c r="G1638" s="7"/>
    </row>
    <row r="1639">
      <c r="G1639" s="7"/>
    </row>
    <row r="1640">
      <c r="G1640" s="7"/>
    </row>
    <row r="1641">
      <c r="G1641" s="7"/>
    </row>
    <row r="1642">
      <c r="G1642" s="7"/>
    </row>
    <row r="1643">
      <c r="G1643" s="7"/>
    </row>
    <row r="1644">
      <c r="G1644" s="7"/>
    </row>
    <row r="1645">
      <c r="G1645" s="7"/>
    </row>
    <row r="1646">
      <c r="G1646" s="7"/>
    </row>
    <row r="1647">
      <c r="G1647" s="7"/>
    </row>
    <row r="1648">
      <c r="G1648" s="7"/>
    </row>
    <row r="1649">
      <c r="G1649" s="7"/>
    </row>
    <row r="1650">
      <c r="G1650" s="7"/>
    </row>
    <row r="1651">
      <c r="G1651" s="7"/>
    </row>
    <row r="1652">
      <c r="G1652" s="7"/>
    </row>
    <row r="1653">
      <c r="G1653" s="7"/>
    </row>
    <row r="1654">
      <c r="G1654" s="7"/>
    </row>
    <row r="1655">
      <c r="G1655" s="7"/>
    </row>
    <row r="1656">
      <c r="G1656" s="7"/>
    </row>
    <row r="1657">
      <c r="G1657" s="7"/>
    </row>
    <row r="1658">
      <c r="G1658" s="7"/>
    </row>
    <row r="1659">
      <c r="G1659" s="7"/>
    </row>
    <row r="1660">
      <c r="G1660" s="7"/>
    </row>
    <row r="1661">
      <c r="G1661" s="7"/>
    </row>
    <row r="1662">
      <c r="G1662" s="7"/>
    </row>
    <row r="1663">
      <c r="G1663" s="7"/>
    </row>
    <row r="1664">
      <c r="G1664" s="7"/>
    </row>
    <row r="1665">
      <c r="G1665" s="7"/>
    </row>
    <row r="1666">
      <c r="G1666" s="7"/>
    </row>
    <row r="1667">
      <c r="G1667" s="7"/>
    </row>
    <row r="1668">
      <c r="G1668" s="7"/>
    </row>
    <row r="1669">
      <c r="G1669" s="7"/>
    </row>
    <row r="1670">
      <c r="G1670" s="7"/>
    </row>
    <row r="1671">
      <c r="G1671" s="7"/>
    </row>
    <row r="1672">
      <c r="G1672" s="7"/>
    </row>
    <row r="1673">
      <c r="G1673" s="7"/>
    </row>
    <row r="1674">
      <c r="G1674" s="7"/>
    </row>
    <row r="1675">
      <c r="G1675" s="7"/>
    </row>
    <row r="1676">
      <c r="G1676" s="7"/>
    </row>
    <row r="1677">
      <c r="G1677" s="7"/>
    </row>
    <row r="1678">
      <c r="G1678" s="7"/>
    </row>
    <row r="1679">
      <c r="G1679" s="7"/>
    </row>
    <row r="1680">
      <c r="G1680" s="7"/>
    </row>
    <row r="1681">
      <c r="G1681" s="7"/>
    </row>
    <row r="1682">
      <c r="G1682" s="7"/>
    </row>
    <row r="1683">
      <c r="G1683" s="7"/>
    </row>
    <row r="1684">
      <c r="G1684" s="7"/>
    </row>
    <row r="1685">
      <c r="G1685" s="7"/>
    </row>
    <row r="1686">
      <c r="G1686" s="7"/>
    </row>
    <row r="1687">
      <c r="G1687" s="7"/>
    </row>
    <row r="1688">
      <c r="G1688" s="7"/>
    </row>
    <row r="1689">
      <c r="G1689" s="7"/>
    </row>
    <row r="1690">
      <c r="G1690" s="7"/>
    </row>
    <row r="1691">
      <c r="G1691" s="7"/>
    </row>
    <row r="1692">
      <c r="G1692" s="7"/>
    </row>
    <row r="1693">
      <c r="G1693" s="7"/>
    </row>
    <row r="1694">
      <c r="G1694" s="7"/>
    </row>
    <row r="1695">
      <c r="G1695" s="7"/>
    </row>
    <row r="1696">
      <c r="G1696" s="7"/>
    </row>
    <row r="1697">
      <c r="G1697" s="7"/>
    </row>
    <row r="1698">
      <c r="G1698" s="7"/>
    </row>
    <row r="1699">
      <c r="G1699" s="7"/>
    </row>
    <row r="1700">
      <c r="G1700" s="7"/>
    </row>
    <row r="1701">
      <c r="G1701" s="7"/>
    </row>
    <row r="1702">
      <c r="G1702" s="7"/>
    </row>
    <row r="1703">
      <c r="G1703" s="7"/>
    </row>
    <row r="1704">
      <c r="G1704" s="7"/>
    </row>
    <row r="1705">
      <c r="G1705" s="7"/>
    </row>
    <row r="1706">
      <c r="G1706" s="7"/>
    </row>
    <row r="1707">
      <c r="G1707" s="7"/>
    </row>
    <row r="1708">
      <c r="G1708" s="7"/>
    </row>
    <row r="1709">
      <c r="G1709" s="7"/>
    </row>
    <row r="1710">
      <c r="G1710" s="7"/>
    </row>
    <row r="1711">
      <c r="G1711" s="7"/>
    </row>
    <row r="1712">
      <c r="G1712" s="7"/>
    </row>
    <row r="1713">
      <c r="G1713" s="7"/>
    </row>
    <row r="1714">
      <c r="G1714" s="7"/>
    </row>
    <row r="1715">
      <c r="G1715" s="7"/>
    </row>
    <row r="1716">
      <c r="G1716" s="7"/>
    </row>
    <row r="1717">
      <c r="G1717" s="7"/>
    </row>
    <row r="1718">
      <c r="G1718" s="7"/>
    </row>
    <row r="1719">
      <c r="G1719" s="7"/>
    </row>
    <row r="1720">
      <c r="G1720" s="7"/>
    </row>
    <row r="1721">
      <c r="G1721" s="7"/>
    </row>
    <row r="1722">
      <c r="G1722" s="7"/>
    </row>
    <row r="1723">
      <c r="G1723" s="7"/>
    </row>
    <row r="1724">
      <c r="G1724" s="7"/>
    </row>
    <row r="1725">
      <c r="G1725" s="7"/>
    </row>
    <row r="1726">
      <c r="G1726" s="7"/>
    </row>
    <row r="1727">
      <c r="G1727" s="7"/>
    </row>
    <row r="1728">
      <c r="G1728" s="7"/>
    </row>
    <row r="1729">
      <c r="G1729" s="7"/>
    </row>
    <row r="1730">
      <c r="G1730" s="7"/>
    </row>
    <row r="1731">
      <c r="G1731" s="7"/>
    </row>
    <row r="1732">
      <c r="G1732" s="7"/>
    </row>
    <row r="1733">
      <c r="G1733" s="7"/>
    </row>
    <row r="1734">
      <c r="G1734" s="7"/>
    </row>
    <row r="1735">
      <c r="G1735" s="7"/>
    </row>
    <row r="1736">
      <c r="G1736" s="7"/>
    </row>
    <row r="1737">
      <c r="G1737" s="7"/>
    </row>
    <row r="1738">
      <c r="G1738" s="7"/>
    </row>
    <row r="1739">
      <c r="G1739" s="7"/>
    </row>
    <row r="1740">
      <c r="G1740" s="7"/>
    </row>
    <row r="1741">
      <c r="G1741" s="7"/>
    </row>
    <row r="1742">
      <c r="G1742" s="7"/>
    </row>
    <row r="1743">
      <c r="G1743" s="7"/>
    </row>
    <row r="1744">
      <c r="G1744" s="7"/>
    </row>
    <row r="1745">
      <c r="G1745" s="7"/>
    </row>
    <row r="1746">
      <c r="G1746" s="7"/>
    </row>
    <row r="1747">
      <c r="G1747" s="7"/>
    </row>
    <row r="1748">
      <c r="G1748" s="7"/>
    </row>
    <row r="1749">
      <c r="G1749" s="7"/>
    </row>
    <row r="1750">
      <c r="G1750" s="7"/>
    </row>
    <row r="1751">
      <c r="G1751" s="7"/>
    </row>
    <row r="1752">
      <c r="G1752" s="7"/>
    </row>
    <row r="1753">
      <c r="G1753" s="7"/>
    </row>
    <row r="1754">
      <c r="G1754" s="7"/>
    </row>
    <row r="1755">
      <c r="G1755" s="7"/>
    </row>
    <row r="1756">
      <c r="G1756" s="7"/>
    </row>
    <row r="1757">
      <c r="G1757" s="7"/>
    </row>
    <row r="1758">
      <c r="G1758" s="7"/>
    </row>
    <row r="1759">
      <c r="G1759" s="7"/>
    </row>
    <row r="1760">
      <c r="G1760" s="7"/>
    </row>
    <row r="1761">
      <c r="G1761" s="7"/>
    </row>
    <row r="1762">
      <c r="G1762" s="7"/>
    </row>
    <row r="1763">
      <c r="G1763" s="7"/>
    </row>
    <row r="1764">
      <c r="G1764" s="7"/>
    </row>
    <row r="1765">
      <c r="G1765" s="7"/>
    </row>
    <row r="1766">
      <c r="G1766" s="7"/>
    </row>
    <row r="1767">
      <c r="G1767" s="7"/>
    </row>
    <row r="1768">
      <c r="G1768" s="7"/>
    </row>
    <row r="1769">
      <c r="G1769" s="7"/>
    </row>
    <row r="1770">
      <c r="G1770" s="7"/>
    </row>
    <row r="1771">
      <c r="G1771" s="7"/>
    </row>
    <row r="1772">
      <c r="G1772" s="7"/>
    </row>
    <row r="1773">
      <c r="G1773" s="7"/>
    </row>
    <row r="1774">
      <c r="G1774" s="7"/>
    </row>
    <row r="1775">
      <c r="G1775" s="7"/>
    </row>
    <row r="1776">
      <c r="G1776" s="7"/>
    </row>
    <row r="1777">
      <c r="G1777" s="7"/>
    </row>
    <row r="1778">
      <c r="G1778" s="7"/>
    </row>
    <row r="1779">
      <c r="G1779" s="7"/>
    </row>
    <row r="1780">
      <c r="G1780" s="7"/>
    </row>
    <row r="1781">
      <c r="G1781" s="7"/>
    </row>
    <row r="1782">
      <c r="G1782" s="7"/>
    </row>
    <row r="1783">
      <c r="G1783" s="7"/>
    </row>
    <row r="1784">
      <c r="G1784" s="7"/>
    </row>
    <row r="1785">
      <c r="G1785" s="7"/>
    </row>
    <row r="1786">
      <c r="G1786" s="7"/>
    </row>
    <row r="1787">
      <c r="G1787" s="7"/>
    </row>
    <row r="1788">
      <c r="G1788" s="7"/>
    </row>
    <row r="1789">
      <c r="G1789" s="7"/>
    </row>
    <row r="1790">
      <c r="G1790" s="7"/>
    </row>
    <row r="1791">
      <c r="G1791" s="7"/>
    </row>
    <row r="1792">
      <c r="G1792" s="7"/>
    </row>
    <row r="1793">
      <c r="G1793" s="7"/>
    </row>
    <row r="1794">
      <c r="G1794" s="7"/>
    </row>
    <row r="1795">
      <c r="G1795" s="7"/>
    </row>
    <row r="1796">
      <c r="G1796" s="7"/>
    </row>
    <row r="1797">
      <c r="G1797" s="7"/>
    </row>
    <row r="1798">
      <c r="G1798" s="7"/>
    </row>
    <row r="1799">
      <c r="G1799" s="7"/>
    </row>
    <row r="1800">
      <c r="G1800" s="7"/>
    </row>
    <row r="1801">
      <c r="G1801" s="7"/>
    </row>
    <row r="1802">
      <c r="G1802" s="7"/>
    </row>
    <row r="1803">
      <c r="G1803" s="7"/>
    </row>
    <row r="1804">
      <c r="G1804" s="7"/>
    </row>
    <row r="1805">
      <c r="G1805" s="7"/>
    </row>
    <row r="1806">
      <c r="G1806" s="7"/>
    </row>
    <row r="1807">
      <c r="G1807" s="7"/>
    </row>
    <row r="1808">
      <c r="G1808" s="7"/>
    </row>
    <row r="1809">
      <c r="G1809" s="7"/>
    </row>
    <row r="1810">
      <c r="G1810" s="7"/>
    </row>
    <row r="1811">
      <c r="G1811" s="7"/>
    </row>
    <row r="1812">
      <c r="G1812" s="7"/>
    </row>
    <row r="1813">
      <c r="G1813" s="7"/>
    </row>
    <row r="1814">
      <c r="G1814" s="7"/>
    </row>
    <row r="1815">
      <c r="G1815" s="7"/>
    </row>
    <row r="1816">
      <c r="G1816" s="7"/>
    </row>
    <row r="1817">
      <c r="G1817" s="7"/>
    </row>
    <row r="1818">
      <c r="G1818" s="7"/>
    </row>
    <row r="1819">
      <c r="G1819" s="7"/>
    </row>
    <row r="1820">
      <c r="G1820" s="7"/>
    </row>
    <row r="1821">
      <c r="G1821" s="7"/>
    </row>
    <row r="1822">
      <c r="G1822" s="7"/>
    </row>
    <row r="1823">
      <c r="G1823" s="7"/>
    </row>
    <row r="1824">
      <c r="G1824" s="7"/>
    </row>
    <row r="1825">
      <c r="G1825" s="7"/>
    </row>
    <row r="1826">
      <c r="G1826" s="7"/>
    </row>
    <row r="1827">
      <c r="G1827" s="7"/>
    </row>
    <row r="1828">
      <c r="G1828" s="7"/>
    </row>
    <row r="1829">
      <c r="G1829" s="7"/>
    </row>
    <row r="1830">
      <c r="G1830" s="7"/>
    </row>
    <row r="1831">
      <c r="G1831" s="7"/>
    </row>
    <row r="1832">
      <c r="G1832" s="7"/>
    </row>
    <row r="1833">
      <c r="G1833" s="7"/>
    </row>
    <row r="1834">
      <c r="G1834" s="7"/>
    </row>
    <row r="1835">
      <c r="G1835" s="7"/>
    </row>
    <row r="1836">
      <c r="G1836" s="7"/>
    </row>
    <row r="1837">
      <c r="G1837" s="7"/>
    </row>
    <row r="1838">
      <c r="G1838" s="7"/>
    </row>
    <row r="1839">
      <c r="G1839" s="7"/>
    </row>
    <row r="1840">
      <c r="G1840" s="7"/>
    </row>
    <row r="1841">
      <c r="G1841" s="7"/>
    </row>
    <row r="1842">
      <c r="G1842" s="7"/>
    </row>
    <row r="1843">
      <c r="G1843" s="7"/>
    </row>
    <row r="1844">
      <c r="G1844" s="7"/>
    </row>
    <row r="1845">
      <c r="G1845" s="7"/>
    </row>
    <row r="1846">
      <c r="G1846" s="7"/>
    </row>
    <row r="1847">
      <c r="G1847" s="7"/>
    </row>
    <row r="1848">
      <c r="G1848" s="7"/>
    </row>
    <row r="1849">
      <c r="G1849" s="7"/>
    </row>
    <row r="1850">
      <c r="G1850" s="7"/>
    </row>
    <row r="1851">
      <c r="G1851" s="7"/>
    </row>
    <row r="1852">
      <c r="G1852" s="7"/>
    </row>
    <row r="1853">
      <c r="G1853" s="7"/>
    </row>
    <row r="1854">
      <c r="G1854" s="7"/>
    </row>
    <row r="1855">
      <c r="G1855" s="7"/>
    </row>
    <row r="1856">
      <c r="G1856" s="7"/>
    </row>
    <row r="1857">
      <c r="G1857" s="7"/>
    </row>
    <row r="1858">
      <c r="G1858" s="7"/>
    </row>
    <row r="1859">
      <c r="G1859" s="7"/>
    </row>
    <row r="1860">
      <c r="G1860" s="7"/>
    </row>
    <row r="1861">
      <c r="G1861" s="7"/>
    </row>
    <row r="1862">
      <c r="G1862" s="7"/>
    </row>
    <row r="1863">
      <c r="G1863" s="7"/>
    </row>
    <row r="1864">
      <c r="G1864" s="7"/>
    </row>
    <row r="1865">
      <c r="G1865" s="7"/>
    </row>
    <row r="1866">
      <c r="G1866" s="7"/>
    </row>
    <row r="1867">
      <c r="G1867" s="7"/>
    </row>
    <row r="1868">
      <c r="G1868" s="7"/>
    </row>
    <row r="1869">
      <c r="G1869" s="7"/>
    </row>
    <row r="1870">
      <c r="G1870" s="7"/>
    </row>
    <row r="1871">
      <c r="G1871" s="7"/>
    </row>
    <row r="1872">
      <c r="G1872" s="7"/>
    </row>
    <row r="1873">
      <c r="G1873" s="7"/>
    </row>
    <row r="1874">
      <c r="G1874" s="7"/>
    </row>
    <row r="1875">
      <c r="G1875" s="7"/>
    </row>
    <row r="1876">
      <c r="G1876" s="7"/>
    </row>
    <row r="1877">
      <c r="G1877" s="7"/>
    </row>
    <row r="1878">
      <c r="G1878" s="7"/>
    </row>
    <row r="1879">
      <c r="G1879" s="7"/>
    </row>
    <row r="1880">
      <c r="G1880" s="7"/>
    </row>
    <row r="1881">
      <c r="G1881" s="7"/>
    </row>
    <row r="1882">
      <c r="G1882" s="7"/>
    </row>
    <row r="1883">
      <c r="G1883" s="7"/>
    </row>
    <row r="1884">
      <c r="G1884" s="7"/>
    </row>
    <row r="1885">
      <c r="G1885" s="7"/>
    </row>
    <row r="1886">
      <c r="G1886" s="7"/>
    </row>
    <row r="1887">
      <c r="G1887" s="7"/>
    </row>
    <row r="1888">
      <c r="G1888" s="7"/>
    </row>
    <row r="1889">
      <c r="G1889" s="7"/>
    </row>
    <row r="1890">
      <c r="G1890" s="7"/>
    </row>
    <row r="1891">
      <c r="G1891" s="7"/>
    </row>
    <row r="1892">
      <c r="G1892" s="7"/>
    </row>
    <row r="1893">
      <c r="G1893" s="7"/>
    </row>
    <row r="1894">
      <c r="G1894" s="7"/>
    </row>
    <row r="1895">
      <c r="G1895" s="7"/>
    </row>
    <row r="1896">
      <c r="G1896" s="7"/>
    </row>
    <row r="1897">
      <c r="G1897" s="7"/>
    </row>
    <row r="1898">
      <c r="G1898" s="7"/>
    </row>
    <row r="1899">
      <c r="G1899" s="7"/>
    </row>
    <row r="1900">
      <c r="G1900" s="7"/>
    </row>
    <row r="1901">
      <c r="G1901" s="7"/>
    </row>
    <row r="1902">
      <c r="G1902" s="7"/>
    </row>
    <row r="1903">
      <c r="G1903" s="7"/>
    </row>
    <row r="1904">
      <c r="G1904" s="7"/>
    </row>
    <row r="1905">
      <c r="G1905" s="7"/>
    </row>
    <row r="1906">
      <c r="G1906" s="7"/>
    </row>
    <row r="1907">
      <c r="G1907" s="7"/>
    </row>
    <row r="1908">
      <c r="G1908" s="7"/>
    </row>
    <row r="1909">
      <c r="G1909" s="7"/>
    </row>
    <row r="1910">
      <c r="G1910" s="7"/>
    </row>
    <row r="1911">
      <c r="G1911" s="7"/>
    </row>
    <row r="1912">
      <c r="G1912" s="7"/>
    </row>
    <row r="1913">
      <c r="G1913" s="7"/>
    </row>
    <row r="1914">
      <c r="G1914" s="7"/>
    </row>
    <row r="1915">
      <c r="G1915" s="7"/>
    </row>
    <row r="1916">
      <c r="G1916" s="7"/>
    </row>
    <row r="1917">
      <c r="G1917" s="7"/>
    </row>
    <row r="1918">
      <c r="G1918" s="7"/>
    </row>
    <row r="1919">
      <c r="G1919" s="7"/>
    </row>
    <row r="1920">
      <c r="G1920" s="7"/>
    </row>
    <row r="1921">
      <c r="G1921" s="7"/>
    </row>
    <row r="1922">
      <c r="G1922" s="7"/>
    </row>
    <row r="1923">
      <c r="G1923" s="7"/>
    </row>
    <row r="1924">
      <c r="G1924" s="7"/>
    </row>
    <row r="1925">
      <c r="G1925" s="7"/>
    </row>
    <row r="1926">
      <c r="G1926" s="7"/>
    </row>
    <row r="1927">
      <c r="G1927" s="7"/>
    </row>
    <row r="1928">
      <c r="G1928" s="7"/>
    </row>
    <row r="1929">
      <c r="G1929" s="7"/>
    </row>
    <row r="1930">
      <c r="G1930" s="7"/>
    </row>
    <row r="1931">
      <c r="G1931" s="7"/>
    </row>
    <row r="1932">
      <c r="G1932" s="7"/>
    </row>
    <row r="1933">
      <c r="G1933" s="7"/>
    </row>
    <row r="1934">
      <c r="G1934" s="7"/>
    </row>
    <row r="1935">
      <c r="G1935" s="7"/>
    </row>
    <row r="1936">
      <c r="G1936" s="7"/>
    </row>
    <row r="1937">
      <c r="G1937" s="7"/>
    </row>
    <row r="1938">
      <c r="G1938" s="7"/>
    </row>
    <row r="1939">
      <c r="G1939" s="7"/>
    </row>
    <row r="1940">
      <c r="G1940" s="7"/>
    </row>
    <row r="1941">
      <c r="G1941" s="7"/>
    </row>
    <row r="1942">
      <c r="G1942" s="7"/>
    </row>
    <row r="1943">
      <c r="G1943" s="7"/>
    </row>
    <row r="1944">
      <c r="G1944" s="7"/>
    </row>
    <row r="1945">
      <c r="G1945" s="7"/>
    </row>
    <row r="1946">
      <c r="G1946" s="7"/>
    </row>
    <row r="1947">
      <c r="G1947" s="7"/>
    </row>
    <row r="1948">
      <c r="G1948" s="7"/>
    </row>
    <row r="1949">
      <c r="G1949" s="7"/>
    </row>
    <row r="1950">
      <c r="G1950" s="7"/>
    </row>
    <row r="1951">
      <c r="G1951" s="7"/>
    </row>
    <row r="1952">
      <c r="G1952" s="7"/>
    </row>
    <row r="1953">
      <c r="G1953" s="7"/>
    </row>
    <row r="1954">
      <c r="G1954" s="7"/>
    </row>
    <row r="1955">
      <c r="G1955" s="7"/>
    </row>
    <row r="1956">
      <c r="G1956" s="7"/>
    </row>
    <row r="1957">
      <c r="G1957" s="7"/>
    </row>
    <row r="1958">
      <c r="G1958" s="7"/>
    </row>
    <row r="1959">
      <c r="G1959" s="7"/>
    </row>
    <row r="1960">
      <c r="G1960" s="7"/>
    </row>
    <row r="1961">
      <c r="G1961" s="7"/>
    </row>
    <row r="1962">
      <c r="G1962" s="7"/>
    </row>
    <row r="1963">
      <c r="G1963" s="7"/>
    </row>
    <row r="1964">
      <c r="G1964" s="7"/>
    </row>
    <row r="1965">
      <c r="G1965" s="7"/>
    </row>
    <row r="1966">
      <c r="G1966" s="7"/>
    </row>
    <row r="1967">
      <c r="G1967" s="7"/>
    </row>
    <row r="1968">
      <c r="G1968" s="7"/>
    </row>
    <row r="1969">
      <c r="G1969" s="7"/>
    </row>
    <row r="1970">
      <c r="G1970" s="7"/>
    </row>
    <row r="1971">
      <c r="G1971" s="7"/>
    </row>
    <row r="1972">
      <c r="G1972" s="7"/>
    </row>
    <row r="1973">
      <c r="G1973" s="7"/>
    </row>
    <row r="1974">
      <c r="G1974" s="7"/>
    </row>
    <row r="1975">
      <c r="G1975" s="7"/>
    </row>
    <row r="1976">
      <c r="G1976" s="7"/>
    </row>
    <row r="1977">
      <c r="G1977" s="7"/>
    </row>
    <row r="1978">
      <c r="G1978" s="7"/>
    </row>
    <row r="1979">
      <c r="G1979" s="7"/>
    </row>
    <row r="1980">
      <c r="G1980" s="7"/>
    </row>
    <row r="1981">
      <c r="G1981" s="7"/>
    </row>
    <row r="1982">
      <c r="G1982" s="7"/>
    </row>
    <row r="1983">
      <c r="G1983" s="7"/>
    </row>
    <row r="1984">
      <c r="G1984" s="7"/>
    </row>
    <row r="1985">
      <c r="G1985" s="7"/>
    </row>
    <row r="1986">
      <c r="G1986" s="7"/>
    </row>
    <row r="1987">
      <c r="G1987" s="7"/>
    </row>
    <row r="1988">
      <c r="G1988" s="7"/>
    </row>
    <row r="1989">
      <c r="G1989" s="7"/>
    </row>
    <row r="1990">
      <c r="G1990" s="7"/>
    </row>
    <row r="1991">
      <c r="G1991" s="7"/>
    </row>
    <row r="1992">
      <c r="G1992" s="7"/>
    </row>
    <row r="1993">
      <c r="G1993" s="7"/>
    </row>
    <row r="1994">
      <c r="G1994" s="7"/>
    </row>
    <row r="1995">
      <c r="G1995" s="7"/>
    </row>
    <row r="1996">
      <c r="G1996" s="7"/>
    </row>
    <row r="1997">
      <c r="G1997" s="7"/>
    </row>
    <row r="1998">
      <c r="G1998" s="7"/>
    </row>
    <row r="1999">
      <c r="G1999" s="7"/>
    </row>
    <row r="2000">
      <c r="G2000" s="7"/>
    </row>
    <row r="2001">
      <c r="G2001" s="7"/>
    </row>
    <row r="2002">
      <c r="G2002" s="7"/>
    </row>
    <row r="2003">
      <c r="G2003" s="7"/>
    </row>
    <row r="2004">
      <c r="G2004" s="7"/>
    </row>
    <row r="2005">
      <c r="G2005" s="7"/>
    </row>
    <row r="2006">
      <c r="G2006" s="7"/>
    </row>
    <row r="2007">
      <c r="G2007" s="7"/>
    </row>
    <row r="2008">
      <c r="G2008" s="7"/>
    </row>
    <row r="2009">
      <c r="G2009" s="7"/>
    </row>
    <row r="2010">
      <c r="G2010" s="7"/>
    </row>
    <row r="2011">
      <c r="G2011" s="7"/>
    </row>
    <row r="2012">
      <c r="G2012" s="7"/>
    </row>
    <row r="2013">
      <c r="G2013" s="7"/>
    </row>
    <row r="2014">
      <c r="G2014" s="7"/>
    </row>
    <row r="2015">
      <c r="G2015" s="7"/>
    </row>
    <row r="2016">
      <c r="G2016" s="7"/>
    </row>
    <row r="2017">
      <c r="G2017" s="7"/>
    </row>
    <row r="2018">
      <c r="G2018" s="7"/>
    </row>
    <row r="2019">
      <c r="G2019" s="7"/>
    </row>
    <row r="2020">
      <c r="G2020" s="7"/>
    </row>
    <row r="2021">
      <c r="G2021" s="7"/>
    </row>
    <row r="2022">
      <c r="G2022" s="7"/>
    </row>
    <row r="2023">
      <c r="G2023" s="7"/>
    </row>
    <row r="2024">
      <c r="G2024" s="7"/>
    </row>
    <row r="2025">
      <c r="G2025" s="7"/>
    </row>
    <row r="2026">
      <c r="G2026" s="7"/>
    </row>
    <row r="2027">
      <c r="G2027" s="7"/>
    </row>
    <row r="2028">
      <c r="G2028" s="7"/>
    </row>
    <row r="2029">
      <c r="G2029" s="7"/>
    </row>
    <row r="2030">
      <c r="G2030" s="7"/>
    </row>
    <row r="2031">
      <c r="G2031" s="7"/>
    </row>
    <row r="2032">
      <c r="G2032" s="7"/>
    </row>
    <row r="2033">
      <c r="G2033" s="7"/>
    </row>
    <row r="2034">
      <c r="G2034" s="7"/>
    </row>
    <row r="2035">
      <c r="G2035" s="7"/>
    </row>
    <row r="2036">
      <c r="G2036" s="7"/>
    </row>
    <row r="2037">
      <c r="G2037" s="7"/>
    </row>
    <row r="2038">
      <c r="G2038" s="7"/>
    </row>
    <row r="2039">
      <c r="G2039" s="7"/>
    </row>
    <row r="2040">
      <c r="G2040" s="7"/>
    </row>
    <row r="2041">
      <c r="G2041" s="7"/>
    </row>
    <row r="2042">
      <c r="G2042" s="7"/>
    </row>
    <row r="2043">
      <c r="G2043" s="7"/>
    </row>
    <row r="2044">
      <c r="G2044" s="7"/>
    </row>
    <row r="2045">
      <c r="G2045" s="7"/>
    </row>
    <row r="2046">
      <c r="G2046" s="7"/>
    </row>
    <row r="2047">
      <c r="G2047" s="7"/>
    </row>
    <row r="2048">
      <c r="G2048" s="7"/>
    </row>
    <row r="2049">
      <c r="G2049" s="7"/>
    </row>
    <row r="2050">
      <c r="G2050" s="7"/>
    </row>
    <row r="2051">
      <c r="G2051" s="7"/>
    </row>
    <row r="2052">
      <c r="G2052" s="7"/>
    </row>
    <row r="2053">
      <c r="G2053" s="7"/>
    </row>
    <row r="2054">
      <c r="G2054" s="7"/>
    </row>
    <row r="2055">
      <c r="G2055" s="7"/>
    </row>
    <row r="2056">
      <c r="G2056" s="7"/>
    </row>
    <row r="2057">
      <c r="G2057" s="7"/>
    </row>
    <row r="2058">
      <c r="G2058" s="7"/>
    </row>
    <row r="2059">
      <c r="G2059" s="7"/>
    </row>
    <row r="2060">
      <c r="G2060" s="7"/>
    </row>
    <row r="2061">
      <c r="G2061" s="7"/>
    </row>
    <row r="2062">
      <c r="G2062" s="7"/>
    </row>
    <row r="2063">
      <c r="G2063" s="7"/>
    </row>
    <row r="2064">
      <c r="G2064" s="7"/>
    </row>
    <row r="2065">
      <c r="G2065" s="7"/>
    </row>
    <row r="2066">
      <c r="G2066" s="7"/>
    </row>
    <row r="2067">
      <c r="G2067" s="7"/>
    </row>
    <row r="2068">
      <c r="G2068" s="7"/>
    </row>
    <row r="2069">
      <c r="G2069" s="7"/>
    </row>
    <row r="2070">
      <c r="G2070" s="7"/>
    </row>
    <row r="2071">
      <c r="G2071" s="7"/>
    </row>
    <row r="2072">
      <c r="G2072" s="7"/>
    </row>
    <row r="2073">
      <c r="G2073" s="7"/>
    </row>
    <row r="2074">
      <c r="G2074" s="7"/>
    </row>
    <row r="2075">
      <c r="G2075" s="7"/>
    </row>
    <row r="2076">
      <c r="G2076" s="7"/>
    </row>
    <row r="2077">
      <c r="G2077" s="7"/>
    </row>
    <row r="2078">
      <c r="G2078" s="7"/>
    </row>
    <row r="2079">
      <c r="G2079" s="7"/>
    </row>
    <row r="2080">
      <c r="G2080" s="7"/>
    </row>
    <row r="2081">
      <c r="G2081" s="7"/>
    </row>
    <row r="2082">
      <c r="G2082" s="7"/>
    </row>
    <row r="2083">
      <c r="G2083" s="7"/>
    </row>
    <row r="2084">
      <c r="G2084" s="7"/>
    </row>
    <row r="2085">
      <c r="G2085" s="7"/>
    </row>
    <row r="2086">
      <c r="G2086" s="7"/>
    </row>
    <row r="2087">
      <c r="G2087" s="7"/>
    </row>
    <row r="2088">
      <c r="G2088" s="7"/>
    </row>
    <row r="2089">
      <c r="G2089" s="7"/>
    </row>
    <row r="2090">
      <c r="G2090" s="7"/>
    </row>
    <row r="2091">
      <c r="G2091" s="7"/>
    </row>
    <row r="2092">
      <c r="G2092" s="7"/>
    </row>
    <row r="2093">
      <c r="G2093" s="7"/>
    </row>
    <row r="2094">
      <c r="G2094" s="7"/>
    </row>
    <row r="2095">
      <c r="G2095" s="7"/>
    </row>
    <row r="2096">
      <c r="G2096" s="7"/>
    </row>
    <row r="2097">
      <c r="G2097" s="7"/>
    </row>
    <row r="2098">
      <c r="G2098" s="7"/>
    </row>
    <row r="2099">
      <c r="G2099" s="7"/>
    </row>
    <row r="2100">
      <c r="G2100" s="7"/>
    </row>
    <row r="2101">
      <c r="G2101" s="7"/>
    </row>
    <row r="2102">
      <c r="G2102" s="7"/>
    </row>
    <row r="2103">
      <c r="G2103" s="7"/>
    </row>
    <row r="2104">
      <c r="G2104" s="7"/>
    </row>
    <row r="2105">
      <c r="G2105" s="7"/>
    </row>
    <row r="2106">
      <c r="G2106" s="7"/>
    </row>
    <row r="2107">
      <c r="G2107" s="7"/>
    </row>
    <row r="2108">
      <c r="G2108" s="7"/>
    </row>
    <row r="2109">
      <c r="G2109" s="7"/>
    </row>
    <row r="2110">
      <c r="G2110" s="7"/>
    </row>
    <row r="2111">
      <c r="G2111" s="7"/>
    </row>
    <row r="2112">
      <c r="G2112" s="7"/>
    </row>
    <row r="2113">
      <c r="G2113" s="7"/>
    </row>
    <row r="2114">
      <c r="G2114" s="7"/>
    </row>
    <row r="2115">
      <c r="G2115" s="7"/>
    </row>
    <row r="2116">
      <c r="G2116" s="7"/>
    </row>
    <row r="2117">
      <c r="G2117" s="7"/>
    </row>
    <row r="2118">
      <c r="G2118" s="7"/>
    </row>
    <row r="2119">
      <c r="G2119" s="7"/>
    </row>
    <row r="2120">
      <c r="G2120" s="7"/>
    </row>
    <row r="2121">
      <c r="G2121" s="7"/>
    </row>
    <row r="2122">
      <c r="G2122" s="7"/>
    </row>
    <row r="2123">
      <c r="G2123" s="7"/>
    </row>
    <row r="2124">
      <c r="G2124" s="7"/>
    </row>
    <row r="2125">
      <c r="G2125" s="7"/>
    </row>
    <row r="2126">
      <c r="G2126" s="7"/>
    </row>
    <row r="2127">
      <c r="G2127" s="7"/>
    </row>
    <row r="2128">
      <c r="G2128" s="7"/>
    </row>
    <row r="2129">
      <c r="G2129" s="7"/>
    </row>
    <row r="2130">
      <c r="G2130" s="7"/>
    </row>
    <row r="2131">
      <c r="G2131" s="7"/>
    </row>
    <row r="2132">
      <c r="G2132" s="7"/>
    </row>
    <row r="2133">
      <c r="G2133" s="7"/>
    </row>
    <row r="2134">
      <c r="G2134" s="7"/>
    </row>
    <row r="2135">
      <c r="G2135" s="7"/>
    </row>
    <row r="2136">
      <c r="G2136" s="7"/>
    </row>
    <row r="2137">
      <c r="G2137" s="7"/>
    </row>
    <row r="2138">
      <c r="G2138" s="7"/>
    </row>
    <row r="2139">
      <c r="G2139" s="7"/>
    </row>
    <row r="2140">
      <c r="G2140" s="7"/>
    </row>
    <row r="2141">
      <c r="G2141" s="7"/>
    </row>
    <row r="2142">
      <c r="G2142" s="7"/>
    </row>
    <row r="2143">
      <c r="G2143" s="7"/>
    </row>
    <row r="2144">
      <c r="G2144" s="7"/>
    </row>
    <row r="2145">
      <c r="G2145" s="7"/>
    </row>
    <row r="2146">
      <c r="G2146" s="7"/>
    </row>
    <row r="2147">
      <c r="G2147" s="7"/>
    </row>
    <row r="2148">
      <c r="G2148" s="7"/>
    </row>
    <row r="2149">
      <c r="G2149" s="7"/>
    </row>
    <row r="2150">
      <c r="G2150" s="7"/>
    </row>
    <row r="2151">
      <c r="G2151" s="7"/>
    </row>
    <row r="2152">
      <c r="G2152" s="7"/>
    </row>
    <row r="2153">
      <c r="G2153" s="7"/>
    </row>
    <row r="2154">
      <c r="G2154" s="7"/>
    </row>
    <row r="2155">
      <c r="G2155" s="7"/>
    </row>
    <row r="2156">
      <c r="G2156" s="7"/>
    </row>
    <row r="2157">
      <c r="G2157" s="7"/>
    </row>
    <row r="2158">
      <c r="G2158" s="7"/>
    </row>
    <row r="2159">
      <c r="G2159" s="7"/>
    </row>
    <row r="2160">
      <c r="G2160" s="7"/>
    </row>
    <row r="2161">
      <c r="G2161" s="7"/>
    </row>
    <row r="2162">
      <c r="G2162" s="7"/>
    </row>
    <row r="2163">
      <c r="G2163" s="7"/>
    </row>
    <row r="2164">
      <c r="G2164" s="7"/>
    </row>
    <row r="2165">
      <c r="G2165" s="7"/>
    </row>
    <row r="2166">
      <c r="G2166" s="7"/>
    </row>
    <row r="2167">
      <c r="G2167" s="7"/>
    </row>
    <row r="2168">
      <c r="G2168" s="7"/>
    </row>
    <row r="2169">
      <c r="G2169" s="7"/>
    </row>
    <row r="2170">
      <c r="G2170" s="7"/>
    </row>
    <row r="2171">
      <c r="G2171" s="7"/>
    </row>
    <row r="2172">
      <c r="G2172" s="7"/>
    </row>
    <row r="2173">
      <c r="G2173" s="7"/>
    </row>
    <row r="2174">
      <c r="G2174" s="7"/>
    </row>
    <row r="2175">
      <c r="G2175" s="7"/>
    </row>
    <row r="2176">
      <c r="G2176" s="7"/>
    </row>
    <row r="2177">
      <c r="G2177" s="7"/>
    </row>
    <row r="2178">
      <c r="G2178" s="7"/>
    </row>
    <row r="2179">
      <c r="G2179" s="7"/>
    </row>
    <row r="2180">
      <c r="G2180" s="7"/>
    </row>
    <row r="2181">
      <c r="G2181" s="7"/>
    </row>
    <row r="2182">
      <c r="G2182" s="7"/>
    </row>
    <row r="2183">
      <c r="G2183" s="7"/>
    </row>
    <row r="2184">
      <c r="G2184" s="7"/>
    </row>
    <row r="2185">
      <c r="G2185" s="7"/>
    </row>
    <row r="2186">
      <c r="G2186" s="7"/>
    </row>
    <row r="2187">
      <c r="G2187" s="7"/>
    </row>
    <row r="2188">
      <c r="G2188" s="7"/>
    </row>
    <row r="2189">
      <c r="G2189" s="7"/>
    </row>
    <row r="2190">
      <c r="G2190" s="7"/>
    </row>
    <row r="2191">
      <c r="G2191" s="7"/>
    </row>
    <row r="2192">
      <c r="G2192" s="7"/>
    </row>
    <row r="2193">
      <c r="G2193" s="7"/>
    </row>
    <row r="2194">
      <c r="G2194" s="7"/>
    </row>
    <row r="2195">
      <c r="G2195" s="7"/>
    </row>
    <row r="2196">
      <c r="G2196" s="7"/>
    </row>
    <row r="2197">
      <c r="G2197" s="7"/>
    </row>
    <row r="2198">
      <c r="G2198" s="7"/>
    </row>
    <row r="2199">
      <c r="G2199" s="7"/>
    </row>
    <row r="2200">
      <c r="G2200" s="7"/>
    </row>
    <row r="2201">
      <c r="G2201" s="7"/>
    </row>
    <row r="2202">
      <c r="G2202" s="7"/>
    </row>
    <row r="2203">
      <c r="G2203" s="7"/>
    </row>
    <row r="2204">
      <c r="G2204" s="7"/>
    </row>
    <row r="2205">
      <c r="G2205" s="7"/>
    </row>
    <row r="2206">
      <c r="G2206" s="7"/>
    </row>
    <row r="2207">
      <c r="G2207" s="7"/>
    </row>
    <row r="2208">
      <c r="G2208" s="7"/>
    </row>
    <row r="2209">
      <c r="G2209" s="7"/>
    </row>
    <row r="2210">
      <c r="G2210" s="7"/>
    </row>
    <row r="2211">
      <c r="G2211" s="7"/>
    </row>
    <row r="2212">
      <c r="G2212" s="7"/>
    </row>
    <row r="2213">
      <c r="G2213" s="7"/>
    </row>
    <row r="2214">
      <c r="G2214" s="7"/>
    </row>
    <row r="2215">
      <c r="G2215" s="7"/>
    </row>
    <row r="2216">
      <c r="G2216" s="7"/>
    </row>
    <row r="2217">
      <c r="G2217" s="7"/>
    </row>
    <row r="2218">
      <c r="G2218" s="7"/>
    </row>
    <row r="2219">
      <c r="G2219" s="7"/>
    </row>
    <row r="2220">
      <c r="G2220" s="7"/>
    </row>
    <row r="2221">
      <c r="G2221" s="7"/>
    </row>
    <row r="2222">
      <c r="G2222" s="7"/>
    </row>
    <row r="2223">
      <c r="G2223" s="7"/>
    </row>
    <row r="2224">
      <c r="G2224" s="7"/>
    </row>
    <row r="2225">
      <c r="G2225" s="7"/>
    </row>
    <row r="2226">
      <c r="G2226" s="7"/>
    </row>
    <row r="2227">
      <c r="G2227" s="7"/>
    </row>
    <row r="2228">
      <c r="G2228" s="7"/>
    </row>
    <row r="2229">
      <c r="G2229" s="7"/>
    </row>
    <row r="2230">
      <c r="G2230" s="7"/>
    </row>
    <row r="2231">
      <c r="G2231" s="7"/>
    </row>
    <row r="2232">
      <c r="G2232" s="7"/>
    </row>
    <row r="2233">
      <c r="G2233" s="7"/>
    </row>
    <row r="2234">
      <c r="G2234" s="7"/>
    </row>
    <row r="2235">
      <c r="G2235" s="7"/>
    </row>
    <row r="2236">
      <c r="G2236" s="7"/>
    </row>
    <row r="2237">
      <c r="G2237" s="7"/>
    </row>
    <row r="2238">
      <c r="G2238" s="7"/>
    </row>
    <row r="2239">
      <c r="G2239" s="7"/>
    </row>
    <row r="2240">
      <c r="G2240" s="7"/>
    </row>
    <row r="2241">
      <c r="G2241" s="7"/>
    </row>
    <row r="2242">
      <c r="G2242" s="7"/>
    </row>
    <row r="2243">
      <c r="G2243" s="7"/>
    </row>
    <row r="2244">
      <c r="G2244" s="7"/>
    </row>
    <row r="2245">
      <c r="G2245" s="7"/>
    </row>
    <row r="2246">
      <c r="G2246" s="7"/>
    </row>
    <row r="2247">
      <c r="G2247" s="7"/>
    </row>
    <row r="2248">
      <c r="G2248" s="7"/>
    </row>
    <row r="2249">
      <c r="G2249" s="7"/>
    </row>
    <row r="2250">
      <c r="G2250" s="7"/>
    </row>
    <row r="2251">
      <c r="G2251" s="7"/>
    </row>
    <row r="2252">
      <c r="G2252" s="7"/>
    </row>
    <row r="2253">
      <c r="G2253" s="7"/>
    </row>
    <row r="2254">
      <c r="G2254" s="7"/>
    </row>
    <row r="2255">
      <c r="G2255" s="7"/>
    </row>
    <row r="2256">
      <c r="G2256" s="7"/>
    </row>
    <row r="2257">
      <c r="G2257" s="7"/>
    </row>
    <row r="2258">
      <c r="G2258" s="7"/>
    </row>
    <row r="2259">
      <c r="G2259" s="7"/>
    </row>
    <row r="2260">
      <c r="G2260" s="7"/>
    </row>
    <row r="2261">
      <c r="G2261" s="7"/>
    </row>
    <row r="2262">
      <c r="G2262" s="7"/>
    </row>
    <row r="2263">
      <c r="G2263" s="7"/>
    </row>
    <row r="2264">
      <c r="G2264" s="7"/>
    </row>
    <row r="2265">
      <c r="G2265" s="7"/>
    </row>
    <row r="2266">
      <c r="G2266" s="7"/>
    </row>
    <row r="2267">
      <c r="G2267" s="7"/>
    </row>
    <row r="2268">
      <c r="G2268" s="7"/>
    </row>
    <row r="2269">
      <c r="G2269" s="7"/>
    </row>
    <row r="2270">
      <c r="G2270" s="7"/>
    </row>
    <row r="2271">
      <c r="G2271" s="7"/>
    </row>
    <row r="2272">
      <c r="G2272" s="7"/>
    </row>
    <row r="2273">
      <c r="G2273" s="7"/>
    </row>
    <row r="2274">
      <c r="G2274" s="7"/>
    </row>
    <row r="2275">
      <c r="G2275" s="7"/>
    </row>
    <row r="2276">
      <c r="G2276" s="7"/>
    </row>
    <row r="2277">
      <c r="G2277" s="7"/>
    </row>
    <row r="2278">
      <c r="G2278" s="7"/>
    </row>
    <row r="2279">
      <c r="G2279" s="7"/>
    </row>
    <row r="2280">
      <c r="G2280" s="7"/>
    </row>
    <row r="2281">
      <c r="G2281" s="7"/>
    </row>
    <row r="2282">
      <c r="G2282" s="7"/>
    </row>
    <row r="2283">
      <c r="G2283" s="7"/>
    </row>
    <row r="2284">
      <c r="G2284" s="7"/>
    </row>
    <row r="2285">
      <c r="G2285" s="7"/>
    </row>
    <row r="2286">
      <c r="G2286" s="7"/>
    </row>
    <row r="2287">
      <c r="G2287" s="7"/>
    </row>
    <row r="2288">
      <c r="G2288" s="7"/>
    </row>
    <row r="2289">
      <c r="G2289" s="7"/>
    </row>
    <row r="2290">
      <c r="G2290" s="7"/>
    </row>
    <row r="2291">
      <c r="G2291" s="7"/>
    </row>
    <row r="2292">
      <c r="G2292" s="7"/>
    </row>
    <row r="2293">
      <c r="G2293" s="7"/>
    </row>
    <row r="2294">
      <c r="G2294" s="7"/>
    </row>
    <row r="2295">
      <c r="G2295" s="7"/>
    </row>
    <row r="2296">
      <c r="G2296" s="7"/>
    </row>
    <row r="2297">
      <c r="G2297" s="7"/>
    </row>
    <row r="2298">
      <c r="G2298" s="7"/>
    </row>
    <row r="2299">
      <c r="G2299" s="7"/>
    </row>
    <row r="2300">
      <c r="G2300" s="7"/>
    </row>
    <row r="2301">
      <c r="G2301" s="7"/>
    </row>
    <row r="2302">
      <c r="G2302" s="7"/>
    </row>
    <row r="2303">
      <c r="G2303" s="7"/>
    </row>
    <row r="2304">
      <c r="G2304" s="7"/>
    </row>
    <row r="2305">
      <c r="G2305" s="7"/>
    </row>
    <row r="2306">
      <c r="G2306" s="7"/>
    </row>
    <row r="2307">
      <c r="G2307" s="7"/>
    </row>
    <row r="2308">
      <c r="G2308" s="7"/>
    </row>
    <row r="2309">
      <c r="G2309" s="7"/>
    </row>
    <row r="2310">
      <c r="G2310" s="7"/>
    </row>
    <row r="2311">
      <c r="G2311" s="7"/>
    </row>
    <row r="2312">
      <c r="G2312" s="7"/>
    </row>
    <row r="2313">
      <c r="G2313" s="7"/>
    </row>
    <row r="2314">
      <c r="G2314" s="7"/>
    </row>
    <row r="2315">
      <c r="G2315" s="7"/>
    </row>
    <row r="2316">
      <c r="G2316" s="7"/>
    </row>
    <row r="2317">
      <c r="G2317" s="7"/>
    </row>
    <row r="2318">
      <c r="G2318" s="7"/>
    </row>
    <row r="2319">
      <c r="G2319" s="7"/>
    </row>
    <row r="2320">
      <c r="G2320" s="7"/>
    </row>
    <row r="2321">
      <c r="G2321" s="7"/>
    </row>
    <row r="2322">
      <c r="G2322" s="7"/>
    </row>
    <row r="2323">
      <c r="G2323" s="7"/>
    </row>
    <row r="2324">
      <c r="G2324" s="7"/>
    </row>
    <row r="2325">
      <c r="G2325" s="7"/>
    </row>
    <row r="2326">
      <c r="G2326" s="7"/>
    </row>
    <row r="2327">
      <c r="G2327" s="7"/>
    </row>
    <row r="2328">
      <c r="G2328" s="7"/>
    </row>
    <row r="2329">
      <c r="G2329" s="7"/>
    </row>
    <row r="2330">
      <c r="G2330" s="7"/>
    </row>
    <row r="2331">
      <c r="G2331" s="7"/>
    </row>
    <row r="2332">
      <c r="G2332" s="7"/>
    </row>
    <row r="2333">
      <c r="G2333" s="7"/>
    </row>
    <row r="2334">
      <c r="G2334" s="7"/>
    </row>
    <row r="2335">
      <c r="G2335" s="7"/>
    </row>
    <row r="2336">
      <c r="G2336" s="7"/>
    </row>
    <row r="2337">
      <c r="G2337" s="7"/>
    </row>
    <row r="2338">
      <c r="G2338" s="7"/>
    </row>
    <row r="2339">
      <c r="G2339" s="7"/>
    </row>
    <row r="2340">
      <c r="G2340" s="7"/>
    </row>
    <row r="2341">
      <c r="G2341" s="7"/>
    </row>
    <row r="2342">
      <c r="G2342" s="7"/>
    </row>
    <row r="2343">
      <c r="G2343" s="7"/>
    </row>
    <row r="2344">
      <c r="G2344" s="7"/>
    </row>
    <row r="2345">
      <c r="G2345" s="7"/>
    </row>
    <row r="2346">
      <c r="G2346" s="7"/>
    </row>
    <row r="2347">
      <c r="G2347" s="7"/>
    </row>
    <row r="2348">
      <c r="G2348" s="7"/>
    </row>
    <row r="2349">
      <c r="G2349" s="7"/>
    </row>
    <row r="2350">
      <c r="G2350" s="7"/>
    </row>
    <row r="2351">
      <c r="G2351" s="7"/>
    </row>
    <row r="2352">
      <c r="G2352" s="7"/>
    </row>
    <row r="2353">
      <c r="G2353" s="7"/>
    </row>
    <row r="2354">
      <c r="G2354" s="7"/>
    </row>
    <row r="2355">
      <c r="G2355" s="7"/>
    </row>
    <row r="2356">
      <c r="G2356" s="7"/>
    </row>
    <row r="2357">
      <c r="G2357" s="7"/>
    </row>
    <row r="2358">
      <c r="G2358" s="7"/>
    </row>
    <row r="2359">
      <c r="G2359" s="7"/>
    </row>
    <row r="2360">
      <c r="G2360" s="7"/>
    </row>
    <row r="2361">
      <c r="G2361" s="7"/>
    </row>
    <row r="2362">
      <c r="G2362" s="7"/>
    </row>
    <row r="2363">
      <c r="G2363" s="7"/>
    </row>
    <row r="2364">
      <c r="G2364" s="7"/>
    </row>
    <row r="2365">
      <c r="G2365" s="7"/>
    </row>
    <row r="2366">
      <c r="G2366" s="7"/>
    </row>
    <row r="2367">
      <c r="G2367" s="7"/>
    </row>
    <row r="2368">
      <c r="G2368" s="7"/>
    </row>
    <row r="2369">
      <c r="G2369" s="7"/>
    </row>
    <row r="2370">
      <c r="G2370" s="7"/>
    </row>
    <row r="2371">
      <c r="G2371" s="7"/>
    </row>
    <row r="2372">
      <c r="G2372" s="7"/>
    </row>
    <row r="2373">
      <c r="G2373" s="7"/>
    </row>
    <row r="2374">
      <c r="G2374" s="7"/>
    </row>
    <row r="2375">
      <c r="G2375" s="7"/>
    </row>
    <row r="2376">
      <c r="G2376" s="7"/>
    </row>
    <row r="2377">
      <c r="G2377" s="7"/>
    </row>
    <row r="2378">
      <c r="G2378" s="7"/>
    </row>
    <row r="2379">
      <c r="G2379" s="7"/>
    </row>
    <row r="2380">
      <c r="G2380" s="7"/>
    </row>
    <row r="2381">
      <c r="G2381" s="7"/>
    </row>
    <row r="2382">
      <c r="G2382" s="7"/>
    </row>
    <row r="2383">
      <c r="G2383" s="7"/>
    </row>
    <row r="2384">
      <c r="G2384" s="7"/>
    </row>
    <row r="2385">
      <c r="G2385" s="7"/>
    </row>
    <row r="2386">
      <c r="G2386" s="7"/>
    </row>
    <row r="2387">
      <c r="G2387" s="7"/>
    </row>
    <row r="2388">
      <c r="G2388" s="7"/>
    </row>
    <row r="2389">
      <c r="G2389" s="7"/>
    </row>
    <row r="2390">
      <c r="G2390" s="7"/>
    </row>
    <row r="2391">
      <c r="G2391" s="7"/>
    </row>
    <row r="2392">
      <c r="G2392" s="7"/>
    </row>
    <row r="2393">
      <c r="G2393" s="7"/>
    </row>
    <row r="2394">
      <c r="G2394" s="7"/>
    </row>
    <row r="2395">
      <c r="G2395" s="7"/>
    </row>
    <row r="2396">
      <c r="G2396" s="7"/>
    </row>
    <row r="2397">
      <c r="G2397" s="7"/>
    </row>
    <row r="2398">
      <c r="G2398" s="7"/>
    </row>
    <row r="2399">
      <c r="G2399" s="7"/>
    </row>
    <row r="2400">
      <c r="G2400" s="7"/>
    </row>
    <row r="2401">
      <c r="G2401" s="7"/>
    </row>
    <row r="2402">
      <c r="G2402" s="7"/>
    </row>
    <row r="2403">
      <c r="G2403" s="7"/>
    </row>
    <row r="2404">
      <c r="G2404" s="7"/>
    </row>
    <row r="2405">
      <c r="G2405" s="7"/>
    </row>
    <row r="2406">
      <c r="G2406" s="7"/>
    </row>
    <row r="2407">
      <c r="G2407" s="7"/>
    </row>
    <row r="2408">
      <c r="G2408" s="7"/>
    </row>
    <row r="2409">
      <c r="G2409" s="7"/>
    </row>
    <row r="2410">
      <c r="G2410" s="7"/>
    </row>
    <row r="2411">
      <c r="G2411" s="7"/>
    </row>
    <row r="2412">
      <c r="G2412" s="7"/>
    </row>
    <row r="2413">
      <c r="G2413" s="7"/>
    </row>
    <row r="2414">
      <c r="G2414" s="7"/>
    </row>
    <row r="2415">
      <c r="G2415" s="7"/>
    </row>
    <row r="2416">
      <c r="G2416" s="7"/>
    </row>
    <row r="2417">
      <c r="G2417" s="7"/>
    </row>
    <row r="2418">
      <c r="G2418" s="7"/>
    </row>
    <row r="2419">
      <c r="G2419" s="7"/>
    </row>
    <row r="2420">
      <c r="G2420" s="7"/>
    </row>
    <row r="2421">
      <c r="G2421" s="7"/>
    </row>
    <row r="2422">
      <c r="G2422" s="7"/>
    </row>
    <row r="2423">
      <c r="G2423" s="7"/>
    </row>
    <row r="2424">
      <c r="G2424" s="7"/>
    </row>
    <row r="2425">
      <c r="G2425" s="7"/>
    </row>
    <row r="2426">
      <c r="G2426" s="7"/>
    </row>
    <row r="2427">
      <c r="G2427" s="7"/>
    </row>
    <row r="2428">
      <c r="G2428" s="7"/>
    </row>
    <row r="2429">
      <c r="G2429" s="7"/>
    </row>
    <row r="2430">
      <c r="G2430" s="7"/>
    </row>
    <row r="2431">
      <c r="G2431" s="7"/>
    </row>
    <row r="2432">
      <c r="G2432" s="7"/>
    </row>
    <row r="2433">
      <c r="G2433" s="7"/>
    </row>
    <row r="2434">
      <c r="G2434" s="7"/>
    </row>
    <row r="2435">
      <c r="G2435" s="7"/>
    </row>
    <row r="2436">
      <c r="G2436" s="7"/>
    </row>
    <row r="2437">
      <c r="G2437" s="7"/>
    </row>
    <row r="2438">
      <c r="G2438" s="7"/>
    </row>
    <row r="2439">
      <c r="G2439" s="7"/>
    </row>
    <row r="2440">
      <c r="G2440" s="7"/>
    </row>
    <row r="2441">
      <c r="G2441" s="7"/>
    </row>
    <row r="2442">
      <c r="G2442" s="7"/>
    </row>
    <row r="2443">
      <c r="G2443" s="7"/>
    </row>
    <row r="2444">
      <c r="G2444" s="7"/>
    </row>
    <row r="2445">
      <c r="G2445" s="7"/>
    </row>
    <row r="2446">
      <c r="G2446" s="7"/>
    </row>
    <row r="2447">
      <c r="G2447" s="7"/>
    </row>
    <row r="2448">
      <c r="G2448" s="7"/>
    </row>
    <row r="2449">
      <c r="G2449" s="7"/>
    </row>
    <row r="2450">
      <c r="G2450" s="7"/>
    </row>
    <row r="2451">
      <c r="G2451" s="7"/>
    </row>
    <row r="2452">
      <c r="G2452" s="7"/>
    </row>
    <row r="2453">
      <c r="G2453" s="7"/>
    </row>
    <row r="2454">
      <c r="G2454" s="7"/>
    </row>
    <row r="2455">
      <c r="G2455" s="7"/>
    </row>
    <row r="2456">
      <c r="G2456" s="7"/>
    </row>
    <row r="2457">
      <c r="G2457" s="7"/>
    </row>
    <row r="2458">
      <c r="G2458" s="7"/>
    </row>
    <row r="2459">
      <c r="G2459" s="7"/>
    </row>
    <row r="2460">
      <c r="G2460" s="7"/>
    </row>
    <row r="2461">
      <c r="G2461" s="7"/>
    </row>
    <row r="2462">
      <c r="G2462" s="7"/>
    </row>
    <row r="2463">
      <c r="G2463" s="7"/>
    </row>
    <row r="2464">
      <c r="G2464" s="7"/>
    </row>
    <row r="2465">
      <c r="G2465" s="7"/>
    </row>
    <row r="2466">
      <c r="G2466" s="7"/>
    </row>
    <row r="2467">
      <c r="G2467" s="7"/>
    </row>
    <row r="2468">
      <c r="G2468" s="7"/>
    </row>
    <row r="2469">
      <c r="G2469" s="7"/>
    </row>
    <row r="2470">
      <c r="G2470" s="7"/>
    </row>
    <row r="2471">
      <c r="G2471" s="7"/>
    </row>
    <row r="2472">
      <c r="G2472" s="7"/>
    </row>
    <row r="2473">
      <c r="G2473" s="7"/>
    </row>
    <row r="2474">
      <c r="G2474" s="7"/>
    </row>
    <row r="2475">
      <c r="G2475" s="7"/>
    </row>
    <row r="2476">
      <c r="G2476" s="7"/>
    </row>
    <row r="2477">
      <c r="G2477" s="7"/>
    </row>
    <row r="2478">
      <c r="G2478" s="7"/>
    </row>
    <row r="2479">
      <c r="G2479" s="7"/>
    </row>
    <row r="2480">
      <c r="G2480" s="7"/>
    </row>
    <row r="2481">
      <c r="G2481" s="7"/>
    </row>
    <row r="2482">
      <c r="G2482" s="7"/>
    </row>
    <row r="2483">
      <c r="G2483" s="7"/>
    </row>
    <row r="2484">
      <c r="G2484" s="7"/>
    </row>
    <row r="2485">
      <c r="G2485" s="7"/>
    </row>
    <row r="2486">
      <c r="G2486" s="7"/>
    </row>
    <row r="2487">
      <c r="G2487" s="7"/>
    </row>
    <row r="2488">
      <c r="G2488" s="7"/>
    </row>
    <row r="2489">
      <c r="G2489" s="7"/>
    </row>
    <row r="2490">
      <c r="G2490" s="7"/>
    </row>
    <row r="2491">
      <c r="G2491" s="7"/>
    </row>
    <row r="2492">
      <c r="G2492" s="7"/>
    </row>
    <row r="2493">
      <c r="G2493" s="7"/>
    </row>
    <row r="2494">
      <c r="G2494" s="7"/>
    </row>
    <row r="2495">
      <c r="G2495" s="7"/>
    </row>
    <row r="2496">
      <c r="G2496" s="7"/>
    </row>
    <row r="2497">
      <c r="G2497" s="7"/>
    </row>
    <row r="2498">
      <c r="G2498" s="7"/>
    </row>
    <row r="2499">
      <c r="G2499" s="7"/>
    </row>
    <row r="2500">
      <c r="G2500" s="7"/>
    </row>
    <row r="2501">
      <c r="G2501" s="7"/>
    </row>
    <row r="2502">
      <c r="G2502" s="7"/>
    </row>
    <row r="2503">
      <c r="G2503" s="7"/>
    </row>
    <row r="2504">
      <c r="G2504" s="7"/>
    </row>
    <row r="2505">
      <c r="G2505" s="7"/>
    </row>
    <row r="2506">
      <c r="G2506" s="7"/>
    </row>
    <row r="2507">
      <c r="G2507" s="7"/>
    </row>
    <row r="2508">
      <c r="G2508" s="7"/>
    </row>
    <row r="2509">
      <c r="G2509" s="7"/>
    </row>
    <row r="2510">
      <c r="G2510" s="7"/>
    </row>
    <row r="2511">
      <c r="G2511" s="7"/>
    </row>
    <row r="2512">
      <c r="G2512" s="7"/>
    </row>
    <row r="2513">
      <c r="G2513" s="7"/>
    </row>
    <row r="2514">
      <c r="G2514" s="7"/>
    </row>
    <row r="2515">
      <c r="G2515" s="7"/>
    </row>
    <row r="2516">
      <c r="G2516" s="7"/>
    </row>
    <row r="2517">
      <c r="G2517" s="7"/>
    </row>
    <row r="2518">
      <c r="G2518" s="7"/>
    </row>
    <row r="2519">
      <c r="G2519" s="7"/>
    </row>
    <row r="2520">
      <c r="G2520" s="7"/>
    </row>
    <row r="2521">
      <c r="G2521" s="7"/>
    </row>
    <row r="2522">
      <c r="G2522" s="7"/>
    </row>
    <row r="2523">
      <c r="G2523" s="7"/>
    </row>
    <row r="2524">
      <c r="G2524" s="7"/>
    </row>
    <row r="2525">
      <c r="G2525" s="7"/>
    </row>
    <row r="2526">
      <c r="G2526" s="7"/>
    </row>
    <row r="2527">
      <c r="G2527" s="7"/>
    </row>
    <row r="2528">
      <c r="G2528" s="7"/>
    </row>
    <row r="2529">
      <c r="G2529" s="7"/>
    </row>
    <row r="2530">
      <c r="G2530" s="7"/>
    </row>
    <row r="2531">
      <c r="G2531" s="7"/>
    </row>
    <row r="2532">
      <c r="G2532" s="7"/>
    </row>
    <row r="2533">
      <c r="G2533" s="7"/>
    </row>
    <row r="2534">
      <c r="G2534" s="7"/>
    </row>
    <row r="2535">
      <c r="G2535" s="7"/>
    </row>
    <row r="2536">
      <c r="G2536" s="7"/>
    </row>
    <row r="2537">
      <c r="G2537" s="7"/>
    </row>
    <row r="2538">
      <c r="G2538" s="7"/>
    </row>
    <row r="2539">
      <c r="G2539" s="7"/>
    </row>
    <row r="2540">
      <c r="G2540" s="7"/>
    </row>
    <row r="2541">
      <c r="G2541" s="7"/>
    </row>
    <row r="2542">
      <c r="G2542" s="7"/>
    </row>
    <row r="2543">
      <c r="G2543" s="7"/>
    </row>
    <row r="2544">
      <c r="G2544" s="7"/>
    </row>
    <row r="2545">
      <c r="G2545" s="7"/>
    </row>
    <row r="2546">
      <c r="G2546" s="7"/>
    </row>
    <row r="2547">
      <c r="G2547" s="7"/>
    </row>
    <row r="2548">
      <c r="G2548" s="7"/>
    </row>
    <row r="2549">
      <c r="G2549" s="7"/>
    </row>
    <row r="2550">
      <c r="G2550" s="7"/>
    </row>
    <row r="2551">
      <c r="G2551" s="7"/>
    </row>
    <row r="2552">
      <c r="G2552" s="7"/>
    </row>
    <row r="2553">
      <c r="G2553" s="7"/>
    </row>
    <row r="2554">
      <c r="G2554" s="7"/>
    </row>
    <row r="2555">
      <c r="G2555" s="7"/>
    </row>
    <row r="2556">
      <c r="G2556" s="7"/>
    </row>
    <row r="2557">
      <c r="G2557" s="7"/>
    </row>
    <row r="2558">
      <c r="G2558" s="7"/>
    </row>
    <row r="2559">
      <c r="G2559" s="7"/>
    </row>
    <row r="2560">
      <c r="G2560" s="7"/>
    </row>
    <row r="2561">
      <c r="G2561" s="7"/>
    </row>
    <row r="2562">
      <c r="G2562" s="7"/>
    </row>
    <row r="2563">
      <c r="G2563" s="7"/>
    </row>
    <row r="2564">
      <c r="G2564" s="7"/>
    </row>
    <row r="2565">
      <c r="G2565" s="7"/>
    </row>
    <row r="2566">
      <c r="G2566" s="7"/>
    </row>
    <row r="2567">
      <c r="G2567" s="7"/>
    </row>
    <row r="2568">
      <c r="G2568" s="7"/>
    </row>
    <row r="2569">
      <c r="G2569" s="7"/>
    </row>
    <row r="2570">
      <c r="G2570" s="7"/>
    </row>
    <row r="2571">
      <c r="G2571" s="7"/>
    </row>
    <row r="2572">
      <c r="G2572" s="7"/>
    </row>
    <row r="2573">
      <c r="G2573" s="7"/>
    </row>
    <row r="2574">
      <c r="G2574" s="7"/>
    </row>
    <row r="2575">
      <c r="G2575" s="7"/>
    </row>
    <row r="2576">
      <c r="G2576" s="7"/>
    </row>
    <row r="2577">
      <c r="G2577" s="7"/>
    </row>
    <row r="2578">
      <c r="G2578" s="7"/>
    </row>
    <row r="2579">
      <c r="G2579" s="7"/>
    </row>
    <row r="2580">
      <c r="G2580" s="7"/>
    </row>
    <row r="2581">
      <c r="G2581" s="7"/>
    </row>
    <row r="2582">
      <c r="G2582" s="7"/>
    </row>
    <row r="2583">
      <c r="G2583" s="7"/>
    </row>
    <row r="2584">
      <c r="G2584" s="7"/>
    </row>
    <row r="2585">
      <c r="G2585" s="7"/>
    </row>
    <row r="2586">
      <c r="G2586" s="7"/>
    </row>
    <row r="2587">
      <c r="G2587" s="7"/>
    </row>
    <row r="2588">
      <c r="G2588" s="7"/>
    </row>
    <row r="2589">
      <c r="G2589" s="7"/>
    </row>
    <row r="2590">
      <c r="G2590" s="7"/>
    </row>
    <row r="2591">
      <c r="G2591" s="7"/>
    </row>
    <row r="2592">
      <c r="G2592" s="7"/>
    </row>
    <row r="2593">
      <c r="G2593" s="7"/>
    </row>
    <row r="2594">
      <c r="G2594" s="7"/>
    </row>
    <row r="2595">
      <c r="G2595" s="7"/>
    </row>
    <row r="2596">
      <c r="G2596" s="7"/>
    </row>
    <row r="2597">
      <c r="G2597" s="7"/>
    </row>
    <row r="2598">
      <c r="G2598" s="7"/>
    </row>
    <row r="2599">
      <c r="G2599" s="7"/>
    </row>
    <row r="2600">
      <c r="G2600" s="7"/>
    </row>
    <row r="2601">
      <c r="G2601" s="7"/>
    </row>
    <row r="2602">
      <c r="G2602" s="7"/>
    </row>
    <row r="2603">
      <c r="G2603" s="7"/>
    </row>
    <row r="2604">
      <c r="G2604" s="7"/>
    </row>
    <row r="2605">
      <c r="G2605" s="7"/>
    </row>
    <row r="2606">
      <c r="G2606" s="7"/>
    </row>
    <row r="2607">
      <c r="G2607" s="7"/>
    </row>
    <row r="2608">
      <c r="G2608" s="7"/>
    </row>
    <row r="2609">
      <c r="G2609" s="7"/>
    </row>
    <row r="2610">
      <c r="G2610" s="7"/>
    </row>
    <row r="2611">
      <c r="G2611" s="7"/>
    </row>
    <row r="2612">
      <c r="G2612" s="7"/>
    </row>
    <row r="2613">
      <c r="G2613" s="7"/>
    </row>
    <row r="2614">
      <c r="G2614" s="7"/>
    </row>
    <row r="2615">
      <c r="G2615" s="7"/>
    </row>
    <row r="2616">
      <c r="G2616" s="7"/>
    </row>
    <row r="2617">
      <c r="G2617" s="7"/>
    </row>
    <row r="2618">
      <c r="G2618" s="7"/>
    </row>
    <row r="2619">
      <c r="G2619" s="7"/>
    </row>
    <row r="2620">
      <c r="G2620" s="7"/>
    </row>
    <row r="2621">
      <c r="G2621" s="7"/>
    </row>
    <row r="2622">
      <c r="G2622" s="7"/>
    </row>
    <row r="2623">
      <c r="G2623" s="7"/>
    </row>
    <row r="2624">
      <c r="G2624" s="7"/>
    </row>
    <row r="2625">
      <c r="G2625" s="7"/>
    </row>
    <row r="2626">
      <c r="G2626" s="7"/>
    </row>
    <row r="2627">
      <c r="G2627" s="7"/>
    </row>
    <row r="2628">
      <c r="G2628" s="7"/>
    </row>
    <row r="2629">
      <c r="G2629" s="7"/>
    </row>
    <row r="2630">
      <c r="G2630" s="7"/>
    </row>
    <row r="2631">
      <c r="G2631" s="7"/>
    </row>
    <row r="2632">
      <c r="G2632" s="7"/>
    </row>
    <row r="2633">
      <c r="G2633" s="7"/>
    </row>
    <row r="2634">
      <c r="G2634" s="7"/>
    </row>
    <row r="2635">
      <c r="G2635" s="7"/>
    </row>
    <row r="2636">
      <c r="G2636" s="7"/>
    </row>
    <row r="2637">
      <c r="G2637" s="7"/>
    </row>
    <row r="2638">
      <c r="G2638" s="7"/>
    </row>
    <row r="2639">
      <c r="G2639" s="7"/>
    </row>
    <row r="2640">
      <c r="G2640" s="7"/>
    </row>
    <row r="2641">
      <c r="G2641" s="7"/>
    </row>
    <row r="2642">
      <c r="G2642" s="7"/>
    </row>
    <row r="2643">
      <c r="G2643" s="7"/>
    </row>
    <row r="2644">
      <c r="G2644" s="7"/>
    </row>
    <row r="2645">
      <c r="G2645" s="7"/>
    </row>
    <row r="2646">
      <c r="G2646" s="7"/>
    </row>
    <row r="2647">
      <c r="G2647" s="7"/>
    </row>
    <row r="2648">
      <c r="G2648" s="7"/>
    </row>
    <row r="2649">
      <c r="G2649" s="7"/>
    </row>
    <row r="2650">
      <c r="G2650" s="7"/>
    </row>
    <row r="2651">
      <c r="G2651" s="7"/>
    </row>
    <row r="2652">
      <c r="G2652" s="7"/>
    </row>
    <row r="2653">
      <c r="G2653" s="7"/>
    </row>
    <row r="2654">
      <c r="G2654" s="7"/>
    </row>
    <row r="2655">
      <c r="G2655" s="7"/>
    </row>
    <row r="2656">
      <c r="G2656" s="7"/>
    </row>
    <row r="2657">
      <c r="G2657" s="7"/>
    </row>
    <row r="2658">
      <c r="G2658" s="7"/>
    </row>
    <row r="2659">
      <c r="G2659" s="7"/>
    </row>
    <row r="2660">
      <c r="G2660" s="7"/>
    </row>
    <row r="2661">
      <c r="G2661" s="7"/>
    </row>
    <row r="2662">
      <c r="G2662" s="7"/>
    </row>
    <row r="2663">
      <c r="G2663" s="7"/>
    </row>
    <row r="2664">
      <c r="G2664" s="7"/>
    </row>
    <row r="2665">
      <c r="G2665" s="7"/>
    </row>
    <row r="2666">
      <c r="G2666" s="7"/>
    </row>
    <row r="2667">
      <c r="G2667" s="7"/>
    </row>
    <row r="2668">
      <c r="G2668" s="7"/>
    </row>
    <row r="2669">
      <c r="G2669" s="7"/>
    </row>
    <row r="2670">
      <c r="G2670" s="7"/>
    </row>
    <row r="2671">
      <c r="G2671" s="7"/>
    </row>
    <row r="2672">
      <c r="G2672" s="7"/>
    </row>
    <row r="2673">
      <c r="G2673" s="7"/>
    </row>
    <row r="2674">
      <c r="G2674" s="7"/>
    </row>
    <row r="2675">
      <c r="G2675" s="7"/>
    </row>
    <row r="2676">
      <c r="G2676" s="7"/>
    </row>
    <row r="2677">
      <c r="G2677" s="7"/>
    </row>
    <row r="2678">
      <c r="G2678" s="7"/>
    </row>
    <row r="2679">
      <c r="G2679" s="7"/>
    </row>
    <row r="2680">
      <c r="G2680" s="7"/>
    </row>
    <row r="2681">
      <c r="G2681" s="7"/>
    </row>
    <row r="2682">
      <c r="G2682" s="7"/>
    </row>
    <row r="2683">
      <c r="G2683" s="7"/>
    </row>
    <row r="2684">
      <c r="G2684" s="7"/>
    </row>
    <row r="2685">
      <c r="G2685" s="7"/>
    </row>
    <row r="2686">
      <c r="G2686" s="7"/>
    </row>
    <row r="2687">
      <c r="G2687" s="7"/>
    </row>
    <row r="2688">
      <c r="G2688" s="7"/>
    </row>
    <row r="2689">
      <c r="G2689" s="7"/>
    </row>
    <row r="2690">
      <c r="G2690" s="7"/>
    </row>
    <row r="2691">
      <c r="G2691" s="7"/>
    </row>
    <row r="2692">
      <c r="G2692" s="7"/>
    </row>
    <row r="2693">
      <c r="G2693" s="7"/>
    </row>
    <row r="2694">
      <c r="G2694" s="7"/>
    </row>
    <row r="2695">
      <c r="G2695" s="7"/>
    </row>
    <row r="2696">
      <c r="G2696" s="7"/>
    </row>
    <row r="2697">
      <c r="G2697" s="7"/>
    </row>
    <row r="2698">
      <c r="G2698" s="7"/>
    </row>
    <row r="2699">
      <c r="G2699" s="7"/>
    </row>
    <row r="2700">
      <c r="G2700" s="7"/>
    </row>
    <row r="2701">
      <c r="G2701" s="7"/>
    </row>
    <row r="2702">
      <c r="G2702" s="7"/>
    </row>
    <row r="2703">
      <c r="G2703" s="7"/>
    </row>
    <row r="2704">
      <c r="G2704" s="7"/>
    </row>
    <row r="2705">
      <c r="G2705" s="7"/>
    </row>
    <row r="2706">
      <c r="G2706" s="7"/>
    </row>
    <row r="2707">
      <c r="G2707" s="7"/>
    </row>
    <row r="2708">
      <c r="G2708" s="7"/>
    </row>
    <row r="2709">
      <c r="G2709" s="7"/>
    </row>
    <row r="2710">
      <c r="G2710" s="7"/>
    </row>
    <row r="2711">
      <c r="G2711" s="7"/>
    </row>
    <row r="2712">
      <c r="G2712" s="7"/>
    </row>
    <row r="2713">
      <c r="G2713" s="7"/>
    </row>
    <row r="2714">
      <c r="G2714" s="7"/>
    </row>
    <row r="2715">
      <c r="G2715" s="7"/>
    </row>
    <row r="2716">
      <c r="G2716" s="7"/>
    </row>
    <row r="2717">
      <c r="G2717" s="7"/>
    </row>
    <row r="2718">
      <c r="G2718" s="7"/>
    </row>
    <row r="2719">
      <c r="G2719" s="7"/>
    </row>
    <row r="2720">
      <c r="G2720" s="7"/>
    </row>
    <row r="2721">
      <c r="G2721" s="7"/>
    </row>
    <row r="2722">
      <c r="G2722" s="7"/>
    </row>
    <row r="2723">
      <c r="G2723" s="7"/>
    </row>
    <row r="2724">
      <c r="G2724" s="7"/>
    </row>
    <row r="2725">
      <c r="G2725" s="7"/>
    </row>
    <row r="2726">
      <c r="G2726" s="7"/>
    </row>
    <row r="2727">
      <c r="G2727" s="7"/>
    </row>
    <row r="2728">
      <c r="G2728" s="7"/>
    </row>
    <row r="2729">
      <c r="G2729" s="7"/>
    </row>
    <row r="2730">
      <c r="G2730" s="7"/>
    </row>
    <row r="2731">
      <c r="G2731" s="7"/>
    </row>
    <row r="2732">
      <c r="G2732" s="7"/>
    </row>
    <row r="2733">
      <c r="G2733" s="7"/>
    </row>
    <row r="2734">
      <c r="G2734" s="7"/>
    </row>
    <row r="2735">
      <c r="G2735" s="7"/>
    </row>
    <row r="2736">
      <c r="G2736" s="7"/>
    </row>
    <row r="2737">
      <c r="G2737" s="7"/>
    </row>
    <row r="2738">
      <c r="G2738" s="7"/>
    </row>
    <row r="2739">
      <c r="G2739" s="7"/>
    </row>
    <row r="2740">
      <c r="G2740" s="7"/>
    </row>
    <row r="2741">
      <c r="G2741" s="7"/>
    </row>
    <row r="2742">
      <c r="G2742" s="7"/>
    </row>
    <row r="2743">
      <c r="G2743" s="7"/>
    </row>
    <row r="2744">
      <c r="G2744" s="7"/>
    </row>
    <row r="2745">
      <c r="G2745" s="7"/>
    </row>
    <row r="2746">
      <c r="G2746" s="7"/>
    </row>
    <row r="2747">
      <c r="G2747" s="7"/>
    </row>
    <row r="2748">
      <c r="G2748" s="7"/>
    </row>
    <row r="2749">
      <c r="G2749" s="7"/>
    </row>
    <row r="2750">
      <c r="G2750" s="7"/>
    </row>
    <row r="2751">
      <c r="G2751" s="7"/>
    </row>
    <row r="2752">
      <c r="G2752" s="7"/>
    </row>
    <row r="2753">
      <c r="G2753" s="7"/>
    </row>
    <row r="2754">
      <c r="G2754" s="7"/>
    </row>
    <row r="2755">
      <c r="G2755" s="7"/>
    </row>
    <row r="2756">
      <c r="G2756" s="7"/>
    </row>
    <row r="2757">
      <c r="G2757" s="7"/>
    </row>
    <row r="2758">
      <c r="G2758" s="7"/>
    </row>
    <row r="2759">
      <c r="G2759" s="7"/>
    </row>
    <row r="2760">
      <c r="G2760" s="7"/>
    </row>
    <row r="2761">
      <c r="G2761" s="7"/>
    </row>
    <row r="2762">
      <c r="G2762" s="7"/>
    </row>
    <row r="2763">
      <c r="G2763" s="7"/>
    </row>
    <row r="2764">
      <c r="G2764" s="7"/>
    </row>
    <row r="2765">
      <c r="G2765" s="7"/>
    </row>
    <row r="2766">
      <c r="G2766" s="7"/>
    </row>
    <row r="2767">
      <c r="G2767" s="7"/>
    </row>
    <row r="2768">
      <c r="G2768" s="7"/>
    </row>
    <row r="2769">
      <c r="G2769" s="7"/>
    </row>
    <row r="2770">
      <c r="G2770" s="7"/>
    </row>
    <row r="2771">
      <c r="G2771" s="7"/>
    </row>
    <row r="2772">
      <c r="G2772" s="7"/>
    </row>
    <row r="2773">
      <c r="G2773" s="7"/>
    </row>
    <row r="2774">
      <c r="G2774" s="7"/>
    </row>
    <row r="2775">
      <c r="G2775" s="7"/>
    </row>
    <row r="2776">
      <c r="G2776" s="7"/>
    </row>
    <row r="2777">
      <c r="G2777" s="7"/>
    </row>
    <row r="2778">
      <c r="G2778" s="7"/>
    </row>
    <row r="2779">
      <c r="G2779" s="7"/>
    </row>
    <row r="2780">
      <c r="G2780" s="7"/>
    </row>
    <row r="2781">
      <c r="G2781" s="7"/>
    </row>
    <row r="2782">
      <c r="G2782" s="7"/>
    </row>
    <row r="2783">
      <c r="G2783" s="7"/>
    </row>
    <row r="2784">
      <c r="G2784" s="7"/>
    </row>
    <row r="2785">
      <c r="G2785" s="7"/>
    </row>
    <row r="2786">
      <c r="G2786" s="7"/>
    </row>
    <row r="2787">
      <c r="G2787" s="7"/>
    </row>
    <row r="2788">
      <c r="G2788" s="7"/>
    </row>
    <row r="2789">
      <c r="G2789" s="7"/>
    </row>
    <row r="2790">
      <c r="G2790" s="7"/>
    </row>
    <row r="2791">
      <c r="G2791" s="7"/>
    </row>
    <row r="2792">
      <c r="G2792" s="7"/>
    </row>
    <row r="2793">
      <c r="G2793" s="7"/>
    </row>
    <row r="2794">
      <c r="G2794" s="7"/>
    </row>
    <row r="2795">
      <c r="G2795" s="7"/>
    </row>
    <row r="2796">
      <c r="G2796" s="7"/>
    </row>
    <row r="2797">
      <c r="G2797" s="7"/>
    </row>
    <row r="2798">
      <c r="G2798" s="7"/>
    </row>
    <row r="2799">
      <c r="G2799" s="7"/>
    </row>
    <row r="2800">
      <c r="G2800" s="7"/>
    </row>
    <row r="2801">
      <c r="G2801" s="7"/>
    </row>
    <row r="2802">
      <c r="G2802" s="7"/>
    </row>
    <row r="2803">
      <c r="G2803" s="7"/>
    </row>
    <row r="2804">
      <c r="G2804" s="7"/>
    </row>
    <row r="2805">
      <c r="G2805" s="7"/>
    </row>
    <row r="2806">
      <c r="G2806" s="7"/>
    </row>
    <row r="2807">
      <c r="G2807" s="7"/>
    </row>
    <row r="2808">
      <c r="G2808" s="7"/>
    </row>
    <row r="2809">
      <c r="G2809" s="7"/>
    </row>
    <row r="2810">
      <c r="G2810" s="7"/>
    </row>
    <row r="2811">
      <c r="G2811" s="7"/>
    </row>
    <row r="2812">
      <c r="G2812" s="7"/>
    </row>
    <row r="2813">
      <c r="G2813" s="7"/>
    </row>
    <row r="2814">
      <c r="G2814" s="7"/>
    </row>
    <row r="2815">
      <c r="G2815" s="7"/>
    </row>
    <row r="2816">
      <c r="G2816" s="7"/>
    </row>
    <row r="2817">
      <c r="G2817" s="7"/>
    </row>
    <row r="2818">
      <c r="G2818" s="7"/>
    </row>
    <row r="2819">
      <c r="G2819" s="7"/>
    </row>
    <row r="2820">
      <c r="G2820" s="7"/>
    </row>
    <row r="2821">
      <c r="G2821" s="7"/>
    </row>
    <row r="2822">
      <c r="G2822" s="7"/>
    </row>
    <row r="2823">
      <c r="G2823" s="7"/>
    </row>
    <row r="2824">
      <c r="G2824" s="7"/>
    </row>
    <row r="2825">
      <c r="G2825" s="7"/>
    </row>
    <row r="2826">
      <c r="G2826" s="7"/>
    </row>
    <row r="2827">
      <c r="G2827" s="7"/>
    </row>
    <row r="2828">
      <c r="G2828" s="7"/>
    </row>
    <row r="2829">
      <c r="G2829" s="7"/>
    </row>
    <row r="2830">
      <c r="G2830" s="7"/>
    </row>
    <row r="2831">
      <c r="G2831" s="7"/>
    </row>
    <row r="2832">
      <c r="G2832" s="7"/>
    </row>
    <row r="2833">
      <c r="G2833" s="7"/>
    </row>
    <row r="2834">
      <c r="G2834" s="7"/>
    </row>
    <row r="2835">
      <c r="G2835" s="7"/>
    </row>
    <row r="2836">
      <c r="G2836" s="7"/>
    </row>
    <row r="2837">
      <c r="G2837" s="7"/>
    </row>
    <row r="2838">
      <c r="G2838" s="7"/>
    </row>
    <row r="2839">
      <c r="G2839" s="7"/>
    </row>
    <row r="2840">
      <c r="G2840" s="7"/>
    </row>
    <row r="2841">
      <c r="G2841" s="7"/>
    </row>
    <row r="2842">
      <c r="G2842" s="7"/>
    </row>
    <row r="2843">
      <c r="G2843" s="7"/>
    </row>
    <row r="2844">
      <c r="G2844" s="7"/>
    </row>
    <row r="2845">
      <c r="G2845" s="7"/>
    </row>
    <row r="2846">
      <c r="G2846" s="7"/>
    </row>
    <row r="2847">
      <c r="G2847" s="7"/>
    </row>
    <row r="2848">
      <c r="G2848" s="7"/>
    </row>
    <row r="2849">
      <c r="G2849" s="7"/>
    </row>
    <row r="2850">
      <c r="G2850" s="7"/>
    </row>
    <row r="2851">
      <c r="G2851" s="7"/>
    </row>
    <row r="2852">
      <c r="G2852" s="7"/>
    </row>
    <row r="2853">
      <c r="G2853" s="7"/>
    </row>
    <row r="2854">
      <c r="G2854" s="7"/>
    </row>
    <row r="2855">
      <c r="G2855" s="7"/>
    </row>
    <row r="2856">
      <c r="G2856" s="7"/>
    </row>
    <row r="2857">
      <c r="G2857" s="7"/>
    </row>
    <row r="2858">
      <c r="G2858" s="7"/>
    </row>
    <row r="2859">
      <c r="G2859" s="7"/>
    </row>
    <row r="2860">
      <c r="G2860" s="7"/>
    </row>
    <row r="2861">
      <c r="G2861" s="7"/>
    </row>
    <row r="2862">
      <c r="G2862" s="7"/>
    </row>
    <row r="2863">
      <c r="G2863" s="7"/>
    </row>
    <row r="2864">
      <c r="G2864" s="7"/>
    </row>
    <row r="2865">
      <c r="G2865" s="7"/>
    </row>
    <row r="2866">
      <c r="G2866" s="7"/>
    </row>
    <row r="2867">
      <c r="G2867" s="7"/>
    </row>
    <row r="2868">
      <c r="G2868" s="7"/>
    </row>
    <row r="2869">
      <c r="G2869" s="7"/>
    </row>
    <row r="2870">
      <c r="G2870" s="7"/>
    </row>
    <row r="2871">
      <c r="G2871" s="7"/>
    </row>
    <row r="2872">
      <c r="G2872" s="7"/>
    </row>
    <row r="2873">
      <c r="G2873" s="7"/>
    </row>
    <row r="2874">
      <c r="G2874" s="7"/>
    </row>
    <row r="2875">
      <c r="G2875" s="7"/>
    </row>
    <row r="2876">
      <c r="G2876" s="7"/>
    </row>
    <row r="2877">
      <c r="G2877" s="7"/>
    </row>
    <row r="2878">
      <c r="G2878" s="7"/>
    </row>
    <row r="2879">
      <c r="G2879" s="7"/>
    </row>
    <row r="2880">
      <c r="G2880" s="7"/>
    </row>
    <row r="2881">
      <c r="G2881" s="7"/>
    </row>
    <row r="2882">
      <c r="G2882" s="7"/>
    </row>
    <row r="2883">
      <c r="G2883" s="7"/>
    </row>
    <row r="2884">
      <c r="G2884" s="7"/>
    </row>
    <row r="2885">
      <c r="G2885" s="7"/>
    </row>
    <row r="2886">
      <c r="G2886" s="7"/>
    </row>
    <row r="2887">
      <c r="G2887" s="7"/>
    </row>
    <row r="2888">
      <c r="G2888" s="7"/>
    </row>
    <row r="2889">
      <c r="G2889" s="7"/>
    </row>
    <row r="2890">
      <c r="G2890" s="7"/>
    </row>
    <row r="2891">
      <c r="G2891" s="7"/>
    </row>
    <row r="2892">
      <c r="G2892" s="7"/>
    </row>
    <row r="2893">
      <c r="G2893" s="7"/>
    </row>
    <row r="2894">
      <c r="G2894" s="7"/>
    </row>
    <row r="2895">
      <c r="G2895" s="7"/>
    </row>
    <row r="2896">
      <c r="G2896" s="7"/>
    </row>
    <row r="2897">
      <c r="G2897" s="7"/>
    </row>
    <row r="2898">
      <c r="G2898" s="7"/>
    </row>
    <row r="2899">
      <c r="G2899" s="7"/>
    </row>
    <row r="2900">
      <c r="G2900" s="7"/>
    </row>
    <row r="2901">
      <c r="G2901" s="7"/>
    </row>
    <row r="2902">
      <c r="G2902" s="7"/>
    </row>
    <row r="2903">
      <c r="G2903" s="7"/>
    </row>
    <row r="2904">
      <c r="G2904" s="7"/>
    </row>
    <row r="2905">
      <c r="G2905" s="7"/>
    </row>
    <row r="2906">
      <c r="G2906" s="7"/>
    </row>
    <row r="2907">
      <c r="G2907" s="7"/>
    </row>
    <row r="2908">
      <c r="G2908" s="7"/>
    </row>
    <row r="2909">
      <c r="G2909" s="7"/>
    </row>
    <row r="2910">
      <c r="G2910" s="7"/>
    </row>
    <row r="2911">
      <c r="G2911" s="7"/>
    </row>
    <row r="2912">
      <c r="G2912" s="7"/>
    </row>
    <row r="2913">
      <c r="G2913" s="7"/>
    </row>
    <row r="2914">
      <c r="G2914" s="7"/>
    </row>
    <row r="2915">
      <c r="G2915" s="7"/>
    </row>
    <row r="2916">
      <c r="G2916" s="7"/>
    </row>
    <row r="2917">
      <c r="G2917" s="7"/>
    </row>
    <row r="2918">
      <c r="G2918" s="7"/>
    </row>
    <row r="2919">
      <c r="G2919" s="7"/>
    </row>
    <row r="2920">
      <c r="G2920" s="7"/>
    </row>
    <row r="2921">
      <c r="G2921" s="7"/>
    </row>
    <row r="2922">
      <c r="G2922" s="7"/>
    </row>
    <row r="2923">
      <c r="G2923" s="7"/>
    </row>
    <row r="2924">
      <c r="G2924" s="7"/>
    </row>
    <row r="2925">
      <c r="G2925" s="7"/>
    </row>
    <row r="2926">
      <c r="G2926" s="7"/>
    </row>
    <row r="2927">
      <c r="G2927" s="7"/>
    </row>
    <row r="2928">
      <c r="G2928" s="7"/>
    </row>
    <row r="2929">
      <c r="G2929" s="7"/>
    </row>
    <row r="2930">
      <c r="G2930" s="7"/>
    </row>
    <row r="2931">
      <c r="G2931" s="7"/>
    </row>
    <row r="2932">
      <c r="G2932" s="7"/>
    </row>
    <row r="2933">
      <c r="G2933" s="7"/>
    </row>
    <row r="2934">
      <c r="G2934" s="7"/>
    </row>
    <row r="2935">
      <c r="G2935" s="7"/>
    </row>
    <row r="2936">
      <c r="G2936" s="7"/>
    </row>
    <row r="2937">
      <c r="G2937" s="7"/>
    </row>
    <row r="2938">
      <c r="G2938" s="7"/>
    </row>
    <row r="2939">
      <c r="G2939" s="7"/>
    </row>
    <row r="2940">
      <c r="G2940" s="7"/>
    </row>
    <row r="2941">
      <c r="G2941" s="7"/>
    </row>
    <row r="2942">
      <c r="G2942" s="7"/>
    </row>
    <row r="2943">
      <c r="G2943" s="7"/>
    </row>
    <row r="2944">
      <c r="G2944" s="7"/>
    </row>
    <row r="2945">
      <c r="G2945" s="7"/>
    </row>
    <row r="2946">
      <c r="G2946" s="7"/>
    </row>
    <row r="2947">
      <c r="G2947" s="7"/>
    </row>
    <row r="2948">
      <c r="G2948" s="7"/>
    </row>
    <row r="2949">
      <c r="G2949" s="7"/>
    </row>
    <row r="2950">
      <c r="G2950" s="7"/>
    </row>
    <row r="2951">
      <c r="G2951" s="7"/>
    </row>
    <row r="2952">
      <c r="G2952" s="7"/>
    </row>
    <row r="2953">
      <c r="G2953" s="7"/>
    </row>
    <row r="2954">
      <c r="G2954" s="7"/>
    </row>
    <row r="2955">
      <c r="G2955" s="7"/>
    </row>
    <row r="2956">
      <c r="G2956" s="7"/>
    </row>
    <row r="2957">
      <c r="G2957" s="7"/>
    </row>
    <row r="2958">
      <c r="G2958" s="7"/>
    </row>
    <row r="2959">
      <c r="G2959" s="7"/>
    </row>
    <row r="2960">
      <c r="G2960" s="7"/>
    </row>
    <row r="2961">
      <c r="G2961" s="7"/>
    </row>
    <row r="2962">
      <c r="G2962" s="7"/>
    </row>
    <row r="2963">
      <c r="G2963" s="7"/>
    </row>
    <row r="2964">
      <c r="G2964" s="7"/>
    </row>
    <row r="2965">
      <c r="G2965" s="7"/>
    </row>
    <row r="2966">
      <c r="G2966" s="7"/>
    </row>
    <row r="2967">
      <c r="G2967" s="7"/>
    </row>
    <row r="2968">
      <c r="G2968" s="7"/>
    </row>
    <row r="2969">
      <c r="G2969" s="7"/>
    </row>
    <row r="2970">
      <c r="G2970" s="7"/>
    </row>
    <row r="2971">
      <c r="G2971" s="7"/>
    </row>
    <row r="2972">
      <c r="G2972" s="7"/>
    </row>
    <row r="2973">
      <c r="G2973" s="7"/>
    </row>
    <row r="2974">
      <c r="G2974" s="7"/>
    </row>
    <row r="2975">
      <c r="G2975" s="7"/>
    </row>
    <row r="2976">
      <c r="G2976" s="7"/>
    </row>
    <row r="2977">
      <c r="G2977" s="7"/>
    </row>
    <row r="2978">
      <c r="G2978" s="7"/>
    </row>
    <row r="2979">
      <c r="G2979" s="7"/>
    </row>
    <row r="2980">
      <c r="G2980" s="7"/>
    </row>
    <row r="2981">
      <c r="G2981" s="7"/>
    </row>
    <row r="2982">
      <c r="G2982" s="7"/>
    </row>
    <row r="2983">
      <c r="G2983" s="7"/>
    </row>
    <row r="2984">
      <c r="G2984" s="7"/>
    </row>
    <row r="2985">
      <c r="G2985" s="7"/>
    </row>
    <row r="2986">
      <c r="G2986" s="7"/>
    </row>
    <row r="2987">
      <c r="G2987" s="7"/>
    </row>
    <row r="2988">
      <c r="G2988" s="7"/>
    </row>
    <row r="2989">
      <c r="G2989" s="7"/>
    </row>
    <row r="2990">
      <c r="G2990" s="7"/>
    </row>
    <row r="2991">
      <c r="G2991" s="7"/>
    </row>
    <row r="2992">
      <c r="G2992" s="7"/>
    </row>
    <row r="2993">
      <c r="G2993" s="7"/>
    </row>
    <row r="2994">
      <c r="G2994" s="7"/>
    </row>
    <row r="2995">
      <c r="G2995" s="7"/>
    </row>
    <row r="2996">
      <c r="G2996" s="7"/>
    </row>
    <row r="2997">
      <c r="G2997" s="7"/>
    </row>
    <row r="2998">
      <c r="G2998" s="7"/>
    </row>
    <row r="2999">
      <c r="G2999" s="7"/>
    </row>
    <row r="3000">
      <c r="G3000" s="7"/>
    </row>
    <row r="3001">
      <c r="G3001" s="7"/>
    </row>
    <row r="3002">
      <c r="G3002" s="7"/>
    </row>
    <row r="3003">
      <c r="G3003" s="7"/>
    </row>
    <row r="3004">
      <c r="G3004" s="7"/>
    </row>
    <row r="3005">
      <c r="G3005" s="7"/>
    </row>
    <row r="3006">
      <c r="G3006" s="7"/>
    </row>
    <row r="3007">
      <c r="G3007" s="7"/>
    </row>
    <row r="3008">
      <c r="G3008" s="7"/>
    </row>
    <row r="3009">
      <c r="G3009" s="7"/>
    </row>
    <row r="3010">
      <c r="G3010" s="7"/>
    </row>
    <row r="3011">
      <c r="G3011" s="7"/>
    </row>
    <row r="3012">
      <c r="G3012" s="7"/>
    </row>
    <row r="3013">
      <c r="G3013" s="7"/>
    </row>
    <row r="3014">
      <c r="G3014" s="7"/>
    </row>
    <row r="3015">
      <c r="G3015" s="7"/>
    </row>
    <row r="3016">
      <c r="G3016" s="7"/>
    </row>
    <row r="3017">
      <c r="G3017" s="7"/>
    </row>
    <row r="3018">
      <c r="G3018" s="7"/>
    </row>
    <row r="3019">
      <c r="G3019" s="7"/>
    </row>
    <row r="3020">
      <c r="G3020" s="7"/>
    </row>
    <row r="3021">
      <c r="G3021" s="7"/>
    </row>
    <row r="3022">
      <c r="G3022" s="7"/>
    </row>
    <row r="3023">
      <c r="G3023" s="7"/>
    </row>
    <row r="3024">
      <c r="G3024" s="7"/>
    </row>
    <row r="3025">
      <c r="G3025" s="7"/>
    </row>
    <row r="3026">
      <c r="G3026" s="7"/>
    </row>
    <row r="3027">
      <c r="G3027" s="7"/>
    </row>
    <row r="3028">
      <c r="G3028" s="7"/>
    </row>
    <row r="3029">
      <c r="G3029" s="7"/>
    </row>
    <row r="3030">
      <c r="G3030" s="7"/>
    </row>
    <row r="3031">
      <c r="G3031" s="7"/>
    </row>
    <row r="3032">
      <c r="G3032" s="7"/>
    </row>
    <row r="3033">
      <c r="G3033" s="7"/>
    </row>
    <row r="3034">
      <c r="G3034" s="7"/>
    </row>
    <row r="3035">
      <c r="G3035" s="7"/>
    </row>
    <row r="3036">
      <c r="G3036" s="7"/>
    </row>
    <row r="3037">
      <c r="G3037" s="7"/>
    </row>
    <row r="3038">
      <c r="G3038" s="7"/>
    </row>
    <row r="3039">
      <c r="G3039" s="7"/>
    </row>
    <row r="3040">
      <c r="G3040" s="7"/>
    </row>
    <row r="3041">
      <c r="G3041" s="7"/>
    </row>
    <row r="3042">
      <c r="G3042" s="7"/>
    </row>
    <row r="3043">
      <c r="G3043" s="7"/>
    </row>
    <row r="3044">
      <c r="G3044" s="7"/>
    </row>
    <row r="3045">
      <c r="G3045" s="7"/>
    </row>
    <row r="3046">
      <c r="G3046" s="7"/>
    </row>
    <row r="3047">
      <c r="G3047" s="7"/>
    </row>
    <row r="3048">
      <c r="G3048" s="7"/>
    </row>
    <row r="3049">
      <c r="G3049" s="7"/>
    </row>
    <row r="3050">
      <c r="G3050" s="7"/>
    </row>
    <row r="3051">
      <c r="G3051" s="7"/>
    </row>
    <row r="3052">
      <c r="G3052" s="7"/>
    </row>
    <row r="3053">
      <c r="G3053" s="7"/>
    </row>
    <row r="3054">
      <c r="G3054" s="7"/>
    </row>
    <row r="3055">
      <c r="G3055" s="7"/>
    </row>
    <row r="3056">
      <c r="G3056" s="7"/>
    </row>
    <row r="3057">
      <c r="G3057" s="7"/>
    </row>
    <row r="3058">
      <c r="G3058" s="7"/>
    </row>
    <row r="3059">
      <c r="G3059" s="7"/>
    </row>
    <row r="3060">
      <c r="G3060" s="7"/>
    </row>
    <row r="3061">
      <c r="G3061" s="7"/>
    </row>
    <row r="3062">
      <c r="G3062" s="7"/>
    </row>
    <row r="3063">
      <c r="G3063" s="7"/>
    </row>
    <row r="3064">
      <c r="G3064" s="7"/>
    </row>
    <row r="3065">
      <c r="G3065" s="7"/>
    </row>
    <row r="3066">
      <c r="G3066" s="7"/>
    </row>
    <row r="3067">
      <c r="G3067" s="7"/>
    </row>
    <row r="3068">
      <c r="G3068" s="7"/>
    </row>
    <row r="3069">
      <c r="G3069" s="7"/>
    </row>
    <row r="3070">
      <c r="G3070" s="7"/>
    </row>
    <row r="3071">
      <c r="G3071" s="7"/>
    </row>
    <row r="3072">
      <c r="G3072" s="7"/>
    </row>
    <row r="3073">
      <c r="G3073" s="7"/>
    </row>
    <row r="3074">
      <c r="G3074" s="7"/>
    </row>
    <row r="3075">
      <c r="G3075" s="7"/>
    </row>
    <row r="3076">
      <c r="G3076" s="7"/>
    </row>
    <row r="3077">
      <c r="G3077" s="7"/>
    </row>
    <row r="3078">
      <c r="G3078" s="7"/>
    </row>
    <row r="3079">
      <c r="G3079" s="7"/>
    </row>
    <row r="3080">
      <c r="G3080" s="7"/>
    </row>
    <row r="3081">
      <c r="G3081" s="7"/>
    </row>
    <row r="3082">
      <c r="G3082" s="7"/>
    </row>
    <row r="3083">
      <c r="G3083" s="7"/>
    </row>
    <row r="3084">
      <c r="G3084" s="7"/>
    </row>
    <row r="3085">
      <c r="G3085" s="7"/>
    </row>
    <row r="3086">
      <c r="G3086" s="7"/>
    </row>
    <row r="3087">
      <c r="G3087" s="7"/>
    </row>
    <row r="3088">
      <c r="G3088" s="7"/>
    </row>
    <row r="3089">
      <c r="G3089" s="7"/>
    </row>
    <row r="3090">
      <c r="G3090" s="7"/>
    </row>
    <row r="3091">
      <c r="G3091" s="7"/>
    </row>
    <row r="3092">
      <c r="G3092" s="7"/>
    </row>
    <row r="3093">
      <c r="G3093" s="7"/>
    </row>
    <row r="3094">
      <c r="G3094" s="7"/>
    </row>
    <row r="3095">
      <c r="G3095" s="7"/>
    </row>
    <row r="3096">
      <c r="G3096" s="7"/>
    </row>
    <row r="3097">
      <c r="G3097" s="7"/>
    </row>
    <row r="3098">
      <c r="G3098" s="7"/>
    </row>
    <row r="3099">
      <c r="G3099" s="7"/>
    </row>
    <row r="3100">
      <c r="G3100" s="7"/>
    </row>
    <row r="3101">
      <c r="G3101" s="7"/>
    </row>
    <row r="3102">
      <c r="G3102" s="7"/>
    </row>
    <row r="3103">
      <c r="G3103" s="7"/>
    </row>
    <row r="3104">
      <c r="G3104" s="7"/>
    </row>
    <row r="3105">
      <c r="G3105" s="7"/>
    </row>
    <row r="3106">
      <c r="G3106" s="7"/>
    </row>
    <row r="3107">
      <c r="G3107" s="7"/>
    </row>
    <row r="3108">
      <c r="G3108" s="7"/>
    </row>
    <row r="3109">
      <c r="G3109" s="7"/>
    </row>
    <row r="3110">
      <c r="G3110" s="7"/>
    </row>
    <row r="3111">
      <c r="G3111" s="7"/>
    </row>
    <row r="3112">
      <c r="G3112" s="7"/>
    </row>
    <row r="3113">
      <c r="G3113" s="7"/>
    </row>
    <row r="3114">
      <c r="G3114" s="7"/>
    </row>
    <row r="3115">
      <c r="G3115" s="7"/>
    </row>
    <row r="3116">
      <c r="G3116" s="7"/>
    </row>
    <row r="3117">
      <c r="G3117" s="7"/>
    </row>
    <row r="3118">
      <c r="G3118" s="7"/>
    </row>
    <row r="3119">
      <c r="G3119" s="7"/>
    </row>
    <row r="3120">
      <c r="G3120" s="7"/>
    </row>
    <row r="3121">
      <c r="G3121" s="7"/>
    </row>
    <row r="3122">
      <c r="G3122" s="7"/>
    </row>
    <row r="3123">
      <c r="G3123" s="7"/>
    </row>
    <row r="3124">
      <c r="G3124" s="7"/>
    </row>
    <row r="3125">
      <c r="G3125" s="7"/>
    </row>
    <row r="3126">
      <c r="G3126" s="7"/>
    </row>
    <row r="3127">
      <c r="G3127" s="7"/>
    </row>
    <row r="3128">
      <c r="G3128" s="7"/>
    </row>
    <row r="3129">
      <c r="G3129" s="7"/>
    </row>
    <row r="3130">
      <c r="G3130" s="7"/>
    </row>
    <row r="3131">
      <c r="G3131" s="7"/>
    </row>
    <row r="3132">
      <c r="G3132" s="7"/>
    </row>
    <row r="3133">
      <c r="G3133" s="7"/>
    </row>
    <row r="3134">
      <c r="G3134" s="7"/>
    </row>
    <row r="3135">
      <c r="G3135" s="7"/>
    </row>
    <row r="3136">
      <c r="G3136" s="7"/>
    </row>
    <row r="3137">
      <c r="G3137" s="7"/>
    </row>
    <row r="3138">
      <c r="G3138" s="7"/>
    </row>
    <row r="3139">
      <c r="G3139" s="7"/>
    </row>
    <row r="3140">
      <c r="G3140" s="7"/>
    </row>
    <row r="3141">
      <c r="G3141" s="7"/>
    </row>
    <row r="3142">
      <c r="G3142" s="7"/>
    </row>
    <row r="3143">
      <c r="G3143" s="7"/>
    </row>
    <row r="3144">
      <c r="G3144" s="7"/>
    </row>
    <row r="3145">
      <c r="G3145" s="7"/>
    </row>
    <row r="3146">
      <c r="G3146" s="7"/>
    </row>
    <row r="3147">
      <c r="G3147" s="7"/>
    </row>
    <row r="3148">
      <c r="G3148" s="7"/>
    </row>
    <row r="3149">
      <c r="G3149" s="7"/>
    </row>
    <row r="3150">
      <c r="G3150" s="7"/>
    </row>
    <row r="3151">
      <c r="G3151" s="7"/>
    </row>
    <row r="3152">
      <c r="G3152" s="7"/>
    </row>
    <row r="3153">
      <c r="G3153" s="7"/>
    </row>
    <row r="3154">
      <c r="G3154" s="7"/>
    </row>
    <row r="3155">
      <c r="G3155" s="7"/>
    </row>
    <row r="3156">
      <c r="G3156" s="7"/>
    </row>
    <row r="3157">
      <c r="G3157" s="7"/>
    </row>
    <row r="3158">
      <c r="G3158" s="7"/>
    </row>
    <row r="3159">
      <c r="G3159" s="7"/>
    </row>
    <row r="3160">
      <c r="G3160" s="7"/>
    </row>
    <row r="3161">
      <c r="G3161" s="7"/>
    </row>
    <row r="3162">
      <c r="G3162" s="7"/>
    </row>
    <row r="3163">
      <c r="G3163" s="7"/>
    </row>
    <row r="3164">
      <c r="G3164" s="7"/>
    </row>
    <row r="3165">
      <c r="G3165" s="7"/>
    </row>
    <row r="3166">
      <c r="G3166" s="7"/>
    </row>
    <row r="3167">
      <c r="G3167" s="7"/>
    </row>
    <row r="3168">
      <c r="G3168" s="7"/>
    </row>
    <row r="3169">
      <c r="G3169" s="7"/>
    </row>
    <row r="3170">
      <c r="G3170" s="7"/>
    </row>
    <row r="3171">
      <c r="G3171" s="7"/>
    </row>
    <row r="3172">
      <c r="G3172" s="7"/>
    </row>
    <row r="3173">
      <c r="G3173" s="7"/>
    </row>
    <row r="3174">
      <c r="G3174" s="7"/>
    </row>
    <row r="3175">
      <c r="G3175" s="7"/>
    </row>
    <row r="3176">
      <c r="G3176" s="7"/>
    </row>
    <row r="3177">
      <c r="G3177" s="7"/>
    </row>
    <row r="3178">
      <c r="G3178" s="7"/>
    </row>
    <row r="3179">
      <c r="G3179" s="7"/>
    </row>
    <row r="3180">
      <c r="G3180" s="7"/>
    </row>
    <row r="3181">
      <c r="G3181" s="7"/>
    </row>
    <row r="3182">
      <c r="G3182" s="7"/>
    </row>
    <row r="3183">
      <c r="G3183" s="7"/>
    </row>
    <row r="3184">
      <c r="G3184" s="7"/>
    </row>
    <row r="3185">
      <c r="G3185" s="7"/>
    </row>
    <row r="3186">
      <c r="G3186" s="7"/>
    </row>
    <row r="3187">
      <c r="G3187" s="7"/>
    </row>
    <row r="3188">
      <c r="G3188" s="7"/>
    </row>
    <row r="3189">
      <c r="G3189" s="7"/>
    </row>
    <row r="3190">
      <c r="G3190" s="7"/>
    </row>
    <row r="3191">
      <c r="G3191" s="7"/>
    </row>
    <row r="3192">
      <c r="G3192" s="7"/>
    </row>
    <row r="3193">
      <c r="G3193" s="7"/>
    </row>
    <row r="3194">
      <c r="G3194" s="7"/>
    </row>
    <row r="3195">
      <c r="G3195" s="7"/>
    </row>
    <row r="3196">
      <c r="G3196" s="7"/>
    </row>
    <row r="3197">
      <c r="G3197" s="7"/>
    </row>
    <row r="3198">
      <c r="G3198" s="7"/>
    </row>
    <row r="3199">
      <c r="G3199" s="7"/>
    </row>
    <row r="3200">
      <c r="G3200" s="7"/>
    </row>
    <row r="3201">
      <c r="G3201" s="7"/>
    </row>
    <row r="3202">
      <c r="G3202" s="7"/>
    </row>
    <row r="3203">
      <c r="G3203" s="7"/>
    </row>
    <row r="3204">
      <c r="G3204" s="7"/>
    </row>
    <row r="3205">
      <c r="G3205" s="7"/>
    </row>
    <row r="3206">
      <c r="G3206" s="7"/>
    </row>
    <row r="3207">
      <c r="G3207" s="7"/>
    </row>
    <row r="3208">
      <c r="G3208" s="7"/>
    </row>
    <row r="3209">
      <c r="G3209" s="7"/>
    </row>
    <row r="3210">
      <c r="G3210" s="7"/>
    </row>
    <row r="3211">
      <c r="G3211" s="7"/>
    </row>
    <row r="3212">
      <c r="G3212" s="7"/>
    </row>
    <row r="3213">
      <c r="G3213" s="7"/>
    </row>
    <row r="3214">
      <c r="G3214" s="7"/>
    </row>
    <row r="3215">
      <c r="G3215" s="7"/>
    </row>
    <row r="3216">
      <c r="G3216" s="7"/>
    </row>
    <row r="3217">
      <c r="G3217" s="7"/>
    </row>
    <row r="3218">
      <c r="G3218" s="7"/>
    </row>
    <row r="3219">
      <c r="G3219" s="7"/>
    </row>
    <row r="3220">
      <c r="G3220" s="7"/>
    </row>
    <row r="3221">
      <c r="G3221" s="7"/>
    </row>
    <row r="3222">
      <c r="G3222" s="7"/>
    </row>
    <row r="3223">
      <c r="G3223" s="7"/>
    </row>
    <row r="3224">
      <c r="G3224" s="7"/>
    </row>
    <row r="3225">
      <c r="G3225" s="7"/>
    </row>
    <row r="3226">
      <c r="G3226" s="7"/>
    </row>
    <row r="3227">
      <c r="G3227" s="7"/>
    </row>
    <row r="3228">
      <c r="G3228" s="7"/>
    </row>
    <row r="3229">
      <c r="G3229" s="7"/>
    </row>
    <row r="3230">
      <c r="G3230" s="7"/>
    </row>
    <row r="3231">
      <c r="G3231" s="7"/>
    </row>
    <row r="3232">
      <c r="G3232" s="7"/>
    </row>
    <row r="3233">
      <c r="G3233" s="7"/>
    </row>
    <row r="3234">
      <c r="G3234" s="7"/>
    </row>
    <row r="3235">
      <c r="G3235" s="7"/>
    </row>
    <row r="3236">
      <c r="G3236" s="7"/>
    </row>
    <row r="3237">
      <c r="G3237" s="7"/>
    </row>
    <row r="3238">
      <c r="G3238" s="7"/>
    </row>
    <row r="3239">
      <c r="G3239" s="7"/>
    </row>
    <row r="3240">
      <c r="G3240" s="7"/>
    </row>
    <row r="3241">
      <c r="G3241" s="7"/>
    </row>
    <row r="3242">
      <c r="G3242" s="7"/>
    </row>
    <row r="3243">
      <c r="G3243" s="7"/>
    </row>
    <row r="3244">
      <c r="G3244" s="7"/>
    </row>
    <row r="3245">
      <c r="G3245" s="7"/>
    </row>
    <row r="3246">
      <c r="G3246" s="7"/>
    </row>
    <row r="3247">
      <c r="G3247" s="7"/>
    </row>
    <row r="3248">
      <c r="G3248" s="7"/>
    </row>
    <row r="3249">
      <c r="G3249" s="7"/>
    </row>
    <row r="3250">
      <c r="G3250" s="7"/>
    </row>
    <row r="3251">
      <c r="G3251" s="7"/>
    </row>
    <row r="3252">
      <c r="G3252" s="7"/>
    </row>
    <row r="3253">
      <c r="G3253" s="7"/>
    </row>
    <row r="3254">
      <c r="G3254" s="7"/>
    </row>
    <row r="3255">
      <c r="G3255" s="7"/>
    </row>
    <row r="3256">
      <c r="G3256" s="7"/>
    </row>
    <row r="3257">
      <c r="G3257" s="7"/>
    </row>
    <row r="3258">
      <c r="G3258" s="7"/>
    </row>
    <row r="3259">
      <c r="G3259" s="7"/>
    </row>
    <row r="3260">
      <c r="G3260" s="7"/>
    </row>
    <row r="3261">
      <c r="G3261" s="7"/>
    </row>
    <row r="3262">
      <c r="G3262" s="7"/>
    </row>
    <row r="3263">
      <c r="G3263" s="7"/>
    </row>
    <row r="3264">
      <c r="G3264" s="7"/>
    </row>
    <row r="3265">
      <c r="G3265" s="7"/>
    </row>
    <row r="3266">
      <c r="G3266" s="7"/>
    </row>
    <row r="3267">
      <c r="G3267" s="7"/>
    </row>
    <row r="3268">
      <c r="G3268" s="7"/>
    </row>
    <row r="3269">
      <c r="G3269" s="7"/>
    </row>
    <row r="3270">
      <c r="G3270" s="7"/>
    </row>
    <row r="3271">
      <c r="G3271" s="7"/>
    </row>
    <row r="3272">
      <c r="G3272" s="7"/>
    </row>
    <row r="3273">
      <c r="G3273" s="7"/>
    </row>
    <row r="3274">
      <c r="G3274" s="7"/>
    </row>
    <row r="3275">
      <c r="G3275" s="7"/>
    </row>
    <row r="3276">
      <c r="G3276" s="7"/>
    </row>
    <row r="3277">
      <c r="G3277" s="7"/>
    </row>
    <row r="3278">
      <c r="G3278" s="7"/>
    </row>
    <row r="3279">
      <c r="G3279" s="7"/>
    </row>
    <row r="3280">
      <c r="G3280" s="7"/>
    </row>
    <row r="3281">
      <c r="G3281" s="7"/>
    </row>
    <row r="3282">
      <c r="G3282" s="7"/>
    </row>
    <row r="3283">
      <c r="G3283" s="7"/>
    </row>
    <row r="3284">
      <c r="G3284" s="7"/>
    </row>
    <row r="3285">
      <c r="G3285" s="7"/>
    </row>
    <row r="3286">
      <c r="G3286" s="7"/>
    </row>
    <row r="3287">
      <c r="G3287" s="7"/>
    </row>
    <row r="3288">
      <c r="G3288" s="7"/>
    </row>
    <row r="3289">
      <c r="G3289" s="7"/>
    </row>
    <row r="3290">
      <c r="G3290" s="7"/>
    </row>
    <row r="3291">
      <c r="G3291" s="7"/>
    </row>
    <row r="3292">
      <c r="G3292" s="7"/>
    </row>
    <row r="3293">
      <c r="G3293" s="7"/>
    </row>
    <row r="3294">
      <c r="G3294" s="7"/>
    </row>
    <row r="3295">
      <c r="G3295" s="7"/>
    </row>
    <row r="3296">
      <c r="G3296" s="7"/>
    </row>
    <row r="3297">
      <c r="G3297" s="7"/>
    </row>
    <row r="3298">
      <c r="G3298" s="7"/>
    </row>
    <row r="3299">
      <c r="G3299" s="7"/>
    </row>
    <row r="3300">
      <c r="G3300" s="7"/>
    </row>
    <row r="3301">
      <c r="G3301" s="7"/>
    </row>
    <row r="3302">
      <c r="G3302" s="7"/>
    </row>
    <row r="3303">
      <c r="G3303" s="7"/>
    </row>
    <row r="3304">
      <c r="G3304" s="7"/>
    </row>
    <row r="3305">
      <c r="G3305" s="7"/>
    </row>
    <row r="3306">
      <c r="G3306" s="7"/>
    </row>
    <row r="3307">
      <c r="G3307" s="7"/>
    </row>
    <row r="3308">
      <c r="G3308" s="7"/>
    </row>
    <row r="3309">
      <c r="G3309" s="7"/>
    </row>
    <row r="3310">
      <c r="G3310" s="7"/>
    </row>
    <row r="3311">
      <c r="G3311" s="7"/>
    </row>
    <row r="3312">
      <c r="G3312" s="7"/>
    </row>
    <row r="3313">
      <c r="G3313" s="7"/>
    </row>
    <row r="3314">
      <c r="G3314" s="7"/>
    </row>
    <row r="3315">
      <c r="G3315" s="7"/>
    </row>
    <row r="3316">
      <c r="G3316" s="7"/>
    </row>
    <row r="3317">
      <c r="G3317" s="7"/>
    </row>
    <row r="3318">
      <c r="G3318" s="7"/>
    </row>
    <row r="3319">
      <c r="G3319" s="7"/>
    </row>
    <row r="3320">
      <c r="G3320" s="7"/>
    </row>
    <row r="3321">
      <c r="G3321" s="7"/>
    </row>
    <row r="3322">
      <c r="G3322" s="7"/>
    </row>
    <row r="3323">
      <c r="G3323" s="7"/>
    </row>
    <row r="3324">
      <c r="G3324" s="7"/>
    </row>
    <row r="3325">
      <c r="G3325" s="7"/>
    </row>
    <row r="3326">
      <c r="G3326" s="7"/>
    </row>
    <row r="3327">
      <c r="G3327" s="7"/>
    </row>
    <row r="3328">
      <c r="G3328" s="7"/>
    </row>
    <row r="3329">
      <c r="G3329" s="7"/>
    </row>
    <row r="3330">
      <c r="G3330" s="7"/>
    </row>
    <row r="3331">
      <c r="G3331" s="7"/>
    </row>
    <row r="3332">
      <c r="G3332" s="7"/>
    </row>
    <row r="3333">
      <c r="G3333" s="7"/>
    </row>
    <row r="3334">
      <c r="G3334" s="7"/>
    </row>
    <row r="3335">
      <c r="G3335" s="7"/>
    </row>
    <row r="3336">
      <c r="G3336" s="7"/>
    </row>
    <row r="3337">
      <c r="G3337" s="7"/>
    </row>
    <row r="3338">
      <c r="G3338" s="7"/>
    </row>
    <row r="3339">
      <c r="G3339" s="7"/>
    </row>
    <row r="3340">
      <c r="G3340" s="7"/>
    </row>
    <row r="3341">
      <c r="G3341" s="7"/>
    </row>
    <row r="3342">
      <c r="G3342" s="7"/>
    </row>
    <row r="3343">
      <c r="G3343" s="7"/>
    </row>
    <row r="3344">
      <c r="G3344" s="7"/>
    </row>
    <row r="3345">
      <c r="G3345" s="7"/>
    </row>
    <row r="3346">
      <c r="G3346" s="7"/>
    </row>
    <row r="3347">
      <c r="G3347" s="7"/>
    </row>
    <row r="3348">
      <c r="G3348" s="7"/>
    </row>
    <row r="3349">
      <c r="G3349" s="7"/>
    </row>
    <row r="3350">
      <c r="G3350" s="7"/>
    </row>
    <row r="3351">
      <c r="G3351" s="7"/>
    </row>
    <row r="3352">
      <c r="G3352" s="7"/>
    </row>
    <row r="3353">
      <c r="G3353" s="7"/>
    </row>
    <row r="3354">
      <c r="G3354" s="7"/>
    </row>
    <row r="3355">
      <c r="G3355" s="7"/>
    </row>
    <row r="3356">
      <c r="G3356" s="7"/>
    </row>
    <row r="3357">
      <c r="G3357" s="7"/>
    </row>
    <row r="3358">
      <c r="G3358" s="7"/>
    </row>
    <row r="3359">
      <c r="G3359" s="7"/>
    </row>
    <row r="3360">
      <c r="G3360" s="7"/>
    </row>
    <row r="3361">
      <c r="G3361" s="7"/>
    </row>
    <row r="3362">
      <c r="G3362" s="7"/>
    </row>
    <row r="3363">
      <c r="G3363" s="7"/>
    </row>
    <row r="3364">
      <c r="G3364" s="7"/>
    </row>
    <row r="3365">
      <c r="G3365" s="7"/>
    </row>
    <row r="3366">
      <c r="G3366" s="7"/>
    </row>
    <row r="3367">
      <c r="G3367" s="7"/>
    </row>
    <row r="3368">
      <c r="G3368" s="7"/>
    </row>
    <row r="3369">
      <c r="G3369" s="7"/>
    </row>
    <row r="3370">
      <c r="G3370" s="7"/>
    </row>
    <row r="3371">
      <c r="G3371" s="7"/>
    </row>
    <row r="3372">
      <c r="G3372" s="7"/>
    </row>
    <row r="3373">
      <c r="G3373" s="7"/>
    </row>
    <row r="3374">
      <c r="G3374" s="7"/>
    </row>
    <row r="3375">
      <c r="G3375" s="7"/>
    </row>
    <row r="3376">
      <c r="G3376" s="7"/>
    </row>
    <row r="3377">
      <c r="G3377" s="7"/>
    </row>
    <row r="3378">
      <c r="G3378" s="7"/>
    </row>
    <row r="3379">
      <c r="G3379" s="7"/>
    </row>
    <row r="3380">
      <c r="G3380" s="7"/>
    </row>
    <row r="3381">
      <c r="G3381" s="7"/>
    </row>
    <row r="3382">
      <c r="G3382" s="7"/>
    </row>
    <row r="3383">
      <c r="G3383" s="7"/>
    </row>
    <row r="3384">
      <c r="G3384" s="7"/>
    </row>
    <row r="3385">
      <c r="G3385" s="7"/>
    </row>
    <row r="3386">
      <c r="G3386" s="7"/>
    </row>
    <row r="3387">
      <c r="G3387" s="7"/>
    </row>
    <row r="3388">
      <c r="G3388" s="7"/>
    </row>
    <row r="3389">
      <c r="G3389" s="7"/>
    </row>
    <row r="3390">
      <c r="G3390" s="7"/>
    </row>
    <row r="3391">
      <c r="G3391" s="7"/>
    </row>
    <row r="3392">
      <c r="G3392" s="7"/>
    </row>
    <row r="3393">
      <c r="G3393" s="7"/>
    </row>
    <row r="3394">
      <c r="G3394" s="7"/>
    </row>
    <row r="3395">
      <c r="G3395" s="7"/>
    </row>
    <row r="3396">
      <c r="G3396" s="7"/>
    </row>
    <row r="3397">
      <c r="G3397" s="7"/>
    </row>
    <row r="3398">
      <c r="G3398" s="7"/>
    </row>
    <row r="3399">
      <c r="G3399" s="7"/>
    </row>
    <row r="3400">
      <c r="G3400" s="7"/>
    </row>
    <row r="3401">
      <c r="G3401" s="7"/>
    </row>
    <row r="3402">
      <c r="G3402" s="7"/>
    </row>
    <row r="3403">
      <c r="G3403" s="7"/>
    </row>
    <row r="3404">
      <c r="G3404" s="7"/>
    </row>
    <row r="3405">
      <c r="G3405" s="7"/>
    </row>
    <row r="3406">
      <c r="G3406" s="7"/>
    </row>
    <row r="3407">
      <c r="G3407" s="7"/>
    </row>
    <row r="3408">
      <c r="G3408" s="7"/>
    </row>
    <row r="3409">
      <c r="G3409" s="7"/>
    </row>
    <row r="3410">
      <c r="G3410" s="7"/>
    </row>
    <row r="3411">
      <c r="G3411" s="7"/>
    </row>
    <row r="3412">
      <c r="G3412" s="7"/>
    </row>
    <row r="3413">
      <c r="G3413" s="7"/>
    </row>
    <row r="3414">
      <c r="G3414" s="7"/>
    </row>
    <row r="3415">
      <c r="G3415" s="7"/>
    </row>
    <row r="3416">
      <c r="G3416" s="7"/>
    </row>
    <row r="3417">
      <c r="G3417" s="7"/>
    </row>
    <row r="3418">
      <c r="G3418" s="7"/>
    </row>
    <row r="3419">
      <c r="G3419" s="7"/>
    </row>
    <row r="3420">
      <c r="G3420" s="7"/>
    </row>
    <row r="3421">
      <c r="G3421" s="7"/>
    </row>
    <row r="3422">
      <c r="G3422" s="7"/>
    </row>
    <row r="3423">
      <c r="G3423" s="7"/>
    </row>
    <row r="3424">
      <c r="G3424" s="7"/>
    </row>
    <row r="3425">
      <c r="G3425" s="7"/>
    </row>
    <row r="3426">
      <c r="G3426" s="7"/>
    </row>
    <row r="3427">
      <c r="G3427" s="7"/>
    </row>
    <row r="3428">
      <c r="G3428" s="7"/>
    </row>
    <row r="3429">
      <c r="G3429" s="7"/>
    </row>
    <row r="3430">
      <c r="G3430" s="7"/>
    </row>
    <row r="3431">
      <c r="G3431" s="7"/>
    </row>
    <row r="3432">
      <c r="G3432" s="7"/>
    </row>
    <row r="3433">
      <c r="G3433" s="7"/>
    </row>
    <row r="3434">
      <c r="G3434" s="7"/>
    </row>
    <row r="3435">
      <c r="G3435" s="7"/>
    </row>
    <row r="3436">
      <c r="G3436" s="7"/>
    </row>
    <row r="3437">
      <c r="G3437" s="7"/>
    </row>
    <row r="3438">
      <c r="G3438" s="7"/>
    </row>
    <row r="3439">
      <c r="G3439" s="7"/>
    </row>
    <row r="3440">
      <c r="G3440" s="7"/>
    </row>
    <row r="3441">
      <c r="G3441" s="7"/>
    </row>
    <row r="3442">
      <c r="G3442" s="7"/>
    </row>
    <row r="3443">
      <c r="G3443" s="7"/>
    </row>
    <row r="3444">
      <c r="G3444" s="7"/>
    </row>
    <row r="3445">
      <c r="G3445" s="7"/>
    </row>
    <row r="3446">
      <c r="G3446" s="7"/>
    </row>
    <row r="3447">
      <c r="G3447" s="7"/>
    </row>
    <row r="3448">
      <c r="G3448" s="7"/>
    </row>
    <row r="3449">
      <c r="G3449" s="7"/>
    </row>
    <row r="3450">
      <c r="G3450" s="7"/>
    </row>
    <row r="3451">
      <c r="G3451" s="7"/>
    </row>
    <row r="3452">
      <c r="G3452" s="7"/>
    </row>
    <row r="3453">
      <c r="G3453" s="7"/>
    </row>
    <row r="3454">
      <c r="G3454" s="7"/>
    </row>
    <row r="3455">
      <c r="G3455" s="7"/>
    </row>
    <row r="3456">
      <c r="G3456" s="7"/>
    </row>
    <row r="3457">
      <c r="G3457" s="7"/>
    </row>
    <row r="3458">
      <c r="G3458" s="7"/>
    </row>
    <row r="3459">
      <c r="G3459" s="7"/>
    </row>
    <row r="3460">
      <c r="G3460" s="7"/>
    </row>
    <row r="3461">
      <c r="G3461" s="7"/>
    </row>
    <row r="3462">
      <c r="G3462" s="7"/>
    </row>
    <row r="3463">
      <c r="G3463" s="7"/>
    </row>
    <row r="3464">
      <c r="G3464" s="7"/>
    </row>
    <row r="3465">
      <c r="G3465" s="7"/>
    </row>
    <row r="3466">
      <c r="G3466" s="7"/>
    </row>
    <row r="3467">
      <c r="G3467" s="7"/>
    </row>
    <row r="3468">
      <c r="G3468" s="7"/>
    </row>
    <row r="3469">
      <c r="G3469" s="7"/>
    </row>
    <row r="3470">
      <c r="G3470" s="7"/>
    </row>
    <row r="3471">
      <c r="G3471" s="7"/>
    </row>
    <row r="3472">
      <c r="G3472" s="7"/>
    </row>
    <row r="3473">
      <c r="G3473" s="7"/>
    </row>
    <row r="3474">
      <c r="G3474" s="7"/>
    </row>
    <row r="3475">
      <c r="G3475" s="7"/>
    </row>
    <row r="3476">
      <c r="G3476" s="7"/>
    </row>
    <row r="3477">
      <c r="G3477" s="7"/>
    </row>
    <row r="3478">
      <c r="G3478" s="7"/>
    </row>
    <row r="3479">
      <c r="G3479" s="7"/>
    </row>
    <row r="3480">
      <c r="G3480" s="7"/>
    </row>
    <row r="3481">
      <c r="G3481" s="7"/>
    </row>
    <row r="3482">
      <c r="G3482" s="7"/>
    </row>
    <row r="3483">
      <c r="G3483" s="7"/>
    </row>
    <row r="3484">
      <c r="G3484" s="7"/>
    </row>
    <row r="3485">
      <c r="G3485" s="7"/>
    </row>
    <row r="3486">
      <c r="G3486" s="7"/>
    </row>
    <row r="3487">
      <c r="G3487" s="7"/>
    </row>
    <row r="3488">
      <c r="G3488" s="7"/>
    </row>
    <row r="3489">
      <c r="G3489" s="7"/>
    </row>
    <row r="3490">
      <c r="G3490" s="7"/>
    </row>
    <row r="3491">
      <c r="G3491" s="7"/>
    </row>
    <row r="3492">
      <c r="G3492" s="7"/>
    </row>
    <row r="3493">
      <c r="G3493" s="7"/>
    </row>
    <row r="3494">
      <c r="G3494" s="7"/>
    </row>
    <row r="3495">
      <c r="G3495" s="7"/>
    </row>
    <row r="3496">
      <c r="G3496" s="7"/>
    </row>
    <row r="3497">
      <c r="G3497" s="7"/>
    </row>
    <row r="3498">
      <c r="G3498" s="7"/>
    </row>
    <row r="3499">
      <c r="G3499" s="7"/>
    </row>
    <row r="3500">
      <c r="G3500" s="7"/>
    </row>
    <row r="3501">
      <c r="G3501" s="7"/>
    </row>
    <row r="3502">
      <c r="G3502" s="7"/>
    </row>
    <row r="3503">
      <c r="G3503" s="7"/>
    </row>
    <row r="3504">
      <c r="G3504" s="7"/>
    </row>
    <row r="3505">
      <c r="G3505" s="7"/>
    </row>
    <row r="3506">
      <c r="G3506" s="7"/>
    </row>
    <row r="3507">
      <c r="G3507" s="7"/>
    </row>
    <row r="3508">
      <c r="G3508" s="7"/>
    </row>
    <row r="3509">
      <c r="G3509" s="7"/>
    </row>
    <row r="3510">
      <c r="G3510" s="7"/>
    </row>
    <row r="3511">
      <c r="G3511" s="7"/>
    </row>
    <row r="3512">
      <c r="G3512" s="7"/>
    </row>
    <row r="3513">
      <c r="G3513" s="7"/>
    </row>
    <row r="3514">
      <c r="G3514" s="7"/>
    </row>
    <row r="3515">
      <c r="G3515" s="7"/>
    </row>
    <row r="3516">
      <c r="G3516" s="7"/>
    </row>
    <row r="3517">
      <c r="G3517" s="7"/>
    </row>
    <row r="3518">
      <c r="G3518" s="7"/>
    </row>
    <row r="3519">
      <c r="G3519" s="7"/>
    </row>
    <row r="3520">
      <c r="G3520" s="7"/>
    </row>
    <row r="3521">
      <c r="G3521" s="7"/>
    </row>
    <row r="3522">
      <c r="G3522" s="7"/>
    </row>
    <row r="3523">
      <c r="G3523" s="7"/>
    </row>
    <row r="3524">
      <c r="G3524" s="7"/>
    </row>
    <row r="3525">
      <c r="G3525" s="7"/>
    </row>
    <row r="3526">
      <c r="G3526" s="7"/>
    </row>
    <row r="3527">
      <c r="G3527" s="7"/>
    </row>
    <row r="3528">
      <c r="G3528" s="7"/>
    </row>
    <row r="3529">
      <c r="G3529" s="7"/>
    </row>
    <row r="3530">
      <c r="G3530" s="7"/>
    </row>
    <row r="3531">
      <c r="G3531" s="7"/>
    </row>
    <row r="3532">
      <c r="G3532" s="7"/>
    </row>
    <row r="3533">
      <c r="G3533" s="7"/>
    </row>
    <row r="3534">
      <c r="G3534" s="7"/>
    </row>
    <row r="3535">
      <c r="G3535" s="7"/>
    </row>
    <row r="3536">
      <c r="G3536" s="7"/>
    </row>
    <row r="3537">
      <c r="G3537" s="7"/>
    </row>
    <row r="3538">
      <c r="G3538" s="7"/>
    </row>
    <row r="3539">
      <c r="G3539" s="7"/>
    </row>
    <row r="3540">
      <c r="G3540" s="7"/>
    </row>
    <row r="3541">
      <c r="G3541" s="7"/>
    </row>
    <row r="3542">
      <c r="G3542" s="7"/>
    </row>
    <row r="3543">
      <c r="G3543" s="7"/>
    </row>
    <row r="3544">
      <c r="G3544" s="7"/>
    </row>
    <row r="3545">
      <c r="G3545" s="7"/>
    </row>
    <row r="3546">
      <c r="G3546" s="7"/>
    </row>
    <row r="3547">
      <c r="G3547" s="7"/>
    </row>
    <row r="3548">
      <c r="G3548" s="7"/>
    </row>
    <row r="3549">
      <c r="G3549" s="7"/>
    </row>
    <row r="3550">
      <c r="G3550" s="7"/>
    </row>
    <row r="3551">
      <c r="G3551" s="7"/>
    </row>
    <row r="3552">
      <c r="G3552" s="7"/>
    </row>
    <row r="3553">
      <c r="G3553" s="7"/>
    </row>
    <row r="3554">
      <c r="G3554" s="7"/>
    </row>
    <row r="3555">
      <c r="G3555" s="7"/>
    </row>
    <row r="3556">
      <c r="G3556" s="7"/>
    </row>
    <row r="3557">
      <c r="G3557" s="7"/>
    </row>
    <row r="3558">
      <c r="G3558" s="7"/>
    </row>
    <row r="3559">
      <c r="G3559" s="7"/>
    </row>
    <row r="3560">
      <c r="G3560" s="7"/>
    </row>
    <row r="3561">
      <c r="G3561" s="7"/>
    </row>
    <row r="3562">
      <c r="G3562" s="7"/>
    </row>
    <row r="3563">
      <c r="G3563" s="7"/>
    </row>
    <row r="3564">
      <c r="G3564" s="7"/>
    </row>
    <row r="3565">
      <c r="G3565" s="7"/>
    </row>
    <row r="3566">
      <c r="G3566" s="7"/>
    </row>
    <row r="3567">
      <c r="G3567" s="7"/>
    </row>
    <row r="3568">
      <c r="G3568" s="7"/>
    </row>
    <row r="3569">
      <c r="G3569" s="7"/>
    </row>
    <row r="3570">
      <c r="G3570" s="7"/>
    </row>
    <row r="3571">
      <c r="G3571" s="7"/>
    </row>
    <row r="3572">
      <c r="G3572" s="7"/>
    </row>
    <row r="3573">
      <c r="G3573" s="7"/>
    </row>
    <row r="3574">
      <c r="G3574" s="7"/>
    </row>
    <row r="3575">
      <c r="G3575" s="7"/>
    </row>
    <row r="3576">
      <c r="G3576" s="7"/>
    </row>
    <row r="3577">
      <c r="G3577" s="7"/>
    </row>
    <row r="3578">
      <c r="G3578" s="7"/>
    </row>
    <row r="3579">
      <c r="G3579" s="7"/>
    </row>
    <row r="3580">
      <c r="G3580" s="7"/>
    </row>
    <row r="3581">
      <c r="G3581" s="7"/>
    </row>
    <row r="3582">
      <c r="G3582" s="7"/>
    </row>
    <row r="3583">
      <c r="G3583" s="7"/>
    </row>
    <row r="3584">
      <c r="G3584" s="7"/>
    </row>
    <row r="3585">
      <c r="G3585" s="7"/>
    </row>
    <row r="3586">
      <c r="G3586" s="7"/>
    </row>
    <row r="3587">
      <c r="G3587" s="7"/>
    </row>
    <row r="3588">
      <c r="G3588" s="7"/>
    </row>
    <row r="3589">
      <c r="G3589" s="7"/>
    </row>
    <row r="3590">
      <c r="G3590" s="7"/>
    </row>
    <row r="3591">
      <c r="G3591" s="7"/>
    </row>
    <row r="3592">
      <c r="G3592" s="7"/>
    </row>
    <row r="3593">
      <c r="G3593" s="7"/>
    </row>
    <row r="3594">
      <c r="G3594" s="7"/>
    </row>
    <row r="3595">
      <c r="G3595" s="7"/>
    </row>
    <row r="3596">
      <c r="G3596" s="7"/>
    </row>
    <row r="3597">
      <c r="G3597" s="7"/>
    </row>
    <row r="3598">
      <c r="G3598" s="7"/>
    </row>
    <row r="3599">
      <c r="G3599" s="7"/>
    </row>
    <row r="3600">
      <c r="G3600" s="7"/>
    </row>
    <row r="3601">
      <c r="G3601" s="7"/>
    </row>
    <row r="3602">
      <c r="G3602" s="7"/>
    </row>
    <row r="3603">
      <c r="G3603" s="7"/>
    </row>
    <row r="3604">
      <c r="G3604" s="7"/>
    </row>
    <row r="3605">
      <c r="G3605" s="7"/>
    </row>
    <row r="3606">
      <c r="G3606" s="7"/>
    </row>
    <row r="3607">
      <c r="G3607" s="7"/>
    </row>
    <row r="3608">
      <c r="G3608" s="7"/>
    </row>
    <row r="3609">
      <c r="G3609" s="7"/>
    </row>
    <row r="3610">
      <c r="G3610" s="7"/>
    </row>
    <row r="3611">
      <c r="G3611" s="7"/>
    </row>
    <row r="3612">
      <c r="G3612" s="7"/>
    </row>
    <row r="3613">
      <c r="G3613" s="7"/>
    </row>
    <row r="3614">
      <c r="G3614" s="7"/>
    </row>
    <row r="3615">
      <c r="G3615" s="7"/>
    </row>
    <row r="3616">
      <c r="G3616" s="7"/>
    </row>
    <row r="3617">
      <c r="G3617" s="7"/>
    </row>
    <row r="3618">
      <c r="G3618" s="7"/>
    </row>
    <row r="3619">
      <c r="G3619" s="7"/>
    </row>
    <row r="3620">
      <c r="G3620" s="7"/>
    </row>
    <row r="3621">
      <c r="G3621" s="7"/>
    </row>
    <row r="3622">
      <c r="G3622" s="7"/>
    </row>
    <row r="3623">
      <c r="G3623" s="7"/>
    </row>
    <row r="3624">
      <c r="G3624" s="7"/>
    </row>
    <row r="3625">
      <c r="G3625" s="7"/>
    </row>
    <row r="3626">
      <c r="G3626" s="7"/>
    </row>
    <row r="3627">
      <c r="G3627" s="7"/>
    </row>
    <row r="3628">
      <c r="G3628" s="7"/>
    </row>
    <row r="3629">
      <c r="G3629" s="7"/>
    </row>
    <row r="3630">
      <c r="G3630" s="7"/>
    </row>
    <row r="3631">
      <c r="G3631" s="7"/>
    </row>
    <row r="3632">
      <c r="G3632" s="7"/>
    </row>
    <row r="3633">
      <c r="G3633" s="7"/>
    </row>
    <row r="3634">
      <c r="G3634" s="7"/>
    </row>
    <row r="3635">
      <c r="G3635" s="7"/>
    </row>
    <row r="3636">
      <c r="G3636" s="7"/>
    </row>
    <row r="3637">
      <c r="G3637" s="7"/>
    </row>
    <row r="3638">
      <c r="G3638" s="7"/>
    </row>
    <row r="3639">
      <c r="G3639" s="7"/>
    </row>
    <row r="3640">
      <c r="G3640" s="7"/>
    </row>
    <row r="3641">
      <c r="G3641" s="7"/>
    </row>
    <row r="3642">
      <c r="G3642" s="7"/>
    </row>
    <row r="3643">
      <c r="G3643" s="7"/>
    </row>
    <row r="3644">
      <c r="G3644" s="7"/>
    </row>
    <row r="3645">
      <c r="G3645" s="7"/>
    </row>
    <row r="3646">
      <c r="G3646" s="7"/>
    </row>
    <row r="3647">
      <c r="G3647" s="7"/>
    </row>
    <row r="3648">
      <c r="G3648" s="7"/>
    </row>
    <row r="3649">
      <c r="G3649" s="7"/>
    </row>
    <row r="3650">
      <c r="G3650" s="7"/>
    </row>
    <row r="3651">
      <c r="G3651" s="7"/>
    </row>
    <row r="3652">
      <c r="G3652" s="7"/>
    </row>
    <row r="3653">
      <c r="G3653" s="7"/>
    </row>
    <row r="3654">
      <c r="G3654" s="7"/>
    </row>
    <row r="3655">
      <c r="G3655" s="7"/>
    </row>
    <row r="3656">
      <c r="G3656" s="7"/>
    </row>
    <row r="3657">
      <c r="G3657" s="7"/>
    </row>
    <row r="3658">
      <c r="G3658" s="7"/>
    </row>
    <row r="3659">
      <c r="G3659" s="7"/>
    </row>
    <row r="3660">
      <c r="G3660" s="7"/>
    </row>
    <row r="3661">
      <c r="G3661" s="7"/>
    </row>
    <row r="3662">
      <c r="G3662" s="7"/>
    </row>
    <row r="3663">
      <c r="G3663" s="7"/>
    </row>
    <row r="3664">
      <c r="G3664" s="7"/>
    </row>
    <row r="3665">
      <c r="G3665" s="7"/>
    </row>
    <row r="3666">
      <c r="G3666" s="7"/>
    </row>
    <row r="3667">
      <c r="G3667" s="7"/>
    </row>
    <row r="3668">
      <c r="G3668" s="7"/>
    </row>
    <row r="3669">
      <c r="G3669" s="7"/>
    </row>
    <row r="3670">
      <c r="G3670" s="7"/>
    </row>
    <row r="3671">
      <c r="G3671" s="7"/>
    </row>
    <row r="3672">
      <c r="G3672" s="7"/>
    </row>
    <row r="3673">
      <c r="G3673" s="7"/>
    </row>
    <row r="3674">
      <c r="G3674" s="7"/>
    </row>
    <row r="3675">
      <c r="G3675" s="7"/>
    </row>
    <row r="3676">
      <c r="G3676" s="7"/>
    </row>
    <row r="3677">
      <c r="G3677" s="7"/>
    </row>
    <row r="3678">
      <c r="G3678" s="7"/>
    </row>
    <row r="3679">
      <c r="G3679" s="7"/>
    </row>
    <row r="3680">
      <c r="G3680" s="7"/>
    </row>
    <row r="3681">
      <c r="G3681" s="7"/>
    </row>
    <row r="3682">
      <c r="G3682" s="7"/>
    </row>
    <row r="3683">
      <c r="G3683" s="7"/>
    </row>
    <row r="3684">
      <c r="G3684" s="7"/>
    </row>
    <row r="3685">
      <c r="G3685" s="7"/>
    </row>
    <row r="3686">
      <c r="G3686" s="7"/>
    </row>
    <row r="3687">
      <c r="G3687" s="7"/>
    </row>
    <row r="3688">
      <c r="G3688" s="7"/>
    </row>
    <row r="3689">
      <c r="G3689" s="7"/>
    </row>
    <row r="3690">
      <c r="G3690" s="7"/>
    </row>
    <row r="3691">
      <c r="G3691" s="7"/>
    </row>
    <row r="3692">
      <c r="G3692" s="7"/>
    </row>
    <row r="3693">
      <c r="G3693" s="7"/>
    </row>
    <row r="3694">
      <c r="G3694" s="7"/>
    </row>
    <row r="3695">
      <c r="G3695" s="7"/>
    </row>
    <row r="3696">
      <c r="G3696" s="7"/>
    </row>
    <row r="3697">
      <c r="G3697" s="7"/>
    </row>
    <row r="3698">
      <c r="G3698" s="7"/>
    </row>
    <row r="3699">
      <c r="G3699" s="7"/>
    </row>
    <row r="3700">
      <c r="G3700" s="7"/>
    </row>
    <row r="3701">
      <c r="G3701" s="7"/>
    </row>
    <row r="3702">
      <c r="G3702" s="7"/>
    </row>
    <row r="3703">
      <c r="G3703" s="7"/>
    </row>
    <row r="3704">
      <c r="G3704" s="7"/>
    </row>
    <row r="3705">
      <c r="G3705" s="7"/>
    </row>
    <row r="3706">
      <c r="G3706" s="7"/>
    </row>
    <row r="3707">
      <c r="G3707" s="7"/>
    </row>
    <row r="3708">
      <c r="G3708" s="7"/>
    </row>
    <row r="3709">
      <c r="G3709" s="7"/>
    </row>
    <row r="3710">
      <c r="G3710" s="7"/>
    </row>
    <row r="3711">
      <c r="G3711" s="7"/>
    </row>
    <row r="3712">
      <c r="G3712" s="7"/>
    </row>
    <row r="3713">
      <c r="G3713" s="7"/>
    </row>
    <row r="3714">
      <c r="G3714" s="7"/>
    </row>
    <row r="3715">
      <c r="G3715" s="7"/>
    </row>
    <row r="3716">
      <c r="G3716" s="7"/>
    </row>
    <row r="3717">
      <c r="G3717" s="7"/>
    </row>
    <row r="3718">
      <c r="G3718" s="7"/>
    </row>
    <row r="3719">
      <c r="G3719" s="7"/>
    </row>
    <row r="3720">
      <c r="G3720" s="7"/>
    </row>
    <row r="3721">
      <c r="G3721" s="7"/>
    </row>
    <row r="3722">
      <c r="G3722" s="7"/>
    </row>
    <row r="3723">
      <c r="G3723" s="7"/>
    </row>
    <row r="3724">
      <c r="G3724" s="7"/>
    </row>
    <row r="3725">
      <c r="G3725" s="7"/>
    </row>
    <row r="3726">
      <c r="G3726" s="7"/>
    </row>
    <row r="3727">
      <c r="G3727" s="7"/>
    </row>
    <row r="3728">
      <c r="G3728" s="7"/>
    </row>
    <row r="3729">
      <c r="G3729" s="7"/>
    </row>
    <row r="3730">
      <c r="G3730" s="7"/>
    </row>
    <row r="3731">
      <c r="G3731" s="7"/>
    </row>
    <row r="3732">
      <c r="G3732" s="7"/>
    </row>
    <row r="3733">
      <c r="G3733" s="7"/>
    </row>
    <row r="3734">
      <c r="G3734" s="7"/>
    </row>
    <row r="3735">
      <c r="G3735" s="7"/>
    </row>
    <row r="3736">
      <c r="G3736" s="7"/>
    </row>
    <row r="3737">
      <c r="G3737" s="7"/>
    </row>
    <row r="3738">
      <c r="G3738" s="7"/>
    </row>
    <row r="3739">
      <c r="G3739" s="7"/>
    </row>
    <row r="3740">
      <c r="G3740" s="7"/>
    </row>
    <row r="3741">
      <c r="G3741" s="7"/>
    </row>
    <row r="3742">
      <c r="G3742" s="7"/>
    </row>
    <row r="3743">
      <c r="G3743" s="7"/>
    </row>
    <row r="3744">
      <c r="G3744" s="7"/>
    </row>
    <row r="3745">
      <c r="G3745" s="7"/>
    </row>
    <row r="3746">
      <c r="G3746" s="7"/>
    </row>
    <row r="3747">
      <c r="G3747" s="7"/>
    </row>
    <row r="3748">
      <c r="G3748" s="7"/>
    </row>
    <row r="3749">
      <c r="G3749" s="7"/>
    </row>
    <row r="3750">
      <c r="G3750" s="7"/>
    </row>
    <row r="3751">
      <c r="G3751" s="7"/>
    </row>
    <row r="3752">
      <c r="G3752" s="7"/>
    </row>
    <row r="3753">
      <c r="G3753" s="7"/>
    </row>
    <row r="3754">
      <c r="G3754" s="7"/>
    </row>
    <row r="3755">
      <c r="G3755" s="7"/>
    </row>
    <row r="3756">
      <c r="G3756" s="7"/>
    </row>
    <row r="3757">
      <c r="G3757" s="7"/>
    </row>
    <row r="3758">
      <c r="G3758" s="7"/>
    </row>
    <row r="3759">
      <c r="G3759" s="7"/>
    </row>
    <row r="3760">
      <c r="G3760" s="7"/>
    </row>
    <row r="3761">
      <c r="G3761" s="7"/>
    </row>
    <row r="3762">
      <c r="G3762" s="7"/>
    </row>
    <row r="3763">
      <c r="G3763" s="7"/>
    </row>
    <row r="3764">
      <c r="G3764" s="7"/>
    </row>
    <row r="3765">
      <c r="G3765" s="7"/>
    </row>
    <row r="3766">
      <c r="G3766" s="7"/>
    </row>
    <row r="3767">
      <c r="G3767" s="7"/>
    </row>
    <row r="3768">
      <c r="G3768" s="7"/>
    </row>
    <row r="3769">
      <c r="G3769" s="7"/>
    </row>
    <row r="3770">
      <c r="G3770" s="7"/>
    </row>
    <row r="3771">
      <c r="G3771" s="7"/>
    </row>
    <row r="3772">
      <c r="G3772" s="7"/>
    </row>
    <row r="3773">
      <c r="G3773" s="7"/>
    </row>
    <row r="3774">
      <c r="G3774" s="7"/>
    </row>
    <row r="3775">
      <c r="G3775" s="7"/>
    </row>
    <row r="3776">
      <c r="G3776" s="7"/>
    </row>
    <row r="3777">
      <c r="G3777" s="7"/>
    </row>
    <row r="3778">
      <c r="G3778" s="7"/>
    </row>
    <row r="3779">
      <c r="G3779" s="7"/>
    </row>
    <row r="3780">
      <c r="G3780" s="7"/>
    </row>
    <row r="3781">
      <c r="G3781" s="7"/>
    </row>
    <row r="3782">
      <c r="G3782" s="7"/>
    </row>
    <row r="3783">
      <c r="G3783" s="7"/>
    </row>
    <row r="3784">
      <c r="G3784" s="7"/>
    </row>
    <row r="3785">
      <c r="G3785" s="7"/>
    </row>
    <row r="3786">
      <c r="G3786" s="7"/>
    </row>
    <row r="3787">
      <c r="G3787" s="7"/>
    </row>
    <row r="3788">
      <c r="G3788" s="7"/>
    </row>
    <row r="3789">
      <c r="G3789" s="7"/>
    </row>
    <row r="3790">
      <c r="G3790" s="7"/>
    </row>
    <row r="3791">
      <c r="G3791" s="7"/>
    </row>
    <row r="3792">
      <c r="G3792" s="7"/>
    </row>
    <row r="3793">
      <c r="G3793" s="7"/>
    </row>
    <row r="3794">
      <c r="G3794" s="7"/>
    </row>
    <row r="3795">
      <c r="G3795" s="7"/>
    </row>
    <row r="3796">
      <c r="G3796" s="7"/>
    </row>
    <row r="3797">
      <c r="G3797" s="7"/>
    </row>
    <row r="3798">
      <c r="G3798" s="7"/>
    </row>
    <row r="3799">
      <c r="G3799" s="7"/>
    </row>
    <row r="3800">
      <c r="G3800" s="7"/>
    </row>
    <row r="3801">
      <c r="G3801" s="7"/>
    </row>
    <row r="3802">
      <c r="G3802" s="7"/>
    </row>
    <row r="3803">
      <c r="G3803" s="7"/>
    </row>
    <row r="3804">
      <c r="G3804" s="7"/>
    </row>
    <row r="3805">
      <c r="G3805" s="7"/>
    </row>
    <row r="3806">
      <c r="G3806" s="7"/>
    </row>
    <row r="3807">
      <c r="G3807" s="7"/>
    </row>
    <row r="3808">
      <c r="G3808" s="7"/>
    </row>
    <row r="3809">
      <c r="G3809" s="7"/>
    </row>
    <row r="3810">
      <c r="G3810" s="7"/>
    </row>
    <row r="3811">
      <c r="G3811" s="7"/>
    </row>
    <row r="3812">
      <c r="G3812" s="7"/>
    </row>
    <row r="3813">
      <c r="G3813" s="7"/>
    </row>
    <row r="3814">
      <c r="G3814" s="7"/>
    </row>
    <row r="3815">
      <c r="G3815" s="7"/>
    </row>
    <row r="3816">
      <c r="G3816" s="7"/>
    </row>
    <row r="3817">
      <c r="G3817" s="7"/>
    </row>
    <row r="3818">
      <c r="G3818" s="7"/>
    </row>
    <row r="3819">
      <c r="G3819" s="7"/>
    </row>
    <row r="3820">
      <c r="G3820" s="7"/>
    </row>
    <row r="3821">
      <c r="G3821" s="7"/>
    </row>
    <row r="3822">
      <c r="G3822" s="7"/>
    </row>
    <row r="3823">
      <c r="G3823" s="7"/>
    </row>
    <row r="3824">
      <c r="G3824" s="7"/>
    </row>
    <row r="3825">
      <c r="G3825" s="7"/>
    </row>
    <row r="3826">
      <c r="G3826" s="7"/>
    </row>
    <row r="3827">
      <c r="G3827" s="7"/>
    </row>
    <row r="3828">
      <c r="G3828" s="7"/>
    </row>
    <row r="3829">
      <c r="G3829" s="7"/>
    </row>
    <row r="3830">
      <c r="G3830" s="7"/>
    </row>
    <row r="3831">
      <c r="G3831" s="7"/>
    </row>
    <row r="3832">
      <c r="G3832" s="7"/>
    </row>
    <row r="3833">
      <c r="G3833" s="7"/>
    </row>
    <row r="3834">
      <c r="G3834" s="7"/>
    </row>
    <row r="3835">
      <c r="G3835" s="7"/>
    </row>
    <row r="3836">
      <c r="G3836" s="7"/>
    </row>
    <row r="3837">
      <c r="G3837" s="7"/>
    </row>
    <row r="3838">
      <c r="G3838" s="7"/>
    </row>
    <row r="3839">
      <c r="G3839" s="7"/>
    </row>
    <row r="3840">
      <c r="G3840" s="7"/>
    </row>
    <row r="3841">
      <c r="G3841" s="7"/>
    </row>
    <row r="3842">
      <c r="G3842" s="7"/>
    </row>
    <row r="3843">
      <c r="G3843" s="7"/>
    </row>
    <row r="3844">
      <c r="G3844" s="7"/>
    </row>
    <row r="3845">
      <c r="G3845" s="7"/>
    </row>
    <row r="3846">
      <c r="G3846" s="7"/>
    </row>
    <row r="3847">
      <c r="G3847" s="7"/>
    </row>
    <row r="3848">
      <c r="G3848" s="7"/>
    </row>
    <row r="3849">
      <c r="G3849" s="7"/>
    </row>
    <row r="3850">
      <c r="G3850" s="7"/>
    </row>
    <row r="3851">
      <c r="G3851" s="7"/>
    </row>
    <row r="3852">
      <c r="G3852" s="7"/>
    </row>
    <row r="3853">
      <c r="G3853" s="7"/>
    </row>
    <row r="3854">
      <c r="G3854" s="7"/>
    </row>
    <row r="3855">
      <c r="G3855" s="7"/>
    </row>
    <row r="3856">
      <c r="G3856" s="7"/>
    </row>
    <row r="3857">
      <c r="G3857" s="7"/>
    </row>
    <row r="3858">
      <c r="G3858" s="7"/>
    </row>
    <row r="3859">
      <c r="G3859" s="7"/>
    </row>
    <row r="3860">
      <c r="G3860" s="7"/>
    </row>
    <row r="3861">
      <c r="G3861" s="7"/>
    </row>
    <row r="3862">
      <c r="G3862" s="7"/>
    </row>
    <row r="3863">
      <c r="G3863" s="7"/>
    </row>
    <row r="3864">
      <c r="G3864" s="7"/>
    </row>
    <row r="3865">
      <c r="G3865" s="7"/>
    </row>
    <row r="3866">
      <c r="G3866" s="7"/>
    </row>
    <row r="3867">
      <c r="G3867" s="7"/>
    </row>
    <row r="3868">
      <c r="G3868" s="7"/>
    </row>
    <row r="3869">
      <c r="G3869" s="7"/>
    </row>
    <row r="3870">
      <c r="G3870" s="7"/>
    </row>
    <row r="3871">
      <c r="G3871" s="7"/>
    </row>
    <row r="3872">
      <c r="G3872" s="7"/>
    </row>
    <row r="3873">
      <c r="G3873" s="7"/>
    </row>
    <row r="3874">
      <c r="G3874" s="7"/>
    </row>
    <row r="3875">
      <c r="G3875" s="7"/>
    </row>
    <row r="3876">
      <c r="G3876" s="7"/>
    </row>
    <row r="3877">
      <c r="G3877" s="7"/>
    </row>
    <row r="3878">
      <c r="G3878" s="7"/>
    </row>
    <row r="3879">
      <c r="G3879" s="7"/>
    </row>
    <row r="3880">
      <c r="G3880" s="7"/>
    </row>
    <row r="3881">
      <c r="G3881" s="7"/>
    </row>
    <row r="3882">
      <c r="G3882" s="7"/>
    </row>
    <row r="3883">
      <c r="G3883" s="7"/>
    </row>
    <row r="3884">
      <c r="G3884" s="7"/>
    </row>
    <row r="3885">
      <c r="G3885" s="7"/>
    </row>
    <row r="3886">
      <c r="G3886" s="7"/>
    </row>
    <row r="3887">
      <c r="G3887" s="7"/>
    </row>
    <row r="3888">
      <c r="G3888" s="7"/>
    </row>
    <row r="3889">
      <c r="G3889" s="7"/>
    </row>
    <row r="3890">
      <c r="G3890" s="7"/>
    </row>
    <row r="3891">
      <c r="G3891" s="7"/>
    </row>
    <row r="3892">
      <c r="G3892" s="7"/>
    </row>
    <row r="3893">
      <c r="G3893" s="7"/>
    </row>
    <row r="3894">
      <c r="G3894" s="7"/>
    </row>
    <row r="3895">
      <c r="G3895" s="7"/>
    </row>
    <row r="3896">
      <c r="G3896" s="7"/>
    </row>
    <row r="3897">
      <c r="G3897" s="7"/>
    </row>
    <row r="3898">
      <c r="G3898" s="7"/>
    </row>
    <row r="3899">
      <c r="G3899" s="7"/>
    </row>
    <row r="3900">
      <c r="G3900" s="7"/>
    </row>
    <row r="3901">
      <c r="G3901" s="7"/>
    </row>
    <row r="3902">
      <c r="G3902" s="7"/>
    </row>
    <row r="3903">
      <c r="G3903" s="7"/>
    </row>
    <row r="3904">
      <c r="G3904" s="7"/>
    </row>
    <row r="3905">
      <c r="G3905" s="7"/>
    </row>
    <row r="3906">
      <c r="G3906" s="7"/>
    </row>
    <row r="3907">
      <c r="G3907" s="7"/>
    </row>
    <row r="3908">
      <c r="G3908" s="7"/>
    </row>
    <row r="3909">
      <c r="G3909" s="7"/>
    </row>
    <row r="3910">
      <c r="G3910" s="7"/>
    </row>
    <row r="3911">
      <c r="G3911" s="7"/>
    </row>
    <row r="3912">
      <c r="G3912" s="7"/>
    </row>
    <row r="3913">
      <c r="G3913" s="7"/>
    </row>
    <row r="3914">
      <c r="G3914" s="7"/>
    </row>
    <row r="3915">
      <c r="G3915" s="7"/>
    </row>
    <row r="3916">
      <c r="G3916" s="7"/>
    </row>
    <row r="3917">
      <c r="G3917" s="7"/>
    </row>
    <row r="3918">
      <c r="G3918" s="7"/>
    </row>
    <row r="3919">
      <c r="G3919" s="7"/>
    </row>
    <row r="3920">
      <c r="G3920" s="7"/>
    </row>
    <row r="3921">
      <c r="G3921" s="7"/>
    </row>
    <row r="3922">
      <c r="G3922" s="7"/>
    </row>
    <row r="3923">
      <c r="G3923" s="7"/>
    </row>
    <row r="3924">
      <c r="G3924" s="7"/>
    </row>
    <row r="3925">
      <c r="G3925" s="7"/>
    </row>
    <row r="3926">
      <c r="G3926" s="7"/>
    </row>
    <row r="3927">
      <c r="G3927" s="7"/>
    </row>
    <row r="3928">
      <c r="G3928" s="7"/>
    </row>
    <row r="3929">
      <c r="G3929" s="7"/>
    </row>
    <row r="3930">
      <c r="G3930" s="7"/>
    </row>
    <row r="3931">
      <c r="G3931" s="7"/>
    </row>
    <row r="3932">
      <c r="G3932" s="7"/>
    </row>
    <row r="3933">
      <c r="G3933" s="7"/>
    </row>
    <row r="3934">
      <c r="G3934" s="7"/>
    </row>
    <row r="3935">
      <c r="G3935" s="7"/>
    </row>
    <row r="3936">
      <c r="G3936" s="7"/>
    </row>
    <row r="3937">
      <c r="G3937" s="7"/>
    </row>
    <row r="3938">
      <c r="G3938" s="7"/>
    </row>
    <row r="3939">
      <c r="G3939" s="7"/>
    </row>
    <row r="3940">
      <c r="G3940" s="7"/>
    </row>
    <row r="3941">
      <c r="G3941" s="7"/>
    </row>
    <row r="3942">
      <c r="G3942" s="7"/>
    </row>
    <row r="3943">
      <c r="G3943" s="7"/>
    </row>
    <row r="3944">
      <c r="G3944" s="7"/>
    </row>
    <row r="3945">
      <c r="G3945" s="7"/>
    </row>
    <row r="3946">
      <c r="G3946" s="7"/>
    </row>
    <row r="3947">
      <c r="G3947" s="7"/>
    </row>
    <row r="3948">
      <c r="G3948" s="7"/>
    </row>
    <row r="3949">
      <c r="G3949" s="7"/>
    </row>
    <row r="3950">
      <c r="G3950" s="7"/>
    </row>
    <row r="3951">
      <c r="G3951" s="7"/>
    </row>
    <row r="3952">
      <c r="G3952" s="7"/>
    </row>
    <row r="3953">
      <c r="G3953" s="7"/>
    </row>
    <row r="3954">
      <c r="G3954" s="7"/>
    </row>
    <row r="3955">
      <c r="G3955" s="7"/>
    </row>
    <row r="3956">
      <c r="G3956" s="7"/>
    </row>
    <row r="3957">
      <c r="G3957" s="7"/>
    </row>
    <row r="3958">
      <c r="G3958" s="7"/>
    </row>
    <row r="3959">
      <c r="G3959" s="7"/>
    </row>
    <row r="3960">
      <c r="G3960" s="7"/>
    </row>
    <row r="3961">
      <c r="G3961" s="7"/>
    </row>
    <row r="3962">
      <c r="G3962" s="7"/>
    </row>
    <row r="3963">
      <c r="G3963" s="7"/>
    </row>
    <row r="3964">
      <c r="G3964" s="7"/>
    </row>
    <row r="3965">
      <c r="G3965" s="7"/>
    </row>
    <row r="3966">
      <c r="G3966" s="7"/>
    </row>
    <row r="3967">
      <c r="G3967" s="7"/>
    </row>
    <row r="3968">
      <c r="G3968" s="7"/>
    </row>
    <row r="3969">
      <c r="G3969" s="7"/>
    </row>
    <row r="3970">
      <c r="G3970" s="7"/>
    </row>
    <row r="3971">
      <c r="G3971" s="7"/>
    </row>
    <row r="3972">
      <c r="G3972" s="7"/>
    </row>
    <row r="3973">
      <c r="G3973" s="7"/>
    </row>
    <row r="3974">
      <c r="G3974" s="7"/>
    </row>
    <row r="3975">
      <c r="G3975" s="7"/>
    </row>
    <row r="3976">
      <c r="G3976" s="7"/>
    </row>
    <row r="3977">
      <c r="G3977" s="7"/>
    </row>
    <row r="3978">
      <c r="G3978" s="7"/>
    </row>
    <row r="3979">
      <c r="G3979" s="7"/>
    </row>
    <row r="3980">
      <c r="G3980" s="7"/>
    </row>
    <row r="3981">
      <c r="G3981" s="7"/>
    </row>
    <row r="3982">
      <c r="G3982" s="7"/>
    </row>
    <row r="3983">
      <c r="G3983" s="7"/>
    </row>
    <row r="3984">
      <c r="G3984" s="7"/>
    </row>
    <row r="3985">
      <c r="G3985" s="7"/>
    </row>
    <row r="3986">
      <c r="G3986" s="7"/>
    </row>
    <row r="3987">
      <c r="G3987" s="7"/>
    </row>
    <row r="3988">
      <c r="G3988" s="7"/>
    </row>
    <row r="3989">
      <c r="G3989" s="7"/>
    </row>
    <row r="3990">
      <c r="G3990" s="7"/>
    </row>
    <row r="3991">
      <c r="G3991" s="7"/>
    </row>
    <row r="3992">
      <c r="G3992" s="7"/>
    </row>
    <row r="3993">
      <c r="G3993" s="7"/>
    </row>
    <row r="3994">
      <c r="G3994" s="7"/>
    </row>
    <row r="3995">
      <c r="G3995" s="7"/>
    </row>
    <row r="3996">
      <c r="G3996" s="7"/>
    </row>
    <row r="3997">
      <c r="G3997" s="7"/>
    </row>
    <row r="3998">
      <c r="G3998" s="7"/>
    </row>
    <row r="3999">
      <c r="G3999" s="7"/>
    </row>
    <row r="4000">
      <c r="G4000" s="7"/>
    </row>
    <row r="4001">
      <c r="G4001" s="7"/>
    </row>
    <row r="4002">
      <c r="G4002" s="7"/>
    </row>
    <row r="4003">
      <c r="G4003" s="7"/>
    </row>
    <row r="4004">
      <c r="G4004" s="7"/>
    </row>
    <row r="4005">
      <c r="G4005" s="7"/>
    </row>
    <row r="4006">
      <c r="G4006" s="7"/>
    </row>
    <row r="4007">
      <c r="G4007" s="7"/>
    </row>
    <row r="4008">
      <c r="G4008" s="7"/>
    </row>
    <row r="4009">
      <c r="G4009" s="7"/>
    </row>
    <row r="4010">
      <c r="G4010" s="7"/>
    </row>
    <row r="4011">
      <c r="G4011" s="7"/>
    </row>
    <row r="4012">
      <c r="G4012" s="7"/>
    </row>
    <row r="4013">
      <c r="G4013" s="7"/>
    </row>
    <row r="4014">
      <c r="G4014" s="7"/>
    </row>
    <row r="4015">
      <c r="G4015" s="7"/>
    </row>
    <row r="4016">
      <c r="G4016" s="7"/>
    </row>
    <row r="4017">
      <c r="G4017" s="7"/>
    </row>
    <row r="4018">
      <c r="G4018" s="7"/>
    </row>
    <row r="4019">
      <c r="G4019" s="7"/>
    </row>
    <row r="4020">
      <c r="G4020" s="7"/>
    </row>
    <row r="4021">
      <c r="G4021" s="7"/>
    </row>
    <row r="4022">
      <c r="G4022" s="7"/>
    </row>
    <row r="4023">
      <c r="G4023" s="7"/>
    </row>
    <row r="4024">
      <c r="G4024" s="7"/>
    </row>
    <row r="4025">
      <c r="G4025" s="7"/>
    </row>
    <row r="4026">
      <c r="G4026" s="7"/>
    </row>
    <row r="4027">
      <c r="G4027" s="7"/>
    </row>
    <row r="4028">
      <c r="G4028" s="7"/>
    </row>
    <row r="4029">
      <c r="G4029" s="7"/>
    </row>
    <row r="4030">
      <c r="G4030" s="7"/>
    </row>
    <row r="4031">
      <c r="G4031" s="7"/>
    </row>
    <row r="4032">
      <c r="G4032" s="7"/>
    </row>
    <row r="4033">
      <c r="G4033" s="7"/>
    </row>
    <row r="4034">
      <c r="G4034" s="7"/>
    </row>
    <row r="4035">
      <c r="G4035" s="7"/>
    </row>
    <row r="4036">
      <c r="G4036" s="7"/>
    </row>
    <row r="4037">
      <c r="G4037" s="7"/>
    </row>
    <row r="4038">
      <c r="G4038" s="7"/>
    </row>
    <row r="4039">
      <c r="G4039" s="7"/>
    </row>
    <row r="4040">
      <c r="G4040" s="7"/>
    </row>
    <row r="4041">
      <c r="G4041" s="7"/>
    </row>
    <row r="4042">
      <c r="G4042" s="7"/>
    </row>
    <row r="4043">
      <c r="G4043" s="7"/>
    </row>
    <row r="4044">
      <c r="G4044" s="7"/>
    </row>
    <row r="4045">
      <c r="G4045" s="7"/>
    </row>
    <row r="4046">
      <c r="G4046" s="7"/>
    </row>
    <row r="4047">
      <c r="G4047" s="7"/>
    </row>
    <row r="4048">
      <c r="G4048" s="7"/>
    </row>
    <row r="4049">
      <c r="G4049" s="7"/>
    </row>
    <row r="4050">
      <c r="G4050" s="7"/>
    </row>
    <row r="4051">
      <c r="G4051" s="7"/>
    </row>
    <row r="4052">
      <c r="G4052" s="7"/>
    </row>
    <row r="4053">
      <c r="G4053" s="7"/>
    </row>
    <row r="4054">
      <c r="G4054" s="7"/>
    </row>
    <row r="4055">
      <c r="G4055" s="7"/>
    </row>
    <row r="4056">
      <c r="G4056" s="7"/>
    </row>
    <row r="4057">
      <c r="G4057" s="7"/>
    </row>
    <row r="4058">
      <c r="G4058" s="7"/>
    </row>
    <row r="4059">
      <c r="G4059" s="7"/>
    </row>
    <row r="4060">
      <c r="G4060" s="7"/>
    </row>
    <row r="4061">
      <c r="G4061" s="7"/>
    </row>
    <row r="4062">
      <c r="G4062" s="7"/>
    </row>
    <row r="4063">
      <c r="G4063" s="7"/>
    </row>
    <row r="4064">
      <c r="G4064" s="7"/>
    </row>
    <row r="4065">
      <c r="G4065" s="7"/>
    </row>
    <row r="4066">
      <c r="G4066" s="7"/>
    </row>
    <row r="4067">
      <c r="G4067" s="7"/>
    </row>
    <row r="4068">
      <c r="G4068" s="7"/>
    </row>
    <row r="4069">
      <c r="G4069" s="7"/>
    </row>
    <row r="4070">
      <c r="G4070" s="7"/>
    </row>
    <row r="4071">
      <c r="G4071" s="7"/>
    </row>
    <row r="4072">
      <c r="G4072" s="7"/>
    </row>
    <row r="4073">
      <c r="G4073" s="7"/>
    </row>
    <row r="4074">
      <c r="G4074" s="7"/>
    </row>
    <row r="4075">
      <c r="G4075" s="7"/>
    </row>
    <row r="4076">
      <c r="G4076" s="7"/>
    </row>
    <row r="4077">
      <c r="G4077" s="7"/>
    </row>
    <row r="4078">
      <c r="G4078" s="7"/>
    </row>
    <row r="4079">
      <c r="G4079" s="7"/>
    </row>
    <row r="4080">
      <c r="G4080" s="7"/>
    </row>
    <row r="4081">
      <c r="G4081" s="7"/>
    </row>
    <row r="4082">
      <c r="G4082" s="7"/>
    </row>
    <row r="4083">
      <c r="G4083" s="7"/>
    </row>
    <row r="4084">
      <c r="G4084" s="7"/>
    </row>
    <row r="4085">
      <c r="G4085" s="7"/>
    </row>
    <row r="4086">
      <c r="G4086" s="7"/>
    </row>
    <row r="4087">
      <c r="G4087" s="7"/>
    </row>
    <row r="4088">
      <c r="G4088" s="7"/>
    </row>
    <row r="4089">
      <c r="G4089" s="7"/>
    </row>
    <row r="4090">
      <c r="G4090" s="7"/>
    </row>
    <row r="4091">
      <c r="G4091" s="7"/>
    </row>
    <row r="4092">
      <c r="G4092" s="7"/>
    </row>
    <row r="4093">
      <c r="G4093" s="7"/>
    </row>
    <row r="4094">
      <c r="G4094" s="7"/>
    </row>
    <row r="4095">
      <c r="G4095" s="7"/>
    </row>
    <row r="4096">
      <c r="G4096" s="7"/>
    </row>
    <row r="4097">
      <c r="G4097" s="7"/>
    </row>
    <row r="4098">
      <c r="G4098" s="7"/>
    </row>
    <row r="4099">
      <c r="G4099" s="7"/>
    </row>
    <row r="4100">
      <c r="G4100" s="7"/>
    </row>
    <row r="4101">
      <c r="G4101" s="7"/>
    </row>
    <row r="4102">
      <c r="G4102" s="7"/>
    </row>
    <row r="4103">
      <c r="G4103" s="7"/>
    </row>
    <row r="4104">
      <c r="G4104" s="7"/>
    </row>
    <row r="4105">
      <c r="G4105" s="7"/>
    </row>
    <row r="4106">
      <c r="G4106" s="7"/>
    </row>
    <row r="4107">
      <c r="G4107" s="7"/>
    </row>
    <row r="4108">
      <c r="G4108" s="7"/>
    </row>
    <row r="4109">
      <c r="G4109" s="7"/>
    </row>
    <row r="4110">
      <c r="G4110" s="7"/>
    </row>
    <row r="4111">
      <c r="G4111" s="7"/>
    </row>
    <row r="4112">
      <c r="G4112" s="7"/>
    </row>
    <row r="4113">
      <c r="G4113" s="7"/>
    </row>
    <row r="4114">
      <c r="G4114" s="7"/>
    </row>
    <row r="4115">
      <c r="G4115" s="7"/>
    </row>
    <row r="4116">
      <c r="G4116" s="7"/>
    </row>
    <row r="4117">
      <c r="G4117" s="7"/>
    </row>
    <row r="4118">
      <c r="G4118" s="7"/>
    </row>
    <row r="4119">
      <c r="G4119" s="7"/>
    </row>
    <row r="4120">
      <c r="G4120" s="7"/>
    </row>
    <row r="4121">
      <c r="G4121" s="7"/>
    </row>
    <row r="4122">
      <c r="G4122" s="7"/>
    </row>
    <row r="4123">
      <c r="G4123" s="7"/>
    </row>
    <row r="4124">
      <c r="G4124" s="7"/>
    </row>
    <row r="4125">
      <c r="G4125" s="7"/>
    </row>
    <row r="4126">
      <c r="G4126" s="7"/>
    </row>
    <row r="4127">
      <c r="G4127" s="7"/>
    </row>
    <row r="4128">
      <c r="G4128" s="7"/>
    </row>
    <row r="4129">
      <c r="G4129" s="7"/>
    </row>
    <row r="4130">
      <c r="G4130" s="7"/>
    </row>
    <row r="4131">
      <c r="G4131" s="7"/>
    </row>
    <row r="4132">
      <c r="G4132" s="7"/>
    </row>
    <row r="4133">
      <c r="G4133" s="7"/>
    </row>
    <row r="4134">
      <c r="G4134" s="7"/>
    </row>
    <row r="4135">
      <c r="G4135" s="7"/>
    </row>
    <row r="4136">
      <c r="G4136" s="7"/>
    </row>
    <row r="4137">
      <c r="G4137" s="7"/>
    </row>
    <row r="4138">
      <c r="G4138" s="7"/>
    </row>
    <row r="4139">
      <c r="G4139" s="7"/>
    </row>
    <row r="4140">
      <c r="G4140" s="7"/>
    </row>
    <row r="4141">
      <c r="G4141" s="7"/>
    </row>
    <row r="4142">
      <c r="G4142" s="7"/>
    </row>
    <row r="4143">
      <c r="G4143" s="7"/>
    </row>
    <row r="4144">
      <c r="G4144" s="7"/>
    </row>
    <row r="4145">
      <c r="G4145" s="7"/>
    </row>
    <row r="4146">
      <c r="G4146" s="7"/>
    </row>
    <row r="4147">
      <c r="G4147" s="7"/>
    </row>
    <row r="4148">
      <c r="G4148" s="7"/>
    </row>
    <row r="4149">
      <c r="G4149" s="7"/>
    </row>
    <row r="4150">
      <c r="G4150" s="7"/>
    </row>
    <row r="4151">
      <c r="G4151" s="7"/>
    </row>
    <row r="4152">
      <c r="G4152" s="7"/>
    </row>
    <row r="4153">
      <c r="G4153" s="7"/>
    </row>
    <row r="4154">
      <c r="G4154" s="7"/>
    </row>
    <row r="4155">
      <c r="G4155" s="7"/>
    </row>
    <row r="4156">
      <c r="G4156" s="7"/>
    </row>
    <row r="4157">
      <c r="G4157" s="7"/>
    </row>
    <row r="4158">
      <c r="G4158" s="7"/>
    </row>
    <row r="4159">
      <c r="G4159" s="7"/>
    </row>
    <row r="4160">
      <c r="G4160" s="7"/>
    </row>
    <row r="4161">
      <c r="G4161" s="7"/>
    </row>
    <row r="4162">
      <c r="G4162" s="7"/>
    </row>
    <row r="4163">
      <c r="G4163" s="7"/>
    </row>
    <row r="4164">
      <c r="G4164" s="7"/>
    </row>
    <row r="4165">
      <c r="G4165" s="7"/>
    </row>
    <row r="4166">
      <c r="G4166" s="7"/>
    </row>
    <row r="4167">
      <c r="G4167" s="7"/>
    </row>
    <row r="4168">
      <c r="G4168" s="7"/>
    </row>
    <row r="4169">
      <c r="G4169" s="7"/>
    </row>
    <row r="4170">
      <c r="G4170" s="7"/>
    </row>
    <row r="4171">
      <c r="G4171" s="7"/>
    </row>
    <row r="4172">
      <c r="G4172" s="7"/>
    </row>
    <row r="4173">
      <c r="G4173" s="7"/>
    </row>
    <row r="4174">
      <c r="G4174" s="7"/>
    </row>
    <row r="4175">
      <c r="G4175" s="7"/>
    </row>
    <row r="4176">
      <c r="G4176" s="7"/>
    </row>
    <row r="4177">
      <c r="G4177" s="7"/>
    </row>
    <row r="4178">
      <c r="G4178" s="7"/>
    </row>
    <row r="4179">
      <c r="G4179" s="7"/>
    </row>
    <row r="4180">
      <c r="G4180" s="7"/>
    </row>
    <row r="4181">
      <c r="G4181" s="7"/>
    </row>
    <row r="4182">
      <c r="G4182" s="7"/>
    </row>
    <row r="4183">
      <c r="G4183" s="7"/>
    </row>
    <row r="4184">
      <c r="G4184" s="7"/>
    </row>
    <row r="4185">
      <c r="G4185" s="7"/>
    </row>
    <row r="4186">
      <c r="G4186" s="7"/>
    </row>
    <row r="4187">
      <c r="G4187" s="7"/>
    </row>
    <row r="4188">
      <c r="G4188" s="7"/>
    </row>
    <row r="4189">
      <c r="G4189" s="7"/>
    </row>
    <row r="4190">
      <c r="G4190" s="7"/>
    </row>
    <row r="4191">
      <c r="G4191" s="7"/>
    </row>
    <row r="4192">
      <c r="G4192" s="7"/>
    </row>
    <row r="4193">
      <c r="G4193" s="7"/>
    </row>
    <row r="4194">
      <c r="G4194" s="7"/>
    </row>
    <row r="4195">
      <c r="G4195" s="7"/>
    </row>
    <row r="4196">
      <c r="G4196" s="7"/>
    </row>
    <row r="4197">
      <c r="G4197" s="7"/>
    </row>
    <row r="4198">
      <c r="G4198" s="7"/>
    </row>
    <row r="4199">
      <c r="G4199" s="7"/>
    </row>
    <row r="4200">
      <c r="G4200" s="7"/>
    </row>
    <row r="4201">
      <c r="G4201" s="7"/>
    </row>
    <row r="4202">
      <c r="G4202" s="7"/>
    </row>
    <row r="4203">
      <c r="G4203" s="7"/>
    </row>
    <row r="4204">
      <c r="G4204" s="7"/>
    </row>
    <row r="4205">
      <c r="G4205" s="7"/>
    </row>
    <row r="4206">
      <c r="G4206" s="7"/>
    </row>
    <row r="4207">
      <c r="G4207" s="7"/>
    </row>
    <row r="4208">
      <c r="G4208" s="7"/>
    </row>
    <row r="4209">
      <c r="G4209" s="7"/>
    </row>
    <row r="4210">
      <c r="G4210" s="7"/>
    </row>
    <row r="4211">
      <c r="G4211" s="7"/>
    </row>
    <row r="4212">
      <c r="G4212" s="7"/>
    </row>
    <row r="4213">
      <c r="G4213" s="7"/>
    </row>
    <row r="4214">
      <c r="G4214" s="7"/>
    </row>
    <row r="4215">
      <c r="G4215" s="7"/>
    </row>
    <row r="4216">
      <c r="G4216" s="7"/>
    </row>
    <row r="4217">
      <c r="G4217" s="7"/>
    </row>
    <row r="4218">
      <c r="G4218" s="7"/>
    </row>
    <row r="4219">
      <c r="G4219" s="7"/>
    </row>
    <row r="4220">
      <c r="G4220" s="7"/>
    </row>
    <row r="4221">
      <c r="G4221" s="7"/>
    </row>
    <row r="4222">
      <c r="G4222" s="7"/>
    </row>
    <row r="4223">
      <c r="G4223" s="7"/>
    </row>
    <row r="4224">
      <c r="G4224" s="7"/>
    </row>
    <row r="4225">
      <c r="G4225" s="7"/>
    </row>
    <row r="4226">
      <c r="G4226" s="7"/>
    </row>
    <row r="4227">
      <c r="G4227" s="7"/>
    </row>
    <row r="4228">
      <c r="G4228" s="7"/>
    </row>
    <row r="4229">
      <c r="G4229" s="7"/>
    </row>
    <row r="4230">
      <c r="G4230" s="7"/>
    </row>
    <row r="4231">
      <c r="G4231" s="7"/>
    </row>
    <row r="4232">
      <c r="G4232" s="7"/>
    </row>
    <row r="4233">
      <c r="G4233" s="7"/>
    </row>
    <row r="4234">
      <c r="G4234" s="7"/>
    </row>
    <row r="4235">
      <c r="G4235" s="7"/>
    </row>
    <row r="4236">
      <c r="G4236" s="7"/>
    </row>
    <row r="4237">
      <c r="G4237" s="7"/>
    </row>
    <row r="4238">
      <c r="G4238" s="7"/>
    </row>
    <row r="4239">
      <c r="G4239" s="7"/>
    </row>
    <row r="4240">
      <c r="G4240" s="7"/>
    </row>
    <row r="4241">
      <c r="G4241" s="7"/>
    </row>
    <row r="4242">
      <c r="G4242" s="7"/>
    </row>
    <row r="4243">
      <c r="G4243" s="7"/>
    </row>
    <row r="4244">
      <c r="G4244" s="7"/>
    </row>
    <row r="4245">
      <c r="G4245" s="7"/>
    </row>
    <row r="4246">
      <c r="G4246" s="7"/>
    </row>
    <row r="4247">
      <c r="G4247" s="7"/>
    </row>
    <row r="4248">
      <c r="G4248" s="7"/>
    </row>
    <row r="4249">
      <c r="G4249" s="7"/>
    </row>
    <row r="4250">
      <c r="G4250" s="7"/>
    </row>
    <row r="4251">
      <c r="G4251" s="7"/>
    </row>
    <row r="4252">
      <c r="G4252" s="7"/>
    </row>
    <row r="4253">
      <c r="G4253" s="7"/>
    </row>
    <row r="4254">
      <c r="G4254" s="7"/>
    </row>
    <row r="4255">
      <c r="G4255" s="7"/>
    </row>
    <row r="4256">
      <c r="G4256" s="7"/>
    </row>
    <row r="4257">
      <c r="G4257" s="7"/>
    </row>
    <row r="4258">
      <c r="G4258" s="7"/>
    </row>
    <row r="4259">
      <c r="G4259" s="7"/>
    </row>
    <row r="4260">
      <c r="G4260" s="7"/>
    </row>
    <row r="4261">
      <c r="G4261" s="7"/>
    </row>
    <row r="4262">
      <c r="G4262" s="7"/>
    </row>
    <row r="4263">
      <c r="G4263" s="7"/>
    </row>
    <row r="4264">
      <c r="G4264" s="7"/>
    </row>
    <row r="4265">
      <c r="G4265" s="7"/>
    </row>
    <row r="4266">
      <c r="G4266" s="7"/>
    </row>
    <row r="4267">
      <c r="G4267" s="7"/>
    </row>
    <row r="4268">
      <c r="G4268" s="7"/>
    </row>
    <row r="4269">
      <c r="G4269" s="7"/>
    </row>
    <row r="4270">
      <c r="G4270" s="7"/>
    </row>
    <row r="4271">
      <c r="G4271" s="7"/>
    </row>
    <row r="4272">
      <c r="G4272" s="7"/>
    </row>
    <row r="4273">
      <c r="G4273" s="7"/>
    </row>
    <row r="4274">
      <c r="G4274" s="7"/>
    </row>
    <row r="4275">
      <c r="G4275" s="7"/>
    </row>
    <row r="4276">
      <c r="G4276" s="7"/>
    </row>
    <row r="4277">
      <c r="G4277" s="7"/>
    </row>
    <row r="4278">
      <c r="G4278" s="7"/>
    </row>
    <row r="4279">
      <c r="G4279" s="7"/>
    </row>
    <row r="4280">
      <c r="G4280" s="7"/>
    </row>
    <row r="4281">
      <c r="G4281" s="7"/>
    </row>
    <row r="4282">
      <c r="G4282" s="7"/>
    </row>
    <row r="4283">
      <c r="G4283" s="7"/>
    </row>
    <row r="4284">
      <c r="G4284" s="7"/>
    </row>
    <row r="4285">
      <c r="G4285" s="7"/>
    </row>
    <row r="4286">
      <c r="G4286" s="7"/>
    </row>
    <row r="4287">
      <c r="G4287" s="7"/>
    </row>
    <row r="4288">
      <c r="G4288" s="7"/>
    </row>
    <row r="4289">
      <c r="G4289" s="7"/>
    </row>
    <row r="4290">
      <c r="G4290" s="7"/>
    </row>
    <row r="4291">
      <c r="G4291" s="7"/>
    </row>
    <row r="4292">
      <c r="G4292" s="7"/>
    </row>
    <row r="4293">
      <c r="G4293" s="7"/>
    </row>
    <row r="4294">
      <c r="G4294" s="7"/>
    </row>
    <row r="4295">
      <c r="G4295" s="7"/>
    </row>
    <row r="4296">
      <c r="G4296" s="7"/>
    </row>
    <row r="4297">
      <c r="G4297" s="7"/>
    </row>
    <row r="4298">
      <c r="G4298" s="7"/>
    </row>
    <row r="4299">
      <c r="G4299" s="7"/>
    </row>
    <row r="4300">
      <c r="G4300" s="7"/>
    </row>
    <row r="4301">
      <c r="G4301" s="7"/>
    </row>
    <row r="4302">
      <c r="G4302" s="7"/>
    </row>
    <row r="4303">
      <c r="G4303" s="7"/>
    </row>
    <row r="4304">
      <c r="G4304" s="7"/>
    </row>
    <row r="4305">
      <c r="G4305" s="7"/>
    </row>
    <row r="4306">
      <c r="G4306" s="7"/>
    </row>
    <row r="4307">
      <c r="G4307" s="7"/>
    </row>
    <row r="4308">
      <c r="G4308" s="7"/>
    </row>
    <row r="4309">
      <c r="G4309" s="7"/>
    </row>
    <row r="4310">
      <c r="G4310" s="7"/>
    </row>
    <row r="4311">
      <c r="G4311" s="7"/>
    </row>
    <row r="4312">
      <c r="G4312" s="7"/>
    </row>
    <row r="4313">
      <c r="G4313" s="7"/>
    </row>
    <row r="4314">
      <c r="G4314" s="7"/>
    </row>
    <row r="4315">
      <c r="G4315" s="7"/>
    </row>
    <row r="4316">
      <c r="G4316" s="7"/>
    </row>
    <row r="4317">
      <c r="G4317" s="7"/>
    </row>
    <row r="4318">
      <c r="G4318" s="7"/>
    </row>
    <row r="4319">
      <c r="G4319" s="7"/>
    </row>
    <row r="4320">
      <c r="G4320" s="7"/>
    </row>
    <row r="4321">
      <c r="G4321" s="7"/>
    </row>
    <row r="4322">
      <c r="G4322" s="7"/>
    </row>
    <row r="4323">
      <c r="G4323" s="7"/>
    </row>
    <row r="4324">
      <c r="G4324" s="7"/>
    </row>
    <row r="4325">
      <c r="G4325" s="7"/>
    </row>
    <row r="4326">
      <c r="G4326" s="7"/>
    </row>
    <row r="4327">
      <c r="G4327" s="7"/>
    </row>
    <row r="4328">
      <c r="G4328" s="7"/>
    </row>
    <row r="4329">
      <c r="G4329" s="7"/>
    </row>
    <row r="4330">
      <c r="G4330" s="7"/>
    </row>
    <row r="4331">
      <c r="G4331" s="7"/>
    </row>
    <row r="4332">
      <c r="G4332" s="7"/>
    </row>
    <row r="4333">
      <c r="G4333" s="7"/>
    </row>
    <row r="4334">
      <c r="G4334" s="7"/>
    </row>
    <row r="4335">
      <c r="G4335" s="7"/>
    </row>
    <row r="4336">
      <c r="G4336" s="7"/>
    </row>
    <row r="4337">
      <c r="G4337" s="7"/>
    </row>
    <row r="4338">
      <c r="G4338" s="7"/>
    </row>
    <row r="4339">
      <c r="G4339" s="7"/>
    </row>
    <row r="4340">
      <c r="G4340" s="7"/>
    </row>
    <row r="4341">
      <c r="G4341" s="7"/>
    </row>
    <row r="4342">
      <c r="G4342" s="7"/>
    </row>
    <row r="4343">
      <c r="G4343" s="7"/>
    </row>
    <row r="4344">
      <c r="G4344" s="7"/>
    </row>
    <row r="4345">
      <c r="G4345" s="7"/>
    </row>
    <row r="4346">
      <c r="G4346" s="7"/>
    </row>
    <row r="4347">
      <c r="G4347" s="7"/>
    </row>
    <row r="4348">
      <c r="G4348" s="7"/>
    </row>
    <row r="4349">
      <c r="G4349" s="7"/>
    </row>
    <row r="4350">
      <c r="G4350" s="7"/>
    </row>
    <row r="4351">
      <c r="G4351" s="7"/>
    </row>
    <row r="4352">
      <c r="G4352" s="7"/>
    </row>
    <row r="4353">
      <c r="G4353" s="7"/>
    </row>
    <row r="4354">
      <c r="G4354" s="7"/>
    </row>
    <row r="4355">
      <c r="G4355" s="7"/>
    </row>
    <row r="4356">
      <c r="G4356" s="7"/>
    </row>
    <row r="4357">
      <c r="G4357" s="7"/>
    </row>
    <row r="4358">
      <c r="G4358" s="7"/>
    </row>
    <row r="4359">
      <c r="G4359" s="7"/>
    </row>
    <row r="4360">
      <c r="G4360" s="7"/>
    </row>
    <row r="4361">
      <c r="G4361" s="7"/>
    </row>
    <row r="4362">
      <c r="G4362" s="7"/>
    </row>
    <row r="4363">
      <c r="G4363" s="7"/>
    </row>
    <row r="4364">
      <c r="G4364" s="7"/>
    </row>
    <row r="4365">
      <c r="G4365" s="7"/>
    </row>
    <row r="4366">
      <c r="G4366" s="7"/>
    </row>
    <row r="4367">
      <c r="G4367" s="7"/>
    </row>
    <row r="4368">
      <c r="G4368" s="7"/>
    </row>
    <row r="4369">
      <c r="G4369" s="7"/>
    </row>
    <row r="4370">
      <c r="G4370" s="7"/>
    </row>
    <row r="4371">
      <c r="G4371" s="7"/>
    </row>
    <row r="4372">
      <c r="G4372" s="7"/>
    </row>
    <row r="4373">
      <c r="G4373" s="7"/>
    </row>
    <row r="4374">
      <c r="G4374" s="7"/>
    </row>
    <row r="4375">
      <c r="G4375" s="7"/>
    </row>
    <row r="4376">
      <c r="G4376" s="7"/>
    </row>
    <row r="4377">
      <c r="G4377" s="7"/>
    </row>
    <row r="4378">
      <c r="G4378" s="7"/>
    </row>
    <row r="4379">
      <c r="G4379" s="7"/>
    </row>
    <row r="4380">
      <c r="G4380" s="7"/>
    </row>
    <row r="4381">
      <c r="G4381" s="7"/>
    </row>
    <row r="4382">
      <c r="G4382" s="7"/>
    </row>
    <row r="4383">
      <c r="G4383" s="7"/>
    </row>
    <row r="4384">
      <c r="G4384" s="7"/>
    </row>
    <row r="4385">
      <c r="G4385" s="7"/>
    </row>
    <row r="4386">
      <c r="G4386" s="7"/>
    </row>
    <row r="4387">
      <c r="G4387" s="7"/>
    </row>
    <row r="4388">
      <c r="G4388" s="7"/>
    </row>
    <row r="4389">
      <c r="G4389" s="7"/>
    </row>
    <row r="4390">
      <c r="G4390" s="7"/>
    </row>
    <row r="4391">
      <c r="G4391" s="7"/>
    </row>
    <row r="4392">
      <c r="G4392" s="7"/>
    </row>
    <row r="4393">
      <c r="G4393" s="7"/>
    </row>
    <row r="4394">
      <c r="G4394" s="7"/>
    </row>
    <row r="4395">
      <c r="G4395" s="7"/>
    </row>
    <row r="4396">
      <c r="G4396" s="7"/>
    </row>
    <row r="4397">
      <c r="G4397" s="7"/>
    </row>
    <row r="4398">
      <c r="G4398" s="7"/>
    </row>
    <row r="4399">
      <c r="G4399" s="7"/>
    </row>
    <row r="4400">
      <c r="G4400" s="7"/>
    </row>
    <row r="4401">
      <c r="G4401" s="7"/>
    </row>
    <row r="4402">
      <c r="G4402" s="7"/>
    </row>
    <row r="4403">
      <c r="G4403" s="7"/>
    </row>
    <row r="4404">
      <c r="G4404" s="7"/>
    </row>
    <row r="4405">
      <c r="G4405" s="7"/>
    </row>
    <row r="4406">
      <c r="G4406" s="7"/>
    </row>
    <row r="4407">
      <c r="G4407" s="7"/>
    </row>
    <row r="4408">
      <c r="G4408" s="7"/>
    </row>
    <row r="4409">
      <c r="G4409" s="7"/>
    </row>
    <row r="4410">
      <c r="G4410" s="7"/>
    </row>
    <row r="4411">
      <c r="G4411" s="7"/>
    </row>
    <row r="4412">
      <c r="G4412" s="7"/>
    </row>
    <row r="4413">
      <c r="G4413" s="7"/>
    </row>
    <row r="4414">
      <c r="G4414" s="7"/>
    </row>
    <row r="4415">
      <c r="G4415" s="7"/>
    </row>
    <row r="4416">
      <c r="G4416" s="7"/>
    </row>
    <row r="4417">
      <c r="G4417" s="7"/>
    </row>
    <row r="4418">
      <c r="G4418" s="7"/>
    </row>
    <row r="4419">
      <c r="G4419" s="7"/>
    </row>
    <row r="4420">
      <c r="G4420" s="7"/>
    </row>
    <row r="4421">
      <c r="G4421" s="7"/>
    </row>
    <row r="4422">
      <c r="G4422" s="7"/>
    </row>
    <row r="4423">
      <c r="G4423" s="7"/>
    </row>
    <row r="4424">
      <c r="G4424" s="7"/>
    </row>
    <row r="4425">
      <c r="G4425" s="7"/>
    </row>
    <row r="4426">
      <c r="G4426" s="7"/>
    </row>
    <row r="4427">
      <c r="G4427" s="7"/>
    </row>
    <row r="4428">
      <c r="G4428" s="7"/>
    </row>
    <row r="4429">
      <c r="G4429" s="7"/>
    </row>
    <row r="4430">
      <c r="G4430" s="7"/>
    </row>
    <row r="4431">
      <c r="G4431" s="7"/>
    </row>
    <row r="4432">
      <c r="G4432" s="7"/>
    </row>
    <row r="4433">
      <c r="G4433" s="7"/>
    </row>
    <row r="4434">
      <c r="G4434" s="7"/>
    </row>
    <row r="4435">
      <c r="G4435" s="7"/>
    </row>
    <row r="4436">
      <c r="G4436" s="7"/>
    </row>
    <row r="4437">
      <c r="G4437" s="7"/>
    </row>
    <row r="4438">
      <c r="G4438" s="7"/>
    </row>
    <row r="4439">
      <c r="G4439" s="7"/>
    </row>
    <row r="4440">
      <c r="G4440" s="7"/>
    </row>
    <row r="4441">
      <c r="G4441" s="7"/>
    </row>
    <row r="4442">
      <c r="G4442" s="7"/>
    </row>
    <row r="4443">
      <c r="G4443" s="7"/>
    </row>
    <row r="4444">
      <c r="G4444" s="7"/>
    </row>
    <row r="4445">
      <c r="G4445" s="7"/>
    </row>
    <row r="4446">
      <c r="G4446" s="7"/>
    </row>
    <row r="4447">
      <c r="G4447" s="7"/>
    </row>
    <row r="4448">
      <c r="G4448" s="7"/>
    </row>
    <row r="4449">
      <c r="G4449" s="7"/>
    </row>
    <row r="4450">
      <c r="G4450" s="7"/>
    </row>
    <row r="4451">
      <c r="G4451" s="7"/>
    </row>
    <row r="4452">
      <c r="G4452" s="7"/>
    </row>
    <row r="4453">
      <c r="G4453" s="7"/>
    </row>
    <row r="4454">
      <c r="G4454" s="7"/>
    </row>
    <row r="4455">
      <c r="G4455" s="7"/>
    </row>
    <row r="4456">
      <c r="G4456" s="7"/>
    </row>
    <row r="4457">
      <c r="G4457" s="7"/>
    </row>
    <row r="4458">
      <c r="G4458" s="7"/>
    </row>
    <row r="4459">
      <c r="G4459" s="7"/>
    </row>
    <row r="4460">
      <c r="G4460" s="7"/>
    </row>
    <row r="4461">
      <c r="G4461" s="7"/>
    </row>
    <row r="4462">
      <c r="G4462" s="7"/>
    </row>
    <row r="4463">
      <c r="G4463" s="7"/>
    </row>
    <row r="4464">
      <c r="G4464" s="7"/>
    </row>
    <row r="4465">
      <c r="G4465" s="7"/>
    </row>
    <row r="4466">
      <c r="G4466" s="7"/>
    </row>
    <row r="4467">
      <c r="G4467" s="7"/>
    </row>
    <row r="4468">
      <c r="G4468" s="7"/>
    </row>
    <row r="4469">
      <c r="G4469" s="7"/>
    </row>
    <row r="4470">
      <c r="G4470" s="7"/>
    </row>
    <row r="4471">
      <c r="G4471" s="7"/>
    </row>
    <row r="4472">
      <c r="G4472" s="7"/>
    </row>
    <row r="4473">
      <c r="G4473" s="7"/>
    </row>
    <row r="4474">
      <c r="G4474" s="7"/>
    </row>
    <row r="4475">
      <c r="G4475" s="7"/>
    </row>
    <row r="4476">
      <c r="G4476" s="7"/>
    </row>
    <row r="4477">
      <c r="G4477" s="7"/>
    </row>
    <row r="4478">
      <c r="G4478" s="7"/>
    </row>
    <row r="4479">
      <c r="G4479" s="7"/>
    </row>
    <row r="4480">
      <c r="G4480" s="7"/>
    </row>
    <row r="4481">
      <c r="G4481" s="7"/>
    </row>
    <row r="4482">
      <c r="G4482" s="7"/>
    </row>
    <row r="4483">
      <c r="G4483" s="7"/>
    </row>
    <row r="4484">
      <c r="G4484" s="7"/>
    </row>
    <row r="4485">
      <c r="G4485" s="7"/>
    </row>
    <row r="4486">
      <c r="G4486" s="7"/>
    </row>
    <row r="4487">
      <c r="G4487" s="7"/>
    </row>
    <row r="4488">
      <c r="G4488" s="7"/>
    </row>
    <row r="4489">
      <c r="G4489" s="7"/>
    </row>
    <row r="4490">
      <c r="G4490" s="7"/>
    </row>
    <row r="4491">
      <c r="G4491" s="7"/>
    </row>
    <row r="4492">
      <c r="G4492" s="7"/>
    </row>
    <row r="4493">
      <c r="G4493" s="7"/>
    </row>
    <row r="4494">
      <c r="G4494" s="7"/>
    </row>
    <row r="4495">
      <c r="G4495" s="7"/>
    </row>
    <row r="4496">
      <c r="G4496" s="7"/>
    </row>
    <row r="4497">
      <c r="G4497" s="7"/>
    </row>
    <row r="4498">
      <c r="G4498" s="7"/>
    </row>
    <row r="4499">
      <c r="G4499" s="7"/>
    </row>
    <row r="4500">
      <c r="G4500" s="7"/>
    </row>
    <row r="4501">
      <c r="G4501" s="7"/>
    </row>
    <row r="4502">
      <c r="G4502" s="7"/>
    </row>
    <row r="4503">
      <c r="G4503" s="7"/>
    </row>
    <row r="4504">
      <c r="G4504" s="7"/>
    </row>
    <row r="4505">
      <c r="G4505" s="7"/>
    </row>
    <row r="4506">
      <c r="G4506" s="7"/>
    </row>
    <row r="4507">
      <c r="G4507" s="7"/>
    </row>
    <row r="4508">
      <c r="G4508" s="7"/>
    </row>
    <row r="4509">
      <c r="G4509" s="7"/>
    </row>
    <row r="4510">
      <c r="G4510" s="7"/>
    </row>
    <row r="4511">
      <c r="G4511" s="7"/>
    </row>
    <row r="4512">
      <c r="G4512" s="7"/>
    </row>
    <row r="4513">
      <c r="G4513" s="7"/>
    </row>
    <row r="4514">
      <c r="G4514" s="7"/>
    </row>
    <row r="4515">
      <c r="G4515" s="7"/>
    </row>
    <row r="4516">
      <c r="G4516" s="7"/>
    </row>
    <row r="4517">
      <c r="G4517" s="7"/>
    </row>
    <row r="4518">
      <c r="G4518" s="7"/>
    </row>
    <row r="4519">
      <c r="G4519" s="7"/>
    </row>
    <row r="4520">
      <c r="G4520" s="7"/>
    </row>
    <row r="4521">
      <c r="G4521" s="7"/>
    </row>
    <row r="4522">
      <c r="G4522" s="7"/>
    </row>
    <row r="4523">
      <c r="G4523" s="7"/>
    </row>
    <row r="4524">
      <c r="G4524" s="7"/>
    </row>
    <row r="4525">
      <c r="G4525" s="7"/>
    </row>
    <row r="4526">
      <c r="G4526" s="7"/>
    </row>
    <row r="4527">
      <c r="G4527" s="7"/>
    </row>
    <row r="4528">
      <c r="G4528" s="7"/>
    </row>
    <row r="4529">
      <c r="G4529" s="7"/>
    </row>
    <row r="4530">
      <c r="G4530" s="7"/>
    </row>
    <row r="4531">
      <c r="G4531" s="7"/>
    </row>
    <row r="4532">
      <c r="G4532" s="7"/>
    </row>
    <row r="4533">
      <c r="G4533" s="7"/>
    </row>
    <row r="4534">
      <c r="G4534" s="7"/>
    </row>
    <row r="4535">
      <c r="G4535" s="7"/>
    </row>
    <row r="4536">
      <c r="G4536" s="7"/>
    </row>
    <row r="4537">
      <c r="G4537" s="7"/>
    </row>
    <row r="4538">
      <c r="G4538" s="7"/>
    </row>
    <row r="4539">
      <c r="G4539" s="7"/>
    </row>
    <row r="4540">
      <c r="G4540" s="7"/>
    </row>
    <row r="4541">
      <c r="G4541" s="7"/>
    </row>
    <row r="4542">
      <c r="G4542" s="7"/>
    </row>
    <row r="4543">
      <c r="G4543" s="7"/>
    </row>
    <row r="4544">
      <c r="G4544" s="7"/>
    </row>
    <row r="4545">
      <c r="G4545" s="7"/>
    </row>
    <row r="4546">
      <c r="G4546" s="7"/>
    </row>
    <row r="4547">
      <c r="G4547" s="7"/>
    </row>
    <row r="4548">
      <c r="G4548" s="7"/>
    </row>
    <row r="4549">
      <c r="G4549" s="7"/>
    </row>
    <row r="4550">
      <c r="G4550" s="7"/>
    </row>
    <row r="4551">
      <c r="G4551" s="7"/>
    </row>
    <row r="4552">
      <c r="G4552" s="7"/>
    </row>
    <row r="4553">
      <c r="G4553" s="7"/>
    </row>
    <row r="4554">
      <c r="G4554" s="7"/>
    </row>
    <row r="4555">
      <c r="G4555" s="7"/>
    </row>
    <row r="4556">
      <c r="G4556" s="7"/>
    </row>
    <row r="4557">
      <c r="G4557" s="7"/>
    </row>
    <row r="4558">
      <c r="G4558" s="7"/>
    </row>
    <row r="4559">
      <c r="G4559" s="7"/>
    </row>
    <row r="4560">
      <c r="G4560" s="7"/>
    </row>
    <row r="4561">
      <c r="G4561" s="7"/>
    </row>
    <row r="4562">
      <c r="G4562" s="7"/>
    </row>
    <row r="4563">
      <c r="G4563" s="7"/>
    </row>
    <row r="4564">
      <c r="G4564" s="7"/>
    </row>
    <row r="4565">
      <c r="G4565" s="7"/>
    </row>
    <row r="4566">
      <c r="G4566" s="7"/>
    </row>
    <row r="4567">
      <c r="G4567" s="7"/>
    </row>
    <row r="4568">
      <c r="G4568" s="7"/>
    </row>
    <row r="4569">
      <c r="G4569" s="7"/>
    </row>
    <row r="4570">
      <c r="G4570" s="7"/>
    </row>
    <row r="4571">
      <c r="G4571" s="7"/>
    </row>
    <row r="4572">
      <c r="G4572" s="7"/>
    </row>
    <row r="4573">
      <c r="G4573" s="7"/>
    </row>
    <row r="4574">
      <c r="G4574" s="7"/>
    </row>
    <row r="4575">
      <c r="G4575" s="7"/>
    </row>
    <row r="4576">
      <c r="G4576" s="7"/>
    </row>
    <row r="4577">
      <c r="G4577" s="7"/>
    </row>
    <row r="4578">
      <c r="G4578" s="7"/>
    </row>
    <row r="4579">
      <c r="G4579" s="7"/>
    </row>
    <row r="4580">
      <c r="G4580" s="7"/>
    </row>
    <row r="4581">
      <c r="G4581" s="7"/>
    </row>
    <row r="4582">
      <c r="G4582" s="7"/>
    </row>
    <row r="4583">
      <c r="G4583" s="7"/>
    </row>
    <row r="4584">
      <c r="G4584" s="7"/>
    </row>
    <row r="4585">
      <c r="G4585" s="7"/>
    </row>
    <row r="4586">
      <c r="G4586" s="7"/>
    </row>
    <row r="4587">
      <c r="G4587" s="7"/>
    </row>
    <row r="4588">
      <c r="G4588" s="7"/>
    </row>
    <row r="4589">
      <c r="G4589" s="7"/>
    </row>
    <row r="4590">
      <c r="G4590" s="7"/>
    </row>
    <row r="4591">
      <c r="G4591" s="7"/>
    </row>
    <row r="4592">
      <c r="G4592" s="7"/>
    </row>
    <row r="4593">
      <c r="G4593" s="7"/>
    </row>
    <row r="4594">
      <c r="G4594" s="7"/>
    </row>
    <row r="4595">
      <c r="G4595" s="7"/>
    </row>
    <row r="4596">
      <c r="G4596" s="7"/>
    </row>
    <row r="4597">
      <c r="G4597" s="7"/>
    </row>
    <row r="4598">
      <c r="G4598" s="7"/>
    </row>
    <row r="4599">
      <c r="G4599" s="7"/>
    </row>
    <row r="4600">
      <c r="G4600" s="7"/>
    </row>
    <row r="4601">
      <c r="G4601" s="7"/>
    </row>
    <row r="4602">
      <c r="G4602" s="7"/>
    </row>
    <row r="4603">
      <c r="G4603" s="7"/>
    </row>
    <row r="4604">
      <c r="G4604" s="7"/>
    </row>
    <row r="4605">
      <c r="G4605" s="7"/>
    </row>
    <row r="4606">
      <c r="G4606" s="7"/>
    </row>
    <row r="4607">
      <c r="G4607" s="7"/>
    </row>
    <row r="4608">
      <c r="G4608" s="7"/>
    </row>
    <row r="4609">
      <c r="G4609" s="7"/>
    </row>
    <row r="4610">
      <c r="G4610" s="7"/>
    </row>
    <row r="4611">
      <c r="G4611" s="7"/>
    </row>
    <row r="4612">
      <c r="G4612" s="7"/>
    </row>
    <row r="4613">
      <c r="G4613" s="7"/>
    </row>
    <row r="4614">
      <c r="G4614" s="7"/>
    </row>
    <row r="4615">
      <c r="G4615" s="7"/>
    </row>
    <row r="4616">
      <c r="G4616" s="7"/>
    </row>
    <row r="4617">
      <c r="G4617" s="7"/>
    </row>
    <row r="4618">
      <c r="G4618" s="7"/>
    </row>
    <row r="4619">
      <c r="G4619" s="7"/>
    </row>
    <row r="4620">
      <c r="G4620" s="7"/>
    </row>
    <row r="4621">
      <c r="G4621" s="7"/>
    </row>
    <row r="4622">
      <c r="G4622" s="7"/>
    </row>
    <row r="4623">
      <c r="G4623" s="7"/>
    </row>
    <row r="4624">
      <c r="G4624" s="7"/>
    </row>
    <row r="4625">
      <c r="G4625" s="7"/>
    </row>
    <row r="4626">
      <c r="G4626" s="7"/>
    </row>
    <row r="4627">
      <c r="G4627" s="7"/>
    </row>
    <row r="4628">
      <c r="G4628" s="7"/>
    </row>
    <row r="4629">
      <c r="G4629" s="7"/>
    </row>
    <row r="4630">
      <c r="G4630" s="7"/>
    </row>
    <row r="4631">
      <c r="G4631" s="7"/>
    </row>
    <row r="4632">
      <c r="G4632" s="7"/>
    </row>
    <row r="4633">
      <c r="G4633" s="7"/>
    </row>
    <row r="4634">
      <c r="G4634" s="7"/>
    </row>
    <row r="4635">
      <c r="G4635" s="7"/>
    </row>
    <row r="4636">
      <c r="G4636" s="7"/>
    </row>
    <row r="4637">
      <c r="G4637" s="7"/>
    </row>
    <row r="4638">
      <c r="G4638" s="7"/>
    </row>
    <row r="4639">
      <c r="G4639" s="7"/>
    </row>
    <row r="4640">
      <c r="G4640" s="7"/>
    </row>
    <row r="4641">
      <c r="G4641" s="7"/>
    </row>
    <row r="4642">
      <c r="G4642" s="7"/>
    </row>
    <row r="4643">
      <c r="G4643" s="7"/>
    </row>
    <row r="4644">
      <c r="G4644" s="7"/>
    </row>
    <row r="4645">
      <c r="G4645" s="7"/>
    </row>
    <row r="4646">
      <c r="G4646" s="7"/>
    </row>
    <row r="4647">
      <c r="G4647" s="7"/>
    </row>
    <row r="4648">
      <c r="G4648" s="7"/>
    </row>
    <row r="4649">
      <c r="G4649" s="7"/>
    </row>
    <row r="4650">
      <c r="G4650" s="7"/>
    </row>
    <row r="4651">
      <c r="G4651" s="7"/>
    </row>
    <row r="4652">
      <c r="G4652" s="7"/>
    </row>
    <row r="4653">
      <c r="G4653" s="7"/>
    </row>
    <row r="4654">
      <c r="G4654" s="7"/>
    </row>
    <row r="4655">
      <c r="G4655" s="7"/>
    </row>
    <row r="4656">
      <c r="G4656" s="7"/>
    </row>
    <row r="4657">
      <c r="G4657" s="7"/>
    </row>
    <row r="4658">
      <c r="G4658" s="7"/>
    </row>
    <row r="4659">
      <c r="G4659" s="7"/>
    </row>
    <row r="4660">
      <c r="G4660" s="7"/>
    </row>
    <row r="4661">
      <c r="G4661" s="7"/>
    </row>
    <row r="4662">
      <c r="G4662" s="7"/>
    </row>
    <row r="4663">
      <c r="G4663" s="7"/>
    </row>
    <row r="4664">
      <c r="G4664" s="7"/>
    </row>
    <row r="4665">
      <c r="G4665" s="7"/>
    </row>
    <row r="4666">
      <c r="G4666" s="7"/>
    </row>
    <row r="4667">
      <c r="G4667" s="7"/>
    </row>
    <row r="4668">
      <c r="G4668" s="7"/>
    </row>
    <row r="4669">
      <c r="G4669" s="7"/>
    </row>
    <row r="4670">
      <c r="G4670" s="7"/>
    </row>
    <row r="4671">
      <c r="G4671" s="7"/>
    </row>
    <row r="4672">
      <c r="G4672" s="7"/>
    </row>
    <row r="4673">
      <c r="G4673" s="7"/>
    </row>
    <row r="4674">
      <c r="G4674" s="7"/>
    </row>
    <row r="4675">
      <c r="G4675" s="7"/>
    </row>
    <row r="4676">
      <c r="G4676" s="7"/>
    </row>
    <row r="4677">
      <c r="G4677" s="7"/>
    </row>
    <row r="4678">
      <c r="G4678" s="7"/>
    </row>
    <row r="4679">
      <c r="G4679" s="7"/>
    </row>
    <row r="4680">
      <c r="G4680" s="7"/>
    </row>
    <row r="4681">
      <c r="G4681" s="7"/>
    </row>
    <row r="4682">
      <c r="G4682" s="7"/>
    </row>
    <row r="4683">
      <c r="G4683" s="7"/>
    </row>
    <row r="4684">
      <c r="G4684" s="7"/>
    </row>
    <row r="4685">
      <c r="G4685" s="7"/>
    </row>
    <row r="4686">
      <c r="G4686" s="7"/>
    </row>
    <row r="4687">
      <c r="G4687" s="7"/>
    </row>
    <row r="4688">
      <c r="G4688" s="7"/>
    </row>
    <row r="4689">
      <c r="G4689" s="7"/>
    </row>
    <row r="4690">
      <c r="G4690" s="7"/>
    </row>
    <row r="4691">
      <c r="G4691" s="7"/>
    </row>
    <row r="4692">
      <c r="G4692" s="7"/>
    </row>
    <row r="4693">
      <c r="G4693" s="7"/>
    </row>
    <row r="4694">
      <c r="G4694" s="7"/>
    </row>
    <row r="4695">
      <c r="G4695" s="7"/>
    </row>
    <row r="4696">
      <c r="G4696" s="7"/>
    </row>
    <row r="4697">
      <c r="G4697" s="7"/>
    </row>
    <row r="4698">
      <c r="G4698" s="7"/>
    </row>
    <row r="4699">
      <c r="G4699" s="7"/>
    </row>
    <row r="4700">
      <c r="G4700" s="7"/>
    </row>
    <row r="4701">
      <c r="G4701" s="7"/>
    </row>
    <row r="4702">
      <c r="G4702" s="7"/>
    </row>
    <row r="4703">
      <c r="G4703" s="7"/>
    </row>
    <row r="4704">
      <c r="G4704" s="7"/>
    </row>
    <row r="4705">
      <c r="G4705" s="7"/>
    </row>
    <row r="4706">
      <c r="G4706" s="7"/>
    </row>
    <row r="4707">
      <c r="G4707" s="7"/>
    </row>
    <row r="4708">
      <c r="G4708" s="7"/>
    </row>
    <row r="4709">
      <c r="G4709" s="7"/>
    </row>
    <row r="4710">
      <c r="G4710" s="7"/>
    </row>
    <row r="4711">
      <c r="G4711" s="7"/>
    </row>
    <row r="4712">
      <c r="G4712" s="7"/>
    </row>
    <row r="4713">
      <c r="G4713" s="7"/>
    </row>
    <row r="4714">
      <c r="G4714" s="7"/>
    </row>
    <row r="4715">
      <c r="G4715" s="7"/>
    </row>
    <row r="4716">
      <c r="G4716" s="7"/>
    </row>
    <row r="4717">
      <c r="G4717" s="7"/>
    </row>
    <row r="4718">
      <c r="G4718" s="7"/>
    </row>
    <row r="4719">
      <c r="G4719" s="7"/>
    </row>
    <row r="4720">
      <c r="G4720" s="7"/>
    </row>
    <row r="4721">
      <c r="G4721" s="7"/>
    </row>
    <row r="4722">
      <c r="G4722" s="7"/>
    </row>
    <row r="4723">
      <c r="G4723" s="7"/>
    </row>
    <row r="4724">
      <c r="G4724" s="7"/>
    </row>
    <row r="4725">
      <c r="G4725" s="7"/>
    </row>
    <row r="4726">
      <c r="G4726" s="7"/>
    </row>
    <row r="4727">
      <c r="G4727" s="7"/>
    </row>
    <row r="4728">
      <c r="G4728" s="7"/>
    </row>
    <row r="4729">
      <c r="G4729" s="7"/>
    </row>
    <row r="4730">
      <c r="G4730" s="7"/>
    </row>
    <row r="4731">
      <c r="G4731" s="7"/>
    </row>
    <row r="4732">
      <c r="G4732" s="7"/>
    </row>
    <row r="4733">
      <c r="G4733" s="7"/>
    </row>
    <row r="4734">
      <c r="G4734" s="7"/>
    </row>
    <row r="4735">
      <c r="G4735" s="7"/>
    </row>
    <row r="4736">
      <c r="G4736" s="7"/>
    </row>
    <row r="4737">
      <c r="G4737" s="7"/>
    </row>
    <row r="4738">
      <c r="G4738" s="7"/>
    </row>
    <row r="4739">
      <c r="G4739" s="7"/>
    </row>
    <row r="4740">
      <c r="G4740" s="7"/>
    </row>
    <row r="4741">
      <c r="G4741" s="7"/>
    </row>
    <row r="4742">
      <c r="G4742" s="7"/>
    </row>
    <row r="4743">
      <c r="G4743" s="7"/>
    </row>
    <row r="4744">
      <c r="G4744" s="7"/>
    </row>
    <row r="4745">
      <c r="G4745" s="7"/>
    </row>
    <row r="4746">
      <c r="G4746" s="7"/>
    </row>
    <row r="4747">
      <c r="G4747" s="7"/>
    </row>
    <row r="4748">
      <c r="G4748" s="7"/>
    </row>
    <row r="4749">
      <c r="G4749" s="7"/>
    </row>
    <row r="4750">
      <c r="G4750" s="7"/>
    </row>
    <row r="4751">
      <c r="G4751" s="7"/>
    </row>
    <row r="4752">
      <c r="G4752" s="7"/>
    </row>
    <row r="4753">
      <c r="G4753" s="7"/>
    </row>
    <row r="4754">
      <c r="G4754" s="7"/>
    </row>
    <row r="4755">
      <c r="G4755" s="7"/>
    </row>
    <row r="4756">
      <c r="G4756" s="7"/>
    </row>
    <row r="4757">
      <c r="G4757" s="7"/>
    </row>
    <row r="4758">
      <c r="G4758" s="7"/>
    </row>
    <row r="4759">
      <c r="G4759" s="7"/>
    </row>
    <row r="4760">
      <c r="G4760" s="7"/>
    </row>
    <row r="4761">
      <c r="G4761" s="7"/>
    </row>
    <row r="4762">
      <c r="G4762" s="7"/>
    </row>
    <row r="4763">
      <c r="G4763" s="7"/>
    </row>
    <row r="4764">
      <c r="G4764" s="7"/>
    </row>
    <row r="4765">
      <c r="G4765" s="7"/>
    </row>
    <row r="4766">
      <c r="G4766" s="7"/>
    </row>
    <row r="4767">
      <c r="G4767" s="7"/>
    </row>
    <row r="4768">
      <c r="G4768" s="7"/>
    </row>
    <row r="4769">
      <c r="G4769" s="7"/>
    </row>
    <row r="4770">
      <c r="G4770" s="7"/>
    </row>
    <row r="4771">
      <c r="G4771" s="7"/>
    </row>
    <row r="4772">
      <c r="G4772" s="7"/>
    </row>
    <row r="4773">
      <c r="G4773" s="7"/>
    </row>
    <row r="4774">
      <c r="G4774" s="7"/>
    </row>
    <row r="4775">
      <c r="G4775" s="7"/>
    </row>
    <row r="4776">
      <c r="G4776" s="7"/>
    </row>
    <row r="4777">
      <c r="G4777" s="7"/>
    </row>
    <row r="4778">
      <c r="G4778" s="7"/>
    </row>
    <row r="4779">
      <c r="G4779" s="7"/>
    </row>
    <row r="4780">
      <c r="G4780" s="7"/>
    </row>
    <row r="4781">
      <c r="G4781" s="7"/>
    </row>
    <row r="4782">
      <c r="G4782" s="7"/>
    </row>
    <row r="4783">
      <c r="G4783" s="7"/>
    </row>
    <row r="4784">
      <c r="G4784" s="7"/>
    </row>
    <row r="4785">
      <c r="G4785" s="7"/>
    </row>
    <row r="4786">
      <c r="G4786" s="7"/>
    </row>
    <row r="4787">
      <c r="G4787" s="7"/>
    </row>
    <row r="4788">
      <c r="G4788" s="7"/>
    </row>
    <row r="4789">
      <c r="G4789" s="7"/>
    </row>
    <row r="4790">
      <c r="G4790" s="7"/>
    </row>
    <row r="4791">
      <c r="G4791" s="7"/>
    </row>
    <row r="4792">
      <c r="G4792" s="7"/>
    </row>
    <row r="4793">
      <c r="G4793" s="7"/>
    </row>
    <row r="4794">
      <c r="G4794" s="7"/>
    </row>
    <row r="4795">
      <c r="G4795" s="7"/>
    </row>
    <row r="4796">
      <c r="G4796" s="7"/>
    </row>
    <row r="4797">
      <c r="G4797" s="7"/>
    </row>
    <row r="4798">
      <c r="G4798" s="7"/>
    </row>
    <row r="4799">
      <c r="G4799" s="7"/>
    </row>
    <row r="4800">
      <c r="G4800" s="7"/>
    </row>
    <row r="4801">
      <c r="G4801" s="7"/>
    </row>
    <row r="4802">
      <c r="G4802" s="7"/>
    </row>
    <row r="4803">
      <c r="G4803" s="7"/>
    </row>
    <row r="4804">
      <c r="G4804" s="7"/>
    </row>
    <row r="4805">
      <c r="G4805" s="7"/>
    </row>
    <row r="4806">
      <c r="G4806" s="7"/>
    </row>
    <row r="4807">
      <c r="G4807" s="7"/>
    </row>
    <row r="4808">
      <c r="G4808" s="7"/>
    </row>
    <row r="4809">
      <c r="G4809" s="7"/>
    </row>
    <row r="4810">
      <c r="G4810" s="7"/>
    </row>
    <row r="4811">
      <c r="G4811" s="7"/>
    </row>
    <row r="4812">
      <c r="G4812" s="7"/>
    </row>
    <row r="4813">
      <c r="G4813" s="7"/>
    </row>
    <row r="4814">
      <c r="G4814" s="7"/>
    </row>
    <row r="4815">
      <c r="G4815" s="7"/>
    </row>
    <row r="4816">
      <c r="G4816" s="7"/>
    </row>
    <row r="4817">
      <c r="G4817" s="7"/>
    </row>
    <row r="4818">
      <c r="G4818" s="7"/>
    </row>
    <row r="4819">
      <c r="G4819" s="7"/>
    </row>
    <row r="4820">
      <c r="G4820" s="7"/>
    </row>
    <row r="4821">
      <c r="G4821" s="7"/>
    </row>
    <row r="4822">
      <c r="G4822" s="7"/>
    </row>
    <row r="4823">
      <c r="G4823" s="7"/>
    </row>
    <row r="4824">
      <c r="G4824" s="7"/>
    </row>
    <row r="4825">
      <c r="G4825" s="7"/>
    </row>
    <row r="4826">
      <c r="G4826" s="7"/>
    </row>
    <row r="4827">
      <c r="G4827" s="7"/>
    </row>
    <row r="4828">
      <c r="G4828" s="7"/>
    </row>
    <row r="4829">
      <c r="G4829" s="7"/>
    </row>
    <row r="4830">
      <c r="G4830" s="7"/>
    </row>
    <row r="4831">
      <c r="G4831" s="7"/>
    </row>
    <row r="4832">
      <c r="G4832" s="7"/>
    </row>
    <row r="4833">
      <c r="G4833" s="7"/>
    </row>
    <row r="4834">
      <c r="G4834" s="7"/>
    </row>
    <row r="4835">
      <c r="G4835" s="7"/>
    </row>
    <row r="4836">
      <c r="G4836" s="7"/>
    </row>
    <row r="4837">
      <c r="G4837" s="7"/>
    </row>
    <row r="4838">
      <c r="G4838" s="7"/>
    </row>
    <row r="4839">
      <c r="G4839" s="7"/>
    </row>
    <row r="4840">
      <c r="G4840" s="7"/>
    </row>
    <row r="4841">
      <c r="G4841" s="7"/>
    </row>
    <row r="4842">
      <c r="G4842" s="7"/>
    </row>
    <row r="4843">
      <c r="G4843" s="7"/>
    </row>
    <row r="4844">
      <c r="G4844" s="7"/>
    </row>
    <row r="4845">
      <c r="G4845" s="7"/>
    </row>
    <row r="4846">
      <c r="G4846" s="7"/>
    </row>
    <row r="4847">
      <c r="G4847" s="7"/>
    </row>
    <row r="4848">
      <c r="G4848" s="7"/>
    </row>
    <row r="4849">
      <c r="G4849" s="7"/>
    </row>
    <row r="4850">
      <c r="G4850" s="7"/>
    </row>
    <row r="4851">
      <c r="G4851" s="7"/>
    </row>
    <row r="4852">
      <c r="G4852" s="7"/>
    </row>
    <row r="4853">
      <c r="G4853" s="7"/>
    </row>
    <row r="4854">
      <c r="G4854" s="7"/>
    </row>
    <row r="4855">
      <c r="G4855" s="7"/>
    </row>
    <row r="4856">
      <c r="G4856" s="7"/>
    </row>
    <row r="4857">
      <c r="G4857" s="7"/>
    </row>
    <row r="4858">
      <c r="G4858" s="7"/>
    </row>
    <row r="4859">
      <c r="G4859" s="7"/>
    </row>
    <row r="4860">
      <c r="G4860" s="7"/>
    </row>
    <row r="4861">
      <c r="G4861" s="7"/>
    </row>
    <row r="4862">
      <c r="G4862" s="7"/>
    </row>
    <row r="4863">
      <c r="G4863" s="7"/>
    </row>
    <row r="4864">
      <c r="G4864" s="7"/>
    </row>
    <row r="4865">
      <c r="G4865" s="7"/>
    </row>
    <row r="4866">
      <c r="G4866" s="7"/>
    </row>
    <row r="4867">
      <c r="G4867" s="7"/>
    </row>
    <row r="4868">
      <c r="G4868" s="7"/>
    </row>
    <row r="4869">
      <c r="G4869" s="7"/>
    </row>
    <row r="4870">
      <c r="G4870" s="7"/>
    </row>
    <row r="4871">
      <c r="G4871" s="7"/>
    </row>
    <row r="4872">
      <c r="G4872" s="7"/>
    </row>
    <row r="4873">
      <c r="G4873" s="7"/>
    </row>
    <row r="4874">
      <c r="G4874" s="7"/>
    </row>
    <row r="4875">
      <c r="G4875" s="7"/>
    </row>
    <row r="4876">
      <c r="G4876" s="7"/>
    </row>
    <row r="4877">
      <c r="G4877" s="7"/>
    </row>
    <row r="4878">
      <c r="G4878" s="7"/>
    </row>
    <row r="4879">
      <c r="G4879" s="7"/>
    </row>
    <row r="4880">
      <c r="G4880" s="7"/>
    </row>
    <row r="4881">
      <c r="G4881" s="7"/>
    </row>
    <row r="4882">
      <c r="G4882" s="7"/>
    </row>
    <row r="4883">
      <c r="G4883" s="7"/>
    </row>
    <row r="4884">
      <c r="G4884" s="7"/>
    </row>
    <row r="4885">
      <c r="G4885" s="7"/>
    </row>
    <row r="4886">
      <c r="G4886" s="7"/>
    </row>
    <row r="4887">
      <c r="G4887" s="7"/>
    </row>
    <row r="4888">
      <c r="G4888" s="7"/>
    </row>
    <row r="4889">
      <c r="G4889" s="7"/>
    </row>
    <row r="4890">
      <c r="G4890" s="7"/>
    </row>
    <row r="4891">
      <c r="G4891" s="7"/>
    </row>
    <row r="4892">
      <c r="G4892" s="7"/>
    </row>
    <row r="4893">
      <c r="G4893" s="7"/>
    </row>
    <row r="4894">
      <c r="G4894" s="7"/>
    </row>
    <row r="4895">
      <c r="G4895" s="7"/>
    </row>
    <row r="4896">
      <c r="G4896" s="7"/>
    </row>
    <row r="4897">
      <c r="G4897" s="7"/>
    </row>
    <row r="4898">
      <c r="G4898" s="7"/>
    </row>
    <row r="4899">
      <c r="G4899" s="7"/>
    </row>
    <row r="4900">
      <c r="G4900" s="7"/>
    </row>
    <row r="4901">
      <c r="G4901" s="7"/>
    </row>
    <row r="4902">
      <c r="G4902" s="7"/>
    </row>
    <row r="4903">
      <c r="G4903" s="7"/>
    </row>
    <row r="4904">
      <c r="G4904" s="7"/>
    </row>
    <row r="4905">
      <c r="G4905" s="7"/>
    </row>
    <row r="4906">
      <c r="G4906" s="7"/>
    </row>
    <row r="4907">
      <c r="G4907" s="7"/>
    </row>
    <row r="4908">
      <c r="G4908" s="7"/>
    </row>
    <row r="4909">
      <c r="G4909" s="7"/>
    </row>
    <row r="4910">
      <c r="G4910" s="7"/>
    </row>
    <row r="4911">
      <c r="G4911" s="7"/>
    </row>
    <row r="4912">
      <c r="G4912" s="7"/>
    </row>
    <row r="4913">
      <c r="G4913" s="7"/>
    </row>
    <row r="4914">
      <c r="G4914" s="7"/>
    </row>
    <row r="4915">
      <c r="G4915" s="7"/>
    </row>
    <row r="4916">
      <c r="G4916" s="7"/>
    </row>
    <row r="4917">
      <c r="G4917" s="7"/>
    </row>
    <row r="4918">
      <c r="G4918" s="7"/>
    </row>
    <row r="4919">
      <c r="G4919" s="7"/>
    </row>
    <row r="4920">
      <c r="G4920" s="7"/>
    </row>
    <row r="4921">
      <c r="G4921" s="7"/>
    </row>
    <row r="4922">
      <c r="G4922" s="7"/>
    </row>
    <row r="4923">
      <c r="G4923" s="7"/>
    </row>
    <row r="4924">
      <c r="G4924" s="7"/>
    </row>
    <row r="4925">
      <c r="G4925" s="7"/>
    </row>
    <row r="4926">
      <c r="G4926" s="7"/>
    </row>
    <row r="4927">
      <c r="G4927" s="7"/>
    </row>
    <row r="4928">
      <c r="G4928" s="7"/>
    </row>
    <row r="4929">
      <c r="G4929" s="7"/>
    </row>
    <row r="4930">
      <c r="G4930" s="7"/>
    </row>
    <row r="4931">
      <c r="G4931" s="7"/>
    </row>
    <row r="4932">
      <c r="G4932" s="7"/>
    </row>
    <row r="4933">
      <c r="G4933" s="7"/>
    </row>
    <row r="4934">
      <c r="G4934" s="7"/>
    </row>
    <row r="4935">
      <c r="G4935" s="7"/>
    </row>
    <row r="4936">
      <c r="G4936" s="7"/>
    </row>
    <row r="4937">
      <c r="G4937" s="7"/>
    </row>
    <row r="4938">
      <c r="G4938" s="7"/>
    </row>
    <row r="4939">
      <c r="G4939" s="7"/>
    </row>
    <row r="4940">
      <c r="G4940" s="7"/>
    </row>
    <row r="4941">
      <c r="G4941" s="7"/>
    </row>
    <row r="4942">
      <c r="G4942" s="7"/>
    </row>
    <row r="4943">
      <c r="G4943" s="7"/>
    </row>
    <row r="4944">
      <c r="G4944" s="7"/>
    </row>
    <row r="4945">
      <c r="G4945" s="7"/>
    </row>
    <row r="4946">
      <c r="G4946" s="7"/>
    </row>
    <row r="4947">
      <c r="G4947" s="7"/>
    </row>
    <row r="4948">
      <c r="G4948" s="7"/>
    </row>
    <row r="4949">
      <c r="G4949" s="7"/>
    </row>
    <row r="4950">
      <c r="G4950" s="7"/>
    </row>
    <row r="4951">
      <c r="G4951" s="7"/>
    </row>
    <row r="4952">
      <c r="G4952" s="7"/>
    </row>
    <row r="4953">
      <c r="G4953" s="7"/>
    </row>
    <row r="4954">
      <c r="G4954" s="7"/>
    </row>
    <row r="4955">
      <c r="G4955" s="7"/>
    </row>
    <row r="4956">
      <c r="G4956" s="7"/>
    </row>
    <row r="4957">
      <c r="G4957" s="7"/>
    </row>
    <row r="4958">
      <c r="G4958" s="7"/>
    </row>
    <row r="4959">
      <c r="G4959" s="7"/>
    </row>
    <row r="4960">
      <c r="G4960" s="7"/>
    </row>
    <row r="4961">
      <c r="G4961" s="7"/>
    </row>
    <row r="4962">
      <c r="G4962" s="7"/>
    </row>
    <row r="4963">
      <c r="G4963" s="7"/>
    </row>
    <row r="4964">
      <c r="G4964" s="7"/>
    </row>
    <row r="4965">
      <c r="G4965" s="7"/>
    </row>
    <row r="4966">
      <c r="G4966" s="7"/>
    </row>
    <row r="4967">
      <c r="G4967" s="7"/>
    </row>
    <row r="4968">
      <c r="G4968" s="7"/>
    </row>
    <row r="4969">
      <c r="G4969" s="7"/>
    </row>
    <row r="4970">
      <c r="G4970" s="7"/>
    </row>
    <row r="4971">
      <c r="G4971" s="7"/>
    </row>
    <row r="4972">
      <c r="G4972" s="7"/>
    </row>
    <row r="4973">
      <c r="G4973" s="7"/>
    </row>
    <row r="4974">
      <c r="G4974" s="7"/>
    </row>
    <row r="4975">
      <c r="G4975" s="7"/>
    </row>
    <row r="4976">
      <c r="G4976" s="7"/>
    </row>
    <row r="4977">
      <c r="G4977" s="7"/>
    </row>
    <row r="4978">
      <c r="G4978" s="7"/>
    </row>
    <row r="4979">
      <c r="G4979" s="7"/>
    </row>
    <row r="4980">
      <c r="G4980" s="7"/>
    </row>
    <row r="4981">
      <c r="G4981" s="7"/>
    </row>
    <row r="4982">
      <c r="G4982" s="7"/>
    </row>
    <row r="4983">
      <c r="G4983" s="7"/>
    </row>
    <row r="4984">
      <c r="G4984" s="7"/>
    </row>
    <row r="4985">
      <c r="G4985" s="7"/>
    </row>
    <row r="4986">
      <c r="G4986" s="7"/>
    </row>
    <row r="4987">
      <c r="G4987" s="7"/>
    </row>
    <row r="4988">
      <c r="G4988" s="7"/>
    </row>
    <row r="4989">
      <c r="G4989" s="7"/>
    </row>
    <row r="4990">
      <c r="G4990" s="7"/>
    </row>
    <row r="4991">
      <c r="G4991" s="7"/>
    </row>
    <row r="4992">
      <c r="G4992" s="7"/>
    </row>
    <row r="4993">
      <c r="G4993" s="7"/>
    </row>
    <row r="4994">
      <c r="G4994" s="7"/>
    </row>
    <row r="4995">
      <c r="G4995" s="7"/>
    </row>
    <row r="4996">
      <c r="G4996" s="7"/>
    </row>
    <row r="4997">
      <c r="G4997" s="7"/>
    </row>
    <row r="4998">
      <c r="G4998" s="7"/>
    </row>
    <row r="4999">
      <c r="G4999" s="7"/>
    </row>
    <row r="5000">
      <c r="G5000" s="7"/>
    </row>
    <row r="5001">
      <c r="G5001" s="7"/>
    </row>
    <row r="5002">
      <c r="G5002" s="7"/>
    </row>
    <row r="5003">
      <c r="G5003" s="7"/>
    </row>
    <row r="5004">
      <c r="G5004" s="7"/>
    </row>
    <row r="5005">
      <c r="G5005" s="7"/>
    </row>
    <row r="5006">
      <c r="G5006" s="7"/>
    </row>
    <row r="5007">
      <c r="G5007" s="7"/>
    </row>
    <row r="5008">
      <c r="G5008" s="7"/>
    </row>
    <row r="5009">
      <c r="G5009" s="7"/>
    </row>
    <row r="5010">
      <c r="G5010" s="7"/>
    </row>
    <row r="5011">
      <c r="G5011" s="7"/>
    </row>
    <row r="5012">
      <c r="G5012" s="7"/>
    </row>
    <row r="5013">
      <c r="G5013" s="7"/>
    </row>
    <row r="5014">
      <c r="G5014" s="7"/>
    </row>
    <row r="5015">
      <c r="G5015" s="7"/>
    </row>
    <row r="5016">
      <c r="G5016" s="7"/>
    </row>
    <row r="5017">
      <c r="G5017" s="7"/>
    </row>
    <row r="5018">
      <c r="G5018" s="7"/>
    </row>
    <row r="5019">
      <c r="G5019" s="7"/>
    </row>
    <row r="5020">
      <c r="G5020" s="7"/>
    </row>
    <row r="5021">
      <c r="G5021" s="7"/>
    </row>
    <row r="5022">
      <c r="G5022" s="7"/>
    </row>
    <row r="5023">
      <c r="G5023" s="7"/>
    </row>
    <row r="5024">
      <c r="G5024" s="7"/>
    </row>
    <row r="5025">
      <c r="G5025" s="7"/>
    </row>
    <row r="5026">
      <c r="G5026" s="7"/>
    </row>
    <row r="5027">
      <c r="G5027" s="7"/>
    </row>
    <row r="5028">
      <c r="G5028" s="7"/>
    </row>
    <row r="5029">
      <c r="G5029" s="7"/>
    </row>
    <row r="5030">
      <c r="G5030" s="7"/>
    </row>
    <row r="5031">
      <c r="G5031" s="7"/>
    </row>
    <row r="5032">
      <c r="G5032" s="7"/>
    </row>
    <row r="5033">
      <c r="G5033" s="7"/>
    </row>
    <row r="5034">
      <c r="G5034" s="7"/>
    </row>
    <row r="5035">
      <c r="G5035" s="7"/>
    </row>
    <row r="5036">
      <c r="G5036" s="7"/>
    </row>
    <row r="5037">
      <c r="G5037" s="7"/>
    </row>
    <row r="5038">
      <c r="G5038" s="7"/>
    </row>
    <row r="5039">
      <c r="G5039" s="7"/>
    </row>
    <row r="5040">
      <c r="G5040" s="7"/>
    </row>
    <row r="5041">
      <c r="G5041" s="7"/>
    </row>
    <row r="5042">
      <c r="G5042" s="7"/>
    </row>
    <row r="5043">
      <c r="G5043" s="7"/>
    </row>
    <row r="5044">
      <c r="G5044" s="7"/>
    </row>
    <row r="5045">
      <c r="G5045" s="7"/>
    </row>
    <row r="5046">
      <c r="G5046" s="7"/>
    </row>
    <row r="5047">
      <c r="G5047" s="7"/>
    </row>
    <row r="5048">
      <c r="G5048" s="7"/>
    </row>
    <row r="5049">
      <c r="G5049" s="7"/>
    </row>
    <row r="5050">
      <c r="G5050" s="7"/>
    </row>
    <row r="5051">
      <c r="G5051" s="7"/>
    </row>
    <row r="5052">
      <c r="G5052" s="7"/>
    </row>
    <row r="5053">
      <c r="G5053" s="7"/>
    </row>
    <row r="5054">
      <c r="G5054" s="7"/>
    </row>
    <row r="5055">
      <c r="G5055" s="7"/>
    </row>
    <row r="5056">
      <c r="G5056" s="7"/>
    </row>
    <row r="5057">
      <c r="G5057" s="7"/>
    </row>
    <row r="5058">
      <c r="G5058" s="7"/>
    </row>
    <row r="5059">
      <c r="G5059" s="7"/>
    </row>
    <row r="5060">
      <c r="G5060" s="7"/>
    </row>
    <row r="5061">
      <c r="G5061" s="7"/>
    </row>
    <row r="5062">
      <c r="G5062" s="7"/>
    </row>
    <row r="5063">
      <c r="G5063" s="7"/>
    </row>
    <row r="5064">
      <c r="G5064" s="7"/>
    </row>
    <row r="5065">
      <c r="G5065" s="7"/>
    </row>
    <row r="5066">
      <c r="G5066" s="7"/>
    </row>
    <row r="5067">
      <c r="G5067" s="7"/>
    </row>
    <row r="5068">
      <c r="G5068" s="7"/>
    </row>
    <row r="5069">
      <c r="G5069" s="7"/>
    </row>
    <row r="5070">
      <c r="G5070" s="7"/>
    </row>
    <row r="5071">
      <c r="G5071" s="7"/>
    </row>
    <row r="5072">
      <c r="G5072" s="7"/>
    </row>
    <row r="5073">
      <c r="G5073" s="7"/>
    </row>
    <row r="5074">
      <c r="G5074" s="7"/>
    </row>
    <row r="5075">
      <c r="G5075" s="7"/>
    </row>
    <row r="5076">
      <c r="G5076" s="7"/>
    </row>
    <row r="5077">
      <c r="G5077" s="7"/>
    </row>
    <row r="5078">
      <c r="G5078" s="7"/>
    </row>
    <row r="5079">
      <c r="G5079" s="7"/>
    </row>
    <row r="5080">
      <c r="G5080" s="7"/>
    </row>
    <row r="5081">
      <c r="G5081" s="7"/>
    </row>
    <row r="5082">
      <c r="G5082" s="7"/>
    </row>
    <row r="5083">
      <c r="G5083" s="7"/>
    </row>
    <row r="5084">
      <c r="G5084" s="7"/>
    </row>
    <row r="5085">
      <c r="G5085" s="7"/>
    </row>
    <row r="5086">
      <c r="G5086" s="7"/>
    </row>
    <row r="5087">
      <c r="G5087" s="7"/>
    </row>
    <row r="5088">
      <c r="G5088" s="7"/>
    </row>
    <row r="5089">
      <c r="G5089" s="7"/>
    </row>
    <row r="5090">
      <c r="G5090" s="7"/>
    </row>
    <row r="5091">
      <c r="G5091" s="7"/>
    </row>
    <row r="5092">
      <c r="G5092" s="7"/>
    </row>
    <row r="5093">
      <c r="G5093" s="7"/>
    </row>
    <row r="5094">
      <c r="G5094" s="7"/>
    </row>
    <row r="5095">
      <c r="G5095" s="7"/>
    </row>
    <row r="5096">
      <c r="G5096" s="7"/>
    </row>
    <row r="5097">
      <c r="G5097" s="7"/>
    </row>
    <row r="5098">
      <c r="G5098" s="7"/>
    </row>
    <row r="5099">
      <c r="G5099" s="7"/>
    </row>
    <row r="5100">
      <c r="G5100" s="7"/>
    </row>
    <row r="5101">
      <c r="G5101" s="7"/>
    </row>
    <row r="5102">
      <c r="G5102" s="7"/>
    </row>
    <row r="5103">
      <c r="G5103" s="7"/>
    </row>
    <row r="5104">
      <c r="G5104" s="7"/>
    </row>
    <row r="5105">
      <c r="G5105" s="7"/>
    </row>
    <row r="5106">
      <c r="G5106" s="7"/>
    </row>
    <row r="5107">
      <c r="G5107" s="7"/>
    </row>
    <row r="5108">
      <c r="G5108" s="7"/>
    </row>
    <row r="5109">
      <c r="G5109" s="7"/>
    </row>
    <row r="5110">
      <c r="G5110" s="7"/>
    </row>
    <row r="5111">
      <c r="G5111" s="7"/>
    </row>
    <row r="5112">
      <c r="G5112" s="7"/>
    </row>
    <row r="5113">
      <c r="G5113" s="7"/>
    </row>
    <row r="5114">
      <c r="G5114" s="7"/>
    </row>
    <row r="5115">
      <c r="G5115" s="7"/>
    </row>
    <row r="5116">
      <c r="G5116" s="7"/>
    </row>
    <row r="5117">
      <c r="G5117" s="7"/>
    </row>
    <row r="5118">
      <c r="G5118" s="7"/>
    </row>
    <row r="5119">
      <c r="G5119" s="7"/>
    </row>
    <row r="5120">
      <c r="G5120" s="7"/>
    </row>
    <row r="5121">
      <c r="G5121" s="7"/>
    </row>
    <row r="5122">
      <c r="G5122" s="7"/>
    </row>
    <row r="5123">
      <c r="G5123" s="7"/>
    </row>
    <row r="5124">
      <c r="G5124" s="7"/>
    </row>
    <row r="5125">
      <c r="G5125" s="7"/>
    </row>
    <row r="5126">
      <c r="G5126" s="7"/>
    </row>
    <row r="5127">
      <c r="G5127" s="7"/>
    </row>
    <row r="5128">
      <c r="G5128" s="7"/>
    </row>
    <row r="5129">
      <c r="G5129" s="7"/>
    </row>
    <row r="5130">
      <c r="G5130" s="7"/>
    </row>
    <row r="5131">
      <c r="G5131" s="7"/>
    </row>
    <row r="5132">
      <c r="G5132" s="7"/>
    </row>
    <row r="5133">
      <c r="G5133" s="7"/>
    </row>
    <row r="5134">
      <c r="G5134" s="7"/>
    </row>
    <row r="5135">
      <c r="G5135" s="7"/>
    </row>
    <row r="5136">
      <c r="G5136" s="7"/>
    </row>
    <row r="5137">
      <c r="G5137" s="7"/>
    </row>
    <row r="5138">
      <c r="G5138" s="7"/>
    </row>
    <row r="5139">
      <c r="G5139" s="7"/>
    </row>
    <row r="5140">
      <c r="G5140" s="7"/>
    </row>
    <row r="5141">
      <c r="G5141" s="7"/>
    </row>
    <row r="5142">
      <c r="G5142" s="7"/>
    </row>
    <row r="5143">
      <c r="G5143" s="7"/>
    </row>
    <row r="5144">
      <c r="G5144" s="7"/>
    </row>
    <row r="5145">
      <c r="G5145" s="7"/>
    </row>
    <row r="5146">
      <c r="G5146" s="7"/>
    </row>
    <row r="5147">
      <c r="G5147" s="7"/>
    </row>
    <row r="5148">
      <c r="G5148" s="7"/>
    </row>
    <row r="5149">
      <c r="G5149" s="7"/>
    </row>
    <row r="5150">
      <c r="G5150" s="7"/>
    </row>
    <row r="5151">
      <c r="G5151" s="7"/>
    </row>
    <row r="5152">
      <c r="G5152" s="7"/>
    </row>
    <row r="5153">
      <c r="G5153" s="7"/>
    </row>
    <row r="5154">
      <c r="G5154" s="7"/>
    </row>
    <row r="5155">
      <c r="G5155" s="7"/>
    </row>
    <row r="5156">
      <c r="G5156" s="7"/>
    </row>
    <row r="5157">
      <c r="G5157" s="7"/>
    </row>
    <row r="5158">
      <c r="G5158" s="7"/>
    </row>
    <row r="5159">
      <c r="G5159" s="7"/>
    </row>
    <row r="5160">
      <c r="G5160" s="7"/>
    </row>
    <row r="5161">
      <c r="G5161" s="7"/>
    </row>
    <row r="5162">
      <c r="G5162" s="7"/>
    </row>
    <row r="5163">
      <c r="G5163" s="7"/>
    </row>
    <row r="5164">
      <c r="G5164" s="7"/>
    </row>
    <row r="5165">
      <c r="G5165" s="7"/>
    </row>
    <row r="5166">
      <c r="G5166" s="7"/>
    </row>
    <row r="5167">
      <c r="G5167" s="7"/>
    </row>
    <row r="5168">
      <c r="G5168" s="7"/>
    </row>
    <row r="5169">
      <c r="G5169" s="7"/>
    </row>
    <row r="5170">
      <c r="G5170" s="7"/>
    </row>
    <row r="5171">
      <c r="G5171" s="7"/>
    </row>
    <row r="5172">
      <c r="G5172" s="7"/>
    </row>
    <row r="5173">
      <c r="G5173" s="7"/>
    </row>
    <row r="5174">
      <c r="G5174" s="7"/>
    </row>
    <row r="5175">
      <c r="G5175" s="7"/>
    </row>
    <row r="5176">
      <c r="G5176" s="7"/>
    </row>
    <row r="5177">
      <c r="G5177" s="7"/>
    </row>
    <row r="5178">
      <c r="G5178" s="7"/>
    </row>
    <row r="5179">
      <c r="G5179" s="7"/>
    </row>
    <row r="5180">
      <c r="G5180" s="7"/>
    </row>
    <row r="5181">
      <c r="G5181" s="7"/>
    </row>
    <row r="5182">
      <c r="G5182" s="7"/>
    </row>
    <row r="5183">
      <c r="G5183" s="7"/>
    </row>
    <row r="5184">
      <c r="G5184" s="7"/>
    </row>
    <row r="5185">
      <c r="G5185" s="7"/>
    </row>
    <row r="5186">
      <c r="G5186" s="7"/>
    </row>
    <row r="5187">
      <c r="G5187" s="7"/>
    </row>
    <row r="5188">
      <c r="G5188" s="7"/>
    </row>
    <row r="5189">
      <c r="G5189" s="7"/>
    </row>
    <row r="5190">
      <c r="G5190" s="7"/>
    </row>
    <row r="5191">
      <c r="G5191" s="7"/>
    </row>
    <row r="5192">
      <c r="G5192" s="7"/>
    </row>
    <row r="5193">
      <c r="G5193" s="7"/>
    </row>
    <row r="5194">
      <c r="G5194" s="7"/>
    </row>
    <row r="5195">
      <c r="G5195" s="7"/>
    </row>
    <row r="5196">
      <c r="G5196" s="7"/>
    </row>
    <row r="5197">
      <c r="G5197" s="7"/>
    </row>
    <row r="5198">
      <c r="G5198" s="7"/>
    </row>
    <row r="5199">
      <c r="G5199" s="7"/>
    </row>
    <row r="5200">
      <c r="G5200" s="7"/>
    </row>
    <row r="5201">
      <c r="G5201" s="7"/>
    </row>
    <row r="5202">
      <c r="G5202" s="7"/>
    </row>
    <row r="5203">
      <c r="G5203" s="7"/>
    </row>
    <row r="5204">
      <c r="G5204" s="7"/>
    </row>
    <row r="5205">
      <c r="G5205" s="7"/>
    </row>
    <row r="5206">
      <c r="G5206" s="7"/>
    </row>
    <row r="5207">
      <c r="G5207" s="7"/>
    </row>
    <row r="5208">
      <c r="G5208" s="7"/>
    </row>
    <row r="5209">
      <c r="G5209" s="7"/>
    </row>
    <row r="5210">
      <c r="G5210" s="7"/>
    </row>
    <row r="5211">
      <c r="G5211" s="7"/>
    </row>
    <row r="5212">
      <c r="G5212" s="7"/>
    </row>
    <row r="5213">
      <c r="G5213" s="7"/>
    </row>
    <row r="5214">
      <c r="G5214" s="7"/>
    </row>
    <row r="5215">
      <c r="G5215" s="7"/>
    </row>
    <row r="5216">
      <c r="G5216" s="7"/>
    </row>
    <row r="5217">
      <c r="G5217" s="7"/>
    </row>
    <row r="5218">
      <c r="G5218" s="7"/>
    </row>
    <row r="5219">
      <c r="G5219" s="7"/>
    </row>
    <row r="5220">
      <c r="G5220" s="7"/>
    </row>
    <row r="5221">
      <c r="G5221" s="7"/>
    </row>
    <row r="5222">
      <c r="G5222" s="7"/>
    </row>
    <row r="5223">
      <c r="G5223" s="7"/>
    </row>
    <row r="5224">
      <c r="G5224" s="7"/>
    </row>
    <row r="5225">
      <c r="G5225" s="7"/>
    </row>
    <row r="5226">
      <c r="G5226" s="7"/>
    </row>
    <row r="5227">
      <c r="G5227" s="7"/>
    </row>
    <row r="5228">
      <c r="G5228" s="7"/>
    </row>
    <row r="5229">
      <c r="G5229" s="7"/>
    </row>
    <row r="5230">
      <c r="G5230" s="7"/>
    </row>
    <row r="5231">
      <c r="G5231" s="7"/>
    </row>
    <row r="5232">
      <c r="G5232" s="7"/>
    </row>
    <row r="5233">
      <c r="G5233" s="7"/>
    </row>
    <row r="5234">
      <c r="G5234" s="7"/>
    </row>
    <row r="5235">
      <c r="G5235" s="7"/>
    </row>
    <row r="5236">
      <c r="G5236" s="7"/>
    </row>
    <row r="5237">
      <c r="G5237" s="7"/>
    </row>
    <row r="5238">
      <c r="G5238" s="7"/>
    </row>
    <row r="5239">
      <c r="G5239" s="7"/>
    </row>
    <row r="5240">
      <c r="G5240" s="7"/>
    </row>
    <row r="5241">
      <c r="G5241" s="7"/>
    </row>
    <row r="5242">
      <c r="G5242" s="7"/>
    </row>
    <row r="5243">
      <c r="G5243" s="7"/>
    </row>
    <row r="5244">
      <c r="G5244" s="7"/>
    </row>
    <row r="5245">
      <c r="G5245" s="7"/>
    </row>
    <row r="5246">
      <c r="G5246" s="7"/>
    </row>
    <row r="5247">
      <c r="G5247" s="7"/>
    </row>
    <row r="5248">
      <c r="G5248" s="7"/>
    </row>
    <row r="5249">
      <c r="G5249" s="7"/>
    </row>
    <row r="5250">
      <c r="G5250" s="7"/>
    </row>
    <row r="5251">
      <c r="G5251" s="7"/>
    </row>
    <row r="5252">
      <c r="G5252" s="7"/>
    </row>
    <row r="5253">
      <c r="G5253" s="7"/>
    </row>
    <row r="5254">
      <c r="G5254" s="7"/>
    </row>
    <row r="5255">
      <c r="G5255" s="7"/>
    </row>
    <row r="5256">
      <c r="G5256" s="7"/>
    </row>
    <row r="5257">
      <c r="G5257" s="7"/>
    </row>
    <row r="5258">
      <c r="G5258" s="7"/>
    </row>
    <row r="5259">
      <c r="G5259" s="7"/>
    </row>
    <row r="5260">
      <c r="G5260" s="7"/>
    </row>
    <row r="5261">
      <c r="G5261" s="7"/>
    </row>
    <row r="5262">
      <c r="G5262" s="7"/>
    </row>
    <row r="5263">
      <c r="G5263" s="7"/>
    </row>
    <row r="5264">
      <c r="G5264" s="7"/>
    </row>
    <row r="5265">
      <c r="G5265" s="7"/>
    </row>
    <row r="5266">
      <c r="G5266" s="7"/>
    </row>
    <row r="5267">
      <c r="G5267" s="7"/>
    </row>
    <row r="5268">
      <c r="G5268" s="7"/>
    </row>
    <row r="5269">
      <c r="G5269" s="7"/>
    </row>
    <row r="5270">
      <c r="G5270" s="7"/>
    </row>
    <row r="5271">
      <c r="G5271" s="7"/>
    </row>
    <row r="5272">
      <c r="G5272" s="7"/>
    </row>
    <row r="5273">
      <c r="G5273" s="7"/>
    </row>
    <row r="5274">
      <c r="G5274" s="7"/>
    </row>
    <row r="5275">
      <c r="G5275" s="7"/>
    </row>
    <row r="5276">
      <c r="G5276" s="7"/>
    </row>
    <row r="5277">
      <c r="G5277" s="7"/>
    </row>
    <row r="5278">
      <c r="G5278" s="7"/>
    </row>
    <row r="5279">
      <c r="G5279" s="7"/>
    </row>
    <row r="5280">
      <c r="G5280" s="7"/>
    </row>
    <row r="5281">
      <c r="G5281" s="7"/>
    </row>
    <row r="5282">
      <c r="G5282" s="7"/>
    </row>
    <row r="5283">
      <c r="G5283" s="7"/>
    </row>
    <row r="5284">
      <c r="G5284" s="7"/>
    </row>
    <row r="5285">
      <c r="G5285" s="7"/>
    </row>
    <row r="5286">
      <c r="G5286" s="7"/>
    </row>
    <row r="5287">
      <c r="G5287" s="7"/>
    </row>
    <row r="5288">
      <c r="G5288" s="7"/>
    </row>
    <row r="5289">
      <c r="G5289" s="7"/>
    </row>
    <row r="5290">
      <c r="G5290" s="7"/>
    </row>
    <row r="5291">
      <c r="G5291" s="7"/>
    </row>
    <row r="5292">
      <c r="G5292" s="7"/>
    </row>
    <row r="5293">
      <c r="G5293" s="7"/>
    </row>
    <row r="5294">
      <c r="G5294" s="7"/>
    </row>
    <row r="5295">
      <c r="G5295" s="7"/>
    </row>
    <row r="5296">
      <c r="G5296" s="7"/>
    </row>
    <row r="5297">
      <c r="G5297" s="7"/>
    </row>
    <row r="5298">
      <c r="G5298" s="7"/>
    </row>
    <row r="5299">
      <c r="G5299" s="7"/>
    </row>
    <row r="5300">
      <c r="G5300" s="7"/>
    </row>
    <row r="5301">
      <c r="G5301" s="7"/>
    </row>
    <row r="5302">
      <c r="G5302" s="7"/>
    </row>
    <row r="5303">
      <c r="G5303" s="7"/>
    </row>
    <row r="5304">
      <c r="G5304" s="7"/>
    </row>
    <row r="5305">
      <c r="G5305" s="7"/>
    </row>
    <row r="5306">
      <c r="G5306" s="7"/>
    </row>
    <row r="5307">
      <c r="G5307" s="7"/>
    </row>
    <row r="5308">
      <c r="G5308" s="7"/>
    </row>
    <row r="5309">
      <c r="G5309" s="7"/>
    </row>
    <row r="5310">
      <c r="G5310" s="7"/>
    </row>
    <row r="5311">
      <c r="G5311" s="7"/>
    </row>
    <row r="5312">
      <c r="G5312" s="7"/>
    </row>
    <row r="5313">
      <c r="G5313" s="7"/>
    </row>
    <row r="5314">
      <c r="G5314" s="7"/>
    </row>
    <row r="5315">
      <c r="G5315" s="7"/>
    </row>
    <row r="5316">
      <c r="G5316" s="7"/>
    </row>
    <row r="5317">
      <c r="G5317" s="7"/>
    </row>
    <row r="5318">
      <c r="G5318" s="7"/>
    </row>
    <row r="5319">
      <c r="G5319" s="7"/>
    </row>
    <row r="5320">
      <c r="G5320" s="7"/>
    </row>
    <row r="5321">
      <c r="G5321" s="7"/>
    </row>
    <row r="5322">
      <c r="G5322" s="7"/>
    </row>
    <row r="5323">
      <c r="G5323" s="7"/>
    </row>
    <row r="5324">
      <c r="G5324" s="7"/>
    </row>
    <row r="5325">
      <c r="G5325" s="7"/>
    </row>
    <row r="5326">
      <c r="G5326" s="7"/>
    </row>
    <row r="5327">
      <c r="G5327" s="7"/>
    </row>
    <row r="5328">
      <c r="G5328" s="7"/>
    </row>
    <row r="5329">
      <c r="G5329" s="7"/>
    </row>
    <row r="5330">
      <c r="G5330" s="7"/>
    </row>
    <row r="5331">
      <c r="G5331" s="7"/>
    </row>
    <row r="5332">
      <c r="G5332" s="7"/>
    </row>
    <row r="5333">
      <c r="G5333" s="7"/>
    </row>
    <row r="5334">
      <c r="G5334" s="7"/>
    </row>
    <row r="5335">
      <c r="G5335" s="7"/>
    </row>
    <row r="5336">
      <c r="G5336" s="7"/>
    </row>
    <row r="5337">
      <c r="G5337" s="7"/>
    </row>
    <row r="5338">
      <c r="G5338" s="7"/>
    </row>
    <row r="5339">
      <c r="G5339" s="7"/>
    </row>
    <row r="5340">
      <c r="G5340" s="7"/>
    </row>
    <row r="5341">
      <c r="G5341" s="7"/>
    </row>
    <row r="5342">
      <c r="G5342" s="7"/>
    </row>
    <row r="5343">
      <c r="G5343" s="7"/>
    </row>
    <row r="5344">
      <c r="G5344" s="7"/>
    </row>
    <row r="5345">
      <c r="G5345" s="7"/>
    </row>
    <row r="5346">
      <c r="G5346" s="7"/>
    </row>
    <row r="5347">
      <c r="G5347" s="7"/>
    </row>
    <row r="5348">
      <c r="G5348" s="7"/>
    </row>
    <row r="5349">
      <c r="G5349" s="7"/>
    </row>
    <row r="5350">
      <c r="G5350" s="7"/>
    </row>
    <row r="5351">
      <c r="G5351" s="7"/>
    </row>
    <row r="5352">
      <c r="G5352" s="7"/>
    </row>
    <row r="5353">
      <c r="G5353" s="7"/>
    </row>
    <row r="5354">
      <c r="G5354" s="7"/>
    </row>
    <row r="5355">
      <c r="G5355" s="7"/>
    </row>
    <row r="5356">
      <c r="G5356" s="7"/>
    </row>
    <row r="5357">
      <c r="G5357" s="7"/>
    </row>
    <row r="5358">
      <c r="G5358" s="7"/>
    </row>
    <row r="5359">
      <c r="G5359" s="7"/>
    </row>
    <row r="5360">
      <c r="G5360" s="7"/>
    </row>
    <row r="5361">
      <c r="G5361" s="7"/>
    </row>
    <row r="5362">
      <c r="G5362" s="7"/>
    </row>
    <row r="5363">
      <c r="G5363" s="7"/>
    </row>
    <row r="5364">
      <c r="G5364" s="7"/>
    </row>
    <row r="5365">
      <c r="G5365" s="7"/>
    </row>
    <row r="5366">
      <c r="G5366" s="7"/>
    </row>
    <row r="5367">
      <c r="G5367" s="7"/>
    </row>
    <row r="5368">
      <c r="G5368" s="7"/>
    </row>
    <row r="5369">
      <c r="G5369" s="7"/>
    </row>
    <row r="5370">
      <c r="G5370" s="7"/>
    </row>
    <row r="5371">
      <c r="G5371" s="7"/>
    </row>
    <row r="5372">
      <c r="G5372" s="7"/>
    </row>
    <row r="5373">
      <c r="G5373" s="7"/>
    </row>
    <row r="5374">
      <c r="G5374" s="7"/>
    </row>
    <row r="5375">
      <c r="G5375" s="7"/>
    </row>
    <row r="5376">
      <c r="G5376" s="7"/>
    </row>
    <row r="5377">
      <c r="G5377" s="7"/>
    </row>
    <row r="5378">
      <c r="G5378" s="7"/>
    </row>
    <row r="5379">
      <c r="G5379" s="7"/>
    </row>
    <row r="5380">
      <c r="G5380" s="7"/>
    </row>
    <row r="5381">
      <c r="G5381" s="7"/>
    </row>
    <row r="5382">
      <c r="G5382" s="7"/>
    </row>
    <row r="5383">
      <c r="G5383" s="7"/>
    </row>
    <row r="5384">
      <c r="G5384" s="7"/>
    </row>
    <row r="5385">
      <c r="G5385" s="7"/>
    </row>
    <row r="5386">
      <c r="G5386" s="7"/>
    </row>
    <row r="5387">
      <c r="G5387" s="7"/>
    </row>
    <row r="5388">
      <c r="G5388" s="7"/>
    </row>
    <row r="5389">
      <c r="G5389" s="7"/>
    </row>
    <row r="5390">
      <c r="G5390" s="7"/>
    </row>
    <row r="5391">
      <c r="G5391" s="7"/>
    </row>
    <row r="5392">
      <c r="G5392" s="7"/>
    </row>
    <row r="5393">
      <c r="G5393" s="7"/>
    </row>
    <row r="5394">
      <c r="G5394" s="7"/>
    </row>
    <row r="5395">
      <c r="G5395" s="7"/>
    </row>
    <row r="5396">
      <c r="G5396" s="7"/>
    </row>
    <row r="5397">
      <c r="G5397" s="7"/>
    </row>
    <row r="5398">
      <c r="G5398" s="7"/>
    </row>
    <row r="5399">
      <c r="G5399" s="7"/>
    </row>
    <row r="5400">
      <c r="G5400" s="7"/>
    </row>
    <row r="5401">
      <c r="G5401" s="7"/>
    </row>
    <row r="5402">
      <c r="G5402" s="7"/>
    </row>
    <row r="5403">
      <c r="G5403" s="7"/>
    </row>
    <row r="5404">
      <c r="G5404" s="7"/>
    </row>
    <row r="5405">
      <c r="G5405" s="7"/>
    </row>
    <row r="5406">
      <c r="G5406" s="7"/>
    </row>
    <row r="5407">
      <c r="G5407" s="7"/>
    </row>
    <row r="5408">
      <c r="G5408" s="7"/>
    </row>
    <row r="5409">
      <c r="G5409" s="7"/>
    </row>
    <row r="5410">
      <c r="G5410" s="7"/>
    </row>
    <row r="5411">
      <c r="G5411" s="7"/>
    </row>
    <row r="5412">
      <c r="G5412" s="7"/>
    </row>
    <row r="5413">
      <c r="G5413" s="7"/>
    </row>
    <row r="5414">
      <c r="G5414" s="7"/>
    </row>
    <row r="5415">
      <c r="G5415" s="7"/>
    </row>
    <row r="5416">
      <c r="G5416" s="7"/>
    </row>
    <row r="5417">
      <c r="G5417" s="7"/>
    </row>
    <row r="5418">
      <c r="G5418" s="7"/>
    </row>
    <row r="5419">
      <c r="G5419" s="7"/>
    </row>
    <row r="5420">
      <c r="G5420" s="7"/>
    </row>
    <row r="5421">
      <c r="G5421" s="7"/>
    </row>
    <row r="5422">
      <c r="G5422" s="7"/>
    </row>
    <row r="5423">
      <c r="G5423" s="7"/>
    </row>
    <row r="5424">
      <c r="G5424" s="7"/>
    </row>
    <row r="5425">
      <c r="G5425" s="7"/>
    </row>
    <row r="5426">
      <c r="G5426" s="7"/>
    </row>
    <row r="5427">
      <c r="G5427" s="7"/>
    </row>
    <row r="5428">
      <c r="G5428" s="7"/>
    </row>
    <row r="5429">
      <c r="G5429" s="7"/>
    </row>
    <row r="5430">
      <c r="G5430" s="7"/>
    </row>
    <row r="5431">
      <c r="G5431" s="7"/>
    </row>
    <row r="5432">
      <c r="G5432" s="7"/>
    </row>
    <row r="5433">
      <c r="G5433" s="7"/>
    </row>
    <row r="5434">
      <c r="G5434" s="7"/>
    </row>
    <row r="5435">
      <c r="G5435" s="7"/>
    </row>
    <row r="5436">
      <c r="G5436" s="7"/>
    </row>
    <row r="5437">
      <c r="G5437" s="7"/>
    </row>
    <row r="5438">
      <c r="G5438" s="7"/>
    </row>
    <row r="5439">
      <c r="G5439" s="7"/>
    </row>
    <row r="5440">
      <c r="G5440" s="7"/>
    </row>
    <row r="5441">
      <c r="G5441" s="7"/>
    </row>
    <row r="5442">
      <c r="G5442" s="7"/>
    </row>
    <row r="5443">
      <c r="G5443" s="7"/>
    </row>
    <row r="5444">
      <c r="G5444" s="7"/>
    </row>
    <row r="5445">
      <c r="G5445" s="7"/>
    </row>
    <row r="5446">
      <c r="G5446" s="7"/>
    </row>
    <row r="5447">
      <c r="G5447" s="7"/>
    </row>
    <row r="5448">
      <c r="G5448" s="7"/>
    </row>
    <row r="5449">
      <c r="G5449" s="7"/>
    </row>
    <row r="5450">
      <c r="G5450" s="7"/>
    </row>
    <row r="5451">
      <c r="G5451" s="7"/>
    </row>
    <row r="5452">
      <c r="G5452" s="7"/>
    </row>
    <row r="5453">
      <c r="G5453" s="7"/>
    </row>
    <row r="5454">
      <c r="G5454" s="7"/>
    </row>
    <row r="5455">
      <c r="G5455" s="7"/>
    </row>
    <row r="5456">
      <c r="G5456" s="7"/>
    </row>
    <row r="5457">
      <c r="G5457" s="7"/>
    </row>
    <row r="5458">
      <c r="G5458" s="7"/>
    </row>
    <row r="5459">
      <c r="G5459" s="7"/>
    </row>
    <row r="5460">
      <c r="G5460" s="7"/>
    </row>
    <row r="5461">
      <c r="G5461" s="7"/>
    </row>
    <row r="5462">
      <c r="G5462" s="7"/>
    </row>
    <row r="5463">
      <c r="G5463" s="7"/>
    </row>
    <row r="5464">
      <c r="G5464" s="7"/>
    </row>
    <row r="5465">
      <c r="G5465" s="7"/>
    </row>
    <row r="5466">
      <c r="G5466" s="7"/>
    </row>
    <row r="5467">
      <c r="G5467" s="7"/>
    </row>
    <row r="5468">
      <c r="G5468" s="7"/>
    </row>
    <row r="5469">
      <c r="G5469" s="7"/>
    </row>
    <row r="5470">
      <c r="G5470" s="7"/>
    </row>
    <row r="5471">
      <c r="G5471" s="7"/>
    </row>
    <row r="5472">
      <c r="G5472" s="7"/>
    </row>
    <row r="5473">
      <c r="G5473" s="7"/>
    </row>
    <row r="5474">
      <c r="G5474" s="7"/>
    </row>
    <row r="5475">
      <c r="G5475" s="7"/>
    </row>
    <row r="5476">
      <c r="G5476" s="7"/>
    </row>
    <row r="5477">
      <c r="G5477" s="7"/>
    </row>
    <row r="5478">
      <c r="G5478" s="7"/>
    </row>
    <row r="5479">
      <c r="G5479" s="7"/>
    </row>
    <row r="5480">
      <c r="G5480" s="7"/>
    </row>
    <row r="5481">
      <c r="G5481" s="7"/>
    </row>
    <row r="5482">
      <c r="G5482" s="7"/>
    </row>
    <row r="5483">
      <c r="G5483" s="7"/>
    </row>
    <row r="5484">
      <c r="G5484" s="7"/>
    </row>
    <row r="5485">
      <c r="G5485" s="7"/>
    </row>
    <row r="5486">
      <c r="G5486" s="7"/>
    </row>
    <row r="5487">
      <c r="G5487" s="7"/>
    </row>
    <row r="5488">
      <c r="G5488" s="7"/>
    </row>
    <row r="5489">
      <c r="G5489" s="7"/>
    </row>
    <row r="5490">
      <c r="G5490" s="7"/>
    </row>
    <row r="5491">
      <c r="G5491" s="7"/>
    </row>
    <row r="5492">
      <c r="G5492" s="7"/>
    </row>
    <row r="5493">
      <c r="G5493" s="7"/>
    </row>
    <row r="5494">
      <c r="G5494" s="7"/>
    </row>
    <row r="5495">
      <c r="G5495" s="7"/>
    </row>
    <row r="5496">
      <c r="G5496" s="7"/>
    </row>
    <row r="5497">
      <c r="G5497" s="7"/>
    </row>
    <row r="5498">
      <c r="G5498" s="7"/>
    </row>
    <row r="5499">
      <c r="G5499" s="7"/>
    </row>
    <row r="5500">
      <c r="G5500" s="7"/>
    </row>
    <row r="5501">
      <c r="G5501" s="7"/>
    </row>
    <row r="5502">
      <c r="G5502" s="7"/>
    </row>
    <row r="5503">
      <c r="G5503" s="7"/>
    </row>
    <row r="5504">
      <c r="G5504" s="7"/>
    </row>
    <row r="5505">
      <c r="G5505" s="7"/>
    </row>
    <row r="5506">
      <c r="G5506" s="7"/>
    </row>
    <row r="5507">
      <c r="G5507" s="7"/>
    </row>
    <row r="5508">
      <c r="G5508" s="7"/>
    </row>
    <row r="5509">
      <c r="G5509" s="7"/>
    </row>
    <row r="5510">
      <c r="G5510" s="7"/>
    </row>
    <row r="5511">
      <c r="G5511" s="7"/>
    </row>
    <row r="5512">
      <c r="G5512" s="7"/>
    </row>
    <row r="5513">
      <c r="G5513" s="7"/>
    </row>
    <row r="5514">
      <c r="G5514" s="7"/>
    </row>
    <row r="5515">
      <c r="G5515" s="7"/>
    </row>
    <row r="5516">
      <c r="G5516" s="7"/>
    </row>
    <row r="5517">
      <c r="G5517" s="7"/>
    </row>
    <row r="5518">
      <c r="G5518" s="7"/>
    </row>
    <row r="5519">
      <c r="G5519" s="7"/>
    </row>
    <row r="5520">
      <c r="G5520" s="7"/>
    </row>
    <row r="5521">
      <c r="G5521" s="7"/>
    </row>
    <row r="5522">
      <c r="G5522" s="7"/>
    </row>
    <row r="5523">
      <c r="G5523" s="7"/>
    </row>
    <row r="5524">
      <c r="G5524" s="7"/>
    </row>
    <row r="5525">
      <c r="G5525" s="7"/>
    </row>
    <row r="5526">
      <c r="G5526" s="7"/>
    </row>
    <row r="5527">
      <c r="G5527" s="7"/>
    </row>
    <row r="5528">
      <c r="G5528" s="7"/>
    </row>
    <row r="5529">
      <c r="G5529" s="7"/>
    </row>
    <row r="5530">
      <c r="G5530" s="7"/>
    </row>
    <row r="5531">
      <c r="G5531" s="7"/>
    </row>
    <row r="5532">
      <c r="G5532" s="7"/>
    </row>
    <row r="5533">
      <c r="G5533" s="7"/>
    </row>
    <row r="5534">
      <c r="G5534" s="7"/>
    </row>
    <row r="5535">
      <c r="G5535" s="7"/>
    </row>
    <row r="5536">
      <c r="G5536" s="7"/>
    </row>
    <row r="5537">
      <c r="G5537" s="7"/>
    </row>
    <row r="5538">
      <c r="G5538" s="7"/>
    </row>
    <row r="5539">
      <c r="G5539" s="7"/>
    </row>
    <row r="5540">
      <c r="G5540" s="7"/>
    </row>
    <row r="5541">
      <c r="G5541" s="7"/>
    </row>
    <row r="5542">
      <c r="G5542" s="7"/>
    </row>
    <row r="5543">
      <c r="G5543" s="7"/>
    </row>
    <row r="5544">
      <c r="G5544" s="7"/>
    </row>
    <row r="5545">
      <c r="G5545" s="7"/>
    </row>
    <row r="5546">
      <c r="G5546" s="7"/>
    </row>
    <row r="5547">
      <c r="G5547" s="7"/>
    </row>
    <row r="5548">
      <c r="G5548" s="7"/>
    </row>
    <row r="5549">
      <c r="G5549" s="7"/>
    </row>
    <row r="5550">
      <c r="G5550" s="7"/>
    </row>
    <row r="5551">
      <c r="G5551" s="7"/>
    </row>
    <row r="5552">
      <c r="G5552" s="7"/>
    </row>
    <row r="5553">
      <c r="G5553" s="7"/>
    </row>
    <row r="5554">
      <c r="G5554" s="7"/>
    </row>
    <row r="5555">
      <c r="G5555" s="7"/>
    </row>
    <row r="5556">
      <c r="G5556" s="7"/>
    </row>
    <row r="5557">
      <c r="G5557" s="7"/>
    </row>
    <row r="5558">
      <c r="G5558" s="7"/>
    </row>
    <row r="5559">
      <c r="G5559" s="7"/>
    </row>
    <row r="5560">
      <c r="G5560" s="7"/>
    </row>
    <row r="5561">
      <c r="G5561" s="7"/>
    </row>
    <row r="5562">
      <c r="G5562" s="7"/>
    </row>
    <row r="5563">
      <c r="G5563" s="7"/>
    </row>
    <row r="5564">
      <c r="G5564" s="7"/>
    </row>
    <row r="5565">
      <c r="G5565" s="7"/>
    </row>
    <row r="5566">
      <c r="G5566" s="7"/>
    </row>
    <row r="5567">
      <c r="G5567" s="7"/>
    </row>
    <row r="5568">
      <c r="G5568" s="7"/>
    </row>
    <row r="5569">
      <c r="G5569" s="7"/>
    </row>
    <row r="5570">
      <c r="G5570" s="7"/>
    </row>
    <row r="5571">
      <c r="G5571" s="7"/>
    </row>
    <row r="5572">
      <c r="G5572" s="7"/>
    </row>
    <row r="5573">
      <c r="G5573" s="7"/>
    </row>
    <row r="5574">
      <c r="G5574" s="7"/>
    </row>
    <row r="5575">
      <c r="G5575" s="7"/>
    </row>
    <row r="5576">
      <c r="G5576" s="7"/>
    </row>
    <row r="5577">
      <c r="G5577" s="7"/>
    </row>
    <row r="5578">
      <c r="G5578" s="7"/>
    </row>
    <row r="5579">
      <c r="G5579" s="7"/>
    </row>
    <row r="5580">
      <c r="G5580" s="7"/>
    </row>
    <row r="5581">
      <c r="G5581" s="7"/>
    </row>
    <row r="5582">
      <c r="G5582" s="7"/>
    </row>
    <row r="5583">
      <c r="G5583" s="7"/>
    </row>
    <row r="5584">
      <c r="G5584" s="7"/>
    </row>
    <row r="5585">
      <c r="G5585" s="7"/>
    </row>
    <row r="5586">
      <c r="G5586" s="7"/>
    </row>
    <row r="5587">
      <c r="G5587" s="7"/>
    </row>
    <row r="5588">
      <c r="G5588" s="7"/>
    </row>
    <row r="5589">
      <c r="G5589" s="7"/>
    </row>
    <row r="5590">
      <c r="G5590" s="7"/>
    </row>
    <row r="5591">
      <c r="G5591" s="7"/>
    </row>
    <row r="5592">
      <c r="G5592" s="7"/>
    </row>
    <row r="5593">
      <c r="G5593" s="7"/>
    </row>
    <row r="5594">
      <c r="G5594" s="7"/>
    </row>
    <row r="5595">
      <c r="G5595" s="7"/>
    </row>
    <row r="5596">
      <c r="G5596" s="7"/>
    </row>
    <row r="5597">
      <c r="G5597" s="7"/>
    </row>
    <row r="5598">
      <c r="G5598" s="7"/>
    </row>
    <row r="5599">
      <c r="G5599" s="7"/>
    </row>
    <row r="5600">
      <c r="G5600" s="7"/>
    </row>
    <row r="5601">
      <c r="G5601" s="7"/>
    </row>
    <row r="5602">
      <c r="G5602" s="7"/>
    </row>
    <row r="5603">
      <c r="G5603" s="7"/>
    </row>
    <row r="5604">
      <c r="G5604" s="7"/>
    </row>
    <row r="5605">
      <c r="G5605" s="7"/>
    </row>
    <row r="5606">
      <c r="G5606" s="7"/>
    </row>
    <row r="5607">
      <c r="G5607" s="7"/>
    </row>
    <row r="5608">
      <c r="G5608" s="7"/>
    </row>
    <row r="5609">
      <c r="G5609" s="7"/>
    </row>
    <row r="5610">
      <c r="G5610" s="7"/>
    </row>
    <row r="5611">
      <c r="G5611" s="7"/>
    </row>
    <row r="5612">
      <c r="G5612" s="7"/>
    </row>
    <row r="5613">
      <c r="G5613" s="7"/>
    </row>
    <row r="5614">
      <c r="G5614" s="7"/>
    </row>
    <row r="5615">
      <c r="G5615" s="7"/>
    </row>
    <row r="5616">
      <c r="G5616" s="7"/>
    </row>
    <row r="5617">
      <c r="G5617" s="7"/>
    </row>
    <row r="5618">
      <c r="G5618" s="7"/>
    </row>
    <row r="5619">
      <c r="G5619" s="7"/>
    </row>
    <row r="5620">
      <c r="G5620" s="7"/>
    </row>
    <row r="5621">
      <c r="G5621" s="7"/>
    </row>
    <row r="5622">
      <c r="G5622" s="7"/>
    </row>
    <row r="5623">
      <c r="G5623" s="7"/>
    </row>
    <row r="5624">
      <c r="G5624" s="7"/>
    </row>
    <row r="5625">
      <c r="G5625" s="7"/>
    </row>
    <row r="5626">
      <c r="G5626" s="7"/>
    </row>
    <row r="5627">
      <c r="G5627" s="7"/>
    </row>
    <row r="5628">
      <c r="G5628" s="7"/>
    </row>
    <row r="5629">
      <c r="G5629" s="7"/>
    </row>
    <row r="5630">
      <c r="G5630" s="7"/>
    </row>
    <row r="5631">
      <c r="G5631" s="7"/>
    </row>
    <row r="5632">
      <c r="G5632" s="7"/>
    </row>
    <row r="5633">
      <c r="G5633" s="7"/>
    </row>
    <row r="5634">
      <c r="G5634" s="7"/>
    </row>
    <row r="5635">
      <c r="G5635" s="7"/>
    </row>
    <row r="5636">
      <c r="G5636" s="7"/>
    </row>
    <row r="5637">
      <c r="G5637" s="7"/>
    </row>
    <row r="5638">
      <c r="G5638" s="7"/>
    </row>
    <row r="5639">
      <c r="G5639" s="7"/>
    </row>
    <row r="5640">
      <c r="G5640" s="7"/>
    </row>
    <row r="5641">
      <c r="G5641" s="7"/>
    </row>
    <row r="5642">
      <c r="G5642" s="7"/>
    </row>
    <row r="5643">
      <c r="G5643" s="7"/>
    </row>
    <row r="5644">
      <c r="G5644" s="7"/>
    </row>
    <row r="5645">
      <c r="G5645" s="7"/>
    </row>
    <row r="5646">
      <c r="G5646" s="7"/>
    </row>
    <row r="5647">
      <c r="G5647" s="7"/>
    </row>
    <row r="5648">
      <c r="G5648" s="7"/>
    </row>
    <row r="5649">
      <c r="G5649" s="7"/>
    </row>
    <row r="5650">
      <c r="G5650" s="7"/>
    </row>
    <row r="5651">
      <c r="G5651" s="7"/>
    </row>
    <row r="5652">
      <c r="G5652" s="7"/>
    </row>
    <row r="5653">
      <c r="G5653" s="7"/>
    </row>
    <row r="5654">
      <c r="G5654" s="7"/>
    </row>
    <row r="5655">
      <c r="G5655" s="7"/>
    </row>
    <row r="5656">
      <c r="G5656" s="7"/>
    </row>
    <row r="5657">
      <c r="G5657" s="7"/>
    </row>
    <row r="5658">
      <c r="G5658" s="7"/>
    </row>
    <row r="5659">
      <c r="G5659" s="7"/>
    </row>
    <row r="5660">
      <c r="G5660" s="7"/>
    </row>
    <row r="5661">
      <c r="G5661" s="7"/>
    </row>
    <row r="5662">
      <c r="G5662" s="7"/>
    </row>
    <row r="5663">
      <c r="G5663" s="7"/>
    </row>
    <row r="5664">
      <c r="G5664" s="7"/>
    </row>
    <row r="5665">
      <c r="G5665" s="7"/>
    </row>
    <row r="5666">
      <c r="G5666" s="7"/>
    </row>
    <row r="5667">
      <c r="G5667" s="7"/>
    </row>
    <row r="5668">
      <c r="G5668" s="7"/>
    </row>
    <row r="5669">
      <c r="G5669" s="7"/>
    </row>
    <row r="5670">
      <c r="G5670" s="7"/>
    </row>
    <row r="5671">
      <c r="G5671" s="7"/>
    </row>
    <row r="5672">
      <c r="G5672" s="7"/>
    </row>
    <row r="5673">
      <c r="G5673" s="7"/>
    </row>
    <row r="5674">
      <c r="G5674" s="7"/>
    </row>
    <row r="5675">
      <c r="G5675" s="7"/>
    </row>
    <row r="5676">
      <c r="G5676" s="7"/>
    </row>
    <row r="5677">
      <c r="G5677" s="7"/>
    </row>
    <row r="5678">
      <c r="G5678" s="7"/>
    </row>
    <row r="5679">
      <c r="G5679" s="7"/>
    </row>
    <row r="5680">
      <c r="G5680" s="7"/>
    </row>
    <row r="5681">
      <c r="G5681" s="7"/>
    </row>
    <row r="5682">
      <c r="G5682" s="7"/>
    </row>
    <row r="5683">
      <c r="G5683" s="7"/>
    </row>
    <row r="5684">
      <c r="G5684" s="7"/>
    </row>
    <row r="5685">
      <c r="G5685" s="7"/>
    </row>
    <row r="5686">
      <c r="G5686" s="7"/>
    </row>
    <row r="5687">
      <c r="G5687" s="7"/>
    </row>
    <row r="5688">
      <c r="G5688" s="7"/>
    </row>
    <row r="5689">
      <c r="G5689" s="7"/>
    </row>
    <row r="5690">
      <c r="G5690" s="7"/>
    </row>
    <row r="5691">
      <c r="G5691" s="7"/>
    </row>
    <row r="5692">
      <c r="G5692" s="7"/>
    </row>
    <row r="5693">
      <c r="G5693" s="7"/>
    </row>
    <row r="5694">
      <c r="G5694" s="7"/>
    </row>
    <row r="5695">
      <c r="G5695" s="7"/>
    </row>
    <row r="5696">
      <c r="G5696" s="7"/>
    </row>
    <row r="5697">
      <c r="G5697" s="7"/>
    </row>
    <row r="5698">
      <c r="G5698" s="7"/>
    </row>
    <row r="5699">
      <c r="G5699" s="7"/>
    </row>
    <row r="5700">
      <c r="G5700" s="7"/>
    </row>
    <row r="5701">
      <c r="G5701" s="7"/>
    </row>
    <row r="5702">
      <c r="G5702" s="7"/>
    </row>
    <row r="5703">
      <c r="G5703" s="7"/>
    </row>
    <row r="5704">
      <c r="G5704" s="7"/>
    </row>
    <row r="5705">
      <c r="G5705" s="7"/>
    </row>
    <row r="5706">
      <c r="G5706" s="7"/>
    </row>
    <row r="5707">
      <c r="G5707" s="7"/>
    </row>
    <row r="5708">
      <c r="G5708" s="7"/>
    </row>
    <row r="5709">
      <c r="G5709" s="7"/>
    </row>
    <row r="5710">
      <c r="G5710" s="7"/>
    </row>
    <row r="5711">
      <c r="G5711" s="7"/>
    </row>
    <row r="5712">
      <c r="G5712" s="7"/>
    </row>
    <row r="5713">
      <c r="G5713" s="7"/>
    </row>
    <row r="5714">
      <c r="G5714" s="7"/>
    </row>
    <row r="5715">
      <c r="G5715" s="7"/>
    </row>
    <row r="5716">
      <c r="G5716" s="7"/>
    </row>
    <row r="5717">
      <c r="G5717" s="7"/>
    </row>
    <row r="5718">
      <c r="G5718" s="7"/>
    </row>
    <row r="5719">
      <c r="G5719" s="7"/>
    </row>
    <row r="5720">
      <c r="G5720" s="7"/>
    </row>
    <row r="5721">
      <c r="G5721" s="7"/>
    </row>
    <row r="5722">
      <c r="G5722" s="7"/>
    </row>
    <row r="5723">
      <c r="G5723" s="7"/>
    </row>
    <row r="5724">
      <c r="G5724" s="7"/>
    </row>
    <row r="5725">
      <c r="G5725" s="7"/>
    </row>
    <row r="5726">
      <c r="G5726" s="7"/>
    </row>
    <row r="5727">
      <c r="G5727" s="7"/>
    </row>
    <row r="5728">
      <c r="G5728" s="7"/>
    </row>
    <row r="5729">
      <c r="G5729" s="7"/>
    </row>
    <row r="5730">
      <c r="G5730" s="7"/>
    </row>
    <row r="5731">
      <c r="G5731" s="7"/>
    </row>
    <row r="5732">
      <c r="G5732" s="7"/>
    </row>
    <row r="5733">
      <c r="G5733" s="7"/>
    </row>
    <row r="5734">
      <c r="G5734" s="7"/>
    </row>
    <row r="5735">
      <c r="G5735" s="7"/>
    </row>
    <row r="5736">
      <c r="G5736" s="7"/>
    </row>
    <row r="5737">
      <c r="G5737" s="7"/>
    </row>
    <row r="5738">
      <c r="G5738" s="7"/>
    </row>
    <row r="5739">
      <c r="G5739" s="7"/>
    </row>
    <row r="5740">
      <c r="G5740" s="7"/>
    </row>
    <row r="5741">
      <c r="G5741" s="7"/>
    </row>
    <row r="5742">
      <c r="G5742" s="7"/>
    </row>
    <row r="5743">
      <c r="G5743" s="7"/>
    </row>
    <row r="5744">
      <c r="G5744" s="7"/>
    </row>
    <row r="5745">
      <c r="G5745" s="7"/>
    </row>
    <row r="5746">
      <c r="G5746" s="7"/>
    </row>
    <row r="5747">
      <c r="G5747" s="7"/>
    </row>
    <row r="5748">
      <c r="G5748" s="7"/>
    </row>
    <row r="5749">
      <c r="G5749" s="7"/>
    </row>
    <row r="5750">
      <c r="G5750" s="7"/>
    </row>
    <row r="5751">
      <c r="G5751" s="7"/>
    </row>
    <row r="5752">
      <c r="G5752" s="7"/>
    </row>
    <row r="5753">
      <c r="G5753" s="7"/>
    </row>
    <row r="5754">
      <c r="G5754" s="7"/>
    </row>
    <row r="5755">
      <c r="G5755" s="7"/>
    </row>
    <row r="5756">
      <c r="G5756" s="7"/>
    </row>
    <row r="5757">
      <c r="G5757" s="7"/>
    </row>
    <row r="5758">
      <c r="G5758" s="7"/>
    </row>
    <row r="5759">
      <c r="G5759" s="7"/>
    </row>
    <row r="5760">
      <c r="G5760" s="7"/>
    </row>
    <row r="5761">
      <c r="G5761" s="7"/>
    </row>
    <row r="5762">
      <c r="G5762" s="7"/>
    </row>
    <row r="5763">
      <c r="G5763" s="7"/>
    </row>
    <row r="5764">
      <c r="G5764" s="7"/>
    </row>
    <row r="5765">
      <c r="G5765" s="7"/>
    </row>
    <row r="5766">
      <c r="G5766" s="7"/>
    </row>
    <row r="5767">
      <c r="G5767" s="7"/>
    </row>
    <row r="5768">
      <c r="G5768" s="7"/>
    </row>
    <row r="5769">
      <c r="G5769" s="7"/>
    </row>
    <row r="5770">
      <c r="G5770" s="7"/>
    </row>
    <row r="5771">
      <c r="G5771" s="7"/>
    </row>
    <row r="5772">
      <c r="G5772" s="7"/>
    </row>
    <row r="5773">
      <c r="G5773" s="7"/>
    </row>
    <row r="5774">
      <c r="G5774" s="7"/>
    </row>
    <row r="5775">
      <c r="G5775" s="7"/>
    </row>
    <row r="5776">
      <c r="G5776" s="7"/>
    </row>
    <row r="5777">
      <c r="G5777" s="7"/>
    </row>
    <row r="5778">
      <c r="G5778" s="7"/>
    </row>
    <row r="5779">
      <c r="G5779" s="7"/>
    </row>
    <row r="5780">
      <c r="G5780" s="7"/>
    </row>
    <row r="5781">
      <c r="G5781" s="7"/>
    </row>
    <row r="5782">
      <c r="G5782" s="7"/>
    </row>
    <row r="5783">
      <c r="G5783" s="7"/>
    </row>
    <row r="5784">
      <c r="G5784" s="7"/>
    </row>
    <row r="5785">
      <c r="G5785" s="7"/>
    </row>
    <row r="5786">
      <c r="G5786" s="7"/>
    </row>
    <row r="5787">
      <c r="G5787" s="7"/>
    </row>
    <row r="5788">
      <c r="G5788" s="7"/>
    </row>
    <row r="5789">
      <c r="G5789" s="7"/>
    </row>
    <row r="5790">
      <c r="G5790" s="7"/>
    </row>
    <row r="5791">
      <c r="G5791" s="7"/>
    </row>
    <row r="5792">
      <c r="G5792" s="7"/>
    </row>
    <row r="5793">
      <c r="G5793" s="7"/>
    </row>
    <row r="5794">
      <c r="G5794" s="7"/>
    </row>
    <row r="5795">
      <c r="G5795" s="7"/>
    </row>
    <row r="5796">
      <c r="G5796" s="7"/>
    </row>
    <row r="5797">
      <c r="G5797" s="7"/>
    </row>
    <row r="5798">
      <c r="G5798" s="7"/>
    </row>
    <row r="5799">
      <c r="G5799" s="7"/>
    </row>
    <row r="5800">
      <c r="G5800" s="7"/>
    </row>
    <row r="5801">
      <c r="G5801" s="7"/>
    </row>
    <row r="5802">
      <c r="G5802" s="7"/>
    </row>
    <row r="5803">
      <c r="G5803" s="7"/>
    </row>
    <row r="5804">
      <c r="G5804" s="7"/>
    </row>
    <row r="5805">
      <c r="G5805" s="7"/>
    </row>
    <row r="5806">
      <c r="G5806" s="7"/>
    </row>
    <row r="5807">
      <c r="G5807" s="7"/>
    </row>
    <row r="5808">
      <c r="G5808" s="7"/>
    </row>
    <row r="5809">
      <c r="G5809" s="7"/>
    </row>
    <row r="5810">
      <c r="G5810" s="7"/>
    </row>
    <row r="5811">
      <c r="G5811" s="7"/>
    </row>
    <row r="5812">
      <c r="G5812" s="7"/>
    </row>
    <row r="5813">
      <c r="G5813" s="7"/>
    </row>
    <row r="5814">
      <c r="G5814" s="7"/>
    </row>
    <row r="5815">
      <c r="G5815" s="7"/>
    </row>
    <row r="5816">
      <c r="G5816" s="7"/>
    </row>
    <row r="5817">
      <c r="G5817" s="7"/>
    </row>
    <row r="5818">
      <c r="G5818" s="7"/>
    </row>
    <row r="5819">
      <c r="G5819" s="7"/>
    </row>
    <row r="5820">
      <c r="G5820" s="7"/>
    </row>
    <row r="5821">
      <c r="G5821" s="7"/>
    </row>
    <row r="5822">
      <c r="G5822" s="7"/>
    </row>
    <row r="5823">
      <c r="G5823" s="7"/>
    </row>
    <row r="5824">
      <c r="G5824" s="7"/>
    </row>
    <row r="5825">
      <c r="G5825" s="7"/>
    </row>
    <row r="5826">
      <c r="G5826" s="7"/>
    </row>
    <row r="5827">
      <c r="G5827" s="7"/>
    </row>
    <row r="5828">
      <c r="G5828" s="7"/>
    </row>
    <row r="5829">
      <c r="G5829" s="7"/>
    </row>
    <row r="5830">
      <c r="G5830" s="7"/>
    </row>
    <row r="5831">
      <c r="G5831" s="7"/>
    </row>
    <row r="5832">
      <c r="G5832" s="7"/>
    </row>
    <row r="5833">
      <c r="G5833" s="7"/>
    </row>
    <row r="5834">
      <c r="G5834" s="7"/>
    </row>
    <row r="5835">
      <c r="G5835" s="7"/>
    </row>
    <row r="5836">
      <c r="G5836" s="7"/>
    </row>
    <row r="5837">
      <c r="G5837" s="7"/>
    </row>
    <row r="5838">
      <c r="G5838" s="7"/>
    </row>
    <row r="5839">
      <c r="G5839" s="7"/>
    </row>
    <row r="5840">
      <c r="G5840" s="7"/>
    </row>
    <row r="5841">
      <c r="G5841" s="7"/>
    </row>
    <row r="5842">
      <c r="G5842" s="7"/>
    </row>
    <row r="5843">
      <c r="G5843" s="7"/>
    </row>
    <row r="5844">
      <c r="G5844" s="7"/>
    </row>
    <row r="5845">
      <c r="G5845" s="7"/>
    </row>
    <row r="5846">
      <c r="G5846" s="7"/>
    </row>
    <row r="5847">
      <c r="G5847" s="7"/>
    </row>
    <row r="5848">
      <c r="G5848" s="7"/>
    </row>
    <row r="5849">
      <c r="G5849" s="7"/>
    </row>
    <row r="5850">
      <c r="G5850" s="7"/>
    </row>
    <row r="5851">
      <c r="G5851" s="7"/>
    </row>
    <row r="5852">
      <c r="G5852" s="7"/>
    </row>
    <row r="5853">
      <c r="G5853" s="7"/>
    </row>
    <row r="5854">
      <c r="G5854" s="7"/>
    </row>
    <row r="5855">
      <c r="G5855" s="7"/>
    </row>
    <row r="5856">
      <c r="G5856" s="7"/>
    </row>
    <row r="5857">
      <c r="G5857" s="7"/>
    </row>
    <row r="5858">
      <c r="G5858" s="7"/>
    </row>
    <row r="5859">
      <c r="G5859" s="7"/>
    </row>
    <row r="5860">
      <c r="G5860" s="7"/>
    </row>
    <row r="5861">
      <c r="G5861" s="7"/>
    </row>
    <row r="5862">
      <c r="G5862" s="7"/>
    </row>
    <row r="5863">
      <c r="G5863" s="7"/>
    </row>
    <row r="5864">
      <c r="G5864" s="7"/>
    </row>
    <row r="5865">
      <c r="G5865" s="7"/>
    </row>
    <row r="5866">
      <c r="G5866" s="7"/>
    </row>
    <row r="5867">
      <c r="G5867" s="7"/>
    </row>
    <row r="5868">
      <c r="G5868" s="7"/>
    </row>
    <row r="5869">
      <c r="G5869" s="7"/>
    </row>
    <row r="5870">
      <c r="G5870" s="7"/>
    </row>
    <row r="5871">
      <c r="G5871" s="7"/>
    </row>
    <row r="5872">
      <c r="G5872" s="7"/>
    </row>
    <row r="5873">
      <c r="G5873" s="7"/>
    </row>
    <row r="5874">
      <c r="G5874" s="7"/>
    </row>
    <row r="5875">
      <c r="G5875" s="7"/>
    </row>
    <row r="5876">
      <c r="G5876" s="7"/>
    </row>
    <row r="5877">
      <c r="G5877" s="7"/>
    </row>
    <row r="5878">
      <c r="G5878" s="7"/>
    </row>
    <row r="5879">
      <c r="G5879" s="7"/>
    </row>
    <row r="5880">
      <c r="G5880" s="7"/>
    </row>
    <row r="5881">
      <c r="G5881" s="7"/>
    </row>
    <row r="5882">
      <c r="G5882" s="7"/>
    </row>
    <row r="5883">
      <c r="G5883" s="7"/>
    </row>
    <row r="5884">
      <c r="G5884" s="7"/>
    </row>
    <row r="5885">
      <c r="G5885" s="7"/>
    </row>
    <row r="5886">
      <c r="G5886" s="7"/>
    </row>
    <row r="5887">
      <c r="G5887" s="7"/>
    </row>
    <row r="5888">
      <c r="G5888" s="7"/>
    </row>
    <row r="5889">
      <c r="G5889" s="7"/>
    </row>
    <row r="5890">
      <c r="G5890" s="7"/>
    </row>
    <row r="5891">
      <c r="G5891" s="7"/>
    </row>
    <row r="5892">
      <c r="G5892" s="7"/>
    </row>
    <row r="5893">
      <c r="G5893" s="7"/>
    </row>
    <row r="5894">
      <c r="G5894" s="7"/>
    </row>
    <row r="5895">
      <c r="G5895" s="7"/>
    </row>
    <row r="5896">
      <c r="G5896" s="7"/>
    </row>
    <row r="5897">
      <c r="G5897" s="7"/>
    </row>
    <row r="5898">
      <c r="G5898" s="7"/>
    </row>
    <row r="5899">
      <c r="G5899" s="7"/>
    </row>
    <row r="5900">
      <c r="G5900" s="7"/>
    </row>
    <row r="5901">
      <c r="G5901" s="7"/>
    </row>
    <row r="5902">
      <c r="G5902" s="7"/>
    </row>
    <row r="5903">
      <c r="G5903" s="7"/>
    </row>
    <row r="5904">
      <c r="G5904" s="7"/>
    </row>
    <row r="5905">
      <c r="G5905" s="7"/>
    </row>
    <row r="5906">
      <c r="G5906" s="7"/>
    </row>
    <row r="5907">
      <c r="G5907" s="7"/>
    </row>
    <row r="5908">
      <c r="G5908" s="7"/>
    </row>
    <row r="5909">
      <c r="G5909" s="7"/>
    </row>
    <row r="5910">
      <c r="G5910" s="7"/>
    </row>
    <row r="5911">
      <c r="G5911" s="7"/>
    </row>
    <row r="5912">
      <c r="G5912" s="7"/>
    </row>
    <row r="5913">
      <c r="G5913" s="7"/>
    </row>
    <row r="5914">
      <c r="G5914" s="7"/>
    </row>
    <row r="5915">
      <c r="G5915" s="7"/>
    </row>
    <row r="5916">
      <c r="G5916" s="7"/>
    </row>
    <row r="5917">
      <c r="G5917" s="7"/>
    </row>
    <row r="5918">
      <c r="G5918" s="7"/>
    </row>
    <row r="5919">
      <c r="G5919" s="7"/>
    </row>
    <row r="5920">
      <c r="G5920" s="7"/>
    </row>
    <row r="5921">
      <c r="G5921" s="7"/>
    </row>
    <row r="5922">
      <c r="G5922" s="7"/>
    </row>
    <row r="5923">
      <c r="G5923" s="7"/>
    </row>
    <row r="5924">
      <c r="G5924" s="7"/>
    </row>
    <row r="5925">
      <c r="G5925" s="7"/>
    </row>
    <row r="5926">
      <c r="G5926" s="7"/>
    </row>
    <row r="5927">
      <c r="G5927" s="7"/>
    </row>
    <row r="5928">
      <c r="G5928" s="7"/>
    </row>
    <row r="5929">
      <c r="G5929" s="7"/>
    </row>
    <row r="5930">
      <c r="G5930" s="7"/>
    </row>
    <row r="5931">
      <c r="G5931" s="7"/>
    </row>
    <row r="5932">
      <c r="G5932" s="7"/>
    </row>
    <row r="5933">
      <c r="G5933" s="7"/>
    </row>
    <row r="5934">
      <c r="G5934" s="7"/>
    </row>
    <row r="5935">
      <c r="G5935" s="7"/>
    </row>
    <row r="5936">
      <c r="G5936" s="7"/>
    </row>
    <row r="5937">
      <c r="G5937" s="7"/>
    </row>
    <row r="5938">
      <c r="G5938" s="7"/>
    </row>
    <row r="5939">
      <c r="G5939" s="7"/>
    </row>
    <row r="5940">
      <c r="G5940" s="7"/>
    </row>
    <row r="5941">
      <c r="G5941" s="7"/>
    </row>
    <row r="5942">
      <c r="G5942" s="7"/>
    </row>
    <row r="5943">
      <c r="G5943" s="7"/>
    </row>
    <row r="5944">
      <c r="G5944" s="7"/>
    </row>
    <row r="5945">
      <c r="G5945" s="7"/>
    </row>
    <row r="5946">
      <c r="G5946" s="7"/>
    </row>
    <row r="5947">
      <c r="G5947" s="7"/>
    </row>
    <row r="5948">
      <c r="G5948" s="7"/>
    </row>
    <row r="5949">
      <c r="G5949" s="7"/>
    </row>
    <row r="5950">
      <c r="G5950" s="7"/>
    </row>
    <row r="5951">
      <c r="G5951" s="7"/>
    </row>
    <row r="5952">
      <c r="G5952" s="7"/>
    </row>
    <row r="5953">
      <c r="G5953" s="7"/>
    </row>
    <row r="5954">
      <c r="G5954" s="7"/>
    </row>
    <row r="5955">
      <c r="G5955" s="7"/>
    </row>
    <row r="5956">
      <c r="G5956" s="7"/>
    </row>
    <row r="5957">
      <c r="G5957" s="7"/>
    </row>
    <row r="5958">
      <c r="G5958" s="7"/>
    </row>
    <row r="5959">
      <c r="G5959" s="7"/>
    </row>
    <row r="5960">
      <c r="G5960" s="7"/>
    </row>
    <row r="5961">
      <c r="G5961" s="7"/>
    </row>
    <row r="5962">
      <c r="G5962" s="7"/>
    </row>
    <row r="5963">
      <c r="G5963" s="7"/>
    </row>
    <row r="5964">
      <c r="G5964" s="7"/>
    </row>
    <row r="5965">
      <c r="G5965" s="7"/>
    </row>
    <row r="5966">
      <c r="G5966" s="7"/>
    </row>
    <row r="5967">
      <c r="G5967" s="7"/>
    </row>
    <row r="5968">
      <c r="G5968" s="7"/>
    </row>
    <row r="5969">
      <c r="G5969" s="7"/>
    </row>
    <row r="5970">
      <c r="G5970" s="7"/>
    </row>
    <row r="5971">
      <c r="G5971" s="7"/>
    </row>
    <row r="5972">
      <c r="G5972" s="7"/>
    </row>
    <row r="5973">
      <c r="G5973" s="7"/>
    </row>
    <row r="5974">
      <c r="G5974" s="7"/>
    </row>
    <row r="5975">
      <c r="G5975" s="7"/>
    </row>
    <row r="5976">
      <c r="G5976" s="7"/>
    </row>
    <row r="5977">
      <c r="G5977" s="7"/>
    </row>
    <row r="5978">
      <c r="G5978" s="7"/>
    </row>
    <row r="5979">
      <c r="G5979" s="7"/>
    </row>
    <row r="5980">
      <c r="G5980" s="7"/>
    </row>
    <row r="5981">
      <c r="G5981" s="7"/>
    </row>
    <row r="5982">
      <c r="G5982" s="7"/>
    </row>
    <row r="5983">
      <c r="G5983" s="7"/>
    </row>
    <row r="5984">
      <c r="G5984" s="7"/>
    </row>
    <row r="5985">
      <c r="G5985" s="7"/>
    </row>
    <row r="5986">
      <c r="G5986" s="7"/>
    </row>
    <row r="5987">
      <c r="G5987" s="7"/>
    </row>
    <row r="5988">
      <c r="G5988" s="7"/>
    </row>
    <row r="5989">
      <c r="G5989" s="7"/>
    </row>
    <row r="5990">
      <c r="G5990" s="7"/>
    </row>
    <row r="5991">
      <c r="G5991" s="7"/>
    </row>
    <row r="5992">
      <c r="G5992" s="7"/>
    </row>
    <row r="5993">
      <c r="G5993" s="7"/>
    </row>
    <row r="5994">
      <c r="G5994" s="7"/>
    </row>
    <row r="5995">
      <c r="G5995" s="7"/>
    </row>
    <row r="5996">
      <c r="G5996" s="7"/>
    </row>
    <row r="5997">
      <c r="G5997" s="7"/>
    </row>
    <row r="5998">
      <c r="G5998" s="7"/>
    </row>
    <row r="5999">
      <c r="G5999" s="7"/>
    </row>
    <row r="6000">
      <c r="G6000" s="7"/>
    </row>
    <row r="6001">
      <c r="G6001" s="7"/>
    </row>
    <row r="6002">
      <c r="G6002" s="7"/>
    </row>
    <row r="6003">
      <c r="G6003" s="7"/>
    </row>
    <row r="6004">
      <c r="G6004" s="7"/>
    </row>
    <row r="6005">
      <c r="G6005" s="7"/>
    </row>
    <row r="6006">
      <c r="G6006" s="7"/>
    </row>
    <row r="6007">
      <c r="G6007" s="7"/>
    </row>
    <row r="6008">
      <c r="G6008" s="7"/>
    </row>
    <row r="6009">
      <c r="G6009" s="7"/>
    </row>
    <row r="6010">
      <c r="G6010" s="7"/>
    </row>
    <row r="6011">
      <c r="G6011" s="7"/>
    </row>
    <row r="6012">
      <c r="G6012" s="7"/>
    </row>
    <row r="6013">
      <c r="G6013" s="7"/>
    </row>
    <row r="6014">
      <c r="G6014" s="7"/>
    </row>
    <row r="6015">
      <c r="G6015" s="7"/>
    </row>
    <row r="6016">
      <c r="G6016" s="7"/>
    </row>
    <row r="6017">
      <c r="G6017" s="7"/>
    </row>
    <row r="6018">
      <c r="G6018" s="7"/>
    </row>
    <row r="6019">
      <c r="G6019" s="7"/>
    </row>
    <row r="6020">
      <c r="G6020" s="7"/>
    </row>
    <row r="6021">
      <c r="G6021" s="7"/>
    </row>
    <row r="6022">
      <c r="G6022" s="7"/>
    </row>
    <row r="6023">
      <c r="G6023" s="7"/>
    </row>
    <row r="6024">
      <c r="G6024" s="7"/>
    </row>
    <row r="6025">
      <c r="G6025" s="7"/>
    </row>
    <row r="6026">
      <c r="G6026" s="7"/>
    </row>
    <row r="6027">
      <c r="G6027" s="7"/>
    </row>
    <row r="6028">
      <c r="G6028" s="7"/>
    </row>
    <row r="6029">
      <c r="G6029" s="7"/>
    </row>
    <row r="6030">
      <c r="G6030" s="7"/>
    </row>
    <row r="6031">
      <c r="G6031" s="7"/>
    </row>
    <row r="6032">
      <c r="G6032" s="7"/>
    </row>
    <row r="6033">
      <c r="G6033" s="7"/>
    </row>
    <row r="6034">
      <c r="G6034" s="7"/>
    </row>
    <row r="6035">
      <c r="G6035" s="7"/>
    </row>
    <row r="6036">
      <c r="G6036" s="7"/>
    </row>
    <row r="6037">
      <c r="G6037" s="7"/>
    </row>
    <row r="6038">
      <c r="G6038" s="7"/>
    </row>
    <row r="6039">
      <c r="G6039" s="7"/>
    </row>
    <row r="6040">
      <c r="G6040" s="7"/>
    </row>
    <row r="6041">
      <c r="G6041" s="7"/>
    </row>
    <row r="6042">
      <c r="G6042" s="7"/>
    </row>
    <row r="6043">
      <c r="G6043" s="7"/>
    </row>
    <row r="6044">
      <c r="G6044" s="7"/>
    </row>
    <row r="6045">
      <c r="G6045" s="7"/>
    </row>
    <row r="6046">
      <c r="G6046" s="7"/>
    </row>
    <row r="6047">
      <c r="G6047" s="7"/>
    </row>
    <row r="6048">
      <c r="G6048" s="7"/>
    </row>
    <row r="6049">
      <c r="G6049" s="7"/>
    </row>
    <row r="6050">
      <c r="G6050" s="7"/>
    </row>
    <row r="6051">
      <c r="G6051" s="7"/>
    </row>
    <row r="6052">
      <c r="G6052" s="7"/>
    </row>
    <row r="6053">
      <c r="G6053" s="7"/>
    </row>
    <row r="6054">
      <c r="G6054" s="7"/>
    </row>
    <row r="6055">
      <c r="G6055" s="7"/>
    </row>
    <row r="6056">
      <c r="G6056" s="7"/>
    </row>
    <row r="6057">
      <c r="G6057" s="7"/>
    </row>
    <row r="6058">
      <c r="G6058" s="7"/>
    </row>
    <row r="6059">
      <c r="G6059" s="7"/>
    </row>
    <row r="6060">
      <c r="G6060" s="7"/>
    </row>
    <row r="6061">
      <c r="G6061" s="7"/>
    </row>
    <row r="6062">
      <c r="G6062" s="7"/>
    </row>
    <row r="6063">
      <c r="G6063" s="7"/>
    </row>
    <row r="6064">
      <c r="G6064" s="7"/>
    </row>
    <row r="6065">
      <c r="G6065" s="7"/>
    </row>
    <row r="6066">
      <c r="G6066" s="7"/>
    </row>
    <row r="6067">
      <c r="G6067" s="7"/>
    </row>
    <row r="6068">
      <c r="G6068" s="7"/>
    </row>
    <row r="6069">
      <c r="G6069" s="7"/>
    </row>
    <row r="6070">
      <c r="G6070" s="7"/>
    </row>
    <row r="6071">
      <c r="G6071" s="7"/>
    </row>
    <row r="6072">
      <c r="G6072" s="7"/>
    </row>
    <row r="6073">
      <c r="G6073" s="7"/>
    </row>
    <row r="6074">
      <c r="G6074" s="7"/>
    </row>
    <row r="6075">
      <c r="G6075" s="7"/>
    </row>
    <row r="6076">
      <c r="G6076" s="7"/>
    </row>
    <row r="6077">
      <c r="G6077" s="7"/>
    </row>
    <row r="6078">
      <c r="G6078" s="7"/>
    </row>
    <row r="6079">
      <c r="G6079" s="7"/>
    </row>
    <row r="6080">
      <c r="G6080" s="7"/>
    </row>
    <row r="6081">
      <c r="G6081" s="7"/>
    </row>
    <row r="6082">
      <c r="G6082" s="7"/>
    </row>
    <row r="6083">
      <c r="G6083" s="7"/>
    </row>
    <row r="6084">
      <c r="G6084" s="7"/>
    </row>
    <row r="6085">
      <c r="G6085" s="7"/>
    </row>
    <row r="6086">
      <c r="G6086" s="7"/>
    </row>
    <row r="6087">
      <c r="G6087" s="7"/>
    </row>
    <row r="6088">
      <c r="G6088" s="7"/>
    </row>
    <row r="6089">
      <c r="G6089" s="7"/>
    </row>
    <row r="6090">
      <c r="G6090" s="7"/>
    </row>
    <row r="6091">
      <c r="G6091" s="7"/>
    </row>
    <row r="6092">
      <c r="G6092" s="7"/>
    </row>
    <row r="6093">
      <c r="G6093" s="7"/>
    </row>
    <row r="6094">
      <c r="G6094" s="7"/>
    </row>
    <row r="6095">
      <c r="G6095" s="7"/>
    </row>
    <row r="6096">
      <c r="G6096" s="7"/>
    </row>
    <row r="6097">
      <c r="G6097" s="7"/>
    </row>
    <row r="6098">
      <c r="G6098" s="7"/>
    </row>
    <row r="6099">
      <c r="G6099" s="7"/>
    </row>
    <row r="6100">
      <c r="G6100" s="7"/>
    </row>
    <row r="6101">
      <c r="G6101" s="7"/>
    </row>
    <row r="6102">
      <c r="G6102" s="7"/>
    </row>
    <row r="6103">
      <c r="G6103" s="7"/>
    </row>
    <row r="6104">
      <c r="G6104" s="7"/>
    </row>
    <row r="6105">
      <c r="G6105" s="7"/>
    </row>
    <row r="6106">
      <c r="G6106" s="7"/>
    </row>
    <row r="6107">
      <c r="G6107" s="7"/>
    </row>
    <row r="6108">
      <c r="G6108" s="7"/>
    </row>
    <row r="6109">
      <c r="G6109" s="7"/>
    </row>
    <row r="6110">
      <c r="G6110" s="7"/>
    </row>
    <row r="6111">
      <c r="G6111" s="7"/>
    </row>
    <row r="6112">
      <c r="G6112" s="7"/>
    </row>
    <row r="6113">
      <c r="G6113" s="7"/>
    </row>
    <row r="6114">
      <c r="G6114" s="7"/>
    </row>
    <row r="6115">
      <c r="G6115" s="7"/>
    </row>
    <row r="6116">
      <c r="G6116" s="7"/>
    </row>
    <row r="6117">
      <c r="G6117" s="7"/>
    </row>
    <row r="6118">
      <c r="G6118" s="7"/>
    </row>
    <row r="6119">
      <c r="G6119" s="7"/>
    </row>
    <row r="6120">
      <c r="G6120" s="7"/>
    </row>
    <row r="6121">
      <c r="G6121" s="7"/>
    </row>
    <row r="6122">
      <c r="G6122" s="7"/>
    </row>
    <row r="6123">
      <c r="G6123" s="7"/>
    </row>
    <row r="6124">
      <c r="G6124" s="7"/>
    </row>
    <row r="6125">
      <c r="G6125" s="7"/>
    </row>
    <row r="6126">
      <c r="G6126" s="7"/>
    </row>
    <row r="6127">
      <c r="G6127" s="7"/>
    </row>
    <row r="6128">
      <c r="G6128" s="7"/>
    </row>
    <row r="6129">
      <c r="G6129" s="7"/>
    </row>
    <row r="6130">
      <c r="G6130" s="7"/>
    </row>
    <row r="6131">
      <c r="G6131" s="7"/>
    </row>
    <row r="6132">
      <c r="G6132" s="7"/>
    </row>
    <row r="6133">
      <c r="G6133" s="7"/>
    </row>
    <row r="6134">
      <c r="G6134" s="7"/>
    </row>
    <row r="6135">
      <c r="G6135" s="7"/>
    </row>
    <row r="6136">
      <c r="G6136" s="7"/>
    </row>
    <row r="6137">
      <c r="G6137" s="7"/>
    </row>
    <row r="6138">
      <c r="G6138" s="7"/>
    </row>
    <row r="6139">
      <c r="G6139" s="7"/>
    </row>
    <row r="6140">
      <c r="G6140" s="7"/>
    </row>
    <row r="6141">
      <c r="G6141" s="7"/>
    </row>
    <row r="6142">
      <c r="G6142" s="7"/>
    </row>
    <row r="6143">
      <c r="G6143" s="7"/>
    </row>
    <row r="6144">
      <c r="G6144" s="7"/>
    </row>
    <row r="6145">
      <c r="G6145" s="7"/>
    </row>
    <row r="6146">
      <c r="G6146" s="7"/>
    </row>
    <row r="6147">
      <c r="G6147" s="7"/>
    </row>
    <row r="6148">
      <c r="G6148" s="7"/>
    </row>
    <row r="6149">
      <c r="G6149" s="7"/>
    </row>
    <row r="6150">
      <c r="G6150" s="7"/>
    </row>
    <row r="6151">
      <c r="G6151" s="7"/>
    </row>
    <row r="6152">
      <c r="G6152" s="7"/>
    </row>
    <row r="6153">
      <c r="G6153" s="7"/>
    </row>
    <row r="6154">
      <c r="G6154" s="7"/>
    </row>
    <row r="6155">
      <c r="G6155" s="7"/>
    </row>
    <row r="6156">
      <c r="G6156" s="7"/>
    </row>
    <row r="6157">
      <c r="G6157" s="7"/>
    </row>
    <row r="6158">
      <c r="G6158" s="7"/>
    </row>
    <row r="6159">
      <c r="G6159" s="7"/>
    </row>
    <row r="6160">
      <c r="G6160" s="7"/>
    </row>
    <row r="6161">
      <c r="G6161" s="7"/>
    </row>
    <row r="6162">
      <c r="G6162" s="7"/>
    </row>
    <row r="6163">
      <c r="G6163" s="7"/>
    </row>
    <row r="6164">
      <c r="G6164" s="7"/>
    </row>
    <row r="6165">
      <c r="G6165" s="7"/>
    </row>
    <row r="6166">
      <c r="G6166" s="7"/>
    </row>
    <row r="6167">
      <c r="G6167" s="7"/>
    </row>
    <row r="6168">
      <c r="G6168" s="7"/>
    </row>
    <row r="6169">
      <c r="G6169" s="7"/>
    </row>
    <row r="6170">
      <c r="G6170" s="7"/>
    </row>
    <row r="6171">
      <c r="G6171" s="7"/>
    </row>
    <row r="6172">
      <c r="G6172" s="7"/>
    </row>
    <row r="6173">
      <c r="G6173" s="7"/>
    </row>
    <row r="6174">
      <c r="G6174" s="7"/>
    </row>
    <row r="6175">
      <c r="G6175" s="7"/>
    </row>
    <row r="6176">
      <c r="G6176" s="7"/>
    </row>
    <row r="6177">
      <c r="G6177" s="7"/>
    </row>
    <row r="6178">
      <c r="G6178" s="7"/>
    </row>
    <row r="6179">
      <c r="G6179" s="7"/>
    </row>
    <row r="6180">
      <c r="G6180" s="7"/>
    </row>
    <row r="6181">
      <c r="G6181" s="7"/>
    </row>
    <row r="6182">
      <c r="G6182" s="7"/>
    </row>
    <row r="6183">
      <c r="G6183" s="7"/>
    </row>
    <row r="6184">
      <c r="G6184" s="7"/>
    </row>
    <row r="6185">
      <c r="G6185" s="7"/>
    </row>
    <row r="6186">
      <c r="G6186" s="7"/>
    </row>
    <row r="6187">
      <c r="G6187" s="7"/>
    </row>
    <row r="6188">
      <c r="G6188" s="7"/>
    </row>
    <row r="6189">
      <c r="G6189" s="7"/>
    </row>
    <row r="6190">
      <c r="G6190" s="7"/>
    </row>
    <row r="6191">
      <c r="G6191" s="7"/>
    </row>
    <row r="6192">
      <c r="G6192" s="7"/>
    </row>
    <row r="6193">
      <c r="G6193" s="7"/>
    </row>
    <row r="6194">
      <c r="G6194" s="7"/>
    </row>
    <row r="6195">
      <c r="G6195" s="7"/>
    </row>
    <row r="6196">
      <c r="G6196" s="7"/>
    </row>
    <row r="6197">
      <c r="G6197" s="7"/>
    </row>
    <row r="6198">
      <c r="G6198" s="7"/>
    </row>
    <row r="6199">
      <c r="G6199" s="7"/>
    </row>
    <row r="6200">
      <c r="G6200" s="7"/>
    </row>
    <row r="6201">
      <c r="G6201" s="7"/>
    </row>
    <row r="6202">
      <c r="G6202" s="7"/>
    </row>
    <row r="6203">
      <c r="G6203" s="7"/>
    </row>
    <row r="6204">
      <c r="G6204" s="7"/>
    </row>
    <row r="6205">
      <c r="G6205" s="7"/>
    </row>
    <row r="6206">
      <c r="G6206" s="7"/>
    </row>
    <row r="6207">
      <c r="G6207" s="7"/>
    </row>
    <row r="6208">
      <c r="G6208" s="7"/>
    </row>
    <row r="6209">
      <c r="G6209" s="7"/>
    </row>
    <row r="6210">
      <c r="G6210" s="7"/>
    </row>
    <row r="6211">
      <c r="G6211" s="7"/>
    </row>
    <row r="6212">
      <c r="G6212" s="7"/>
    </row>
    <row r="6213">
      <c r="G6213" s="7"/>
    </row>
    <row r="6214">
      <c r="G6214" s="7"/>
    </row>
    <row r="6215">
      <c r="G6215" s="7"/>
    </row>
    <row r="6216">
      <c r="G6216" s="7"/>
    </row>
    <row r="6217">
      <c r="G6217" s="7"/>
    </row>
    <row r="6218">
      <c r="G6218" s="7"/>
    </row>
    <row r="6219">
      <c r="G6219" s="7"/>
    </row>
    <row r="6220">
      <c r="G6220" s="7"/>
    </row>
    <row r="6221">
      <c r="G6221" s="7"/>
    </row>
    <row r="6222">
      <c r="G6222" s="7"/>
    </row>
    <row r="6223">
      <c r="G6223" s="7"/>
    </row>
    <row r="6224">
      <c r="G6224" s="7"/>
    </row>
    <row r="6225">
      <c r="G6225" s="7"/>
    </row>
    <row r="6226">
      <c r="G6226" s="7"/>
    </row>
    <row r="6227">
      <c r="G6227" s="7"/>
    </row>
    <row r="6228">
      <c r="G6228" s="7"/>
    </row>
    <row r="6229">
      <c r="G6229" s="7"/>
    </row>
    <row r="6230">
      <c r="G6230" s="7"/>
    </row>
    <row r="6231">
      <c r="G6231" s="7"/>
    </row>
    <row r="6232">
      <c r="G6232" s="7"/>
    </row>
    <row r="6233">
      <c r="G6233" s="7"/>
    </row>
    <row r="6234">
      <c r="G6234" s="7"/>
    </row>
    <row r="6235">
      <c r="G6235" s="7"/>
    </row>
    <row r="6236">
      <c r="G6236" s="7"/>
    </row>
    <row r="6237">
      <c r="G6237" s="7"/>
    </row>
    <row r="6238">
      <c r="G6238" s="7"/>
    </row>
    <row r="6239">
      <c r="G6239" s="7"/>
    </row>
    <row r="6240">
      <c r="G6240" s="7"/>
    </row>
    <row r="6241">
      <c r="G6241" s="7"/>
    </row>
    <row r="6242">
      <c r="G6242" s="7"/>
    </row>
    <row r="6243">
      <c r="G6243" s="7"/>
    </row>
    <row r="6244">
      <c r="G6244" s="7"/>
    </row>
    <row r="6245">
      <c r="G6245" s="7"/>
    </row>
    <row r="6246">
      <c r="G6246" s="7"/>
    </row>
    <row r="6247">
      <c r="G6247" s="7"/>
    </row>
    <row r="6248">
      <c r="G6248" s="7"/>
    </row>
    <row r="6249">
      <c r="G6249" s="7"/>
    </row>
    <row r="6250">
      <c r="G6250" s="7"/>
    </row>
    <row r="6251">
      <c r="G6251" s="7"/>
    </row>
    <row r="6252">
      <c r="G6252" s="7"/>
    </row>
    <row r="6253">
      <c r="G6253" s="7"/>
    </row>
    <row r="6254">
      <c r="G6254" s="7"/>
    </row>
    <row r="6255">
      <c r="G6255" s="7"/>
    </row>
    <row r="6256">
      <c r="G6256" s="7"/>
    </row>
    <row r="6257">
      <c r="G6257" s="7"/>
    </row>
    <row r="6258">
      <c r="G6258" s="7"/>
    </row>
    <row r="6259">
      <c r="G6259" s="7"/>
    </row>
    <row r="6260">
      <c r="G6260" s="7"/>
    </row>
    <row r="6261">
      <c r="G6261" s="7"/>
    </row>
    <row r="6262">
      <c r="G6262" s="7"/>
    </row>
    <row r="6263">
      <c r="G6263" s="7"/>
    </row>
    <row r="6264">
      <c r="G6264" s="7"/>
    </row>
    <row r="6265">
      <c r="G6265" s="7"/>
    </row>
    <row r="6266">
      <c r="G6266" s="7"/>
    </row>
    <row r="6267">
      <c r="G6267" s="7"/>
    </row>
    <row r="6268">
      <c r="G6268" s="7"/>
    </row>
    <row r="6269">
      <c r="G6269" s="7"/>
    </row>
    <row r="6270">
      <c r="G6270" s="7"/>
    </row>
    <row r="6271">
      <c r="G6271" s="7"/>
    </row>
    <row r="6272">
      <c r="G6272" s="7"/>
    </row>
    <row r="6273">
      <c r="G6273" s="7"/>
    </row>
    <row r="6274">
      <c r="G6274" s="7"/>
    </row>
    <row r="6275">
      <c r="G6275" s="7"/>
    </row>
    <row r="6276">
      <c r="G6276" s="7"/>
    </row>
    <row r="6277">
      <c r="G6277" s="7"/>
    </row>
    <row r="6278">
      <c r="G6278" s="7"/>
    </row>
    <row r="6279">
      <c r="G6279" s="7"/>
    </row>
    <row r="6280">
      <c r="G6280" s="7"/>
    </row>
    <row r="6281">
      <c r="G6281" s="7"/>
    </row>
    <row r="6282">
      <c r="G6282" s="7"/>
    </row>
    <row r="6283">
      <c r="G6283" s="7"/>
    </row>
    <row r="6284">
      <c r="G6284" s="7"/>
    </row>
    <row r="6285">
      <c r="G6285" s="7"/>
    </row>
    <row r="6286">
      <c r="G6286" s="7"/>
    </row>
    <row r="6287">
      <c r="G6287" s="7"/>
    </row>
    <row r="6288">
      <c r="G6288" s="7"/>
    </row>
    <row r="6289">
      <c r="G6289" s="7"/>
    </row>
    <row r="6290">
      <c r="G6290" s="7"/>
    </row>
    <row r="6291">
      <c r="G6291" s="7"/>
    </row>
    <row r="6292">
      <c r="G6292" s="7"/>
    </row>
    <row r="6293">
      <c r="G6293" s="7"/>
    </row>
    <row r="6294">
      <c r="G6294" s="7"/>
    </row>
    <row r="6295">
      <c r="G6295" s="7"/>
    </row>
    <row r="6296">
      <c r="G6296" s="7"/>
    </row>
    <row r="6297">
      <c r="G6297" s="7"/>
    </row>
    <row r="6298">
      <c r="G6298" s="7"/>
    </row>
    <row r="6299">
      <c r="G6299" s="7"/>
    </row>
    <row r="6300">
      <c r="G6300" s="7"/>
    </row>
    <row r="6301">
      <c r="G6301" s="7"/>
    </row>
    <row r="6302">
      <c r="G6302" s="7"/>
    </row>
    <row r="6303">
      <c r="G6303" s="7"/>
    </row>
    <row r="6304">
      <c r="G6304" s="7"/>
    </row>
    <row r="6305">
      <c r="G6305" s="7"/>
    </row>
    <row r="6306">
      <c r="G6306" s="7"/>
    </row>
    <row r="6307">
      <c r="G6307" s="7"/>
    </row>
    <row r="6308">
      <c r="G6308" s="7"/>
    </row>
    <row r="6309">
      <c r="G6309" s="7"/>
    </row>
    <row r="6310">
      <c r="G6310" s="7"/>
    </row>
    <row r="6311">
      <c r="G6311" s="7"/>
    </row>
    <row r="6312">
      <c r="G6312" s="7"/>
    </row>
    <row r="6313">
      <c r="G6313" s="7"/>
    </row>
    <row r="6314">
      <c r="G6314" s="7"/>
    </row>
    <row r="6315">
      <c r="G6315" s="7"/>
    </row>
    <row r="6316">
      <c r="G6316" s="7"/>
    </row>
    <row r="6317">
      <c r="G6317" s="7"/>
    </row>
    <row r="6318">
      <c r="G6318" s="7"/>
    </row>
    <row r="6319">
      <c r="G6319" s="7"/>
    </row>
    <row r="6320">
      <c r="G6320" s="7"/>
    </row>
    <row r="6321">
      <c r="G6321" s="7"/>
    </row>
    <row r="6322">
      <c r="G6322" s="7"/>
    </row>
    <row r="6323">
      <c r="G6323" s="7"/>
    </row>
    <row r="6324">
      <c r="G6324" s="7"/>
    </row>
    <row r="6325">
      <c r="G6325" s="7"/>
    </row>
    <row r="6326">
      <c r="G6326" s="7"/>
    </row>
    <row r="6327">
      <c r="G6327" s="7"/>
    </row>
    <row r="6328">
      <c r="G6328" s="7"/>
    </row>
    <row r="6329">
      <c r="G6329" s="7"/>
    </row>
    <row r="6330">
      <c r="G6330" s="7"/>
    </row>
    <row r="6331">
      <c r="G6331" s="7"/>
    </row>
    <row r="6332">
      <c r="G6332" s="7"/>
    </row>
    <row r="6333">
      <c r="G6333" s="7"/>
    </row>
    <row r="6334">
      <c r="G6334" s="7"/>
    </row>
    <row r="6335">
      <c r="G6335" s="7"/>
    </row>
    <row r="6336">
      <c r="G6336" s="7"/>
    </row>
    <row r="6337">
      <c r="G6337" s="7"/>
    </row>
    <row r="6338">
      <c r="G6338" s="7"/>
    </row>
    <row r="6339">
      <c r="G6339" s="7"/>
    </row>
    <row r="6340">
      <c r="G6340" s="7"/>
    </row>
    <row r="6341">
      <c r="G6341" s="7"/>
    </row>
    <row r="6342">
      <c r="G6342" s="7"/>
    </row>
    <row r="6343">
      <c r="G6343" s="7"/>
    </row>
    <row r="6344">
      <c r="G6344" s="7"/>
    </row>
    <row r="6345">
      <c r="G6345" s="7"/>
    </row>
    <row r="6346">
      <c r="G6346" s="7"/>
    </row>
    <row r="6347">
      <c r="G6347" s="7"/>
    </row>
    <row r="6348">
      <c r="G6348" s="7"/>
    </row>
    <row r="6349">
      <c r="G6349" s="7"/>
    </row>
    <row r="6350">
      <c r="G6350" s="7"/>
    </row>
    <row r="6351">
      <c r="G6351" s="7"/>
    </row>
    <row r="6352">
      <c r="G6352" s="7"/>
    </row>
    <row r="6353">
      <c r="G6353" s="7"/>
    </row>
    <row r="6354">
      <c r="G6354" s="7"/>
    </row>
    <row r="6355">
      <c r="G6355" s="7"/>
    </row>
    <row r="6356">
      <c r="G6356" s="7"/>
    </row>
    <row r="6357">
      <c r="G6357" s="7"/>
    </row>
    <row r="6358">
      <c r="G6358" s="7"/>
    </row>
    <row r="6359">
      <c r="G6359" s="7"/>
    </row>
    <row r="6360">
      <c r="G6360" s="7"/>
    </row>
    <row r="6361">
      <c r="G6361" s="7"/>
    </row>
    <row r="6362">
      <c r="G6362" s="7"/>
    </row>
    <row r="6363">
      <c r="G6363" s="7"/>
    </row>
    <row r="6364">
      <c r="G6364" s="7"/>
    </row>
    <row r="6365">
      <c r="G6365" s="7"/>
    </row>
    <row r="6366">
      <c r="G6366" s="7"/>
    </row>
    <row r="6367">
      <c r="G6367" s="7"/>
    </row>
    <row r="6368">
      <c r="G6368" s="7"/>
    </row>
    <row r="6369">
      <c r="G6369" s="7"/>
    </row>
    <row r="6370">
      <c r="G6370" s="7"/>
    </row>
    <row r="6371">
      <c r="G6371" s="7"/>
    </row>
    <row r="6372">
      <c r="G6372" s="7"/>
    </row>
    <row r="6373">
      <c r="G6373" s="7"/>
    </row>
    <row r="6374">
      <c r="G6374" s="7"/>
    </row>
    <row r="6375">
      <c r="G6375" s="7"/>
    </row>
    <row r="6376">
      <c r="G6376" s="7"/>
    </row>
    <row r="6377">
      <c r="G6377" s="7"/>
    </row>
    <row r="6378">
      <c r="G6378" s="7"/>
    </row>
    <row r="6379">
      <c r="G6379" s="7"/>
    </row>
    <row r="6380">
      <c r="G6380" s="7"/>
    </row>
    <row r="6381">
      <c r="G6381" s="7"/>
    </row>
    <row r="6382">
      <c r="G6382" s="7"/>
    </row>
    <row r="6383">
      <c r="G6383" s="7"/>
    </row>
    <row r="6384">
      <c r="G6384" s="7"/>
    </row>
    <row r="6385">
      <c r="G6385" s="7"/>
    </row>
    <row r="6386">
      <c r="G6386" s="7"/>
    </row>
    <row r="6387">
      <c r="G6387" s="7"/>
    </row>
    <row r="6388">
      <c r="G6388" s="7"/>
    </row>
    <row r="6389">
      <c r="G6389" s="7"/>
    </row>
    <row r="6390">
      <c r="G6390" s="7"/>
    </row>
    <row r="6391">
      <c r="G6391" s="7"/>
    </row>
    <row r="6392">
      <c r="G6392" s="7"/>
    </row>
    <row r="6393">
      <c r="G6393" s="7"/>
    </row>
    <row r="6394">
      <c r="G6394" s="7"/>
    </row>
    <row r="6395">
      <c r="G6395" s="7"/>
    </row>
    <row r="6396">
      <c r="G6396" s="7"/>
    </row>
    <row r="6397">
      <c r="G6397" s="7"/>
    </row>
    <row r="6398">
      <c r="G6398" s="7"/>
    </row>
    <row r="6399">
      <c r="G6399" s="7"/>
    </row>
    <row r="6400">
      <c r="G6400" s="7"/>
    </row>
    <row r="6401">
      <c r="G6401" s="7"/>
    </row>
    <row r="6402">
      <c r="G6402" s="7"/>
    </row>
    <row r="6403">
      <c r="G6403" s="7"/>
    </row>
    <row r="6404">
      <c r="G6404" s="7"/>
    </row>
    <row r="6405">
      <c r="G6405" s="7"/>
    </row>
    <row r="6406">
      <c r="G6406" s="7"/>
    </row>
    <row r="6407">
      <c r="G6407" s="7"/>
    </row>
    <row r="6408">
      <c r="G6408" s="7"/>
    </row>
    <row r="6409">
      <c r="G6409" s="7"/>
    </row>
    <row r="6410">
      <c r="G6410" s="7"/>
    </row>
    <row r="6411">
      <c r="G6411" s="7"/>
    </row>
    <row r="6412">
      <c r="G6412" s="7"/>
    </row>
    <row r="6413">
      <c r="G6413" s="7"/>
    </row>
    <row r="6414">
      <c r="G6414" s="7"/>
    </row>
    <row r="6415">
      <c r="G6415" s="7"/>
    </row>
    <row r="6416">
      <c r="G6416" s="7"/>
    </row>
    <row r="6417">
      <c r="G6417" s="7"/>
    </row>
    <row r="6418">
      <c r="G6418" s="7"/>
    </row>
    <row r="6419">
      <c r="G6419" s="7"/>
    </row>
    <row r="6420">
      <c r="G6420" s="7"/>
    </row>
    <row r="6421">
      <c r="G6421" s="7"/>
    </row>
    <row r="6422">
      <c r="G6422" s="7"/>
    </row>
    <row r="6423">
      <c r="G6423" s="7"/>
    </row>
    <row r="6424">
      <c r="G6424" s="7"/>
    </row>
    <row r="6425">
      <c r="G6425" s="7"/>
    </row>
    <row r="6426">
      <c r="G6426" s="7"/>
    </row>
    <row r="6427">
      <c r="G6427" s="7"/>
    </row>
    <row r="6428">
      <c r="G6428" s="7"/>
    </row>
    <row r="6429">
      <c r="G6429" s="7"/>
    </row>
    <row r="6430">
      <c r="G6430" s="7"/>
    </row>
    <row r="6431">
      <c r="G6431" s="7"/>
    </row>
    <row r="6432">
      <c r="G6432" s="7"/>
    </row>
    <row r="6433">
      <c r="G6433" s="7"/>
    </row>
    <row r="6434">
      <c r="G6434" s="7"/>
    </row>
    <row r="6435">
      <c r="G6435" s="7"/>
    </row>
    <row r="6436">
      <c r="G6436" s="7"/>
    </row>
    <row r="6437">
      <c r="G6437" s="7"/>
    </row>
    <row r="6438">
      <c r="G6438" s="7"/>
    </row>
    <row r="6439">
      <c r="G6439" s="7"/>
    </row>
    <row r="6440">
      <c r="G6440" s="7"/>
    </row>
    <row r="6441">
      <c r="G6441" s="7"/>
    </row>
    <row r="6442">
      <c r="G6442" s="7"/>
    </row>
    <row r="6443">
      <c r="G6443" s="7"/>
    </row>
    <row r="6444">
      <c r="G6444" s="7"/>
    </row>
    <row r="6445">
      <c r="G6445" s="7"/>
    </row>
    <row r="6446">
      <c r="G6446" s="7"/>
    </row>
    <row r="6447">
      <c r="G6447" s="7"/>
    </row>
    <row r="6448">
      <c r="G6448" s="7"/>
    </row>
    <row r="6449">
      <c r="G6449" s="7"/>
    </row>
    <row r="6450">
      <c r="G6450" s="7"/>
    </row>
    <row r="6451">
      <c r="G6451" s="7"/>
    </row>
    <row r="6452">
      <c r="G6452" s="7"/>
    </row>
    <row r="6453">
      <c r="G6453" s="7"/>
    </row>
    <row r="6454">
      <c r="G6454" s="7"/>
    </row>
    <row r="6455">
      <c r="G6455" s="7"/>
    </row>
    <row r="6456">
      <c r="G6456" s="7"/>
    </row>
    <row r="6457">
      <c r="G6457" s="7"/>
    </row>
    <row r="6458">
      <c r="G6458" s="7"/>
    </row>
    <row r="6459">
      <c r="G6459" s="7"/>
    </row>
    <row r="6460">
      <c r="G6460" s="7"/>
    </row>
    <row r="6461">
      <c r="G6461" s="7"/>
    </row>
    <row r="6462">
      <c r="G6462" s="7"/>
    </row>
    <row r="6463">
      <c r="G6463" s="7"/>
    </row>
    <row r="6464">
      <c r="G6464" s="7"/>
    </row>
    <row r="6465">
      <c r="G6465" s="7"/>
    </row>
    <row r="6466">
      <c r="G6466" s="7"/>
    </row>
    <row r="6467">
      <c r="G6467" s="7"/>
    </row>
    <row r="6468">
      <c r="G6468" s="7"/>
    </row>
    <row r="6469">
      <c r="G6469" s="7"/>
    </row>
    <row r="6470">
      <c r="G6470" s="7"/>
    </row>
    <row r="6471">
      <c r="G6471" s="7"/>
    </row>
    <row r="6472">
      <c r="G6472" s="7"/>
    </row>
    <row r="6473">
      <c r="G6473" s="7"/>
    </row>
    <row r="6474">
      <c r="G6474" s="7"/>
    </row>
    <row r="6475">
      <c r="G6475" s="7"/>
    </row>
    <row r="6476">
      <c r="G6476" s="7"/>
    </row>
    <row r="6477">
      <c r="G6477" s="7"/>
    </row>
    <row r="6478">
      <c r="G6478" s="7"/>
    </row>
    <row r="6479">
      <c r="G6479" s="7"/>
    </row>
    <row r="6480">
      <c r="G6480" s="7"/>
    </row>
    <row r="6481">
      <c r="G6481" s="7"/>
    </row>
    <row r="6482">
      <c r="G6482" s="7"/>
    </row>
    <row r="6483">
      <c r="G6483" s="7"/>
    </row>
    <row r="6484">
      <c r="G6484" s="7"/>
    </row>
    <row r="6485">
      <c r="G6485" s="7"/>
    </row>
    <row r="6486">
      <c r="G6486" s="7"/>
    </row>
    <row r="6487">
      <c r="G6487" s="7"/>
    </row>
    <row r="6488">
      <c r="G6488" s="7"/>
    </row>
    <row r="6489">
      <c r="G6489" s="7"/>
    </row>
    <row r="6490">
      <c r="G6490" s="7"/>
    </row>
    <row r="6491">
      <c r="G6491" s="7"/>
    </row>
    <row r="6492">
      <c r="G6492" s="7"/>
    </row>
    <row r="6493">
      <c r="G6493" s="7"/>
    </row>
    <row r="6494">
      <c r="G6494" s="7"/>
    </row>
    <row r="6495">
      <c r="G6495" s="7"/>
    </row>
    <row r="6496">
      <c r="G6496" s="7"/>
    </row>
    <row r="6497">
      <c r="G6497" s="7"/>
    </row>
    <row r="6498">
      <c r="G6498" s="7"/>
    </row>
    <row r="6499">
      <c r="G6499" s="7"/>
    </row>
    <row r="6500">
      <c r="G6500" s="7"/>
    </row>
    <row r="6501">
      <c r="G6501" s="7"/>
    </row>
    <row r="6502">
      <c r="G6502" s="7"/>
    </row>
    <row r="6503">
      <c r="G6503" s="7"/>
    </row>
    <row r="6504">
      <c r="G6504" s="7"/>
    </row>
    <row r="6505">
      <c r="G6505" s="7"/>
    </row>
    <row r="6506">
      <c r="G6506" s="7"/>
    </row>
    <row r="6507">
      <c r="G6507" s="7"/>
    </row>
    <row r="6508">
      <c r="G6508" s="7"/>
    </row>
    <row r="6509">
      <c r="G6509" s="7"/>
    </row>
    <row r="6510">
      <c r="G6510" s="7"/>
    </row>
    <row r="6511">
      <c r="G6511" s="7"/>
    </row>
    <row r="6512">
      <c r="G6512" s="7"/>
    </row>
    <row r="6513">
      <c r="G6513" s="7"/>
    </row>
    <row r="6514">
      <c r="G6514" s="7"/>
    </row>
    <row r="6515">
      <c r="G6515" s="7"/>
    </row>
    <row r="6516">
      <c r="G6516" s="7"/>
    </row>
    <row r="6517">
      <c r="G6517" s="7"/>
    </row>
    <row r="6518">
      <c r="G6518" s="7"/>
    </row>
    <row r="6519">
      <c r="G6519" s="7"/>
    </row>
    <row r="6520">
      <c r="G6520" s="7"/>
    </row>
    <row r="6521">
      <c r="G6521" s="7"/>
    </row>
    <row r="6522">
      <c r="G6522" s="7"/>
    </row>
    <row r="6523">
      <c r="G6523" s="7"/>
    </row>
    <row r="6524">
      <c r="G6524" s="7"/>
    </row>
    <row r="6525">
      <c r="G6525" s="7"/>
    </row>
    <row r="6526">
      <c r="G6526" s="7"/>
    </row>
    <row r="6527">
      <c r="G6527" s="7"/>
    </row>
    <row r="6528">
      <c r="G6528" s="7"/>
    </row>
    <row r="6529">
      <c r="G6529" s="7"/>
    </row>
    <row r="6530">
      <c r="G6530" s="7"/>
    </row>
    <row r="6531">
      <c r="G6531" s="7"/>
    </row>
    <row r="6532">
      <c r="G6532" s="7"/>
    </row>
    <row r="6533">
      <c r="G6533" s="7"/>
    </row>
    <row r="6534">
      <c r="G6534" s="7"/>
    </row>
    <row r="6535">
      <c r="G6535" s="7"/>
    </row>
    <row r="6536">
      <c r="G6536" s="7"/>
    </row>
    <row r="6537">
      <c r="G6537" s="7"/>
    </row>
    <row r="6538">
      <c r="G6538" s="7"/>
    </row>
    <row r="6539">
      <c r="G6539" s="7"/>
    </row>
    <row r="6540">
      <c r="G6540" s="7"/>
    </row>
    <row r="6541">
      <c r="G6541" s="7"/>
    </row>
    <row r="6542">
      <c r="G6542" s="7"/>
    </row>
    <row r="6543">
      <c r="G6543" s="7"/>
    </row>
    <row r="6544">
      <c r="G6544" s="7"/>
    </row>
    <row r="6545">
      <c r="G6545" s="7"/>
    </row>
    <row r="6546">
      <c r="G6546" s="7"/>
    </row>
    <row r="6547">
      <c r="G6547" s="7"/>
    </row>
    <row r="6548">
      <c r="G6548" s="7"/>
    </row>
    <row r="6549">
      <c r="G6549" s="7"/>
    </row>
    <row r="6550">
      <c r="G6550" s="7"/>
    </row>
    <row r="6551">
      <c r="G6551" s="7"/>
    </row>
    <row r="6552">
      <c r="G6552" s="7"/>
    </row>
    <row r="6553">
      <c r="G6553" s="7"/>
    </row>
    <row r="6554">
      <c r="G6554" s="7"/>
    </row>
    <row r="6555">
      <c r="G6555" s="7"/>
    </row>
    <row r="6556">
      <c r="G6556" s="7"/>
    </row>
    <row r="6557">
      <c r="G6557" s="7"/>
    </row>
    <row r="6558">
      <c r="G6558" s="7"/>
    </row>
    <row r="6559">
      <c r="G6559" s="7"/>
    </row>
    <row r="6560">
      <c r="G6560" s="7"/>
    </row>
    <row r="6561">
      <c r="G6561" s="7"/>
    </row>
    <row r="6562">
      <c r="G6562" s="7"/>
    </row>
    <row r="6563">
      <c r="G6563" s="7"/>
    </row>
    <row r="6564">
      <c r="G6564" s="7"/>
    </row>
    <row r="6565">
      <c r="G6565" s="7"/>
    </row>
    <row r="6566">
      <c r="G6566" s="7"/>
    </row>
    <row r="6567">
      <c r="G6567" s="7"/>
    </row>
    <row r="6568">
      <c r="G6568" s="7"/>
    </row>
    <row r="6569">
      <c r="G6569" s="7"/>
    </row>
    <row r="6570">
      <c r="G6570" s="7"/>
    </row>
    <row r="6571">
      <c r="G6571" s="7"/>
    </row>
    <row r="6572">
      <c r="G6572" s="7"/>
    </row>
    <row r="6573">
      <c r="G6573" s="7"/>
    </row>
    <row r="6574">
      <c r="G6574" s="7"/>
    </row>
    <row r="6575">
      <c r="G6575" s="7"/>
    </row>
    <row r="6576">
      <c r="G6576" s="7"/>
    </row>
    <row r="6577">
      <c r="G6577" s="7"/>
    </row>
    <row r="6578">
      <c r="G6578" s="7"/>
    </row>
    <row r="6579">
      <c r="G6579" s="7"/>
    </row>
    <row r="6580">
      <c r="G6580" s="7"/>
    </row>
    <row r="6581">
      <c r="G6581" s="7"/>
    </row>
    <row r="6582">
      <c r="G6582" s="7"/>
    </row>
    <row r="6583">
      <c r="G6583" s="7"/>
    </row>
    <row r="6584">
      <c r="G6584" s="7"/>
    </row>
    <row r="6585">
      <c r="G6585" s="7"/>
    </row>
    <row r="6586">
      <c r="G6586" s="7"/>
    </row>
    <row r="6587">
      <c r="G6587" s="7"/>
    </row>
    <row r="6588">
      <c r="G6588" s="7"/>
    </row>
    <row r="6589">
      <c r="G6589" s="7"/>
    </row>
    <row r="6590">
      <c r="G6590" s="7"/>
    </row>
    <row r="6591">
      <c r="G6591" s="7"/>
    </row>
    <row r="6592">
      <c r="G6592" s="7"/>
    </row>
    <row r="6593">
      <c r="G6593" s="7"/>
    </row>
    <row r="6594">
      <c r="G6594" s="7"/>
    </row>
    <row r="6595">
      <c r="G6595" s="7"/>
    </row>
    <row r="6596">
      <c r="G6596" s="7"/>
    </row>
    <row r="6597">
      <c r="G6597" s="7"/>
    </row>
    <row r="6598">
      <c r="G6598" s="7"/>
    </row>
    <row r="6599">
      <c r="G6599" s="7"/>
    </row>
    <row r="6600">
      <c r="G6600" s="7"/>
    </row>
    <row r="6601">
      <c r="G6601" s="7"/>
    </row>
    <row r="6602">
      <c r="G6602" s="7"/>
    </row>
    <row r="6603">
      <c r="G6603" s="7"/>
    </row>
    <row r="6604">
      <c r="G6604" s="7"/>
    </row>
    <row r="6605">
      <c r="G6605" s="7"/>
    </row>
    <row r="6606">
      <c r="G6606" s="7"/>
    </row>
    <row r="6607">
      <c r="G6607" s="7"/>
    </row>
    <row r="6608">
      <c r="G6608" s="7"/>
    </row>
    <row r="6609">
      <c r="G6609" s="7"/>
    </row>
    <row r="6610">
      <c r="G6610" s="7"/>
    </row>
    <row r="6611">
      <c r="G6611" s="7"/>
    </row>
    <row r="6612">
      <c r="G6612" s="7"/>
    </row>
    <row r="6613">
      <c r="G6613" s="7"/>
    </row>
    <row r="6614">
      <c r="G6614" s="7"/>
    </row>
    <row r="6615">
      <c r="G6615" s="7"/>
    </row>
    <row r="6616">
      <c r="G6616" s="7"/>
    </row>
    <row r="6617">
      <c r="G6617" s="7"/>
    </row>
    <row r="6618">
      <c r="G6618" s="7"/>
    </row>
    <row r="6619">
      <c r="G6619" s="7"/>
    </row>
    <row r="6620">
      <c r="G6620" s="7"/>
    </row>
    <row r="6621">
      <c r="G6621" s="7"/>
    </row>
    <row r="6622">
      <c r="G6622" s="7"/>
    </row>
    <row r="6623">
      <c r="G6623" s="7"/>
    </row>
    <row r="6624">
      <c r="G6624" s="7"/>
    </row>
    <row r="6625">
      <c r="G6625" s="7"/>
    </row>
    <row r="6626">
      <c r="G6626" s="7"/>
    </row>
    <row r="6627">
      <c r="G6627" s="7"/>
    </row>
    <row r="6628">
      <c r="G6628" s="7"/>
    </row>
    <row r="6629">
      <c r="G6629" s="7"/>
    </row>
    <row r="6630">
      <c r="G6630" s="7"/>
    </row>
    <row r="6631">
      <c r="G6631" s="7"/>
    </row>
    <row r="6632">
      <c r="G6632" s="7"/>
    </row>
    <row r="6633">
      <c r="G6633" s="7"/>
    </row>
    <row r="6634">
      <c r="G6634" s="7"/>
    </row>
    <row r="6635">
      <c r="G6635" s="7"/>
    </row>
    <row r="6636">
      <c r="G6636" s="7"/>
    </row>
    <row r="6637">
      <c r="G6637" s="7"/>
    </row>
    <row r="6638">
      <c r="G6638" s="7"/>
    </row>
    <row r="6639">
      <c r="G6639" s="7"/>
    </row>
    <row r="6640">
      <c r="G6640" s="7"/>
    </row>
    <row r="6641">
      <c r="G6641" s="7"/>
    </row>
    <row r="6642">
      <c r="G6642" s="7"/>
    </row>
    <row r="6643">
      <c r="G6643" s="7"/>
    </row>
    <row r="6644">
      <c r="G6644" s="7"/>
    </row>
    <row r="6645">
      <c r="G6645" s="7"/>
    </row>
    <row r="6646">
      <c r="G6646" s="7"/>
    </row>
    <row r="6647">
      <c r="G6647" s="7"/>
    </row>
    <row r="6648">
      <c r="G6648" s="7"/>
    </row>
    <row r="6649">
      <c r="G6649" s="7"/>
    </row>
    <row r="6650">
      <c r="G6650" s="7"/>
    </row>
    <row r="6651">
      <c r="G6651" s="7"/>
    </row>
    <row r="6652">
      <c r="G6652" s="7"/>
    </row>
    <row r="6653">
      <c r="G6653" s="7"/>
    </row>
    <row r="6654">
      <c r="G6654" s="7"/>
    </row>
    <row r="6655">
      <c r="G6655" s="7"/>
    </row>
    <row r="6656">
      <c r="G6656" s="7"/>
    </row>
    <row r="6657">
      <c r="G6657" s="7"/>
    </row>
    <row r="6658">
      <c r="G6658" s="7"/>
    </row>
    <row r="6659">
      <c r="G6659" s="7"/>
    </row>
    <row r="6660">
      <c r="G6660" s="7"/>
    </row>
    <row r="6661">
      <c r="G6661" s="7"/>
    </row>
    <row r="6662">
      <c r="G6662" s="7"/>
    </row>
    <row r="6663">
      <c r="G6663" s="7"/>
    </row>
    <row r="6664">
      <c r="G6664" s="7"/>
    </row>
    <row r="6665">
      <c r="G6665" s="7"/>
    </row>
    <row r="6666">
      <c r="G6666" s="7"/>
    </row>
    <row r="6667">
      <c r="G6667" s="7"/>
    </row>
    <row r="6668">
      <c r="G6668" s="7"/>
    </row>
    <row r="6669">
      <c r="G6669" s="7"/>
    </row>
    <row r="6670">
      <c r="G6670" s="7"/>
    </row>
    <row r="6671">
      <c r="G6671" s="7"/>
    </row>
    <row r="6672">
      <c r="G6672" s="7"/>
    </row>
    <row r="6673">
      <c r="G6673" s="7"/>
    </row>
    <row r="6674">
      <c r="G6674" s="7"/>
    </row>
    <row r="6675">
      <c r="G6675" s="7"/>
    </row>
    <row r="6676">
      <c r="G6676" s="7"/>
    </row>
    <row r="6677">
      <c r="G6677" s="7"/>
    </row>
    <row r="6678">
      <c r="G6678" s="7"/>
    </row>
    <row r="6679">
      <c r="G6679" s="7"/>
    </row>
    <row r="6680">
      <c r="G6680" s="7"/>
    </row>
    <row r="6681">
      <c r="G6681" s="7"/>
    </row>
    <row r="6682">
      <c r="G6682" s="7"/>
    </row>
    <row r="6683">
      <c r="G6683" s="7"/>
    </row>
    <row r="6684">
      <c r="G6684" s="7"/>
    </row>
    <row r="6685">
      <c r="G6685" s="7"/>
    </row>
    <row r="6686">
      <c r="G6686" s="7"/>
    </row>
    <row r="6687">
      <c r="G6687" s="7"/>
    </row>
    <row r="6688">
      <c r="G6688" s="7"/>
    </row>
    <row r="6689">
      <c r="G6689" s="7"/>
    </row>
    <row r="6690">
      <c r="G6690" s="7"/>
    </row>
    <row r="6691">
      <c r="G6691" s="7"/>
    </row>
    <row r="6692">
      <c r="G6692" s="7"/>
    </row>
    <row r="6693">
      <c r="G6693" s="7"/>
    </row>
    <row r="6694">
      <c r="G6694" s="7"/>
    </row>
    <row r="6695">
      <c r="G6695" s="7"/>
    </row>
    <row r="6696">
      <c r="G6696" s="7"/>
    </row>
    <row r="6697">
      <c r="G6697" s="7"/>
    </row>
    <row r="6698">
      <c r="G6698" s="7"/>
    </row>
    <row r="6699">
      <c r="G6699" s="7"/>
    </row>
    <row r="6700">
      <c r="G6700" s="7"/>
    </row>
    <row r="6701">
      <c r="G6701" s="7"/>
    </row>
    <row r="6702">
      <c r="G6702" s="7"/>
    </row>
    <row r="6703">
      <c r="G6703" s="7"/>
    </row>
    <row r="6704">
      <c r="G6704" s="7"/>
    </row>
    <row r="6705">
      <c r="G6705" s="7"/>
    </row>
    <row r="6706">
      <c r="G6706" s="7"/>
    </row>
    <row r="6707">
      <c r="G6707" s="7"/>
    </row>
    <row r="6708">
      <c r="G6708" s="7"/>
    </row>
    <row r="6709">
      <c r="G6709" s="7"/>
    </row>
    <row r="6710">
      <c r="G6710" s="7"/>
    </row>
    <row r="6711">
      <c r="G6711" s="7"/>
    </row>
    <row r="6712">
      <c r="G6712" s="7"/>
    </row>
    <row r="6713">
      <c r="G6713" s="7"/>
    </row>
    <row r="6714">
      <c r="G6714" s="7"/>
    </row>
    <row r="6715">
      <c r="G6715" s="7"/>
    </row>
    <row r="6716">
      <c r="G6716" s="7"/>
    </row>
    <row r="6717">
      <c r="G6717" s="7"/>
    </row>
    <row r="6718">
      <c r="G6718" s="7"/>
    </row>
    <row r="6719">
      <c r="G6719" s="7"/>
    </row>
    <row r="6720">
      <c r="G6720" s="7"/>
    </row>
    <row r="6721">
      <c r="G6721" s="7"/>
    </row>
    <row r="6722">
      <c r="G6722" s="7"/>
    </row>
    <row r="6723">
      <c r="G6723" s="7"/>
    </row>
    <row r="6724">
      <c r="G6724" s="7"/>
    </row>
    <row r="6725">
      <c r="G6725" s="7"/>
    </row>
    <row r="6726">
      <c r="G6726" s="7"/>
    </row>
    <row r="6727">
      <c r="G6727" s="7"/>
    </row>
    <row r="6728">
      <c r="G6728" s="7"/>
    </row>
    <row r="6729">
      <c r="G6729" s="7"/>
    </row>
    <row r="6730">
      <c r="G6730" s="7"/>
    </row>
    <row r="6731">
      <c r="G6731" s="7"/>
    </row>
    <row r="6732">
      <c r="G6732" s="7"/>
    </row>
    <row r="6733">
      <c r="G6733" s="7"/>
    </row>
    <row r="6734">
      <c r="G6734" s="7"/>
    </row>
    <row r="6735">
      <c r="G6735" s="7"/>
    </row>
    <row r="6736">
      <c r="G6736" s="7"/>
    </row>
    <row r="6737">
      <c r="G6737" s="7"/>
    </row>
    <row r="6738">
      <c r="G6738" s="7"/>
    </row>
    <row r="6739">
      <c r="G6739" s="7"/>
    </row>
    <row r="6740">
      <c r="G6740" s="7"/>
    </row>
    <row r="6741">
      <c r="G6741" s="7"/>
    </row>
    <row r="6742">
      <c r="G6742" s="7"/>
    </row>
    <row r="6743">
      <c r="G6743" s="7"/>
    </row>
    <row r="6744">
      <c r="G6744" s="7"/>
    </row>
    <row r="6745">
      <c r="G6745" s="7"/>
    </row>
    <row r="6746">
      <c r="G6746" s="7"/>
    </row>
    <row r="6747">
      <c r="G6747" s="7"/>
    </row>
    <row r="6748">
      <c r="G6748" s="7"/>
    </row>
    <row r="6749">
      <c r="G6749" s="7"/>
    </row>
    <row r="6750">
      <c r="G6750" s="7"/>
    </row>
    <row r="6751">
      <c r="G6751" s="7"/>
    </row>
    <row r="6752">
      <c r="G6752" s="7"/>
    </row>
    <row r="6753">
      <c r="G6753" s="7"/>
    </row>
    <row r="6754">
      <c r="G6754" s="7"/>
    </row>
    <row r="6755">
      <c r="G6755" s="7"/>
    </row>
    <row r="6756">
      <c r="G6756" s="7"/>
    </row>
    <row r="6757">
      <c r="G6757" s="7"/>
    </row>
    <row r="6758">
      <c r="G6758" s="7"/>
    </row>
    <row r="6759">
      <c r="G6759" s="7"/>
    </row>
    <row r="6760">
      <c r="G6760" s="7"/>
    </row>
    <row r="6761">
      <c r="G6761" s="7"/>
    </row>
    <row r="6762">
      <c r="G6762" s="7"/>
    </row>
    <row r="6763">
      <c r="G6763" s="7"/>
    </row>
    <row r="6764">
      <c r="G6764" s="7"/>
    </row>
    <row r="6765">
      <c r="G6765" s="7"/>
    </row>
    <row r="6766">
      <c r="G6766" s="7"/>
    </row>
    <row r="6767">
      <c r="G6767" s="7"/>
    </row>
    <row r="6768">
      <c r="G6768" s="7"/>
    </row>
    <row r="6769">
      <c r="G6769" s="7"/>
    </row>
    <row r="6770">
      <c r="G6770" s="7"/>
    </row>
    <row r="6771">
      <c r="G6771" s="7"/>
    </row>
    <row r="6772">
      <c r="G6772" s="7"/>
    </row>
    <row r="6773">
      <c r="G6773" s="7"/>
    </row>
    <row r="6774">
      <c r="G6774" s="7"/>
    </row>
    <row r="6775">
      <c r="G6775" s="7"/>
    </row>
    <row r="6776">
      <c r="G6776" s="7"/>
    </row>
    <row r="6777">
      <c r="G6777" s="7"/>
    </row>
    <row r="6778">
      <c r="G6778" s="7"/>
    </row>
    <row r="6779">
      <c r="G6779" s="7"/>
    </row>
    <row r="6780">
      <c r="G6780" s="7"/>
    </row>
    <row r="6781">
      <c r="G6781" s="7"/>
    </row>
    <row r="6782">
      <c r="G6782" s="7"/>
    </row>
    <row r="6783">
      <c r="G6783" s="7"/>
    </row>
    <row r="6784">
      <c r="G6784" s="7"/>
    </row>
    <row r="6785">
      <c r="G6785" s="7"/>
    </row>
    <row r="6786">
      <c r="G6786" s="7"/>
    </row>
    <row r="6787">
      <c r="G6787" s="7"/>
    </row>
    <row r="6788">
      <c r="G6788" s="7"/>
    </row>
    <row r="6789">
      <c r="G6789" s="7"/>
    </row>
    <row r="6790">
      <c r="G6790" s="7"/>
    </row>
    <row r="6791">
      <c r="G6791" s="7"/>
    </row>
    <row r="6792">
      <c r="G6792" s="7"/>
    </row>
    <row r="6793">
      <c r="G6793" s="7"/>
    </row>
    <row r="6794">
      <c r="G6794" s="7"/>
    </row>
    <row r="6795">
      <c r="G6795" s="7"/>
    </row>
    <row r="6796">
      <c r="G6796" s="7"/>
    </row>
    <row r="6797">
      <c r="G6797" s="7"/>
    </row>
    <row r="6798">
      <c r="G6798" s="7"/>
    </row>
    <row r="6799">
      <c r="G6799" s="7"/>
    </row>
    <row r="6800">
      <c r="G6800" s="7"/>
    </row>
    <row r="6801">
      <c r="G6801" s="7"/>
    </row>
    <row r="6802">
      <c r="G6802" s="7"/>
    </row>
    <row r="6803">
      <c r="G6803" s="7"/>
    </row>
    <row r="6804">
      <c r="G6804" s="7"/>
    </row>
    <row r="6805">
      <c r="G6805" s="7"/>
    </row>
    <row r="6806">
      <c r="G6806" s="7"/>
    </row>
    <row r="6807">
      <c r="G6807" s="7"/>
    </row>
    <row r="6808">
      <c r="G6808" s="7"/>
    </row>
    <row r="6809">
      <c r="G6809" s="7"/>
    </row>
    <row r="6810">
      <c r="G6810" s="7"/>
    </row>
    <row r="6811">
      <c r="G6811" s="7"/>
    </row>
    <row r="6812">
      <c r="G6812" s="7"/>
    </row>
    <row r="6813">
      <c r="G6813" s="7"/>
    </row>
    <row r="6814">
      <c r="G6814" s="7"/>
    </row>
    <row r="6815">
      <c r="G6815" s="7"/>
    </row>
    <row r="6816">
      <c r="G6816" s="7"/>
    </row>
    <row r="6817">
      <c r="G6817" s="7"/>
    </row>
    <row r="6818">
      <c r="G6818" s="7"/>
    </row>
    <row r="6819">
      <c r="G6819" s="7"/>
    </row>
    <row r="6820">
      <c r="G6820" s="7"/>
    </row>
    <row r="6821">
      <c r="G6821" s="7"/>
    </row>
    <row r="6822">
      <c r="G6822" s="7"/>
    </row>
    <row r="6823">
      <c r="G6823" s="7"/>
    </row>
    <row r="6824">
      <c r="G6824" s="7"/>
    </row>
    <row r="6825">
      <c r="G6825" s="7"/>
    </row>
    <row r="6826">
      <c r="G6826" s="7"/>
    </row>
    <row r="6827">
      <c r="G6827" s="7"/>
    </row>
    <row r="6828">
      <c r="G6828" s="7"/>
    </row>
    <row r="6829">
      <c r="G6829" s="7"/>
    </row>
    <row r="6830">
      <c r="G6830" s="7"/>
    </row>
    <row r="6831">
      <c r="G6831" s="7"/>
    </row>
    <row r="6832">
      <c r="G6832" s="7"/>
    </row>
    <row r="6833">
      <c r="G6833" s="7"/>
    </row>
    <row r="6834">
      <c r="G6834" s="7"/>
    </row>
    <row r="6835">
      <c r="G6835" s="7"/>
    </row>
    <row r="6836">
      <c r="G6836" s="7"/>
    </row>
    <row r="6837">
      <c r="G6837" s="7"/>
    </row>
    <row r="6838">
      <c r="G6838" s="7"/>
    </row>
    <row r="6839">
      <c r="G6839" s="7"/>
    </row>
    <row r="6840">
      <c r="G6840" s="7"/>
    </row>
    <row r="6841">
      <c r="G6841" s="7"/>
    </row>
    <row r="6842">
      <c r="G6842" s="7"/>
    </row>
    <row r="6843">
      <c r="G6843" s="7"/>
    </row>
    <row r="6844">
      <c r="G6844" s="7"/>
    </row>
    <row r="6845">
      <c r="G6845" s="7"/>
    </row>
    <row r="6846">
      <c r="G6846" s="7"/>
    </row>
    <row r="6847">
      <c r="G6847" s="7"/>
    </row>
    <row r="6848">
      <c r="G6848" s="7"/>
    </row>
    <row r="6849">
      <c r="G6849" s="7"/>
    </row>
    <row r="6850">
      <c r="G6850" s="7"/>
    </row>
    <row r="6851">
      <c r="G6851" s="7"/>
    </row>
    <row r="6852">
      <c r="G6852" s="7"/>
    </row>
    <row r="6853">
      <c r="G6853" s="7"/>
    </row>
    <row r="6854">
      <c r="G6854" s="7"/>
    </row>
    <row r="6855">
      <c r="G6855" s="7"/>
    </row>
    <row r="6856">
      <c r="G6856" s="7"/>
    </row>
    <row r="6857">
      <c r="G6857" s="7"/>
    </row>
    <row r="6858">
      <c r="G6858" s="7"/>
    </row>
    <row r="6859">
      <c r="G6859" s="7"/>
    </row>
    <row r="6860">
      <c r="G6860" s="7"/>
    </row>
    <row r="6861">
      <c r="G6861" s="7"/>
    </row>
    <row r="6862">
      <c r="G6862" s="7"/>
    </row>
    <row r="6863">
      <c r="G6863" s="7"/>
    </row>
    <row r="6864">
      <c r="G6864" s="7"/>
    </row>
    <row r="6865">
      <c r="G6865" s="7"/>
    </row>
    <row r="6866">
      <c r="G6866" s="7"/>
    </row>
    <row r="6867">
      <c r="G6867" s="7"/>
    </row>
    <row r="6868">
      <c r="G6868" s="7"/>
    </row>
    <row r="6869">
      <c r="G6869" s="7"/>
    </row>
    <row r="6870">
      <c r="G6870" s="7"/>
    </row>
    <row r="6871">
      <c r="G6871" s="7"/>
    </row>
    <row r="6872">
      <c r="G6872" s="7"/>
    </row>
    <row r="6873">
      <c r="G6873" s="7"/>
    </row>
    <row r="6874">
      <c r="G6874" s="7"/>
    </row>
    <row r="6875">
      <c r="G6875" s="7"/>
    </row>
    <row r="6876">
      <c r="G6876" s="7"/>
    </row>
    <row r="6877">
      <c r="G6877" s="7"/>
    </row>
    <row r="6878">
      <c r="G6878" s="7"/>
    </row>
    <row r="6879">
      <c r="G6879" s="7"/>
    </row>
    <row r="6880">
      <c r="G6880" s="7"/>
    </row>
    <row r="6881">
      <c r="G6881" s="7"/>
    </row>
    <row r="6882">
      <c r="G6882" s="7"/>
    </row>
    <row r="6883">
      <c r="G6883" s="7"/>
    </row>
    <row r="6884">
      <c r="G6884" s="7"/>
    </row>
    <row r="6885">
      <c r="G6885" s="7"/>
    </row>
    <row r="6886">
      <c r="G6886" s="7"/>
    </row>
    <row r="6887">
      <c r="G6887" s="7"/>
    </row>
    <row r="6888">
      <c r="G6888" s="7"/>
    </row>
    <row r="6889">
      <c r="G6889" s="7"/>
    </row>
    <row r="6890">
      <c r="G6890" s="7"/>
    </row>
    <row r="6891">
      <c r="G6891" s="7"/>
    </row>
    <row r="6892">
      <c r="G6892" s="7"/>
    </row>
    <row r="6893">
      <c r="G6893" s="7"/>
    </row>
    <row r="6894">
      <c r="G6894" s="7"/>
    </row>
    <row r="6895">
      <c r="G6895" s="7"/>
    </row>
    <row r="6896">
      <c r="G6896" s="7"/>
    </row>
    <row r="6897">
      <c r="G6897" s="7"/>
    </row>
    <row r="6898">
      <c r="G6898" s="7"/>
    </row>
    <row r="6899">
      <c r="G6899" s="7"/>
    </row>
    <row r="6900">
      <c r="G6900" s="7"/>
    </row>
    <row r="6901">
      <c r="G6901" s="7"/>
    </row>
    <row r="6902">
      <c r="G6902" s="7"/>
    </row>
    <row r="6903">
      <c r="G6903" s="7"/>
    </row>
    <row r="6904">
      <c r="G6904" s="7"/>
    </row>
    <row r="6905">
      <c r="G6905" s="7"/>
    </row>
    <row r="6906">
      <c r="G6906" s="7"/>
    </row>
    <row r="6907">
      <c r="G6907" s="7"/>
    </row>
    <row r="6908">
      <c r="G6908" s="7"/>
    </row>
    <row r="6909">
      <c r="G6909" s="7"/>
    </row>
    <row r="6910">
      <c r="G6910" s="7"/>
    </row>
    <row r="6911">
      <c r="G6911" s="7"/>
    </row>
    <row r="6912">
      <c r="G6912" s="7"/>
    </row>
    <row r="6913">
      <c r="G6913" s="7"/>
    </row>
    <row r="6914">
      <c r="G6914" s="7"/>
    </row>
    <row r="6915">
      <c r="G6915" s="7"/>
    </row>
    <row r="6916">
      <c r="G6916" s="7"/>
    </row>
    <row r="6917">
      <c r="G6917" s="7"/>
    </row>
    <row r="6918">
      <c r="G6918" s="7"/>
    </row>
    <row r="6919">
      <c r="G6919" s="7"/>
    </row>
    <row r="6920">
      <c r="G6920" s="7"/>
    </row>
    <row r="6921">
      <c r="G6921" s="7"/>
    </row>
    <row r="6922">
      <c r="G6922" s="7"/>
    </row>
    <row r="6923">
      <c r="G6923" s="7"/>
    </row>
    <row r="6924">
      <c r="G6924" s="7"/>
    </row>
    <row r="6925">
      <c r="G6925" s="7"/>
    </row>
    <row r="6926">
      <c r="G6926" s="7"/>
    </row>
    <row r="6927">
      <c r="G6927" s="7"/>
    </row>
    <row r="6928">
      <c r="G6928" s="7"/>
    </row>
    <row r="6929">
      <c r="G6929" s="7"/>
    </row>
    <row r="6930">
      <c r="G6930" s="7"/>
    </row>
    <row r="6931">
      <c r="G6931" s="7"/>
    </row>
    <row r="6932">
      <c r="G6932" s="7"/>
    </row>
    <row r="6933">
      <c r="G6933" s="7"/>
    </row>
    <row r="6934">
      <c r="G6934" s="7"/>
    </row>
    <row r="6935">
      <c r="G6935" s="7"/>
    </row>
    <row r="6936">
      <c r="G6936" s="7"/>
    </row>
    <row r="6937">
      <c r="G6937" s="7"/>
    </row>
    <row r="6938">
      <c r="G6938" s="7"/>
    </row>
    <row r="6939">
      <c r="G6939" s="7"/>
    </row>
    <row r="6940">
      <c r="G6940" s="7"/>
    </row>
    <row r="6941">
      <c r="G6941" s="7"/>
    </row>
    <row r="6942">
      <c r="G6942" s="7"/>
    </row>
    <row r="6943">
      <c r="G6943" s="7"/>
    </row>
    <row r="6944">
      <c r="G6944" s="7"/>
    </row>
    <row r="6945">
      <c r="G6945" s="7"/>
    </row>
    <row r="6946">
      <c r="G6946" s="7"/>
    </row>
    <row r="6947">
      <c r="G6947" s="7"/>
    </row>
    <row r="6948">
      <c r="G6948" s="7"/>
    </row>
    <row r="6949">
      <c r="G6949" s="7"/>
    </row>
    <row r="6950">
      <c r="G6950" s="7"/>
    </row>
    <row r="6951">
      <c r="G6951" s="7"/>
    </row>
    <row r="6952">
      <c r="G6952" s="7"/>
    </row>
    <row r="6953">
      <c r="G6953" s="7"/>
    </row>
    <row r="6954">
      <c r="G6954" s="7"/>
    </row>
    <row r="6955">
      <c r="G6955" s="7"/>
    </row>
    <row r="6956">
      <c r="G6956" s="7"/>
    </row>
    <row r="6957">
      <c r="G6957" s="7"/>
    </row>
    <row r="6958">
      <c r="G6958" s="7"/>
    </row>
    <row r="6959">
      <c r="G6959" s="7"/>
    </row>
    <row r="6960">
      <c r="G6960" s="7"/>
    </row>
    <row r="6961">
      <c r="G6961" s="7"/>
    </row>
    <row r="6962">
      <c r="G6962" s="7"/>
    </row>
    <row r="6963">
      <c r="G6963" s="7"/>
    </row>
    <row r="6964">
      <c r="G6964" s="7"/>
    </row>
    <row r="6965">
      <c r="G6965" s="7"/>
    </row>
    <row r="6966">
      <c r="G6966" s="7"/>
    </row>
    <row r="6967">
      <c r="G6967" s="7"/>
    </row>
    <row r="6968">
      <c r="G6968" s="7"/>
    </row>
    <row r="6969">
      <c r="G6969" s="7"/>
    </row>
    <row r="6970">
      <c r="G6970" s="7"/>
    </row>
    <row r="6971">
      <c r="G6971" s="7"/>
    </row>
    <row r="6972">
      <c r="G6972" s="7"/>
    </row>
    <row r="6973">
      <c r="G6973" s="7"/>
    </row>
    <row r="6974">
      <c r="G6974" s="7"/>
    </row>
    <row r="6975">
      <c r="G6975" s="7"/>
    </row>
    <row r="6976">
      <c r="G6976" s="7"/>
    </row>
    <row r="6977">
      <c r="G6977" s="7"/>
    </row>
    <row r="6978">
      <c r="G6978" s="7"/>
    </row>
    <row r="6979">
      <c r="G6979" s="7"/>
    </row>
    <row r="6980">
      <c r="G6980" s="7"/>
    </row>
    <row r="6981">
      <c r="G6981" s="7"/>
    </row>
    <row r="6982">
      <c r="G6982" s="7"/>
    </row>
    <row r="6983">
      <c r="G6983" s="7"/>
    </row>
    <row r="6984">
      <c r="G6984" s="7"/>
    </row>
    <row r="6985">
      <c r="G6985" s="7"/>
    </row>
    <row r="6986">
      <c r="G6986" s="7"/>
    </row>
    <row r="6987">
      <c r="G6987" s="7"/>
    </row>
    <row r="6988">
      <c r="G6988" s="7"/>
    </row>
    <row r="6989">
      <c r="G6989" s="7"/>
    </row>
    <row r="6990">
      <c r="G6990" s="7"/>
    </row>
    <row r="6991">
      <c r="G6991" s="7"/>
    </row>
    <row r="6992">
      <c r="G6992" s="7"/>
    </row>
    <row r="6993">
      <c r="G6993" s="7"/>
    </row>
    <row r="6994">
      <c r="G6994" s="7"/>
    </row>
    <row r="6995">
      <c r="G6995" s="7"/>
    </row>
    <row r="6996">
      <c r="G6996" s="7"/>
    </row>
    <row r="6997">
      <c r="G6997" s="7"/>
    </row>
    <row r="6998">
      <c r="G6998" s="7"/>
    </row>
    <row r="6999">
      <c r="G6999" s="7"/>
    </row>
    <row r="7000">
      <c r="G7000" s="7"/>
    </row>
    <row r="7001">
      <c r="G7001" s="7"/>
    </row>
    <row r="7002">
      <c r="G7002" s="7"/>
    </row>
    <row r="7003">
      <c r="G7003" s="7"/>
    </row>
    <row r="7004">
      <c r="G7004" s="7"/>
    </row>
    <row r="7005">
      <c r="G7005" s="7"/>
    </row>
    <row r="7006">
      <c r="G7006" s="7"/>
    </row>
    <row r="7007">
      <c r="G7007" s="7"/>
    </row>
    <row r="7008">
      <c r="G7008" s="7"/>
    </row>
    <row r="7009">
      <c r="G7009" s="7"/>
    </row>
    <row r="7010">
      <c r="G7010" s="7"/>
    </row>
    <row r="7011">
      <c r="G7011" s="7"/>
    </row>
    <row r="7012">
      <c r="G7012" s="7"/>
    </row>
    <row r="7013">
      <c r="G7013" s="7"/>
    </row>
    <row r="7014">
      <c r="G7014" s="7"/>
    </row>
    <row r="7015">
      <c r="G7015" s="7"/>
    </row>
    <row r="7016">
      <c r="G7016" s="7"/>
    </row>
    <row r="7017">
      <c r="G7017" s="7"/>
    </row>
    <row r="7018">
      <c r="G7018" s="7"/>
    </row>
    <row r="7019">
      <c r="G7019" s="7"/>
    </row>
    <row r="7020">
      <c r="G7020" s="7"/>
    </row>
    <row r="7021">
      <c r="G7021" s="7"/>
    </row>
    <row r="7022">
      <c r="G7022" s="7"/>
    </row>
    <row r="7023">
      <c r="G7023" s="7"/>
    </row>
    <row r="7024">
      <c r="G7024" s="7"/>
    </row>
    <row r="7025">
      <c r="G7025" s="7"/>
    </row>
    <row r="7026">
      <c r="G7026" s="7"/>
    </row>
    <row r="7027">
      <c r="G7027" s="7"/>
    </row>
    <row r="7028">
      <c r="G7028" s="7"/>
    </row>
    <row r="7029">
      <c r="G7029" s="7"/>
    </row>
    <row r="7030">
      <c r="G7030" s="7"/>
    </row>
    <row r="7031">
      <c r="G7031" s="7"/>
    </row>
    <row r="7032">
      <c r="G7032" s="7"/>
    </row>
    <row r="7033">
      <c r="G7033" s="7"/>
    </row>
    <row r="7034">
      <c r="G7034" s="7"/>
    </row>
    <row r="7035">
      <c r="G7035" s="7"/>
    </row>
    <row r="7036">
      <c r="G7036" s="7"/>
    </row>
    <row r="7037">
      <c r="G7037" s="7"/>
    </row>
    <row r="7038">
      <c r="G7038" s="7"/>
    </row>
    <row r="7039">
      <c r="G7039" s="7"/>
    </row>
    <row r="7040">
      <c r="G7040" s="7"/>
    </row>
    <row r="7041">
      <c r="G7041" s="7"/>
    </row>
    <row r="7042">
      <c r="G7042" s="7"/>
    </row>
    <row r="7043">
      <c r="G7043" s="7"/>
    </row>
    <row r="7044">
      <c r="G7044" s="7"/>
    </row>
    <row r="7045">
      <c r="G7045" s="7"/>
    </row>
    <row r="7046">
      <c r="G7046" s="7"/>
    </row>
    <row r="7047">
      <c r="G7047" s="7"/>
    </row>
    <row r="7048">
      <c r="G7048" s="7"/>
    </row>
    <row r="7049">
      <c r="G7049" s="7"/>
    </row>
    <row r="7050">
      <c r="G7050" s="7"/>
    </row>
    <row r="7051">
      <c r="G7051" s="7"/>
    </row>
    <row r="7052">
      <c r="G7052" s="7"/>
    </row>
    <row r="7053">
      <c r="G7053" s="7"/>
    </row>
    <row r="7054">
      <c r="G7054" s="7"/>
    </row>
    <row r="7055">
      <c r="G7055" s="7"/>
    </row>
    <row r="7056">
      <c r="G7056" s="7"/>
    </row>
    <row r="7057">
      <c r="G7057" s="7"/>
    </row>
    <row r="7058">
      <c r="G7058" s="7"/>
    </row>
    <row r="7059">
      <c r="G7059" s="7"/>
    </row>
    <row r="7060">
      <c r="G7060" s="7"/>
    </row>
    <row r="7061">
      <c r="G7061" s="7"/>
    </row>
    <row r="7062">
      <c r="G7062" s="7"/>
    </row>
    <row r="7063">
      <c r="G7063" s="7"/>
    </row>
    <row r="7064">
      <c r="G7064" s="7"/>
    </row>
    <row r="7065">
      <c r="G7065" s="7"/>
    </row>
    <row r="7066">
      <c r="G7066" s="7"/>
    </row>
    <row r="7067">
      <c r="G7067" s="7"/>
    </row>
    <row r="7068">
      <c r="G7068" s="7"/>
    </row>
    <row r="7069">
      <c r="G7069" s="7"/>
    </row>
    <row r="7070">
      <c r="G7070" s="7"/>
    </row>
    <row r="7071">
      <c r="G7071" s="7"/>
    </row>
    <row r="7072">
      <c r="G7072" s="7"/>
    </row>
    <row r="7073">
      <c r="G7073" s="7"/>
    </row>
    <row r="7074">
      <c r="G7074" s="7"/>
    </row>
    <row r="7075">
      <c r="G7075" s="7"/>
    </row>
    <row r="7076">
      <c r="G7076" s="7"/>
    </row>
    <row r="7077">
      <c r="G7077" s="7"/>
    </row>
    <row r="7078">
      <c r="G7078" s="7"/>
    </row>
    <row r="7079">
      <c r="G7079" s="7"/>
    </row>
    <row r="7080">
      <c r="G7080" s="7"/>
    </row>
    <row r="7081">
      <c r="G7081" s="7"/>
    </row>
    <row r="7082">
      <c r="G7082" s="7"/>
    </row>
    <row r="7083">
      <c r="G7083" s="7"/>
    </row>
    <row r="7084">
      <c r="G7084" s="7"/>
    </row>
    <row r="7085">
      <c r="G7085" s="7"/>
    </row>
    <row r="7086">
      <c r="G7086" s="7"/>
    </row>
    <row r="7087">
      <c r="G7087" s="7"/>
    </row>
    <row r="7088">
      <c r="G7088" s="7"/>
    </row>
    <row r="7089">
      <c r="G7089" s="7"/>
    </row>
    <row r="7090">
      <c r="G7090" s="7"/>
    </row>
    <row r="7091">
      <c r="G7091" s="7"/>
    </row>
    <row r="7092">
      <c r="G7092" s="7"/>
    </row>
    <row r="7093">
      <c r="G7093" s="7"/>
    </row>
    <row r="7094">
      <c r="G7094" s="7"/>
    </row>
    <row r="7095">
      <c r="G7095" s="7"/>
    </row>
    <row r="7096">
      <c r="G7096" s="7"/>
    </row>
    <row r="7097">
      <c r="G7097" s="7"/>
    </row>
    <row r="7098">
      <c r="G7098" s="7"/>
    </row>
    <row r="7099">
      <c r="G7099" s="7"/>
    </row>
    <row r="7100">
      <c r="G7100" s="7"/>
    </row>
    <row r="7101">
      <c r="G7101" s="7"/>
    </row>
    <row r="7102">
      <c r="G7102" s="7"/>
    </row>
    <row r="7103">
      <c r="G7103" s="7"/>
    </row>
    <row r="7104">
      <c r="G7104" s="7"/>
    </row>
    <row r="7105">
      <c r="G7105" s="7"/>
    </row>
    <row r="7106">
      <c r="G7106" s="7"/>
    </row>
    <row r="7107">
      <c r="G7107" s="7"/>
    </row>
    <row r="7108">
      <c r="G7108" s="7"/>
    </row>
    <row r="7109">
      <c r="G7109" s="7"/>
    </row>
    <row r="7110">
      <c r="G7110" s="7"/>
    </row>
    <row r="7111">
      <c r="G7111" s="7"/>
    </row>
    <row r="7112">
      <c r="G7112" s="7"/>
    </row>
    <row r="7113">
      <c r="G7113" s="7"/>
    </row>
    <row r="7114">
      <c r="G7114" s="7"/>
    </row>
    <row r="7115">
      <c r="G7115" s="7"/>
    </row>
    <row r="7116">
      <c r="G7116" s="7"/>
    </row>
    <row r="7117">
      <c r="G7117" s="7"/>
    </row>
    <row r="7118">
      <c r="G7118" s="7"/>
    </row>
    <row r="7119">
      <c r="G7119" s="7"/>
    </row>
    <row r="7120">
      <c r="G7120" s="7"/>
    </row>
    <row r="7121">
      <c r="G7121" s="7"/>
    </row>
    <row r="7122">
      <c r="G7122" s="7"/>
    </row>
    <row r="7123">
      <c r="G7123" s="7"/>
    </row>
    <row r="7124">
      <c r="G7124" s="7"/>
    </row>
    <row r="7125">
      <c r="G7125" s="7"/>
    </row>
    <row r="7126">
      <c r="G7126" s="7"/>
    </row>
    <row r="7127">
      <c r="G7127" s="7"/>
    </row>
    <row r="7128">
      <c r="G7128" s="7"/>
    </row>
    <row r="7129">
      <c r="G7129" s="7"/>
    </row>
    <row r="7130">
      <c r="G7130" s="7"/>
    </row>
    <row r="7131">
      <c r="G7131" s="7"/>
    </row>
    <row r="7132">
      <c r="G7132" s="7"/>
    </row>
    <row r="7133">
      <c r="G7133" s="7"/>
    </row>
    <row r="7134">
      <c r="G7134" s="7"/>
    </row>
    <row r="7135">
      <c r="G7135" s="7"/>
    </row>
    <row r="7136">
      <c r="G7136" s="7"/>
    </row>
    <row r="7137">
      <c r="G7137" s="7"/>
    </row>
    <row r="7138">
      <c r="G7138" s="7"/>
    </row>
    <row r="7139">
      <c r="G7139" s="7"/>
    </row>
    <row r="7140">
      <c r="G7140" s="7"/>
    </row>
    <row r="7141">
      <c r="G7141" s="7"/>
    </row>
    <row r="7142">
      <c r="G7142" s="7"/>
    </row>
    <row r="7143">
      <c r="G7143" s="7"/>
    </row>
    <row r="7144">
      <c r="G7144" s="7"/>
    </row>
    <row r="7145">
      <c r="G7145" s="7"/>
    </row>
    <row r="7146">
      <c r="G7146" s="7"/>
    </row>
    <row r="7147">
      <c r="G7147" s="7"/>
    </row>
    <row r="7148">
      <c r="G7148" s="7"/>
    </row>
    <row r="7149">
      <c r="G7149" s="7"/>
    </row>
    <row r="7150">
      <c r="G7150" s="7"/>
    </row>
    <row r="7151">
      <c r="G7151" s="7"/>
    </row>
    <row r="7152">
      <c r="G7152" s="7"/>
    </row>
    <row r="7153">
      <c r="G7153" s="7"/>
    </row>
    <row r="7154">
      <c r="G7154" s="7"/>
    </row>
    <row r="7155">
      <c r="G7155" s="7"/>
    </row>
    <row r="7156">
      <c r="G7156" s="7"/>
    </row>
    <row r="7157">
      <c r="G7157" s="7"/>
    </row>
    <row r="7158">
      <c r="G7158" s="7"/>
    </row>
    <row r="7159">
      <c r="G7159" s="7"/>
    </row>
    <row r="7160">
      <c r="G7160" s="7"/>
    </row>
    <row r="7161">
      <c r="G7161" s="7"/>
    </row>
    <row r="7162">
      <c r="G7162" s="7"/>
    </row>
    <row r="7163">
      <c r="G7163" s="7"/>
    </row>
    <row r="7164">
      <c r="G7164" s="7"/>
    </row>
    <row r="7165">
      <c r="G7165" s="7"/>
    </row>
    <row r="7166">
      <c r="G7166" s="7"/>
    </row>
    <row r="7167">
      <c r="G7167" s="7"/>
    </row>
    <row r="7168">
      <c r="G7168" s="7"/>
    </row>
    <row r="7169">
      <c r="G7169" s="7"/>
    </row>
    <row r="7170">
      <c r="G7170" s="7"/>
    </row>
    <row r="7171">
      <c r="G7171" s="7"/>
    </row>
    <row r="7172">
      <c r="G7172" s="7"/>
    </row>
    <row r="7173">
      <c r="G7173" s="7"/>
    </row>
    <row r="7174">
      <c r="G7174" s="7"/>
    </row>
    <row r="7175">
      <c r="G7175" s="7"/>
    </row>
    <row r="7176">
      <c r="G7176" s="7"/>
    </row>
    <row r="7177">
      <c r="G7177" s="7"/>
    </row>
    <row r="7178">
      <c r="G7178" s="7"/>
    </row>
    <row r="7179">
      <c r="G7179" s="7"/>
    </row>
    <row r="7180">
      <c r="G7180" s="7"/>
    </row>
    <row r="7181">
      <c r="G7181" s="7"/>
    </row>
    <row r="7182">
      <c r="G7182" s="7"/>
    </row>
    <row r="7183">
      <c r="G7183" s="7"/>
    </row>
    <row r="7184">
      <c r="G7184" s="7"/>
    </row>
    <row r="7185">
      <c r="G7185" s="7"/>
    </row>
    <row r="7186">
      <c r="G7186" s="7"/>
    </row>
    <row r="7187">
      <c r="G7187" s="7"/>
    </row>
    <row r="7188">
      <c r="G7188" s="7"/>
    </row>
    <row r="7189">
      <c r="G7189" s="7"/>
    </row>
    <row r="7190">
      <c r="G7190" s="7"/>
    </row>
    <row r="7191">
      <c r="G7191" s="7"/>
    </row>
    <row r="7192">
      <c r="G7192" s="7"/>
    </row>
    <row r="7193">
      <c r="G7193" s="7"/>
    </row>
    <row r="7194">
      <c r="G7194" s="7"/>
    </row>
    <row r="7195">
      <c r="G7195" s="7"/>
    </row>
    <row r="7196">
      <c r="G7196" s="7"/>
    </row>
    <row r="7197">
      <c r="G7197" s="7"/>
    </row>
    <row r="7198">
      <c r="G7198" s="7"/>
    </row>
    <row r="7199">
      <c r="G7199" s="7"/>
    </row>
    <row r="7200">
      <c r="G7200" s="7"/>
    </row>
    <row r="7201">
      <c r="G7201" s="7"/>
    </row>
    <row r="7202">
      <c r="G7202" s="7"/>
    </row>
    <row r="7203">
      <c r="G7203" s="7"/>
    </row>
    <row r="7204">
      <c r="G7204" s="7"/>
    </row>
    <row r="7205">
      <c r="G7205" s="7"/>
    </row>
    <row r="7206">
      <c r="G7206" s="7"/>
    </row>
    <row r="7207">
      <c r="G7207" s="7"/>
    </row>
    <row r="7208">
      <c r="G7208" s="7"/>
    </row>
    <row r="7209">
      <c r="G7209" s="7"/>
    </row>
    <row r="7210">
      <c r="G7210" s="7"/>
    </row>
    <row r="7211">
      <c r="G7211" s="7"/>
    </row>
    <row r="7212">
      <c r="G7212" s="7"/>
    </row>
    <row r="7213">
      <c r="G7213" s="7"/>
    </row>
    <row r="7214">
      <c r="G7214" s="7"/>
    </row>
    <row r="7215">
      <c r="G7215" s="7"/>
    </row>
    <row r="7216">
      <c r="G7216" s="7"/>
    </row>
    <row r="7217">
      <c r="G7217" s="7"/>
    </row>
    <row r="7218">
      <c r="G7218" s="7"/>
    </row>
    <row r="7219">
      <c r="G7219" s="7"/>
    </row>
    <row r="7220">
      <c r="G7220" s="7"/>
    </row>
    <row r="7221">
      <c r="G7221" s="7"/>
    </row>
    <row r="7222">
      <c r="G7222" s="7"/>
    </row>
    <row r="7223">
      <c r="G7223" s="7"/>
    </row>
    <row r="7224">
      <c r="G7224" s="7"/>
    </row>
    <row r="7225">
      <c r="G7225" s="7"/>
    </row>
    <row r="7226">
      <c r="G7226" s="7"/>
    </row>
    <row r="7227">
      <c r="G7227" s="7"/>
    </row>
    <row r="7228">
      <c r="G7228" s="7"/>
    </row>
    <row r="7229">
      <c r="G7229" s="7"/>
    </row>
    <row r="7230">
      <c r="G7230" s="7"/>
    </row>
    <row r="7231">
      <c r="G7231" s="7"/>
    </row>
    <row r="7232">
      <c r="G7232" s="7"/>
    </row>
    <row r="7233">
      <c r="G7233" s="7"/>
    </row>
    <row r="7234">
      <c r="G7234" s="7"/>
    </row>
    <row r="7235">
      <c r="G7235" s="7"/>
    </row>
    <row r="7236">
      <c r="G7236" s="7"/>
    </row>
    <row r="7237">
      <c r="G7237" s="7"/>
    </row>
    <row r="7238">
      <c r="G7238" s="7"/>
    </row>
    <row r="7239">
      <c r="G7239" s="7"/>
    </row>
    <row r="7240">
      <c r="G7240" s="7"/>
    </row>
    <row r="7241">
      <c r="G7241" s="7"/>
    </row>
    <row r="7242">
      <c r="G7242" s="7"/>
    </row>
    <row r="7243">
      <c r="G7243" s="7"/>
    </row>
    <row r="7244">
      <c r="G7244" s="7"/>
    </row>
    <row r="7245">
      <c r="G7245" s="7"/>
    </row>
    <row r="7246">
      <c r="G7246" s="7"/>
    </row>
    <row r="7247">
      <c r="G7247" s="7"/>
    </row>
    <row r="7248">
      <c r="G7248" s="7"/>
    </row>
    <row r="7249">
      <c r="G7249" s="7"/>
    </row>
    <row r="7250">
      <c r="G7250" s="7"/>
    </row>
    <row r="7251">
      <c r="G7251" s="7"/>
    </row>
    <row r="7252">
      <c r="G7252" s="7"/>
    </row>
    <row r="7253">
      <c r="G7253" s="7"/>
    </row>
    <row r="7254">
      <c r="G7254" s="7"/>
    </row>
    <row r="7255">
      <c r="G7255" s="7"/>
    </row>
    <row r="7256">
      <c r="G7256" s="7"/>
    </row>
    <row r="7257">
      <c r="G7257" s="7"/>
    </row>
    <row r="7258">
      <c r="G7258" s="7"/>
    </row>
    <row r="7259">
      <c r="G7259" s="7"/>
    </row>
    <row r="7260">
      <c r="G7260" s="7"/>
    </row>
    <row r="7261">
      <c r="G7261" s="7"/>
    </row>
    <row r="7262">
      <c r="G7262" s="7"/>
    </row>
    <row r="7263">
      <c r="G7263" s="7"/>
    </row>
    <row r="7264">
      <c r="G7264" s="7"/>
    </row>
    <row r="7265">
      <c r="G7265" s="7"/>
    </row>
    <row r="7266">
      <c r="G7266" s="7"/>
    </row>
    <row r="7267">
      <c r="G7267" s="7"/>
    </row>
    <row r="7268">
      <c r="G7268" s="7"/>
    </row>
    <row r="7269">
      <c r="G7269" s="7"/>
    </row>
    <row r="7270">
      <c r="G7270" s="7"/>
    </row>
    <row r="7271">
      <c r="G7271" s="7"/>
    </row>
    <row r="7272">
      <c r="G7272" s="7"/>
    </row>
    <row r="7273">
      <c r="G7273" s="7"/>
    </row>
    <row r="7274">
      <c r="G7274" s="7"/>
    </row>
    <row r="7275">
      <c r="G7275" s="7"/>
    </row>
    <row r="7276">
      <c r="G7276" s="7"/>
    </row>
    <row r="7277">
      <c r="G7277" s="7"/>
    </row>
    <row r="7278">
      <c r="G7278" s="7"/>
    </row>
    <row r="7279">
      <c r="G7279" s="7"/>
    </row>
    <row r="7280">
      <c r="G7280" s="7"/>
    </row>
    <row r="7281">
      <c r="G7281" s="7"/>
    </row>
    <row r="7282">
      <c r="G7282" s="7"/>
    </row>
    <row r="7283">
      <c r="G7283" s="7"/>
    </row>
    <row r="7284">
      <c r="G7284" s="7"/>
    </row>
    <row r="7285">
      <c r="G7285" s="7"/>
    </row>
    <row r="7286">
      <c r="G7286" s="7"/>
    </row>
    <row r="7287">
      <c r="G7287" s="7"/>
    </row>
    <row r="7288">
      <c r="G7288" s="7"/>
    </row>
    <row r="7289">
      <c r="G7289" s="7"/>
    </row>
    <row r="7290">
      <c r="G7290" s="7"/>
    </row>
    <row r="7291">
      <c r="G7291" s="7"/>
    </row>
    <row r="7292">
      <c r="G7292" s="7"/>
    </row>
    <row r="7293">
      <c r="G7293" s="7"/>
    </row>
    <row r="7294">
      <c r="G7294" s="7"/>
    </row>
    <row r="7295">
      <c r="G7295" s="7"/>
    </row>
    <row r="7296">
      <c r="G7296" s="7"/>
    </row>
    <row r="7297">
      <c r="G7297" s="7"/>
    </row>
    <row r="7298">
      <c r="G7298" s="7"/>
    </row>
    <row r="7299">
      <c r="G7299" s="7"/>
    </row>
    <row r="7300">
      <c r="G7300" s="7"/>
    </row>
    <row r="7301">
      <c r="G7301" s="7"/>
    </row>
    <row r="7302">
      <c r="G7302" s="7"/>
    </row>
    <row r="7303">
      <c r="G7303" s="7"/>
    </row>
    <row r="7304">
      <c r="G7304" s="7"/>
    </row>
    <row r="7305">
      <c r="G7305" s="7"/>
    </row>
    <row r="7306">
      <c r="G7306" s="7"/>
    </row>
    <row r="7307">
      <c r="G7307" s="7"/>
    </row>
    <row r="7308">
      <c r="G7308" s="7"/>
    </row>
    <row r="7309">
      <c r="G7309" s="7"/>
    </row>
    <row r="7310">
      <c r="G7310" s="7"/>
    </row>
    <row r="7311">
      <c r="G7311" s="7"/>
    </row>
    <row r="7312">
      <c r="G7312" s="7"/>
    </row>
    <row r="7313">
      <c r="G7313" s="7"/>
    </row>
    <row r="7314">
      <c r="G7314" s="7"/>
    </row>
    <row r="7315">
      <c r="G7315" s="7"/>
    </row>
    <row r="7316">
      <c r="G7316" s="7"/>
    </row>
    <row r="7317">
      <c r="G7317" s="7"/>
    </row>
    <row r="7318">
      <c r="G7318" s="7"/>
    </row>
    <row r="7319">
      <c r="G7319" s="7"/>
    </row>
    <row r="7320">
      <c r="G7320" s="7"/>
    </row>
    <row r="7321">
      <c r="G7321" s="7"/>
    </row>
    <row r="7322">
      <c r="G7322" s="7"/>
    </row>
    <row r="7323">
      <c r="G7323" s="7"/>
    </row>
    <row r="7324">
      <c r="G7324" s="7"/>
    </row>
    <row r="7325">
      <c r="G7325" s="7"/>
    </row>
    <row r="7326">
      <c r="G7326" s="7"/>
    </row>
    <row r="7327">
      <c r="G7327" s="7"/>
    </row>
    <row r="7328">
      <c r="G7328" s="7"/>
    </row>
    <row r="7329">
      <c r="G7329" s="7"/>
    </row>
    <row r="7330">
      <c r="G7330" s="7"/>
    </row>
    <row r="7331">
      <c r="G7331" s="7"/>
    </row>
    <row r="7332">
      <c r="G7332" s="7"/>
    </row>
    <row r="7333">
      <c r="G7333" s="7"/>
    </row>
    <row r="7334">
      <c r="G7334" s="7"/>
    </row>
    <row r="7335">
      <c r="G7335" s="7"/>
    </row>
    <row r="7336">
      <c r="G7336" s="7"/>
    </row>
    <row r="7337">
      <c r="G7337" s="7"/>
    </row>
    <row r="7338">
      <c r="G7338" s="7"/>
    </row>
    <row r="7339">
      <c r="G7339" s="7"/>
    </row>
    <row r="7340">
      <c r="G7340" s="7"/>
    </row>
    <row r="7341">
      <c r="G7341" s="7"/>
    </row>
    <row r="7342">
      <c r="G7342" s="7"/>
    </row>
    <row r="7343">
      <c r="G7343" s="7"/>
    </row>
    <row r="7344">
      <c r="G7344" s="7"/>
    </row>
    <row r="7345">
      <c r="G7345" s="7"/>
    </row>
    <row r="7346">
      <c r="G7346" s="7"/>
    </row>
    <row r="7347">
      <c r="G7347" s="7"/>
    </row>
    <row r="7348">
      <c r="G7348" s="7"/>
    </row>
    <row r="7349">
      <c r="G7349" s="7"/>
    </row>
    <row r="7350">
      <c r="G7350" s="7"/>
    </row>
    <row r="7351">
      <c r="G7351" s="7"/>
    </row>
    <row r="7352">
      <c r="G7352" s="7"/>
    </row>
    <row r="7353">
      <c r="G7353" s="7"/>
    </row>
    <row r="7354">
      <c r="G7354" s="7"/>
    </row>
    <row r="7355">
      <c r="G7355" s="7"/>
    </row>
    <row r="7356">
      <c r="G7356" s="7"/>
    </row>
    <row r="7357">
      <c r="G7357" s="7"/>
    </row>
    <row r="7358">
      <c r="G7358" s="7"/>
    </row>
    <row r="7359">
      <c r="G7359" s="7"/>
    </row>
    <row r="7360">
      <c r="G7360" s="7"/>
    </row>
    <row r="7361">
      <c r="G7361" s="7"/>
    </row>
    <row r="7362">
      <c r="G7362" s="7"/>
    </row>
    <row r="7363">
      <c r="G7363" s="7"/>
    </row>
    <row r="7364">
      <c r="G7364" s="7"/>
    </row>
    <row r="7365">
      <c r="G7365" s="7"/>
    </row>
    <row r="7366">
      <c r="G7366" s="7"/>
    </row>
    <row r="7367">
      <c r="G7367" s="7"/>
    </row>
    <row r="7368">
      <c r="G7368" s="7"/>
    </row>
    <row r="7369">
      <c r="G7369" s="7"/>
    </row>
    <row r="7370">
      <c r="G7370" s="7"/>
    </row>
    <row r="7371">
      <c r="G7371" s="7"/>
    </row>
    <row r="7372">
      <c r="G7372" s="7"/>
    </row>
    <row r="7373">
      <c r="G7373" s="7"/>
    </row>
    <row r="7374">
      <c r="G7374" s="7"/>
    </row>
    <row r="7375">
      <c r="G7375" s="7"/>
    </row>
    <row r="7376">
      <c r="G7376" s="7"/>
    </row>
    <row r="7377">
      <c r="G7377" s="7"/>
    </row>
    <row r="7378">
      <c r="G7378" s="7"/>
    </row>
    <row r="7379">
      <c r="G7379" s="7"/>
    </row>
    <row r="7380">
      <c r="G7380" s="7"/>
    </row>
    <row r="7381">
      <c r="G7381" s="7"/>
    </row>
    <row r="7382">
      <c r="G7382" s="7"/>
    </row>
    <row r="7383">
      <c r="G7383" s="7"/>
    </row>
    <row r="7384">
      <c r="G7384" s="7"/>
    </row>
    <row r="7385">
      <c r="G7385" s="7"/>
    </row>
    <row r="7386">
      <c r="G7386" s="7"/>
    </row>
    <row r="7387">
      <c r="G7387" s="7"/>
    </row>
    <row r="7388">
      <c r="G7388" s="7"/>
    </row>
    <row r="7389">
      <c r="G7389" s="7"/>
    </row>
    <row r="7390">
      <c r="G7390" s="7"/>
    </row>
    <row r="7391">
      <c r="G7391" s="7"/>
    </row>
    <row r="7392">
      <c r="G7392" s="7"/>
    </row>
    <row r="7393">
      <c r="G7393" s="7"/>
    </row>
    <row r="7394">
      <c r="G7394" s="7"/>
    </row>
    <row r="7395">
      <c r="G7395" s="7"/>
    </row>
    <row r="7396">
      <c r="G7396" s="7"/>
    </row>
    <row r="7397">
      <c r="G7397" s="7"/>
    </row>
    <row r="7398">
      <c r="G7398" s="7"/>
    </row>
    <row r="7399">
      <c r="G7399" s="7"/>
    </row>
    <row r="7400">
      <c r="G7400" s="7"/>
    </row>
    <row r="7401">
      <c r="G7401" s="7"/>
    </row>
    <row r="7402">
      <c r="G7402" s="7"/>
    </row>
    <row r="7403">
      <c r="G7403" s="7"/>
    </row>
    <row r="7404">
      <c r="G7404" s="7"/>
    </row>
    <row r="7405">
      <c r="G7405" s="7"/>
    </row>
    <row r="7406">
      <c r="G7406" s="7"/>
    </row>
    <row r="7407">
      <c r="G7407" s="7"/>
    </row>
    <row r="7408">
      <c r="G7408" s="7"/>
    </row>
    <row r="7409">
      <c r="G7409" s="7"/>
    </row>
    <row r="7410">
      <c r="G7410" s="7"/>
    </row>
    <row r="7411">
      <c r="G7411" s="7"/>
    </row>
    <row r="7412">
      <c r="G7412" s="7"/>
    </row>
    <row r="7413">
      <c r="G7413" s="7"/>
    </row>
    <row r="7414">
      <c r="G7414" s="7"/>
    </row>
    <row r="7415">
      <c r="G7415" s="7"/>
    </row>
    <row r="7416">
      <c r="G7416" s="7"/>
    </row>
    <row r="7417">
      <c r="G7417" s="7"/>
    </row>
    <row r="7418">
      <c r="G7418" s="7"/>
    </row>
    <row r="7419">
      <c r="G7419" s="7"/>
    </row>
    <row r="7420">
      <c r="G7420" s="7"/>
    </row>
    <row r="7421">
      <c r="G7421" s="7"/>
    </row>
    <row r="7422">
      <c r="G7422" s="7"/>
    </row>
    <row r="7423">
      <c r="G7423" s="7"/>
    </row>
    <row r="7424">
      <c r="G7424" s="7"/>
    </row>
    <row r="7425">
      <c r="G7425" s="7"/>
    </row>
    <row r="7426">
      <c r="G7426" s="7"/>
    </row>
    <row r="7427">
      <c r="G7427" s="7"/>
    </row>
    <row r="7428">
      <c r="G7428" s="7"/>
    </row>
    <row r="7429">
      <c r="G7429" s="7"/>
    </row>
    <row r="7430">
      <c r="G7430" s="7"/>
    </row>
    <row r="7431">
      <c r="G7431" s="7"/>
    </row>
    <row r="7432">
      <c r="G7432" s="7"/>
    </row>
    <row r="7433">
      <c r="G7433" s="7"/>
    </row>
    <row r="7434">
      <c r="G7434" s="7"/>
    </row>
    <row r="7435">
      <c r="G7435" s="7"/>
    </row>
    <row r="7436">
      <c r="G7436" s="7"/>
    </row>
    <row r="7437">
      <c r="G7437" s="7"/>
    </row>
    <row r="7438">
      <c r="G7438" s="7"/>
    </row>
    <row r="7439">
      <c r="G7439" s="7"/>
    </row>
    <row r="7440">
      <c r="G7440" s="7"/>
    </row>
    <row r="7441">
      <c r="G7441" s="7"/>
    </row>
    <row r="7442">
      <c r="G7442" s="7"/>
    </row>
    <row r="7443">
      <c r="G7443" s="7"/>
    </row>
    <row r="7444">
      <c r="G7444" s="7"/>
    </row>
    <row r="7445">
      <c r="G7445" s="7"/>
    </row>
    <row r="7446">
      <c r="G7446" s="7"/>
    </row>
    <row r="7447">
      <c r="G7447" s="7"/>
    </row>
    <row r="7448">
      <c r="G7448" s="7"/>
    </row>
    <row r="7449">
      <c r="G7449" s="7"/>
    </row>
    <row r="7450">
      <c r="G7450" s="7"/>
    </row>
    <row r="7451">
      <c r="G7451" s="7"/>
    </row>
    <row r="7452">
      <c r="G7452" s="7"/>
    </row>
    <row r="7453">
      <c r="G7453" s="7"/>
    </row>
    <row r="7454">
      <c r="G7454" s="7"/>
    </row>
    <row r="7455">
      <c r="G7455" s="7"/>
    </row>
    <row r="7456">
      <c r="G7456" s="7"/>
    </row>
    <row r="7457">
      <c r="G7457" s="7"/>
    </row>
    <row r="7458">
      <c r="G7458" s="7"/>
    </row>
    <row r="7459">
      <c r="G7459" s="7"/>
    </row>
    <row r="7460">
      <c r="G7460" s="7"/>
    </row>
    <row r="7461">
      <c r="G7461" s="7"/>
    </row>
    <row r="7462">
      <c r="G7462" s="7"/>
    </row>
    <row r="7463">
      <c r="G7463" s="7"/>
    </row>
    <row r="7464">
      <c r="G7464" s="7"/>
    </row>
    <row r="7465">
      <c r="G7465" s="7"/>
    </row>
    <row r="7466">
      <c r="G7466" s="7"/>
    </row>
    <row r="7467">
      <c r="G7467" s="7"/>
    </row>
    <row r="7468">
      <c r="G7468" s="7"/>
    </row>
    <row r="7469">
      <c r="G7469" s="7"/>
    </row>
    <row r="7470">
      <c r="G7470" s="7"/>
    </row>
    <row r="7471">
      <c r="G7471" s="7"/>
    </row>
    <row r="7472">
      <c r="G7472" s="7"/>
    </row>
    <row r="7473">
      <c r="G7473" s="7"/>
    </row>
    <row r="7474">
      <c r="G7474" s="7"/>
    </row>
    <row r="7475">
      <c r="G7475" s="7"/>
    </row>
    <row r="7476">
      <c r="G7476" s="7"/>
    </row>
    <row r="7477">
      <c r="G7477" s="7"/>
    </row>
    <row r="7478">
      <c r="G7478" s="7"/>
    </row>
    <row r="7479">
      <c r="G7479" s="7"/>
    </row>
    <row r="7480">
      <c r="G7480" s="7"/>
    </row>
    <row r="7481">
      <c r="G7481" s="7"/>
    </row>
    <row r="7482">
      <c r="G7482" s="7"/>
    </row>
    <row r="7483">
      <c r="G7483" s="7"/>
    </row>
    <row r="7484">
      <c r="G7484" s="7"/>
    </row>
    <row r="7485">
      <c r="G7485" s="7"/>
    </row>
    <row r="7486">
      <c r="G7486" s="7"/>
    </row>
    <row r="7487">
      <c r="G7487" s="7"/>
    </row>
    <row r="7488">
      <c r="G7488" s="7"/>
    </row>
    <row r="7489">
      <c r="G7489" s="7"/>
    </row>
    <row r="7490">
      <c r="G7490" s="7"/>
    </row>
    <row r="7491">
      <c r="G7491" s="7"/>
    </row>
    <row r="7492">
      <c r="G7492" s="7"/>
    </row>
    <row r="7493">
      <c r="G7493" s="7"/>
    </row>
    <row r="7494">
      <c r="G7494" s="7"/>
    </row>
    <row r="7495">
      <c r="G7495" s="7"/>
    </row>
    <row r="7496">
      <c r="G7496" s="7"/>
    </row>
    <row r="7497">
      <c r="G7497" s="7"/>
    </row>
    <row r="7498">
      <c r="G7498" s="7"/>
    </row>
    <row r="7499">
      <c r="G7499" s="7"/>
    </row>
    <row r="7500">
      <c r="G7500" s="7"/>
    </row>
    <row r="7501">
      <c r="G7501" s="7"/>
    </row>
    <row r="7502">
      <c r="G7502" s="7"/>
    </row>
    <row r="7503">
      <c r="G7503" s="7"/>
    </row>
    <row r="7504">
      <c r="G7504" s="7"/>
    </row>
    <row r="7505">
      <c r="G7505" s="7"/>
    </row>
    <row r="7506">
      <c r="G7506" s="7"/>
    </row>
    <row r="7507">
      <c r="G7507" s="7"/>
    </row>
    <row r="7508">
      <c r="G7508" s="7"/>
    </row>
    <row r="7509">
      <c r="G7509" s="7"/>
    </row>
    <row r="7510">
      <c r="G7510" s="7"/>
    </row>
    <row r="7511">
      <c r="G7511" s="7"/>
    </row>
    <row r="7512">
      <c r="G7512" s="7"/>
    </row>
    <row r="7513">
      <c r="G7513" s="7"/>
    </row>
    <row r="7514">
      <c r="G7514" s="7"/>
    </row>
    <row r="7515">
      <c r="G7515" s="7"/>
    </row>
    <row r="7516">
      <c r="G7516" s="7"/>
    </row>
    <row r="7517">
      <c r="G7517" s="7"/>
    </row>
    <row r="7518">
      <c r="G7518" s="7"/>
    </row>
    <row r="7519">
      <c r="G7519" s="7"/>
    </row>
    <row r="7520">
      <c r="G7520" s="7"/>
    </row>
    <row r="7521">
      <c r="G7521" s="7"/>
    </row>
    <row r="7522">
      <c r="G7522" s="7"/>
    </row>
    <row r="7523">
      <c r="G7523" s="7"/>
    </row>
    <row r="7524">
      <c r="G7524" s="7"/>
    </row>
    <row r="7525">
      <c r="G7525" s="7"/>
    </row>
    <row r="7526">
      <c r="G7526" s="7"/>
    </row>
    <row r="7527">
      <c r="G7527" s="7"/>
    </row>
    <row r="7528">
      <c r="G7528" s="7"/>
    </row>
    <row r="7529">
      <c r="G7529" s="7"/>
    </row>
    <row r="7530">
      <c r="G7530" s="7"/>
    </row>
    <row r="7531">
      <c r="G7531" s="7"/>
    </row>
    <row r="7532">
      <c r="G7532" s="7"/>
    </row>
    <row r="7533">
      <c r="G7533" s="7"/>
    </row>
    <row r="7534">
      <c r="G7534" s="7"/>
    </row>
    <row r="7535">
      <c r="G7535" s="7"/>
    </row>
    <row r="7536">
      <c r="G7536" s="7"/>
    </row>
    <row r="7537">
      <c r="G7537" s="7"/>
    </row>
    <row r="7538">
      <c r="G7538" s="7"/>
    </row>
    <row r="7539">
      <c r="G7539" s="7"/>
    </row>
    <row r="7540">
      <c r="G7540" s="7"/>
    </row>
    <row r="7541">
      <c r="G7541" s="7"/>
    </row>
    <row r="7542">
      <c r="G7542" s="7"/>
    </row>
    <row r="7543">
      <c r="G7543" s="7"/>
    </row>
    <row r="7544">
      <c r="G7544" s="7"/>
    </row>
    <row r="7545">
      <c r="G7545" s="7"/>
    </row>
    <row r="7546">
      <c r="G7546" s="7"/>
    </row>
    <row r="7547">
      <c r="G7547" s="7"/>
    </row>
    <row r="7548">
      <c r="G7548" s="7"/>
    </row>
    <row r="7549">
      <c r="G7549" s="7"/>
    </row>
    <row r="7550">
      <c r="G7550" s="7"/>
    </row>
    <row r="7551">
      <c r="G7551" s="7"/>
    </row>
    <row r="7552">
      <c r="G7552" s="7"/>
    </row>
    <row r="7553">
      <c r="G7553" s="7"/>
    </row>
    <row r="7554">
      <c r="G7554" s="7"/>
    </row>
    <row r="7555">
      <c r="G7555" s="7"/>
    </row>
    <row r="7556">
      <c r="G7556" s="7"/>
    </row>
    <row r="7557">
      <c r="G7557" s="7"/>
    </row>
    <row r="7558">
      <c r="G7558" s="7"/>
    </row>
    <row r="7559">
      <c r="G7559" s="7"/>
    </row>
    <row r="7560">
      <c r="G7560" s="7"/>
    </row>
    <row r="7561">
      <c r="G7561" s="7"/>
    </row>
    <row r="7562">
      <c r="G7562" s="7"/>
    </row>
    <row r="7563">
      <c r="G7563" s="7"/>
    </row>
    <row r="7564">
      <c r="G7564" s="7"/>
    </row>
    <row r="7565">
      <c r="G7565" s="7"/>
    </row>
    <row r="7566">
      <c r="G7566" s="7"/>
    </row>
    <row r="7567">
      <c r="G7567" s="7"/>
    </row>
    <row r="7568">
      <c r="G7568" s="7"/>
    </row>
    <row r="7569">
      <c r="G7569" s="7"/>
    </row>
    <row r="7570">
      <c r="G7570" s="7"/>
    </row>
    <row r="7571">
      <c r="G7571" s="7"/>
    </row>
    <row r="7572">
      <c r="G7572" s="7"/>
    </row>
    <row r="7573">
      <c r="G7573" s="7"/>
    </row>
    <row r="7574">
      <c r="G7574" s="7"/>
    </row>
    <row r="7575">
      <c r="G7575" s="7"/>
    </row>
    <row r="7576">
      <c r="G7576" s="7"/>
    </row>
    <row r="7577">
      <c r="G7577" s="7"/>
    </row>
    <row r="7578">
      <c r="G7578" s="7"/>
    </row>
    <row r="7579">
      <c r="G7579" s="7"/>
    </row>
    <row r="7580">
      <c r="G7580" s="7"/>
    </row>
    <row r="7581">
      <c r="G7581" s="7"/>
    </row>
    <row r="7582">
      <c r="G7582" s="7"/>
    </row>
    <row r="7583">
      <c r="G7583" s="7"/>
    </row>
    <row r="7584">
      <c r="G7584" s="7"/>
    </row>
    <row r="7585">
      <c r="G7585" s="7"/>
    </row>
    <row r="7586">
      <c r="G7586" s="7"/>
    </row>
    <row r="7587">
      <c r="G7587" s="7"/>
    </row>
    <row r="7588">
      <c r="G7588" s="7"/>
    </row>
    <row r="7589">
      <c r="G7589" s="7"/>
    </row>
    <row r="7590">
      <c r="G7590" s="7"/>
    </row>
    <row r="7591">
      <c r="G7591" s="7"/>
    </row>
    <row r="7592">
      <c r="G7592" s="7"/>
    </row>
    <row r="7593">
      <c r="G7593" s="7"/>
    </row>
    <row r="7594">
      <c r="G7594" s="7"/>
    </row>
    <row r="7595">
      <c r="G7595" s="7"/>
    </row>
    <row r="7596">
      <c r="G7596" s="7"/>
    </row>
    <row r="7597">
      <c r="G7597" s="7"/>
    </row>
    <row r="7598">
      <c r="G7598" s="7"/>
    </row>
    <row r="7599">
      <c r="G7599" s="7"/>
    </row>
    <row r="7600">
      <c r="G7600" s="7"/>
    </row>
    <row r="7601">
      <c r="G7601" s="7"/>
    </row>
    <row r="7602">
      <c r="G7602" s="7"/>
    </row>
    <row r="7603">
      <c r="G7603" s="7"/>
    </row>
    <row r="7604">
      <c r="G7604" s="7"/>
    </row>
    <row r="7605">
      <c r="G7605" s="7"/>
    </row>
    <row r="7606">
      <c r="G7606" s="7"/>
    </row>
    <row r="7607">
      <c r="G7607" s="7"/>
    </row>
    <row r="7608">
      <c r="G7608" s="7"/>
    </row>
    <row r="7609">
      <c r="G7609" s="7"/>
    </row>
    <row r="7610">
      <c r="G7610" s="7"/>
    </row>
    <row r="7611">
      <c r="G7611" s="7"/>
    </row>
    <row r="7612">
      <c r="G7612" s="7"/>
    </row>
    <row r="7613">
      <c r="G7613" s="7"/>
    </row>
    <row r="7614">
      <c r="G7614" s="7"/>
    </row>
    <row r="7615">
      <c r="G7615" s="7"/>
    </row>
    <row r="7616">
      <c r="G7616" s="7"/>
    </row>
    <row r="7617">
      <c r="G7617" s="7"/>
    </row>
    <row r="7618">
      <c r="G7618" s="7"/>
    </row>
    <row r="7619">
      <c r="G7619" s="7"/>
    </row>
    <row r="7620">
      <c r="G7620" s="7"/>
    </row>
    <row r="7621">
      <c r="G7621" s="7"/>
    </row>
    <row r="7622">
      <c r="G7622" s="7"/>
    </row>
    <row r="7623">
      <c r="G7623" s="7"/>
    </row>
    <row r="7624">
      <c r="G7624" s="7"/>
    </row>
    <row r="7625">
      <c r="G7625" s="7"/>
    </row>
    <row r="7626">
      <c r="G7626" s="7"/>
    </row>
    <row r="7627">
      <c r="G7627" s="7"/>
    </row>
    <row r="7628">
      <c r="G7628" s="7"/>
    </row>
    <row r="7629">
      <c r="G7629" s="7"/>
    </row>
    <row r="7630">
      <c r="G7630" s="7"/>
    </row>
    <row r="7631">
      <c r="G7631" s="7"/>
    </row>
    <row r="7632">
      <c r="G7632" s="7"/>
    </row>
    <row r="7633">
      <c r="G7633" s="7"/>
    </row>
    <row r="7634">
      <c r="G7634" s="7"/>
    </row>
    <row r="7635">
      <c r="G7635" s="7"/>
    </row>
    <row r="7636">
      <c r="G7636" s="7"/>
    </row>
    <row r="7637">
      <c r="G7637" s="7"/>
    </row>
    <row r="7638">
      <c r="G7638" s="7"/>
    </row>
    <row r="7639">
      <c r="G7639" s="7"/>
    </row>
    <row r="7640">
      <c r="G7640" s="7"/>
    </row>
    <row r="7641">
      <c r="G7641" s="7"/>
    </row>
    <row r="7642">
      <c r="G7642" s="7"/>
    </row>
    <row r="7643">
      <c r="G7643" s="7"/>
    </row>
    <row r="7644">
      <c r="G7644" s="7"/>
    </row>
    <row r="7645">
      <c r="G7645" s="7"/>
    </row>
    <row r="7646">
      <c r="G7646" s="7"/>
    </row>
    <row r="7647">
      <c r="G7647" s="7"/>
    </row>
    <row r="7648">
      <c r="G7648" s="7"/>
    </row>
    <row r="7649">
      <c r="G7649" s="7"/>
    </row>
    <row r="7650">
      <c r="G7650" s="7"/>
    </row>
    <row r="7651">
      <c r="G7651" s="7"/>
    </row>
    <row r="7652">
      <c r="G7652" s="7"/>
    </row>
    <row r="7653">
      <c r="G7653" s="7"/>
    </row>
    <row r="7654">
      <c r="G7654" s="7"/>
    </row>
    <row r="7655">
      <c r="G7655" s="7"/>
    </row>
    <row r="7656">
      <c r="G7656" s="7"/>
    </row>
    <row r="7657">
      <c r="G7657" s="7"/>
    </row>
    <row r="7658">
      <c r="G7658" s="7"/>
    </row>
    <row r="7659">
      <c r="G7659" s="7"/>
    </row>
    <row r="7660">
      <c r="G7660" s="7"/>
    </row>
    <row r="7661">
      <c r="G7661" s="7"/>
    </row>
    <row r="7662">
      <c r="G7662" s="7"/>
    </row>
    <row r="7663">
      <c r="G7663" s="7"/>
    </row>
    <row r="7664">
      <c r="G7664" s="7"/>
    </row>
    <row r="7665">
      <c r="G7665" s="7"/>
    </row>
    <row r="7666">
      <c r="G7666" s="7"/>
    </row>
    <row r="7667">
      <c r="G7667" s="7"/>
    </row>
    <row r="7668">
      <c r="G7668" s="7"/>
    </row>
    <row r="7669">
      <c r="G7669" s="7"/>
    </row>
    <row r="7670">
      <c r="G7670" s="7"/>
    </row>
    <row r="7671">
      <c r="G7671" s="7"/>
    </row>
    <row r="7672">
      <c r="G7672" s="7"/>
    </row>
    <row r="7673">
      <c r="G7673" s="7"/>
    </row>
    <row r="7674">
      <c r="G7674" s="7"/>
    </row>
    <row r="7675">
      <c r="G7675" s="7"/>
    </row>
    <row r="7676">
      <c r="G7676" s="7"/>
    </row>
    <row r="7677">
      <c r="G7677" s="7"/>
    </row>
    <row r="7678">
      <c r="G7678" s="7"/>
    </row>
    <row r="7679">
      <c r="G7679" s="7"/>
    </row>
    <row r="7680">
      <c r="G7680" s="7"/>
    </row>
    <row r="7681">
      <c r="G7681" s="7"/>
    </row>
    <row r="7682">
      <c r="G7682" s="7"/>
    </row>
    <row r="7683">
      <c r="G7683" s="7"/>
    </row>
    <row r="7684">
      <c r="G7684" s="7"/>
    </row>
    <row r="7685">
      <c r="G7685" s="7"/>
    </row>
    <row r="7686">
      <c r="G7686" s="7"/>
    </row>
    <row r="7687">
      <c r="G7687" s="7"/>
    </row>
    <row r="7688">
      <c r="G7688" s="7"/>
    </row>
    <row r="7689">
      <c r="G7689" s="7"/>
    </row>
    <row r="7690">
      <c r="G7690" s="7"/>
    </row>
    <row r="7691">
      <c r="G7691" s="7"/>
    </row>
    <row r="7692">
      <c r="G7692" s="7"/>
    </row>
    <row r="7693">
      <c r="G7693" s="7"/>
    </row>
    <row r="7694">
      <c r="G7694" s="7"/>
    </row>
    <row r="7695">
      <c r="G7695" s="7"/>
    </row>
    <row r="7696">
      <c r="G7696" s="7"/>
    </row>
    <row r="7697">
      <c r="G7697" s="7"/>
    </row>
    <row r="7698">
      <c r="G7698" s="7"/>
    </row>
    <row r="7699">
      <c r="G7699" s="7"/>
    </row>
    <row r="7700">
      <c r="G7700" s="7"/>
    </row>
    <row r="7701">
      <c r="G7701" s="7"/>
    </row>
    <row r="7702">
      <c r="G7702" s="7"/>
    </row>
    <row r="7703">
      <c r="G7703" s="7"/>
    </row>
    <row r="7704">
      <c r="G7704" s="7"/>
    </row>
    <row r="7705">
      <c r="G7705" s="7"/>
    </row>
    <row r="7706">
      <c r="G7706" s="7"/>
    </row>
    <row r="7707">
      <c r="G7707" s="7"/>
    </row>
    <row r="7708">
      <c r="G7708" s="7"/>
    </row>
    <row r="7709">
      <c r="G7709" s="7"/>
    </row>
    <row r="7710">
      <c r="G7710" s="7"/>
    </row>
    <row r="7711">
      <c r="G7711" s="7"/>
    </row>
    <row r="7712">
      <c r="G7712" s="7"/>
    </row>
    <row r="7713">
      <c r="G7713" s="7"/>
    </row>
    <row r="7714">
      <c r="G7714" s="7"/>
    </row>
    <row r="7715">
      <c r="G7715" s="7"/>
    </row>
    <row r="7716">
      <c r="G7716" s="7"/>
    </row>
    <row r="7717">
      <c r="G7717" s="7"/>
    </row>
    <row r="7718">
      <c r="G7718" s="7"/>
    </row>
    <row r="7719">
      <c r="G7719" s="7"/>
    </row>
    <row r="7720">
      <c r="G7720" s="7"/>
    </row>
    <row r="7721">
      <c r="G7721" s="7"/>
    </row>
    <row r="7722">
      <c r="G7722" s="7"/>
    </row>
    <row r="7723">
      <c r="G7723" s="7"/>
    </row>
    <row r="7724">
      <c r="G7724" s="7"/>
    </row>
    <row r="7725">
      <c r="G7725" s="7"/>
    </row>
    <row r="7726">
      <c r="G7726" s="7"/>
    </row>
    <row r="7727">
      <c r="G7727" s="7"/>
    </row>
    <row r="7728">
      <c r="G7728" s="7"/>
    </row>
    <row r="7729">
      <c r="G7729" s="7"/>
    </row>
    <row r="7730">
      <c r="G7730" s="7"/>
    </row>
    <row r="7731">
      <c r="G7731" s="7"/>
    </row>
    <row r="7732">
      <c r="G7732" s="7"/>
    </row>
    <row r="7733">
      <c r="G7733" s="7"/>
    </row>
    <row r="7734">
      <c r="G7734" s="7"/>
    </row>
    <row r="7735">
      <c r="G7735" s="7"/>
    </row>
    <row r="7736">
      <c r="G7736" s="7"/>
    </row>
    <row r="7737">
      <c r="G7737" s="7"/>
    </row>
    <row r="7738">
      <c r="G7738" s="7"/>
    </row>
    <row r="7739">
      <c r="G7739" s="7"/>
    </row>
    <row r="7740">
      <c r="G7740" s="7"/>
    </row>
    <row r="7741">
      <c r="G7741" s="7"/>
    </row>
    <row r="7742">
      <c r="G7742" s="7"/>
    </row>
    <row r="7743">
      <c r="G7743" s="7"/>
    </row>
    <row r="7744">
      <c r="G7744" s="7"/>
    </row>
    <row r="7745">
      <c r="G7745" s="7"/>
    </row>
    <row r="7746">
      <c r="G7746" s="7"/>
    </row>
    <row r="7747">
      <c r="G7747" s="7"/>
    </row>
    <row r="7748">
      <c r="G7748" s="7"/>
    </row>
    <row r="7749">
      <c r="G7749" s="7"/>
    </row>
    <row r="7750">
      <c r="G7750" s="7"/>
    </row>
    <row r="7751">
      <c r="G7751" s="7"/>
    </row>
    <row r="7752">
      <c r="G7752" s="7"/>
    </row>
    <row r="7753">
      <c r="G7753" s="7"/>
    </row>
    <row r="7754">
      <c r="G7754" s="7"/>
    </row>
    <row r="7755">
      <c r="G7755" s="7"/>
    </row>
    <row r="7756">
      <c r="G7756" s="7"/>
    </row>
    <row r="7757">
      <c r="G7757" s="7"/>
    </row>
    <row r="7758">
      <c r="G7758" s="7"/>
    </row>
    <row r="7759">
      <c r="G7759" s="7"/>
    </row>
    <row r="7760">
      <c r="G7760" s="7"/>
    </row>
    <row r="7761">
      <c r="G7761" s="7"/>
    </row>
    <row r="7762">
      <c r="G7762" s="7"/>
    </row>
    <row r="7763">
      <c r="G7763" s="7"/>
    </row>
    <row r="7764">
      <c r="G7764" s="7"/>
    </row>
    <row r="7765">
      <c r="G7765" s="7"/>
    </row>
    <row r="7766">
      <c r="G7766" s="7"/>
    </row>
    <row r="7767">
      <c r="G7767" s="7"/>
    </row>
    <row r="7768">
      <c r="G7768" s="7"/>
    </row>
    <row r="7769">
      <c r="G7769" s="7"/>
    </row>
    <row r="7770">
      <c r="G7770" s="7"/>
    </row>
    <row r="7771">
      <c r="G7771" s="7"/>
    </row>
    <row r="7772">
      <c r="G7772" s="7"/>
    </row>
    <row r="7773">
      <c r="G7773" s="7"/>
    </row>
    <row r="7774">
      <c r="G7774" s="7"/>
    </row>
    <row r="7775">
      <c r="G7775" s="7"/>
    </row>
    <row r="7776">
      <c r="G7776" s="7"/>
    </row>
    <row r="7777">
      <c r="G7777" s="7"/>
    </row>
    <row r="7778">
      <c r="G7778" s="7"/>
    </row>
    <row r="7779">
      <c r="G7779" s="7"/>
    </row>
    <row r="7780">
      <c r="G7780" s="7"/>
    </row>
    <row r="7781">
      <c r="G7781" s="7"/>
    </row>
    <row r="7782">
      <c r="G7782" s="7"/>
    </row>
    <row r="7783">
      <c r="G7783" s="7"/>
    </row>
    <row r="7784">
      <c r="G7784" s="7"/>
    </row>
    <row r="7785">
      <c r="G7785" s="7"/>
    </row>
    <row r="7786">
      <c r="G7786" s="7"/>
    </row>
    <row r="7787">
      <c r="G7787" s="7"/>
    </row>
    <row r="7788">
      <c r="G7788" s="7"/>
    </row>
    <row r="7789">
      <c r="G7789" s="7"/>
    </row>
    <row r="7790">
      <c r="G7790" s="7"/>
    </row>
    <row r="7791">
      <c r="G7791" s="7"/>
    </row>
    <row r="7792">
      <c r="G7792" s="7"/>
    </row>
    <row r="7793">
      <c r="G7793" s="7"/>
    </row>
    <row r="7794">
      <c r="G7794" s="7"/>
    </row>
    <row r="7795">
      <c r="G7795" s="7"/>
    </row>
    <row r="7796">
      <c r="G7796" s="7"/>
    </row>
    <row r="7797">
      <c r="G7797" s="7"/>
    </row>
    <row r="7798">
      <c r="G7798" s="7"/>
    </row>
    <row r="7799">
      <c r="G7799" s="7"/>
    </row>
    <row r="7800">
      <c r="G7800" s="7"/>
    </row>
    <row r="7801">
      <c r="G7801" s="7"/>
    </row>
    <row r="7802">
      <c r="G7802" s="7"/>
    </row>
    <row r="7803">
      <c r="G7803" s="7"/>
    </row>
    <row r="7804">
      <c r="G7804" s="7"/>
    </row>
    <row r="7805">
      <c r="G7805" s="7"/>
    </row>
    <row r="7806">
      <c r="G7806" s="7"/>
    </row>
    <row r="7807">
      <c r="G7807" s="7"/>
    </row>
    <row r="7808">
      <c r="G7808" s="7"/>
    </row>
    <row r="7809">
      <c r="G7809" s="7"/>
    </row>
    <row r="7810">
      <c r="G7810" s="7"/>
    </row>
    <row r="7811">
      <c r="G7811" s="7"/>
    </row>
    <row r="7812">
      <c r="G7812" s="7"/>
    </row>
    <row r="7813">
      <c r="G7813" s="7"/>
    </row>
    <row r="7814">
      <c r="G7814" s="7"/>
    </row>
    <row r="7815">
      <c r="G7815" s="7"/>
    </row>
    <row r="7816">
      <c r="G7816" s="7"/>
    </row>
    <row r="7817">
      <c r="G7817" s="7"/>
    </row>
    <row r="7818">
      <c r="G7818" s="7"/>
    </row>
    <row r="7819">
      <c r="G7819" s="7"/>
    </row>
    <row r="7820">
      <c r="G7820" s="7"/>
    </row>
    <row r="7821">
      <c r="G7821" s="7"/>
    </row>
    <row r="7822">
      <c r="G7822" s="7"/>
    </row>
    <row r="7823">
      <c r="G7823" s="7"/>
    </row>
    <row r="7824">
      <c r="G7824" s="7"/>
    </row>
    <row r="7825">
      <c r="G7825" s="7"/>
    </row>
    <row r="7826">
      <c r="G7826" s="7"/>
    </row>
    <row r="7827">
      <c r="G7827" s="7"/>
    </row>
    <row r="7828">
      <c r="G7828" s="7"/>
    </row>
    <row r="7829">
      <c r="G7829" s="7"/>
    </row>
    <row r="7830">
      <c r="G7830" s="7"/>
    </row>
    <row r="7831">
      <c r="G7831" s="7"/>
    </row>
    <row r="7832">
      <c r="G7832" s="7"/>
    </row>
    <row r="7833">
      <c r="G7833" s="7"/>
    </row>
    <row r="7834">
      <c r="G7834" s="7"/>
    </row>
    <row r="7835">
      <c r="G7835" s="7"/>
    </row>
    <row r="7836">
      <c r="G7836" s="7"/>
    </row>
    <row r="7837">
      <c r="G7837" s="7"/>
    </row>
    <row r="7838">
      <c r="G7838" s="7"/>
    </row>
    <row r="7839">
      <c r="G7839" s="7"/>
    </row>
    <row r="7840">
      <c r="G7840" s="7"/>
    </row>
    <row r="7841">
      <c r="G7841" s="7"/>
    </row>
    <row r="7842">
      <c r="G7842" s="7"/>
    </row>
    <row r="7843">
      <c r="G7843" s="7"/>
    </row>
    <row r="7844">
      <c r="G7844" s="7"/>
    </row>
    <row r="7845">
      <c r="G7845" s="7"/>
    </row>
    <row r="7846">
      <c r="G7846" s="7"/>
    </row>
    <row r="7847">
      <c r="G7847" s="7"/>
    </row>
    <row r="7848">
      <c r="G7848" s="7"/>
    </row>
    <row r="7849">
      <c r="G7849" s="7"/>
    </row>
    <row r="7850">
      <c r="G7850" s="7"/>
    </row>
    <row r="7851">
      <c r="G7851" s="7"/>
    </row>
    <row r="7852">
      <c r="G7852" s="7"/>
    </row>
    <row r="7853">
      <c r="G7853" s="7"/>
    </row>
    <row r="7854">
      <c r="G7854" s="7"/>
    </row>
    <row r="7855">
      <c r="G7855" s="7"/>
    </row>
    <row r="7856">
      <c r="G7856" s="7"/>
    </row>
    <row r="7857">
      <c r="G7857" s="7"/>
    </row>
    <row r="7858">
      <c r="G7858" s="7"/>
    </row>
    <row r="7859">
      <c r="G7859" s="7"/>
    </row>
    <row r="7860">
      <c r="G7860" s="7"/>
    </row>
    <row r="7861">
      <c r="G7861" s="7"/>
    </row>
    <row r="7862">
      <c r="G7862" s="7"/>
    </row>
    <row r="7863">
      <c r="G7863" s="7"/>
    </row>
    <row r="7864">
      <c r="G7864" s="7"/>
    </row>
    <row r="7865">
      <c r="G7865" s="7"/>
    </row>
    <row r="7866">
      <c r="G7866" s="7"/>
    </row>
    <row r="7867">
      <c r="G7867" s="7"/>
    </row>
    <row r="7868">
      <c r="G7868" s="7"/>
    </row>
    <row r="7869">
      <c r="G7869" s="7"/>
    </row>
    <row r="7870">
      <c r="G7870" s="7"/>
    </row>
    <row r="7871">
      <c r="G7871" s="7"/>
    </row>
    <row r="7872">
      <c r="G7872" s="7"/>
    </row>
    <row r="7873">
      <c r="G7873" s="7"/>
    </row>
    <row r="7874">
      <c r="G7874" s="7"/>
    </row>
    <row r="7875">
      <c r="G7875" s="7"/>
    </row>
    <row r="7876">
      <c r="G7876" s="7"/>
    </row>
    <row r="7877">
      <c r="G7877" s="7"/>
    </row>
    <row r="7878">
      <c r="G7878" s="7"/>
    </row>
    <row r="7879">
      <c r="G7879" s="7"/>
    </row>
    <row r="7880">
      <c r="G7880" s="7"/>
    </row>
    <row r="7881">
      <c r="G7881" s="7"/>
    </row>
    <row r="7882">
      <c r="G7882" s="7"/>
    </row>
    <row r="7883">
      <c r="G7883" s="7"/>
    </row>
    <row r="7884">
      <c r="G7884" s="7"/>
    </row>
    <row r="7885">
      <c r="G7885" s="7"/>
    </row>
    <row r="7886">
      <c r="G7886" s="7"/>
    </row>
    <row r="7887">
      <c r="G7887" s="7"/>
    </row>
    <row r="7888">
      <c r="G7888" s="7"/>
    </row>
    <row r="7889">
      <c r="G7889" s="7"/>
    </row>
    <row r="7890">
      <c r="G7890" s="7"/>
    </row>
    <row r="7891">
      <c r="G7891" s="7"/>
    </row>
    <row r="7892">
      <c r="G7892" s="7"/>
    </row>
    <row r="7893">
      <c r="G7893" s="7"/>
    </row>
    <row r="7894">
      <c r="G7894" s="7"/>
    </row>
    <row r="7895">
      <c r="G7895" s="7"/>
    </row>
    <row r="7896">
      <c r="G7896" s="7"/>
    </row>
    <row r="7897">
      <c r="G7897" s="7"/>
    </row>
    <row r="7898">
      <c r="G7898" s="7"/>
    </row>
    <row r="7899">
      <c r="G7899" s="7"/>
    </row>
    <row r="7900">
      <c r="G7900" s="7"/>
    </row>
    <row r="7901">
      <c r="G7901" s="7"/>
    </row>
    <row r="7902">
      <c r="G7902" s="7"/>
    </row>
    <row r="7903">
      <c r="G7903" s="7"/>
    </row>
    <row r="7904">
      <c r="G7904" s="7"/>
    </row>
    <row r="7905">
      <c r="G7905" s="7"/>
    </row>
    <row r="7906">
      <c r="G7906" s="7"/>
    </row>
    <row r="7907">
      <c r="G7907" s="7"/>
    </row>
    <row r="7908">
      <c r="G7908" s="7"/>
    </row>
    <row r="7909">
      <c r="G7909" s="7"/>
    </row>
    <row r="7910">
      <c r="G7910" s="7"/>
    </row>
    <row r="7911">
      <c r="G7911" s="7"/>
    </row>
    <row r="7912">
      <c r="G7912" s="7"/>
    </row>
    <row r="7913">
      <c r="G7913" s="7"/>
    </row>
    <row r="7914">
      <c r="G7914" s="7"/>
    </row>
    <row r="7915">
      <c r="G7915" s="7"/>
    </row>
    <row r="7916">
      <c r="G7916" s="7"/>
    </row>
    <row r="7917">
      <c r="G7917" s="7"/>
    </row>
    <row r="7918">
      <c r="G7918" s="7"/>
    </row>
    <row r="7919">
      <c r="G7919" s="7"/>
    </row>
    <row r="7920">
      <c r="G7920" s="7"/>
    </row>
    <row r="7921">
      <c r="G7921" s="7"/>
    </row>
    <row r="7922">
      <c r="G7922" s="7"/>
    </row>
    <row r="7923">
      <c r="G7923" s="7"/>
    </row>
    <row r="7924">
      <c r="G7924" s="7"/>
    </row>
    <row r="7925">
      <c r="G7925" s="7"/>
    </row>
    <row r="7926">
      <c r="G7926" s="7"/>
    </row>
    <row r="7927">
      <c r="G7927" s="7"/>
    </row>
    <row r="7928">
      <c r="G7928" s="7"/>
    </row>
    <row r="7929">
      <c r="G7929" s="7"/>
    </row>
    <row r="7930">
      <c r="G7930" s="7"/>
    </row>
    <row r="7931">
      <c r="G7931" s="7"/>
    </row>
    <row r="7932">
      <c r="G7932" s="7"/>
    </row>
    <row r="7933">
      <c r="G7933" s="7"/>
    </row>
    <row r="7934">
      <c r="G7934" s="7"/>
    </row>
    <row r="7935">
      <c r="G7935" s="7"/>
    </row>
    <row r="7936">
      <c r="G7936" s="7"/>
    </row>
    <row r="7937">
      <c r="G7937" s="7"/>
    </row>
    <row r="7938">
      <c r="G7938" s="7"/>
    </row>
    <row r="7939">
      <c r="G7939" s="7"/>
    </row>
    <row r="7940">
      <c r="G7940" s="7"/>
    </row>
    <row r="7941">
      <c r="G7941" s="7"/>
    </row>
    <row r="7942">
      <c r="G7942" s="7"/>
    </row>
    <row r="7943">
      <c r="G7943" s="7"/>
    </row>
    <row r="7944">
      <c r="G7944" s="7"/>
    </row>
    <row r="7945">
      <c r="G7945" s="7"/>
    </row>
    <row r="7946">
      <c r="G7946" s="7"/>
    </row>
    <row r="7947">
      <c r="G7947" s="7"/>
    </row>
    <row r="7948">
      <c r="G7948" s="7"/>
    </row>
    <row r="7949">
      <c r="G7949" s="7"/>
    </row>
    <row r="7950">
      <c r="G7950" s="7"/>
    </row>
    <row r="7951">
      <c r="G7951" s="7"/>
    </row>
    <row r="7952">
      <c r="G7952" s="7"/>
    </row>
    <row r="7953">
      <c r="G7953" s="7"/>
    </row>
    <row r="7954">
      <c r="G7954" s="7"/>
    </row>
    <row r="7955">
      <c r="G7955" s="7"/>
    </row>
    <row r="7956">
      <c r="G7956" s="7"/>
    </row>
    <row r="7957">
      <c r="G7957" s="7"/>
    </row>
    <row r="7958">
      <c r="G7958" s="7"/>
    </row>
    <row r="7959">
      <c r="G7959" s="7"/>
    </row>
    <row r="7960">
      <c r="G7960" s="7"/>
    </row>
    <row r="7961">
      <c r="G7961" s="7"/>
    </row>
    <row r="7962">
      <c r="G7962" s="7"/>
    </row>
    <row r="7963">
      <c r="G7963" s="7"/>
    </row>
    <row r="7964">
      <c r="G7964" s="7"/>
    </row>
    <row r="7965">
      <c r="G7965" s="7"/>
    </row>
    <row r="7966">
      <c r="G7966" s="7"/>
    </row>
    <row r="7967">
      <c r="G7967" s="7"/>
    </row>
    <row r="7968">
      <c r="G7968" s="7"/>
    </row>
    <row r="7969">
      <c r="G7969" s="7"/>
    </row>
    <row r="7970">
      <c r="G7970" s="7"/>
    </row>
    <row r="7971">
      <c r="G7971" s="7"/>
    </row>
    <row r="7972">
      <c r="G7972" s="7"/>
    </row>
    <row r="7973">
      <c r="G7973" s="7"/>
    </row>
    <row r="7974">
      <c r="G7974" s="7"/>
    </row>
    <row r="7975">
      <c r="G7975" s="7"/>
    </row>
    <row r="7976">
      <c r="G7976" s="7"/>
    </row>
    <row r="7977">
      <c r="G7977" s="7"/>
    </row>
    <row r="7978">
      <c r="G7978" s="7"/>
    </row>
    <row r="7979">
      <c r="G7979" s="7"/>
    </row>
    <row r="7980">
      <c r="G7980" s="7"/>
    </row>
    <row r="7981">
      <c r="G7981" s="7"/>
    </row>
    <row r="7982">
      <c r="G7982" s="7"/>
    </row>
    <row r="7983">
      <c r="G7983" s="7"/>
    </row>
    <row r="7984">
      <c r="G7984" s="7"/>
    </row>
    <row r="7985">
      <c r="G7985" s="7"/>
    </row>
    <row r="7986">
      <c r="G7986" s="7"/>
    </row>
    <row r="7987">
      <c r="G7987" s="7"/>
    </row>
    <row r="7988">
      <c r="G7988" s="7"/>
    </row>
    <row r="7989">
      <c r="G7989" s="7"/>
    </row>
    <row r="7990">
      <c r="G7990" s="7"/>
    </row>
    <row r="7991">
      <c r="G7991" s="7"/>
    </row>
    <row r="7992">
      <c r="G7992" s="7"/>
    </row>
    <row r="7993">
      <c r="G7993" s="7"/>
    </row>
    <row r="7994">
      <c r="G7994" s="7"/>
    </row>
    <row r="7995">
      <c r="G7995" s="7"/>
    </row>
    <row r="7996">
      <c r="G7996" s="7"/>
    </row>
    <row r="7997">
      <c r="G7997" s="7"/>
    </row>
    <row r="7998">
      <c r="G7998" s="7"/>
    </row>
    <row r="7999">
      <c r="G7999" s="7"/>
    </row>
    <row r="8000">
      <c r="G8000" s="7"/>
    </row>
    <row r="8001">
      <c r="G8001" s="7"/>
    </row>
    <row r="8002">
      <c r="G8002" s="7"/>
    </row>
    <row r="8003">
      <c r="G8003" s="7"/>
    </row>
    <row r="8004">
      <c r="G8004" s="7"/>
    </row>
    <row r="8005">
      <c r="G8005" s="7"/>
    </row>
    <row r="8006">
      <c r="G8006" s="7"/>
    </row>
    <row r="8007">
      <c r="G8007" s="7"/>
    </row>
    <row r="8008">
      <c r="G8008" s="7"/>
    </row>
    <row r="8009">
      <c r="G8009" s="7"/>
    </row>
    <row r="8010">
      <c r="G8010" s="7"/>
    </row>
    <row r="8011">
      <c r="G8011" s="7"/>
    </row>
    <row r="8012">
      <c r="G8012" s="7"/>
    </row>
    <row r="8013">
      <c r="G8013" s="7"/>
    </row>
    <row r="8014">
      <c r="G8014" s="7"/>
    </row>
    <row r="8015">
      <c r="G8015" s="7"/>
    </row>
    <row r="8016">
      <c r="G8016" s="7"/>
    </row>
    <row r="8017">
      <c r="G8017" s="7"/>
    </row>
    <row r="8018">
      <c r="G8018" s="7"/>
    </row>
    <row r="8019">
      <c r="G8019" s="7"/>
    </row>
    <row r="8020">
      <c r="G8020" s="7"/>
    </row>
    <row r="8021">
      <c r="G8021" s="7"/>
    </row>
    <row r="8022">
      <c r="G8022" s="7"/>
    </row>
    <row r="8023">
      <c r="G8023" s="7"/>
    </row>
    <row r="8024">
      <c r="G8024" s="7"/>
    </row>
    <row r="8025">
      <c r="G8025" s="7"/>
    </row>
    <row r="8026">
      <c r="G8026" s="7"/>
    </row>
    <row r="8027">
      <c r="G8027" s="7"/>
    </row>
    <row r="8028">
      <c r="G8028" s="7"/>
    </row>
    <row r="8029">
      <c r="G8029" s="7"/>
    </row>
    <row r="8030">
      <c r="G8030" s="7"/>
    </row>
    <row r="8031">
      <c r="G8031" s="7"/>
    </row>
    <row r="8032">
      <c r="G8032" s="7"/>
    </row>
    <row r="8033">
      <c r="G8033" s="7"/>
    </row>
    <row r="8034">
      <c r="G8034" s="7"/>
    </row>
    <row r="8035">
      <c r="G8035" s="7"/>
    </row>
    <row r="8036">
      <c r="G8036" s="7"/>
    </row>
    <row r="8037">
      <c r="G8037" s="7"/>
    </row>
    <row r="8038">
      <c r="G8038" s="7"/>
    </row>
    <row r="8039">
      <c r="G8039" s="7"/>
    </row>
    <row r="8040">
      <c r="G8040" s="7"/>
    </row>
    <row r="8041">
      <c r="G8041" s="7"/>
    </row>
    <row r="8042">
      <c r="G8042" s="7"/>
    </row>
    <row r="8043">
      <c r="G8043" s="7"/>
    </row>
    <row r="8044">
      <c r="G8044" s="7"/>
    </row>
    <row r="8045">
      <c r="G8045" s="7"/>
    </row>
    <row r="8046">
      <c r="G8046" s="7"/>
    </row>
    <row r="8047">
      <c r="G8047" s="7"/>
    </row>
    <row r="8048">
      <c r="G8048" s="7"/>
    </row>
    <row r="8049">
      <c r="G8049" s="7"/>
    </row>
    <row r="8050">
      <c r="G8050" s="7"/>
    </row>
    <row r="8051">
      <c r="G8051" s="7"/>
    </row>
    <row r="8052">
      <c r="G8052" s="7"/>
    </row>
    <row r="8053">
      <c r="G8053" s="7"/>
    </row>
    <row r="8054">
      <c r="G8054" s="7"/>
    </row>
    <row r="8055">
      <c r="G8055" s="7"/>
    </row>
    <row r="8056">
      <c r="G8056" s="7"/>
    </row>
    <row r="8057">
      <c r="G8057" s="7"/>
    </row>
    <row r="8058">
      <c r="G8058" s="7"/>
    </row>
    <row r="8059">
      <c r="G8059" s="7"/>
    </row>
    <row r="8060">
      <c r="G8060" s="7"/>
    </row>
    <row r="8061">
      <c r="G8061" s="7"/>
    </row>
    <row r="8062">
      <c r="G8062" s="7"/>
    </row>
    <row r="8063">
      <c r="G8063" s="7"/>
    </row>
    <row r="8064">
      <c r="G8064" s="7"/>
    </row>
    <row r="8065">
      <c r="G8065" s="7"/>
    </row>
    <row r="8066">
      <c r="G8066" s="7"/>
    </row>
    <row r="8067">
      <c r="G8067" s="7"/>
    </row>
    <row r="8068">
      <c r="G8068" s="7"/>
    </row>
    <row r="8069">
      <c r="G8069" s="7"/>
    </row>
    <row r="8070">
      <c r="G8070" s="7"/>
    </row>
    <row r="8071">
      <c r="G8071" s="7"/>
    </row>
    <row r="8072">
      <c r="G8072" s="7"/>
    </row>
    <row r="8073">
      <c r="G8073" s="7"/>
    </row>
    <row r="8074">
      <c r="G8074" s="7"/>
    </row>
    <row r="8075">
      <c r="G8075" s="7"/>
    </row>
    <row r="8076">
      <c r="G8076" s="7"/>
    </row>
    <row r="8077">
      <c r="G8077" s="7"/>
    </row>
    <row r="8078">
      <c r="G8078" s="7"/>
    </row>
    <row r="8079">
      <c r="G8079" s="7"/>
    </row>
    <row r="8080">
      <c r="G8080" s="7"/>
    </row>
    <row r="8081">
      <c r="G8081" s="7"/>
    </row>
    <row r="8082">
      <c r="G8082" s="7"/>
    </row>
    <row r="8083">
      <c r="G8083" s="7"/>
    </row>
    <row r="8084">
      <c r="G8084" s="7"/>
    </row>
    <row r="8085">
      <c r="G8085" s="7"/>
    </row>
    <row r="8086">
      <c r="G8086" s="7"/>
    </row>
    <row r="8087">
      <c r="G8087" s="7"/>
    </row>
    <row r="8088">
      <c r="G8088" s="7"/>
    </row>
    <row r="8089">
      <c r="G8089" s="7"/>
    </row>
    <row r="8090">
      <c r="G8090" s="7"/>
    </row>
    <row r="8091">
      <c r="G8091" s="7"/>
    </row>
    <row r="8092">
      <c r="G8092" s="7"/>
    </row>
    <row r="8093">
      <c r="G8093" s="7"/>
    </row>
    <row r="8094">
      <c r="G8094" s="7"/>
    </row>
    <row r="8095">
      <c r="G8095" s="7"/>
    </row>
    <row r="8096">
      <c r="G8096" s="7"/>
    </row>
    <row r="8097">
      <c r="G8097" s="7"/>
    </row>
    <row r="8098">
      <c r="G8098" s="7"/>
    </row>
    <row r="8099">
      <c r="G8099" s="7"/>
    </row>
    <row r="8100">
      <c r="G8100" s="7"/>
    </row>
    <row r="8101">
      <c r="G8101" s="7"/>
    </row>
    <row r="8102">
      <c r="G8102" s="7"/>
    </row>
    <row r="8103">
      <c r="G8103" s="7"/>
    </row>
    <row r="8104">
      <c r="G8104" s="7"/>
    </row>
    <row r="8105">
      <c r="G8105" s="7"/>
    </row>
    <row r="8106">
      <c r="G8106" s="7"/>
    </row>
    <row r="8107">
      <c r="G8107" s="7"/>
    </row>
    <row r="8108">
      <c r="G8108" s="7"/>
    </row>
    <row r="8109">
      <c r="G8109" s="7"/>
    </row>
    <row r="8110">
      <c r="G8110" s="7"/>
    </row>
    <row r="8111">
      <c r="G8111" s="7"/>
    </row>
    <row r="8112">
      <c r="G8112" s="7"/>
    </row>
    <row r="8113">
      <c r="G8113" s="7"/>
    </row>
    <row r="8114">
      <c r="G8114" s="7"/>
    </row>
    <row r="8115">
      <c r="G8115" s="7"/>
    </row>
    <row r="8116">
      <c r="G8116" s="7"/>
    </row>
    <row r="8117">
      <c r="G8117" s="7"/>
    </row>
    <row r="8118">
      <c r="G8118" s="7"/>
    </row>
    <row r="8119">
      <c r="G8119" s="7"/>
    </row>
    <row r="8120">
      <c r="G8120" s="7"/>
    </row>
    <row r="8121">
      <c r="G8121" s="7"/>
    </row>
    <row r="8122">
      <c r="G8122" s="7"/>
    </row>
    <row r="8123">
      <c r="G8123" s="7"/>
    </row>
    <row r="8124">
      <c r="G8124" s="7"/>
    </row>
    <row r="8125">
      <c r="G8125" s="7"/>
    </row>
    <row r="8126">
      <c r="G8126" s="7"/>
    </row>
    <row r="8127">
      <c r="G8127" s="7"/>
    </row>
    <row r="8128">
      <c r="G8128" s="7"/>
    </row>
    <row r="8129">
      <c r="G8129" s="7"/>
    </row>
    <row r="8130">
      <c r="G8130" s="7"/>
    </row>
    <row r="8131">
      <c r="G8131" s="7"/>
    </row>
    <row r="8132">
      <c r="G8132" s="7"/>
    </row>
    <row r="8133">
      <c r="G8133" s="7"/>
    </row>
    <row r="8134">
      <c r="G8134" s="7"/>
    </row>
    <row r="8135">
      <c r="G8135" s="7"/>
    </row>
    <row r="8136">
      <c r="G8136" s="7"/>
    </row>
    <row r="8137">
      <c r="G8137" s="7"/>
    </row>
    <row r="8138">
      <c r="G8138" s="7"/>
    </row>
    <row r="8139">
      <c r="G8139" s="7"/>
    </row>
    <row r="8140">
      <c r="G8140" s="7"/>
    </row>
    <row r="8141">
      <c r="G8141" s="7"/>
    </row>
    <row r="8142">
      <c r="G8142" s="7"/>
    </row>
    <row r="8143">
      <c r="G8143" s="7"/>
    </row>
    <row r="8144">
      <c r="G8144" s="7"/>
    </row>
    <row r="8145">
      <c r="G8145" s="7"/>
    </row>
    <row r="8146">
      <c r="G8146" s="7"/>
    </row>
    <row r="8147">
      <c r="G8147" s="7"/>
    </row>
    <row r="8148">
      <c r="G8148" s="7"/>
    </row>
    <row r="8149">
      <c r="G8149" s="7"/>
    </row>
    <row r="8150">
      <c r="G8150" s="7"/>
    </row>
    <row r="8151">
      <c r="G8151" s="7"/>
    </row>
    <row r="8152">
      <c r="G8152" s="7"/>
    </row>
    <row r="8153">
      <c r="G8153" s="7"/>
    </row>
    <row r="8154">
      <c r="G8154" s="7"/>
    </row>
    <row r="8155">
      <c r="G8155" s="7"/>
    </row>
    <row r="8156">
      <c r="G8156" s="7"/>
    </row>
    <row r="8157">
      <c r="G8157" s="7"/>
    </row>
    <row r="8158">
      <c r="G8158" s="7"/>
    </row>
    <row r="8159">
      <c r="G8159" s="7"/>
    </row>
    <row r="8160">
      <c r="G8160" s="7"/>
    </row>
    <row r="8161">
      <c r="G8161" s="7"/>
    </row>
    <row r="8162">
      <c r="G8162" s="7"/>
    </row>
    <row r="8163">
      <c r="G8163" s="7"/>
    </row>
    <row r="8164">
      <c r="G8164" s="7"/>
    </row>
    <row r="8165">
      <c r="G8165" s="7"/>
    </row>
    <row r="8166">
      <c r="G8166" s="7"/>
    </row>
    <row r="8167">
      <c r="G8167" s="7"/>
    </row>
    <row r="8168">
      <c r="G8168" s="7"/>
    </row>
    <row r="8169">
      <c r="G8169" s="7"/>
    </row>
    <row r="8170">
      <c r="G8170" s="7"/>
    </row>
    <row r="8171">
      <c r="G8171" s="7"/>
    </row>
    <row r="8172">
      <c r="G8172" s="7"/>
    </row>
    <row r="8173">
      <c r="G8173" s="7"/>
    </row>
    <row r="8174">
      <c r="G8174" s="7"/>
    </row>
    <row r="8175">
      <c r="G8175" s="7"/>
    </row>
    <row r="8176">
      <c r="G8176" s="7"/>
    </row>
    <row r="8177">
      <c r="G8177" s="7"/>
    </row>
    <row r="8178">
      <c r="G8178" s="7"/>
    </row>
    <row r="8179">
      <c r="G8179" s="7"/>
    </row>
    <row r="8180">
      <c r="G8180" s="7"/>
    </row>
    <row r="8181">
      <c r="G8181" s="7"/>
    </row>
    <row r="8182">
      <c r="G8182" s="7"/>
    </row>
    <row r="8183">
      <c r="G8183" s="7"/>
    </row>
    <row r="8184">
      <c r="G8184" s="7"/>
    </row>
    <row r="8185">
      <c r="G8185" s="7"/>
    </row>
    <row r="8186">
      <c r="G8186" s="7"/>
    </row>
    <row r="8187">
      <c r="G8187" s="7"/>
    </row>
    <row r="8188">
      <c r="G8188" s="7"/>
    </row>
    <row r="8189">
      <c r="G8189" s="7"/>
    </row>
    <row r="8190">
      <c r="G8190" s="7"/>
    </row>
    <row r="8191">
      <c r="G8191" s="7"/>
    </row>
    <row r="8192">
      <c r="G8192" s="7"/>
    </row>
    <row r="8193">
      <c r="G8193" s="7"/>
    </row>
    <row r="8194">
      <c r="G8194" s="7"/>
    </row>
    <row r="8195">
      <c r="G8195" s="7"/>
    </row>
    <row r="8196">
      <c r="G8196" s="7"/>
    </row>
    <row r="8197">
      <c r="G8197" s="7"/>
    </row>
    <row r="8198">
      <c r="G8198" s="7"/>
    </row>
    <row r="8199">
      <c r="G8199" s="7"/>
    </row>
    <row r="8200">
      <c r="G8200" s="7"/>
    </row>
    <row r="8201">
      <c r="G8201" s="7"/>
    </row>
    <row r="8202">
      <c r="G8202" s="7"/>
    </row>
    <row r="8203">
      <c r="G8203" s="7"/>
    </row>
    <row r="8204">
      <c r="G8204" s="7"/>
    </row>
    <row r="8205">
      <c r="G8205" s="7"/>
    </row>
    <row r="8206">
      <c r="G8206" s="7"/>
    </row>
    <row r="8207">
      <c r="G8207" s="7"/>
    </row>
    <row r="8208">
      <c r="G8208" s="7"/>
    </row>
    <row r="8209">
      <c r="G8209" s="7"/>
    </row>
    <row r="8210">
      <c r="G8210" s="7"/>
    </row>
    <row r="8211">
      <c r="G8211" s="7"/>
    </row>
    <row r="8212">
      <c r="G8212" s="7"/>
    </row>
    <row r="8213">
      <c r="G8213" s="7"/>
    </row>
    <row r="8214">
      <c r="G8214" s="7"/>
    </row>
    <row r="8215">
      <c r="G8215" s="7"/>
    </row>
    <row r="8216">
      <c r="G8216" s="7"/>
    </row>
    <row r="8217">
      <c r="G8217" s="7"/>
    </row>
    <row r="8218">
      <c r="G8218" s="7"/>
    </row>
    <row r="8219">
      <c r="G8219" s="7"/>
    </row>
    <row r="8220">
      <c r="G8220" s="7"/>
    </row>
    <row r="8221">
      <c r="G8221" s="7"/>
    </row>
    <row r="8222">
      <c r="G8222" s="7"/>
    </row>
    <row r="8223">
      <c r="G8223" s="7"/>
    </row>
    <row r="8224">
      <c r="G8224" s="7"/>
    </row>
    <row r="8225">
      <c r="G8225" s="7"/>
    </row>
    <row r="8226">
      <c r="G8226" s="7"/>
    </row>
    <row r="8227">
      <c r="G8227" s="7"/>
    </row>
    <row r="8228">
      <c r="G8228" s="7"/>
    </row>
    <row r="8229">
      <c r="G8229" s="7"/>
    </row>
    <row r="8230">
      <c r="G8230" s="7"/>
    </row>
    <row r="8231">
      <c r="G8231" s="7"/>
    </row>
    <row r="8232">
      <c r="G8232" s="7"/>
    </row>
    <row r="8233">
      <c r="G8233" s="7"/>
    </row>
    <row r="8234">
      <c r="G8234" s="7"/>
    </row>
    <row r="8235">
      <c r="G8235" s="7"/>
    </row>
    <row r="8236">
      <c r="G8236" s="7"/>
    </row>
    <row r="8237">
      <c r="G8237" s="7"/>
    </row>
    <row r="8238">
      <c r="G8238" s="7"/>
    </row>
    <row r="8239">
      <c r="G8239" s="7"/>
    </row>
    <row r="8240">
      <c r="G8240" s="7"/>
    </row>
    <row r="8241">
      <c r="G8241" s="7"/>
    </row>
    <row r="8242">
      <c r="G8242" s="7"/>
    </row>
    <row r="8243">
      <c r="G8243" s="7"/>
    </row>
    <row r="8244">
      <c r="G8244" s="7"/>
    </row>
    <row r="8245">
      <c r="G8245" s="7"/>
    </row>
    <row r="8246">
      <c r="G8246" s="7"/>
    </row>
    <row r="8247">
      <c r="G8247" s="7"/>
    </row>
    <row r="8248">
      <c r="G8248" s="7"/>
    </row>
    <row r="8249">
      <c r="G8249" s="7"/>
    </row>
    <row r="8250">
      <c r="G8250" s="7"/>
    </row>
    <row r="8251">
      <c r="G8251" s="7"/>
    </row>
    <row r="8252">
      <c r="G8252" s="7"/>
    </row>
    <row r="8253">
      <c r="G8253" s="7"/>
    </row>
    <row r="8254">
      <c r="G8254" s="7"/>
    </row>
    <row r="8255">
      <c r="G8255" s="7"/>
    </row>
    <row r="8256">
      <c r="G8256" s="7"/>
    </row>
    <row r="8257">
      <c r="G8257" s="7"/>
    </row>
    <row r="8258">
      <c r="G8258" s="7"/>
    </row>
    <row r="8259">
      <c r="G8259" s="7"/>
    </row>
    <row r="8260">
      <c r="G8260" s="7"/>
    </row>
    <row r="8261">
      <c r="G8261" s="7"/>
    </row>
    <row r="8262">
      <c r="G8262" s="7"/>
    </row>
    <row r="8263">
      <c r="G8263" s="7"/>
    </row>
    <row r="8264">
      <c r="G8264" s="7"/>
    </row>
    <row r="8265">
      <c r="G8265" s="7"/>
    </row>
    <row r="8266">
      <c r="G8266" s="7"/>
    </row>
    <row r="8267">
      <c r="G8267" s="7"/>
    </row>
    <row r="8268">
      <c r="G8268" s="7"/>
    </row>
    <row r="8269">
      <c r="G8269" s="7"/>
    </row>
    <row r="8270">
      <c r="G8270" s="7"/>
    </row>
    <row r="8271">
      <c r="G8271" s="7"/>
    </row>
    <row r="8272">
      <c r="G8272" s="7"/>
    </row>
    <row r="8273">
      <c r="G8273" s="7"/>
    </row>
    <row r="8274">
      <c r="G8274" s="7"/>
    </row>
    <row r="8275">
      <c r="G8275" s="7"/>
    </row>
    <row r="8276">
      <c r="G8276" s="7"/>
    </row>
    <row r="8277">
      <c r="G8277" s="7"/>
    </row>
    <row r="8278">
      <c r="G8278" s="7"/>
    </row>
    <row r="8279">
      <c r="G8279" s="7"/>
    </row>
    <row r="8280">
      <c r="G8280" s="7"/>
    </row>
    <row r="8281">
      <c r="G8281" s="7"/>
    </row>
    <row r="8282">
      <c r="G8282" s="7"/>
    </row>
    <row r="8283">
      <c r="G8283" s="7"/>
    </row>
    <row r="8284">
      <c r="G8284" s="7"/>
    </row>
    <row r="8285">
      <c r="G8285" s="7"/>
    </row>
    <row r="8286">
      <c r="G8286" s="7"/>
    </row>
    <row r="8287">
      <c r="G8287" s="7"/>
    </row>
    <row r="8288">
      <c r="G8288" s="7"/>
    </row>
    <row r="8289">
      <c r="G8289" s="7"/>
    </row>
    <row r="8290">
      <c r="G8290" s="7"/>
    </row>
    <row r="8291">
      <c r="G8291" s="7"/>
    </row>
    <row r="8292">
      <c r="G8292" s="7"/>
    </row>
    <row r="8293">
      <c r="G8293" s="7"/>
    </row>
    <row r="8294">
      <c r="G8294" s="7"/>
    </row>
    <row r="8295">
      <c r="G8295" s="7"/>
    </row>
    <row r="8296">
      <c r="G8296" s="7"/>
    </row>
    <row r="8297">
      <c r="G8297" s="7"/>
    </row>
    <row r="8298">
      <c r="G8298" s="7"/>
    </row>
    <row r="8299">
      <c r="G8299" s="7"/>
    </row>
    <row r="8300">
      <c r="G8300" s="7"/>
    </row>
    <row r="8301">
      <c r="G8301" s="7"/>
    </row>
    <row r="8302">
      <c r="G8302" s="7"/>
    </row>
    <row r="8303">
      <c r="G8303" s="7"/>
    </row>
    <row r="8304">
      <c r="G8304" s="7"/>
    </row>
    <row r="8305">
      <c r="G8305" s="7"/>
    </row>
    <row r="8306">
      <c r="G8306" s="7"/>
    </row>
    <row r="8307">
      <c r="G8307" s="7"/>
    </row>
    <row r="8308">
      <c r="G8308" s="7"/>
    </row>
    <row r="8309">
      <c r="G8309" s="7"/>
    </row>
    <row r="8310">
      <c r="G8310" s="7"/>
    </row>
    <row r="8311">
      <c r="G8311" s="7"/>
    </row>
    <row r="8312">
      <c r="G8312" s="7"/>
    </row>
    <row r="8313">
      <c r="G8313" s="7"/>
    </row>
    <row r="8314">
      <c r="G8314" s="7"/>
    </row>
    <row r="8315">
      <c r="G8315" s="7"/>
    </row>
    <row r="8316">
      <c r="G8316" s="7"/>
    </row>
    <row r="8317">
      <c r="G8317" s="7"/>
    </row>
    <row r="8318">
      <c r="G8318" s="7"/>
    </row>
    <row r="8319">
      <c r="G8319" s="7"/>
    </row>
    <row r="8320">
      <c r="G8320" s="7"/>
    </row>
    <row r="8321">
      <c r="G8321" s="7"/>
    </row>
    <row r="8322">
      <c r="G8322" s="7"/>
    </row>
    <row r="8323">
      <c r="G8323" s="7"/>
    </row>
    <row r="8324">
      <c r="G8324" s="7"/>
    </row>
    <row r="8325">
      <c r="G8325" s="7"/>
    </row>
    <row r="8326">
      <c r="G8326" s="7"/>
    </row>
    <row r="8327">
      <c r="G8327" s="7"/>
    </row>
    <row r="8328">
      <c r="G8328" s="7"/>
    </row>
    <row r="8329">
      <c r="G8329" s="7"/>
    </row>
    <row r="8330">
      <c r="G8330" s="7"/>
    </row>
    <row r="8331">
      <c r="G8331" s="7"/>
    </row>
    <row r="8332">
      <c r="G8332" s="7"/>
    </row>
    <row r="8333">
      <c r="G8333" s="7"/>
    </row>
    <row r="8334">
      <c r="G8334" s="7"/>
    </row>
    <row r="8335">
      <c r="G8335" s="7"/>
    </row>
    <row r="8336">
      <c r="G8336" s="7"/>
    </row>
    <row r="8337">
      <c r="G8337" s="7"/>
    </row>
    <row r="8338">
      <c r="G8338" s="7"/>
    </row>
    <row r="8339">
      <c r="G8339" s="7"/>
    </row>
    <row r="8340">
      <c r="G8340" s="7"/>
    </row>
    <row r="8341">
      <c r="G8341" s="7"/>
    </row>
    <row r="8342">
      <c r="G8342" s="7"/>
    </row>
    <row r="8343">
      <c r="G8343" s="7"/>
    </row>
    <row r="8344">
      <c r="G8344" s="7"/>
    </row>
    <row r="8345">
      <c r="G8345" s="7"/>
    </row>
    <row r="8346">
      <c r="G8346" s="7"/>
    </row>
    <row r="8347">
      <c r="G8347" s="7"/>
    </row>
    <row r="8348">
      <c r="G8348" s="7"/>
    </row>
    <row r="8349">
      <c r="G8349" s="7"/>
    </row>
    <row r="8350">
      <c r="G8350" s="7"/>
    </row>
    <row r="8351">
      <c r="G8351" s="7"/>
    </row>
    <row r="8352">
      <c r="G8352" s="7"/>
    </row>
    <row r="8353">
      <c r="G8353" s="7"/>
    </row>
    <row r="8354">
      <c r="G8354" s="7"/>
    </row>
    <row r="8355">
      <c r="G8355" s="7"/>
    </row>
    <row r="8356">
      <c r="G8356" s="7"/>
    </row>
    <row r="8357">
      <c r="G8357" s="7"/>
    </row>
    <row r="8358">
      <c r="G8358" s="7"/>
    </row>
    <row r="8359">
      <c r="G8359" s="7"/>
    </row>
    <row r="8360">
      <c r="G8360" s="7"/>
    </row>
    <row r="8361">
      <c r="G8361" s="7"/>
    </row>
    <row r="8362">
      <c r="G8362" s="7"/>
    </row>
    <row r="8363">
      <c r="G8363" s="7"/>
    </row>
    <row r="8364">
      <c r="G8364" s="7"/>
    </row>
    <row r="8365">
      <c r="G8365" s="7"/>
    </row>
    <row r="8366">
      <c r="G8366" s="7"/>
    </row>
    <row r="8367">
      <c r="G8367" s="7"/>
    </row>
    <row r="8368">
      <c r="G8368" s="7"/>
    </row>
    <row r="8369">
      <c r="G8369" s="7"/>
    </row>
    <row r="8370">
      <c r="G8370" s="7"/>
    </row>
    <row r="8371">
      <c r="G8371" s="7"/>
    </row>
    <row r="8372">
      <c r="G8372" s="7"/>
    </row>
    <row r="8373">
      <c r="G8373" s="7"/>
    </row>
    <row r="8374">
      <c r="G8374" s="7"/>
    </row>
    <row r="8375">
      <c r="G8375" s="7"/>
    </row>
    <row r="8376">
      <c r="G8376" s="7"/>
    </row>
    <row r="8377">
      <c r="G8377" s="7"/>
    </row>
    <row r="8378">
      <c r="G8378" s="7"/>
    </row>
    <row r="8379">
      <c r="G8379" s="7"/>
    </row>
    <row r="8380">
      <c r="G8380" s="7"/>
    </row>
    <row r="8381">
      <c r="G8381" s="7"/>
    </row>
    <row r="8382">
      <c r="G8382" s="7"/>
    </row>
    <row r="8383">
      <c r="G8383" s="7"/>
    </row>
    <row r="8384">
      <c r="G8384" s="7"/>
    </row>
    <row r="8385">
      <c r="G8385" s="7"/>
    </row>
    <row r="8386">
      <c r="G8386" s="7"/>
    </row>
    <row r="8387">
      <c r="G8387" s="7"/>
    </row>
    <row r="8388">
      <c r="G8388" s="7"/>
    </row>
    <row r="8389">
      <c r="G8389" s="7"/>
    </row>
    <row r="8390">
      <c r="G8390" s="7"/>
    </row>
    <row r="8391">
      <c r="G8391" s="7"/>
    </row>
    <row r="8392">
      <c r="G8392" s="7"/>
    </row>
    <row r="8393">
      <c r="G8393" s="7"/>
    </row>
    <row r="8394">
      <c r="G8394" s="7"/>
    </row>
    <row r="8395">
      <c r="G8395" s="7"/>
    </row>
    <row r="8396">
      <c r="G8396" s="7"/>
    </row>
    <row r="8397">
      <c r="G8397" s="7"/>
    </row>
    <row r="8398">
      <c r="G8398" s="7"/>
    </row>
    <row r="8399">
      <c r="G8399" s="7"/>
    </row>
    <row r="8400">
      <c r="G8400" s="7"/>
    </row>
    <row r="8401">
      <c r="G8401" s="7"/>
    </row>
    <row r="8402">
      <c r="G8402" s="7"/>
    </row>
    <row r="8403">
      <c r="G8403" s="7"/>
    </row>
    <row r="8404">
      <c r="G8404" s="7"/>
    </row>
    <row r="8405">
      <c r="G8405" s="7"/>
    </row>
    <row r="8406">
      <c r="G8406" s="7"/>
    </row>
    <row r="8407">
      <c r="G8407" s="7"/>
    </row>
    <row r="8408">
      <c r="G8408" s="7"/>
    </row>
    <row r="8409">
      <c r="G8409" s="7"/>
    </row>
    <row r="8410">
      <c r="G8410" s="7"/>
    </row>
    <row r="8411">
      <c r="G8411" s="7"/>
    </row>
    <row r="8412">
      <c r="G8412" s="7"/>
    </row>
    <row r="8413">
      <c r="G8413" s="7"/>
    </row>
    <row r="8414">
      <c r="G8414" s="7"/>
    </row>
    <row r="8415">
      <c r="G8415" s="7"/>
    </row>
    <row r="8416">
      <c r="G8416" s="7"/>
    </row>
    <row r="8417">
      <c r="G8417" s="7"/>
    </row>
    <row r="8418">
      <c r="G8418" s="7"/>
    </row>
    <row r="8419">
      <c r="G8419" s="7"/>
    </row>
    <row r="8420">
      <c r="G8420" s="7"/>
    </row>
    <row r="8421">
      <c r="G8421" s="7"/>
    </row>
    <row r="8422">
      <c r="G8422" s="7"/>
    </row>
    <row r="8423">
      <c r="G8423" s="7"/>
    </row>
    <row r="8424">
      <c r="G8424" s="7"/>
    </row>
    <row r="8425">
      <c r="G8425" s="7"/>
    </row>
    <row r="8426">
      <c r="G8426" s="7"/>
    </row>
    <row r="8427">
      <c r="G8427" s="7"/>
    </row>
    <row r="8428">
      <c r="G8428" s="7"/>
    </row>
    <row r="8429">
      <c r="G8429" s="7"/>
    </row>
    <row r="8430">
      <c r="G8430" s="7"/>
    </row>
    <row r="8431">
      <c r="G8431" s="7"/>
    </row>
    <row r="8432">
      <c r="G8432" s="7"/>
    </row>
    <row r="8433">
      <c r="G8433" s="7"/>
    </row>
    <row r="8434">
      <c r="G8434" s="7"/>
    </row>
    <row r="8435">
      <c r="G8435" s="7"/>
    </row>
    <row r="8436">
      <c r="G8436" s="7"/>
    </row>
    <row r="8437">
      <c r="G8437" s="7"/>
    </row>
    <row r="8438">
      <c r="G8438" s="7"/>
    </row>
    <row r="8439">
      <c r="G8439" s="7"/>
    </row>
    <row r="8440">
      <c r="G8440" s="7"/>
    </row>
    <row r="8441">
      <c r="G8441" s="7"/>
    </row>
    <row r="8442">
      <c r="G8442" s="7"/>
    </row>
    <row r="8443">
      <c r="G8443" s="7"/>
    </row>
    <row r="8444">
      <c r="G8444" s="7"/>
    </row>
    <row r="8445">
      <c r="G8445" s="7"/>
    </row>
    <row r="8446">
      <c r="G8446" s="7"/>
    </row>
    <row r="8447">
      <c r="G8447" s="7"/>
    </row>
    <row r="8448">
      <c r="G8448" s="7"/>
    </row>
    <row r="8449">
      <c r="G8449" s="7"/>
    </row>
    <row r="8450">
      <c r="G8450" s="7"/>
    </row>
    <row r="8451">
      <c r="G8451" s="7"/>
    </row>
    <row r="8452">
      <c r="G8452" s="7"/>
    </row>
    <row r="8453">
      <c r="G8453" s="7"/>
    </row>
    <row r="8454">
      <c r="G8454" s="7"/>
    </row>
    <row r="8455">
      <c r="G8455" s="7"/>
    </row>
    <row r="8456">
      <c r="G8456" s="7"/>
    </row>
    <row r="8457">
      <c r="G8457" s="7"/>
    </row>
    <row r="8458">
      <c r="G8458" s="7"/>
    </row>
    <row r="8459">
      <c r="G8459" s="7"/>
    </row>
    <row r="8460">
      <c r="G8460" s="7"/>
    </row>
    <row r="8461">
      <c r="G8461" s="7"/>
    </row>
    <row r="8462">
      <c r="G8462" s="7"/>
    </row>
    <row r="8463">
      <c r="G8463" s="7"/>
    </row>
    <row r="8464">
      <c r="G8464" s="7"/>
    </row>
    <row r="8465">
      <c r="G8465" s="7"/>
    </row>
    <row r="8466">
      <c r="G8466" s="7"/>
    </row>
    <row r="8467">
      <c r="G8467" s="7"/>
    </row>
    <row r="8468">
      <c r="G8468" s="7"/>
    </row>
    <row r="8469">
      <c r="G8469" s="7"/>
    </row>
    <row r="8470">
      <c r="G8470" s="7"/>
    </row>
    <row r="8471">
      <c r="G8471" s="7"/>
    </row>
    <row r="8472">
      <c r="G8472" s="7"/>
    </row>
    <row r="8473">
      <c r="G8473" s="7"/>
    </row>
    <row r="8474">
      <c r="G8474" s="7"/>
    </row>
    <row r="8475">
      <c r="G8475" s="7"/>
    </row>
    <row r="8476">
      <c r="G8476" s="7"/>
    </row>
    <row r="8477">
      <c r="G8477" s="7"/>
    </row>
    <row r="8478">
      <c r="G8478" s="7"/>
    </row>
    <row r="8479">
      <c r="G8479" s="7"/>
    </row>
    <row r="8480">
      <c r="G8480" s="7"/>
    </row>
    <row r="8481">
      <c r="G8481" s="7"/>
    </row>
    <row r="8482">
      <c r="G8482" s="7"/>
    </row>
    <row r="8483">
      <c r="G8483" s="7"/>
    </row>
    <row r="8484">
      <c r="G8484" s="7"/>
    </row>
    <row r="8485">
      <c r="G8485" s="7"/>
    </row>
    <row r="8486">
      <c r="G8486" s="7"/>
    </row>
    <row r="8487">
      <c r="G8487" s="7"/>
    </row>
    <row r="8488">
      <c r="G8488" s="7"/>
    </row>
    <row r="8489">
      <c r="G8489" s="7"/>
    </row>
    <row r="8490">
      <c r="G8490" s="7"/>
    </row>
    <row r="8491">
      <c r="G8491" s="7"/>
    </row>
    <row r="8492">
      <c r="G8492" s="7"/>
    </row>
    <row r="8493">
      <c r="G8493" s="7"/>
    </row>
    <row r="8494">
      <c r="G8494" s="7"/>
    </row>
    <row r="8495">
      <c r="G8495" s="7"/>
    </row>
    <row r="8496">
      <c r="G8496" s="7"/>
    </row>
    <row r="8497">
      <c r="G8497" s="7"/>
    </row>
    <row r="8498">
      <c r="G8498" s="7"/>
    </row>
    <row r="8499">
      <c r="G8499" s="7"/>
    </row>
    <row r="8500">
      <c r="G8500" s="7"/>
    </row>
    <row r="8501">
      <c r="G8501" s="7"/>
    </row>
    <row r="8502">
      <c r="G8502" s="7"/>
    </row>
    <row r="8503">
      <c r="G8503" s="7"/>
    </row>
    <row r="8504">
      <c r="G8504" s="7"/>
    </row>
    <row r="8505">
      <c r="G8505" s="7"/>
    </row>
    <row r="8506">
      <c r="G8506" s="7"/>
    </row>
    <row r="8507">
      <c r="G8507" s="7"/>
    </row>
    <row r="8508">
      <c r="G8508" s="7"/>
    </row>
    <row r="8509">
      <c r="G8509" s="7"/>
    </row>
    <row r="8510">
      <c r="G8510" s="7"/>
    </row>
    <row r="8511">
      <c r="G8511" s="7"/>
    </row>
    <row r="8512">
      <c r="G8512" s="7"/>
    </row>
    <row r="8513">
      <c r="G8513" s="7"/>
    </row>
    <row r="8514">
      <c r="G8514" s="7"/>
    </row>
    <row r="8515">
      <c r="G8515" s="7"/>
    </row>
    <row r="8516">
      <c r="G8516" s="7"/>
    </row>
    <row r="8517">
      <c r="G8517" s="7"/>
    </row>
    <row r="8518">
      <c r="G8518" s="7"/>
    </row>
    <row r="8519">
      <c r="G8519" s="7"/>
    </row>
    <row r="8520">
      <c r="G8520" s="7"/>
    </row>
    <row r="8521">
      <c r="G8521" s="7"/>
    </row>
    <row r="8522">
      <c r="G8522" s="7"/>
    </row>
    <row r="8523">
      <c r="G8523" s="7"/>
    </row>
    <row r="8524">
      <c r="G8524" s="7"/>
    </row>
    <row r="8525">
      <c r="G8525" s="7"/>
    </row>
    <row r="8526">
      <c r="G8526" s="7"/>
    </row>
    <row r="8527">
      <c r="G8527" s="7"/>
    </row>
    <row r="8528">
      <c r="G8528" s="7"/>
    </row>
    <row r="8529">
      <c r="G8529" s="7"/>
    </row>
    <row r="8530">
      <c r="G8530" s="7"/>
    </row>
    <row r="8531">
      <c r="G8531" s="7"/>
    </row>
    <row r="8532">
      <c r="G8532" s="7"/>
    </row>
    <row r="8533">
      <c r="G8533" s="7"/>
    </row>
    <row r="8534">
      <c r="G8534" s="7"/>
    </row>
    <row r="8535">
      <c r="G8535" s="7"/>
    </row>
    <row r="8536">
      <c r="G8536" s="7"/>
    </row>
    <row r="8537">
      <c r="G8537" s="7"/>
    </row>
    <row r="8538">
      <c r="G8538" s="7"/>
    </row>
    <row r="8539">
      <c r="G8539" s="7"/>
    </row>
    <row r="8540">
      <c r="G8540" s="7"/>
    </row>
    <row r="8541">
      <c r="G8541" s="7"/>
    </row>
    <row r="8542">
      <c r="G8542" s="7"/>
    </row>
    <row r="8543">
      <c r="G8543" s="7"/>
    </row>
    <row r="8544">
      <c r="G8544" s="7"/>
    </row>
    <row r="8545">
      <c r="G8545" s="7"/>
    </row>
    <row r="8546">
      <c r="G8546" s="7"/>
    </row>
    <row r="8547">
      <c r="G8547" s="7"/>
    </row>
    <row r="8548">
      <c r="G8548" s="7"/>
    </row>
    <row r="8549">
      <c r="G8549" s="7"/>
    </row>
    <row r="8550">
      <c r="G8550" s="7"/>
    </row>
    <row r="8551">
      <c r="G8551" s="7"/>
    </row>
    <row r="8552">
      <c r="G8552" s="7"/>
    </row>
    <row r="8553">
      <c r="G8553" s="7"/>
    </row>
    <row r="8554">
      <c r="G8554" s="7"/>
    </row>
    <row r="8555">
      <c r="G8555" s="7"/>
    </row>
    <row r="8556">
      <c r="G8556" s="7"/>
    </row>
    <row r="8557">
      <c r="G8557" s="7"/>
    </row>
    <row r="8558">
      <c r="G8558" s="7"/>
    </row>
    <row r="8559">
      <c r="G8559" s="7"/>
    </row>
    <row r="8560">
      <c r="G8560" s="7"/>
    </row>
    <row r="8561">
      <c r="G8561" s="7"/>
    </row>
    <row r="8562">
      <c r="G8562" s="7"/>
    </row>
    <row r="8563">
      <c r="G8563" s="7"/>
    </row>
    <row r="8564">
      <c r="G8564" s="7"/>
    </row>
    <row r="8565">
      <c r="G8565" s="7"/>
    </row>
    <row r="8566">
      <c r="G8566" s="7"/>
    </row>
    <row r="8567">
      <c r="G8567" s="7"/>
    </row>
    <row r="8568">
      <c r="G8568" s="7"/>
    </row>
    <row r="8569">
      <c r="G8569" s="7"/>
    </row>
    <row r="8570">
      <c r="G8570" s="7"/>
    </row>
    <row r="8571">
      <c r="G8571" s="7"/>
    </row>
    <row r="8572">
      <c r="G8572" s="7"/>
    </row>
    <row r="8573">
      <c r="G8573" s="7"/>
    </row>
    <row r="8574">
      <c r="G8574" s="7"/>
    </row>
    <row r="8575">
      <c r="G8575" s="7"/>
    </row>
    <row r="8576">
      <c r="G8576" s="7"/>
    </row>
    <row r="8577">
      <c r="G8577" s="7"/>
    </row>
    <row r="8578">
      <c r="G8578" s="7"/>
    </row>
    <row r="8579">
      <c r="G8579" s="7"/>
    </row>
    <row r="8580">
      <c r="G8580" s="7"/>
    </row>
    <row r="8581">
      <c r="G8581" s="7"/>
    </row>
    <row r="8582">
      <c r="G8582" s="7"/>
    </row>
    <row r="8583">
      <c r="G8583" s="7"/>
    </row>
    <row r="8584">
      <c r="G8584" s="7"/>
    </row>
    <row r="8585">
      <c r="G8585" s="7"/>
    </row>
    <row r="8586">
      <c r="G8586" s="7"/>
    </row>
    <row r="8587">
      <c r="G8587" s="7"/>
    </row>
    <row r="8588">
      <c r="G8588" s="7"/>
    </row>
    <row r="8589">
      <c r="G8589" s="7"/>
    </row>
    <row r="8590">
      <c r="G8590" s="7"/>
    </row>
    <row r="8591">
      <c r="G8591" s="7"/>
    </row>
    <row r="8592">
      <c r="G8592" s="7"/>
    </row>
    <row r="8593">
      <c r="G8593" s="7"/>
    </row>
    <row r="8594">
      <c r="G8594" s="7"/>
    </row>
    <row r="8595">
      <c r="G8595" s="7"/>
    </row>
    <row r="8596">
      <c r="G8596" s="7"/>
    </row>
    <row r="8597">
      <c r="G8597" s="7"/>
    </row>
    <row r="8598">
      <c r="G8598" s="7"/>
    </row>
    <row r="8599">
      <c r="G8599" s="7"/>
    </row>
    <row r="8600">
      <c r="G8600" s="7"/>
    </row>
    <row r="8601">
      <c r="G8601" s="7"/>
    </row>
    <row r="8602">
      <c r="G8602" s="7"/>
    </row>
    <row r="8603">
      <c r="G8603" s="7"/>
    </row>
    <row r="8604">
      <c r="G8604" s="7"/>
    </row>
    <row r="8605">
      <c r="G8605" s="7"/>
    </row>
    <row r="8606">
      <c r="G8606" s="7"/>
    </row>
    <row r="8607">
      <c r="G8607" s="7"/>
    </row>
    <row r="8608">
      <c r="G8608" s="7"/>
    </row>
    <row r="8609">
      <c r="G8609" s="7"/>
    </row>
    <row r="8610">
      <c r="G8610" s="7"/>
    </row>
    <row r="8611">
      <c r="G8611" s="7"/>
    </row>
    <row r="8612">
      <c r="G8612" s="7"/>
    </row>
    <row r="8613">
      <c r="G8613" s="7"/>
    </row>
    <row r="8614">
      <c r="G8614" s="7"/>
    </row>
    <row r="8615">
      <c r="G8615" s="7"/>
    </row>
    <row r="8616">
      <c r="G8616" s="7"/>
    </row>
    <row r="8617">
      <c r="G8617" s="7"/>
    </row>
    <row r="8618">
      <c r="G8618" s="7"/>
    </row>
    <row r="8619">
      <c r="G8619" s="7"/>
    </row>
    <row r="8620">
      <c r="G8620" s="7"/>
    </row>
    <row r="8621">
      <c r="G8621" s="7"/>
    </row>
    <row r="8622">
      <c r="G8622" s="7"/>
    </row>
    <row r="8623">
      <c r="G8623" s="7"/>
    </row>
    <row r="8624">
      <c r="G8624" s="7"/>
    </row>
    <row r="8625">
      <c r="G8625" s="7"/>
    </row>
    <row r="8626">
      <c r="G8626" s="7"/>
    </row>
    <row r="8627">
      <c r="G8627" s="7"/>
    </row>
    <row r="8628">
      <c r="G8628" s="7"/>
    </row>
    <row r="8629">
      <c r="G8629" s="7"/>
    </row>
    <row r="8630">
      <c r="G8630" s="7"/>
    </row>
    <row r="8631">
      <c r="G8631" s="7"/>
    </row>
    <row r="8632">
      <c r="G8632" s="7"/>
    </row>
    <row r="8633">
      <c r="G8633" s="7"/>
    </row>
    <row r="8634">
      <c r="G8634" s="7"/>
    </row>
    <row r="8635">
      <c r="G8635" s="7"/>
    </row>
    <row r="8636">
      <c r="G8636" s="7"/>
    </row>
    <row r="8637">
      <c r="G8637" s="7"/>
    </row>
    <row r="8638">
      <c r="G8638" s="7"/>
    </row>
    <row r="8639">
      <c r="G8639" s="7"/>
    </row>
    <row r="8640">
      <c r="G8640" s="7"/>
    </row>
    <row r="8641">
      <c r="G8641" s="7"/>
    </row>
    <row r="8642">
      <c r="G8642" s="7"/>
    </row>
    <row r="8643">
      <c r="G8643" s="7"/>
    </row>
    <row r="8644">
      <c r="G8644" s="7"/>
    </row>
    <row r="8645">
      <c r="G8645" s="7"/>
    </row>
    <row r="8646">
      <c r="G8646" s="7"/>
    </row>
    <row r="8647">
      <c r="G8647" s="7"/>
    </row>
    <row r="8648">
      <c r="G8648" s="7"/>
    </row>
    <row r="8649">
      <c r="G8649" s="7"/>
    </row>
    <row r="8650">
      <c r="G8650" s="7"/>
    </row>
    <row r="8651">
      <c r="G8651" s="7"/>
    </row>
    <row r="8652">
      <c r="G8652" s="7"/>
    </row>
    <row r="8653">
      <c r="G8653" s="7"/>
    </row>
    <row r="8654">
      <c r="G8654" s="7"/>
    </row>
    <row r="8655">
      <c r="G8655" s="7"/>
    </row>
    <row r="8656">
      <c r="G8656" s="7"/>
    </row>
    <row r="8657">
      <c r="G8657" s="7"/>
    </row>
    <row r="8658">
      <c r="G8658" s="7"/>
    </row>
    <row r="8659">
      <c r="G8659" s="7"/>
    </row>
    <row r="8660">
      <c r="G8660" s="7"/>
    </row>
    <row r="8661">
      <c r="G8661" s="7"/>
    </row>
    <row r="8662">
      <c r="G8662" s="7"/>
    </row>
    <row r="8663">
      <c r="G8663" s="7"/>
    </row>
    <row r="8664">
      <c r="G8664" s="7"/>
    </row>
    <row r="8665">
      <c r="G8665" s="7"/>
    </row>
    <row r="8666">
      <c r="G8666" s="7"/>
    </row>
    <row r="8667">
      <c r="G8667" s="7"/>
    </row>
    <row r="8668">
      <c r="G8668" s="7"/>
    </row>
    <row r="8669">
      <c r="G8669" s="7"/>
    </row>
    <row r="8670">
      <c r="G8670" s="7"/>
    </row>
    <row r="8671">
      <c r="G8671" s="7"/>
    </row>
    <row r="8672">
      <c r="G8672" s="7"/>
    </row>
    <row r="8673">
      <c r="G8673" s="7"/>
    </row>
    <row r="8674">
      <c r="G8674" s="7"/>
    </row>
    <row r="8675">
      <c r="G8675" s="7"/>
    </row>
    <row r="8676">
      <c r="G8676" s="7"/>
    </row>
    <row r="8677">
      <c r="G8677" s="7"/>
    </row>
    <row r="8678">
      <c r="G8678" s="7"/>
    </row>
    <row r="8679">
      <c r="G8679" s="7"/>
    </row>
    <row r="8680">
      <c r="G8680" s="7"/>
    </row>
    <row r="8681">
      <c r="G8681" s="7"/>
    </row>
    <row r="8682">
      <c r="G8682" s="7"/>
    </row>
    <row r="8683">
      <c r="G8683" s="7"/>
    </row>
    <row r="8684">
      <c r="G8684" s="7"/>
    </row>
    <row r="8685">
      <c r="G8685" s="7"/>
    </row>
    <row r="8686">
      <c r="G8686" s="7"/>
    </row>
    <row r="8687">
      <c r="G8687" s="7"/>
    </row>
    <row r="8688">
      <c r="G8688" s="7"/>
    </row>
    <row r="8689">
      <c r="G8689" s="7"/>
    </row>
    <row r="8690">
      <c r="G8690" s="7"/>
    </row>
    <row r="8691">
      <c r="G8691" s="7"/>
    </row>
    <row r="8692">
      <c r="G8692" s="7"/>
    </row>
    <row r="8693">
      <c r="G8693" s="7"/>
    </row>
    <row r="8694">
      <c r="G8694" s="7"/>
    </row>
    <row r="8695">
      <c r="G8695" s="7"/>
    </row>
    <row r="8696">
      <c r="G8696" s="7"/>
    </row>
    <row r="8697">
      <c r="G8697" s="7"/>
    </row>
    <row r="8698">
      <c r="G8698" s="7"/>
    </row>
    <row r="8699">
      <c r="G8699" s="7"/>
    </row>
    <row r="8700">
      <c r="G8700" s="7"/>
    </row>
    <row r="8701">
      <c r="G8701" s="7"/>
    </row>
    <row r="8702">
      <c r="G8702" s="7"/>
    </row>
    <row r="8703">
      <c r="G8703" s="7"/>
    </row>
    <row r="8704">
      <c r="G8704" s="7"/>
    </row>
    <row r="8705">
      <c r="G8705" s="7"/>
    </row>
    <row r="8706">
      <c r="G8706" s="7"/>
    </row>
    <row r="8707">
      <c r="G8707" s="7"/>
    </row>
    <row r="8708">
      <c r="G8708" s="7"/>
    </row>
    <row r="8709">
      <c r="G8709" s="7"/>
    </row>
    <row r="8710">
      <c r="G8710" s="7"/>
    </row>
    <row r="8711">
      <c r="G8711" s="7"/>
    </row>
    <row r="8712">
      <c r="G8712" s="7"/>
    </row>
    <row r="8713">
      <c r="G8713" s="7"/>
    </row>
    <row r="8714">
      <c r="G8714" s="7"/>
    </row>
    <row r="8715">
      <c r="G8715" s="7"/>
    </row>
    <row r="8716">
      <c r="G8716" s="7"/>
    </row>
    <row r="8717">
      <c r="G8717" s="7"/>
    </row>
    <row r="8718">
      <c r="G8718" s="7"/>
    </row>
    <row r="8719">
      <c r="G8719" s="7"/>
    </row>
    <row r="8720">
      <c r="G8720" s="7"/>
    </row>
    <row r="8721">
      <c r="G8721" s="7"/>
    </row>
    <row r="8722">
      <c r="G8722" s="7"/>
    </row>
    <row r="8723">
      <c r="G8723" s="7"/>
    </row>
    <row r="8724">
      <c r="G8724" s="7"/>
    </row>
    <row r="8725">
      <c r="G8725" s="7"/>
    </row>
    <row r="8726">
      <c r="G8726" s="7"/>
    </row>
    <row r="8727">
      <c r="G8727" s="7"/>
    </row>
    <row r="8728">
      <c r="G8728" s="7"/>
    </row>
    <row r="8729">
      <c r="G8729" s="7"/>
    </row>
    <row r="8730">
      <c r="G8730" s="7"/>
    </row>
    <row r="8731">
      <c r="G8731" s="7"/>
    </row>
    <row r="8732">
      <c r="G8732" s="7"/>
    </row>
    <row r="8733">
      <c r="G8733" s="7"/>
    </row>
    <row r="8734">
      <c r="G8734" s="7"/>
    </row>
    <row r="8735">
      <c r="G8735" s="7"/>
    </row>
    <row r="8736">
      <c r="G8736" s="7"/>
    </row>
    <row r="8737">
      <c r="G8737" s="7"/>
    </row>
    <row r="8738">
      <c r="G8738" s="7"/>
    </row>
    <row r="8739">
      <c r="G8739" s="7"/>
    </row>
    <row r="8740">
      <c r="G8740" s="7"/>
    </row>
    <row r="8741">
      <c r="G8741" s="7"/>
    </row>
    <row r="8742">
      <c r="G8742" s="7"/>
    </row>
    <row r="8743">
      <c r="G8743" s="7"/>
    </row>
    <row r="8744">
      <c r="G8744" s="7"/>
    </row>
    <row r="8745">
      <c r="G8745" s="7"/>
    </row>
    <row r="8746">
      <c r="G8746" s="7"/>
    </row>
    <row r="8747">
      <c r="G8747" s="7"/>
    </row>
    <row r="8748">
      <c r="G8748" s="7"/>
    </row>
    <row r="8749">
      <c r="G8749" s="7"/>
    </row>
    <row r="8750">
      <c r="G8750" s="7"/>
    </row>
    <row r="8751">
      <c r="G8751" s="7"/>
    </row>
    <row r="8752">
      <c r="G8752" s="7"/>
    </row>
    <row r="8753">
      <c r="G8753" s="7"/>
    </row>
    <row r="8754">
      <c r="G8754" s="7"/>
    </row>
    <row r="8755">
      <c r="G8755" s="7"/>
    </row>
    <row r="8756">
      <c r="G8756" s="7"/>
    </row>
    <row r="8757">
      <c r="G8757" s="7"/>
    </row>
    <row r="8758">
      <c r="G8758" s="7"/>
    </row>
    <row r="8759">
      <c r="G8759" s="7"/>
    </row>
    <row r="8760">
      <c r="G8760" s="7"/>
    </row>
    <row r="8761">
      <c r="G8761" s="7"/>
    </row>
    <row r="8762">
      <c r="G8762" s="7"/>
    </row>
    <row r="8763">
      <c r="G8763" s="7"/>
    </row>
    <row r="8764">
      <c r="G8764" s="7"/>
    </row>
    <row r="8765">
      <c r="G8765" s="7"/>
    </row>
    <row r="8766">
      <c r="G8766" s="7"/>
    </row>
    <row r="8767">
      <c r="G8767" s="7"/>
    </row>
    <row r="8768">
      <c r="G8768" s="7"/>
    </row>
    <row r="8769">
      <c r="G8769" s="7"/>
    </row>
    <row r="8770">
      <c r="G8770" s="7"/>
    </row>
    <row r="8771">
      <c r="G8771" s="7"/>
    </row>
    <row r="8772">
      <c r="G8772" s="7"/>
    </row>
    <row r="8773">
      <c r="G8773" s="7"/>
    </row>
    <row r="8774">
      <c r="G8774" s="7"/>
    </row>
    <row r="8775">
      <c r="G8775" s="7"/>
    </row>
    <row r="8776">
      <c r="G8776" s="7"/>
    </row>
    <row r="8777">
      <c r="G8777" s="7"/>
    </row>
    <row r="8778">
      <c r="G8778" s="7"/>
    </row>
    <row r="8779">
      <c r="G8779" s="7"/>
    </row>
    <row r="8780">
      <c r="G8780" s="7"/>
    </row>
    <row r="8781">
      <c r="G8781" s="7"/>
    </row>
    <row r="8782">
      <c r="G8782" s="7"/>
    </row>
    <row r="8783">
      <c r="G8783" s="7"/>
    </row>
    <row r="8784">
      <c r="G8784" s="7"/>
    </row>
    <row r="8785">
      <c r="G8785" s="7"/>
    </row>
    <row r="8786">
      <c r="G8786" s="7"/>
    </row>
    <row r="8787">
      <c r="G8787" s="7"/>
    </row>
    <row r="8788">
      <c r="G8788" s="7"/>
    </row>
    <row r="8789">
      <c r="G8789" s="7"/>
    </row>
    <row r="8790">
      <c r="G8790" s="7"/>
    </row>
    <row r="8791">
      <c r="G8791" s="7"/>
    </row>
    <row r="8792">
      <c r="G8792" s="7"/>
    </row>
    <row r="8793">
      <c r="G8793" s="7"/>
    </row>
    <row r="8794">
      <c r="G8794" s="7"/>
    </row>
    <row r="8795">
      <c r="G8795" s="7"/>
    </row>
    <row r="8796">
      <c r="G8796" s="7"/>
    </row>
    <row r="8797">
      <c r="G8797" s="7"/>
    </row>
    <row r="8798">
      <c r="G8798" s="7"/>
    </row>
    <row r="8799">
      <c r="G8799" s="7"/>
    </row>
    <row r="8800">
      <c r="G8800" s="7"/>
    </row>
    <row r="8801">
      <c r="G8801" s="7"/>
    </row>
    <row r="8802">
      <c r="G8802" s="7"/>
    </row>
    <row r="8803">
      <c r="G8803" s="7"/>
    </row>
    <row r="8804">
      <c r="G8804" s="7"/>
    </row>
    <row r="8805">
      <c r="G8805" s="7"/>
    </row>
    <row r="8806">
      <c r="G8806" s="7"/>
    </row>
    <row r="8807">
      <c r="G8807" s="7"/>
    </row>
    <row r="8808">
      <c r="G8808" s="7"/>
    </row>
    <row r="8809">
      <c r="G8809" s="7"/>
    </row>
    <row r="8810">
      <c r="G8810" s="7"/>
    </row>
    <row r="8811">
      <c r="G8811" s="7"/>
    </row>
    <row r="8812">
      <c r="G8812" s="7"/>
    </row>
    <row r="8813">
      <c r="G8813" s="7"/>
    </row>
    <row r="8814">
      <c r="G8814" s="7"/>
    </row>
    <row r="8815">
      <c r="G8815" s="7"/>
    </row>
    <row r="8816">
      <c r="G8816" s="7"/>
    </row>
    <row r="8817">
      <c r="G8817" s="7"/>
    </row>
    <row r="8818">
      <c r="G8818" s="7"/>
    </row>
    <row r="8819">
      <c r="G8819" s="7"/>
    </row>
    <row r="8820">
      <c r="G8820" s="7"/>
    </row>
    <row r="8821">
      <c r="G8821" s="7"/>
    </row>
    <row r="8822">
      <c r="G8822" s="7"/>
    </row>
    <row r="8823">
      <c r="G8823" s="7"/>
    </row>
    <row r="8824">
      <c r="G8824" s="7"/>
    </row>
    <row r="8825">
      <c r="G8825" s="7"/>
    </row>
    <row r="8826">
      <c r="G8826" s="7"/>
    </row>
    <row r="8827">
      <c r="G8827" s="7"/>
    </row>
    <row r="8828">
      <c r="G8828" s="7"/>
    </row>
    <row r="8829">
      <c r="G8829" s="7"/>
    </row>
    <row r="8830">
      <c r="G8830" s="7"/>
    </row>
    <row r="8831">
      <c r="G8831" s="7"/>
    </row>
    <row r="8832">
      <c r="G8832" s="7"/>
    </row>
    <row r="8833">
      <c r="G8833" s="7"/>
    </row>
    <row r="8834">
      <c r="G8834" s="7"/>
    </row>
    <row r="8835">
      <c r="G8835" s="7"/>
    </row>
    <row r="8836">
      <c r="G8836" s="7"/>
    </row>
    <row r="8837">
      <c r="G8837" s="7"/>
    </row>
    <row r="8838">
      <c r="G8838" s="7"/>
    </row>
    <row r="8839">
      <c r="G8839" s="7"/>
    </row>
    <row r="8840">
      <c r="G8840" s="7"/>
    </row>
    <row r="8841">
      <c r="G8841" s="7"/>
    </row>
    <row r="8842">
      <c r="G8842" s="7"/>
    </row>
    <row r="8843">
      <c r="G8843" s="7"/>
    </row>
    <row r="8844">
      <c r="G8844" s="7"/>
    </row>
    <row r="8845">
      <c r="G8845" s="7"/>
    </row>
    <row r="8846">
      <c r="G8846" s="7"/>
    </row>
    <row r="8847">
      <c r="G8847" s="7"/>
    </row>
    <row r="8848">
      <c r="G8848" s="7"/>
    </row>
    <row r="8849">
      <c r="G8849" s="7"/>
    </row>
    <row r="8850">
      <c r="G8850" s="7"/>
    </row>
    <row r="8851">
      <c r="G8851" s="7"/>
    </row>
    <row r="8852">
      <c r="G8852" s="7"/>
    </row>
    <row r="8853">
      <c r="G8853" s="7"/>
    </row>
    <row r="8854">
      <c r="G8854" s="7"/>
    </row>
    <row r="8855">
      <c r="G8855" s="7"/>
    </row>
    <row r="8856">
      <c r="G8856" s="7"/>
    </row>
    <row r="8857">
      <c r="G8857" s="7"/>
    </row>
    <row r="8858">
      <c r="G8858" s="7"/>
    </row>
    <row r="8859">
      <c r="G8859" s="7"/>
    </row>
    <row r="8860">
      <c r="G8860" s="7"/>
    </row>
    <row r="8861">
      <c r="G8861" s="7"/>
    </row>
    <row r="8862">
      <c r="G8862" s="7"/>
    </row>
    <row r="8863">
      <c r="G8863" s="7"/>
    </row>
    <row r="8864">
      <c r="G8864" s="7"/>
    </row>
    <row r="8865">
      <c r="G8865" s="7"/>
    </row>
    <row r="8866">
      <c r="G8866" s="7"/>
    </row>
    <row r="8867">
      <c r="G8867" s="7"/>
    </row>
    <row r="8868">
      <c r="G8868" s="7"/>
    </row>
    <row r="8869">
      <c r="G8869" s="7"/>
    </row>
    <row r="8870">
      <c r="G8870" s="7"/>
    </row>
    <row r="8871">
      <c r="G8871" s="7"/>
    </row>
    <row r="8872">
      <c r="G8872" s="7"/>
    </row>
    <row r="8873">
      <c r="G8873" s="7"/>
    </row>
    <row r="8874">
      <c r="G8874" s="7"/>
    </row>
    <row r="8875">
      <c r="G8875" s="7"/>
    </row>
    <row r="8876">
      <c r="G8876" s="7"/>
    </row>
    <row r="8877">
      <c r="G8877" s="7"/>
    </row>
    <row r="8878">
      <c r="G8878" s="7"/>
    </row>
    <row r="8879">
      <c r="G8879" s="7"/>
    </row>
    <row r="8880">
      <c r="G8880" s="7"/>
    </row>
    <row r="8881">
      <c r="G8881" s="7"/>
    </row>
    <row r="8882">
      <c r="G8882" s="7"/>
    </row>
    <row r="8883">
      <c r="G8883" s="7"/>
    </row>
    <row r="8884">
      <c r="G8884" s="7"/>
    </row>
    <row r="8885">
      <c r="G8885" s="7"/>
    </row>
    <row r="8886">
      <c r="G8886" s="7"/>
    </row>
    <row r="8887">
      <c r="G8887" s="7"/>
    </row>
    <row r="8888">
      <c r="G8888" s="7"/>
    </row>
    <row r="8889">
      <c r="G8889" s="7"/>
    </row>
    <row r="8890">
      <c r="G8890" s="7"/>
    </row>
    <row r="8891">
      <c r="G8891" s="7"/>
    </row>
    <row r="8892">
      <c r="G8892" s="7"/>
    </row>
    <row r="8893">
      <c r="G8893" s="7"/>
    </row>
    <row r="8894">
      <c r="G8894" s="7"/>
    </row>
    <row r="8895">
      <c r="G8895" s="7"/>
    </row>
    <row r="8896">
      <c r="G8896" s="7"/>
    </row>
    <row r="8897">
      <c r="G8897" s="7"/>
    </row>
    <row r="8898">
      <c r="G8898" s="7"/>
    </row>
    <row r="8899">
      <c r="G8899" s="7"/>
    </row>
    <row r="8900">
      <c r="G8900" s="7"/>
    </row>
    <row r="8901">
      <c r="G8901" s="7"/>
    </row>
    <row r="8902">
      <c r="G8902" s="7"/>
    </row>
    <row r="8903">
      <c r="G8903" s="7"/>
    </row>
    <row r="8904">
      <c r="G8904" s="7"/>
    </row>
    <row r="8905">
      <c r="G8905" s="7"/>
    </row>
    <row r="8906">
      <c r="G8906" s="7"/>
    </row>
    <row r="8907">
      <c r="G8907" s="7"/>
    </row>
    <row r="8908">
      <c r="G8908" s="7"/>
    </row>
    <row r="8909">
      <c r="G8909" s="7"/>
    </row>
    <row r="8910">
      <c r="G8910" s="7"/>
    </row>
    <row r="8911">
      <c r="G8911" s="7"/>
    </row>
    <row r="8912">
      <c r="G8912" s="7"/>
    </row>
    <row r="8913">
      <c r="G8913" s="7"/>
    </row>
    <row r="8914">
      <c r="G8914" s="7"/>
    </row>
    <row r="8915">
      <c r="G8915" s="7"/>
    </row>
    <row r="8916">
      <c r="G8916" s="7"/>
    </row>
    <row r="8917">
      <c r="G8917" s="7"/>
    </row>
    <row r="8918">
      <c r="G8918" s="7"/>
    </row>
    <row r="8919">
      <c r="G8919" s="7"/>
    </row>
    <row r="8920">
      <c r="G8920" s="7"/>
    </row>
    <row r="8921">
      <c r="G8921" s="7"/>
    </row>
    <row r="8922">
      <c r="G8922" s="7"/>
    </row>
    <row r="8923">
      <c r="G8923" s="7"/>
    </row>
    <row r="8924">
      <c r="G8924" s="7"/>
    </row>
    <row r="8925">
      <c r="G8925" s="7"/>
    </row>
    <row r="8926">
      <c r="G8926" s="7"/>
    </row>
    <row r="8927">
      <c r="G8927" s="7"/>
    </row>
    <row r="8928">
      <c r="G8928" s="7"/>
    </row>
    <row r="8929">
      <c r="G8929" s="7"/>
    </row>
    <row r="8930">
      <c r="G8930" s="7"/>
    </row>
    <row r="8931">
      <c r="G8931" s="7"/>
    </row>
    <row r="8932">
      <c r="G8932" s="7"/>
    </row>
    <row r="8933">
      <c r="G8933" s="7"/>
    </row>
    <row r="8934">
      <c r="G8934" s="7"/>
    </row>
    <row r="8935">
      <c r="G8935" s="7"/>
    </row>
    <row r="8936">
      <c r="G8936" s="7"/>
    </row>
    <row r="8937">
      <c r="G8937" s="7"/>
    </row>
    <row r="8938">
      <c r="G8938" s="7"/>
    </row>
    <row r="8939">
      <c r="G8939" s="7"/>
    </row>
    <row r="8940">
      <c r="G8940" s="7"/>
    </row>
    <row r="8941">
      <c r="G8941" s="7"/>
    </row>
    <row r="8942">
      <c r="G8942" s="7"/>
    </row>
    <row r="8943">
      <c r="G8943" s="7"/>
    </row>
    <row r="8944">
      <c r="G8944" s="7"/>
    </row>
    <row r="8945">
      <c r="G8945" s="7"/>
    </row>
    <row r="8946">
      <c r="G8946" s="7"/>
    </row>
    <row r="8947">
      <c r="G8947" s="7"/>
    </row>
    <row r="8948">
      <c r="G8948" s="7"/>
    </row>
    <row r="8949">
      <c r="G8949" s="7"/>
    </row>
    <row r="8950">
      <c r="G8950" s="7"/>
    </row>
    <row r="8951">
      <c r="G8951" s="7"/>
    </row>
    <row r="8952">
      <c r="G8952" s="7"/>
    </row>
    <row r="8953">
      <c r="G8953" s="7"/>
    </row>
    <row r="8954">
      <c r="G8954" s="7"/>
    </row>
    <row r="8955">
      <c r="G8955" s="7"/>
    </row>
    <row r="8956">
      <c r="G8956" s="7"/>
    </row>
    <row r="8957">
      <c r="G8957" s="7"/>
    </row>
    <row r="8958">
      <c r="G8958" s="7"/>
    </row>
    <row r="8959">
      <c r="G8959" s="7"/>
    </row>
    <row r="8960">
      <c r="G8960" s="7"/>
    </row>
    <row r="8961">
      <c r="G8961" s="7"/>
    </row>
    <row r="8962">
      <c r="G8962" s="7"/>
    </row>
    <row r="8963">
      <c r="G8963" s="7"/>
    </row>
    <row r="8964">
      <c r="G8964" s="7"/>
    </row>
    <row r="8965">
      <c r="G8965" s="7"/>
    </row>
    <row r="8966">
      <c r="G8966" s="7"/>
    </row>
    <row r="8967">
      <c r="G8967" s="7"/>
    </row>
    <row r="8968">
      <c r="G8968" s="7"/>
    </row>
    <row r="8969">
      <c r="G8969" s="7"/>
    </row>
    <row r="8970">
      <c r="G8970" s="7"/>
    </row>
    <row r="8971">
      <c r="G8971" s="7"/>
    </row>
    <row r="8972">
      <c r="G8972" s="7"/>
    </row>
    <row r="8973">
      <c r="G8973" s="7"/>
    </row>
    <row r="8974">
      <c r="G8974" s="7"/>
    </row>
    <row r="8975">
      <c r="G8975" s="7"/>
    </row>
    <row r="8976">
      <c r="G8976" s="7"/>
    </row>
    <row r="8977">
      <c r="G8977" s="7"/>
    </row>
    <row r="8978">
      <c r="G8978" s="7"/>
    </row>
    <row r="8979">
      <c r="G8979" s="7"/>
    </row>
    <row r="8980">
      <c r="G8980" s="7"/>
    </row>
    <row r="8981">
      <c r="G8981" s="7"/>
    </row>
    <row r="8982">
      <c r="G8982" s="7"/>
    </row>
    <row r="8983">
      <c r="G8983" s="7"/>
    </row>
    <row r="8984">
      <c r="G8984" s="7"/>
    </row>
    <row r="8985">
      <c r="G8985" s="7"/>
    </row>
    <row r="8986">
      <c r="G8986" s="7"/>
    </row>
    <row r="8987">
      <c r="G8987" s="7"/>
    </row>
    <row r="8988">
      <c r="G8988" s="7"/>
    </row>
    <row r="8989">
      <c r="G8989" s="7"/>
    </row>
    <row r="8990">
      <c r="G8990" s="7"/>
    </row>
    <row r="8991">
      <c r="G8991" s="7"/>
    </row>
    <row r="8992">
      <c r="G8992" s="7"/>
    </row>
    <row r="8993">
      <c r="G8993" s="7"/>
    </row>
    <row r="8994">
      <c r="G8994" s="7"/>
    </row>
    <row r="8995">
      <c r="G8995" s="7"/>
    </row>
    <row r="8996">
      <c r="G8996" s="7"/>
    </row>
    <row r="8997">
      <c r="G8997" s="7"/>
    </row>
    <row r="8998">
      <c r="G8998" s="7"/>
    </row>
    <row r="8999">
      <c r="G8999" s="7"/>
    </row>
    <row r="9000">
      <c r="G9000" s="7"/>
    </row>
    <row r="9001">
      <c r="G9001" s="7"/>
    </row>
    <row r="9002">
      <c r="G9002" s="7"/>
    </row>
    <row r="9003">
      <c r="G9003" s="7"/>
    </row>
    <row r="9004">
      <c r="G9004" s="7"/>
    </row>
    <row r="9005">
      <c r="G9005" s="7"/>
    </row>
    <row r="9006">
      <c r="G9006" s="7"/>
    </row>
    <row r="9007">
      <c r="G9007" s="7"/>
    </row>
    <row r="9008">
      <c r="G9008" s="7"/>
    </row>
    <row r="9009">
      <c r="G9009" s="7"/>
    </row>
    <row r="9010">
      <c r="G9010" s="7"/>
    </row>
    <row r="9011">
      <c r="G9011" s="7"/>
    </row>
    <row r="9012">
      <c r="G9012" s="7"/>
    </row>
    <row r="9013">
      <c r="G9013" s="7"/>
    </row>
    <row r="9014">
      <c r="G9014" s="7"/>
    </row>
    <row r="9015">
      <c r="G9015" s="7"/>
    </row>
    <row r="9016">
      <c r="G9016" s="7"/>
    </row>
    <row r="9017">
      <c r="G9017" s="7"/>
    </row>
    <row r="9018">
      <c r="G9018" s="7"/>
    </row>
    <row r="9019">
      <c r="G9019" s="7"/>
    </row>
    <row r="9020">
      <c r="G9020" s="7"/>
    </row>
    <row r="9021">
      <c r="G9021" s="7"/>
    </row>
    <row r="9022">
      <c r="G9022" s="7"/>
    </row>
    <row r="9023">
      <c r="G9023" s="7"/>
    </row>
    <row r="9024">
      <c r="G9024" s="7"/>
    </row>
    <row r="9025">
      <c r="G9025" s="7"/>
    </row>
    <row r="9026">
      <c r="G9026" s="7"/>
    </row>
    <row r="9027">
      <c r="G9027" s="7"/>
    </row>
    <row r="9028">
      <c r="G9028" s="7"/>
    </row>
    <row r="9029">
      <c r="G9029" s="7"/>
    </row>
    <row r="9030">
      <c r="G9030" s="7"/>
    </row>
    <row r="9031">
      <c r="G9031" s="7"/>
    </row>
    <row r="9032">
      <c r="G9032" s="7"/>
    </row>
    <row r="9033">
      <c r="G9033" s="7"/>
    </row>
    <row r="9034">
      <c r="G9034" s="7"/>
    </row>
    <row r="9035">
      <c r="G9035" s="7"/>
    </row>
    <row r="9036">
      <c r="G9036" s="7"/>
    </row>
    <row r="9037">
      <c r="G9037" s="7"/>
    </row>
    <row r="9038">
      <c r="G9038" s="7"/>
    </row>
    <row r="9039">
      <c r="G9039" s="7"/>
    </row>
    <row r="9040">
      <c r="G9040" s="7"/>
    </row>
    <row r="9041">
      <c r="G9041" s="7"/>
    </row>
    <row r="9042">
      <c r="G9042" s="7"/>
    </row>
    <row r="9043">
      <c r="G9043" s="7"/>
    </row>
    <row r="9044">
      <c r="G9044" s="7"/>
    </row>
    <row r="9045">
      <c r="G9045" s="7"/>
    </row>
    <row r="9046">
      <c r="G9046" s="7"/>
    </row>
    <row r="9047">
      <c r="G9047" s="7"/>
    </row>
    <row r="9048">
      <c r="G9048" s="7"/>
    </row>
    <row r="9049">
      <c r="G9049" s="7"/>
    </row>
    <row r="9050">
      <c r="G9050" s="7"/>
    </row>
    <row r="9051">
      <c r="G9051" s="7"/>
    </row>
    <row r="9052">
      <c r="G9052" s="7"/>
    </row>
    <row r="9053">
      <c r="G9053" s="7"/>
    </row>
    <row r="9054">
      <c r="G9054" s="7"/>
    </row>
    <row r="9055">
      <c r="G9055" s="7"/>
    </row>
    <row r="9056">
      <c r="G9056" s="7"/>
    </row>
    <row r="9057">
      <c r="G9057" s="7"/>
    </row>
    <row r="9058">
      <c r="G9058" s="7"/>
    </row>
    <row r="9059">
      <c r="G9059" s="7"/>
    </row>
    <row r="9060">
      <c r="G9060" s="7"/>
    </row>
    <row r="9061">
      <c r="G9061" s="7"/>
    </row>
    <row r="9062">
      <c r="G9062" s="7"/>
    </row>
    <row r="9063">
      <c r="G9063" s="7"/>
    </row>
    <row r="9064">
      <c r="G9064" s="7"/>
    </row>
    <row r="9065">
      <c r="G9065" s="7"/>
    </row>
    <row r="9066">
      <c r="G9066" s="7"/>
    </row>
    <row r="9067">
      <c r="G9067" s="7"/>
    </row>
    <row r="9068">
      <c r="G9068" s="7"/>
    </row>
    <row r="9069">
      <c r="G9069" s="7"/>
    </row>
    <row r="9070">
      <c r="G9070" s="7"/>
    </row>
    <row r="9071">
      <c r="G9071" s="7"/>
    </row>
    <row r="9072">
      <c r="G9072" s="7"/>
    </row>
    <row r="9073">
      <c r="G9073" s="7"/>
    </row>
    <row r="9074">
      <c r="G9074" s="7"/>
    </row>
    <row r="9075">
      <c r="G9075" s="7"/>
    </row>
    <row r="9076">
      <c r="G9076" s="7"/>
    </row>
    <row r="9077">
      <c r="G9077" s="7"/>
    </row>
    <row r="9078">
      <c r="G9078" s="7"/>
    </row>
    <row r="9079">
      <c r="G9079" s="7"/>
    </row>
    <row r="9080">
      <c r="G9080" s="7"/>
    </row>
    <row r="9081">
      <c r="G9081" s="7"/>
    </row>
    <row r="9082">
      <c r="G9082" s="7"/>
    </row>
    <row r="9083">
      <c r="G9083" s="7"/>
    </row>
    <row r="9084">
      <c r="G9084" s="7"/>
    </row>
    <row r="9085">
      <c r="G9085" s="7"/>
    </row>
    <row r="9086">
      <c r="G9086" s="7"/>
    </row>
    <row r="9087">
      <c r="G9087" s="7"/>
    </row>
    <row r="9088">
      <c r="G9088" s="7"/>
    </row>
    <row r="9089">
      <c r="G9089" s="7"/>
    </row>
    <row r="9090">
      <c r="G9090" s="7"/>
    </row>
    <row r="9091">
      <c r="G9091" s="7"/>
    </row>
    <row r="9092">
      <c r="G9092" s="7"/>
    </row>
    <row r="9093">
      <c r="G9093" s="7"/>
    </row>
    <row r="9094">
      <c r="G9094" s="7"/>
    </row>
    <row r="9095">
      <c r="G9095" s="7"/>
    </row>
    <row r="9096">
      <c r="G9096" s="7"/>
    </row>
    <row r="9097">
      <c r="G9097" s="7"/>
    </row>
    <row r="9098">
      <c r="G9098" s="7"/>
    </row>
    <row r="9099">
      <c r="G9099" s="7"/>
    </row>
    <row r="9100">
      <c r="G9100" s="7"/>
    </row>
    <row r="9101">
      <c r="G9101" s="7"/>
    </row>
    <row r="9102">
      <c r="G9102" s="7"/>
    </row>
    <row r="9103">
      <c r="G9103" s="7"/>
    </row>
    <row r="9104">
      <c r="G9104" s="7"/>
    </row>
    <row r="9105">
      <c r="G9105" s="7"/>
    </row>
    <row r="9106">
      <c r="G9106" s="7"/>
    </row>
    <row r="9107">
      <c r="G9107" s="7"/>
    </row>
    <row r="9108">
      <c r="G9108" s="7"/>
    </row>
    <row r="9109">
      <c r="G9109" s="7"/>
    </row>
    <row r="9110">
      <c r="G9110" s="7"/>
    </row>
    <row r="9111">
      <c r="G9111" s="7"/>
    </row>
    <row r="9112">
      <c r="G9112" s="7"/>
    </row>
    <row r="9113">
      <c r="G9113" s="7"/>
    </row>
    <row r="9114">
      <c r="G9114" s="7"/>
    </row>
    <row r="9115">
      <c r="G9115" s="7"/>
    </row>
    <row r="9116">
      <c r="G9116" s="7"/>
    </row>
    <row r="9117">
      <c r="G9117" s="7"/>
    </row>
    <row r="9118">
      <c r="G9118" s="7"/>
    </row>
    <row r="9119">
      <c r="G9119" s="7"/>
    </row>
    <row r="9120">
      <c r="G9120" s="7"/>
    </row>
    <row r="9121">
      <c r="G9121" s="7"/>
    </row>
    <row r="9122">
      <c r="G9122" s="7"/>
    </row>
    <row r="9123">
      <c r="G9123" s="7"/>
    </row>
    <row r="9124">
      <c r="G9124" s="7"/>
    </row>
    <row r="9125">
      <c r="G9125" s="7"/>
    </row>
    <row r="9126">
      <c r="G9126" s="7"/>
    </row>
    <row r="9127">
      <c r="G9127" s="7"/>
    </row>
    <row r="9128">
      <c r="G9128" s="7"/>
    </row>
    <row r="9129">
      <c r="G9129" s="7"/>
    </row>
    <row r="9130">
      <c r="G9130" s="7"/>
    </row>
    <row r="9131">
      <c r="G9131" s="7"/>
    </row>
    <row r="9132">
      <c r="G9132" s="7"/>
    </row>
    <row r="9133">
      <c r="G9133" s="7"/>
    </row>
    <row r="9134">
      <c r="G9134" s="7"/>
    </row>
    <row r="9135">
      <c r="G9135" s="7"/>
    </row>
    <row r="9136">
      <c r="G9136" s="7"/>
    </row>
    <row r="9137">
      <c r="G9137" s="7"/>
    </row>
    <row r="9138">
      <c r="G9138" s="7"/>
    </row>
    <row r="9139">
      <c r="G9139" s="7"/>
    </row>
    <row r="9140">
      <c r="G9140" s="7"/>
    </row>
    <row r="9141">
      <c r="G9141" s="7"/>
    </row>
    <row r="9142">
      <c r="G9142" s="7"/>
    </row>
    <row r="9143">
      <c r="G9143" s="7"/>
    </row>
    <row r="9144">
      <c r="G9144" s="7"/>
    </row>
    <row r="9145">
      <c r="G9145" s="7"/>
    </row>
    <row r="9146">
      <c r="G9146" s="7"/>
    </row>
    <row r="9147">
      <c r="G9147" s="7"/>
    </row>
    <row r="9148">
      <c r="G9148" s="7"/>
    </row>
    <row r="9149">
      <c r="G9149" s="7"/>
    </row>
    <row r="9150">
      <c r="G9150" s="7"/>
    </row>
    <row r="9151">
      <c r="G9151" s="7"/>
    </row>
    <row r="9152">
      <c r="G9152" s="7"/>
    </row>
    <row r="9153">
      <c r="G9153" s="7"/>
    </row>
    <row r="9154">
      <c r="G9154" s="7"/>
    </row>
    <row r="9155">
      <c r="G9155" s="7"/>
    </row>
    <row r="9156">
      <c r="G9156" s="7"/>
    </row>
    <row r="9157">
      <c r="G9157" s="7"/>
    </row>
    <row r="9158">
      <c r="G9158" s="7"/>
    </row>
    <row r="9159">
      <c r="G9159" s="7"/>
    </row>
    <row r="9160">
      <c r="G9160" s="7"/>
    </row>
    <row r="9161">
      <c r="G9161" s="7"/>
    </row>
    <row r="9162">
      <c r="G9162" s="7"/>
    </row>
    <row r="9163">
      <c r="G9163" s="7"/>
    </row>
    <row r="9164">
      <c r="G9164" s="7"/>
    </row>
    <row r="9165">
      <c r="G9165" s="7"/>
    </row>
    <row r="9166">
      <c r="G9166" s="7"/>
    </row>
    <row r="9167">
      <c r="G9167" s="7"/>
    </row>
    <row r="9168">
      <c r="G9168" s="7"/>
    </row>
    <row r="9169">
      <c r="G9169" s="7"/>
    </row>
    <row r="9170">
      <c r="G9170" s="7"/>
    </row>
    <row r="9171">
      <c r="G9171" s="7"/>
    </row>
    <row r="9172">
      <c r="G9172" s="7"/>
    </row>
    <row r="9173">
      <c r="G9173" s="7"/>
    </row>
    <row r="9174">
      <c r="G9174" s="7"/>
    </row>
    <row r="9175">
      <c r="G9175" s="7"/>
    </row>
    <row r="9176">
      <c r="G9176" s="7"/>
    </row>
    <row r="9177">
      <c r="G9177" s="7"/>
    </row>
    <row r="9178">
      <c r="G9178" s="7"/>
    </row>
    <row r="9179">
      <c r="G9179" s="7"/>
    </row>
    <row r="9180">
      <c r="G9180" s="7"/>
    </row>
    <row r="9181">
      <c r="G9181" s="7"/>
    </row>
    <row r="9182">
      <c r="G9182" s="7"/>
    </row>
    <row r="9183">
      <c r="G9183" s="7"/>
    </row>
    <row r="9184">
      <c r="G9184" s="7"/>
    </row>
    <row r="9185">
      <c r="G9185" s="7"/>
    </row>
    <row r="9186">
      <c r="G9186" s="7"/>
    </row>
    <row r="9187">
      <c r="G9187" s="7"/>
    </row>
    <row r="9188">
      <c r="G9188" s="7"/>
    </row>
    <row r="9189">
      <c r="G9189" s="7"/>
    </row>
    <row r="9190">
      <c r="G9190" s="7"/>
    </row>
    <row r="9191">
      <c r="G9191" s="7"/>
    </row>
    <row r="9192">
      <c r="G9192" s="7"/>
    </row>
    <row r="9193">
      <c r="G9193" s="7"/>
    </row>
    <row r="9194">
      <c r="G9194" s="7"/>
    </row>
    <row r="9195">
      <c r="G9195" s="7"/>
    </row>
    <row r="9196">
      <c r="G9196" s="7"/>
    </row>
    <row r="9197">
      <c r="G9197" s="7"/>
    </row>
    <row r="9198">
      <c r="G9198" s="7"/>
    </row>
    <row r="9199">
      <c r="G9199" s="7"/>
    </row>
    <row r="9200">
      <c r="G9200" s="7"/>
    </row>
    <row r="9201">
      <c r="G9201" s="7"/>
    </row>
    <row r="9202">
      <c r="G9202" s="7"/>
    </row>
    <row r="9203">
      <c r="G9203" s="7"/>
    </row>
    <row r="9204">
      <c r="G9204" s="7"/>
    </row>
    <row r="9205">
      <c r="G9205" s="7"/>
    </row>
    <row r="9206">
      <c r="G9206" s="7"/>
    </row>
    <row r="9207">
      <c r="G9207" s="7"/>
    </row>
    <row r="9208">
      <c r="G9208" s="7"/>
    </row>
    <row r="9209">
      <c r="G9209" s="7"/>
    </row>
    <row r="9210">
      <c r="G9210" s="7"/>
    </row>
    <row r="9211">
      <c r="G9211" s="7"/>
    </row>
    <row r="9212">
      <c r="G9212" s="7"/>
    </row>
    <row r="9213">
      <c r="G9213" s="7"/>
    </row>
    <row r="9214">
      <c r="G9214" s="7"/>
    </row>
    <row r="9215">
      <c r="G9215" s="7"/>
    </row>
    <row r="9216">
      <c r="G9216" s="7"/>
    </row>
    <row r="9217">
      <c r="G9217" s="7"/>
    </row>
    <row r="9218">
      <c r="G9218" s="7"/>
    </row>
    <row r="9219">
      <c r="G9219" s="7"/>
    </row>
    <row r="9220">
      <c r="G9220" s="7"/>
    </row>
    <row r="9221">
      <c r="G9221" s="7"/>
    </row>
    <row r="9222">
      <c r="G9222" s="7"/>
    </row>
    <row r="9223">
      <c r="G9223" s="7"/>
    </row>
    <row r="9224">
      <c r="G9224" s="7"/>
    </row>
    <row r="9225">
      <c r="G9225" s="7"/>
    </row>
    <row r="9226">
      <c r="G9226" s="7"/>
    </row>
    <row r="9227">
      <c r="G9227" s="7"/>
    </row>
    <row r="9228">
      <c r="G9228" s="7"/>
    </row>
    <row r="9229">
      <c r="G9229" s="7"/>
    </row>
    <row r="9230">
      <c r="G9230" s="7"/>
    </row>
    <row r="9231">
      <c r="G9231" s="7"/>
    </row>
    <row r="9232">
      <c r="G9232" s="7"/>
    </row>
    <row r="9233">
      <c r="G9233" s="7"/>
    </row>
    <row r="9234">
      <c r="G9234" s="7"/>
    </row>
    <row r="9235">
      <c r="G9235" s="7"/>
    </row>
    <row r="9236">
      <c r="G9236" s="7"/>
    </row>
    <row r="9237">
      <c r="G9237" s="7"/>
    </row>
    <row r="9238">
      <c r="G9238" s="7"/>
    </row>
    <row r="9239">
      <c r="G9239" s="7"/>
    </row>
    <row r="9240">
      <c r="G9240" s="7"/>
    </row>
    <row r="9241">
      <c r="G9241" s="7"/>
    </row>
    <row r="9242">
      <c r="G9242" s="7"/>
    </row>
    <row r="9243">
      <c r="G9243" s="7"/>
    </row>
    <row r="9244">
      <c r="G9244" s="7"/>
    </row>
    <row r="9245">
      <c r="G9245" s="7"/>
    </row>
    <row r="9246">
      <c r="G9246" s="7"/>
    </row>
    <row r="9247">
      <c r="G9247" s="7"/>
    </row>
    <row r="9248">
      <c r="G9248" s="7"/>
    </row>
    <row r="9249">
      <c r="G9249" s="7"/>
    </row>
    <row r="9250">
      <c r="G9250" s="7"/>
    </row>
    <row r="9251">
      <c r="G9251" s="7"/>
    </row>
    <row r="9252">
      <c r="G9252" s="7"/>
    </row>
    <row r="9253">
      <c r="G9253" s="7"/>
    </row>
    <row r="9254">
      <c r="G9254" s="7"/>
    </row>
    <row r="9255">
      <c r="G9255" s="7"/>
    </row>
    <row r="9256">
      <c r="G9256" s="7"/>
    </row>
    <row r="9257">
      <c r="G9257" s="7"/>
    </row>
    <row r="9258">
      <c r="G9258" s="7"/>
    </row>
    <row r="9259">
      <c r="G9259" s="7"/>
    </row>
    <row r="9260">
      <c r="G9260" s="7"/>
    </row>
    <row r="9261">
      <c r="G9261" s="7"/>
    </row>
    <row r="9262">
      <c r="G9262" s="7"/>
    </row>
    <row r="9263">
      <c r="G9263" s="7"/>
    </row>
    <row r="9264">
      <c r="G9264" s="7"/>
    </row>
    <row r="9265">
      <c r="G9265" s="7"/>
    </row>
    <row r="9266">
      <c r="G9266" s="7"/>
    </row>
    <row r="9267">
      <c r="G9267" s="7"/>
    </row>
    <row r="9268">
      <c r="G9268" s="7"/>
    </row>
    <row r="9269">
      <c r="G9269" s="7"/>
    </row>
    <row r="9270">
      <c r="G9270" s="7"/>
    </row>
    <row r="9271">
      <c r="G9271" s="7"/>
    </row>
    <row r="9272">
      <c r="G9272" s="7"/>
    </row>
    <row r="9273">
      <c r="G9273" s="7"/>
    </row>
    <row r="9274">
      <c r="G9274" s="7"/>
    </row>
    <row r="9275">
      <c r="G9275" s="7"/>
    </row>
    <row r="9276">
      <c r="G9276" s="7"/>
    </row>
    <row r="9277">
      <c r="G9277" s="7"/>
    </row>
    <row r="9278">
      <c r="G9278" s="7"/>
    </row>
    <row r="9279">
      <c r="G9279" s="7"/>
    </row>
    <row r="9280">
      <c r="G9280" s="7"/>
    </row>
    <row r="9281">
      <c r="G9281" s="7"/>
    </row>
    <row r="9282">
      <c r="G9282" s="7"/>
    </row>
    <row r="9283">
      <c r="G9283" s="7"/>
    </row>
    <row r="9284">
      <c r="G9284" s="7"/>
    </row>
    <row r="9285">
      <c r="G9285" s="7"/>
    </row>
    <row r="9286">
      <c r="G9286" s="7"/>
    </row>
    <row r="9287">
      <c r="G9287" s="7"/>
    </row>
    <row r="9288">
      <c r="G9288" s="7"/>
    </row>
    <row r="9289">
      <c r="G9289" s="7"/>
    </row>
    <row r="9290">
      <c r="G9290" s="7"/>
    </row>
    <row r="9291">
      <c r="G9291" s="7"/>
    </row>
    <row r="9292">
      <c r="G9292" s="7"/>
    </row>
    <row r="9293">
      <c r="G9293" s="7"/>
    </row>
    <row r="9294">
      <c r="G9294" s="7"/>
    </row>
    <row r="9295">
      <c r="G9295" s="7"/>
    </row>
    <row r="9296">
      <c r="G9296" s="7"/>
    </row>
    <row r="9297">
      <c r="G9297" s="7"/>
    </row>
    <row r="9298">
      <c r="G9298" s="7"/>
    </row>
    <row r="9299">
      <c r="G9299" s="7"/>
    </row>
    <row r="9300">
      <c r="G9300" s="7"/>
    </row>
    <row r="9301">
      <c r="G9301" s="7"/>
    </row>
    <row r="9302">
      <c r="G9302" s="7"/>
    </row>
    <row r="9303">
      <c r="G9303" s="7"/>
    </row>
    <row r="9304">
      <c r="G9304" s="7"/>
    </row>
    <row r="9305">
      <c r="G9305" s="7"/>
    </row>
    <row r="9306">
      <c r="G9306" s="7"/>
    </row>
    <row r="9307">
      <c r="G9307" s="7"/>
    </row>
    <row r="9308">
      <c r="G9308" s="7"/>
    </row>
    <row r="9309">
      <c r="G9309" s="7"/>
    </row>
    <row r="9310">
      <c r="G9310" s="7"/>
    </row>
    <row r="9311">
      <c r="G9311" s="7"/>
    </row>
    <row r="9312">
      <c r="G9312" s="7"/>
    </row>
    <row r="9313">
      <c r="G9313" s="7"/>
    </row>
    <row r="9314">
      <c r="G9314" s="7"/>
    </row>
    <row r="9315">
      <c r="G9315" s="7"/>
    </row>
    <row r="9316">
      <c r="G9316" s="7"/>
    </row>
    <row r="9317">
      <c r="G9317" s="7"/>
    </row>
    <row r="9318">
      <c r="G9318" s="7"/>
    </row>
    <row r="9319">
      <c r="G9319" s="7"/>
    </row>
    <row r="9320">
      <c r="G9320" s="7"/>
    </row>
    <row r="9321">
      <c r="G9321" s="7"/>
    </row>
    <row r="9322">
      <c r="G9322" s="7"/>
    </row>
    <row r="9323">
      <c r="G9323" s="7"/>
    </row>
    <row r="9324">
      <c r="G9324" s="7"/>
    </row>
    <row r="9325">
      <c r="G9325" s="7"/>
    </row>
    <row r="9326">
      <c r="G9326" s="7"/>
    </row>
    <row r="9327">
      <c r="G9327" s="7"/>
    </row>
    <row r="9328">
      <c r="G9328" s="7"/>
    </row>
    <row r="9329">
      <c r="G9329" s="7"/>
    </row>
    <row r="9330">
      <c r="G9330" s="7"/>
    </row>
    <row r="9331">
      <c r="G9331" s="7"/>
    </row>
    <row r="9332">
      <c r="G9332" s="7"/>
    </row>
    <row r="9333">
      <c r="G9333" s="7"/>
    </row>
    <row r="9334">
      <c r="G9334" s="7"/>
    </row>
    <row r="9335">
      <c r="G9335" s="7"/>
    </row>
    <row r="9336">
      <c r="G9336" s="7"/>
    </row>
    <row r="9337">
      <c r="G9337" s="7"/>
    </row>
    <row r="9338">
      <c r="G9338" s="7"/>
    </row>
    <row r="9339">
      <c r="G9339" s="7"/>
    </row>
    <row r="9340">
      <c r="G9340" s="7"/>
    </row>
    <row r="9341">
      <c r="G9341" s="7"/>
    </row>
    <row r="9342">
      <c r="G9342" s="7"/>
    </row>
    <row r="9343">
      <c r="G9343" s="7"/>
    </row>
    <row r="9344">
      <c r="G9344" s="7"/>
    </row>
    <row r="9345">
      <c r="G9345" s="7"/>
    </row>
    <row r="9346">
      <c r="G9346" s="7"/>
    </row>
    <row r="9347">
      <c r="G9347" s="7"/>
    </row>
    <row r="9348">
      <c r="G9348" s="7"/>
    </row>
    <row r="9349">
      <c r="G9349" s="7"/>
    </row>
    <row r="9350">
      <c r="G9350" s="7"/>
    </row>
    <row r="9351">
      <c r="G9351" s="7"/>
    </row>
    <row r="9352">
      <c r="G9352" s="7"/>
    </row>
    <row r="9353">
      <c r="G9353" s="7"/>
    </row>
    <row r="9354">
      <c r="G9354" s="7"/>
    </row>
    <row r="9355">
      <c r="G9355" s="7"/>
    </row>
    <row r="9356">
      <c r="G9356" s="7"/>
    </row>
    <row r="9357">
      <c r="G9357" s="7"/>
    </row>
    <row r="9358">
      <c r="G9358" s="7"/>
    </row>
    <row r="9359">
      <c r="G9359" s="7"/>
    </row>
    <row r="9360">
      <c r="G9360" s="7"/>
    </row>
    <row r="9361">
      <c r="G9361" s="7"/>
    </row>
    <row r="9362">
      <c r="G9362" s="7"/>
    </row>
    <row r="9363">
      <c r="G9363" s="7"/>
    </row>
    <row r="9364">
      <c r="G9364" s="7"/>
    </row>
    <row r="9365">
      <c r="G9365" s="7"/>
    </row>
    <row r="9366">
      <c r="G9366" s="7"/>
    </row>
    <row r="9367">
      <c r="G9367" s="7"/>
    </row>
    <row r="9368">
      <c r="G9368" s="7"/>
    </row>
    <row r="9369">
      <c r="G9369" s="7"/>
    </row>
    <row r="9370">
      <c r="G9370" s="7"/>
    </row>
    <row r="9371">
      <c r="G9371" s="7"/>
    </row>
    <row r="9372">
      <c r="G9372" s="7"/>
    </row>
    <row r="9373">
      <c r="G9373" s="7"/>
    </row>
    <row r="9374">
      <c r="G9374" s="7"/>
    </row>
    <row r="9375">
      <c r="G9375" s="7"/>
    </row>
    <row r="9376">
      <c r="G9376" s="7"/>
    </row>
    <row r="9377">
      <c r="G9377" s="7"/>
    </row>
    <row r="9378">
      <c r="G9378" s="7"/>
    </row>
    <row r="9379">
      <c r="G9379" s="7"/>
    </row>
    <row r="9380">
      <c r="G9380" s="7"/>
    </row>
    <row r="9381">
      <c r="G9381" s="7"/>
    </row>
    <row r="9382">
      <c r="G9382" s="7"/>
    </row>
    <row r="9383">
      <c r="G9383" s="7"/>
    </row>
    <row r="9384">
      <c r="G9384" s="7"/>
    </row>
    <row r="9385">
      <c r="G9385" s="7"/>
    </row>
    <row r="9386">
      <c r="G9386" s="7"/>
    </row>
    <row r="9387">
      <c r="G9387" s="7"/>
    </row>
    <row r="9388">
      <c r="G9388" s="7"/>
    </row>
    <row r="9389">
      <c r="G9389" s="7"/>
    </row>
    <row r="9390">
      <c r="G9390" s="7"/>
    </row>
    <row r="9391">
      <c r="G9391" s="7"/>
    </row>
    <row r="9392">
      <c r="G9392" s="7"/>
    </row>
    <row r="9393">
      <c r="G9393" s="7"/>
    </row>
    <row r="9394">
      <c r="G9394" s="7"/>
    </row>
    <row r="9395">
      <c r="G9395" s="7"/>
    </row>
    <row r="9396">
      <c r="G9396" s="7"/>
    </row>
    <row r="9397">
      <c r="G9397" s="7"/>
    </row>
    <row r="9398">
      <c r="G9398" s="7"/>
    </row>
    <row r="9399">
      <c r="G9399" s="7"/>
    </row>
    <row r="9400">
      <c r="G9400" s="7"/>
    </row>
    <row r="9401">
      <c r="G9401" s="7"/>
    </row>
    <row r="9402">
      <c r="G9402" s="7"/>
    </row>
    <row r="9403">
      <c r="G9403" s="7"/>
    </row>
    <row r="9404">
      <c r="G9404" s="7"/>
    </row>
    <row r="9405">
      <c r="G9405" s="7"/>
    </row>
    <row r="9406">
      <c r="G9406" s="7"/>
    </row>
    <row r="9407">
      <c r="G9407" s="7"/>
    </row>
    <row r="9408">
      <c r="G9408" s="7"/>
    </row>
    <row r="9409">
      <c r="G9409" s="7"/>
    </row>
    <row r="9410">
      <c r="G9410" s="7"/>
    </row>
    <row r="9411">
      <c r="G9411" s="7"/>
    </row>
    <row r="9412">
      <c r="G9412" s="7"/>
    </row>
    <row r="9413">
      <c r="G9413" s="7"/>
    </row>
    <row r="9414">
      <c r="G9414" s="7"/>
    </row>
    <row r="9415">
      <c r="G9415" s="7"/>
    </row>
    <row r="9416">
      <c r="G9416" s="7"/>
    </row>
    <row r="9417">
      <c r="G9417" s="7"/>
    </row>
    <row r="9418">
      <c r="G9418" s="7"/>
    </row>
    <row r="9419">
      <c r="G9419" s="7"/>
    </row>
    <row r="9420">
      <c r="G9420" s="7"/>
    </row>
    <row r="9421">
      <c r="G9421" s="7"/>
    </row>
    <row r="9422">
      <c r="G9422" s="7"/>
    </row>
    <row r="9423">
      <c r="G9423" s="7"/>
    </row>
    <row r="9424">
      <c r="G9424" s="7"/>
    </row>
    <row r="9425">
      <c r="G9425" s="7"/>
    </row>
    <row r="9426">
      <c r="G9426" s="7"/>
    </row>
    <row r="9427">
      <c r="G9427" s="7"/>
    </row>
    <row r="9428">
      <c r="G9428" s="7"/>
    </row>
    <row r="9429">
      <c r="G9429" s="7"/>
    </row>
    <row r="9430">
      <c r="G9430" s="7"/>
    </row>
    <row r="9431">
      <c r="G9431" s="7"/>
    </row>
    <row r="9432">
      <c r="G9432" s="7"/>
    </row>
    <row r="9433">
      <c r="G9433" s="7"/>
    </row>
    <row r="9434">
      <c r="G9434" s="7"/>
    </row>
    <row r="9435">
      <c r="G9435" s="7"/>
    </row>
    <row r="9436">
      <c r="G9436" s="7"/>
    </row>
    <row r="9437">
      <c r="G9437" s="7"/>
    </row>
    <row r="9438">
      <c r="G9438" s="7"/>
    </row>
    <row r="9439">
      <c r="G9439" s="7"/>
    </row>
    <row r="9440">
      <c r="G9440" s="7"/>
    </row>
    <row r="9441">
      <c r="G9441" s="7"/>
    </row>
    <row r="9442">
      <c r="G9442" s="7"/>
    </row>
    <row r="9443">
      <c r="G9443" s="7"/>
    </row>
    <row r="9444">
      <c r="G9444" s="7"/>
    </row>
    <row r="9445">
      <c r="G9445" s="7"/>
    </row>
    <row r="9446">
      <c r="G9446" s="7"/>
    </row>
    <row r="9447">
      <c r="G9447" s="7"/>
    </row>
    <row r="9448">
      <c r="G9448" s="7"/>
    </row>
    <row r="9449">
      <c r="G9449" s="7"/>
    </row>
    <row r="9450">
      <c r="G9450" s="7"/>
    </row>
    <row r="9451">
      <c r="G9451" s="7"/>
    </row>
    <row r="9452">
      <c r="G9452" s="7"/>
    </row>
    <row r="9453">
      <c r="G9453" s="7"/>
    </row>
    <row r="9454">
      <c r="G9454" s="7"/>
    </row>
    <row r="9455">
      <c r="G9455" s="7"/>
    </row>
    <row r="9456">
      <c r="G9456" s="7"/>
    </row>
    <row r="9457">
      <c r="G9457" s="7"/>
    </row>
    <row r="9458">
      <c r="G9458" s="7"/>
    </row>
    <row r="9459">
      <c r="G9459" s="7"/>
    </row>
    <row r="9460">
      <c r="G9460" s="7"/>
    </row>
    <row r="9461">
      <c r="G9461" s="7"/>
    </row>
    <row r="9462">
      <c r="G9462" s="7"/>
    </row>
    <row r="9463">
      <c r="G9463" s="7"/>
    </row>
    <row r="9464">
      <c r="G9464" s="7"/>
    </row>
    <row r="9465">
      <c r="G9465" s="7"/>
    </row>
    <row r="9466">
      <c r="G9466" s="7"/>
    </row>
    <row r="9467">
      <c r="G9467" s="7"/>
    </row>
    <row r="9468">
      <c r="G9468" s="7"/>
    </row>
    <row r="9469">
      <c r="G9469" s="7"/>
    </row>
    <row r="9470">
      <c r="G9470" s="7"/>
    </row>
    <row r="9471">
      <c r="G9471" s="7"/>
    </row>
    <row r="9472">
      <c r="G9472" s="7"/>
    </row>
    <row r="9473">
      <c r="G9473" s="7"/>
    </row>
    <row r="9474">
      <c r="G9474" s="7"/>
    </row>
    <row r="9475">
      <c r="G9475" s="7"/>
    </row>
    <row r="9476">
      <c r="G9476" s="7"/>
    </row>
    <row r="9477">
      <c r="G9477" s="7"/>
    </row>
    <row r="9478">
      <c r="G9478" s="7"/>
    </row>
    <row r="9479">
      <c r="G9479" s="7"/>
    </row>
    <row r="9480">
      <c r="G9480" s="7"/>
    </row>
    <row r="9481">
      <c r="G9481" s="7"/>
    </row>
    <row r="9482">
      <c r="G9482" s="7"/>
    </row>
    <row r="9483">
      <c r="G9483" s="7"/>
    </row>
    <row r="9484">
      <c r="G9484" s="7"/>
    </row>
    <row r="9485">
      <c r="G9485" s="7"/>
    </row>
    <row r="9486">
      <c r="G9486" s="7"/>
    </row>
    <row r="9487">
      <c r="G9487" s="7"/>
    </row>
    <row r="9488">
      <c r="G9488" s="7"/>
    </row>
    <row r="9489">
      <c r="G9489" s="7"/>
    </row>
    <row r="9490">
      <c r="G9490" s="7"/>
    </row>
    <row r="9491">
      <c r="G9491" s="7"/>
    </row>
    <row r="9492">
      <c r="G9492" s="7"/>
    </row>
    <row r="9493">
      <c r="G9493" s="7"/>
    </row>
    <row r="9494">
      <c r="G9494" s="7"/>
    </row>
    <row r="9495">
      <c r="G9495" s="7"/>
    </row>
    <row r="9496">
      <c r="G9496" s="7"/>
    </row>
    <row r="9497">
      <c r="G9497" s="7"/>
    </row>
    <row r="9498">
      <c r="G9498" s="7"/>
    </row>
    <row r="9499">
      <c r="G9499" s="7"/>
    </row>
    <row r="9500">
      <c r="G9500" s="7"/>
    </row>
    <row r="9501">
      <c r="G9501" s="7"/>
    </row>
    <row r="9502">
      <c r="G9502" s="7"/>
    </row>
    <row r="9503">
      <c r="G9503" s="7"/>
    </row>
    <row r="9504">
      <c r="G9504" s="7"/>
    </row>
    <row r="9505">
      <c r="G9505" s="7"/>
    </row>
    <row r="9506">
      <c r="G9506" s="7"/>
    </row>
    <row r="9507">
      <c r="G9507" s="7"/>
    </row>
    <row r="9508">
      <c r="G9508" s="7"/>
    </row>
    <row r="9509">
      <c r="G9509" s="7"/>
    </row>
    <row r="9510">
      <c r="G9510" s="7"/>
    </row>
    <row r="9511">
      <c r="G9511" s="7"/>
    </row>
    <row r="9512">
      <c r="G9512" s="7"/>
    </row>
    <row r="9513">
      <c r="G9513" s="7"/>
    </row>
    <row r="9514">
      <c r="G9514" s="7"/>
    </row>
    <row r="9515">
      <c r="G9515" s="7"/>
    </row>
    <row r="9516">
      <c r="G9516" s="7"/>
    </row>
    <row r="9517">
      <c r="G9517" s="7"/>
    </row>
    <row r="9518">
      <c r="G9518" s="7"/>
    </row>
    <row r="9519">
      <c r="G9519" s="7"/>
    </row>
    <row r="9520">
      <c r="G9520" s="7"/>
    </row>
    <row r="9521">
      <c r="G9521" s="7"/>
    </row>
    <row r="9522">
      <c r="G9522" s="7"/>
    </row>
    <row r="9523">
      <c r="G9523" s="7"/>
    </row>
    <row r="9524">
      <c r="G9524" s="7"/>
    </row>
    <row r="9525">
      <c r="G9525" s="7"/>
    </row>
    <row r="9526">
      <c r="G9526" s="7"/>
    </row>
    <row r="9527">
      <c r="G9527" s="7"/>
    </row>
    <row r="9528">
      <c r="G9528" s="7"/>
    </row>
    <row r="9529">
      <c r="G9529" s="7"/>
    </row>
    <row r="9530">
      <c r="G9530" s="7"/>
    </row>
    <row r="9531">
      <c r="G9531" s="7"/>
    </row>
    <row r="9532">
      <c r="G9532" s="7"/>
    </row>
    <row r="9533">
      <c r="G9533" s="7"/>
    </row>
    <row r="9534">
      <c r="G9534" s="7"/>
    </row>
    <row r="9535">
      <c r="G9535" s="7"/>
    </row>
    <row r="9536">
      <c r="G9536" s="7"/>
    </row>
    <row r="9537">
      <c r="G9537" s="7"/>
    </row>
    <row r="9538">
      <c r="G9538" s="7"/>
    </row>
    <row r="9539">
      <c r="G9539" s="7"/>
    </row>
    <row r="9540">
      <c r="G9540" s="7"/>
    </row>
    <row r="9541">
      <c r="G9541" s="7"/>
    </row>
    <row r="9542">
      <c r="G9542" s="7"/>
    </row>
    <row r="9543">
      <c r="G9543" s="7"/>
    </row>
    <row r="9544">
      <c r="G9544" s="7"/>
    </row>
    <row r="9545">
      <c r="G9545" s="7"/>
    </row>
    <row r="9546">
      <c r="G9546" s="7"/>
    </row>
    <row r="9547">
      <c r="G9547" s="7"/>
    </row>
    <row r="9548">
      <c r="G9548" s="7"/>
    </row>
    <row r="9549">
      <c r="G9549" s="7"/>
    </row>
    <row r="9550">
      <c r="G9550" s="7"/>
    </row>
    <row r="9551">
      <c r="G9551" s="7"/>
    </row>
    <row r="9552">
      <c r="G9552" s="7"/>
    </row>
    <row r="9553">
      <c r="G9553" s="7"/>
    </row>
    <row r="9554">
      <c r="G9554" s="7"/>
    </row>
    <row r="9555">
      <c r="G9555" s="7"/>
    </row>
    <row r="9556">
      <c r="G9556" s="7"/>
    </row>
    <row r="9557">
      <c r="G9557" s="7"/>
    </row>
    <row r="9558">
      <c r="G9558" s="7"/>
    </row>
    <row r="9559">
      <c r="G9559" s="7"/>
    </row>
    <row r="9560">
      <c r="G9560" s="7"/>
    </row>
    <row r="9561">
      <c r="G9561" s="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8.71"/>
    <col customWidth="1" min="2" max="26" width="13.43"/>
  </cols>
  <sheetData>
    <row r="1">
      <c r="A1" s="16" t="s">
        <v>298</v>
      </c>
      <c r="B1" s="17" t="str">
        <f>from4c!B1</f>
        <v>M</v>
      </c>
      <c r="C1" s="17" t="str">
        <f>from4c!C1</f>
        <v>E</v>
      </c>
      <c r="D1" s="17" t="str">
        <f>from4c!D1</f>
        <v>K</v>
      </c>
      <c r="E1" s="17" t="str">
        <f>from4c!E1</f>
        <v>T</v>
      </c>
      <c r="F1" s="17" t="str">
        <f>from4c!F1</f>
        <v>L</v>
      </c>
      <c r="G1" s="17" t="str">
        <f>from4c!G1</f>
        <v>G</v>
      </c>
      <c r="H1" s="17" t="str">
        <f>from4c!H1</f>
        <v>I</v>
      </c>
      <c r="I1" s="17" t="str">
        <f>from4c!I1</f>
        <v>V</v>
      </c>
      <c r="J1" s="17" t="str">
        <f>from4c!J1</f>
        <v>N</v>
      </c>
      <c r="K1" s="17" t="str">
        <f>from4c!K1</f>
        <v>S</v>
      </c>
      <c r="L1" s="17" t="str">
        <f>from4c!L1</f>
        <v>F</v>
      </c>
      <c r="M1" s="17" t="str">
        <f>from4c!M1</f>
        <v>D</v>
      </c>
      <c r="N1" s="17" t="str">
        <f>from4c!N1</f>
        <v>Q</v>
      </c>
      <c r="O1" s="17" t="str">
        <f>from4c!O1</f>
        <v>Y</v>
      </c>
      <c r="P1" s="17" t="str">
        <f>from4c!P1</f>
        <v>C</v>
      </c>
      <c r="Q1" s="17" t="str">
        <f>from4c!Q1</f>
        <v>R</v>
      </c>
      <c r="R1" s="17" t="str">
        <f>from4c!R1</f>
        <v>H</v>
      </c>
      <c r="S1" s="17" t="str">
        <f>from4c!S1</f>
        <v>A</v>
      </c>
      <c r="T1" s="17" t="str">
        <f>from4c!T1</f>
        <v>P</v>
      </c>
      <c r="U1" s="17" t="str">
        <f>from4c!U1</f>
        <v>W</v>
      </c>
      <c r="V1" s="16"/>
      <c r="W1" s="16"/>
      <c r="X1" s="18"/>
      <c r="Y1" s="18"/>
      <c r="Z1" s="18"/>
    </row>
    <row r="2">
      <c r="A2" s="19" t="s">
        <v>304</v>
      </c>
      <c r="B2" s="20">
        <f>AVERAGE(from4c!B:B)</f>
        <v>1.772560215</v>
      </c>
      <c r="C2" s="20">
        <f>AVERAGE(from4c!C:C)</f>
        <v>6.016278924</v>
      </c>
      <c r="D2" s="20">
        <f>AVERAGE(from4c!D:D)</f>
        <v>10.76197297</v>
      </c>
      <c r="E2" s="20">
        <f>AVERAGE(from4c!E:E)</f>
        <v>5.037844622</v>
      </c>
      <c r="F2" s="20">
        <f>AVERAGE(from4c!F:F)</f>
        <v>10.17875762</v>
      </c>
      <c r="G2" s="20">
        <f>AVERAGE(from4c!G:G)</f>
        <v>4.368954183</v>
      </c>
      <c r="H2" s="20">
        <f>AVERAGE(from4c!H:H)</f>
        <v>10.56126367</v>
      </c>
      <c r="I2" s="20">
        <f>AVERAGE(from4c!I:I)</f>
        <v>5.768718441</v>
      </c>
      <c r="J2" s="20">
        <f>AVERAGE(from4c!J:J)</f>
        <v>7.751075657</v>
      </c>
      <c r="K2" s="20">
        <f>AVERAGE(from4c!K:K)</f>
        <v>6.306689964</v>
      </c>
      <c r="L2" s="20">
        <f>AVERAGE(from4c!L:L)</f>
        <v>4.864074189</v>
      </c>
      <c r="M2" s="20">
        <f>AVERAGE(from4c!M:M)</f>
        <v>5.590051873</v>
      </c>
      <c r="N2" s="20">
        <f>AVERAGE(from4c!N:N)</f>
        <v>3.924669209</v>
      </c>
      <c r="O2" s="20">
        <f>AVERAGE(from4c!O:O)</f>
        <v>4.067826764</v>
      </c>
      <c r="P2" s="20">
        <f>AVERAGE(from4c!P:P)</f>
        <v>0.6901608156</v>
      </c>
      <c r="Q2" s="20">
        <f>AVERAGE(from4c!Q:Q)</f>
        <v>2.666734954</v>
      </c>
      <c r="R2" s="20">
        <f>AVERAGE(from4c!R:R)</f>
        <v>1.63624165</v>
      </c>
      <c r="S2" s="20">
        <f>AVERAGE(from4c!S:S)</f>
        <v>4.694657085</v>
      </c>
      <c r="T2" s="20">
        <f>AVERAGE(from4c!T:T)</f>
        <v>2.453802891</v>
      </c>
      <c r="U2" s="20">
        <f>AVERAGE(from4c!U:U)</f>
        <v>0.8876643036</v>
      </c>
      <c r="V2" s="21"/>
      <c r="W2" s="21"/>
      <c r="X2" s="21"/>
      <c r="Y2" s="21"/>
      <c r="Z2" s="21"/>
    </row>
    <row r="3">
      <c r="A3" s="19" t="s">
        <v>313</v>
      </c>
      <c r="B3" s="20">
        <f>AVEDEV(from4c!B:B)</f>
        <v>0.6918031122</v>
      </c>
      <c r="C3" s="20">
        <f>AVEDEV(from4c!C:C)</f>
        <v>2.076834334</v>
      </c>
      <c r="D3" s="20">
        <f>AVEDEV(from4c!D:D)</f>
        <v>2.403430581</v>
      </c>
      <c r="E3" s="20">
        <f>AVEDEV(from4c!E:E)</f>
        <v>1.1482269</v>
      </c>
      <c r="F3" s="20">
        <f>AVEDEV(from4c!F:F)</f>
        <v>1.861614839</v>
      </c>
      <c r="G3" s="20">
        <f>AVEDEV(from4c!G:G)</f>
        <v>1.661953922</v>
      </c>
      <c r="H3" s="20">
        <f>AVEDEV(from4c!H:H)</f>
        <v>2.226258573</v>
      </c>
      <c r="I3" s="20">
        <f>AVEDEV(from4c!I:I)</f>
        <v>1.451261589</v>
      </c>
      <c r="J3" s="20">
        <f>AVEDEV(from4c!J:J)</f>
        <v>2.368830392</v>
      </c>
      <c r="K3" s="20">
        <f>AVEDEV(from4c!K:K)</f>
        <v>1.547208621</v>
      </c>
      <c r="L3" s="20">
        <f>AVEDEV(from4c!L:L)</f>
        <v>1.721913649</v>
      </c>
      <c r="M3" s="20">
        <f>AVEDEV(from4c!M:M)</f>
        <v>1.585888688</v>
      </c>
      <c r="N3" s="20">
        <f>AVEDEV(from4c!N:N)</f>
        <v>1.002341694</v>
      </c>
      <c r="O3" s="20">
        <f>AVEDEV(from4c!O:O)</f>
        <v>1.494409237</v>
      </c>
      <c r="P3" s="20">
        <f>AVEDEV(from4c!P:P)</f>
        <v>0.4765343529</v>
      </c>
      <c r="Q3" s="20">
        <f>AVEDEV(from4c!Q:Q)</f>
        <v>1.158651028</v>
      </c>
      <c r="R3" s="20">
        <f>AVEDEV(from4c!R:R)</f>
        <v>0.7446357473</v>
      </c>
      <c r="S3" s="20">
        <f>AVEDEV(from4c!S:S)</f>
        <v>1.567305342</v>
      </c>
      <c r="T3" s="20">
        <f>AVEDEV(from4c!T:T)</f>
        <v>0.9098509781</v>
      </c>
      <c r="U3" s="20">
        <f>AVEDEV(from4c!U:U)</f>
        <v>0.600212355</v>
      </c>
      <c r="V3" s="21"/>
      <c r="W3" s="21"/>
      <c r="X3" s="21"/>
      <c r="Y3" s="21"/>
      <c r="Z3" s="21"/>
    </row>
    <row r="4">
      <c r="A4" s="22"/>
      <c r="B4" s="20"/>
      <c r="C4" s="23"/>
      <c r="D4" s="23"/>
      <c r="E4" s="23"/>
      <c r="F4" s="23"/>
      <c r="G4" s="23"/>
      <c r="H4" s="23"/>
      <c r="I4" s="23"/>
      <c r="J4" s="23"/>
      <c r="K4" s="24"/>
      <c r="L4" s="21"/>
      <c r="M4" s="23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22"/>
      <c r="B5" s="20"/>
      <c r="C5" s="23"/>
      <c r="D5" s="23"/>
      <c r="E5" s="23"/>
      <c r="F5" s="23"/>
      <c r="G5" s="23"/>
      <c r="H5" s="23"/>
      <c r="I5" s="23"/>
      <c r="J5" s="23"/>
      <c r="K5" s="24"/>
      <c r="L5" s="21"/>
      <c r="M5" s="23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22"/>
      <c r="B6" s="20"/>
      <c r="C6" s="23"/>
      <c r="D6" s="23"/>
      <c r="E6" s="23"/>
      <c r="F6" s="23"/>
      <c r="G6" s="23"/>
      <c r="H6" s="23"/>
      <c r="I6" s="23"/>
      <c r="J6" s="23"/>
      <c r="K6" s="24"/>
      <c r="L6" s="21"/>
      <c r="M6" s="23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22"/>
      <c r="B7" s="20"/>
      <c r="C7" s="23"/>
      <c r="D7" s="23"/>
      <c r="E7" s="23"/>
      <c r="F7" s="23"/>
      <c r="G7" s="23"/>
      <c r="H7" s="23"/>
      <c r="I7" s="23"/>
      <c r="J7" s="23"/>
      <c r="K7" s="24"/>
      <c r="L7" s="21"/>
      <c r="M7" s="23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22"/>
      <c r="B8" s="20"/>
      <c r="C8" s="23"/>
      <c r="D8" s="23"/>
      <c r="E8" s="23"/>
      <c r="F8" s="23"/>
      <c r="G8" s="23"/>
      <c r="H8" s="23"/>
      <c r="I8" s="23"/>
      <c r="J8" s="23"/>
      <c r="K8" s="24"/>
      <c r="L8" s="21"/>
      <c r="M8" s="23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22"/>
      <c r="B9" s="20"/>
      <c r="C9" s="23"/>
      <c r="D9" s="23"/>
      <c r="E9" s="23"/>
      <c r="F9" s="23"/>
      <c r="G9" s="23"/>
      <c r="H9" s="23"/>
      <c r="I9" s="23"/>
      <c r="J9" s="23"/>
      <c r="K9" s="24"/>
      <c r="L9" s="21"/>
      <c r="M9" s="23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22"/>
      <c r="B10" s="20"/>
      <c r="C10" s="23"/>
      <c r="D10" s="23"/>
      <c r="E10" s="23"/>
      <c r="F10" s="23"/>
      <c r="G10" s="23"/>
      <c r="H10" s="23"/>
      <c r="I10" s="23"/>
      <c r="J10" s="23"/>
      <c r="K10" s="24"/>
      <c r="L10" s="21"/>
      <c r="M10" s="23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22"/>
      <c r="B11" s="20"/>
      <c r="C11" s="23"/>
      <c r="D11" s="23"/>
      <c r="E11" s="23"/>
      <c r="F11" s="23"/>
      <c r="G11" s="23"/>
      <c r="H11" s="23"/>
      <c r="I11" s="23"/>
      <c r="J11" s="23"/>
      <c r="K11" s="24"/>
      <c r="L11" s="21"/>
      <c r="M11" s="23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22"/>
      <c r="B12" s="20"/>
      <c r="C12" s="23"/>
      <c r="D12" s="23"/>
      <c r="E12" s="23"/>
      <c r="F12" s="23"/>
      <c r="G12" s="23"/>
      <c r="H12" s="23"/>
      <c r="I12" s="23"/>
      <c r="J12" s="23"/>
      <c r="K12" s="24"/>
      <c r="L12" s="21"/>
      <c r="M12" s="23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22"/>
      <c r="B13" s="20"/>
      <c r="C13" s="23"/>
      <c r="D13" s="23"/>
      <c r="E13" s="23"/>
      <c r="F13" s="23"/>
      <c r="G13" s="23"/>
      <c r="H13" s="23"/>
      <c r="I13" s="23"/>
      <c r="J13" s="23"/>
      <c r="K13" s="24"/>
      <c r="L13" s="21"/>
      <c r="M13" s="23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22"/>
      <c r="B14" s="20"/>
      <c r="C14" s="23"/>
      <c r="D14" s="23"/>
      <c r="E14" s="23"/>
      <c r="F14" s="23"/>
      <c r="G14" s="23"/>
      <c r="H14" s="23"/>
      <c r="I14" s="23"/>
      <c r="J14" s="23"/>
      <c r="K14" s="24"/>
      <c r="L14" s="21"/>
      <c r="M14" s="23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22"/>
      <c r="B15" s="20"/>
      <c r="C15" s="23"/>
      <c r="D15" s="23"/>
      <c r="E15" s="23"/>
      <c r="F15" s="23"/>
      <c r="G15" s="23"/>
      <c r="H15" s="23"/>
      <c r="I15" s="23"/>
      <c r="J15" s="23"/>
      <c r="K15" s="24"/>
      <c r="L15" s="21"/>
      <c r="M15" s="23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22"/>
      <c r="B16" s="20"/>
      <c r="C16" s="23"/>
      <c r="D16" s="21"/>
      <c r="E16" s="21"/>
      <c r="F16" s="21"/>
      <c r="G16" s="21"/>
      <c r="H16" s="21"/>
      <c r="I16" s="21"/>
      <c r="J16" s="21"/>
      <c r="K16" s="24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22"/>
      <c r="B17" s="20"/>
      <c r="C17" s="23"/>
      <c r="D17" s="21"/>
      <c r="E17" s="21"/>
      <c r="F17" s="21"/>
      <c r="G17" s="21"/>
      <c r="H17" s="21"/>
      <c r="I17" s="21"/>
      <c r="J17" s="21"/>
      <c r="K17" s="24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2"/>
      <c r="B18" s="20"/>
      <c r="C18" s="23"/>
      <c r="D18" s="21"/>
      <c r="E18" s="21"/>
      <c r="F18" s="21"/>
      <c r="G18" s="21"/>
      <c r="H18" s="21"/>
      <c r="I18" s="21"/>
      <c r="J18" s="21"/>
      <c r="K18" s="24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2"/>
      <c r="B19" s="20"/>
      <c r="C19" s="23"/>
      <c r="D19" s="21"/>
      <c r="E19" s="21"/>
      <c r="F19" s="21"/>
      <c r="G19" s="21"/>
      <c r="H19" s="21"/>
      <c r="I19" s="21"/>
      <c r="J19" s="21"/>
      <c r="K19" s="24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2"/>
      <c r="B20" s="20"/>
      <c r="C20" s="23"/>
      <c r="D20" s="21"/>
      <c r="E20" s="21"/>
      <c r="F20" s="21"/>
      <c r="G20" s="21"/>
      <c r="H20" s="21"/>
      <c r="I20" s="21"/>
      <c r="J20" s="21"/>
      <c r="K20" s="24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2"/>
      <c r="B21" s="20"/>
      <c r="C21" s="23"/>
      <c r="D21" s="21"/>
      <c r="E21" s="21"/>
      <c r="F21" s="21"/>
      <c r="G21" s="21"/>
      <c r="H21" s="21"/>
      <c r="I21" s="21"/>
      <c r="J21" s="21"/>
      <c r="K21" s="24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3"/>
      <c r="B22" s="20"/>
      <c r="C22" s="20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3"/>
      <c r="B23" s="20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3"/>
      <c r="B24" s="20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3"/>
      <c r="B25" s="20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3"/>
      <c r="B26" s="20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3"/>
      <c r="B27" s="20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3"/>
      <c r="B28" s="20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3"/>
      <c r="B29" s="20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3"/>
      <c r="B30" s="20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3"/>
      <c r="B31" s="20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3"/>
      <c r="B32" s="20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3"/>
      <c r="B33" s="20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3"/>
      <c r="B34" s="20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3"/>
      <c r="B35" s="20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3"/>
      <c r="B36" s="20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3"/>
      <c r="B37" s="20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3"/>
      <c r="B38" s="20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3"/>
      <c r="B39" s="20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3"/>
      <c r="B40" s="20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3"/>
      <c r="B41" s="20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3"/>
      <c r="B42" s="20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3"/>
      <c r="B43" s="20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3"/>
      <c r="B44" s="20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3"/>
      <c r="B45" s="20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3"/>
      <c r="B46" s="20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3"/>
      <c r="B47" s="20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3"/>
      <c r="B48" s="20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3"/>
      <c r="B49" s="20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3"/>
      <c r="B50" s="20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3"/>
      <c r="B51" s="20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3"/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3"/>
      <c r="B53" s="20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3"/>
      <c r="B54" s="20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3"/>
      <c r="B55" s="20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3"/>
      <c r="B56" s="20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3"/>
      <c r="B57" s="20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3"/>
      <c r="B58" s="20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3"/>
      <c r="B59" s="20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3"/>
      <c r="B60" s="20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3"/>
      <c r="B61" s="20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3"/>
      <c r="B62" s="20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3"/>
      <c r="B63" s="20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3"/>
      <c r="B64" s="20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3"/>
      <c r="B65" s="20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3"/>
      <c r="B66" s="20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3"/>
      <c r="B67" s="20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3"/>
      <c r="B68" s="20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3"/>
      <c r="B69" s="20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3"/>
      <c r="B70" s="20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3"/>
      <c r="B71" s="20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3"/>
      <c r="B72" s="20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3"/>
      <c r="B73" s="20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3"/>
      <c r="B74" s="20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3"/>
      <c r="B75" s="20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3"/>
      <c r="B76" s="20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3"/>
      <c r="B77" s="20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3"/>
      <c r="B78" s="20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3"/>
      <c r="B79" s="20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3"/>
      <c r="B80" s="20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3"/>
      <c r="B81" s="20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3"/>
      <c r="B82" s="20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3"/>
      <c r="B83" s="20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3"/>
      <c r="B84" s="20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3"/>
      <c r="B85" s="20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3"/>
      <c r="B86" s="20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3"/>
      <c r="B87" s="20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3"/>
      <c r="B88" s="20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3"/>
      <c r="B89" s="20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3"/>
      <c r="B90" s="20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3"/>
      <c r="B91" s="20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3"/>
      <c r="B92" s="20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3"/>
      <c r="B93" s="20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3"/>
      <c r="B94" s="20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3"/>
      <c r="B95" s="20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3"/>
      <c r="B96" s="20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3"/>
      <c r="B97" s="20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3"/>
      <c r="B98" s="20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3"/>
      <c r="B99" s="20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3"/>
      <c r="B100" s="20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3"/>
      <c r="B101" s="20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3"/>
      <c r="B102" s="20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0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0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0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0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0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0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0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0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0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0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0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0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0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0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0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0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0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0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0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0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0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0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0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0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0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0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0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0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0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0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0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0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0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0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0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0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0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0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0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0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0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0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0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0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0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0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0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0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0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0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0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0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0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0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0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0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0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0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0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0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0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0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0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0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0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0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0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0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0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0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0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0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0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0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0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0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0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0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0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0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0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0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0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0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0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0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0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0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0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0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0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0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0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0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0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0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0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0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0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0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0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0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0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0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0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0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0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0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0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0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0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0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0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0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0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0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0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0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0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0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0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0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0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0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0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0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0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0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0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0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0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0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0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0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0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0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0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0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0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0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0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0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0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0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0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0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0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0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0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0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0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0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0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0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0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0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0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0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0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0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0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0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0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0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0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0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0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0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0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0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0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0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0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0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0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0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0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0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0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0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0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0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0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0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0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0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0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0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0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0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0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0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0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0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0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0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0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0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0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0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0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0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0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0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0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0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0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0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0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0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0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0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0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0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0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0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0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0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0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0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0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0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0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0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0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0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0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0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0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0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0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0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0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0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0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0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0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0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0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0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0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0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0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0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0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0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0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0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0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0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0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0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0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0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0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0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0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0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0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0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0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0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0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0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0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0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0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0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0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0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0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0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0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0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0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0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0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0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0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0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0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0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0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0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0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0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0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0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0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0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0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0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0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0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0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0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0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0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0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0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0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0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0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0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0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0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0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0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0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0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0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0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0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0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0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0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0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0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0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0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0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0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0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0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0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0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0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0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0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0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0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0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0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0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0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0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0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0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0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0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0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0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0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0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0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0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0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0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0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0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0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0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0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0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0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0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0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0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0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0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0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0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0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0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0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0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0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0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0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0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0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0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0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0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0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0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0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0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0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0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0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0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0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0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0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0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0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0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0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0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0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0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0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0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0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0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0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0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0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0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0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0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0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0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0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0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0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0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0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0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0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0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0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0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0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0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0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0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0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0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0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0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0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0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0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0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0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0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0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0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0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0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0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0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0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0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0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0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0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0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0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0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0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0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0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0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0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0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0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0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0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0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0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0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0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0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0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0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0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0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0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0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0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0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0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0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0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0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0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0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0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0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0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0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0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0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0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0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0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0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0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0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0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0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0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0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0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0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0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0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0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0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0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0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0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0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0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0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0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0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0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0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0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0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0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0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0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0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0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0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0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0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0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0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0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0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0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0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0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0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0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0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0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0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0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0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0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0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0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0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0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0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0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0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0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0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0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0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0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0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0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0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0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0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0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0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0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0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0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0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0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0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0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0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0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0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0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0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0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0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0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0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0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0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0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0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0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0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0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0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0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0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0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0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0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0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0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0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0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0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0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0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0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0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0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0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0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0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0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0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0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0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0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0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0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0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0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0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0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0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0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0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0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0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0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0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0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0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0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0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0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0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0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0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0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0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0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0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0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0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0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0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0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0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0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0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0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0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0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0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0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0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0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0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0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0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0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0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0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0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0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0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0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0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0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0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0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0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0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0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0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0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0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0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0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0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0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0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0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0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0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0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0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0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0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0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0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0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0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0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0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0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0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0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0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0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0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0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0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0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0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0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0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0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0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0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0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0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0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0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0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0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0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0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0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0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0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0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0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0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0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0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0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0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0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0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0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0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0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0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0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0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0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0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0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0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0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0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0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0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0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0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0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0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0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0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0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0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0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0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0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0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0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0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0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0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0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0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0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0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0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0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0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0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0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0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0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0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0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0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0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0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0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0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0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0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0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0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0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0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0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0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0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0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0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0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0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0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0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0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0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0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0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0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0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0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0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0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0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0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0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0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0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0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0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0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0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0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0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0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0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0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0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0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0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0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0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0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0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0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0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0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0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0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0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0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0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0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0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0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0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0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0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0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0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0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0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0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0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0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0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0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0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0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0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0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0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0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0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0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0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0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0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0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0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0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0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0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0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0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0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0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0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0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0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0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0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0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0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0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0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0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0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0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0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0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0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0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0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0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0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0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0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0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0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0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0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0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0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0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0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0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0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0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0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0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0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0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0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0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0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0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0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0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0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0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0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0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0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0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0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0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0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0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0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0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6" t="s">
        <v>589</v>
      </c>
      <c r="B1" s="26" t="s">
        <v>590</v>
      </c>
      <c r="C1" s="27" t="s">
        <v>591</v>
      </c>
      <c r="D1" s="27" t="s">
        <v>592</v>
      </c>
      <c r="E1" s="27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</row>
    <row r="2">
      <c r="A2" s="29">
        <v>213.0</v>
      </c>
      <c r="B2" s="29">
        <v>1.0</v>
      </c>
      <c r="C2" s="30" t="str">
        <f t="shared" ref="C2:C2794" si="1">IF(A2 &lt; B2, "+", "-")</f>
        <v>-</v>
      </c>
      <c r="D2" s="31">
        <v>1.0</v>
      </c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</row>
    <row r="3">
      <c r="A3" s="29">
        <v>608.0</v>
      </c>
      <c r="B3" s="29">
        <v>210.0</v>
      </c>
      <c r="C3" s="30" t="str">
        <f t="shared" si="1"/>
        <v>-</v>
      </c>
      <c r="D3" s="29">
        <f t="shared" ref="D3:D2794" si="2">IF(C2 = C3, D2, D2 + 1)</f>
        <v>1</v>
      </c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</row>
    <row r="4">
      <c r="A4" s="29">
        <v>715.0</v>
      </c>
      <c r="B4" s="29">
        <v>1347.0</v>
      </c>
      <c r="C4" s="30" t="str">
        <f t="shared" si="1"/>
        <v>+</v>
      </c>
      <c r="D4" s="29">
        <f t="shared" si="2"/>
        <v>2</v>
      </c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</row>
    <row r="5">
      <c r="A5" s="29">
        <v>1234.0</v>
      </c>
      <c r="B5" s="29">
        <v>605.0</v>
      </c>
      <c r="C5" s="30" t="str">
        <f t="shared" si="1"/>
        <v>-</v>
      </c>
      <c r="D5" s="29">
        <f t="shared" si="2"/>
        <v>3</v>
      </c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</row>
    <row r="6">
      <c r="A6" s="29">
        <v>1340.0</v>
      </c>
      <c r="B6" s="29">
        <v>1615.0</v>
      </c>
      <c r="C6" s="30" t="str">
        <f t="shared" si="1"/>
        <v>+</v>
      </c>
      <c r="D6" s="29">
        <f t="shared" si="2"/>
        <v>4</v>
      </c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</row>
    <row r="7">
      <c r="A7" s="29">
        <v>1617.0</v>
      </c>
      <c r="B7" s="29">
        <v>1736.0</v>
      </c>
      <c r="C7" s="30" t="str">
        <f t="shared" si="1"/>
        <v>+</v>
      </c>
      <c r="D7" s="29">
        <f t="shared" si="2"/>
        <v>4</v>
      </c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</row>
    <row r="8">
      <c r="A8" s="29">
        <v>1991.0</v>
      </c>
      <c r="B8" s="29">
        <v>1239.0</v>
      </c>
      <c r="C8" s="30" t="str">
        <f t="shared" si="1"/>
        <v>-</v>
      </c>
      <c r="D8" s="29">
        <f t="shared" si="2"/>
        <v>5</v>
      </c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</row>
    <row r="9">
      <c r="A9" s="29">
        <v>2040.0</v>
      </c>
      <c r="B9" s="29">
        <v>1747.0</v>
      </c>
      <c r="C9" s="30" t="str">
        <f t="shared" si="1"/>
        <v>-</v>
      </c>
      <c r="D9" s="29">
        <f t="shared" si="2"/>
        <v>5</v>
      </c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</row>
    <row r="10">
      <c r="A10" s="29">
        <v>2338.0</v>
      </c>
      <c r="B10" s="29">
        <v>2033.0</v>
      </c>
      <c r="C10" s="30" t="str">
        <f t="shared" si="1"/>
        <v>-</v>
      </c>
      <c r="D10" s="29">
        <f t="shared" si="2"/>
        <v>5</v>
      </c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</row>
    <row r="11">
      <c r="A11" s="29">
        <v>2434.0</v>
      </c>
      <c r="B11" s="29">
        <v>2661.0</v>
      </c>
      <c r="C11" s="30" t="str">
        <f t="shared" si="1"/>
        <v>+</v>
      </c>
      <c r="D11" s="29">
        <f t="shared" si="2"/>
        <v>6</v>
      </c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</row>
    <row r="12">
      <c r="A12" s="29">
        <v>2654.0</v>
      </c>
      <c r="B12" s="29">
        <v>2872.0</v>
      </c>
      <c r="C12" s="30" t="str">
        <f t="shared" si="1"/>
        <v>+</v>
      </c>
      <c r="D12" s="29">
        <f t="shared" si="2"/>
        <v>6</v>
      </c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</row>
    <row r="13">
      <c r="A13" s="29">
        <v>2883.0</v>
      </c>
      <c r="B13" s="29">
        <v>3200.0</v>
      </c>
      <c r="C13" s="30" t="str">
        <f t="shared" si="1"/>
        <v>+</v>
      </c>
      <c r="D13" s="29">
        <f t="shared" si="2"/>
        <v>6</v>
      </c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</row>
    <row r="14">
      <c r="A14" s="29">
        <v>3038.0</v>
      </c>
      <c r="B14" s="29">
        <v>3955.0</v>
      </c>
      <c r="C14" s="30" t="str">
        <f t="shared" si="1"/>
        <v>+</v>
      </c>
      <c r="D14" s="29">
        <f t="shared" si="2"/>
        <v>6</v>
      </c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</row>
    <row r="15">
      <c r="A15" s="29">
        <v>3193.0</v>
      </c>
      <c r="B15" s="29">
        <v>3438.0</v>
      </c>
      <c r="C15" s="30" t="str">
        <f t="shared" si="1"/>
        <v>+</v>
      </c>
      <c r="D15" s="29">
        <f t="shared" si="2"/>
        <v>6</v>
      </c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</row>
    <row r="16">
      <c r="A16" s="29">
        <v>3435.0</v>
      </c>
      <c r="B16" s="29">
        <v>3668.0</v>
      </c>
      <c r="C16" s="30" t="str">
        <f t="shared" si="1"/>
        <v>+</v>
      </c>
      <c r="D16" s="29">
        <f t="shared" si="2"/>
        <v>6</v>
      </c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</row>
    <row r="17">
      <c r="A17" s="29">
        <v>3691.0</v>
      </c>
      <c r="B17" s="29">
        <v>4017.0</v>
      </c>
      <c r="C17" s="30" t="str">
        <f t="shared" si="1"/>
        <v>+</v>
      </c>
      <c r="D17" s="29">
        <f t="shared" si="2"/>
        <v>6</v>
      </c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</row>
    <row r="18">
      <c r="A18" s="29">
        <v>4253.0</v>
      </c>
      <c r="B18" s="29">
        <v>4567.0</v>
      </c>
      <c r="C18" s="30" t="str">
        <f t="shared" si="1"/>
        <v>+</v>
      </c>
      <c r="D18" s="29">
        <f t="shared" si="2"/>
        <v>6</v>
      </c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</row>
    <row r="19">
      <c r="A19" s="29">
        <v>4682.0</v>
      </c>
      <c r="B19" s="29">
        <v>4798.0</v>
      </c>
      <c r="C19" s="30" t="str">
        <f t="shared" si="1"/>
        <v>+</v>
      </c>
      <c r="D19" s="29">
        <f t="shared" si="2"/>
        <v>6</v>
      </c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</row>
    <row r="20">
      <c r="A20" s="29">
        <v>4780.0</v>
      </c>
      <c r="B20" s="29">
        <v>5151.0</v>
      </c>
      <c r="C20" s="30" t="str">
        <f t="shared" si="1"/>
        <v>+</v>
      </c>
      <c r="D20" s="29">
        <f t="shared" si="2"/>
        <v>6</v>
      </c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</row>
    <row r="21">
      <c r="A21" s="29">
        <v>5148.0</v>
      </c>
      <c r="B21" s="29">
        <v>5864.0</v>
      </c>
      <c r="C21" s="30" t="str">
        <f t="shared" si="1"/>
        <v>+</v>
      </c>
      <c r="D21" s="29">
        <f t="shared" si="2"/>
        <v>6</v>
      </c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</row>
    <row r="22">
      <c r="A22" s="29">
        <v>5345.0</v>
      </c>
      <c r="B22" s="29">
        <v>3978.0</v>
      </c>
      <c r="C22" s="30" t="str">
        <f t="shared" si="1"/>
        <v>-</v>
      </c>
      <c r="D22" s="29">
        <f t="shared" si="2"/>
        <v>7</v>
      </c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</row>
    <row r="23">
      <c r="A23" s="29">
        <v>5779.0</v>
      </c>
      <c r="B23" s="29">
        <v>5399.0</v>
      </c>
      <c r="C23" s="30" t="str">
        <f t="shared" si="1"/>
        <v>-</v>
      </c>
      <c r="D23" s="29">
        <f t="shared" si="2"/>
        <v>7</v>
      </c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</row>
    <row r="24">
      <c r="A24" s="29">
        <v>5861.0</v>
      </c>
      <c r="B24" s="29">
        <v>6169.0</v>
      </c>
      <c r="C24" s="30" t="str">
        <f t="shared" si="1"/>
        <v>+</v>
      </c>
      <c r="D24" s="29">
        <f t="shared" si="2"/>
        <v>8</v>
      </c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</row>
    <row r="25">
      <c r="A25" s="29">
        <v>6179.0</v>
      </c>
      <c r="B25" s="29">
        <v>6850.0</v>
      </c>
      <c r="C25" s="30" t="str">
        <f t="shared" si="1"/>
        <v>+</v>
      </c>
      <c r="D25" s="29">
        <f t="shared" si="2"/>
        <v>8</v>
      </c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</row>
    <row r="26">
      <c r="A26" s="29">
        <v>6258.0</v>
      </c>
      <c r="B26" s="29">
        <v>5875.0</v>
      </c>
      <c r="C26" s="30" t="str">
        <f t="shared" si="1"/>
        <v>-</v>
      </c>
      <c r="D26" s="29">
        <f t="shared" si="2"/>
        <v>9</v>
      </c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</row>
    <row r="27">
      <c r="A27" s="29">
        <v>6533.0</v>
      </c>
      <c r="B27" s="29">
        <v>6715.0</v>
      </c>
      <c r="C27" s="30" t="str">
        <f t="shared" si="1"/>
        <v>+</v>
      </c>
      <c r="D27" s="29">
        <f t="shared" si="2"/>
        <v>10</v>
      </c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</row>
    <row r="28">
      <c r="A28" s="29">
        <v>6773.0</v>
      </c>
      <c r="B28" s="29">
        <v>9457.0</v>
      </c>
      <c r="C28" s="30" t="str">
        <f t="shared" si="1"/>
        <v>+</v>
      </c>
      <c r="D28" s="29">
        <f t="shared" si="2"/>
        <v>10</v>
      </c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</row>
    <row r="29">
      <c r="A29" s="29">
        <v>6887.0</v>
      </c>
      <c r="B29" s="29">
        <v>7051.0</v>
      </c>
      <c r="C29" s="30" t="str">
        <f t="shared" si="1"/>
        <v>+</v>
      </c>
      <c r="D29" s="29">
        <f t="shared" si="2"/>
        <v>10</v>
      </c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</row>
    <row r="30">
      <c r="A30" s="29">
        <v>7060.0</v>
      </c>
      <c r="B30" s="29">
        <v>7986.0</v>
      </c>
      <c r="C30" s="30" t="str">
        <f t="shared" si="1"/>
        <v>+</v>
      </c>
      <c r="D30" s="29">
        <f t="shared" si="2"/>
        <v>10</v>
      </c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</row>
    <row r="31">
      <c r="A31" s="29">
        <v>8057.0</v>
      </c>
      <c r="B31" s="29">
        <v>8899.0</v>
      </c>
      <c r="C31" s="30" t="str">
        <f t="shared" si="1"/>
        <v>+</v>
      </c>
      <c r="D31" s="29">
        <f t="shared" si="2"/>
        <v>10</v>
      </c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</row>
    <row r="32">
      <c r="A32" s="29">
        <v>8901.0</v>
      </c>
      <c r="B32" s="29">
        <v>10382.0</v>
      </c>
      <c r="C32" s="30" t="str">
        <f t="shared" si="1"/>
        <v>+</v>
      </c>
      <c r="D32" s="29">
        <f t="shared" si="2"/>
        <v>10</v>
      </c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</row>
    <row r="33">
      <c r="A33" s="29">
        <v>9414.0</v>
      </c>
      <c r="B33" s="29">
        <v>9749.0</v>
      </c>
      <c r="C33" s="30" t="str">
        <f t="shared" si="1"/>
        <v>+</v>
      </c>
      <c r="D33" s="29">
        <f t="shared" si="2"/>
        <v>10</v>
      </c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</row>
    <row r="34">
      <c r="A34" s="29">
        <v>9746.0</v>
      </c>
      <c r="B34" s="29">
        <v>12829.0</v>
      </c>
      <c r="C34" s="30" t="str">
        <f t="shared" si="1"/>
        <v>+</v>
      </c>
      <c r="D34" s="29">
        <f t="shared" si="2"/>
        <v>10</v>
      </c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</row>
    <row r="35">
      <c r="A35" s="29">
        <v>10379.0</v>
      </c>
      <c r="B35" s="29">
        <v>10492.0</v>
      </c>
      <c r="C35" s="30" t="str">
        <f t="shared" si="1"/>
        <v>+</v>
      </c>
      <c r="D35" s="29">
        <f t="shared" si="2"/>
        <v>10</v>
      </c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</row>
    <row r="36">
      <c r="A36" s="29">
        <v>10496.0</v>
      </c>
      <c r="B36" s="29">
        <v>11026.0</v>
      </c>
      <c r="C36" s="30" t="str">
        <f t="shared" si="1"/>
        <v>+</v>
      </c>
      <c r="D36" s="29">
        <f t="shared" si="2"/>
        <v>10</v>
      </c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</row>
    <row r="37">
      <c r="A37" s="29">
        <v>11090.0</v>
      </c>
      <c r="B37" s="29">
        <v>11377.0</v>
      </c>
      <c r="C37" s="30" t="str">
        <f t="shared" si="1"/>
        <v>+</v>
      </c>
      <c r="D37" s="29">
        <f t="shared" si="2"/>
        <v>10</v>
      </c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</row>
    <row r="38">
      <c r="A38" s="29">
        <v>11469.0</v>
      </c>
      <c r="B38" s="29">
        <v>11741.0</v>
      </c>
      <c r="C38" s="30" t="str">
        <f t="shared" si="1"/>
        <v>+</v>
      </c>
      <c r="D38" s="29">
        <f t="shared" si="2"/>
        <v>10</v>
      </c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</row>
    <row r="39">
      <c r="A39" s="29">
        <v>11810.0</v>
      </c>
      <c r="B39" s="29">
        <v>12103.0</v>
      </c>
      <c r="C39" s="30" t="str">
        <f t="shared" si="1"/>
        <v>+</v>
      </c>
      <c r="D39" s="29">
        <f t="shared" si="2"/>
        <v>10</v>
      </c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</row>
    <row r="40">
      <c r="A40" s="29">
        <v>12208.0</v>
      </c>
      <c r="B40" s="29">
        <v>13545.0</v>
      </c>
      <c r="C40" s="30" t="str">
        <f t="shared" si="1"/>
        <v>+</v>
      </c>
      <c r="D40" s="29">
        <f t="shared" si="2"/>
        <v>10</v>
      </c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</row>
    <row r="41">
      <c r="A41" s="29">
        <v>12829.0</v>
      </c>
      <c r="B41" s="29">
        <v>13242.0</v>
      </c>
      <c r="C41" s="30" t="str">
        <f t="shared" si="1"/>
        <v>+</v>
      </c>
      <c r="D41" s="29">
        <f t="shared" si="2"/>
        <v>10</v>
      </c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</row>
    <row r="42">
      <c r="A42" s="29">
        <v>13227.0</v>
      </c>
      <c r="B42" s="29">
        <v>15641.0</v>
      </c>
      <c r="C42" s="30" t="str">
        <f t="shared" si="1"/>
        <v>+</v>
      </c>
      <c r="D42" s="29">
        <f t="shared" si="2"/>
        <v>10</v>
      </c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</row>
    <row r="43">
      <c r="A43" s="29">
        <v>13526.0</v>
      </c>
      <c r="B43" s="29">
        <v>13807.0</v>
      </c>
      <c r="C43" s="30" t="str">
        <f t="shared" si="1"/>
        <v>+</v>
      </c>
      <c r="D43" s="29">
        <f t="shared" si="2"/>
        <v>10</v>
      </c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</row>
    <row r="44">
      <c r="A44" s="29">
        <v>13831.0</v>
      </c>
      <c r="B44" s="29">
        <v>14178.0</v>
      </c>
      <c r="C44" s="30" t="str">
        <f t="shared" si="1"/>
        <v>+</v>
      </c>
      <c r="D44" s="29">
        <f t="shared" si="2"/>
        <v>10</v>
      </c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</row>
    <row r="45">
      <c r="A45" s="29">
        <v>14190.0</v>
      </c>
      <c r="B45" s="29">
        <v>14372.0</v>
      </c>
      <c r="C45" s="30" t="str">
        <f t="shared" si="1"/>
        <v>+</v>
      </c>
      <c r="D45" s="29">
        <f t="shared" si="2"/>
        <v>10</v>
      </c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</row>
    <row r="46">
      <c r="A46" s="29">
        <v>14423.0</v>
      </c>
      <c r="B46" s="29">
        <v>14947.0</v>
      </c>
      <c r="C46" s="30" t="str">
        <f t="shared" si="1"/>
        <v>+</v>
      </c>
      <c r="D46" s="29">
        <f t="shared" si="2"/>
        <v>10</v>
      </c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</row>
    <row r="47">
      <c r="A47" s="29">
        <v>14996.0</v>
      </c>
      <c r="B47" s="29">
        <v>15319.0</v>
      </c>
      <c r="C47" s="30" t="str">
        <f t="shared" si="1"/>
        <v>+</v>
      </c>
      <c r="D47" s="29">
        <f t="shared" si="2"/>
        <v>10</v>
      </c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</row>
    <row r="48">
      <c r="A48" s="29">
        <v>15309.0</v>
      </c>
      <c r="B48" s="29">
        <v>16403.0</v>
      </c>
      <c r="C48" s="30" t="str">
        <f t="shared" si="1"/>
        <v>+</v>
      </c>
      <c r="D48" s="29">
        <f t="shared" si="2"/>
        <v>10</v>
      </c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</row>
    <row r="49">
      <c r="A49" s="29">
        <v>15700.0</v>
      </c>
      <c r="B49" s="29">
        <v>15837.0</v>
      </c>
      <c r="C49" s="30" t="str">
        <f t="shared" si="1"/>
        <v>+</v>
      </c>
      <c r="D49" s="29">
        <f t="shared" si="2"/>
        <v>10</v>
      </c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</row>
    <row r="50">
      <c r="A50" s="29">
        <v>15895.0</v>
      </c>
      <c r="B50" s="29">
        <v>16017.0</v>
      </c>
      <c r="C50" s="30" t="str">
        <f t="shared" si="1"/>
        <v>+</v>
      </c>
      <c r="D50" s="29">
        <f t="shared" si="2"/>
        <v>10</v>
      </c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</row>
    <row r="51">
      <c r="A51" s="29">
        <v>16145.0</v>
      </c>
      <c r="B51" s="29">
        <v>19255.0</v>
      </c>
      <c r="C51" s="30" t="str">
        <f t="shared" si="1"/>
        <v>+</v>
      </c>
      <c r="D51" s="29">
        <f t="shared" si="2"/>
        <v>10</v>
      </c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</row>
    <row r="52">
      <c r="A52" s="29">
        <v>16403.0</v>
      </c>
      <c r="B52" s="29">
        <v>16549.0</v>
      </c>
      <c r="C52" s="30" t="str">
        <f t="shared" si="1"/>
        <v>+</v>
      </c>
      <c r="D52" s="29">
        <f t="shared" si="2"/>
        <v>10</v>
      </c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</row>
    <row r="53">
      <c r="A53" s="29">
        <v>16551.0</v>
      </c>
      <c r="B53" s="29">
        <v>16802.0</v>
      </c>
      <c r="C53" s="30" t="str">
        <f t="shared" si="1"/>
        <v>+</v>
      </c>
      <c r="D53" s="29">
        <f t="shared" si="2"/>
        <v>10</v>
      </c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</row>
    <row r="54">
      <c r="A54" s="29">
        <v>19853.0</v>
      </c>
      <c r="B54" s="29">
        <v>19635.0</v>
      </c>
      <c r="C54" s="30" t="str">
        <f t="shared" si="1"/>
        <v>-</v>
      </c>
      <c r="D54" s="29">
        <f t="shared" si="2"/>
        <v>11</v>
      </c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</row>
    <row r="55">
      <c r="A55" s="29">
        <v>20094.0</v>
      </c>
      <c r="B55" s="29">
        <v>20414.0</v>
      </c>
      <c r="C55" s="30" t="str">
        <f t="shared" si="1"/>
        <v>+</v>
      </c>
      <c r="D55" s="29">
        <f t="shared" si="2"/>
        <v>12</v>
      </c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</row>
    <row r="56">
      <c r="A56" s="29">
        <v>20636.0</v>
      </c>
      <c r="B56" s="29">
        <v>21430.0</v>
      </c>
      <c r="C56" s="30" t="str">
        <f t="shared" si="1"/>
        <v>+</v>
      </c>
      <c r="D56" s="29">
        <f t="shared" si="2"/>
        <v>12</v>
      </c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</row>
    <row r="57">
      <c r="A57" s="29">
        <v>21470.0</v>
      </c>
      <c r="B57" s="29">
        <v>21697.0</v>
      </c>
      <c r="C57" s="30" t="str">
        <f t="shared" si="1"/>
        <v>+</v>
      </c>
      <c r="D57" s="29">
        <f t="shared" si="2"/>
        <v>12</v>
      </c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</row>
    <row r="58">
      <c r="A58" s="29">
        <v>21694.0</v>
      </c>
      <c r="B58" s="29">
        <v>22068.0</v>
      </c>
      <c r="C58" s="30" t="str">
        <f t="shared" si="1"/>
        <v>+</v>
      </c>
      <c r="D58" s="29">
        <f t="shared" si="2"/>
        <v>12</v>
      </c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</row>
    <row r="59">
      <c r="A59" s="29">
        <v>22578.0</v>
      </c>
      <c r="B59" s="29">
        <v>23027.0</v>
      </c>
      <c r="C59" s="30" t="str">
        <f t="shared" si="1"/>
        <v>+</v>
      </c>
      <c r="D59" s="29">
        <f t="shared" si="2"/>
        <v>12</v>
      </c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</row>
    <row r="60">
      <c r="A60" s="29">
        <v>23024.0</v>
      </c>
      <c r="B60" s="29">
        <v>24232.0</v>
      </c>
      <c r="C60" s="30" t="str">
        <f t="shared" si="1"/>
        <v>+</v>
      </c>
      <c r="D60" s="29">
        <f t="shared" si="2"/>
        <v>12</v>
      </c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</row>
    <row r="61">
      <c r="A61" s="29">
        <v>24300.0</v>
      </c>
      <c r="B61" s="29">
        <v>25511.0</v>
      </c>
      <c r="C61" s="30" t="str">
        <f t="shared" si="1"/>
        <v>+</v>
      </c>
      <c r="D61" s="29">
        <f t="shared" si="2"/>
        <v>12</v>
      </c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</row>
    <row r="62">
      <c r="A62" s="29">
        <v>25524.0</v>
      </c>
      <c r="B62" s="29">
        <v>25922.0</v>
      </c>
      <c r="C62" s="30" t="str">
        <f t="shared" si="1"/>
        <v>+</v>
      </c>
      <c r="D62" s="29">
        <f t="shared" si="2"/>
        <v>12</v>
      </c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</row>
    <row r="63">
      <c r="A63" s="29">
        <v>27409.0</v>
      </c>
      <c r="B63" s="29">
        <v>25919.0</v>
      </c>
      <c r="C63" s="30" t="str">
        <f t="shared" si="1"/>
        <v>-</v>
      </c>
      <c r="D63" s="29">
        <f t="shared" si="2"/>
        <v>13</v>
      </c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</row>
    <row r="64">
      <c r="A64" s="29">
        <v>27587.0</v>
      </c>
      <c r="B64" s="29">
        <v>27799.0</v>
      </c>
      <c r="C64" s="30" t="str">
        <f t="shared" si="1"/>
        <v>+</v>
      </c>
      <c r="D64" s="29">
        <f t="shared" si="2"/>
        <v>14</v>
      </c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</row>
    <row r="65">
      <c r="A65" s="29">
        <v>27856.0</v>
      </c>
      <c r="B65" s="29">
        <v>28239.0</v>
      </c>
      <c r="C65" s="30" t="str">
        <f t="shared" si="1"/>
        <v>+</v>
      </c>
      <c r="D65" s="29">
        <f t="shared" si="2"/>
        <v>14</v>
      </c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</row>
    <row r="66">
      <c r="A66" s="29">
        <v>28673.0</v>
      </c>
      <c r="B66" s="29">
        <v>28236.0</v>
      </c>
      <c r="C66" s="30" t="str">
        <f t="shared" si="1"/>
        <v>-</v>
      </c>
      <c r="D66" s="29">
        <f t="shared" si="2"/>
        <v>15</v>
      </c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</row>
    <row r="67">
      <c r="A67" s="29">
        <v>28703.0</v>
      </c>
      <c r="B67" s="29">
        <v>29917.0</v>
      </c>
      <c r="C67" s="30" t="str">
        <f t="shared" si="1"/>
        <v>+</v>
      </c>
      <c r="D67" s="29">
        <f t="shared" si="2"/>
        <v>16</v>
      </c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</row>
    <row r="68">
      <c r="A68" s="29">
        <v>31716.0</v>
      </c>
      <c r="B68" s="29">
        <v>29914.0</v>
      </c>
      <c r="C68" s="30" t="str">
        <f t="shared" si="1"/>
        <v>-</v>
      </c>
      <c r="D68" s="29">
        <f t="shared" si="2"/>
        <v>17</v>
      </c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</row>
    <row r="69">
      <c r="A69" s="29">
        <v>32628.0</v>
      </c>
      <c r="B69" s="29">
        <v>31771.0</v>
      </c>
      <c r="C69" s="30" t="str">
        <f t="shared" si="1"/>
        <v>-</v>
      </c>
      <c r="D69" s="29">
        <f t="shared" si="2"/>
        <v>17</v>
      </c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</row>
    <row r="70">
      <c r="A70" s="29">
        <v>32941.0</v>
      </c>
      <c r="B70" s="29">
        <v>33309.0</v>
      </c>
      <c r="C70" s="30" t="str">
        <f t="shared" si="1"/>
        <v>+</v>
      </c>
      <c r="D70" s="29">
        <f t="shared" si="2"/>
        <v>18</v>
      </c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</row>
    <row r="71">
      <c r="A71" s="29">
        <v>33589.0</v>
      </c>
      <c r="B71" s="29">
        <v>34923.0</v>
      </c>
      <c r="C71" s="30" t="str">
        <f t="shared" si="1"/>
        <v>+</v>
      </c>
      <c r="D71" s="29">
        <f t="shared" si="2"/>
        <v>18</v>
      </c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</row>
    <row r="72">
      <c r="A72" s="29">
        <v>35282.0</v>
      </c>
      <c r="B72" s="29">
        <v>34920.0</v>
      </c>
      <c r="C72" s="30" t="str">
        <f t="shared" si="1"/>
        <v>-</v>
      </c>
      <c r="D72" s="29">
        <f t="shared" si="2"/>
        <v>19</v>
      </c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</row>
    <row r="73">
      <c r="A73" s="29">
        <v>35994.0</v>
      </c>
      <c r="B73" s="29">
        <v>36221.0</v>
      </c>
      <c r="C73" s="30" t="str">
        <f t="shared" si="1"/>
        <v>+</v>
      </c>
      <c r="D73" s="29">
        <f t="shared" si="2"/>
        <v>20</v>
      </c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</row>
    <row r="74">
      <c r="A74" s="29">
        <v>37189.0</v>
      </c>
      <c r="B74" s="29">
        <v>36218.0</v>
      </c>
      <c r="C74" s="30" t="str">
        <f t="shared" si="1"/>
        <v>-</v>
      </c>
      <c r="D74" s="29">
        <f t="shared" si="2"/>
        <v>21</v>
      </c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</row>
    <row r="75">
      <c r="A75" s="29">
        <v>37560.0</v>
      </c>
      <c r="B75" s="29">
        <v>37186.0</v>
      </c>
      <c r="C75" s="30" t="str">
        <f t="shared" si="1"/>
        <v>-</v>
      </c>
      <c r="D75" s="29">
        <f t="shared" si="2"/>
        <v>21</v>
      </c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</row>
    <row r="76">
      <c r="A76" s="29">
        <v>37925.0</v>
      </c>
      <c r="B76" s="29">
        <v>37557.0</v>
      </c>
      <c r="C76" s="30" t="str">
        <f t="shared" si="1"/>
        <v>-</v>
      </c>
      <c r="D76" s="29">
        <f t="shared" si="2"/>
        <v>21</v>
      </c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</row>
    <row r="77">
      <c r="A77" s="29">
        <v>37970.0</v>
      </c>
      <c r="B77" s="29">
        <v>38428.0</v>
      </c>
      <c r="C77" s="30" t="str">
        <f t="shared" si="1"/>
        <v>+</v>
      </c>
      <c r="D77" s="29">
        <f t="shared" si="2"/>
        <v>22</v>
      </c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</row>
    <row r="78">
      <c r="A78" s="29">
        <v>39349.0</v>
      </c>
      <c r="B78" s="29">
        <v>38657.0</v>
      </c>
      <c r="C78" s="30" t="str">
        <f t="shared" si="1"/>
        <v>-</v>
      </c>
      <c r="D78" s="29">
        <f t="shared" si="2"/>
        <v>23</v>
      </c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</row>
    <row r="79">
      <c r="A79" s="29">
        <v>40239.0</v>
      </c>
      <c r="B79" s="29">
        <v>39346.0</v>
      </c>
      <c r="C79" s="30" t="str">
        <f t="shared" si="1"/>
        <v>-</v>
      </c>
      <c r="D79" s="29">
        <f t="shared" si="2"/>
        <v>23</v>
      </c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</row>
    <row r="80">
      <c r="A80" s="29">
        <v>40938.0</v>
      </c>
      <c r="B80" s="29">
        <v>40312.0</v>
      </c>
      <c r="C80" s="30" t="str">
        <f t="shared" si="1"/>
        <v>-</v>
      </c>
      <c r="D80" s="29">
        <f t="shared" si="2"/>
        <v>23</v>
      </c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</row>
    <row r="81">
      <c r="A81" s="29">
        <v>41165.0</v>
      </c>
      <c r="B81" s="29">
        <v>40935.0</v>
      </c>
      <c r="C81" s="30" t="str">
        <f t="shared" si="1"/>
        <v>-</v>
      </c>
      <c r="D81" s="29">
        <f t="shared" si="2"/>
        <v>23</v>
      </c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</row>
    <row r="82">
      <c r="A82" s="29">
        <v>41644.0</v>
      </c>
      <c r="B82" s="29">
        <v>41198.0</v>
      </c>
      <c r="C82" s="30" t="str">
        <f t="shared" si="1"/>
        <v>-</v>
      </c>
      <c r="D82" s="29">
        <f t="shared" si="2"/>
        <v>23</v>
      </c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</row>
    <row r="83">
      <c r="A83" s="29">
        <v>41674.0</v>
      </c>
      <c r="B83" s="29">
        <v>41946.0</v>
      </c>
      <c r="C83" s="30" t="str">
        <f t="shared" si="1"/>
        <v>+</v>
      </c>
      <c r="D83" s="29">
        <f t="shared" si="2"/>
        <v>24</v>
      </c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</row>
    <row r="84">
      <c r="A84" s="29">
        <v>42446.0</v>
      </c>
      <c r="B84" s="29">
        <v>41943.0</v>
      </c>
      <c r="C84" s="30" t="str">
        <f t="shared" si="1"/>
        <v>-</v>
      </c>
      <c r="D84" s="29">
        <f t="shared" si="2"/>
        <v>25</v>
      </c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</row>
    <row r="85">
      <c r="A85" s="29">
        <v>42541.0</v>
      </c>
      <c r="B85" s="29">
        <v>43071.0</v>
      </c>
      <c r="C85" s="30" t="str">
        <f t="shared" si="1"/>
        <v>+</v>
      </c>
      <c r="D85" s="29">
        <f t="shared" si="2"/>
        <v>26</v>
      </c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</row>
    <row r="86">
      <c r="A86" s="29">
        <v>43799.0</v>
      </c>
      <c r="B86" s="29">
        <v>43209.0</v>
      </c>
      <c r="C86" s="30" t="str">
        <f t="shared" si="1"/>
        <v>-</v>
      </c>
      <c r="D86" s="29">
        <f t="shared" si="2"/>
        <v>27</v>
      </c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</row>
    <row r="87">
      <c r="A87" s="29">
        <v>45955.0</v>
      </c>
      <c r="B87" s="29">
        <v>43799.0</v>
      </c>
      <c r="C87" s="30" t="str">
        <f t="shared" si="1"/>
        <v>-</v>
      </c>
      <c r="D87" s="29">
        <f t="shared" si="2"/>
        <v>27</v>
      </c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</row>
    <row r="88">
      <c r="A88" s="29">
        <v>47068.0</v>
      </c>
      <c r="B88" s="29">
        <v>46229.0</v>
      </c>
      <c r="C88" s="30" t="str">
        <f t="shared" si="1"/>
        <v>-</v>
      </c>
      <c r="D88" s="29">
        <f t="shared" si="2"/>
        <v>27</v>
      </c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</row>
    <row r="89">
      <c r="A89" s="29">
        <v>47760.0</v>
      </c>
      <c r="B89" s="29">
        <v>47056.0</v>
      </c>
      <c r="C89" s="30" t="str">
        <f t="shared" si="1"/>
        <v>-</v>
      </c>
      <c r="D89" s="29">
        <f t="shared" si="2"/>
        <v>27</v>
      </c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</row>
    <row r="90">
      <c r="A90" s="29">
        <v>49641.0</v>
      </c>
      <c r="B90" s="29">
        <v>47785.0</v>
      </c>
      <c r="C90" s="30" t="str">
        <f t="shared" si="1"/>
        <v>-</v>
      </c>
      <c r="D90" s="29">
        <f t="shared" si="2"/>
        <v>27</v>
      </c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</row>
    <row r="91">
      <c r="A91" s="29">
        <v>50394.0</v>
      </c>
      <c r="B91" s="29">
        <v>49660.0</v>
      </c>
      <c r="C91" s="30" t="str">
        <f t="shared" si="1"/>
        <v>-</v>
      </c>
      <c r="D91" s="29">
        <f t="shared" si="2"/>
        <v>27</v>
      </c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</row>
    <row r="92">
      <c r="A92" s="29">
        <v>51089.0</v>
      </c>
      <c r="B92" s="29">
        <v>50400.0</v>
      </c>
      <c r="C92" s="30" t="str">
        <f t="shared" si="1"/>
        <v>-</v>
      </c>
      <c r="D92" s="29">
        <f t="shared" si="2"/>
        <v>27</v>
      </c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</row>
    <row r="93">
      <c r="A93" s="29">
        <v>51137.0</v>
      </c>
      <c r="B93" s="29">
        <v>51517.0</v>
      </c>
      <c r="C93" s="30" t="str">
        <f t="shared" si="1"/>
        <v>+</v>
      </c>
      <c r="D93" s="29">
        <f t="shared" si="2"/>
        <v>28</v>
      </c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</row>
    <row r="94">
      <c r="A94" s="29">
        <v>51544.0</v>
      </c>
      <c r="B94" s="29">
        <v>51753.0</v>
      </c>
      <c r="C94" s="30" t="str">
        <f t="shared" si="1"/>
        <v>+</v>
      </c>
      <c r="D94" s="29">
        <f t="shared" si="2"/>
        <v>28</v>
      </c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</row>
    <row r="95">
      <c r="A95" s="29">
        <v>53069.0</v>
      </c>
      <c r="B95" s="29">
        <v>51750.0</v>
      </c>
      <c r="C95" s="30" t="str">
        <f t="shared" si="1"/>
        <v>-</v>
      </c>
      <c r="D95" s="29">
        <f t="shared" si="2"/>
        <v>29</v>
      </c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</row>
    <row r="96">
      <c r="A96" s="29">
        <v>54132.0</v>
      </c>
      <c r="B96" s="29">
        <v>53155.0</v>
      </c>
      <c r="C96" s="30" t="str">
        <f t="shared" si="1"/>
        <v>-</v>
      </c>
      <c r="D96" s="29">
        <f t="shared" si="2"/>
        <v>29</v>
      </c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</row>
    <row r="97">
      <c r="A97" s="29">
        <v>55216.0</v>
      </c>
      <c r="B97" s="29">
        <v>54122.0</v>
      </c>
      <c r="C97" s="30" t="str">
        <f t="shared" si="1"/>
        <v>-</v>
      </c>
      <c r="D97" s="29">
        <f t="shared" si="2"/>
        <v>29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</row>
    <row r="98">
      <c r="A98" s="29">
        <v>55370.0</v>
      </c>
      <c r="B98" s="29">
        <v>55852.0</v>
      </c>
      <c r="C98" s="30" t="str">
        <f t="shared" si="1"/>
        <v>+</v>
      </c>
      <c r="D98" s="29">
        <f t="shared" si="2"/>
        <v>30</v>
      </c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</row>
    <row r="99">
      <c r="A99" s="29">
        <v>56283.0</v>
      </c>
      <c r="B99" s="29">
        <v>55834.0</v>
      </c>
      <c r="C99" s="30" t="str">
        <f t="shared" si="1"/>
        <v>-</v>
      </c>
      <c r="D99" s="29">
        <f t="shared" si="2"/>
        <v>31</v>
      </c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</row>
    <row r="100">
      <c r="A100" s="29">
        <v>58078.0</v>
      </c>
      <c r="B100" s="29">
        <v>56294.0</v>
      </c>
      <c r="C100" s="30" t="str">
        <f t="shared" si="1"/>
        <v>-</v>
      </c>
      <c r="D100" s="29">
        <f t="shared" si="2"/>
        <v>31</v>
      </c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</row>
    <row r="101">
      <c r="A101" s="29">
        <v>58117.0</v>
      </c>
      <c r="B101" s="29">
        <v>59586.0</v>
      </c>
      <c r="C101" s="30" t="str">
        <f t="shared" si="1"/>
        <v>+</v>
      </c>
      <c r="D101" s="29">
        <f t="shared" si="2"/>
        <v>32</v>
      </c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</row>
    <row r="102">
      <c r="A102" s="29">
        <v>59700.0</v>
      </c>
      <c r="B102" s="29">
        <v>60623.0</v>
      </c>
      <c r="C102" s="30" t="str">
        <f t="shared" si="1"/>
        <v>+</v>
      </c>
      <c r="D102" s="29">
        <f t="shared" si="2"/>
        <v>32</v>
      </c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</row>
    <row r="103">
      <c r="A103" s="29">
        <v>62214.0</v>
      </c>
      <c r="B103" s="29">
        <v>60967.0</v>
      </c>
      <c r="C103" s="30" t="str">
        <f t="shared" si="1"/>
        <v>-</v>
      </c>
      <c r="D103" s="29">
        <f t="shared" si="2"/>
        <v>33</v>
      </c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</row>
    <row r="104">
      <c r="A104" s="29">
        <v>63434.0</v>
      </c>
      <c r="B104" s="29">
        <v>62256.0</v>
      </c>
      <c r="C104" s="30" t="str">
        <f t="shared" si="1"/>
        <v>-</v>
      </c>
      <c r="D104" s="29">
        <f t="shared" si="2"/>
        <v>33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</row>
    <row r="105">
      <c r="A105" s="29">
        <v>64224.0</v>
      </c>
      <c r="B105" s="29">
        <v>63478.0</v>
      </c>
      <c r="C105" s="30" t="str">
        <f t="shared" si="1"/>
        <v>-</v>
      </c>
      <c r="D105" s="29">
        <f t="shared" si="2"/>
        <v>33</v>
      </c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</row>
    <row r="106">
      <c r="A106" s="29">
        <v>64954.0</v>
      </c>
      <c r="B106" s="29">
        <v>64289.0</v>
      </c>
      <c r="C106" s="30" t="str">
        <f t="shared" si="1"/>
        <v>-</v>
      </c>
      <c r="D106" s="29">
        <f t="shared" si="2"/>
        <v>33</v>
      </c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</row>
    <row r="107">
      <c r="A107" s="29">
        <v>65220.0</v>
      </c>
      <c r="B107" s="29">
        <v>64951.0</v>
      </c>
      <c r="C107" s="30" t="str">
        <f t="shared" si="1"/>
        <v>-</v>
      </c>
      <c r="D107" s="29">
        <f t="shared" si="2"/>
        <v>33</v>
      </c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</row>
    <row r="108">
      <c r="A108" s="29">
        <v>65822.0</v>
      </c>
      <c r="B108" s="29">
        <v>65229.0</v>
      </c>
      <c r="C108" s="30" t="str">
        <f t="shared" si="1"/>
        <v>-</v>
      </c>
      <c r="D108" s="29">
        <f t="shared" si="2"/>
        <v>33</v>
      </c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</row>
    <row r="109">
      <c r="A109" s="29">
        <v>65874.0</v>
      </c>
      <c r="B109" s="29">
        <v>66410.0</v>
      </c>
      <c r="C109" s="30" t="str">
        <f t="shared" si="1"/>
        <v>+</v>
      </c>
      <c r="D109" s="29">
        <f t="shared" si="2"/>
        <v>34</v>
      </c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</row>
    <row r="110">
      <c r="A110" s="29">
        <v>66440.0</v>
      </c>
      <c r="B110" s="29">
        <v>66799.0</v>
      </c>
      <c r="C110" s="30" t="str">
        <f t="shared" si="1"/>
        <v>+</v>
      </c>
      <c r="D110" s="29">
        <f t="shared" si="2"/>
        <v>34</v>
      </c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</row>
    <row r="111">
      <c r="A111" s="29">
        <v>67224.0</v>
      </c>
      <c r="B111" s="29">
        <v>68228.0</v>
      </c>
      <c r="C111" s="30" t="str">
        <f t="shared" si="1"/>
        <v>+</v>
      </c>
      <c r="D111" s="29">
        <f t="shared" si="2"/>
        <v>34</v>
      </c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</row>
    <row r="112">
      <c r="A112" s="29">
        <v>68365.0</v>
      </c>
      <c r="B112" s="29">
        <v>68225.0</v>
      </c>
      <c r="C112" s="30" t="str">
        <f t="shared" si="1"/>
        <v>-</v>
      </c>
      <c r="D112" s="29">
        <f t="shared" si="2"/>
        <v>35</v>
      </c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</row>
    <row r="113">
      <c r="A113" s="29">
        <v>68830.0</v>
      </c>
      <c r="B113" s="29">
        <v>68582.0</v>
      </c>
      <c r="C113" s="30" t="str">
        <f t="shared" si="1"/>
        <v>-</v>
      </c>
      <c r="D113" s="29">
        <f t="shared" si="2"/>
        <v>35</v>
      </c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</row>
    <row r="114">
      <c r="A114" s="29">
        <v>69675.0</v>
      </c>
      <c r="B114" s="29">
        <v>68827.0</v>
      </c>
      <c r="C114" s="30" t="str">
        <f t="shared" si="1"/>
        <v>-</v>
      </c>
      <c r="D114" s="29">
        <f t="shared" si="2"/>
        <v>35</v>
      </c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</row>
    <row r="115">
      <c r="A115" s="29">
        <v>70818.0</v>
      </c>
      <c r="B115" s="29">
        <v>69802.0</v>
      </c>
      <c r="C115" s="30" t="str">
        <f t="shared" si="1"/>
        <v>-</v>
      </c>
      <c r="D115" s="29">
        <f t="shared" si="2"/>
        <v>35</v>
      </c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</row>
    <row r="116">
      <c r="A116" s="29">
        <v>70892.0</v>
      </c>
      <c r="B116" s="29">
        <v>71209.0</v>
      </c>
      <c r="C116" s="30" t="str">
        <f t="shared" si="1"/>
        <v>+</v>
      </c>
      <c r="D116" s="29">
        <f t="shared" si="2"/>
        <v>36</v>
      </c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</row>
    <row r="117">
      <c r="A117" s="29">
        <v>71225.0</v>
      </c>
      <c r="B117" s="29">
        <v>73279.0</v>
      </c>
      <c r="C117" s="30" t="str">
        <f t="shared" si="1"/>
        <v>+</v>
      </c>
      <c r="D117" s="29">
        <f t="shared" si="2"/>
        <v>36</v>
      </c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</row>
    <row r="118">
      <c r="A118" s="29">
        <v>74694.0</v>
      </c>
      <c r="B118" s="29">
        <v>73879.0</v>
      </c>
      <c r="C118" s="30" t="str">
        <f t="shared" si="1"/>
        <v>-</v>
      </c>
      <c r="D118" s="29">
        <f t="shared" si="2"/>
        <v>37</v>
      </c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</row>
    <row r="119">
      <c r="A119" s="29">
        <v>74765.0</v>
      </c>
      <c r="B119" s="29">
        <v>74938.0</v>
      </c>
      <c r="C119" s="30" t="str">
        <f t="shared" si="1"/>
        <v>+</v>
      </c>
      <c r="D119" s="29">
        <f t="shared" si="2"/>
        <v>38</v>
      </c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</row>
    <row r="120">
      <c r="A120" s="29">
        <v>76025.0</v>
      </c>
      <c r="B120" s="29">
        <v>75042.0</v>
      </c>
      <c r="C120" s="30" t="str">
        <f t="shared" si="1"/>
        <v>-</v>
      </c>
      <c r="D120" s="29">
        <f t="shared" si="2"/>
        <v>39</v>
      </c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</row>
    <row r="121">
      <c r="A121" s="29">
        <v>76050.0</v>
      </c>
      <c r="B121" s="29">
        <v>76919.0</v>
      </c>
      <c r="C121" s="30" t="str">
        <f t="shared" si="1"/>
        <v>+</v>
      </c>
      <c r="D121" s="29">
        <f t="shared" si="2"/>
        <v>40</v>
      </c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</row>
    <row r="122">
      <c r="A122" s="29">
        <v>76950.0</v>
      </c>
      <c r="B122" s="29">
        <v>77837.0</v>
      </c>
      <c r="C122" s="30" t="str">
        <f t="shared" si="1"/>
        <v>+</v>
      </c>
      <c r="D122" s="29">
        <f t="shared" si="2"/>
        <v>40</v>
      </c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</row>
    <row r="123">
      <c r="A123" s="29">
        <v>77866.0</v>
      </c>
      <c r="B123" s="29">
        <v>78087.0</v>
      </c>
      <c r="C123" s="30" t="str">
        <f t="shared" si="1"/>
        <v>+</v>
      </c>
      <c r="D123" s="29">
        <f t="shared" si="2"/>
        <v>40</v>
      </c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</row>
    <row r="124">
      <c r="A124" s="29">
        <v>78084.0</v>
      </c>
      <c r="B124" s="29">
        <v>78626.0</v>
      </c>
      <c r="C124" s="30" t="str">
        <f t="shared" si="1"/>
        <v>+</v>
      </c>
      <c r="D124" s="29">
        <f t="shared" si="2"/>
        <v>40</v>
      </c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</row>
    <row r="125">
      <c r="A125" s="29">
        <v>78610.0</v>
      </c>
      <c r="B125" s="29">
        <v>78819.0</v>
      </c>
      <c r="C125" s="30" t="str">
        <f t="shared" si="1"/>
        <v>+</v>
      </c>
      <c r="D125" s="29">
        <f t="shared" si="2"/>
        <v>40</v>
      </c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</row>
    <row r="126">
      <c r="A126" s="29">
        <v>79084.0</v>
      </c>
      <c r="B126" s="29">
        <v>79716.0</v>
      </c>
      <c r="C126" s="30" t="str">
        <f t="shared" si="1"/>
        <v>+</v>
      </c>
      <c r="D126" s="29">
        <f t="shared" si="2"/>
        <v>40</v>
      </c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</row>
    <row r="127">
      <c r="A127" s="29">
        <v>79946.0</v>
      </c>
      <c r="B127" s="29">
        <v>80365.0</v>
      </c>
      <c r="C127" s="30" t="str">
        <f t="shared" si="1"/>
        <v>+</v>
      </c>
      <c r="D127" s="29">
        <f t="shared" si="2"/>
        <v>40</v>
      </c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</row>
    <row r="128">
      <c r="A128" s="29">
        <v>80872.0</v>
      </c>
      <c r="B128" s="29">
        <v>80396.0</v>
      </c>
      <c r="C128" s="30" t="str">
        <f t="shared" si="1"/>
        <v>-</v>
      </c>
      <c r="D128" s="29">
        <f t="shared" si="2"/>
        <v>41</v>
      </c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</row>
    <row r="129">
      <c r="A129" s="29">
        <v>80963.0</v>
      </c>
      <c r="B129" s="29">
        <v>81586.0</v>
      </c>
      <c r="C129" s="30" t="str">
        <f t="shared" si="1"/>
        <v>+</v>
      </c>
      <c r="D129" s="29">
        <f t="shared" si="2"/>
        <v>42</v>
      </c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</row>
    <row r="130">
      <c r="A130" s="29">
        <v>82824.0</v>
      </c>
      <c r="B130" s="29">
        <v>83225.0</v>
      </c>
      <c r="C130" s="30" t="str">
        <f t="shared" si="1"/>
        <v>+</v>
      </c>
      <c r="D130" s="29">
        <f t="shared" si="2"/>
        <v>42</v>
      </c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</row>
    <row r="131">
      <c r="A131" s="29">
        <v>83228.0</v>
      </c>
      <c r="B131" s="29">
        <v>83590.0</v>
      </c>
      <c r="C131" s="30" t="str">
        <f t="shared" si="1"/>
        <v>+</v>
      </c>
      <c r="D131" s="29">
        <f t="shared" si="2"/>
        <v>42</v>
      </c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</row>
    <row r="132">
      <c r="A132" s="29">
        <v>83632.0</v>
      </c>
      <c r="B132" s="29">
        <v>84294.0</v>
      </c>
      <c r="C132" s="30" t="str">
        <f t="shared" si="1"/>
        <v>+</v>
      </c>
      <c r="D132" s="29">
        <f t="shared" si="2"/>
        <v>42</v>
      </c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</row>
    <row r="133">
      <c r="A133" s="29">
        <v>84291.0</v>
      </c>
      <c r="B133" s="29">
        <v>86504.0</v>
      </c>
      <c r="C133" s="30" t="str">
        <f t="shared" si="1"/>
        <v>+</v>
      </c>
      <c r="D133" s="29">
        <f t="shared" si="2"/>
        <v>42</v>
      </c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</row>
    <row r="134">
      <c r="A134" s="29">
        <v>86501.0</v>
      </c>
      <c r="B134" s="29">
        <v>87001.0</v>
      </c>
      <c r="C134" s="30" t="str">
        <f t="shared" si="1"/>
        <v>+</v>
      </c>
      <c r="D134" s="29">
        <f t="shared" si="2"/>
        <v>42</v>
      </c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</row>
    <row r="135">
      <c r="A135" s="29">
        <v>87035.0</v>
      </c>
      <c r="B135" s="29">
        <v>87787.0</v>
      </c>
      <c r="C135" s="30" t="str">
        <f t="shared" si="1"/>
        <v>+</v>
      </c>
      <c r="D135" s="29">
        <f t="shared" si="2"/>
        <v>42</v>
      </c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</row>
    <row r="136">
      <c r="A136" s="29">
        <v>87828.0</v>
      </c>
      <c r="B136" s="29">
        <v>88646.0</v>
      </c>
      <c r="C136" s="30" t="str">
        <f t="shared" si="1"/>
        <v>+</v>
      </c>
      <c r="D136" s="29">
        <f t="shared" si="2"/>
        <v>42</v>
      </c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</row>
    <row r="137">
      <c r="A137" s="29">
        <v>88643.0</v>
      </c>
      <c r="B137" s="29">
        <v>89086.0</v>
      </c>
      <c r="C137" s="30" t="str">
        <f t="shared" si="1"/>
        <v>+</v>
      </c>
      <c r="D137" s="29">
        <f t="shared" si="2"/>
        <v>42</v>
      </c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</row>
    <row r="138">
      <c r="A138" s="29">
        <v>89083.0</v>
      </c>
      <c r="B138" s="29">
        <v>91254.0</v>
      </c>
      <c r="C138" s="30" t="str">
        <f t="shared" si="1"/>
        <v>+</v>
      </c>
      <c r="D138" s="29">
        <f t="shared" si="2"/>
        <v>42</v>
      </c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</row>
    <row r="139">
      <c r="A139" s="29">
        <v>91251.0</v>
      </c>
      <c r="B139" s="29">
        <v>91826.0</v>
      </c>
      <c r="C139" s="30" t="str">
        <f t="shared" si="1"/>
        <v>+</v>
      </c>
      <c r="D139" s="29">
        <f t="shared" si="2"/>
        <v>42</v>
      </c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</row>
    <row r="140">
      <c r="A140" s="29">
        <v>92681.0</v>
      </c>
      <c r="B140" s="29">
        <v>91905.0</v>
      </c>
      <c r="C140" s="30" t="str">
        <f t="shared" si="1"/>
        <v>-</v>
      </c>
      <c r="D140" s="29">
        <f t="shared" si="2"/>
        <v>43</v>
      </c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</row>
    <row r="141">
      <c r="A141" s="29">
        <v>92728.0</v>
      </c>
      <c r="B141" s="29">
        <v>93348.0</v>
      </c>
      <c r="C141" s="30" t="str">
        <f t="shared" si="1"/>
        <v>+</v>
      </c>
      <c r="D141" s="29">
        <f t="shared" si="2"/>
        <v>44</v>
      </c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</row>
    <row r="142">
      <c r="A142" s="29">
        <v>94023.0</v>
      </c>
      <c r="B142" s="29">
        <v>93328.0</v>
      </c>
      <c r="C142" s="30" t="str">
        <f t="shared" si="1"/>
        <v>-</v>
      </c>
      <c r="D142" s="29">
        <f t="shared" si="2"/>
        <v>45</v>
      </c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</row>
    <row r="143">
      <c r="A143" s="29">
        <v>94107.0</v>
      </c>
      <c r="B143" s="29">
        <v>94655.0</v>
      </c>
      <c r="C143" s="30" t="str">
        <f t="shared" si="1"/>
        <v>+</v>
      </c>
      <c r="D143" s="29">
        <f t="shared" si="2"/>
        <v>46</v>
      </c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</row>
    <row r="144">
      <c r="A144" s="29">
        <v>95909.0</v>
      </c>
      <c r="B144" s="29">
        <v>95178.0</v>
      </c>
      <c r="C144" s="30" t="str">
        <f t="shared" si="1"/>
        <v>-</v>
      </c>
      <c r="D144" s="29">
        <f t="shared" si="2"/>
        <v>47</v>
      </c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</row>
    <row r="145">
      <c r="A145" s="29">
        <v>95940.0</v>
      </c>
      <c r="B145" s="29">
        <v>96440.0</v>
      </c>
      <c r="C145" s="30" t="str">
        <f t="shared" si="1"/>
        <v>+</v>
      </c>
      <c r="D145" s="29">
        <f t="shared" si="2"/>
        <v>48</v>
      </c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</row>
    <row r="146">
      <c r="A146" s="29">
        <v>98326.0</v>
      </c>
      <c r="B146" s="29">
        <v>97229.0</v>
      </c>
      <c r="C146" s="30" t="str">
        <f t="shared" si="1"/>
        <v>-</v>
      </c>
      <c r="D146" s="29">
        <f t="shared" si="2"/>
        <v>49</v>
      </c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</row>
    <row r="147">
      <c r="A147" s="29">
        <v>98363.0</v>
      </c>
      <c r="B147" s="29">
        <v>99211.0</v>
      </c>
      <c r="C147" s="30" t="str">
        <f t="shared" si="1"/>
        <v>+</v>
      </c>
      <c r="D147" s="29">
        <f t="shared" si="2"/>
        <v>50</v>
      </c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</row>
    <row r="148">
      <c r="A148" s="29">
        <v>99244.0</v>
      </c>
      <c r="B148" s="29">
        <v>99408.0</v>
      </c>
      <c r="C148" s="30" t="str">
        <f t="shared" si="1"/>
        <v>+</v>
      </c>
      <c r="D148" s="29">
        <f t="shared" si="2"/>
        <v>50</v>
      </c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</row>
    <row r="149">
      <c r="A149" s="29">
        <v>99667.0</v>
      </c>
      <c r="B149" s="29">
        <v>100104.0</v>
      </c>
      <c r="C149" s="30" t="str">
        <f t="shared" si="1"/>
        <v>+</v>
      </c>
      <c r="D149" s="29">
        <f t="shared" si="2"/>
        <v>50</v>
      </c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</row>
    <row r="150">
      <c r="A150" s="29">
        <v>100135.0</v>
      </c>
      <c r="B150" s="29">
        <v>100608.0</v>
      </c>
      <c r="C150" s="30" t="str">
        <f t="shared" si="1"/>
        <v>+</v>
      </c>
      <c r="D150" s="29">
        <f t="shared" si="2"/>
        <v>50</v>
      </c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</row>
    <row r="151">
      <c r="A151" s="29">
        <v>100611.0</v>
      </c>
      <c r="B151" s="29">
        <v>101054.0</v>
      </c>
      <c r="C151" s="30" t="str">
        <f t="shared" si="1"/>
        <v>+</v>
      </c>
      <c r="D151" s="29">
        <f t="shared" si="2"/>
        <v>50</v>
      </c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</row>
    <row r="152">
      <c r="A152" s="29">
        <v>101056.0</v>
      </c>
      <c r="B152" s="29">
        <v>101673.0</v>
      </c>
      <c r="C152" s="30" t="str">
        <f t="shared" si="1"/>
        <v>+</v>
      </c>
      <c r="D152" s="29">
        <f t="shared" si="2"/>
        <v>50</v>
      </c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</row>
    <row r="153">
      <c r="A153" s="29">
        <v>103798.0</v>
      </c>
      <c r="B153" s="29">
        <v>101960.0</v>
      </c>
      <c r="C153" s="30" t="str">
        <f t="shared" si="1"/>
        <v>-</v>
      </c>
      <c r="D153" s="29">
        <f t="shared" si="2"/>
        <v>51</v>
      </c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</row>
    <row r="154">
      <c r="A154" s="29">
        <v>104585.0</v>
      </c>
      <c r="B154" s="29">
        <v>103791.0</v>
      </c>
      <c r="C154" s="30" t="str">
        <f t="shared" si="1"/>
        <v>-</v>
      </c>
      <c r="D154" s="29">
        <f t="shared" si="2"/>
        <v>51</v>
      </c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</row>
    <row r="155">
      <c r="A155" s="29">
        <v>104620.0</v>
      </c>
      <c r="B155" s="29">
        <v>105462.0</v>
      </c>
      <c r="C155" s="30" t="str">
        <f t="shared" si="1"/>
        <v>+</v>
      </c>
      <c r="D155" s="29">
        <f t="shared" si="2"/>
        <v>52</v>
      </c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</row>
    <row r="156">
      <c r="A156" s="29">
        <v>105455.0</v>
      </c>
      <c r="B156" s="29">
        <v>106228.0</v>
      </c>
      <c r="C156" s="30" t="str">
        <f t="shared" si="1"/>
        <v>+</v>
      </c>
      <c r="D156" s="29">
        <f t="shared" si="2"/>
        <v>52</v>
      </c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</row>
    <row r="157">
      <c r="A157" s="29">
        <v>106996.0</v>
      </c>
      <c r="B157" s="29">
        <v>106208.0</v>
      </c>
      <c r="C157" s="30" t="str">
        <f t="shared" si="1"/>
        <v>-</v>
      </c>
      <c r="D157" s="29">
        <f t="shared" si="2"/>
        <v>53</v>
      </c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</row>
    <row r="158">
      <c r="A158" s="29">
        <v>107025.0</v>
      </c>
      <c r="B158" s="29">
        <v>107969.0</v>
      </c>
      <c r="C158" s="30" t="str">
        <f t="shared" si="1"/>
        <v>+</v>
      </c>
      <c r="D158" s="29">
        <f t="shared" si="2"/>
        <v>54</v>
      </c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</row>
    <row r="159">
      <c r="A159" s="29">
        <v>108810.0</v>
      </c>
      <c r="B159" s="29">
        <v>108034.0</v>
      </c>
      <c r="C159" s="30" t="str">
        <f t="shared" si="1"/>
        <v>-</v>
      </c>
      <c r="D159" s="29">
        <f t="shared" si="2"/>
        <v>55</v>
      </c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</row>
    <row r="160">
      <c r="A160" s="29">
        <v>108880.0</v>
      </c>
      <c r="B160" s="29">
        <v>110652.0</v>
      </c>
      <c r="C160" s="30" t="str">
        <f t="shared" si="1"/>
        <v>+</v>
      </c>
      <c r="D160" s="29">
        <f t="shared" si="2"/>
        <v>56</v>
      </c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</row>
    <row r="161">
      <c r="A161" s="29">
        <v>110634.0</v>
      </c>
      <c r="B161" s="29">
        <v>111134.0</v>
      </c>
      <c r="C161" s="30" t="str">
        <f t="shared" si="1"/>
        <v>+</v>
      </c>
      <c r="D161" s="29">
        <f t="shared" si="2"/>
        <v>56</v>
      </c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</row>
    <row r="162">
      <c r="A162" s="29">
        <v>111175.0</v>
      </c>
      <c r="B162" s="29">
        <v>111612.0</v>
      </c>
      <c r="C162" s="30" t="str">
        <f t="shared" si="1"/>
        <v>+</v>
      </c>
      <c r="D162" s="29">
        <f t="shared" si="2"/>
        <v>56</v>
      </c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</row>
    <row r="163">
      <c r="A163" s="29">
        <v>111616.0</v>
      </c>
      <c r="B163" s="29">
        <v>112284.0</v>
      </c>
      <c r="C163" s="30" t="str">
        <f t="shared" si="1"/>
        <v>+</v>
      </c>
      <c r="D163" s="29">
        <f t="shared" si="2"/>
        <v>56</v>
      </c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</row>
    <row r="164">
      <c r="A164" s="29">
        <v>112333.0</v>
      </c>
      <c r="B164" s="29">
        <v>112686.0</v>
      </c>
      <c r="C164" s="30" t="str">
        <f t="shared" si="1"/>
        <v>+</v>
      </c>
      <c r="D164" s="29">
        <f t="shared" si="2"/>
        <v>56</v>
      </c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</row>
    <row r="165">
      <c r="A165" s="29">
        <v>113198.0</v>
      </c>
      <c r="B165" s="29">
        <v>116140.0</v>
      </c>
      <c r="C165" s="30" t="str">
        <f t="shared" si="1"/>
        <v>+</v>
      </c>
      <c r="D165" s="29">
        <f t="shared" si="2"/>
        <v>56</v>
      </c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</row>
    <row r="166">
      <c r="A166" s="29">
        <v>117750.0</v>
      </c>
      <c r="B166" s="29">
        <v>116587.0</v>
      </c>
      <c r="C166" s="30" t="str">
        <f t="shared" si="1"/>
        <v>-</v>
      </c>
      <c r="D166" s="29">
        <f t="shared" si="2"/>
        <v>57</v>
      </c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</row>
    <row r="167">
      <c r="A167" s="29">
        <v>118550.0</v>
      </c>
      <c r="B167" s="29">
        <v>118182.0</v>
      </c>
      <c r="C167" s="30" t="str">
        <f t="shared" si="1"/>
        <v>-</v>
      </c>
      <c r="D167" s="29">
        <f t="shared" si="2"/>
        <v>57</v>
      </c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</row>
    <row r="168">
      <c r="A168" s="29">
        <v>118599.0</v>
      </c>
      <c r="B168" s="29">
        <v>119273.0</v>
      </c>
      <c r="C168" s="30" t="str">
        <f t="shared" si="1"/>
        <v>+</v>
      </c>
      <c r="D168" s="29">
        <f t="shared" si="2"/>
        <v>58</v>
      </c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</row>
    <row r="169">
      <c r="A169" s="29">
        <v>119848.0</v>
      </c>
      <c r="B169" s="29">
        <v>119324.0</v>
      </c>
      <c r="C169" s="30" t="str">
        <f t="shared" si="1"/>
        <v>-</v>
      </c>
      <c r="D169" s="29">
        <f t="shared" si="2"/>
        <v>59</v>
      </c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</row>
    <row r="170">
      <c r="A170" s="29">
        <v>119978.0</v>
      </c>
      <c r="B170" s="29">
        <v>120727.0</v>
      </c>
      <c r="C170" s="30" t="str">
        <f t="shared" si="1"/>
        <v>+</v>
      </c>
      <c r="D170" s="29">
        <f t="shared" si="2"/>
        <v>60</v>
      </c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</row>
    <row r="171">
      <c r="A171" s="29">
        <v>120829.0</v>
      </c>
      <c r="B171" s="29">
        <v>121794.0</v>
      </c>
      <c r="C171" s="30" t="str">
        <f t="shared" si="1"/>
        <v>+</v>
      </c>
      <c r="D171" s="29">
        <f t="shared" si="2"/>
        <v>60</v>
      </c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</row>
    <row r="172">
      <c r="A172" s="29">
        <v>121798.0</v>
      </c>
      <c r="B172" s="29">
        <v>122325.0</v>
      </c>
      <c r="C172" s="30" t="str">
        <f t="shared" si="1"/>
        <v>+</v>
      </c>
      <c r="D172" s="29">
        <f t="shared" si="2"/>
        <v>60</v>
      </c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</row>
    <row r="173">
      <c r="A173" s="29">
        <v>122322.0</v>
      </c>
      <c r="B173" s="29">
        <v>122753.0</v>
      </c>
      <c r="C173" s="30" t="str">
        <f t="shared" si="1"/>
        <v>+</v>
      </c>
      <c r="D173" s="29">
        <f t="shared" si="2"/>
        <v>60</v>
      </c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</row>
    <row r="174">
      <c r="A174" s="29">
        <v>123433.0</v>
      </c>
      <c r="B174" s="29">
        <v>122750.0</v>
      </c>
      <c r="C174" s="30" t="str">
        <f t="shared" si="1"/>
        <v>-</v>
      </c>
      <c r="D174" s="29">
        <f t="shared" si="2"/>
        <v>61</v>
      </c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</row>
    <row r="175">
      <c r="A175" s="29">
        <v>124426.0</v>
      </c>
      <c r="B175" s="29">
        <v>123434.0</v>
      </c>
      <c r="C175" s="30" t="str">
        <f t="shared" si="1"/>
        <v>-</v>
      </c>
      <c r="D175" s="29">
        <f t="shared" si="2"/>
        <v>61</v>
      </c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</row>
    <row r="176">
      <c r="A176" s="29">
        <v>125415.0</v>
      </c>
      <c r="B176" s="29">
        <v>124426.0</v>
      </c>
      <c r="C176" s="30" t="str">
        <f t="shared" si="1"/>
        <v>-</v>
      </c>
      <c r="D176" s="29">
        <f t="shared" si="2"/>
        <v>61</v>
      </c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</row>
    <row r="177">
      <c r="A177" s="29">
        <v>125522.0</v>
      </c>
      <c r="B177" s="29">
        <v>126235.0</v>
      </c>
      <c r="C177" s="30" t="str">
        <f t="shared" si="1"/>
        <v>+</v>
      </c>
      <c r="D177" s="29">
        <f t="shared" si="2"/>
        <v>62</v>
      </c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</row>
    <row r="178">
      <c r="A178" s="29">
        <v>126712.0</v>
      </c>
      <c r="B178" s="29">
        <v>126236.0</v>
      </c>
      <c r="C178" s="30" t="str">
        <f t="shared" si="1"/>
        <v>-</v>
      </c>
      <c r="D178" s="29">
        <f t="shared" si="2"/>
        <v>63</v>
      </c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</row>
    <row r="179">
      <c r="A179" s="29">
        <v>126787.0</v>
      </c>
      <c r="B179" s="29">
        <v>127098.0</v>
      </c>
      <c r="C179" s="30" t="str">
        <f t="shared" si="1"/>
        <v>+</v>
      </c>
      <c r="D179" s="29">
        <f t="shared" si="2"/>
        <v>64</v>
      </c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</row>
    <row r="180">
      <c r="A180" s="29">
        <v>127437.0</v>
      </c>
      <c r="B180" s="29">
        <v>127099.0</v>
      </c>
      <c r="C180" s="30" t="str">
        <f t="shared" si="1"/>
        <v>-</v>
      </c>
      <c r="D180" s="29">
        <f t="shared" si="2"/>
        <v>65</v>
      </c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</row>
    <row r="181">
      <c r="A181" s="29">
        <v>127745.0</v>
      </c>
      <c r="B181" s="29">
        <v>127434.0</v>
      </c>
      <c r="C181" s="30" t="str">
        <f t="shared" si="1"/>
        <v>-</v>
      </c>
      <c r="D181" s="29">
        <f t="shared" si="2"/>
        <v>65</v>
      </c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</row>
    <row r="182">
      <c r="A182" s="29">
        <v>128811.0</v>
      </c>
      <c r="B182" s="29">
        <v>127765.0</v>
      </c>
      <c r="C182" s="30" t="str">
        <f t="shared" si="1"/>
        <v>-</v>
      </c>
      <c r="D182" s="29">
        <f t="shared" si="2"/>
        <v>65</v>
      </c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</row>
    <row r="183">
      <c r="A183" s="29">
        <v>129302.0</v>
      </c>
      <c r="B183" s="29">
        <v>129763.0</v>
      </c>
      <c r="C183" s="30" t="str">
        <f t="shared" si="1"/>
        <v>+</v>
      </c>
      <c r="D183" s="29">
        <f t="shared" si="2"/>
        <v>66</v>
      </c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</row>
    <row r="184">
      <c r="A184" s="29">
        <v>129989.0</v>
      </c>
      <c r="B184" s="29">
        <v>129738.0</v>
      </c>
      <c r="C184" s="30" t="str">
        <f t="shared" si="1"/>
        <v>-</v>
      </c>
      <c r="D184" s="29">
        <f t="shared" si="2"/>
        <v>67</v>
      </c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</row>
    <row r="185">
      <c r="A185" s="29">
        <v>131031.0</v>
      </c>
      <c r="B185" s="29">
        <v>129976.0</v>
      </c>
      <c r="C185" s="30" t="str">
        <f t="shared" si="1"/>
        <v>-</v>
      </c>
      <c r="D185" s="29">
        <f t="shared" si="2"/>
        <v>67</v>
      </c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</row>
    <row r="186">
      <c r="A186" s="29">
        <v>131517.0</v>
      </c>
      <c r="B186" s="29">
        <v>131062.0</v>
      </c>
      <c r="C186" s="30" t="str">
        <f t="shared" si="1"/>
        <v>-</v>
      </c>
      <c r="D186" s="29">
        <f t="shared" si="2"/>
        <v>67</v>
      </c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</row>
    <row r="187">
      <c r="A187" s="29">
        <v>131562.0</v>
      </c>
      <c r="B187" s="29">
        <v>132293.0</v>
      </c>
      <c r="C187" s="30" t="str">
        <f t="shared" si="1"/>
        <v>+</v>
      </c>
      <c r="D187" s="29">
        <f t="shared" si="2"/>
        <v>68</v>
      </c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</row>
    <row r="188">
      <c r="A188" s="29">
        <v>132290.0</v>
      </c>
      <c r="B188" s="29">
        <v>133168.0</v>
      </c>
      <c r="C188" s="30" t="str">
        <f t="shared" si="1"/>
        <v>+</v>
      </c>
      <c r="D188" s="29">
        <f t="shared" si="2"/>
        <v>68</v>
      </c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</row>
    <row r="189">
      <c r="A189" s="29">
        <v>133170.0</v>
      </c>
      <c r="B189" s="29">
        <v>134129.0</v>
      </c>
      <c r="C189" s="30" t="str">
        <f t="shared" si="1"/>
        <v>+</v>
      </c>
      <c r="D189" s="29">
        <f t="shared" si="2"/>
        <v>68</v>
      </c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</row>
    <row r="190">
      <c r="A190" s="29">
        <v>134277.0</v>
      </c>
      <c r="B190" s="29">
        <v>134462.0</v>
      </c>
      <c r="C190" s="30" t="str">
        <f t="shared" si="1"/>
        <v>+</v>
      </c>
      <c r="D190" s="29">
        <f t="shared" si="2"/>
        <v>68</v>
      </c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</row>
    <row r="191">
      <c r="A191" s="29">
        <v>134579.0</v>
      </c>
      <c r="B191" s="29">
        <v>134944.0</v>
      </c>
      <c r="C191" s="30" t="str">
        <f t="shared" si="1"/>
        <v>+</v>
      </c>
      <c r="D191" s="29">
        <f t="shared" si="2"/>
        <v>68</v>
      </c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</row>
    <row r="192">
      <c r="A192" s="29">
        <v>134941.0</v>
      </c>
      <c r="B192" s="29">
        <v>135786.0</v>
      </c>
      <c r="C192" s="30" t="str">
        <f t="shared" si="1"/>
        <v>+</v>
      </c>
      <c r="D192" s="29">
        <f t="shared" si="2"/>
        <v>68</v>
      </c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</row>
    <row r="193">
      <c r="A193" s="29">
        <v>136449.0</v>
      </c>
      <c r="B193" s="29">
        <v>135739.0</v>
      </c>
      <c r="C193" s="30" t="str">
        <f t="shared" si="1"/>
        <v>-</v>
      </c>
      <c r="D193" s="29">
        <f t="shared" si="2"/>
        <v>69</v>
      </c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</row>
    <row r="194">
      <c r="A194" s="29">
        <v>136534.0</v>
      </c>
      <c r="B194" s="29">
        <v>137076.0</v>
      </c>
      <c r="C194" s="30" t="str">
        <f t="shared" si="1"/>
        <v>+</v>
      </c>
      <c r="D194" s="29">
        <f t="shared" si="2"/>
        <v>70</v>
      </c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</row>
    <row r="195">
      <c r="A195" s="29">
        <v>138166.0</v>
      </c>
      <c r="B195" s="29">
        <v>137411.0</v>
      </c>
      <c r="C195" s="30" t="str">
        <f t="shared" si="1"/>
        <v>-</v>
      </c>
      <c r="D195" s="29">
        <f t="shared" si="2"/>
        <v>71</v>
      </c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</row>
    <row r="196">
      <c r="A196" s="29">
        <v>138747.0</v>
      </c>
      <c r="B196" s="29">
        <v>138214.0</v>
      </c>
      <c r="C196" s="30" t="str">
        <f t="shared" si="1"/>
        <v>-</v>
      </c>
      <c r="D196" s="29">
        <f t="shared" si="2"/>
        <v>71</v>
      </c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</row>
    <row r="197">
      <c r="A197" s="29">
        <v>138885.0</v>
      </c>
      <c r="B197" s="29">
        <v>139184.0</v>
      </c>
      <c r="C197" s="30" t="str">
        <f t="shared" si="1"/>
        <v>+</v>
      </c>
      <c r="D197" s="29">
        <f t="shared" si="2"/>
        <v>72</v>
      </c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</row>
    <row r="198">
      <c r="A198" s="29">
        <v>140847.0</v>
      </c>
      <c r="B198" s="29">
        <v>139174.0</v>
      </c>
      <c r="C198" s="30" t="str">
        <f t="shared" si="1"/>
        <v>-</v>
      </c>
      <c r="D198" s="29">
        <f t="shared" si="2"/>
        <v>73</v>
      </c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</row>
    <row r="199">
      <c r="A199" s="29">
        <v>140962.0</v>
      </c>
      <c r="B199" s="29">
        <v>141708.0</v>
      </c>
      <c r="C199" s="30" t="str">
        <f t="shared" si="1"/>
        <v>+</v>
      </c>
      <c r="D199" s="29">
        <f t="shared" si="2"/>
        <v>74</v>
      </c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</row>
    <row r="200">
      <c r="A200" s="29">
        <v>141754.0</v>
      </c>
      <c r="B200" s="29">
        <v>142101.0</v>
      </c>
      <c r="C200" s="30" t="str">
        <f t="shared" si="1"/>
        <v>+</v>
      </c>
      <c r="D200" s="29">
        <f t="shared" si="2"/>
        <v>74</v>
      </c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</row>
    <row r="201">
      <c r="A201" s="29">
        <v>142808.0</v>
      </c>
      <c r="B201" s="29">
        <v>142080.0</v>
      </c>
      <c r="C201" s="30" t="str">
        <f t="shared" si="1"/>
        <v>-</v>
      </c>
      <c r="D201" s="29">
        <f t="shared" si="2"/>
        <v>75</v>
      </c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</row>
    <row r="202">
      <c r="A202" s="29">
        <v>142840.0</v>
      </c>
      <c r="B202" s="29">
        <v>143256.0</v>
      </c>
      <c r="C202" s="30" t="str">
        <f t="shared" si="1"/>
        <v>+</v>
      </c>
      <c r="D202" s="29">
        <f t="shared" si="2"/>
        <v>76</v>
      </c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</row>
    <row r="203">
      <c r="A203" s="29">
        <v>144122.0</v>
      </c>
      <c r="B203" s="29">
        <v>145714.0</v>
      </c>
      <c r="C203" s="30" t="str">
        <f t="shared" si="1"/>
        <v>+</v>
      </c>
      <c r="D203" s="29">
        <f t="shared" si="2"/>
        <v>76</v>
      </c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</row>
    <row r="204">
      <c r="A204" s="29">
        <v>146108.0</v>
      </c>
      <c r="B204" s="29">
        <v>145743.0</v>
      </c>
      <c r="C204" s="30" t="str">
        <f t="shared" si="1"/>
        <v>-</v>
      </c>
      <c r="D204" s="29">
        <f t="shared" si="2"/>
        <v>77</v>
      </c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</row>
    <row r="205">
      <c r="A205" s="29">
        <v>146149.0</v>
      </c>
      <c r="B205" s="29">
        <v>146919.0</v>
      </c>
      <c r="C205" s="30" t="str">
        <f t="shared" si="1"/>
        <v>+</v>
      </c>
      <c r="D205" s="29">
        <f t="shared" si="2"/>
        <v>78</v>
      </c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</row>
    <row r="206">
      <c r="A206" s="29">
        <v>146943.0</v>
      </c>
      <c r="B206" s="29">
        <v>147692.0</v>
      </c>
      <c r="C206" s="30" t="str">
        <f t="shared" si="1"/>
        <v>+</v>
      </c>
      <c r="D206" s="29">
        <f t="shared" si="2"/>
        <v>78</v>
      </c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</row>
    <row r="207">
      <c r="A207" s="29">
        <v>147706.0</v>
      </c>
      <c r="B207" s="29">
        <v>148044.0</v>
      </c>
      <c r="C207" s="30" t="str">
        <f t="shared" si="1"/>
        <v>+</v>
      </c>
      <c r="D207" s="29">
        <f t="shared" si="2"/>
        <v>78</v>
      </c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</row>
    <row r="208">
      <c r="A208" s="29">
        <v>148059.0</v>
      </c>
      <c r="B208" s="29">
        <v>149255.0</v>
      </c>
      <c r="C208" s="30" t="str">
        <f t="shared" si="1"/>
        <v>+</v>
      </c>
      <c r="D208" s="29">
        <f t="shared" si="2"/>
        <v>78</v>
      </c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</row>
    <row r="209">
      <c r="A209" s="29">
        <v>149819.0</v>
      </c>
      <c r="B209" s="29">
        <v>150250.0</v>
      </c>
      <c r="C209" s="30" t="str">
        <f t="shared" si="1"/>
        <v>+</v>
      </c>
      <c r="D209" s="29">
        <f t="shared" si="2"/>
        <v>78</v>
      </c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</row>
    <row r="210">
      <c r="A210" s="29">
        <v>150876.0</v>
      </c>
      <c r="B210" s="29">
        <v>150247.0</v>
      </c>
      <c r="C210" s="30" t="str">
        <f t="shared" si="1"/>
        <v>-</v>
      </c>
      <c r="D210" s="29">
        <f t="shared" si="2"/>
        <v>79</v>
      </c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</row>
    <row r="211">
      <c r="A211" s="29">
        <v>150921.0</v>
      </c>
      <c r="B211" s="29">
        <v>152039.0</v>
      </c>
      <c r="C211" s="30" t="str">
        <f t="shared" si="1"/>
        <v>+</v>
      </c>
      <c r="D211" s="29">
        <f t="shared" si="2"/>
        <v>80</v>
      </c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</row>
    <row r="212">
      <c r="A212" s="29">
        <v>152925.0</v>
      </c>
      <c r="B212" s="29">
        <v>152029.0</v>
      </c>
      <c r="C212" s="30" t="str">
        <f t="shared" si="1"/>
        <v>-</v>
      </c>
      <c r="D212" s="29">
        <f t="shared" si="2"/>
        <v>81</v>
      </c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</row>
    <row r="213">
      <c r="A213" s="29">
        <v>153196.0</v>
      </c>
      <c r="B213" s="29">
        <v>153047.0</v>
      </c>
      <c r="C213" s="30" t="str">
        <f t="shared" si="1"/>
        <v>-</v>
      </c>
      <c r="D213" s="29">
        <f t="shared" si="2"/>
        <v>81</v>
      </c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</row>
    <row r="214">
      <c r="A214" s="29">
        <v>153256.0</v>
      </c>
      <c r="B214" s="29">
        <v>153798.0</v>
      </c>
      <c r="C214" s="30" t="str">
        <f t="shared" si="1"/>
        <v>+</v>
      </c>
      <c r="D214" s="29">
        <f t="shared" si="2"/>
        <v>82</v>
      </c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</row>
    <row r="215">
      <c r="A215" s="29">
        <v>154680.0</v>
      </c>
      <c r="B215" s="29">
        <v>153790.0</v>
      </c>
      <c r="C215" s="30" t="str">
        <f t="shared" si="1"/>
        <v>-</v>
      </c>
      <c r="D215" s="29">
        <f t="shared" si="2"/>
        <v>83</v>
      </c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</row>
    <row r="216">
      <c r="A216" s="29">
        <v>155000.0</v>
      </c>
      <c r="B216" s="29">
        <v>154665.0</v>
      </c>
      <c r="C216" s="30" t="str">
        <f t="shared" si="1"/>
        <v>-</v>
      </c>
      <c r="D216" s="29">
        <f t="shared" si="2"/>
        <v>83</v>
      </c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</row>
    <row r="217">
      <c r="A217" s="29">
        <v>155313.0</v>
      </c>
      <c r="B217" s="29">
        <v>154939.0</v>
      </c>
      <c r="C217" s="30" t="str">
        <f t="shared" si="1"/>
        <v>-</v>
      </c>
      <c r="D217" s="29">
        <f t="shared" si="2"/>
        <v>83</v>
      </c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</row>
    <row r="218">
      <c r="A218" s="29">
        <v>155554.0</v>
      </c>
      <c r="B218" s="29">
        <v>155345.0</v>
      </c>
      <c r="C218" s="30" t="str">
        <f t="shared" si="1"/>
        <v>-</v>
      </c>
      <c r="D218" s="29">
        <f t="shared" si="2"/>
        <v>83</v>
      </c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</row>
    <row r="219">
      <c r="A219" s="29">
        <v>156098.0</v>
      </c>
      <c r="B219" s="29">
        <v>155547.0</v>
      </c>
      <c r="C219" s="30" t="str">
        <f t="shared" si="1"/>
        <v>-</v>
      </c>
      <c r="D219" s="29">
        <f t="shared" si="2"/>
        <v>83</v>
      </c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</row>
    <row r="220">
      <c r="A220" s="29">
        <v>156472.0</v>
      </c>
      <c r="B220" s="29">
        <v>156146.0</v>
      </c>
      <c r="C220" s="30" t="str">
        <f t="shared" si="1"/>
        <v>-</v>
      </c>
      <c r="D220" s="29">
        <f t="shared" si="2"/>
        <v>83</v>
      </c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</row>
    <row r="221">
      <c r="A221" s="29">
        <v>157623.0</v>
      </c>
      <c r="B221" s="29">
        <v>156793.0</v>
      </c>
      <c r="C221" s="30" t="str">
        <f t="shared" si="1"/>
        <v>-</v>
      </c>
      <c r="D221" s="29">
        <f t="shared" si="2"/>
        <v>83</v>
      </c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</row>
    <row r="222">
      <c r="A222" s="29">
        <v>158365.0</v>
      </c>
      <c r="B222" s="29">
        <v>157625.0</v>
      </c>
      <c r="C222" s="30" t="str">
        <f t="shared" si="1"/>
        <v>-</v>
      </c>
      <c r="D222" s="29">
        <f t="shared" si="2"/>
        <v>83</v>
      </c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</row>
    <row r="223">
      <c r="A223" s="29">
        <v>159260.0</v>
      </c>
      <c r="B223" s="29">
        <v>158562.0</v>
      </c>
      <c r="C223" s="30" t="str">
        <f t="shared" si="1"/>
        <v>-</v>
      </c>
      <c r="D223" s="29">
        <f t="shared" si="2"/>
        <v>83</v>
      </c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</row>
    <row r="224">
      <c r="A224" s="29">
        <v>159961.0</v>
      </c>
      <c r="B224" s="29">
        <v>159263.0</v>
      </c>
      <c r="C224" s="30" t="str">
        <f t="shared" si="1"/>
        <v>-</v>
      </c>
      <c r="D224" s="29">
        <f t="shared" si="2"/>
        <v>83</v>
      </c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</row>
    <row r="225">
      <c r="A225" s="29">
        <v>160885.0</v>
      </c>
      <c r="B225" s="29">
        <v>160016.0</v>
      </c>
      <c r="C225" s="30" t="str">
        <f t="shared" si="1"/>
        <v>-</v>
      </c>
      <c r="D225" s="29">
        <f t="shared" si="2"/>
        <v>83</v>
      </c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</row>
    <row r="226">
      <c r="A226" s="29">
        <v>160925.0</v>
      </c>
      <c r="B226" s="29">
        <v>161848.0</v>
      </c>
      <c r="C226" s="30" t="str">
        <f t="shared" si="1"/>
        <v>+</v>
      </c>
      <c r="D226" s="29">
        <f t="shared" si="2"/>
        <v>84</v>
      </c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</row>
    <row r="227">
      <c r="A227" s="29">
        <v>162088.0</v>
      </c>
      <c r="B227" s="29">
        <v>161864.0</v>
      </c>
      <c r="C227" s="30" t="str">
        <f t="shared" si="1"/>
        <v>-</v>
      </c>
      <c r="D227" s="29">
        <f t="shared" si="2"/>
        <v>85</v>
      </c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</row>
    <row r="228">
      <c r="A228" s="29">
        <v>162519.0</v>
      </c>
      <c r="B228" s="29">
        <v>162103.0</v>
      </c>
      <c r="C228" s="30" t="str">
        <f t="shared" si="1"/>
        <v>-</v>
      </c>
      <c r="D228" s="29">
        <f t="shared" si="2"/>
        <v>85</v>
      </c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</row>
    <row r="229">
      <c r="A229" s="29">
        <v>162567.0</v>
      </c>
      <c r="B229" s="29">
        <v>162821.0</v>
      </c>
      <c r="C229" s="30" t="str">
        <f t="shared" si="1"/>
        <v>+</v>
      </c>
      <c r="D229" s="29">
        <f t="shared" si="2"/>
        <v>86</v>
      </c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</row>
    <row r="230">
      <c r="A230" s="29">
        <v>163549.0</v>
      </c>
      <c r="B230" s="29">
        <v>162818.0</v>
      </c>
      <c r="C230" s="30" t="str">
        <f t="shared" si="1"/>
        <v>-</v>
      </c>
      <c r="D230" s="29">
        <f t="shared" si="2"/>
        <v>87</v>
      </c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</row>
    <row r="231">
      <c r="A231" s="29">
        <v>163653.0</v>
      </c>
      <c r="B231" s="29">
        <v>165239.0</v>
      </c>
      <c r="C231" s="30" t="str">
        <f t="shared" si="1"/>
        <v>+</v>
      </c>
      <c r="D231" s="29">
        <f t="shared" si="2"/>
        <v>88</v>
      </c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</row>
    <row r="232">
      <c r="A232" s="29">
        <v>165332.0</v>
      </c>
      <c r="B232" s="29">
        <v>166435.0</v>
      </c>
      <c r="C232" s="30" t="str">
        <f t="shared" si="1"/>
        <v>+</v>
      </c>
      <c r="D232" s="29">
        <f t="shared" si="2"/>
        <v>88</v>
      </c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</row>
    <row r="233">
      <c r="A233" s="29">
        <v>166644.0</v>
      </c>
      <c r="B233" s="29">
        <v>167636.0</v>
      </c>
      <c r="C233" s="30" t="str">
        <f t="shared" si="1"/>
        <v>+</v>
      </c>
      <c r="D233" s="29">
        <f t="shared" si="2"/>
        <v>88</v>
      </c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</row>
    <row r="234">
      <c r="A234" s="29">
        <v>168123.0</v>
      </c>
      <c r="B234" s="29">
        <v>167626.0</v>
      </c>
      <c r="C234" s="30" t="str">
        <f t="shared" si="1"/>
        <v>-</v>
      </c>
      <c r="D234" s="29">
        <f t="shared" si="2"/>
        <v>89</v>
      </c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</row>
    <row r="235">
      <c r="A235" s="29">
        <v>168929.0</v>
      </c>
      <c r="B235" s="29">
        <v>168123.0</v>
      </c>
      <c r="C235" s="30" t="str">
        <f t="shared" si="1"/>
        <v>-</v>
      </c>
      <c r="D235" s="29">
        <f t="shared" si="2"/>
        <v>89</v>
      </c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</row>
    <row r="236">
      <c r="A236" s="29">
        <v>169225.0</v>
      </c>
      <c r="B236" s="29">
        <v>169401.0</v>
      </c>
      <c r="C236" s="30" t="str">
        <f t="shared" si="1"/>
        <v>+</v>
      </c>
      <c r="D236" s="29">
        <f t="shared" si="2"/>
        <v>90</v>
      </c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</row>
    <row r="237">
      <c r="A237" s="29">
        <v>169423.0</v>
      </c>
      <c r="B237" s="29">
        <v>169809.0</v>
      </c>
      <c r="C237" s="30" t="str">
        <f t="shared" si="1"/>
        <v>+</v>
      </c>
      <c r="D237" s="29">
        <f t="shared" si="2"/>
        <v>90</v>
      </c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</row>
    <row r="238">
      <c r="A238" s="29">
        <v>169848.0</v>
      </c>
      <c r="B238" s="29">
        <v>170606.0</v>
      </c>
      <c r="C238" s="30" t="str">
        <f t="shared" si="1"/>
        <v>+</v>
      </c>
      <c r="D238" s="29">
        <f t="shared" si="2"/>
        <v>90</v>
      </c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</row>
    <row r="239">
      <c r="A239" s="29">
        <v>170614.0</v>
      </c>
      <c r="B239" s="29">
        <v>170844.0</v>
      </c>
      <c r="C239" s="30" t="str">
        <f t="shared" si="1"/>
        <v>+</v>
      </c>
      <c r="D239" s="29">
        <f t="shared" si="2"/>
        <v>90</v>
      </c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</row>
    <row r="240">
      <c r="A240" s="29">
        <v>170814.0</v>
      </c>
      <c r="B240" s="29">
        <v>171035.0</v>
      </c>
      <c r="C240" s="30" t="str">
        <f t="shared" si="1"/>
        <v>+</v>
      </c>
      <c r="D240" s="29">
        <f t="shared" si="2"/>
        <v>90</v>
      </c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</row>
    <row r="241">
      <c r="A241" s="29">
        <v>171281.0</v>
      </c>
      <c r="B241" s="29">
        <v>171559.0</v>
      </c>
      <c r="C241" s="30" t="str">
        <f t="shared" si="1"/>
        <v>+</v>
      </c>
      <c r="D241" s="29">
        <f t="shared" si="2"/>
        <v>90</v>
      </c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</row>
    <row r="242">
      <c r="A242" s="29">
        <v>171592.0</v>
      </c>
      <c r="B242" s="29">
        <v>172869.0</v>
      </c>
      <c r="C242" s="30" t="str">
        <f t="shared" si="1"/>
        <v>+</v>
      </c>
      <c r="D242" s="29">
        <f t="shared" si="2"/>
        <v>90</v>
      </c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</row>
    <row r="243">
      <c r="A243" s="29">
        <v>172953.0</v>
      </c>
      <c r="B243" s="29">
        <v>174074.0</v>
      </c>
      <c r="C243" s="30" t="str">
        <f t="shared" si="1"/>
        <v>+</v>
      </c>
      <c r="D243" s="29">
        <f t="shared" si="2"/>
        <v>90</v>
      </c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</row>
    <row r="244">
      <c r="A244" s="29">
        <v>174067.0</v>
      </c>
      <c r="B244" s="29">
        <v>174417.0</v>
      </c>
      <c r="C244" s="30" t="str">
        <f t="shared" si="1"/>
        <v>+</v>
      </c>
      <c r="D244" s="29">
        <f t="shared" si="2"/>
        <v>90</v>
      </c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</row>
    <row r="245">
      <c r="A245" s="29">
        <v>174404.0</v>
      </c>
      <c r="B245" s="29">
        <v>174697.0</v>
      </c>
      <c r="C245" s="30" t="str">
        <f t="shared" si="1"/>
        <v>+</v>
      </c>
      <c r="D245" s="29">
        <f t="shared" si="2"/>
        <v>90</v>
      </c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</row>
    <row r="246">
      <c r="A246" s="29">
        <v>175418.0</v>
      </c>
      <c r="B246" s="29">
        <v>174642.0</v>
      </c>
      <c r="C246" s="30" t="str">
        <f t="shared" si="1"/>
        <v>-</v>
      </c>
      <c r="D246" s="29">
        <f t="shared" si="2"/>
        <v>91</v>
      </c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</row>
    <row r="247">
      <c r="A247" s="29">
        <v>176433.0</v>
      </c>
      <c r="B247" s="29">
        <v>175384.0</v>
      </c>
      <c r="C247" s="30" t="str">
        <f t="shared" si="1"/>
        <v>-</v>
      </c>
      <c r="D247" s="29">
        <f t="shared" si="2"/>
        <v>91</v>
      </c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</row>
    <row r="248">
      <c r="A248" s="29">
        <v>177537.0</v>
      </c>
      <c r="B248" s="29">
        <v>176464.0</v>
      </c>
      <c r="C248" s="30" t="str">
        <f t="shared" si="1"/>
        <v>-</v>
      </c>
      <c r="D248" s="29">
        <f t="shared" si="2"/>
        <v>91</v>
      </c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</row>
    <row r="249">
      <c r="A249" s="29">
        <v>178444.0</v>
      </c>
      <c r="B249" s="29">
        <v>177530.0</v>
      </c>
      <c r="C249" s="30" t="str">
        <f t="shared" si="1"/>
        <v>-</v>
      </c>
      <c r="D249" s="29">
        <f t="shared" si="2"/>
        <v>91</v>
      </c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</row>
    <row r="250">
      <c r="A250" s="29">
        <v>178531.0</v>
      </c>
      <c r="B250" s="29">
        <v>179820.0</v>
      </c>
      <c r="C250" s="30" t="str">
        <f t="shared" si="1"/>
        <v>+</v>
      </c>
      <c r="D250" s="29">
        <f t="shared" si="2"/>
        <v>92</v>
      </c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</row>
    <row r="251">
      <c r="A251" s="29">
        <v>180726.0</v>
      </c>
      <c r="B251" s="29">
        <v>179944.0</v>
      </c>
      <c r="C251" s="30" t="str">
        <f t="shared" si="1"/>
        <v>-</v>
      </c>
      <c r="D251" s="29">
        <f t="shared" si="2"/>
        <v>93</v>
      </c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</row>
    <row r="252">
      <c r="A252" s="29">
        <v>181255.0</v>
      </c>
      <c r="B252" s="29">
        <v>180749.0</v>
      </c>
      <c r="C252" s="30" t="str">
        <f t="shared" si="1"/>
        <v>-</v>
      </c>
      <c r="D252" s="29">
        <f t="shared" si="2"/>
        <v>93</v>
      </c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</row>
    <row r="253">
      <c r="A253" s="29">
        <v>181882.0</v>
      </c>
      <c r="B253" s="29">
        <v>181391.0</v>
      </c>
      <c r="C253" s="30" t="str">
        <f t="shared" si="1"/>
        <v>-</v>
      </c>
      <c r="D253" s="29">
        <f t="shared" si="2"/>
        <v>93</v>
      </c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</row>
    <row r="254">
      <c r="A254" s="29">
        <v>181952.0</v>
      </c>
      <c r="B254" s="29">
        <v>184810.0</v>
      </c>
      <c r="C254" s="30" t="str">
        <f t="shared" si="1"/>
        <v>+</v>
      </c>
      <c r="D254" s="29">
        <f t="shared" si="2"/>
        <v>94</v>
      </c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</row>
    <row r="255">
      <c r="A255" s="29">
        <v>184800.0</v>
      </c>
      <c r="B255" s="29">
        <v>185312.0</v>
      </c>
      <c r="C255" s="30" t="str">
        <f t="shared" si="1"/>
        <v>+</v>
      </c>
      <c r="D255" s="29">
        <f t="shared" si="2"/>
        <v>94</v>
      </c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</row>
    <row r="256">
      <c r="A256" s="29">
        <v>185313.0</v>
      </c>
      <c r="B256" s="29">
        <v>186059.0</v>
      </c>
      <c r="C256" s="30" t="str">
        <f t="shared" si="1"/>
        <v>+</v>
      </c>
      <c r="D256" s="29">
        <f t="shared" si="2"/>
        <v>94</v>
      </c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</row>
    <row r="257">
      <c r="A257" s="29">
        <v>186194.0</v>
      </c>
      <c r="B257" s="29">
        <v>186054.0</v>
      </c>
      <c r="C257" s="30" t="str">
        <f t="shared" si="1"/>
        <v>-</v>
      </c>
      <c r="D257" s="29">
        <f t="shared" si="2"/>
        <v>95</v>
      </c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</row>
    <row r="258">
      <c r="A258" s="29">
        <v>186280.0</v>
      </c>
      <c r="B258" s="29">
        <v>187458.0</v>
      </c>
      <c r="C258" s="30" t="str">
        <f t="shared" si="1"/>
        <v>+</v>
      </c>
      <c r="D258" s="29">
        <f t="shared" si="2"/>
        <v>96</v>
      </c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</row>
    <row r="259">
      <c r="A259" s="29">
        <v>187455.0</v>
      </c>
      <c r="B259" s="29">
        <v>187949.0</v>
      </c>
      <c r="C259" s="30" t="str">
        <f t="shared" si="1"/>
        <v>+</v>
      </c>
      <c r="D259" s="29">
        <f t="shared" si="2"/>
        <v>96</v>
      </c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</row>
    <row r="260">
      <c r="A260" s="29">
        <v>188471.0</v>
      </c>
      <c r="B260" s="29">
        <v>187908.0</v>
      </c>
      <c r="C260" s="30" t="str">
        <f t="shared" si="1"/>
        <v>-</v>
      </c>
      <c r="D260" s="29">
        <f t="shared" si="2"/>
        <v>97</v>
      </c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</row>
    <row r="261">
      <c r="A261" s="29">
        <v>188513.0</v>
      </c>
      <c r="B261" s="29">
        <v>189409.0</v>
      </c>
      <c r="C261" s="30" t="str">
        <f t="shared" si="1"/>
        <v>+</v>
      </c>
      <c r="D261" s="29">
        <f t="shared" si="2"/>
        <v>98</v>
      </c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</row>
    <row r="262">
      <c r="A262" s="29">
        <v>189435.0</v>
      </c>
      <c r="B262" s="29">
        <v>189743.0</v>
      </c>
      <c r="C262" s="30" t="str">
        <f t="shared" si="1"/>
        <v>+</v>
      </c>
      <c r="D262" s="29">
        <f t="shared" si="2"/>
        <v>98</v>
      </c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</row>
    <row r="263">
      <c r="A263" s="29">
        <v>189957.0</v>
      </c>
      <c r="B263" s="29">
        <v>191111.0</v>
      </c>
      <c r="C263" s="30" t="str">
        <f t="shared" si="1"/>
        <v>+</v>
      </c>
      <c r="D263" s="29">
        <f t="shared" si="2"/>
        <v>98</v>
      </c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</row>
    <row r="264">
      <c r="A264" s="29">
        <v>191353.0</v>
      </c>
      <c r="B264" s="29">
        <v>193989.0</v>
      </c>
      <c r="C264" s="30" t="str">
        <f t="shared" si="1"/>
        <v>+</v>
      </c>
      <c r="D264" s="29">
        <f t="shared" si="2"/>
        <v>98</v>
      </c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</row>
    <row r="265">
      <c r="A265" s="29">
        <v>194042.0</v>
      </c>
      <c r="B265" s="29">
        <v>195112.0</v>
      </c>
      <c r="C265" s="30" t="str">
        <f t="shared" si="1"/>
        <v>+</v>
      </c>
      <c r="D265" s="29">
        <f t="shared" si="2"/>
        <v>98</v>
      </c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</row>
    <row r="266">
      <c r="A266" s="29">
        <v>195109.0</v>
      </c>
      <c r="B266" s="29">
        <v>196524.0</v>
      </c>
      <c r="C266" s="30" t="str">
        <f t="shared" si="1"/>
        <v>+</v>
      </c>
      <c r="D266" s="29">
        <f t="shared" si="2"/>
        <v>98</v>
      </c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</row>
    <row r="267">
      <c r="A267" s="29">
        <v>196553.0</v>
      </c>
      <c r="B267" s="29">
        <v>197011.0</v>
      </c>
      <c r="C267" s="30" t="str">
        <f t="shared" si="1"/>
        <v>+</v>
      </c>
      <c r="D267" s="29">
        <f t="shared" si="2"/>
        <v>98</v>
      </c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</row>
    <row r="268">
      <c r="A268" s="29">
        <v>197043.0</v>
      </c>
      <c r="B268" s="29">
        <v>197522.0</v>
      </c>
      <c r="C268" s="30" t="str">
        <f t="shared" si="1"/>
        <v>+</v>
      </c>
      <c r="D268" s="29">
        <f t="shared" si="2"/>
        <v>98</v>
      </c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</row>
    <row r="269">
      <c r="A269" s="29">
        <v>197519.0</v>
      </c>
      <c r="B269" s="29">
        <v>198424.0</v>
      </c>
      <c r="C269" s="30" t="str">
        <f t="shared" si="1"/>
        <v>+</v>
      </c>
      <c r="D269" s="29">
        <f t="shared" si="2"/>
        <v>98</v>
      </c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</row>
    <row r="270">
      <c r="A270" s="29">
        <v>198621.0</v>
      </c>
      <c r="B270" s="29">
        <v>198421.0</v>
      </c>
      <c r="C270" s="30" t="str">
        <f t="shared" si="1"/>
        <v>-</v>
      </c>
      <c r="D270" s="29">
        <f t="shared" si="2"/>
        <v>99</v>
      </c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</row>
    <row r="271">
      <c r="A271" s="29">
        <v>199005.0</v>
      </c>
      <c r="B271" s="29">
        <v>198652.0</v>
      </c>
      <c r="C271" s="30" t="str">
        <f t="shared" si="1"/>
        <v>-</v>
      </c>
      <c r="D271" s="29">
        <f t="shared" si="2"/>
        <v>99</v>
      </c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</row>
    <row r="272">
      <c r="A272" s="29">
        <v>199044.0</v>
      </c>
      <c r="B272" s="29">
        <v>199781.0</v>
      </c>
      <c r="C272" s="30" t="str">
        <f t="shared" si="1"/>
        <v>+</v>
      </c>
      <c r="D272" s="29">
        <f t="shared" si="2"/>
        <v>100</v>
      </c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</row>
    <row r="273">
      <c r="A273" s="29">
        <v>200585.0</v>
      </c>
      <c r="B273" s="29">
        <v>199749.0</v>
      </c>
      <c r="C273" s="30" t="str">
        <f t="shared" si="1"/>
        <v>-</v>
      </c>
      <c r="D273" s="29">
        <f t="shared" si="2"/>
        <v>101</v>
      </c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</row>
    <row r="274">
      <c r="A274" s="29">
        <v>200942.0</v>
      </c>
      <c r="B274" s="29">
        <v>200778.0</v>
      </c>
      <c r="C274" s="30" t="str">
        <f t="shared" si="1"/>
        <v>-</v>
      </c>
      <c r="D274" s="29">
        <f t="shared" si="2"/>
        <v>101</v>
      </c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</row>
    <row r="275">
      <c r="A275" s="29">
        <v>201735.0</v>
      </c>
      <c r="B275" s="29">
        <v>201151.0</v>
      </c>
      <c r="C275" s="30" t="str">
        <f t="shared" si="1"/>
        <v>-</v>
      </c>
      <c r="D275" s="29">
        <f t="shared" si="2"/>
        <v>101</v>
      </c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</row>
    <row r="276">
      <c r="A276" s="29">
        <v>203196.0</v>
      </c>
      <c r="B276" s="29">
        <v>202078.0</v>
      </c>
      <c r="C276" s="30" t="str">
        <f t="shared" si="1"/>
        <v>-</v>
      </c>
      <c r="D276" s="29">
        <f t="shared" si="2"/>
        <v>101</v>
      </c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</row>
    <row r="277">
      <c r="A277" s="29">
        <v>203419.0</v>
      </c>
      <c r="B277" s="29">
        <v>203153.0</v>
      </c>
      <c r="C277" s="30" t="str">
        <f t="shared" si="1"/>
        <v>-</v>
      </c>
      <c r="D277" s="29">
        <f t="shared" si="2"/>
        <v>101</v>
      </c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</row>
    <row r="278">
      <c r="A278" s="29">
        <v>203434.0</v>
      </c>
      <c r="B278" s="29">
        <v>203673.0</v>
      </c>
      <c r="C278" s="30" t="str">
        <f t="shared" si="1"/>
        <v>+</v>
      </c>
      <c r="D278" s="29">
        <f t="shared" si="2"/>
        <v>102</v>
      </c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</row>
    <row r="279">
      <c r="A279" s="29">
        <v>204295.0</v>
      </c>
      <c r="B279" s="29">
        <v>205512.0</v>
      </c>
      <c r="C279" s="30" t="str">
        <f t="shared" si="1"/>
        <v>+</v>
      </c>
      <c r="D279" s="29">
        <f t="shared" si="2"/>
        <v>102</v>
      </c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</row>
    <row r="280">
      <c r="A280" s="29">
        <v>206337.0</v>
      </c>
      <c r="B280" s="29">
        <v>205987.0</v>
      </c>
      <c r="C280" s="30" t="str">
        <f t="shared" si="1"/>
        <v>-</v>
      </c>
      <c r="D280" s="29">
        <f t="shared" si="2"/>
        <v>103</v>
      </c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</row>
    <row r="281">
      <c r="A281" s="29">
        <v>206435.0</v>
      </c>
      <c r="B281" s="29">
        <v>206334.0</v>
      </c>
      <c r="C281" s="30" t="str">
        <f t="shared" si="1"/>
        <v>-</v>
      </c>
      <c r="D281" s="29">
        <f t="shared" si="2"/>
        <v>103</v>
      </c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</row>
    <row r="282">
      <c r="A282" s="29">
        <v>206481.0</v>
      </c>
      <c r="B282" s="29">
        <v>208841.0</v>
      </c>
      <c r="C282" s="30" t="str">
        <f t="shared" si="1"/>
        <v>+</v>
      </c>
      <c r="D282" s="29">
        <f t="shared" si="2"/>
        <v>104</v>
      </c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</row>
    <row r="283">
      <c r="A283" s="29">
        <v>209011.0</v>
      </c>
      <c r="B283" s="29">
        <v>209955.0</v>
      </c>
      <c r="C283" s="30" t="str">
        <f t="shared" si="1"/>
        <v>+</v>
      </c>
      <c r="D283" s="29">
        <f t="shared" si="2"/>
        <v>104</v>
      </c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</row>
    <row r="284">
      <c r="A284" s="29">
        <v>213176.0</v>
      </c>
      <c r="B284" s="29">
        <v>211722.0</v>
      </c>
      <c r="C284" s="30" t="str">
        <f t="shared" si="1"/>
        <v>-</v>
      </c>
      <c r="D284" s="29">
        <f t="shared" si="2"/>
        <v>105</v>
      </c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</row>
    <row r="285">
      <c r="A285" s="29">
        <v>215028.0</v>
      </c>
      <c r="B285" s="29">
        <v>213202.0</v>
      </c>
      <c r="C285" s="30" t="str">
        <f t="shared" si="1"/>
        <v>-</v>
      </c>
      <c r="D285" s="29">
        <f t="shared" si="2"/>
        <v>105</v>
      </c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</row>
    <row r="286">
      <c r="A286" s="29">
        <v>215117.0</v>
      </c>
      <c r="B286" s="29">
        <v>216487.0</v>
      </c>
      <c r="C286" s="30" t="str">
        <f t="shared" si="1"/>
        <v>+</v>
      </c>
      <c r="D286" s="29">
        <f t="shared" si="2"/>
        <v>106</v>
      </c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</row>
    <row r="287">
      <c r="A287" s="29">
        <v>216489.0</v>
      </c>
      <c r="B287" s="29">
        <v>217937.0</v>
      </c>
      <c r="C287" s="30" t="str">
        <f t="shared" si="1"/>
        <v>+</v>
      </c>
      <c r="D287" s="29">
        <f t="shared" si="2"/>
        <v>106</v>
      </c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</row>
    <row r="288">
      <c r="A288" s="29">
        <v>217985.0</v>
      </c>
      <c r="B288" s="29">
        <v>219208.0</v>
      </c>
      <c r="C288" s="30" t="str">
        <f t="shared" si="1"/>
        <v>+</v>
      </c>
      <c r="D288" s="29">
        <f t="shared" si="2"/>
        <v>106</v>
      </c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</row>
    <row r="289">
      <c r="A289" s="29">
        <v>220002.0</v>
      </c>
      <c r="B289" s="29">
        <v>219205.0</v>
      </c>
      <c r="C289" s="30" t="str">
        <f t="shared" si="1"/>
        <v>-</v>
      </c>
      <c r="D289" s="29">
        <f t="shared" si="2"/>
        <v>107</v>
      </c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</row>
    <row r="290">
      <c r="A290" s="29">
        <v>220143.0</v>
      </c>
      <c r="B290" s="29">
        <v>220003.0</v>
      </c>
      <c r="C290" s="30" t="str">
        <f t="shared" si="1"/>
        <v>-</v>
      </c>
      <c r="D290" s="29">
        <f t="shared" si="2"/>
        <v>107</v>
      </c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</row>
    <row r="291">
      <c r="A291" s="29">
        <v>221577.0</v>
      </c>
      <c r="B291" s="29">
        <v>220180.0</v>
      </c>
      <c r="C291" s="30" t="str">
        <f t="shared" si="1"/>
        <v>-</v>
      </c>
      <c r="D291" s="29">
        <f t="shared" si="2"/>
        <v>107</v>
      </c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</row>
    <row r="292">
      <c r="A292" s="29">
        <v>222044.0</v>
      </c>
      <c r="B292" s="29">
        <v>221577.0</v>
      </c>
      <c r="C292" s="30" t="str">
        <f t="shared" si="1"/>
        <v>-</v>
      </c>
      <c r="D292" s="29">
        <f t="shared" si="2"/>
        <v>107</v>
      </c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</row>
    <row r="293">
      <c r="A293" s="29">
        <v>222970.0</v>
      </c>
      <c r="B293" s="29">
        <v>222080.0</v>
      </c>
      <c r="C293" s="30" t="str">
        <f t="shared" si="1"/>
        <v>-</v>
      </c>
      <c r="D293" s="29">
        <f t="shared" si="2"/>
        <v>107</v>
      </c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</row>
    <row r="294">
      <c r="A294" s="29">
        <v>223072.0</v>
      </c>
      <c r="B294" s="29">
        <v>224358.0</v>
      </c>
      <c r="C294" s="30" t="str">
        <f t="shared" si="1"/>
        <v>+</v>
      </c>
      <c r="D294" s="29">
        <f t="shared" si="2"/>
        <v>108</v>
      </c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</row>
    <row r="295">
      <c r="A295" s="29">
        <v>224474.0</v>
      </c>
      <c r="B295" s="29">
        <v>225643.0</v>
      </c>
      <c r="C295" s="30" t="str">
        <f t="shared" si="1"/>
        <v>+</v>
      </c>
      <c r="D295" s="29">
        <f t="shared" si="2"/>
        <v>108</v>
      </c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</row>
    <row r="296">
      <c r="A296" s="29">
        <v>225643.0</v>
      </c>
      <c r="B296" s="29">
        <v>225987.0</v>
      </c>
      <c r="C296" s="30" t="str">
        <f t="shared" si="1"/>
        <v>+</v>
      </c>
      <c r="D296" s="29">
        <f t="shared" si="2"/>
        <v>108</v>
      </c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</row>
    <row r="297">
      <c r="A297" s="29">
        <v>226528.0</v>
      </c>
      <c r="B297" s="29">
        <v>226319.0</v>
      </c>
      <c r="C297" s="30" t="str">
        <f t="shared" si="1"/>
        <v>-</v>
      </c>
      <c r="D297" s="29">
        <f t="shared" si="2"/>
        <v>109</v>
      </c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</row>
    <row r="298">
      <c r="A298" s="29">
        <v>227406.0</v>
      </c>
      <c r="B298" s="29">
        <v>226603.0</v>
      </c>
      <c r="C298" s="30" t="str">
        <f t="shared" si="1"/>
        <v>-</v>
      </c>
      <c r="D298" s="29">
        <f t="shared" si="2"/>
        <v>109</v>
      </c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</row>
    <row r="299">
      <c r="A299" s="29">
        <v>227452.0</v>
      </c>
      <c r="B299" s="29">
        <v>230454.0</v>
      </c>
      <c r="C299" s="30" t="str">
        <f t="shared" si="1"/>
        <v>+</v>
      </c>
      <c r="D299" s="29">
        <f t="shared" si="2"/>
        <v>110</v>
      </c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</row>
    <row r="300">
      <c r="A300" s="29">
        <v>230762.0</v>
      </c>
      <c r="B300" s="29">
        <v>231850.0</v>
      </c>
      <c r="C300" s="30" t="str">
        <f t="shared" si="1"/>
        <v>+</v>
      </c>
      <c r="D300" s="29">
        <f t="shared" si="2"/>
        <v>110</v>
      </c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</row>
    <row r="301">
      <c r="A301" s="29">
        <v>231850.0</v>
      </c>
      <c r="B301" s="29">
        <v>232773.0</v>
      </c>
      <c r="C301" s="30" t="str">
        <f t="shared" si="1"/>
        <v>+</v>
      </c>
      <c r="D301" s="29">
        <f t="shared" si="2"/>
        <v>110</v>
      </c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</row>
    <row r="302">
      <c r="A302" s="29">
        <v>232763.0</v>
      </c>
      <c r="B302" s="29">
        <v>233569.0</v>
      </c>
      <c r="C302" s="30" t="str">
        <f t="shared" si="1"/>
        <v>+</v>
      </c>
      <c r="D302" s="29">
        <f t="shared" si="2"/>
        <v>110</v>
      </c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</row>
    <row r="303">
      <c r="A303" s="29">
        <v>234025.0</v>
      </c>
      <c r="B303" s="29">
        <v>233594.0</v>
      </c>
      <c r="C303" s="30" t="str">
        <f t="shared" si="1"/>
        <v>-</v>
      </c>
      <c r="D303" s="29">
        <f t="shared" si="2"/>
        <v>111</v>
      </c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</row>
    <row r="304">
      <c r="A304" s="29">
        <v>235092.0</v>
      </c>
      <c r="B304" s="29">
        <v>234046.0</v>
      </c>
      <c r="C304" s="30" t="str">
        <f t="shared" si="1"/>
        <v>-</v>
      </c>
      <c r="D304" s="29">
        <f t="shared" si="2"/>
        <v>111</v>
      </c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</row>
    <row r="305">
      <c r="A305" s="29">
        <v>235610.0</v>
      </c>
      <c r="B305" s="29">
        <v>237529.0</v>
      </c>
      <c r="C305" s="30" t="str">
        <f t="shared" si="1"/>
        <v>+</v>
      </c>
      <c r="D305" s="29">
        <f t="shared" si="2"/>
        <v>112</v>
      </c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</row>
    <row r="306">
      <c r="A306" s="29">
        <v>238929.0</v>
      </c>
      <c r="B306" s="29">
        <v>237682.0</v>
      </c>
      <c r="C306" s="30" t="str">
        <f t="shared" si="1"/>
        <v>-</v>
      </c>
      <c r="D306" s="29">
        <f t="shared" si="2"/>
        <v>113</v>
      </c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</row>
    <row r="307">
      <c r="A307" s="29">
        <v>238977.0</v>
      </c>
      <c r="B307" s="29">
        <v>239981.0</v>
      </c>
      <c r="C307" s="30" t="str">
        <f t="shared" si="1"/>
        <v>+</v>
      </c>
      <c r="D307" s="29">
        <f t="shared" si="2"/>
        <v>114</v>
      </c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</row>
    <row r="308">
      <c r="A308" s="29">
        <v>240630.0</v>
      </c>
      <c r="B308" s="29">
        <v>239914.0</v>
      </c>
      <c r="C308" s="30" t="str">
        <f t="shared" si="1"/>
        <v>-</v>
      </c>
      <c r="D308" s="29">
        <f t="shared" si="2"/>
        <v>115</v>
      </c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</row>
    <row r="309">
      <c r="A309" s="29">
        <v>240887.0</v>
      </c>
      <c r="B309" s="29">
        <v>240630.0</v>
      </c>
      <c r="C309" s="30" t="str">
        <f t="shared" si="1"/>
        <v>-</v>
      </c>
      <c r="D309" s="29">
        <f t="shared" si="2"/>
        <v>115</v>
      </c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</row>
    <row r="310">
      <c r="A310" s="29">
        <v>241217.0</v>
      </c>
      <c r="B310" s="29">
        <v>240918.0</v>
      </c>
      <c r="C310" s="30" t="str">
        <f t="shared" si="1"/>
        <v>-</v>
      </c>
      <c r="D310" s="29">
        <f t="shared" si="2"/>
        <v>115</v>
      </c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</row>
    <row r="311">
      <c r="A311" s="29">
        <v>241758.0</v>
      </c>
      <c r="B311" s="29">
        <v>241252.0</v>
      </c>
      <c r="C311" s="30" t="str">
        <f t="shared" si="1"/>
        <v>-</v>
      </c>
      <c r="D311" s="29">
        <f t="shared" si="2"/>
        <v>115</v>
      </c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</row>
    <row r="312">
      <c r="A312" s="29">
        <v>241854.0</v>
      </c>
      <c r="B312" s="29">
        <v>242516.0</v>
      </c>
      <c r="C312" s="30" t="str">
        <f t="shared" si="1"/>
        <v>+</v>
      </c>
      <c r="D312" s="29">
        <f t="shared" si="2"/>
        <v>116</v>
      </c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</row>
    <row r="313">
      <c r="A313" s="29">
        <v>243216.0</v>
      </c>
      <c r="B313" s="29">
        <v>242707.0</v>
      </c>
      <c r="C313" s="30" t="str">
        <f t="shared" si="1"/>
        <v>-</v>
      </c>
      <c r="D313" s="29">
        <f t="shared" si="2"/>
        <v>117</v>
      </c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</row>
    <row r="314">
      <c r="A314" s="29">
        <v>243276.0</v>
      </c>
      <c r="B314" s="29">
        <v>244082.0</v>
      </c>
      <c r="C314" s="30" t="str">
        <f t="shared" si="1"/>
        <v>+</v>
      </c>
      <c r="D314" s="29">
        <f t="shared" si="2"/>
        <v>118</v>
      </c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</row>
    <row r="315">
      <c r="A315" s="29">
        <v>244613.0</v>
      </c>
      <c r="B315" s="29">
        <v>244071.0</v>
      </c>
      <c r="C315" s="30" t="str">
        <f t="shared" si="1"/>
        <v>-</v>
      </c>
      <c r="D315" s="29">
        <f t="shared" si="2"/>
        <v>119</v>
      </c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</row>
    <row r="316">
      <c r="A316" s="29">
        <v>246400.0</v>
      </c>
      <c r="B316" s="29">
        <v>244586.0</v>
      </c>
      <c r="C316" s="30" t="str">
        <f t="shared" si="1"/>
        <v>-</v>
      </c>
      <c r="D316" s="29">
        <f t="shared" si="2"/>
        <v>119</v>
      </c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</row>
    <row r="317">
      <c r="A317" s="29">
        <v>246446.0</v>
      </c>
      <c r="B317" s="29">
        <v>246715.0</v>
      </c>
      <c r="C317" s="30" t="str">
        <f t="shared" si="1"/>
        <v>+</v>
      </c>
      <c r="D317" s="29">
        <f t="shared" si="2"/>
        <v>120</v>
      </c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</row>
    <row r="318">
      <c r="A318" s="29">
        <v>247849.0</v>
      </c>
      <c r="B318" s="29">
        <v>246881.0</v>
      </c>
      <c r="C318" s="30" t="str">
        <f t="shared" si="1"/>
        <v>-</v>
      </c>
      <c r="D318" s="29">
        <f t="shared" si="2"/>
        <v>121</v>
      </c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</row>
    <row r="319">
      <c r="A319" s="29">
        <v>248289.0</v>
      </c>
      <c r="B319" s="29">
        <v>247846.0</v>
      </c>
      <c r="C319" s="30" t="str">
        <f t="shared" si="1"/>
        <v>-</v>
      </c>
      <c r="D319" s="29">
        <f t="shared" si="2"/>
        <v>121</v>
      </c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</row>
    <row r="320">
      <c r="A320" s="29">
        <v>249463.0</v>
      </c>
      <c r="B320" s="29">
        <v>248294.0</v>
      </c>
      <c r="C320" s="30" t="str">
        <f t="shared" si="1"/>
        <v>-</v>
      </c>
      <c r="D320" s="29">
        <f t="shared" si="2"/>
        <v>121</v>
      </c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</row>
    <row r="321">
      <c r="A321" s="29">
        <v>250162.0</v>
      </c>
      <c r="B321" s="29">
        <v>249488.0</v>
      </c>
      <c r="C321" s="30" t="str">
        <f t="shared" si="1"/>
        <v>-</v>
      </c>
      <c r="D321" s="29">
        <f t="shared" si="2"/>
        <v>121</v>
      </c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</row>
    <row r="322">
      <c r="A322" s="29">
        <v>250209.0</v>
      </c>
      <c r="B322" s="29">
        <v>251528.0</v>
      </c>
      <c r="C322" s="30" t="str">
        <f t="shared" si="1"/>
        <v>+</v>
      </c>
      <c r="D322" s="29">
        <f t="shared" si="2"/>
        <v>122</v>
      </c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</row>
    <row r="323">
      <c r="A323" s="29">
        <v>251998.0</v>
      </c>
      <c r="B323" s="29">
        <v>251525.0</v>
      </c>
      <c r="C323" s="30" t="str">
        <f t="shared" si="1"/>
        <v>-</v>
      </c>
      <c r="D323" s="29">
        <f t="shared" si="2"/>
        <v>123</v>
      </c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</row>
    <row r="324">
      <c r="A324" s="29">
        <v>253001.0</v>
      </c>
      <c r="B324" s="29">
        <v>252132.0</v>
      </c>
      <c r="C324" s="30" t="str">
        <f t="shared" si="1"/>
        <v>-</v>
      </c>
      <c r="D324" s="29">
        <f t="shared" si="2"/>
        <v>123</v>
      </c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</row>
    <row r="325">
      <c r="A325" s="29">
        <v>253950.0</v>
      </c>
      <c r="B325" s="29">
        <v>252994.0</v>
      </c>
      <c r="C325" s="30" t="str">
        <f t="shared" si="1"/>
        <v>-</v>
      </c>
      <c r="D325" s="29">
        <f t="shared" si="2"/>
        <v>123</v>
      </c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</row>
    <row r="326">
      <c r="A326" s="29">
        <v>253997.0</v>
      </c>
      <c r="B326" s="29">
        <v>254584.0</v>
      </c>
      <c r="C326" s="30" t="str">
        <f t="shared" si="1"/>
        <v>+</v>
      </c>
      <c r="D326" s="29">
        <f t="shared" si="2"/>
        <v>124</v>
      </c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</row>
    <row r="327">
      <c r="A327" s="29">
        <v>255088.0</v>
      </c>
      <c r="B327" s="29">
        <v>254783.0</v>
      </c>
      <c r="C327" s="30" t="str">
        <f t="shared" si="1"/>
        <v>-</v>
      </c>
      <c r="D327" s="29">
        <f t="shared" si="2"/>
        <v>125</v>
      </c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</row>
    <row r="328">
      <c r="A328" s="29">
        <v>255134.0</v>
      </c>
      <c r="B328" s="29">
        <v>256681.0</v>
      </c>
      <c r="C328" s="30" t="str">
        <f t="shared" si="1"/>
        <v>+</v>
      </c>
      <c r="D328" s="29">
        <f t="shared" si="2"/>
        <v>126</v>
      </c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</row>
    <row r="329">
      <c r="A329" s="29">
        <v>256713.0</v>
      </c>
      <c r="B329" s="29">
        <v>257075.0</v>
      </c>
      <c r="C329" s="30" t="str">
        <f t="shared" si="1"/>
        <v>+</v>
      </c>
      <c r="D329" s="29">
        <f t="shared" si="2"/>
        <v>126</v>
      </c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</row>
    <row r="330">
      <c r="A330" s="29">
        <v>257296.0</v>
      </c>
      <c r="B330" s="29">
        <v>257072.0</v>
      </c>
      <c r="C330" s="30" t="str">
        <f t="shared" si="1"/>
        <v>-</v>
      </c>
      <c r="D330" s="29">
        <f t="shared" si="2"/>
        <v>127</v>
      </c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</row>
    <row r="331">
      <c r="A331" s="29">
        <v>257736.0</v>
      </c>
      <c r="B331" s="29">
        <v>257461.0</v>
      </c>
      <c r="C331" s="30" t="str">
        <f t="shared" si="1"/>
        <v>-</v>
      </c>
      <c r="D331" s="29">
        <f t="shared" si="2"/>
        <v>127</v>
      </c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</row>
    <row r="332">
      <c r="A332" s="29">
        <v>258137.0</v>
      </c>
      <c r="B332" s="29">
        <v>257733.0</v>
      </c>
      <c r="C332" s="30" t="str">
        <f t="shared" si="1"/>
        <v>-</v>
      </c>
      <c r="D332" s="29">
        <f t="shared" si="2"/>
        <v>127</v>
      </c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</row>
    <row r="333">
      <c r="A333" s="29">
        <v>258586.0</v>
      </c>
      <c r="B333" s="29">
        <v>258134.0</v>
      </c>
      <c r="C333" s="30" t="str">
        <f t="shared" si="1"/>
        <v>-</v>
      </c>
      <c r="D333" s="29">
        <f t="shared" si="2"/>
        <v>127</v>
      </c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</row>
    <row r="334">
      <c r="A334" s="29">
        <v>258625.0</v>
      </c>
      <c r="B334" s="29">
        <v>259290.0</v>
      </c>
      <c r="C334" s="30" t="str">
        <f t="shared" si="1"/>
        <v>+</v>
      </c>
      <c r="D334" s="29">
        <f t="shared" si="2"/>
        <v>128</v>
      </c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</row>
    <row r="335">
      <c r="A335" s="29">
        <v>259287.0</v>
      </c>
      <c r="B335" s="29">
        <v>259883.0</v>
      </c>
      <c r="C335" s="30" t="str">
        <f t="shared" si="1"/>
        <v>+</v>
      </c>
      <c r="D335" s="29">
        <f t="shared" si="2"/>
        <v>128</v>
      </c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</row>
    <row r="336">
      <c r="A336" s="29">
        <v>259907.0</v>
      </c>
      <c r="B336" s="29">
        <v>260461.0</v>
      </c>
      <c r="C336" s="30" t="str">
        <f t="shared" si="1"/>
        <v>+</v>
      </c>
      <c r="D336" s="29">
        <f t="shared" si="2"/>
        <v>128</v>
      </c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</row>
    <row r="337">
      <c r="A337" s="29">
        <v>260448.0</v>
      </c>
      <c r="B337" s="29">
        <v>261476.0</v>
      </c>
      <c r="C337" s="30" t="str">
        <f t="shared" si="1"/>
        <v>+</v>
      </c>
      <c r="D337" s="29">
        <f t="shared" si="2"/>
        <v>128</v>
      </c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</row>
    <row r="338">
      <c r="A338" s="29">
        <v>261805.0</v>
      </c>
      <c r="B338" s="29">
        <v>261572.0</v>
      </c>
      <c r="C338" s="30" t="str">
        <f t="shared" si="1"/>
        <v>-</v>
      </c>
      <c r="D338" s="29">
        <f t="shared" si="2"/>
        <v>129</v>
      </c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</row>
    <row r="339">
      <c r="A339" s="29">
        <v>261963.0</v>
      </c>
      <c r="B339" s="29">
        <v>261805.0</v>
      </c>
      <c r="C339" s="30" t="str">
        <f t="shared" si="1"/>
        <v>-</v>
      </c>
      <c r="D339" s="29">
        <f t="shared" si="2"/>
        <v>129</v>
      </c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</row>
    <row r="340">
      <c r="A340" s="29">
        <v>262494.0</v>
      </c>
      <c r="B340" s="29">
        <v>261982.0</v>
      </c>
      <c r="C340" s="30" t="str">
        <f t="shared" si="1"/>
        <v>-</v>
      </c>
      <c r="D340" s="29">
        <f t="shared" si="2"/>
        <v>129</v>
      </c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</row>
    <row r="341">
      <c r="A341" s="29">
        <v>263407.0</v>
      </c>
      <c r="B341" s="29">
        <v>262601.0</v>
      </c>
      <c r="C341" s="30" t="str">
        <f t="shared" si="1"/>
        <v>-</v>
      </c>
      <c r="D341" s="29">
        <f t="shared" si="2"/>
        <v>129</v>
      </c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</row>
    <row r="342">
      <c r="A342" s="29">
        <v>264290.0</v>
      </c>
      <c r="B342" s="29">
        <v>263400.0</v>
      </c>
      <c r="C342" s="30" t="str">
        <f t="shared" si="1"/>
        <v>-</v>
      </c>
      <c r="D342" s="29">
        <f t="shared" si="2"/>
        <v>129</v>
      </c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</row>
    <row r="343">
      <c r="A343" s="29">
        <v>264337.0</v>
      </c>
      <c r="B343" s="29">
        <v>266094.0</v>
      </c>
      <c r="C343" s="30" t="str">
        <f t="shared" si="1"/>
        <v>+</v>
      </c>
      <c r="D343" s="29">
        <f t="shared" si="2"/>
        <v>130</v>
      </c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</row>
    <row r="344">
      <c r="A344" s="29">
        <v>266124.0</v>
      </c>
      <c r="B344" s="29">
        <v>266474.0</v>
      </c>
      <c r="C344" s="30" t="str">
        <f t="shared" si="1"/>
        <v>+</v>
      </c>
      <c r="D344" s="29">
        <f t="shared" si="2"/>
        <v>130</v>
      </c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</row>
    <row r="345">
      <c r="A345" s="29">
        <v>266471.0</v>
      </c>
      <c r="B345" s="29">
        <v>267022.0</v>
      </c>
      <c r="C345" s="30" t="str">
        <f t="shared" si="1"/>
        <v>+</v>
      </c>
      <c r="D345" s="29">
        <f t="shared" si="2"/>
        <v>130</v>
      </c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</row>
    <row r="346">
      <c r="A346" s="29">
        <v>267405.0</v>
      </c>
      <c r="B346" s="29">
        <v>267019.0</v>
      </c>
      <c r="C346" s="30" t="str">
        <f t="shared" si="1"/>
        <v>-</v>
      </c>
      <c r="D346" s="29">
        <f t="shared" si="2"/>
        <v>131</v>
      </c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</row>
    <row r="347">
      <c r="A347" s="29">
        <v>267681.0</v>
      </c>
      <c r="B347" s="29">
        <v>267460.0</v>
      </c>
      <c r="C347" s="30" t="str">
        <f t="shared" si="1"/>
        <v>-</v>
      </c>
      <c r="D347" s="29">
        <f t="shared" si="2"/>
        <v>131</v>
      </c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</row>
    <row r="348">
      <c r="A348" s="29">
        <v>267726.0</v>
      </c>
      <c r="B348" s="29">
        <v>268442.0</v>
      </c>
      <c r="C348" s="30" t="str">
        <f t="shared" si="1"/>
        <v>+</v>
      </c>
      <c r="D348" s="29">
        <f t="shared" si="2"/>
        <v>132</v>
      </c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</row>
    <row r="349">
      <c r="A349" s="29">
        <v>268473.0</v>
      </c>
      <c r="B349" s="29">
        <v>268814.0</v>
      </c>
      <c r="C349" s="30" t="str">
        <f t="shared" si="1"/>
        <v>+</v>
      </c>
      <c r="D349" s="29">
        <f t="shared" si="2"/>
        <v>132</v>
      </c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</row>
    <row r="350">
      <c r="A350" s="29">
        <v>268838.0</v>
      </c>
      <c r="B350" s="29">
        <v>270136.0</v>
      </c>
      <c r="C350" s="30" t="str">
        <f t="shared" si="1"/>
        <v>+</v>
      </c>
      <c r="D350" s="29">
        <f t="shared" si="2"/>
        <v>132</v>
      </c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</row>
    <row r="351">
      <c r="A351" s="29">
        <v>270139.0</v>
      </c>
      <c r="B351" s="29">
        <v>270720.0</v>
      </c>
      <c r="C351" s="30" t="str">
        <f t="shared" si="1"/>
        <v>+</v>
      </c>
      <c r="D351" s="29">
        <f t="shared" si="2"/>
        <v>132</v>
      </c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</row>
    <row r="352">
      <c r="A352" s="29">
        <v>270746.0</v>
      </c>
      <c r="B352" s="29">
        <v>270916.0</v>
      </c>
      <c r="C352" s="30" t="str">
        <f t="shared" si="1"/>
        <v>+</v>
      </c>
      <c r="D352" s="29">
        <f t="shared" si="2"/>
        <v>132</v>
      </c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</row>
    <row r="353">
      <c r="A353" s="29">
        <v>270894.0</v>
      </c>
      <c r="B353" s="29">
        <v>273278.0</v>
      </c>
      <c r="C353" s="30" t="str">
        <f t="shared" si="1"/>
        <v>+</v>
      </c>
      <c r="D353" s="29">
        <f t="shared" si="2"/>
        <v>132</v>
      </c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</row>
    <row r="354">
      <c r="A354" s="29">
        <v>273333.0</v>
      </c>
      <c r="B354" s="29">
        <v>273280.0</v>
      </c>
      <c r="C354" s="30" t="str">
        <f t="shared" si="1"/>
        <v>-</v>
      </c>
      <c r="D354" s="29">
        <f t="shared" si="2"/>
        <v>133</v>
      </c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</row>
    <row r="355">
      <c r="A355" s="29">
        <v>274079.0</v>
      </c>
      <c r="B355" s="29">
        <v>273360.0</v>
      </c>
      <c r="C355" s="30" t="str">
        <f t="shared" si="1"/>
        <v>-</v>
      </c>
      <c r="D355" s="29">
        <f t="shared" si="2"/>
        <v>133</v>
      </c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</row>
    <row r="356">
      <c r="A356" s="29">
        <v>274158.0</v>
      </c>
      <c r="B356" s="29">
        <v>275894.0</v>
      </c>
      <c r="C356" s="30" t="str">
        <f t="shared" si="1"/>
        <v>+</v>
      </c>
      <c r="D356" s="29">
        <f t="shared" si="2"/>
        <v>134</v>
      </c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</row>
    <row r="357">
      <c r="A357" s="29">
        <v>277087.0</v>
      </c>
      <c r="B357" s="29">
        <v>276539.0</v>
      </c>
      <c r="C357" s="30" t="str">
        <f t="shared" si="1"/>
        <v>-</v>
      </c>
      <c r="D357" s="29">
        <f t="shared" si="2"/>
        <v>135</v>
      </c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</row>
    <row r="358">
      <c r="A358" s="29">
        <v>277865.0</v>
      </c>
      <c r="B358" s="29">
        <v>277047.0</v>
      </c>
      <c r="C358" s="30" t="str">
        <f t="shared" si="1"/>
        <v>-</v>
      </c>
      <c r="D358" s="29">
        <f t="shared" si="2"/>
        <v>135</v>
      </c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</row>
    <row r="359">
      <c r="A359" s="29">
        <v>278587.0</v>
      </c>
      <c r="B359" s="29">
        <v>277886.0</v>
      </c>
      <c r="C359" s="30" t="str">
        <f t="shared" si="1"/>
        <v>-</v>
      </c>
      <c r="D359" s="29">
        <f t="shared" si="2"/>
        <v>135</v>
      </c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</row>
    <row r="360">
      <c r="A360" s="29">
        <v>279969.0</v>
      </c>
      <c r="B360" s="29">
        <v>278584.0</v>
      </c>
      <c r="C360" s="30" t="str">
        <f t="shared" si="1"/>
        <v>-</v>
      </c>
      <c r="D360" s="29">
        <f t="shared" si="2"/>
        <v>135</v>
      </c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</row>
    <row r="361">
      <c r="A361" s="29">
        <v>280207.0</v>
      </c>
      <c r="B361" s="29">
        <v>280031.0</v>
      </c>
      <c r="C361" s="30" t="str">
        <f t="shared" si="1"/>
        <v>-</v>
      </c>
      <c r="D361" s="29">
        <f t="shared" si="2"/>
        <v>135</v>
      </c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</row>
    <row r="362">
      <c r="A362" s="29">
        <v>280788.0</v>
      </c>
      <c r="B362" s="29">
        <v>281210.0</v>
      </c>
      <c r="C362" s="30" t="str">
        <f t="shared" si="1"/>
        <v>+</v>
      </c>
      <c r="D362" s="29">
        <f t="shared" si="2"/>
        <v>136</v>
      </c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</row>
    <row r="363">
      <c r="A363" s="29">
        <v>281782.0</v>
      </c>
      <c r="B363" s="29">
        <v>281219.0</v>
      </c>
      <c r="C363" s="30" t="str">
        <f t="shared" si="1"/>
        <v>-</v>
      </c>
      <c r="D363" s="29">
        <f t="shared" si="2"/>
        <v>137</v>
      </c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</row>
    <row r="364">
      <c r="A364" s="29">
        <v>281881.0</v>
      </c>
      <c r="B364" s="29">
        <v>282357.0</v>
      </c>
      <c r="C364" s="30" t="str">
        <f t="shared" si="1"/>
        <v>+</v>
      </c>
      <c r="D364" s="29">
        <f t="shared" si="2"/>
        <v>138</v>
      </c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</row>
    <row r="365">
      <c r="A365" s="29">
        <v>282592.0</v>
      </c>
      <c r="B365" s="29">
        <v>283629.0</v>
      </c>
      <c r="C365" s="30" t="str">
        <f t="shared" si="1"/>
        <v>+</v>
      </c>
      <c r="D365" s="29">
        <f t="shared" si="2"/>
        <v>138</v>
      </c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</row>
    <row r="366">
      <c r="A366" s="29">
        <v>283741.0</v>
      </c>
      <c r="B366" s="29">
        <v>284496.0</v>
      </c>
      <c r="C366" s="30" t="str">
        <f t="shared" si="1"/>
        <v>+</v>
      </c>
      <c r="D366" s="29">
        <f t="shared" si="2"/>
        <v>138</v>
      </c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</row>
    <row r="367">
      <c r="A367" s="29">
        <v>284477.0</v>
      </c>
      <c r="B367" s="29">
        <v>284866.0</v>
      </c>
      <c r="C367" s="30" t="str">
        <f t="shared" si="1"/>
        <v>+</v>
      </c>
      <c r="D367" s="29">
        <f t="shared" si="2"/>
        <v>138</v>
      </c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</row>
    <row r="368">
      <c r="A368" s="29">
        <v>285994.0</v>
      </c>
      <c r="B368" s="29">
        <v>286656.0</v>
      </c>
      <c r="C368" s="30" t="str">
        <f t="shared" si="1"/>
        <v>+</v>
      </c>
      <c r="D368" s="29">
        <f t="shared" si="2"/>
        <v>138</v>
      </c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</row>
    <row r="369">
      <c r="A369" s="29">
        <v>288011.0</v>
      </c>
      <c r="B369" s="29">
        <v>286791.0</v>
      </c>
      <c r="C369" s="30" t="str">
        <f t="shared" si="1"/>
        <v>-</v>
      </c>
      <c r="D369" s="29">
        <f t="shared" si="2"/>
        <v>139</v>
      </c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</row>
    <row r="370">
      <c r="A370" s="29">
        <v>288456.0</v>
      </c>
      <c r="B370" s="29">
        <v>289175.0</v>
      </c>
      <c r="C370" s="30" t="str">
        <f t="shared" si="1"/>
        <v>+</v>
      </c>
      <c r="D370" s="29">
        <f t="shared" si="2"/>
        <v>140</v>
      </c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</row>
    <row r="371">
      <c r="A371" s="29">
        <v>289327.0</v>
      </c>
      <c r="B371" s="29">
        <v>289172.0</v>
      </c>
      <c r="C371" s="30" t="str">
        <f t="shared" si="1"/>
        <v>-</v>
      </c>
      <c r="D371" s="29">
        <f t="shared" si="2"/>
        <v>141</v>
      </c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</row>
    <row r="372">
      <c r="A372" s="29">
        <v>289689.0</v>
      </c>
      <c r="B372" s="29">
        <v>289357.0</v>
      </c>
      <c r="C372" s="30" t="str">
        <f t="shared" si="1"/>
        <v>-</v>
      </c>
      <c r="D372" s="29">
        <f t="shared" si="2"/>
        <v>141</v>
      </c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</row>
    <row r="373">
      <c r="A373" s="29">
        <v>290165.0</v>
      </c>
      <c r="B373" s="29">
        <v>289689.0</v>
      </c>
      <c r="C373" s="30" t="str">
        <f t="shared" si="1"/>
        <v>-</v>
      </c>
      <c r="D373" s="29">
        <f t="shared" si="2"/>
        <v>141</v>
      </c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</row>
    <row r="374">
      <c r="A374" s="29">
        <v>290552.0</v>
      </c>
      <c r="B374" s="29">
        <v>290220.0</v>
      </c>
      <c r="C374" s="30" t="str">
        <f t="shared" si="1"/>
        <v>-</v>
      </c>
      <c r="D374" s="29">
        <f t="shared" si="2"/>
        <v>141</v>
      </c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</row>
    <row r="375">
      <c r="A375" s="29">
        <v>290659.0</v>
      </c>
      <c r="B375" s="29">
        <v>291408.0</v>
      </c>
      <c r="C375" s="30" t="str">
        <f t="shared" si="1"/>
        <v>+</v>
      </c>
      <c r="D375" s="29">
        <f t="shared" si="2"/>
        <v>142</v>
      </c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</row>
    <row r="376">
      <c r="A376" s="29">
        <v>291405.0</v>
      </c>
      <c r="B376" s="29">
        <v>292343.0</v>
      </c>
      <c r="C376" s="30" t="str">
        <f t="shared" si="1"/>
        <v>+</v>
      </c>
      <c r="D376" s="29">
        <f t="shared" si="2"/>
        <v>142</v>
      </c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</row>
    <row r="377">
      <c r="A377" s="29">
        <v>292336.0</v>
      </c>
      <c r="B377" s="29">
        <v>292824.0</v>
      </c>
      <c r="C377" s="30" t="str">
        <f t="shared" si="1"/>
        <v>+</v>
      </c>
      <c r="D377" s="29">
        <f t="shared" si="2"/>
        <v>142</v>
      </c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</row>
    <row r="378">
      <c r="A378" s="29">
        <v>292847.0</v>
      </c>
      <c r="B378" s="29">
        <v>293122.0</v>
      </c>
      <c r="C378" s="30" t="str">
        <f t="shared" si="1"/>
        <v>+</v>
      </c>
      <c r="D378" s="29">
        <f t="shared" si="2"/>
        <v>142</v>
      </c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</row>
    <row r="379">
      <c r="A379" s="29">
        <v>293124.0</v>
      </c>
      <c r="B379" s="29">
        <v>293327.0</v>
      </c>
      <c r="C379" s="30" t="str">
        <f t="shared" si="1"/>
        <v>+</v>
      </c>
      <c r="D379" s="29">
        <f t="shared" si="2"/>
        <v>142</v>
      </c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</row>
    <row r="380">
      <c r="A380" s="29">
        <v>293638.0</v>
      </c>
      <c r="B380" s="29">
        <v>294435.0</v>
      </c>
      <c r="C380" s="30" t="str">
        <f t="shared" si="1"/>
        <v>+</v>
      </c>
      <c r="D380" s="29">
        <f t="shared" si="2"/>
        <v>142</v>
      </c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</row>
    <row r="381">
      <c r="A381" s="29">
        <v>294432.0</v>
      </c>
      <c r="B381" s="29">
        <v>294662.0</v>
      </c>
      <c r="C381" s="30" t="str">
        <f t="shared" si="1"/>
        <v>+</v>
      </c>
      <c r="D381" s="29">
        <f t="shared" si="2"/>
        <v>142</v>
      </c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</row>
    <row r="382">
      <c r="A382" s="29">
        <v>296973.0</v>
      </c>
      <c r="B382" s="29">
        <v>294640.0</v>
      </c>
      <c r="C382" s="30" t="str">
        <f t="shared" si="1"/>
        <v>-</v>
      </c>
      <c r="D382" s="29">
        <f t="shared" si="2"/>
        <v>143</v>
      </c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</row>
    <row r="383">
      <c r="A383" s="29">
        <v>297366.0</v>
      </c>
      <c r="B383" s="29">
        <v>297190.0</v>
      </c>
      <c r="C383" s="30" t="str">
        <f t="shared" si="1"/>
        <v>-</v>
      </c>
      <c r="D383" s="29">
        <f t="shared" si="2"/>
        <v>143</v>
      </c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</row>
    <row r="384">
      <c r="A384" s="29">
        <v>297948.0</v>
      </c>
      <c r="B384" s="29">
        <v>297412.0</v>
      </c>
      <c r="C384" s="30" t="str">
        <f t="shared" si="1"/>
        <v>-</v>
      </c>
      <c r="D384" s="29">
        <f t="shared" si="2"/>
        <v>143</v>
      </c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</row>
    <row r="385">
      <c r="A385" s="29">
        <v>297989.0</v>
      </c>
      <c r="B385" s="29">
        <v>299014.0</v>
      </c>
      <c r="C385" s="30" t="str">
        <f t="shared" si="1"/>
        <v>+</v>
      </c>
      <c r="D385" s="29">
        <f t="shared" si="2"/>
        <v>144</v>
      </c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</row>
    <row r="386">
      <c r="A386" s="29">
        <v>299059.0</v>
      </c>
      <c r="B386" s="29">
        <v>300867.0</v>
      </c>
      <c r="C386" s="30" t="str">
        <f t="shared" si="1"/>
        <v>+</v>
      </c>
      <c r="D386" s="29">
        <f t="shared" si="2"/>
        <v>144</v>
      </c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</row>
    <row r="387">
      <c r="A387" s="29">
        <v>300869.0</v>
      </c>
      <c r="B387" s="29">
        <v>301960.0</v>
      </c>
      <c r="C387" s="30" t="str">
        <f t="shared" si="1"/>
        <v>+</v>
      </c>
      <c r="D387" s="29">
        <f t="shared" si="2"/>
        <v>144</v>
      </c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</row>
    <row r="388">
      <c r="A388" s="29">
        <v>303091.0</v>
      </c>
      <c r="B388" s="29">
        <v>302168.0</v>
      </c>
      <c r="C388" s="30" t="str">
        <f t="shared" si="1"/>
        <v>-</v>
      </c>
      <c r="D388" s="29">
        <f t="shared" si="2"/>
        <v>145</v>
      </c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</row>
    <row r="389">
      <c r="A389" s="29">
        <v>304119.0</v>
      </c>
      <c r="B389" s="29">
        <v>303121.0</v>
      </c>
      <c r="C389" s="30" t="str">
        <f t="shared" si="1"/>
        <v>-</v>
      </c>
      <c r="D389" s="29">
        <f t="shared" si="2"/>
        <v>145</v>
      </c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</row>
    <row r="390">
      <c r="A390" s="29">
        <v>304381.0</v>
      </c>
      <c r="B390" s="29">
        <v>304217.0</v>
      </c>
      <c r="C390" s="30" t="str">
        <f t="shared" si="1"/>
        <v>-</v>
      </c>
      <c r="D390" s="29">
        <f t="shared" si="2"/>
        <v>145</v>
      </c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</row>
    <row r="391">
      <c r="A391" s="29">
        <v>305809.0</v>
      </c>
      <c r="B391" s="29">
        <v>304418.0</v>
      </c>
      <c r="C391" s="30" t="str">
        <f t="shared" si="1"/>
        <v>-</v>
      </c>
      <c r="D391" s="29">
        <f t="shared" si="2"/>
        <v>145</v>
      </c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</row>
    <row r="392">
      <c r="A392" s="29">
        <v>307438.0</v>
      </c>
      <c r="B392" s="29">
        <v>305921.0</v>
      </c>
      <c r="C392" s="30" t="str">
        <f t="shared" si="1"/>
        <v>-</v>
      </c>
      <c r="D392" s="29">
        <f t="shared" si="2"/>
        <v>145</v>
      </c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</row>
    <row r="393">
      <c r="A393" s="29">
        <v>308701.0</v>
      </c>
      <c r="B393" s="29">
        <v>307466.0</v>
      </c>
      <c r="C393" s="30" t="str">
        <f t="shared" si="1"/>
        <v>-</v>
      </c>
      <c r="D393" s="29">
        <f t="shared" si="2"/>
        <v>145</v>
      </c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</row>
    <row r="394">
      <c r="A394" s="29">
        <v>309196.0</v>
      </c>
      <c r="B394" s="29">
        <v>308723.0</v>
      </c>
      <c r="C394" s="30" t="str">
        <f t="shared" si="1"/>
        <v>-</v>
      </c>
      <c r="D394" s="29">
        <f t="shared" si="2"/>
        <v>145</v>
      </c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</row>
    <row r="395">
      <c r="A395" s="29">
        <v>310494.0</v>
      </c>
      <c r="B395" s="29">
        <v>309193.0</v>
      </c>
      <c r="C395" s="30" t="str">
        <f t="shared" si="1"/>
        <v>-</v>
      </c>
      <c r="D395" s="29">
        <f t="shared" si="2"/>
        <v>145</v>
      </c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</row>
    <row r="396">
      <c r="A396" s="29">
        <v>311374.0</v>
      </c>
      <c r="B396" s="29">
        <v>310532.0</v>
      </c>
      <c r="C396" s="30" t="str">
        <f t="shared" si="1"/>
        <v>-</v>
      </c>
      <c r="D396" s="29">
        <f t="shared" si="2"/>
        <v>145</v>
      </c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</row>
    <row r="397">
      <c r="A397" s="29">
        <v>311868.0</v>
      </c>
      <c r="B397" s="29">
        <v>311431.0</v>
      </c>
      <c r="C397" s="30" t="str">
        <f t="shared" si="1"/>
        <v>-</v>
      </c>
      <c r="D397" s="29">
        <f t="shared" si="2"/>
        <v>145</v>
      </c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</row>
    <row r="398">
      <c r="A398" s="29">
        <v>312941.0</v>
      </c>
      <c r="B398" s="29">
        <v>311847.0</v>
      </c>
      <c r="C398" s="30" t="str">
        <f t="shared" si="1"/>
        <v>-</v>
      </c>
      <c r="D398" s="29">
        <f t="shared" si="2"/>
        <v>145</v>
      </c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</row>
    <row r="399">
      <c r="A399" s="29">
        <v>314227.0</v>
      </c>
      <c r="B399" s="29">
        <v>313655.0</v>
      </c>
      <c r="C399" s="30" t="str">
        <f t="shared" si="1"/>
        <v>-</v>
      </c>
      <c r="D399" s="29">
        <f t="shared" si="2"/>
        <v>145</v>
      </c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</row>
    <row r="400">
      <c r="A400" s="29">
        <v>316813.0</v>
      </c>
      <c r="B400" s="29">
        <v>315473.0</v>
      </c>
      <c r="C400" s="30" t="str">
        <f t="shared" si="1"/>
        <v>-</v>
      </c>
      <c r="D400" s="29">
        <f t="shared" si="2"/>
        <v>145</v>
      </c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</row>
    <row r="401">
      <c r="A401" s="29">
        <v>316893.0</v>
      </c>
      <c r="B401" s="29">
        <v>317852.0</v>
      </c>
      <c r="C401" s="30" t="str">
        <f t="shared" si="1"/>
        <v>+</v>
      </c>
      <c r="D401" s="29">
        <f t="shared" si="2"/>
        <v>146</v>
      </c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</row>
    <row r="402">
      <c r="A402" s="29">
        <v>317849.0</v>
      </c>
      <c r="B402" s="29">
        <v>318934.0</v>
      </c>
      <c r="C402" s="30" t="str">
        <f t="shared" si="1"/>
        <v>+</v>
      </c>
      <c r="D402" s="29">
        <f t="shared" si="2"/>
        <v>146</v>
      </c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</row>
    <row r="403">
      <c r="A403" s="29">
        <v>318966.0</v>
      </c>
      <c r="B403" s="29">
        <v>319427.0</v>
      </c>
      <c r="C403" s="30" t="str">
        <f t="shared" si="1"/>
        <v>+</v>
      </c>
      <c r="D403" s="29">
        <f t="shared" si="2"/>
        <v>146</v>
      </c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</row>
    <row r="404">
      <c r="A404" s="29">
        <v>319614.0</v>
      </c>
      <c r="B404" s="29">
        <v>319417.0</v>
      </c>
      <c r="C404" s="30" t="str">
        <f t="shared" si="1"/>
        <v>-</v>
      </c>
      <c r="D404" s="29">
        <f t="shared" si="2"/>
        <v>147</v>
      </c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</row>
    <row r="405">
      <c r="A405" s="29">
        <v>319844.0</v>
      </c>
      <c r="B405" s="29">
        <v>319611.0</v>
      </c>
      <c r="C405" s="30" t="str">
        <f t="shared" si="1"/>
        <v>-</v>
      </c>
      <c r="D405" s="29">
        <f t="shared" si="2"/>
        <v>147</v>
      </c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</row>
    <row r="406">
      <c r="A406" s="29">
        <v>319910.0</v>
      </c>
      <c r="B406" s="29">
        <v>321802.0</v>
      </c>
      <c r="C406" s="30" t="str">
        <f t="shared" si="1"/>
        <v>+</v>
      </c>
      <c r="D406" s="29">
        <f t="shared" si="2"/>
        <v>148</v>
      </c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</row>
    <row r="407">
      <c r="A407" s="29">
        <v>321799.0</v>
      </c>
      <c r="B407" s="29">
        <v>322353.0</v>
      </c>
      <c r="C407" s="30" t="str">
        <f t="shared" si="1"/>
        <v>+</v>
      </c>
      <c r="D407" s="29">
        <f t="shared" si="2"/>
        <v>148</v>
      </c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</row>
    <row r="408">
      <c r="A408" s="29">
        <v>322633.0</v>
      </c>
      <c r="B408" s="29">
        <v>322292.0</v>
      </c>
      <c r="C408" s="30" t="str">
        <f t="shared" si="1"/>
        <v>-</v>
      </c>
      <c r="D408" s="29">
        <f t="shared" si="2"/>
        <v>149</v>
      </c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</row>
    <row r="409">
      <c r="A409" s="29">
        <v>322973.0</v>
      </c>
      <c r="B409" s="29">
        <v>322611.0</v>
      </c>
      <c r="C409" s="30" t="str">
        <f t="shared" si="1"/>
        <v>-</v>
      </c>
      <c r="D409" s="29">
        <f t="shared" si="2"/>
        <v>149</v>
      </c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</row>
    <row r="410">
      <c r="A410" s="29">
        <v>323490.0</v>
      </c>
      <c r="B410" s="29">
        <v>322999.0</v>
      </c>
      <c r="C410" s="30" t="str">
        <f t="shared" si="1"/>
        <v>-</v>
      </c>
      <c r="D410" s="29">
        <f t="shared" si="2"/>
        <v>149</v>
      </c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</row>
    <row r="411">
      <c r="A411" s="29">
        <v>323522.0</v>
      </c>
      <c r="B411" s="29">
        <v>324364.0</v>
      </c>
      <c r="C411" s="30" t="str">
        <f t="shared" si="1"/>
        <v>+</v>
      </c>
      <c r="D411" s="29">
        <f t="shared" si="2"/>
        <v>150</v>
      </c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</row>
    <row r="412">
      <c r="A412" s="29">
        <v>324394.0</v>
      </c>
      <c r="B412" s="29">
        <v>324792.0</v>
      </c>
      <c r="C412" s="30" t="str">
        <f t="shared" si="1"/>
        <v>+</v>
      </c>
      <c r="D412" s="29">
        <f t="shared" si="2"/>
        <v>150</v>
      </c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</row>
    <row r="413">
      <c r="A413" s="29">
        <v>325380.0</v>
      </c>
      <c r="B413" s="29">
        <v>324793.0</v>
      </c>
      <c r="C413" s="30" t="str">
        <f t="shared" si="1"/>
        <v>-</v>
      </c>
      <c r="D413" s="29">
        <f t="shared" si="2"/>
        <v>151</v>
      </c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</row>
    <row r="414">
      <c r="A414" s="29">
        <v>325712.0</v>
      </c>
      <c r="B414" s="29">
        <v>325377.0</v>
      </c>
      <c r="C414" s="30" t="str">
        <f t="shared" si="1"/>
        <v>-</v>
      </c>
      <c r="D414" s="29">
        <f t="shared" si="2"/>
        <v>151</v>
      </c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</row>
    <row r="415">
      <c r="A415" s="29">
        <v>325797.0</v>
      </c>
      <c r="B415" s="29">
        <v>326099.0</v>
      </c>
      <c r="C415" s="30" t="str">
        <f t="shared" si="1"/>
        <v>+</v>
      </c>
      <c r="D415" s="29">
        <f t="shared" si="2"/>
        <v>152</v>
      </c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</row>
    <row r="416">
      <c r="A416" s="29">
        <v>326833.0</v>
      </c>
      <c r="B416" s="29">
        <v>326084.0</v>
      </c>
      <c r="C416" s="30" t="str">
        <f t="shared" si="1"/>
        <v>-</v>
      </c>
      <c r="D416" s="29">
        <f t="shared" si="2"/>
        <v>153</v>
      </c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</row>
    <row r="417">
      <c r="A417" s="29">
        <v>327124.0</v>
      </c>
      <c r="B417" s="29">
        <v>326834.0</v>
      </c>
      <c r="C417" s="30" t="str">
        <f t="shared" si="1"/>
        <v>-</v>
      </c>
      <c r="D417" s="29">
        <f t="shared" si="2"/>
        <v>153</v>
      </c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</row>
    <row r="418">
      <c r="A418" s="29">
        <v>327516.0</v>
      </c>
      <c r="B418" s="29">
        <v>327121.0</v>
      </c>
      <c r="C418" s="30" t="str">
        <f t="shared" si="1"/>
        <v>-</v>
      </c>
      <c r="D418" s="29">
        <f t="shared" si="2"/>
        <v>153</v>
      </c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</row>
    <row r="419">
      <c r="A419" s="29">
        <v>327615.0</v>
      </c>
      <c r="B419" s="29">
        <v>327860.0</v>
      </c>
      <c r="C419" s="30" t="str">
        <f t="shared" si="1"/>
        <v>+</v>
      </c>
      <c r="D419" s="29">
        <f t="shared" si="2"/>
        <v>154</v>
      </c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</row>
    <row r="420">
      <c r="A420" s="29">
        <v>327857.0</v>
      </c>
      <c r="B420" s="29">
        <v>328753.0</v>
      </c>
      <c r="C420" s="30" t="str">
        <f t="shared" si="1"/>
        <v>+</v>
      </c>
      <c r="D420" s="29">
        <f t="shared" si="2"/>
        <v>154</v>
      </c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</row>
    <row r="421">
      <c r="A421" s="29">
        <v>328781.0</v>
      </c>
      <c r="B421" s="29">
        <v>329221.0</v>
      </c>
      <c r="C421" s="30" t="str">
        <f t="shared" si="1"/>
        <v>+</v>
      </c>
      <c r="D421" s="29">
        <f t="shared" si="2"/>
        <v>154</v>
      </c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</row>
    <row r="422">
      <c r="A422" s="29">
        <v>329218.0</v>
      </c>
      <c r="B422" s="29">
        <v>329781.0</v>
      </c>
      <c r="C422" s="30" t="str">
        <f t="shared" si="1"/>
        <v>+</v>
      </c>
      <c r="D422" s="29">
        <f t="shared" si="2"/>
        <v>154</v>
      </c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</row>
    <row r="423">
      <c r="A423" s="29">
        <v>329778.0</v>
      </c>
      <c r="B423" s="29">
        <v>331034.0</v>
      </c>
      <c r="C423" s="30" t="str">
        <f t="shared" si="1"/>
        <v>+</v>
      </c>
      <c r="D423" s="29">
        <f t="shared" si="2"/>
        <v>154</v>
      </c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</row>
    <row r="424">
      <c r="A424" s="29">
        <v>331071.0</v>
      </c>
      <c r="B424" s="29">
        <v>331490.0</v>
      </c>
      <c r="C424" s="30" t="str">
        <f t="shared" si="1"/>
        <v>+</v>
      </c>
      <c r="D424" s="29">
        <f t="shared" si="2"/>
        <v>154</v>
      </c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</row>
    <row r="425">
      <c r="A425" s="29">
        <v>332268.0</v>
      </c>
      <c r="B425" s="29">
        <v>331474.0</v>
      </c>
      <c r="C425" s="30" t="str">
        <f t="shared" si="1"/>
        <v>-</v>
      </c>
      <c r="D425" s="29">
        <f t="shared" si="2"/>
        <v>155</v>
      </c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</row>
    <row r="426">
      <c r="A426" s="29">
        <v>333268.0</v>
      </c>
      <c r="B426" s="29">
        <v>332249.0</v>
      </c>
      <c r="C426" s="30" t="str">
        <f t="shared" si="1"/>
        <v>-</v>
      </c>
      <c r="D426" s="29">
        <f t="shared" si="2"/>
        <v>155</v>
      </c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</row>
    <row r="427">
      <c r="A427" s="29">
        <v>334188.0</v>
      </c>
      <c r="B427" s="29">
        <v>333265.0</v>
      </c>
      <c r="C427" s="30" t="str">
        <f t="shared" si="1"/>
        <v>-</v>
      </c>
      <c r="D427" s="29">
        <f t="shared" si="2"/>
        <v>155</v>
      </c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</row>
    <row r="428">
      <c r="A428" s="29">
        <v>335993.0</v>
      </c>
      <c r="B428" s="29">
        <v>335166.0</v>
      </c>
      <c r="C428" s="30" t="str">
        <f t="shared" si="1"/>
        <v>-</v>
      </c>
      <c r="D428" s="29">
        <f t="shared" si="2"/>
        <v>155</v>
      </c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</row>
    <row r="429">
      <c r="A429" s="29">
        <v>336029.0</v>
      </c>
      <c r="B429" s="29">
        <v>336997.0</v>
      </c>
      <c r="C429" s="30" t="str">
        <f t="shared" si="1"/>
        <v>+</v>
      </c>
      <c r="D429" s="29">
        <f t="shared" si="2"/>
        <v>156</v>
      </c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</row>
    <row r="430">
      <c r="A430" s="29">
        <v>336999.0</v>
      </c>
      <c r="B430" s="29">
        <v>337964.0</v>
      </c>
      <c r="C430" s="30" t="str">
        <f t="shared" si="1"/>
        <v>+</v>
      </c>
      <c r="D430" s="29">
        <f t="shared" si="2"/>
        <v>156</v>
      </c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</row>
    <row r="431">
      <c r="A431" s="29">
        <v>337997.0</v>
      </c>
      <c r="B431" s="29">
        <v>338425.0</v>
      </c>
      <c r="C431" s="30" t="str">
        <f t="shared" si="1"/>
        <v>+</v>
      </c>
      <c r="D431" s="29">
        <f t="shared" si="2"/>
        <v>156</v>
      </c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</row>
    <row r="432">
      <c r="A432" s="29">
        <v>339138.0</v>
      </c>
      <c r="B432" s="29">
        <v>338422.0</v>
      </c>
      <c r="C432" s="30" t="str">
        <f t="shared" si="1"/>
        <v>-</v>
      </c>
      <c r="D432" s="29">
        <f t="shared" si="2"/>
        <v>157</v>
      </c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</row>
    <row r="433">
      <c r="A433" s="29">
        <v>339511.0</v>
      </c>
      <c r="B433" s="29">
        <v>339143.0</v>
      </c>
      <c r="C433" s="30" t="str">
        <f t="shared" si="1"/>
        <v>-</v>
      </c>
      <c r="D433" s="29">
        <f t="shared" si="2"/>
        <v>157</v>
      </c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</row>
    <row r="434">
      <c r="A434" s="29">
        <v>339746.0</v>
      </c>
      <c r="B434" s="29">
        <v>339612.0</v>
      </c>
      <c r="C434" s="30" t="str">
        <f t="shared" si="1"/>
        <v>-</v>
      </c>
      <c r="D434" s="29">
        <f t="shared" si="2"/>
        <v>157</v>
      </c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</row>
    <row r="435">
      <c r="A435" s="29">
        <v>339815.0</v>
      </c>
      <c r="B435" s="29">
        <v>341092.0</v>
      </c>
      <c r="C435" s="30" t="str">
        <f t="shared" si="1"/>
        <v>+</v>
      </c>
      <c r="D435" s="29">
        <f t="shared" si="2"/>
        <v>158</v>
      </c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</row>
    <row r="436">
      <c r="A436" s="29">
        <v>341114.0</v>
      </c>
      <c r="B436" s="29">
        <v>341260.0</v>
      </c>
      <c r="C436" s="30" t="str">
        <f t="shared" si="1"/>
        <v>+</v>
      </c>
      <c r="D436" s="29">
        <f t="shared" si="2"/>
        <v>158</v>
      </c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</row>
    <row r="437">
      <c r="A437" s="29">
        <v>341262.0</v>
      </c>
      <c r="B437" s="29">
        <v>341576.0</v>
      </c>
      <c r="C437" s="30" t="str">
        <f t="shared" si="1"/>
        <v>+</v>
      </c>
      <c r="D437" s="29">
        <f t="shared" si="2"/>
        <v>158</v>
      </c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</row>
    <row r="438">
      <c r="A438" s="29">
        <v>342063.0</v>
      </c>
      <c r="B438" s="29">
        <v>341551.0</v>
      </c>
      <c r="C438" s="30" t="str">
        <f t="shared" si="1"/>
        <v>-</v>
      </c>
      <c r="D438" s="29">
        <f t="shared" si="2"/>
        <v>159</v>
      </c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</row>
    <row r="439">
      <c r="A439" s="29">
        <v>342106.0</v>
      </c>
      <c r="B439" s="29">
        <v>342546.0</v>
      </c>
      <c r="C439" s="30" t="str">
        <f t="shared" si="1"/>
        <v>+</v>
      </c>
      <c r="D439" s="29">
        <f t="shared" si="2"/>
        <v>160</v>
      </c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</row>
    <row r="440">
      <c r="A440" s="29">
        <v>342687.0</v>
      </c>
      <c r="B440" s="29">
        <v>344336.0</v>
      </c>
      <c r="C440" s="30" t="str">
        <f t="shared" si="1"/>
        <v>+</v>
      </c>
      <c r="D440" s="29">
        <f t="shared" si="2"/>
        <v>160</v>
      </c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</row>
    <row r="441">
      <c r="A441" s="29">
        <v>344323.0</v>
      </c>
      <c r="B441" s="29">
        <v>344559.0</v>
      </c>
      <c r="C441" s="30" t="str">
        <f t="shared" si="1"/>
        <v>+</v>
      </c>
      <c r="D441" s="29">
        <f t="shared" si="2"/>
        <v>160</v>
      </c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</row>
    <row r="442">
      <c r="A442" s="29">
        <v>344572.0</v>
      </c>
      <c r="B442" s="29">
        <v>345564.0</v>
      </c>
      <c r="C442" s="30" t="str">
        <f t="shared" si="1"/>
        <v>+</v>
      </c>
      <c r="D442" s="29">
        <f t="shared" si="2"/>
        <v>160</v>
      </c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</row>
    <row r="443">
      <c r="A443" s="29">
        <v>345561.0</v>
      </c>
      <c r="B443" s="29">
        <v>346472.0</v>
      </c>
      <c r="C443" s="30" t="str">
        <f t="shared" si="1"/>
        <v>+</v>
      </c>
      <c r="D443" s="29">
        <f t="shared" si="2"/>
        <v>160</v>
      </c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</row>
    <row r="444">
      <c r="A444" s="29">
        <v>346921.0</v>
      </c>
      <c r="B444" s="29">
        <v>346469.0</v>
      </c>
      <c r="C444" s="30" t="str">
        <f t="shared" si="1"/>
        <v>-</v>
      </c>
      <c r="D444" s="29">
        <f t="shared" si="2"/>
        <v>161</v>
      </c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</row>
    <row r="445">
      <c r="A445" s="29">
        <v>347005.0</v>
      </c>
      <c r="B445" s="29">
        <v>347193.0</v>
      </c>
      <c r="C445" s="30" t="str">
        <f t="shared" si="1"/>
        <v>+</v>
      </c>
      <c r="D445" s="29">
        <f t="shared" si="2"/>
        <v>162</v>
      </c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</row>
    <row r="446">
      <c r="A446" s="29">
        <v>347228.0</v>
      </c>
      <c r="B446" s="29">
        <v>348019.0</v>
      </c>
      <c r="C446" s="30" t="str">
        <f t="shared" si="1"/>
        <v>+</v>
      </c>
      <c r="D446" s="29">
        <f t="shared" si="2"/>
        <v>162</v>
      </c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</row>
    <row r="447">
      <c r="A447" s="29">
        <v>349096.0</v>
      </c>
      <c r="B447" s="29">
        <v>348563.0</v>
      </c>
      <c r="C447" s="30" t="str">
        <f t="shared" si="1"/>
        <v>-</v>
      </c>
      <c r="D447" s="29">
        <f t="shared" si="2"/>
        <v>163</v>
      </c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</row>
    <row r="448">
      <c r="A448" s="29">
        <v>349269.0</v>
      </c>
      <c r="B448" s="29">
        <v>349442.0</v>
      </c>
      <c r="C448" s="30" t="str">
        <f t="shared" si="1"/>
        <v>+</v>
      </c>
      <c r="D448" s="29">
        <f t="shared" si="2"/>
        <v>164</v>
      </c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</row>
    <row r="449">
      <c r="A449" s="29">
        <v>350478.0</v>
      </c>
      <c r="B449" s="29">
        <v>349477.0</v>
      </c>
      <c r="C449" s="30" t="str">
        <f t="shared" si="1"/>
        <v>-</v>
      </c>
      <c r="D449" s="29">
        <f t="shared" si="2"/>
        <v>165</v>
      </c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</row>
    <row r="450">
      <c r="A450" s="29">
        <v>351368.0</v>
      </c>
      <c r="B450" s="29">
        <v>350742.0</v>
      </c>
      <c r="C450" s="30" t="str">
        <f t="shared" si="1"/>
        <v>-</v>
      </c>
      <c r="D450" s="29">
        <f t="shared" si="2"/>
        <v>165</v>
      </c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</row>
    <row r="451">
      <c r="A451" s="29">
        <v>352012.0</v>
      </c>
      <c r="B451" s="29">
        <v>351494.0</v>
      </c>
      <c r="C451" s="30" t="str">
        <f t="shared" si="1"/>
        <v>-</v>
      </c>
      <c r="D451" s="29">
        <f t="shared" si="2"/>
        <v>165</v>
      </c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</row>
    <row r="452">
      <c r="A452" s="29">
        <v>352716.0</v>
      </c>
      <c r="B452" s="29">
        <v>352009.0</v>
      </c>
      <c r="C452" s="30" t="str">
        <f t="shared" si="1"/>
        <v>-</v>
      </c>
      <c r="D452" s="29">
        <f t="shared" si="2"/>
        <v>165</v>
      </c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</row>
    <row r="453">
      <c r="A453" s="29">
        <v>352766.0</v>
      </c>
      <c r="B453" s="29">
        <v>354115.0</v>
      </c>
      <c r="C453" s="30" t="str">
        <f t="shared" si="1"/>
        <v>+</v>
      </c>
      <c r="D453" s="29">
        <f t="shared" si="2"/>
        <v>166</v>
      </c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</row>
    <row r="454">
      <c r="A454" s="29">
        <v>354637.0</v>
      </c>
      <c r="B454" s="29">
        <v>354089.0</v>
      </c>
      <c r="C454" s="30" t="str">
        <f t="shared" si="1"/>
        <v>-</v>
      </c>
      <c r="D454" s="29">
        <f t="shared" si="2"/>
        <v>167</v>
      </c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</row>
    <row r="455">
      <c r="A455" s="29">
        <v>354786.0</v>
      </c>
      <c r="B455" s="29">
        <v>355034.0</v>
      </c>
      <c r="C455" s="30" t="str">
        <f t="shared" si="1"/>
        <v>+</v>
      </c>
      <c r="D455" s="29">
        <f t="shared" si="2"/>
        <v>168</v>
      </c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</row>
    <row r="456">
      <c r="A456" s="29">
        <v>355031.0</v>
      </c>
      <c r="B456" s="29">
        <v>356185.0</v>
      </c>
      <c r="C456" s="30" t="str">
        <f t="shared" si="1"/>
        <v>+</v>
      </c>
      <c r="D456" s="29">
        <f t="shared" si="2"/>
        <v>168</v>
      </c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</row>
    <row r="457">
      <c r="A457" s="29">
        <v>356182.0</v>
      </c>
      <c r="B457" s="29">
        <v>357081.0</v>
      </c>
      <c r="C457" s="30" t="str">
        <f t="shared" si="1"/>
        <v>+</v>
      </c>
      <c r="D457" s="29">
        <f t="shared" si="2"/>
        <v>168</v>
      </c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</row>
    <row r="458">
      <c r="A458" s="29">
        <v>357340.0</v>
      </c>
      <c r="B458" s="29">
        <v>358995.0</v>
      </c>
      <c r="C458" s="30" t="str">
        <f t="shared" si="1"/>
        <v>+</v>
      </c>
      <c r="D458" s="29">
        <f t="shared" si="2"/>
        <v>168</v>
      </c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</row>
    <row r="459">
      <c r="A459" s="29">
        <v>359258.0</v>
      </c>
      <c r="B459" s="29">
        <v>359587.0</v>
      </c>
      <c r="C459" s="30" t="str">
        <f t="shared" si="1"/>
        <v>+</v>
      </c>
      <c r="D459" s="29">
        <f t="shared" si="2"/>
        <v>168</v>
      </c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</row>
    <row r="460">
      <c r="A460" s="29">
        <v>359750.0</v>
      </c>
      <c r="B460" s="29">
        <v>359547.0</v>
      </c>
      <c r="C460" s="30" t="str">
        <f t="shared" si="1"/>
        <v>-</v>
      </c>
      <c r="D460" s="29">
        <f t="shared" si="2"/>
        <v>169</v>
      </c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</row>
    <row r="461">
      <c r="A461" s="29">
        <v>360501.0</v>
      </c>
      <c r="B461" s="29">
        <v>359728.0</v>
      </c>
      <c r="C461" s="30" t="str">
        <f t="shared" si="1"/>
        <v>-</v>
      </c>
      <c r="D461" s="29">
        <f t="shared" si="2"/>
        <v>169</v>
      </c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</row>
    <row r="462">
      <c r="A462" s="29">
        <v>360561.0</v>
      </c>
      <c r="B462" s="29">
        <v>361868.0</v>
      </c>
      <c r="C462" s="30" t="str">
        <f t="shared" si="1"/>
        <v>+</v>
      </c>
      <c r="D462" s="29">
        <f t="shared" si="2"/>
        <v>170</v>
      </c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</row>
    <row r="463">
      <c r="A463" s="29">
        <v>361989.0</v>
      </c>
      <c r="B463" s="29">
        <v>362207.0</v>
      </c>
      <c r="C463" s="30" t="str">
        <f t="shared" si="1"/>
        <v>+</v>
      </c>
      <c r="D463" s="29">
        <f t="shared" si="2"/>
        <v>170</v>
      </c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</row>
    <row r="464">
      <c r="A464" s="29">
        <v>362282.0</v>
      </c>
      <c r="B464" s="29">
        <v>362467.0</v>
      </c>
      <c r="C464" s="30" t="str">
        <f t="shared" si="1"/>
        <v>+</v>
      </c>
      <c r="D464" s="29">
        <f t="shared" si="2"/>
        <v>170</v>
      </c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</row>
    <row r="465">
      <c r="A465" s="29">
        <v>363427.0</v>
      </c>
      <c r="B465" s="29">
        <v>363966.0</v>
      </c>
      <c r="C465" s="30" t="str">
        <f t="shared" si="1"/>
        <v>+</v>
      </c>
      <c r="D465" s="29">
        <f t="shared" si="2"/>
        <v>170</v>
      </c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</row>
    <row r="466">
      <c r="A466" s="29">
        <v>363966.0</v>
      </c>
      <c r="B466" s="29">
        <v>364799.0</v>
      </c>
      <c r="C466" s="30" t="str">
        <f t="shared" si="1"/>
        <v>+</v>
      </c>
      <c r="D466" s="29">
        <f t="shared" si="2"/>
        <v>170</v>
      </c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</row>
    <row r="467">
      <c r="A467" s="29">
        <v>367117.0</v>
      </c>
      <c r="B467" s="29">
        <v>367572.0</v>
      </c>
      <c r="C467" s="30" t="str">
        <f t="shared" si="1"/>
        <v>+</v>
      </c>
      <c r="D467" s="29">
        <f t="shared" si="2"/>
        <v>170</v>
      </c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</row>
    <row r="468">
      <c r="A468" s="29">
        <v>367569.0</v>
      </c>
      <c r="B468" s="29">
        <v>368147.0</v>
      </c>
      <c r="C468" s="30" t="str">
        <f t="shared" si="1"/>
        <v>+</v>
      </c>
      <c r="D468" s="29">
        <f t="shared" si="2"/>
        <v>170</v>
      </c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</row>
    <row r="469">
      <c r="A469" s="29">
        <v>368135.0</v>
      </c>
      <c r="B469" s="29">
        <v>369028.0</v>
      </c>
      <c r="C469" s="30" t="str">
        <f t="shared" si="1"/>
        <v>+</v>
      </c>
      <c r="D469" s="29">
        <f t="shared" si="2"/>
        <v>170</v>
      </c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</row>
    <row r="470">
      <c r="A470" s="29">
        <v>369500.0</v>
      </c>
      <c r="B470" s="29">
        <v>369000.0</v>
      </c>
      <c r="C470" s="30" t="str">
        <f t="shared" si="1"/>
        <v>-</v>
      </c>
      <c r="D470" s="29">
        <f t="shared" si="2"/>
        <v>171</v>
      </c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</row>
    <row r="471">
      <c r="A471" s="29">
        <v>369534.0</v>
      </c>
      <c r="B471" s="29">
        <v>371693.0</v>
      </c>
      <c r="C471" s="30" t="str">
        <f t="shared" si="1"/>
        <v>+</v>
      </c>
      <c r="D471" s="29">
        <f t="shared" si="2"/>
        <v>172</v>
      </c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</row>
    <row r="472">
      <c r="A472" s="29">
        <v>371680.0</v>
      </c>
      <c r="B472" s="29">
        <v>372198.0</v>
      </c>
      <c r="C472" s="30" t="str">
        <f t="shared" si="1"/>
        <v>+</v>
      </c>
      <c r="D472" s="29">
        <f t="shared" si="2"/>
        <v>172</v>
      </c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</row>
    <row r="473">
      <c r="A473" s="29">
        <v>374047.0</v>
      </c>
      <c r="B473" s="29">
        <v>372203.0</v>
      </c>
      <c r="C473" s="30" t="str">
        <f t="shared" si="1"/>
        <v>-</v>
      </c>
      <c r="D473" s="29">
        <f t="shared" si="2"/>
        <v>173</v>
      </c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</row>
    <row r="474">
      <c r="A474" s="29">
        <v>374917.0</v>
      </c>
      <c r="B474" s="29">
        <v>374093.0</v>
      </c>
      <c r="C474" s="30" t="str">
        <f t="shared" si="1"/>
        <v>-</v>
      </c>
      <c r="D474" s="29">
        <f t="shared" si="2"/>
        <v>173</v>
      </c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</row>
    <row r="475">
      <c r="A475" s="29">
        <v>376591.0</v>
      </c>
      <c r="B475" s="29">
        <v>375686.0</v>
      </c>
      <c r="C475" s="30" t="str">
        <f t="shared" si="1"/>
        <v>-</v>
      </c>
      <c r="D475" s="29">
        <f t="shared" si="2"/>
        <v>173</v>
      </c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</row>
    <row r="476">
      <c r="A476" s="29">
        <v>376859.0</v>
      </c>
      <c r="B476" s="29">
        <v>377152.0</v>
      </c>
      <c r="C476" s="30" t="str">
        <f t="shared" si="1"/>
        <v>+</v>
      </c>
      <c r="D476" s="29">
        <f t="shared" si="2"/>
        <v>174</v>
      </c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</row>
    <row r="477">
      <c r="A477" s="29">
        <v>377149.0</v>
      </c>
      <c r="B477" s="29">
        <v>377529.0</v>
      </c>
      <c r="C477" s="30" t="str">
        <f t="shared" si="1"/>
        <v>+</v>
      </c>
      <c r="D477" s="29">
        <f t="shared" si="2"/>
        <v>174</v>
      </c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</row>
    <row r="478">
      <c r="A478" s="29">
        <v>377743.0</v>
      </c>
      <c r="B478" s="29">
        <v>378309.0</v>
      </c>
      <c r="C478" s="30" t="str">
        <f t="shared" si="1"/>
        <v>+</v>
      </c>
      <c r="D478" s="29">
        <f t="shared" si="2"/>
        <v>174</v>
      </c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</row>
    <row r="479">
      <c r="A479" s="29">
        <v>378317.0</v>
      </c>
      <c r="B479" s="29">
        <v>378505.0</v>
      </c>
      <c r="C479" s="30" t="str">
        <f t="shared" si="1"/>
        <v>+</v>
      </c>
      <c r="D479" s="29">
        <f t="shared" si="2"/>
        <v>174</v>
      </c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</row>
    <row r="480">
      <c r="A480" s="29">
        <v>378890.0</v>
      </c>
      <c r="B480" s="29">
        <v>380131.0</v>
      </c>
      <c r="C480" s="30" t="str">
        <f t="shared" si="1"/>
        <v>+</v>
      </c>
      <c r="D480" s="29">
        <f t="shared" si="2"/>
        <v>174</v>
      </c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</row>
    <row r="481">
      <c r="A481" s="29">
        <v>380167.0</v>
      </c>
      <c r="B481" s="29">
        <v>380967.0</v>
      </c>
      <c r="C481" s="30" t="str">
        <f t="shared" si="1"/>
        <v>+</v>
      </c>
      <c r="D481" s="29">
        <f t="shared" si="2"/>
        <v>174</v>
      </c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</row>
    <row r="482">
      <c r="A482" s="29">
        <v>381605.0</v>
      </c>
      <c r="B482" s="29">
        <v>381940.0</v>
      </c>
      <c r="C482" s="30" t="str">
        <f t="shared" si="1"/>
        <v>+</v>
      </c>
      <c r="D482" s="29">
        <f t="shared" si="2"/>
        <v>174</v>
      </c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</row>
    <row r="483">
      <c r="A483" s="29">
        <v>381922.0</v>
      </c>
      <c r="B483" s="29">
        <v>382293.0</v>
      </c>
      <c r="C483" s="30" t="str">
        <f t="shared" si="1"/>
        <v>+</v>
      </c>
      <c r="D483" s="29">
        <f t="shared" si="2"/>
        <v>174</v>
      </c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</row>
    <row r="484">
      <c r="A484" s="29">
        <v>383690.0</v>
      </c>
      <c r="B484" s="29">
        <v>384541.0</v>
      </c>
      <c r="C484" s="30" t="str">
        <f t="shared" si="1"/>
        <v>+</v>
      </c>
      <c r="D484" s="29">
        <f t="shared" si="2"/>
        <v>174</v>
      </c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</row>
    <row r="485">
      <c r="A485" s="29">
        <v>384544.0</v>
      </c>
      <c r="B485" s="29">
        <v>384966.0</v>
      </c>
      <c r="C485" s="30" t="str">
        <f t="shared" si="1"/>
        <v>+</v>
      </c>
      <c r="D485" s="29">
        <f t="shared" si="2"/>
        <v>174</v>
      </c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</row>
    <row r="486">
      <c r="A486" s="29">
        <v>384994.0</v>
      </c>
      <c r="B486" s="29">
        <v>385659.0</v>
      </c>
      <c r="C486" s="30" t="str">
        <f t="shared" si="1"/>
        <v>+</v>
      </c>
      <c r="D486" s="29">
        <f t="shared" si="2"/>
        <v>174</v>
      </c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</row>
    <row r="487">
      <c r="A487" s="29">
        <v>386958.0</v>
      </c>
      <c r="B487" s="29">
        <v>385651.0</v>
      </c>
      <c r="C487" s="30" t="str">
        <f t="shared" si="1"/>
        <v>-</v>
      </c>
      <c r="D487" s="29">
        <f t="shared" si="2"/>
        <v>175</v>
      </c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</row>
    <row r="488">
      <c r="A488" s="29">
        <v>387030.0</v>
      </c>
      <c r="B488" s="29">
        <v>387623.0</v>
      </c>
      <c r="C488" s="30" t="str">
        <f t="shared" si="1"/>
        <v>+</v>
      </c>
      <c r="D488" s="29">
        <f t="shared" si="2"/>
        <v>176</v>
      </c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</row>
    <row r="489">
      <c r="A489" s="29">
        <v>388067.0</v>
      </c>
      <c r="B489" s="29">
        <v>387585.0</v>
      </c>
      <c r="C489" s="30" t="str">
        <f t="shared" si="1"/>
        <v>-</v>
      </c>
      <c r="D489" s="29">
        <f t="shared" si="2"/>
        <v>177</v>
      </c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</row>
    <row r="490">
      <c r="A490" s="29">
        <v>388564.0</v>
      </c>
      <c r="B490" s="29">
        <v>388064.0</v>
      </c>
      <c r="C490" s="30" t="str">
        <f t="shared" si="1"/>
        <v>-</v>
      </c>
      <c r="D490" s="29">
        <f t="shared" si="2"/>
        <v>177</v>
      </c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</row>
    <row r="491">
      <c r="A491" s="29">
        <v>389493.0</v>
      </c>
      <c r="B491" s="29">
        <v>393215.0</v>
      </c>
      <c r="C491" s="30" t="str">
        <f t="shared" si="1"/>
        <v>+</v>
      </c>
      <c r="D491" s="29">
        <f t="shared" si="2"/>
        <v>178</v>
      </c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</row>
    <row r="492">
      <c r="A492" s="29">
        <v>393252.0</v>
      </c>
      <c r="B492" s="29">
        <v>393731.0</v>
      </c>
      <c r="C492" s="30" t="str">
        <f t="shared" si="1"/>
        <v>+</v>
      </c>
      <c r="D492" s="29">
        <f t="shared" si="2"/>
        <v>178</v>
      </c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</row>
    <row r="493">
      <c r="A493" s="29">
        <v>393762.0</v>
      </c>
      <c r="B493" s="29">
        <v>394031.0</v>
      </c>
      <c r="C493" s="30" t="str">
        <f t="shared" si="1"/>
        <v>+</v>
      </c>
      <c r="D493" s="29">
        <f t="shared" si="2"/>
        <v>178</v>
      </c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</row>
    <row r="494">
      <c r="A494" s="29">
        <v>394063.0</v>
      </c>
      <c r="B494" s="29">
        <v>395412.0</v>
      </c>
      <c r="C494" s="30" t="str">
        <f t="shared" si="1"/>
        <v>+</v>
      </c>
      <c r="D494" s="29">
        <f t="shared" si="2"/>
        <v>178</v>
      </c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</row>
    <row r="495">
      <c r="A495" s="29">
        <v>395543.0</v>
      </c>
      <c r="B495" s="29">
        <v>396049.0</v>
      </c>
      <c r="C495" s="30" t="str">
        <f t="shared" si="1"/>
        <v>+</v>
      </c>
      <c r="D495" s="29">
        <f t="shared" si="2"/>
        <v>178</v>
      </c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</row>
    <row r="496">
      <c r="A496" s="29">
        <v>396033.0</v>
      </c>
      <c r="B496" s="29">
        <v>396686.0</v>
      </c>
      <c r="C496" s="30" t="str">
        <f t="shared" si="1"/>
        <v>+</v>
      </c>
      <c r="D496" s="29">
        <f t="shared" si="2"/>
        <v>178</v>
      </c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</row>
    <row r="497">
      <c r="A497" s="29">
        <v>396758.0</v>
      </c>
      <c r="B497" s="29">
        <v>396693.0</v>
      </c>
      <c r="C497" s="30" t="str">
        <f t="shared" si="1"/>
        <v>-</v>
      </c>
      <c r="D497" s="29">
        <f t="shared" si="2"/>
        <v>179</v>
      </c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</row>
    <row r="498">
      <c r="A498" s="29">
        <v>396806.0</v>
      </c>
      <c r="B498" s="29">
        <v>397222.0</v>
      </c>
      <c r="C498" s="30" t="str">
        <f t="shared" si="1"/>
        <v>+</v>
      </c>
      <c r="D498" s="29">
        <f t="shared" si="2"/>
        <v>180</v>
      </c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</row>
    <row r="499">
      <c r="A499" s="29">
        <v>397244.0</v>
      </c>
      <c r="B499" s="29">
        <v>397714.0</v>
      </c>
      <c r="C499" s="30" t="str">
        <f t="shared" si="1"/>
        <v>+</v>
      </c>
      <c r="D499" s="29">
        <f t="shared" si="2"/>
        <v>180</v>
      </c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</row>
    <row r="500">
      <c r="A500" s="29">
        <v>398912.0</v>
      </c>
      <c r="B500" s="29">
        <v>397707.0</v>
      </c>
      <c r="C500" s="30" t="str">
        <f t="shared" si="1"/>
        <v>-</v>
      </c>
      <c r="D500" s="29">
        <f t="shared" si="2"/>
        <v>181</v>
      </c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</row>
    <row r="501">
      <c r="A501" s="29">
        <v>398937.0</v>
      </c>
      <c r="B501" s="29">
        <v>400142.0</v>
      </c>
      <c r="C501" s="30" t="str">
        <f t="shared" si="1"/>
        <v>+</v>
      </c>
      <c r="D501" s="29">
        <f t="shared" si="2"/>
        <v>182</v>
      </c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</row>
    <row r="502">
      <c r="A502" s="29">
        <v>400171.0</v>
      </c>
      <c r="B502" s="29">
        <v>402153.0</v>
      </c>
      <c r="C502" s="30" t="str">
        <f t="shared" si="1"/>
        <v>+</v>
      </c>
      <c r="D502" s="29">
        <f t="shared" si="2"/>
        <v>182</v>
      </c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</row>
    <row r="503">
      <c r="A503" s="29">
        <v>402198.0</v>
      </c>
      <c r="B503" s="29">
        <v>404411.0</v>
      </c>
      <c r="C503" s="30" t="str">
        <f t="shared" si="1"/>
        <v>+</v>
      </c>
      <c r="D503" s="29">
        <f t="shared" si="2"/>
        <v>182</v>
      </c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</row>
    <row r="504">
      <c r="A504" s="29">
        <v>404443.0</v>
      </c>
      <c r="B504" s="29">
        <v>404967.0</v>
      </c>
      <c r="C504" s="30" t="str">
        <f t="shared" si="1"/>
        <v>+</v>
      </c>
      <c r="D504" s="29">
        <f t="shared" si="2"/>
        <v>182</v>
      </c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</row>
    <row r="505">
      <c r="A505" s="29">
        <v>405413.0</v>
      </c>
      <c r="B505" s="29">
        <v>404964.0</v>
      </c>
      <c r="C505" s="30" t="str">
        <f t="shared" si="1"/>
        <v>-</v>
      </c>
      <c r="D505" s="29">
        <f t="shared" si="2"/>
        <v>183</v>
      </c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</row>
    <row r="506">
      <c r="A506" s="29">
        <v>405480.0</v>
      </c>
      <c r="B506" s="29">
        <v>406574.0</v>
      </c>
      <c r="C506" s="30" t="str">
        <f t="shared" si="1"/>
        <v>+</v>
      </c>
      <c r="D506" s="29">
        <f t="shared" si="2"/>
        <v>184</v>
      </c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</row>
    <row r="507">
      <c r="A507" s="29">
        <v>406648.0</v>
      </c>
      <c r="B507" s="29">
        <v>408063.0</v>
      </c>
      <c r="C507" s="30" t="str">
        <f t="shared" si="1"/>
        <v>+</v>
      </c>
      <c r="D507" s="29">
        <f t="shared" si="2"/>
        <v>184</v>
      </c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</row>
    <row r="508">
      <c r="A508" s="29">
        <v>408060.0</v>
      </c>
      <c r="B508" s="29">
        <v>408710.0</v>
      </c>
      <c r="C508" s="30" t="str">
        <f t="shared" si="1"/>
        <v>+</v>
      </c>
      <c r="D508" s="29">
        <f t="shared" si="2"/>
        <v>184</v>
      </c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</row>
    <row r="509">
      <c r="A509" s="29">
        <v>408745.0</v>
      </c>
      <c r="B509" s="29">
        <v>409164.0</v>
      </c>
      <c r="C509" s="30" t="str">
        <f t="shared" si="1"/>
        <v>+</v>
      </c>
      <c r="D509" s="29">
        <f t="shared" si="2"/>
        <v>184</v>
      </c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</row>
    <row r="510">
      <c r="A510" s="29">
        <v>409164.0</v>
      </c>
      <c r="B510" s="29">
        <v>409427.0</v>
      </c>
      <c r="C510" s="30" t="str">
        <f t="shared" si="1"/>
        <v>+</v>
      </c>
      <c r="D510" s="29">
        <f t="shared" si="2"/>
        <v>184</v>
      </c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</row>
    <row r="511">
      <c r="A511" s="29">
        <v>409485.0</v>
      </c>
      <c r="B511" s="29">
        <v>409616.0</v>
      </c>
      <c r="C511" s="30" t="str">
        <f t="shared" si="1"/>
        <v>+</v>
      </c>
      <c r="D511" s="29">
        <f t="shared" si="2"/>
        <v>184</v>
      </c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</row>
    <row r="512">
      <c r="A512" s="29">
        <v>409925.0</v>
      </c>
      <c r="B512" s="29">
        <v>411016.0</v>
      </c>
      <c r="C512" s="30" t="str">
        <f t="shared" si="1"/>
        <v>+</v>
      </c>
      <c r="D512" s="29">
        <f t="shared" si="2"/>
        <v>184</v>
      </c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</row>
    <row r="513">
      <c r="A513" s="29">
        <v>411048.0</v>
      </c>
      <c r="B513" s="29">
        <v>411704.0</v>
      </c>
      <c r="C513" s="30" t="str">
        <f t="shared" si="1"/>
        <v>+</v>
      </c>
      <c r="D513" s="29">
        <f t="shared" si="2"/>
        <v>184</v>
      </c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</row>
    <row r="514">
      <c r="A514" s="29">
        <v>411704.0</v>
      </c>
      <c r="B514" s="29">
        <v>412471.0</v>
      </c>
      <c r="C514" s="30" t="str">
        <f t="shared" si="1"/>
        <v>+</v>
      </c>
      <c r="D514" s="29">
        <f t="shared" si="2"/>
        <v>184</v>
      </c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</row>
    <row r="515">
      <c r="A515" s="29">
        <v>413099.0</v>
      </c>
      <c r="B515" s="29">
        <v>412428.0</v>
      </c>
      <c r="C515" s="30" t="str">
        <f t="shared" si="1"/>
        <v>-</v>
      </c>
      <c r="D515" s="29">
        <f t="shared" si="2"/>
        <v>185</v>
      </c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</row>
    <row r="516">
      <c r="A516" s="29">
        <v>413365.0</v>
      </c>
      <c r="B516" s="29">
        <v>413192.0</v>
      </c>
      <c r="C516" s="30" t="str">
        <f t="shared" si="1"/>
        <v>-</v>
      </c>
      <c r="D516" s="29">
        <f t="shared" si="2"/>
        <v>185</v>
      </c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</row>
    <row r="517">
      <c r="A517" s="29">
        <v>413443.0</v>
      </c>
      <c r="B517" s="29">
        <v>414456.0</v>
      </c>
      <c r="C517" s="30" t="str">
        <f t="shared" si="1"/>
        <v>+</v>
      </c>
      <c r="D517" s="29">
        <f t="shared" si="2"/>
        <v>186</v>
      </c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</row>
    <row r="518">
      <c r="A518" s="29">
        <v>415375.0</v>
      </c>
      <c r="B518" s="29">
        <v>415623.0</v>
      </c>
      <c r="C518" s="30" t="str">
        <f t="shared" si="1"/>
        <v>+</v>
      </c>
      <c r="D518" s="29">
        <f t="shared" si="2"/>
        <v>186</v>
      </c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</row>
    <row r="519">
      <c r="A519" s="29">
        <v>416002.0</v>
      </c>
      <c r="B519" s="29">
        <v>416403.0</v>
      </c>
      <c r="C519" s="30" t="str">
        <f t="shared" si="1"/>
        <v>+</v>
      </c>
      <c r="D519" s="29">
        <f t="shared" si="2"/>
        <v>186</v>
      </c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</row>
    <row r="520">
      <c r="A520" s="29">
        <v>416385.0</v>
      </c>
      <c r="B520" s="29">
        <v>416813.0</v>
      </c>
      <c r="C520" s="30" t="str">
        <f t="shared" si="1"/>
        <v>+</v>
      </c>
      <c r="D520" s="29">
        <f t="shared" si="2"/>
        <v>186</v>
      </c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</row>
    <row r="521">
      <c r="A521" s="29">
        <v>417029.0</v>
      </c>
      <c r="B521" s="29">
        <v>417298.0</v>
      </c>
      <c r="C521" s="30" t="str">
        <f t="shared" si="1"/>
        <v>+</v>
      </c>
      <c r="D521" s="29">
        <f t="shared" si="2"/>
        <v>186</v>
      </c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</row>
    <row r="522">
      <c r="A522" s="29">
        <v>417267.0</v>
      </c>
      <c r="B522" s="29">
        <v>417485.0</v>
      </c>
      <c r="C522" s="30" t="str">
        <f t="shared" si="1"/>
        <v>+</v>
      </c>
      <c r="D522" s="29">
        <f t="shared" si="2"/>
        <v>186</v>
      </c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</row>
    <row r="523">
      <c r="A523" s="29">
        <v>418035.0</v>
      </c>
      <c r="B523" s="29">
        <v>417661.0</v>
      </c>
      <c r="C523" s="30" t="str">
        <f t="shared" si="1"/>
        <v>-</v>
      </c>
      <c r="D523" s="29">
        <f t="shared" si="2"/>
        <v>187</v>
      </c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</row>
    <row r="524">
      <c r="A524" s="29">
        <v>418243.0</v>
      </c>
      <c r="B524" s="29">
        <v>418010.0</v>
      </c>
      <c r="C524" s="30" t="str">
        <f t="shared" si="1"/>
        <v>-</v>
      </c>
      <c r="D524" s="29">
        <f t="shared" si="2"/>
        <v>187</v>
      </c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</row>
    <row r="525">
      <c r="A525" s="29">
        <v>418987.0</v>
      </c>
      <c r="B525" s="29">
        <v>418280.0</v>
      </c>
      <c r="C525" s="30" t="str">
        <f t="shared" si="1"/>
        <v>-</v>
      </c>
      <c r="D525" s="29">
        <f t="shared" si="2"/>
        <v>187</v>
      </c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</row>
    <row r="526">
      <c r="A526" s="29">
        <v>420499.0</v>
      </c>
      <c r="B526" s="29">
        <v>421074.0</v>
      </c>
      <c r="C526" s="30" t="str">
        <f t="shared" si="1"/>
        <v>+</v>
      </c>
      <c r="D526" s="29">
        <f t="shared" si="2"/>
        <v>188</v>
      </c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</row>
    <row r="527">
      <c r="A527" s="29">
        <v>421107.0</v>
      </c>
      <c r="B527" s="29">
        <v>421496.0</v>
      </c>
      <c r="C527" s="30" t="str">
        <f t="shared" si="1"/>
        <v>+</v>
      </c>
      <c r="D527" s="29">
        <f t="shared" si="2"/>
        <v>188</v>
      </c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</row>
    <row r="528">
      <c r="A528" s="29">
        <v>421677.0</v>
      </c>
      <c r="B528" s="29">
        <v>421925.0</v>
      </c>
      <c r="C528" s="30" t="str">
        <f t="shared" si="1"/>
        <v>+</v>
      </c>
      <c r="D528" s="29">
        <f t="shared" si="2"/>
        <v>188</v>
      </c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</row>
    <row r="529">
      <c r="A529" s="29">
        <v>421946.0</v>
      </c>
      <c r="B529" s="29">
        <v>422248.0</v>
      </c>
      <c r="C529" s="30" t="str">
        <f t="shared" si="1"/>
        <v>+</v>
      </c>
      <c r="D529" s="29">
        <f t="shared" si="2"/>
        <v>188</v>
      </c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</row>
    <row r="530">
      <c r="A530" s="29">
        <v>422321.0</v>
      </c>
      <c r="B530" s="29">
        <v>423532.0</v>
      </c>
      <c r="C530" s="30" t="str">
        <f t="shared" si="1"/>
        <v>+</v>
      </c>
      <c r="D530" s="29">
        <f t="shared" si="2"/>
        <v>188</v>
      </c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</row>
    <row r="531">
      <c r="A531" s="29">
        <v>423566.0</v>
      </c>
      <c r="B531" s="29">
        <v>424909.0</v>
      </c>
      <c r="C531" s="30" t="str">
        <f t="shared" si="1"/>
        <v>+</v>
      </c>
      <c r="D531" s="29">
        <f t="shared" si="2"/>
        <v>188</v>
      </c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</row>
    <row r="532">
      <c r="A532" s="29">
        <v>424887.0</v>
      </c>
      <c r="B532" s="29">
        <v>425492.0</v>
      </c>
      <c r="C532" s="30" t="str">
        <f t="shared" si="1"/>
        <v>+</v>
      </c>
      <c r="D532" s="29">
        <f t="shared" si="2"/>
        <v>188</v>
      </c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</row>
    <row r="533">
      <c r="A533" s="29">
        <v>425524.0</v>
      </c>
      <c r="B533" s="29">
        <v>428811.0</v>
      </c>
      <c r="C533" s="30" t="str">
        <f t="shared" si="1"/>
        <v>+</v>
      </c>
      <c r="D533" s="29">
        <f t="shared" si="2"/>
        <v>188</v>
      </c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</row>
    <row r="534">
      <c r="A534" s="29">
        <v>428808.0</v>
      </c>
      <c r="B534" s="29">
        <v>430190.0</v>
      </c>
      <c r="C534" s="30" t="str">
        <f t="shared" si="1"/>
        <v>+</v>
      </c>
      <c r="D534" s="29">
        <f t="shared" si="2"/>
        <v>188</v>
      </c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</row>
    <row r="535">
      <c r="A535" s="29">
        <v>430187.0</v>
      </c>
      <c r="B535" s="29">
        <v>430921.0</v>
      </c>
      <c r="C535" s="30" t="str">
        <f t="shared" si="1"/>
        <v>+</v>
      </c>
      <c r="D535" s="29">
        <f t="shared" si="2"/>
        <v>188</v>
      </c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</row>
    <row r="536">
      <c r="A536" s="29">
        <v>430897.0</v>
      </c>
      <c r="B536" s="29">
        <v>431883.0</v>
      </c>
      <c r="C536" s="30" t="str">
        <f t="shared" si="1"/>
        <v>+</v>
      </c>
      <c r="D536" s="29">
        <f t="shared" si="2"/>
        <v>188</v>
      </c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</row>
    <row r="537">
      <c r="A537" s="29">
        <v>432089.0</v>
      </c>
      <c r="B537" s="29">
        <v>432325.0</v>
      </c>
      <c r="C537" s="30" t="str">
        <f t="shared" si="1"/>
        <v>+</v>
      </c>
      <c r="D537" s="29">
        <f t="shared" si="2"/>
        <v>188</v>
      </c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</row>
    <row r="538">
      <c r="A538" s="29">
        <v>432426.0</v>
      </c>
      <c r="B538" s="29">
        <v>432656.0</v>
      </c>
      <c r="C538" s="30" t="str">
        <f t="shared" si="1"/>
        <v>+</v>
      </c>
      <c r="D538" s="29">
        <f t="shared" si="2"/>
        <v>188</v>
      </c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</row>
    <row r="539">
      <c r="A539" s="29">
        <v>432653.0</v>
      </c>
      <c r="B539" s="29">
        <v>433072.0</v>
      </c>
      <c r="C539" s="30" t="str">
        <f t="shared" si="1"/>
        <v>+</v>
      </c>
      <c r="D539" s="29">
        <f t="shared" si="2"/>
        <v>188</v>
      </c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</row>
    <row r="540">
      <c r="A540" s="29">
        <v>433363.0</v>
      </c>
      <c r="B540" s="29">
        <v>433818.0</v>
      </c>
      <c r="C540" s="30" t="str">
        <f t="shared" si="1"/>
        <v>+</v>
      </c>
      <c r="D540" s="29">
        <f t="shared" si="2"/>
        <v>188</v>
      </c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</row>
    <row r="541">
      <c r="A541" s="29">
        <v>433941.0</v>
      </c>
      <c r="B541" s="29">
        <v>434405.0</v>
      </c>
      <c r="C541" s="30" t="str">
        <f t="shared" si="1"/>
        <v>+</v>
      </c>
      <c r="D541" s="29">
        <f t="shared" si="2"/>
        <v>188</v>
      </c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</row>
    <row r="542">
      <c r="A542" s="29">
        <v>434737.0</v>
      </c>
      <c r="B542" s="29">
        <v>436287.0</v>
      </c>
      <c r="C542" s="30" t="str">
        <f t="shared" si="1"/>
        <v>+</v>
      </c>
      <c r="D542" s="29">
        <f t="shared" si="2"/>
        <v>188</v>
      </c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</row>
    <row r="543">
      <c r="A543" s="29">
        <v>436284.0</v>
      </c>
      <c r="B543" s="29">
        <v>437126.0</v>
      </c>
      <c r="C543" s="30" t="str">
        <f t="shared" si="1"/>
        <v>+</v>
      </c>
      <c r="D543" s="29">
        <f t="shared" si="2"/>
        <v>188</v>
      </c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</row>
    <row r="544">
      <c r="A544" s="29">
        <v>437226.0</v>
      </c>
      <c r="B544" s="29">
        <v>437134.0</v>
      </c>
      <c r="C544" s="30" t="str">
        <f t="shared" si="1"/>
        <v>-</v>
      </c>
      <c r="D544" s="29">
        <f t="shared" si="2"/>
        <v>189</v>
      </c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</row>
    <row r="545">
      <c r="A545" s="29">
        <v>437316.0</v>
      </c>
      <c r="B545" s="29">
        <v>437702.0</v>
      </c>
      <c r="C545" s="30" t="str">
        <f t="shared" si="1"/>
        <v>+</v>
      </c>
      <c r="D545" s="29">
        <f t="shared" si="2"/>
        <v>190</v>
      </c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</row>
    <row r="546">
      <c r="A546" s="29">
        <v>437702.0</v>
      </c>
      <c r="B546" s="29">
        <v>438055.0</v>
      </c>
      <c r="C546" s="30" t="str">
        <f t="shared" si="1"/>
        <v>+</v>
      </c>
      <c r="D546" s="29">
        <f t="shared" si="2"/>
        <v>190</v>
      </c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</row>
    <row r="547">
      <c r="A547" s="29">
        <v>438099.0</v>
      </c>
      <c r="B547" s="29">
        <v>438485.0</v>
      </c>
      <c r="C547" s="30" t="str">
        <f t="shared" si="1"/>
        <v>+</v>
      </c>
      <c r="D547" s="29">
        <f t="shared" si="2"/>
        <v>190</v>
      </c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</row>
    <row r="548">
      <c r="A548" s="29">
        <v>438472.0</v>
      </c>
      <c r="B548" s="29">
        <v>438729.0</v>
      </c>
      <c r="C548" s="30" t="str">
        <f t="shared" si="1"/>
        <v>+</v>
      </c>
      <c r="D548" s="29">
        <f t="shared" si="2"/>
        <v>190</v>
      </c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</row>
    <row r="549">
      <c r="A549" s="29">
        <v>438772.0</v>
      </c>
      <c r="B549" s="29">
        <v>439740.0</v>
      </c>
      <c r="C549" s="30" t="str">
        <f t="shared" si="1"/>
        <v>+</v>
      </c>
      <c r="D549" s="29">
        <f t="shared" si="2"/>
        <v>190</v>
      </c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</row>
    <row r="550">
      <c r="A550" s="29">
        <v>439715.0</v>
      </c>
      <c r="B550" s="29">
        <v>440359.0</v>
      </c>
      <c r="C550" s="30" t="str">
        <f t="shared" si="1"/>
        <v>+</v>
      </c>
      <c r="D550" s="29">
        <f t="shared" si="2"/>
        <v>190</v>
      </c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</row>
    <row r="551">
      <c r="A551" s="29">
        <v>441521.0</v>
      </c>
      <c r="B551" s="29">
        <v>441027.0</v>
      </c>
      <c r="C551" s="30" t="str">
        <f t="shared" si="1"/>
        <v>-</v>
      </c>
      <c r="D551" s="29">
        <f t="shared" si="2"/>
        <v>191</v>
      </c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</row>
    <row r="552">
      <c r="A552" s="29">
        <v>441618.0</v>
      </c>
      <c r="B552" s="29">
        <v>441797.0</v>
      </c>
      <c r="C552" s="30" t="str">
        <f t="shared" si="1"/>
        <v>+</v>
      </c>
      <c r="D552" s="29">
        <f t="shared" si="2"/>
        <v>192</v>
      </c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</row>
    <row r="553">
      <c r="A553" s="29">
        <v>442097.0</v>
      </c>
      <c r="B553" s="29">
        <v>442348.0</v>
      </c>
      <c r="C553" s="30" t="str">
        <f t="shared" si="1"/>
        <v>+</v>
      </c>
      <c r="D553" s="29">
        <f t="shared" si="2"/>
        <v>192</v>
      </c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</row>
    <row r="554">
      <c r="A554" s="29">
        <v>442968.0</v>
      </c>
      <c r="B554" s="29">
        <v>443573.0</v>
      </c>
      <c r="C554" s="30" t="str">
        <f t="shared" si="1"/>
        <v>+</v>
      </c>
      <c r="D554" s="29">
        <f t="shared" si="2"/>
        <v>192</v>
      </c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</row>
    <row r="555">
      <c r="A555" s="29">
        <v>443576.0</v>
      </c>
      <c r="B555" s="29">
        <v>446668.0</v>
      </c>
      <c r="C555" s="30" t="str">
        <f t="shared" si="1"/>
        <v>+</v>
      </c>
      <c r="D555" s="29">
        <f t="shared" si="2"/>
        <v>192</v>
      </c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</row>
    <row r="556">
      <c r="A556" s="29">
        <v>447013.0</v>
      </c>
      <c r="B556" s="29">
        <v>446882.0</v>
      </c>
      <c r="C556" s="30" t="str">
        <f t="shared" si="1"/>
        <v>-</v>
      </c>
      <c r="D556" s="29">
        <f t="shared" si="2"/>
        <v>193</v>
      </c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</row>
    <row r="557">
      <c r="A557" s="29">
        <v>447621.0</v>
      </c>
      <c r="B557" s="29">
        <v>447241.0</v>
      </c>
      <c r="C557" s="30" t="str">
        <f t="shared" si="1"/>
        <v>-</v>
      </c>
      <c r="D557" s="29">
        <f t="shared" si="2"/>
        <v>193</v>
      </c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</row>
    <row r="558">
      <c r="A558" s="29">
        <v>448144.0</v>
      </c>
      <c r="B558" s="29">
        <v>449028.0</v>
      </c>
      <c r="C558" s="30" t="str">
        <f t="shared" si="1"/>
        <v>+</v>
      </c>
      <c r="D558" s="29">
        <f t="shared" si="2"/>
        <v>194</v>
      </c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</row>
    <row r="559">
      <c r="A559" s="29">
        <v>449203.0</v>
      </c>
      <c r="B559" s="29">
        <v>450051.0</v>
      </c>
      <c r="C559" s="30" t="str">
        <f t="shared" si="1"/>
        <v>+</v>
      </c>
      <c r="D559" s="29">
        <f t="shared" si="2"/>
        <v>194</v>
      </c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</row>
    <row r="560">
      <c r="A560" s="29">
        <v>450039.0</v>
      </c>
      <c r="B560" s="29">
        <v>450221.0</v>
      </c>
      <c r="C560" s="30" t="str">
        <f t="shared" si="1"/>
        <v>+</v>
      </c>
      <c r="D560" s="29">
        <f t="shared" si="2"/>
        <v>194</v>
      </c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</row>
    <row r="561">
      <c r="A561" s="29">
        <v>450242.0</v>
      </c>
      <c r="B561" s="29">
        <v>450610.0</v>
      </c>
      <c r="C561" s="30" t="str">
        <f t="shared" si="1"/>
        <v>+</v>
      </c>
      <c r="D561" s="29">
        <f t="shared" si="2"/>
        <v>194</v>
      </c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</row>
    <row r="562">
      <c r="A562" s="29">
        <v>450640.0</v>
      </c>
      <c r="B562" s="29">
        <v>451527.0</v>
      </c>
      <c r="C562" s="30" t="str">
        <f t="shared" si="1"/>
        <v>+</v>
      </c>
      <c r="D562" s="29">
        <f t="shared" si="2"/>
        <v>194</v>
      </c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</row>
    <row r="563">
      <c r="A563" s="29">
        <v>451511.0</v>
      </c>
      <c r="B563" s="29">
        <v>451885.0</v>
      </c>
      <c r="C563" s="30" t="str">
        <f t="shared" si="1"/>
        <v>+</v>
      </c>
      <c r="D563" s="29">
        <f t="shared" si="2"/>
        <v>194</v>
      </c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</row>
    <row r="564">
      <c r="A564" s="29">
        <v>452591.0</v>
      </c>
      <c r="B564" s="29">
        <v>452115.0</v>
      </c>
      <c r="C564" s="30" t="str">
        <f t="shared" si="1"/>
        <v>-</v>
      </c>
      <c r="D564" s="29">
        <f t="shared" si="2"/>
        <v>195</v>
      </c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</row>
    <row r="565">
      <c r="A565" s="29">
        <v>452747.0</v>
      </c>
      <c r="B565" s="29">
        <v>453472.0</v>
      </c>
      <c r="C565" s="30" t="str">
        <f t="shared" si="1"/>
        <v>+</v>
      </c>
      <c r="D565" s="29">
        <f t="shared" si="2"/>
        <v>196</v>
      </c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</row>
    <row r="566">
      <c r="A566" s="29">
        <v>454546.0</v>
      </c>
      <c r="B566" s="29">
        <v>453464.0</v>
      </c>
      <c r="C566" s="30" t="str">
        <f t="shared" si="1"/>
        <v>-</v>
      </c>
      <c r="D566" s="29">
        <f t="shared" si="2"/>
        <v>197</v>
      </c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</row>
    <row r="567">
      <c r="A567" s="29">
        <v>455247.0</v>
      </c>
      <c r="B567" s="29">
        <v>454555.0</v>
      </c>
      <c r="C567" s="30" t="str">
        <f t="shared" si="1"/>
        <v>-</v>
      </c>
      <c r="D567" s="29">
        <f t="shared" si="2"/>
        <v>197</v>
      </c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</row>
    <row r="568">
      <c r="A568" s="29">
        <v>455487.0</v>
      </c>
      <c r="B568" s="29">
        <v>455681.0</v>
      </c>
      <c r="C568" s="30" t="str">
        <f t="shared" si="1"/>
        <v>+</v>
      </c>
      <c r="D568" s="29">
        <f t="shared" si="2"/>
        <v>198</v>
      </c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</row>
    <row r="569">
      <c r="A569" s="29">
        <v>455702.0</v>
      </c>
      <c r="B569" s="29">
        <v>456163.0</v>
      </c>
      <c r="C569" s="30" t="str">
        <f t="shared" si="1"/>
        <v>+</v>
      </c>
      <c r="D569" s="29">
        <f t="shared" si="2"/>
        <v>198</v>
      </c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</row>
    <row r="570">
      <c r="A570" s="29">
        <v>456527.0</v>
      </c>
      <c r="B570" s="29">
        <v>456231.0</v>
      </c>
      <c r="C570" s="30" t="str">
        <f t="shared" si="1"/>
        <v>-</v>
      </c>
      <c r="D570" s="29">
        <f t="shared" si="2"/>
        <v>199</v>
      </c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</row>
    <row r="571">
      <c r="A571" s="29">
        <v>456528.0</v>
      </c>
      <c r="B571" s="29">
        <v>457571.0</v>
      </c>
      <c r="C571" s="30" t="str">
        <f t="shared" si="1"/>
        <v>+</v>
      </c>
      <c r="D571" s="29">
        <f t="shared" si="2"/>
        <v>200</v>
      </c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</row>
    <row r="572">
      <c r="A572" s="29">
        <v>457568.0</v>
      </c>
      <c r="B572" s="29">
        <v>457906.0</v>
      </c>
      <c r="C572" s="30" t="str">
        <f t="shared" si="1"/>
        <v>+</v>
      </c>
      <c r="D572" s="29">
        <f t="shared" si="2"/>
        <v>200</v>
      </c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</row>
    <row r="573">
      <c r="A573" s="29">
        <v>458062.0</v>
      </c>
      <c r="B573" s="29">
        <v>458301.0</v>
      </c>
      <c r="C573" s="30" t="str">
        <f t="shared" si="1"/>
        <v>+</v>
      </c>
      <c r="D573" s="29">
        <f t="shared" si="2"/>
        <v>200</v>
      </c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</row>
    <row r="574">
      <c r="A574" s="29">
        <v>459418.0</v>
      </c>
      <c r="B574" s="29">
        <v>458294.0</v>
      </c>
      <c r="C574" s="30" t="str">
        <f t="shared" si="1"/>
        <v>-</v>
      </c>
      <c r="D574" s="29">
        <f t="shared" si="2"/>
        <v>201</v>
      </c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</row>
    <row r="575">
      <c r="A575" s="29">
        <v>460192.0</v>
      </c>
      <c r="B575" s="29">
        <v>459446.0</v>
      </c>
      <c r="C575" s="30" t="str">
        <f t="shared" si="1"/>
        <v>-</v>
      </c>
      <c r="D575" s="29">
        <f t="shared" si="2"/>
        <v>201</v>
      </c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</row>
    <row r="576">
      <c r="A576" s="29">
        <v>460950.0</v>
      </c>
      <c r="B576" s="29">
        <v>460189.0</v>
      </c>
      <c r="C576" s="30" t="str">
        <f t="shared" si="1"/>
        <v>-</v>
      </c>
      <c r="D576" s="29">
        <f t="shared" si="2"/>
        <v>201</v>
      </c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</row>
    <row r="577">
      <c r="A577" s="29">
        <v>461149.0</v>
      </c>
      <c r="B577" s="29">
        <v>461427.0</v>
      </c>
      <c r="C577" s="30" t="str">
        <f t="shared" si="1"/>
        <v>+</v>
      </c>
      <c r="D577" s="29">
        <f t="shared" si="2"/>
        <v>202</v>
      </c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</row>
    <row r="578">
      <c r="A578" s="29">
        <v>461420.0</v>
      </c>
      <c r="B578" s="29">
        <v>462082.0</v>
      </c>
      <c r="C578" s="30" t="str">
        <f t="shared" si="1"/>
        <v>+</v>
      </c>
      <c r="D578" s="29">
        <f t="shared" si="2"/>
        <v>202</v>
      </c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</row>
    <row r="579">
      <c r="A579" s="29">
        <v>462113.0</v>
      </c>
      <c r="B579" s="29">
        <v>462349.0</v>
      </c>
      <c r="C579" s="30" t="str">
        <f t="shared" si="1"/>
        <v>+</v>
      </c>
      <c r="D579" s="29">
        <f t="shared" si="2"/>
        <v>202</v>
      </c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</row>
    <row r="580">
      <c r="A580" s="29">
        <v>462351.0</v>
      </c>
      <c r="B580" s="29">
        <v>462761.0</v>
      </c>
      <c r="C580" s="30" t="str">
        <f t="shared" si="1"/>
        <v>+</v>
      </c>
      <c r="D580" s="29">
        <f t="shared" si="2"/>
        <v>202</v>
      </c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</row>
    <row r="581">
      <c r="A581" s="29">
        <v>462762.0</v>
      </c>
      <c r="B581" s="29">
        <v>463679.0</v>
      </c>
      <c r="C581" s="30" t="str">
        <f t="shared" si="1"/>
        <v>+</v>
      </c>
      <c r="D581" s="29">
        <f t="shared" si="2"/>
        <v>202</v>
      </c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</row>
    <row r="582">
      <c r="A582" s="29">
        <v>463709.0</v>
      </c>
      <c r="B582" s="29">
        <v>464008.0</v>
      </c>
      <c r="C582" s="30" t="str">
        <f t="shared" si="1"/>
        <v>+</v>
      </c>
      <c r="D582" s="29">
        <f t="shared" si="2"/>
        <v>202</v>
      </c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</row>
    <row r="583">
      <c r="A583" s="29">
        <v>464008.0</v>
      </c>
      <c r="B583" s="29">
        <v>464469.0</v>
      </c>
      <c r="C583" s="30" t="str">
        <f t="shared" si="1"/>
        <v>+</v>
      </c>
      <c r="D583" s="29">
        <f t="shared" si="2"/>
        <v>202</v>
      </c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</row>
    <row r="584">
      <c r="A584" s="29">
        <v>464503.0</v>
      </c>
      <c r="B584" s="29">
        <v>465000.0</v>
      </c>
      <c r="C584" s="30" t="str">
        <f t="shared" si="1"/>
        <v>+</v>
      </c>
      <c r="D584" s="29">
        <f t="shared" si="2"/>
        <v>202</v>
      </c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</row>
    <row r="585">
      <c r="A585" s="29">
        <v>465002.0</v>
      </c>
      <c r="B585" s="29">
        <v>465670.0</v>
      </c>
      <c r="C585" s="30" t="str">
        <f t="shared" si="1"/>
        <v>+</v>
      </c>
      <c r="D585" s="29">
        <f t="shared" si="2"/>
        <v>202</v>
      </c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</row>
    <row r="586">
      <c r="A586" s="29">
        <v>465713.0</v>
      </c>
      <c r="B586" s="29">
        <v>466747.0</v>
      </c>
      <c r="C586" s="30" t="str">
        <f t="shared" si="1"/>
        <v>+</v>
      </c>
      <c r="D586" s="29">
        <f t="shared" si="2"/>
        <v>202</v>
      </c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</row>
    <row r="587">
      <c r="A587" s="29">
        <v>466779.0</v>
      </c>
      <c r="B587" s="29">
        <v>467726.0</v>
      </c>
      <c r="C587" s="30" t="str">
        <f t="shared" si="1"/>
        <v>+</v>
      </c>
      <c r="D587" s="29">
        <f t="shared" si="2"/>
        <v>202</v>
      </c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</row>
    <row r="588">
      <c r="A588" s="29">
        <v>467723.0</v>
      </c>
      <c r="B588" s="29">
        <v>467959.0</v>
      </c>
      <c r="C588" s="30" t="str">
        <f t="shared" si="1"/>
        <v>+</v>
      </c>
      <c r="D588" s="29">
        <f t="shared" si="2"/>
        <v>202</v>
      </c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</row>
    <row r="589">
      <c r="A589" s="29">
        <v>467974.0</v>
      </c>
      <c r="B589" s="29">
        <v>468759.0</v>
      </c>
      <c r="C589" s="30" t="str">
        <f t="shared" si="1"/>
        <v>+</v>
      </c>
      <c r="D589" s="29">
        <f t="shared" si="2"/>
        <v>202</v>
      </c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</row>
    <row r="590">
      <c r="A590" s="29">
        <v>468731.0</v>
      </c>
      <c r="B590" s="29">
        <v>468967.0</v>
      </c>
      <c r="C590" s="30" t="str">
        <f t="shared" si="1"/>
        <v>+</v>
      </c>
      <c r="D590" s="29">
        <f t="shared" si="2"/>
        <v>202</v>
      </c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</row>
    <row r="591">
      <c r="A591" s="29">
        <v>468991.0</v>
      </c>
      <c r="B591" s="29">
        <v>469410.0</v>
      </c>
      <c r="C591" s="30" t="str">
        <f t="shared" si="1"/>
        <v>+</v>
      </c>
      <c r="D591" s="29">
        <f t="shared" si="2"/>
        <v>202</v>
      </c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</row>
    <row r="592">
      <c r="A592" s="29">
        <v>470952.0</v>
      </c>
      <c r="B592" s="29">
        <v>469402.0</v>
      </c>
      <c r="C592" s="30" t="str">
        <f t="shared" si="1"/>
        <v>-</v>
      </c>
      <c r="D592" s="29">
        <f t="shared" si="2"/>
        <v>203</v>
      </c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</row>
    <row r="593">
      <c r="A593" s="29">
        <v>471869.0</v>
      </c>
      <c r="B593" s="29">
        <v>470949.0</v>
      </c>
      <c r="C593" s="30" t="str">
        <f t="shared" si="1"/>
        <v>-</v>
      </c>
      <c r="D593" s="29">
        <f t="shared" si="2"/>
        <v>203</v>
      </c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</row>
    <row r="594">
      <c r="A594" s="29">
        <v>472865.0</v>
      </c>
      <c r="B594" s="29">
        <v>471981.0</v>
      </c>
      <c r="C594" s="30" t="str">
        <f t="shared" si="1"/>
        <v>-</v>
      </c>
      <c r="D594" s="29">
        <f t="shared" si="2"/>
        <v>203</v>
      </c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</row>
    <row r="595">
      <c r="A595" s="29">
        <v>473213.0</v>
      </c>
      <c r="B595" s="29">
        <v>472872.0</v>
      </c>
      <c r="C595" s="30" t="str">
        <f t="shared" si="1"/>
        <v>-</v>
      </c>
      <c r="D595" s="29">
        <f t="shared" si="2"/>
        <v>203</v>
      </c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</row>
    <row r="596">
      <c r="A596" s="29">
        <v>474132.0</v>
      </c>
      <c r="B596" s="29">
        <v>473242.0</v>
      </c>
      <c r="C596" s="30" t="str">
        <f t="shared" si="1"/>
        <v>-</v>
      </c>
      <c r="D596" s="29">
        <f t="shared" si="2"/>
        <v>203</v>
      </c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</row>
    <row r="597">
      <c r="A597" s="29">
        <v>475133.0</v>
      </c>
      <c r="B597" s="29">
        <v>474129.0</v>
      </c>
      <c r="C597" s="30" t="str">
        <f t="shared" si="1"/>
        <v>-</v>
      </c>
      <c r="D597" s="29">
        <f t="shared" si="2"/>
        <v>203</v>
      </c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</row>
    <row r="598">
      <c r="A598" s="29">
        <v>476566.0</v>
      </c>
      <c r="B598" s="29">
        <v>475130.0</v>
      </c>
      <c r="C598" s="30" t="str">
        <f t="shared" si="1"/>
        <v>-</v>
      </c>
      <c r="D598" s="29">
        <f t="shared" si="2"/>
        <v>203</v>
      </c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</row>
    <row r="599">
      <c r="A599" s="29">
        <v>477789.0</v>
      </c>
      <c r="B599" s="29">
        <v>476566.0</v>
      </c>
      <c r="C599" s="30" t="str">
        <f t="shared" si="1"/>
        <v>-</v>
      </c>
      <c r="D599" s="29">
        <f t="shared" si="2"/>
        <v>203</v>
      </c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</row>
    <row r="600">
      <c r="A600" s="29">
        <v>478150.0</v>
      </c>
      <c r="B600" s="29">
        <v>477812.0</v>
      </c>
      <c r="C600" s="30" t="str">
        <f t="shared" si="1"/>
        <v>-</v>
      </c>
      <c r="D600" s="29">
        <f t="shared" si="2"/>
        <v>203</v>
      </c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</row>
    <row r="601">
      <c r="A601" s="29">
        <v>480215.0</v>
      </c>
      <c r="B601" s="29">
        <v>478134.0</v>
      </c>
      <c r="C601" s="30" t="str">
        <f t="shared" si="1"/>
        <v>-</v>
      </c>
      <c r="D601" s="29">
        <f t="shared" si="2"/>
        <v>203</v>
      </c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</row>
    <row r="602">
      <c r="A602" s="29">
        <v>480335.0</v>
      </c>
      <c r="B602" s="29">
        <v>480643.0</v>
      </c>
      <c r="C602" s="30" t="str">
        <f t="shared" si="1"/>
        <v>+</v>
      </c>
      <c r="D602" s="29">
        <f t="shared" si="2"/>
        <v>204</v>
      </c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</row>
    <row r="603">
      <c r="A603" s="29">
        <v>480643.0</v>
      </c>
      <c r="B603" s="29">
        <v>480942.0</v>
      </c>
      <c r="C603" s="30" t="str">
        <f t="shared" si="1"/>
        <v>+</v>
      </c>
      <c r="D603" s="29">
        <f t="shared" si="2"/>
        <v>204</v>
      </c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</row>
    <row r="604">
      <c r="A604" s="29">
        <v>481090.0</v>
      </c>
      <c r="B604" s="29">
        <v>480929.0</v>
      </c>
      <c r="C604" s="30" t="str">
        <f t="shared" si="1"/>
        <v>-</v>
      </c>
      <c r="D604" s="29">
        <f t="shared" si="2"/>
        <v>205</v>
      </c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</row>
    <row r="605">
      <c r="A605" s="29">
        <v>481139.0</v>
      </c>
      <c r="B605" s="29">
        <v>483052.0</v>
      </c>
      <c r="C605" s="30" t="str">
        <f t="shared" si="1"/>
        <v>+</v>
      </c>
      <c r="D605" s="29">
        <f t="shared" si="2"/>
        <v>206</v>
      </c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</row>
    <row r="606">
      <c r="A606" s="29">
        <v>484935.0</v>
      </c>
      <c r="B606" s="29">
        <v>483088.0</v>
      </c>
      <c r="C606" s="30" t="str">
        <f t="shared" si="1"/>
        <v>-</v>
      </c>
      <c r="D606" s="29">
        <f t="shared" si="2"/>
        <v>207</v>
      </c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</row>
    <row r="607">
      <c r="A607" s="29">
        <v>485696.0</v>
      </c>
      <c r="B607" s="29">
        <v>484932.0</v>
      </c>
      <c r="C607" s="30" t="str">
        <f t="shared" si="1"/>
        <v>-</v>
      </c>
      <c r="D607" s="29">
        <f t="shared" si="2"/>
        <v>207</v>
      </c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</row>
    <row r="608">
      <c r="A608" s="29">
        <v>486841.0</v>
      </c>
      <c r="B608" s="29">
        <v>485687.0</v>
      </c>
      <c r="C608" s="30" t="str">
        <f t="shared" si="1"/>
        <v>-</v>
      </c>
      <c r="D608" s="29">
        <f t="shared" si="2"/>
        <v>207</v>
      </c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</row>
    <row r="609">
      <c r="A609" s="29">
        <v>487463.0</v>
      </c>
      <c r="B609" s="29">
        <v>486963.0</v>
      </c>
      <c r="C609" s="30" t="str">
        <f t="shared" si="1"/>
        <v>-</v>
      </c>
      <c r="D609" s="29">
        <f t="shared" si="2"/>
        <v>207</v>
      </c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</row>
    <row r="610">
      <c r="A610" s="29">
        <v>487756.0</v>
      </c>
      <c r="B610" s="29">
        <v>487460.0</v>
      </c>
      <c r="C610" s="30" t="str">
        <f t="shared" si="1"/>
        <v>-</v>
      </c>
      <c r="D610" s="29">
        <f t="shared" si="2"/>
        <v>207</v>
      </c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</row>
    <row r="611">
      <c r="A611" s="29">
        <v>488430.0</v>
      </c>
      <c r="B611" s="29">
        <v>487753.0</v>
      </c>
      <c r="C611" s="30" t="str">
        <f t="shared" si="1"/>
        <v>-</v>
      </c>
      <c r="D611" s="29">
        <f t="shared" si="2"/>
        <v>207</v>
      </c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</row>
    <row r="612">
      <c r="A612" s="29">
        <v>489123.0</v>
      </c>
      <c r="B612" s="29">
        <v>488497.0</v>
      </c>
      <c r="C612" s="30" t="str">
        <f t="shared" si="1"/>
        <v>-</v>
      </c>
      <c r="D612" s="29">
        <f t="shared" si="2"/>
        <v>207</v>
      </c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</row>
    <row r="613">
      <c r="A613" s="29">
        <v>489439.0</v>
      </c>
      <c r="B613" s="29">
        <v>489116.0</v>
      </c>
      <c r="C613" s="30" t="str">
        <f t="shared" si="1"/>
        <v>-</v>
      </c>
      <c r="D613" s="29">
        <f t="shared" si="2"/>
        <v>207</v>
      </c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</row>
    <row r="614">
      <c r="A614" s="29">
        <v>489440.0</v>
      </c>
      <c r="B614" s="29">
        <v>489853.0</v>
      </c>
      <c r="C614" s="30" t="str">
        <f t="shared" si="1"/>
        <v>+</v>
      </c>
      <c r="D614" s="29">
        <f t="shared" si="2"/>
        <v>208</v>
      </c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</row>
    <row r="615">
      <c r="A615" s="29">
        <v>491365.0</v>
      </c>
      <c r="B615" s="29">
        <v>490331.0</v>
      </c>
      <c r="C615" s="30" t="str">
        <f t="shared" si="1"/>
        <v>-</v>
      </c>
      <c r="D615" s="29">
        <f t="shared" si="2"/>
        <v>209</v>
      </c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</row>
    <row r="616">
      <c r="A616" s="29">
        <v>491621.0</v>
      </c>
      <c r="B616" s="29">
        <v>492490.0</v>
      </c>
      <c r="C616" s="30" t="str">
        <f t="shared" si="1"/>
        <v>+</v>
      </c>
      <c r="D616" s="29">
        <f t="shared" si="2"/>
        <v>210</v>
      </c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</row>
    <row r="617">
      <c r="A617" s="29">
        <v>492480.0</v>
      </c>
      <c r="B617" s="29">
        <v>493235.0</v>
      </c>
      <c r="C617" s="30" t="str">
        <f t="shared" si="1"/>
        <v>+</v>
      </c>
      <c r="D617" s="29">
        <f t="shared" si="2"/>
        <v>210</v>
      </c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</row>
    <row r="618">
      <c r="A618" s="29">
        <v>493226.0</v>
      </c>
      <c r="B618" s="29">
        <v>493579.0</v>
      </c>
      <c r="C618" s="30" t="str">
        <f t="shared" si="1"/>
        <v>+</v>
      </c>
      <c r="D618" s="29">
        <f t="shared" si="2"/>
        <v>210</v>
      </c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</row>
    <row r="619">
      <c r="A619" s="29">
        <v>493601.0</v>
      </c>
      <c r="B619" s="29">
        <v>493954.0</v>
      </c>
      <c r="C619" s="30" t="str">
        <f t="shared" si="1"/>
        <v>+</v>
      </c>
      <c r="D619" s="29">
        <f t="shared" si="2"/>
        <v>210</v>
      </c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</row>
    <row r="620">
      <c r="A620" s="29">
        <v>493960.0</v>
      </c>
      <c r="B620" s="29">
        <v>494319.0</v>
      </c>
      <c r="C620" s="30" t="str">
        <f t="shared" si="1"/>
        <v>+</v>
      </c>
      <c r="D620" s="29">
        <f t="shared" si="2"/>
        <v>210</v>
      </c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</row>
    <row r="621">
      <c r="A621" s="29">
        <v>494307.0</v>
      </c>
      <c r="B621" s="29">
        <v>494669.0</v>
      </c>
      <c r="C621" s="30" t="str">
        <f t="shared" si="1"/>
        <v>+</v>
      </c>
      <c r="D621" s="29">
        <f t="shared" si="2"/>
        <v>210</v>
      </c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</row>
    <row r="622">
      <c r="A622" s="29">
        <v>494699.0</v>
      </c>
      <c r="B622" s="29">
        <v>495412.0</v>
      </c>
      <c r="C622" s="30" t="str">
        <f t="shared" si="1"/>
        <v>+</v>
      </c>
      <c r="D622" s="29">
        <f t="shared" si="2"/>
        <v>210</v>
      </c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</row>
    <row r="623">
      <c r="A623" s="29">
        <v>495409.0</v>
      </c>
      <c r="B623" s="29">
        <v>496941.0</v>
      </c>
      <c r="C623" s="30" t="str">
        <f t="shared" si="1"/>
        <v>+</v>
      </c>
      <c r="D623" s="29">
        <f t="shared" si="2"/>
        <v>210</v>
      </c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</row>
    <row r="624">
      <c r="A624" s="29">
        <v>496971.0</v>
      </c>
      <c r="B624" s="29">
        <v>497273.0</v>
      </c>
      <c r="C624" s="30" t="str">
        <f t="shared" si="1"/>
        <v>+</v>
      </c>
      <c r="D624" s="29">
        <f t="shared" si="2"/>
        <v>210</v>
      </c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</row>
    <row r="625">
      <c r="A625" s="29">
        <v>497254.0</v>
      </c>
      <c r="B625" s="29">
        <v>497583.0</v>
      </c>
      <c r="C625" s="30" t="str">
        <f t="shared" si="1"/>
        <v>+</v>
      </c>
      <c r="D625" s="29">
        <f t="shared" si="2"/>
        <v>210</v>
      </c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</row>
    <row r="626">
      <c r="A626" s="29">
        <v>497612.0</v>
      </c>
      <c r="B626" s="29">
        <v>498808.0</v>
      </c>
      <c r="C626" s="30" t="str">
        <f t="shared" si="1"/>
        <v>+</v>
      </c>
      <c r="D626" s="29">
        <f t="shared" si="2"/>
        <v>210</v>
      </c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</row>
    <row r="627">
      <c r="A627" s="29">
        <v>498885.0</v>
      </c>
      <c r="B627" s="29">
        <v>499322.0</v>
      </c>
      <c r="C627" s="30" t="str">
        <f t="shared" si="1"/>
        <v>+</v>
      </c>
      <c r="D627" s="29">
        <f t="shared" si="2"/>
        <v>210</v>
      </c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</row>
    <row r="628">
      <c r="A628" s="29">
        <v>499375.0</v>
      </c>
      <c r="B628" s="29">
        <v>500352.0</v>
      </c>
      <c r="C628" s="30" t="str">
        <f t="shared" si="1"/>
        <v>+</v>
      </c>
      <c r="D628" s="29">
        <f t="shared" si="2"/>
        <v>210</v>
      </c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</row>
    <row r="629">
      <c r="A629" s="29">
        <v>500628.0</v>
      </c>
      <c r="B629" s="29">
        <v>500386.0</v>
      </c>
      <c r="C629" s="30" t="str">
        <f t="shared" si="1"/>
        <v>-</v>
      </c>
      <c r="D629" s="29">
        <f t="shared" si="2"/>
        <v>211</v>
      </c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</row>
    <row r="630">
      <c r="A630" s="29">
        <v>500786.0</v>
      </c>
      <c r="B630" s="29">
        <v>501265.0</v>
      </c>
      <c r="C630" s="30" t="str">
        <f t="shared" si="1"/>
        <v>+</v>
      </c>
      <c r="D630" s="29">
        <f t="shared" si="2"/>
        <v>212</v>
      </c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</row>
    <row r="631">
      <c r="A631" s="29">
        <v>501325.0</v>
      </c>
      <c r="B631" s="29">
        <v>501828.0</v>
      </c>
      <c r="C631" s="30" t="str">
        <f t="shared" si="1"/>
        <v>+</v>
      </c>
      <c r="D631" s="29">
        <f t="shared" si="2"/>
        <v>212</v>
      </c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</row>
    <row r="632">
      <c r="A632" s="29">
        <v>501825.0</v>
      </c>
      <c r="B632" s="29">
        <v>502823.0</v>
      </c>
      <c r="C632" s="30" t="str">
        <f t="shared" si="1"/>
        <v>+</v>
      </c>
      <c r="D632" s="29">
        <f t="shared" si="2"/>
        <v>212</v>
      </c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</row>
    <row r="633">
      <c r="A633" s="29">
        <v>502825.0</v>
      </c>
      <c r="B633" s="29">
        <v>503601.0</v>
      </c>
      <c r="C633" s="30" t="str">
        <f t="shared" si="1"/>
        <v>+</v>
      </c>
      <c r="D633" s="29">
        <f t="shared" si="2"/>
        <v>212</v>
      </c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</row>
    <row r="634">
      <c r="A634" s="29">
        <v>503633.0</v>
      </c>
      <c r="B634" s="29">
        <v>506539.0</v>
      </c>
      <c r="C634" s="30" t="str">
        <f t="shared" si="1"/>
        <v>+</v>
      </c>
      <c r="D634" s="29">
        <f t="shared" si="2"/>
        <v>212</v>
      </c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</row>
    <row r="635">
      <c r="A635" s="29">
        <v>506533.0</v>
      </c>
      <c r="B635" s="29">
        <v>507024.0</v>
      </c>
      <c r="C635" s="30" t="str">
        <f t="shared" si="1"/>
        <v>+</v>
      </c>
      <c r="D635" s="29">
        <f t="shared" si="2"/>
        <v>212</v>
      </c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</row>
    <row r="636">
      <c r="A636" s="29">
        <v>507074.0</v>
      </c>
      <c r="B636" s="29">
        <v>507340.0</v>
      </c>
      <c r="C636" s="30" t="str">
        <f t="shared" si="1"/>
        <v>+</v>
      </c>
      <c r="D636" s="29">
        <f t="shared" si="2"/>
        <v>212</v>
      </c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</row>
    <row r="637">
      <c r="A637" s="29">
        <v>507337.0</v>
      </c>
      <c r="B637" s="29">
        <v>507639.0</v>
      </c>
      <c r="C637" s="30" t="str">
        <f t="shared" si="1"/>
        <v>+</v>
      </c>
      <c r="D637" s="29">
        <f t="shared" si="2"/>
        <v>212</v>
      </c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</row>
    <row r="638">
      <c r="A638" s="29">
        <v>507639.0</v>
      </c>
      <c r="B638" s="29">
        <v>507944.0</v>
      </c>
      <c r="C638" s="30" t="str">
        <f t="shared" si="1"/>
        <v>+</v>
      </c>
      <c r="D638" s="29">
        <f t="shared" si="2"/>
        <v>212</v>
      </c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</row>
    <row r="639">
      <c r="A639" s="29">
        <v>508682.0</v>
      </c>
      <c r="B639" s="29">
        <v>507909.0</v>
      </c>
      <c r="C639" s="30" t="str">
        <f t="shared" si="1"/>
        <v>-</v>
      </c>
      <c r="D639" s="29">
        <f t="shared" si="2"/>
        <v>213</v>
      </c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</row>
    <row r="640">
      <c r="A640" s="29">
        <v>508737.0</v>
      </c>
      <c r="B640" s="29">
        <v>509225.0</v>
      </c>
      <c r="C640" s="30" t="str">
        <f t="shared" si="1"/>
        <v>+</v>
      </c>
      <c r="D640" s="29">
        <f t="shared" si="2"/>
        <v>214</v>
      </c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</row>
    <row r="641">
      <c r="A641" s="29">
        <v>509222.0</v>
      </c>
      <c r="B641" s="29">
        <v>509596.0</v>
      </c>
      <c r="C641" s="30" t="str">
        <f t="shared" si="1"/>
        <v>+</v>
      </c>
      <c r="D641" s="29">
        <f t="shared" si="2"/>
        <v>214</v>
      </c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</row>
    <row r="642">
      <c r="A642" s="29">
        <v>509593.0</v>
      </c>
      <c r="B642" s="29">
        <v>511545.0</v>
      </c>
      <c r="C642" s="30" t="str">
        <f t="shared" si="1"/>
        <v>+</v>
      </c>
      <c r="D642" s="29">
        <f t="shared" si="2"/>
        <v>214</v>
      </c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</row>
    <row r="643">
      <c r="A643" s="29">
        <v>511542.0</v>
      </c>
      <c r="B643" s="29">
        <v>512231.0</v>
      </c>
      <c r="C643" s="30" t="str">
        <f t="shared" si="1"/>
        <v>+</v>
      </c>
      <c r="D643" s="29">
        <f t="shared" si="2"/>
        <v>214</v>
      </c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</row>
    <row r="644">
      <c r="A644" s="29">
        <v>512225.0</v>
      </c>
      <c r="B644" s="29">
        <v>512995.0</v>
      </c>
      <c r="C644" s="30" t="str">
        <f t="shared" si="1"/>
        <v>+</v>
      </c>
      <c r="D644" s="29">
        <f t="shared" si="2"/>
        <v>214</v>
      </c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</row>
    <row r="645">
      <c r="A645" s="29">
        <v>512992.0</v>
      </c>
      <c r="B645" s="29">
        <v>513918.0</v>
      </c>
      <c r="C645" s="30" t="str">
        <f t="shared" si="1"/>
        <v>+</v>
      </c>
      <c r="D645" s="29">
        <f t="shared" si="2"/>
        <v>214</v>
      </c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</row>
    <row r="646">
      <c r="A646" s="29">
        <v>513893.0</v>
      </c>
      <c r="B646" s="29">
        <v>514474.0</v>
      </c>
      <c r="C646" s="30" t="str">
        <f t="shared" si="1"/>
        <v>+</v>
      </c>
      <c r="D646" s="29">
        <f t="shared" si="2"/>
        <v>214</v>
      </c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</row>
    <row r="647">
      <c r="A647" s="29">
        <v>514464.0</v>
      </c>
      <c r="B647" s="29">
        <v>514880.0</v>
      </c>
      <c r="C647" s="30" t="str">
        <f t="shared" si="1"/>
        <v>+</v>
      </c>
      <c r="D647" s="29">
        <f t="shared" si="2"/>
        <v>214</v>
      </c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</row>
    <row r="648">
      <c r="A648" s="29">
        <v>514948.0</v>
      </c>
      <c r="B648" s="29">
        <v>515367.0</v>
      </c>
      <c r="C648" s="30" t="str">
        <f t="shared" si="1"/>
        <v>+</v>
      </c>
      <c r="D648" s="29">
        <f t="shared" si="2"/>
        <v>214</v>
      </c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</row>
    <row r="649">
      <c r="A649" s="29">
        <v>515425.0</v>
      </c>
      <c r="B649" s="29">
        <v>515649.0</v>
      </c>
      <c r="C649" s="30" t="str">
        <f t="shared" si="1"/>
        <v>+</v>
      </c>
      <c r="D649" s="29">
        <f t="shared" si="2"/>
        <v>214</v>
      </c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</row>
    <row r="650">
      <c r="A650" s="29">
        <v>515654.0</v>
      </c>
      <c r="B650" s="29">
        <v>516595.0</v>
      </c>
      <c r="C650" s="30" t="str">
        <f t="shared" si="1"/>
        <v>+</v>
      </c>
      <c r="D650" s="29">
        <f t="shared" si="2"/>
        <v>214</v>
      </c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</row>
    <row r="651">
      <c r="A651" s="29">
        <v>516582.0</v>
      </c>
      <c r="B651" s="29">
        <v>516866.0</v>
      </c>
      <c r="C651" s="30" t="str">
        <f t="shared" si="1"/>
        <v>+</v>
      </c>
      <c r="D651" s="29">
        <f t="shared" si="2"/>
        <v>214</v>
      </c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</row>
    <row r="652">
      <c r="A652" s="29">
        <v>516859.0</v>
      </c>
      <c r="B652" s="29">
        <v>517203.0</v>
      </c>
      <c r="C652" s="30" t="str">
        <f t="shared" si="1"/>
        <v>+</v>
      </c>
      <c r="D652" s="29">
        <f t="shared" si="2"/>
        <v>214</v>
      </c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</row>
    <row r="653">
      <c r="A653" s="29">
        <v>517206.0</v>
      </c>
      <c r="B653" s="29">
        <v>517520.0</v>
      </c>
      <c r="C653" s="30" t="str">
        <f t="shared" si="1"/>
        <v>+</v>
      </c>
      <c r="D653" s="29">
        <f t="shared" si="2"/>
        <v>214</v>
      </c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</row>
    <row r="654">
      <c r="A654" s="29">
        <v>517820.0</v>
      </c>
      <c r="B654" s="29">
        <v>518290.0</v>
      </c>
      <c r="C654" s="30" t="str">
        <f t="shared" si="1"/>
        <v>+</v>
      </c>
      <c r="D654" s="29">
        <f t="shared" si="2"/>
        <v>214</v>
      </c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</row>
    <row r="655">
      <c r="A655" s="29">
        <v>518290.0</v>
      </c>
      <c r="B655" s="29">
        <v>519201.0</v>
      </c>
      <c r="C655" s="30" t="str">
        <f t="shared" si="1"/>
        <v>+</v>
      </c>
      <c r="D655" s="29">
        <f t="shared" si="2"/>
        <v>214</v>
      </c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</row>
    <row r="656">
      <c r="A656" s="29">
        <v>519201.0</v>
      </c>
      <c r="B656" s="29">
        <v>532319.0</v>
      </c>
      <c r="C656" s="30" t="str">
        <f t="shared" si="1"/>
        <v>+</v>
      </c>
      <c r="D656" s="29">
        <f t="shared" si="2"/>
        <v>214</v>
      </c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</row>
    <row r="657">
      <c r="A657" s="29">
        <v>532327.0</v>
      </c>
      <c r="B657" s="29">
        <v>534957.0</v>
      </c>
      <c r="C657" s="30" t="str">
        <f t="shared" si="1"/>
        <v>+</v>
      </c>
      <c r="D657" s="29">
        <f t="shared" si="2"/>
        <v>214</v>
      </c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</row>
    <row r="658">
      <c r="A658" s="29">
        <v>534935.0</v>
      </c>
      <c r="B658" s="29">
        <v>535114.0</v>
      </c>
      <c r="C658" s="30" t="str">
        <f t="shared" si="1"/>
        <v>+</v>
      </c>
      <c r="D658" s="29">
        <f t="shared" si="2"/>
        <v>214</v>
      </c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</row>
    <row r="659">
      <c r="A659" s="29">
        <v>535111.0</v>
      </c>
      <c r="B659" s="29">
        <v>535719.0</v>
      </c>
      <c r="C659" s="30" t="str">
        <f t="shared" si="1"/>
        <v>+</v>
      </c>
      <c r="D659" s="29">
        <f t="shared" si="2"/>
        <v>214</v>
      </c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</row>
    <row r="660">
      <c r="A660" s="29">
        <v>535742.0</v>
      </c>
      <c r="B660" s="29">
        <v>535969.0</v>
      </c>
      <c r="C660" s="30" t="str">
        <f t="shared" si="1"/>
        <v>+</v>
      </c>
      <c r="D660" s="29">
        <f t="shared" si="2"/>
        <v>214</v>
      </c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</row>
    <row r="661">
      <c r="A661" s="29">
        <v>536083.0</v>
      </c>
      <c r="B661" s="29">
        <v>536673.0</v>
      </c>
      <c r="C661" s="30" t="str">
        <f t="shared" si="1"/>
        <v>+</v>
      </c>
      <c r="D661" s="29">
        <f t="shared" si="2"/>
        <v>214</v>
      </c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</row>
    <row r="662">
      <c r="A662" s="29">
        <v>536633.0</v>
      </c>
      <c r="B662" s="29">
        <v>537790.0</v>
      </c>
      <c r="C662" s="30" t="str">
        <f t="shared" si="1"/>
        <v>+</v>
      </c>
      <c r="D662" s="29">
        <f t="shared" si="2"/>
        <v>214</v>
      </c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</row>
    <row r="663">
      <c r="A663" s="29">
        <v>538598.0</v>
      </c>
      <c r="B663" s="29">
        <v>537723.0</v>
      </c>
      <c r="C663" s="30" t="str">
        <f t="shared" si="1"/>
        <v>-</v>
      </c>
      <c r="D663" s="29">
        <f t="shared" si="2"/>
        <v>215</v>
      </c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</row>
    <row r="664">
      <c r="A664" s="29">
        <v>538644.0</v>
      </c>
      <c r="B664" s="29">
        <v>539087.0</v>
      </c>
      <c r="C664" s="30" t="str">
        <f t="shared" si="1"/>
        <v>+</v>
      </c>
      <c r="D664" s="29">
        <f t="shared" si="2"/>
        <v>216</v>
      </c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</row>
    <row r="665">
      <c r="A665" s="29">
        <v>539125.0</v>
      </c>
      <c r="B665" s="29">
        <v>540471.0</v>
      </c>
      <c r="C665" s="30" t="str">
        <f t="shared" si="1"/>
        <v>+</v>
      </c>
      <c r="D665" s="29">
        <f t="shared" si="2"/>
        <v>216</v>
      </c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</row>
    <row r="666">
      <c r="A666" s="29">
        <v>540540.0</v>
      </c>
      <c r="B666" s="29">
        <v>541469.0</v>
      </c>
      <c r="C666" s="30" t="str">
        <f t="shared" si="1"/>
        <v>+</v>
      </c>
      <c r="D666" s="29">
        <f t="shared" si="2"/>
        <v>216</v>
      </c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</row>
    <row r="667">
      <c r="A667" s="29">
        <v>541496.0</v>
      </c>
      <c r="B667" s="29">
        <v>541876.0</v>
      </c>
      <c r="C667" s="30" t="str">
        <f t="shared" si="1"/>
        <v>+</v>
      </c>
      <c r="D667" s="29">
        <f t="shared" si="2"/>
        <v>216</v>
      </c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</row>
    <row r="668">
      <c r="A668" s="29">
        <v>541905.0</v>
      </c>
      <c r="B668" s="29">
        <v>542636.0</v>
      </c>
      <c r="C668" s="30" t="str">
        <f t="shared" si="1"/>
        <v>+</v>
      </c>
      <c r="D668" s="29">
        <f t="shared" si="2"/>
        <v>216</v>
      </c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</row>
    <row r="669">
      <c r="A669" s="29">
        <v>542637.0</v>
      </c>
      <c r="B669" s="29">
        <v>543203.0</v>
      </c>
      <c r="C669" s="30" t="str">
        <f t="shared" si="1"/>
        <v>+</v>
      </c>
      <c r="D669" s="29">
        <f t="shared" si="2"/>
        <v>216</v>
      </c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</row>
    <row r="670">
      <c r="A670" s="29">
        <v>543251.0</v>
      </c>
      <c r="B670" s="29">
        <v>544093.0</v>
      </c>
      <c r="C670" s="30" t="str">
        <f t="shared" si="1"/>
        <v>+</v>
      </c>
      <c r="D670" s="29">
        <f t="shared" si="2"/>
        <v>216</v>
      </c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</row>
    <row r="671">
      <c r="A671" s="29">
        <v>544612.0</v>
      </c>
      <c r="B671" s="29">
        <v>544073.0</v>
      </c>
      <c r="C671" s="30" t="str">
        <f t="shared" si="1"/>
        <v>-</v>
      </c>
      <c r="D671" s="29">
        <f t="shared" si="2"/>
        <v>217</v>
      </c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</row>
    <row r="672">
      <c r="A672" s="29">
        <v>544877.0</v>
      </c>
      <c r="B672" s="29">
        <v>547663.0</v>
      </c>
      <c r="C672" s="30" t="str">
        <f t="shared" si="1"/>
        <v>+</v>
      </c>
      <c r="D672" s="29">
        <f t="shared" si="2"/>
        <v>218</v>
      </c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</row>
    <row r="673">
      <c r="A673" s="29">
        <v>548644.0</v>
      </c>
      <c r="B673" s="29">
        <v>547640.0</v>
      </c>
      <c r="C673" s="30" t="str">
        <f t="shared" si="1"/>
        <v>-</v>
      </c>
      <c r="D673" s="29">
        <f t="shared" si="2"/>
        <v>219</v>
      </c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</row>
    <row r="674">
      <c r="A674" s="29">
        <v>548684.0</v>
      </c>
      <c r="B674" s="29">
        <v>549412.0</v>
      </c>
      <c r="C674" s="30" t="str">
        <f t="shared" si="1"/>
        <v>+</v>
      </c>
      <c r="D674" s="29">
        <f t="shared" si="2"/>
        <v>220</v>
      </c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</row>
    <row r="675">
      <c r="A675" s="29">
        <v>549684.0</v>
      </c>
      <c r="B675" s="29">
        <v>549400.0</v>
      </c>
      <c r="C675" s="30" t="str">
        <f t="shared" si="1"/>
        <v>-</v>
      </c>
      <c r="D675" s="29">
        <f t="shared" si="2"/>
        <v>221</v>
      </c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</row>
    <row r="676">
      <c r="A676" s="29">
        <v>550217.0</v>
      </c>
      <c r="B676" s="29">
        <v>549714.0</v>
      </c>
      <c r="C676" s="30" t="str">
        <f t="shared" si="1"/>
        <v>-</v>
      </c>
      <c r="D676" s="29">
        <f t="shared" si="2"/>
        <v>221</v>
      </c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</row>
    <row r="677">
      <c r="A677" s="29">
        <v>550347.0</v>
      </c>
      <c r="B677" s="29">
        <v>551411.0</v>
      </c>
      <c r="C677" s="30" t="str">
        <f t="shared" si="1"/>
        <v>+</v>
      </c>
      <c r="D677" s="29">
        <f t="shared" si="2"/>
        <v>222</v>
      </c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</row>
    <row r="678">
      <c r="A678" s="29">
        <v>551375.0</v>
      </c>
      <c r="B678" s="29">
        <v>551629.0</v>
      </c>
      <c r="C678" s="30" t="str">
        <f t="shared" si="1"/>
        <v>+</v>
      </c>
      <c r="D678" s="29">
        <f t="shared" si="2"/>
        <v>222</v>
      </c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</row>
    <row r="679">
      <c r="A679" s="29">
        <v>551659.0</v>
      </c>
      <c r="B679" s="29">
        <v>553431.0</v>
      </c>
      <c r="C679" s="30" t="str">
        <f t="shared" si="1"/>
        <v>+</v>
      </c>
      <c r="D679" s="29">
        <f t="shared" si="2"/>
        <v>222</v>
      </c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</row>
    <row r="680">
      <c r="A680" s="29">
        <v>553434.0</v>
      </c>
      <c r="B680" s="29">
        <v>553901.0</v>
      </c>
      <c r="C680" s="30" t="str">
        <f t="shared" si="1"/>
        <v>+</v>
      </c>
      <c r="D680" s="29">
        <f t="shared" si="2"/>
        <v>222</v>
      </c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</row>
    <row r="681">
      <c r="A681" s="29">
        <v>553879.0</v>
      </c>
      <c r="B681" s="29">
        <v>554349.0</v>
      </c>
      <c r="C681" s="30" t="str">
        <f t="shared" si="1"/>
        <v>+</v>
      </c>
      <c r="D681" s="29">
        <f t="shared" si="2"/>
        <v>222</v>
      </c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</row>
    <row r="682">
      <c r="A682" s="29">
        <v>554334.0</v>
      </c>
      <c r="B682" s="29">
        <v>554963.0</v>
      </c>
      <c r="C682" s="30" t="str">
        <f t="shared" si="1"/>
        <v>+</v>
      </c>
      <c r="D682" s="29">
        <f t="shared" si="2"/>
        <v>222</v>
      </c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</row>
    <row r="683">
      <c r="A683" s="29">
        <v>555582.0</v>
      </c>
      <c r="B683" s="29">
        <v>554944.0</v>
      </c>
      <c r="C683" s="30" t="str">
        <f t="shared" si="1"/>
        <v>-</v>
      </c>
      <c r="D683" s="29">
        <f t="shared" si="2"/>
        <v>223</v>
      </c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</row>
    <row r="684">
      <c r="A684" s="29">
        <v>555678.0</v>
      </c>
      <c r="B684" s="29">
        <v>556040.0</v>
      </c>
      <c r="C684" s="30" t="str">
        <f t="shared" si="1"/>
        <v>+</v>
      </c>
      <c r="D684" s="29">
        <f t="shared" si="2"/>
        <v>224</v>
      </c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</row>
    <row r="685">
      <c r="A685" s="29">
        <v>556040.0</v>
      </c>
      <c r="B685" s="29">
        <v>556675.0</v>
      </c>
      <c r="C685" s="30" t="str">
        <f t="shared" si="1"/>
        <v>+</v>
      </c>
      <c r="D685" s="29">
        <f t="shared" si="2"/>
        <v>224</v>
      </c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</row>
    <row r="686">
      <c r="A686" s="29">
        <v>556730.0</v>
      </c>
      <c r="B686" s="29">
        <v>557011.0</v>
      </c>
      <c r="C686" s="30" t="str">
        <f t="shared" si="1"/>
        <v>+</v>
      </c>
      <c r="D686" s="29">
        <f t="shared" si="2"/>
        <v>224</v>
      </c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</row>
    <row r="687">
      <c r="A687" s="29">
        <v>557008.0</v>
      </c>
      <c r="B687" s="29">
        <v>557976.0</v>
      </c>
      <c r="C687" s="30" t="str">
        <f t="shared" si="1"/>
        <v>+</v>
      </c>
      <c r="D687" s="29">
        <f t="shared" si="2"/>
        <v>224</v>
      </c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</row>
    <row r="688">
      <c r="A688" s="29">
        <v>558643.0</v>
      </c>
      <c r="B688" s="29">
        <v>557960.0</v>
      </c>
      <c r="C688" s="30" t="str">
        <f t="shared" si="1"/>
        <v>-</v>
      </c>
      <c r="D688" s="29">
        <f t="shared" si="2"/>
        <v>225</v>
      </c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</row>
    <row r="689">
      <c r="A689" s="29">
        <v>558973.0</v>
      </c>
      <c r="B689" s="29">
        <v>558647.0</v>
      </c>
      <c r="C689" s="30" t="str">
        <f t="shared" si="1"/>
        <v>-</v>
      </c>
      <c r="D689" s="29">
        <f t="shared" si="2"/>
        <v>225</v>
      </c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</row>
    <row r="690">
      <c r="A690" s="29">
        <v>558978.0</v>
      </c>
      <c r="B690" s="29">
        <v>559802.0</v>
      </c>
      <c r="C690" s="30" t="str">
        <f t="shared" si="1"/>
        <v>+</v>
      </c>
      <c r="D690" s="29">
        <f t="shared" si="2"/>
        <v>226</v>
      </c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</row>
    <row r="691">
      <c r="A691" s="29">
        <v>560998.0</v>
      </c>
      <c r="B691" s="29">
        <v>559799.0</v>
      </c>
      <c r="C691" s="30" t="str">
        <f t="shared" si="1"/>
        <v>-</v>
      </c>
      <c r="D691" s="29">
        <f t="shared" si="2"/>
        <v>227</v>
      </c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</row>
    <row r="692">
      <c r="A692" s="29">
        <v>561269.0</v>
      </c>
      <c r="B692" s="29">
        <v>562237.0</v>
      </c>
      <c r="C692" s="30" t="str">
        <f t="shared" si="1"/>
        <v>+</v>
      </c>
      <c r="D692" s="29">
        <f t="shared" si="2"/>
        <v>228</v>
      </c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</row>
    <row r="693">
      <c r="A693" s="29">
        <v>562240.0</v>
      </c>
      <c r="B693" s="29">
        <v>562998.0</v>
      </c>
      <c r="C693" s="30" t="str">
        <f t="shared" si="1"/>
        <v>+</v>
      </c>
      <c r="D693" s="29">
        <f t="shared" si="2"/>
        <v>228</v>
      </c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</row>
    <row r="694">
      <c r="A694" s="29">
        <v>563043.0</v>
      </c>
      <c r="B694" s="29">
        <v>564191.0</v>
      </c>
      <c r="C694" s="30" t="str">
        <f t="shared" si="1"/>
        <v>+</v>
      </c>
      <c r="D694" s="29">
        <f t="shared" si="2"/>
        <v>228</v>
      </c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</row>
    <row r="695">
      <c r="A695" s="29">
        <v>564181.0</v>
      </c>
      <c r="B695" s="29">
        <v>564801.0</v>
      </c>
      <c r="C695" s="30" t="str">
        <f t="shared" si="1"/>
        <v>+</v>
      </c>
      <c r="D695" s="29">
        <f t="shared" si="2"/>
        <v>228</v>
      </c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</row>
    <row r="696">
      <c r="A696" s="29">
        <v>565044.0</v>
      </c>
      <c r="B696" s="29">
        <v>564757.0</v>
      </c>
      <c r="C696" s="30" t="str">
        <f t="shared" si="1"/>
        <v>-</v>
      </c>
      <c r="D696" s="29">
        <f t="shared" si="2"/>
        <v>229</v>
      </c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</row>
    <row r="697">
      <c r="A697" s="29">
        <v>566276.0</v>
      </c>
      <c r="B697" s="29">
        <v>565041.0</v>
      </c>
      <c r="C697" s="30" t="str">
        <f t="shared" si="1"/>
        <v>-</v>
      </c>
      <c r="D697" s="29">
        <f t="shared" si="2"/>
        <v>229</v>
      </c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</row>
    <row r="698">
      <c r="A698" s="29">
        <v>566580.0</v>
      </c>
      <c r="B698" s="29">
        <v>566269.0</v>
      </c>
      <c r="C698" s="30" t="str">
        <f t="shared" si="1"/>
        <v>-</v>
      </c>
      <c r="D698" s="29">
        <f t="shared" si="2"/>
        <v>229</v>
      </c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</row>
    <row r="699">
      <c r="A699" s="29">
        <v>566635.0</v>
      </c>
      <c r="B699" s="29">
        <v>567459.0</v>
      </c>
      <c r="C699" s="30" t="str">
        <f t="shared" si="1"/>
        <v>+</v>
      </c>
      <c r="D699" s="29">
        <f t="shared" si="2"/>
        <v>230</v>
      </c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</row>
    <row r="700">
      <c r="A700" s="29">
        <v>568411.0</v>
      </c>
      <c r="B700" s="29">
        <v>567446.0</v>
      </c>
      <c r="C700" s="30" t="str">
        <f t="shared" si="1"/>
        <v>-</v>
      </c>
      <c r="D700" s="29">
        <f t="shared" si="2"/>
        <v>231</v>
      </c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</row>
    <row r="701">
      <c r="A701" s="29">
        <v>568482.0</v>
      </c>
      <c r="B701" s="29">
        <v>568835.0</v>
      </c>
      <c r="C701" s="30" t="str">
        <f t="shared" si="1"/>
        <v>+</v>
      </c>
      <c r="D701" s="29">
        <f t="shared" si="2"/>
        <v>232</v>
      </c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</row>
    <row r="702">
      <c r="A702" s="29">
        <v>570301.0</v>
      </c>
      <c r="B702" s="29">
        <v>568775.0</v>
      </c>
      <c r="C702" s="30" t="str">
        <f t="shared" si="1"/>
        <v>-</v>
      </c>
      <c r="D702" s="29">
        <f t="shared" si="2"/>
        <v>233</v>
      </c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</row>
    <row r="703">
      <c r="A703" s="29">
        <v>571017.0</v>
      </c>
      <c r="B703" s="29">
        <v>570301.0</v>
      </c>
      <c r="C703" s="30" t="str">
        <f t="shared" si="1"/>
        <v>-</v>
      </c>
      <c r="D703" s="29">
        <f t="shared" si="2"/>
        <v>233</v>
      </c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</row>
    <row r="704">
      <c r="A704" s="29">
        <v>572251.0</v>
      </c>
      <c r="B704" s="29">
        <v>571043.0</v>
      </c>
      <c r="C704" s="30" t="str">
        <f t="shared" si="1"/>
        <v>-</v>
      </c>
      <c r="D704" s="29">
        <f t="shared" si="2"/>
        <v>233</v>
      </c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</row>
    <row r="705">
      <c r="A705" s="29">
        <v>573444.0</v>
      </c>
      <c r="B705" s="29">
        <v>572248.0</v>
      </c>
      <c r="C705" s="30" t="str">
        <f t="shared" si="1"/>
        <v>-</v>
      </c>
      <c r="D705" s="29">
        <f t="shared" si="2"/>
        <v>233</v>
      </c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</row>
    <row r="706">
      <c r="A706" s="29">
        <v>573748.0</v>
      </c>
      <c r="B706" s="29">
        <v>573500.0</v>
      </c>
      <c r="C706" s="30" t="str">
        <f t="shared" si="1"/>
        <v>-</v>
      </c>
      <c r="D706" s="29">
        <f t="shared" si="2"/>
        <v>233</v>
      </c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</row>
    <row r="707">
      <c r="A707" s="29">
        <v>574629.0</v>
      </c>
      <c r="B707" s="29">
        <v>573748.0</v>
      </c>
      <c r="C707" s="30" t="str">
        <f t="shared" si="1"/>
        <v>-</v>
      </c>
      <c r="D707" s="29">
        <f t="shared" si="2"/>
        <v>233</v>
      </c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</row>
    <row r="708">
      <c r="A708" s="29">
        <v>575774.0</v>
      </c>
      <c r="B708" s="29">
        <v>574626.0</v>
      </c>
      <c r="C708" s="30" t="str">
        <f t="shared" si="1"/>
        <v>-</v>
      </c>
      <c r="D708" s="29">
        <f t="shared" si="2"/>
        <v>233</v>
      </c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</row>
    <row r="709">
      <c r="A709" s="29">
        <v>575995.0</v>
      </c>
      <c r="B709" s="29">
        <v>575828.0</v>
      </c>
      <c r="C709" s="30" t="str">
        <f t="shared" si="1"/>
        <v>-</v>
      </c>
      <c r="D709" s="29">
        <f t="shared" si="2"/>
        <v>233</v>
      </c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</row>
    <row r="710">
      <c r="A710" s="29">
        <v>577274.0</v>
      </c>
      <c r="B710" s="29">
        <v>576024.0</v>
      </c>
      <c r="C710" s="30" t="str">
        <f t="shared" si="1"/>
        <v>-</v>
      </c>
      <c r="D710" s="29">
        <f t="shared" si="2"/>
        <v>233</v>
      </c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</row>
    <row r="711">
      <c r="A711" s="29">
        <v>577760.0</v>
      </c>
      <c r="B711" s="29">
        <v>577365.0</v>
      </c>
      <c r="C711" s="30" t="str">
        <f t="shared" si="1"/>
        <v>-</v>
      </c>
      <c r="D711" s="29">
        <f t="shared" si="2"/>
        <v>233</v>
      </c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</row>
    <row r="712">
      <c r="A712" s="29">
        <v>577936.0</v>
      </c>
      <c r="B712" s="29">
        <v>578430.0</v>
      </c>
      <c r="C712" s="30" t="str">
        <f t="shared" si="1"/>
        <v>+</v>
      </c>
      <c r="D712" s="29">
        <f t="shared" si="2"/>
        <v>234</v>
      </c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</row>
    <row r="713">
      <c r="A713" s="29">
        <v>578427.0</v>
      </c>
      <c r="B713" s="29">
        <v>579491.0</v>
      </c>
      <c r="C713" s="30" t="str">
        <f t="shared" si="1"/>
        <v>+</v>
      </c>
      <c r="D713" s="29">
        <f t="shared" si="2"/>
        <v>234</v>
      </c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</row>
    <row r="714">
      <c r="A714" s="29">
        <v>579496.0</v>
      </c>
      <c r="B714" s="29">
        <v>581730.0</v>
      </c>
      <c r="C714" s="30" t="str">
        <f t="shared" si="1"/>
        <v>+</v>
      </c>
      <c r="D714" s="29">
        <f t="shared" si="2"/>
        <v>234</v>
      </c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</row>
    <row r="715">
      <c r="A715" s="29">
        <v>582002.0</v>
      </c>
      <c r="B715" s="29">
        <v>581727.0</v>
      </c>
      <c r="C715" s="30" t="str">
        <f t="shared" si="1"/>
        <v>-</v>
      </c>
      <c r="D715" s="29">
        <f t="shared" si="2"/>
        <v>235</v>
      </c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</row>
    <row r="716">
      <c r="A716" s="29">
        <v>582005.0</v>
      </c>
      <c r="B716" s="29">
        <v>582226.0</v>
      </c>
      <c r="C716" s="30" t="str">
        <f t="shared" si="1"/>
        <v>+</v>
      </c>
      <c r="D716" s="29">
        <f t="shared" si="2"/>
        <v>236</v>
      </c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</row>
    <row r="717">
      <c r="A717" s="29">
        <v>582492.0</v>
      </c>
      <c r="B717" s="29">
        <v>582566.0</v>
      </c>
      <c r="C717" s="30" t="str">
        <f t="shared" si="1"/>
        <v>+</v>
      </c>
      <c r="D717" s="29">
        <f t="shared" si="2"/>
        <v>236</v>
      </c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</row>
    <row r="718">
      <c r="A718" s="29">
        <v>583609.0</v>
      </c>
      <c r="B718" s="29">
        <v>583460.0</v>
      </c>
      <c r="C718" s="30" t="str">
        <f t="shared" si="1"/>
        <v>-</v>
      </c>
      <c r="D718" s="29">
        <f t="shared" si="2"/>
        <v>237</v>
      </c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</row>
    <row r="719">
      <c r="A719" s="29">
        <v>585117.0</v>
      </c>
      <c r="B719" s="29">
        <v>583705.0</v>
      </c>
      <c r="C719" s="30" t="str">
        <f t="shared" si="1"/>
        <v>-</v>
      </c>
      <c r="D719" s="29">
        <f t="shared" si="2"/>
        <v>237</v>
      </c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</row>
    <row r="720">
      <c r="A720" s="29">
        <v>588797.0</v>
      </c>
      <c r="B720" s="29">
        <v>585114.0</v>
      </c>
      <c r="C720" s="30" t="str">
        <f t="shared" si="1"/>
        <v>-</v>
      </c>
      <c r="D720" s="29">
        <f t="shared" si="2"/>
        <v>237</v>
      </c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</row>
    <row r="721">
      <c r="A721" s="29">
        <v>589252.0</v>
      </c>
      <c r="B721" s="29">
        <v>589076.0</v>
      </c>
      <c r="C721" s="30" t="str">
        <f t="shared" si="1"/>
        <v>-</v>
      </c>
      <c r="D721" s="29">
        <f t="shared" si="2"/>
        <v>237</v>
      </c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</row>
    <row r="722">
      <c r="A722" s="29">
        <v>589431.0</v>
      </c>
      <c r="B722" s="29">
        <v>590831.0</v>
      </c>
      <c r="C722" s="30" t="str">
        <f t="shared" si="1"/>
        <v>+</v>
      </c>
      <c r="D722" s="29">
        <f t="shared" si="2"/>
        <v>238</v>
      </c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</row>
    <row r="723">
      <c r="A723" s="29">
        <v>590878.0</v>
      </c>
      <c r="B723" s="29">
        <v>591675.0</v>
      </c>
      <c r="C723" s="30" t="str">
        <f t="shared" si="1"/>
        <v>+</v>
      </c>
      <c r="D723" s="29">
        <f t="shared" si="2"/>
        <v>238</v>
      </c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</row>
    <row r="724">
      <c r="A724" s="29">
        <v>592610.0</v>
      </c>
      <c r="B724" s="29">
        <v>591723.0</v>
      </c>
      <c r="C724" s="30" t="str">
        <f t="shared" si="1"/>
        <v>-</v>
      </c>
      <c r="D724" s="29">
        <f t="shared" si="2"/>
        <v>239</v>
      </c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</row>
    <row r="725">
      <c r="A725" s="29">
        <v>592795.0</v>
      </c>
      <c r="B725" s="29">
        <v>593784.0</v>
      </c>
      <c r="C725" s="30" t="str">
        <f t="shared" si="1"/>
        <v>+</v>
      </c>
      <c r="D725" s="29">
        <f t="shared" si="2"/>
        <v>240</v>
      </c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</row>
    <row r="726">
      <c r="A726" s="29">
        <v>594629.0</v>
      </c>
      <c r="B726" s="29">
        <v>593973.0</v>
      </c>
      <c r="C726" s="30" t="str">
        <f t="shared" si="1"/>
        <v>-</v>
      </c>
      <c r="D726" s="29">
        <f t="shared" si="2"/>
        <v>241</v>
      </c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</row>
    <row r="727">
      <c r="A727" s="29">
        <v>595686.0</v>
      </c>
      <c r="B727" s="29">
        <v>594706.0</v>
      </c>
      <c r="C727" s="30" t="str">
        <f t="shared" si="1"/>
        <v>-</v>
      </c>
      <c r="D727" s="29">
        <f t="shared" si="2"/>
        <v>241</v>
      </c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</row>
    <row r="728">
      <c r="A728" s="29">
        <v>595791.0</v>
      </c>
      <c r="B728" s="29">
        <v>596579.0</v>
      </c>
      <c r="C728" s="30" t="str">
        <f t="shared" si="1"/>
        <v>+</v>
      </c>
      <c r="D728" s="29">
        <f t="shared" si="2"/>
        <v>242</v>
      </c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</row>
    <row r="729">
      <c r="A729" s="29">
        <v>596561.0</v>
      </c>
      <c r="B729" s="29">
        <v>597232.0</v>
      </c>
      <c r="C729" s="30" t="str">
        <f t="shared" si="1"/>
        <v>+</v>
      </c>
      <c r="D729" s="29">
        <f t="shared" si="2"/>
        <v>242</v>
      </c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</row>
    <row r="730">
      <c r="A730" s="29">
        <v>597239.0</v>
      </c>
      <c r="B730" s="29">
        <v>597565.0</v>
      </c>
      <c r="C730" s="30" t="str">
        <f t="shared" si="1"/>
        <v>+</v>
      </c>
      <c r="D730" s="29">
        <f t="shared" si="2"/>
        <v>242</v>
      </c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</row>
    <row r="731">
      <c r="A731" s="29">
        <v>598091.0</v>
      </c>
      <c r="B731" s="29">
        <v>597876.0</v>
      </c>
      <c r="C731" s="30" t="str">
        <f t="shared" si="1"/>
        <v>-</v>
      </c>
      <c r="D731" s="29">
        <f t="shared" si="2"/>
        <v>243</v>
      </c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</row>
    <row r="732">
      <c r="A732" s="29">
        <v>598860.0</v>
      </c>
      <c r="B732" s="29">
        <v>598075.0</v>
      </c>
      <c r="C732" s="30" t="str">
        <f t="shared" si="1"/>
        <v>-</v>
      </c>
      <c r="D732" s="29">
        <f t="shared" si="2"/>
        <v>243</v>
      </c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</row>
    <row r="733">
      <c r="A733" s="29">
        <v>601312.0</v>
      </c>
      <c r="B733" s="29">
        <v>598913.0</v>
      </c>
      <c r="C733" s="30" t="str">
        <f t="shared" si="1"/>
        <v>-</v>
      </c>
      <c r="D733" s="29">
        <f t="shared" si="2"/>
        <v>243</v>
      </c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</row>
    <row r="734">
      <c r="A734" s="29">
        <v>601471.0</v>
      </c>
      <c r="B734" s="29">
        <v>602484.0</v>
      </c>
      <c r="C734" s="30" t="str">
        <f t="shared" si="1"/>
        <v>+</v>
      </c>
      <c r="D734" s="29">
        <f t="shared" si="2"/>
        <v>244</v>
      </c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</row>
    <row r="735">
      <c r="A735" s="29">
        <v>602481.0</v>
      </c>
      <c r="B735" s="29">
        <v>603272.0</v>
      </c>
      <c r="C735" s="30" t="str">
        <f t="shared" si="1"/>
        <v>+</v>
      </c>
      <c r="D735" s="29">
        <f t="shared" si="2"/>
        <v>244</v>
      </c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</row>
    <row r="736">
      <c r="A736" s="29">
        <v>604879.0</v>
      </c>
      <c r="B736" s="29">
        <v>603269.0</v>
      </c>
      <c r="C736" s="30" t="str">
        <f t="shared" si="1"/>
        <v>-</v>
      </c>
      <c r="D736" s="29">
        <f t="shared" si="2"/>
        <v>245</v>
      </c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</row>
    <row r="737">
      <c r="A737" s="29">
        <v>606825.0</v>
      </c>
      <c r="B737" s="29">
        <v>606175.0</v>
      </c>
      <c r="C737" s="30" t="str">
        <f t="shared" si="1"/>
        <v>-</v>
      </c>
      <c r="D737" s="29">
        <f t="shared" si="2"/>
        <v>245</v>
      </c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</row>
    <row r="738">
      <c r="A738" s="29">
        <v>606900.0</v>
      </c>
      <c r="B738" s="29">
        <v>608096.0</v>
      </c>
      <c r="C738" s="30" t="str">
        <f t="shared" si="1"/>
        <v>+</v>
      </c>
      <c r="D738" s="29">
        <f t="shared" si="2"/>
        <v>246</v>
      </c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</row>
    <row r="739">
      <c r="A739" s="29">
        <v>608510.0</v>
      </c>
      <c r="B739" s="29">
        <v>608097.0</v>
      </c>
      <c r="C739" s="30" t="str">
        <f t="shared" si="1"/>
        <v>-</v>
      </c>
      <c r="D739" s="29">
        <f t="shared" si="2"/>
        <v>247</v>
      </c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</row>
    <row r="740">
      <c r="A740" s="29">
        <v>608967.0</v>
      </c>
      <c r="B740" s="29">
        <v>608539.0</v>
      </c>
      <c r="C740" s="30" t="str">
        <f t="shared" si="1"/>
        <v>-</v>
      </c>
      <c r="D740" s="29">
        <f t="shared" si="2"/>
        <v>247</v>
      </c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</row>
    <row r="741">
      <c r="A741" s="29">
        <v>609191.0</v>
      </c>
      <c r="B741" s="29">
        <v>609262.0</v>
      </c>
      <c r="C741" s="30" t="str">
        <f t="shared" si="1"/>
        <v>+</v>
      </c>
      <c r="D741" s="29">
        <f t="shared" si="2"/>
        <v>248</v>
      </c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</row>
    <row r="742">
      <c r="A742" s="29">
        <v>609839.0</v>
      </c>
      <c r="B742" s="29">
        <v>609267.0</v>
      </c>
      <c r="C742" s="30" t="str">
        <f t="shared" si="1"/>
        <v>-</v>
      </c>
      <c r="D742" s="29">
        <f t="shared" si="2"/>
        <v>249</v>
      </c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</row>
    <row r="743">
      <c r="A743" s="29">
        <v>610073.0</v>
      </c>
      <c r="B743" s="29">
        <v>609855.0</v>
      </c>
      <c r="C743" s="30" t="str">
        <f t="shared" si="1"/>
        <v>-</v>
      </c>
      <c r="D743" s="29">
        <f t="shared" si="2"/>
        <v>249</v>
      </c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</row>
    <row r="744">
      <c r="A744" s="29">
        <v>611741.0</v>
      </c>
      <c r="B744" s="29">
        <v>613591.0</v>
      </c>
      <c r="C744" s="30" t="str">
        <f t="shared" si="1"/>
        <v>+</v>
      </c>
      <c r="D744" s="29">
        <f t="shared" si="2"/>
        <v>250</v>
      </c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</row>
    <row r="745">
      <c r="A745" s="29">
        <v>614764.0</v>
      </c>
      <c r="B745" s="29">
        <v>613577.0</v>
      </c>
      <c r="C745" s="30" t="str">
        <f t="shared" si="1"/>
        <v>-</v>
      </c>
      <c r="D745" s="29">
        <f t="shared" si="2"/>
        <v>251</v>
      </c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</row>
    <row r="746">
      <c r="A746" s="29">
        <v>616158.0</v>
      </c>
      <c r="B746" s="29">
        <v>614755.0</v>
      </c>
      <c r="C746" s="30" t="str">
        <f t="shared" si="1"/>
        <v>-</v>
      </c>
      <c r="D746" s="29">
        <f t="shared" si="2"/>
        <v>251</v>
      </c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</row>
    <row r="747">
      <c r="A747" s="29">
        <v>617000.0</v>
      </c>
      <c r="B747" s="29">
        <v>616146.0</v>
      </c>
      <c r="C747" s="30" t="str">
        <f t="shared" si="1"/>
        <v>-</v>
      </c>
      <c r="D747" s="29">
        <f t="shared" si="2"/>
        <v>251</v>
      </c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</row>
    <row r="748">
      <c r="A748" s="29">
        <v>617466.0</v>
      </c>
      <c r="B748" s="29">
        <v>617164.0</v>
      </c>
      <c r="C748" s="30" t="str">
        <f t="shared" si="1"/>
        <v>-</v>
      </c>
      <c r="D748" s="29">
        <f t="shared" si="2"/>
        <v>251</v>
      </c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</row>
    <row r="749">
      <c r="A749" s="29">
        <v>617729.0</v>
      </c>
      <c r="B749" s="29">
        <v>617463.0</v>
      </c>
      <c r="C749" s="30" t="str">
        <f t="shared" si="1"/>
        <v>-</v>
      </c>
      <c r="D749" s="29">
        <f t="shared" si="2"/>
        <v>251</v>
      </c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</row>
    <row r="750">
      <c r="A750" s="29">
        <v>618268.0</v>
      </c>
      <c r="B750" s="29">
        <v>617777.0</v>
      </c>
      <c r="C750" s="30" t="str">
        <f t="shared" si="1"/>
        <v>-</v>
      </c>
      <c r="D750" s="29">
        <f t="shared" si="2"/>
        <v>251</v>
      </c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</row>
    <row r="751">
      <c r="A751" s="29">
        <v>621186.0</v>
      </c>
      <c r="B751" s="29">
        <v>618262.0</v>
      </c>
      <c r="C751" s="30" t="str">
        <f t="shared" si="1"/>
        <v>-</v>
      </c>
      <c r="D751" s="29">
        <f t="shared" si="2"/>
        <v>251</v>
      </c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</row>
    <row r="752">
      <c r="A752" s="29">
        <v>622003.0</v>
      </c>
      <c r="B752" s="29">
        <v>621218.0</v>
      </c>
      <c r="C752" s="30" t="str">
        <f t="shared" si="1"/>
        <v>-</v>
      </c>
      <c r="D752" s="29">
        <f t="shared" si="2"/>
        <v>251</v>
      </c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</row>
    <row r="753">
      <c r="A753" s="29">
        <v>622796.0</v>
      </c>
      <c r="B753" s="29">
        <v>622005.0</v>
      </c>
      <c r="C753" s="30" t="str">
        <f t="shared" si="1"/>
        <v>-</v>
      </c>
      <c r="D753" s="29">
        <f t="shared" si="2"/>
        <v>251</v>
      </c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</row>
    <row r="754">
      <c r="A754" s="29">
        <v>623293.0</v>
      </c>
      <c r="B754" s="29">
        <v>622793.0</v>
      </c>
      <c r="C754" s="30" t="str">
        <f t="shared" si="1"/>
        <v>-</v>
      </c>
      <c r="D754" s="29">
        <f t="shared" si="2"/>
        <v>251</v>
      </c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</row>
    <row r="755">
      <c r="A755" s="29">
        <v>623357.0</v>
      </c>
      <c r="B755" s="29">
        <v>623602.0</v>
      </c>
      <c r="C755" s="30" t="str">
        <f t="shared" si="1"/>
        <v>+</v>
      </c>
      <c r="D755" s="29">
        <f t="shared" si="2"/>
        <v>252</v>
      </c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</row>
    <row r="756">
      <c r="A756" s="29">
        <v>624604.0</v>
      </c>
      <c r="B756" s="29">
        <v>623627.0</v>
      </c>
      <c r="C756" s="30" t="str">
        <f t="shared" si="1"/>
        <v>-</v>
      </c>
      <c r="D756" s="29">
        <f t="shared" si="2"/>
        <v>253</v>
      </c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</row>
    <row r="757">
      <c r="A757" s="29">
        <v>625140.0</v>
      </c>
      <c r="B757" s="29">
        <v>624655.0</v>
      </c>
      <c r="C757" s="30" t="str">
        <f t="shared" si="1"/>
        <v>-</v>
      </c>
      <c r="D757" s="29">
        <f t="shared" si="2"/>
        <v>253</v>
      </c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</row>
    <row r="758">
      <c r="A758" s="29">
        <v>626370.0</v>
      </c>
      <c r="B758" s="29">
        <v>625171.0</v>
      </c>
      <c r="C758" s="30" t="str">
        <f t="shared" si="1"/>
        <v>-</v>
      </c>
      <c r="D758" s="29">
        <f t="shared" si="2"/>
        <v>253</v>
      </c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</row>
    <row r="759">
      <c r="A759" s="29">
        <v>626728.0</v>
      </c>
      <c r="B759" s="29">
        <v>626399.0</v>
      </c>
      <c r="C759" s="30" t="str">
        <f t="shared" si="1"/>
        <v>-</v>
      </c>
      <c r="D759" s="29">
        <f t="shared" si="2"/>
        <v>253</v>
      </c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</row>
    <row r="760">
      <c r="A760" s="29">
        <v>626999.0</v>
      </c>
      <c r="B760" s="29">
        <v>626709.0</v>
      </c>
      <c r="C760" s="30" t="str">
        <f t="shared" si="1"/>
        <v>-</v>
      </c>
      <c r="D760" s="29">
        <f t="shared" si="2"/>
        <v>253</v>
      </c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</row>
    <row r="761">
      <c r="A761" s="29">
        <v>628566.0</v>
      </c>
      <c r="B761" s="29">
        <v>627037.0</v>
      </c>
      <c r="C761" s="30" t="str">
        <f t="shared" si="1"/>
        <v>-</v>
      </c>
      <c r="D761" s="29">
        <f t="shared" si="2"/>
        <v>253</v>
      </c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</row>
    <row r="762">
      <c r="A762" s="29">
        <v>629267.0</v>
      </c>
      <c r="B762" s="29">
        <v>628563.0</v>
      </c>
      <c r="C762" s="30" t="str">
        <f t="shared" si="1"/>
        <v>-</v>
      </c>
      <c r="D762" s="29">
        <f t="shared" si="2"/>
        <v>253</v>
      </c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</row>
    <row r="763">
      <c r="A763" s="29">
        <v>629563.0</v>
      </c>
      <c r="B763" s="29">
        <v>629264.0</v>
      </c>
      <c r="C763" s="30" t="str">
        <f t="shared" si="1"/>
        <v>-</v>
      </c>
      <c r="D763" s="29">
        <f t="shared" si="2"/>
        <v>253</v>
      </c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</row>
    <row r="764">
      <c r="A764" s="29">
        <v>630152.0</v>
      </c>
      <c r="B764" s="29">
        <v>629556.0</v>
      </c>
      <c r="C764" s="30" t="str">
        <f t="shared" si="1"/>
        <v>-</v>
      </c>
      <c r="D764" s="29">
        <f t="shared" si="2"/>
        <v>253</v>
      </c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</row>
    <row r="765">
      <c r="A765" s="29">
        <v>630825.0</v>
      </c>
      <c r="B765" s="29">
        <v>630157.0</v>
      </c>
      <c r="C765" s="30" t="str">
        <f t="shared" si="1"/>
        <v>-</v>
      </c>
      <c r="D765" s="29">
        <f t="shared" si="2"/>
        <v>253</v>
      </c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</row>
    <row r="766">
      <c r="A766" s="29">
        <v>631071.0</v>
      </c>
      <c r="B766" s="29">
        <v>631700.0</v>
      </c>
      <c r="C766" s="30" t="str">
        <f t="shared" si="1"/>
        <v>+</v>
      </c>
      <c r="D766" s="29">
        <f t="shared" si="2"/>
        <v>254</v>
      </c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</row>
    <row r="767">
      <c r="A767" s="29">
        <v>632403.0</v>
      </c>
      <c r="B767" s="29">
        <v>631690.0</v>
      </c>
      <c r="C767" s="30" t="str">
        <f t="shared" si="1"/>
        <v>-</v>
      </c>
      <c r="D767" s="29">
        <f t="shared" si="2"/>
        <v>255</v>
      </c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</row>
    <row r="768">
      <c r="A768" s="29">
        <v>634871.0</v>
      </c>
      <c r="B768" s="29">
        <v>632433.0</v>
      </c>
      <c r="C768" s="30" t="str">
        <f t="shared" si="1"/>
        <v>-</v>
      </c>
      <c r="D768" s="29">
        <f t="shared" si="2"/>
        <v>255</v>
      </c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</row>
    <row r="769">
      <c r="A769" s="29">
        <v>635684.0</v>
      </c>
      <c r="B769" s="29">
        <v>634992.0</v>
      </c>
      <c r="C769" s="30" t="str">
        <f t="shared" si="1"/>
        <v>-</v>
      </c>
      <c r="D769" s="29">
        <f t="shared" si="2"/>
        <v>255</v>
      </c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</row>
    <row r="770">
      <c r="A770" s="29">
        <v>635750.0</v>
      </c>
      <c r="B770" s="29">
        <v>636982.0</v>
      </c>
      <c r="C770" s="30" t="str">
        <f t="shared" si="1"/>
        <v>+</v>
      </c>
      <c r="D770" s="29">
        <f t="shared" si="2"/>
        <v>256</v>
      </c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</row>
    <row r="771">
      <c r="A771" s="29">
        <v>637248.0</v>
      </c>
      <c r="B771" s="29">
        <v>636943.0</v>
      </c>
      <c r="C771" s="30" t="str">
        <f t="shared" si="1"/>
        <v>-</v>
      </c>
      <c r="D771" s="29">
        <f t="shared" si="2"/>
        <v>257</v>
      </c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</row>
    <row r="772">
      <c r="A772" s="29">
        <v>637571.0</v>
      </c>
      <c r="B772" s="29">
        <v>637248.0</v>
      </c>
      <c r="C772" s="30" t="str">
        <f t="shared" si="1"/>
        <v>-</v>
      </c>
      <c r="D772" s="29">
        <f t="shared" si="2"/>
        <v>257</v>
      </c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</row>
    <row r="773">
      <c r="A773" s="29">
        <v>638592.0</v>
      </c>
      <c r="B773" s="29">
        <v>637594.0</v>
      </c>
      <c r="C773" s="30" t="str">
        <f t="shared" si="1"/>
        <v>-</v>
      </c>
      <c r="D773" s="29">
        <f t="shared" si="2"/>
        <v>257</v>
      </c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</row>
    <row r="774">
      <c r="A774" s="29">
        <v>638789.0</v>
      </c>
      <c r="B774" s="29">
        <v>638592.0</v>
      </c>
      <c r="C774" s="30" t="str">
        <f t="shared" si="1"/>
        <v>-</v>
      </c>
      <c r="D774" s="29">
        <f t="shared" si="2"/>
        <v>257</v>
      </c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</row>
    <row r="775">
      <c r="A775" s="29">
        <v>639355.0</v>
      </c>
      <c r="B775" s="29">
        <v>638792.0</v>
      </c>
      <c r="C775" s="30" t="str">
        <f t="shared" si="1"/>
        <v>-</v>
      </c>
      <c r="D775" s="29">
        <f t="shared" si="2"/>
        <v>257</v>
      </c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</row>
    <row r="776">
      <c r="A776" s="29">
        <v>639867.0</v>
      </c>
      <c r="B776" s="29">
        <v>639658.0</v>
      </c>
      <c r="C776" s="30" t="str">
        <f t="shared" si="1"/>
        <v>-</v>
      </c>
      <c r="D776" s="29">
        <f t="shared" si="2"/>
        <v>257</v>
      </c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</row>
    <row r="777">
      <c r="A777" s="29">
        <v>640588.0</v>
      </c>
      <c r="B777" s="29">
        <v>641085.0</v>
      </c>
      <c r="C777" s="30" t="str">
        <f t="shared" si="1"/>
        <v>+</v>
      </c>
      <c r="D777" s="29">
        <f t="shared" si="2"/>
        <v>258</v>
      </c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</row>
    <row r="778">
      <c r="A778" s="29">
        <v>641442.0</v>
      </c>
      <c r="B778" s="29">
        <v>641561.0</v>
      </c>
      <c r="C778" s="30" t="str">
        <f t="shared" si="1"/>
        <v>+</v>
      </c>
      <c r="D778" s="29">
        <f t="shared" si="2"/>
        <v>258</v>
      </c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</row>
    <row r="779">
      <c r="A779" s="29">
        <v>641697.0</v>
      </c>
      <c r="B779" s="29">
        <v>641876.0</v>
      </c>
      <c r="C779" s="30" t="str">
        <f t="shared" si="1"/>
        <v>+</v>
      </c>
      <c r="D779" s="29">
        <f t="shared" si="2"/>
        <v>258</v>
      </c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</row>
    <row r="780">
      <c r="A780" s="29">
        <v>642497.0</v>
      </c>
      <c r="B780" s="29">
        <v>641904.0</v>
      </c>
      <c r="C780" s="30" t="str">
        <f t="shared" si="1"/>
        <v>-</v>
      </c>
      <c r="D780" s="29">
        <f t="shared" si="2"/>
        <v>259</v>
      </c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</row>
    <row r="781">
      <c r="A781" s="29">
        <v>642969.0</v>
      </c>
      <c r="B781" s="29">
        <v>642532.0</v>
      </c>
      <c r="C781" s="30" t="str">
        <f t="shared" si="1"/>
        <v>-</v>
      </c>
      <c r="D781" s="29">
        <f t="shared" si="2"/>
        <v>259</v>
      </c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</row>
    <row r="782">
      <c r="A782" s="29">
        <v>643027.0</v>
      </c>
      <c r="B782" s="29">
        <v>644466.0</v>
      </c>
      <c r="C782" s="30" t="str">
        <f t="shared" si="1"/>
        <v>+</v>
      </c>
      <c r="D782" s="29">
        <f t="shared" si="2"/>
        <v>260</v>
      </c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</row>
    <row r="783">
      <c r="A783" s="29">
        <v>644955.0</v>
      </c>
      <c r="B783" s="29">
        <v>644446.0</v>
      </c>
      <c r="C783" s="30" t="str">
        <f t="shared" si="1"/>
        <v>-</v>
      </c>
      <c r="D783" s="29">
        <f t="shared" si="2"/>
        <v>261</v>
      </c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</row>
    <row r="784">
      <c r="A784" s="29">
        <v>644972.0</v>
      </c>
      <c r="B784" s="29">
        <v>645598.0</v>
      </c>
      <c r="C784" s="30" t="str">
        <f t="shared" si="1"/>
        <v>+</v>
      </c>
      <c r="D784" s="29">
        <f t="shared" si="2"/>
        <v>262</v>
      </c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</row>
    <row r="785">
      <c r="A785" s="29">
        <v>645623.0</v>
      </c>
      <c r="B785" s="29">
        <v>646492.0</v>
      </c>
      <c r="C785" s="30" t="str">
        <f t="shared" si="1"/>
        <v>+</v>
      </c>
      <c r="D785" s="29">
        <f t="shared" si="2"/>
        <v>262</v>
      </c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</row>
    <row r="786">
      <c r="A786" s="29">
        <v>646483.0</v>
      </c>
      <c r="B786" s="29">
        <v>647838.0</v>
      </c>
      <c r="C786" s="30" t="str">
        <f t="shared" si="1"/>
        <v>+</v>
      </c>
      <c r="D786" s="29">
        <f t="shared" si="2"/>
        <v>262</v>
      </c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</row>
    <row r="787">
      <c r="A787" s="29">
        <v>647835.0</v>
      </c>
      <c r="B787" s="29">
        <v>648971.0</v>
      </c>
      <c r="C787" s="30" t="str">
        <f t="shared" si="1"/>
        <v>+</v>
      </c>
      <c r="D787" s="29">
        <f t="shared" si="2"/>
        <v>262</v>
      </c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</row>
    <row r="788">
      <c r="A788" s="29">
        <v>650062.0</v>
      </c>
      <c r="B788" s="29">
        <v>648968.0</v>
      </c>
      <c r="C788" s="30" t="str">
        <f t="shared" si="1"/>
        <v>-</v>
      </c>
      <c r="D788" s="29">
        <f t="shared" si="2"/>
        <v>263</v>
      </c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</row>
    <row r="789">
      <c r="A789" s="29">
        <v>650424.0</v>
      </c>
      <c r="B789" s="29">
        <v>650098.0</v>
      </c>
      <c r="C789" s="30" t="str">
        <f t="shared" si="1"/>
        <v>-</v>
      </c>
      <c r="D789" s="29">
        <f t="shared" si="2"/>
        <v>263</v>
      </c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</row>
    <row r="790">
      <c r="A790" s="29">
        <v>650529.0</v>
      </c>
      <c r="B790" s="29">
        <v>651026.0</v>
      </c>
      <c r="C790" s="30" t="str">
        <f t="shared" si="1"/>
        <v>+</v>
      </c>
      <c r="D790" s="29">
        <f t="shared" si="2"/>
        <v>264</v>
      </c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</row>
    <row r="791">
      <c r="A791" s="29">
        <v>651580.0</v>
      </c>
      <c r="B791" s="29">
        <v>651023.0</v>
      </c>
      <c r="C791" s="30" t="str">
        <f t="shared" si="1"/>
        <v>-</v>
      </c>
      <c r="D791" s="29">
        <f t="shared" si="2"/>
        <v>265</v>
      </c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</row>
    <row r="792">
      <c r="A792" s="29">
        <v>652739.0</v>
      </c>
      <c r="B792" s="29">
        <v>651597.0</v>
      </c>
      <c r="C792" s="30" t="str">
        <f t="shared" si="1"/>
        <v>-</v>
      </c>
      <c r="D792" s="29">
        <f t="shared" si="2"/>
        <v>265</v>
      </c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</row>
    <row r="793">
      <c r="A793" s="29">
        <v>652907.0</v>
      </c>
      <c r="B793" s="29">
        <v>652743.0</v>
      </c>
      <c r="C793" s="30" t="str">
        <f t="shared" si="1"/>
        <v>-</v>
      </c>
      <c r="D793" s="29">
        <f t="shared" si="2"/>
        <v>265</v>
      </c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</row>
    <row r="794">
      <c r="A794" s="29">
        <v>653355.0</v>
      </c>
      <c r="B794" s="29">
        <v>652936.0</v>
      </c>
      <c r="C794" s="30" t="str">
        <f t="shared" si="1"/>
        <v>-</v>
      </c>
      <c r="D794" s="29">
        <f t="shared" si="2"/>
        <v>265</v>
      </c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</row>
    <row r="795">
      <c r="A795" s="29">
        <v>653393.0</v>
      </c>
      <c r="B795" s="29">
        <v>654661.0</v>
      </c>
      <c r="C795" s="30" t="str">
        <f t="shared" si="1"/>
        <v>+</v>
      </c>
      <c r="D795" s="29">
        <f t="shared" si="2"/>
        <v>266</v>
      </c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</row>
    <row r="796">
      <c r="A796" s="29">
        <v>655461.0</v>
      </c>
      <c r="B796" s="29">
        <v>654754.0</v>
      </c>
      <c r="C796" s="30" t="str">
        <f t="shared" si="1"/>
        <v>-</v>
      </c>
      <c r="D796" s="29">
        <f t="shared" si="2"/>
        <v>267</v>
      </c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</row>
    <row r="797">
      <c r="A797" s="29">
        <v>656041.0</v>
      </c>
      <c r="B797" s="29">
        <v>655463.0</v>
      </c>
      <c r="C797" s="30" t="str">
        <f t="shared" si="1"/>
        <v>-</v>
      </c>
      <c r="D797" s="29">
        <f t="shared" si="2"/>
        <v>267</v>
      </c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</row>
    <row r="798">
      <c r="A798" s="29">
        <v>657300.0</v>
      </c>
      <c r="B798" s="29">
        <v>656032.0</v>
      </c>
      <c r="C798" s="30" t="str">
        <f t="shared" si="1"/>
        <v>-</v>
      </c>
      <c r="D798" s="29">
        <f t="shared" si="2"/>
        <v>267</v>
      </c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</row>
    <row r="799">
      <c r="A799" s="29">
        <v>658298.0</v>
      </c>
      <c r="B799" s="29">
        <v>657297.0</v>
      </c>
      <c r="C799" s="30" t="str">
        <f t="shared" si="1"/>
        <v>-</v>
      </c>
      <c r="D799" s="29">
        <f t="shared" si="2"/>
        <v>267</v>
      </c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</row>
    <row r="800">
      <c r="A800" s="29">
        <v>659568.0</v>
      </c>
      <c r="B800" s="29">
        <v>658339.0</v>
      </c>
      <c r="C800" s="30" t="str">
        <f t="shared" si="1"/>
        <v>-</v>
      </c>
      <c r="D800" s="29">
        <f t="shared" si="2"/>
        <v>267</v>
      </c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</row>
    <row r="801">
      <c r="A801" s="29">
        <v>661160.0</v>
      </c>
      <c r="B801" s="29">
        <v>659727.0</v>
      </c>
      <c r="C801" s="30" t="str">
        <f t="shared" si="1"/>
        <v>-</v>
      </c>
      <c r="D801" s="29">
        <f t="shared" si="2"/>
        <v>267</v>
      </c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</row>
    <row r="802">
      <c r="A802" s="29">
        <v>661305.0</v>
      </c>
      <c r="B802" s="29">
        <v>662423.0</v>
      </c>
      <c r="C802" s="30" t="str">
        <f t="shared" si="1"/>
        <v>+</v>
      </c>
      <c r="D802" s="29">
        <f t="shared" si="2"/>
        <v>268</v>
      </c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</row>
    <row r="803">
      <c r="A803" s="29">
        <v>662449.0</v>
      </c>
      <c r="B803" s="29">
        <v>663075.0</v>
      </c>
      <c r="C803" s="30" t="str">
        <f t="shared" si="1"/>
        <v>+</v>
      </c>
      <c r="D803" s="29">
        <f t="shared" si="2"/>
        <v>268</v>
      </c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</row>
    <row r="804">
      <c r="A804" s="29">
        <v>664169.0</v>
      </c>
      <c r="B804" s="29">
        <v>663126.0</v>
      </c>
      <c r="C804" s="30" t="str">
        <f t="shared" si="1"/>
        <v>-</v>
      </c>
      <c r="D804" s="29">
        <f t="shared" si="2"/>
        <v>269</v>
      </c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</row>
    <row r="805">
      <c r="A805" s="29">
        <v>664305.0</v>
      </c>
      <c r="B805" s="29">
        <v>664147.0</v>
      </c>
      <c r="C805" s="30" t="str">
        <f t="shared" si="1"/>
        <v>-</v>
      </c>
      <c r="D805" s="29">
        <f t="shared" si="2"/>
        <v>269</v>
      </c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</row>
    <row r="806">
      <c r="A806" s="29">
        <v>665051.0</v>
      </c>
      <c r="B806" s="29">
        <v>664881.0</v>
      </c>
      <c r="C806" s="30" t="str">
        <f t="shared" si="1"/>
        <v>-</v>
      </c>
      <c r="D806" s="29">
        <f t="shared" si="2"/>
        <v>269</v>
      </c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</row>
    <row r="807">
      <c r="A807" s="29">
        <v>665260.0</v>
      </c>
      <c r="B807" s="29">
        <v>665006.0</v>
      </c>
      <c r="C807" s="30" t="str">
        <f t="shared" si="1"/>
        <v>-</v>
      </c>
      <c r="D807" s="29">
        <f t="shared" si="2"/>
        <v>269</v>
      </c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</row>
    <row r="808">
      <c r="A808" s="29">
        <v>665546.0</v>
      </c>
      <c r="B808" s="29">
        <v>665959.0</v>
      </c>
      <c r="C808" s="30" t="str">
        <f t="shared" si="1"/>
        <v>+</v>
      </c>
      <c r="D808" s="29">
        <f t="shared" si="2"/>
        <v>270</v>
      </c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</row>
    <row r="809">
      <c r="A809" s="29">
        <v>667019.0</v>
      </c>
      <c r="B809" s="29">
        <v>665922.0</v>
      </c>
      <c r="C809" s="30" t="str">
        <f t="shared" si="1"/>
        <v>-</v>
      </c>
      <c r="D809" s="29">
        <f t="shared" si="2"/>
        <v>271</v>
      </c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</row>
    <row r="810">
      <c r="A810" s="29">
        <v>667830.0</v>
      </c>
      <c r="B810" s="29">
        <v>667021.0</v>
      </c>
      <c r="C810" s="30" t="str">
        <f t="shared" si="1"/>
        <v>-</v>
      </c>
      <c r="D810" s="29">
        <f t="shared" si="2"/>
        <v>271</v>
      </c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</row>
    <row r="811">
      <c r="A811" s="29">
        <v>668434.0</v>
      </c>
      <c r="B811" s="29">
        <v>667859.0</v>
      </c>
      <c r="C811" s="30" t="str">
        <f t="shared" si="1"/>
        <v>-</v>
      </c>
      <c r="D811" s="29">
        <f t="shared" si="2"/>
        <v>271</v>
      </c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</row>
    <row r="812">
      <c r="A812" s="29">
        <v>669090.0</v>
      </c>
      <c r="B812" s="29">
        <v>668602.0</v>
      </c>
      <c r="C812" s="30" t="str">
        <f t="shared" si="1"/>
        <v>-</v>
      </c>
      <c r="D812" s="29">
        <f t="shared" si="2"/>
        <v>271</v>
      </c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</row>
    <row r="813">
      <c r="A813" s="29">
        <v>669636.0</v>
      </c>
      <c r="B813" s="29">
        <v>669358.0</v>
      </c>
      <c r="C813" s="30" t="str">
        <f t="shared" si="1"/>
        <v>-</v>
      </c>
      <c r="D813" s="29">
        <f t="shared" si="2"/>
        <v>271</v>
      </c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</row>
    <row r="814">
      <c r="A814" s="29">
        <v>669873.0</v>
      </c>
      <c r="B814" s="29">
        <v>669709.0</v>
      </c>
      <c r="C814" s="30" t="str">
        <f t="shared" si="1"/>
        <v>-</v>
      </c>
      <c r="D814" s="29">
        <f t="shared" si="2"/>
        <v>271</v>
      </c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</row>
    <row r="815">
      <c r="A815" s="29">
        <v>670272.0</v>
      </c>
      <c r="B815" s="29">
        <v>670051.0</v>
      </c>
      <c r="C815" s="30" t="str">
        <f t="shared" si="1"/>
        <v>-</v>
      </c>
      <c r="D815" s="29">
        <f t="shared" si="2"/>
        <v>271</v>
      </c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</row>
    <row r="816">
      <c r="A816" s="29">
        <v>670638.0</v>
      </c>
      <c r="B816" s="29">
        <v>670324.0</v>
      </c>
      <c r="C816" s="30" t="str">
        <f t="shared" si="1"/>
        <v>-</v>
      </c>
      <c r="D816" s="29">
        <f t="shared" si="2"/>
        <v>271</v>
      </c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</row>
    <row r="817">
      <c r="A817" s="29">
        <v>670683.0</v>
      </c>
      <c r="B817" s="29">
        <v>671237.0</v>
      </c>
      <c r="C817" s="30" t="str">
        <f t="shared" si="1"/>
        <v>+</v>
      </c>
      <c r="D817" s="29">
        <f t="shared" si="2"/>
        <v>272</v>
      </c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</row>
    <row r="818">
      <c r="A818" s="29">
        <v>672228.0</v>
      </c>
      <c r="B818" s="29">
        <v>671425.0</v>
      </c>
      <c r="C818" s="30" t="str">
        <f t="shared" si="1"/>
        <v>-</v>
      </c>
      <c r="D818" s="29">
        <f t="shared" si="2"/>
        <v>273</v>
      </c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</row>
    <row r="819">
      <c r="A819" s="29">
        <v>672276.0</v>
      </c>
      <c r="B819" s="29">
        <v>672923.0</v>
      </c>
      <c r="C819" s="30" t="str">
        <f t="shared" si="1"/>
        <v>+</v>
      </c>
      <c r="D819" s="29">
        <f t="shared" si="2"/>
        <v>274</v>
      </c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</row>
    <row r="820">
      <c r="A820" s="29">
        <v>673509.0</v>
      </c>
      <c r="B820" s="29">
        <v>673012.0</v>
      </c>
      <c r="C820" s="30" t="str">
        <f t="shared" si="1"/>
        <v>-</v>
      </c>
      <c r="D820" s="29">
        <f t="shared" si="2"/>
        <v>275</v>
      </c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</row>
    <row r="821">
      <c r="A821" s="29">
        <v>673616.0</v>
      </c>
      <c r="B821" s="29">
        <v>674071.0</v>
      </c>
      <c r="C821" s="30" t="str">
        <f t="shared" si="1"/>
        <v>+</v>
      </c>
      <c r="D821" s="29">
        <f t="shared" si="2"/>
        <v>276</v>
      </c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</row>
    <row r="822">
      <c r="A822" s="29">
        <v>674068.0</v>
      </c>
      <c r="B822" s="29">
        <v>675156.0</v>
      </c>
      <c r="C822" s="30" t="str">
        <f t="shared" si="1"/>
        <v>+</v>
      </c>
      <c r="D822" s="29">
        <f t="shared" si="2"/>
        <v>276</v>
      </c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</row>
    <row r="823">
      <c r="A823" s="29">
        <v>676304.0</v>
      </c>
      <c r="B823" s="29">
        <v>675153.0</v>
      </c>
      <c r="C823" s="30" t="str">
        <f t="shared" si="1"/>
        <v>-</v>
      </c>
      <c r="D823" s="29">
        <f t="shared" si="2"/>
        <v>277</v>
      </c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</row>
    <row r="824">
      <c r="A824" s="29">
        <v>676503.0</v>
      </c>
      <c r="B824" s="29">
        <v>676739.0</v>
      </c>
      <c r="C824" s="30" t="str">
        <f t="shared" si="1"/>
        <v>+</v>
      </c>
      <c r="D824" s="29">
        <f t="shared" si="2"/>
        <v>278</v>
      </c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</row>
    <row r="825">
      <c r="A825" s="29">
        <v>677053.0</v>
      </c>
      <c r="B825" s="29">
        <v>678576.0</v>
      </c>
      <c r="C825" s="30" t="str">
        <f t="shared" si="1"/>
        <v>+</v>
      </c>
      <c r="D825" s="29">
        <f t="shared" si="2"/>
        <v>278</v>
      </c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</row>
    <row r="826">
      <c r="A826" s="29">
        <v>679618.0</v>
      </c>
      <c r="B826" s="29">
        <v>678551.0</v>
      </c>
      <c r="C826" s="30" t="str">
        <f t="shared" si="1"/>
        <v>-</v>
      </c>
      <c r="D826" s="29">
        <f t="shared" si="2"/>
        <v>279</v>
      </c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</row>
    <row r="827">
      <c r="A827" s="29">
        <v>679890.0</v>
      </c>
      <c r="B827" s="29">
        <v>680468.0</v>
      </c>
      <c r="C827" s="30" t="str">
        <f t="shared" si="1"/>
        <v>+</v>
      </c>
      <c r="D827" s="29">
        <f t="shared" si="2"/>
        <v>280</v>
      </c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</row>
    <row r="828">
      <c r="A828" s="29">
        <v>680458.0</v>
      </c>
      <c r="B828" s="29">
        <v>680871.0</v>
      </c>
      <c r="C828" s="30" t="str">
        <f t="shared" si="1"/>
        <v>+</v>
      </c>
      <c r="D828" s="29">
        <f t="shared" si="2"/>
        <v>280</v>
      </c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</row>
    <row r="829">
      <c r="A829" s="29">
        <v>680850.0</v>
      </c>
      <c r="B829" s="29">
        <v>680945.0</v>
      </c>
      <c r="C829" s="30" t="str">
        <f t="shared" si="1"/>
        <v>+</v>
      </c>
      <c r="D829" s="29">
        <f t="shared" si="2"/>
        <v>280</v>
      </c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</row>
    <row r="830">
      <c r="A830" s="29">
        <v>680938.0</v>
      </c>
      <c r="B830" s="29">
        <v>681543.0</v>
      </c>
      <c r="C830" s="30" t="str">
        <f t="shared" si="1"/>
        <v>+</v>
      </c>
      <c r="D830" s="29">
        <f t="shared" si="2"/>
        <v>280</v>
      </c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</row>
    <row r="831">
      <c r="A831" s="29">
        <v>681547.0</v>
      </c>
      <c r="B831" s="29">
        <v>682485.0</v>
      </c>
      <c r="C831" s="30" t="str">
        <f t="shared" si="1"/>
        <v>+</v>
      </c>
      <c r="D831" s="29">
        <f t="shared" si="2"/>
        <v>280</v>
      </c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</row>
    <row r="832">
      <c r="A832" s="29">
        <v>682655.0</v>
      </c>
      <c r="B832" s="29">
        <v>683749.0</v>
      </c>
      <c r="C832" s="30" t="str">
        <f t="shared" si="1"/>
        <v>+</v>
      </c>
      <c r="D832" s="29">
        <f t="shared" si="2"/>
        <v>280</v>
      </c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</row>
    <row r="833">
      <c r="A833" s="29">
        <v>686721.0</v>
      </c>
      <c r="B833" s="29">
        <v>686269.0</v>
      </c>
      <c r="C833" s="30" t="str">
        <f t="shared" si="1"/>
        <v>-</v>
      </c>
      <c r="D833" s="29">
        <f t="shared" si="2"/>
        <v>281</v>
      </c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</row>
    <row r="834">
      <c r="A834" s="29">
        <v>687082.0</v>
      </c>
      <c r="B834" s="29">
        <v>686744.0</v>
      </c>
      <c r="C834" s="30" t="str">
        <f t="shared" si="1"/>
        <v>-</v>
      </c>
      <c r="D834" s="29">
        <f t="shared" si="2"/>
        <v>281</v>
      </c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</row>
    <row r="835">
      <c r="A835" s="29">
        <v>689153.0</v>
      </c>
      <c r="B835" s="29">
        <v>687066.0</v>
      </c>
      <c r="C835" s="30" t="str">
        <f t="shared" si="1"/>
        <v>-</v>
      </c>
      <c r="D835" s="29">
        <f t="shared" si="2"/>
        <v>281</v>
      </c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</row>
    <row r="836">
      <c r="A836" s="29">
        <v>689767.0</v>
      </c>
      <c r="B836" s="29">
        <v>689234.0</v>
      </c>
      <c r="C836" s="30" t="str">
        <f t="shared" si="1"/>
        <v>-</v>
      </c>
      <c r="D836" s="29">
        <f t="shared" si="2"/>
        <v>281</v>
      </c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</row>
    <row r="837">
      <c r="A837" s="29">
        <v>692067.0</v>
      </c>
      <c r="B837" s="29">
        <v>689737.0</v>
      </c>
      <c r="C837" s="30" t="str">
        <f t="shared" si="1"/>
        <v>-</v>
      </c>
      <c r="D837" s="29">
        <f t="shared" si="2"/>
        <v>281</v>
      </c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</row>
    <row r="838">
      <c r="A838" s="29">
        <v>692202.0</v>
      </c>
      <c r="B838" s="29">
        <v>692510.0</v>
      </c>
      <c r="C838" s="30" t="str">
        <f t="shared" si="1"/>
        <v>+</v>
      </c>
      <c r="D838" s="29">
        <f t="shared" si="2"/>
        <v>282</v>
      </c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</row>
    <row r="839">
      <c r="A839" s="29">
        <v>692511.0</v>
      </c>
      <c r="B839" s="29">
        <v>692810.0</v>
      </c>
      <c r="C839" s="30" t="str">
        <f t="shared" si="1"/>
        <v>+</v>
      </c>
      <c r="D839" s="29">
        <f t="shared" si="2"/>
        <v>282</v>
      </c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</row>
    <row r="840">
      <c r="A840" s="29">
        <v>693856.0</v>
      </c>
      <c r="B840" s="29">
        <v>693443.0</v>
      </c>
      <c r="C840" s="30" t="str">
        <f t="shared" si="1"/>
        <v>-</v>
      </c>
      <c r="D840" s="29">
        <f t="shared" si="2"/>
        <v>283</v>
      </c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</row>
    <row r="841">
      <c r="A841" s="29">
        <v>693917.0</v>
      </c>
      <c r="B841" s="29">
        <v>695482.0</v>
      </c>
      <c r="C841" s="30" t="str">
        <f t="shared" si="1"/>
        <v>+</v>
      </c>
      <c r="D841" s="29">
        <f t="shared" si="2"/>
        <v>284</v>
      </c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</row>
    <row r="842">
      <c r="A842" s="29">
        <v>695483.0</v>
      </c>
      <c r="B842" s="29">
        <v>695896.0</v>
      </c>
      <c r="C842" s="30" t="str">
        <f t="shared" si="1"/>
        <v>+</v>
      </c>
      <c r="D842" s="29">
        <f t="shared" si="2"/>
        <v>284</v>
      </c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</row>
    <row r="843">
      <c r="A843" s="29">
        <v>695866.0</v>
      </c>
      <c r="B843" s="29">
        <v>696231.0</v>
      </c>
      <c r="C843" s="30" t="str">
        <f t="shared" si="1"/>
        <v>+</v>
      </c>
      <c r="D843" s="29">
        <f t="shared" si="2"/>
        <v>284</v>
      </c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</row>
    <row r="844">
      <c r="A844" s="29">
        <v>696962.0</v>
      </c>
      <c r="B844" s="29">
        <v>696234.0</v>
      </c>
      <c r="C844" s="30" t="str">
        <f t="shared" si="1"/>
        <v>-</v>
      </c>
      <c r="D844" s="29">
        <f t="shared" si="2"/>
        <v>285</v>
      </c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</row>
    <row r="845">
      <c r="A845" s="29">
        <v>697109.0</v>
      </c>
      <c r="B845" s="29">
        <v>698068.0</v>
      </c>
      <c r="C845" s="30" t="str">
        <f t="shared" si="1"/>
        <v>+</v>
      </c>
      <c r="D845" s="29">
        <f t="shared" si="2"/>
        <v>286</v>
      </c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</row>
    <row r="846">
      <c r="A846" s="29">
        <v>699349.0</v>
      </c>
      <c r="B846" s="29">
        <v>698486.0</v>
      </c>
      <c r="C846" s="30" t="str">
        <f t="shared" si="1"/>
        <v>-</v>
      </c>
      <c r="D846" s="29">
        <f t="shared" si="2"/>
        <v>287</v>
      </c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</row>
    <row r="847">
      <c r="A847" s="29">
        <v>700078.0</v>
      </c>
      <c r="B847" s="29">
        <v>699986.0</v>
      </c>
      <c r="C847" s="30" t="str">
        <f t="shared" si="1"/>
        <v>-</v>
      </c>
      <c r="D847" s="29">
        <f t="shared" si="2"/>
        <v>287</v>
      </c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</row>
    <row r="848">
      <c r="A848" s="29">
        <v>702079.0</v>
      </c>
      <c r="B848" s="29">
        <v>700115.0</v>
      </c>
      <c r="C848" s="30" t="str">
        <f t="shared" si="1"/>
        <v>-</v>
      </c>
      <c r="D848" s="29">
        <f t="shared" si="2"/>
        <v>287</v>
      </c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</row>
    <row r="849">
      <c r="A849" s="29">
        <v>702216.0</v>
      </c>
      <c r="B849" s="29">
        <v>703775.0</v>
      </c>
      <c r="C849" s="30" t="str">
        <f t="shared" si="1"/>
        <v>+</v>
      </c>
      <c r="D849" s="29">
        <f t="shared" si="2"/>
        <v>288</v>
      </c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</row>
    <row r="850">
      <c r="A850" s="29">
        <v>703772.0</v>
      </c>
      <c r="B850" s="29">
        <v>704530.0</v>
      </c>
      <c r="C850" s="30" t="str">
        <f t="shared" si="1"/>
        <v>+</v>
      </c>
      <c r="D850" s="29">
        <f t="shared" si="2"/>
        <v>288</v>
      </c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</row>
    <row r="851">
      <c r="A851" s="29">
        <v>705399.0</v>
      </c>
      <c r="B851" s="29">
        <v>704536.0</v>
      </c>
      <c r="C851" s="30" t="str">
        <f t="shared" si="1"/>
        <v>-</v>
      </c>
      <c r="D851" s="29">
        <f t="shared" si="2"/>
        <v>289</v>
      </c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</row>
    <row r="852">
      <c r="A852" s="29">
        <v>706107.0</v>
      </c>
      <c r="B852" s="29">
        <v>705421.0</v>
      </c>
      <c r="C852" s="30" t="str">
        <f t="shared" si="1"/>
        <v>-</v>
      </c>
      <c r="D852" s="29">
        <f t="shared" si="2"/>
        <v>289</v>
      </c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</row>
    <row r="853">
      <c r="A853" s="29">
        <v>706231.0</v>
      </c>
      <c r="B853" s="29">
        <v>708453.0</v>
      </c>
      <c r="C853" s="30" t="str">
        <f t="shared" si="1"/>
        <v>+</v>
      </c>
      <c r="D853" s="29">
        <f t="shared" si="2"/>
        <v>290</v>
      </c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</row>
    <row r="854">
      <c r="A854" s="29">
        <v>708479.0</v>
      </c>
      <c r="B854" s="29">
        <v>708988.0</v>
      </c>
      <c r="C854" s="30" t="str">
        <f t="shared" si="1"/>
        <v>+</v>
      </c>
      <c r="D854" s="29">
        <f t="shared" si="2"/>
        <v>290</v>
      </c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</row>
    <row r="855">
      <c r="A855" s="29">
        <v>709042.0</v>
      </c>
      <c r="B855" s="29">
        <v>710868.0</v>
      </c>
      <c r="C855" s="30" t="str">
        <f t="shared" si="1"/>
        <v>+</v>
      </c>
      <c r="D855" s="29">
        <f t="shared" si="2"/>
        <v>290</v>
      </c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</row>
    <row r="856">
      <c r="A856" s="29">
        <v>710890.0</v>
      </c>
      <c r="B856" s="29">
        <v>712158.0</v>
      </c>
      <c r="C856" s="30" t="str">
        <f t="shared" si="1"/>
        <v>+</v>
      </c>
      <c r="D856" s="29">
        <f t="shared" si="2"/>
        <v>290</v>
      </c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</row>
    <row r="857">
      <c r="A857" s="29">
        <v>713659.0</v>
      </c>
      <c r="B857" s="29">
        <v>715539.0</v>
      </c>
      <c r="C857" s="30" t="str">
        <f t="shared" si="1"/>
        <v>+</v>
      </c>
      <c r="D857" s="29">
        <f t="shared" si="2"/>
        <v>290</v>
      </c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</row>
    <row r="858">
      <c r="A858" s="29">
        <v>716566.0</v>
      </c>
      <c r="B858" s="29">
        <v>715802.0</v>
      </c>
      <c r="C858" s="30" t="str">
        <f t="shared" si="1"/>
        <v>-</v>
      </c>
      <c r="D858" s="29">
        <f t="shared" si="2"/>
        <v>291</v>
      </c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</row>
    <row r="859">
      <c r="A859" s="29">
        <v>717048.0</v>
      </c>
      <c r="B859" s="29">
        <v>716758.0</v>
      </c>
      <c r="C859" s="30" t="str">
        <f t="shared" si="1"/>
        <v>-</v>
      </c>
      <c r="D859" s="29">
        <f t="shared" si="2"/>
        <v>291</v>
      </c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</row>
    <row r="860">
      <c r="A860" s="29">
        <v>717440.0</v>
      </c>
      <c r="B860" s="29">
        <v>717934.0</v>
      </c>
      <c r="C860" s="30" t="str">
        <f t="shared" si="1"/>
        <v>+</v>
      </c>
      <c r="D860" s="29">
        <f t="shared" si="2"/>
        <v>292</v>
      </c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</row>
    <row r="861">
      <c r="A861" s="29">
        <v>718630.0</v>
      </c>
      <c r="B861" s="29">
        <v>717905.0</v>
      </c>
      <c r="C861" s="30" t="str">
        <f t="shared" si="1"/>
        <v>-</v>
      </c>
      <c r="D861" s="29">
        <f t="shared" si="2"/>
        <v>293</v>
      </c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</row>
    <row r="862">
      <c r="A862" s="29">
        <v>718670.0</v>
      </c>
      <c r="B862" s="29">
        <v>718822.0</v>
      </c>
      <c r="C862" s="30" t="str">
        <f t="shared" si="1"/>
        <v>+</v>
      </c>
      <c r="D862" s="29">
        <f t="shared" si="2"/>
        <v>294</v>
      </c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</row>
    <row r="863">
      <c r="A863" s="29">
        <v>718968.0</v>
      </c>
      <c r="B863" s="29">
        <v>719336.0</v>
      </c>
      <c r="C863" s="30" t="str">
        <f t="shared" si="1"/>
        <v>+</v>
      </c>
      <c r="D863" s="29">
        <f t="shared" si="2"/>
        <v>294</v>
      </c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</row>
    <row r="864">
      <c r="A864" s="29">
        <v>719340.0</v>
      </c>
      <c r="B864" s="29">
        <v>719732.0</v>
      </c>
      <c r="C864" s="30" t="str">
        <f t="shared" si="1"/>
        <v>+</v>
      </c>
      <c r="D864" s="29">
        <f t="shared" si="2"/>
        <v>294</v>
      </c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</row>
    <row r="865">
      <c r="A865" s="29">
        <v>719765.0</v>
      </c>
      <c r="B865" s="29">
        <v>719890.0</v>
      </c>
      <c r="C865" s="30" t="str">
        <f t="shared" si="1"/>
        <v>+</v>
      </c>
      <c r="D865" s="29">
        <f t="shared" si="2"/>
        <v>294</v>
      </c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</row>
    <row r="866">
      <c r="A866" s="29">
        <v>719902.0</v>
      </c>
      <c r="B866" s="29">
        <v>720096.0</v>
      </c>
      <c r="C866" s="30" t="str">
        <f t="shared" si="1"/>
        <v>+</v>
      </c>
      <c r="D866" s="29">
        <f t="shared" si="2"/>
        <v>294</v>
      </c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</row>
    <row r="867">
      <c r="A867" s="29">
        <v>720118.0</v>
      </c>
      <c r="B867" s="29">
        <v>720759.0</v>
      </c>
      <c r="C867" s="30" t="str">
        <f t="shared" si="1"/>
        <v>+</v>
      </c>
      <c r="D867" s="29">
        <f t="shared" si="2"/>
        <v>294</v>
      </c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</row>
    <row r="868">
      <c r="A868" s="29">
        <v>720743.0</v>
      </c>
      <c r="B868" s="29">
        <v>721477.0</v>
      </c>
      <c r="C868" s="30" t="str">
        <f t="shared" si="1"/>
        <v>+</v>
      </c>
      <c r="D868" s="29">
        <f t="shared" si="2"/>
        <v>294</v>
      </c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</row>
    <row r="869">
      <c r="A869" s="29">
        <v>721498.0</v>
      </c>
      <c r="B869" s="29">
        <v>722205.0</v>
      </c>
      <c r="C869" s="30" t="str">
        <f t="shared" si="1"/>
        <v>+</v>
      </c>
      <c r="D869" s="29">
        <f t="shared" si="2"/>
        <v>294</v>
      </c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</row>
    <row r="870">
      <c r="A870" s="29">
        <v>723256.0</v>
      </c>
      <c r="B870" s="29">
        <v>722207.0</v>
      </c>
      <c r="C870" s="30" t="str">
        <f t="shared" si="1"/>
        <v>-</v>
      </c>
      <c r="D870" s="29">
        <f t="shared" si="2"/>
        <v>295</v>
      </c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</row>
    <row r="871">
      <c r="A871" s="29">
        <v>723838.0</v>
      </c>
      <c r="B871" s="29">
        <v>723284.0</v>
      </c>
      <c r="C871" s="30" t="str">
        <f t="shared" si="1"/>
        <v>-</v>
      </c>
      <c r="D871" s="29">
        <f t="shared" si="2"/>
        <v>295</v>
      </c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</row>
    <row r="872">
      <c r="A872" s="29">
        <v>724099.0</v>
      </c>
      <c r="B872" s="29">
        <v>723842.0</v>
      </c>
      <c r="C872" s="30" t="str">
        <f t="shared" si="1"/>
        <v>-</v>
      </c>
      <c r="D872" s="29">
        <f t="shared" si="2"/>
        <v>295</v>
      </c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</row>
    <row r="873">
      <c r="A873" s="29">
        <v>724499.0</v>
      </c>
      <c r="B873" s="29">
        <v>725902.0</v>
      </c>
      <c r="C873" s="30" t="str">
        <f t="shared" si="1"/>
        <v>+</v>
      </c>
      <c r="D873" s="29">
        <f t="shared" si="2"/>
        <v>296</v>
      </c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</row>
    <row r="874">
      <c r="A874" s="29">
        <v>727597.0</v>
      </c>
      <c r="B874" s="29">
        <v>726026.0</v>
      </c>
      <c r="C874" s="30" t="str">
        <f t="shared" si="1"/>
        <v>-</v>
      </c>
      <c r="D874" s="29">
        <f t="shared" si="2"/>
        <v>297</v>
      </c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</row>
    <row r="875">
      <c r="A875" s="29">
        <v>728604.0</v>
      </c>
      <c r="B875" s="29">
        <v>727693.0</v>
      </c>
      <c r="C875" s="30" t="str">
        <f t="shared" si="1"/>
        <v>-</v>
      </c>
      <c r="D875" s="29">
        <f t="shared" si="2"/>
        <v>297</v>
      </c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</row>
    <row r="876">
      <c r="A876" s="29">
        <v>730405.0</v>
      </c>
      <c r="B876" s="29">
        <v>728597.0</v>
      </c>
      <c r="C876" s="30" t="str">
        <f t="shared" si="1"/>
        <v>-</v>
      </c>
      <c r="D876" s="29">
        <f t="shared" si="2"/>
        <v>297</v>
      </c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</row>
    <row r="877">
      <c r="A877" s="29">
        <v>730475.0</v>
      </c>
      <c r="B877" s="29">
        <v>730963.0</v>
      </c>
      <c r="C877" s="30" t="str">
        <f t="shared" si="1"/>
        <v>+</v>
      </c>
      <c r="D877" s="29">
        <f t="shared" si="2"/>
        <v>298</v>
      </c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</row>
    <row r="878">
      <c r="A878" s="29">
        <v>732674.0</v>
      </c>
      <c r="B878" s="29">
        <v>730947.0</v>
      </c>
      <c r="C878" s="30" t="str">
        <f t="shared" si="1"/>
        <v>-</v>
      </c>
      <c r="D878" s="29">
        <f t="shared" si="2"/>
        <v>299</v>
      </c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</row>
    <row r="879">
      <c r="A879" s="29">
        <v>732709.0</v>
      </c>
      <c r="B879" s="29">
        <v>733866.0</v>
      </c>
      <c r="C879" s="30" t="str">
        <f t="shared" si="1"/>
        <v>+</v>
      </c>
      <c r="D879" s="29">
        <f t="shared" si="2"/>
        <v>300</v>
      </c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</row>
    <row r="880">
      <c r="A880" s="29">
        <v>734937.0</v>
      </c>
      <c r="B880" s="29">
        <v>733861.0</v>
      </c>
      <c r="C880" s="30" t="str">
        <f t="shared" si="1"/>
        <v>-</v>
      </c>
      <c r="D880" s="29">
        <f t="shared" si="2"/>
        <v>301</v>
      </c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</row>
    <row r="881">
      <c r="A881" s="29">
        <v>735065.0</v>
      </c>
      <c r="B881" s="29">
        <v>735403.0</v>
      </c>
      <c r="C881" s="30" t="str">
        <f t="shared" si="1"/>
        <v>+</v>
      </c>
      <c r="D881" s="29">
        <f t="shared" si="2"/>
        <v>302</v>
      </c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</row>
    <row r="882">
      <c r="A882" s="29">
        <v>736049.0</v>
      </c>
      <c r="B882" s="29">
        <v>735387.0</v>
      </c>
      <c r="C882" s="30" t="str">
        <f t="shared" si="1"/>
        <v>-</v>
      </c>
      <c r="D882" s="29">
        <f t="shared" si="2"/>
        <v>303</v>
      </c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</row>
    <row r="883">
      <c r="A883" s="29">
        <v>736720.0</v>
      </c>
      <c r="B883" s="29">
        <v>736046.0</v>
      </c>
      <c r="C883" s="30" t="str">
        <f t="shared" si="1"/>
        <v>-</v>
      </c>
      <c r="D883" s="29">
        <f t="shared" si="2"/>
        <v>303</v>
      </c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</row>
    <row r="884">
      <c r="A884" s="29">
        <v>737382.0</v>
      </c>
      <c r="B884" s="29">
        <v>736717.0</v>
      </c>
      <c r="C884" s="30" t="str">
        <f t="shared" si="1"/>
        <v>-</v>
      </c>
      <c r="D884" s="29">
        <f t="shared" si="2"/>
        <v>303</v>
      </c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</row>
    <row r="885">
      <c r="A885" s="29">
        <v>737502.0</v>
      </c>
      <c r="B885" s="29">
        <v>738140.0</v>
      </c>
      <c r="C885" s="30" t="str">
        <f t="shared" si="1"/>
        <v>+</v>
      </c>
      <c r="D885" s="29">
        <f t="shared" si="2"/>
        <v>304</v>
      </c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</row>
    <row r="886">
      <c r="A886" s="29">
        <v>738312.0</v>
      </c>
      <c r="B886" s="29">
        <v>738118.0</v>
      </c>
      <c r="C886" s="30" t="str">
        <f t="shared" si="1"/>
        <v>-</v>
      </c>
      <c r="D886" s="29">
        <f t="shared" si="2"/>
        <v>305</v>
      </c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</row>
    <row r="887">
      <c r="A887" s="29">
        <v>738371.0</v>
      </c>
      <c r="B887" s="29">
        <v>739381.0</v>
      </c>
      <c r="C887" s="30" t="str">
        <f t="shared" si="1"/>
        <v>+</v>
      </c>
      <c r="D887" s="29">
        <f t="shared" si="2"/>
        <v>306</v>
      </c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</row>
    <row r="888">
      <c r="A888" s="29">
        <v>740230.0</v>
      </c>
      <c r="B888" s="29">
        <v>739376.0</v>
      </c>
      <c r="C888" s="30" t="str">
        <f t="shared" si="1"/>
        <v>-</v>
      </c>
      <c r="D888" s="29">
        <f t="shared" si="2"/>
        <v>307</v>
      </c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</row>
    <row r="889">
      <c r="A889" s="29">
        <v>741036.0</v>
      </c>
      <c r="B889" s="29">
        <v>740260.0</v>
      </c>
      <c r="C889" s="30" t="str">
        <f t="shared" si="1"/>
        <v>-</v>
      </c>
      <c r="D889" s="29">
        <f t="shared" si="2"/>
        <v>307</v>
      </c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</row>
    <row r="890">
      <c r="A890" s="29">
        <v>742064.0</v>
      </c>
      <c r="B890" s="29">
        <v>741033.0</v>
      </c>
      <c r="C890" s="30" t="str">
        <f t="shared" si="1"/>
        <v>-</v>
      </c>
      <c r="D890" s="29">
        <f t="shared" si="2"/>
        <v>307</v>
      </c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</row>
    <row r="891">
      <c r="A891" s="29">
        <v>742112.0</v>
      </c>
      <c r="B891" s="29">
        <v>742924.0</v>
      </c>
      <c r="C891" s="30" t="str">
        <f t="shared" si="1"/>
        <v>+</v>
      </c>
      <c r="D891" s="29">
        <f t="shared" si="2"/>
        <v>308</v>
      </c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</row>
    <row r="892">
      <c r="A892" s="29">
        <v>742921.0</v>
      </c>
      <c r="B892" s="29">
        <v>743169.0</v>
      </c>
      <c r="C892" s="30" t="str">
        <f t="shared" si="1"/>
        <v>+</v>
      </c>
      <c r="D892" s="29">
        <f t="shared" si="2"/>
        <v>308</v>
      </c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</row>
    <row r="893">
      <c r="A893" s="29">
        <v>743172.0</v>
      </c>
      <c r="B893" s="29">
        <v>744467.0</v>
      </c>
      <c r="C893" s="30" t="str">
        <f t="shared" si="1"/>
        <v>+</v>
      </c>
      <c r="D893" s="29">
        <f t="shared" si="2"/>
        <v>308</v>
      </c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</row>
    <row r="894">
      <c r="A894" s="29">
        <v>744599.0</v>
      </c>
      <c r="B894" s="29">
        <v>745222.0</v>
      </c>
      <c r="C894" s="30" t="str">
        <f t="shared" si="1"/>
        <v>+</v>
      </c>
      <c r="D894" s="29">
        <f t="shared" si="2"/>
        <v>308</v>
      </c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</row>
    <row r="895">
      <c r="A895" s="29">
        <v>745550.0</v>
      </c>
      <c r="B895" s="29">
        <v>745164.0</v>
      </c>
      <c r="C895" s="30" t="str">
        <f t="shared" si="1"/>
        <v>-</v>
      </c>
      <c r="D895" s="29">
        <f t="shared" si="2"/>
        <v>309</v>
      </c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</row>
    <row r="896">
      <c r="A896" s="29">
        <v>746577.0</v>
      </c>
      <c r="B896" s="29">
        <v>745585.0</v>
      </c>
      <c r="C896" s="30" t="str">
        <f t="shared" si="1"/>
        <v>-</v>
      </c>
      <c r="D896" s="29">
        <f t="shared" si="2"/>
        <v>309</v>
      </c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</row>
    <row r="897">
      <c r="A897" s="29">
        <v>748423.0</v>
      </c>
      <c r="B897" s="29">
        <v>746711.0</v>
      </c>
      <c r="C897" s="30" t="str">
        <f t="shared" si="1"/>
        <v>-</v>
      </c>
      <c r="D897" s="29">
        <f t="shared" si="2"/>
        <v>309</v>
      </c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</row>
    <row r="898">
      <c r="A898" s="29">
        <v>749099.0</v>
      </c>
      <c r="B898" s="29">
        <v>748413.0</v>
      </c>
      <c r="C898" s="30" t="str">
        <f t="shared" si="1"/>
        <v>-</v>
      </c>
      <c r="D898" s="29">
        <f t="shared" si="2"/>
        <v>309</v>
      </c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</row>
    <row r="899">
      <c r="A899" s="29">
        <v>749359.0</v>
      </c>
      <c r="B899" s="29">
        <v>749571.0</v>
      </c>
      <c r="C899" s="30" t="str">
        <f t="shared" si="1"/>
        <v>+</v>
      </c>
      <c r="D899" s="29">
        <f t="shared" si="2"/>
        <v>310</v>
      </c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</row>
    <row r="900">
      <c r="A900" s="29">
        <v>749568.0</v>
      </c>
      <c r="B900" s="29">
        <v>749705.0</v>
      </c>
      <c r="C900" s="30" t="str">
        <f t="shared" si="1"/>
        <v>+</v>
      </c>
      <c r="D900" s="29">
        <f t="shared" si="2"/>
        <v>310</v>
      </c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</row>
    <row r="901">
      <c r="A901" s="29">
        <v>749702.0</v>
      </c>
      <c r="B901" s="29">
        <v>750127.0</v>
      </c>
      <c r="C901" s="30" t="str">
        <f t="shared" si="1"/>
        <v>+</v>
      </c>
      <c r="D901" s="29">
        <f t="shared" si="2"/>
        <v>310</v>
      </c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</row>
    <row r="902">
      <c r="A902" s="29">
        <v>750124.0</v>
      </c>
      <c r="B902" s="29">
        <v>750453.0</v>
      </c>
      <c r="C902" s="30" t="str">
        <f t="shared" si="1"/>
        <v>+</v>
      </c>
      <c r="D902" s="29">
        <f t="shared" si="2"/>
        <v>310</v>
      </c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</row>
    <row r="903">
      <c r="A903" s="29">
        <v>750476.0</v>
      </c>
      <c r="B903" s="29">
        <v>750895.0</v>
      </c>
      <c r="C903" s="30" t="str">
        <f t="shared" si="1"/>
        <v>+</v>
      </c>
      <c r="D903" s="29">
        <f t="shared" si="2"/>
        <v>310</v>
      </c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</row>
    <row r="904">
      <c r="A904" s="29">
        <v>750892.0</v>
      </c>
      <c r="B904" s="29">
        <v>751413.0</v>
      </c>
      <c r="C904" s="30" t="str">
        <f t="shared" si="1"/>
        <v>+</v>
      </c>
      <c r="D904" s="29">
        <f t="shared" si="2"/>
        <v>310</v>
      </c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</row>
    <row r="905">
      <c r="A905" s="29">
        <v>752155.0</v>
      </c>
      <c r="B905" s="29">
        <v>751394.0</v>
      </c>
      <c r="C905" s="30" t="str">
        <f t="shared" si="1"/>
        <v>-</v>
      </c>
      <c r="D905" s="29">
        <f t="shared" si="2"/>
        <v>311</v>
      </c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</row>
    <row r="906">
      <c r="A906" s="29">
        <v>752634.0</v>
      </c>
      <c r="B906" s="29">
        <v>752194.0</v>
      </c>
      <c r="C906" s="30" t="str">
        <f t="shared" si="1"/>
        <v>-</v>
      </c>
      <c r="D906" s="29">
        <f t="shared" si="2"/>
        <v>311</v>
      </c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</row>
    <row r="907">
      <c r="A907" s="29">
        <v>753533.0</v>
      </c>
      <c r="B907" s="29">
        <v>753727.0</v>
      </c>
      <c r="C907" s="30" t="str">
        <f t="shared" si="1"/>
        <v>+</v>
      </c>
      <c r="D907" s="29">
        <f t="shared" si="2"/>
        <v>312</v>
      </c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</row>
    <row r="908">
      <c r="A908" s="29">
        <v>754826.0</v>
      </c>
      <c r="B908" s="29">
        <v>753687.0</v>
      </c>
      <c r="C908" s="30" t="str">
        <f t="shared" si="1"/>
        <v>-</v>
      </c>
      <c r="D908" s="29">
        <f t="shared" si="2"/>
        <v>313</v>
      </c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</row>
    <row r="909">
      <c r="A909" s="29">
        <v>754874.0</v>
      </c>
      <c r="B909" s="29">
        <v>755188.0</v>
      </c>
      <c r="C909" s="30" t="str">
        <f t="shared" si="1"/>
        <v>+</v>
      </c>
      <c r="D909" s="29">
        <f t="shared" si="2"/>
        <v>314</v>
      </c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</row>
    <row r="910">
      <c r="A910" s="29">
        <v>755227.0</v>
      </c>
      <c r="B910" s="29">
        <v>755439.0</v>
      </c>
      <c r="C910" s="30" t="str">
        <f t="shared" si="1"/>
        <v>+</v>
      </c>
      <c r="D910" s="29">
        <f t="shared" si="2"/>
        <v>314</v>
      </c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</row>
    <row r="911">
      <c r="A911" s="29">
        <v>755436.0</v>
      </c>
      <c r="B911" s="29">
        <v>756203.0</v>
      </c>
      <c r="C911" s="30" t="str">
        <f t="shared" si="1"/>
        <v>+</v>
      </c>
      <c r="D911" s="29">
        <f t="shared" si="2"/>
        <v>314</v>
      </c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</row>
    <row r="912">
      <c r="A912" s="29">
        <v>756942.0</v>
      </c>
      <c r="B912" s="29">
        <v>756190.0</v>
      </c>
      <c r="C912" s="30" t="str">
        <f t="shared" si="1"/>
        <v>-</v>
      </c>
      <c r="D912" s="29">
        <f t="shared" si="2"/>
        <v>315</v>
      </c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</row>
    <row r="913">
      <c r="A913" s="29">
        <v>757086.0</v>
      </c>
      <c r="B913" s="29">
        <v>759515.0</v>
      </c>
      <c r="C913" s="30" t="str">
        <f t="shared" si="1"/>
        <v>+</v>
      </c>
      <c r="D913" s="29">
        <f t="shared" si="2"/>
        <v>316</v>
      </c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</row>
    <row r="914">
      <c r="A914" s="29">
        <v>759521.0</v>
      </c>
      <c r="B914" s="29">
        <v>759916.0</v>
      </c>
      <c r="C914" s="30" t="str">
        <f t="shared" si="1"/>
        <v>+</v>
      </c>
      <c r="D914" s="29">
        <f t="shared" si="2"/>
        <v>316</v>
      </c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</row>
    <row r="915">
      <c r="A915" s="29">
        <v>759940.0</v>
      </c>
      <c r="B915" s="29">
        <v>760266.0</v>
      </c>
      <c r="C915" s="30" t="str">
        <f t="shared" si="1"/>
        <v>+</v>
      </c>
      <c r="D915" s="29">
        <f t="shared" si="2"/>
        <v>316</v>
      </c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</row>
    <row r="916">
      <c r="A916" s="29">
        <v>760238.0</v>
      </c>
      <c r="B916" s="29">
        <v>760960.0</v>
      </c>
      <c r="C916" s="30" t="str">
        <f t="shared" si="1"/>
        <v>+</v>
      </c>
      <c r="D916" s="29">
        <f t="shared" si="2"/>
        <v>316</v>
      </c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</row>
    <row r="917">
      <c r="A917" s="29">
        <v>760963.0</v>
      </c>
      <c r="B917" s="29">
        <v>761586.0</v>
      </c>
      <c r="C917" s="30" t="str">
        <f t="shared" si="1"/>
        <v>+</v>
      </c>
      <c r="D917" s="29">
        <f t="shared" si="2"/>
        <v>316</v>
      </c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</row>
    <row r="918">
      <c r="A918" s="29">
        <v>761637.0</v>
      </c>
      <c r="B918" s="29">
        <v>763349.0</v>
      </c>
      <c r="C918" s="30" t="str">
        <f t="shared" si="1"/>
        <v>+</v>
      </c>
      <c r="D918" s="29">
        <f t="shared" si="2"/>
        <v>316</v>
      </c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</row>
    <row r="919">
      <c r="A919" s="29">
        <v>763843.0</v>
      </c>
      <c r="B919" s="29">
        <v>763346.0</v>
      </c>
      <c r="C919" s="30" t="str">
        <f t="shared" si="1"/>
        <v>-</v>
      </c>
      <c r="D919" s="29">
        <f t="shared" si="2"/>
        <v>317</v>
      </c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</row>
    <row r="920">
      <c r="A920" s="29">
        <v>765123.0</v>
      </c>
      <c r="B920" s="29">
        <v>763873.0</v>
      </c>
      <c r="C920" s="30" t="str">
        <f t="shared" si="1"/>
        <v>-</v>
      </c>
      <c r="D920" s="29">
        <f t="shared" si="2"/>
        <v>317</v>
      </c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</row>
    <row r="921">
      <c r="A921" s="29">
        <v>765446.0</v>
      </c>
      <c r="B921" s="29">
        <v>765144.0</v>
      </c>
      <c r="C921" s="30" t="str">
        <f t="shared" si="1"/>
        <v>-</v>
      </c>
      <c r="D921" s="29">
        <f t="shared" si="2"/>
        <v>317</v>
      </c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</row>
    <row r="922">
      <c r="A922" s="29">
        <v>765509.0</v>
      </c>
      <c r="B922" s="29">
        <v>766411.0</v>
      </c>
      <c r="C922" s="30" t="str">
        <f t="shared" si="1"/>
        <v>+</v>
      </c>
      <c r="D922" s="29">
        <f t="shared" si="2"/>
        <v>318</v>
      </c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</row>
    <row r="923">
      <c r="A923" s="29">
        <v>766969.0</v>
      </c>
      <c r="B923" s="29">
        <v>766385.0</v>
      </c>
      <c r="C923" s="30" t="str">
        <f t="shared" si="1"/>
        <v>-</v>
      </c>
      <c r="D923" s="29">
        <f t="shared" si="2"/>
        <v>319</v>
      </c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</row>
    <row r="924">
      <c r="A924" s="29">
        <v>767532.0</v>
      </c>
      <c r="B924" s="29">
        <v>766999.0</v>
      </c>
      <c r="C924" s="30" t="str">
        <f t="shared" si="1"/>
        <v>-</v>
      </c>
      <c r="D924" s="29">
        <f t="shared" si="2"/>
        <v>319</v>
      </c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</row>
    <row r="925">
      <c r="A925" s="29">
        <v>768858.0</v>
      </c>
      <c r="B925" s="29">
        <v>768271.0</v>
      </c>
      <c r="C925" s="30" t="str">
        <f t="shared" si="1"/>
        <v>-</v>
      </c>
      <c r="D925" s="29">
        <f t="shared" si="2"/>
        <v>319</v>
      </c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</row>
    <row r="926">
      <c r="A926" s="29">
        <v>769892.0</v>
      </c>
      <c r="B926" s="29">
        <v>768852.0</v>
      </c>
      <c r="C926" s="30" t="str">
        <f t="shared" si="1"/>
        <v>-</v>
      </c>
      <c r="D926" s="29">
        <f t="shared" si="2"/>
        <v>319</v>
      </c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</row>
    <row r="927">
      <c r="A927" s="29">
        <v>771853.0</v>
      </c>
      <c r="B927" s="29">
        <v>769952.0</v>
      </c>
      <c r="C927" s="30" t="str">
        <f t="shared" si="1"/>
        <v>-</v>
      </c>
      <c r="D927" s="29">
        <f t="shared" si="2"/>
        <v>319</v>
      </c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</row>
    <row r="928">
      <c r="A928" s="29">
        <v>772586.0</v>
      </c>
      <c r="B928" s="29">
        <v>771855.0</v>
      </c>
      <c r="C928" s="30" t="str">
        <f t="shared" si="1"/>
        <v>-</v>
      </c>
      <c r="D928" s="29">
        <f t="shared" si="2"/>
        <v>319</v>
      </c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</row>
    <row r="929">
      <c r="A929" s="29">
        <v>772993.0</v>
      </c>
      <c r="B929" s="29">
        <v>772583.0</v>
      </c>
      <c r="C929" s="30" t="str">
        <f t="shared" si="1"/>
        <v>-</v>
      </c>
      <c r="D929" s="29">
        <f t="shared" si="2"/>
        <v>319</v>
      </c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</row>
    <row r="930">
      <c r="A930" s="29">
        <v>773415.0</v>
      </c>
      <c r="B930" s="29">
        <v>773023.0</v>
      </c>
      <c r="C930" s="30" t="str">
        <f t="shared" si="1"/>
        <v>-</v>
      </c>
      <c r="D930" s="29">
        <f t="shared" si="2"/>
        <v>319</v>
      </c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</row>
    <row r="931">
      <c r="A931" s="29">
        <v>773465.0</v>
      </c>
      <c r="B931" s="29">
        <v>773767.0</v>
      </c>
      <c r="C931" s="30" t="str">
        <f t="shared" si="1"/>
        <v>+</v>
      </c>
      <c r="D931" s="29">
        <f t="shared" si="2"/>
        <v>320</v>
      </c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</row>
    <row r="932">
      <c r="A932" s="29">
        <v>773929.0</v>
      </c>
      <c r="B932" s="29">
        <v>774414.0</v>
      </c>
      <c r="C932" s="30" t="str">
        <f t="shared" si="1"/>
        <v>+</v>
      </c>
      <c r="D932" s="29">
        <f t="shared" si="2"/>
        <v>320</v>
      </c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</row>
    <row r="933">
      <c r="A933" s="29">
        <v>774398.0</v>
      </c>
      <c r="B933" s="29">
        <v>775021.0</v>
      </c>
      <c r="C933" s="30" t="str">
        <f t="shared" si="1"/>
        <v>+</v>
      </c>
      <c r="D933" s="29">
        <f t="shared" si="2"/>
        <v>320</v>
      </c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</row>
    <row r="934">
      <c r="A934" s="29">
        <v>775002.0</v>
      </c>
      <c r="B934" s="29">
        <v>776318.0</v>
      </c>
      <c r="C934" s="30" t="str">
        <f t="shared" si="1"/>
        <v>+</v>
      </c>
      <c r="D934" s="29">
        <f t="shared" si="2"/>
        <v>320</v>
      </c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</row>
    <row r="935">
      <c r="A935" s="29">
        <v>776320.0</v>
      </c>
      <c r="B935" s="29">
        <v>777087.0</v>
      </c>
      <c r="C935" s="30" t="str">
        <f t="shared" si="1"/>
        <v>+</v>
      </c>
      <c r="D935" s="29">
        <f t="shared" si="2"/>
        <v>320</v>
      </c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</row>
    <row r="936">
      <c r="A936" s="29">
        <v>777140.0</v>
      </c>
      <c r="B936" s="29">
        <v>778399.0</v>
      </c>
      <c r="C936" s="30" t="str">
        <f t="shared" si="1"/>
        <v>+</v>
      </c>
      <c r="D936" s="29">
        <f t="shared" si="2"/>
        <v>320</v>
      </c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</row>
    <row r="937">
      <c r="A937" s="29">
        <v>778453.0</v>
      </c>
      <c r="B937" s="29">
        <v>780369.0</v>
      </c>
      <c r="C937" s="30" t="str">
        <f t="shared" si="1"/>
        <v>+</v>
      </c>
      <c r="D937" s="29">
        <f t="shared" si="2"/>
        <v>320</v>
      </c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</row>
    <row r="938">
      <c r="A938" s="29">
        <v>780348.0</v>
      </c>
      <c r="B938" s="29">
        <v>780860.0</v>
      </c>
      <c r="C938" s="30" t="str">
        <f t="shared" si="1"/>
        <v>+</v>
      </c>
      <c r="D938" s="29">
        <f t="shared" si="2"/>
        <v>320</v>
      </c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</row>
    <row r="939">
      <c r="A939" s="29">
        <v>780811.0</v>
      </c>
      <c r="B939" s="29">
        <v>781101.0</v>
      </c>
      <c r="C939" s="30" t="str">
        <f t="shared" si="1"/>
        <v>+</v>
      </c>
      <c r="D939" s="29">
        <f t="shared" si="2"/>
        <v>320</v>
      </c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</row>
    <row r="940">
      <c r="A940" s="29">
        <v>781101.0</v>
      </c>
      <c r="B940" s="29">
        <v>781685.0</v>
      </c>
      <c r="C940" s="30" t="str">
        <f t="shared" si="1"/>
        <v>+</v>
      </c>
      <c r="D940" s="29">
        <f t="shared" si="2"/>
        <v>320</v>
      </c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</row>
    <row r="941">
      <c r="A941" s="29">
        <v>782309.0</v>
      </c>
      <c r="B941" s="29">
        <v>781662.0</v>
      </c>
      <c r="C941" s="30" t="str">
        <f t="shared" si="1"/>
        <v>-</v>
      </c>
      <c r="D941" s="29">
        <f t="shared" si="2"/>
        <v>321</v>
      </c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</row>
    <row r="942">
      <c r="A942" s="29">
        <v>782947.0</v>
      </c>
      <c r="B942" s="29">
        <v>782294.0</v>
      </c>
      <c r="C942" s="30" t="str">
        <f t="shared" si="1"/>
        <v>-</v>
      </c>
      <c r="D942" s="29">
        <f t="shared" si="2"/>
        <v>321</v>
      </c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</row>
    <row r="943">
      <c r="A943" s="29">
        <v>783210.0</v>
      </c>
      <c r="B943" s="29">
        <v>782944.0</v>
      </c>
      <c r="C943" s="30" t="str">
        <f t="shared" si="1"/>
        <v>-</v>
      </c>
      <c r="D943" s="29">
        <f t="shared" si="2"/>
        <v>321</v>
      </c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</row>
    <row r="944">
      <c r="A944" s="29">
        <v>783851.0</v>
      </c>
      <c r="B944" s="29">
        <v>783207.0</v>
      </c>
      <c r="C944" s="30" t="str">
        <f t="shared" si="1"/>
        <v>-</v>
      </c>
      <c r="D944" s="29">
        <f t="shared" si="2"/>
        <v>321</v>
      </c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</row>
    <row r="945">
      <c r="A945" s="29">
        <v>784565.0</v>
      </c>
      <c r="B945" s="29">
        <v>784221.0</v>
      </c>
      <c r="C945" s="30" t="str">
        <f t="shared" si="1"/>
        <v>-</v>
      </c>
      <c r="D945" s="29">
        <f t="shared" si="2"/>
        <v>321</v>
      </c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</row>
    <row r="946">
      <c r="A946" s="29">
        <v>785285.0</v>
      </c>
      <c r="B946" s="29">
        <v>784692.0</v>
      </c>
      <c r="C946" s="30" t="str">
        <f t="shared" si="1"/>
        <v>-</v>
      </c>
      <c r="D946" s="29">
        <f t="shared" si="2"/>
        <v>321</v>
      </c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</row>
    <row r="947">
      <c r="A947" s="29">
        <v>786061.0</v>
      </c>
      <c r="B947" s="29">
        <v>785714.0</v>
      </c>
      <c r="C947" s="30" t="str">
        <f t="shared" si="1"/>
        <v>-</v>
      </c>
      <c r="D947" s="29">
        <f t="shared" si="2"/>
        <v>321</v>
      </c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</row>
    <row r="948">
      <c r="A948" s="29">
        <v>787344.0</v>
      </c>
      <c r="B948" s="29">
        <v>786064.0</v>
      </c>
      <c r="C948" s="30" t="str">
        <f t="shared" si="1"/>
        <v>-</v>
      </c>
      <c r="D948" s="29">
        <f t="shared" si="2"/>
        <v>321</v>
      </c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</row>
    <row r="949">
      <c r="A949" s="29">
        <v>788385.0</v>
      </c>
      <c r="B949" s="29">
        <v>787642.0</v>
      </c>
      <c r="C949" s="30" t="str">
        <f t="shared" si="1"/>
        <v>-</v>
      </c>
      <c r="D949" s="29">
        <f t="shared" si="2"/>
        <v>321</v>
      </c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</row>
    <row r="950">
      <c r="A950" s="29">
        <v>789395.0</v>
      </c>
      <c r="B950" s="29">
        <v>788379.0</v>
      </c>
      <c r="C950" s="30" t="str">
        <f t="shared" si="1"/>
        <v>-</v>
      </c>
      <c r="D950" s="29">
        <f t="shared" si="2"/>
        <v>321</v>
      </c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</row>
    <row r="951">
      <c r="A951" s="29">
        <v>790615.0</v>
      </c>
      <c r="B951" s="29">
        <v>789386.0</v>
      </c>
      <c r="C951" s="30" t="str">
        <f t="shared" si="1"/>
        <v>-</v>
      </c>
      <c r="D951" s="29">
        <f t="shared" si="2"/>
        <v>321</v>
      </c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</row>
    <row r="952">
      <c r="A952" s="29">
        <v>791614.0</v>
      </c>
      <c r="B952" s="29">
        <v>790757.0</v>
      </c>
      <c r="C952" s="30" t="str">
        <f t="shared" si="1"/>
        <v>-</v>
      </c>
      <c r="D952" s="29">
        <f t="shared" si="2"/>
        <v>321</v>
      </c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</row>
    <row r="953">
      <c r="A953" s="29">
        <v>792377.0</v>
      </c>
      <c r="B953" s="29">
        <v>791637.0</v>
      </c>
      <c r="C953" s="30" t="str">
        <f t="shared" si="1"/>
        <v>-</v>
      </c>
      <c r="D953" s="29">
        <f t="shared" si="2"/>
        <v>321</v>
      </c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</row>
    <row r="954">
      <c r="A954" s="29">
        <v>792467.0</v>
      </c>
      <c r="B954" s="29">
        <v>794707.0</v>
      </c>
      <c r="C954" s="30" t="str">
        <f t="shared" si="1"/>
        <v>+</v>
      </c>
      <c r="D954" s="29">
        <f t="shared" si="2"/>
        <v>322</v>
      </c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</row>
    <row r="955">
      <c r="A955" s="29">
        <v>795021.0</v>
      </c>
      <c r="B955" s="29">
        <v>795782.0</v>
      </c>
      <c r="C955" s="30" t="str">
        <f t="shared" si="1"/>
        <v>+</v>
      </c>
      <c r="D955" s="29">
        <f t="shared" si="2"/>
        <v>322</v>
      </c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</row>
    <row r="956">
      <c r="A956" s="29">
        <v>796540.0</v>
      </c>
      <c r="B956" s="29">
        <v>797316.0</v>
      </c>
      <c r="C956" s="30" t="str">
        <f t="shared" si="1"/>
        <v>+</v>
      </c>
      <c r="D956" s="29">
        <f t="shared" si="2"/>
        <v>322</v>
      </c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</row>
    <row r="957">
      <c r="A957" s="29">
        <v>797388.0</v>
      </c>
      <c r="B957" s="29">
        <v>797669.0</v>
      </c>
      <c r="C957" s="30" t="str">
        <f t="shared" si="1"/>
        <v>+</v>
      </c>
      <c r="D957" s="29">
        <f t="shared" si="2"/>
        <v>322</v>
      </c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</row>
    <row r="958">
      <c r="A958" s="29">
        <v>797834.0</v>
      </c>
      <c r="B958" s="29">
        <v>798142.0</v>
      </c>
      <c r="C958" s="30" t="str">
        <f t="shared" si="1"/>
        <v>+</v>
      </c>
      <c r="D958" s="29">
        <f t="shared" si="2"/>
        <v>322</v>
      </c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</row>
    <row r="959">
      <c r="A959" s="29">
        <v>798238.0</v>
      </c>
      <c r="B959" s="29">
        <v>798510.0</v>
      </c>
      <c r="C959" s="30" t="str">
        <f t="shared" si="1"/>
        <v>+</v>
      </c>
      <c r="D959" s="29">
        <f t="shared" si="2"/>
        <v>322</v>
      </c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</row>
    <row r="960">
      <c r="A960" s="29">
        <v>800002.0</v>
      </c>
      <c r="B960" s="29">
        <v>798899.0</v>
      </c>
      <c r="C960" s="30" t="str">
        <f t="shared" si="1"/>
        <v>-</v>
      </c>
      <c r="D960" s="29">
        <f t="shared" si="2"/>
        <v>323</v>
      </c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</row>
    <row r="961">
      <c r="A961" s="29">
        <v>800609.0</v>
      </c>
      <c r="B961" s="29">
        <v>799992.0</v>
      </c>
      <c r="C961" s="30" t="str">
        <f t="shared" si="1"/>
        <v>-</v>
      </c>
      <c r="D961" s="29">
        <f t="shared" si="2"/>
        <v>323</v>
      </c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</row>
    <row r="962">
      <c r="A962" s="29">
        <v>800785.0</v>
      </c>
      <c r="B962" s="29">
        <v>800609.0</v>
      </c>
      <c r="C962" s="30" t="str">
        <f t="shared" si="1"/>
        <v>-</v>
      </c>
      <c r="D962" s="29">
        <f t="shared" si="2"/>
        <v>323</v>
      </c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</row>
    <row r="963">
      <c r="A963" s="29">
        <v>801214.0</v>
      </c>
      <c r="B963" s="29">
        <v>801002.0</v>
      </c>
      <c r="C963" s="30" t="str">
        <f t="shared" si="1"/>
        <v>-</v>
      </c>
      <c r="D963" s="29">
        <f t="shared" si="2"/>
        <v>323</v>
      </c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</row>
    <row r="964">
      <c r="A964" s="29">
        <v>802121.0</v>
      </c>
      <c r="B964" s="29">
        <v>801387.0</v>
      </c>
      <c r="C964" s="30" t="str">
        <f t="shared" si="1"/>
        <v>-</v>
      </c>
      <c r="D964" s="29">
        <f t="shared" si="2"/>
        <v>323</v>
      </c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</row>
    <row r="965">
      <c r="A965" s="29">
        <v>802362.0</v>
      </c>
      <c r="B965" s="29">
        <v>802844.0</v>
      </c>
      <c r="C965" s="30" t="str">
        <f t="shared" si="1"/>
        <v>+</v>
      </c>
      <c r="D965" s="29">
        <f t="shared" si="2"/>
        <v>324</v>
      </c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</row>
    <row r="966">
      <c r="A966" s="29">
        <v>804596.0</v>
      </c>
      <c r="B966" s="29">
        <v>802902.0</v>
      </c>
      <c r="C966" s="30" t="str">
        <f t="shared" si="1"/>
        <v>-</v>
      </c>
      <c r="D966" s="29">
        <f t="shared" si="2"/>
        <v>325</v>
      </c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</row>
    <row r="967">
      <c r="A967" s="29">
        <v>808181.0</v>
      </c>
      <c r="B967" s="29">
        <v>804732.0</v>
      </c>
      <c r="C967" s="30" t="str">
        <f t="shared" si="1"/>
        <v>-</v>
      </c>
      <c r="D967" s="29">
        <f t="shared" si="2"/>
        <v>325</v>
      </c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</row>
    <row r="968">
      <c r="A968" s="29">
        <v>808271.0</v>
      </c>
      <c r="B968" s="29">
        <v>808867.0</v>
      </c>
      <c r="C968" s="30" t="str">
        <f t="shared" si="1"/>
        <v>+</v>
      </c>
      <c r="D968" s="29">
        <f t="shared" si="2"/>
        <v>326</v>
      </c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</row>
    <row r="969">
      <c r="A969" s="29">
        <v>810011.0</v>
      </c>
      <c r="B969" s="29">
        <v>809679.0</v>
      </c>
      <c r="C969" s="30" t="str">
        <f t="shared" si="1"/>
        <v>-</v>
      </c>
      <c r="D969" s="29">
        <f t="shared" si="2"/>
        <v>327</v>
      </c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</row>
    <row r="970">
      <c r="A970" s="29">
        <v>810207.0</v>
      </c>
      <c r="B970" s="29">
        <v>810638.0</v>
      </c>
      <c r="C970" s="30" t="str">
        <f t="shared" si="1"/>
        <v>+</v>
      </c>
      <c r="D970" s="29">
        <f t="shared" si="2"/>
        <v>328</v>
      </c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</row>
    <row r="971">
      <c r="A971" s="29">
        <v>810631.0</v>
      </c>
      <c r="B971" s="29">
        <v>810963.0</v>
      </c>
      <c r="C971" s="30" t="str">
        <f t="shared" si="1"/>
        <v>+</v>
      </c>
      <c r="D971" s="29">
        <f t="shared" si="2"/>
        <v>328</v>
      </c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</row>
    <row r="972">
      <c r="A972" s="29">
        <v>811015.0</v>
      </c>
      <c r="B972" s="29">
        <v>811509.0</v>
      </c>
      <c r="C972" s="30" t="str">
        <f t="shared" si="1"/>
        <v>+</v>
      </c>
      <c r="D972" s="29">
        <f t="shared" si="2"/>
        <v>328</v>
      </c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</row>
    <row r="973">
      <c r="A973" s="29">
        <v>812195.0</v>
      </c>
      <c r="B973" s="29">
        <v>811551.0</v>
      </c>
      <c r="C973" s="30" t="str">
        <f t="shared" si="1"/>
        <v>-</v>
      </c>
      <c r="D973" s="29">
        <f t="shared" si="2"/>
        <v>329</v>
      </c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</row>
    <row r="974">
      <c r="A974" s="29">
        <v>813612.0</v>
      </c>
      <c r="B974" s="29">
        <v>813391.0</v>
      </c>
      <c r="C974" s="30" t="str">
        <f t="shared" si="1"/>
        <v>-</v>
      </c>
      <c r="D974" s="29">
        <f t="shared" si="2"/>
        <v>329</v>
      </c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</row>
    <row r="975">
      <c r="A975" s="29">
        <v>814233.0</v>
      </c>
      <c r="B975" s="29">
        <v>813628.0</v>
      </c>
      <c r="C975" s="30" t="str">
        <f t="shared" si="1"/>
        <v>-</v>
      </c>
      <c r="D975" s="29">
        <f t="shared" si="2"/>
        <v>329</v>
      </c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</row>
    <row r="976">
      <c r="A976" s="29">
        <v>814526.0</v>
      </c>
      <c r="B976" s="29">
        <v>814212.0</v>
      </c>
      <c r="C976" s="30" t="str">
        <f t="shared" si="1"/>
        <v>-</v>
      </c>
      <c r="D976" s="29">
        <f t="shared" si="2"/>
        <v>329</v>
      </c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</row>
    <row r="977">
      <c r="A977" s="29">
        <v>814929.0</v>
      </c>
      <c r="B977" s="29">
        <v>814549.0</v>
      </c>
      <c r="C977" s="30" t="str">
        <f t="shared" si="1"/>
        <v>-</v>
      </c>
      <c r="D977" s="29">
        <f t="shared" si="2"/>
        <v>329</v>
      </c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</row>
    <row r="978">
      <c r="A978" s="29">
        <v>814982.0</v>
      </c>
      <c r="B978" s="29">
        <v>815587.0</v>
      </c>
      <c r="C978" s="30" t="str">
        <f t="shared" si="1"/>
        <v>+</v>
      </c>
      <c r="D978" s="29">
        <f t="shared" si="2"/>
        <v>330</v>
      </c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</row>
    <row r="979">
      <c r="A979" s="29">
        <v>815736.0</v>
      </c>
      <c r="B979" s="29">
        <v>816272.0</v>
      </c>
      <c r="C979" s="30" t="str">
        <f t="shared" si="1"/>
        <v>+</v>
      </c>
      <c r="D979" s="29">
        <f t="shared" si="2"/>
        <v>330</v>
      </c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</row>
    <row r="980">
      <c r="A980" s="29">
        <v>816745.0</v>
      </c>
      <c r="B980" s="29">
        <v>816323.0</v>
      </c>
      <c r="C980" s="30" t="str">
        <f t="shared" si="1"/>
        <v>-</v>
      </c>
      <c r="D980" s="29">
        <f t="shared" si="2"/>
        <v>331</v>
      </c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</row>
    <row r="981">
      <c r="A981" s="29">
        <v>816913.0</v>
      </c>
      <c r="B981" s="29">
        <v>816785.0</v>
      </c>
      <c r="C981" s="30" t="str">
        <f t="shared" si="1"/>
        <v>-</v>
      </c>
      <c r="D981" s="29">
        <f t="shared" si="2"/>
        <v>331</v>
      </c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</row>
    <row r="982">
      <c r="A982" s="29">
        <v>818411.0</v>
      </c>
      <c r="B982" s="29">
        <v>816918.0</v>
      </c>
      <c r="C982" s="30" t="str">
        <f t="shared" si="1"/>
        <v>-</v>
      </c>
      <c r="D982" s="29">
        <f t="shared" si="2"/>
        <v>331</v>
      </c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</row>
    <row r="983">
      <c r="A983" s="29">
        <v>819653.0</v>
      </c>
      <c r="B983" s="29">
        <v>819519.0</v>
      </c>
      <c r="C983" s="30" t="str">
        <f t="shared" si="1"/>
        <v>-</v>
      </c>
      <c r="D983" s="29">
        <f t="shared" si="2"/>
        <v>331</v>
      </c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</row>
    <row r="984">
      <c r="A984" s="29">
        <v>820084.0</v>
      </c>
      <c r="B984" s="29">
        <v>819809.0</v>
      </c>
      <c r="C984" s="30" t="str">
        <f t="shared" si="1"/>
        <v>-</v>
      </c>
      <c r="D984" s="29">
        <f t="shared" si="2"/>
        <v>331</v>
      </c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</row>
    <row r="985">
      <c r="A985" s="29">
        <v>821507.0</v>
      </c>
      <c r="B985" s="29">
        <v>821382.0</v>
      </c>
      <c r="C985" s="30" t="str">
        <f t="shared" si="1"/>
        <v>-</v>
      </c>
      <c r="D985" s="29">
        <f t="shared" si="2"/>
        <v>331</v>
      </c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</row>
    <row r="986">
      <c r="A986" s="29">
        <v>821600.0</v>
      </c>
      <c r="B986" s="29">
        <v>821785.0</v>
      </c>
      <c r="C986" s="30" t="str">
        <f t="shared" si="1"/>
        <v>+</v>
      </c>
      <c r="D986" s="29">
        <f t="shared" si="2"/>
        <v>332</v>
      </c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</row>
    <row r="987">
      <c r="A987" s="29">
        <v>823817.0</v>
      </c>
      <c r="B987" s="29">
        <v>822825.0</v>
      </c>
      <c r="C987" s="30" t="str">
        <f t="shared" si="1"/>
        <v>-</v>
      </c>
      <c r="D987" s="29">
        <f t="shared" si="2"/>
        <v>333</v>
      </c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</row>
    <row r="988">
      <c r="A988" s="29">
        <v>823892.0</v>
      </c>
      <c r="B988" s="29">
        <v>824752.0</v>
      </c>
      <c r="C988" s="30" t="str">
        <f t="shared" si="1"/>
        <v>+</v>
      </c>
      <c r="D988" s="29">
        <f t="shared" si="2"/>
        <v>334</v>
      </c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</row>
    <row r="989">
      <c r="A989" s="29">
        <v>824742.0</v>
      </c>
      <c r="B989" s="29">
        <v>825125.0</v>
      </c>
      <c r="C989" s="30" t="str">
        <f t="shared" si="1"/>
        <v>+</v>
      </c>
      <c r="D989" s="29">
        <f t="shared" si="2"/>
        <v>334</v>
      </c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</row>
    <row r="990">
      <c r="A990" s="29">
        <v>825355.0</v>
      </c>
      <c r="B990" s="29">
        <v>825122.0</v>
      </c>
      <c r="C990" s="30" t="str">
        <f t="shared" si="1"/>
        <v>-</v>
      </c>
      <c r="D990" s="29">
        <f t="shared" si="2"/>
        <v>335</v>
      </c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</row>
    <row r="991">
      <c r="A991" s="29">
        <v>825450.0</v>
      </c>
      <c r="B991" s="29">
        <v>827090.0</v>
      </c>
      <c r="C991" s="30" t="str">
        <f t="shared" si="1"/>
        <v>+</v>
      </c>
      <c r="D991" s="29">
        <f t="shared" si="2"/>
        <v>336</v>
      </c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</row>
    <row r="992">
      <c r="A992" s="29">
        <v>827087.0</v>
      </c>
      <c r="B992" s="29">
        <v>827983.0</v>
      </c>
      <c r="C992" s="30" t="str">
        <f t="shared" si="1"/>
        <v>+</v>
      </c>
      <c r="D992" s="29">
        <f t="shared" si="2"/>
        <v>336</v>
      </c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</row>
    <row r="993">
      <c r="A993" s="29">
        <v>828234.0</v>
      </c>
      <c r="B993" s="29">
        <v>827980.0</v>
      </c>
      <c r="C993" s="30" t="str">
        <f t="shared" si="1"/>
        <v>-</v>
      </c>
      <c r="D993" s="29">
        <f t="shared" si="2"/>
        <v>337</v>
      </c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</row>
    <row r="994">
      <c r="A994" s="29">
        <v>829109.0</v>
      </c>
      <c r="B994" s="29">
        <v>828231.0</v>
      </c>
      <c r="C994" s="30" t="str">
        <f t="shared" si="1"/>
        <v>-</v>
      </c>
      <c r="D994" s="29">
        <f t="shared" si="2"/>
        <v>337</v>
      </c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</row>
    <row r="995">
      <c r="A995" s="29">
        <v>829445.0</v>
      </c>
      <c r="B995" s="29">
        <v>829693.0</v>
      </c>
      <c r="C995" s="30" t="str">
        <f t="shared" si="1"/>
        <v>+</v>
      </c>
      <c r="D995" s="29">
        <f t="shared" si="2"/>
        <v>338</v>
      </c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</row>
    <row r="996">
      <c r="A996" s="29">
        <v>829717.0</v>
      </c>
      <c r="B996" s="29">
        <v>831042.0</v>
      </c>
      <c r="C996" s="30" t="str">
        <f t="shared" si="1"/>
        <v>+</v>
      </c>
      <c r="D996" s="29">
        <f t="shared" si="2"/>
        <v>338</v>
      </c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</row>
    <row r="997">
      <c r="A997" s="29">
        <v>831236.0</v>
      </c>
      <c r="B997" s="29">
        <v>831039.0</v>
      </c>
      <c r="C997" s="30" t="str">
        <f t="shared" si="1"/>
        <v>-</v>
      </c>
      <c r="D997" s="29">
        <f t="shared" si="2"/>
        <v>339</v>
      </c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</row>
    <row r="998">
      <c r="A998" s="29">
        <v>831772.0</v>
      </c>
      <c r="B998" s="29">
        <v>831338.0</v>
      </c>
      <c r="C998" s="30" t="str">
        <f t="shared" si="1"/>
        <v>-</v>
      </c>
      <c r="D998" s="29">
        <f t="shared" si="2"/>
        <v>339</v>
      </c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</row>
    <row r="999">
      <c r="A999" s="29">
        <v>832179.0</v>
      </c>
      <c r="B999" s="29">
        <v>831826.0</v>
      </c>
      <c r="C999" s="30" t="str">
        <f t="shared" si="1"/>
        <v>-</v>
      </c>
      <c r="D999" s="29">
        <f t="shared" si="2"/>
        <v>339</v>
      </c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</row>
    <row r="1000">
      <c r="A1000" s="29">
        <v>833673.0</v>
      </c>
      <c r="B1000" s="29">
        <v>832303.0</v>
      </c>
      <c r="C1000" s="30" t="str">
        <f t="shared" si="1"/>
        <v>-</v>
      </c>
      <c r="D1000" s="29">
        <f t="shared" si="2"/>
        <v>339</v>
      </c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</row>
    <row r="1001">
      <c r="A1001" s="29">
        <v>833927.0</v>
      </c>
      <c r="B1001" s="29">
        <v>834097.0</v>
      </c>
      <c r="C1001" s="30" t="str">
        <f t="shared" si="1"/>
        <v>+</v>
      </c>
      <c r="D1001" s="29">
        <f t="shared" si="2"/>
        <v>340</v>
      </c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</row>
    <row r="1002">
      <c r="A1002" s="29">
        <v>834758.0</v>
      </c>
      <c r="B1002" s="29">
        <v>834633.0</v>
      </c>
      <c r="C1002" s="30" t="str">
        <f t="shared" si="1"/>
        <v>-</v>
      </c>
      <c r="D1002" s="29">
        <f t="shared" si="2"/>
        <v>341</v>
      </c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</row>
    <row r="1003">
      <c r="A1003" s="29">
        <v>834862.0</v>
      </c>
      <c r="B1003" s="29">
        <v>835017.0</v>
      </c>
      <c r="C1003" s="30" t="str">
        <f t="shared" si="1"/>
        <v>+</v>
      </c>
      <c r="D1003" s="29">
        <f t="shared" si="2"/>
        <v>342</v>
      </c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</row>
    <row r="1004">
      <c r="A1004" s="29">
        <v>835057.0</v>
      </c>
      <c r="B1004" s="29">
        <v>835365.0</v>
      </c>
      <c r="C1004" s="30" t="str">
        <f t="shared" si="1"/>
        <v>+</v>
      </c>
      <c r="D1004" s="29">
        <f t="shared" si="2"/>
        <v>342</v>
      </c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</row>
    <row r="1005">
      <c r="A1005" s="29">
        <v>835828.0</v>
      </c>
      <c r="B1005" s="29">
        <v>835595.0</v>
      </c>
      <c r="C1005" s="30" t="str">
        <f t="shared" si="1"/>
        <v>-</v>
      </c>
      <c r="D1005" s="29">
        <f t="shared" si="2"/>
        <v>343</v>
      </c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  <c r="AA1005" s="30"/>
    </row>
    <row r="1006">
      <c r="A1006" s="29">
        <v>836049.0</v>
      </c>
      <c r="B1006" s="29">
        <v>835777.0</v>
      </c>
      <c r="C1006" s="30" t="str">
        <f t="shared" si="1"/>
        <v>-</v>
      </c>
      <c r="D1006" s="29">
        <f t="shared" si="2"/>
        <v>343</v>
      </c>
      <c r="E1006" s="30"/>
      <c r="F1006" s="30"/>
      <c r="G1006" s="30"/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  <c r="AA1006" s="30"/>
    </row>
    <row r="1007">
      <c r="A1007" s="29">
        <v>837508.0</v>
      </c>
      <c r="B1007" s="29">
        <v>837702.0</v>
      </c>
      <c r="C1007" s="30" t="str">
        <f t="shared" si="1"/>
        <v>+</v>
      </c>
      <c r="D1007" s="29">
        <f t="shared" si="2"/>
        <v>344</v>
      </c>
      <c r="E1007" s="30"/>
      <c r="F1007" s="30"/>
      <c r="G1007" s="30"/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0"/>
      <c r="X1007" s="30"/>
      <c r="Y1007" s="30"/>
      <c r="Z1007" s="30"/>
      <c r="AA1007" s="30"/>
    </row>
    <row r="1008">
      <c r="A1008" s="29">
        <v>838042.0</v>
      </c>
      <c r="B1008" s="29">
        <v>838191.0</v>
      </c>
      <c r="C1008" s="30" t="str">
        <f t="shared" si="1"/>
        <v>+</v>
      </c>
      <c r="D1008" s="29">
        <f t="shared" si="2"/>
        <v>344</v>
      </c>
      <c r="E1008" s="30"/>
      <c r="F1008" s="30"/>
      <c r="G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0"/>
      <c r="X1008" s="30"/>
      <c r="Y1008" s="30"/>
      <c r="Z1008" s="30"/>
      <c r="AA1008" s="30"/>
    </row>
    <row r="1009">
      <c r="A1009" s="29">
        <v>838299.0</v>
      </c>
      <c r="B1009" s="29">
        <v>838153.0</v>
      </c>
      <c r="C1009" s="30" t="str">
        <f t="shared" si="1"/>
        <v>-</v>
      </c>
      <c r="D1009" s="29">
        <f t="shared" si="2"/>
        <v>345</v>
      </c>
      <c r="E1009" s="30"/>
      <c r="F1009" s="30"/>
      <c r="G1009" s="30"/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0"/>
      <c r="Z1009" s="30"/>
      <c r="AA1009" s="30"/>
    </row>
    <row r="1010">
      <c r="A1010" s="29">
        <v>840449.0</v>
      </c>
      <c r="B1010" s="29">
        <v>839460.0</v>
      </c>
      <c r="C1010" s="30" t="str">
        <f t="shared" si="1"/>
        <v>-</v>
      </c>
      <c r="D1010" s="29">
        <f t="shared" si="2"/>
        <v>345</v>
      </c>
      <c r="E1010" s="30"/>
      <c r="F1010" s="30"/>
      <c r="G1010" s="30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0"/>
      <c r="X1010" s="30"/>
      <c r="Y1010" s="30"/>
      <c r="Z1010" s="30"/>
      <c r="AA1010" s="30"/>
    </row>
    <row r="1011">
      <c r="A1011" s="29">
        <v>840584.0</v>
      </c>
      <c r="B1011" s="29">
        <v>841357.0</v>
      </c>
      <c r="C1011" s="30" t="str">
        <f t="shared" si="1"/>
        <v>+</v>
      </c>
      <c r="D1011" s="29">
        <f t="shared" si="2"/>
        <v>346</v>
      </c>
      <c r="E1011" s="30"/>
      <c r="F1011" s="30"/>
      <c r="G1011" s="30"/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/>
      <c r="AA1011" s="30"/>
    </row>
    <row r="1012">
      <c r="A1012" s="29">
        <v>841401.0</v>
      </c>
      <c r="B1012" s="29">
        <v>842639.0</v>
      </c>
      <c r="C1012" s="30" t="str">
        <f t="shared" si="1"/>
        <v>+</v>
      </c>
      <c r="D1012" s="29">
        <f t="shared" si="2"/>
        <v>346</v>
      </c>
      <c r="E1012" s="30"/>
      <c r="F1012" s="30"/>
      <c r="G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  <c r="AA1012" s="30"/>
    </row>
    <row r="1013">
      <c r="A1013" s="29">
        <v>842636.0</v>
      </c>
      <c r="B1013" s="29">
        <v>843769.0</v>
      </c>
      <c r="C1013" s="30" t="str">
        <f t="shared" si="1"/>
        <v>+</v>
      </c>
      <c r="D1013" s="29">
        <f t="shared" si="2"/>
        <v>346</v>
      </c>
      <c r="E1013" s="30"/>
      <c r="F1013" s="30"/>
      <c r="G1013" s="30"/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0"/>
      <c r="Z1013" s="30"/>
      <c r="AA1013" s="30"/>
    </row>
    <row r="1014">
      <c r="A1014" s="29">
        <v>843759.0</v>
      </c>
      <c r="B1014" s="29">
        <v>844202.0</v>
      </c>
      <c r="C1014" s="30" t="str">
        <f t="shared" si="1"/>
        <v>+</v>
      </c>
      <c r="D1014" s="29">
        <f t="shared" si="2"/>
        <v>346</v>
      </c>
      <c r="E1014" s="30"/>
      <c r="F1014" s="30"/>
      <c r="G1014" s="30"/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  <c r="AA1014" s="30"/>
    </row>
    <row r="1015">
      <c r="A1015" s="29">
        <v>844246.0</v>
      </c>
      <c r="B1015" s="29">
        <v>844581.0</v>
      </c>
      <c r="C1015" s="30" t="str">
        <f t="shared" si="1"/>
        <v>+</v>
      </c>
      <c r="D1015" s="29">
        <f t="shared" si="2"/>
        <v>346</v>
      </c>
      <c r="E1015" s="30"/>
      <c r="F1015" s="30"/>
      <c r="G1015" s="30"/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0"/>
      <c r="Z1015" s="30"/>
      <c r="AA1015" s="30"/>
    </row>
    <row r="1016">
      <c r="A1016" s="29">
        <v>844611.0</v>
      </c>
      <c r="B1016" s="29">
        <v>845222.0</v>
      </c>
      <c r="C1016" s="30" t="str">
        <f t="shared" si="1"/>
        <v>+</v>
      </c>
      <c r="D1016" s="29">
        <f t="shared" si="2"/>
        <v>346</v>
      </c>
      <c r="E1016" s="30"/>
      <c r="F1016" s="30"/>
      <c r="G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0"/>
      <c r="X1016" s="30"/>
      <c r="Y1016" s="30"/>
      <c r="Z1016" s="30"/>
      <c r="AA1016" s="30"/>
    </row>
    <row r="1017">
      <c r="A1017" s="29">
        <v>845275.0</v>
      </c>
      <c r="B1017" s="29">
        <v>846462.0</v>
      </c>
      <c r="C1017" s="30" t="str">
        <f t="shared" si="1"/>
        <v>+</v>
      </c>
      <c r="D1017" s="29">
        <f t="shared" si="2"/>
        <v>346</v>
      </c>
      <c r="E1017" s="30"/>
      <c r="F1017" s="30"/>
      <c r="G1017" s="30"/>
      <c r="H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0"/>
      <c r="X1017" s="30"/>
      <c r="Y1017" s="30"/>
      <c r="Z1017" s="30"/>
      <c r="AA1017" s="30"/>
    </row>
    <row r="1018">
      <c r="A1018" s="29">
        <v>846459.0</v>
      </c>
      <c r="B1018" s="29">
        <v>846947.0</v>
      </c>
      <c r="C1018" s="30" t="str">
        <f t="shared" si="1"/>
        <v>+</v>
      </c>
      <c r="D1018" s="29">
        <f t="shared" si="2"/>
        <v>346</v>
      </c>
      <c r="E1018" s="30"/>
      <c r="F1018" s="30"/>
      <c r="G1018" s="30"/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0"/>
      <c r="X1018" s="30"/>
      <c r="Y1018" s="30"/>
      <c r="Z1018" s="30"/>
      <c r="AA1018" s="30"/>
    </row>
    <row r="1019">
      <c r="A1019" s="29">
        <v>847015.0</v>
      </c>
      <c r="B1019" s="29">
        <v>847569.0</v>
      </c>
      <c r="C1019" s="30" t="str">
        <f t="shared" si="1"/>
        <v>+</v>
      </c>
      <c r="D1019" s="29">
        <f t="shared" si="2"/>
        <v>346</v>
      </c>
      <c r="E1019" s="30"/>
      <c r="F1019" s="30"/>
      <c r="G1019" s="30"/>
      <c r="H1019" s="30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0"/>
      <c r="X1019" s="30"/>
      <c r="Y1019" s="30"/>
      <c r="Z1019" s="30"/>
      <c r="AA1019" s="30"/>
    </row>
    <row r="1020">
      <c r="A1020" s="29">
        <v>847635.0</v>
      </c>
      <c r="B1020" s="29">
        <v>849044.0</v>
      </c>
      <c r="C1020" s="30" t="str">
        <f t="shared" si="1"/>
        <v>+</v>
      </c>
      <c r="D1020" s="29">
        <f t="shared" si="2"/>
        <v>346</v>
      </c>
      <c r="E1020" s="30"/>
      <c r="F1020" s="30"/>
      <c r="G1020" s="30"/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  <c r="AA1020" s="30"/>
    </row>
    <row r="1021">
      <c r="A1021" s="29">
        <v>849373.0</v>
      </c>
      <c r="B1021" s="29">
        <v>849191.0</v>
      </c>
      <c r="C1021" s="30" t="str">
        <f t="shared" si="1"/>
        <v>-</v>
      </c>
      <c r="D1021" s="29">
        <f t="shared" si="2"/>
        <v>347</v>
      </c>
      <c r="E1021" s="30"/>
      <c r="F1021" s="30"/>
      <c r="G1021" s="30"/>
      <c r="H1021" s="30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0"/>
      <c r="X1021" s="30"/>
      <c r="Y1021" s="30"/>
      <c r="Z1021" s="30"/>
      <c r="AA1021" s="30"/>
    </row>
    <row r="1022">
      <c r="A1022" s="29">
        <v>852826.0</v>
      </c>
      <c r="B1022" s="29">
        <v>850937.0</v>
      </c>
      <c r="C1022" s="30" t="str">
        <f t="shared" si="1"/>
        <v>-</v>
      </c>
      <c r="D1022" s="29">
        <f t="shared" si="2"/>
        <v>347</v>
      </c>
      <c r="E1022" s="30"/>
      <c r="F1022" s="30"/>
      <c r="G1022" s="30"/>
      <c r="H1022" s="3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  <c r="AA1022" s="30"/>
    </row>
    <row r="1023">
      <c r="A1023" s="29">
        <v>853322.0</v>
      </c>
      <c r="B1023" s="29">
        <v>852828.0</v>
      </c>
      <c r="C1023" s="30" t="str">
        <f t="shared" si="1"/>
        <v>-</v>
      </c>
      <c r="D1023" s="29">
        <f t="shared" si="2"/>
        <v>347</v>
      </c>
      <c r="E1023" s="30"/>
      <c r="F1023" s="30"/>
      <c r="G1023" s="30"/>
      <c r="H1023" s="30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0"/>
      <c r="Z1023" s="30"/>
      <c r="AA1023" s="30"/>
    </row>
    <row r="1024">
      <c r="A1024" s="29">
        <v>853405.0</v>
      </c>
      <c r="B1024" s="29">
        <v>854313.0</v>
      </c>
      <c r="C1024" s="30" t="str">
        <f t="shared" si="1"/>
        <v>+</v>
      </c>
      <c r="D1024" s="29">
        <f t="shared" si="2"/>
        <v>348</v>
      </c>
      <c r="E1024" s="30"/>
      <c r="F1024" s="30"/>
      <c r="G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0"/>
      <c r="Z1024" s="30"/>
      <c r="AA1024" s="30"/>
    </row>
    <row r="1025">
      <c r="A1025" s="29">
        <v>854734.0</v>
      </c>
      <c r="B1025" s="29">
        <v>855213.0</v>
      </c>
      <c r="C1025" s="30" t="str">
        <f t="shared" si="1"/>
        <v>+</v>
      </c>
      <c r="D1025" s="29">
        <f t="shared" si="2"/>
        <v>348</v>
      </c>
      <c r="E1025" s="30"/>
      <c r="F1025" s="30"/>
      <c r="G1025" s="30"/>
      <c r="H1025" s="30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0"/>
      <c r="Z1025" s="30"/>
      <c r="AA1025" s="30"/>
    </row>
    <row r="1026">
      <c r="A1026" s="29">
        <v>855721.0</v>
      </c>
      <c r="B1026" s="29">
        <v>855200.0</v>
      </c>
      <c r="C1026" s="30" t="str">
        <f t="shared" si="1"/>
        <v>-</v>
      </c>
      <c r="D1026" s="29">
        <f t="shared" si="2"/>
        <v>349</v>
      </c>
      <c r="E1026" s="30"/>
      <c r="F1026" s="30"/>
      <c r="G1026" s="30"/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  <c r="AA1026" s="30"/>
    </row>
    <row r="1027">
      <c r="A1027" s="29">
        <v>856179.0</v>
      </c>
      <c r="B1027" s="29">
        <v>855742.0</v>
      </c>
      <c r="C1027" s="30" t="str">
        <f t="shared" si="1"/>
        <v>-</v>
      </c>
      <c r="D1027" s="29">
        <f t="shared" si="2"/>
        <v>349</v>
      </c>
      <c r="E1027" s="30"/>
      <c r="F1027" s="30"/>
      <c r="G1027" s="30"/>
      <c r="H1027" s="30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0"/>
      <c r="X1027" s="30"/>
      <c r="Y1027" s="30"/>
      <c r="Z1027" s="30"/>
      <c r="AA1027" s="30"/>
    </row>
    <row r="1028">
      <c r="A1028" s="29">
        <v>856899.0</v>
      </c>
      <c r="B1028" s="29">
        <v>856183.0</v>
      </c>
      <c r="C1028" s="30" t="str">
        <f t="shared" si="1"/>
        <v>-</v>
      </c>
      <c r="D1028" s="29">
        <f t="shared" si="2"/>
        <v>349</v>
      </c>
      <c r="E1028" s="30"/>
      <c r="F1028" s="30"/>
      <c r="G1028" s="30"/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0"/>
      <c r="X1028" s="30"/>
      <c r="Y1028" s="30"/>
      <c r="Z1028" s="30"/>
      <c r="AA1028" s="30"/>
    </row>
    <row r="1029">
      <c r="A1029" s="29">
        <v>857824.0</v>
      </c>
      <c r="B1029" s="29">
        <v>857057.0</v>
      </c>
      <c r="C1029" s="30" t="str">
        <f t="shared" si="1"/>
        <v>-</v>
      </c>
      <c r="D1029" s="29">
        <f t="shared" si="2"/>
        <v>349</v>
      </c>
      <c r="E1029" s="30"/>
      <c r="F1029" s="30"/>
      <c r="G1029" s="30"/>
      <c r="H1029" s="30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0"/>
      <c r="X1029" s="30"/>
      <c r="Y1029" s="30"/>
      <c r="Z1029" s="30"/>
      <c r="AA1029" s="30"/>
    </row>
    <row r="1030">
      <c r="A1030" s="29">
        <v>858216.0</v>
      </c>
      <c r="B1030" s="29">
        <v>857881.0</v>
      </c>
      <c r="C1030" s="30" t="str">
        <f t="shared" si="1"/>
        <v>-</v>
      </c>
      <c r="D1030" s="29">
        <f t="shared" si="2"/>
        <v>349</v>
      </c>
      <c r="E1030" s="30"/>
      <c r="F1030" s="30"/>
      <c r="G1030" s="30"/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0"/>
      <c r="X1030" s="30"/>
      <c r="Y1030" s="30"/>
      <c r="Z1030" s="30"/>
      <c r="AA1030" s="30"/>
    </row>
    <row r="1031">
      <c r="A1031" s="29">
        <v>858337.0</v>
      </c>
      <c r="B1031" s="29">
        <v>858687.0</v>
      </c>
      <c r="C1031" s="30" t="str">
        <f t="shared" si="1"/>
        <v>+</v>
      </c>
      <c r="D1031" s="29">
        <f t="shared" si="2"/>
        <v>350</v>
      </c>
      <c r="E1031" s="30"/>
      <c r="F1031" s="30"/>
      <c r="G1031" s="30"/>
      <c r="H1031" s="30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0"/>
      <c r="X1031" s="30"/>
      <c r="Y1031" s="30"/>
      <c r="Z1031" s="30"/>
      <c r="AA1031" s="30"/>
    </row>
    <row r="1032">
      <c r="A1032" s="29">
        <v>859167.0</v>
      </c>
      <c r="B1032" s="29">
        <v>858688.0</v>
      </c>
      <c r="C1032" s="30" t="str">
        <f t="shared" si="1"/>
        <v>-</v>
      </c>
      <c r="D1032" s="29">
        <f t="shared" si="2"/>
        <v>351</v>
      </c>
      <c r="E1032" s="30"/>
      <c r="F1032" s="30"/>
      <c r="G1032" s="30"/>
      <c r="H1032" s="30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0"/>
      <c r="X1032" s="30"/>
      <c r="Y1032" s="30"/>
      <c r="Z1032" s="30"/>
      <c r="AA1032" s="30"/>
    </row>
    <row r="1033">
      <c r="A1033" s="29">
        <v>860321.0</v>
      </c>
      <c r="B1033" s="29">
        <v>859164.0</v>
      </c>
      <c r="C1033" s="30" t="str">
        <f t="shared" si="1"/>
        <v>-</v>
      </c>
      <c r="D1033" s="29">
        <f t="shared" si="2"/>
        <v>351</v>
      </c>
      <c r="E1033" s="30"/>
      <c r="F1033" s="30"/>
      <c r="G1033" s="30"/>
      <c r="H1033" s="30"/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0"/>
      <c r="X1033" s="30"/>
      <c r="Y1033" s="30"/>
      <c r="Z1033" s="30"/>
      <c r="AA1033" s="30"/>
    </row>
    <row r="1034">
      <c r="A1034" s="29">
        <v>861550.0</v>
      </c>
      <c r="B1034" s="29">
        <v>860318.0</v>
      </c>
      <c r="C1034" s="30" t="str">
        <f t="shared" si="1"/>
        <v>-</v>
      </c>
      <c r="D1034" s="29">
        <f t="shared" si="2"/>
        <v>351</v>
      </c>
      <c r="E1034" s="30"/>
      <c r="F1034" s="30"/>
      <c r="G1034" s="30"/>
      <c r="H1034" s="30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  <c r="AA1034" s="30"/>
    </row>
    <row r="1035">
      <c r="A1035" s="29">
        <v>861767.0</v>
      </c>
      <c r="B1035" s="29">
        <v>862015.0</v>
      </c>
      <c r="C1035" s="30" t="str">
        <f t="shared" si="1"/>
        <v>+</v>
      </c>
      <c r="D1035" s="29">
        <f t="shared" si="2"/>
        <v>352</v>
      </c>
      <c r="E1035" s="30"/>
      <c r="F1035" s="30"/>
      <c r="G1035" s="30"/>
      <c r="H1035" s="30"/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0"/>
      <c r="Z1035" s="30"/>
      <c r="AA1035" s="30"/>
    </row>
    <row r="1036">
      <c r="A1036" s="29">
        <v>862661.0</v>
      </c>
      <c r="B1036" s="29">
        <v>862005.0</v>
      </c>
      <c r="C1036" s="30" t="str">
        <f t="shared" si="1"/>
        <v>-</v>
      </c>
      <c r="D1036" s="29">
        <f t="shared" si="2"/>
        <v>353</v>
      </c>
      <c r="E1036" s="30"/>
      <c r="F1036" s="30"/>
      <c r="G1036" s="30"/>
      <c r="H1036" s="30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0"/>
      <c r="Z1036" s="30"/>
      <c r="AA1036" s="30"/>
    </row>
    <row r="1037">
      <c r="A1037" s="29">
        <v>863989.0</v>
      </c>
      <c r="B1037" s="29">
        <v>862646.0</v>
      </c>
      <c r="C1037" s="30" t="str">
        <f t="shared" si="1"/>
        <v>-</v>
      </c>
      <c r="D1037" s="29">
        <f t="shared" si="2"/>
        <v>353</v>
      </c>
      <c r="E1037" s="30"/>
      <c r="F1037" s="30"/>
      <c r="G1037" s="30"/>
      <c r="H1037" s="30"/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  <c r="U1037" s="30"/>
      <c r="V1037" s="30"/>
      <c r="W1037" s="30"/>
      <c r="X1037" s="30"/>
      <c r="Y1037" s="30"/>
      <c r="Z1037" s="30"/>
      <c r="AA1037" s="30"/>
    </row>
    <row r="1038">
      <c r="A1038" s="29">
        <v>864191.0</v>
      </c>
      <c r="B1038" s="29">
        <v>865669.0</v>
      </c>
      <c r="C1038" s="30" t="str">
        <f t="shared" si="1"/>
        <v>+</v>
      </c>
      <c r="D1038" s="29">
        <f t="shared" si="2"/>
        <v>354</v>
      </c>
      <c r="E1038" s="30"/>
      <c r="F1038" s="30"/>
      <c r="G1038" s="30"/>
      <c r="H1038" s="30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0"/>
      <c r="X1038" s="30"/>
      <c r="Y1038" s="30"/>
      <c r="Z1038" s="30"/>
      <c r="AA1038" s="30"/>
    </row>
    <row r="1039">
      <c r="A1039" s="29">
        <v>865742.0</v>
      </c>
      <c r="B1039" s="29">
        <v>866887.0</v>
      </c>
      <c r="C1039" s="30" t="str">
        <f t="shared" si="1"/>
        <v>+</v>
      </c>
      <c r="D1039" s="29">
        <f t="shared" si="2"/>
        <v>354</v>
      </c>
      <c r="E1039" s="30"/>
      <c r="F1039" s="30"/>
      <c r="G1039" s="30"/>
      <c r="H1039" s="30"/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0"/>
      <c r="Z1039" s="30"/>
      <c r="AA1039" s="30"/>
    </row>
    <row r="1040">
      <c r="A1040" s="29">
        <v>866884.0</v>
      </c>
      <c r="B1040" s="29">
        <v>867324.0</v>
      </c>
      <c r="C1040" s="30" t="str">
        <f t="shared" si="1"/>
        <v>+</v>
      </c>
      <c r="D1040" s="29">
        <f t="shared" si="2"/>
        <v>354</v>
      </c>
      <c r="E1040" s="30"/>
      <c r="F1040" s="30"/>
      <c r="G1040" s="30"/>
      <c r="H1040" s="30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  <c r="AA1040" s="30"/>
    </row>
    <row r="1041">
      <c r="A1041" s="29">
        <v>867591.0</v>
      </c>
      <c r="B1041" s="29">
        <v>867325.0</v>
      </c>
      <c r="C1041" s="30" t="str">
        <f t="shared" si="1"/>
        <v>-</v>
      </c>
      <c r="D1041" s="29">
        <f t="shared" si="2"/>
        <v>355</v>
      </c>
      <c r="E1041" s="30"/>
      <c r="F1041" s="30"/>
      <c r="G1041" s="30"/>
      <c r="H1041" s="30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0"/>
      <c r="Z1041" s="30"/>
      <c r="AA1041" s="30"/>
    </row>
    <row r="1042">
      <c r="A1042" s="29">
        <v>867842.0</v>
      </c>
      <c r="B1042" s="29">
        <v>867558.0</v>
      </c>
      <c r="C1042" s="30" t="str">
        <f t="shared" si="1"/>
        <v>-</v>
      </c>
      <c r="D1042" s="29">
        <f t="shared" si="2"/>
        <v>355</v>
      </c>
      <c r="E1042" s="30"/>
      <c r="F1042" s="30"/>
      <c r="G1042" s="30"/>
      <c r="H1042" s="30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  <c r="AA1042" s="30"/>
    </row>
    <row r="1043">
      <c r="A1043" s="29">
        <v>867868.0</v>
      </c>
      <c r="B1043" s="29">
        <v>868551.0</v>
      </c>
      <c r="C1043" s="30" t="str">
        <f t="shared" si="1"/>
        <v>+</v>
      </c>
      <c r="D1043" s="29">
        <f t="shared" si="2"/>
        <v>356</v>
      </c>
      <c r="E1043" s="30"/>
      <c r="F1043" s="30"/>
      <c r="G1043" s="30"/>
      <c r="H1043" s="30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0"/>
      <c r="Z1043" s="30"/>
      <c r="AA1043" s="30"/>
    </row>
    <row r="1044">
      <c r="A1044" s="29">
        <v>869310.0</v>
      </c>
      <c r="B1044" s="29">
        <v>868531.0</v>
      </c>
      <c r="C1044" s="30" t="str">
        <f t="shared" si="1"/>
        <v>-</v>
      </c>
      <c r="D1044" s="29">
        <f t="shared" si="2"/>
        <v>357</v>
      </c>
      <c r="E1044" s="30"/>
      <c r="F1044" s="30"/>
      <c r="G1044" s="30"/>
      <c r="H1044" s="30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0"/>
      <c r="X1044" s="30"/>
      <c r="Y1044" s="30"/>
      <c r="Z1044" s="30"/>
      <c r="AA1044" s="30"/>
    </row>
    <row r="1045">
      <c r="A1045" s="29">
        <v>869391.0</v>
      </c>
      <c r="B1045" s="29">
        <v>870641.0</v>
      </c>
      <c r="C1045" s="30" t="str">
        <f t="shared" si="1"/>
        <v>+</v>
      </c>
      <c r="D1045" s="29">
        <f t="shared" si="2"/>
        <v>358</v>
      </c>
      <c r="E1045" s="30"/>
      <c r="F1045" s="30"/>
      <c r="G1045" s="30"/>
      <c r="H1045" s="30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0"/>
      <c r="X1045" s="30"/>
      <c r="Y1045" s="30"/>
      <c r="Z1045" s="30"/>
      <c r="AA1045" s="30"/>
    </row>
    <row r="1046">
      <c r="A1046" s="29">
        <v>870638.0</v>
      </c>
      <c r="B1046" s="29">
        <v>871753.0</v>
      </c>
      <c r="C1046" s="30" t="str">
        <f t="shared" si="1"/>
        <v>+</v>
      </c>
      <c r="D1046" s="29">
        <f t="shared" si="2"/>
        <v>358</v>
      </c>
      <c r="E1046" s="30"/>
      <c r="F1046" s="30"/>
      <c r="G1046" s="30"/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0"/>
      <c r="X1046" s="30"/>
      <c r="Y1046" s="30"/>
      <c r="Z1046" s="30"/>
      <c r="AA1046" s="30"/>
    </row>
    <row r="1047">
      <c r="A1047" s="29">
        <v>871755.0</v>
      </c>
      <c r="B1047" s="29">
        <v>872240.0</v>
      </c>
      <c r="C1047" s="30" t="str">
        <f t="shared" si="1"/>
        <v>+</v>
      </c>
      <c r="D1047" s="29">
        <f t="shared" si="2"/>
        <v>358</v>
      </c>
      <c r="E1047" s="30"/>
      <c r="F1047" s="30"/>
      <c r="G1047" s="30"/>
      <c r="H1047" s="30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/>
      <c r="AA1047" s="30"/>
    </row>
    <row r="1048">
      <c r="A1048" s="29">
        <v>872486.0</v>
      </c>
      <c r="B1048" s="29">
        <v>872259.0</v>
      </c>
      <c r="C1048" s="30" t="str">
        <f t="shared" si="1"/>
        <v>-</v>
      </c>
      <c r="D1048" s="29">
        <f t="shared" si="2"/>
        <v>359</v>
      </c>
      <c r="E1048" s="30"/>
      <c r="F1048" s="30"/>
      <c r="G1048" s="30"/>
      <c r="H1048" s="30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  <c r="AA1048" s="30"/>
    </row>
    <row r="1049">
      <c r="A1049" s="29">
        <v>872611.0</v>
      </c>
      <c r="B1049" s="29">
        <v>872859.0</v>
      </c>
      <c r="C1049" s="30" t="str">
        <f t="shared" si="1"/>
        <v>+</v>
      </c>
      <c r="D1049" s="29">
        <f t="shared" si="2"/>
        <v>360</v>
      </c>
      <c r="E1049" s="30"/>
      <c r="F1049" s="30"/>
      <c r="G1049" s="30"/>
      <c r="H1049" s="30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0"/>
      <c r="X1049" s="30"/>
      <c r="Y1049" s="30"/>
      <c r="Z1049" s="30"/>
      <c r="AA1049" s="30"/>
    </row>
    <row r="1050">
      <c r="A1050" s="29">
        <v>872856.0</v>
      </c>
      <c r="B1050" s="29">
        <v>874556.0</v>
      </c>
      <c r="C1050" s="30" t="str">
        <f t="shared" si="1"/>
        <v>+</v>
      </c>
      <c r="D1050" s="29">
        <f t="shared" si="2"/>
        <v>360</v>
      </c>
      <c r="E1050" s="30"/>
      <c r="F1050" s="30"/>
      <c r="G1050" s="30"/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  <c r="AA1050" s="30"/>
    </row>
    <row r="1051">
      <c r="A1051" s="29">
        <v>874553.0</v>
      </c>
      <c r="B1051" s="29">
        <v>874921.0</v>
      </c>
      <c r="C1051" s="30" t="str">
        <f t="shared" si="1"/>
        <v>+</v>
      </c>
      <c r="D1051" s="29">
        <f t="shared" si="2"/>
        <v>360</v>
      </c>
      <c r="E1051" s="30"/>
      <c r="F1051" s="30"/>
      <c r="G1051" s="30"/>
      <c r="H1051" s="30"/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  <c r="U1051" s="30"/>
      <c r="V1051" s="30"/>
      <c r="W1051" s="30"/>
      <c r="X1051" s="30"/>
      <c r="Y1051" s="30"/>
      <c r="Z1051" s="30"/>
      <c r="AA1051" s="30"/>
    </row>
    <row r="1052">
      <c r="A1052" s="29">
        <v>875292.0</v>
      </c>
      <c r="B1052" s="29">
        <v>875029.0</v>
      </c>
      <c r="C1052" s="30" t="str">
        <f t="shared" si="1"/>
        <v>-</v>
      </c>
      <c r="D1052" s="29">
        <f t="shared" si="2"/>
        <v>361</v>
      </c>
      <c r="E1052" s="30"/>
      <c r="F1052" s="30"/>
      <c r="G1052" s="30"/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0"/>
      <c r="X1052" s="30"/>
      <c r="Y1052" s="30"/>
      <c r="Z1052" s="30"/>
      <c r="AA1052" s="30"/>
    </row>
    <row r="1053">
      <c r="A1053" s="29">
        <v>875453.0</v>
      </c>
      <c r="B1053" s="29">
        <v>875623.0</v>
      </c>
      <c r="C1053" s="30" t="str">
        <f t="shared" si="1"/>
        <v>+</v>
      </c>
      <c r="D1053" s="29">
        <f t="shared" si="2"/>
        <v>362</v>
      </c>
      <c r="E1053" s="30"/>
      <c r="F1053" s="30"/>
      <c r="G1053" s="30"/>
      <c r="H1053" s="30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0"/>
      <c r="Z1053" s="30"/>
      <c r="AA1053" s="30"/>
    </row>
    <row r="1054">
      <c r="A1054" s="29">
        <v>877361.0</v>
      </c>
      <c r="B1054" s="29">
        <v>879346.0</v>
      </c>
      <c r="C1054" s="30" t="str">
        <f t="shared" si="1"/>
        <v>+</v>
      </c>
      <c r="D1054" s="29">
        <f t="shared" si="2"/>
        <v>362</v>
      </c>
      <c r="E1054" s="30"/>
      <c r="F1054" s="30"/>
      <c r="G1054" s="30"/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0"/>
      <c r="X1054" s="30"/>
      <c r="Y1054" s="30"/>
      <c r="Z1054" s="30"/>
      <c r="AA1054" s="30"/>
    </row>
    <row r="1055">
      <c r="A1055" s="29">
        <v>879458.0</v>
      </c>
      <c r="B1055" s="29">
        <v>879943.0</v>
      </c>
      <c r="C1055" s="30" t="str">
        <f t="shared" si="1"/>
        <v>+</v>
      </c>
      <c r="D1055" s="29">
        <f t="shared" si="2"/>
        <v>362</v>
      </c>
      <c r="E1055" s="30"/>
      <c r="F1055" s="30"/>
      <c r="G1055" s="30"/>
      <c r="H1055" s="30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0"/>
      <c r="Z1055" s="30"/>
      <c r="AA1055" s="30"/>
    </row>
    <row r="1056">
      <c r="A1056" s="29">
        <v>879988.0</v>
      </c>
      <c r="B1056" s="29">
        <v>880419.0</v>
      </c>
      <c r="C1056" s="30" t="str">
        <f t="shared" si="1"/>
        <v>+</v>
      </c>
      <c r="D1056" s="29">
        <f t="shared" si="2"/>
        <v>362</v>
      </c>
      <c r="E1056" s="30"/>
      <c r="F1056" s="30"/>
      <c r="G1056" s="30"/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  <c r="AA1056" s="30"/>
    </row>
    <row r="1057">
      <c r="A1057" s="29">
        <v>880965.0</v>
      </c>
      <c r="B1057" s="29">
        <v>881693.0</v>
      </c>
      <c r="C1057" s="30" t="str">
        <f t="shared" si="1"/>
        <v>+</v>
      </c>
      <c r="D1057" s="29">
        <f t="shared" si="2"/>
        <v>362</v>
      </c>
      <c r="E1057" s="30"/>
      <c r="F1057" s="30"/>
      <c r="G1057" s="30"/>
      <c r="H1057" s="30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30"/>
      <c r="W1057" s="30"/>
      <c r="X1057" s="30"/>
      <c r="Y1057" s="30"/>
      <c r="Z1057" s="30"/>
      <c r="AA1057" s="30"/>
    </row>
    <row r="1058">
      <c r="A1058" s="29">
        <v>881777.0</v>
      </c>
      <c r="B1058" s="29">
        <v>882064.0</v>
      </c>
      <c r="C1058" s="30" t="str">
        <f t="shared" si="1"/>
        <v>+</v>
      </c>
      <c r="D1058" s="29">
        <f t="shared" si="2"/>
        <v>362</v>
      </c>
      <c r="E1058" s="30"/>
      <c r="F1058" s="30"/>
      <c r="G1058" s="30"/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  <c r="AA1058" s="30"/>
    </row>
    <row r="1059">
      <c r="A1059" s="29">
        <v>882094.0</v>
      </c>
      <c r="B1059" s="29">
        <v>882534.0</v>
      </c>
      <c r="C1059" s="30" t="str">
        <f t="shared" si="1"/>
        <v>+</v>
      </c>
      <c r="D1059" s="29">
        <f t="shared" si="2"/>
        <v>362</v>
      </c>
      <c r="E1059" s="30"/>
      <c r="F1059" s="30"/>
      <c r="G1059" s="30"/>
      <c r="H1059" s="30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0"/>
      <c r="Z1059" s="30"/>
      <c r="AA1059" s="30"/>
    </row>
    <row r="1060">
      <c r="A1060" s="29">
        <v>882571.0</v>
      </c>
      <c r="B1060" s="29">
        <v>882693.0</v>
      </c>
      <c r="C1060" s="30" t="str">
        <f t="shared" si="1"/>
        <v>+</v>
      </c>
      <c r="D1060" s="29">
        <f t="shared" si="2"/>
        <v>362</v>
      </c>
      <c r="E1060" s="30"/>
      <c r="F1060" s="30"/>
      <c r="G1060" s="30"/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0"/>
      <c r="X1060" s="30"/>
      <c r="Y1060" s="30"/>
      <c r="Z1060" s="30"/>
      <c r="AA1060" s="30"/>
    </row>
    <row r="1061">
      <c r="A1061" s="29">
        <v>882742.0</v>
      </c>
      <c r="B1061" s="29">
        <v>884217.0</v>
      </c>
      <c r="C1061" s="30" t="str">
        <f t="shared" si="1"/>
        <v>+</v>
      </c>
      <c r="D1061" s="29">
        <f t="shared" si="2"/>
        <v>362</v>
      </c>
      <c r="E1061" s="30"/>
      <c r="F1061" s="30"/>
      <c r="G1061" s="30"/>
      <c r="H1061" s="30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0"/>
      <c r="X1061" s="30"/>
      <c r="Y1061" s="30"/>
      <c r="Z1061" s="30"/>
      <c r="AA1061" s="30"/>
    </row>
    <row r="1062">
      <c r="A1062" s="29">
        <v>884214.0</v>
      </c>
      <c r="B1062" s="29">
        <v>885107.0</v>
      </c>
      <c r="C1062" s="30" t="str">
        <f t="shared" si="1"/>
        <v>+</v>
      </c>
      <c r="D1062" s="29">
        <f t="shared" si="2"/>
        <v>362</v>
      </c>
      <c r="E1062" s="30"/>
      <c r="F1062" s="30"/>
      <c r="G1062" s="30"/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0"/>
      <c r="X1062" s="30"/>
      <c r="Y1062" s="30"/>
      <c r="Z1062" s="30"/>
      <c r="AA1062" s="30"/>
    </row>
    <row r="1063">
      <c r="A1063" s="29">
        <v>886006.0</v>
      </c>
      <c r="B1063" s="29">
        <v>885098.0</v>
      </c>
      <c r="C1063" s="30" t="str">
        <f t="shared" si="1"/>
        <v>-</v>
      </c>
      <c r="D1063" s="29">
        <f t="shared" si="2"/>
        <v>363</v>
      </c>
      <c r="E1063" s="30"/>
      <c r="F1063" s="30"/>
      <c r="G1063" s="30"/>
      <c r="H1063" s="30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0"/>
      <c r="Z1063" s="30"/>
      <c r="AA1063" s="30"/>
    </row>
    <row r="1064">
      <c r="A1064" s="29">
        <v>886055.0</v>
      </c>
      <c r="B1064" s="29">
        <v>886972.0</v>
      </c>
      <c r="C1064" s="30" t="str">
        <f t="shared" si="1"/>
        <v>+</v>
      </c>
      <c r="D1064" s="29">
        <f t="shared" si="2"/>
        <v>364</v>
      </c>
      <c r="E1064" s="30"/>
      <c r="F1064" s="30"/>
      <c r="G1064" s="30"/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0"/>
      <c r="X1064" s="30"/>
      <c r="Y1064" s="30"/>
      <c r="Z1064" s="30"/>
      <c r="AA1064" s="30"/>
    </row>
    <row r="1065">
      <c r="A1065" s="29">
        <v>886969.0</v>
      </c>
      <c r="B1065" s="29">
        <v>887466.0</v>
      </c>
      <c r="C1065" s="30" t="str">
        <f t="shared" si="1"/>
        <v>+</v>
      </c>
      <c r="D1065" s="29">
        <f t="shared" si="2"/>
        <v>364</v>
      </c>
      <c r="E1065" s="30"/>
      <c r="F1065" s="30"/>
      <c r="G1065" s="30"/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0"/>
      <c r="X1065" s="30"/>
      <c r="Y1065" s="30"/>
      <c r="Z1065" s="30"/>
      <c r="AA1065" s="30"/>
    </row>
    <row r="1066">
      <c r="A1066" s="29">
        <v>887494.0</v>
      </c>
      <c r="B1066" s="29">
        <v>888834.0</v>
      </c>
      <c r="C1066" s="30" t="str">
        <f t="shared" si="1"/>
        <v>+</v>
      </c>
      <c r="D1066" s="29">
        <f t="shared" si="2"/>
        <v>364</v>
      </c>
      <c r="E1066" s="30"/>
      <c r="F1066" s="30"/>
      <c r="G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  <c r="AA1066" s="30"/>
    </row>
    <row r="1067">
      <c r="A1067" s="29">
        <v>888975.0</v>
      </c>
      <c r="B1067" s="29">
        <v>889421.0</v>
      </c>
      <c r="C1067" s="30" t="str">
        <f t="shared" si="1"/>
        <v>+</v>
      </c>
      <c r="D1067" s="29">
        <f t="shared" si="2"/>
        <v>364</v>
      </c>
      <c r="E1067" s="30"/>
      <c r="F1067" s="30"/>
      <c r="G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0"/>
      <c r="X1067" s="30"/>
      <c r="Y1067" s="30"/>
      <c r="Z1067" s="30"/>
      <c r="AA1067" s="30"/>
    </row>
    <row r="1068">
      <c r="A1068" s="29">
        <v>889418.0</v>
      </c>
      <c r="B1068" s="29">
        <v>889750.0</v>
      </c>
      <c r="C1068" s="30" t="str">
        <f t="shared" si="1"/>
        <v>+</v>
      </c>
      <c r="D1068" s="29">
        <f t="shared" si="2"/>
        <v>364</v>
      </c>
      <c r="E1068" s="30"/>
      <c r="F1068" s="30"/>
      <c r="G1068" s="30"/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0"/>
      <c r="Z1068" s="30"/>
      <c r="AA1068" s="30"/>
    </row>
    <row r="1069">
      <c r="A1069" s="29">
        <v>890128.0</v>
      </c>
      <c r="B1069" s="29">
        <v>890373.0</v>
      </c>
      <c r="C1069" s="30" t="str">
        <f t="shared" si="1"/>
        <v>+</v>
      </c>
      <c r="D1069" s="29">
        <f t="shared" si="2"/>
        <v>364</v>
      </c>
      <c r="E1069" s="30"/>
      <c r="F1069" s="30"/>
      <c r="G1069" s="30"/>
      <c r="H1069" s="30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0"/>
      <c r="Z1069" s="30"/>
      <c r="AA1069" s="30"/>
    </row>
    <row r="1070">
      <c r="A1070" s="29">
        <v>890805.0</v>
      </c>
      <c r="B1070" s="29">
        <v>890960.0</v>
      </c>
      <c r="C1070" s="30" t="str">
        <f t="shared" si="1"/>
        <v>+</v>
      </c>
      <c r="D1070" s="29">
        <f t="shared" si="2"/>
        <v>364</v>
      </c>
      <c r="E1070" s="30"/>
      <c r="F1070" s="30"/>
      <c r="G1070" s="30"/>
      <c r="H1070" s="30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0"/>
      <c r="X1070" s="30"/>
      <c r="Y1070" s="30"/>
      <c r="Z1070" s="30"/>
      <c r="AA1070" s="30"/>
    </row>
    <row r="1071">
      <c r="A1071" s="29">
        <v>890985.0</v>
      </c>
      <c r="B1071" s="29">
        <v>891413.0</v>
      </c>
      <c r="C1071" s="30" t="str">
        <f t="shared" si="1"/>
        <v>+</v>
      </c>
      <c r="D1071" s="29">
        <f t="shared" si="2"/>
        <v>364</v>
      </c>
      <c r="E1071" s="30"/>
      <c r="F1071" s="30"/>
      <c r="G1071" s="30"/>
      <c r="H1071" s="30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  <c r="U1071" s="30"/>
      <c r="V1071" s="30"/>
      <c r="W1071" s="30"/>
      <c r="X1071" s="30"/>
      <c r="Y1071" s="30"/>
      <c r="Z1071" s="30"/>
      <c r="AA1071" s="30"/>
    </row>
    <row r="1072">
      <c r="A1072" s="29">
        <v>891410.0</v>
      </c>
      <c r="B1072" s="29">
        <v>892204.0</v>
      </c>
      <c r="C1072" s="30" t="str">
        <f t="shared" si="1"/>
        <v>+</v>
      </c>
      <c r="D1072" s="29">
        <f t="shared" si="2"/>
        <v>364</v>
      </c>
      <c r="E1072" s="30"/>
      <c r="F1072" s="30"/>
      <c r="G1072" s="30"/>
      <c r="H1072" s="30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  <c r="AA1072" s="30"/>
    </row>
    <row r="1073">
      <c r="A1073" s="29">
        <v>892234.0</v>
      </c>
      <c r="B1073" s="29">
        <v>892875.0</v>
      </c>
      <c r="C1073" s="30" t="str">
        <f t="shared" si="1"/>
        <v>+</v>
      </c>
      <c r="D1073" s="29">
        <f t="shared" si="2"/>
        <v>364</v>
      </c>
      <c r="E1073" s="30"/>
      <c r="F1073" s="30"/>
      <c r="G1073" s="30"/>
      <c r="H1073" s="30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0"/>
      <c r="Z1073" s="30"/>
      <c r="AA1073" s="30"/>
    </row>
    <row r="1074">
      <c r="A1074" s="29">
        <v>893333.0</v>
      </c>
      <c r="B1074" s="29">
        <v>893061.0</v>
      </c>
      <c r="C1074" s="30" t="str">
        <f t="shared" si="1"/>
        <v>-</v>
      </c>
      <c r="D1074" s="29">
        <f t="shared" si="2"/>
        <v>365</v>
      </c>
      <c r="E1074" s="30"/>
      <c r="F1074" s="30"/>
      <c r="G1074" s="30"/>
      <c r="H1074" s="30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  <c r="AA1074" s="30"/>
    </row>
    <row r="1075">
      <c r="A1075" s="29">
        <v>893421.0</v>
      </c>
      <c r="B1075" s="29">
        <v>897197.0</v>
      </c>
      <c r="C1075" s="30" t="str">
        <f t="shared" si="1"/>
        <v>+</v>
      </c>
      <c r="D1075" s="29">
        <f t="shared" si="2"/>
        <v>366</v>
      </c>
      <c r="E1075" s="30"/>
      <c r="F1075" s="30"/>
      <c r="G1075" s="30"/>
      <c r="H1075" s="30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0"/>
      <c r="X1075" s="30"/>
      <c r="Y1075" s="30"/>
      <c r="Z1075" s="30"/>
      <c r="AA1075" s="30"/>
    </row>
    <row r="1076">
      <c r="A1076" s="29">
        <v>897194.0</v>
      </c>
      <c r="B1076" s="29">
        <v>897703.0</v>
      </c>
      <c r="C1076" s="30" t="str">
        <f t="shared" si="1"/>
        <v>+</v>
      </c>
      <c r="D1076" s="29">
        <f t="shared" si="2"/>
        <v>366</v>
      </c>
      <c r="E1076" s="30"/>
      <c r="F1076" s="30"/>
      <c r="G1076" s="30"/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0"/>
      <c r="X1076" s="30"/>
      <c r="Y1076" s="30"/>
      <c r="Z1076" s="30"/>
      <c r="AA1076" s="30"/>
    </row>
    <row r="1077">
      <c r="A1077" s="29">
        <v>897700.0</v>
      </c>
      <c r="B1077" s="29">
        <v>898644.0</v>
      </c>
      <c r="C1077" s="30" t="str">
        <f t="shared" si="1"/>
        <v>+</v>
      </c>
      <c r="D1077" s="29">
        <f t="shared" si="2"/>
        <v>366</v>
      </c>
      <c r="E1077" s="30"/>
      <c r="F1077" s="30"/>
      <c r="G1077" s="30"/>
      <c r="H1077" s="30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0"/>
      <c r="Z1077" s="30"/>
      <c r="AA1077" s="30"/>
    </row>
    <row r="1078">
      <c r="A1078" s="29">
        <v>899663.0</v>
      </c>
      <c r="B1078" s="29">
        <v>899262.0</v>
      </c>
      <c r="C1078" s="30" t="str">
        <f t="shared" si="1"/>
        <v>-</v>
      </c>
      <c r="D1078" s="29">
        <f t="shared" si="2"/>
        <v>367</v>
      </c>
      <c r="E1078" s="30"/>
      <c r="F1078" s="30"/>
      <c r="G1078" s="30"/>
      <c r="H1078" s="30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  <c r="AA1078" s="30"/>
    </row>
    <row r="1079">
      <c r="A1079" s="29">
        <v>900615.0</v>
      </c>
      <c r="B1079" s="29">
        <v>901106.0</v>
      </c>
      <c r="C1079" s="30" t="str">
        <f t="shared" si="1"/>
        <v>+</v>
      </c>
      <c r="D1079" s="29">
        <f t="shared" si="2"/>
        <v>368</v>
      </c>
      <c r="E1079" s="30"/>
      <c r="F1079" s="30"/>
      <c r="G1079" s="30"/>
      <c r="H1079" s="30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0"/>
      <c r="Z1079" s="30"/>
      <c r="AA1079" s="30"/>
    </row>
    <row r="1080">
      <c r="A1080" s="29">
        <v>901093.0</v>
      </c>
      <c r="B1080" s="29">
        <v>901602.0</v>
      </c>
      <c r="C1080" s="30" t="str">
        <f t="shared" si="1"/>
        <v>+</v>
      </c>
      <c r="D1080" s="29">
        <f t="shared" si="2"/>
        <v>368</v>
      </c>
      <c r="E1080" s="30"/>
      <c r="F1080" s="30"/>
      <c r="G1080" s="30"/>
      <c r="H1080" s="30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0"/>
      <c r="X1080" s="30"/>
      <c r="Y1080" s="30"/>
      <c r="Z1080" s="30"/>
      <c r="AA1080" s="30"/>
    </row>
    <row r="1081">
      <c r="A1081" s="29">
        <v>901599.0</v>
      </c>
      <c r="B1081" s="29">
        <v>902699.0</v>
      </c>
      <c r="C1081" s="30" t="str">
        <f t="shared" si="1"/>
        <v>+</v>
      </c>
      <c r="D1081" s="29">
        <f t="shared" si="2"/>
        <v>368</v>
      </c>
      <c r="E1081" s="30"/>
      <c r="F1081" s="30"/>
      <c r="G1081" s="30"/>
      <c r="H1081" s="30"/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0"/>
      <c r="Z1081" s="30"/>
      <c r="AA1081" s="30"/>
    </row>
    <row r="1082">
      <c r="A1082" s="29">
        <v>902671.0</v>
      </c>
      <c r="B1082" s="29">
        <v>903252.0</v>
      </c>
      <c r="C1082" s="30" t="str">
        <f t="shared" si="1"/>
        <v>+</v>
      </c>
      <c r="D1082" s="29">
        <f t="shared" si="2"/>
        <v>368</v>
      </c>
      <c r="E1082" s="30"/>
      <c r="F1082" s="30"/>
      <c r="G1082" s="30"/>
      <c r="H1082" s="3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  <c r="AA1082" s="30"/>
    </row>
    <row r="1083">
      <c r="A1083" s="29">
        <v>903302.0</v>
      </c>
      <c r="B1083" s="29">
        <v>904207.0</v>
      </c>
      <c r="C1083" s="30" t="str">
        <f t="shared" si="1"/>
        <v>+</v>
      </c>
      <c r="D1083" s="29">
        <f t="shared" si="2"/>
        <v>368</v>
      </c>
      <c r="E1083" s="30"/>
      <c r="F1083" s="30"/>
      <c r="G1083" s="30"/>
      <c r="H1083" s="30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  <c r="U1083" s="30"/>
      <c r="V1083" s="30"/>
      <c r="W1083" s="30"/>
      <c r="X1083" s="30"/>
      <c r="Y1083" s="30"/>
      <c r="Z1083" s="30"/>
      <c r="AA1083" s="30"/>
    </row>
    <row r="1084">
      <c r="A1084" s="29">
        <v>904207.0</v>
      </c>
      <c r="B1084" s="29">
        <v>905013.0</v>
      </c>
      <c r="C1084" s="30" t="str">
        <f t="shared" si="1"/>
        <v>+</v>
      </c>
      <c r="D1084" s="29">
        <f t="shared" si="2"/>
        <v>368</v>
      </c>
      <c r="E1084" s="30"/>
      <c r="F1084" s="30"/>
      <c r="G1084" s="30"/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  <c r="AA1084" s="30"/>
    </row>
    <row r="1085">
      <c r="A1085" s="29">
        <v>905615.0</v>
      </c>
      <c r="B1085" s="29">
        <v>906727.0</v>
      </c>
      <c r="C1085" s="30" t="str">
        <f t="shared" si="1"/>
        <v>+</v>
      </c>
      <c r="D1085" s="29">
        <f t="shared" si="2"/>
        <v>368</v>
      </c>
      <c r="E1085" s="30"/>
      <c r="F1085" s="30"/>
      <c r="G1085" s="30"/>
      <c r="H1085" s="30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0"/>
      <c r="X1085" s="30"/>
      <c r="Y1085" s="30"/>
      <c r="Z1085" s="30"/>
      <c r="AA1085" s="30"/>
    </row>
    <row r="1086">
      <c r="A1086" s="29">
        <v>906724.0</v>
      </c>
      <c r="B1086" s="29">
        <v>907692.0</v>
      </c>
      <c r="C1086" s="30" t="str">
        <f t="shared" si="1"/>
        <v>+</v>
      </c>
      <c r="D1086" s="29">
        <f t="shared" si="2"/>
        <v>368</v>
      </c>
      <c r="E1086" s="30"/>
      <c r="F1086" s="30"/>
      <c r="G1086" s="30"/>
      <c r="H1086" s="30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  <c r="AA1086" s="30"/>
    </row>
    <row r="1087">
      <c r="A1087" s="29">
        <v>907689.0</v>
      </c>
      <c r="B1087" s="29">
        <v>908915.0</v>
      </c>
      <c r="C1087" s="30" t="str">
        <f t="shared" si="1"/>
        <v>+</v>
      </c>
      <c r="D1087" s="29">
        <f t="shared" si="2"/>
        <v>368</v>
      </c>
      <c r="E1087" s="30"/>
      <c r="F1087" s="30"/>
      <c r="G1087" s="30"/>
      <c r="H1087" s="30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0"/>
      <c r="Z1087" s="30"/>
      <c r="AA1087" s="30"/>
    </row>
    <row r="1088">
      <c r="A1088" s="29">
        <v>908912.0</v>
      </c>
      <c r="B1088" s="29">
        <v>910264.0</v>
      </c>
      <c r="C1088" s="30" t="str">
        <f t="shared" si="1"/>
        <v>+</v>
      </c>
      <c r="D1088" s="29">
        <f t="shared" si="2"/>
        <v>368</v>
      </c>
      <c r="E1088" s="30"/>
      <c r="F1088" s="30"/>
      <c r="G1088" s="30"/>
      <c r="H1088" s="30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  <c r="AA1088" s="30"/>
    </row>
    <row r="1089">
      <c r="A1089" s="29">
        <v>910261.0</v>
      </c>
      <c r="B1089" s="29">
        <v>911151.0</v>
      </c>
      <c r="C1089" s="30" t="str">
        <f t="shared" si="1"/>
        <v>+</v>
      </c>
      <c r="D1089" s="29">
        <f t="shared" si="2"/>
        <v>368</v>
      </c>
      <c r="E1089" s="30"/>
      <c r="F1089" s="30"/>
      <c r="G1089" s="30"/>
      <c r="H1089" s="30"/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0"/>
      <c r="X1089" s="30"/>
      <c r="Y1089" s="30"/>
      <c r="Z1089" s="30"/>
      <c r="AA1089" s="30"/>
    </row>
    <row r="1090">
      <c r="A1090" s="29">
        <v>911148.0</v>
      </c>
      <c r="B1090" s="29">
        <v>911786.0</v>
      </c>
      <c r="C1090" s="30" t="str">
        <f t="shared" si="1"/>
        <v>+</v>
      </c>
      <c r="D1090" s="29">
        <f t="shared" si="2"/>
        <v>368</v>
      </c>
      <c r="E1090" s="30"/>
      <c r="F1090" s="30"/>
      <c r="G1090" s="30"/>
      <c r="H1090" s="30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0"/>
      <c r="X1090" s="30"/>
      <c r="Y1090" s="30"/>
      <c r="Z1090" s="30"/>
      <c r="AA1090" s="30"/>
    </row>
    <row r="1091">
      <c r="A1091" s="29">
        <v>912557.0</v>
      </c>
      <c r="B1091" s="29">
        <v>911922.0</v>
      </c>
      <c r="C1091" s="30" t="str">
        <f t="shared" si="1"/>
        <v>-</v>
      </c>
      <c r="D1091" s="29">
        <f t="shared" si="2"/>
        <v>369</v>
      </c>
      <c r="E1091" s="30"/>
      <c r="F1091" s="30"/>
      <c r="G1091" s="30"/>
      <c r="H1091" s="30"/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0"/>
      <c r="X1091" s="30"/>
      <c r="Y1091" s="30"/>
      <c r="Z1091" s="30"/>
      <c r="AA1091" s="30"/>
    </row>
    <row r="1092">
      <c r="A1092" s="29">
        <v>915035.0</v>
      </c>
      <c r="B1092" s="29">
        <v>916327.0</v>
      </c>
      <c r="C1092" s="30" t="str">
        <f t="shared" si="1"/>
        <v>+</v>
      </c>
      <c r="D1092" s="29">
        <f t="shared" si="2"/>
        <v>370</v>
      </c>
      <c r="E1092" s="30"/>
      <c r="F1092" s="30"/>
      <c r="G1092" s="30"/>
      <c r="H1092" s="30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  <c r="AA1092" s="30"/>
    </row>
    <row r="1093">
      <c r="A1093" s="29">
        <v>916328.0</v>
      </c>
      <c r="B1093" s="29">
        <v>917737.0</v>
      </c>
      <c r="C1093" s="30" t="str">
        <f t="shared" si="1"/>
        <v>+</v>
      </c>
      <c r="D1093" s="29">
        <f t="shared" si="2"/>
        <v>370</v>
      </c>
      <c r="E1093" s="30"/>
      <c r="F1093" s="30"/>
      <c r="G1093" s="30"/>
      <c r="H1093" s="30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  <c r="U1093" s="30"/>
      <c r="V1093" s="30"/>
      <c r="W1093" s="30"/>
      <c r="X1093" s="30"/>
      <c r="Y1093" s="30"/>
      <c r="Z1093" s="30"/>
      <c r="AA1093" s="30"/>
    </row>
    <row r="1094">
      <c r="A1094" s="29">
        <v>917734.0</v>
      </c>
      <c r="B1094" s="29">
        <v>918696.0</v>
      </c>
      <c r="C1094" s="30" t="str">
        <f t="shared" si="1"/>
        <v>+</v>
      </c>
      <c r="D1094" s="29">
        <f t="shared" si="2"/>
        <v>370</v>
      </c>
      <c r="E1094" s="30"/>
      <c r="F1094" s="30"/>
      <c r="G1094" s="30"/>
      <c r="H1094" s="30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0"/>
      <c r="X1094" s="30"/>
      <c r="Y1094" s="30"/>
      <c r="Z1094" s="30"/>
      <c r="AA1094" s="30"/>
    </row>
    <row r="1095">
      <c r="A1095" s="29">
        <v>918687.0</v>
      </c>
      <c r="B1095" s="29">
        <v>919541.0</v>
      </c>
      <c r="C1095" s="30" t="str">
        <f t="shared" si="1"/>
        <v>+</v>
      </c>
      <c r="D1095" s="29">
        <f t="shared" si="2"/>
        <v>370</v>
      </c>
      <c r="E1095" s="30"/>
      <c r="F1095" s="30"/>
      <c r="G1095" s="30"/>
      <c r="H1095" s="30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0"/>
      <c r="X1095" s="30"/>
      <c r="Y1095" s="30"/>
      <c r="Z1095" s="30"/>
      <c r="AA1095" s="30"/>
    </row>
    <row r="1096">
      <c r="A1096" s="29">
        <v>920089.0</v>
      </c>
      <c r="B1096" s="29">
        <v>919742.0</v>
      </c>
      <c r="C1096" s="30" t="str">
        <f t="shared" si="1"/>
        <v>-</v>
      </c>
      <c r="D1096" s="29">
        <f t="shared" si="2"/>
        <v>371</v>
      </c>
      <c r="E1096" s="30"/>
      <c r="F1096" s="30"/>
      <c r="G1096" s="30"/>
      <c r="H1096" s="30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  <c r="AA1096" s="30"/>
    </row>
    <row r="1097">
      <c r="A1097" s="29">
        <v>921387.0</v>
      </c>
      <c r="B1097" s="29">
        <v>920152.0</v>
      </c>
      <c r="C1097" s="30" t="str">
        <f t="shared" si="1"/>
        <v>-</v>
      </c>
      <c r="D1097" s="29">
        <f t="shared" si="2"/>
        <v>371</v>
      </c>
      <c r="E1097" s="30"/>
      <c r="F1097" s="30"/>
      <c r="G1097" s="30"/>
      <c r="H1097" s="3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0"/>
      <c r="Z1097" s="30"/>
      <c r="AA1097" s="30"/>
    </row>
    <row r="1098">
      <c r="A1098" s="29">
        <v>921460.0</v>
      </c>
      <c r="B1098" s="29">
        <v>922503.0</v>
      </c>
      <c r="C1098" s="30" t="str">
        <f t="shared" si="1"/>
        <v>+</v>
      </c>
      <c r="D1098" s="29">
        <f t="shared" si="2"/>
        <v>372</v>
      </c>
      <c r="E1098" s="30"/>
      <c r="F1098" s="30"/>
      <c r="G1098" s="30"/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0"/>
      <c r="X1098" s="30"/>
      <c r="Y1098" s="30"/>
      <c r="Z1098" s="30"/>
      <c r="AA1098" s="30"/>
    </row>
    <row r="1099">
      <c r="A1099" s="29">
        <v>922500.0</v>
      </c>
      <c r="B1099" s="29">
        <v>924308.0</v>
      </c>
      <c r="C1099" s="30" t="str">
        <f t="shared" si="1"/>
        <v>+</v>
      </c>
      <c r="D1099" s="29">
        <f t="shared" si="2"/>
        <v>372</v>
      </c>
      <c r="E1099" s="30"/>
      <c r="F1099" s="30"/>
      <c r="G1099" s="30"/>
      <c r="H1099" s="30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0"/>
      <c r="X1099" s="30"/>
      <c r="Y1099" s="30"/>
      <c r="Z1099" s="30"/>
      <c r="AA1099" s="30"/>
    </row>
    <row r="1100">
      <c r="A1100" s="29">
        <v>925855.0</v>
      </c>
      <c r="B1100" s="29">
        <v>924314.0</v>
      </c>
      <c r="C1100" s="30" t="str">
        <f t="shared" si="1"/>
        <v>-</v>
      </c>
      <c r="D1100" s="29">
        <f t="shared" si="2"/>
        <v>373</v>
      </c>
      <c r="E1100" s="30"/>
      <c r="F1100" s="30"/>
      <c r="G1100" s="30"/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  <c r="AA1100" s="30"/>
    </row>
    <row r="1101">
      <c r="A1101" s="29">
        <v>925986.0</v>
      </c>
      <c r="B1101" s="29">
        <v>927305.0</v>
      </c>
      <c r="C1101" s="30" t="str">
        <f t="shared" si="1"/>
        <v>+</v>
      </c>
      <c r="D1101" s="29">
        <f t="shared" si="2"/>
        <v>374</v>
      </c>
      <c r="E1101" s="30"/>
      <c r="F1101" s="30"/>
      <c r="G1101" s="30"/>
      <c r="H1101" s="30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0"/>
      <c r="X1101" s="30"/>
      <c r="Y1101" s="30"/>
      <c r="Z1101" s="30"/>
      <c r="AA1101" s="30"/>
    </row>
    <row r="1102">
      <c r="A1102" s="29">
        <v>927302.0</v>
      </c>
      <c r="B1102" s="29">
        <v>929227.0</v>
      </c>
      <c r="C1102" s="30" t="str">
        <f t="shared" si="1"/>
        <v>+</v>
      </c>
      <c r="D1102" s="29">
        <f t="shared" si="2"/>
        <v>374</v>
      </c>
      <c r="E1102" s="30"/>
      <c r="F1102" s="30"/>
      <c r="G1102" s="30"/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  <c r="AA1102" s="30"/>
    </row>
    <row r="1103">
      <c r="A1103" s="29">
        <v>929458.0</v>
      </c>
      <c r="B1103" s="29">
        <v>929231.0</v>
      </c>
      <c r="C1103" s="30" t="str">
        <f t="shared" si="1"/>
        <v>-</v>
      </c>
      <c r="D1103" s="29">
        <f t="shared" si="2"/>
        <v>375</v>
      </c>
      <c r="E1103" s="30"/>
      <c r="F1103" s="30"/>
      <c r="G1103" s="30"/>
      <c r="H1103" s="30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0"/>
      <c r="X1103" s="30"/>
      <c r="Y1103" s="30"/>
      <c r="Z1103" s="30"/>
      <c r="AA1103" s="30"/>
    </row>
    <row r="1104">
      <c r="A1104" s="29">
        <v>929526.0</v>
      </c>
      <c r="B1104" s="29">
        <v>931427.0</v>
      </c>
      <c r="C1104" s="30" t="str">
        <f t="shared" si="1"/>
        <v>+</v>
      </c>
      <c r="D1104" s="29">
        <f t="shared" si="2"/>
        <v>376</v>
      </c>
      <c r="E1104" s="30"/>
      <c r="F1104" s="30"/>
      <c r="G1104" s="30"/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/>
      <c r="AA1104" s="30"/>
    </row>
    <row r="1105">
      <c r="A1105" s="29">
        <v>931782.0</v>
      </c>
      <c r="B1105" s="29">
        <v>931438.0</v>
      </c>
      <c r="C1105" s="30" t="str">
        <f t="shared" si="1"/>
        <v>-</v>
      </c>
      <c r="D1105" s="29">
        <f t="shared" si="2"/>
        <v>377</v>
      </c>
      <c r="E1105" s="30"/>
      <c r="F1105" s="30"/>
      <c r="G1105" s="30"/>
      <c r="H1105" s="30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/>
      <c r="W1105" s="30"/>
      <c r="X1105" s="30"/>
      <c r="Y1105" s="30"/>
      <c r="Z1105" s="30"/>
      <c r="AA1105" s="30"/>
    </row>
    <row r="1106">
      <c r="A1106" s="29">
        <v>932324.0</v>
      </c>
      <c r="B1106" s="29">
        <v>931812.0</v>
      </c>
      <c r="C1106" s="30" t="str">
        <f t="shared" si="1"/>
        <v>-</v>
      </c>
      <c r="D1106" s="29">
        <f t="shared" si="2"/>
        <v>377</v>
      </c>
      <c r="E1106" s="30"/>
      <c r="F1106" s="30"/>
      <c r="G1106" s="30"/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0"/>
      <c r="X1106" s="30"/>
      <c r="Y1106" s="30"/>
      <c r="Z1106" s="30"/>
      <c r="AA1106" s="30"/>
    </row>
    <row r="1107">
      <c r="A1107" s="29">
        <v>932907.0</v>
      </c>
      <c r="B1107" s="29">
        <v>933350.0</v>
      </c>
      <c r="C1107" s="30" t="str">
        <f t="shared" si="1"/>
        <v>+</v>
      </c>
      <c r="D1107" s="29">
        <f t="shared" si="2"/>
        <v>378</v>
      </c>
      <c r="E1107" s="30"/>
      <c r="F1107" s="30"/>
      <c r="G1107" s="30"/>
      <c r="H1107" s="30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0"/>
      <c r="X1107" s="30"/>
      <c r="Y1107" s="30"/>
      <c r="Z1107" s="30"/>
      <c r="AA1107" s="30"/>
    </row>
    <row r="1108">
      <c r="A1108" s="29">
        <v>933903.0</v>
      </c>
      <c r="B1108" s="29">
        <v>933442.0</v>
      </c>
      <c r="C1108" s="30" t="str">
        <f t="shared" si="1"/>
        <v>-</v>
      </c>
      <c r="D1108" s="29">
        <f t="shared" si="2"/>
        <v>379</v>
      </c>
      <c r="E1108" s="30"/>
      <c r="F1108" s="30"/>
      <c r="G1108" s="30"/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0"/>
      <c r="X1108" s="30"/>
      <c r="Y1108" s="30"/>
      <c r="Z1108" s="30"/>
      <c r="AA1108" s="30"/>
    </row>
    <row r="1109">
      <c r="A1109" s="29">
        <v>934688.0</v>
      </c>
      <c r="B1109" s="29">
        <v>934149.0</v>
      </c>
      <c r="C1109" s="30" t="str">
        <f t="shared" si="1"/>
        <v>-</v>
      </c>
      <c r="D1109" s="29">
        <f t="shared" si="2"/>
        <v>379</v>
      </c>
      <c r="E1109" s="30"/>
      <c r="F1109" s="30"/>
      <c r="G1109" s="30"/>
      <c r="H1109" s="30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30"/>
      <c r="W1109" s="30"/>
      <c r="X1109" s="30"/>
      <c r="Y1109" s="30"/>
      <c r="Z1109" s="30"/>
      <c r="AA1109" s="30"/>
    </row>
    <row r="1110">
      <c r="A1110" s="29">
        <v>934795.0</v>
      </c>
      <c r="B1110" s="29">
        <v>934685.0</v>
      </c>
      <c r="C1110" s="30" t="str">
        <f t="shared" si="1"/>
        <v>-</v>
      </c>
      <c r="D1110" s="29">
        <f t="shared" si="2"/>
        <v>379</v>
      </c>
      <c r="E1110" s="30"/>
      <c r="F1110" s="30"/>
      <c r="G1110" s="30"/>
      <c r="H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0"/>
      <c r="X1110" s="30"/>
      <c r="Y1110" s="30"/>
      <c r="Z1110" s="30"/>
      <c r="AA1110" s="30"/>
    </row>
    <row r="1111">
      <c r="A1111" s="29">
        <v>935348.0</v>
      </c>
      <c r="B1111" s="29">
        <v>935058.0</v>
      </c>
      <c r="C1111" s="30" t="str">
        <f t="shared" si="1"/>
        <v>-</v>
      </c>
      <c r="D1111" s="29">
        <f t="shared" si="2"/>
        <v>379</v>
      </c>
      <c r="E1111" s="30"/>
      <c r="F1111" s="30"/>
      <c r="G1111" s="30"/>
      <c r="H1111" s="30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0"/>
      <c r="X1111" s="30"/>
      <c r="Y1111" s="30"/>
      <c r="Z1111" s="30"/>
      <c r="AA1111" s="30"/>
    </row>
    <row r="1112">
      <c r="A1112" s="29">
        <v>935563.0</v>
      </c>
      <c r="B1112" s="29">
        <v>935336.0</v>
      </c>
      <c r="C1112" s="30" t="str">
        <f t="shared" si="1"/>
        <v>-</v>
      </c>
      <c r="D1112" s="29">
        <f t="shared" si="2"/>
        <v>379</v>
      </c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0"/>
      <c r="X1112" s="30"/>
      <c r="Y1112" s="30"/>
      <c r="Z1112" s="30"/>
      <c r="AA1112" s="30"/>
    </row>
    <row r="1113">
      <c r="A1113" s="29">
        <v>935901.0</v>
      </c>
      <c r="B1113" s="29">
        <v>936110.0</v>
      </c>
      <c r="C1113" s="30" t="str">
        <f t="shared" si="1"/>
        <v>+</v>
      </c>
      <c r="D1113" s="29">
        <f t="shared" si="2"/>
        <v>380</v>
      </c>
      <c r="E1113" s="30"/>
      <c r="F1113" s="30"/>
      <c r="G1113" s="30"/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  <c r="AA1113" s="30"/>
    </row>
    <row r="1114">
      <c r="A1114" s="29">
        <v>936088.0</v>
      </c>
      <c r="B1114" s="29">
        <v>936486.0</v>
      </c>
      <c r="C1114" s="30" t="str">
        <f t="shared" si="1"/>
        <v>+</v>
      </c>
      <c r="D1114" s="29">
        <f t="shared" si="2"/>
        <v>380</v>
      </c>
      <c r="E1114" s="30"/>
      <c r="F1114" s="30"/>
      <c r="G1114" s="30"/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  <c r="AA1114" s="30"/>
    </row>
    <row r="1115">
      <c r="A1115" s="29">
        <v>936561.0</v>
      </c>
      <c r="B1115" s="29">
        <v>936818.0</v>
      </c>
      <c r="C1115" s="30" t="str">
        <f t="shared" si="1"/>
        <v>+</v>
      </c>
      <c r="D1115" s="29">
        <f t="shared" si="2"/>
        <v>380</v>
      </c>
      <c r="E1115" s="30"/>
      <c r="F1115" s="30"/>
      <c r="G1115" s="30"/>
      <c r="H1115" s="30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  <c r="U1115" s="30"/>
      <c r="V1115" s="30"/>
      <c r="W1115" s="30"/>
      <c r="X1115" s="30"/>
      <c r="Y1115" s="30"/>
      <c r="Z1115" s="30"/>
      <c r="AA1115" s="30"/>
    </row>
    <row r="1116">
      <c r="A1116" s="29">
        <v>936815.0</v>
      </c>
      <c r="B1116" s="29">
        <v>936964.0</v>
      </c>
      <c r="C1116" s="30" t="str">
        <f t="shared" si="1"/>
        <v>+</v>
      </c>
      <c r="D1116" s="29">
        <f t="shared" si="2"/>
        <v>380</v>
      </c>
      <c r="E1116" s="30"/>
      <c r="F1116" s="30"/>
      <c r="G1116" s="30"/>
      <c r="H1116" s="30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0"/>
      <c r="Z1116" s="30"/>
      <c r="AA1116" s="30"/>
    </row>
    <row r="1117">
      <c r="A1117" s="29">
        <v>937505.0</v>
      </c>
      <c r="B1117" s="29">
        <v>937269.0</v>
      </c>
      <c r="C1117" s="30" t="str">
        <f t="shared" si="1"/>
        <v>-</v>
      </c>
      <c r="D1117" s="29">
        <f t="shared" si="2"/>
        <v>381</v>
      </c>
      <c r="E1117" s="30"/>
      <c r="F1117" s="30"/>
      <c r="G1117" s="30"/>
      <c r="H1117" s="30"/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0"/>
      <c r="X1117" s="30"/>
      <c r="Y1117" s="30"/>
      <c r="Z1117" s="30"/>
      <c r="AA1117" s="30"/>
    </row>
    <row r="1118">
      <c r="A1118" s="29">
        <v>937858.0</v>
      </c>
      <c r="B1118" s="29">
        <v>937613.0</v>
      </c>
      <c r="C1118" s="30" t="str">
        <f t="shared" si="1"/>
        <v>-</v>
      </c>
      <c r="D1118" s="29">
        <f t="shared" si="2"/>
        <v>381</v>
      </c>
      <c r="E1118" s="30"/>
      <c r="F1118" s="30"/>
      <c r="G1118" s="30"/>
      <c r="H1118" s="30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0"/>
      <c r="X1118" s="30"/>
      <c r="Y1118" s="30"/>
      <c r="Z1118" s="30"/>
      <c r="AA1118" s="30"/>
    </row>
    <row r="1119">
      <c r="A1119" s="29">
        <v>939137.0</v>
      </c>
      <c r="B1119" s="29">
        <v>940033.0</v>
      </c>
      <c r="C1119" s="30" t="str">
        <f t="shared" si="1"/>
        <v>+</v>
      </c>
      <c r="D1119" s="29">
        <f t="shared" si="2"/>
        <v>382</v>
      </c>
      <c r="E1119" s="30"/>
      <c r="F1119" s="30"/>
      <c r="G1119" s="30"/>
      <c r="H1119" s="30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  <c r="U1119" s="30"/>
      <c r="V1119" s="30"/>
      <c r="W1119" s="30"/>
      <c r="X1119" s="30"/>
      <c r="Y1119" s="30"/>
      <c r="Z1119" s="30"/>
      <c r="AA1119" s="30"/>
    </row>
    <row r="1120">
      <c r="A1120" s="29">
        <v>940017.0</v>
      </c>
      <c r="B1120" s="29">
        <v>940925.0</v>
      </c>
      <c r="C1120" s="30" t="str">
        <f t="shared" si="1"/>
        <v>+</v>
      </c>
      <c r="D1120" s="29">
        <f t="shared" si="2"/>
        <v>382</v>
      </c>
      <c r="E1120" s="30"/>
      <c r="F1120" s="30"/>
      <c r="G1120" s="30"/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0"/>
      <c r="X1120" s="30"/>
      <c r="Y1120" s="30"/>
      <c r="Z1120" s="30"/>
      <c r="AA1120" s="30"/>
    </row>
    <row r="1121">
      <c r="A1121" s="29">
        <v>940922.0</v>
      </c>
      <c r="B1121" s="29">
        <v>941209.0</v>
      </c>
      <c r="C1121" s="30" t="str">
        <f t="shared" si="1"/>
        <v>+</v>
      </c>
      <c r="D1121" s="29">
        <f t="shared" si="2"/>
        <v>382</v>
      </c>
      <c r="E1121" s="30"/>
      <c r="F1121" s="30"/>
      <c r="G1121" s="30"/>
      <c r="H1121" s="30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  <c r="U1121" s="30"/>
      <c r="V1121" s="30"/>
      <c r="W1121" s="30"/>
      <c r="X1121" s="30"/>
      <c r="Y1121" s="30"/>
      <c r="Z1121" s="30"/>
      <c r="AA1121" s="30"/>
    </row>
    <row r="1122">
      <c r="A1122" s="29">
        <v>941699.0</v>
      </c>
      <c r="B1122" s="29">
        <v>942037.0</v>
      </c>
      <c r="C1122" s="30" t="str">
        <f t="shared" si="1"/>
        <v>+</v>
      </c>
      <c r="D1122" s="29">
        <f t="shared" si="2"/>
        <v>382</v>
      </c>
      <c r="E1122" s="30"/>
      <c r="F1122" s="30"/>
      <c r="G1122" s="30"/>
      <c r="H1122" s="30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0"/>
      <c r="Z1122" s="30"/>
      <c r="AA1122" s="30"/>
    </row>
    <row r="1123">
      <c r="A1123" s="29">
        <v>943067.0</v>
      </c>
      <c r="B1123" s="29">
        <v>942171.0</v>
      </c>
      <c r="C1123" s="30" t="str">
        <f t="shared" si="1"/>
        <v>-</v>
      </c>
      <c r="D1123" s="29">
        <f t="shared" si="2"/>
        <v>383</v>
      </c>
      <c r="E1123" s="30"/>
      <c r="F1123" s="30"/>
      <c r="G1123" s="30"/>
      <c r="H1123" s="30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30"/>
      <c r="X1123" s="30"/>
      <c r="Y1123" s="30"/>
      <c r="Z1123" s="30"/>
      <c r="AA1123" s="30"/>
    </row>
    <row r="1124">
      <c r="A1124" s="29">
        <v>943920.0</v>
      </c>
      <c r="B1124" s="29">
        <v>943756.0</v>
      </c>
      <c r="C1124" s="30" t="str">
        <f t="shared" si="1"/>
        <v>-</v>
      </c>
      <c r="D1124" s="29">
        <f t="shared" si="2"/>
        <v>383</v>
      </c>
      <c r="E1124" s="30"/>
      <c r="F1124" s="30"/>
      <c r="G1124" s="30"/>
      <c r="H1124" s="30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0"/>
      <c r="X1124" s="30"/>
      <c r="Y1124" s="30"/>
      <c r="Z1124" s="30"/>
      <c r="AA1124" s="30"/>
    </row>
    <row r="1125">
      <c r="A1125" s="29">
        <v>944610.0</v>
      </c>
      <c r="B1125" s="29">
        <v>945353.0</v>
      </c>
      <c r="C1125" s="30" t="str">
        <f t="shared" si="1"/>
        <v>+</v>
      </c>
      <c r="D1125" s="29">
        <f t="shared" si="2"/>
        <v>384</v>
      </c>
      <c r="E1125" s="30"/>
      <c r="F1125" s="30"/>
      <c r="G1125" s="30"/>
      <c r="H1125" s="30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  <c r="U1125" s="30"/>
      <c r="V1125" s="30"/>
      <c r="W1125" s="30"/>
      <c r="X1125" s="30"/>
      <c r="Y1125" s="30"/>
      <c r="Z1125" s="30"/>
      <c r="AA1125" s="30"/>
    </row>
    <row r="1126">
      <c r="A1126" s="29">
        <v>947424.0</v>
      </c>
      <c r="B1126" s="29">
        <v>946858.0</v>
      </c>
      <c r="C1126" s="30" t="str">
        <f t="shared" si="1"/>
        <v>-</v>
      </c>
      <c r="D1126" s="29">
        <f t="shared" si="2"/>
        <v>385</v>
      </c>
      <c r="E1126" s="30"/>
      <c r="F1126" s="30"/>
      <c r="G1126" s="30"/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0"/>
      <c r="Y1126" s="30"/>
      <c r="Z1126" s="30"/>
      <c r="AA1126" s="30"/>
    </row>
    <row r="1127">
      <c r="A1127" s="29">
        <v>947925.0</v>
      </c>
      <c r="B1127" s="29">
        <v>947650.0</v>
      </c>
      <c r="C1127" s="30" t="str">
        <f t="shared" si="1"/>
        <v>-</v>
      </c>
      <c r="D1127" s="29">
        <f t="shared" si="2"/>
        <v>385</v>
      </c>
      <c r="E1127" s="30"/>
      <c r="F1127" s="30"/>
      <c r="G1127" s="30"/>
      <c r="H1127" s="3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30"/>
      <c r="Z1127" s="30"/>
      <c r="AA1127" s="30"/>
    </row>
    <row r="1128">
      <c r="A1128" s="29">
        <v>949724.0</v>
      </c>
      <c r="B1128" s="29">
        <v>949653.0</v>
      </c>
      <c r="C1128" s="30" t="str">
        <f t="shared" si="1"/>
        <v>-</v>
      </c>
      <c r="D1128" s="29">
        <f t="shared" si="2"/>
        <v>385</v>
      </c>
      <c r="E1128" s="30"/>
      <c r="F1128" s="30"/>
      <c r="G1128" s="30"/>
      <c r="H1128" s="30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0"/>
      <c r="X1128" s="30"/>
      <c r="Y1128" s="30"/>
      <c r="Z1128" s="30"/>
      <c r="AA1128" s="30"/>
    </row>
    <row r="1129">
      <c r="A1129" s="29">
        <v>949986.0</v>
      </c>
      <c r="B1129" s="29">
        <v>950474.0</v>
      </c>
      <c r="C1129" s="30" t="str">
        <f t="shared" si="1"/>
        <v>+</v>
      </c>
      <c r="D1129" s="29">
        <f t="shared" si="2"/>
        <v>386</v>
      </c>
      <c r="E1129" s="30"/>
      <c r="F1129" s="30"/>
      <c r="G1129" s="30"/>
      <c r="H1129" s="30"/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  <c r="U1129" s="30"/>
      <c r="V1129" s="30"/>
      <c r="W1129" s="30"/>
      <c r="X1129" s="30"/>
      <c r="Y1129" s="30"/>
      <c r="Z1129" s="30"/>
      <c r="AA1129" s="30"/>
    </row>
    <row r="1130">
      <c r="A1130" s="29">
        <v>950881.0</v>
      </c>
      <c r="B1130" s="29">
        <v>951510.0</v>
      </c>
      <c r="C1130" s="30" t="str">
        <f t="shared" si="1"/>
        <v>+</v>
      </c>
      <c r="D1130" s="29">
        <f t="shared" si="2"/>
        <v>386</v>
      </c>
      <c r="E1130" s="30"/>
      <c r="F1130" s="30"/>
      <c r="G1130" s="30"/>
      <c r="H1130" s="30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0"/>
      <c r="Z1130" s="30"/>
      <c r="AA1130" s="30"/>
    </row>
    <row r="1131">
      <c r="A1131" s="29">
        <v>951796.0</v>
      </c>
      <c r="B1131" s="29">
        <v>952107.0</v>
      </c>
      <c r="C1131" s="30" t="str">
        <f t="shared" si="1"/>
        <v>+</v>
      </c>
      <c r="D1131" s="29">
        <f t="shared" si="2"/>
        <v>386</v>
      </c>
      <c r="E1131" s="30"/>
      <c r="F1131" s="30"/>
      <c r="G1131" s="30"/>
      <c r="H1131" s="30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  <c r="U1131" s="30"/>
      <c r="V1131" s="30"/>
      <c r="W1131" s="30"/>
      <c r="X1131" s="30"/>
      <c r="Y1131" s="30"/>
      <c r="Z1131" s="30"/>
      <c r="AA1131" s="30"/>
    </row>
    <row r="1132">
      <c r="A1132" s="29">
        <v>953395.0</v>
      </c>
      <c r="B1132" s="29">
        <v>953547.0</v>
      </c>
      <c r="C1132" s="30" t="str">
        <f t="shared" si="1"/>
        <v>+</v>
      </c>
      <c r="D1132" s="29">
        <f t="shared" si="2"/>
        <v>386</v>
      </c>
      <c r="E1132" s="30"/>
      <c r="F1132" s="30"/>
      <c r="G1132" s="30"/>
      <c r="H1132" s="30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0"/>
      <c r="X1132" s="30"/>
      <c r="Y1132" s="30"/>
      <c r="Z1132" s="30"/>
      <c r="AA1132" s="30"/>
    </row>
    <row r="1133">
      <c r="A1133" s="29">
        <v>953562.0</v>
      </c>
      <c r="B1133" s="29">
        <v>953867.0</v>
      </c>
      <c r="C1133" s="30" t="str">
        <f t="shared" si="1"/>
        <v>+</v>
      </c>
      <c r="D1133" s="29">
        <f t="shared" si="2"/>
        <v>386</v>
      </c>
      <c r="E1133" s="30"/>
      <c r="F1133" s="30"/>
      <c r="G1133" s="30"/>
      <c r="H1133" s="30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/>
      <c r="W1133" s="30"/>
      <c r="X1133" s="30"/>
      <c r="Y1133" s="30"/>
      <c r="Z1133" s="30"/>
      <c r="AA1133" s="30"/>
    </row>
    <row r="1134">
      <c r="A1134" s="29">
        <v>954320.0</v>
      </c>
      <c r="B1134" s="29">
        <v>954781.0</v>
      </c>
      <c r="C1134" s="30" t="str">
        <f t="shared" si="1"/>
        <v>+</v>
      </c>
      <c r="D1134" s="29">
        <f t="shared" si="2"/>
        <v>386</v>
      </c>
      <c r="E1134" s="30"/>
      <c r="F1134" s="30"/>
      <c r="G1134" s="30"/>
      <c r="H1134" s="30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0"/>
      <c r="Z1134" s="30"/>
      <c r="AA1134" s="30"/>
    </row>
    <row r="1135">
      <c r="A1135" s="29">
        <v>954782.0</v>
      </c>
      <c r="B1135" s="29">
        <v>955060.0</v>
      </c>
      <c r="C1135" s="30" t="str">
        <f t="shared" si="1"/>
        <v>+</v>
      </c>
      <c r="D1135" s="29">
        <f t="shared" si="2"/>
        <v>386</v>
      </c>
      <c r="E1135" s="30"/>
      <c r="F1135" s="30"/>
      <c r="G1135" s="30"/>
      <c r="H1135" s="30"/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  <c r="U1135" s="30"/>
      <c r="V1135" s="30"/>
      <c r="W1135" s="30"/>
      <c r="X1135" s="30"/>
      <c r="Y1135" s="30"/>
      <c r="Z1135" s="30"/>
      <c r="AA1135" s="30"/>
    </row>
    <row r="1136">
      <c r="A1136" s="29">
        <v>955057.0</v>
      </c>
      <c r="B1136" s="29">
        <v>955167.0</v>
      </c>
      <c r="C1136" s="30" t="str">
        <f t="shared" si="1"/>
        <v>+</v>
      </c>
      <c r="D1136" s="29">
        <f t="shared" si="2"/>
        <v>386</v>
      </c>
      <c r="E1136" s="30"/>
      <c r="F1136" s="30"/>
      <c r="G1136" s="30"/>
      <c r="H1136" s="30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/>
      <c r="AA1136" s="30"/>
    </row>
    <row r="1137">
      <c r="A1137" s="29">
        <v>955546.0</v>
      </c>
      <c r="B1137" s="29">
        <v>956007.0</v>
      </c>
      <c r="C1137" s="30" t="str">
        <f t="shared" si="1"/>
        <v>+</v>
      </c>
      <c r="D1137" s="29">
        <f t="shared" si="2"/>
        <v>386</v>
      </c>
      <c r="E1137" s="30"/>
      <c r="F1137" s="30"/>
      <c r="G1137" s="30"/>
      <c r="H1137" s="30"/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0"/>
      <c r="Z1137" s="30"/>
      <c r="AA1137" s="30"/>
    </row>
    <row r="1138">
      <c r="A1138" s="29">
        <v>956857.0</v>
      </c>
      <c r="B1138" s="29">
        <v>956099.0</v>
      </c>
      <c r="C1138" s="30" t="str">
        <f t="shared" si="1"/>
        <v>-</v>
      </c>
      <c r="D1138" s="29">
        <f t="shared" si="2"/>
        <v>387</v>
      </c>
      <c r="E1138" s="30"/>
      <c r="F1138" s="30"/>
      <c r="G1138" s="30"/>
      <c r="H1138" s="30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0"/>
      <c r="Z1138" s="30"/>
      <c r="AA1138" s="30"/>
    </row>
    <row r="1139">
      <c r="A1139" s="29">
        <v>957396.0</v>
      </c>
      <c r="B1139" s="29">
        <v>956848.0</v>
      </c>
      <c r="C1139" s="30" t="str">
        <f t="shared" si="1"/>
        <v>-</v>
      </c>
      <c r="D1139" s="29">
        <f t="shared" si="2"/>
        <v>387</v>
      </c>
      <c r="E1139" s="30"/>
      <c r="F1139" s="30"/>
      <c r="G1139" s="30"/>
      <c r="H1139" s="30"/>
      <c r="I1139" s="30"/>
      <c r="J1139" s="30"/>
      <c r="K1139" s="30"/>
      <c r="L1139" s="30"/>
      <c r="M1139" s="30"/>
      <c r="N1139" s="30"/>
      <c r="O1139" s="30"/>
      <c r="P1139" s="30"/>
      <c r="Q1139" s="30"/>
      <c r="R1139" s="30"/>
      <c r="S1139" s="30"/>
      <c r="T1139" s="30"/>
      <c r="U1139" s="30"/>
      <c r="V1139" s="30"/>
      <c r="W1139" s="30"/>
      <c r="X1139" s="30"/>
      <c r="Y1139" s="30"/>
      <c r="Z1139" s="30"/>
      <c r="AA1139" s="30"/>
    </row>
    <row r="1140">
      <c r="A1140" s="29">
        <v>958142.0</v>
      </c>
      <c r="B1140" s="29">
        <v>957786.0</v>
      </c>
      <c r="C1140" s="30" t="str">
        <f t="shared" si="1"/>
        <v>-</v>
      </c>
      <c r="D1140" s="29">
        <f t="shared" si="2"/>
        <v>387</v>
      </c>
      <c r="E1140" s="30"/>
      <c r="F1140" s="30"/>
      <c r="G1140" s="30"/>
      <c r="H1140" s="30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0"/>
      <c r="X1140" s="30"/>
      <c r="Y1140" s="30"/>
      <c r="Z1140" s="30"/>
      <c r="AA1140" s="30"/>
    </row>
    <row r="1141">
      <c r="A1141" s="29">
        <v>958572.0</v>
      </c>
      <c r="B1141" s="29">
        <v>958099.0</v>
      </c>
      <c r="C1141" s="30" t="str">
        <f t="shared" si="1"/>
        <v>-</v>
      </c>
      <c r="D1141" s="29">
        <f t="shared" si="2"/>
        <v>387</v>
      </c>
      <c r="E1141" s="30"/>
      <c r="F1141" s="30"/>
      <c r="G1141" s="30"/>
      <c r="H1141" s="30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0"/>
      <c r="Z1141" s="30"/>
      <c r="AA1141" s="30"/>
    </row>
    <row r="1142">
      <c r="A1142" s="29">
        <v>958805.0</v>
      </c>
      <c r="B1142" s="29">
        <v>958641.0</v>
      </c>
      <c r="C1142" s="30" t="str">
        <f t="shared" si="1"/>
        <v>-</v>
      </c>
      <c r="D1142" s="29">
        <f t="shared" si="2"/>
        <v>387</v>
      </c>
      <c r="E1142" s="30"/>
      <c r="F1142" s="30"/>
      <c r="G1142" s="30"/>
      <c r="H1142" s="3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0"/>
      <c r="X1142" s="30"/>
      <c r="Y1142" s="30"/>
      <c r="Z1142" s="30"/>
      <c r="AA1142" s="30"/>
    </row>
    <row r="1143">
      <c r="A1143" s="29">
        <v>959144.0</v>
      </c>
      <c r="B1143" s="29">
        <v>958806.0</v>
      </c>
      <c r="C1143" s="30" t="str">
        <f t="shared" si="1"/>
        <v>-</v>
      </c>
      <c r="D1143" s="29">
        <f t="shared" si="2"/>
        <v>387</v>
      </c>
      <c r="E1143" s="30"/>
      <c r="F1143" s="30"/>
      <c r="G1143" s="30"/>
      <c r="H1143" s="30"/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0"/>
      <c r="Z1143" s="30"/>
      <c r="AA1143" s="30"/>
    </row>
    <row r="1144">
      <c r="A1144" s="29">
        <v>960613.0</v>
      </c>
      <c r="B1144" s="29">
        <v>960242.0</v>
      </c>
      <c r="C1144" s="30" t="str">
        <f t="shared" si="1"/>
        <v>-</v>
      </c>
      <c r="D1144" s="29">
        <f t="shared" si="2"/>
        <v>387</v>
      </c>
      <c r="E1144" s="30"/>
      <c r="F1144" s="30"/>
      <c r="G1144" s="30"/>
      <c r="H1144" s="30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0"/>
      <c r="X1144" s="30"/>
      <c r="Y1144" s="30"/>
      <c r="Z1144" s="30"/>
      <c r="AA1144" s="30"/>
    </row>
    <row r="1145">
      <c r="A1145" s="29">
        <v>963008.0</v>
      </c>
      <c r="B1145" s="29">
        <v>960588.0</v>
      </c>
      <c r="C1145" s="30" t="str">
        <f t="shared" si="1"/>
        <v>-</v>
      </c>
      <c r="D1145" s="29">
        <f t="shared" si="2"/>
        <v>387</v>
      </c>
      <c r="E1145" s="30"/>
      <c r="F1145" s="30"/>
      <c r="G1145" s="30"/>
      <c r="H1145" s="30"/>
      <c r="I1145" s="30"/>
      <c r="J1145" s="30"/>
      <c r="K1145" s="30"/>
      <c r="L1145" s="30"/>
      <c r="M1145" s="30"/>
      <c r="N1145" s="30"/>
      <c r="O1145" s="30"/>
      <c r="P1145" s="30"/>
      <c r="Q1145" s="30"/>
      <c r="R1145" s="30"/>
      <c r="S1145" s="30"/>
      <c r="T1145" s="30"/>
      <c r="U1145" s="30"/>
      <c r="V1145" s="30"/>
      <c r="W1145" s="30"/>
      <c r="X1145" s="30"/>
      <c r="Y1145" s="30"/>
      <c r="Z1145" s="30"/>
      <c r="AA1145" s="30"/>
    </row>
    <row r="1146">
      <c r="A1146" s="29">
        <v>963927.0</v>
      </c>
      <c r="B1146" s="29">
        <v>962995.0</v>
      </c>
      <c r="C1146" s="30" t="str">
        <f t="shared" si="1"/>
        <v>-</v>
      </c>
      <c r="D1146" s="29">
        <f t="shared" si="2"/>
        <v>387</v>
      </c>
      <c r="E1146" s="30"/>
      <c r="F1146" s="30"/>
      <c r="G1146" s="30"/>
      <c r="H1146" s="30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0"/>
      <c r="X1146" s="30"/>
      <c r="Y1146" s="30"/>
      <c r="Z1146" s="30"/>
      <c r="AA1146" s="30"/>
    </row>
    <row r="1147">
      <c r="A1147" s="29">
        <v>964769.0</v>
      </c>
      <c r="B1147" s="29">
        <v>963915.0</v>
      </c>
      <c r="C1147" s="30" t="str">
        <f t="shared" si="1"/>
        <v>-</v>
      </c>
      <c r="D1147" s="29">
        <f t="shared" si="2"/>
        <v>387</v>
      </c>
      <c r="E1147" s="30"/>
      <c r="F1147" s="30"/>
      <c r="G1147" s="30"/>
      <c r="H1147" s="30"/>
      <c r="I1147" s="30"/>
      <c r="J1147" s="30"/>
      <c r="K1147" s="30"/>
      <c r="L1147" s="30"/>
      <c r="M1147" s="30"/>
      <c r="N1147" s="30"/>
      <c r="O1147" s="30"/>
      <c r="P1147" s="30"/>
      <c r="Q1147" s="30"/>
      <c r="R1147" s="30"/>
      <c r="S1147" s="30"/>
      <c r="T1147" s="30"/>
      <c r="U1147" s="30"/>
      <c r="V1147" s="30"/>
      <c r="W1147" s="30"/>
      <c r="X1147" s="30"/>
      <c r="Y1147" s="30"/>
      <c r="Z1147" s="30"/>
      <c r="AA1147" s="30"/>
    </row>
    <row r="1148">
      <c r="A1148" s="29">
        <v>965689.0</v>
      </c>
      <c r="B1148" s="29">
        <v>964766.0</v>
      </c>
      <c r="C1148" s="30" t="str">
        <f t="shared" si="1"/>
        <v>-</v>
      </c>
      <c r="D1148" s="29">
        <f t="shared" si="2"/>
        <v>387</v>
      </c>
      <c r="E1148" s="30"/>
      <c r="F1148" s="30"/>
      <c r="G1148" s="30"/>
      <c r="H1148" s="30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0"/>
      <c r="X1148" s="30"/>
      <c r="Y1148" s="30"/>
      <c r="Z1148" s="30"/>
      <c r="AA1148" s="30"/>
    </row>
    <row r="1149">
      <c r="A1149" s="29">
        <v>966132.0</v>
      </c>
      <c r="B1149" s="29">
        <v>965686.0</v>
      </c>
      <c r="C1149" s="30" t="str">
        <f t="shared" si="1"/>
        <v>-</v>
      </c>
      <c r="D1149" s="29">
        <f t="shared" si="2"/>
        <v>387</v>
      </c>
      <c r="E1149" s="30"/>
      <c r="F1149" s="30"/>
      <c r="G1149" s="30"/>
      <c r="H1149" s="30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0"/>
      <c r="X1149" s="30"/>
      <c r="Y1149" s="30"/>
      <c r="Z1149" s="30"/>
      <c r="AA1149" s="30"/>
    </row>
    <row r="1150">
      <c r="A1150" s="29">
        <v>966218.0</v>
      </c>
      <c r="B1150" s="29">
        <v>966328.0</v>
      </c>
      <c r="C1150" s="30" t="str">
        <f t="shared" si="1"/>
        <v>+</v>
      </c>
      <c r="D1150" s="29">
        <f t="shared" si="2"/>
        <v>388</v>
      </c>
      <c r="E1150" s="30"/>
      <c r="F1150" s="30"/>
      <c r="G1150" s="30"/>
      <c r="H1150" s="30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/>
      <c r="AA1150" s="30"/>
    </row>
    <row r="1151">
      <c r="A1151" s="29">
        <v>966335.0</v>
      </c>
      <c r="B1151" s="29">
        <v>967201.0</v>
      </c>
      <c r="C1151" s="30" t="str">
        <f t="shared" si="1"/>
        <v>+</v>
      </c>
      <c r="D1151" s="29">
        <f t="shared" si="2"/>
        <v>388</v>
      </c>
      <c r="E1151" s="30"/>
      <c r="F1151" s="30"/>
      <c r="G1151" s="30"/>
      <c r="H1151" s="30"/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0"/>
      <c r="Z1151" s="30"/>
      <c r="AA1151" s="30"/>
    </row>
    <row r="1152">
      <c r="A1152" s="29">
        <v>967198.0</v>
      </c>
      <c r="B1152" s="29">
        <v>967683.0</v>
      </c>
      <c r="C1152" s="30" t="str">
        <f t="shared" si="1"/>
        <v>+</v>
      </c>
      <c r="D1152" s="29">
        <f t="shared" si="2"/>
        <v>388</v>
      </c>
      <c r="E1152" s="30"/>
      <c r="F1152" s="30"/>
      <c r="G1152" s="30"/>
      <c r="H1152" s="30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0"/>
      <c r="Z1152" s="30"/>
      <c r="AA1152" s="30"/>
    </row>
    <row r="1153">
      <c r="A1153" s="29">
        <v>968881.0</v>
      </c>
      <c r="B1153" s="29">
        <v>967664.0</v>
      </c>
      <c r="C1153" s="30" t="str">
        <f t="shared" si="1"/>
        <v>-</v>
      </c>
      <c r="D1153" s="29">
        <f t="shared" si="2"/>
        <v>389</v>
      </c>
      <c r="E1153" s="30"/>
      <c r="F1153" s="30"/>
      <c r="G1153" s="30"/>
      <c r="H1153" s="30"/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/>
      <c r="U1153" s="30"/>
      <c r="V1153" s="30"/>
      <c r="W1153" s="30"/>
      <c r="X1153" s="30"/>
      <c r="Y1153" s="30"/>
      <c r="Z1153" s="30"/>
      <c r="AA1153" s="30"/>
    </row>
    <row r="1154">
      <c r="A1154" s="29">
        <v>969442.0</v>
      </c>
      <c r="B1154" s="29">
        <v>969191.0</v>
      </c>
      <c r="C1154" s="30" t="str">
        <f t="shared" si="1"/>
        <v>-</v>
      </c>
      <c r="D1154" s="29">
        <f t="shared" si="2"/>
        <v>389</v>
      </c>
      <c r="E1154" s="30"/>
      <c r="F1154" s="30"/>
      <c r="G1154" s="30"/>
      <c r="H1154" s="30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0"/>
      <c r="Z1154" s="30"/>
      <c r="AA1154" s="30"/>
    </row>
    <row r="1155">
      <c r="A1155" s="29">
        <v>969586.0</v>
      </c>
      <c r="B1155" s="29">
        <v>970776.0</v>
      </c>
      <c r="C1155" s="30" t="str">
        <f t="shared" si="1"/>
        <v>+</v>
      </c>
      <c r="D1155" s="29">
        <f t="shared" si="2"/>
        <v>390</v>
      </c>
      <c r="E1155" s="30"/>
      <c r="F1155" s="30"/>
      <c r="G1155" s="30"/>
      <c r="H1155" s="30"/>
      <c r="I1155" s="30"/>
      <c r="J1155" s="30"/>
      <c r="K1155" s="30"/>
      <c r="L1155" s="30"/>
      <c r="M1155" s="30"/>
      <c r="N1155" s="30"/>
      <c r="O1155" s="30"/>
      <c r="P1155" s="30"/>
      <c r="Q1155" s="30"/>
      <c r="R1155" s="30"/>
      <c r="S1155" s="30"/>
      <c r="T1155" s="30"/>
      <c r="U1155" s="30"/>
      <c r="V1155" s="30"/>
      <c r="W1155" s="30"/>
      <c r="X1155" s="30"/>
      <c r="Y1155" s="30"/>
      <c r="Z1155" s="30"/>
      <c r="AA1155" s="30"/>
    </row>
    <row r="1156">
      <c r="A1156" s="29">
        <v>971317.0</v>
      </c>
      <c r="B1156" s="29">
        <v>970787.0</v>
      </c>
      <c r="C1156" s="30" t="str">
        <f t="shared" si="1"/>
        <v>-</v>
      </c>
      <c r="D1156" s="29">
        <f t="shared" si="2"/>
        <v>391</v>
      </c>
      <c r="E1156" s="30"/>
      <c r="F1156" s="30"/>
      <c r="G1156" s="30"/>
      <c r="H1156" s="30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0"/>
      <c r="Z1156" s="30"/>
      <c r="AA1156" s="30"/>
    </row>
    <row r="1157">
      <c r="A1157" s="29">
        <v>973302.0</v>
      </c>
      <c r="B1157" s="29">
        <v>971314.0</v>
      </c>
      <c r="C1157" s="30" t="str">
        <f t="shared" si="1"/>
        <v>-</v>
      </c>
      <c r="D1157" s="29">
        <f t="shared" si="2"/>
        <v>391</v>
      </c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0"/>
      <c r="X1157" s="30"/>
      <c r="Y1157" s="30"/>
      <c r="Z1157" s="30"/>
      <c r="AA1157" s="30"/>
    </row>
    <row r="1158">
      <c r="A1158" s="29">
        <v>974109.0</v>
      </c>
      <c r="B1158" s="29">
        <v>973330.0</v>
      </c>
      <c r="C1158" s="30" t="str">
        <f t="shared" si="1"/>
        <v>-</v>
      </c>
      <c r="D1158" s="29">
        <f t="shared" si="2"/>
        <v>391</v>
      </c>
      <c r="E1158" s="30"/>
      <c r="F1158" s="30"/>
      <c r="G1158" s="30"/>
      <c r="H1158" s="30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0"/>
      <c r="X1158" s="30"/>
      <c r="Y1158" s="30"/>
      <c r="Z1158" s="30"/>
      <c r="AA1158" s="30"/>
    </row>
    <row r="1159">
      <c r="A1159" s="29">
        <v>974875.0</v>
      </c>
      <c r="B1159" s="29">
        <v>974372.0</v>
      </c>
      <c r="C1159" s="30" t="str">
        <f t="shared" si="1"/>
        <v>-</v>
      </c>
      <c r="D1159" s="29">
        <f t="shared" si="2"/>
        <v>391</v>
      </c>
      <c r="E1159" s="30"/>
      <c r="F1159" s="30"/>
      <c r="G1159" s="30"/>
      <c r="H1159" s="30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0"/>
      <c r="Z1159" s="30"/>
      <c r="AA1159" s="30"/>
    </row>
    <row r="1160">
      <c r="A1160" s="29">
        <v>975491.0</v>
      </c>
      <c r="B1160" s="29">
        <v>975330.0</v>
      </c>
      <c r="C1160" s="30" t="str">
        <f t="shared" si="1"/>
        <v>-</v>
      </c>
      <c r="D1160" s="29">
        <f t="shared" si="2"/>
        <v>391</v>
      </c>
      <c r="E1160" s="30"/>
      <c r="F1160" s="30"/>
      <c r="G1160" s="30"/>
      <c r="H1160" s="30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  <c r="AA1160" s="30"/>
    </row>
    <row r="1161">
      <c r="A1161" s="29">
        <v>976239.0</v>
      </c>
      <c r="B1161" s="29">
        <v>975823.0</v>
      </c>
      <c r="C1161" s="30" t="str">
        <f t="shared" si="1"/>
        <v>-</v>
      </c>
      <c r="D1161" s="29">
        <f t="shared" si="2"/>
        <v>391</v>
      </c>
      <c r="E1161" s="30"/>
      <c r="F1161" s="30"/>
      <c r="G1161" s="30"/>
      <c r="H1161" s="30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/>
      <c r="U1161" s="30"/>
      <c r="V1161" s="30"/>
      <c r="W1161" s="30"/>
      <c r="X1161" s="30"/>
      <c r="Y1161" s="30"/>
      <c r="Z1161" s="30"/>
      <c r="AA1161" s="30"/>
    </row>
    <row r="1162">
      <c r="A1162" s="29">
        <v>977168.0</v>
      </c>
      <c r="B1162" s="29">
        <v>976236.0</v>
      </c>
      <c r="C1162" s="30" t="str">
        <f t="shared" si="1"/>
        <v>-</v>
      </c>
      <c r="D1162" s="29">
        <f t="shared" si="2"/>
        <v>391</v>
      </c>
      <c r="E1162" s="30"/>
      <c r="F1162" s="30"/>
      <c r="G1162" s="30"/>
      <c r="H1162" s="30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/>
      <c r="AA1162" s="30"/>
    </row>
    <row r="1163">
      <c r="A1163" s="29">
        <v>978203.0</v>
      </c>
      <c r="B1163" s="29">
        <v>977172.0</v>
      </c>
      <c r="C1163" s="30" t="str">
        <f t="shared" si="1"/>
        <v>-</v>
      </c>
      <c r="D1163" s="29">
        <f t="shared" si="2"/>
        <v>391</v>
      </c>
      <c r="E1163" s="30"/>
      <c r="F1163" s="30"/>
      <c r="G1163" s="30"/>
      <c r="H1163" s="30"/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0"/>
      <c r="X1163" s="30"/>
      <c r="Y1163" s="30"/>
      <c r="Z1163" s="30"/>
      <c r="AA1163" s="30"/>
    </row>
    <row r="1164">
      <c r="A1164" s="29">
        <v>978970.0</v>
      </c>
      <c r="B1164" s="29">
        <v>978194.0</v>
      </c>
      <c r="C1164" s="30" t="str">
        <f t="shared" si="1"/>
        <v>-</v>
      </c>
      <c r="D1164" s="29">
        <f t="shared" si="2"/>
        <v>391</v>
      </c>
      <c r="E1164" s="30"/>
      <c r="F1164" s="30"/>
      <c r="G1164" s="30"/>
      <c r="H1164" s="30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0"/>
      <c r="X1164" s="30"/>
      <c r="Y1164" s="30"/>
      <c r="Z1164" s="30"/>
      <c r="AA1164" s="30"/>
    </row>
    <row r="1165">
      <c r="A1165" s="29">
        <v>980721.0</v>
      </c>
      <c r="B1165" s="29">
        <v>978967.0</v>
      </c>
      <c r="C1165" s="30" t="str">
        <f t="shared" si="1"/>
        <v>-</v>
      </c>
      <c r="D1165" s="29">
        <f t="shared" si="2"/>
        <v>391</v>
      </c>
      <c r="E1165" s="30"/>
      <c r="F1165" s="30"/>
      <c r="G1165" s="30"/>
      <c r="H1165" s="30"/>
      <c r="I1165" s="30"/>
      <c r="J1165" s="30"/>
      <c r="K1165" s="30"/>
      <c r="L1165" s="30"/>
      <c r="M1165" s="30"/>
      <c r="N1165" s="30"/>
      <c r="O1165" s="30"/>
      <c r="P1165" s="30"/>
      <c r="Q1165" s="30"/>
      <c r="R1165" s="30"/>
      <c r="S1165" s="30"/>
      <c r="T1165" s="30"/>
      <c r="U1165" s="30"/>
      <c r="V1165" s="30"/>
      <c r="W1165" s="30"/>
      <c r="X1165" s="30"/>
      <c r="Y1165" s="30"/>
      <c r="Z1165" s="30"/>
      <c r="AA1165" s="30"/>
    </row>
    <row r="1166">
      <c r="A1166" s="29">
        <v>981397.0</v>
      </c>
      <c r="B1166" s="29">
        <v>980711.0</v>
      </c>
      <c r="C1166" s="30" t="str">
        <f t="shared" si="1"/>
        <v>-</v>
      </c>
      <c r="D1166" s="29">
        <f t="shared" si="2"/>
        <v>391</v>
      </c>
      <c r="E1166" s="30"/>
      <c r="F1166" s="30"/>
      <c r="G1166" s="30"/>
      <c r="H1166" s="30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0"/>
      <c r="Z1166" s="30"/>
      <c r="AA1166" s="30"/>
    </row>
    <row r="1167">
      <c r="A1167" s="29">
        <v>982364.0</v>
      </c>
      <c r="B1167" s="29">
        <v>981378.0</v>
      </c>
      <c r="C1167" s="30" t="str">
        <f t="shared" si="1"/>
        <v>-</v>
      </c>
      <c r="D1167" s="29">
        <f t="shared" si="2"/>
        <v>391</v>
      </c>
      <c r="E1167" s="30"/>
      <c r="F1167" s="30"/>
      <c r="G1167" s="30"/>
      <c r="H1167" s="30"/>
      <c r="I1167" s="30"/>
      <c r="J1167" s="30"/>
      <c r="K1167" s="30"/>
      <c r="L1167" s="30"/>
      <c r="M1167" s="30"/>
      <c r="N1167" s="30"/>
      <c r="O1167" s="30"/>
      <c r="P1167" s="30"/>
      <c r="Q1167" s="30"/>
      <c r="R1167" s="30"/>
      <c r="S1167" s="30"/>
      <c r="T1167" s="30"/>
      <c r="U1167" s="30"/>
      <c r="V1167" s="30"/>
      <c r="W1167" s="30"/>
      <c r="X1167" s="30"/>
      <c r="Y1167" s="30"/>
      <c r="Z1167" s="30"/>
      <c r="AA1167" s="30"/>
    </row>
    <row r="1168">
      <c r="A1168" s="29">
        <v>982798.0</v>
      </c>
      <c r="B1168" s="29">
        <v>982361.0</v>
      </c>
      <c r="C1168" s="30" t="str">
        <f t="shared" si="1"/>
        <v>-</v>
      </c>
      <c r="D1168" s="29">
        <f t="shared" si="2"/>
        <v>391</v>
      </c>
      <c r="E1168" s="30"/>
      <c r="F1168" s="30"/>
      <c r="G1168" s="30"/>
      <c r="H1168" s="30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/>
      <c r="AA1168" s="30"/>
    </row>
    <row r="1169">
      <c r="A1169" s="29">
        <v>983446.0</v>
      </c>
      <c r="B1169" s="29">
        <v>982835.0</v>
      </c>
      <c r="C1169" s="30" t="str">
        <f t="shared" si="1"/>
        <v>-</v>
      </c>
      <c r="D1169" s="29">
        <f t="shared" si="2"/>
        <v>391</v>
      </c>
      <c r="E1169" s="30"/>
      <c r="F1169" s="30"/>
      <c r="G1169" s="30"/>
      <c r="H1169" s="30"/>
      <c r="I1169" s="30"/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0"/>
      <c r="Z1169" s="30"/>
      <c r="AA1169" s="30"/>
    </row>
    <row r="1170">
      <c r="A1170" s="29">
        <v>983525.0</v>
      </c>
      <c r="B1170" s="29">
        <v>984373.0</v>
      </c>
      <c r="C1170" s="30" t="str">
        <f t="shared" si="1"/>
        <v>+</v>
      </c>
      <c r="D1170" s="29">
        <f t="shared" si="2"/>
        <v>392</v>
      </c>
      <c r="E1170" s="30"/>
      <c r="F1170" s="30"/>
      <c r="G1170" s="30"/>
      <c r="H1170" s="30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0"/>
      <c r="Z1170" s="30"/>
      <c r="AA1170" s="30"/>
    </row>
    <row r="1171">
      <c r="A1171" s="29">
        <v>984354.0</v>
      </c>
      <c r="B1171" s="29">
        <v>985238.0</v>
      </c>
      <c r="C1171" s="30" t="str">
        <f t="shared" si="1"/>
        <v>+</v>
      </c>
      <c r="D1171" s="29">
        <f t="shared" si="2"/>
        <v>392</v>
      </c>
      <c r="E1171" s="30"/>
      <c r="F1171" s="30"/>
      <c r="G1171" s="30"/>
      <c r="H1171" s="30"/>
      <c r="I1171" s="30"/>
      <c r="J1171" s="30"/>
      <c r="K1171" s="30"/>
      <c r="L1171" s="30"/>
      <c r="M1171" s="30"/>
      <c r="N1171" s="30"/>
      <c r="O1171" s="30"/>
      <c r="P1171" s="30"/>
      <c r="Q1171" s="30"/>
      <c r="R1171" s="30"/>
      <c r="S1171" s="30"/>
      <c r="T1171" s="30"/>
      <c r="U1171" s="30"/>
      <c r="V1171" s="30"/>
      <c r="W1171" s="30"/>
      <c r="X1171" s="30"/>
      <c r="Y1171" s="30"/>
      <c r="Z1171" s="30"/>
      <c r="AA1171" s="30"/>
    </row>
    <row r="1172">
      <c r="A1172" s="29">
        <v>985229.0</v>
      </c>
      <c r="B1172" s="29">
        <v>985504.0</v>
      </c>
      <c r="C1172" s="30" t="str">
        <f t="shared" si="1"/>
        <v>+</v>
      </c>
      <c r="D1172" s="29">
        <f t="shared" si="2"/>
        <v>392</v>
      </c>
      <c r="E1172" s="30"/>
      <c r="F1172" s="30"/>
      <c r="G1172" s="30"/>
      <c r="H1172" s="3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0"/>
      <c r="X1172" s="30"/>
      <c r="Y1172" s="30"/>
      <c r="Z1172" s="30"/>
      <c r="AA1172" s="30"/>
    </row>
    <row r="1173">
      <c r="A1173" s="29">
        <v>985488.0</v>
      </c>
      <c r="B1173" s="29">
        <v>986060.0</v>
      </c>
      <c r="C1173" s="30" t="str">
        <f t="shared" si="1"/>
        <v>+</v>
      </c>
      <c r="D1173" s="29">
        <f t="shared" si="2"/>
        <v>392</v>
      </c>
      <c r="E1173" s="30"/>
      <c r="F1173" s="30"/>
      <c r="G1173" s="30"/>
      <c r="H1173" s="30"/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/>
      <c r="W1173" s="30"/>
      <c r="X1173" s="30"/>
      <c r="Y1173" s="30"/>
      <c r="Z1173" s="30"/>
      <c r="AA1173" s="30"/>
    </row>
    <row r="1174">
      <c r="A1174" s="29">
        <v>989301.0</v>
      </c>
      <c r="B1174" s="29">
        <v>988126.0</v>
      </c>
      <c r="C1174" s="30" t="str">
        <f t="shared" si="1"/>
        <v>-</v>
      </c>
      <c r="D1174" s="29">
        <f t="shared" si="2"/>
        <v>393</v>
      </c>
      <c r="E1174" s="30"/>
      <c r="F1174" s="30"/>
      <c r="G1174" s="30"/>
      <c r="H1174" s="30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0"/>
      <c r="X1174" s="30"/>
      <c r="Y1174" s="30"/>
      <c r="Z1174" s="30"/>
      <c r="AA1174" s="30"/>
    </row>
    <row r="1175">
      <c r="A1175" s="29">
        <v>990119.0</v>
      </c>
      <c r="B1175" s="29">
        <v>989298.0</v>
      </c>
      <c r="C1175" s="30" t="str">
        <f t="shared" si="1"/>
        <v>-</v>
      </c>
      <c r="D1175" s="29">
        <f t="shared" si="2"/>
        <v>393</v>
      </c>
      <c r="E1175" s="30"/>
      <c r="F1175" s="30"/>
      <c r="G1175" s="30"/>
      <c r="H1175" s="30"/>
      <c r="I1175" s="30"/>
      <c r="J1175" s="30"/>
      <c r="K1175" s="30"/>
      <c r="L1175" s="30"/>
      <c r="M1175" s="30"/>
      <c r="N1175" s="30"/>
      <c r="O1175" s="30"/>
      <c r="P1175" s="30"/>
      <c r="Q1175" s="30"/>
      <c r="R1175" s="30"/>
      <c r="S1175" s="30"/>
      <c r="T1175" s="30"/>
      <c r="U1175" s="30"/>
      <c r="V1175" s="30"/>
      <c r="W1175" s="30"/>
      <c r="X1175" s="30"/>
      <c r="Y1175" s="30"/>
      <c r="Z1175" s="30"/>
      <c r="AA1175" s="30"/>
    </row>
    <row r="1176">
      <c r="A1176" s="29">
        <v>992752.0</v>
      </c>
      <c r="B1176" s="29">
        <v>990116.0</v>
      </c>
      <c r="C1176" s="30" t="str">
        <f t="shared" si="1"/>
        <v>-</v>
      </c>
      <c r="D1176" s="29">
        <f t="shared" si="2"/>
        <v>393</v>
      </c>
      <c r="E1176" s="30"/>
      <c r="F1176" s="30"/>
      <c r="G1176" s="30"/>
      <c r="H1176" s="30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0"/>
      <c r="Y1176" s="30"/>
      <c r="Z1176" s="30"/>
      <c r="AA1176" s="30"/>
    </row>
    <row r="1177">
      <c r="A1177" s="29">
        <v>992832.0</v>
      </c>
      <c r="B1177" s="29">
        <v>993758.0</v>
      </c>
      <c r="C1177" s="30" t="str">
        <f t="shared" si="1"/>
        <v>+</v>
      </c>
      <c r="D1177" s="29">
        <f t="shared" si="2"/>
        <v>394</v>
      </c>
      <c r="E1177" s="30"/>
      <c r="F1177" s="30"/>
      <c r="G1177" s="30"/>
      <c r="H1177" s="30"/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0"/>
      <c r="X1177" s="30"/>
      <c r="Y1177" s="30"/>
      <c r="Z1177" s="30"/>
      <c r="AA1177" s="30"/>
    </row>
    <row r="1178">
      <c r="A1178" s="29">
        <v>993755.0</v>
      </c>
      <c r="B1178" s="29">
        <v>994180.0</v>
      </c>
      <c r="C1178" s="30" t="str">
        <f t="shared" si="1"/>
        <v>+</v>
      </c>
      <c r="D1178" s="29">
        <f t="shared" si="2"/>
        <v>394</v>
      </c>
      <c r="E1178" s="30"/>
      <c r="F1178" s="30"/>
      <c r="G1178" s="30"/>
      <c r="H1178" s="30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  <c r="AA1178" s="30"/>
    </row>
    <row r="1179">
      <c r="A1179" s="29">
        <v>994177.0</v>
      </c>
      <c r="B1179" s="29">
        <v>995244.0</v>
      </c>
      <c r="C1179" s="30" t="str">
        <f t="shared" si="1"/>
        <v>+</v>
      </c>
      <c r="D1179" s="29">
        <f t="shared" si="2"/>
        <v>394</v>
      </c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0"/>
      <c r="Z1179" s="30"/>
      <c r="AA1179" s="30"/>
    </row>
    <row r="1180">
      <c r="A1180" s="29">
        <v>995241.0</v>
      </c>
      <c r="B1180" s="29">
        <v>995930.0</v>
      </c>
      <c r="C1180" s="30" t="str">
        <f t="shared" si="1"/>
        <v>+</v>
      </c>
      <c r="D1180" s="29">
        <f t="shared" si="2"/>
        <v>394</v>
      </c>
      <c r="E1180" s="30"/>
      <c r="F1180" s="30"/>
      <c r="G1180" s="30"/>
      <c r="H1180" s="30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0"/>
      <c r="Z1180" s="30"/>
      <c r="AA1180" s="30"/>
    </row>
    <row r="1181">
      <c r="A1181" s="29">
        <v>995943.0</v>
      </c>
      <c r="B1181" s="29">
        <v>996794.0</v>
      </c>
      <c r="C1181" s="30" t="str">
        <f t="shared" si="1"/>
        <v>+</v>
      </c>
      <c r="D1181" s="29">
        <f t="shared" si="2"/>
        <v>394</v>
      </c>
      <c r="E1181" s="30"/>
      <c r="F1181" s="30"/>
      <c r="G1181" s="30"/>
      <c r="H1181" s="30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/>
      <c r="U1181" s="30"/>
      <c r="V1181" s="30"/>
      <c r="W1181" s="30"/>
      <c r="X1181" s="30"/>
      <c r="Y1181" s="30"/>
      <c r="Z1181" s="30"/>
      <c r="AA1181" s="30"/>
    </row>
    <row r="1182">
      <c r="A1182" s="29">
        <v>996794.0</v>
      </c>
      <c r="B1182" s="29">
        <v>997228.0</v>
      </c>
      <c r="C1182" s="30" t="str">
        <f t="shared" si="1"/>
        <v>+</v>
      </c>
      <c r="D1182" s="29">
        <f t="shared" si="2"/>
        <v>394</v>
      </c>
      <c r="E1182" s="30"/>
      <c r="F1182" s="30"/>
      <c r="G1182" s="30"/>
      <c r="H1182" s="30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0"/>
      <c r="Z1182" s="30"/>
      <c r="AA1182" s="30"/>
    </row>
    <row r="1183">
      <c r="A1183" s="29">
        <v>997232.0</v>
      </c>
      <c r="B1183" s="29">
        <v>997804.0</v>
      </c>
      <c r="C1183" s="30" t="str">
        <f t="shared" si="1"/>
        <v>+</v>
      </c>
      <c r="D1183" s="29">
        <f t="shared" si="2"/>
        <v>394</v>
      </c>
      <c r="E1183" s="30"/>
      <c r="F1183" s="30"/>
      <c r="G1183" s="30"/>
      <c r="H1183" s="30"/>
      <c r="I1183" s="30"/>
      <c r="J1183" s="30"/>
      <c r="K1183" s="30"/>
      <c r="L1183" s="30"/>
      <c r="M1183" s="30"/>
      <c r="N1183" s="30"/>
      <c r="O1183" s="30"/>
      <c r="P1183" s="30"/>
      <c r="Q1183" s="30"/>
      <c r="R1183" s="30"/>
      <c r="S1183" s="30"/>
      <c r="T1183" s="30"/>
      <c r="U1183" s="30"/>
      <c r="V1183" s="30"/>
      <c r="W1183" s="30"/>
      <c r="X1183" s="30"/>
      <c r="Y1183" s="30"/>
      <c r="Z1183" s="30"/>
      <c r="AA1183" s="30"/>
    </row>
    <row r="1184">
      <c r="A1184" s="29">
        <v>998229.0</v>
      </c>
      <c r="B1184" s="29">
        <v>999053.0</v>
      </c>
      <c r="C1184" s="30" t="str">
        <f t="shared" si="1"/>
        <v>+</v>
      </c>
      <c r="D1184" s="29">
        <f t="shared" si="2"/>
        <v>394</v>
      </c>
      <c r="E1184" s="30"/>
      <c r="F1184" s="30"/>
      <c r="G1184" s="30"/>
      <c r="H1184" s="30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0"/>
      <c r="X1184" s="30"/>
      <c r="Y1184" s="30"/>
      <c r="Z1184" s="30"/>
      <c r="AA1184" s="30"/>
    </row>
    <row r="1185">
      <c r="A1185" s="29">
        <v>1002538.0</v>
      </c>
      <c r="B1185" s="29">
        <v>1003530.0</v>
      </c>
      <c r="C1185" s="30" t="str">
        <f t="shared" si="1"/>
        <v>+</v>
      </c>
      <c r="D1185" s="29">
        <f t="shared" si="2"/>
        <v>394</v>
      </c>
      <c r="E1185" s="30"/>
      <c r="F1185" s="30"/>
      <c r="G1185" s="30"/>
      <c r="H1185" s="30"/>
      <c r="I1185" s="30"/>
      <c r="J1185" s="30"/>
      <c r="K1185" s="30"/>
      <c r="L1185" s="30"/>
      <c r="M1185" s="30"/>
      <c r="N1185" s="30"/>
      <c r="O1185" s="30"/>
      <c r="P1185" s="30"/>
      <c r="Q1185" s="30"/>
      <c r="R1185" s="30"/>
      <c r="S1185" s="30"/>
      <c r="T1185" s="30"/>
      <c r="U1185" s="30"/>
      <c r="V1185" s="30"/>
      <c r="W1185" s="30"/>
      <c r="X1185" s="30"/>
      <c r="Y1185" s="30"/>
      <c r="Z1185" s="30"/>
      <c r="AA1185" s="30"/>
    </row>
    <row r="1186">
      <c r="A1186" s="29">
        <v>1003527.0</v>
      </c>
      <c r="B1186" s="29">
        <v>1004066.0</v>
      </c>
      <c r="C1186" s="30" t="str">
        <f t="shared" si="1"/>
        <v>+</v>
      </c>
      <c r="D1186" s="29">
        <f t="shared" si="2"/>
        <v>394</v>
      </c>
      <c r="E1186" s="30"/>
      <c r="F1186" s="30"/>
      <c r="G1186" s="30"/>
      <c r="H1186" s="30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0"/>
      <c r="X1186" s="30"/>
      <c r="Y1186" s="30"/>
      <c r="Z1186" s="30"/>
      <c r="AA1186" s="30"/>
    </row>
    <row r="1187">
      <c r="A1187" s="29">
        <v>1004083.0</v>
      </c>
      <c r="B1187" s="29">
        <v>1004853.0</v>
      </c>
      <c r="C1187" s="30" t="str">
        <f t="shared" si="1"/>
        <v>+</v>
      </c>
      <c r="D1187" s="29">
        <f t="shared" si="2"/>
        <v>394</v>
      </c>
      <c r="E1187" s="30"/>
      <c r="F1187" s="30"/>
      <c r="G1187" s="30"/>
      <c r="H1187" s="30"/>
      <c r="I1187" s="30"/>
      <c r="J1187" s="30"/>
      <c r="K1187" s="30"/>
      <c r="L1187" s="30"/>
      <c r="M1187" s="30"/>
      <c r="N1187" s="30"/>
      <c r="O1187" s="30"/>
      <c r="P1187" s="30"/>
      <c r="Q1187" s="30"/>
      <c r="R1187" s="30"/>
      <c r="S1187" s="30"/>
      <c r="T1187" s="30"/>
      <c r="U1187" s="30"/>
      <c r="V1187" s="30"/>
      <c r="W1187" s="30"/>
      <c r="X1187" s="30"/>
      <c r="Y1187" s="30"/>
      <c r="Z1187" s="30"/>
      <c r="AA1187" s="30"/>
    </row>
    <row r="1188">
      <c r="A1188" s="29">
        <v>1004850.0</v>
      </c>
      <c r="B1188" s="29">
        <v>1006454.0</v>
      </c>
      <c r="C1188" s="30" t="str">
        <f t="shared" si="1"/>
        <v>+</v>
      </c>
      <c r="D1188" s="29">
        <f t="shared" si="2"/>
        <v>394</v>
      </c>
      <c r="E1188" s="30"/>
      <c r="F1188" s="30"/>
      <c r="G1188" s="30"/>
      <c r="H1188" s="30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0"/>
      <c r="X1188" s="30"/>
      <c r="Y1188" s="30"/>
      <c r="Z1188" s="30"/>
      <c r="AA1188" s="30"/>
    </row>
    <row r="1189">
      <c r="A1189" s="29">
        <v>1007503.0</v>
      </c>
      <c r="B1189" s="29">
        <v>1007084.0</v>
      </c>
      <c r="C1189" s="30" t="str">
        <f t="shared" si="1"/>
        <v>-</v>
      </c>
      <c r="D1189" s="29">
        <f t="shared" si="2"/>
        <v>395</v>
      </c>
      <c r="E1189" s="30"/>
      <c r="F1189" s="30"/>
      <c r="G1189" s="30"/>
      <c r="H1189" s="30"/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/>
      <c r="U1189" s="30"/>
      <c r="V1189" s="30"/>
      <c r="W1189" s="30"/>
      <c r="X1189" s="30"/>
      <c r="Y1189" s="30"/>
      <c r="Z1189" s="30"/>
      <c r="AA1189" s="30"/>
    </row>
    <row r="1190">
      <c r="A1190" s="29">
        <v>1007900.0</v>
      </c>
      <c r="B1190" s="29">
        <v>1007481.0</v>
      </c>
      <c r="C1190" s="30" t="str">
        <f t="shared" si="1"/>
        <v>-</v>
      </c>
      <c r="D1190" s="29">
        <f t="shared" si="2"/>
        <v>395</v>
      </c>
      <c r="E1190" s="30"/>
      <c r="F1190" s="30"/>
      <c r="G1190" s="30"/>
      <c r="H1190" s="30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/>
      <c r="AA1190" s="30"/>
    </row>
    <row r="1191">
      <c r="A1191" s="29">
        <v>1010101.0</v>
      </c>
      <c r="B1191" s="29">
        <v>1008047.0</v>
      </c>
      <c r="C1191" s="30" t="str">
        <f t="shared" si="1"/>
        <v>-</v>
      </c>
      <c r="D1191" s="29">
        <f t="shared" si="2"/>
        <v>395</v>
      </c>
      <c r="E1191" s="30"/>
      <c r="F1191" s="30"/>
      <c r="G1191" s="30"/>
      <c r="H1191" s="30"/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0"/>
      <c r="Z1191" s="30"/>
      <c r="AA1191" s="30"/>
    </row>
    <row r="1192">
      <c r="A1192" s="29">
        <v>1010146.0</v>
      </c>
      <c r="B1192" s="29">
        <v>1010340.0</v>
      </c>
      <c r="C1192" s="30" t="str">
        <f t="shared" si="1"/>
        <v>+</v>
      </c>
      <c r="D1192" s="29">
        <f t="shared" si="2"/>
        <v>396</v>
      </c>
      <c r="E1192" s="30"/>
      <c r="F1192" s="30"/>
      <c r="G1192" s="30"/>
      <c r="H1192" s="30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/>
      <c r="AA1192" s="30"/>
    </row>
    <row r="1193">
      <c r="A1193" s="29">
        <v>1012173.0</v>
      </c>
      <c r="B1193" s="29">
        <v>1010512.0</v>
      </c>
      <c r="C1193" s="30" t="str">
        <f t="shared" si="1"/>
        <v>-</v>
      </c>
      <c r="D1193" s="29">
        <f t="shared" si="2"/>
        <v>397</v>
      </c>
      <c r="E1193" s="30"/>
      <c r="F1193" s="30"/>
      <c r="G1193" s="30"/>
      <c r="H1193" s="30"/>
      <c r="I1193" s="30"/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0"/>
      <c r="Z1193" s="30"/>
      <c r="AA1193" s="30"/>
    </row>
    <row r="1194">
      <c r="A1194" s="29">
        <v>1013070.0</v>
      </c>
      <c r="B1194" s="29">
        <v>1012375.0</v>
      </c>
      <c r="C1194" s="30" t="str">
        <f t="shared" si="1"/>
        <v>-</v>
      </c>
      <c r="D1194" s="29">
        <f t="shared" si="2"/>
        <v>397</v>
      </c>
      <c r="E1194" s="30"/>
      <c r="F1194" s="30"/>
      <c r="G1194" s="30"/>
      <c r="H1194" s="30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0"/>
      <c r="X1194" s="30"/>
      <c r="Y1194" s="30"/>
      <c r="Z1194" s="30"/>
      <c r="AA1194" s="30"/>
    </row>
    <row r="1195">
      <c r="A1195" s="29">
        <v>1014371.0</v>
      </c>
      <c r="B1195" s="29">
        <v>1013070.0</v>
      </c>
      <c r="C1195" s="30" t="str">
        <f t="shared" si="1"/>
        <v>-</v>
      </c>
      <c r="D1195" s="29">
        <f t="shared" si="2"/>
        <v>397</v>
      </c>
      <c r="E1195" s="30"/>
      <c r="F1195" s="30"/>
      <c r="G1195" s="30"/>
      <c r="H1195" s="30"/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0"/>
      <c r="Z1195" s="30"/>
      <c r="AA1195" s="30"/>
    </row>
    <row r="1196">
      <c r="A1196" s="29">
        <v>1015686.0</v>
      </c>
      <c r="B1196" s="29">
        <v>1014625.0</v>
      </c>
      <c r="C1196" s="30" t="str">
        <f t="shared" si="1"/>
        <v>-</v>
      </c>
      <c r="D1196" s="29">
        <f t="shared" si="2"/>
        <v>397</v>
      </c>
      <c r="E1196" s="30"/>
      <c r="F1196" s="30"/>
      <c r="G1196" s="30"/>
      <c r="H1196" s="30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0"/>
      <c r="X1196" s="30"/>
      <c r="Y1196" s="30"/>
      <c r="Z1196" s="30"/>
      <c r="AA1196" s="30"/>
    </row>
    <row r="1197">
      <c r="A1197" s="29">
        <v>1016048.0</v>
      </c>
      <c r="B1197" s="29">
        <v>1017016.0</v>
      </c>
      <c r="C1197" s="30" t="str">
        <f t="shared" si="1"/>
        <v>+</v>
      </c>
      <c r="D1197" s="29">
        <f t="shared" si="2"/>
        <v>398</v>
      </c>
      <c r="E1197" s="30"/>
      <c r="F1197" s="30"/>
      <c r="G1197" s="30"/>
      <c r="H1197" s="30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0"/>
      <c r="Z1197" s="30"/>
      <c r="AA1197" s="30"/>
    </row>
    <row r="1198">
      <c r="A1198" s="29">
        <v>1017482.0</v>
      </c>
      <c r="B1198" s="29">
        <v>1016994.0</v>
      </c>
      <c r="C1198" s="30" t="str">
        <f t="shared" si="1"/>
        <v>-</v>
      </c>
      <c r="D1198" s="29">
        <f t="shared" si="2"/>
        <v>399</v>
      </c>
      <c r="E1198" s="30"/>
      <c r="F1198" s="30"/>
      <c r="G1198" s="30"/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0"/>
      <c r="Z1198" s="30"/>
      <c r="AA1198" s="30"/>
    </row>
    <row r="1199">
      <c r="A1199" s="29">
        <v>1017807.0</v>
      </c>
      <c r="B1199" s="29">
        <v>1018403.0</v>
      </c>
      <c r="C1199" s="30" t="str">
        <f t="shared" si="1"/>
        <v>+</v>
      </c>
      <c r="D1199" s="29">
        <f t="shared" si="2"/>
        <v>400</v>
      </c>
      <c r="E1199" s="30"/>
      <c r="F1199" s="30"/>
      <c r="G1199" s="30"/>
      <c r="H1199" s="30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0"/>
      <c r="U1199" s="30"/>
      <c r="V1199" s="30"/>
      <c r="W1199" s="30"/>
      <c r="X1199" s="30"/>
      <c r="Y1199" s="30"/>
      <c r="Z1199" s="30"/>
      <c r="AA1199" s="30"/>
    </row>
    <row r="1200">
      <c r="A1200" s="29">
        <v>1019323.0</v>
      </c>
      <c r="B1200" s="29">
        <v>1018400.0</v>
      </c>
      <c r="C1200" s="30" t="str">
        <f t="shared" si="1"/>
        <v>-</v>
      </c>
      <c r="D1200" s="29">
        <f t="shared" si="2"/>
        <v>401</v>
      </c>
      <c r="E1200" s="30"/>
      <c r="F1200" s="30"/>
      <c r="G1200" s="30"/>
      <c r="H1200" s="30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0"/>
      <c r="X1200" s="30"/>
      <c r="Y1200" s="30"/>
      <c r="Z1200" s="30"/>
      <c r="AA1200" s="30"/>
    </row>
    <row r="1201">
      <c r="A1201" s="29">
        <v>1019451.0</v>
      </c>
      <c r="B1201" s="29">
        <v>1019323.0</v>
      </c>
      <c r="C1201" s="30" t="str">
        <f t="shared" si="1"/>
        <v>-</v>
      </c>
      <c r="D1201" s="29">
        <f t="shared" si="2"/>
        <v>401</v>
      </c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  <c r="O1201" s="30"/>
      <c r="P1201" s="30"/>
      <c r="Q1201" s="30"/>
      <c r="R1201" s="30"/>
      <c r="S1201" s="30"/>
      <c r="T1201" s="30"/>
      <c r="U1201" s="30"/>
      <c r="V1201" s="30"/>
      <c r="W1201" s="30"/>
      <c r="X1201" s="30"/>
      <c r="Y1201" s="30"/>
      <c r="Z1201" s="30"/>
      <c r="AA1201" s="30"/>
    </row>
    <row r="1202">
      <c r="A1202" s="29">
        <v>1020130.0</v>
      </c>
      <c r="B1202" s="29">
        <v>1019480.0</v>
      </c>
      <c r="C1202" s="30" t="str">
        <f t="shared" si="1"/>
        <v>-</v>
      </c>
      <c r="D1202" s="29">
        <f t="shared" si="2"/>
        <v>401</v>
      </c>
      <c r="E1202" s="30"/>
      <c r="F1202" s="30"/>
      <c r="G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0"/>
      <c r="X1202" s="30"/>
      <c r="Y1202" s="30"/>
      <c r="Z1202" s="30"/>
      <c r="AA1202" s="30"/>
    </row>
    <row r="1203">
      <c r="A1203" s="29">
        <v>1020585.0</v>
      </c>
      <c r="B1203" s="29">
        <v>1020154.0</v>
      </c>
      <c r="C1203" s="30" t="str">
        <f t="shared" si="1"/>
        <v>-</v>
      </c>
      <c r="D1203" s="29">
        <f t="shared" si="2"/>
        <v>401</v>
      </c>
      <c r="E1203" s="30"/>
      <c r="F1203" s="30"/>
      <c r="G1203" s="30"/>
      <c r="H1203" s="30"/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0"/>
      <c r="X1203" s="30"/>
      <c r="Y1203" s="30"/>
      <c r="Z1203" s="30"/>
      <c r="AA1203" s="30"/>
    </row>
    <row r="1204">
      <c r="A1204" s="29">
        <v>1021267.0</v>
      </c>
      <c r="B1204" s="29">
        <v>1020884.0</v>
      </c>
      <c r="C1204" s="30" t="str">
        <f t="shared" si="1"/>
        <v>-</v>
      </c>
      <c r="D1204" s="29">
        <f t="shared" si="2"/>
        <v>401</v>
      </c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/>
      <c r="AA1204" s="30"/>
    </row>
    <row r="1205">
      <c r="A1205" s="29">
        <v>1021619.0</v>
      </c>
      <c r="B1205" s="29">
        <v>1021260.0</v>
      </c>
      <c r="C1205" s="30" t="str">
        <f t="shared" si="1"/>
        <v>-</v>
      </c>
      <c r="D1205" s="29">
        <f t="shared" si="2"/>
        <v>401</v>
      </c>
      <c r="E1205" s="30"/>
      <c r="F1205" s="30"/>
      <c r="G1205" s="30"/>
      <c r="H1205" s="30"/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0"/>
      <c r="X1205" s="30"/>
      <c r="Y1205" s="30"/>
      <c r="Z1205" s="30"/>
      <c r="AA1205" s="30"/>
    </row>
    <row r="1206">
      <c r="A1206" s="29">
        <v>1021742.0</v>
      </c>
      <c r="B1206" s="29">
        <v>1022293.0</v>
      </c>
      <c r="C1206" s="30" t="str">
        <f t="shared" si="1"/>
        <v>+</v>
      </c>
      <c r="D1206" s="29">
        <f t="shared" si="2"/>
        <v>402</v>
      </c>
      <c r="E1206" s="30"/>
      <c r="F1206" s="30"/>
      <c r="G1206" s="30"/>
      <c r="H1206" s="30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0"/>
      <c r="X1206" s="30"/>
      <c r="Y1206" s="30"/>
      <c r="Z1206" s="30"/>
      <c r="AA1206" s="30"/>
    </row>
    <row r="1207">
      <c r="A1207" s="29">
        <v>1022338.0</v>
      </c>
      <c r="B1207" s="29">
        <v>1023024.0</v>
      </c>
      <c r="C1207" s="30" t="str">
        <f t="shared" si="1"/>
        <v>+</v>
      </c>
      <c r="D1207" s="29">
        <f t="shared" si="2"/>
        <v>402</v>
      </c>
      <c r="E1207" s="30"/>
      <c r="F1207" s="30"/>
      <c r="G1207" s="30"/>
      <c r="H1207" s="30"/>
      <c r="I1207" s="30"/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0"/>
      <c r="X1207" s="30"/>
      <c r="Y1207" s="30"/>
      <c r="Z1207" s="30"/>
      <c r="AA1207" s="30"/>
    </row>
    <row r="1208">
      <c r="A1208" s="29">
        <v>1023002.0</v>
      </c>
      <c r="B1208" s="29">
        <v>1024195.0</v>
      </c>
      <c r="C1208" s="30" t="str">
        <f t="shared" si="1"/>
        <v>+</v>
      </c>
      <c r="D1208" s="29">
        <f t="shared" si="2"/>
        <v>402</v>
      </c>
      <c r="E1208" s="30"/>
      <c r="F1208" s="30"/>
      <c r="G1208" s="30"/>
      <c r="H1208" s="30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0"/>
      <c r="X1208" s="30"/>
      <c r="Y1208" s="30"/>
      <c r="Z1208" s="30"/>
      <c r="AA1208" s="30"/>
    </row>
    <row r="1209">
      <c r="A1209" s="29">
        <v>1024365.0</v>
      </c>
      <c r="B1209" s="29">
        <v>1026044.0</v>
      </c>
      <c r="C1209" s="30" t="str">
        <f t="shared" si="1"/>
        <v>+</v>
      </c>
      <c r="D1209" s="29">
        <f t="shared" si="2"/>
        <v>402</v>
      </c>
      <c r="E1209" s="30"/>
      <c r="F1209" s="30"/>
      <c r="G1209" s="30"/>
      <c r="H1209" s="30"/>
      <c r="I1209" s="30"/>
      <c r="J1209" s="30"/>
      <c r="K1209" s="30"/>
      <c r="L1209" s="30"/>
      <c r="M1209" s="30"/>
      <c r="N1209" s="30"/>
      <c r="O1209" s="30"/>
      <c r="P1209" s="30"/>
      <c r="Q1209" s="30"/>
      <c r="R1209" s="30"/>
      <c r="S1209" s="30"/>
      <c r="T1209" s="30"/>
      <c r="U1209" s="30"/>
      <c r="V1209" s="30"/>
      <c r="W1209" s="30"/>
      <c r="X1209" s="30"/>
      <c r="Y1209" s="30"/>
      <c r="Z1209" s="30"/>
      <c r="AA1209" s="30"/>
    </row>
    <row r="1210">
      <c r="A1210" s="29">
        <v>1026246.0</v>
      </c>
      <c r="B1210" s="29">
        <v>1026377.0</v>
      </c>
      <c r="C1210" s="30" t="str">
        <f t="shared" si="1"/>
        <v>+</v>
      </c>
      <c r="D1210" s="29">
        <f t="shared" si="2"/>
        <v>402</v>
      </c>
      <c r="E1210" s="30"/>
      <c r="F1210" s="30"/>
      <c r="G1210" s="30"/>
      <c r="H1210" s="30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  <c r="AA1210" s="30"/>
    </row>
    <row r="1211">
      <c r="A1211" s="29">
        <v>1027176.0</v>
      </c>
      <c r="B1211" s="29">
        <v>1026442.0</v>
      </c>
      <c r="C1211" s="30" t="str">
        <f t="shared" si="1"/>
        <v>-</v>
      </c>
      <c r="D1211" s="29">
        <f t="shared" si="2"/>
        <v>403</v>
      </c>
      <c r="E1211" s="30"/>
      <c r="F1211" s="30"/>
      <c r="G1211" s="30"/>
      <c r="H1211" s="30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0"/>
      <c r="Z1211" s="30"/>
      <c r="AA1211" s="30"/>
    </row>
    <row r="1212">
      <c r="A1212" s="29">
        <v>1027314.0</v>
      </c>
      <c r="B1212" s="29">
        <v>1027715.0</v>
      </c>
      <c r="C1212" s="30" t="str">
        <f t="shared" si="1"/>
        <v>+</v>
      </c>
      <c r="D1212" s="29">
        <f t="shared" si="2"/>
        <v>404</v>
      </c>
      <c r="E1212" s="30"/>
      <c r="F1212" s="30"/>
      <c r="G1212" s="30"/>
      <c r="H1212" s="30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0"/>
      <c r="X1212" s="30"/>
      <c r="Y1212" s="30"/>
      <c r="Z1212" s="30"/>
      <c r="AA1212" s="30"/>
    </row>
    <row r="1213">
      <c r="A1213" s="29">
        <v>1027800.0</v>
      </c>
      <c r="B1213" s="29">
        <v>1028552.0</v>
      </c>
      <c r="C1213" s="30" t="str">
        <f t="shared" si="1"/>
        <v>+</v>
      </c>
      <c r="D1213" s="29">
        <f t="shared" si="2"/>
        <v>404</v>
      </c>
      <c r="E1213" s="30"/>
      <c r="F1213" s="30"/>
      <c r="G1213" s="30"/>
      <c r="H1213" s="30"/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0"/>
      <c r="Z1213" s="30"/>
      <c r="AA1213" s="30"/>
    </row>
    <row r="1214">
      <c r="A1214" s="29">
        <v>1028879.0</v>
      </c>
      <c r="B1214" s="29">
        <v>1029082.0</v>
      </c>
      <c r="C1214" s="30" t="str">
        <f t="shared" si="1"/>
        <v>+</v>
      </c>
      <c r="D1214" s="29">
        <f t="shared" si="2"/>
        <v>404</v>
      </c>
      <c r="E1214" s="30"/>
      <c r="F1214" s="30"/>
      <c r="G1214" s="30"/>
      <c r="H1214" s="30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0"/>
      <c r="Z1214" s="30"/>
      <c r="AA1214" s="30"/>
    </row>
    <row r="1215">
      <c r="A1215" s="29">
        <v>1029199.0</v>
      </c>
      <c r="B1215" s="29">
        <v>1029471.0</v>
      </c>
      <c r="C1215" s="30" t="str">
        <f t="shared" si="1"/>
        <v>+</v>
      </c>
      <c r="D1215" s="29">
        <f t="shared" si="2"/>
        <v>404</v>
      </c>
      <c r="E1215" s="30"/>
      <c r="F1215" s="30"/>
      <c r="G1215" s="30"/>
      <c r="H1215" s="30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0"/>
      <c r="X1215" s="30"/>
      <c r="Y1215" s="30"/>
      <c r="Z1215" s="30"/>
      <c r="AA1215" s="30"/>
    </row>
    <row r="1216">
      <c r="A1216" s="29">
        <v>1030431.0</v>
      </c>
      <c r="B1216" s="29">
        <v>1029718.0</v>
      </c>
      <c r="C1216" s="30" t="str">
        <f t="shared" si="1"/>
        <v>-</v>
      </c>
      <c r="D1216" s="29">
        <f t="shared" si="2"/>
        <v>405</v>
      </c>
      <c r="E1216" s="30"/>
      <c r="F1216" s="30"/>
      <c r="G1216" s="30"/>
      <c r="H1216" s="30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  <c r="AA1216" s="30"/>
    </row>
    <row r="1217">
      <c r="A1217" s="29">
        <v>1030540.0</v>
      </c>
      <c r="B1217" s="29">
        <v>1031874.0</v>
      </c>
      <c r="C1217" s="30" t="str">
        <f t="shared" si="1"/>
        <v>+</v>
      </c>
      <c r="D1217" s="29">
        <f t="shared" si="2"/>
        <v>406</v>
      </c>
      <c r="E1217" s="30"/>
      <c r="F1217" s="30"/>
      <c r="G1217" s="30"/>
      <c r="H1217" s="30"/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0"/>
      <c r="Z1217" s="30"/>
      <c r="AA1217" s="30"/>
    </row>
    <row r="1218">
      <c r="A1218" s="29">
        <v>1031993.0</v>
      </c>
      <c r="B1218" s="29">
        <v>1032349.0</v>
      </c>
      <c r="C1218" s="30" t="str">
        <f t="shared" si="1"/>
        <v>+</v>
      </c>
      <c r="D1218" s="29">
        <f t="shared" si="2"/>
        <v>406</v>
      </c>
      <c r="E1218" s="30"/>
      <c r="F1218" s="30"/>
      <c r="G1218" s="30"/>
      <c r="H1218" s="30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0"/>
      <c r="X1218" s="30"/>
      <c r="Y1218" s="30"/>
      <c r="Z1218" s="30"/>
      <c r="AA1218" s="30"/>
    </row>
    <row r="1219">
      <c r="A1219" s="29">
        <v>1033274.0</v>
      </c>
      <c r="B1219" s="29">
        <v>1032384.0</v>
      </c>
      <c r="C1219" s="30" t="str">
        <f t="shared" si="1"/>
        <v>-</v>
      </c>
      <c r="D1219" s="29">
        <f t="shared" si="2"/>
        <v>407</v>
      </c>
      <c r="E1219" s="30"/>
      <c r="F1219" s="30"/>
      <c r="G1219" s="30"/>
      <c r="H1219" s="30"/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0"/>
      <c r="Z1219" s="30"/>
      <c r="AA1219" s="30"/>
    </row>
    <row r="1220">
      <c r="A1220" s="29">
        <v>1033903.0</v>
      </c>
      <c r="B1220" s="29">
        <v>1033271.0</v>
      </c>
      <c r="C1220" s="30" t="str">
        <f t="shared" si="1"/>
        <v>-</v>
      </c>
      <c r="D1220" s="29">
        <f t="shared" si="2"/>
        <v>407</v>
      </c>
      <c r="E1220" s="30"/>
      <c r="F1220" s="30"/>
      <c r="G1220" s="30"/>
      <c r="H1220" s="30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0"/>
      <c r="X1220" s="30"/>
      <c r="Y1220" s="30"/>
      <c r="Z1220" s="30"/>
      <c r="AA1220" s="30"/>
    </row>
    <row r="1221">
      <c r="A1221" s="29">
        <v>1034267.0</v>
      </c>
      <c r="B1221" s="29">
        <v>1035307.0</v>
      </c>
      <c r="C1221" s="30" t="str">
        <f t="shared" si="1"/>
        <v>+</v>
      </c>
      <c r="D1221" s="29">
        <f t="shared" si="2"/>
        <v>408</v>
      </c>
      <c r="E1221" s="30"/>
      <c r="F1221" s="30"/>
      <c r="G1221" s="30"/>
      <c r="H1221" s="30"/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0"/>
      <c r="Z1221" s="30"/>
      <c r="AA1221" s="30"/>
    </row>
    <row r="1222">
      <c r="A1222" s="29">
        <v>1037552.0</v>
      </c>
      <c r="B1222" s="29">
        <v>1035486.0</v>
      </c>
      <c r="C1222" s="30" t="str">
        <f t="shared" si="1"/>
        <v>-</v>
      </c>
      <c r="D1222" s="29">
        <f t="shared" si="2"/>
        <v>409</v>
      </c>
      <c r="E1222" s="30"/>
      <c r="F1222" s="30"/>
      <c r="G1222" s="30"/>
      <c r="H1222" s="30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  <c r="AA1222" s="30"/>
    </row>
    <row r="1223">
      <c r="A1223" s="29">
        <v>1037733.0</v>
      </c>
      <c r="B1223" s="29">
        <v>1037581.0</v>
      </c>
      <c r="C1223" s="30" t="str">
        <f t="shared" si="1"/>
        <v>-</v>
      </c>
      <c r="D1223" s="29">
        <f t="shared" si="2"/>
        <v>409</v>
      </c>
      <c r="E1223" s="30"/>
      <c r="F1223" s="30"/>
      <c r="G1223" s="30"/>
      <c r="H1223" s="30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0"/>
      <c r="Z1223" s="30"/>
      <c r="AA1223" s="30"/>
    </row>
    <row r="1224">
      <c r="A1224" s="29">
        <v>1037850.0</v>
      </c>
      <c r="B1224" s="29">
        <v>1038341.0</v>
      </c>
      <c r="C1224" s="30" t="str">
        <f t="shared" si="1"/>
        <v>+</v>
      </c>
      <c r="D1224" s="29">
        <f t="shared" si="2"/>
        <v>410</v>
      </c>
      <c r="E1224" s="30"/>
      <c r="F1224" s="30"/>
      <c r="G1224" s="30"/>
      <c r="H1224" s="30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0"/>
      <c r="X1224" s="30"/>
      <c r="Y1224" s="30"/>
      <c r="Z1224" s="30"/>
      <c r="AA1224" s="30"/>
    </row>
    <row r="1225">
      <c r="A1225" s="29">
        <v>1038430.0</v>
      </c>
      <c r="B1225" s="29">
        <v>1039584.0</v>
      </c>
      <c r="C1225" s="30" t="str">
        <f t="shared" si="1"/>
        <v>+</v>
      </c>
      <c r="D1225" s="29">
        <f t="shared" si="2"/>
        <v>410</v>
      </c>
      <c r="E1225" s="30"/>
      <c r="F1225" s="30"/>
      <c r="G1225" s="30"/>
      <c r="H1225" s="30"/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0"/>
      <c r="Z1225" s="30"/>
      <c r="AA1225" s="30"/>
    </row>
    <row r="1226">
      <c r="A1226" s="29">
        <v>1041498.0</v>
      </c>
      <c r="B1226" s="29">
        <v>1040344.0</v>
      </c>
      <c r="C1226" s="30" t="str">
        <f t="shared" si="1"/>
        <v>-</v>
      </c>
      <c r="D1226" s="29">
        <f t="shared" si="2"/>
        <v>411</v>
      </c>
      <c r="E1226" s="30"/>
      <c r="F1226" s="30"/>
      <c r="G1226" s="30"/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0"/>
      <c r="Z1226" s="30"/>
      <c r="AA1226" s="30"/>
    </row>
    <row r="1227">
      <c r="A1227" s="29">
        <v>1041619.0</v>
      </c>
      <c r="B1227" s="29">
        <v>1042827.0</v>
      </c>
      <c r="C1227" s="30" t="str">
        <f t="shared" si="1"/>
        <v>+</v>
      </c>
      <c r="D1227" s="29">
        <f t="shared" si="2"/>
        <v>412</v>
      </c>
      <c r="E1227" s="30"/>
      <c r="F1227" s="30"/>
      <c r="G1227" s="30"/>
      <c r="H1227" s="30"/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0"/>
      <c r="Z1227" s="30"/>
      <c r="AA1227" s="30"/>
    </row>
    <row r="1228">
      <c r="A1228" s="29">
        <v>1042863.0</v>
      </c>
      <c r="B1228" s="29">
        <v>1044290.0</v>
      </c>
      <c r="C1228" s="30" t="str">
        <f t="shared" si="1"/>
        <v>+</v>
      </c>
      <c r="D1228" s="29">
        <f t="shared" si="2"/>
        <v>412</v>
      </c>
      <c r="E1228" s="30"/>
      <c r="F1228" s="30"/>
      <c r="G1228" s="30"/>
      <c r="H1228" s="30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0"/>
      <c r="X1228" s="30"/>
      <c r="Y1228" s="30"/>
      <c r="Z1228" s="30"/>
      <c r="AA1228" s="30"/>
    </row>
    <row r="1229">
      <c r="A1229" s="29">
        <v>1044545.0</v>
      </c>
      <c r="B1229" s="29">
        <v>1044273.0</v>
      </c>
      <c r="C1229" s="30" t="str">
        <f t="shared" si="1"/>
        <v>-</v>
      </c>
      <c r="D1229" s="29">
        <f t="shared" si="2"/>
        <v>413</v>
      </c>
      <c r="E1229" s="30"/>
      <c r="F1229" s="30"/>
      <c r="G1229" s="30"/>
      <c r="H1229" s="30"/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0"/>
      <c r="X1229" s="30"/>
      <c r="Y1229" s="30"/>
      <c r="Z1229" s="30"/>
      <c r="AA1229" s="30"/>
    </row>
    <row r="1230">
      <c r="A1230" s="29">
        <v>1044979.0</v>
      </c>
      <c r="B1230" s="29">
        <v>1044797.0</v>
      </c>
      <c r="C1230" s="30" t="str">
        <f t="shared" si="1"/>
        <v>-</v>
      </c>
      <c r="D1230" s="29">
        <f t="shared" si="2"/>
        <v>413</v>
      </c>
      <c r="E1230" s="30"/>
      <c r="F1230" s="30"/>
      <c r="G1230" s="30"/>
      <c r="H1230" s="30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0"/>
      <c r="X1230" s="30"/>
      <c r="Y1230" s="30"/>
      <c r="Z1230" s="30"/>
      <c r="AA1230" s="30"/>
    </row>
    <row r="1231">
      <c r="A1231" s="29">
        <v>1046405.0</v>
      </c>
      <c r="B1231" s="29">
        <v>1045269.0</v>
      </c>
      <c r="C1231" s="30" t="str">
        <f t="shared" si="1"/>
        <v>-</v>
      </c>
      <c r="D1231" s="29">
        <f t="shared" si="2"/>
        <v>413</v>
      </c>
      <c r="E1231" s="30"/>
      <c r="F1231" s="30"/>
      <c r="G1231" s="30"/>
      <c r="H1231" s="30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/>
      <c r="AA1231" s="30"/>
    </row>
    <row r="1232">
      <c r="A1232" s="29">
        <v>1046962.0</v>
      </c>
      <c r="B1232" s="29">
        <v>1047381.0</v>
      </c>
      <c r="C1232" s="30" t="str">
        <f t="shared" si="1"/>
        <v>+</v>
      </c>
      <c r="D1232" s="29">
        <f t="shared" si="2"/>
        <v>414</v>
      </c>
      <c r="E1232" s="30"/>
      <c r="F1232" s="30"/>
      <c r="G1232" s="30"/>
      <c r="H1232" s="3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  <c r="AA1232" s="30"/>
    </row>
    <row r="1233">
      <c r="A1233" s="29">
        <v>1047359.0</v>
      </c>
      <c r="B1233" s="29">
        <v>1047685.0</v>
      </c>
      <c r="C1233" s="30" t="str">
        <f t="shared" si="1"/>
        <v>+</v>
      </c>
      <c r="D1233" s="29">
        <f t="shared" si="2"/>
        <v>414</v>
      </c>
      <c r="E1233" s="30"/>
      <c r="F1233" s="30"/>
      <c r="G1233" s="30"/>
      <c r="H1233" s="30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0"/>
      <c r="Z1233" s="30"/>
      <c r="AA1233" s="30"/>
    </row>
    <row r="1234">
      <c r="A1234" s="29">
        <v>1048028.0</v>
      </c>
      <c r="B1234" s="29">
        <v>1048261.0</v>
      </c>
      <c r="C1234" s="30" t="str">
        <f t="shared" si="1"/>
        <v>+</v>
      </c>
      <c r="D1234" s="29">
        <f t="shared" si="2"/>
        <v>414</v>
      </c>
      <c r="E1234" s="30"/>
      <c r="F1234" s="30"/>
      <c r="G1234" s="30"/>
      <c r="H1234" s="30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  <c r="AA1234" s="30"/>
    </row>
    <row r="1235">
      <c r="A1235" s="29">
        <v>1048245.0</v>
      </c>
      <c r="B1235" s="29">
        <v>1048652.0</v>
      </c>
      <c r="C1235" s="30" t="str">
        <f t="shared" si="1"/>
        <v>+</v>
      </c>
      <c r="D1235" s="29">
        <f t="shared" si="2"/>
        <v>414</v>
      </c>
      <c r="E1235" s="30"/>
      <c r="F1235" s="30"/>
      <c r="G1235" s="30"/>
      <c r="H1235" s="30"/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0"/>
      <c r="X1235" s="30"/>
      <c r="Y1235" s="30"/>
      <c r="Z1235" s="30"/>
      <c r="AA1235" s="30"/>
    </row>
    <row r="1236">
      <c r="A1236" s="29">
        <v>1049947.0</v>
      </c>
      <c r="B1236" s="29">
        <v>1048853.0</v>
      </c>
      <c r="C1236" s="30" t="str">
        <f t="shared" si="1"/>
        <v>-</v>
      </c>
      <c r="D1236" s="29">
        <f t="shared" si="2"/>
        <v>415</v>
      </c>
      <c r="E1236" s="30"/>
      <c r="F1236" s="30"/>
      <c r="G1236" s="30"/>
      <c r="H1236" s="30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  <c r="AA1236" s="30"/>
    </row>
    <row r="1237">
      <c r="A1237" s="29">
        <v>1050956.0</v>
      </c>
      <c r="B1237" s="29">
        <v>1049940.0</v>
      </c>
      <c r="C1237" s="30" t="str">
        <f t="shared" si="1"/>
        <v>-</v>
      </c>
      <c r="D1237" s="29">
        <f t="shared" si="2"/>
        <v>415</v>
      </c>
      <c r="E1237" s="30"/>
      <c r="F1237" s="30"/>
      <c r="G1237" s="30"/>
      <c r="H1237" s="30"/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0"/>
      <c r="Z1237" s="30"/>
      <c r="AA1237" s="30"/>
    </row>
    <row r="1238">
      <c r="A1238" s="29">
        <v>1051010.0</v>
      </c>
      <c r="B1238" s="29">
        <v>1051210.0</v>
      </c>
      <c r="C1238" s="30" t="str">
        <f t="shared" si="1"/>
        <v>+</v>
      </c>
      <c r="D1238" s="29">
        <f t="shared" si="2"/>
        <v>416</v>
      </c>
      <c r="E1238" s="30"/>
      <c r="F1238" s="30"/>
      <c r="G1238" s="30"/>
      <c r="H1238" s="30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  <c r="AA1238" s="30"/>
    </row>
    <row r="1239">
      <c r="A1239" s="29">
        <v>1051346.0</v>
      </c>
      <c r="B1239" s="29">
        <v>1051675.0</v>
      </c>
      <c r="C1239" s="30" t="str">
        <f t="shared" si="1"/>
        <v>+</v>
      </c>
      <c r="D1239" s="29">
        <f t="shared" si="2"/>
        <v>416</v>
      </c>
      <c r="E1239" s="30"/>
      <c r="F1239" s="30"/>
      <c r="G1239" s="30"/>
      <c r="H1239" s="30"/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0"/>
      <c r="Z1239" s="30"/>
      <c r="AA1239" s="30"/>
    </row>
    <row r="1240">
      <c r="A1240" s="29">
        <v>1052582.0</v>
      </c>
      <c r="B1240" s="29">
        <v>1051863.0</v>
      </c>
      <c r="C1240" s="30" t="str">
        <f t="shared" si="1"/>
        <v>-</v>
      </c>
      <c r="D1240" s="29">
        <f t="shared" si="2"/>
        <v>417</v>
      </c>
      <c r="E1240" s="30"/>
      <c r="F1240" s="30"/>
      <c r="G1240" s="30"/>
      <c r="H1240" s="30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0"/>
      <c r="X1240" s="30"/>
      <c r="Y1240" s="30"/>
      <c r="Z1240" s="30"/>
      <c r="AA1240" s="30"/>
    </row>
    <row r="1241">
      <c r="A1241" s="29">
        <v>1054687.0</v>
      </c>
      <c r="B1241" s="29">
        <v>1052579.0</v>
      </c>
      <c r="C1241" s="30" t="str">
        <f t="shared" si="1"/>
        <v>-</v>
      </c>
      <c r="D1241" s="29">
        <f t="shared" si="2"/>
        <v>417</v>
      </c>
      <c r="E1241" s="30"/>
      <c r="F1241" s="30"/>
      <c r="G1241" s="30"/>
      <c r="H1241" s="30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0"/>
      <c r="Z1241" s="30"/>
      <c r="AA1241" s="30"/>
    </row>
    <row r="1242">
      <c r="A1242" s="29">
        <v>1054768.0</v>
      </c>
      <c r="B1242" s="29">
        <v>1055973.0</v>
      </c>
      <c r="C1242" s="30" t="str">
        <f t="shared" si="1"/>
        <v>+</v>
      </c>
      <c r="D1242" s="29">
        <f t="shared" si="2"/>
        <v>418</v>
      </c>
      <c r="E1242" s="30"/>
      <c r="F1242" s="30"/>
      <c r="G1242" s="30"/>
      <c r="H1242" s="30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  <c r="AA1242" s="30"/>
    </row>
    <row r="1243">
      <c r="A1243" s="29">
        <v>1055975.0</v>
      </c>
      <c r="B1243" s="29">
        <v>1056523.0</v>
      </c>
      <c r="C1243" s="30" t="str">
        <f t="shared" si="1"/>
        <v>+</v>
      </c>
      <c r="D1243" s="29">
        <f t="shared" si="2"/>
        <v>418</v>
      </c>
      <c r="E1243" s="30"/>
      <c r="F1243" s="30"/>
      <c r="G1243" s="30"/>
      <c r="H1243" s="30"/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0"/>
      <c r="Z1243" s="30"/>
      <c r="AA1243" s="30"/>
    </row>
    <row r="1244">
      <c r="A1244" s="29">
        <v>1056501.0</v>
      </c>
      <c r="B1244" s="29">
        <v>1056758.0</v>
      </c>
      <c r="C1244" s="30" t="str">
        <f t="shared" si="1"/>
        <v>+</v>
      </c>
      <c r="D1244" s="29">
        <f t="shared" si="2"/>
        <v>418</v>
      </c>
      <c r="E1244" s="30"/>
      <c r="F1244" s="30"/>
      <c r="G1244" s="30"/>
      <c r="H1244" s="30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  <c r="AA1244" s="30"/>
    </row>
    <row r="1245">
      <c r="A1245" s="29">
        <v>1057864.0</v>
      </c>
      <c r="B1245" s="29">
        <v>1056944.0</v>
      </c>
      <c r="C1245" s="30" t="str">
        <f t="shared" si="1"/>
        <v>-</v>
      </c>
      <c r="D1245" s="29">
        <f t="shared" si="2"/>
        <v>419</v>
      </c>
      <c r="E1245" s="30"/>
      <c r="F1245" s="30"/>
      <c r="G1245" s="30"/>
      <c r="H1245" s="30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0"/>
      <c r="Z1245" s="30"/>
      <c r="AA1245" s="30"/>
    </row>
    <row r="1246">
      <c r="A1246" s="29">
        <v>1058764.0</v>
      </c>
      <c r="B1246" s="29">
        <v>1057880.0</v>
      </c>
      <c r="C1246" s="30" t="str">
        <f t="shared" si="1"/>
        <v>-</v>
      </c>
      <c r="D1246" s="29">
        <f t="shared" si="2"/>
        <v>419</v>
      </c>
      <c r="E1246" s="30"/>
      <c r="F1246" s="30"/>
      <c r="G1246" s="30"/>
      <c r="H1246" s="30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  <c r="AA1246" s="30"/>
    </row>
    <row r="1247">
      <c r="A1247" s="29">
        <v>1059862.0</v>
      </c>
      <c r="B1247" s="29">
        <v>1059158.0</v>
      </c>
      <c r="C1247" s="30" t="str">
        <f t="shared" si="1"/>
        <v>-</v>
      </c>
      <c r="D1247" s="29">
        <f t="shared" si="2"/>
        <v>419</v>
      </c>
      <c r="E1247" s="30"/>
      <c r="F1247" s="30"/>
      <c r="G1247" s="30"/>
      <c r="H1247" s="30"/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0"/>
      <c r="X1247" s="30"/>
      <c r="Y1247" s="30"/>
      <c r="Z1247" s="30"/>
      <c r="AA1247" s="30"/>
    </row>
    <row r="1248">
      <c r="A1248" s="29">
        <v>1060037.0</v>
      </c>
      <c r="B1248" s="29">
        <v>1061155.0</v>
      </c>
      <c r="C1248" s="30" t="str">
        <f t="shared" si="1"/>
        <v>+</v>
      </c>
      <c r="D1248" s="29">
        <f t="shared" si="2"/>
        <v>420</v>
      </c>
      <c r="E1248" s="30"/>
      <c r="F1248" s="30"/>
      <c r="G1248" s="30"/>
      <c r="H1248" s="30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0"/>
      <c r="X1248" s="30"/>
      <c r="Y1248" s="30"/>
      <c r="Z1248" s="30"/>
      <c r="AA1248" s="30"/>
    </row>
    <row r="1249">
      <c r="A1249" s="29">
        <v>1061133.0</v>
      </c>
      <c r="B1249" s="29">
        <v>1062410.0</v>
      </c>
      <c r="C1249" s="30" t="str">
        <f t="shared" si="1"/>
        <v>+</v>
      </c>
      <c r="D1249" s="29">
        <f t="shared" si="2"/>
        <v>420</v>
      </c>
      <c r="E1249" s="30"/>
      <c r="F1249" s="30"/>
      <c r="G1249" s="30"/>
      <c r="H1249" s="30"/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0"/>
      <c r="X1249" s="30"/>
      <c r="Y1249" s="30"/>
      <c r="Z1249" s="30"/>
      <c r="AA1249" s="30"/>
    </row>
    <row r="1250">
      <c r="A1250" s="29">
        <v>1062979.0</v>
      </c>
      <c r="B1250" s="29">
        <v>1062332.0</v>
      </c>
      <c r="C1250" s="30" t="str">
        <f t="shared" si="1"/>
        <v>-</v>
      </c>
      <c r="D1250" s="29">
        <f t="shared" si="2"/>
        <v>421</v>
      </c>
      <c r="E1250" s="30"/>
      <c r="F1250" s="30"/>
      <c r="G1250" s="30"/>
      <c r="H1250" s="30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  <c r="AA1250" s="30"/>
    </row>
    <row r="1251">
      <c r="A1251" s="29">
        <v>1063066.0</v>
      </c>
      <c r="B1251" s="29">
        <v>1063206.0</v>
      </c>
      <c r="C1251" s="30" t="str">
        <f t="shared" si="1"/>
        <v>+</v>
      </c>
      <c r="D1251" s="29">
        <f t="shared" si="2"/>
        <v>422</v>
      </c>
      <c r="E1251" s="30"/>
      <c r="F1251" s="30"/>
      <c r="G1251" s="30"/>
      <c r="H1251" s="30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0"/>
      <c r="Z1251" s="30"/>
      <c r="AA1251" s="30"/>
    </row>
    <row r="1252">
      <c r="A1252" s="29">
        <v>1063290.0</v>
      </c>
      <c r="B1252" s="29">
        <v>1063589.0</v>
      </c>
      <c r="C1252" s="30" t="str">
        <f t="shared" si="1"/>
        <v>+</v>
      </c>
      <c r="D1252" s="29">
        <f t="shared" si="2"/>
        <v>422</v>
      </c>
      <c r="E1252" s="30"/>
      <c r="F1252" s="30"/>
      <c r="G1252" s="30"/>
      <c r="H1252" s="30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  <c r="AA1252" s="30"/>
    </row>
    <row r="1253">
      <c r="A1253" s="29">
        <v>1064462.0</v>
      </c>
      <c r="B1253" s="29">
        <v>1063596.0</v>
      </c>
      <c r="C1253" s="30" t="str">
        <f t="shared" si="1"/>
        <v>-</v>
      </c>
      <c r="D1253" s="29">
        <f t="shared" si="2"/>
        <v>423</v>
      </c>
      <c r="E1253" s="30"/>
      <c r="F1253" s="30"/>
      <c r="G1253" s="30"/>
      <c r="H1253" s="30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0"/>
      <c r="Z1253" s="30"/>
      <c r="AA1253" s="30"/>
    </row>
    <row r="1254">
      <c r="A1254" s="29">
        <v>1064541.0</v>
      </c>
      <c r="B1254" s="29">
        <v>1064672.0</v>
      </c>
      <c r="C1254" s="30" t="str">
        <f t="shared" si="1"/>
        <v>+</v>
      </c>
      <c r="D1254" s="29">
        <f t="shared" si="2"/>
        <v>424</v>
      </c>
      <c r="E1254" s="30"/>
      <c r="F1254" s="30"/>
      <c r="G1254" s="30"/>
      <c r="H1254" s="30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  <c r="AA1254" s="30"/>
    </row>
    <row r="1255">
      <c r="A1255" s="29">
        <v>1065370.0</v>
      </c>
      <c r="B1255" s="29">
        <v>1064735.0</v>
      </c>
      <c r="C1255" s="30" t="str">
        <f t="shared" si="1"/>
        <v>-</v>
      </c>
      <c r="D1255" s="29">
        <f t="shared" si="2"/>
        <v>425</v>
      </c>
      <c r="E1255" s="30"/>
      <c r="F1255" s="30"/>
      <c r="G1255" s="30"/>
      <c r="H1255" s="30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0"/>
      <c r="Z1255" s="30"/>
      <c r="AA1255" s="30"/>
    </row>
    <row r="1256">
      <c r="A1256" s="29">
        <v>1065415.0</v>
      </c>
      <c r="B1256" s="29">
        <v>1066308.0</v>
      </c>
      <c r="C1256" s="30" t="str">
        <f t="shared" si="1"/>
        <v>+</v>
      </c>
      <c r="D1256" s="29">
        <f t="shared" si="2"/>
        <v>426</v>
      </c>
      <c r="E1256" s="30"/>
      <c r="F1256" s="30"/>
      <c r="G1256" s="30"/>
      <c r="H1256" s="30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  <c r="AA1256" s="30"/>
    </row>
    <row r="1257">
      <c r="A1257" s="29">
        <v>1067203.0</v>
      </c>
      <c r="B1257" s="29">
        <v>1066268.0</v>
      </c>
      <c r="C1257" s="30" t="str">
        <f t="shared" si="1"/>
        <v>-</v>
      </c>
      <c r="D1257" s="29">
        <f t="shared" si="2"/>
        <v>427</v>
      </c>
      <c r="E1257" s="30"/>
      <c r="F1257" s="30"/>
      <c r="G1257" s="30"/>
      <c r="H1257" s="30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0"/>
      <c r="X1257" s="30"/>
      <c r="Y1257" s="30"/>
      <c r="Z1257" s="30"/>
      <c r="AA1257" s="30"/>
    </row>
    <row r="1258">
      <c r="A1258" s="29">
        <v>1067220.0</v>
      </c>
      <c r="B1258" s="29">
        <v>1068254.0</v>
      </c>
      <c r="C1258" s="30" t="str">
        <f t="shared" si="1"/>
        <v>+</v>
      </c>
      <c r="D1258" s="29">
        <f t="shared" si="2"/>
        <v>428</v>
      </c>
      <c r="E1258" s="30"/>
      <c r="F1258" s="30"/>
      <c r="G1258" s="30"/>
      <c r="H1258" s="30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0"/>
      <c r="X1258" s="30"/>
      <c r="Y1258" s="30"/>
      <c r="Z1258" s="30"/>
      <c r="AA1258" s="30"/>
    </row>
    <row r="1259">
      <c r="A1259" s="29">
        <v>1068251.0</v>
      </c>
      <c r="B1259" s="29">
        <v>1069093.0</v>
      </c>
      <c r="C1259" s="30" t="str">
        <f t="shared" si="1"/>
        <v>+</v>
      </c>
      <c r="D1259" s="29">
        <f t="shared" si="2"/>
        <v>428</v>
      </c>
      <c r="E1259" s="30"/>
      <c r="F1259" s="30"/>
      <c r="G1259" s="30"/>
      <c r="H1259" s="30"/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0"/>
      <c r="X1259" s="30"/>
      <c r="Y1259" s="30"/>
      <c r="Z1259" s="30"/>
      <c r="AA1259" s="30"/>
    </row>
    <row r="1260">
      <c r="A1260" s="29">
        <v>1069124.0</v>
      </c>
      <c r="B1260" s="29">
        <v>1069990.0</v>
      </c>
      <c r="C1260" s="30" t="str">
        <f t="shared" si="1"/>
        <v>+</v>
      </c>
      <c r="D1260" s="29">
        <f t="shared" si="2"/>
        <v>428</v>
      </c>
      <c r="E1260" s="30"/>
      <c r="F1260" s="30"/>
      <c r="G1260" s="30"/>
      <c r="H1260" s="30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0"/>
      <c r="X1260" s="30"/>
      <c r="Y1260" s="30"/>
      <c r="Z1260" s="30"/>
      <c r="AA1260" s="30"/>
    </row>
    <row r="1261">
      <c r="A1261" s="29">
        <v>1070036.0</v>
      </c>
      <c r="B1261" s="29">
        <v>1070947.0</v>
      </c>
      <c r="C1261" s="30" t="str">
        <f t="shared" si="1"/>
        <v>+</v>
      </c>
      <c r="D1261" s="29">
        <f t="shared" si="2"/>
        <v>428</v>
      </c>
      <c r="E1261" s="30"/>
      <c r="F1261" s="30"/>
      <c r="G1261" s="30"/>
      <c r="H1261" s="30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0"/>
      <c r="X1261" s="30"/>
      <c r="Y1261" s="30"/>
      <c r="Z1261" s="30"/>
      <c r="AA1261" s="30"/>
    </row>
    <row r="1262">
      <c r="A1262" s="29">
        <v>1071990.0</v>
      </c>
      <c r="B1262" s="29">
        <v>1071070.0</v>
      </c>
      <c r="C1262" s="30" t="str">
        <f t="shared" si="1"/>
        <v>-</v>
      </c>
      <c r="D1262" s="29">
        <f t="shared" si="2"/>
        <v>429</v>
      </c>
      <c r="E1262" s="30"/>
      <c r="F1262" s="30"/>
      <c r="G1262" s="30"/>
      <c r="H1262" s="3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0"/>
      <c r="X1262" s="30"/>
      <c r="Y1262" s="30"/>
      <c r="Z1262" s="30"/>
      <c r="AA1262" s="30"/>
    </row>
    <row r="1263">
      <c r="A1263" s="29">
        <v>1072319.0</v>
      </c>
      <c r="B1263" s="29">
        <v>1072020.0</v>
      </c>
      <c r="C1263" s="30" t="str">
        <f t="shared" si="1"/>
        <v>-</v>
      </c>
      <c r="D1263" s="29">
        <f t="shared" si="2"/>
        <v>429</v>
      </c>
      <c r="E1263" s="30"/>
      <c r="F1263" s="30"/>
      <c r="G1263" s="30"/>
      <c r="H1263" s="30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0"/>
      <c r="Z1263" s="30"/>
      <c r="AA1263" s="30"/>
    </row>
    <row r="1264">
      <c r="A1264" s="29">
        <v>1073326.0</v>
      </c>
      <c r="B1264" s="29">
        <v>1072316.0</v>
      </c>
      <c r="C1264" s="30" t="str">
        <f t="shared" si="1"/>
        <v>-</v>
      </c>
      <c r="D1264" s="29">
        <f t="shared" si="2"/>
        <v>429</v>
      </c>
      <c r="E1264" s="30"/>
      <c r="F1264" s="30"/>
      <c r="G1264" s="30"/>
      <c r="H1264" s="30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  <c r="AA1264" s="30"/>
    </row>
    <row r="1265">
      <c r="A1265" s="29">
        <v>1073379.0</v>
      </c>
      <c r="B1265" s="29">
        <v>1074173.0</v>
      </c>
      <c r="C1265" s="30" t="str">
        <f t="shared" si="1"/>
        <v>+</v>
      </c>
      <c r="D1265" s="29">
        <f t="shared" si="2"/>
        <v>430</v>
      </c>
      <c r="E1265" s="30"/>
      <c r="F1265" s="30"/>
      <c r="G1265" s="30"/>
      <c r="H1265" s="30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0"/>
      <c r="X1265" s="30"/>
      <c r="Y1265" s="30"/>
      <c r="Z1265" s="30"/>
      <c r="AA1265" s="30"/>
    </row>
    <row r="1266">
      <c r="A1266" s="29">
        <v>1074227.0</v>
      </c>
      <c r="B1266" s="29">
        <v>1074421.0</v>
      </c>
      <c r="C1266" s="30" t="str">
        <f t="shared" si="1"/>
        <v>+</v>
      </c>
      <c r="D1266" s="29">
        <f t="shared" si="2"/>
        <v>430</v>
      </c>
      <c r="E1266" s="30"/>
      <c r="F1266" s="30"/>
      <c r="G1266" s="30"/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0"/>
      <c r="X1266" s="30"/>
      <c r="Y1266" s="30"/>
      <c r="Z1266" s="30"/>
      <c r="AA1266" s="30"/>
    </row>
    <row r="1267">
      <c r="A1267" s="29">
        <v>1074412.0</v>
      </c>
      <c r="B1267" s="29">
        <v>1074735.0</v>
      </c>
      <c r="C1267" s="30" t="str">
        <f t="shared" si="1"/>
        <v>+</v>
      </c>
      <c r="D1267" s="29">
        <f t="shared" si="2"/>
        <v>430</v>
      </c>
      <c r="E1267" s="30"/>
      <c r="F1267" s="30"/>
      <c r="G1267" s="30"/>
      <c r="H1267" s="30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0"/>
      <c r="Z1267" s="30"/>
      <c r="AA1267" s="30"/>
    </row>
    <row r="1268">
      <c r="A1268" s="29">
        <v>1075321.0</v>
      </c>
      <c r="B1268" s="29">
        <v>1074710.0</v>
      </c>
      <c r="C1268" s="30" t="str">
        <f t="shared" si="1"/>
        <v>-</v>
      </c>
      <c r="D1268" s="29">
        <f t="shared" si="2"/>
        <v>431</v>
      </c>
      <c r="E1268" s="30"/>
      <c r="F1268" s="30"/>
      <c r="G1268" s="30"/>
      <c r="H1268" s="30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  <c r="AA1268" s="30"/>
    </row>
    <row r="1269">
      <c r="A1269" s="29">
        <v>1075638.0</v>
      </c>
      <c r="B1269" s="29">
        <v>1075351.0</v>
      </c>
      <c r="C1269" s="30" t="str">
        <f t="shared" si="1"/>
        <v>-</v>
      </c>
      <c r="D1269" s="29">
        <f t="shared" si="2"/>
        <v>431</v>
      </c>
      <c r="E1269" s="30"/>
      <c r="F1269" s="30"/>
      <c r="G1269" s="30"/>
      <c r="H1269" s="30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0"/>
      <c r="X1269" s="30"/>
      <c r="Y1269" s="30"/>
      <c r="Z1269" s="30"/>
      <c r="AA1269" s="30"/>
    </row>
    <row r="1270">
      <c r="A1270" s="29">
        <v>1076823.0</v>
      </c>
      <c r="B1270" s="29">
        <v>1075696.0</v>
      </c>
      <c r="C1270" s="30" t="str">
        <f t="shared" si="1"/>
        <v>-</v>
      </c>
      <c r="D1270" s="29">
        <f t="shared" si="2"/>
        <v>431</v>
      </c>
      <c r="E1270" s="30"/>
      <c r="F1270" s="30"/>
      <c r="G1270" s="30"/>
      <c r="H1270" s="30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  <c r="AA1270" s="30"/>
    </row>
    <row r="1271">
      <c r="A1271" s="29">
        <v>1077163.0</v>
      </c>
      <c r="B1271" s="29">
        <v>1077435.0</v>
      </c>
      <c r="C1271" s="30" t="str">
        <f t="shared" si="1"/>
        <v>+</v>
      </c>
      <c r="D1271" s="29">
        <f t="shared" si="2"/>
        <v>432</v>
      </c>
      <c r="E1271" s="30"/>
      <c r="F1271" s="30"/>
      <c r="G1271" s="30"/>
      <c r="H1271" s="30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0"/>
      <c r="Z1271" s="30"/>
      <c r="AA1271" s="30"/>
    </row>
    <row r="1272">
      <c r="A1272" s="29">
        <v>1077432.0</v>
      </c>
      <c r="B1272" s="29">
        <v>1078778.0</v>
      </c>
      <c r="C1272" s="30" t="str">
        <f t="shared" si="1"/>
        <v>+</v>
      </c>
      <c r="D1272" s="29">
        <f t="shared" si="2"/>
        <v>432</v>
      </c>
      <c r="E1272" s="30"/>
      <c r="F1272" s="30"/>
      <c r="G1272" s="30"/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0"/>
      <c r="X1272" s="30"/>
      <c r="Y1272" s="30"/>
      <c r="Z1272" s="30"/>
      <c r="AA1272" s="30"/>
    </row>
    <row r="1273">
      <c r="A1273" s="29">
        <v>1078791.0</v>
      </c>
      <c r="B1273" s="29">
        <v>1079930.0</v>
      </c>
      <c r="C1273" s="30" t="str">
        <f t="shared" si="1"/>
        <v>+</v>
      </c>
      <c r="D1273" s="29">
        <f t="shared" si="2"/>
        <v>432</v>
      </c>
      <c r="E1273" s="30"/>
      <c r="F1273" s="30"/>
      <c r="G1273" s="30"/>
      <c r="H1273" s="30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0"/>
      <c r="X1273" s="30"/>
      <c r="Y1273" s="30"/>
      <c r="Z1273" s="30"/>
      <c r="AA1273" s="30"/>
    </row>
    <row r="1274">
      <c r="A1274" s="29">
        <v>1080840.0</v>
      </c>
      <c r="B1274" s="29">
        <v>1079920.0</v>
      </c>
      <c r="C1274" s="30" t="str">
        <f t="shared" si="1"/>
        <v>-</v>
      </c>
      <c r="D1274" s="29">
        <f t="shared" si="2"/>
        <v>433</v>
      </c>
      <c r="E1274" s="30"/>
      <c r="F1274" s="30"/>
      <c r="G1274" s="30"/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0"/>
      <c r="X1274" s="30"/>
      <c r="Y1274" s="30"/>
      <c r="Z1274" s="30"/>
      <c r="AA1274" s="30"/>
    </row>
    <row r="1275">
      <c r="A1275" s="29">
        <v>1080889.0</v>
      </c>
      <c r="B1275" s="29">
        <v>1081515.0</v>
      </c>
      <c r="C1275" s="30" t="str">
        <f t="shared" si="1"/>
        <v>+</v>
      </c>
      <c r="D1275" s="29">
        <f t="shared" si="2"/>
        <v>434</v>
      </c>
      <c r="E1275" s="30"/>
      <c r="F1275" s="30"/>
      <c r="G1275" s="30"/>
      <c r="H1275" s="30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0"/>
      <c r="X1275" s="30"/>
      <c r="Y1275" s="30"/>
      <c r="Z1275" s="30"/>
      <c r="AA1275" s="30"/>
    </row>
    <row r="1276">
      <c r="A1276" s="29">
        <v>1082526.0</v>
      </c>
      <c r="B1276" s="29">
        <v>1081522.0</v>
      </c>
      <c r="C1276" s="30" t="str">
        <f t="shared" si="1"/>
        <v>-</v>
      </c>
      <c r="D1276" s="29">
        <f t="shared" si="2"/>
        <v>435</v>
      </c>
      <c r="E1276" s="30"/>
      <c r="F1276" s="30"/>
      <c r="G1276" s="30"/>
      <c r="H1276" s="30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  <c r="AA1276" s="30"/>
    </row>
    <row r="1277">
      <c r="A1277" s="29">
        <v>1083280.0</v>
      </c>
      <c r="B1277" s="29">
        <v>1082957.0</v>
      </c>
      <c r="C1277" s="30" t="str">
        <f t="shared" si="1"/>
        <v>-</v>
      </c>
      <c r="D1277" s="29">
        <f t="shared" si="2"/>
        <v>435</v>
      </c>
      <c r="E1277" s="30"/>
      <c r="F1277" s="30"/>
      <c r="G1277" s="30"/>
      <c r="H1277" s="3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0"/>
      <c r="X1277" s="30"/>
      <c r="Y1277" s="30"/>
      <c r="Z1277" s="30"/>
      <c r="AA1277" s="30"/>
    </row>
    <row r="1278">
      <c r="A1278" s="29">
        <v>1083640.0</v>
      </c>
      <c r="B1278" s="29">
        <v>1083284.0</v>
      </c>
      <c r="C1278" s="30" t="str">
        <f t="shared" si="1"/>
        <v>-</v>
      </c>
      <c r="D1278" s="29">
        <f t="shared" si="2"/>
        <v>435</v>
      </c>
      <c r="E1278" s="30"/>
      <c r="F1278" s="30"/>
      <c r="G1278" s="30"/>
      <c r="H1278" s="30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0"/>
      <c r="X1278" s="30"/>
      <c r="Y1278" s="30"/>
      <c r="Z1278" s="30"/>
      <c r="AA1278" s="30"/>
    </row>
    <row r="1279">
      <c r="A1279" s="29">
        <v>1083796.0</v>
      </c>
      <c r="B1279" s="29">
        <v>1084212.0</v>
      </c>
      <c r="C1279" s="30" t="str">
        <f t="shared" si="1"/>
        <v>+</v>
      </c>
      <c r="D1279" s="29">
        <f t="shared" si="2"/>
        <v>436</v>
      </c>
      <c r="E1279" s="30"/>
      <c r="F1279" s="30"/>
      <c r="G1279" s="30"/>
      <c r="H1279" s="30"/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0"/>
      <c r="X1279" s="30"/>
      <c r="Y1279" s="30"/>
      <c r="Z1279" s="30"/>
      <c r="AA1279" s="30"/>
    </row>
    <row r="1280">
      <c r="A1280" s="29">
        <v>1084196.0</v>
      </c>
      <c r="B1280" s="29">
        <v>1084567.0</v>
      </c>
      <c r="C1280" s="30" t="str">
        <f t="shared" si="1"/>
        <v>+</v>
      </c>
      <c r="D1280" s="29">
        <f t="shared" si="2"/>
        <v>436</v>
      </c>
      <c r="E1280" s="30"/>
      <c r="F1280" s="30"/>
      <c r="G1280" s="30"/>
      <c r="H1280" s="30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  <c r="AA1280" s="30"/>
    </row>
    <row r="1281">
      <c r="A1281" s="29">
        <v>1085148.0</v>
      </c>
      <c r="B1281" s="29">
        <v>1084966.0</v>
      </c>
      <c r="C1281" s="30" t="str">
        <f t="shared" si="1"/>
        <v>-</v>
      </c>
      <c r="D1281" s="29">
        <f t="shared" si="2"/>
        <v>437</v>
      </c>
      <c r="E1281" s="30"/>
      <c r="F1281" s="30"/>
      <c r="G1281" s="30"/>
      <c r="H1281" s="30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0"/>
      <c r="Z1281" s="30"/>
      <c r="AA1281" s="30"/>
    </row>
    <row r="1282">
      <c r="A1282" s="29">
        <v>1085510.0</v>
      </c>
      <c r="B1282" s="29">
        <v>1085187.0</v>
      </c>
      <c r="C1282" s="30" t="str">
        <f t="shared" si="1"/>
        <v>-</v>
      </c>
      <c r="D1282" s="29">
        <f t="shared" si="2"/>
        <v>437</v>
      </c>
      <c r="E1282" s="30"/>
      <c r="F1282" s="30"/>
      <c r="G1282" s="30"/>
      <c r="H1282" s="30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0"/>
      <c r="X1282" s="30"/>
      <c r="Y1282" s="30"/>
      <c r="Z1282" s="30"/>
      <c r="AA1282" s="30"/>
    </row>
    <row r="1283">
      <c r="A1283" s="29">
        <v>1085756.0</v>
      </c>
      <c r="B1283" s="29">
        <v>1085604.0</v>
      </c>
      <c r="C1283" s="30" t="str">
        <f t="shared" si="1"/>
        <v>-</v>
      </c>
      <c r="D1283" s="29">
        <f t="shared" si="2"/>
        <v>437</v>
      </c>
      <c r="E1283" s="30"/>
      <c r="F1283" s="30"/>
      <c r="G1283" s="30"/>
      <c r="H1283" s="30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0"/>
      <c r="X1283" s="30"/>
      <c r="Y1283" s="30"/>
      <c r="Z1283" s="30"/>
      <c r="AA1283" s="30"/>
    </row>
    <row r="1284">
      <c r="A1284" s="29">
        <v>1086027.0</v>
      </c>
      <c r="B1284" s="29">
        <v>1085806.0</v>
      </c>
      <c r="C1284" s="30" t="str">
        <f t="shared" si="1"/>
        <v>-</v>
      </c>
      <c r="D1284" s="29">
        <f t="shared" si="2"/>
        <v>437</v>
      </c>
      <c r="E1284" s="30"/>
      <c r="F1284" s="30"/>
      <c r="G1284" s="30"/>
      <c r="H1284" s="30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30"/>
      <c r="Z1284" s="30"/>
      <c r="AA1284" s="30"/>
    </row>
    <row r="1285">
      <c r="A1285" s="29">
        <v>1086430.0</v>
      </c>
      <c r="B1285" s="29">
        <v>1086699.0</v>
      </c>
      <c r="C1285" s="30" t="str">
        <f t="shared" si="1"/>
        <v>+</v>
      </c>
      <c r="D1285" s="29">
        <f t="shared" si="2"/>
        <v>438</v>
      </c>
      <c r="E1285" s="30"/>
      <c r="F1285" s="30"/>
      <c r="G1285" s="30"/>
      <c r="H1285" s="30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0"/>
      <c r="Z1285" s="30"/>
      <c r="AA1285" s="30"/>
    </row>
    <row r="1286">
      <c r="A1286" s="29">
        <v>1086939.0</v>
      </c>
      <c r="B1286" s="29">
        <v>1087142.0</v>
      </c>
      <c r="C1286" s="30" t="str">
        <f t="shared" si="1"/>
        <v>+</v>
      </c>
      <c r="D1286" s="29">
        <f t="shared" si="2"/>
        <v>438</v>
      </c>
      <c r="E1286" s="30"/>
      <c r="F1286" s="30"/>
      <c r="G1286" s="30"/>
      <c r="H1286" s="30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  <c r="AA1286" s="30"/>
    </row>
    <row r="1287">
      <c r="A1287" s="29">
        <v>1087731.0</v>
      </c>
      <c r="B1287" s="29">
        <v>1088513.0</v>
      </c>
      <c r="C1287" s="30" t="str">
        <f t="shared" si="1"/>
        <v>+</v>
      </c>
      <c r="D1287" s="29">
        <f t="shared" si="2"/>
        <v>438</v>
      </c>
      <c r="E1287" s="30"/>
      <c r="F1287" s="30"/>
      <c r="G1287" s="30"/>
      <c r="H1287" s="30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0"/>
      <c r="Z1287" s="30"/>
      <c r="AA1287" s="30"/>
    </row>
    <row r="1288">
      <c r="A1288" s="29">
        <v>1090246.0</v>
      </c>
      <c r="B1288" s="29">
        <v>1089821.0</v>
      </c>
      <c r="C1288" s="30" t="str">
        <f t="shared" si="1"/>
        <v>-</v>
      </c>
      <c r="D1288" s="29">
        <f t="shared" si="2"/>
        <v>439</v>
      </c>
      <c r="E1288" s="30"/>
      <c r="F1288" s="30"/>
      <c r="G1288" s="30"/>
      <c r="H1288" s="30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0"/>
      <c r="X1288" s="30"/>
      <c r="Y1288" s="30"/>
      <c r="Z1288" s="30"/>
      <c r="AA1288" s="30"/>
    </row>
    <row r="1289">
      <c r="A1289" s="29">
        <v>1090647.0</v>
      </c>
      <c r="B1289" s="29">
        <v>1090417.0</v>
      </c>
      <c r="C1289" s="30" t="str">
        <f t="shared" si="1"/>
        <v>-</v>
      </c>
      <c r="D1289" s="29">
        <f t="shared" si="2"/>
        <v>439</v>
      </c>
      <c r="E1289" s="30"/>
      <c r="F1289" s="30"/>
      <c r="G1289" s="30"/>
      <c r="H1289" s="30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0"/>
      <c r="Z1289" s="30"/>
      <c r="AA1289" s="30"/>
    </row>
    <row r="1290">
      <c r="A1290" s="29">
        <v>1091147.0</v>
      </c>
      <c r="B1290" s="29">
        <v>1090599.0</v>
      </c>
      <c r="C1290" s="30" t="str">
        <f t="shared" si="1"/>
        <v>-</v>
      </c>
      <c r="D1290" s="29">
        <f t="shared" si="2"/>
        <v>439</v>
      </c>
      <c r="E1290" s="30"/>
      <c r="F1290" s="30"/>
      <c r="G1290" s="30"/>
      <c r="H1290" s="30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0"/>
      <c r="X1290" s="30"/>
      <c r="Y1290" s="30"/>
      <c r="Z1290" s="30"/>
      <c r="AA1290" s="30"/>
    </row>
    <row r="1291">
      <c r="A1291" s="29">
        <v>1091679.0</v>
      </c>
      <c r="B1291" s="29">
        <v>1091167.0</v>
      </c>
      <c r="C1291" s="30" t="str">
        <f t="shared" si="1"/>
        <v>-</v>
      </c>
      <c r="D1291" s="29">
        <f t="shared" si="2"/>
        <v>439</v>
      </c>
      <c r="E1291" s="30"/>
      <c r="F1291" s="30"/>
      <c r="G1291" s="30"/>
      <c r="H1291" s="30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0"/>
      <c r="X1291" s="30"/>
      <c r="Y1291" s="30"/>
      <c r="Z1291" s="30"/>
      <c r="AA1291" s="30"/>
    </row>
    <row r="1292">
      <c r="A1292" s="29">
        <v>1092775.0</v>
      </c>
      <c r="B1292" s="29">
        <v>1091822.0</v>
      </c>
      <c r="C1292" s="30" t="str">
        <f t="shared" si="1"/>
        <v>-</v>
      </c>
      <c r="D1292" s="29">
        <f t="shared" si="2"/>
        <v>439</v>
      </c>
      <c r="E1292" s="30"/>
      <c r="F1292" s="30"/>
      <c r="G1292" s="30"/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  <c r="AA1292" s="30"/>
    </row>
    <row r="1293">
      <c r="A1293" s="29">
        <v>1093223.0</v>
      </c>
      <c r="B1293" s="29">
        <v>1092756.0</v>
      </c>
      <c r="C1293" s="30" t="str">
        <f t="shared" si="1"/>
        <v>-</v>
      </c>
      <c r="D1293" s="29">
        <f t="shared" si="2"/>
        <v>439</v>
      </c>
      <c r="E1293" s="30"/>
      <c r="F1293" s="30"/>
      <c r="G1293" s="30"/>
      <c r="H1293" s="30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0"/>
      <c r="X1293" s="30"/>
      <c r="Y1293" s="30"/>
      <c r="Z1293" s="30"/>
      <c r="AA1293" s="30"/>
    </row>
    <row r="1294">
      <c r="A1294" s="29">
        <v>1093419.0</v>
      </c>
      <c r="B1294" s="29">
        <v>1094264.0</v>
      </c>
      <c r="C1294" s="30" t="str">
        <f t="shared" si="1"/>
        <v>+</v>
      </c>
      <c r="D1294" s="29">
        <f t="shared" si="2"/>
        <v>440</v>
      </c>
      <c r="E1294" s="30"/>
      <c r="F1294" s="30"/>
      <c r="G1294" s="30"/>
      <c r="H1294" s="30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0"/>
      <c r="Z1294" s="30"/>
      <c r="AA1294" s="30"/>
    </row>
    <row r="1295">
      <c r="A1295" s="29">
        <v>1095051.0</v>
      </c>
      <c r="B1295" s="29">
        <v>1094587.0</v>
      </c>
      <c r="C1295" s="30" t="str">
        <f t="shared" si="1"/>
        <v>-</v>
      </c>
      <c r="D1295" s="29">
        <f t="shared" si="2"/>
        <v>441</v>
      </c>
      <c r="E1295" s="30"/>
      <c r="F1295" s="30"/>
      <c r="G1295" s="30"/>
      <c r="H1295" s="30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0"/>
      <c r="X1295" s="30"/>
      <c r="Y1295" s="30"/>
      <c r="Z1295" s="30"/>
      <c r="AA1295" s="30"/>
    </row>
    <row r="1296">
      <c r="A1296" s="29">
        <v>1096093.0</v>
      </c>
      <c r="B1296" s="29">
        <v>1095092.0</v>
      </c>
      <c r="C1296" s="30" t="str">
        <f t="shared" si="1"/>
        <v>-</v>
      </c>
      <c r="D1296" s="29">
        <f t="shared" si="2"/>
        <v>441</v>
      </c>
      <c r="E1296" s="30"/>
      <c r="F1296" s="30"/>
      <c r="G1296" s="30"/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  <c r="AA1296" s="30"/>
    </row>
    <row r="1297">
      <c r="A1297" s="29">
        <v>1097099.0</v>
      </c>
      <c r="B1297" s="29">
        <v>1096107.0</v>
      </c>
      <c r="C1297" s="30" t="str">
        <f t="shared" si="1"/>
        <v>-</v>
      </c>
      <c r="D1297" s="29">
        <f t="shared" si="2"/>
        <v>441</v>
      </c>
      <c r="E1297" s="30"/>
      <c r="F1297" s="30"/>
      <c r="G1297" s="30"/>
      <c r="H1297" s="30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0"/>
      <c r="X1297" s="30"/>
      <c r="Y1297" s="30"/>
      <c r="Z1297" s="30"/>
      <c r="AA1297" s="30"/>
    </row>
    <row r="1298">
      <c r="A1298" s="29">
        <v>1097148.0</v>
      </c>
      <c r="B1298" s="29">
        <v>1097774.0</v>
      </c>
      <c r="C1298" s="30" t="str">
        <f t="shared" si="1"/>
        <v>+</v>
      </c>
      <c r="D1298" s="29">
        <f t="shared" si="2"/>
        <v>442</v>
      </c>
      <c r="E1298" s="30"/>
      <c r="F1298" s="30"/>
      <c r="G1298" s="30"/>
      <c r="H1298" s="30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0"/>
      <c r="X1298" s="30"/>
      <c r="Y1298" s="30"/>
      <c r="Z1298" s="30"/>
      <c r="AA1298" s="30"/>
    </row>
    <row r="1299">
      <c r="A1299" s="29">
        <v>1097771.0</v>
      </c>
      <c r="B1299" s="29">
        <v>1098595.0</v>
      </c>
      <c r="C1299" s="30" t="str">
        <f t="shared" si="1"/>
        <v>+</v>
      </c>
      <c r="D1299" s="29">
        <f t="shared" si="2"/>
        <v>442</v>
      </c>
      <c r="E1299" s="30"/>
      <c r="F1299" s="30"/>
      <c r="G1299" s="30"/>
      <c r="H1299" s="30"/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0"/>
      <c r="Z1299" s="30"/>
      <c r="AA1299" s="30"/>
    </row>
    <row r="1300">
      <c r="A1300" s="29">
        <v>1098579.0</v>
      </c>
      <c r="B1300" s="29">
        <v>1099484.0</v>
      </c>
      <c r="C1300" s="30" t="str">
        <f t="shared" si="1"/>
        <v>+</v>
      </c>
      <c r="D1300" s="29">
        <f t="shared" si="2"/>
        <v>442</v>
      </c>
      <c r="E1300" s="30"/>
      <c r="F1300" s="30"/>
      <c r="G1300" s="30"/>
      <c r="H1300" s="30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0"/>
      <c r="Z1300" s="30"/>
      <c r="AA1300" s="30"/>
    </row>
    <row r="1301">
      <c r="A1301" s="29">
        <v>1099471.0</v>
      </c>
      <c r="B1301" s="29">
        <v>1100127.0</v>
      </c>
      <c r="C1301" s="30" t="str">
        <f t="shared" si="1"/>
        <v>+</v>
      </c>
      <c r="D1301" s="29">
        <f t="shared" si="2"/>
        <v>442</v>
      </c>
      <c r="E1301" s="30"/>
      <c r="F1301" s="30"/>
      <c r="G1301" s="30"/>
      <c r="H1301" s="30"/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  <c r="U1301" s="30"/>
      <c r="V1301" s="30"/>
      <c r="W1301" s="30"/>
      <c r="X1301" s="30"/>
      <c r="Y1301" s="30"/>
      <c r="Z1301" s="30"/>
      <c r="AA1301" s="30"/>
    </row>
    <row r="1302">
      <c r="A1302" s="29">
        <v>1100112.0</v>
      </c>
      <c r="B1302" s="29">
        <v>1101086.0</v>
      </c>
      <c r="C1302" s="30" t="str">
        <f t="shared" si="1"/>
        <v>+</v>
      </c>
      <c r="D1302" s="29">
        <f t="shared" si="2"/>
        <v>442</v>
      </c>
      <c r="E1302" s="30"/>
      <c r="F1302" s="30"/>
      <c r="G1302" s="30"/>
      <c r="H1302" s="30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0"/>
      <c r="Z1302" s="30"/>
      <c r="AA1302" s="30"/>
    </row>
    <row r="1303">
      <c r="A1303" s="29">
        <v>1101968.0</v>
      </c>
      <c r="B1303" s="29">
        <v>1101849.0</v>
      </c>
      <c r="C1303" s="30" t="str">
        <f t="shared" si="1"/>
        <v>-</v>
      </c>
      <c r="D1303" s="29">
        <f t="shared" si="2"/>
        <v>443</v>
      </c>
      <c r="E1303" s="30"/>
      <c r="F1303" s="30"/>
      <c r="G1303" s="30"/>
      <c r="H1303" s="30"/>
      <c r="I1303" s="30"/>
      <c r="J1303" s="30"/>
      <c r="K1303" s="30"/>
      <c r="L1303" s="30"/>
      <c r="M1303" s="30"/>
      <c r="N1303" s="30"/>
      <c r="O1303" s="30"/>
      <c r="P1303" s="30"/>
      <c r="Q1303" s="30"/>
      <c r="R1303" s="30"/>
      <c r="S1303" s="30"/>
      <c r="T1303" s="30"/>
      <c r="U1303" s="30"/>
      <c r="V1303" s="30"/>
      <c r="W1303" s="30"/>
      <c r="X1303" s="30"/>
      <c r="Y1303" s="30"/>
      <c r="Z1303" s="30"/>
      <c r="AA1303" s="30"/>
    </row>
    <row r="1304">
      <c r="A1304" s="29">
        <v>1103208.0</v>
      </c>
      <c r="B1304" s="29">
        <v>1102432.0</v>
      </c>
      <c r="C1304" s="30" t="str">
        <f t="shared" si="1"/>
        <v>-</v>
      </c>
      <c r="D1304" s="29">
        <f t="shared" si="2"/>
        <v>443</v>
      </c>
      <c r="E1304" s="30"/>
      <c r="F1304" s="30"/>
      <c r="G1304" s="30"/>
      <c r="H1304" s="30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/>
      <c r="AA1304" s="30"/>
    </row>
    <row r="1305">
      <c r="A1305" s="29">
        <v>1103819.0</v>
      </c>
      <c r="B1305" s="29">
        <v>1103199.0</v>
      </c>
      <c r="C1305" s="30" t="str">
        <f t="shared" si="1"/>
        <v>-</v>
      </c>
      <c r="D1305" s="29">
        <f t="shared" si="2"/>
        <v>443</v>
      </c>
      <c r="E1305" s="30"/>
      <c r="F1305" s="30"/>
      <c r="G1305" s="30"/>
      <c r="H1305" s="30"/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0"/>
      <c r="Z1305" s="30"/>
      <c r="AA1305" s="30"/>
    </row>
    <row r="1306">
      <c r="A1306" s="29">
        <v>1104402.0</v>
      </c>
      <c r="B1306" s="29">
        <v>1103812.0</v>
      </c>
      <c r="C1306" s="30" t="str">
        <f t="shared" si="1"/>
        <v>-</v>
      </c>
      <c r="D1306" s="29">
        <f t="shared" si="2"/>
        <v>443</v>
      </c>
      <c r="E1306" s="30"/>
      <c r="F1306" s="30"/>
      <c r="G1306" s="30"/>
      <c r="H1306" s="30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0"/>
      <c r="X1306" s="30"/>
      <c r="Y1306" s="30"/>
      <c r="Z1306" s="30"/>
      <c r="AA1306" s="30"/>
    </row>
    <row r="1307">
      <c r="A1307" s="29">
        <v>1105427.0</v>
      </c>
      <c r="B1307" s="29">
        <v>1104399.0</v>
      </c>
      <c r="C1307" s="30" t="str">
        <f t="shared" si="1"/>
        <v>-</v>
      </c>
      <c r="D1307" s="29">
        <f t="shared" si="2"/>
        <v>443</v>
      </c>
      <c r="E1307" s="30"/>
      <c r="F1307" s="30"/>
      <c r="G1307" s="30"/>
      <c r="H1307" s="30"/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/>
      <c r="U1307" s="30"/>
      <c r="V1307" s="30"/>
      <c r="W1307" s="30"/>
      <c r="X1307" s="30"/>
      <c r="Y1307" s="30"/>
      <c r="Z1307" s="30"/>
      <c r="AA1307" s="30"/>
    </row>
    <row r="1308">
      <c r="A1308" s="29">
        <v>1106161.0</v>
      </c>
      <c r="B1308" s="29">
        <v>1105424.0</v>
      </c>
      <c r="C1308" s="30" t="str">
        <f t="shared" si="1"/>
        <v>-</v>
      </c>
      <c r="D1308" s="29">
        <f t="shared" si="2"/>
        <v>443</v>
      </c>
      <c r="E1308" s="30"/>
      <c r="F1308" s="30"/>
      <c r="G1308" s="30"/>
      <c r="H1308" s="30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0"/>
      <c r="Z1308" s="30"/>
      <c r="AA1308" s="30"/>
    </row>
    <row r="1309">
      <c r="A1309" s="29">
        <v>1107107.0</v>
      </c>
      <c r="B1309" s="29">
        <v>1106151.0</v>
      </c>
      <c r="C1309" s="30" t="str">
        <f t="shared" si="1"/>
        <v>-</v>
      </c>
      <c r="D1309" s="29">
        <f t="shared" si="2"/>
        <v>443</v>
      </c>
      <c r="E1309" s="30"/>
      <c r="F1309" s="30"/>
      <c r="G1309" s="30"/>
      <c r="H1309" s="30"/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  <c r="U1309" s="30"/>
      <c r="V1309" s="30"/>
      <c r="W1309" s="30"/>
      <c r="X1309" s="30"/>
      <c r="Y1309" s="30"/>
      <c r="Z1309" s="30"/>
      <c r="AA1309" s="30"/>
    </row>
    <row r="1310">
      <c r="A1310" s="29">
        <v>1107694.0</v>
      </c>
      <c r="B1310" s="29">
        <v>1107098.0</v>
      </c>
      <c r="C1310" s="30" t="str">
        <f t="shared" si="1"/>
        <v>-</v>
      </c>
      <c r="D1310" s="29">
        <f t="shared" si="2"/>
        <v>443</v>
      </c>
      <c r="E1310" s="30"/>
      <c r="F1310" s="30"/>
      <c r="G1310" s="30"/>
      <c r="H1310" s="30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  <c r="AA1310" s="30"/>
    </row>
    <row r="1311">
      <c r="A1311" s="29">
        <v>1107909.0</v>
      </c>
      <c r="B1311" s="29">
        <v>1107685.0</v>
      </c>
      <c r="C1311" s="30" t="str">
        <f t="shared" si="1"/>
        <v>-</v>
      </c>
      <c r="D1311" s="29">
        <f t="shared" si="2"/>
        <v>443</v>
      </c>
      <c r="E1311" s="30"/>
      <c r="F1311" s="30"/>
      <c r="G1311" s="30"/>
      <c r="H1311" s="30"/>
      <c r="I1311" s="30"/>
      <c r="J1311" s="30"/>
      <c r="K1311" s="30"/>
      <c r="L1311" s="30"/>
      <c r="M1311" s="30"/>
      <c r="N1311" s="30"/>
      <c r="O1311" s="30"/>
      <c r="P1311" s="30"/>
      <c r="Q1311" s="30"/>
      <c r="R1311" s="30"/>
      <c r="S1311" s="30"/>
      <c r="T1311" s="30"/>
      <c r="U1311" s="30"/>
      <c r="V1311" s="30"/>
      <c r="W1311" s="30"/>
      <c r="X1311" s="30"/>
      <c r="Y1311" s="30"/>
      <c r="Z1311" s="30"/>
      <c r="AA1311" s="30"/>
    </row>
    <row r="1312">
      <c r="A1312" s="29">
        <v>1107980.0</v>
      </c>
      <c r="B1312" s="29">
        <v>1108633.0</v>
      </c>
      <c r="C1312" s="30" t="str">
        <f t="shared" si="1"/>
        <v>+</v>
      </c>
      <c r="D1312" s="29">
        <f t="shared" si="2"/>
        <v>444</v>
      </c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0"/>
      <c r="X1312" s="30"/>
      <c r="Y1312" s="30"/>
      <c r="Z1312" s="30"/>
      <c r="AA1312" s="30"/>
    </row>
    <row r="1313">
      <c r="A1313" s="29">
        <v>1108626.0</v>
      </c>
      <c r="B1313" s="29">
        <v>1109561.0</v>
      </c>
      <c r="C1313" s="30" t="str">
        <f t="shared" si="1"/>
        <v>+</v>
      </c>
      <c r="D1313" s="29">
        <f t="shared" si="2"/>
        <v>444</v>
      </c>
      <c r="E1313" s="30"/>
      <c r="F1313" s="30"/>
      <c r="G1313" s="30"/>
      <c r="H1313" s="30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0"/>
      <c r="Z1313" s="30"/>
      <c r="AA1313" s="30"/>
    </row>
    <row r="1314">
      <c r="A1314" s="29">
        <v>1111015.0</v>
      </c>
      <c r="B1314" s="29">
        <v>1110683.0</v>
      </c>
      <c r="C1314" s="30" t="str">
        <f t="shared" si="1"/>
        <v>-</v>
      </c>
      <c r="D1314" s="29">
        <f t="shared" si="2"/>
        <v>445</v>
      </c>
      <c r="E1314" s="30"/>
      <c r="F1314" s="30"/>
      <c r="G1314" s="30"/>
      <c r="H1314" s="30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0"/>
      <c r="X1314" s="30"/>
      <c r="Y1314" s="30"/>
      <c r="Z1314" s="30"/>
      <c r="AA1314" s="30"/>
    </row>
    <row r="1315">
      <c r="A1315" s="29">
        <v>1111367.0</v>
      </c>
      <c r="B1315" s="29">
        <v>1110993.0</v>
      </c>
      <c r="C1315" s="30" t="str">
        <f t="shared" si="1"/>
        <v>-</v>
      </c>
      <c r="D1315" s="29">
        <f t="shared" si="2"/>
        <v>445</v>
      </c>
      <c r="E1315" s="30"/>
      <c r="F1315" s="30"/>
      <c r="G1315" s="30"/>
      <c r="H1315" s="30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0"/>
      <c r="Z1315" s="30"/>
      <c r="AA1315" s="30"/>
    </row>
    <row r="1316">
      <c r="A1316" s="29">
        <v>1113414.0</v>
      </c>
      <c r="B1316" s="29">
        <v>1111525.0</v>
      </c>
      <c r="C1316" s="30" t="str">
        <f t="shared" si="1"/>
        <v>-</v>
      </c>
      <c r="D1316" s="29">
        <f t="shared" si="2"/>
        <v>445</v>
      </c>
      <c r="E1316" s="30"/>
      <c r="F1316" s="30"/>
      <c r="G1316" s="30"/>
      <c r="H1316" s="30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0"/>
      <c r="X1316" s="30"/>
      <c r="Y1316" s="30"/>
      <c r="Z1316" s="30"/>
      <c r="AA1316" s="30"/>
    </row>
    <row r="1317">
      <c r="A1317" s="29">
        <v>1114831.0</v>
      </c>
      <c r="B1317" s="29">
        <v>1113416.0</v>
      </c>
      <c r="C1317" s="30" t="str">
        <f t="shared" si="1"/>
        <v>-</v>
      </c>
      <c r="D1317" s="29">
        <f t="shared" si="2"/>
        <v>445</v>
      </c>
      <c r="E1317" s="30"/>
      <c r="F1317" s="30"/>
      <c r="G1317" s="30"/>
      <c r="H1317" s="30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30"/>
      <c r="Z1317" s="30"/>
      <c r="AA1317" s="30"/>
    </row>
    <row r="1318">
      <c r="A1318" s="29">
        <v>1114969.0</v>
      </c>
      <c r="B1318" s="29">
        <v>1116471.0</v>
      </c>
      <c r="C1318" s="30" t="str">
        <f t="shared" si="1"/>
        <v>+</v>
      </c>
      <c r="D1318" s="29">
        <f t="shared" si="2"/>
        <v>446</v>
      </c>
      <c r="E1318" s="30"/>
      <c r="F1318" s="30"/>
      <c r="G1318" s="30"/>
      <c r="H1318" s="30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0"/>
      <c r="X1318" s="30"/>
      <c r="Y1318" s="30"/>
      <c r="Z1318" s="30"/>
      <c r="AA1318" s="30"/>
    </row>
    <row r="1319">
      <c r="A1319" s="29">
        <v>1116468.0</v>
      </c>
      <c r="B1319" s="29">
        <v>1116893.0</v>
      </c>
      <c r="C1319" s="30" t="str">
        <f t="shared" si="1"/>
        <v>+</v>
      </c>
      <c r="D1319" s="29">
        <f t="shared" si="2"/>
        <v>446</v>
      </c>
      <c r="E1319" s="30"/>
      <c r="F1319" s="30"/>
      <c r="G1319" s="30"/>
      <c r="H1319" s="30"/>
      <c r="I1319" s="30"/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0"/>
      <c r="Z1319" s="30"/>
      <c r="AA1319" s="30"/>
    </row>
    <row r="1320">
      <c r="A1320" s="29">
        <v>1118707.0</v>
      </c>
      <c r="B1320" s="29">
        <v>1119012.0</v>
      </c>
      <c r="C1320" s="30" t="str">
        <f t="shared" si="1"/>
        <v>+</v>
      </c>
      <c r="D1320" s="29">
        <f t="shared" si="2"/>
        <v>446</v>
      </c>
      <c r="E1320" s="30"/>
      <c r="F1320" s="30"/>
      <c r="G1320" s="30"/>
      <c r="H1320" s="30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0"/>
      <c r="X1320" s="30"/>
      <c r="Y1320" s="30"/>
      <c r="Z1320" s="30"/>
      <c r="AA1320" s="30"/>
    </row>
    <row r="1321">
      <c r="A1321" s="29">
        <v>1119063.0</v>
      </c>
      <c r="B1321" s="29">
        <v>1120361.0</v>
      </c>
      <c r="C1321" s="30" t="str">
        <f t="shared" si="1"/>
        <v>+</v>
      </c>
      <c r="D1321" s="29">
        <f t="shared" si="2"/>
        <v>446</v>
      </c>
      <c r="E1321" s="30"/>
      <c r="F1321" s="30"/>
      <c r="G1321" s="30"/>
      <c r="H1321" s="30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/>
      <c r="W1321" s="30"/>
      <c r="X1321" s="30"/>
      <c r="Y1321" s="30"/>
      <c r="Z1321" s="30"/>
      <c r="AA1321" s="30"/>
    </row>
    <row r="1322">
      <c r="A1322" s="29">
        <v>1120833.0</v>
      </c>
      <c r="B1322" s="29">
        <v>1121120.0</v>
      </c>
      <c r="C1322" s="30" t="str">
        <f t="shared" si="1"/>
        <v>+</v>
      </c>
      <c r="D1322" s="29">
        <f t="shared" si="2"/>
        <v>446</v>
      </c>
      <c r="E1322" s="30"/>
      <c r="F1322" s="30"/>
      <c r="G1322" s="30"/>
      <c r="H1322" s="30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0"/>
      <c r="X1322" s="30"/>
      <c r="Y1322" s="30"/>
      <c r="Z1322" s="30"/>
      <c r="AA1322" s="30"/>
    </row>
    <row r="1323">
      <c r="A1323" s="29">
        <v>1122060.0</v>
      </c>
      <c r="B1323" s="29">
        <v>1121098.0</v>
      </c>
      <c r="C1323" s="30" t="str">
        <f t="shared" si="1"/>
        <v>-</v>
      </c>
      <c r="D1323" s="29">
        <f t="shared" si="2"/>
        <v>447</v>
      </c>
      <c r="E1323" s="30"/>
      <c r="F1323" s="30"/>
      <c r="G1323" s="30"/>
      <c r="H1323" s="30"/>
      <c r="I1323" s="30"/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0"/>
      <c r="Z1323" s="30"/>
      <c r="AA1323" s="30"/>
    </row>
    <row r="1324">
      <c r="A1324" s="29">
        <v>1122085.0</v>
      </c>
      <c r="B1324" s="29">
        <v>1122783.0</v>
      </c>
      <c r="C1324" s="30" t="str">
        <f t="shared" si="1"/>
        <v>+</v>
      </c>
      <c r="D1324" s="29">
        <f t="shared" si="2"/>
        <v>448</v>
      </c>
      <c r="E1324" s="30"/>
      <c r="F1324" s="30"/>
      <c r="G1324" s="30"/>
      <c r="H1324" s="30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/>
      <c r="AA1324" s="30"/>
    </row>
    <row r="1325">
      <c r="A1325" s="29">
        <v>1123614.0</v>
      </c>
      <c r="B1325" s="29">
        <v>1122754.0</v>
      </c>
      <c r="C1325" s="30" t="str">
        <f t="shared" si="1"/>
        <v>-</v>
      </c>
      <c r="D1325" s="29">
        <f t="shared" si="2"/>
        <v>449</v>
      </c>
      <c r="E1325" s="30"/>
      <c r="F1325" s="30"/>
      <c r="G1325" s="30"/>
      <c r="H1325" s="30"/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0"/>
      <c r="Z1325" s="30"/>
      <c r="AA1325" s="30"/>
    </row>
    <row r="1326">
      <c r="A1326" s="29">
        <v>1123662.0</v>
      </c>
      <c r="B1326" s="29">
        <v>1124486.0</v>
      </c>
      <c r="C1326" s="30" t="str">
        <f t="shared" si="1"/>
        <v>+</v>
      </c>
      <c r="D1326" s="29">
        <f t="shared" si="2"/>
        <v>450</v>
      </c>
      <c r="E1326" s="30"/>
      <c r="F1326" s="30"/>
      <c r="G1326" s="30"/>
      <c r="H1326" s="30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0"/>
      <c r="X1326" s="30"/>
      <c r="Y1326" s="30"/>
      <c r="Z1326" s="30"/>
      <c r="AA1326" s="30"/>
    </row>
    <row r="1327">
      <c r="A1327" s="29">
        <v>1124596.0</v>
      </c>
      <c r="B1327" s="29">
        <v>1127346.0</v>
      </c>
      <c r="C1327" s="30" t="str">
        <f t="shared" si="1"/>
        <v>+</v>
      </c>
      <c r="D1327" s="29">
        <f t="shared" si="2"/>
        <v>450</v>
      </c>
      <c r="E1327" s="30"/>
      <c r="F1327" s="30"/>
      <c r="G1327" s="30"/>
      <c r="H1327" s="30"/>
      <c r="I1327" s="30"/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0"/>
      <c r="Z1327" s="30"/>
      <c r="AA1327" s="30"/>
    </row>
    <row r="1328">
      <c r="A1328" s="29">
        <v>1127380.0</v>
      </c>
      <c r="B1328" s="29">
        <v>1127520.0</v>
      </c>
      <c r="C1328" s="30" t="str">
        <f t="shared" si="1"/>
        <v>+</v>
      </c>
      <c r="D1328" s="29">
        <f t="shared" si="2"/>
        <v>450</v>
      </c>
      <c r="E1328" s="30"/>
      <c r="F1328" s="30"/>
      <c r="G1328" s="30"/>
      <c r="H1328" s="30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0"/>
      <c r="X1328" s="30"/>
      <c r="Y1328" s="30"/>
      <c r="Z1328" s="30"/>
      <c r="AA1328" s="30"/>
    </row>
    <row r="1329">
      <c r="A1329" s="29">
        <v>1127537.0</v>
      </c>
      <c r="B1329" s="29">
        <v>1127806.0</v>
      </c>
      <c r="C1329" s="30" t="str">
        <f t="shared" si="1"/>
        <v>+</v>
      </c>
      <c r="D1329" s="29">
        <f t="shared" si="2"/>
        <v>450</v>
      </c>
      <c r="E1329" s="30"/>
      <c r="F1329" s="30"/>
      <c r="G1329" s="30"/>
      <c r="H1329" s="30"/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0"/>
      <c r="X1329" s="30"/>
      <c r="Y1329" s="30"/>
      <c r="Z1329" s="30"/>
      <c r="AA1329" s="30"/>
    </row>
    <row r="1330">
      <c r="A1330" s="29">
        <v>1127803.0</v>
      </c>
      <c r="B1330" s="29">
        <v>1128546.0</v>
      </c>
      <c r="C1330" s="30" t="str">
        <f t="shared" si="1"/>
        <v>+</v>
      </c>
      <c r="D1330" s="29">
        <f t="shared" si="2"/>
        <v>450</v>
      </c>
      <c r="E1330" s="30"/>
      <c r="F1330" s="30"/>
      <c r="G1330" s="30"/>
      <c r="H1330" s="30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0"/>
      <c r="X1330" s="30"/>
      <c r="Y1330" s="30"/>
      <c r="Z1330" s="30"/>
      <c r="AA1330" s="30"/>
    </row>
    <row r="1331">
      <c r="A1331" s="29">
        <v>1128546.0</v>
      </c>
      <c r="B1331" s="29">
        <v>1128806.0</v>
      </c>
      <c r="C1331" s="30" t="str">
        <f t="shared" si="1"/>
        <v>+</v>
      </c>
      <c r="D1331" s="29">
        <f t="shared" si="2"/>
        <v>450</v>
      </c>
      <c r="E1331" s="30"/>
      <c r="F1331" s="30"/>
      <c r="G1331" s="30"/>
      <c r="H1331" s="30"/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0"/>
      <c r="X1331" s="30"/>
      <c r="Y1331" s="30"/>
      <c r="Z1331" s="30"/>
      <c r="AA1331" s="30"/>
    </row>
    <row r="1332">
      <c r="A1332" s="29">
        <v>1128803.0</v>
      </c>
      <c r="B1332" s="29">
        <v>1128913.0</v>
      </c>
      <c r="C1332" s="30" t="str">
        <f t="shared" si="1"/>
        <v>+</v>
      </c>
      <c r="D1332" s="29">
        <f t="shared" si="2"/>
        <v>450</v>
      </c>
      <c r="E1332" s="30"/>
      <c r="F1332" s="30"/>
      <c r="G1332" s="30"/>
      <c r="H1332" s="30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  <c r="AA1332" s="30"/>
    </row>
    <row r="1333">
      <c r="A1333" s="29">
        <v>1128910.0</v>
      </c>
      <c r="B1333" s="29">
        <v>1129155.0</v>
      </c>
      <c r="C1333" s="30" t="str">
        <f t="shared" si="1"/>
        <v>+</v>
      </c>
      <c r="D1333" s="29">
        <f t="shared" si="2"/>
        <v>450</v>
      </c>
      <c r="E1333" s="30"/>
      <c r="F1333" s="30"/>
      <c r="G1333" s="30"/>
      <c r="H1333" s="30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0"/>
      <c r="Z1333" s="30"/>
      <c r="AA1333" s="30"/>
    </row>
    <row r="1334">
      <c r="A1334" s="29">
        <v>1129334.0</v>
      </c>
      <c r="B1334" s="29">
        <v>1129128.0</v>
      </c>
      <c r="C1334" s="30" t="str">
        <f t="shared" si="1"/>
        <v>-</v>
      </c>
      <c r="D1334" s="29">
        <f t="shared" si="2"/>
        <v>451</v>
      </c>
      <c r="E1334" s="30"/>
      <c r="F1334" s="30"/>
      <c r="G1334" s="30"/>
      <c r="H1334" s="30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  <c r="AA1334" s="30"/>
    </row>
    <row r="1335">
      <c r="A1335" s="29">
        <v>1129598.0</v>
      </c>
      <c r="B1335" s="29">
        <v>1130473.0</v>
      </c>
      <c r="C1335" s="30" t="str">
        <f t="shared" si="1"/>
        <v>+</v>
      </c>
      <c r="D1335" s="29">
        <f t="shared" si="2"/>
        <v>452</v>
      </c>
      <c r="E1335" s="30"/>
      <c r="F1335" s="30"/>
      <c r="G1335" s="30"/>
      <c r="H1335" s="30"/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0"/>
      <c r="X1335" s="30"/>
      <c r="Y1335" s="30"/>
      <c r="Z1335" s="30"/>
      <c r="AA1335" s="30"/>
    </row>
    <row r="1336">
      <c r="A1336" s="29">
        <v>1131244.0</v>
      </c>
      <c r="B1336" s="38">
        <v>1130921.0</v>
      </c>
      <c r="C1336" s="30" t="str">
        <f t="shared" si="1"/>
        <v>-</v>
      </c>
      <c r="D1336" s="29">
        <f t="shared" si="2"/>
        <v>453</v>
      </c>
      <c r="E1336" s="30"/>
      <c r="F1336" s="30"/>
      <c r="G1336" s="30"/>
      <c r="H1336" s="30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0"/>
      <c r="X1336" s="30"/>
      <c r="Y1336" s="30"/>
      <c r="Z1336" s="30"/>
      <c r="AA1336" s="30"/>
    </row>
    <row r="1337">
      <c r="A1337" s="29">
        <v>1131522.0</v>
      </c>
      <c r="B1337" s="29">
        <v>1131220.0</v>
      </c>
      <c r="C1337" s="30" t="str">
        <f t="shared" si="1"/>
        <v>-</v>
      </c>
      <c r="D1337" s="29">
        <f t="shared" si="2"/>
        <v>453</v>
      </c>
      <c r="E1337" s="30"/>
      <c r="F1337" s="30"/>
      <c r="G1337" s="30"/>
      <c r="H1337" s="30"/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0"/>
      <c r="Z1337" s="30"/>
      <c r="AA1337" s="30"/>
    </row>
    <row r="1338">
      <c r="A1338" s="29">
        <v>1133053.0</v>
      </c>
      <c r="B1338" s="29">
        <v>1131674.0</v>
      </c>
      <c r="C1338" s="30" t="str">
        <f t="shared" si="1"/>
        <v>-</v>
      </c>
      <c r="D1338" s="29">
        <f t="shared" si="2"/>
        <v>453</v>
      </c>
      <c r="E1338" s="30"/>
      <c r="F1338" s="30"/>
      <c r="G1338" s="30"/>
      <c r="H1338" s="30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0"/>
      <c r="X1338" s="30"/>
      <c r="Y1338" s="30"/>
      <c r="Z1338" s="30"/>
      <c r="AA1338" s="30"/>
    </row>
    <row r="1339">
      <c r="A1339" s="29">
        <v>1136788.0</v>
      </c>
      <c r="B1339" s="29">
        <v>1137321.0</v>
      </c>
      <c r="C1339" s="30" t="str">
        <f t="shared" si="1"/>
        <v>+</v>
      </c>
      <c r="D1339" s="29">
        <f t="shared" si="2"/>
        <v>454</v>
      </c>
      <c r="E1339" s="30"/>
      <c r="F1339" s="30"/>
      <c r="G1339" s="30"/>
      <c r="H1339" s="30"/>
      <c r="I1339" s="30"/>
      <c r="J1339" s="30"/>
      <c r="K1339" s="30"/>
      <c r="L1339" s="30"/>
      <c r="M1339" s="30"/>
      <c r="N1339" s="30"/>
      <c r="O1339" s="30"/>
      <c r="P1339" s="30"/>
      <c r="Q1339" s="30"/>
      <c r="R1339" s="30"/>
      <c r="S1339" s="30"/>
      <c r="T1339" s="30"/>
      <c r="U1339" s="30"/>
      <c r="V1339" s="30"/>
      <c r="W1339" s="30"/>
      <c r="X1339" s="30"/>
      <c r="Y1339" s="30"/>
      <c r="Z1339" s="30"/>
      <c r="AA1339" s="30"/>
    </row>
    <row r="1340">
      <c r="A1340" s="29">
        <v>1138871.0</v>
      </c>
      <c r="B1340" s="29">
        <v>1137579.0</v>
      </c>
      <c r="C1340" s="30" t="str">
        <f t="shared" si="1"/>
        <v>-</v>
      </c>
      <c r="D1340" s="29">
        <f t="shared" si="2"/>
        <v>455</v>
      </c>
      <c r="E1340" s="30"/>
      <c r="F1340" s="30"/>
      <c r="G1340" s="30"/>
      <c r="H1340" s="30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0"/>
      <c r="X1340" s="30"/>
      <c r="Y1340" s="30"/>
      <c r="Z1340" s="30"/>
      <c r="AA1340" s="30"/>
    </row>
    <row r="1341">
      <c r="A1341" s="29">
        <v>1139895.0</v>
      </c>
      <c r="B1341" s="29">
        <v>1138960.0</v>
      </c>
      <c r="C1341" s="30" t="str">
        <f t="shared" si="1"/>
        <v>-</v>
      </c>
      <c r="D1341" s="29">
        <f t="shared" si="2"/>
        <v>455</v>
      </c>
      <c r="E1341" s="30"/>
      <c r="F1341" s="30"/>
      <c r="G1341" s="30"/>
      <c r="H1341" s="30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0"/>
      <c r="Z1341" s="30"/>
      <c r="AA1341" s="30"/>
    </row>
    <row r="1342">
      <c r="A1342" s="29">
        <v>1140206.0</v>
      </c>
      <c r="B1342" s="29">
        <v>1140280.0</v>
      </c>
      <c r="C1342" s="30" t="str">
        <f t="shared" si="1"/>
        <v>+</v>
      </c>
      <c r="D1342" s="29">
        <f t="shared" si="2"/>
        <v>456</v>
      </c>
      <c r="E1342" s="30"/>
      <c r="F1342" s="30"/>
      <c r="G1342" s="30"/>
      <c r="H1342" s="30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/>
      <c r="AA1342" s="30"/>
    </row>
    <row r="1343">
      <c r="A1343" s="29">
        <v>1142597.0</v>
      </c>
      <c r="B1343" s="29">
        <v>1141314.0</v>
      </c>
      <c r="C1343" s="30" t="str">
        <f t="shared" si="1"/>
        <v>-</v>
      </c>
      <c r="D1343" s="29">
        <f t="shared" si="2"/>
        <v>457</v>
      </c>
      <c r="E1343" s="30"/>
      <c r="F1343" s="30"/>
      <c r="G1343" s="30"/>
      <c r="H1343" s="30"/>
      <c r="I1343" s="30"/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0"/>
      <c r="Z1343" s="30"/>
      <c r="AA1343" s="30"/>
    </row>
    <row r="1344">
      <c r="A1344" s="29">
        <v>1143970.0</v>
      </c>
      <c r="B1344" s="29">
        <v>1142594.0</v>
      </c>
      <c r="C1344" s="30" t="str">
        <f t="shared" si="1"/>
        <v>-</v>
      </c>
      <c r="D1344" s="29">
        <f t="shared" si="2"/>
        <v>457</v>
      </c>
      <c r="E1344" s="30"/>
      <c r="F1344" s="30"/>
      <c r="G1344" s="30"/>
      <c r="H1344" s="30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/>
      <c r="AA1344" s="30"/>
    </row>
    <row r="1345">
      <c r="A1345" s="29">
        <v>1144061.0</v>
      </c>
      <c r="B1345" s="29">
        <v>1144891.0</v>
      </c>
      <c r="C1345" s="30" t="str">
        <f t="shared" si="1"/>
        <v>+</v>
      </c>
      <c r="D1345" s="29">
        <f t="shared" si="2"/>
        <v>458</v>
      </c>
      <c r="E1345" s="30"/>
      <c r="F1345" s="30"/>
      <c r="G1345" s="30"/>
      <c r="H1345" s="30"/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0"/>
      <c r="Z1345" s="30"/>
      <c r="AA1345" s="30"/>
    </row>
    <row r="1346">
      <c r="A1346" s="29">
        <v>1145018.0</v>
      </c>
      <c r="B1346" s="29">
        <v>1145968.0</v>
      </c>
      <c r="C1346" s="30" t="str">
        <f t="shared" si="1"/>
        <v>+</v>
      </c>
      <c r="D1346" s="29">
        <f t="shared" si="2"/>
        <v>458</v>
      </c>
      <c r="E1346" s="30"/>
      <c r="F1346" s="30"/>
      <c r="G1346" s="30"/>
      <c r="H1346" s="30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0"/>
      <c r="X1346" s="30"/>
      <c r="Y1346" s="30"/>
      <c r="Z1346" s="30"/>
      <c r="AA1346" s="30"/>
    </row>
    <row r="1347">
      <c r="A1347" s="29">
        <v>1146014.0</v>
      </c>
      <c r="B1347" s="29">
        <v>1146919.0</v>
      </c>
      <c r="C1347" s="30" t="str">
        <f t="shared" si="1"/>
        <v>+</v>
      </c>
      <c r="D1347" s="29">
        <f t="shared" si="2"/>
        <v>458</v>
      </c>
      <c r="E1347" s="30"/>
      <c r="F1347" s="30"/>
      <c r="G1347" s="30"/>
      <c r="H1347" s="30"/>
      <c r="I1347" s="30"/>
      <c r="J1347" s="30"/>
      <c r="K1347" s="30"/>
      <c r="L1347" s="30"/>
      <c r="M1347" s="30"/>
      <c r="N1347" s="30"/>
      <c r="O1347" s="30"/>
      <c r="P1347" s="30"/>
      <c r="Q1347" s="30"/>
      <c r="R1347" s="30"/>
      <c r="S1347" s="30"/>
      <c r="T1347" s="30"/>
      <c r="U1347" s="30"/>
      <c r="V1347" s="30"/>
      <c r="W1347" s="30"/>
      <c r="X1347" s="30"/>
      <c r="Y1347" s="30"/>
      <c r="Z1347" s="30"/>
      <c r="AA1347" s="30"/>
    </row>
    <row r="1348">
      <c r="A1348" s="29">
        <v>1146928.0</v>
      </c>
      <c r="B1348" s="29">
        <v>1147578.0</v>
      </c>
      <c r="C1348" s="30" t="str">
        <f t="shared" si="1"/>
        <v>+</v>
      </c>
      <c r="D1348" s="29">
        <f t="shared" si="2"/>
        <v>458</v>
      </c>
      <c r="E1348" s="30"/>
      <c r="F1348" s="30"/>
      <c r="G1348" s="30"/>
      <c r="H1348" s="30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0"/>
      <c r="Z1348" s="30"/>
      <c r="AA1348" s="30"/>
    </row>
    <row r="1349">
      <c r="A1349" s="29">
        <v>1147609.0</v>
      </c>
      <c r="B1349" s="29">
        <v>1147860.0</v>
      </c>
      <c r="C1349" s="30" t="str">
        <f t="shared" si="1"/>
        <v>+</v>
      </c>
      <c r="D1349" s="29">
        <f t="shared" si="2"/>
        <v>458</v>
      </c>
      <c r="E1349" s="30"/>
      <c r="F1349" s="30"/>
      <c r="G1349" s="30"/>
      <c r="H1349" s="30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  <c r="U1349" s="30"/>
      <c r="V1349" s="30"/>
      <c r="W1349" s="30"/>
      <c r="X1349" s="30"/>
      <c r="Y1349" s="30"/>
      <c r="Z1349" s="30"/>
      <c r="AA1349" s="30"/>
    </row>
    <row r="1350">
      <c r="A1350" s="29">
        <v>1148665.0</v>
      </c>
      <c r="B1350" s="29">
        <v>1147838.0</v>
      </c>
      <c r="C1350" s="30" t="str">
        <f t="shared" si="1"/>
        <v>-</v>
      </c>
      <c r="D1350" s="29">
        <f t="shared" si="2"/>
        <v>459</v>
      </c>
      <c r="E1350" s="30"/>
      <c r="F1350" s="30"/>
      <c r="G1350" s="30"/>
      <c r="H1350" s="30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0"/>
      <c r="Z1350" s="30"/>
      <c r="AA1350" s="30"/>
    </row>
    <row r="1351">
      <c r="A1351" s="29">
        <v>1149462.0</v>
      </c>
      <c r="B1351" s="29">
        <v>1148662.0</v>
      </c>
      <c r="C1351" s="30" t="str">
        <f t="shared" si="1"/>
        <v>-</v>
      </c>
      <c r="D1351" s="29">
        <f t="shared" si="2"/>
        <v>459</v>
      </c>
      <c r="E1351" s="30"/>
      <c r="F1351" s="30"/>
      <c r="G1351" s="30"/>
      <c r="H1351" s="30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0"/>
      <c r="X1351" s="30"/>
      <c r="Y1351" s="30"/>
      <c r="Z1351" s="30"/>
      <c r="AA1351" s="30"/>
    </row>
    <row r="1352">
      <c r="A1352" s="29">
        <v>1149527.0</v>
      </c>
      <c r="B1352" s="29">
        <v>1149847.0</v>
      </c>
      <c r="C1352" s="30" t="str">
        <f t="shared" si="1"/>
        <v>+</v>
      </c>
      <c r="D1352" s="29">
        <f t="shared" si="2"/>
        <v>460</v>
      </c>
      <c r="E1352" s="30"/>
      <c r="F1352" s="30"/>
      <c r="G1352" s="30"/>
      <c r="H1352" s="3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  <c r="AA1352" s="30"/>
    </row>
    <row r="1353">
      <c r="A1353" s="29">
        <v>1149940.0</v>
      </c>
      <c r="B1353" s="29">
        <v>1151109.0</v>
      </c>
      <c r="C1353" s="30" t="str">
        <f t="shared" si="1"/>
        <v>+</v>
      </c>
      <c r="D1353" s="29">
        <f t="shared" si="2"/>
        <v>460</v>
      </c>
      <c r="E1353" s="30"/>
      <c r="F1353" s="30"/>
      <c r="G1353" s="30"/>
      <c r="H1353" s="30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0"/>
      <c r="Z1353" s="30"/>
      <c r="AA1353" s="30"/>
    </row>
    <row r="1354">
      <c r="A1354" s="29">
        <v>1153284.0</v>
      </c>
      <c r="B1354" s="29">
        <v>1151176.0</v>
      </c>
      <c r="C1354" s="30" t="str">
        <f t="shared" si="1"/>
        <v>-</v>
      </c>
      <c r="D1354" s="29">
        <f t="shared" si="2"/>
        <v>461</v>
      </c>
      <c r="E1354" s="30"/>
      <c r="F1354" s="30"/>
      <c r="G1354" s="30"/>
      <c r="H1354" s="30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  <c r="AA1354" s="30"/>
    </row>
    <row r="1355">
      <c r="A1355" s="29">
        <v>1154431.0</v>
      </c>
      <c r="B1355" s="29">
        <v>1153277.0</v>
      </c>
      <c r="C1355" s="30" t="str">
        <f t="shared" si="1"/>
        <v>-</v>
      </c>
      <c r="D1355" s="29">
        <f t="shared" si="2"/>
        <v>461</v>
      </c>
      <c r="E1355" s="30"/>
      <c r="F1355" s="30"/>
      <c r="G1355" s="30"/>
      <c r="H1355" s="30"/>
      <c r="I1355" s="30"/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0"/>
      <c r="X1355" s="30"/>
      <c r="Y1355" s="30"/>
      <c r="Z1355" s="30"/>
      <c r="AA1355" s="30"/>
    </row>
    <row r="1356">
      <c r="A1356" s="29">
        <v>1156278.0</v>
      </c>
      <c r="B1356" s="29">
        <v>1154428.0</v>
      </c>
      <c r="C1356" s="30" t="str">
        <f t="shared" si="1"/>
        <v>-</v>
      </c>
      <c r="D1356" s="29">
        <f t="shared" si="2"/>
        <v>461</v>
      </c>
      <c r="E1356" s="30"/>
      <c r="F1356" s="30"/>
      <c r="G1356" s="30"/>
      <c r="H1356" s="30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0"/>
      <c r="X1356" s="30"/>
      <c r="Y1356" s="30"/>
      <c r="Z1356" s="30"/>
      <c r="AA1356" s="30"/>
    </row>
    <row r="1357">
      <c r="A1357" s="29">
        <v>1157546.0</v>
      </c>
      <c r="B1357" s="29">
        <v>1156275.0</v>
      </c>
      <c r="C1357" s="30" t="str">
        <f t="shared" si="1"/>
        <v>-</v>
      </c>
      <c r="D1357" s="29">
        <f t="shared" si="2"/>
        <v>461</v>
      </c>
      <c r="E1357" s="30"/>
      <c r="F1357" s="30"/>
      <c r="G1357" s="30"/>
      <c r="H1357" s="30"/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  <c r="U1357" s="30"/>
      <c r="V1357" s="30"/>
      <c r="W1357" s="30"/>
      <c r="X1357" s="30"/>
      <c r="Y1357" s="30"/>
      <c r="Z1357" s="30"/>
      <c r="AA1357" s="30"/>
    </row>
    <row r="1358">
      <c r="A1358" s="29">
        <v>1157698.0</v>
      </c>
      <c r="B1358" s="29">
        <v>1158804.0</v>
      </c>
      <c r="C1358" s="30" t="str">
        <f t="shared" si="1"/>
        <v>+</v>
      </c>
      <c r="D1358" s="29">
        <f t="shared" si="2"/>
        <v>462</v>
      </c>
      <c r="E1358" s="30"/>
      <c r="F1358" s="30"/>
      <c r="G1358" s="30"/>
      <c r="H1358" s="30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0"/>
      <c r="Z1358" s="30"/>
      <c r="AA1358" s="30"/>
    </row>
    <row r="1359">
      <c r="A1359" s="29">
        <v>1158804.0</v>
      </c>
      <c r="B1359" s="29">
        <v>1160099.0</v>
      </c>
      <c r="C1359" s="30" t="str">
        <f t="shared" si="1"/>
        <v>+</v>
      </c>
      <c r="D1359" s="29">
        <f t="shared" si="2"/>
        <v>462</v>
      </c>
      <c r="E1359" s="30"/>
      <c r="F1359" s="30"/>
      <c r="G1359" s="30"/>
      <c r="H1359" s="30"/>
      <c r="I1359" s="30"/>
      <c r="J1359" s="30"/>
      <c r="K1359" s="30"/>
      <c r="L1359" s="30"/>
      <c r="M1359" s="30"/>
      <c r="N1359" s="30"/>
      <c r="O1359" s="30"/>
      <c r="P1359" s="30"/>
      <c r="Q1359" s="30"/>
      <c r="R1359" s="30"/>
      <c r="S1359" s="30"/>
      <c r="T1359" s="30"/>
      <c r="U1359" s="30"/>
      <c r="V1359" s="30"/>
      <c r="W1359" s="30"/>
      <c r="X1359" s="30"/>
      <c r="Y1359" s="30"/>
      <c r="Z1359" s="30"/>
      <c r="AA1359" s="30"/>
    </row>
    <row r="1360">
      <c r="A1360" s="29">
        <v>1160123.0</v>
      </c>
      <c r="B1360" s="29">
        <v>1160542.0</v>
      </c>
      <c r="C1360" s="30" t="str">
        <f t="shared" si="1"/>
        <v>+</v>
      </c>
      <c r="D1360" s="29">
        <f t="shared" si="2"/>
        <v>462</v>
      </c>
      <c r="E1360" s="30"/>
      <c r="F1360" s="30"/>
      <c r="G1360" s="30"/>
      <c r="H1360" s="30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0"/>
      <c r="X1360" s="30"/>
      <c r="Y1360" s="30"/>
      <c r="Z1360" s="30"/>
      <c r="AA1360" s="30"/>
    </row>
    <row r="1361">
      <c r="A1361" s="29">
        <v>1160571.0</v>
      </c>
      <c r="B1361" s="29">
        <v>1161821.0</v>
      </c>
      <c r="C1361" s="30" t="str">
        <f t="shared" si="1"/>
        <v>+</v>
      </c>
      <c r="D1361" s="29">
        <f t="shared" si="2"/>
        <v>462</v>
      </c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0"/>
      <c r="X1361" s="30"/>
      <c r="Y1361" s="30"/>
      <c r="Z1361" s="30"/>
      <c r="AA1361" s="30"/>
    </row>
    <row r="1362">
      <c r="A1362" s="29">
        <v>1162215.0</v>
      </c>
      <c r="B1362" s="29">
        <v>1161823.0</v>
      </c>
      <c r="C1362" s="30" t="str">
        <f t="shared" si="1"/>
        <v>-</v>
      </c>
      <c r="D1362" s="29">
        <f t="shared" si="2"/>
        <v>463</v>
      </c>
      <c r="E1362" s="30"/>
      <c r="F1362" s="30"/>
      <c r="G1362" s="30"/>
      <c r="H1362" s="30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0"/>
      <c r="X1362" s="30"/>
      <c r="Y1362" s="30"/>
      <c r="Z1362" s="30"/>
      <c r="AA1362" s="30"/>
    </row>
    <row r="1363">
      <c r="A1363" s="29">
        <v>1162330.0</v>
      </c>
      <c r="B1363" s="29">
        <v>1162199.0</v>
      </c>
      <c r="C1363" s="30" t="str">
        <f t="shared" si="1"/>
        <v>-</v>
      </c>
      <c r="D1363" s="29">
        <f t="shared" si="2"/>
        <v>463</v>
      </c>
      <c r="E1363" s="30"/>
      <c r="F1363" s="30"/>
      <c r="G1363" s="30"/>
      <c r="H1363" s="30"/>
      <c r="I1363" s="30"/>
      <c r="J1363" s="30"/>
      <c r="K1363" s="30"/>
      <c r="L1363" s="30"/>
      <c r="M1363" s="30"/>
      <c r="N1363" s="30"/>
      <c r="O1363" s="30"/>
      <c r="P1363" s="30"/>
      <c r="Q1363" s="30"/>
      <c r="R1363" s="30"/>
      <c r="S1363" s="30"/>
      <c r="T1363" s="30"/>
      <c r="U1363" s="30"/>
      <c r="V1363" s="30"/>
      <c r="W1363" s="30"/>
      <c r="X1363" s="30"/>
      <c r="Y1363" s="30"/>
      <c r="Z1363" s="30"/>
      <c r="AA1363" s="30"/>
    </row>
    <row r="1364">
      <c r="A1364" s="29">
        <v>1163631.0</v>
      </c>
      <c r="B1364" s="29">
        <v>1162327.0</v>
      </c>
      <c r="C1364" s="30" t="str">
        <f t="shared" si="1"/>
        <v>-</v>
      </c>
      <c r="D1364" s="29">
        <f t="shared" si="2"/>
        <v>463</v>
      </c>
      <c r="E1364" s="30"/>
      <c r="F1364" s="30"/>
      <c r="G1364" s="30"/>
      <c r="H1364" s="30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/>
      <c r="AA1364" s="30"/>
    </row>
    <row r="1365">
      <c r="A1365" s="29">
        <v>1163775.0</v>
      </c>
      <c r="B1365" s="29">
        <v>1164935.0</v>
      </c>
      <c r="C1365" s="30" t="str">
        <f t="shared" si="1"/>
        <v>+</v>
      </c>
      <c r="D1365" s="29">
        <f t="shared" si="2"/>
        <v>464</v>
      </c>
      <c r="E1365" s="30"/>
      <c r="F1365" s="30"/>
      <c r="G1365" s="30"/>
      <c r="H1365" s="30"/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0"/>
      <c r="Z1365" s="30"/>
      <c r="AA1365" s="30"/>
    </row>
    <row r="1366">
      <c r="A1366" s="29">
        <v>1164932.0</v>
      </c>
      <c r="B1366" s="29">
        <v>1165393.0</v>
      </c>
      <c r="C1366" s="30" t="str">
        <f t="shared" si="1"/>
        <v>+</v>
      </c>
      <c r="D1366" s="29">
        <f t="shared" si="2"/>
        <v>464</v>
      </c>
      <c r="E1366" s="30"/>
      <c r="F1366" s="30"/>
      <c r="G1366" s="30"/>
      <c r="H1366" s="30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0"/>
      <c r="Z1366" s="30"/>
      <c r="AA1366" s="30"/>
    </row>
    <row r="1367">
      <c r="A1367" s="29">
        <v>1165387.0</v>
      </c>
      <c r="B1367" s="29">
        <v>1166568.0</v>
      </c>
      <c r="C1367" s="30" t="str">
        <f t="shared" si="1"/>
        <v>+</v>
      </c>
      <c r="D1367" s="29">
        <f t="shared" si="2"/>
        <v>464</v>
      </c>
      <c r="E1367" s="30"/>
      <c r="F1367" s="30"/>
      <c r="G1367" s="30"/>
      <c r="H1367" s="30"/>
      <c r="I1367" s="30"/>
      <c r="J1367" s="30"/>
      <c r="K1367" s="30"/>
      <c r="L1367" s="30"/>
      <c r="M1367" s="30"/>
      <c r="N1367" s="30"/>
      <c r="O1367" s="30"/>
      <c r="P1367" s="30"/>
      <c r="Q1367" s="30"/>
      <c r="R1367" s="30"/>
      <c r="S1367" s="30"/>
      <c r="T1367" s="30"/>
      <c r="U1367" s="30"/>
      <c r="V1367" s="30"/>
      <c r="W1367" s="30"/>
      <c r="X1367" s="30"/>
      <c r="Y1367" s="30"/>
      <c r="Z1367" s="30"/>
      <c r="AA1367" s="30"/>
    </row>
    <row r="1368">
      <c r="A1368" s="29">
        <v>1166558.0</v>
      </c>
      <c r="B1368" s="29">
        <v>1166968.0</v>
      </c>
      <c r="C1368" s="30" t="str">
        <f t="shared" si="1"/>
        <v>+</v>
      </c>
      <c r="D1368" s="29">
        <f t="shared" si="2"/>
        <v>464</v>
      </c>
      <c r="E1368" s="30"/>
      <c r="F1368" s="30"/>
      <c r="G1368" s="30"/>
      <c r="H1368" s="30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/>
      <c r="AA1368" s="30"/>
    </row>
    <row r="1369">
      <c r="A1369" s="29">
        <v>1167002.0</v>
      </c>
      <c r="B1369" s="29">
        <v>1167766.0</v>
      </c>
      <c r="C1369" s="30" t="str">
        <f t="shared" si="1"/>
        <v>+</v>
      </c>
      <c r="D1369" s="29">
        <f t="shared" si="2"/>
        <v>464</v>
      </c>
      <c r="E1369" s="30"/>
      <c r="F1369" s="30"/>
      <c r="G1369" s="30"/>
      <c r="H1369" s="30"/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0"/>
      <c r="Z1369" s="30"/>
      <c r="AA1369" s="30"/>
    </row>
    <row r="1370">
      <c r="A1370" s="29">
        <v>1167763.0</v>
      </c>
      <c r="B1370" s="29">
        <v>1168545.0</v>
      </c>
      <c r="C1370" s="30" t="str">
        <f t="shared" si="1"/>
        <v>+</v>
      </c>
      <c r="D1370" s="29">
        <f t="shared" si="2"/>
        <v>464</v>
      </c>
      <c r="E1370" s="30"/>
      <c r="F1370" s="30"/>
      <c r="G1370" s="30"/>
      <c r="H1370" s="30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  <c r="AA1370" s="30"/>
    </row>
    <row r="1371">
      <c r="A1371" s="29">
        <v>1168607.0</v>
      </c>
      <c r="B1371" s="29">
        <v>1169713.0</v>
      </c>
      <c r="C1371" s="30" t="str">
        <f t="shared" si="1"/>
        <v>+</v>
      </c>
      <c r="D1371" s="29">
        <f t="shared" si="2"/>
        <v>464</v>
      </c>
      <c r="E1371" s="30"/>
      <c r="F1371" s="30"/>
      <c r="G1371" s="30"/>
      <c r="H1371" s="30"/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0"/>
      <c r="Z1371" s="30"/>
      <c r="AA1371" s="30"/>
    </row>
    <row r="1372">
      <c r="A1372" s="29">
        <v>1169727.0</v>
      </c>
      <c r="B1372" s="29">
        <v>1170188.0</v>
      </c>
      <c r="C1372" s="30" t="str">
        <f t="shared" si="1"/>
        <v>+</v>
      </c>
      <c r="D1372" s="29">
        <f t="shared" si="2"/>
        <v>464</v>
      </c>
      <c r="E1372" s="30"/>
      <c r="F1372" s="30"/>
      <c r="G1372" s="30"/>
      <c r="H1372" s="30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  <c r="AA1372" s="30"/>
    </row>
    <row r="1373">
      <c r="A1373" s="29">
        <v>1170175.0</v>
      </c>
      <c r="B1373" s="29">
        <v>1171017.0</v>
      </c>
      <c r="C1373" s="30" t="str">
        <f t="shared" si="1"/>
        <v>+</v>
      </c>
      <c r="D1373" s="29">
        <f t="shared" si="2"/>
        <v>464</v>
      </c>
      <c r="E1373" s="30"/>
      <c r="F1373" s="30"/>
      <c r="G1373" s="30"/>
      <c r="H1373" s="30"/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0"/>
      <c r="X1373" s="30"/>
      <c r="Y1373" s="30"/>
      <c r="Z1373" s="30"/>
      <c r="AA1373" s="30"/>
    </row>
    <row r="1374">
      <c r="A1374" s="29">
        <v>1170998.0</v>
      </c>
      <c r="B1374" s="29">
        <v>1171861.0</v>
      </c>
      <c r="C1374" s="30" t="str">
        <f t="shared" si="1"/>
        <v>+</v>
      </c>
      <c r="D1374" s="29">
        <f t="shared" si="2"/>
        <v>464</v>
      </c>
      <c r="E1374" s="30"/>
      <c r="F1374" s="30"/>
      <c r="G1374" s="30"/>
      <c r="H1374" s="30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0"/>
      <c r="Z1374" s="30"/>
      <c r="AA1374" s="30"/>
    </row>
    <row r="1375">
      <c r="A1375" s="29">
        <v>1171910.0</v>
      </c>
      <c r="B1375" s="29">
        <v>1172824.0</v>
      </c>
      <c r="C1375" s="30" t="str">
        <f t="shared" si="1"/>
        <v>+</v>
      </c>
      <c r="D1375" s="29">
        <f t="shared" si="2"/>
        <v>464</v>
      </c>
      <c r="E1375" s="30"/>
      <c r="F1375" s="30"/>
      <c r="G1375" s="30"/>
      <c r="H1375" s="30"/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  <c r="U1375" s="30"/>
      <c r="V1375" s="30"/>
      <c r="W1375" s="30"/>
      <c r="X1375" s="30"/>
      <c r="Y1375" s="30"/>
      <c r="Z1375" s="30"/>
      <c r="AA1375" s="30"/>
    </row>
    <row r="1376">
      <c r="A1376" s="29">
        <v>1172821.0</v>
      </c>
      <c r="B1376" s="29">
        <v>1174296.0</v>
      </c>
      <c r="C1376" s="30" t="str">
        <f t="shared" si="1"/>
        <v>+</v>
      </c>
      <c r="D1376" s="29">
        <f t="shared" si="2"/>
        <v>464</v>
      </c>
      <c r="E1376" s="30"/>
      <c r="F1376" s="30"/>
      <c r="G1376" s="30"/>
      <c r="H1376" s="30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/>
      <c r="AA1376" s="30"/>
    </row>
    <row r="1377">
      <c r="A1377" s="29">
        <v>1174293.0</v>
      </c>
      <c r="B1377" s="29">
        <v>1175078.0</v>
      </c>
      <c r="C1377" s="30" t="str">
        <f t="shared" si="1"/>
        <v>+</v>
      </c>
      <c r="D1377" s="29">
        <f t="shared" si="2"/>
        <v>464</v>
      </c>
      <c r="E1377" s="30"/>
      <c r="F1377" s="30"/>
      <c r="G1377" s="30"/>
      <c r="H1377" s="30"/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0"/>
      <c r="X1377" s="30"/>
      <c r="Y1377" s="30"/>
      <c r="Z1377" s="30"/>
      <c r="AA1377" s="30"/>
    </row>
    <row r="1378">
      <c r="A1378" s="29">
        <v>1175646.0</v>
      </c>
      <c r="B1378" s="29">
        <v>1175056.0</v>
      </c>
      <c r="C1378" s="30" t="str">
        <f t="shared" si="1"/>
        <v>-</v>
      </c>
      <c r="D1378" s="29">
        <f t="shared" si="2"/>
        <v>465</v>
      </c>
      <c r="E1378" s="30"/>
      <c r="F1378" s="30"/>
      <c r="G1378" s="30"/>
      <c r="H1378" s="30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/>
      <c r="AA1378" s="30"/>
    </row>
    <row r="1379">
      <c r="A1379" s="29">
        <v>1175770.0</v>
      </c>
      <c r="B1379" s="29">
        <v>1177842.0</v>
      </c>
      <c r="C1379" s="30" t="str">
        <f t="shared" si="1"/>
        <v>+</v>
      </c>
      <c r="D1379" s="29">
        <f t="shared" si="2"/>
        <v>466</v>
      </c>
      <c r="E1379" s="30"/>
      <c r="F1379" s="30"/>
      <c r="G1379" s="30"/>
      <c r="H1379" s="30"/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0"/>
      <c r="X1379" s="30"/>
      <c r="Y1379" s="30"/>
      <c r="Z1379" s="30"/>
      <c r="AA1379" s="30"/>
    </row>
    <row r="1380">
      <c r="A1380" s="29">
        <v>1177898.0</v>
      </c>
      <c r="B1380" s="29">
        <v>1179184.0</v>
      </c>
      <c r="C1380" s="30" t="str">
        <f t="shared" si="1"/>
        <v>+</v>
      </c>
      <c r="D1380" s="29">
        <f t="shared" si="2"/>
        <v>466</v>
      </c>
      <c r="E1380" s="30"/>
      <c r="F1380" s="30"/>
      <c r="G1380" s="30"/>
      <c r="H1380" s="30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  <c r="AA1380" s="30"/>
    </row>
    <row r="1381">
      <c r="A1381" s="29">
        <v>1179181.0</v>
      </c>
      <c r="B1381" s="29">
        <v>1180020.0</v>
      </c>
      <c r="C1381" s="30" t="str">
        <f t="shared" si="1"/>
        <v>+</v>
      </c>
      <c r="D1381" s="29">
        <f t="shared" si="2"/>
        <v>466</v>
      </c>
      <c r="E1381" s="30"/>
      <c r="F1381" s="30"/>
      <c r="G1381" s="30"/>
      <c r="H1381" s="30"/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30"/>
      <c r="Z1381" s="30"/>
      <c r="AA1381" s="30"/>
    </row>
    <row r="1382">
      <c r="A1382" s="29">
        <v>1180011.0</v>
      </c>
      <c r="B1382" s="29">
        <v>1180883.0</v>
      </c>
      <c r="C1382" s="30" t="str">
        <f t="shared" si="1"/>
        <v>+</v>
      </c>
      <c r="D1382" s="29">
        <f t="shared" si="2"/>
        <v>466</v>
      </c>
      <c r="E1382" s="30"/>
      <c r="F1382" s="30"/>
      <c r="G1382" s="30"/>
      <c r="H1382" s="30"/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0"/>
      <c r="X1382" s="30"/>
      <c r="Y1382" s="30"/>
      <c r="Z1382" s="30"/>
      <c r="AA1382" s="30"/>
    </row>
    <row r="1383">
      <c r="A1383" s="29">
        <v>1180870.0</v>
      </c>
      <c r="B1383" s="29">
        <v>1181544.0</v>
      </c>
      <c r="C1383" s="30" t="str">
        <f t="shared" si="1"/>
        <v>+</v>
      </c>
      <c r="D1383" s="29">
        <f t="shared" si="2"/>
        <v>466</v>
      </c>
      <c r="E1383" s="30"/>
      <c r="F1383" s="30"/>
      <c r="G1383" s="30"/>
      <c r="H1383" s="30"/>
      <c r="I1383" s="30"/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  <c r="U1383" s="30"/>
      <c r="V1383" s="30"/>
      <c r="W1383" s="30"/>
      <c r="X1383" s="30"/>
      <c r="Y1383" s="30"/>
      <c r="Z1383" s="30"/>
      <c r="AA1383" s="30"/>
    </row>
    <row r="1384">
      <c r="A1384" s="29">
        <v>1181583.0</v>
      </c>
      <c r="B1384" s="29">
        <v>1182173.0</v>
      </c>
      <c r="C1384" s="30" t="str">
        <f t="shared" si="1"/>
        <v>+</v>
      </c>
      <c r="D1384" s="29">
        <f t="shared" si="2"/>
        <v>466</v>
      </c>
      <c r="E1384" s="30"/>
      <c r="F1384" s="30"/>
      <c r="G1384" s="30"/>
      <c r="H1384" s="30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0"/>
      <c r="Z1384" s="30"/>
      <c r="AA1384" s="30"/>
    </row>
    <row r="1385">
      <c r="A1385" s="29">
        <v>1182294.0</v>
      </c>
      <c r="B1385" s="29">
        <v>1183253.0</v>
      </c>
      <c r="C1385" s="30" t="str">
        <f t="shared" si="1"/>
        <v>+</v>
      </c>
      <c r="D1385" s="29">
        <f t="shared" si="2"/>
        <v>466</v>
      </c>
      <c r="E1385" s="30"/>
      <c r="F1385" s="30"/>
      <c r="G1385" s="30"/>
      <c r="H1385" s="30"/>
      <c r="I1385" s="30"/>
      <c r="J1385" s="30"/>
      <c r="K1385" s="30"/>
      <c r="L1385" s="30"/>
      <c r="M1385" s="30"/>
      <c r="N1385" s="30"/>
      <c r="O1385" s="30"/>
      <c r="P1385" s="30"/>
      <c r="Q1385" s="30"/>
      <c r="R1385" s="30"/>
      <c r="S1385" s="30"/>
      <c r="T1385" s="30"/>
      <c r="U1385" s="30"/>
      <c r="V1385" s="30"/>
      <c r="W1385" s="30"/>
      <c r="X1385" s="30"/>
      <c r="Y1385" s="30"/>
      <c r="Z1385" s="30"/>
      <c r="AA1385" s="30"/>
    </row>
    <row r="1386">
      <c r="A1386" s="29">
        <v>1184036.0</v>
      </c>
      <c r="B1386" s="29">
        <v>1183275.0</v>
      </c>
      <c r="C1386" s="30" t="str">
        <f t="shared" si="1"/>
        <v>-</v>
      </c>
      <c r="D1386" s="29">
        <f t="shared" si="2"/>
        <v>467</v>
      </c>
      <c r="E1386" s="30"/>
      <c r="F1386" s="30"/>
      <c r="G1386" s="30"/>
      <c r="H1386" s="30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0"/>
      <c r="X1386" s="30"/>
      <c r="Y1386" s="30"/>
      <c r="Z1386" s="30"/>
      <c r="AA1386" s="30"/>
    </row>
    <row r="1387">
      <c r="A1387" s="29">
        <v>1184764.0</v>
      </c>
      <c r="B1387" s="29">
        <v>1184033.0</v>
      </c>
      <c r="C1387" s="30" t="str">
        <f t="shared" si="1"/>
        <v>-</v>
      </c>
      <c r="D1387" s="29">
        <f t="shared" si="2"/>
        <v>467</v>
      </c>
      <c r="E1387" s="30"/>
      <c r="F1387" s="30"/>
      <c r="G1387" s="30"/>
      <c r="H1387" s="30"/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0"/>
      <c r="Z1387" s="30"/>
      <c r="AA1387" s="30"/>
    </row>
    <row r="1388">
      <c r="A1388" s="29">
        <v>1185747.0</v>
      </c>
      <c r="B1388" s="29">
        <v>1184761.0</v>
      </c>
      <c r="C1388" s="30" t="str">
        <f t="shared" si="1"/>
        <v>-</v>
      </c>
      <c r="D1388" s="29">
        <f t="shared" si="2"/>
        <v>467</v>
      </c>
      <c r="E1388" s="30"/>
      <c r="F1388" s="30"/>
      <c r="G1388" s="30"/>
      <c r="H1388" s="30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/>
      <c r="AA1388" s="30"/>
    </row>
    <row r="1389">
      <c r="A1389" s="29">
        <v>1185850.0</v>
      </c>
      <c r="B1389" s="29">
        <v>1186395.0</v>
      </c>
      <c r="C1389" s="30" t="str">
        <f t="shared" si="1"/>
        <v>+</v>
      </c>
      <c r="D1389" s="29">
        <f t="shared" si="2"/>
        <v>468</v>
      </c>
      <c r="E1389" s="30"/>
      <c r="F1389" s="30"/>
      <c r="G1389" s="30"/>
      <c r="H1389" s="30"/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0"/>
      <c r="Z1389" s="30"/>
      <c r="AA1389" s="30"/>
    </row>
    <row r="1390">
      <c r="A1390" s="29">
        <v>1186376.0</v>
      </c>
      <c r="B1390" s="29">
        <v>1186687.0</v>
      </c>
      <c r="C1390" s="30" t="str">
        <f t="shared" si="1"/>
        <v>+</v>
      </c>
      <c r="D1390" s="29">
        <f t="shared" si="2"/>
        <v>468</v>
      </c>
      <c r="E1390" s="30"/>
      <c r="F1390" s="30"/>
      <c r="G1390" s="30"/>
      <c r="H1390" s="30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/>
      <c r="AA1390" s="30"/>
    </row>
    <row r="1391">
      <c r="A1391" s="29">
        <v>1187938.0</v>
      </c>
      <c r="B1391" s="29">
        <v>1186649.0</v>
      </c>
      <c r="C1391" s="30" t="str">
        <f t="shared" si="1"/>
        <v>-</v>
      </c>
      <c r="D1391" s="29">
        <f t="shared" si="2"/>
        <v>469</v>
      </c>
      <c r="E1391" s="30"/>
      <c r="F1391" s="30"/>
      <c r="G1391" s="30"/>
      <c r="H1391" s="30"/>
      <c r="I1391" s="30"/>
      <c r="J1391" s="30"/>
      <c r="K1391" s="30"/>
      <c r="L1391" s="30"/>
      <c r="M1391" s="30"/>
      <c r="N1391" s="30"/>
      <c r="O1391" s="30"/>
      <c r="P1391" s="30"/>
      <c r="Q1391" s="30"/>
      <c r="R1391" s="30"/>
      <c r="S1391" s="30"/>
      <c r="T1391" s="30"/>
      <c r="U1391" s="30"/>
      <c r="V1391" s="30"/>
      <c r="W1391" s="30"/>
      <c r="X1391" s="30"/>
      <c r="Y1391" s="30"/>
      <c r="Z1391" s="30"/>
      <c r="AA1391" s="30"/>
    </row>
    <row r="1392">
      <c r="A1392" s="29">
        <v>1188090.0</v>
      </c>
      <c r="B1392" s="29">
        <v>1187935.0</v>
      </c>
      <c r="C1392" s="30" t="str">
        <f t="shared" si="1"/>
        <v>-</v>
      </c>
      <c r="D1392" s="29">
        <f t="shared" si="2"/>
        <v>469</v>
      </c>
      <c r="E1392" s="30"/>
      <c r="F1392" s="30"/>
      <c r="G1392" s="30"/>
      <c r="H1392" s="30"/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0"/>
      <c r="Z1392" s="30"/>
      <c r="AA1392" s="30"/>
    </row>
    <row r="1393">
      <c r="A1393" s="29">
        <v>1189344.0</v>
      </c>
      <c r="B1393" s="29">
        <v>1188139.0</v>
      </c>
      <c r="C1393" s="30" t="str">
        <f t="shared" si="1"/>
        <v>-</v>
      </c>
      <c r="D1393" s="29">
        <f t="shared" si="2"/>
        <v>469</v>
      </c>
      <c r="E1393" s="30"/>
      <c r="F1393" s="30"/>
      <c r="G1393" s="30"/>
      <c r="H1393" s="30"/>
      <c r="I1393" s="30"/>
      <c r="J1393" s="30"/>
      <c r="K1393" s="30"/>
      <c r="L1393" s="30"/>
      <c r="M1393" s="30"/>
      <c r="N1393" s="30"/>
      <c r="O1393" s="30"/>
      <c r="P1393" s="30"/>
      <c r="Q1393" s="30"/>
      <c r="R1393" s="30"/>
      <c r="S1393" s="30"/>
      <c r="T1393" s="30"/>
      <c r="U1393" s="30"/>
      <c r="V1393" s="30"/>
      <c r="W1393" s="30"/>
      <c r="X1393" s="30"/>
      <c r="Y1393" s="30"/>
      <c r="Z1393" s="30"/>
      <c r="AA1393" s="30"/>
    </row>
    <row r="1394">
      <c r="A1394" s="29">
        <v>1189807.0</v>
      </c>
      <c r="B1394" s="29">
        <v>1189511.0</v>
      </c>
      <c r="C1394" s="30" t="str">
        <f t="shared" si="1"/>
        <v>-</v>
      </c>
      <c r="D1394" s="29">
        <f t="shared" si="2"/>
        <v>469</v>
      </c>
      <c r="E1394" s="30"/>
      <c r="F1394" s="30"/>
      <c r="G1394" s="30"/>
      <c r="H1394" s="30"/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0"/>
      <c r="X1394" s="30"/>
      <c r="Y1394" s="30"/>
      <c r="Z1394" s="30"/>
      <c r="AA1394" s="30"/>
    </row>
    <row r="1395">
      <c r="A1395" s="29">
        <v>1189977.0</v>
      </c>
      <c r="B1395" s="29">
        <v>1189804.0</v>
      </c>
      <c r="C1395" s="30" t="str">
        <f t="shared" si="1"/>
        <v>-</v>
      </c>
      <c r="D1395" s="29">
        <f t="shared" si="2"/>
        <v>469</v>
      </c>
      <c r="E1395" s="30"/>
      <c r="F1395" s="30"/>
      <c r="G1395" s="30"/>
      <c r="H1395" s="30"/>
      <c r="I1395" s="30"/>
      <c r="J1395" s="30"/>
      <c r="K1395" s="30"/>
      <c r="L1395" s="30"/>
      <c r="M1395" s="30"/>
      <c r="N1395" s="30"/>
      <c r="O1395" s="30"/>
      <c r="P1395" s="30"/>
      <c r="Q1395" s="30"/>
      <c r="R1395" s="30"/>
      <c r="S1395" s="30"/>
      <c r="T1395" s="30"/>
      <c r="U1395" s="30"/>
      <c r="V1395" s="30"/>
      <c r="W1395" s="30"/>
      <c r="X1395" s="30"/>
      <c r="Y1395" s="30"/>
      <c r="Z1395" s="30"/>
      <c r="AA1395" s="30"/>
    </row>
    <row r="1396">
      <c r="A1396" s="29">
        <v>1190096.0</v>
      </c>
      <c r="B1396" s="29">
        <v>1193665.0</v>
      </c>
      <c r="C1396" s="30" t="str">
        <f t="shared" si="1"/>
        <v>+</v>
      </c>
      <c r="D1396" s="29">
        <f t="shared" si="2"/>
        <v>470</v>
      </c>
      <c r="E1396" s="30"/>
      <c r="F1396" s="30"/>
      <c r="G1396" s="30"/>
      <c r="H1396" s="30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0"/>
      <c r="Z1396" s="30"/>
      <c r="AA1396" s="30"/>
    </row>
    <row r="1397">
      <c r="A1397" s="29">
        <v>1193865.0</v>
      </c>
      <c r="B1397" s="29">
        <v>1193680.0</v>
      </c>
      <c r="C1397" s="30" t="str">
        <f t="shared" si="1"/>
        <v>-</v>
      </c>
      <c r="D1397" s="29">
        <f t="shared" si="2"/>
        <v>471</v>
      </c>
      <c r="E1397" s="30"/>
      <c r="F1397" s="30"/>
      <c r="G1397" s="30"/>
      <c r="H1397" s="30"/>
      <c r="I1397" s="30"/>
      <c r="J1397" s="30"/>
      <c r="K1397" s="30"/>
      <c r="L1397" s="30"/>
      <c r="M1397" s="30"/>
      <c r="N1397" s="30"/>
      <c r="O1397" s="30"/>
      <c r="P1397" s="30"/>
      <c r="Q1397" s="30"/>
      <c r="R1397" s="30"/>
      <c r="S1397" s="30"/>
      <c r="T1397" s="30"/>
      <c r="U1397" s="30"/>
      <c r="V1397" s="30"/>
      <c r="W1397" s="30"/>
      <c r="X1397" s="30"/>
      <c r="Y1397" s="30"/>
      <c r="Z1397" s="30"/>
      <c r="AA1397" s="30"/>
    </row>
    <row r="1398">
      <c r="A1398" s="29">
        <v>1194720.0</v>
      </c>
      <c r="B1398" s="29">
        <v>1193935.0</v>
      </c>
      <c r="C1398" s="30" t="str">
        <f t="shared" si="1"/>
        <v>-</v>
      </c>
      <c r="D1398" s="29">
        <f t="shared" si="2"/>
        <v>471</v>
      </c>
      <c r="E1398" s="30"/>
      <c r="F1398" s="30"/>
      <c r="G1398" s="30"/>
      <c r="H1398" s="30"/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0"/>
      <c r="X1398" s="30"/>
      <c r="Y1398" s="30"/>
      <c r="Z1398" s="30"/>
      <c r="AA1398" s="30"/>
    </row>
    <row r="1399">
      <c r="A1399" s="29">
        <v>1195778.0</v>
      </c>
      <c r="B1399" s="29">
        <v>1194717.0</v>
      </c>
      <c r="C1399" s="30" t="str">
        <f t="shared" si="1"/>
        <v>-</v>
      </c>
      <c r="D1399" s="29">
        <f t="shared" si="2"/>
        <v>471</v>
      </c>
      <c r="E1399" s="30"/>
      <c r="F1399" s="30"/>
      <c r="G1399" s="30"/>
      <c r="H1399" s="30"/>
      <c r="I1399" s="30"/>
      <c r="J1399" s="30"/>
      <c r="K1399" s="30"/>
      <c r="L1399" s="30"/>
      <c r="M1399" s="30"/>
      <c r="N1399" s="30"/>
      <c r="O1399" s="30"/>
      <c r="P1399" s="30"/>
      <c r="Q1399" s="30"/>
      <c r="R1399" s="30"/>
      <c r="S1399" s="30"/>
      <c r="T1399" s="30"/>
      <c r="U1399" s="30"/>
      <c r="V1399" s="30"/>
      <c r="W1399" s="30"/>
      <c r="X1399" s="30"/>
      <c r="Y1399" s="30"/>
      <c r="Z1399" s="30"/>
      <c r="AA1399" s="30"/>
    </row>
    <row r="1400">
      <c r="A1400" s="29">
        <v>1195954.0</v>
      </c>
      <c r="B1400" s="29">
        <v>1195775.0</v>
      </c>
      <c r="C1400" s="30" t="str">
        <f t="shared" si="1"/>
        <v>-</v>
      </c>
      <c r="D1400" s="29">
        <f t="shared" si="2"/>
        <v>471</v>
      </c>
      <c r="E1400" s="30"/>
      <c r="F1400" s="30"/>
      <c r="G1400" s="30"/>
      <c r="H1400" s="30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0"/>
      <c r="X1400" s="30"/>
      <c r="Y1400" s="30"/>
      <c r="Z1400" s="30"/>
      <c r="AA1400" s="30"/>
    </row>
    <row r="1401">
      <c r="A1401" s="29">
        <v>1195955.0</v>
      </c>
      <c r="B1401" s="29">
        <v>1196116.0</v>
      </c>
      <c r="C1401" s="30" t="str">
        <f t="shared" si="1"/>
        <v>+</v>
      </c>
      <c r="D1401" s="29">
        <f t="shared" si="2"/>
        <v>472</v>
      </c>
      <c r="E1401" s="30"/>
      <c r="F1401" s="30"/>
      <c r="G1401" s="30"/>
      <c r="H1401" s="30"/>
      <c r="I1401" s="30"/>
      <c r="J1401" s="30"/>
      <c r="K1401" s="30"/>
      <c r="L1401" s="30"/>
      <c r="M1401" s="30"/>
      <c r="N1401" s="30"/>
      <c r="O1401" s="30"/>
      <c r="P1401" s="30"/>
      <c r="Q1401" s="30"/>
      <c r="R1401" s="30"/>
      <c r="S1401" s="30"/>
      <c r="T1401" s="30"/>
      <c r="U1401" s="30"/>
      <c r="V1401" s="30"/>
      <c r="W1401" s="30"/>
      <c r="X1401" s="30"/>
      <c r="Y1401" s="30"/>
      <c r="Z1401" s="30"/>
      <c r="AA1401" s="30"/>
    </row>
    <row r="1402">
      <c r="A1402" s="29">
        <v>1196913.0</v>
      </c>
      <c r="B1402" s="29">
        <v>1196401.0</v>
      </c>
      <c r="C1402" s="30" t="str">
        <f t="shared" si="1"/>
        <v>-</v>
      </c>
      <c r="D1402" s="29">
        <f t="shared" si="2"/>
        <v>473</v>
      </c>
      <c r="E1402" s="30"/>
      <c r="F1402" s="30"/>
      <c r="G1402" s="30"/>
      <c r="H1402" s="30"/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0"/>
      <c r="Z1402" s="30"/>
      <c r="AA1402" s="30"/>
    </row>
    <row r="1403">
      <c r="A1403" s="29">
        <v>1198446.0</v>
      </c>
      <c r="B1403" s="29">
        <v>1197271.0</v>
      </c>
      <c r="C1403" s="30" t="str">
        <f t="shared" si="1"/>
        <v>-</v>
      </c>
      <c r="D1403" s="29">
        <f t="shared" si="2"/>
        <v>473</v>
      </c>
      <c r="E1403" s="30"/>
      <c r="F1403" s="30"/>
      <c r="G1403" s="30"/>
      <c r="H1403" s="30"/>
      <c r="I1403" s="30"/>
      <c r="J1403" s="30"/>
      <c r="K1403" s="30"/>
      <c r="L1403" s="30"/>
      <c r="M1403" s="30"/>
      <c r="N1403" s="30"/>
      <c r="O1403" s="30"/>
      <c r="P1403" s="30"/>
      <c r="Q1403" s="30"/>
      <c r="R1403" s="30"/>
      <c r="S1403" s="30"/>
      <c r="T1403" s="30"/>
      <c r="U1403" s="30"/>
      <c r="V1403" s="30"/>
      <c r="W1403" s="30"/>
      <c r="X1403" s="30"/>
      <c r="Y1403" s="30"/>
      <c r="Z1403" s="30"/>
      <c r="AA1403" s="30"/>
    </row>
    <row r="1404">
      <c r="A1404" s="29">
        <v>1199695.0</v>
      </c>
      <c r="B1404" s="29">
        <v>1198439.0</v>
      </c>
      <c r="C1404" s="30" t="str">
        <f t="shared" si="1"/>
        <v>-</v>
      </c>
      <c r="D1404" s="29">
        <f t="shared" si="2"/>
        <v>473</v>
      </c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0"/>
      <c r="X1404" s="30"/>
      <c r="Y1404" s="30"/>
      <c r="Z1404" s="30"/>
      <c r="AA1404" s="30"/>
    </row>
    <row r="1405">
      <c r="A1405" s="29">
        <v>1200794.0</v>
      </c>
      <c r="B1405" s="29">
        <v>1199697.0</v>
      </c>
      <c r="C1405" s="30" t="str">
        <f t="shared" si="1"/>
        <v>-</v>
      </c>
      <c r="D1405" s="29">
        <f t="shared" si="2"/>
        <v>473</v>
      </c>
      <c r="E1405" s="30"/>
      <c r="F1405" s="30"/>
      <c r="G1405" s="30"/>
      <c r="H1405" s="30"/>
      <c r="I1405" s="30"/>
      <c r="J1405" s="30"/>
      <c r="K1405" s="30"/>
      <c r="L1405" s="30"/>
      <c r="M1405" s="30"/>
      <c r="N1405" s="30"/>
      <c r="O1405" s="30"/>
      <c r="P1405" s="30"/>
      <c r="Q1405" s="30"/>
      <c r="R1405" s="30"/>
      <c r="S1405" s="30"/>
      <c r="T1405" s="30"/>
      <c r="U1405" s="30"/>
      <c r="V1405" s="30"/>
      <c r="W1405" s="30"/>
      <c r="X1405" s="30"/>
      <c r="Y1405" s="30"/>
      <c r="Z1405" s="30"/>
      <c r="AA1405" s="30"/>
    </row>
    <row r="1406">
      <c r="A1406" s="29">
        <v>1200835.0</v>
      </c>
      <c r="B1406" s="29">
        <v>1201080.0</v>
      </c>
      <c r="C1406" s="30" t="str">
        <f t="shared" si="1"/>
        <v>+</v>
      </c>
      <c r="D1406" s="29">
        <f t="shared" si="2"/>
        <v>474</v>
      </c>
      <c r="E1406" s="30"/>
      <c r="F1406" s="30"/>
      <c r="G1406" s="30"/>
      <c r="H1406" s="30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0"/>
      <c r="X1406" s="30"/>
      <c r="Y1406" s="30"/>
      <c r="Z1406" s="30"/>
      <c r="AA1406" s="30"/>
    </row>
    <row r="1407">
      <c r="A1407" s="29">
        <v>1201077.0</v>
      </c>
      <c r="B1407" s="29">
        <v>1201448.0</v>
      </c>
      <c r="C1407" s="30" t="str">
        <f t="shared" si="1"/>
        <v>+</v>
      </c>
      <c r="D1407" s="29">
        <f t="shared" si="2"/>
        <v>474</v>
      </c>
      <c r="E1407" s="30"/>
      <c r="F1407" s="30"/>
      <c r="G1407" s="30"/>
      <c r="H1407" s="30"/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0"/>
      <c r="X1407" s="30"/>
      <c r="Y1407" s="30"/>
      <c r="Z1407" s="30"/>
      <c r="AA1407" s="30"/>
    </row>
    <row r="1408">
      <c r="A1408" s="29">
        <v>1201445.0</v>
      </c>
      <c r="B1408" s="29">
        <v>1202764.0</v>
      </c>
      <c r="C1408" s="30" t="str">
        <f t="shared" si="1"/>
        <v>+</v>
      </c>
      <c r="D1408" s="29">
        <f t="shared" si="2"/>
        <v>474</v>
      </c>
      <c r="E1408" s="30"/>
      <c r="F1408" s="30"/>
      <c r="G1408" s="30"/>
      <c r="H1408" s="30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0"/>
      <c r="X1408" s="30"/>
      <c r="Y1408" s="30"/>
      <c r="Z1408" s="30"/>
      <c r="AA1408" s="30"/>
    </row>
    <row r="1409">
      <c r="A1409" s="29">
        <v>1202890.0</v>
      </c>
      <c r="B1409" s="29">
        <v>1203537.0</v>
      </c>
      <c r="C1409" s="30" t="str">
        <f t="shared" si="1"/>
        <v>+</v>
      </c>
      <c r="D1409" s="29">
        <f t="shared" si="2"/>
        <v>474</v>
      </c>
      <c r="E1409" s="30"/>
      <c r="F1409" s="30"/>
      <c r="G1409" s="30"/>
      <c r="H1409" s="30"/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0"/>
      <c r="X1409" s="30"/>
      <c r="Y1409" s="30"/>
      <c r="Z1409" s="30"/>
      <c r="AA1409" s="30"/>
    </row>
    <row r="1410">
      <c r="A1410" s="29">
        <v>1203534.0</v>
      </c>
      <c r="B1410" s="29">
        <v>1204730.0</v>
      </c>
      <c r="C1410" s="30" t="str">
        <f t="shared" si="1"/>
        <v>+</v>
      </c>
      <c r="D1410" s="29">
        <f t="shared" si="2"/>
        <v>474</v>
      </c>
      <c r="E1410" s="30"/>
      <c r="F1410" s="30"/>
      <c r="G1410" s="30"/>
      <c r="H1410" s="30"/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0"/>
      <c r="X1410" s="30"/>
      <c r="Y1410" s="30"/>
      <c r="Z1410" s="30"/>
      <c r="AA1410" s="30"/>
    </row>
    <row r="1411">
      <c r="A1411" s="29">
        <v>1205252.0</v>
      </c>
      <c r="B1411" s="29">
        <v>1204806.0</v>
      </c>
      <c r="C1411" s="30" t="str">
        <f t="shared" si="1"/>
        <v>-</v>
      </c>
      <c r="D1411" s="29">
        <f t="shared" si="2"/>
        <v>475</v>
      </c>
      <c r="E1411" s="30"/>
      <c r="F1411" s="30"/>
      <c r="G1411" s="30"/>
      <c r="H1411" s="30"/>
      <c r="I1411" s="30"/>
      <c r="J1411" s="30"/>
      <c r="K1411" s="30"/>
      <c r="L1411" s="30"/>
      <c r="M1411" s="30"/>
      <c r="N1411" s="30"/>
      <c r="O1411" s="30"/>
      <c r="P1411" s="30"/>
      <c r="Q1411" s="30"/>
      <c r="R1411" s="30"/>
      <c r="S1411" s="30"/>
      <c r="T1411" s="30"/>
      <c r="U1411" s="30"/>
      <c r="V1411" s="30"/>
      <c r="W1411" s="30"/>
      <c r="X1411" s="30"/>
      <c r="Y1411" s="30"/>
      <c r="Z1411" s="30"/>
      <c r="AA1411" s="30"/>
    </row>
    <row r="1412">
      <c r="A1412" s="29">
        <v>1205386.0</v>
      </c>
      <c r="B1412" s="29">
        <v>1205502.0</v>
      </c>
      <c r="C1412" s="30" t="str">
        <f t="shared" si="1"/>
        <v>+</v>
      </c>
      <c r="D1412" s="29">
        <f t="shared" si="2"/>
        <v>476</v>
      </c>
      <c r="E1412" s="30"/>
      <c r="F1412" s="30"/>
      <c r="G1412" s="30"/>
      <c r="H1412" s="30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0"/>
      <c r="Z1412" s="30"/>
      <c r="AA1412" s="30"/>
    </row>
    <row r="1413">
      <c r="A1413" s="29">
        <v>1205631.0</v>
      </c>
      <c r="B1413" s="29">
        <v>1206608.0</v>
      </c>
      <c r="C1413" s="30" t="str">
        <f t="shared" si="1"/>
        <v>+</v>
      </c>
      <c r="D1413" s="29">
        <f t="shared" si="2"/>
        <v>476</v>
      </c>
      <c r="E1413" s="30"/>
      <c r="F1413" s="30"/>
      <c r="G1413" s="30"/>
      <c r="H1413" s="30"/>
      <c r="I1413" s="30"/>
      <c r="J1413" s="30"/>
      <c r="K1413" s="30"/>
      <c r="L1413" s="30"/>
      <c r="M1413" s="30"/>
      <c r="N1413" s="30"/>
      <c r="O1413" s="30"/>
      <c r="P1413" s="30"/>
      <c r="Q1413" s="30"/>
      <c r="R1413" s="30"/>
      <c r="S1413" s="30"/>
      <c r="T1413" s="30"/>
      <c r="U1413" s="30"/>
      <c r="V1413" s="30"/>
      <c r="W1413" s="30"/>
      <c r="X1413" s="30"/>
      <c r="Y1413" s="30"/>
      <c r="Z1413" s="30"/>
      <c r="AA1413" s="30"/>
    </row>
    <row r="1414">
      <c r="A1414" s="29">
        <v>1206605.0</v>
      </c>
      <c r="B1414" s="29">
        <v>1207594.0</v>
      </c>
      <c r="C1414" s="30" t="str">
        <f t="shared" si="1"/>
        <v>+</v>
      </c>
      <c r="D1414" s="29">
        <f t="shared" si="2"/>
        <v>476</v>
      </c>
      <c r="E1414" s="30"/>
      <c r="F1414" s="30"/>
      <c r="G1414" s="30"/>
      <c r="H1414" s="30"/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0"/>
      <c r="Z1414" s="30"/>
      <c r="AA1414" s="30"/>
    </row>
    <row r="1415">
      <c r="A1415" s="29">
        <v>1207610.0</v>
      </c>
      <c r="B1415" s="29">
        <v>1208629.0</v>
      </c>
      <c r="C1415" s="30" t="str">
        <f t="shared" si="1"/>
        <v>+</v>
      </c>
      <c r="D1415" s="29">
        <f t="shared" si="2"/>
        <v>476</v>
      </c>
      <c r="E1415" s="30"/>
      <c r="F1415" s="30"/>
      <c r="G1415" s="30"/>
      <c r="H1415" s="30"/>
      <c r="I1415" s="30"/>
      <c r="J1415" s="30"/>
      <c r="K1415" s="30"/>
      <c r="L1415" s="30"/>
      <c r="M1415" s="30"/>
      <c r="N1415" s="30"/>
      <c r="O1415" s="30"/>
      <c r="P1415" s="30"/>
      <c r="Q1415" s="30"/>
      <c r="R1415" s="30"/>
      <c r="S1415" s="30"/>
      <c r="T1415" s="30"/>
      <c r="U1415" s="30"/>
      <c r="V1415" s="30"/>
      <c r="W1415" s="30"/>
      <c r="X1415" s="30"/>
      <c r="Y1415" s="30"/>
      <c r="Z1415" s="30"/>
      <c r="AA1415" s="30"/>
    </row>
    <row r="1416">
      <c r="A1416" s="29">
        <v>1208664.0</v>
      </c>
      <c r="B1416" s="29">
        <v>1209209.0</v>
      </c>
      <c r="C1416" s="30" t="str">
        <f t="shared" si="1"/>
        <v>+</v>
      </c>
      <c r="D1416" s="29">
        <f t="shared" si="2"/>
        <v>476</v>
      </c>
      <c r="E1416" s="30"/>
      <c r="F1416" s="30"/>
      <c r="G1416" s="30"/>
      <c r="H1416" s="30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0"/>
      <c r="X1416" s="30"/>
      <c r="Y1416" s="30"/>
      <c r="Z1416" s="30"/>
      <c r="AA1416" s="30"/>
    </row>
    <row r="1417">
      <c r="A1417" s="29">
        <v>1209191.0</v>
      </c>
      <c r="B1417" s="29">
        <v>1209868.0</v>
      </c>
      <c r="C1417" s="30" t="str">
        <f t="shared" si="1"/>
        <v>+</v>
      </c>
      <c r="D1417" s="29">
        <f t="shared" si="2"/>
        <v>476</v>
      </c>
      <c r="E1417" s="30"/>
      <c r="F1417" s="30"/>
      <c r="G1417" s="30"/>
      <c r="H1417" s="30"/>
      <c r="I1417" s="30"/>
      <c r="J1417" s="30"/>
      <c r="K1417" s="30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30"/>
      <c r="X1417" s="30"/>
      <c r="Y1417" s="30"/>
      <c r="Z1417" s="30"/>
      <c r="AA1417" s="30"/>
    </row>
    <row r="1418">
      <c r="A1418" s="29">
        <v>1209950.0</v>
      </c>
      <c r="B1418" s="29">
        <v>1210141.0</v>
      </c>
      <c r="C1418" s="30" t="str">
        <f t="shared" si="1"/>
        <v>+</v>
      </c>
      <c r="D1418" s="29">
        <f t="shared" si="2"/>
        <v>476</v>
      </c>
      <c r="E1418" s="30"/>
      <c r="F1418" s="30"/>
      <c r="G1418" s="30"/>
      <c r="H1418" s="30"/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0"/>
      <c r="Z1418" s="30"/>
      <c r="AA1418" s="30"/>
    </row>
    <row r="1419">
      <c r="A1419" s="29">
        <v>1210138.0</v>
      </c>
      <c r="B1419" s="29">
        <v>1213644.0</v>
      </c>
      <c r="C1419" s="30" t="str">
        <f t="shared" si="1"/>
        <v>+</v>
      </c>
      <c r="D1419" s="29">
        <f t="shared" si="2"/>
        <v>476</v>
      </c>
      <c r="E1419" s="30"/>
      <c r="F1419" s="30"/>
      <c r="G1419" s="30"/>
      <c r="H1419" s="30"/>
      <c r="I1419" s="30"/>
      <c r="J1419" s="30"/>
      <c r="K1419" s="30"/>
      <c r="L1419" s="30"/>
      <c r="M1419" s="30"/>
      <c r="N1419" s="30"/>
      <c r="O1419" s="30"/>
      <c r="P1419" s="30"/>
      <c r="Q1419" s="30"/>
      <c r="R1419" s="30"/>
      <c r="S1419" s="30"/>
      <c r="T1419" s="30"/>
      <c r="U1419" s="30"/>
      <c r="V1419" s="30"/>
      <c r="W1419" s="30"/>
      <c r="X1419" s="30"/>
      <c r="Y1419" s="30"/>
      <c r="Z1419" s="30"/>
      <c r="AA1419" s="30"/>
    </row>
    <row r="1420">
      <c r="A1420" s="29">
        <v>1213647.0</v>
      </c>
      <c r="B1420" s="29">
        <v>1214501.0</v>
      </c>
      <c r="C1420" s="30" t="str">
        <f t="shared" si="1"/>
        <v>+</v>
      </c>
      <c r="D1420" s="29">
        <f t="shared" si="2"/>
        <v>476</v>
      </c>
      <c r="E1420" s="30"/>
      <c r="F1420" s="30"/>
      <c r="G1420" s="30"/>
      <c r="H1420" s="30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0"/>
      <c r="Z1420" s="30"/>
      <c r="AA1420" s="30"/>
    </row>
    <row r="1421">
      <c r="A1421" s="29">
        <v>1214541.0</v>
      </c>
      <c r="B1421" s="29">
        <v>1215242.0</v>
      </c>
      <c r="C1421" s="30" t="str">
        <f t="shared" si="1"/>
        <v>+</v>
      </c>
      <c r="D1421" s="29">
        <f t="shared" si="2"/>
        <v>476</v>
      </c>
      <c r="E1421" s="30"/>
      <c r="F1421" s="30"/>
      <c r="G1421" s="30"/>
      <c r="H1421" s="30"/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0"/>
      <c r="X1421" s="30"/>
      <c r="Y1421" s="30"/>
      <c r="Z1421" s="30"/>
      <c r="AA1421" s="30"/>
    </row>
    <row r="1422">
      <c r="A1422" s="29">
        <v>1215229.0</v>
      </c>
      <c r="B1422" s="29">
        <v>1215795.0</v>
      </c>
      <c r="C1422" s="30" t="str">
        <f t="shared" si="1"/>
        <v>+</v>
      </c>
      <c r="D1422" s="29">
        <f t="shared" si="2"/>
        <v>476</v>
      </c>
      <c r="E1422" s="30"/>
      <c r="F1422" s="30"/>
      <c r="G1422" s="30"/>
      <c r="H1422" s="30"/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0"/>
      <c r="X1422" s="30"/>
      <c r="Y1422" s="30"/>
      <c r="Z1422" s="30"/>
      <c r="AA1422" s="30"/>
    </row>
    <row r="1423">
      <c r="A1423" s="29">
        <v>1216287.0</v>
      </c>
      <c r="B1423" s="29">
        <v>1215829.0</v>
      </c>
      <c r="C1423" s="30" t="str">
        <f t="shared" si="1"/>
        <v>-</v>
      </c>
      <c r="D1423" s="29">
        <f t="shared" si="2"/>
        <v>477</v>
      </c>
      <c r="E1423" s="30"/>
      <c r="F1423" s="30"/>
      <c r="G1423" s="30"/>
      <c r="H1423" s="30"/>
      <c r="I1423" s="30"/>
      <c r="J1423" s="30"/>
      <c r="K1423" s="30"/>
      <c r="L1423" s="30"/>
      <c r="M1423" s="30"/>
      <c r="N1423" s="30"/>
      <c r="O1423" s="30"/>
      <c r="P1423" s="30"/>
      <c r="Q1423" s="30"/>
      <c r="R1423" s="30"/>
      <c r="S1423" s="30"/>
      <c r="T1423" s="30"/>
      <c r="U1423" s="30"/>
      <c r="V1423" s="30"/>
      <c r="W1423" s="30"/>
      <c r="X1423" s="30"/>
      <c r="Y1423" s="30"/>
      <c r="Z1423" s="30"/>
      <c r="AA1423" s="30"/>
    </row>
    <row r="1424">
      <c r="A1424" s="29">
        <v>1216375.0</v>
      </c>
      <c r="B1424" s="29">
        <v>1217292.0</v>
      </c>
      <c r="C1424" s="30" t="str">
        <f t="shared" si="1"/>
        <v>+</v>
      </c>
      <c r="D1424" s="29">
        <f t="shared" si="2"/>
        <v>478</v>
      </c>
      <c r="E1424" s="30"/>
      <c r="F1424" s="30"/>
      <c r="G1424" s="30"/>
      <c r="H1424" s="30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0"/>
      <c r="X1424" s="30"/>
      <c r="Y1424" s="30"/>
      <c r="Z1424" s="30"/>
      <c r="AA1424" s="30"/>
    </row>
    <row r="1425">
      <c r="A1425" s="29">
        <v>1217517.0</v>
      </c>
      <c r="B1425" s="29">
        <v>1219523.0</v>
      </c>
      <c r="C1425" s="30" t="str">
        <f t="shared" si="1"/>
        <v>+</v>
      </c>
      <c r="D1425" s="29">
        <f t="shared" si="2"/>
        <v>478</v>
      </c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  <c r="O1425" s="30"/>
      <c r="P1425" s="30"/>
      <c r="Q1425" s="30"/>
      <c r="R1425" s="30"/>
      <c r="S1425" s="30"/>
      <c r="T1425" s="30"/>
      <c r="U1425" s="30"/>
      <c r="V1425" s="30"/>
      <c r="W1425" s="30"/>
      <c r="X1425" s="30"/>
      <c r="Y1425" s="30"/>
      <c r="Z1425" s="30"/>
      <c r="AA1425" s="30"/>
    </row>
    <row r="1426">
      <c r="A1426" s="29">
        <v>1221862.0</v>
      </c>
      <c r="B1426" s="29">
        <v>1222845.0</v>
      </c>
      <c r="C1426" s="30" t="str">
        <f t="shared" si="1"/>
        <v>+</v>
      </c>
      <c r="D1426" s="29">
        <f t="shared" si="2"/>
        <v>478</v>
      </c>
      <c r="E1426" s="30"/>
      <c r="F1426" s="30"/>
      <c r="G1426" s="30"/>
      <c r="H1426" s="30"/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0"/>
      <c r="X1426" s="30"/>
      <c r="Y1426" s="30"/>
      <c r="Z1426" s="30"/>
      <c r="AA1426" s="30"/>
    </row>
    <row r="1427">
      <c r="A1427" s="29">
        <v>1223275.0</v>
      </c>
      <c r="B1427" s="29">
        <v>1222913.0</v>
      </c>
      <c r="C1427" s="30" t="str">
        <f t="shared" si="1"/>
        <v>-</v>
      </c>
      <c r="D1427" s="29">
        <f t="shared" si="2"/>
        <v>479</v>
      </c>
      <c r="E1427" s="30"/>
      <c r="F1427" s="30"/>
      <c r="G1427" s="30"/>
      <c r="H1427" s="30"/>
      <c r="I1427" s="30"/>
      <c r="J1427" s="30"/>
      <c r="K1427" s="30"/>
      <c r="L1427" s="30"/>
      <c r="M1427" s="30"/>
      <c r="N1427" s="30"/>
      <c r="O1427" s="30"/>
      <c r="P1427" s="30"/>
      <c r="Q1427" s="30"/>
      <c r="R1427" s="30"/>
      <c r="S1427" s="30"/>
      <c r="T1427" s="30"/>
      <c r="U1427" s="30"/>
      <c r="V1427" s="30"/>
      <c r="W1427" s="30"/>
      <c r="X1427" s="30"/>
      <c r="Y1427" s="30"/>
      <c r="Z1427" s="30"/>
      <c r="AA1427" s="30"/>
    </row>
    <row r="1428">
      <c r="A1428" s="29">
        <v>1223672.0</v>
      </c>
      <c r="B1428" s="29">
        <v>1223430.0</v>
      </c>
      <c r="C1428" s="30" t="str">
        <f t="shared" si="1"/>
        <v>-</v>
      </c>
      <c r="D1428" s="29">
        <f t="shared" si="2"/>
        <v>479</v>
      </c>
      <c r="E1428" s="30"/>
      <c r="F1428" s="30"/>
      <c r="G1428" s="30"/>
      <c r="H1428" s="30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0"/>
      <c r="X1428" s="30"/>
      <c r="Y1428" s="30"/>
      <c r="Z1428" s="30"/>
      <c r="AA1428" s="30"/>
    </row>
    <row r="1429">
      <c r="A1429" s="29">
        <v>1223995.0</v>
      </c>
      <c r="B1429" s="29">
        <v>1223780.0</v>
      </c>
      <c r="C1429" s="30" t="str">
        <f t="shared" si="1"/>
        <v>-</v>
      </c>
      <c r="D1429" s="29">
        <f t="shared" si="2"/>
        <v>479</v>
      </c>
      <c r="E1429" s="30"/>
      <c r="F1429" s="30"/>
      <c r="G1429" s="30"/>
      <c r="H1429" s="30"/>
      <c r="I1429" s="30"/>
      <c r="J1429" s="30"/>
      <c r="K1429" s="30"/>
      <c r="L1429" s="30"/>
      <c r="M1429" s="30"/>
      <c r="N1429" s="30"/>
      <c r="O1429" s="30"/>
      <c r="P1429" s="30"/>
      <c r="Q1429" s="30"/>
      <c r="R1429" s="30"/>
      <c r="S1429" s="30"/>
      <c r="T1429" s="30"/>
      <c r="U1429" s="30"/>
      <c r="V1429" s="30"/>
      <c r="W1429" s="30"/>
      <c r="X1429" s="30"/>
      <c r="Y1429" s="30"/>
      <c r="Z1429" s="30"/>
      <c r="AA1429" s="30"/>
    </row>
    <row r="1430">
      <c r="A1430" s="29">
        <v>1224457.0</v>
      </c>
      <c r="B1430" s="29">
        <v>1224353.0</v>
      </c>
      <c r="C1430" s="30" t="str">
        <f t="shared" si="1"/>
        <v>-</v>
      </c>
      <c r="D1430" s="29">
        <f t="shared" si="2"/>
        <v>479</v>
      </c>
      <c r="E1430" s="30"/>
      <c r="F1430" s="30"/>
      <c r="G1430" s="30"/>
      <c r="H1430" s="30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0"/>
      <c r="X1430" s="30"/>
      <c r="Y1430" s="30"/>
      <c r="Z1430" s="30"/>
      <c r="AA1430" s="30"/>
    </row>
    <row r="1431">
      <c r="A1431" s="29">
        <v>1225119.0</v>
      </c>
      <c r="B1431" s="29">
        <v>1224598.0</v>
      </c>
      <c r="C1431" s="30" t="str">
        <f t="shared" si="1"/>
        <v>-</v>
      </c>
      <c r="D1431" s="29">
        <f t="shared" si="2"/>
        <v>479</v>
      </c>
      <c r="E1431" s="30"/>
      <c r="F1431" s="30"/>
      <c r="G1431" s="30"/>
      <c r="H1431" s="30"/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0"/>
      <c r="Z1431" s="30"/>
      <c r="AA1431" s="30"/>
    </row>
    <row r="1432">
      <c r="A1432" s="29">
        <v>1226705.0</v>
      </c>
      <c r="B1432" s="29">
        <v>1225116.0</v>
      </c>
      <c r="C1432" s="30" t="str">
        <f t="shared" si="1"/>
        <v>-</v>
      </c>
      <c r="D1432" s="29">
        <f t="shared" si="2"/>
        <v>479</v>
      </c>
      <c r="E1432" s="30"/>
      <c r="F1432" s="30"/>
      <c r="G1432" s="30"/>
      <c r="H1432" s="30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0"/>
      <c r="Y1432" s="30"/>
      <c r="Z1432" s="30"/>
      <c r="AA1432" s="30"/>
    </row>
    <row r="1433">
      <c r="A1433" s="29">
        <v>1226995.0</v>
      </c>
      <c r="B1433" s="29">
        <v>1226684.0</v>
      </c>
      <c r="C1433" s="30" t="str">
        <f t="shared" si="1"/>
        <v>-</v>
      </c>
      <c r="D1433" s="29">
        <f t="shared" si="2"/>
        <v>479</v>
      </c>
      <c r="E1433" s="30"/>
      <c r="F1433" s="30"/>
      <c r="G1433" s="30"/>
      <c r="H1433" s="30"/>
      <c r="I1433" s="30"/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0"/>
      <c r="X1433" s="30"/>
      <c r="Y1433" s="30"/>
      <c r="Z1433" s="30"/>
      <c r="AA1433" s="30"/>
    </row>
    <row r="1434">
      <c r="A1434" s="29">
        <v>1227113.0</v>
      </c>
      <c r="B1434" s="29">
        <v>1227397.0</v>
      </c>
      <c r="C1434" s="30" t="str">
        <f t="shared" si="1"/>
        <v>+</v>
      </c>
      <c r="D1434" s="29">
        <f t="shared" si="2"/>
        <v>480</v>
      </c>
      <c r="E1434" s="30"/>
      <c r="F1434" s="30"/>
      <c r="G1434" s="30"/>
      <c r="H1434" s="30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/>
      <c r="AA1434" s="30"/>
    </row>
    <row r="1435">
      <c r="A1435" s="29">
        <v>1227394.0</v>
      </c>
      <c r="B1435" s="29">
        <v>1229142.0</v>
      </c>
      <c r="C1435" s="30" t="str">
        <f t="shared" si="1"/>
        <v>+</v>
      </c>
      <c r="D1435" s="29">
        <f t="shared" si="2"/>
        <v>480</v>
      </c>
      <c r="E1435" s="30"/>
      <c r="F1435" s="30"/>
      <c r="G1435" s="30"/>
      <c r="H1435" s="30"/>
      <c r="I1435" s="30"/>
      <c r="J1435" s="30"/>
      <c r="K1435" s="30"/>
      <c r="L1435" s="30"/>
      <c r="M1435" s="30"/>
      <c r="N1435" s="30"/>
      <c r="O1435" s="30"/>
      <c r="P1435" s="30"/>
      <c r="Q1435" s="30"/>
      <c r="R1435" s="30"/>
      <c r="S1435" s="30"/>
      <c r="T1435" s="30"/>
      <c r="U1435" s="30"/>
      <c r="V1435" s="30"/>
      <c r="W1435" s="30"/>
      <c r="X1435" s="30"/>
      <c r="Y1435" s="30"/>
      <c r="Z1435" s="30"/>
      <c r="AA1435" s="30"/>
    </row>
    <row r="1436">
      <c r="A1436" s="29">
        <v>1229705.0</v>
      </c>
      <c r="B1436" s="29">
        <v>1229589.0</v>
      </c>
      <c r="C1436" s="30" t="str">
        <f t="shared" si="1"/>
        <v>-</v>
      </c>
      <c r="D1436" s="29">
        <f t="shared" si="2"/>
        <v>481</v>
      </c>
      <c r="E1436" s="30"/>
      <c r="F1436" s="30"/>
      <c r="G1436" s="30"/>
      <c r="H1436" s="30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0"/>
      <c r="X1436" s="30"/>
      <c r="Y1436" s="30"/>
      <c r="Z1436" s="30"/>
      <c r="AA1436" s="30"/>
    </row>
    <row r="1437">
      <c r="A1437" s="29">
        <v>1230415.0</v>
      </c>
      <c r="B1437" s="29">
        <v>1230026.0</v>
      </c>
      <c r="C1437" s="30" t="str">
        <f t="shared" si="1"/>
        <v>-</v>
      </c>
      <c r="D1437" s="29">
        <f t="shared" si="2"/>
        <v>481</v>
      </c>
      <c r="E1437" s="30"/>
      <c r="F1437" s="30"/>
      <c r="G1437" s="30"/>
      <c r="H1437" s="30"/>
      <c r="I1437" s="30"/>
      <c r="J1437" s="30"/>
      <c r="K1437" s="30"/>
      <c r="L1437" s="30"/>
      <c r="M1437" s="30"/>
      <c r="N1437" s="30"/>
      <c r="O1437" s="30"/>
      <c r="P1437" s="30"/>
      <c r="Q1437" s="30"/>
      <c r="R1437" s="30"/>
      <c r="S1437" s="30"/>
      <c r="T1437" s="30"/>
      <c r="U1437" s="30"/>
      <c r="V1437" s="30"/>
      <c r="W1437" s="30"/>
      <c r="X1437" s="30"/>
      <c r="Y1437" s="30"/>
      <c r="Z1437" s="30"/>
      <c r="AA1437" s="30"/>
    </row>
    <row r="1438">
      <c r="A1438" s="29">
        <v>1230849.0</v>
      </c>
      <c r="B1438" s="29">
        <v>1233302.0</v>
      </c>
      <c r="C1438" s="30" t="str">
        <f t="shared" si="1"/>
        <v>+</v>
      </c>
      <c r="D1438" s="29">
        <f t="shared" si="2"/>
        <v>482</v>
      </c>
      <c r="E1438" s="30"/>
      <c r="F1438" s="30"/>
      <c r="G1438" s="30"/>
      <c r="H1438" s="30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0"/>
      <c r="X1438" s="30"/>
      <c r="Y1438" s="30"/>
      <c r="Z1438" s="30"/>
      <c r="AA1438" s="30"/>
    </row>
    <row r="1439">
      <c r="A1439" s="29">
        <v>1233299.0</v>
      </c>
      <c r="B1439" s="29">
        <v>1233865.0</v>
      </c>
      <c r="C1439" s="30" t="str">
        <f t="shared" si="1"/>
        <v>+</v>
      </c>
      <c r="D1439" s="29">
        <f t="shared" si="2"/>
        <v>482</v>
      </c>
      <c r="E1439" s="30"/>
      <c r="F1439" s="30"/>
      <c r="G1439" s="30"/>
      <c r="H1439" s="30"/>
      <c r="I1439" s="30"/>
      <c r="J1439" s="30"/>
      <c r="K1439" s="30"/>
      <c r="L1439" s="30"/>
      <c r="M1439" s="30"/>
      <c r="N1439" s="30"/>
      <c r="O1439" s="30"/>
      <c r="P1439" s="30"/>
      <c r="Q1439" s="30"/>
      <c r="R1439" s="30"/>
      <c r="S1439" s="30"/>
      <c r="T1439" s="30"/>
      <c r="U1439" s="30"/>
      <c r="V1439" s="30"/>
      <c r="W1439" s="30"/>
      <c r="X1439" s="30"/>
      <c r="Y1439" s="30"/>
      <c r="Z1439" s="30"/>
      <c r="AA1439" s="30"/>
    </row>
    <row r="1440">
      <c r="A1440" s="29">
        <v>1233862.0</v>
      </c>
      <c r="B1440" s="29">
        <v>1234734.0</v>
      </c>
      <c r="C1440" s="30" t="str">
        <f t="shared" si="1"/>
        <v>+</v>
      </c>
      <c r="D1440" s="29">
        <f t="shared" si="2"/>
        <v>482</v>
      </c>
      <c r="E1440" s="30"/>
      <c r="F1440" s="30"/>
      <c r="G1440" s="30"/>
      <c r="H1440" s="30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0"/>
      <c r="Z1440" s="30"/>
      <c r="AA1440" s="30"/>
    </row>
    <row r="1441">
      <c r="A1441" s="29">
        <v>1234888.0</v>
      </c>
      <c r="B1441" s="29">
        <v>1235454.0</v>
      </c>
      <c r="C1441" s="30" t="str">
        <f t="shared" si="1"/>
        <v>+</v>
      </c>
      <c r="D1441" s="29">
        <f t="shared" si="2"/>
        <v>482</v>
      </c>
      <c r="E1441" s="30"/>
      <c r="F1441" s="30"/>
      <c r="G1441" s="30"/>
      <c r="H1441" s="30"/>
      <c r="I1441" s="30"/>
      <c r="J1441" s="30"/>
      <c r="K1441" s="30"/>
      <c r="L1441" s="30"/>
      <c r="M1441" s="30"/>
      <c r="N1441" s="30"/>
      <c r="O1441" s="30"/>
      <c r="P1441" s="30"/>
      <c r="Q1441" s="30"/>
      <c r="R1441" s="30"/>
      <c r="S1441" s="30"/>
      <c r="T1441" s="30"/>
      <c r="U1441" s="30"/>
      <c r="V1441" s="30"/>
      <c r="W1441" s="30"/>
      <c r="X1441" s="30"/>
      <c r="Y1441" s="30"/>
      <c r="Z1441" s="30"/>
      <c r="AA1441" s="30"/>
    </row>
    <row r="1442">
      <c r="A1442" s="29">
        <v>1236346.0</v>
      </c>
      <c r="B1442" s="29">
        <v>1235855.0</v>
      </c>
      <c r="C1442" s="30" t="str">
        <f t="shared" si="1"/>
        <v>-</v>
      </c>
      <c r="D1442" s="29">
        <f t="shared" si="2"/>
        <v>483</v>
      </c>
      <c r="E1442" s="30"/>
      <c r="F1442" s="30"/>
      <c r="G1442" s="30"/>
      <c r="H1442" s="30"/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0"/>
      <c r="X1442" s="30"/>
      <c r="Y1442" s="30"/>
      <c r="Z1442" s="30"/>
      <c r="AA1442" s="30"/>
    </row>
    <row r="1443">
      <c r="A1443" s="29">
        <v>1236614.0</v>
      </c>
      <c r="B1443" s="29">
        <v>1237297.0</v>
      </c>
      <c r="C1443" s="30" t="str">
        <f t="shared" si="1"/>
        <v>+</v>
      </c>
      <c r="D1443" s="29">
        <f t="shared" si="2"/>
        <v>484</v>
      </c>
      <c r="E1443" s="30"/>
      <c r="F1443" s="30"/>
      <c r="G1443" s="30"/>
      <c r="H1443" s="30"/>
      <c r="I1443" s="30"/>
      <c r="J1443" s="30"/>
      <c r="K1443" s="30"/>
      <c r="L1443" s="30"/>
      <c r="M1443" s="30"/>
      <c r="N1443" s="30"/>
      <c r="O1443" s="30"/>
      <c r="P1443" s="30"/>
      <c r="Q1443" s="30"/>
      <c r="R1443" s="30"/>
      <c r="S1443" s="30"/>
      <c r="T1443" s="30"/>
      <c r="U1443" s="30"/>
      <c r="V1443" s="30"/>
      <c r="W1443" s="30"/>
      <c r="X1443" s="30"/>
      <c r="Y1443" s="30"/>
      <c r="Z1443" s="30"/>
      <c r="AA1443" s="30"/>
    </row>
    <row r="1444">
      <c r="A1444" s="29">
        <v>1237367.0</v>
      </c>
      <c r="B1444" s="29">
        <v>1238155.0</v>
      </c>
      <c r="C1444" s="30" t="str">
        <f t="shared" si="1"/>
        <v>+</v>
      </c>
      <c r="D1444" s="29">
        <f t="shared" si="2"/>
        <v>484</v>
      </c>
      <c r="E1444" s="30"/>
      <c r="F1444" s="30"/>
      <c r="G1444" s="30"/>
      <c r="H1444" s="30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0"/>
      <c r="Z1444" s="30"/>
      <c r="AA1444" s="30"/>
    </row>
    <row r="1445">
      <c r="A1445" s="29">
        <v>1238148.0</v>
      </c>
      <c r="B1445" s="29">
        <v>1238828.0</v>
      </c>
      <c r="C1445" s="30" t="str">
        <f t="shared" si="1"/>
        <v>+</v>
      </c>
      <c r="D1445" s="29">
        <f t="shared" si="2"/>
        <v>484</v>
      </c>
      <c r="E1445" s="30"/>
      <c r="F1445" s="30"/>
      <c r="G1445" s="30"/>
      <c r="H1445" s="30"/>
      <c r="I1445" s="30"/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0"/>
      <c r="U1445" s="30"/>
      <c r="V1445" s="30"/>
      <c r="W1445" s="30"/>
      <c r="X1445" s="30"/>
      <c r="Y1445" s="30"/>
      <c r="Z1445" s="30"/>
      <c r="AA1445" s="30"/>
    </row>
    <row r="1446">
      <c r="A1446" s="29">
        <v>1238828.0</v>
      </c>
      <c r="B1446" s="29">
        <v>1239811.0</v>
      </c>
      <c r="C1446" s="30" t="str">
        <f t="shared" si="1"/>
        <v>+</v>
      </c>
      <c r="D1446" s="29">
        <f t="shared" si="2"/>
        <v>484</v>
      </c>
      <c r="E1446" s="30"/>
      <c r="F1446" s="30"/>
      <c r="G1446" s="30"/>
      <c r="H1446" s="30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0"/>
      <c r="X1446" s="30"/>
      <c r="Y1446" s="30"/>
      <c r="Z1446" s="30"/>
      <c r="AA1446" s="30"/>
    </row>
    <row r="1447">
      <c r="A1447" s="29">
        <v>1239866.0</v>
      </c>
      <c r="B1447" s="29">
        <v>1241494.0</v>
      </c>
      <c r="C1447" s="30" t="str">
        <f t="shared" si="1"/>
        <v>+</v>
      </c>
      <c r="D1447" s="29">
        <f t="shared" si="2"/>
        <v>484</v>
      </c>
      <c r="E1447" s="30"/>
      <c r="F1447" s="30"/>
      <c r="G1447" s="30"/>
      <c r="H1447" s="30"/>
      <c r="I1447" s="30"/>
      <c r="J1447" s="30"/>
      <c r="K1447" s="30"/>
      <c r="L1447" s="30"/>
      <c r="M1447" s="30"/>
      <c r="N1447" s="30"/>
      <c r="O1447" s="30"/>
      <c r="P1447" s="30"/>
      <c r="Q1447" s="30"/>
      <c r="R1447" s="30"/>
      <c r="S1447" s="30"/>
      <c r="T1447" s="30"/>
      <c r="U1447" s="30"/>
      <c r="V1447" s="30"/>
      <c r="W1447" s="30"/>
      <c r="X1447" s="30"/>
      <c r="Y1447" s="30"/>
      <c r="Z1447" s="30"/>
      <c r="AA1447" s="30"/>
    </row>
    <row r="1448">
      <c r="A1448" s="29">
        <v>1241491.0</v>
      </c>
      <c r="B1448" s="29">
        <v>1242195.0</v>
      </c>
      <c r="C1448" s="30" t="str">
        <f t="shared" si="1"/>
        <v>+</v>
      </c>
      <c r="D1448" s="29">
        <f t="shared" si="2"/>
        <v>484</v>
      </c>
      <c r="E1448" s="30"/>
      <c r="F1448" s="30"/>
      <c r="G1448" s="30"/>
      <c r="H1448" s="30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0"/>
      <c r="Z1448" s="30"/>
      <c r="AA1448" s="30"/>
    </row>
    <row r="1449">
      <c r="A1449" s="29">
        <v>1242180.0</v>
      </c>
      <c r="B1449" s="29">
        <v>1243973.0</v>
      </c>
      <c r="C1449" s="30" t="str">
        <f t="shared" si="1"/>
        <v>+</v>
      </c>
      <c r="D1449" s="29">
        <f t="shared" si="2"/>
        <v>484</v>
      </c>
      <c r="E1449" s="30"/>
      <c r="F1449" s="30"/>
      <c r="G1449" s="30"/>
      <c r="H1449" s="30"/>
      <c r="I1449" s="30"/>
      <c r="J1449" s="30"/>
      <c r="K1449" s="30"/>
      <c r="L1449" s="30"/>
      <c r="M1449" s="30"/>
      <c r="N1449" s="30"/>
      <c r="O1449" s="30"/>
      <c r="P1449" s="30"/>
      <c r="Q1449" s="30"/>
      <c r="R1449" s="30"/>
      <c r="S1449" s="30"/>
      <c r="T1449" s="30"/>
      <c r="U1449" s="30"/>
      <c r="V1449" s="30"/>
      <c r="W1449" s="30"/>
      <c r="X1449" s="30"/>
      <c r="Y1449" s="30"/>
      <c r="Z1449" s="30"/>
      <c r="AA1449" s="30"/>
    </row>
    <row r="1450">
      <c r="A1450" s="29">
        <v>1244021.0</v>
      </c>
      <c r="B1450" s="29">
        <v>1245166.0</v>
      </c>
      <c r="C1450" s="30" t="str">
        <f t="shared" si="1"/>
        <v>+</v>
      </c>
      <c r="D1450" s="29">
        <f t="shared" si="2"/>
        <v>484</v>
      </c>
      <c r="E1450" s="30"/>
      <c r="F1450" s="30"/>
      <c r="G1450" s="30"/>
      <c r="H1450" s="30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0"/>
      <c r="X1450" s="30"/>
      <c r="Y1450" s="30"/>
      <c r="Z1450" s="30"/>
      <c r="AA1450" s="30"/>
    </row>
    <row r="1451">
      <c r="A1451" s="29">
        <v>1245180.0</v>
      </c>
      <c r="B1451" s="29">
        <v>1246625.0</v>
      </c>
      <c r="C1451" s="30" t="str">
        <f t="shared" si="1"/>
        <v>+</v>
      </c>
      <c r="D1451" s="29">
        <f t="shared" si="2"/>
        <v>484</v>
      </c>
      <c r="E1451" s="30"/>
      <c r="F1451" s="30"/>
      <c r="G1451" s="30"/>
      <c r="H1451" s="30"/>
      <c r="I1451" s="30"/>
      <c r="J1451" s="30"/>
      <c r="K1451" s="30"/>
      <c r="L1451" s="30"/>
      <c r="M1451" s="30"/>
      <c r="N1451" s="30"/>
      <c r="O1451" s="30"/>
      <c r="P1451" s="30"/>
      <c r="Q1451" s="30"/>
      <c r="R1451" s="30"/>
      <c r="S1451" s="30"/>
      <c r="T1451" s="30"/>
      <c r="U1451" s="30"/>
      <c r="V1451" s="30"/>
      <c r="W1451" s="30"/>
      <c r="X1451" s="30"/>
      <c r="Y1451" s="30"/>
      <c r="Z1451" s="30"/>
      <c r="AA1451" s="30"/>
    </row>
    <row r="1452">
      <c r="A1452" s="29">
        <v>1246641.0</v>
      </c>
      <c r="B1452" s="29">
        <v>1249286.0</v>
      </c>
      <c r="C1452" s="30" t="str">
        <f t="shared" si="1"/>
        <v>+</v>
      </c>
      <c r="D1452" s="29">
        <f t="shared" si="2"/>
        <v>484</v>
      </c>
      <c r="E1452" s="30"/>
      <c r="F1452" s="30"/>
      <c r="G1452" s="30"/>
      <c r="H1452" s="30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0"/>
      <c r="X1452" s="30"/>
      <c r="Y1452" s="30"/>
      <c r="Z1452" s="30"/>
      <c r="AA1452" s="30"/>
    </row>
    <row r="1453">
      <c r="A1453" s="29">
        <v>1249226.0</v>
      </c>
      <c r="B1453" s="29">
        <v>1250770.0</v>
      </c>
      <c r="C1453" s="30" t="str">
        <f t="shared" si="1"/>
        <v>+</v>
      </c>
      <c r="D1453" s="29">
        <f t="shared" si="2"/>
        <v>484</v>
      </c>
      <c r="E1453" s="30"/>
      <c r="F1453" s="30"/>
      <c r="G1453" s="30"/>
      <c r="H1453" s="30"/>
      <c r="I1453" s="30"/>
      <c r="J1453" s="30"/>
      <c r="K1453" s="30"/>
      <c r="L1453" s="30"/>
      <c r="M1453" s="30"/>
      <c r="N1453" s="30"/>
      <c r="O1453" s="30"/>
      <c r="P1453" s="30"/>
      <c r="Q1453" s="30"/>
      <c r="R1453" s="30"/>
      <c r="S1453" s="30"/>
      <c r="T1453" s="30"/>
      <c r="U1453" s="30"/>
      <c r="V1453" s="30"/>
      <c r="W1453" s="30"/>
      <c r="X1453" s="30"/>
      <c r="Y1453" s="30"/>
      <c r="Z1453" s="30"/>
      <c r="AA1453" s="30"/>
    </row>
    <row r="1454">
      <c r="A1454" s="29">
        <v>1250826.0</v>
      </c>
      <c r="B1454" s="29">
        <v>1251758.0</v>
      </c>
      <c r="C1454" s="30" t="str">
        <f t="shared" si="1"/>
        <v>+</v>
      </c>
      <c r="D1454" s="29">
        <f t="shared" si="2"/>
        <v>484</v>
      </c>
      <c r="E1454" s="30"/>
      <c r="F1454" s="30"/>
      <c r="G1454" s="30"/>
      <c r="H1454" s="30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0"/>
      <c r="Z1454" s="30"/>
      <c r="AA1454" s="30"/>
    </row>
    <row r="1455">
      <c r="A1455" s="29">
        <v>1251755.0</v>
      </c>
      <c r="B1455" s="29">
        <v>1252129.0</v>
      </c>
      <c r="C1455" s="30" t="str">
        <f t="shared" si="1"/>
        <v>+</v>
      </c>
      <c r="D1455" s="29">
        <f t="shared" si="2"/>
        <v>484</v>
      </c>
      <c r="E1455" s="30"/>
      <c r="F1455" s="30"/>
      <c r="G1455" s="30"/>
      <c r="H1455" s="30"/>
      <c r="I1455" s="30"/>
      <c r="J1455" s="30"/>
      <c r="K1455" s="30"/>
      <c r="L1455" s="30"/>
      <c r="M1455" s="30"/>
      <c r="N1455" s="30"/>
      <c r="O1455" s="30"/>
      <c r="P1455" s="30"/>
      <c r="Q1455" s="30"/>
      <c r="R1455" s="30"/>
      <c r="S1455" s="30"/>
      <c r="T1455" s="30"/>
      <c r="U1455" s="30"/>
      <c r="V1455" s="30"/>
      <c r="W1455" s="30"/>
      <c r="X1455" s="30"/>
      <c r="Y1455" s="30"/>
      <c r="Z1455" s="30"/>
      <c r="AA1455" s="30"/>
    </row>
    <row r="1456">
      <c r="A1456" s="29">
        <v>1252231.0</v>
      </c>
      <c r="B1456" s="29">
        <v>1252806.0</v>
      </c>
      <c r="C1456" s="30" t="str">
        <f t="shared" si="1"/>
        <v>+</v>
      </c>
      <c r="D1456" s="29">
        <f t="shared" si="2"/>
        <v>484</v>
      </c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0"/>
      <c r="X1456" s="30"/>
      <c r="Y1456" s="30"/>
      <c r="Z1456" s="30"/>
      <c r="AA1456" s="30"/>
    </row>
    <row r="1457">
      <c r="A1457" s="29">
        <v>1252790.0</v>
      </c>
      <c r="B1457" s="29">
        <v>1253338.0</v>
      </c>
      <c r="C1457" s="30" t="str">
        <f t="shared" si="1"/>
        <v>+</v>
      </c>
      <c r="D1457" s="29">
        <f t="shared" si="2"/>
        <v>484</v>
      </c>
      <c r="E1457" s="30"/>
      <c r="F1457" s="30"/>
      <c r="G1457" s="30"/>
      <c r="H1457" s="30"/>
      <c r="I1457" s="30"/>
      <c r="J1457" s="30"/>
      <c r="K1457" s="30"/>
      <c r="L1457" s="30"/>
      <c r="M1457" s="30"/>
      <c r="N1457" s="30"/>
      <c r="O1457" s="30"/>
      <c r="P1457" s="30"/>
      <c r="Q1457" s="30"/>
      <c r="R1457" s="30"/>
      <c r="S1457" s="30"/>
      <c r="T1457" s="30"/>
      <c r="U1457" s="30"/>
      <c r="V1457" s="30"/>
      <c r="W1457" s="30"/>
      <c r="X1457" s="30"/>
      <c r="Y1457" s="30"/>
      <c r="Z1457" s="30"/>
      <c r="AA1457" s="30"/>
    </row>
    <row r="1458">
      <c r="A1458" s="29">
        <v>1253335.0</v>
      </c>
      <c r="B1458" s="29">
        <v>1254465.0</v>
      </c>
      <c r="C1458" s="30" t="str">
        <f t="shared" si="1"/>
        <v>+</v>
      </c>
      <c r="D1458" s="29">
        <f t="shared" si="2"/>
        <v>484</v>
      </c>
      <c r="E1458" s="30"/>
      <c r="F1458" s="30"/>
      <c r="G1458" s="30"/>
      <c r="H1458" s="30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0"/>
      <c r="X1458" s="30"/>
      <c r="Y1458" s="30"/>
      <c r="Z1458" s="30"/>
      <c r="AA1458" s="30"/>
    </row>
    <row r="1459">
      <c r="A1459" s="29">
        <v>1254456.0</v>
      </c>
      <c r="B1459" s="29">
        <v>1255619.0</v>
      </c>
      <c r="C1459" s="30" t="str">
        <f t="shared" si="1"/>
        <v>+</v>
      </c>
      <c r="D1459" s="29">
        <f t="shared" si="2"/>
        <v>484</v>
      </c>
      <c r="E1459" s="30"/>
      <c r="F1459" s="30"/>
      <c r="G1459" s="30"/>
      <c r="H1459" s="30"/>
      <c r="I1459" s="30"/>
      <c r="J1459" s="30"/>
      <c r="K1459" s="30"/>
      <c r="L1459" s="30"/>
      <c r="M1459" s="30"/>
      <c r="N1459" s="30"/>
      <c r="O1459" s="30"/>
      <c r="P1459" s="30"/>
      <c r="Q1459" s="30"/>
      <c r="R1459" s="30"/>
      <c r="S1459" s="30"/>
      <c r="T1459" s="30"/>
      <c r="U1459" s="30"/>
      <c r="V1459" s="30"/>
      <c r="W1459" s="30"/>
      <c r="X1459" s="30"/>
      <c r="Y1459" s="30"/>
      <c r="Z1459" s="30"/>
      <c r="AA1459" s="30"/>
    </row>
    <row r="1460">
      <c r="A1460" s="29">
        <v>1255600.0</v>
      </c>
      <c r="B1460" s="29">
        <v>1256193.0</v>
      </c>
      <c r="C1460" s="30" t="str">
        <f t="shared" si="1"/>
        <v>+</v>
      </c>
      <c r="D1460" s="29">
        <f t="shared" si="2"/>
        <v>484</v>
      </c>
      <c r="E1460" s="30"/>
      <c r="F1460" s="30"/>
      <c r="G1460" s="30"/>
      <c r="H1460" s="30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0"/>
      <c r="X1460" s="30"/>
      <c r="Y1460" s="30"/>
      <c r="Z1460" s="30"/>
      <c r="AA1460" s="30"/>
    </row>
    <row r="1461">
      <c r="A1461" s="29">
        <v>1256228.0</v>
      </c>
      <c r="B1461" s="29">
        <v>1256662.0</v>
      </c>
      <c r="C1461" s="30" t="str">
        <f t="shared" si="1"/>
        <v>+</v>
      </c>
      <c r="D1461" s="29">
        <f t="shared" si="2"/>
        <v>484</v>
      </c>
      <c r="E1461" s="30"/>
      <c r="F1461" s="30"/>
      <c r="G1461" s="30"/>
      <c r="H1461" s="30"/>
      <c r="I1461" s="30"/>
      <c r="J1461" s="30"/>
      <c r="K1461" s="30"/>
      <c r="L1461" s="30"/>
      <c r="M1461" s="30"/>
      <c r="N1461" s="30"/>
      <c r="O1461" s="30"/>
      <c r="P1461" s="30"/>
      <c r="Q1461" s="30"/>
      <c r="R1461" s="30"/>
      <c r="S1461" s="30"/>
      <c r="T1461" s="30"/>
      <c r="U1461" s="30"/>
      <c r="V1461" s="30"/>
      <c r="W1461" s="30"/>
      <c r="X1461" s="30"/>
      <c r="Y1461" s="30"/>
      <c r="Z1461" s="30"/>
      <c r="AA1461" s="30"/>
    </row>
    <row r="1462">
      <c r="A1462" s="29">
        <v>1256765.0</v>
      </c>
      <c r="B1462" s="29">
        <v>1259953.0</v>
      </c>
      <c r="C1462" s="30" t="str">
        <f t="shared" si="1"/>
        <v>+</v>
      </c>
      <c r="D1462" s="29">
        <f t="shared" si="2"/>
        <v>484</v>
      </c>
      <c r="E1462" s="30"/>
      <c r="F1462" s="30"/>
      <c r="G1462" s="30"/>
      <c r="H1462" s="30"/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0"/>
      <c r="X1462" s="30"/>
      <c r="Y1462" s="30"/>
      <c r="Z1462" s="30"/>
      <c r="AA1462" s="30"/>
    </row>
    <row r="1463">
      <c r="A1463" s="29">
        <v>1259950.0</v>
      </c>
      <c r="B1463" s="29">
        <v>1260645.0</v>
      </c>
      <c r="C1463" s="30" t="str">
        <f t="shared" si="1"/>
        <v>+</v>
      </c>
      <c r="D1463" s="29">
        <f t="shared" si="2"/>
        <v>484</v>
      </c>
      <c r="E1463" s="30"/>
      <c r="F1463" s="30"/>
      <c r="G1463" s="30"/>
      <c r="H1463" s="30"/>
      <c r="I1463" s="30"/>
      <c r="J1463" s="30"/>
      <c r="K1463" s="30"/>
      <c r="L1463" s="30"/>
      <c r="M1463" s="30"/>
      <c r="N1463" s="30"/>
      <c r="O1463" s="30"/>
      <c r="P1463" s="30"/>
      <c r="Q1463" s="30"/>
      <c r="R1463" s="30"/>
      <c r="S1463" s="30"/>
      <c r="T1463" s="30"/>
      <c r="U1463" s="30"/>
      <c r="V1463" s="30"/>
      <c r="W1463" s="30"/>
      <c r="X1463" s="30"/>
      <c r="Y1463" s="30"/>
      <c r="Z1463" s="30"/>
      <c r="AA1463" s="30"/>
    </row>
    <row r="1464">
      <c r="A1464" s="29">
        <v>1260642.0</v>
      </c>
      <c r="B1464" s="29">
        <v>1261469.0</v>
      </c>
      <c r="C1464" s="30" t="str">
        <f t="shared" si="1"/>
        <v>+</v>
      </c>
      <c r="D1464" s="29">
        <f t="shared" si="2"/>
        <v>484</v>
      </c>
      <c r="E1464" s="30"/>
      <c r="F1464" s="30"/>
      <c r="G1464" s="30"/>
      <c r="H1464" s="30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0"/>
      <c r="Z1464" s="30"/>
      <c r="AA1464" s="30"/>
    </row>
    <row r="1465">
      <c r="A1465" s="29">
        <v>1261578.0</v>
      </c>
      <c r="B1465" s="29">
        <v>1262738.0</v>
      </c>
      <c r="C1465" s="30" t="str">
        <f t="shared" si="1"/>
        <v>+</v>
      </c>
      <c r="D1465" s="29">
        <f t="shared" si="2"/>
        <v>484</v>
      </c>
      <c r="E1465" s="30"/>
      <c r="F1465" s="30"/>
      <c r="G1465" s="30"/>
      <c r="H1465" s="30"/>
      <c r="I1465" s="30"/>
      <c r="J1465" s="30"/>
      <c r="K1465" s="30"/>
      <c r="L1465" s="30"/>
      <c r="M1465" s="30"/>
      <c r="N1465" s="30"/>
      <c r="O1465" s="30"/>
      <c r="P1465" s="30"/>
      <c r="Q1465" s="30"/>
      <c r="R1465" s="30"/>
      <c r="S1465" s="30"/>
      <c r="T1465" s="30"/>
      <c r="U1465" s="30"/>
      <c r="V1465" s="30"/>
      <c r="W1465" s="30"/>
      <c r="X1465" s="30"/>
      <c r="Y1465" s="30"/>
      <c r="Z1465" s="30"/>
      <c r="AA1465" s="30"/>
    </row>
    <row r="1466">
      <c r="A1466" s="29">
        <v>1262735.0</v>
      </c>
      <c r="B1466" s="29">
        <v>1263163.0</v>
      </c>
      <c r="C1466" s="30" t="str">
        <f t="shared" si="1"/>
        <v>+</v>
      </c>
      <c r="D1466" s="29">
        <f t="shared" si="2"/>
        <v>484</v>
      </c>
      <c r="E1466" s="30"/>
      <c r="F1466" s="30"/>
      <c r="G1466" s="30"/>
      <c r="H1466" s="30"/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0"/>
      <c r="X1466" s="30"/>
      <c r="Y1466" s="30"/>
      <c r="Z1466" s="30"/>
      <c r="AA1466" s="30"/>
    </row>
    <row r="1467">
      <c r="A1467" s="29">
        <v>1263340.0</v>
      </c>
      <c r="B1467" s="29">
        <v>1264188.0</v>
      </c>
      <c r="C1467" s="30" t="str">
        <f t="shared" si="1"/>
        <v>+</v>
      </c>
      <c r="D1467" s="29">
        <f t="shared" si="2"/>
        <v>484</v>
      </c>
      <c r="E1467" s="30"/>
      <c r="F1467" s="30"/>
      <c r="G1467" s="30"/>
      <c r="H1467" s="30"/>
      <c r="I1467" s="30"/>
      <c r="J1467" s="30"/>
      <c r="K1467" s="30"/>
      <c r="L1467" s="30"/>
      <c r="M1467" s="30"/>
      <c r="N1467" s="30"/>
      <c r="O1467" s="30"/>
      <c r="P1467" s="30"/>
      <c r="Q1467" s="30"/>
      <c r="R1467" s="30"/>
      <c r="S1467" s="30"/>
      <c r="T1467" s="30"/>
      <c r="U1467" s="30"/>
      <c r="V1467" s="30"/>
      <c r="W1467" s="30"/>
      <c r="X1467" s="30"/>
      <c r="Y1467" s="30"/>
      <c r="Z1467" s="30"/>
      <c r="AA1467" s="30"/>
    </row>
    <row r="1468">
      <c r="A1468" s="29">
        <v>1264185.0</v>
      </c>
      <c r="B1468" s="29">
        <v>1264430.0</v>
      </c>
      <c r="C1468" s="30" t="str">
        <f t="shared" si="1"/>
        <v>+</v>
      </c>
      <c r="D1468" s="29">
        <f t="shared" si="2"/>
        <v>484</v>
      </c>
      <c r="E1468" s="30"/>
      <c r="F1468" s="30"/>
      <c r="G1468" s="30"/>
      <c r="H1468" s="30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0"/>
      <c r="Z1468" s="30"/>
      <c r="AA1468" s="30"/>
    </row>
    <row r="1469">
      <c r="A1469" s="29">
        <v>1264452.0</v>
      </c>
      <c r="B1469" s="29">
        <v>1265288.0</v>
      </c>
      <c r="C1469" s="30" t="str">
        <f t="shared" si="1"/>
        <v>+</v>
      </c>
      <c r="D1469" s="29">
        <f t="shared" si="2"/>
        <v>484</v>
      </c>
      <c r="E1469" s="30"/>
      <c r="F1469" s="30"/>
      <c r="G1469" s="30"/>
      <c r="H1469" s="30"/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0"/>
      <c r="Z1469" s="30"/>
      <c r="AA1469" s="30"/>
    </row>
    <row r="1470">
      <c r="A1470" s="29">
        <v>1265618.0</v>
      </c>
      <c r="B1470" s="29">
        <v>1267243.0</v>
      </c>
      <c r="C1470" s="30" t="str">
        <f t="shared" si="1"/>
        <v>+</v>
      </c>
      <c r="D1470" s="29">
        <f t="shared" si="2"/>
        <v>484</v>
      </c>
      <c r="E1470" s="30"/>
      <c r="F1470" s="30"/>
      <c r="G1470" s="30"/>
      <c r="H1470" s="30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0"/>
      <c r="X1470" s="30"/>
      <c r="Y1470" s="30"/>
      <c r="Z1470" s="30"/>
      <c r="AA1470" s="30"/>
    </row>
    <row r="1471">
      <c r="A1471" s="29">
        <v>1267337.0</v>
      </c>
      <c r="B1471" s="29">
        <v>1268968.0</v>
      </c>
      <c r="C1471" s="30" t="str">
        <f t="shared" si="1"/>
        <v>+</v>
      </c>
      <c r="D1471" s="29">
        <f t="shared" si="2"/>
        <v>484</v>
      </c>
      <c r="E1471" s="30"/>
      <c r="F1471" s="30"/>
      <c r="G1471" s="30"/>
      <c r="H1471" s="30"/>
      <c r="I1471" s="30"/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/>
      <c r="U1471" s="30"/>
      <c r="V1471" s="30"/>
      <c r="W1471" s="30"/>
      <c r="X1471" s="30"/>
      <c r="Y1471" s="30"/>
      <c r="Z1471" s="30"/>
      <c r="AA1471" s="30"/>
    </row>
    <row r="1472">
      <c r="A1472" s="29">
        <v>1268984.0</v>
      </c>
      <c r="B1472" s="29">
        <v>1270105.0</v>
      </c>
      <c r="C1472" s="30" t="str">
        <f t="shared" si="1"/>
        <v>+</v>
      </c>
      <c r="D1472" s="29">
        <f t="shared" si="2"/>
        <v>484</v>
      </c>
      <c r="E1472" s="30"/>
      <c r="F1472" s="30"/>
      <c r="G1472" s="30"/>
      <c r="H1472" s="30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0"/>
      <c r="Z1472" s="30"/>
      <c r="AA1472" s="30"/>
    </row>
    <row r="1473">
      <c r="A1473" s="29">
        <v>1270295.0</v>
      </c>
      <c r="B1473" s="29">
        <v>1270080.0</v>
      </c>
      <c r="C1473" s="30" t="str">
        <f t="shared" si="1"/>
        <v>-</v>
      </c>
      <c r="D1473" s="29">
        <f t="shared" si="2"/>
        <v>485</v>
      </c>
      <c r="E1473" s="30"/>
      <c r="F1473" s="30"/>
      <c r="G1473" s="30"/>
      <c r="H1473" s="30"/>
      <c r="I1473" s="30"/>
      <c r="J1473" s="30"/>
      <c r="K1473" s="30"/>
      <c r="L1473" s="30"/>
      <c r="M1473" s="30"/>
      <c r="N1473" s="30"/>
      <c r="O1473" s="30"/>
      <c r="P1473" s="30"/>
      <c r="Q1473" s="30"/>
      <c r="R1473" s="30"/>
      <c r="S1473" s="30"/>
      <c r="T1473" s="30"/>
      <c r="U1473" s="30"/>
      <c r="V1473" s="30"/>
      <c r="W1473" s="30"/>
      <c r="X1473" s="30"/>
      <c r="Y1473" s="30"/>
      <c r="Z1473" s="30"/>
      <c r="AA1473" s="30"/>
    </row>
    <row r="1474">
      <c r="A1474" s="29">
        <v>1270345.0</v>
      </c>
      <c r="B1474" s="29">
        <v>1270674.0</v>
      </c>
      <c r="C1474" s="30" t="str">
        <f t="shared" si="1"/>
        <v>+</v>
      </c>
      <c r="D1474" s="29">
        <f t="shared" si="2"/>
        <v>486</v>
      </c>
      <c r="E1474" s="30"/>
      <c r="F1474" s="30"/>
      <c r="G1474" s="30"/>
      <c r="H1474" s="30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0"/>
      <c r="Z1474" s="30"/>
      <c r="AA1474" s="30"/>
    </row>
    <row r="1475">
      <c r="A1475" s="29">
        <v>1270676.0</v>
      </c>
      <c r="B1475" s="29">
        <v>1270969.0</v>
      </c>
      <c r="C1475" s="30" t="str">
        <f t="shared" si="1"/>
        <v>+</v>
      </c>
      <c r="D1475" s="29">
        <f t="shared" si="2"/>
        <v>486</v>
      </c>
      <c r="E1475" s="30"/>
      <c r="F1475" s="30"/>
      <c r="G1475" s="30"/>
      <c r="H1475" s="30"/>
      <c r="I1475" s="30"/>
      <c r="J1475" s="30"/>
      <c r="K1475" s="30"/>
      <c r="L1475" s="30"/>
      <c r="M1475" s="30"/>
      <c r="N1475" s="30"/>
      <c r="O1475" s="30"/>
      <c r="P1475" s="30"/>
      <c r="Q1475" s="30"/>
      <c r="R1475" s="30"/>
      <c r="S1475" s="30"/>
      <c r="T1475" s="30"/>
      <c r="U1475" s="30"/>
      <c r="V1475" s="30"/>
      <c r="W1475" s="30"/>
      <c r="X1475" s="30"/>
      <c r="Y1475" s="30"/>
      <c r="Z1475" s="30"/>
      <c r="AA1475" s="30"/>
    </row>
    <row r="1476">
      <c r="A1476" s="29">
        <v>1271374.0</v>
      </c>
      <c r="B1476" s="29">
        <v>1271018.0</v>
      </c>
      <c r="C1476" s="30" t="str">
        <f t="shared" si="1"/>
        <v>-</v>
      </c>
      <c r="D1476" s="29">
        <f t="shared" si="2"/>
        <v>487</v>
      </c>
      <c r="E1476" s="30"/>
      <c r="F1476" s="30"/>
      <c r="G1476" s="30"/>
      <c r="H1476" s="30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0"/>
      <c r="Z1476" s="30"/>
      <c r="AA1476" s="30"/>
    </row>
    <row r="1477">
      <c r="A1477" s="29">
        <v>1271670.0</v>
      </c>
      <c r="B1477" s="29">
        <v>1271362.0</v>
      </c>
      <c r="C1477" s="30" t="str">
        <f t="shared" si="1"/>
        <v>-</v>
      </c>
      <c r="D1477" s="29">
        <f t="shared" si="2"/>
        <v>487</v>
      </c>
      <c r="E1477" s="30"/>
      <c r="F1477" s="30"/>
      <c r="G1477" s="30"/>
      <c r="H1477" s="30"/>
      <c r="I1477" s="30"/>
      <c r="J1477" s="30"/>
      <c r="K1477" s="30"/>
      <c r="L1477" s="30"/>
      <c r="M1477" s="30"/>
      <c r="N1477" s="30"/>
      <c r="O1477" s="30"/>
      <c r="P1477" s="30"/>
      <c r="Q1477" s="30"/>
      <c r="R1477" s="30"/>
      <c r="S1477" s="30"/>
      <c r="T1477" s="30"/>
      <c r="U1477" s="30"/>
      <c r="V1477" s="30"/>
      <c r="W1477" s="30"/>
      <c r="X1477" s="30"/>
      <c r="Y1477" s="30"/>
      <c r="Z1477" s="30"/>
      <c r="AA1477" s="30"/>
    </row>
    <row r="1478">
      <c r="A1478" s="29">
        <v>1271906.0</v>
      </c>
      <c r="B1478" s="29">
        <v>1271724.0</v>
      </c>
      <c r="C1478" s="30" t="str">
        <f t="shared" si="1"/>
        <v>-</v>
      </c>
      <c r="D1478" s="29">
        <f t="shared" si="2"/>
        <v>487</v>
      </c>
      <c r="E1478" s="30"/>
      <c r="F1478" s="30"/>
      <c r="G1478" s="30"/>
      <c r="H1478" s="30"/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0"/>
      <c r="Z1478" s="30"/>
      <c r="AA1478" s="30"/>
    </row>
    <row r="1479">
      <c r="A1479" s="29">
        <v>1274184.0</v>
      </c>
      <c r="B1479" s="29">
        <v>1273585.0</v>
      </c>
      <c r="C1479" s="30" t="str">
        <f t="shared" si="1"/>
        <v>-</v>
      </c>
      <c r="D1479" s="29">
        <f t="shared" si="2"/>
        <v>487</v>
      </c>
      <c r="E1479" s="30"/>
      <c r="F1479" s="30"/>
      <c r="G1479" s="30"/>
      <c r="H1479" s="30"/>
      <c r="I1479" s="30"/>
      <c r="J1479" s="30"/>
      <c r="K1479" s="30"/>
      <c r="L1479" s="30"/>
      <c r="M1479" s="30"/>
      <c r="N1479" s="30"/>
      <c r="O1479" s="30"/>
      <c r="P1479" s="30"/>
      <c r="Q1479" s="30"/>
      <c r="R1479" s="30"/>
      <c r="S1479" s="30"/>
      <c r="T1479" s="30"/>
      <c r="U1479" s="30"/>
      <c r="V1479" s="30"/>
      <c r="W1479" s="30"/>
      <c r="X1479" s="30"/>
      <c r="Y1479" s="30"/>
      <c r="Z1479" s="30"/>
      <c r="AA1479" s="30"/>
    </row>
    <row r="1480">
      <c r="A1480" s="29">
        <v>1274300.0</v>
      </c>
      <c r="B1480" s="29">
        <v>1274947.0</v>
      </c>
      <c r="C1480" s="30" t="str">
        <f t="shared" si="1"/>
        <v>+</v>
      </c>
      <c r="D1480" s="29">
        <f t="shared" si="2"/>
        <v>488</v>
      </c>
      <c r="E1480" s="30"/>
      <c r="F1480" s="30"/>
      <c r="G1480" s="30"/>
      <c r="H1480" s="30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0"/>
      <c r="Z1480" s="30"/>
      <c r="AA1480" s="30"/>
    </row>
    <row r="1481">
      <c r="A1481" s="29">
        <v>1275797.0</v>
      </c>
      <c r="B1481" s="29">
        <v>1275243.0</v>
      </c>
      <c r="C1481" s="30" t="str">
        <f t="shared" si="1"/>
        <v>-</v>
      </c>
      <c r="D1481" s="29">
        <f t="shared" si="2"/>
        <v>489</v>
      </c>
      <c r="E1481" s="30"/>
      <c r="F1481" s="30"/>
      <c r="G1481" s="30"/>
      <c r="H1481" s="30"/>
      <c r="I1481" s="30"/>
      <c r="J1481" s="30"/>
      <c r="K1481" s="30"/>
      <c r="L1481" s="30"/>
      <c r="M1481" s="30"/>
      <c r="N1481" s="30"/>
      <c r="O1481" s="30"/>
      <c r="P1481" s="30"/>
      <c r="Q1481" s="30"/>
      <c r="R1481" s="30"/>
      <c r="S1481" s="30"/>
      <c r="T1481" s="30"/>
      <c r="U1481" s="30"/>
      <c r="V1481" s="30"/>
      <c r="W1481" s="30"/>
      <c r="X1481" s="30"/>
      <c r="Y1481" s="30"/>
      <c r="Z1481" s="30"/>
      <c r="AA1481" s="30"/>
    </row>
    <row r="1482">
      <c r="A1482" s="29">
        <v>1277358.0</v>
      </c>
      <c r="B1482" s="29">
        <v>1276873.0</v>
      </c>
      <c r="C1482" s="30" t="str">
        <f t="shared" si="1"/>
        <v>-</v>
      </c>
      <c r="D1482" s="29">
        <f t="shared" si="2"/>
        <v>489</v>
      </c>
      <c r="E1482" s="30"/>
      <c r="F1482" s="30"/>
      <c r="G1482" s="30"/>
      <c r="H1482" s="30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0"/>
      <c r="X1482" s="30"/>
      <c r="Y1482" s="30"/>
      <c r="Z1482" s="30"/>
      <c r="AA1482" s="30"/>
    </row>
    <row r="1483">
      <c r="A1483" s="29">
        <v>1278005.0</v>
      </c>
      <c r="B1483" s="29">
        <v>1277520.0</v>
      </c>
      <c r="C1483" s="30" t="str">
        <f t="shared" si="1"/>
        <v>-</v>
      </c>
      <c r="D1483" s="29">
        <f t="shared" si="2"/>
        <v>489</v>
      </c>
      <c r="E1483" s="30"/>
      <c r="F1483" s="30"/>
      <c r="G1483" s="30"/>
      <c r="H1483" s="30"/>
      <c r="I1483" s="30"/>
      <c r="J1483" s="30"/>
      <c r="K1483" s="30"/>
      <c r="L1483" s="30"/>
      <c r="M1483" s="30"/>
      <c r="N1483" s="30"/>
      <c r="O1483" s="30"/>
      <c r="P1483" s="30"/>
      <c r="Q1483" s="30"/>
      <c r="R1483" s="30"/>
      <c r="S1483" s="30"/>
      <c r="T1483" s="30"/>
      <c r="U1483" s="30"/>
      <c r="V1483" s="30"/>
      <c r="W1483" s="30"/>
      <c r="X1483" s="30"/>
      <c r="Y1483" s="30"/>
      <c r="Z1483" s="30"/>
      <c r="AA1483" s="30"/>
    </row>
    <row r="1484">
      <c r="A1484" s="29">
        <v>1278980.0</v>
      </c>
      <c r="B1484" s="29">
        <v>1278447.0</v>
      </c>
      <c r="C1484" s="30" t="str">
        <f t="shared" si="1"/>
        <v>-</v>
      </c>
      <c r="D1484" s="29">
        <f t="shared" si="2"/>
        <v>489</v>
      </c>
      <c r="E1484" s="30"/>
      <c r="F1484" s="30"/>
      <c r="G1484" s="30"/>
      <c r="H1484" s="30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0"/>
      <c r="Z1484" s="30"/>
      <c r="AA1484" s="30"/>
    </row>
    <row r="1485">
      <c r="A1485" s="29">
        <v>1279605.0</v>
      </c>
      <c r="B1485" s="29">
        <v>1278991.0</v>
      </c>
      <c r="C1485" s="30" t="str">
        <f t="shared" si="1"/>
        <v>-</v>
      </c>
      <c r="D1485" s="29">
        <f t="shared" si="2"/>
        <v>489</v>
      </c>
      <c r="E1485" s="30"/>
      <c r="F1485" s="30"/>
      <c r="G1485" s="30"/>
      <c r="H1485" s="30"/>
      <c r="I1485" s="30"/>
      <c r="J1485" s="30"/>
      <c r="K1485" s="30"/>
      <c r="L1485" s="30"/>
      <c r="M1485" s="30"/>
      <c r="N1485" s="30"/>
      <c r="O1485" s="30"/>
      <c r="P1485" s="30"/>
      <c r="Q1485" s="30"/>
      <c r="R1485" s="30"/>
      <c r="S1485" s="30"/>
      <c r="T1485" s="30"/>
      <c r="U1485" s="30"/>
      <c r="V1485" s="30"/>
      <c r="W1485" s="30"/>
      <c r="X1485" s="30"/>
      <c r="Y1485" s="30"/>
      <c r="Z1485" s="30"/>
      <c r="AA1485" s="30"/>
    </row>
    <row r="1486">
      <c r="A1486" s="29">
        <v>1279954.0</v>
      </c>
      <c r="B1486" s="29">
        <v>1279589.0</v>
      </c>
      <c r="C1486" s="30" t="str">
        <f t="shared" si="1"/>
        <v>-</v>
      </c>
      <c r="D1486" s="29">
        <f t="shared" si="2"/>
        <v>489</v>
      </c>
      <c r="E1486" s="30"/>
      <c r="F1486" s="30"/>
      <c r="G1486" s="30"/>
      <c r="H1486" s="30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0"/>
      <c r="X1486" s="30"/>
      <c r="Y1486" s="30"/>
      <c r="Z1486" s="30"/>
      <c r="AA1486" s="30"/>
    </row>
    <row r="1487">
      <c r="A1487" s="29">
        <v>1280342.0</v>
      </c>
      <c r="B1487" s="29">
        <v>1280055.0</v>
      </c>
      <c r="C1487" s="30" t="str">
        <f t="shared" si="1"/>
        <v>-</v>
      </c>
      <c r="D1487" s="29">
        <f t="shared" si="2"/>
        <v>489</v>
      </c>
      <c r="E1487" s="30"/>
      <c r="F1487" s="30"/>
      <c r="G1487" s="30"/>
      <c r="H1487" s="30"/>
      <c r="I1487" s="30"/>
      <c r="J1487" s="30"/>
      <c r="K1487" s="30"/>
      <c r="L1487" s="30"/>
      <c r="M1487" s="30"/>
      <c r="N1487" s="30"/>
      <c r="O1487" s="30"/>
      <c r="P1487" s="30"/>
      <c r="Q1487" s="30"/>
      <c r="R1487" s="30"/>
      <c r="S1487" s="30"/>
      <c r="T1487" s="30"/>
      <c r="U1487" s="30"/>
      <c r="V1487" s="30"/>
      <c r="W1487" s="30"/>
      <c r="X1487" s="30"/>
      <c r="Y1487" s="30"/>
      <c r="Z1487" s="30"/>
      <c r="AA1487" s="30"/>
    </row>
    <row r="1488">
      <c r="A1488" s="29">
        <v>1281547.0</v>
      </c>
      <c r="B1488" s="29">
        <v>1280339.0</v>
      </c>
      <c r="C1488" s="30" t="str">
        <f t="shared" si="1"/>
        <v>-</v>
      </c>
      <c r="D1488" s="29">
        <f t="shared" si="2"/>
        <v>489</v>
      </c>
      <c r="E1488" s="30"/>
      <c r="F1488" s="30"/>
      <c r="G1488" s="30"/>
      <c r="H1488" s="30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0"/>
      <c r="X1488" s="30"/>
      <c r="Y1488" s="30"/>
      <c r="Z1488" s="30"/>
      <c r="AA1488" s="30"/>
    </row>
    <row r="1489">
      <c r="A1489" s="29">
        <v>1282618.0</v>
      </c>
      <c r="B1489" s="29">
        <v>1281602.0</v>
      </c>
      <c r="C1489" s="30" t="str">
        <f t="shared" si="1"/>
        <v>-</v>
      </c>
      <c r="D1489" s="29">
        <f t="shared" si="2"/>
        <v>489</v>
      </c>
      <c r="E1489" s="30"/>
      <c r="F1489" s="30"/>
      <c r="G1489" s="30"/>
      <c r="H1489" s="30"/>
      <c r="I1489" s="30"/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0"/>
      <c r="X1489" s="30"/>
      <c r="Y1489" s="30"/>
      <c r="Z1489" s="30"/>
      <c r="AA1489" s="30"/>
    </row>
    <row r="1490">
      <c r="A1490" s="29">
        <v>1282696.0</v>
      </c>
      <c r="B1490" s="29">
        <v>1282959.0</v>
      </c>
      <c r="C1490" s="30" t="str">
        <f t="shared" si="1"/>
        <v>+</v>
      </c>
      <c r="D1490" s="29">
        <f t="shared" si="2"/>
        <v>490</v>
      </c>
      <c r="E1490" s="30"/>
      <c r="F1490" s="30"/>
      <c r="G1490" s="30"/>
      <c r="H1490" s="30"/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0"/>
      <c r="X1490" s="30"/>
      <c r="Y1490" s="30"/>
      <c r="Z1490" s="30"/>
      <c r="AA1490" s="30"/>
    </row>
    <row r="1491">
      <c r="A1491" s="29">
        <v>1282956.0</v>
      </c>
      <c r="B1491" s="29">
        <v>1283285.0</v>
      </c>
      <c r="C1491" s="30" t="str">
        <f t="shared" si="1"/>
        <v>+</v>
      </c>
      <c r="D1491" s="29">
        <f t="shared" si="2"/>
        <v>490</v>
      </c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  <c r="O1491" s="30"/>
      <c r="P1491" s="30"/>
      <c r="Q1491" s="30"/>
      <c r="R1491" s="30"/>
      <c r="S1491" s="30"/>
      <c r="T1491" s="30"/>
      <c r="U1491" s="30"/>
      <c r="V1491" s="30"/>
      <c r="W1491" s="30"/>
      <c r="X1491" s="30"/>
      <c r="Y1491" s="30"/>
      <c r="Z1491" s="30"/>
      <c r="AA1491" s="30"/>
    </row>
    <row r="1492">
      <c r="A1492" s="29">
        <v>1284157.0</v>
      </c>
      <c r="B1492" s="29">
        <v>1283282.0</v>
      </c>
      <c r="C1492" s="30" t="str">
        <f t="shared" si="1"/>
        <v>-</v>
      </c>
      <c r="D1492" s="29">
        <f t="shared" si="2"/>
        <v>491</v>
      </c>
      <c r="E1492" s="30"/>
      <c r="F1492" s="30"/>
      <c r="G1492" s="30"/>
      <c r="H1492" s="30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0"/>
      <c r="Z1492" s="30"/>
      <c r="AA1492" s="30"/>
    </row>
    <row r="1493">
      <c r="A1493" s="29">
        <v>1284211.0</v>
      </c>
      <c r="B1493" s="29">
        <v>1285857.0</v>
      </c>
      <c r="C1493" s="30" t="str">
        <f t="shared" si="1"/>
        <v>+</v>
      </c>
      <c r="D1493" s="29">
        <f t="shared" si="2"/>
        <v>492</v>
      </c>
      <c r="E1493" s="30"/>
      <c r="F1493" s="30"/>
      <c r="G1493" s="30"/>
      <c r="H1493" s="30"/>
      <c r="I1493" s="30"/>
      <c r="J1493" s="30"/>
      <c r="K1493" s="30"/>
      <c r="L1493" s="30"/>
      <c r="M1493" s="30"/>
      <c r="N1493" s="30"/>
      <c r="O1493" s="30"/>
      <c r="P1493" s="30"/>
      <c r="Q1493" s="30"/>
      <c r="R1493" s="30"/>
      <c r="S1493" s="30"/>
      <c r="T1493" s="30"/>
      <c r="U1493" s="30"/>
      <c r="V1493" s="30"/>
      <c r="W1493" s="30"/>
      <c r="X1493" s="30"/>
      <c r="Y1493" s="30"/>
      <c r="Z1493" s="30"/>
      <c r="AA1493" s="30"/>
    </row>
    <row r="1494">
      <c r="A1494" s="29">
        <v>1286113.0</v>
      </c>
      <c r="B1494" s="29">
        <v>1285808.0</v>
      </c>
      <c r="C1494" s="30" t="str">
        <f t="shared" si="1"/>
        <v>-</v>
      </c>
      <c r="D1494" s="29">
        <f t="shared" si="2"/>
        <v>493</v>
      </c>
      <c r="E1494" s="30"/>
      <c r="F1494" s="30"/>
      <c r="G1494" s="30"/>
      <c r="H1494" s="30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0"/>
      <c r="Z1494" s="30"/>
      <c r="AA1494" s="30"/>
    </row>
    <row r="1495">
      <c r="A1495" s="29">
        <v>1286205.0</v>
      </c>
      <c r="B1495" s="29">
        <v>1286098.0</v>
      </c>
      <c r="C1495" s="30" t="str">
        <f t="shared" si="1"/>
        <v>-</v>
      </c>
      <c r="D1495" s="29">
        <f t="shared" si="2"/>
        <v>493</v>
      </c>
      <c r="E1495" s="30"/>
      <c r="F1495" s="30"/>
      <c r="G1495" s="30"/>
      <c r="H1495" s="30"/>
      <c r="I1495" s="30"/>
      <c r="J1495" s="30"/>
      <c r="K1495" s="30"/>
      <c r="L1495" s="30"/>
      <c r="M1495" s="30"/>
      <c r="N1495" s="30"/>
      <c r="O1495" s="30"/>
      <c r="P1495" s="30"/>
      <c r="Q1495" s="30"/>
      <c r="R1495" s="30"/>
      <c r="S1495" s="30"/>
      <c r="T1495" s="30"/>
      <c r="U1495" s="30"/>
      <c r="V1495" s="30"/>
      <c r="W1495" s="30"/>
      <c r="X1495" s="30"/>
      <c r="Y1495" s="30"/>
      <c r="Z1495" s="30"/>
      <c r="AA1495" s="30"/>
    </row>
    <row r="1496">
      <c r="A1496" s="29">
        <v>1286769.0</v>
      </c>
      <c r="B1496" s="29">
        <v>1286428.0</v>
      </c>
      <c r="C1496" s="30" t="str">
        <f t="shared" si="1"/>
        <v>-</v>
      </c>
      <c r="D1496" s="29">
        <f t="shared" si="2"/>
        <v>493</v>
      </c>
      <c r="E1496" s="30"/>
      <c r="F1496" s="30"/>
      <c r="G1496" s="30"/>
      <c r="H1496" s="30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0"/>
      <c r="X1496" s="30"/>
      <c r="Y1496" s="30"/>
      <c r="Z1496" s="30"/>
      <c r="AA1496" s="30"/>
    </row>
    <row r="1497">
      <c r="A1497" s="29">
        <v>1286799.0</v>
      </c>
      <c r="B1497" s="29">
        <v>1287287.0</v>
      </c>
      <c r="C1497" s="30" t="str">
        <f t="shared" si="1"/>
        <v>+</v>
      </c>
      <c r="D1497" s="29">
        <f t="shared" si="2"/>
        <v>494</v>
      </c>
      <c r="E1497" s="30"/>
      <c r="F1497" s="30"/>
      <c r="G1497" s="30"/>
      <c r="H1497" s="30"/>
      <c r="I1497" s="30"/>
      <c r="J1497" s="30"/>
      <c r="K1497" s="30"/>
      <c r="L1497" s="30"/>
      <c r="M1497" s="30"/>
      <c r="N1497" s="30"/>
      <c r="O1497" s="30"/>
      <c r="P1497" s="30"/>
      <c r="Q1497" s="30"/>
      <c r="R1497" s="30"/>
      <c r="S1497" s="30"/>
      <c r="T1497" s="30"/>
      <c r="U1497" s="30"/>
      <c r="V1497" s="30"/>
      <c r="W1497" s="30"/>
      <c r="X1497" s="30"/>
      <c r="Y1497" s="30"/>
      <c r="Z1497" s="30"/>
      <c r="AA1497" s="30"/>
    </row>
    <row r="1498">
      <c r="A1498" s="29">
        <v>1287284.0</v>
      </c>
      <c r="B1498" s="29">
        <v>1287754.0</v>
      </c>
      <c r="C1498" s="30" t="str">
        <f t="shared" si="1"/>
        <v>+</v>
      </c>
      <c r="D1498" s="29">
        <f t="shared" si="2"/>
        <v>494</v>
      </c>
      <c r="E1498" s="30"/>
      <c r="F1498" s="30"/>
      <c r="G1498" s="30"/>
      <c r="H1498" s="30"/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0"/>
      <c r="Z1498" s="30"/>
      <c r="AA1498" s="30"/>
    </row>
    <row r="1499">
      <c r="A1499" s="29">
        <v>1287751.0</v>
      </c>
      <c r="B1499" s="29">
        <v>1288398.0</v>
      </c>
      <c r="C1499" s="30" t="str">
        <f t="shared" si="1"/>
        <v>+</v>
      </c>
      <c r="D1499" s="29">
        <f t="shared" si="2"/>
        <v>494</v>
      </c>
      <c r="E1499" s="30"/>
      <c r="F1499" s="30"/>
      <c r="G1499" s="30"/>
      <c r="H1499" s="30"/>
      <c r="I1499" s="30"/>
      <c r="J1499" s="30"/>
      <c r="K1499" s="30"/>
      <c r="L1499" s="30"/>
      <c r="M1499" s="30"/>
      <c r="N1499" s="30"/>
      <c r="O1499" s="30"/>
      <c r="P1499" s="30"/>
      <c r="Q1499" s="30"/>
      <c r="R1499" s="30"/>
      <c r="S1499" s="30"/>
      <c r="T1499" s="30"/>
      <c r="U1499" s="30"/>
      <c r="V1499" s="30"/>
      <c r="W1499" s="30"/>
      <c r="X1499" s="30"/>
      <c r="Y1499" s="30"/>
      <c r="Z1499" s="30"/>
      <c r="AA1499" s="30"/>
    </row>
    <row r="1500">
      <c r="A1500" s="29">
        <v>1288670.0</v>
      </c>
      <c r="B1500" s="29">
        <v>1288876.0</v>
      </c>
      <c r="C1500" s="30" t="str">
        <f t="shared" si="1"/>
        <v>+</v>
      </c>
      <c r="D1500" s="29">
        <f t="shared" si="2"/>
        <v>494</v>
      </c>
      <c r="E1500" s="30"/>
      <c r="F1500" s="30"/>
      <c r="G1500" s="30"/>
      <c r="H1500" s="30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0"/>
      <c r="X1500" s="30"/>
      <c r="Y1500" s="30"/>
      <c r="Z1500" s="30"/>
      <c r="AA1500" s="30"/>
    </row>
    <row r="1501">
      <c r="A1501" s="29">
        <v>1288873.0</v>
      </c>
      <c r="B1501" s="29">
        <v>1289385.0</v>
      </c>
      <c r="C1501" s="30" t="str">
        <f t="shared" si="1"/>
        <v>+</v>
      </c>
      <c r="D1501" s="29">
        <f t="shared" si="2"/>
        <v>494</v>
      </c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  <c r="O1501" s="30"/>
      <c r="P1501" s="30"/>
      <c r="Q1501" s="30"/>
      <c r="R1501" s="30"/>
      <c r="S1501" s="30"/>
      <c r="T1501" s="30"/>
      <c r="U1501" s="30"/>
      <c r="V1501" s="30"/>
      <c r="W1501" s="30"/>
      <c r="X1501" s="30"/>
      <c r="Y1501" s="30"/>
      <c r="Z1501" s="30"/>
      <c r="AA1501" s="30"/>
    </row>
    <row r="1502">
      <c r="A1502" s="29">
        <v>1289623.0</v>
      </c>
      <c r="B1502" s="29">
        <v>1290075.0</v>
      </c>
      <c r="C1502" s="30" t="str">
        <f t="shared" si="1"/>
        <v>+</v>
      </c>
      <c r="D1502" s="29">
        <f t="shared" si="2"/>
        <v>494</v>
      </c>
      <c r="E1502" s="30"/>
      <c r="F1502" s="30"/>
      <c r="G1502" s="30"/>
      <c r="H1502" s="30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0"/>
      <c r="X1502" s="30"/>
      <c r="Y1502" s="30"/>
      <c r="Z1502" s="30"/>
      <c r="AA1502" s="30"/>
    </row>
    <row r="1503">
      <c r="A1503" s="29">
        <v>1290670.0</v>
      </c>
      <c r="B1503" s="29">
        <v>1291677.0</v>
      </c>
      <c r="C1503" s="30" t="str">
        <f t="shared" si="1"/>
        <v>+</v>
      </c>
      <c r="D1503" s="29">
        <f t="shared" si="2"/>
        <v>494</v>
      </c>
      <c r="E1503" s="30"/>
      <c r="F1503" s="30"/>
      <c r="G1503" s="30"/>
      <c r="H1503" s="30"/>
      <c r="I1503" s="30"/>
      <c r="J1503" s="30"/>
      <c r="K1503" s="30"/>
      <c r="L1503" s="30"/>
      <c r="M1503" s="30"/>
      <c r="N1503" s="30"/>
      <c r="O1503" s="30"/>
      <c r="P1503" s="30"/>
      <c r="Q1503" s="30"/>
      <c r="R1503" s="30"/>
      <c r="S1503" s="30"/>
      <c r="T1503" s="30"/>
      <c r="U1503" s="30"/>
      <c r="V1503" s="30"/>
      <c r="W1503" s="30"/>
      <c r="X1503" s="30"/>
      <c r="Y1503" s="30"/>
      <c r="Z1503" s="30"/>
      <c r="AA1503" s="30"/>
    </row>
    <row r="1504">
      <c r="A1504" s="29">
        <v>1292227.0</v>
      </c>
      <c r="B1504" s="29">
        <v>1292733.0</v>
      </c>
      <c r="C1504" s="30" t="str">
        <f t="shared" si="1"/>
        <v>+</v>
      </c>
      <c r="D1504" s="29">
        <f t="shared" si="2"/>
        <v>494</v>
      </c>
      <c r="E1504" s="30"/>
      <c r="F1504" s="30"/>
      <c r="G1504" s="30"/>
      <c r="H1504" s="30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0"/>
      <c r="X1504" s="30"/>
      <c r="Y1504" s="30"/>
      <c r="Z1504" s="30"/>
      <c r="AA1504" s="30"/>
    </row>
    <row r="1505">
      <c r="A1505" s="29">
        <v>1293853.0</v>
      </c>
      <c r="B1505" s="29">
        <v>1292798.0</v>
      </c>
      <c r="C1505" s="30" t="str">
        <f t="shared" si="1"/>
        <v>-</v>
      </c>
      <c r="D1505" s="29">
        <f t="shared" si="2"/>
        <v>495</v>
      </c>
      <c r="E1505" s="30"/>
      <c r="F1505" s="30"/>
      <c r="G1505" s="30"/>
      <c r="H1505" s="30"/>
      <c r="I1505" s="30"/>
      <c r="J1505" s="30"/>
      <c r="K1505" s="30"/>
      <c r="L1505" s="30"/>
      <c r="M1505" s="30"/>
      <c r="N1505" s="30"/>
      <c r="O1505" s="30"/>
      <c r="P1505" s="30"/>
      <c r="Q1505" s="30"/>
      <c r="R1505" s="30"/>
      <c r="S1505" s="30"/>
      <c r="T1505" s="30"/>
      <c r="U1505" s="30"/>
      <c r="V1505" s="30"/>
      <c r="W1505" s="30"/>
      <c r="X1505" s="30"/>
      <c r="Y1505" s="30"/>
      <c r="Z1505" s="30"/>
      <c r="AA1505" s="30"/>
    </row>
    <row r="1506">
      <c r="A1506" s="29">
        <v>1293896.0</v>
      </c>
      <c r="B1506" s="29">
        <v>1294732.0</v>
      </c>
      <c r="C1506" s="30" t="str">
        <f t="shared" si="1"/>
        <v>+</v>
      </c>
      <c r="D1506" s="29">
        <f t="shared" si="2"/>
        <v>496</v>
      </c>
      <c r="E1506" s="30"/>
      <c r="F1506" s="30"/>
      <c r="G1506" s="30"/>
      <c r="H1506" s="30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0"/>
      <c r="Z1506" s="30"/>
      <c r="AA1506" s="30"/>
    </row>
    <row r="1507">
      <c r="A1507" s="29">
        <v>1294710.0</v>
      </c>
      <c r="B1507" s="29">
        <v>1295762.0</v>
      </c>
      <c r="C1507" s="30" t="str">
        <f t="shared" si="1"/>
        <v>+</v>
      </c>
      <c r="D1507" s="29">
        <f t="shared" si="2"/>
        <v>496</v>
      </c>
      <c r="E1507" s="30"/>
      <c r="F1507" s="30"/>
      <c r="G1507" s="30"/>
      <c r="H1507" s="30"/>
      <c r="I1507" s="30"/>
      <c r="J1507" s="30"/>
      <c r="K1507" s="30"/>
      <c r="L1507" s="30"/>
      <c r="M1507" s="30"/>
      <c r="N1507" s="30"/>
      <c r="O1507" s="30"/>
      <c r="P1507" s="30"/>
      <c r="Q1507" s="30"/>
      <c r="R1507" s="30"/>
      <c r="S1507" s="30"/>
      <c r="T1507" s="30"/>
      <c r="U1507" s="30"/>
      <c r="V1507" s="30"/>
      <c r="W1507" s="30"/>
      <c r="X1507" s="30"/>
      <c r="Y1507" s="30"/>
      <c r="Z1507" s="30"/>
      <c r="AA1507" s="30"/>
    </row>
    <row r="1508">
      <c r="A1508" s="29">
        <v>1296006.0</v>
      </c>
      <c r="B1508" s="29">
        <v>1296569.0</v>
      </c>
      <c r="C1508" s="30" t="str">
        <f t="shared" si="1"/>
        <v>+</v>
      </c>
      <c r="D1508" s="29">
        <f t="shared" si="2"/>
        <v>496</v>
      </c>
      <c r="E1508" s="30"/>
      <c r="F1508" s="30"/>
      <c r="G1508" s="30"/>
      <c r="H1508" s="30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0"/>
      <c r="Z1508" s="30"/>
      <c r="AA1508" s="30"/>
    </row>
    <row r="1509">
      <c r="A1509" s="29">
        <v>1296626.0</v>
      </c>
      <c r="B1509" s="29">
        <v>1297030.0</v>
      </c>
      <c r="C1509" s="30" t="str">
        <f t="shared" si="1"/>
        <v>+</v>
      </c>
      <c r="D1509" s="29">
        <f t="shared" si="2"/>
        <v>496</v>
      </c>
      <c r="E1509" s="30"/>
      <c r="F1509" s="30"/>
      <c r="G1509" s="30"/>
      <c r="H1509" s="30"/>
      <c r="I1509" s="30"/>
      <c r="J1509" s="30"/>
      <c r="K1509" s="30"/>
      <c r="L1509" s="30"/>
      <c r="M1509" s="30"/>
      <c r="N1509" s="30"/>
      <c r="O1509" s="30"/>
      <c r="P1509" s="30"/>
      <c r="Q1509" s="30"/>
      <c r="R1509" s="30"/>
      <c r="S1509" s="30"/>
      <c r="T1509" s="30"/>
      <c r="U1509" s="30"/>
      <c r="V1509" s="30"/>
      <c r="W1509" s="30"/>
      <c r="X1509" s="30"/>
      <c r="Y1509" s="30"/>
      <c r="Z1509" s="30"/>
      <c r="AA1509" s="30"/>
    </row>
    <row r="1510">
      <c r="A1510" s="29">
        <v>1299008.0</v>
      </c>
      <c r="B1510" s="29">
        <v>1298136.0</v>
      </c>
      <c r="C1510" s="30" t="str">
        <f t="shared" si="1"/>
        <v>-</v>
      </c>
      <c r="D1510" s="29">
        <f t="shared" si="2"/>
        <v>497</v>
      </c>
      <c r="E1510" s="30"/>
      <c r="F1510" s="30"/>
      <c r="G1510" s="30"/>
      <c r="H1510" s="30"/>
      <c r="I1510" s="30"/>
      <c r="J1510" s="30"/>
      <c r="K1510" s="30"/>
      <c r="L1510" s="30"/>
      <c r="M1510" s="30"/>
      <c r="N1510" s="30"/>
      <c r="O1510" s="30"/>
      <c r="P1510" s="30"/>
      <c r="Q1510" s="30"/>
      <c r="R1510" s="30"/>
      <c r="S1510" s="30"/>
      <c r="T1510" s="30"/>
      <c r="U1510" s="30"/>
      <c r="V1510" s="30"/>
      <c r="W1510" s="30"/>
      <c r="X1510" s="30"/>
      <c r="Y1510" s="30"/>
      <c r="Z1510" s="30"/>
      <c r="AA1510" s="30"/>
    </row>
    <row r="1511">
      <c r="A1511" s="29">
        <v>1300239.0</v>
      </c>
      <c r="B1511" s="29">
        <v>1300964.0</v>
      </c>
      <c r="C1511" s="30" t="str">
        <f t="shared" si="1"/>
        <v>+</v>
      </c>
      <c r="D1511" s="29">
        <f t="shared" si="2"/>
        <v>498</v>
      </c>
      <c r="E1511" s="30"/>
      <c r="F1511" s="30"/>
      <c r="G1511" s="30"/>
      <c r="H1511" s="30"/>
      <c r="I1511" s="30"/>
      <c r="J1511" s="30"/>
      <c r="K1511" s="30"/>
      <c r="L1511" s="30"/>
      <c r="M1511" s="30"/>
      <c r="N1511" s="30"/>
      <c r="O1511" s="30"/>
      <c r="P1511" s="30"/>
      <c r="Q1511" s="30"/>
      <c r="R1511" s="30"/>
      <c r="S1511" s="30"/>
      <c r="T1511" s="30"/>
      <c r="U1511" s="30"/>
      <c r="V1511" s="30"/>
      <c r="W1511" s="30"/>
      <c r="X1511" s="30"/>
      <c r="Y1511" s="30"/>
      <c r="Z1511" s="30"/>
      <c r="AA1511" s="30"/>
    </row>
    <row r="1512">
      <c r="A1512" s="29">
        <v>1302302.0</v>
      </c>
      <c r="B1512" s="29">
        <v>1300953.0</v>
      </c>
      <c r="C1512" s="30" t="str">
        <f t="shared" si="1"/>
        <v>-</v>
      </c>
      <c r="D1512" s="29">
        <f t="shared" si="2"/>
        <v>499</v>
      </c>
      <c r="E1512" s="30"/>
      <c r="F1512" s="30"/>
      <c r="G1512" s="30"/>
      <c r="H1512" s="30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  <c r="U1512" s="30"/>
      <c r="V1512" s="30"/>
      <c r="W1512" s="30"/>
      <c r="X1512" s="30"/>
      <c r="Y1512" s="30"/>
      <c r="Z1512" s="30"/>
      <c r="AA1512" s="30"/>
    </row>
    <row r="1513">
      <c r="A1513" s="29">
        <v>1302996.0</v>
      </c>
      <c r="B1513" s="29">
        <v>1302337.0</v>
      </c>
      <c r="C1513" s="30" t="str">
        <f t="shared" si="1"/>
        <v>-</v>
      </c>
      <c r="D1513" s="29">
        <f t="shared" si="2"/>
        <v>499</v>
      </c>
      <c r="E1513" s="30"/>
      <c r="F1513" s="30"/>
      <c r="G1513" s="30"/>
      <c r="H1513" s="30"/>
      <c r="I1513" s="30"/>
      <c r="J1513" s="30"/>
      <c r="K1513" s="30"/>
      <c r="L1513" s="30"/>
      <c r="M1513" s="30"/>
      <c r="N1513" s="30"/>
      <c r="O1513" s="30"/>
      <c r="P1513" s="30"/>
      <c r="Q1513" s="30"/>
      <c r="R1513" s="30"/>
      <c r="S1513" s="30"/>
      <c r="T1513" s="30"/>
      <c r="U1513" s="30"/>
      <c r="V1513" s="30"/>
      <c r="W1513" s="30"/>
      <c r="X1513" s="30"/>
      <c r="Y1513" s="30"/>
      <c r="Z1513" s="30"/>
      <c r="AA1513" s="30"/>
    </row>
    <row r="1514">
      <c r="A1514" s="29">
        <v>1303084.0</v>
      </c>
      <c r="B1514" s="29">
        <v>1303254.0</v>
      </c>
      <c r="C1514" s="30" t="str">
        <f t="shared" si="1"/>
        <v>+</v>
      </c>
      <c r="D1514" s="29">
        <f t="shared" si="2"/>
        <v>500</v>
      </c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0"/>
      <c r="Z1514" s="30"/>
      <c r="AA1514" s="30"/>
    </row>
    <row r="1515">
      <c r="A1515" s="29">
        <v>1303274.0</v>
      </c>
      <c r="B1515" s="29">
        <v>1303546.0</v>
      </c>
      <c r="C1515" s="30" t="str">
        <f t="shared" si="1"/>
        <v>+</v>
      </c>
      <c r="D1515" s="29">
        <f t="shared" si="2"/>
        <v>500</v>
      </c>
      <c r="E1515" s="30"/>
      <c r="F1515" s="30"/>
      <c r="G1515" s="30"/>
      <c r="H1515" s="30"/>
      <c r="I1515" s="30"/>
      <c r="J1515" s="30"/>
      <c r="K1515" s="30"/>
      <c r="L1515" s="30"/>
      <c r="M1515" s="30"/>
      <c r="N1515" s="30"/>
      <c r="O1515" s="30"/>
      <c r="P1515" s="30"/>
      <c r="Q1515" s="30"/>
      <c r="R1515" s="30"/>
      <c r="S1515" s="30"/>
      <c r="T1515" s="30"/>
      <c r="U1515" s="30"/>
      <c r="V1515" s="30"/>
      <c r="W1515" s="30"/>
      <c r="X1515" s="30"/>
      <c r="Y1515" s="30"/>
      <c r="Z1515" s="30"/>
      <c r="AA1515" s="30"/>
    </row>
    <row r="1516">
      <c r="A1516" s="29">
        <v>1303792.0</v>
      </c>
      <c r="B1516" s="29">
        <v>1303529.0</v>
      </c>
      <c r="C1516" s="30" t="str">
        <f t="shared" si="1"/>
        <v>-</v>
      </c>
      <c r="D1516" s="29">
        <f t="shared" si="2"/>
        <v>501</v>
      </c>
      <c r="E1516" s="30"/>
      <c r="F1516" s="30"/>
      <c r="G1516" s="30"/>
      <c r="H1516" s="30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0"/>
      <c r="X1516" s="30"/>
      <c r="Y1516" s="30"/>
      <c r="Z1516" s="30"/>
      <c r="AA1516" s="30"/>
    </row>
    <row r="1517">
      <c r="A1517" s="29">
        <v>1305311.0</v>
      </c>
      <c r="B1517" s="29">
        <v>1304697.0</v>
      </c>
      <c r="C1517" s="30" t="str">
        <f t="shared" si="1"/>
        <v>-</v>
      </c>
      <c r="D1517" s="29">
        <f t="shared" si="2"/>
        <v>501</v>
      </c>
      <c r="E1517" s="30"/>
      <c r="F1517" s="30"/>
      <c r="G1517" s="30"/>
      <c r="H1517" s="30"/>
      <c r="I1517" s="30"/>
      <c r="J1517" s="30"/>
      <c r="K1517" s="30"/>
      <c r="L1517" s="30"/>
      <c r="M1517" s="30"/>
      <c r="N1517" s="30"/>
      <c r="O1517" s="30"/>
      <c r="P1517" s="30"/>
      <c r="Q1517" s="30"/>
      <c r="R1517" s="30"/>
      <c r="S1517" s="30"/>
      <c r="T1517" s="30"/>
      <c r="U1517" s="30"/>
      <c r="V1517" s="30"/>
      <c r="W1517" s="30"/>
      <c r="X1517" s="30"/>
      <c r="Y1517" s="30"/>
      <c r="Z1517" s="30"/>
      <c r="AA1517" s="30"/>
    </row>
    <row r="1518">
      <c r="A1518" s="29">
        <v>1306722.0</v>
      </c>
      <c r="B1518" s="29">
        <v>1305334.0</v>
      </c>
      <c r="C1518" s="30" t="str">
        <f t="shared" si="1"/>
        <v>-</v>
      </c>
      <c r="D1518" s="29">
        <f t="shared" si="2"/>
        <v>501</v>
      </c>
      <c r="E1518" s="30"/>
      <c r="F1518" s="30"/>
      <c r="G1518" s="30"/>
      <c r="H1518" s="30"/>
      <c r="I1518" s="30"/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0"/>
      <c r="Z1518" s="30"/>
      <c r="AA1518" s="30"/>
    </row>
    <row r="1519">
      <c r="A1519" s="29">
        <v>1306767.0</v>
      </c>
      <c r="B1519" s="29">
        <v>1307117.0</v>
      </c>
      <c r="C1519" s="30" t="str">
        <f t="shared" si="1"/>
        <v>+</v>
      </c>
      <c r="D1519" s="29">
        <f t="shared" si="2"/>
        <v>502</v>
      </c>
      <c r="E1519" s="30"/>
      <c r="F1519" s="30"/>
      <c r="G1519" s="30"/>
      <c r="H1519" s="30"/>
      <c r="I1519" s="30"/>
      <c r="J1519" s="30"/>
      <c r="K1519" s="30"/>
      <c r="L1519" s="30"/>
      <c r="M1519" s="30"/>
      <c r="N1519" s="30"/>
      <c r="O1519" s="30"/>
      <c r="P1519" s="30"/>
      <c r="Q1519" s="30"/>
      <c r="R1519" s="30"/>
      <c r="S1519" s="30"/>
      <c r="T1519" s="30"/>
      <c r="U1519" s="30"/>
      <c r="V1519" s="30"/>
      <c r="W1519" s="30"/>
      <c r="X1519" s="30"/>
      <c r="Y1519" s="30"/>
      <c r="Z1519" s="30"/>
      <c r="AA1519" s="30"/>
    </row>
    <row r="1520">
      <c r="A1520" s="29">
        <v>1307632.0</v>
      </c>
      <c r="B1520" s="29">
        <v>1307120.0</v>
      </c>
      <c r="C1520" s="30" t="str">
        <f t="shared" si="1"/>
        <v>-</v>
      </c>
      <c r="D1520" s="29">
        <f t="shared" si="2"/>
        <v>503</v>
      </c>
      <c r="E1520" s="30"/>
      <c r="F1520" s="30"/>
      <c r="G1520" s="30"/>
      <c r="H1520" s="30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  <c r="U1520" s="30"/>
      <c r="V1520" s="30"/>
      <c r="W1520" s="30"/>
      <c r="X1520" s="30"/>
      <c r="Y1520" s="30"/>
      <c r="Z1520" s="30"/>
      <c r="AA1520" s="30"/>
    </row>
    <row r="1521">
      <c r="A1521" s="29">
        <v>1311291.0</v>
      </c>
      <c r="B1521" s="29">
        <v>1310686.0</v>
      </c>
      <c r="C1521" s="30" t="str">
        <f t="shared" si="1"/>
        <v>-</v>
      </c>
      <c r="D1521" s="29">
        <f t="shared" si="2"/>
        <v>503</v>
      </c>
      <c r="E1521" s="30"/>
      <c r="F1521" s="30"/>
      <c r="G1521" s="30"/>
      <c r="H1521" s="30"/>
      <c r="I1521" s="30"/>
      <c r="J1521" s="30"/>
      <c r="K1521" s="30"/>
      <c r="L1521" s="30"/>
      <c r="M1521" s="30"/>
      <c r="N1521" s="30"/>
      <c r="O1521" s="30"/>
      <c r="P1521" s="30"/>
      <c r="Q1521" s="30"/>
      <c r="R1521" s="30"/>
      <c r="S1521" s="30"/>
      <c r="T1521" s="30"/>
      <c r="U1521" s="30"/>
      <c r="V1521" s="30"/>
      <c r="W1521" s="30"/>
      <c r="X1521" s="30"/>
      <c r="Y1521" s="30"/>
      <c r="Z1521" s="30"/>
      <c r="AA1521" s="30"/>
    </row>
    <row r="1522">
      <c r="A1522" s="29">
        <v>1311363.0</v>
      </c>
      <c r="B1522" s="29">
        <v>1312232.0</v>
      </c>
      <c r="C1522" s="30" t="str">
        <f t="shared" si="1"/>
        <v>+</v>
      </c>
      <c r="D1522" s="29">
        <f t="shared" si="2"/>
        <v>504</v>
      </c>
      <c r="E1522" s="30"/>
      <c r="F1522" s="30"/>
      <c r="G1522" s="30"/>
      <c r="H1522" s="30"/>
      <c r="I1522" s="30"/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0"/>
      <c r="X1522" s="30"/>
      <c r="Y1522" s="30"/>
      <c r="Z1522" s="30"/>
      <c r="AA1522" s="30"/>
    </row>
    <row r="1523">
      <c r="A1523" s="29">
        <v>1312229.0</v>
      </c>
      <c r="B1523" s="29">
        <v>1312663.0</v>
      </c>
      <c r="C1523" s="30" t="str">
        <f t="shared" si="1"/>
        <v>+</v>
      </c>
      <c r="D1523" s="29">
        <f t="shared" si="2"/>
        <v>504</v>
      </c>
      <c r="E1523" s="30"/>
      <c r="F1523" s="30"/>
      <c r="G1523" s="30"/>
      <c r="H1523" s="30"/>
      <c r="I1523" s="30"/>
      <c r="J1523" s="30"/>
      <c r="K1523" s="30"/>
      <c r="L1523" s="30"/>
      <c r="M1523" s="30"/>
      <c r="N1523" s="30"/>
      <c r="O1523" s="30"/>
      <c r="P1523" s="30"/>
      <c r="Q1523" s="30"/>
      <c r="R1523" s="30"/>
      <c r="S1523" s="30"/>
      <c r="T1523" s="30"/>
      <c r="U1523" s="30"/>
      <c r="V1523" s="30"/>
      <c r="W1523" s="30"/>
      <c r="X1523" s="30"/>
      <c r="Y1523" s="30"/>
      <c r="Z1523" s="30"/>
      <c r="AA1523" s="30"/>
    </row>
    <row r="1524">
      <c r="A1524" s="29">
        <v>1313095.0</v>
      </c>
      <c r="B1524" s="29">
        <v>1312814.0</v>
      </c>
      <c r="C1524" s="30" t="str">
        <f t="shared" si="1"/>
        <v>-</v>
      </c>
      <c r="D1524" s="29">
        <f t="shared" si="2"/>
        <v>505</v>
      </c>
      <c r="E1524" s="30"/>
      <c r="F1524" s="30"/>
      <c r="G1524" s="30"/>
      <c r="H1524" s="30"/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  <c r="U1524" s="30"/>
      <c r="V1524" s="30"/>
      <c r="W1524" s="30"/>
      <c r="X1524" s="30"/>
      <c r="Y1524" s="30"/>
      <c r="Z1524" s="30"/>
      <c r="AA1524" s="30"/>
    </row>
    <row r="1525">
      <c r="A1525" s="29">
        <v>1313502.0</v>
      </c>
      <c r="B1525" s="29">
        <v>1313122.0</v>
      </c>
      <c r="C1525" s="30" t="str">
        <f t="shared" si="1"/>
        <v>-</v>
      </c>
      <c r="D1525" s="29">
        <f t="shared" si="2"/>
        <v>505</v>
      </c>
      <c r="E1525" s="30"/>
      <c r="F1525" s="30"/>
      <c r="G1525" s="30"/>
      <c r="H1525" s="30"/>
      <c r="I1525" s="30"/>
      <c r="J1525" s="30"/>
      <c r="K1525" s="30"/>
      <c r="L1525" s="30"/>
      <c r="M1525" s="30"/>
      <c r="N1525" s="30"/>
      <c r="O1525" s="30"/>
      <c r="P1525" s="30"/>
      <c r="Q1525" s="30"/>
      <c r="R1525" s="30"/>
      <c r="S1525" s="30"/>
      <c r="T1525" s="30"/>
      <c r="U1525" s="30"/>
      <c r="V1525" s="30"/>
      <c r="W1525" s="30"/>
      <c r="X1525" s="30"/>
      <c r="Y1525" s="30"/>
      <c r="Z1525" s="30"/>
      <c r="AA1525" s="30"/>
    </row>
    <row r="1526">
      <c r="A1526" s="29">
        <v>1313541.0</v>
      </c>
      <c r="B1526" s="29">
        <v>1314434.0</v>
      </c>
      <c r="C1526" s="30" t="str">
        <f t="shared" si="1"/>
        <v>+</v>
      </c>
      <c r="D1526" s="29">
        <f t="shared" si="2"/>
        <v>506</v>
      </c>
      <c r="E1526" s="30"/>
      <c r="F1526" s="30"/>
      <c r="G1526" s="30"/>
      <c r="H1526" s="30"/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/>
      <c r="U1526" s="30"/>
      <c r="V1526" s="30"/>
      <c r="W1526" s="30"/>
      <c r="X1526" s="30"/>
      <c r="Y1526" s="30"/>
      <c r="Z1526" s="30"/>
      <c r="AA1526" s="30"/>
    </row>
    <row r="1527">
      <c r="A1527" s="29">
        <v>1314751.0</v>
      </c>
      <c r="B1527" s="29">
        <v>1315713.0</v>
      </c>
      <c r="C1527" s="30" t="str">
        <f t="shared" si="1"/>
        <v>+</v>
      </c>
      <c r="D1527" s="29">
        <f t="shared" si="2"/>
        <v>506</v>
      </c>
      <c r="E1527" s="30"/>
      <c r="F1527" s="30"/>
      <c r="G1527" s="30"/>
      <c r="H1527" s="30"/>
      <c r="I1527" s="30"/>
      <c r="J1527" s="30"/>
      <c r="K1527" s="30"/>
      <c r="L1527" s="30"/>
      <c r="M1527" s="30"/>
      <c r="N1527" s="30"/>
      <c r="O1527" s="30"/>
      <c r="P1527" s="30"/>
      <c r="Q1527" s="30"/>
      <c r="R1527" s="30"/>
      <c r="S1527" s="30"/>
      <c r="T1527" s="30"/>
      <c r="U1527" s="30"/>
      <c r="V1527" s="30"/>
      <c r="W1527" s="30"/>
      <c r="X1527" s="30"/>
      <c r="Y1527" s="30"/>
      <c r="Z1527" s="30"/>
      <c r="AA1527" s="30"/>
    </row>
    <row r="1528">
      <c r="A1528" s="29">
        <v>1316185.0</v>
      </c>
      <c r="B1528" s="29">
        <v>1315763.0</v>
      </c>
      <c r="C1528" s="30" t="str">
        <f t="shared" si="1"/>
        <v>-</v>
      </c>
      <c r="D1528" s="29">
        <f t="shared" si="2"/>
        <v>507</v>
      </c>
      <c r="E1528" s="30"/>
      <c r="F1528" s="30"/>
      <c r="G1528" s="30"/>
      <c r="H1528" s="30"/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0"/>
      <c r="Z1528" s="30"/>
      <c r="AA1528" s="30"/>
    </row>
    <row r="1529">
      <c r="A1529" s="29">
        <v>1316549.0</v>
      </c>
      <c r="B1529" s="29">
        <v>1316157.0</v>
      </c>
      <c r="C1529" s="30" t="str">
        <f t="shared" si="1"/>
        <v>-</v>
      </c>
      <c r="D1529" s="29">
        <f t="shared" si="2"/>
        <v>507</v>
      </c>
      <c r="E1529" s="30"/>
      <c r="F1529" s="30"/>
      <c r="G1529" s="30"/>
      <c r="H1529" s="30"/>
      <c r="I1529" s="30"/>
      <c r="J1529" s="30"/>
      <c r="K1529" s="30"/>
      <c r="L1529" s="30"/>
      <c r="M1529" s="30"/>
      <c r="N1529" s="30"/>
      <c r="O1529" s="30"/>
      <c r="P1529" s="30"/>
      <c r="Q1529" s="30"/>
      <c r="R1529" s="30"/>
      <c r="S1529" s="30"/>
      <c r="T1529" s="30"/>
      <c r="U1529" s="30"/>
      <c r="V1529" s="30"/>
      <c r="W1529" s="30"/>
      <c r="X1529" s="30"/>
      <c r="Y1529" s="30"/>
      <c r="Z1529" s="30"/>
      <c r="AA1529" s="30"/>
    </row>
    <row r="1530">
      <c r="A1530" s="29">
        <v>1316736.0</v>
      </c>
      <c r="B1530" s="29">
        <v>1317284.0</v>
      </c>
      <c r="C1530" s="30" t="str">
        <f t="shared" si="1"/>
        <v>+</v>
      </c>
      <c r="D1530" s="29">
        <f t="shared" si="2"/>
        <v>508</v>
      </c>
      <c r="E1530" s="30"/>
      <c r="F1530" s="30"/>
      <c r="G1530" s="30"/>
      <c r="H1530" s="30"/>
      <c r="I1530" s="30"/>
      <c r="J1530" s="30"/>
      <c r="K1530" s="30"/>
      <c r="L1530" s="30"/>
      <c r="M1530" s="30"/>
      <c r="N1530" s="30"/>
      <c r="O1530" s="30"/>
      <c r="P1530" s="30"/>
      <c r="Q1530" s="30"/>
      <c r="R1530" s="30"/>
      <c r="S1530" s="30"/>
      <c r="T1530" s="30"/>
      <c r="U1530" s="30"/>
      <c r="V1530" s="30"/>
      <c r="W1530" s="30"/>
      <c r="X1530" s="30"/>
      <c r="Y1530" s="30"/>
      <c r="Z1530" s="30"/>
      <c r="AA1530" s="30"/>
    </row>
    <row r="1531">
      <c r="A1531" s="29">
        <v>1317250.0</v>
      </c>
      <c r="B1531" s="29">
        <v>1318311.0</v>
      </c>
      <c r="C1531" s="30" t="str">
        <f t="shared" si="1"/>
        <v>+</v>
      </c>
      <c r="D1531" s="29">
        <f t="shared" si="2"/>
        <v>508</v>
      </c>
      <c r="E1531" s="30"/>
      <c r="F1531" s="30"/>
      <c r="G1531" s="30"/>
      <c r="H1531" s="30"/>
      <c r="I1531" s="30"/>
      <c r="J1531" s="30"/>
      <c r="K1531" s="30"/>
      <c r="L1531" s="30"/>
      <c r="M1531" s="30"/>
      <c r="N1531" s="30"/>
      <c r="O1531" s="30"/>
      <c r="P1531" s="30"/>
      <c r="Q1531" s="30"/>
      <c r="R1531" s="30"/>
      <c r="S1531" s="30"/>
      <c r="T1531" s="30"/>
      <c r="U1531" s="30"/>
      <c r="V1531" s="30"/>
      <c r="W1531" s="30"/>
      <c r="X1531" s="30"/>
      <c r="Y1531" s="30"/>
      <c r="Z1531" s="30"/>
      <c r="AA1531" s="30"/>
    </row>
    <row r="1532">
      <c r="A1532" s="29">
        <v>1319474.0</v>
      </c>
      <c r="B1532" s="29">
        <v>1318308.0</v>
      </c>
      <c r="C1532" s="30" t="str">
        <f t="shared" si="1"/>
        <v>-</v>
      </c>
      <c r="D1532" s="29">
        <f t="shared" si="2"/>
        <v>509</v>
      </c>
      <c r="E1532" s="30"/>
      <c r="F1532" s="30"/>
      <c r="G1532" s="30"/>
      <c r="H1532" s="30"/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  <c r="U1532" s="30"/>
      <c r="V1532" s="30"/>
      <c r="W1532" s="30"/>
      <c r="X1532" s="30"/>
      <c r="Y1532" s="30"/>
      <c r="Z1532" s="30"/>
      <c r="AA1532" s="30"/>
    </row>
    <row r="1533">
      <c r="A1533" s="29">
        <v>1320832.0</v>
      </c>
      <c r="B1533" s="29">
        <v>1319474.0</v>
      </c>
      <c r="C1533" s="30" t="str">
        <f t="shared" si="1"/>
        <v>-</v>
      </c>
      <c r="D1533" s="29">
        <f t="shared" si="2"/>
        <v>509</v>
      </c>
      <c r="E1533" s="30"/>
      <c r="F1533" s="30"/>
      <c r="G1533" s="30"/>
      <c r="H1533" s="30"/>
      <c r="I1533" s="30"/>
      <c r="J1533" s="30"/>
      <c r="K1533" s="30"/>
      <c r="L1533" s="30"/>
      <c r="M1533" s="30"/>
      <c r="N1533" s="30"/>
      <c r="O1533" s="30"/>
      <c r="P1533" s="30"/>
      <c r="Q1533" s="30"/>
      <c r="R1533" s="30"/>
      <c r="S1533" s="30"/>
      <c r="T1533" s="30"/>
      <c r="U1533" s="30"/>
      <c r="V1533" s="30"/>
      <c r="W1533" s="30"/>
      <c r="X1533" s="30"/>
      <c r="Y1533" s="30"/>
      <c r="Z1533" s="30"/>
      <c r="AA1533" s="30"/>
    </row>
    <row r="1534">
      <c r="A1534" s="29">
        <v>1321500.0</v>
      </c>
      <c r="B1534" s="29">
        <v>1320868.0</v>
      </c>
      <c r="C1534" s="30" t="str">
        <f t="shared" si="1"/>
        <v>-</v>
      </c>
      <c r="D1534" s="29">
        <f t="shared" si="2"/>
        <v>509</v>
      </c>
      <c r="E1534" s="30"/>
      <c r="F1534" s="30"/>
      <c r="G1534" s="30"/>
      <c r="H1534" s="30"/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0"/>
      <c r="Z1534" s="30"/>
      <c r="AA1534" s="30"/>
    </row>
    <row r="1535">
      <c r="A1535" s="29">
        <v>1322054.0</v>
      </c>
      <c r="B1535" s="29">
        <v>1321476.0</v>
      </c>
      <c r="C1535" s="30" t="str">
        <f t="shared" si="1"/>
        <v>-</v>
      </c>
      <c r="D1535" s="29">
        <f t="shared" si="2"/>
        <v>509</v>
      </c>
      <c r="E1535" s="30"/>
      <c r="F1535" s="30"/>
      <c r="G1535" s="30"/>
      <c r="H1535" s="30"/>
      <c r="I1535" s="30"/>
      <c r="J1535" s="30"/>
      <c r="K1535" s="30"/>
      <c r="L1535" s="30"/>
      <c r="M1535" s="30"/>
      <c r="N1535" s="30"/>
      <c r="O1535" s="30"/>
      <c r="P1535" s="30"/>
      <c r="Q1535" s="30"/>
      <c r="R1535" s="30"/>
      <c r="S1535" s="30"/>
      <c r="T1535" s="30"/>
      <c r="U1535" s="30"/>
      <c r="V1535" s="30"/>
      <c r="W1535" s="30"/>
      <c r="X1535" s="30"/>
      <c r="Y1535" s="30"/>
      <c r="Z1535" s="30"/>
      <c r="AA1535" s="30"/>
    </row>
    <row r="1536">
      <c r="A1536" s="29">
        <v>1322635.0</v>
      </c>
      <c r="B1536" s="29">
        <v>1322084.0</v>
      </c>
      <c r="C1536" s="30" t="str">
        <f t="shared" si="1"/>
        <v>-</v>
      </c>
      <c r="D1536" s="29">
        <f t="shared" si="2"/>
        <v>509</v>
      </c>
      <c r="E1536" s="30"/>
      <c r="F1536" s="30"/>
      <c r="G1536" s="30"/>
      <c r="H1536" s="30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  <c r="U1536" s="30"/>
      <c r="V1536" s="30"/>
      <c r="W1536" s="30"/>
      <c r="X1536" s="30"/>
      <c r="Y1536" s="30"/>
      <c r="Z1536" s="30"/>
      <c r="AA1536" s="30"/>
    </row>
    <row r="1537">
      <c r="A1537" s="29">
        <v>1324844.0</v>
      </c>
      <c r="B1537" s="29">
        <v>1322592.0</v>
      </c>
      <c r="C1537" s="30" t="str">
        <f t="shared" si="1"/>
        <v>-</v>
      </c>
      <c r="D1537" s="29">
        <f t="shared" si="2"/>
        <v>509</v>
      </c>
      <c r="E1537" s="30"/>
      <c r="F1537" s="30"/>
      <c r="G1537" s="30"/>
      <c r="H1537" s="30"/>
      <c r="I1537" s="30"/>
      <c r="J1537" s="30"/>
      <c r="K1537" s="30"/>
      <c r="L1537" s="30"/>
      <c r="M1537" s="30"/>
      <c r="N1537" s="30"/>
      <c r="O1537" s="30"/>
      <c r="P1537" s="30"/>
      <c r="Q1537" s="30"/>
      <c r="R1537" s="30"/>
      <c r="S1537" s="30"/>
      <c r="T1537" s="30"/>
      <c r="U1537" s="30"/>
      <c r="V1537" s="30"/>
      <c r="W1537" s="30"/>
      <c r="X1537" s="30"/>
      <c r="Y1537" s="30"/>
      <c r="Z1537" s="30"/>
      <c r="AA1537" s="30"/>
    </row>
    <row r="1538">
      <c r="A1538" s="29">
        <v>1326268.0</v>
      </c>
      <c r="B1538" s="29">
        <v>1324907.0</v>
      </c>
      <c r="C1538" s="30" t="str">
        <f t="shared" si="1"/>
        <v>-</v>
      </c>
      <c r="D1538" s="29">
        <f t="shared" si="2"/>
        <v>509</v>
      </c>
      <c r="E1538" s="30"/>
      <c r="F1538" s="30"/>
      <c r="G1538" s="30"/>
      <c r="H1538" s="30"/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/>
      <c r="U1538" s="30"/>
      <c r="V1538" s="30"/>
      <c r="W1538" s="30"/>
      <c r="X1538" s="30"/>
      <c r="Y1538" s="30"/>
      <c r="Z1538" s="30"/>
      <c r="AA1538" s="30"/>
    </row>
    <row r="1539">
      <c r="A1539" s="29">
        <v>1326977.0</v>
      </c>
      <c r="B1539" s="29">
        <v>1326300.0</v>
      </c>
      <c r="C1539" s="30" t="str">
        <f t="shared" si="1"/>
        <v>-</v>
      </c>
      <c r="D1539" s="29">
        <f t="shared" si="2"/>
        <v>509</v>
      </c>
      <c r="E1539" s="30"/>
      <c r="F1539" s="30"/>
      <c r="G1539" s="30"/>
      <c r="H1539" s="30"/>
      <c r="I1539" s="30"/>
      <c r="J1539" s="30"/>
      <c r="K1539" s="30"/>
      <c r="L1539" s="30"/>
      <c r="M1539" s="30"/>
      <c r="N1539" s="30"/>
      <c r="O1539" s="30"/>
      <c r="P1539" s="30"/>
      <c r="Q1539" s="30"/>
      <c r="R1539" s="30"/>
      <c r="S1539" s="30"/>
      <c r="T1539" s="30"/>
      <c r="U1539" s="30"/>
      <c r="V1539" s="30"/>
      <c r="W1539" s="30"/>
      <c r="X1539" s="30"/>
      <c r="Y1539" s="30"/>
      <c r="Z1539" s="30"/>
      <c r="AA1539" s="30"/>
    </row>
    <row r="1540">
      <c r="A1540" s="29">
        <v>1327265.0</v>
      </c>
      <c r="B1540" s="29">
        <v>1327026.0</v>
      </c>
      <c r="C1540" s="30" t="str">
        <f t="shared" si="1"/>
        <v>-</v>
      </c>
      <c r="D1540" s="29">
        <f t="shared" si="2"/>
        <v>509</v>
      </c>
      <c r="E1540" s="30"/>
      <c r="F1540" s="30"/>
      <c r="G1540" s="30"/>
      <c r="H1540" s="30"/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  <c r="U1540" s="30"/>
      <c r="V1540" s="30"/>
      <c r="W1540" s="30"/>
      <c r="X1540" s="30"/>
      <c r="Y1540" s="30"/>
      <c r="Z1540" s="30"/>
      <c r="AA1540" s="30"/>
    </row>
    <row r="1541">
      <c r="A1541" s="29">
        <v>1327687.0</v>
      </c>
      <c r="B1541" s="29">
        <v>1327286.0</v>
      </c>
      <c r="C1541" s="30" t="str">
        <f t="shared" si="1"/>
        <v>-</v>
      </c>
      <c r="D1541" s="29">
        <f t="shared" si="2"/>
        <v>509</v>
      </c>
      <c r="E1541" s="30"/>
      <c r="F1541" s="30"/>
      <c r="G1541" s="30"/>
      <c r="H1541" s="30"/>
      <c r="I1541" s="30"/>
      <c r="J1541" s="30"/>
      <c r="K1541" s="30"/>
      <c r="L1541" s="30"/>
      <c r="M1541" s="30"/>
      <c r="N1541" s="30"/>
      <c r="O1541" s="30"/>
      <c r="P1541" s="30"/>
      <c r="Q1541" s="30"/>
      <c r="R1541" s="30"/>
      <c r="S1541" s="30"/>
      <c r="T1541" s="30"/>
      <c r="U1541" s="30"/>
      <c r="V1541" s="30"/>
      <c r="W1541" s="30"/>
      <c r="X1541" s="30"/>
      <c r="Y1541" s="30"/>
      <c r="Z1541" s="30"/>
      <c r="AA1541" s="30"/>
    </row>
    <row r="1542">
      <c r="A1542" s="29">
        <v>1328224.0</v>
      </c>
      <c r="B1542" s="29">
        <v>1327733.0</v>
      </c>
      <c r="C1542" s="30" t="str">
        <f t="shared" si="1"/>
        <v>-</v>
      </c>
      <c r="D1542" s="29">
        <f t="shared" si="2"/>
        <v>509</v>
      </c>
      <c r="E1542" s="30"/>
      <c r="F1542" s="30"/>
      <c r="G1542" s="30"/>
      <c r="H1542" s="30"/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/>
      <c r="W1542" s="30"/>
      <c r="X1542" s="30"/>
      <c r="Y1542" s="30"/>
      <c r="Z1542" s="30"/>
      <c r="AA1542" s="30"/>
    </row>
    <row r="1543">
      <c r="A1543" s="29">
        <v>1328826.0</v>
      </c>
      <c r="B1543" s="29">
        <v>1328221.0</v>
      </c>
      <c r="C1543" s="30" t="str">
        <f t="shared" si="1"/>
        <v>-</v>
      </c>
      <c r="D1543" s="29">
        <f t="shared" si="2"/>
        <v>509</v>
      </c>
      <c r="E1543" s="30"/>
      <c r="F1543" s="30"/>
      <c r="G1543" s="30"/>
      <c r="H1543" s="30"/>
      <c r="I1543" s="30"/>
      <c r="J1543" s="30"/>
      <c r="K1543" s="30"/>
      <c r="L1543" s="30"/>
      <c r="M1543" s="30"/>
      <c r="N1543" s="30"/>
      <c r="O1543" s="30"/>
      <c r="P1543" s="30"/>
      <c r="Q1543" s="30"/>
      <c r="R1543" s="30"/>
      <c r="S1543" s="30"/>
      <c r="T1543" s="30"/>
      <c r="U1543" s="30"/>
      <c r="V1543" s="30"/>
      <c r="W1543" s="30"/>
      <c r="X1543" s="30"/>
      <c r="Y1543" s="30"/>
      <c r="Z1543" s="30"/>
      <c r="AA1543" s="30"/>
    </row>
    <row r="1544">
      <c r="A1544" s="29">
        <v>1328972.0</v>
      </c>
      <c r="B1544" s="29">
        <v>1329457.0</v>
      </c>
      <c r="C1544" s="30" t="str">
        <f t="shared" si="1"/>
        <v>+</v>
      </c>
      <c r="D1544" s="29">
        <f t="shared" si="2"/>
        <v>510</v>
      </c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  <c r="U1544" s="30"/>
      <c r="V1544" s="30"/>
      <c r="W1544" s="30"/>
      <c r="X1544" s="30"/>
      <c r="Y1544" s="30"/>
      <c r="Z1544" s="30"/>
      <c r="AA1544" s="30"/>
    </row>
    <row r="1545">
      <c r="A1545" s="29">
        <v>1329476.0</v>
      </c>
      <c r="B1545" s="29">
        <v>1330243.0</v>
      </c>
      <c r="C1545" s="30" t="str">
        <f t="shared" si="1"/>
        <v>+</v>
      </c>
      <c r="D1545" s="29">
        <f t="shared" si="2"/>
        <v>510</v>
      </c>
      <c r="E1545" s="30"/>
      <c r="F1545" s="30"/>
      <c r="G1545" s="30"/>
      <c r="H1545" s="30"/>
      <c r="I1545" s="30"/>
      <c r="J1545" s="30"/>
      <c r="K1545" s="30"/>
      <c r="L1545" s="30"/>
      <c r="M1545" s="30"/>
      <c r="N1545" s="30"/>
      <c r="O1545" s="30"/>
      <c r="P1545" s="30"/>
      <c r="Q1545" s="30"/>
      <c r="R1545" s="30"/>
      <c r="S1545" s="30"/>
      <c r="T1545" s="30"/>
      <c r="U1545" s="30"/>
      <c r="V1545" s="30"/>
      <c r="W1545" s="30"/>
      <c r="X1545" s="30"/>
      <c r="Y1545" s="30"/>
      <c r="Z1545" s="30"/>
      <c r="AA1545" s="30"/>
    </row>
    <row r="1546">
      <c r="A1546" s="29">
        <v>1330289.0</v>
      </c>
      <c r="B1546" s="29">
        <v>1331755.0</v>
      </c>
      <c r="C1546" s="30" t="str">
        <f t="shared" si="1"/>
        <v>+</v>
      </c>
      <c r="D1546" s="29">
        <f t="shared" si="2"/>
        <v>510</v>
      </c>
      <c r="E1546" s="30"/>
      <c r="F1546" s="30"/>
      <c r="G1546" s="30"/>
      <c r="H1546" s="30"/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30"/>
      <c r="Z1546" s="30"/>
      <c r="AA1546" s="30"/>
    </row>
    <row r="1547">
      <c r="A1547" s="29">
        <v>1331800.0</v>
      </c>
      <c r="B1547" s="29">
        <v>1332096.0</v>
      </c>
      <c r="C1547" s="30" t="str">
        <f t="shared" si="1"/>
        <v>+</v>
      </c>
      <c r="D1547" s="29">
        <f t="shared" si="2"/>
        <v>510</v>
      </c>
      <c r="E1547" s="30"/>
      <c r="F1547" s="30"/>
      <c r="G1547" s="30"/>
      <c r="H1547" s="30"/>
      <c r="I1547" s="30"/>
      <c r="J1547" s="30"/>
      <c r="K1547" s="30"/>
      <c r="L1547" s="30"/>
      <c r="M1547" s="30"/>
      <c r="N1547" s="30"/>
      <c r="O1547" s="30"/>
      <c r="P1547" s="30"/>
      <c r="Q1547" s="30"/>
      <c r="R1547" s="30"/>
      <c r="S1547" s="30"/>
      <c r="T1547" s="30"/>
      <c r="U1547" s="30"/>
      <c r="V1547" s="30"/>
      <c r="W1547" s="30"/>
      <c r="X1547" s="30"/>
      <c r="Y1547" s="30"/>
      <c r="Z1547" s="30"/>
      <c r="AA1547" s="30"/>
    </row>
    <row r="1548">
      <c r="A1548" s="29">
        <v>1332093.0</v>
      </c>
      <c r="B1548" s="29">
        <v>1332575.0</v>
      </c>
      <c r="C1548" s="30" t="str">
        <f t="shared" si="1"/>
        <v>+</v>
      </c>
      <c r="D1548" s="29">
        <f t="shared" si="2"/>
        <v>510</v>
      </c>
      <c r="E1548" s="30"/>
      <c r="F1548" s="30"/>
      <c r="G1548" s="30"/>
      <c r="H1548" s="30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  <c r="U1548" s="30"/>
      <c r="V1548" s="30"/>
      <c r="W1548" s="30"/>
      <c r="X1548" s="30"/>
      <c r="Y1548" s="30"/>
      <c r="Z1548" s="30"/>
      <c r="AA1548" s="30"/>
    </row>
    <row r="1549">
      <c r="A1549" s="29">
        <v>1332593.0</v>
      </c>
      <c r="B1549" s="29">
        <v>1333159.0</v>
      </c>
      <c r="C1549" s="30" t="str">
        <f t="shared" si="1"/>
        <v>+</v>
      </c>
      <c r="D1549" s="29">
        <f t="shared" si="2"/>
        <v>510</v>
      </c>
      <c r="E1549" s="30"/>
      <c r="F1549" s="30"/>
      <c r="G1549" s="30"/>
      <c r="H1549" s="30"/>
      <c r="I1549" s="30"/>
      <c r="J1549" s="30"/>
      <c r="K1549" s="30"/>
      <c r="L1549" s="30"/>
      <c r="M1549" s="30"/>
      <c r="N1549" s="30"/>
      <c r="O1549" s="30"/>
      <c r="P1549" s="30"/>
      <c r="Q1549" s="30"/>
      <c r="R1549" s="30"/>
      <c r="S1549" s="30"/>
      <c r="T1549" s="30"/>
      <c r="U1549" s="30"/>
      <c r="V1549" s="30"/>
      <c r="W1549" s="30"/>
      <c r="X1549" s="30"/>
      <c r="Y1549" s="30"/>
      <c r="Z1549" s="30"/>
      <c r="AA1549" s="30"/>
    </row>
    <row r="1550">
      <c r="A1550" s="29">
        <v>1333173.0</v>
      </c>
      <c r="B1550" s="29">
        <v>1333595.0</v>
      </c>
      <c r="C1550" s="30" t="str">
        <f t="shared" si="1"/>
        <v>+</v>
      </c>
      <c r="D1550" s="29">
        <f t="shared" si="2"/>
        <v>510</v>
      </c>
      <c r="E1550" s="30"/>
      <c r="F1550" s="30"/>
      <c r="G1550" s="30"/>
      <c r="H1550" s="30"/>
      <c r="I1550" s="30"/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0"/>
      <c r="Z1550" s="30"/>
      <c r="AA1550" s="30"/>
    </row>
    <row r="1551">
      <c r="A1551" s="29">
        <v>1336151.0</v>
      </c>
      <c r="B1551" s="29">
        <v>1333587.0</v>
      </c>
      <c r="C1551" s="30" t="str">
        <f t="shared" si="1"/>
        <v>-</v>
      </c>
      <c r="D1551" s="29">
        <f t="shared" si="2"/>
        <v>511</v>
      </c>
      <c r="E1551" s="30"/>
      <c r="F1551" s="30"/>
      <c r="G1551" s="30"/>
      <c r="H1551" s="30"/>
      <c r="I1551" s="30"/>
      <c r="J1551" s="30"/>
      <c r="K1551" s="30"/>
      <c r="L1551" s="30"/>
      <c r="M1551" s="30"/>
      <c r="N1551" s="30"/>
      <c r="O1551" s="30"/>
      <c r="P1551" s="30"/>
      <c r="Q1551" s="30"/>
      <c r="R1551" s="30"/>
      <c r="S1551" s="30"/>
      <c r="T1551" s="30"/>
      <c r="U1551" s="30"/>
      <c r="V1551" s="30"/>
      <c r="W1551" s="30"/>
      <c r="X1551" s="30"/>
      <c r="Y1551" s="30"/>
      <c r="Z1551" s="30"/>
      <c r="AA1551" s="30"/>
    </row>
    <row r="1552">
      <c r="A1552" s="29">
        <v>1336238.0</v>
      </c>
      <c r="B1552" s="29">
        <v>1336648.0</v>
      </c>
      <c r="C1552" s="30" t="str">
        <f t="shared" si="1"/>
        <v>+</v>
      </c>
      <c r="D1552" s="29">
        <f t="shared" si="2"/>
        <v>512</v>
      </c>
      <c r="E1552" s="30"/>
      <c r="F1552" s="30"/>
      <c r="G1552" s="30"/>
      <c r="H1552" s="30"/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  <c r="U1552" s="30"/>
      <c r="V1552" s="30"/>
      <c r="W1552" s="30"/>
      <c r="X1552" s="30"/>
      <c r="Y1552" s="30"/>
      <c r="Z1552" s="30"/>
      <c r="AA1552" s="30"/>
    </row>
    <row r="1553">
      <c r="A1553" s="29">
        <v>1337828.0</v>
      </c>
      <c r="B1553" s="29">
        <v>1336641.0</v>
      </c>
      <c r="C1553" s="30" t="str">
        <f t="shared" si="1"/>
        <v>-</v>
      </c>
      <c r="D1553" s="29">
        <f t="shared" si="2"/>
        <v>513</v>
      </c>
      <c r="E1553" s="30"/>
      <c r="F1553" s="30"/>
      <c r="G1553" s="30"/>
      <c r="H1553" s="30"/>
      <c r="I1553" s="30"/>
      <c r="J1553" s="30"/>
      <c r="K1553" s="30"/>
      <c r="L1553" s="30"/>
      <c r="M1553" s="30"/>
      <c r="N1553" s="30"/>
      <c r="O1553" s="30"/>
      <c r="P1553" s="30"/>
      <c r="Q1553" s="30"/>
      <c r="R1553" s="30"/>
      <c r="S1553" s="30"/>
      <c r="T1553" s="30"/>
      <c r="U1553" s="30"/>
      <c r="V1553" s="30"/>
      <c r="W1553" s="30"/>
      <c r="X1553" s="30"/>
      <c r="Y1553" s="30"/>
      <c r="Z1553" s="30"/>
      <c r="AA1553" s="30"/>
    </row>
    <row r="1554">
      <c r="A1554" s="29">
        <v>1337866.0</v>
      </c>
      <c r="B1554" s="29">
        <v>1338975.0</v>
      </c>
      <c r="C1554" s="30" t="str">
        <f t="shared" si="1"/>
        <v>+</v>
      </c>
      <c r="D1554" s="29">
        <f t="shared" si="2"/>
        <v>514</v>
      </c>
      <c r="E1554" s="30"/>
      <c r="F1554" s="30"/>
      <c r="G1554" s="30"/>
      <c r="H1554" s="30"/>
      <c r="I1554" s="30"/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0"/>
      <c r="Z1554" s="30"/>
      <c r="AA1554" s="30"/>
    </row>
    <row r="1555">
      <c r="A1555" s="29">
        <v>1339008.0</v>
      </c>
      <c r="B1555" s="29">
        <v>1339409.0</v>
      </c>
      <c r="C1555" s="30" t="str">
        <f t="shared" si="1"/>
        <v>+</v>
      </c>
      <c r="D1555" s="29">
        <f t="shared" si="2"/>
        <v>514</v>
      </c>
      <c r="E1555" s="30"/>
      <c r="F1555" s="30"/>
      <c r="G1555" s="30"/>
      <c r="H1555" s="30"/>
      <c r="I1555" s="30"/>
      <c r="J1555" s="30"/>
      <c r="K1555" s="30"/>
      <c r="L1555" s="30"/>
      <c r="M1555" s="30"/>
      <c r="N1555" s="30"/>
      <c r="O1555" s="30"/>
      <c r="P1555" s="30"/>
      <c r="Q1555" s="30"/>
      <c r="R1555" s="30"/>
      <c r="S1555" s="30"/>
      <c r="T1555" s="30"/>
      <c r="U1555" s="30"/>
      <c r="V1555" s="30"/>
      <c r="W1555" s="30"/>
      <c r="X1555" s="30"/>
      <c r="Y1555" s="30"/>
      <c r="Z1555" s="30"/>
      <c r="AA1555" s="30"/>
    </row>
    <row r="1556">
      <c r="A1556" s="29">
        <v>1339406.0</v>
      </c>
      <c r="B1556" s="29">
        <v>1340455.0</v>
      </c>
      <c r="C1556" s="30" t="str">
        <f t="shared" si="1"/>
        <v>+</v>
      </c>
      <c r="D1556" s="29">
        <f t="shared" si="2"/>
        <v>514</v>
      </c>
      <c r="E1556" s="30"/>
      <c r="F1556" s="30"/>
      <c r="G1556" s="30"/>
      <c r="H1556" s="30"/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0"/>
      <c r="X1556" s="30"/>
      <c r="Y1556" s="30"/>
      <c r="Z1556" s="30"/>
      <c r="AA1556" s="30"/>
    </row>
    <row r="1557">
      <c r="A1557" s="29">
        <v>1340514.0</v>
      </c>
      <c r="B1557" s="29">
        <v>1340738.0</v>
      </c>
      <c r="C1557" s="30" t="str">
        <f t="shared" si="1"/>
        <v>+</v>
      </c>
      <c r="D1557" s="29">
        <f t="shared" si="2"/>
        <v>514</v>
      </c>
      <c r="E1557" s="30"/>
      <c r="F1557" s="30"/>
      <c r="G1557" s="30"/>
      <c r="H1557" s="30"/>
      <c r="I1557" s="30"/>
      <c r="J1557" s="30"/>
      <c r="K1557" s="30"/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/>
      <c r="W1557" s="30"/>
      <c r="X1557" s="30"/>
      <c r="Y1557" s="30"/>
      <c r="Z1557" s="30"/>
      <c r="AA1557" s="30"/>
    </row>
    <row r="1558">
      <c r="A1558" s="29">
        <v>1340767.0</v>
      </c>
      <c r="B1558" s="29">
        <v>1341381.0</v>
      </c>
      <c r="C1558" s="30" t="str">
        <f t="shared" si="1"/>
        <v>+</v>
      </c>
      <c r="D1558" s="29">
        <f t="shared" si="2"/>
        <v>514</v>
      </c>
      <c r="E1558" s="30"/>
      <c r="F1558" s="30"/>
      <c r="G1558" s="30"/>
      <c r="H1558" s="30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0"/>
      <c r="Z1558" s="30"/>
      <c r="AA1558" s="30"/>
    </row>
    <row r="1559">
      <c r="A1559" s="29">
        <v>1341710.0</v>
      </c>
      <c r="B1559" s="29">
        <v>1341378.0</v>
      </c>
      <c r="C1559" s="30" t="str">
        <f t="shared" si="1"/>
        <v>-</v>
      </c>
      <c r="D1559" s="29">
        <f t="shared" si="2"/>
        <v>515</v>
      </c>
      <c r="E1559" s="30"/>
      <c r="F1559" s="30"/>
      <c r="G1559" s="30"/>
      <c r="H1559" s="30"/>
      <c r="I1559" s="30"/>
      <c r="J1559" s="30"/>
      <c r="K1559" s="30"/>
      <c r="L1559" s="30"/>
      <c r="M1559" s="30"/>
      <c r="N1559" s="30"/>
      <c r="O1559" s="30"/>
      <c r="P1559" s="30"/>
      <c r="Q1559" s="30"/>
      <c r="R1559" s="30"/>
      <c r="S1559" s="30"/>
      <c r="T1559" s="30"/>
      <c r="U1559" s="30"/>
      <c r="V1559" s="30"/>
      <c r="W1559" s="30"/>
      <c r="X1559" s="30"/>
      <c r="Y1559" s="30"/>
      <c r="Z1559" s="30"/>
      <c r="AA1559" s="30"/>
    </row>
    <row r="1560">
      <c r="A1560" s="29">
        <v>1341862.0</v>
      </c>
      <c r="B1560" s="29">
        <v>1341939.0</v>
      </c>
      <c r="C1560" s="30" t="str">
        <f t="shared" si="1"/>
        <v>+</v>
      </c>
      <c r="D1560" s="29">
        <f t="shared" si="2"/>
        <v>516</v>
      </c>
      <c r="E1560" s="30"/>
      <c r="F1560" s="30"/>
      <c r="G1560" s="30"/>
      <c r="H1560" s="30"/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0"/>
      <c r="Z1560" s="30"/>
      <c r="AA1560" s="30"/>
    </row>
    <row r="1561">
      <c r="A1561" s="29">
        <v>1342273.0</v>
      </c>
      <c r="B1561" s="29">
        <v>1342052.0</v>
      </c>
      <c r="C1561" s="30" t="str">
        <f t="shared" si="1"/>
        <v>-</v>
      </c>
      <c r="D1561" s="29">
        <f t="shared" si="2"/>
        <v>517</v>
      </c>
      <c r="E1561" s="30"/>
      <c r="F1561" s="30"/>
      <c r="G1561" s="30"/>
      <c r="H1561" s="30"/>
      <c r="I1561" s="30"/>
      <c r="J1561" s="30"/>
      <c r="K1561" s="30"/>
      <c r="L1561" s="30"/>
      <c r="M1561" s="30"/>
      <c r="N1561" s="30"/>
      <c r="O1561" s="30"/>
      <c r="P1561" s="30"/>
      <c r="Q1561" s="30"/>
      <c r="R1561" s="30"/>
      <c r="S1561" s="30"/>
      <c r="T1561" s="30"/>
      <c r="U1561" s="30"/>
      <c r="V1561" s="30"/>
      <c r="W1561" s="30"/>
      <c r="X1561" s="30"/>
      <c r="Y1561" s="30"/>
      <c r="Z1561" s="30"/>
      <c r="AA1561" s="30"/>
    </row>
    <row r="1562">
      <c r="A1562" s="29">
        <v>1343153.0</v>
      </c>
      <c r="B1562" s="29">
        <v>1343082.0</v>
      </c>
      <c r="C1562" s="30" t="str">
        <f t="shared" si="1"/>
        <v>-</v>
      </c>
      <c r="D1562" s="29">
        <f t="shared" si="2"/>
        <v>517</v>
      </c>
      <c r="E1562" s="30"/>
      <c r="F1562" s="30"/>
      <c r="G1562" s="30"/>
      <c r="H1562" s="30"/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/>
      <c r="U1562" s="30"/>
      <c r="V1562" s="30"/>
      <c r="W1562" s="30"/>
      <c r="X1562" s="30"/>
      <c r="Y1562" s="30"/>
      <c r="Z1562" s="30"/>
      <c r="AA1562" s="30"/>
    </row>
    <row r="1563">
      <c r="A1563" s="29">
        <v>1343903.0</v>
      </c>
      <c r="B1563" s="29">
        <v>1343340.0</v>
      </c>
      <c r="C1563" s="30" t="str">
        <f t="shared" si="1"/>
        <v>-</v>
      </c>
      <c r="D1563" s="29">
        <f t="shared" si="2"/>
        <v>517</v>
      </c>
      <c r="E1563" s="30"/>
      <c r="F1563" s="30"/>
      <c r="G1563" s="30"/>
      <c r="H1563" s="30"/>
      <c r="I1563" s="30"/>
      <c r="J1563" s="30"/>
      <c r="K1563" s="30"/>
      <c r="L1563" s="30"/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0"/>
      <c r="X1563" s="30"/>
      <c r="Y1563" s="30"/>
      <c r="Z1563" s="30"/>
      <c r="AA1563" s="30"/>
    </row>
    <row r="1564">
      <c r="A1564" s="29">
        <v>1344120.0</v>
      </c>
      <c r="B1564" s="29">
        <v>1345109.0</v>
      </c>
      <c r="C1564" s="30" t="str">
        <f t="shared" si="1"/>
        <v>+</v>
      </c>
      <c r="D1564" s="29">
        <f t="shared" si="2"/>
        <v>518</v>
      </c>
      <c r="E1564" s="30"/>
      <c r="F1564" s="30"/>
      <c r="G1564" s="30"/>
      <c r="H1564" s="30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/>
      <c r="W1564" s="30"/>
      <c r="X1564" s="30"/>
      <c r="Y1564" s="30"/>
      <c r="Z1564" s="30"/>
      <c r="AA1564" s="30"/>
    </row>
    <row r="1565">
      <c r="A1565" s="29">
        <v>1345496.0</v>
      </c>
      <c r="B1565" s="29">
        <v>1345209.0</v>
      </c>
      <c r="C1565" s="30" t="str">
        <f t="shared" si="1"/>
        <v>-</v>
      </c>
      <c r="D1565" s="29">
        <f t="shared" si="2"/>
        <v>519</v>
      </c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  <c r="O1565" s="30"/>
      <c r="P1565" s="30"/>
      <c r="Q1565" s="30"/>
      <c r="R1565" s="30"/>
      <c r="S1565" s="30"/>
      <c r="T1565" s="30"/>
      <c r="U1565" s="30"/>
      <c r="V1565" s="30"/>
      <c r="W1565" s="30"/>
      <c r="X1565" s="30"/>
      <c r="Y1565" s="30"/>
      <c r="Z1565" s="30"/>
      <c r="AA1565" s="30"/>
    </row>
    <row r="1566">
      <c r="A1566" s="29">
        <v>1346247.0</v>
      </c>
      <c r="B1566" s="29">
        <v>1345675.0</v>
      </c>
      <c r="C1566" s="30" t="str">
        <f t="shared" si="1"/>
        <v>-</v>
      </c>
      <c r="D1566" s="29">
        <f t="shared" si="2"/>
        <v>519</v>
      </c>
      <c r="E1566" s="30"/>
      <c r="F1566" s="30"/>
      <c r="G1566" s="30"/>
      <c r="H1566" s="30"/>
      <c r="I1566" s="30"/>
      <c r="J1566" s="30"/>
      <c r="K1566" s="30"/>
      <c r="L1566" s="30"/>
      <c r="M1566" s="30"/>
      <c r="N1566" s="30"/>
      <c r="O1566" s="30"/>
      <c r="P1566" s="30"/>
      <c r="Q1566" s="30"/>
      <c r="R1566" s="30"/>
      <c r="S1566" s="30"/>
      <c r="T1566" s="30"/>
      <c r="U1566" s="30"/>
      <c r="V1566" s="30"/>
      <c r="W1566" s="30"/>
      <c r="X1566" s="30"/>
      <c r="Y1566" s="30"/>
      <c r="Z1566" s="30"/>
      <c r="AA1566" s="30"/>
    </row>
    <row r="1567">
      <c r="A1567" s="29">
        <v>1346296.0</v>
      </c>
      <c r="B1567" s="29">
        <v>1346982.0</v>
      </c>
      <c r="C1567" s="30" t="str">
        <f t="shared" si="1"/>
        <v>+</v>
      </c>
      <c r="D1567" s="29">
        <f t="shared" si="2"/>
        <v>520</v>
      </c>
      <c r="E1567" s="30"/>
      <c r="F1567" s="30"/>
      <c r="G1567" s="30"/>
      <c r="H1567" s="30"/>
      <c r="I1567" s="30"/>
      <c r="J1567" s="30"/>
      <c r="K1567" s="30"/>
      <c r="L1567" s="30"/>
      <c r="M1567" s="30"/>
      <c r="N1567" s="30"/>
      <c r="O1567" s="30"/>
      <c r="P1567" s="30"/>
      <c r="Q1567" s="30"/>
      <c r="R1567" s="30"/>
      <c r="S1567" s="30"/>
      <c r="T1567" s="30"/>
      <c r="U1567" s="30"/>
      <c r="V1567" s="30"/>
      <c r="W1567" s="30"/>
      <c r="X1567" s="30"/>
      <c r="Y1567" s="30"/>
      <c r="Z1567" s="30"/>
      <c r="AA1567" s="30"/>
    </row>
    <row r="1568">
      <c r="A1568" s="29">
        <v>1347300.0</v>
      </c>
      <c r="B1568" s="29">
        <v>1346971.0</v>
      </c>
      <c r="C1568" s="30" t="str">
        <f t="shared" si="1"/>
        <v>-</v>
      </c>
      <c r="D1568" s="29">
        <f t="shared" si="2"/>
        <v>521</v>
      </c>
      <c r="E1568" s="30"/>
      <c r="F1568" s="30"/>
      <c r="G1568" s="30"/>
      <c r="H1568" s="30"/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0"/>
      <c r="Z1568" s="30"/>
      <c r="AA1568" s="30"/>
    </row>
    <row r="1569">
      <c r="A1569" s="29">
        <v>1347537.0</v>
      </c>
      <c r="B1569" s="29">
        <v>1347334.0</v>
      </c>
      <c r="C1569" s="30" t="str">
        <f t="shared" si="1"/>
        <v>-</v>
      </c>
      <c r="D1569" s="29">
        <f t="shared" si="2"/>
        <v>521</v>
      </c>
      <c r="E1569" s="30"/>
      <c r="F1569" s="30"/>
      <c r="G1569" s="30"/>
      <c r="H1569" s="30"/>
      <c r="I1569" s="30"/>
      <c r="J1569" s="30"/>
      <c r="K1569" s="30"/>
      <c r="L1569" s="30"/>
      <c r="M1569" s="30"/>
      <c r="N1569" s="30"/>
      <c r="O1569" s="30"/>
      <c r="P1569" s="30"/>
      <c r="Q1569" s="30"/>
      <c r="R1569" s="30"/>
      <c r="S1569" s="30"/>
      <c r="T1569" s="30"/>
      <c r="U1569" s="30"/>
      <c r="V1569" s="30"/>
      <c r="W1569" s="30"/>
      <c r="X1569" s="30"/>
      <c r="Y1569" s="30"/>
      <c r="Z1569" s="30"/>
      <c r="AA1569" s="30"/>
    </row>
    <row r="1570">
      <c r="A1570" s="29">
        <v>1349250.0</v>
      </c>
      <c r="B1570" s="29">
        <v>1350611.0</v>
      </c>
      <c r="C1570" s="30" t="str">
        <f t="shared" si="1"/>
        <v>+</v>
      </c>
      <c r="D1570" s="29">
        <f t="shared" si="2"/>
        <v>522</v>
      </c>
      <c r="E1570" s="30"/>
      <c r="F1570" s="30"/>
      <c r="G1570" s="30"/>
      <c r="H1570" s="30"/>
      <c r="I1570" s="30"/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0"/>
      <c r="Z1570" s="30"/>
      <c r="AA1570" s="30"/>
    </row>
    <row r="1571">
      <c r="A1571" s="29">
        <v>1351134.0</v>
      </c>
      <c r="B1571" s="29">
        <v>1351000.0</v>
      </c>
      <c r="C1571" s="30" t="str">
        <f t="shared" si="1"/>
        <v>-</v>
      </c>
      <c r="D1571" s="29">
        <f t="shared" si="2"/>
        <v>523</v>
      </c>
      <c r="E1571" s="30"/>
      <c r="F1571" s="30"/>
      <c r="G1571" s="30"/>
      <c r="H1571" s="30"/>
      <c r="I1571" s="30"/>
      <c r="J1571" s="30"/>
      <c r="K1571" s="30"/>
      <c r="L1571" s="30"/>
      <c r="M1571" s="30"/>
      <c r="N1571" s="30"/>
      <c r="O1571" s="30"/>
      <c r="P1571" s="30"/>
      <c r="Q1571" s="30"/>
      <c r="R1571" s="30"/>
      <c r="S1571" s="30"/>
      <c r="T1571" s="30"/>
      <c r="U1571" s="30"/>
      <c r="V1571" s="30"/>
      <c r="W1571" s="30"/>
      <c r="X1571" s="30"/>
      <c r="Y1571" s="30"/>
      <c r="Z1571" s="30"/>
      <c r="AA1571" s="30"/>
    </row>
    <row r="1572">
      <c r="A1572" s="29">
        <v>1351437.0</v>
      </c>
      <c r="B1572" s="29">
        <v>1353038.0</v>
      </c>
      <c r="C1572" s="30" t="str">
        <f t="shared" si="1"/>
        <v>+</v>
      </c>
      <c r="D1572" s="29">
        <f t="shared" si="2"/>
        <v>524</v>
      </c>
      <c r="E1572" s="30"/>
      <c r="F1572" s="30"/>
      <c r="G1572" s="30"/>
      <c r="H1572" s="30"/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  <c r="U1572" s="30"/>
      <c r="V1572" s="30"/>
      <c r="W1572" s="30"/>
      <c r="X1572" s="30"/>
      <c r="Y1572" s="30"/>
      <c r="Z1572" s="30"/>
      <c r="AA1572" s="30"/>
    </row>
    <row r="1573">
      <c r="A1573" s="29">
        <v>1353268.0</v>
      </c>
      <c r="B1573" s="29">
        <v>1353516.0</v>
      </c>
      <c r="C1573" s="30" t="str">
        <f t="shared" si="1"/>
        <v>+</v>
      </c>
      <c r="D1573" s="29">
        <f t="shared" si="2"/>
        <v>524</v>
      </c>
      <c r="E1573" s="30"/>
      <c r="F1573" s="30"/>
      <c r="G1573" s="30"/>
      <c r="H1573" s="30"/>
      <c r="I1573" s="30"/>
      <c r="J1573" s="30"/>
      <c r="K1573" s="30"/>
      <c r="L1573" s="30"/>
      <c r="M1573" s="30"/>
      <c r="N1573" s="30"/>
      <c r="O1573" s="30"/>
      <c r="P1573" s="30"/>
      <c r="Q1573" s="30"/>
      <c r="R1573" s="30"/>
      <c r="S1573" s="30"/>
      <c r="T1573" s="30"/>
      <c r="U1573" s="30"/>
      <c r="V1573" s="30"/>
      <c r="W1573" s="30"/>
      <c r="X1573" s="30"/>
      <c r="Y1573" s="30"/>
      <c r="Z1573" s="30"/>
      <c r="AA1573" s="30"/>
    </row>
    <row r="1574">
      <c r="A1574" s="29">
        <v>1353628.0</v>
      </c>
      <c r="B1574" s="29">
        <v>1353762.0</v>
      </c>
      <c r="C1574" s="30" t="str">
        <f t="shared" si="1"/>
        <v>+</v>
      </c>
      <c r="D1574" s="29">
        <f t="shared" si="2"/>
        <v>524</v>
      </c>
      <c r="E1574" s="30"/>
      <c r="F1574" s="30"/>
      <c r="G1574" s="30"/>
      <c r="H1574" s="30"/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0"/>
      <c r="X1574" s="30"/>
      <c r="Y1574" s="30"/>
      <c r="Z1574" s="30"/>
      <c r="AA1574" s="30"/>
    </row>
    <row r="1575">
      <c r="A1575" s="29">
        <v>1353797.0</v>
      </c>
      <c r="B1575" s="29">
        <v>1354123.0</v>
      </c>
      <c r="C1575" s="30" t="str">
        <f t="shared" si="1"/>
        <v>+</v>
      </c>
      <c r="D1575" s="29">
        <f t="shared" si="2"/>
        <v>524</v>
      </c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  <c r="O1575" s="30"/>
      <c r="P1575" s="30"/>
      <c r="Q1575" s="30"/>
      <c r="R1575" s="30"/>
      <c r="S1575" s="30"/>
      <c r="T1575" s="30"/>
      <c r="U1575" s="30"/>
      <c r="V1575" s="30"/>
      <c r="W1575" s="30"/>
      <c r="X1575" s="30"/>
      <c r="Y1575" s="30"/>
      <c r="Z1575" s="30"/>
      <c r="AA1575" s="30"/>
    </row>
    <row r="1576">
      <c r="A1576" s="29">
        <v>1354391.0</v>
      </c>
      <c r="B1576" s="29">
        <v>1355251.0</v>
      </c>
      <c r="C1576" s="30" t="str">
        <f t="shared" si="1"/>
        <v>+</v>
      </c>
      <c r="D1576" s="29">
        <f t="shared" si="2"/>
        <v>524</v>
      </c>
      <c r="E1576" s="30"/>
      <c r="F1576" s="30"/>
      <c r="G1576" s="30"/>
      <c r="H1576" s="30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/>
      <c r="W1576" s="30"/>
      <c r="X1576" s="30"/>
      <c r="Y1576" s="30"/>
      <c r="Z1576" s="30"/>
      <c r="AA1576" s="30"/>
    </row>
    <row r="1577">
      <c r="A1577" s="29">
        <v>1356223.0</v>
      </c>
      <c r="B1577" s="29">
        <v>1355258.0</v>
      </c>
      <c r="C1577" s="30" t="str">
        <f t="shared" si="1"/>
        <v>-</v>
      </c>
      <c r="D1577" s="29">
        <f t="shared" si="2"/>
        <v>525</v>
      </c>
      <c r="E1577" s="30"/>
      <c r="F1577" s="30"/>
      <c r="G1577" s="30"/>
      <c r="H1577" s="30"/>
      <c r="I1577" s="30"/>
      <c r="J1577" s="30"/>
      <c r="K1577" s="30"/>
      <c r="L1577" s="30"/>
      <c r="M1577" s="30"/>
      <c r="N1577" s="30"/>
      <c r="O1577" s="30"/>
      <c r="P1577" s="30"/>
      <c r="Q1577" s="30"/>
      <c r="R1577" s="30"/>
      <c r="S1577" s="30"/>
      <c r="T1577" s="30"/>
      <c r="U1577" s="30"/>
      <c r="V1577" s="30"/>
      <c r="W1577" s="30"/>
      <c r="X1577" s="30"/>
      <c r="Y1577" s="30"/>
      <c r="Z1577" s="30"/>
      <c r="AA1577" s="30"/>
    </row>
    <row r="1578">
      <c r="A1578" s="29">
        <v>1357208.0</v>
      </c>
      <c r="B1578" s="29">
        <v>1356297.0</v>
      </c>
      <c r="C1578" s="30" t="str">
        <f t="shared" si="1"/>
        <v>-</v>
      </c>
      <c r="D1578" s="29">
        <f t="shared" si="2"/>
        <v>525</v>
      </c>
      <c r="E1578" s="30"/>
      <c r="F1578" s="30"/>
      <c r="G1578" s="30"/>
      <c r="H1578" s="30"/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/>
      <c r="W1578" s="30"/>
      <c r="X1578" s="30"/>
      <c r="Y1578" s="30"/>
      <c r="Z1578" s="30"/>
      <c r="AA1578" s="30"/>
    </row>
    <row r="1579">
      <c r="A1579" s="29">
        <v>1357366.0</v>
      </c>
      <c r="B1579" s="29">
        <v>1357232.0</v>
      </c>
      <c r="C1579" s="30" t="str">
        <f t="shared" si="1"/>
        <v>-</v>
      </c>
      <c r="D1579" s="29">
        <f t="shared" si="2"/>
        <v>525</v>
      </c>
      <c r="E1579" s="30"/>
      <c r="F1579" s="30"/>
      <c r="G1579" s="30"/>
      <c r="H1579" s="30"/>
      <c r="I1579" s="30"/>
      <c r="J1579" s="30"/>
      <c r="K1579" s="30"/>
      <c r="L1579" s="30"/>
      <c r="M1579" s="30"/>
      <c r="N1579" s="30"/>
      <c r="O1579" s="30"/>
      <c r="P1579" s="30"/>
      <c r="Q1579" s="30"/>
      <c r="R1579" s="30"/>
      <c r="S1579" s="30"/>
      <c r="T1579" s="30"/>
      <c r="U1579" s="30"/>
      <c r="V1579" s="30"/>
      <c r="W1579" s="30"/>
      <c r="X1579" s="30"/>
      <c r="Y1579" s="30"/>
      <c r="Z1579" s="30"/>
      <c r="AA1579" s="30"/>
    </row>
    <row r="1580">
      <c r="A1580" s="29">
        <v>1358009.0</v>
      </c>
      <c r="B1580" s="29">
        <v>1357503.0</v>
      </c>
      <c r="C1580" s="30" t="str">
        <f t="shared" si="1"/>
        <v>-</v>
      </c>
      <c r="D1580" s="29">
        <f t="shared" si="2"/>
        <v>525</v>
      </c>
      <c r="E1580" s="30"/>
      <c r="F1580" s="30"/>
      <c r="G1580" s="30"/>
      <c r="H1580" s="30"/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0"/>
      <c r="X1580" s="30"/>
      <c r="Y1580" s="30"/>
      <c r="Z1580" s="30"/>
      <c r="AA1580" s="30"/>
    </row>
    <row r="1581">
      <c r="A1581" s="29">
        <v>1358126.0</v>
      </c>
      <c r="B1581" s="29">
        <v>1358605.0</v>
      </c>
      <c r="C1581" s="30" t="str">
        <f t="shared" si="1"/>
        <v>+</v>
      </c>
      <c r="D1581" s="29">
        <f t="shared" si="2"/>
        <v>526</v>
      </c>
      <c r="E1581" s="30"/>
      <c r="F1581" s="30"/>
      <c r="G1581" s="30"/>
      <c r="H1581" s="30"/>
      <c r="I1581" s="30"/>
      <c r="J1581" s="30"/>
      <c r="K1581" s="30"/>
      <c r="L1581" s="30"/>
      <c r="M1581" s="30"/>
      <c r="N1581" s="30"/>
      <c r="O1581" s="30"/>
      <c r="P1581" s="30"/>
      <c r="Q1581" s="30"/>
      <c r="R1581" s="30"/>
      <c r="S1581" s="30"/>
      <c r="T1581" s="30"/>
      <c r="U1581" s="30"/>
      <c r="V1581" s="30"/>
      <c r="W1581" s="30"/>
      <c r="X1581" s="30"/>
      <c r="Y1581" s="30"/>
      <c r="Z1581" s="30"/>
      <c r="AA1581" s="30"/>
    </row>
    <row r="1582">
      <c r="A1582" s="29">
        <v>1358607.0</v>
      </c>
      <c r="B1582" s="29">
        <v>1359047.0</v>
      </c>
      <c r="C1582" s="30" t="str">
        <f t="shared" si="1"/>
        <v>+</v>
      </c>
      <c r="D1582" s="29">
        <f t="shared" si="2"/>
        <v>526</v>
      </c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/>
      <c r="U1582" s="30"/>
      <c r="V1582" s="30"/>
      <c r="W1582" s="30"/>
      <c r="X1582" s="30"/>
      <c r="Y1582" s="30"/>
      <c r="Z1582" s="30"/>
      <c r="AA1582" s="30"/>
    </row>
    <row r="1583">
      <c r="A1583" s="29">
        <v>1359072.0</v>
      </c>
      <c r="B1583" s="29">
        <v>1359701.0</v>
      </c>
      <c r="C1583" s="30" t="str">
        <f t="shared" si="1"/>
        <v>+</v>
      </c>
      <c r="D1583" s="29">
        <f t="shared" si="2"/>
        <v>526</v>
      </c>
      <c r="E1583" s="30"/>
      <c r="F1583" s="30"/>
      <c r="G1583" s="30"/>
      <c r="H1583" s="30"/>
      <c r="I1583" s="30"/>
      <c r="J1583" s="30"/>
      <c r="K1583" s="30"/>
      <c r="L1583" s="30"/>
      <c r="M1583" s="30"/>
      <c r="N1583" s="30"/>
      <c r="O1583" s="30"/>
      <c r="P1583" s="30"/>
      <c r="Q1583" s="30"/>
      <c r="R1583" s="30"/>
      <c r="S1583" s="30"/>
      <c r="T1583" s="30"/>
      <c r="U1583" s="30"/>
      <c r="V1583" s="30"/>
      <c r="W1583" s="30"/>
      <c r="X1583" s="30"/>
      <c r="Y1583" s="30"/>
      <c r="Z1583" s="30"/>
      <c r="AA1583" s="30"/>
    </row>
    <row r="1584">
      <c r="A1584" s="29">
        <v>1359767.0</v>
      </c>
      <c r="B1584" s="29">
        <v>1361110.0</v>
      </c>
      <c r="C1584" s="30" t="str">
        <f t="shared" si="1"/>
        <v>+</v>
      </c>
      <c r="D1584" s="29">
        <f t="shared" si="2"/>
        <v>526</v>
      </c>
      <c r="E1584" s="30"/>
      <c r="F1584" s="30"/>
      <c r="G1584" s="30"/>
      <c r="H1584" s="30"/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  <c r="U1584" s="30"/>
      <c r="V1584" s="30"/>
      <c r="W1584" s="30"/>
      <c r="X1584" s="30"/>
      <c r="Y1584" s="30"/>
      <c r="Z1584" s="30"/>
      <c r="AA1584" s="30"/>
    </row>
    <row r="1585">
      <c r="A1585" s="29">
        <v>1361159.0</v>
      </c>
      <c r="B1585" s="29">
        <v>1361716.0</v>
      </c>
      <c r="C1585" s="30" t="str">
        <f t="shared" si="1"/>
        <v>+</v>
      </c>
      <c r="D1585" s="29">
        <f t="shared" si="2"/>
        <v>526</v>
      </c>
      <c r="E1585" s="30"/>
      <c r="F1585" s="30"/>
      <c r="G1585" s="30"/>
      <c r="H1585" s="30"/>
      <c r="I1585" s="30"/>
      <c r="J1585" s="30"/>
      <c r="K1585" s="30"/>
      <c r="L1585" s="30"/>
      <c r="M1585" s="30"/>
      <c r="N1585" s="30"/>
      <c r="O1585" s="30"/>
      <c r="P1585" s="30"/>
      <c r="Q1585" s="30"/>
      <c r="R1585" s="30"/>
      <c r="S1585" s="30"/>
      <c r="T1585" s="30"/>
      <c r="U1585" s="30"/>
      <c r="V1585" s="30"/>
      <c r="W1585" s="30"/>
      <c r="X1585" s="30"/>
      <c r="Y1585" s="30"/>
      <c r="Z1585" s="30"/>
      <c r="AA1585" s="30"/>
    </row>
    <row r="1586">
      <c r="A1586" s="29">
        <v>1361977.0</v>
      </c>
      <c r="B1586" s="29">
        <v>1362870.0</v>
      </c>
      <c r="C1586" s="30" t="str">
        <f t="shared" si="1"/>
        <v>+</v>
      </c>
      <c r="D1586" s="29">
        <f t="shared" si="2"/>
        <v>526</v>
      </c>
      <c r="E1586" s="30"/>
      <c r="F1586" s="30"/>
      <c r="G1586" s="30"/>
      <c r="H1586" s="30"/>
      <c r="I1586" s="30"/>
      <c r="J1586" s="30"/>
      <c r="K1586" s="30"/>
      <c r="L1586" s="30"/>
      <c r="M1586" s="30"/>
      <c r="N1586" s="30"/>
      <c r="O1586" s="30"/>
      <c r="P1586" s="30"/>
      <c r="Q1586" s="30"/>
      <c r="R1586" s="30"/>
      <c r="S1586" s="30"/>
      <c r="T1586" s="30"/>
      <c r="U1586" s="30"/>
      <c r="V1586" s="30"/>
      <c r="W1586" s="30"/>
      <c r="X1586" s="30"/>
      <c r="Y1586" s="30"/>
      <c r="Z1586" s="30"/>
      <c r="AA1586" s="30"/>
    </row>
    <row r="1587">
      <c r="A1587" s="29">
        <v>1363327.0</v>
      </c>
      <c r="B1587" s="29">
        <v>1363166.0</v>
      </c>
      <c r="C1587" s="30" t="str">
        <f t="shared" si="1"/>
        <v>-</v>
      </c>
      <c r="D1587" s="29">
        <f t="shared" si="2"/>
        <v>527</v>
      </c>
      <c r="E1587" s="30"/>
      <c r="F1587" s="30"/>
      <c r="G1587" s="30"/>
      <c r="H1587" s="30"/>
      <c r="I1587" s="30"/>
      <c r="J1587" s="30"/>
      <c r="K1587" s="30"/>
      <c r="L1587" s="30"/>
      <c r="M1587" s="30"/>
      <c r="N1587" s="30"/>
      <c r="O1587" s="30"/>
      <c r="P1587" s="30"/>
      <c r="Q1587" s="30"/>
      <c r="R1587" s="30"/>
      <c r="S1587" s="30"/>
      <c r="T1587" s="30"/>
      <c r="U1587" s="30"/>
      <c r="V1587" s="30"/>
      <c r="W1587" s="30"/>
      <c r="X1587" s="30"/>
      <c r="Y1587" s="30"/>
      <c r="Z1587" s="30"/>
      <c r="AA1587" s="30"/>
    </row>
    <row r="1588">
      <c r="A1588" s="29">
        <v>1364526.0</v>
      </c>
      <c r="B1588" s="29">
        <v>1365338.0</v>
      </c>
      <c r="C1588" s="30" t="str">
        <f t="shared" si="1"/>
        <v>+</v>
      </c>
      <c r="D1588" s="29">
        <f t="shared" si="2"/>
        <v>528</v>
      </c>
      <c r="E1588" s="30"/>
      <c r="F1588" s="30"/>
      <c r="G1588" s="30"/>
      <c r="H1588" s="30"/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  <c r="U1588" s="30"/>
      <c r="V1588" s="30"/>
      <c r="W1588" s="30"/>
      <c r="X1588" s="30"/>
      <c r="Y1588" s="30"/>
      <c r="Z1588" s="30"/>
      <c r="AA1588" s="30"/>
    </row>
    <row r="1589">
      <c r="A1589" s="29">
        <v>1365752.0</v>
      </c>
      <c r="B1589" s="29">
        <v>1366414.0</v>
      </c>
      <c r="C1589" s="30" t="str">
        <f t="shared" si="1"/>
        <v>+</v>
      </c>
      <c r="D1589" s="29">
        <f t="shared" si="2"/>
        <v>528</v>
      </c>
      <c r="E1589" s="30"/>
      <c r="F1589" s="30"/>
      <c r="G1589" s="30"/>
      <c r="H1589" s="30"/>
      <c r="I1589" s="30"/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0"/>
      <c r="X1589" s="30"/>
      <c r="Y1589" s="30"/>
      <c r="Z1589" s="30"/>
      <c r="AA1589" s="30"/>
    </row>
    <row r="1590">
      <c r="A1590" s="29">
        <v>1366444.0</v>
      </c>
      <c r="B1590" s="29">
        <v>1366665.0</v>
      </c>
      <c r="C1590" s="30" t="str">
        <f t="shared" si="1"/>
        <v>+</v>
      </c>
      <c r="D1590" s="29">
        <f t="shared" si="2"/>
        <v>528</v>
      </c>
      <c r="E1590" s="30"/>
      <c r="F1590" s="30"/>
      <c r="G1590" s="30"/>
      <c r="H1590" s="30"/>
      <c r="I1590" s="30"/>
      <c r="J1590" s="30"/>
      <c r="K1590" s="30"/>
      <c r="L1590" s="30"/>
      <c r="M1590" s="30"/>
      <c r="N1590" s="30"/>
      <c r="O1590" s="30"/>
      <c r="P1590" s="30"/>
      <c r="Q1590" s="30"/>
      <c r="R1590" s="30"/>
      <c r="S1590" s="30"/>
      <c r="T1590" s="30"/>
      <c r="U1590" s="30"/>
      <c r="V1590" s="30"/>
      <c r="W1590" s="30"/>
      <c r="X1590" s="30"/>
      <c r="Y1590" s="30"/>
      <c r="Z1590" s="30"/>
      <c r="AA1590" s="30"/>
    </row>
    <row r="1591">
      <c r="A1591" s="29">
        <v>1366652.0</v>
      </c>
      <c r="B1591" s="29">
        <v>1366888.0</v>
      </c>
      <c r="C1591" s="30" t="str">
        <f t="shared" si="1"/>
        <v>+</v>
      </c>
      <c r="D1591" s="29">
        <f t="shared" si="2"/>
        <v>528</v>
      </c>
      <c r="E1591" s="30"/>
      <c r="F1591" s="30"/>
      <c r="G1591" s="30"/>
      <c r="H1591" s="30"/>
      <c r="I1591" s="30"/>
      <c r="J1591" s="30"/>
      <c r="K1591" s="30"/>
      <c r="L1591" s="30"/>
      <c r="M1591" s="30"/>
      <c r="N1591" s="30"/>
      <c r="O1591" s="30"/>
      <c r="P1591" s="30"/>
      <c r="Q1591" s="30"/>
      <c r="R1591" s="30"/>
      <c r="S1591" s="30"/>
      <c r="T1591" s="30"/>
      <c r="U1591" s="30"/>
      <c r="V1591" s="30"/>
      <c r="W1591" s="30"/>
      <c r="X1591" s="30"/>
      <c r="Y1591" s="30"/>
      <c r="Z1591" s="30"/>
      <c r="AA1591" s="30"/>
    </row>
    <row r="1592">
      <c r="A1592" s="29">
        <v>1366998.0</v>
      </c>
      <c r="B1592" s="29">
        <v>1367243.0</v>
      </c>
      <c r="C1592" s="30" t="str">
        <f t="shared" si="1"/>
        <v>+</v>
      </c>
      <c r="D1592" s="29">
        <f t="shared" si="2"/>
        <v>528</v>
      </c>
      <c r="E1592" s="30"/>
      <c r="F1592" s="30"/>
      <c r="G1592" s="30"/>
      <c r="H1592" s="30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  <c r="U1592" s="30"/>
      <c r="V1592" s="30"/>
      <c r="W1592" s="30"/>
      <c r="X1592" s="30"/>
      <c r="Y1592" s="30"/>
      <c r="Z1592" s="30"/>
      <c r="AA1592" s="30"/>
    </row>
    <row r="1593">
      <c r="A1593" s="29">
        <v>1368117.0</v>
      </c>
      <c r="B1593" s="29">
        <v>1367197.0</v>
      </c>
      <c r="C1593" s="30" t="str">
        <f t="shared" si="1"/>
        <v>-</v>
      </c>
      <c r="D1593" s="29">
        <f t="shared" si="2"/>
        <v>529</v>
      </c>
      <c r="E1593" s="30"/>
      <c r="F1593" s="30"/>
      <c r="G1593" s="30"/>
      <c r="H1593" s="30"/>
      <c r="I1593" s="30"/>
      <c r="J1593" s="30"/>
      <c r="K1593" s="30"/>
      <c r="L1593" s="30"/>
      <c r="M1593" s="30"/>
      <c r="N1593" s="30"/>
      <c r="O1593" s="30"/>
      <c r="P1593" s="30"/>
      <c r="Q1593" s="30"/>
      <c r="R1593" s="30"/>
      <c r="S1593" s="30"/>
      <c r="T1593" s="30"/>
      <c r="U1593" s="30"/>
      <c r="V1593" s="30"/>
      <c r="W1593" s="30"/>
      <c r="X1593" s="30"/>
      <c r="Y1593" s="30"/>
      <c r="Z1593" s="30"/>
      <c r="AA1593" s="30"/>
    </row>
    <row r="1594">
      <c r="A1594" s="29">
        <v>1368828.0</v>
      </c>
      <c r="B1594" s="29">
        <v>1368157.0</v>
      </c>
      <c r="C1594" s="30" t="str">
        <f t="shared" si="1"/>
        <v>-</v>
      </c>
      <c r="D1594" s="29">
        <f t="shared" si="2"/>
        <v>529</v>
      </c>
      <c r="E1594" s="30"/>
      <c r="F1594" s="30"/>
      <c r="G1594" s="30"/>
      <c r="H1594" s="30"/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0"/>
      <c r="X1594" s="30"/>
      <c r="Y1594" s="30"/>
      <c r="Z1594" s="30"/>
      <c r="AA1594" s="30"/>
    </row>
    <row r="1595">
      <c r="A1595" s="29">
        <v>1371125.0</v>
      </c>
      <c r="B1595" s="29">
        <v>1368828.0</v>
      </c>
      <c r="C1595" s="30" t="str">
        <f t="shared" si="1"/>
        <v>-</v>
      </c>
      <c r="D1595" s="29">
        <f t="shared" si="2"/>
        <v>529</v>
      </c>
      <c r="E1595" s="30"/>
      <c r="F1595" s="30"/>
      <c r="G1595" s="30"/>
      <c r="H1595" s="30"/>
      <c r="I1595" s="30"/>
      <c r="J1595" s="30"/>
      <c r="K1595" s="30"/>
      <c r="L1595" s="30"/>
      <c r="M1595" s="30"/>
      <c r="N1595" s="30"/>
      <c r="O1595" s="30"/>
      <c r="P1595" s="30"/>
      <c r="Q1595" s="30"/>
      <c r="R1595" s="30"/>
      <c r="S1595" s="30"/>
      <c r="T1595" s="30"/>
      <c r="U1595" s="30"/>
      <c r="V1595" s="30"/>
      <c r="W1595" s="30"/>
      <c r="X1595" s="30"/>
      <c r="Y1595" s="30"/>
      <c r="Z1595" s="30"/>
      <c r="AA1595" s="30"/>
    </row>
    <row r="1596">
      <c r="A1596" s="29">
        <v>1371227.0</v>
      </c>
      <c r="B1596" s="29">
        <v>1373386.0</v>
      </c>
      <c r="C1596" s="30" t="str">
        <f t="shared" si="1"/>
        <v>+</v>
      </c>
      <c r="D1596" s="29">
        <f t="shared" si="2"/>
        <v>530</v>
      </c>
      <c r="E1596" s="30"/>
      <c r="F1596" s="30"/>
      <c r="G1596" s="30"/>
      <c r="H1596" s="30"/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0"/>
      <c r="Z1596" s="30"/>
      <c r="AA1596" s="30"/>
    </row>
    <row r="1597">
      <c r="A1597" s="29">
        <v>1373822.0</v>
      </c>
      <c r="B1597" s="29">
        <v>1373535.0</v>
      </c>
      <c r="C1597" s="30" t="str">
        <f t="shared" si="1"/>
        <v>-</v>
      </c>
      <c r="D1597" s="29">
        <f t="shared" si="2"/>
        <v>531</v>
      </c>
      <c r="E1597" s="30"/>
      <c r="F1597" s="30"/>
      <c r="G1597" s="30"/>
      <c r="H1597" s="30"/>
      <c r="I1597" s="30"/>
      <c r="J1597" s="30"/>
      <c r="K1597" s="30"/>
      <c r="L1597" s="30"/>
      <c r="M1597" s="30"/>
      <c r="N1597" s="30"/>
      <c r="O1597" s="30"/>
      <c r="P1597" s="30"/>
      <c r="Q1597" s="30"/>
      <c r="R1597" s="30"/>
      <c r="S1597" s="30"/>
      <c r="T1597" s="30"/>
      <c r="U1597" s="30"/>
      <c r="V1597" s="30"/>
      <c r="W1597" s="30"/>
      <c r="X1597" s="30"/>
      <c r="Y1597" s="30"/>
      <c r="Z1597" s="30"/>
      <c r="AA1597" s="30"/>
    </row>
    <row r="1598">
      <c r="A1598" s="29">
        <v>1373943.0</v>
      </c>
      <c r="B1598" s="29">
        <v>1373815.0</v>
      </c>
      <c r="C1598" s="30" t="str">
        <f t="shared" si="1"/>
        <v>-</v>
      </c>
      <c r="D1598" s="29">
        <f t="shared" si="2"/>
        <v>531</v>
      </c>
      <c r="E1598" s="30"/>
      <c r="F1598" s="30"/>
      <c r="G1598" s="30"/>
      <c r="H1598" s="30"/>
      <c r="I1598" s="30"/>
      <c r="J1598" s="30"/>
      <c r="K1598" s="30"/>
      <c r="L1598" s="30"/>
      <c r="M1598" s="30"/>
      <c r="N1598" s="30"/>
      <c r="O1598" s="30"/>
      <c r="P1598" s="30"/>
      <c r="Q1598" s="30"/>
      <c r="R1598" s="30"/>
      <c r="S1598" s="30"/>
      <c r="T1598" s="30"/>
      <c r="U1598" s="30"/>
      <c r="V1598" s="30"/>
      <c r="W1598" s="30"/>
      <c r="X1598" s="30"/>
      <c r="Y1598" s="30"/>
      <c r="Z1598" s="30"/>
      <c r="AA1598" s="30"/>
    </row>
    <row r="1599">
      <c r="A1599" s="29">
        <v>1374565.0</v>
      </c>
      <c r="B1599" s="29">
        <v>1373972.0</v>
      </c>
      <c r="C1599" s="30" t="str">
        <f t="shared" si="1"/>
        <v>-</v>
      </c>
      <c r="D1599" s="29">
        <f t="shared" si="2"/>
        <v>531</v>
      </c>
      <c r="E1599" s="30"/>
      <c r="F1599" s="30"/>
      <c r="G1599" s="30"/>
      <c r="H1599" s="30"/>
      <c r="I1599" s="30"/>
      <c r="J1599" s="30"/>
      <c r="K1599" s="30"/>
      <c r="L1599" s="30"/>
      <c r="M1599" s="30"/>
      <c r="N1599" s="30"/>
      <c r="O1599" s="30"/>
      <c r="P1599" s="30"/>
      <c r="Q1599" s="30"/>
      <c r="R1599" s="30"/>
      <c r="S1599" s="30"/>
      <c r="T1599" s="30"/>
      <c r="U1599" s="30"/>
      <c r="V1599" s="30"/>
      <c r="W1599" s="30"/>
      <c r="X1599" s="30"/>
      <c r="Y1599" s="30"/>
      <c r="Z1599" s="30"/>
      <c r="AA1599" s="30"/>
    </row>
    <row r="1600">
      <c r="A1600" s="29">
        <v>1374796.0</v>
      </c>
      <c r="B1600" s="29">
        <v>1375377.0</v>
      </c>
      <c r="C1600" s="30" t="str">
        <f t="shared" si="1"/>
        <v>+</v>
      </c>
      <c r="D1600" s="29">
        <f t="shared" si="2"/>
        <v>532</v>
      </c>
      <c r="E1600" s="30"/>
      <c r="F1600" s="30"/>
      <c r="G1600" s="30"/>
      <c r="H1600" s="30"/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0"/>
      <c r="Z1600" s="30"/>
      <c r="AA1600" s="30"/>
    </row>
    <row r="1601">
      <c r="A1601" s="29">
        <v>1375353.0</v>
      </c>
      <c r="B1601" s="29">
        <v>1375598.0</v>
      </c>
      <c r="C1601" s="30" t="str">
        <f t="shared" si="1"/>
        <v>+</v>
      </c>
      <c r="D1601" s="29">
        <f t="shared" si="2"/>
        <v>532</v>
      </c>
      <c r="E1601" s="30"/>
      <c r="F1601" s="30"/>
      <c r="G1601" s="30"/>
      <c r="H1601" s="30"/>
      <c r="I1601" s="30"/>
      <c r="J1601" s="30"/>
      <c r="K1601" s="30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0"/>
      <c r="X1601" s="30"/>
      <c r="Y1601" s="30"/>
      <c r="Z1601" s="30"/>
      <c r="AA1601" s="30"/>
    </row>
    <row r="1602">
      <c r="A1602" s="29">
        <v>1375633.0</v>
      </c>
      <c r="B1602" s="29">
        <v>1376103.0</v>
      </c>
      <c r="C1602" s="30" t="str">
        <f t="shared" si="1"/>
        <v>+</v>
      </c>
      <c r="D1602" s="29">
        <f t="shared" si="2"/>
        <v>532</v>
      </c>
      <c r="E1602" s="30"/>
      <c r="F1602" s="30"/>
      <c r="G1602" s="30"/>
      <c r="H1602" s="30"/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30"/>
      <c r="Z1602" s="30"/>
      <c r="AA1602" s="30"/>
    </row>
    <row r="1603">
      <c r="A1603" s="29">
        <v>1376136.0</v>
      </c>
      <c r="B1603" s="29">
        <v>1377689.0</v>
      </c>
      <c r="C1603" s="30" t="str">
        <f t="shared" si="1"/>
        <v>+</v>
      </c>
      <c r="D1603" s="29">
        <f t="shared" si="2"/>
        <v>532</v>
      </c>
      <c r="E1603" s="30"/>
      <c r="F1603" s="30"/>
      <c r="G1603" s="30"/>
      <c r="H1603" s="30"/>
      <c r="I1603" s="30"/>
      <c r="J1603" s="30"/>
      <c r="K1603" s="30"/>
      <c r="L1603" s="30"/>
      <c r="M1603" s="30"/>
      <c r="N1603" s="30"/>
      <c r="O1603" s="30"/>
      <c r="P1603" s="30"/>
      <c r="Q1603" s="30"/>
      <c r="R1603" s="30"/>
      <c r="S1603" s="30"/>
      <c r="T1603" s="30"/>
      <c r="U1603" s="30"/>
      <c r="V1603" s="30"/>
      <c r="W1603" s="30"/>
      <c r="X1603" s="30"/>
      <c r="Y1603" s="30"/>
      <c r="Z1603" s="30"/>
      <c r="AA1603" s="30"/>
    </row>
    <row r="1604">
      <c r="A1604" s="29">
        <v>1377670.0</v>
      </c>
      <c r="B1604" s="29">
        <v>1378311.0</v>
      </c>
      <c r="C1604" s="30" t="str">
        <f t="shared" si="1"/>
        <v>+</v>
      </c>
      <c r="D1604" s="29">
        <f t="shared" si="2"/>
        <v>532</v>
      </c>
      <c r="E1604" s="30"/>
      <c r="F1604" s="30"/>
      <c r="G1604" s="30"/>
      <c r="H1604" s="30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  <c r="U1604" s="30"/>
      <c r="V1604" s="30"/>
      <c r="W1604" s="30"/>
      <c r="X1604" s="30"/>
      <c r="Y1604" s="30"/>
      <c r="Z1604" s="30"/>
      <c r="AA1604" s="30"/>
    </row>
    <row r="1605">
      <c r="A1605" s="29">
        <v>1378350.0</v>
      </c>
      <c r="B1605" s="29">
        <v>1380110.0</v>
      </c>
      <c r="C1605" s="30" t="str">
        <f t="shared" si="1"/>
        <v>+</v>
      </c>
      <c r="D1605" s="29">
        <f t="shared" si="2"/>
        <v>532</v>
      </c>
      <c r="E1605" s="30"/>
      <c r="F1605" s="30"/>
      <c r="G1605" s="30"/>
      <c r="H1605" s="30"/>
      <c r="I1605" s="30"/>
      <c r="J1605" s="30"/>
      <c r="K1605" s="30"/>
      <c r="L1605" s="30"/>
      <c r="M1605" s="30"/>
      <c r="N1605" s="30"/>
      <c r="O1605" s="30"/>
      <c r="P1605" s="30"/>
      <c r="Q1605" s="30"/>
      <c r="R1605" s="30"/>
      <c r="S1605" s="30"/>
      <c r="T1605" s="30"/>
      <c r="U1605" s="30"/>
      <c r="V1605" s="30"/>
      <c r="W1605" s="30"/>
      <c r="X1605" s="30"/>
      <c r="Y1605" s="30"/>
      <c r="Z1605" s="30"/>
      <c r="AA1605" s="30"/>
    </row>
    <row r="1606">
      <c r="A1606" s="29">
        <v>1380470.0</v>
      </c>
      <c r="B1606" s="29">
        <v>1381525.0</v>
      </c>
      <c r="C1606" s="30" t="str">
        <f t="shared" si="1"/>
        <v>+</v>
      </c>
      <c r="D1606" s="29">
        <f t="shared" si="2"/>
        <v>532</v>
      </c>
      <c r="E1606" s="30"/>
      <c r="F1606" s="30"/>
      <c r="G1606" s="30"/>
      <c r="H1606" s="30"/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0"/>
      <c r="Z1606" s="30"/>
      <c r="AA1606" s="30"/>
    </row>
    <row r="1607">
      <c r="A1607" s="29">
        <v>1381522.0</v>
      </c>
      <c r="B1607" s="29">
        <v>1381824.0</v>
      </c>
      <c r="C1607" s="30" t="str">
        <f t="shared" si="1"/>
        <v>+</v>
      </c>
      <c r="D1607" s="29">
        <f t="shared" si="2"/>
        <v>532</v>
      </c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0"/>
      <c r="X1607" s="30"/>
      <c r="Y1607" s="30"/>
      <c r="Z1607" s="30"/>
      <c r="AA1607" s="30"/>
    </row>
    <row r="1608">
      <c r="A1608" s="29">
        <v>1381821.0</v>
      </c>
      <c r="B1608" s="29">
        <v>1382264.0</v>
      </c>
      <c r="C1608" s="30" t="str">
        <f t="shared" si="1"/>
        <v>+</v>
      </c>
      <c r="D1608" s="29">
        <f t="shared" si="2"/>
        <v>532</v>
      </c>
      <c r="E1608" s="30"/>
      <c r="F1608" s="30"/>
      <c r="G1608" s="30"/>
      <c r="H1608" s="30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  <c r="U1608" s="30"/>
      <c r="V1608" s="30"/>
      <c r="W1608" s="30"/>
      <c r="X1608" s="30"/>
      <c r="Y1608" s="30"/>
      <c r="Z1608" s="30"/>
      <c r="AA1608" s="30"/>
    </row>
    <row r="1609">
      <c r="A1609" s="29">
        <v>1382535.0</v>
      </c>
      <c r="B1609" s="29">
        <v>1384721.0</v>
      </c>
      <c r="C1609" s="30" t="str">
        <f t="shared" si="1"/>
        <v>+</v>
      </c>
      <c r="D1609" s="29">
        <f t="shared" si="2"/>
        <v>532</v>
      </c>
      <c r="E1609" s="30"/>
      <c r="F1609" s="30"/>
      <c r="G1609" s="30"/>
      <c r="H1609" s="30"/>
      <c r="I1609" s="30"/>
      <c r="J1609" s="30"/>
      <c r="K1609" s="30"/>
      <c r="L1609" s="30"/>
      <c r="M1609" s="30"/>
      <c r="N1609" s="30"/>
      <c r="O1609" s="30"/>
      <c r="P1609" s="30"/>
      <c r="Q1609" s="30"/>
      <c r="R1609" s="30"/>
      <c r="S1609" s="30"/>
      <c r="T1609" s="30"/>
      <c r="U1609" s="30"/>
      <c r="V1609" s="30"/>
      <c r="W1609" s="30"/>
      <c r="X1609" s="30"/>
      <c r="Y1609" s="30"/>
      <c r="Z1609" s="30"/>
      <c r="AA1609" s="30"/>
    </row>
    <row r="1610">
      <c r="A1610" s="29">
        <v>1384693.0</v>
      </c>
      <c r="B1610" s="29">
        <v>1385286.0</v>
      </c>
      <c r="C1610" s="30" t="str">
        <f t="shared" si="1"/>
        <v>+</v>
      </c>
      <c r="D1610" s="29">
        <f t="shared" si="2"/>
        <v>532</v>
      </c>
      <c r="E1610" s="30"/>
      <c r="F1610" s="30"/>
      <c r="G1610" s="30"/>
      <c r="H1610" s="30"/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0"/>
      <c r="X1610" s="30"/>
      <c r="Y1610" s="30"/>
      <c r="Z1610" s="30"/>
      <c r="AA1610" s="30"/>
    </row>
    <row r="1611">
      <c r="A1611" s="29">
        <v>1386775.0</v>
      </c>
      <c r="B1611" s="29">
        <v>1386374.0</v>
      </c>
      <c r="C1611" s="30" t="str">
        <f t="shared" si="1"/>
        <v>-</v>
      </c>
      <c r="D1611" s="29">
        <f t="shared" si="2"/>
        <v>533</v>
      </c>
      <c r="E1611" s="30"/>
      <c r="F1611" s="30"/>
      <c r="G1611" s="30"/>
      <c r="H1611" s="30"/>
      <c r="I1611" s="30"/>
      <c r="J1611" s="30"/>
      <c r="K1611" s="30"/>
      <c r="L1611" s="30"/>
      <c r="M1611" s="30"/>
      <c r="N1611" s="30"/>
      <c r="O1611" s="30"/>
      <c r="P1611" s="30"/>
      <c r="Q1611" s="30"/>
      <c r="R1611" s="30"/>
      <c r="S1611" s="30"/>
      <c r="T1611" s="30"/>
      <c r="U1611" s="30"/>
      <c r="V1611" s="30"/>
      <c r="W1611" s="30"/>
      <c r="X1611" s="30"/>
      <c r="Y1611" s="30"/>
      <c r="Z1611" s="30"/>
      <c r="AA1611" s="30"/>
    </row>
    <row r="1612">
      <c r="A1612" s="29">
        <v>1388692.0</v>
      </c>
      <c r="B1612" s="29">
        <v>1386866.0</v>
      </c>
      <c r="C1612" s="30" t="str">
        <f t="shared" si="1"/>
        <v>-</v>
      </c>
      <c r="D1612" s="29">
        <f t="shared" si="2"/>
        <v>533</v>
      </c>
      <c r="E1612" s="30"/>
      <c r="F1612" s="30"/>
      <c r="G1612" s="30"/>
      <c r="H1612" s="30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  <c r="U1612" s="30"/>
      <c r="V1612" s="30"/>
      <c r="W1612" s="30"/>
      <c r="X1612" s="30"/>
      <c r="Y1612" s="30"/>
      <c r="Z1612" s="30"/>
      <c r="AA1612" s="30"/>
    </row>
    <row r="1613">
      <c r="A1613" s="29">
        <v>1389296.0</v>
      </c>
      <c r="B1613" s="29">
        <v>1388721.0</v>
      </c>
      <c r="C1613" s="30" t="str">
        <f t="shared" si="1"/>
        <v>-</v>
      </c>
      <c r="D1613" s="29">
        <f t="shared" si="2"/>
        <v>533</v>
      </c>
      <c r="E1613" s="30"/>
      <c r="F1613" s="30"/>
      <c r="G1613" s="30"/>
      <c r="H1613" s="30"/>
      <c r="I1613" s="30"/>
      <c r="J1613" s="30"/>
      <c r="K1613" s="30"/>
      <c r="L1613" s="30"/>
      <c r="M1613" s="30"/>
      <c r="N1613" s="30"/>
      <c r="O1613" s="30"/>
      <c r="P1613" s="30"/>
      <c r="Q1613" s="30"/>
      <c r="R1613" s="30"/>
      <c r="S1613" s="30"/>
      <c r="T1613" s="30"/>
      <c r="U1613" s="30"/>
      <c r="V1613" s="30"/>
      <c r="W1613" s="30"/>
      <c r="X1613" s="30"/>
      <c r="Y1613" s="30"/>
      <c r="Z1613" s="30"/>
      <c r="AA1613" s="30"/>
    </row>
    <row r="1614">
      <c r="A1614" s="29">
        <v>1389412.0</v>
      </c>
      <c r="B1614" s="29">
        <v>1390638.0</v>
      </c>
      <c r="C1614" s="30" t="str">
        <f t="shared" si="1"/>
        <v>+</v>
      </c>
      <c r="D1614" s="29">
        <f t="shared" si="2"/>
        <v>534</v>
      </c>
      <c r="E1614" s="30"/>
      <c r="F1614" s="30"/>
      <c r="G1614" s="30"/>
      <c r="H1614" s="30"/>
      <c r="I1614" s="30"/>
      <c r="J1614" s="30"/>
      <c r="K1614" s="30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0"/>
      <c r="X1614" s="30"/>
      <c r="Y1614" s="30"/>
      <c r="Z1614" s="30"/>
      <c r="AA1614" s="30"/>
    </row>
    <row r="1615">
      <c r="A1615" s="29">
        <v>1390635.0</v>
      </c>
      <c r="B1615" s="29">
        <v>1391669.0</v>
      </c>
      <c r="C1615" s="30" t="str">
        <f t="shared" si="1"/>
        <v>+</v>
      </c>
      <c r="D1615" s="29">
        <f t="shared" si="2"/>
        <v>534</v>
      </c>
      <c r="E1615" s="30"/>
      <c r="F1615" s="30"/>
      <c r="G1615" s="30"/>
      <c r="H1615" s="30"/>
      <c r="I1615" s="30"/>
      <c r="J1615" s="30"/>
      <c r="K1615" s="30"/>
      <c r="L1615" s="30"/>
      <c r="M1615" s="30"/>
      <c r="N1615" s="30"/>
      <c r="O1615" s="30"/>
      <c r="P1615" s="30"/>
      <c r="Q1615" s="30"/>
      <c r="R1615" s="30"/>
      <c r="S1615" s="30"/>
      <c r="T1615" s="30"/>
      <c r="U1615" s="30"/>
      <c r="V1615" s="30"/>
      <c r="W1615" s="30"/>
      <c r="X1615" s="30"/>
      <c r="Y1615" s="30"/>
      <c r="Z1615" s="30"/>
      <c r="AA1615" s="30"/>
    </row>
    <row r="1616">
      <c r="A1616" s="29">
        <v>1391662.0</v>
      </c>
      <c r="B1616" s="29">
        <v>1392087.0</v>
      </c>
      <c r="C1616" s="30" t="str">
        <f t="shared" si="1"/>
        <v>+</v>
      </c>
      <c r="D1616" s="29">
        <f t="shared" si="2"/>
        <v>534</v>
      </c>
      <c r="E1616" s="30"/>
      <c r="F1616" s="30"/>
      <c r="G1616" s="30"/>
      <c r="H1616" s="30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0"/>
      <c r="Z1616" s="30"/>
      <c r="AA1616" s="30"/>
    </row>
    <row r="1617">
      <c r="A1617" s="29">
        <v>1392084.0</v>
      </c>
      <c r="B1617" s="29">
        <v>1393160.0</v>
      </c>
      <c r="C1617" s="30" t="str">
        <f t="shared" si="1"/>
        <v>+</v>
      </c>
      <c r="D1617" s="29">
        <f t="shared" si="2"/>
        <v>534</v>
      </c>
      <c r="E1617" s="30"/>
      <c r="F1617" s="30"/>
      <c r="G1617" s="30"/>
      <c r="H1617" s="30"/>
      <c r="I1617" s="30"/>
      <c r="J1617" s="30"/>
      <c r="K1617" s="30"/>
      <c r="L1617" s="30"/>
      <c r="M1617" s="30"/>
      <c r="N1617" s="30"/>
      <c r="O1617" s="30"/>
      <c r="P1617" s="30"/>
      <c r="Q1617" s="30"/>
      <c r="R1617" s="30"/>
      <c r="S1617" s="30"/>
      <c r="T1617" s="30"/>
      <c r="U1617" s="30"/>
      <c r="V1617" s="30"/>
      <c r="W1617" s="30"/>
      <c r="X1617" s="30"/>
      <c r="Y1617" s="30"/>
      <c r="Z1617" s="30"/>
      <c r="AA1617" s="30"/>
    </row>
    <row r="1618">
      <c r="A1618" s="29">
        <v>1393251.0</v>
      </c>
      <c r="B1618" s="29">
        <v>1394078.0</v>
      </c>
      <c r="C1618" s="30" t="str">
        <f t="shared" si="1"/>
        <v>+</v>
      </c>
      <c r="D1618" s="29">
        <f t="shared" si="2"/>
        <v>534</v>
      </c>
      <c r="E1618" s="30"/>
      <c r="F1618" s="30"/>
      <c r="G1618" s="30"/>
      <c r="H1618" s="30"/>
      <c r="I1618" s="30"/>
      <c r="J1618" s="30"/>
      <c r="K1618" s="30"/>
      <c r="L1618" s="30"/>
      <c r="M1618" s="30"/>
      <c r="N1618" s="30"/>
      <c r="O1618" s="30"/>
      <c r="P1618" s="30"/>
      <c r="Q1618" s="30"/>
      <c r="R1618" s="30"/>
      <c r="S1618" s="30"/>
      <c r="T1618" s="30"/>
      <c r="U1618" s="30"/>
      <c r="V1618" s="30"/>
      <c r="W1618" s="30"/>
      <c r="X1618" s="30"/>
      <c r="Y1618" s="30"/>
      <c r="Z1618" s="30"/>
      <c r="AA1618" s="30"/>
    </row>
    <row r="1619">
      <c r="A1619" s="29">
        <v>1394063.0</v>
      </c>
      <c r="B1619" s="29">
        <v>1394755.0</v>
      </c>
      <c r="C1619" s="30" t="str">
        <f t="shared" si="1"/>
        <v>+</v>
      </c>
      <c r="D1619" s="29">
        <f t="shared" si="2"/>
        <v>534</v>
      </c>
      <c r="E1619" s="30"/>
      <c r="F1619" s="30"/>
      <c r="G1619" s="30"/>
      <c r="H1619" s="30"/>
      <c r="I1619" s="30"/>
      <c r="J1619" s="30"/>
      <c r="K1619" s="30"/>
      <c r="L1619" s="30"/>
      <c r="M1619" s="30"/>
      <c r="N1619" s="30"/>
      <c r="O1619" s="30"/>
      <c r="P1619" s="30"/>
      <c r="Q1619" s="30"/>
      <c r="R1619" s="30"/>
      <c r="S1619" s="30"/>
      <c r="T1619" s="30"/>
      <c r="U1619" s="30"/>
      <c r="V1619" s="30"/>
      <c r="W1619" s="30"/>
      <c r="X1619" s="30"/>
      <c r="Y1619" s="30"/>
      <c r="Z1619" s="30"/>
      <c r="AA1619" s="30"/>
    </row>
    <row r="1620">
      <c r="A1620" s="29">
        <v>1395271.0</v>
      </c>
      <c r="B1620" s="29">
        <v>1394807.0</v>
      </c>
      <c r="C1620" s="30" t="str">
        <f t="shared" si="1"/>
        <v>-</v>
      </c>
      <c r="D1620" s="29">
        <f t="shared" si="2"/>
        <v>535</v>
      </c>
      <c r="E1620" s="30"/>
      <c r="F1620" s="30"/>
      <c r="G1620" s="30"/>
      <c r="H1620" s="30"/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0"/>
      <c r="X1620" s="30"/>
      <c r="Y1620" s="30"/>
      <c r="Z1620" s="30"/>
      <c r="AA1620" s="30"/>
    </row>
    <row r="1621">
      <c r="A1621" s="29">
        <v>1395701.0</v>
      </c>
      <c r="B1621" s="29">
        <v>1395321.0</v>
      </c>
      <c r="C1621" s="30" t="str">
        <f t="shared" si="1"/>
        <v>-</v>
      </c>
      <c r="D1621" s="29">
        <f t="shared" si="2"/>
        <v>535</v>
      </c>
      <c r="E1621" s="30"/>
      <c r="F1621" s="30"/>
      <c r="G1621" s="30"/>
      <c r="H1621" s="30"/>
      <c r="I1621" s="30"/>
      <c r="J1621" s="30"/>
      <c r="K1621" s="30"/>
      <c r="L1621" s="30"/>
      <c r="M1621" s="30"/>
      <c r="N1621" s="30"/>
      <c r="O1621" s="30"/>
      <c r="P1621" s="30"/>
      <c r="Q1621" s="30"/>
      <c r="R1621" s="30"/>
      <c r="S1621" s="30"/>
      <c r="T1621" s="30"/>
      <c r="U1621" s="30"/>
      <c r="V1621" s="30"/>
      <c r="W1621" s="30"/>
      <c r="X1621" s="30"/>
      <c r="Y1621" s="30"/>
      <c r="Z1621" s="30"/>
      <c r="AA1621" s="30"/>
    </row>
    <row r="1622">
      <c r="A1622" s="29">
        <v>1396161.0</v>
      </c>
      <c r="B1622" s="29">
        <v>1395643.0</v>
      </c>
      <c r="C1622" s="30" t="str">
        <f t="shared" si="1"/>
        <v>-</v>
      </c>
      <c r="D1622" s="29">
        <f t="shared" si="2"/>
        <v>535</v>
      </c>
      <c r="E1622" s="30"/>
      <c r="F1622" s="30"/>
      <c r="G1622" s="30"/>
      <c r="H1622" s="30"/>
      <c r="I1622" s="30"/>
      <c r="J1622" s="30"/>
      <c r="K1622" s="30"/>
      <c r="L1622" s="30"/>
      <c r="M1622" s="30"/>
      <c r="N1622" s="30"/>
      <c r="O1622" s="30"/>
      <c r="P1622" s="30"/>
      <c r="Q1622" s="30"/>
      <c r="R1622" s="30"/>
      <c r="S1622" s="30"/>
      <c r="T1622" s="30"/>
      <c r="U1622" s="30"/>
      <c r="V1622" s="30"/>
      <c r="W1622" s="30"/>
      <c r="X1622" s="30"/>
      <c r="Y1622" s="30"/>
      <c r="Z1622" s="30"/>
      <c r="AA1622" s="30"/>
    </row>
    <row r="1623">
      <c r="A1623" s="29">
        <v>1396548.0</v>
      </c>
      <c r="B1623" s="29">
        <v>1397879.0</v>
      </c>
      <c r="C1623" s="30" t="str">
        <f t="shared" si="1"/>
        <v>+</v>
      </c>
      <c r="D1623" s="29">
        <f t="shared" si="2"/>
        <v>536</v>
      </c>
      <c r="E1623" s="30"/>
      <c r="F1623" s="30"/>
      <c r="G1623" s="30"/>
      <c r="H1623" s="30"/>
      <c r="I1623" s="30"/>
      <c r="J1623" s="30"/>
      <c r="K1623" s="30"/>
      <c r="L1623" s="30"/>
      <c r="M1623" s="30"/>
      <c r="N1623" s="30"/>
      <c r="O1623" s="30"/>
      <c r="P1623" s="30"/>
      <c r="Q1623" s="30"/>
      <c r="R1623" s="30"/>
      <c r="S1623" s="30"/>
      <c r="T1623" s="30"/>
      <c r="U1623" s="30"/>
      <c r="V1623" s="30"/>
      <c r="W1623" s="30"/>
      <c r="X1623" s="30"/>
      <c r="Y1623" s="30"/>
      <c r="Z1623" s="30"/>
      <c r="AA1623" s="30"/>
    </row>
    <row r="1624">
      <c r="A1624" s="29">
        <v>1397902.0</v>
      </c>
      <c r="B1624" s="29">
        <v>1398114.0</v>
      </c>
      <c r="C1624" s="30" t="str">
        <f t="shared" si="1"/>
        <v>+</v>
      </c>
      <c r="D1624" s="29">
        <f t="shared" si="2"/>
        <v>536</v>
      </c>
      <c r="E1624" s="30"/>
      <c r="F1624" s="30"/>
      <c r="G1624" s="30"/>
      <c r="H1624" s="30"/>
      <c r="I1624" s="30"/>
      <c r="J1624" s="30"/>
      <c r="K1624" s="30"/>
      <c r="L1624" s="30"/>
      <c r="M1624" s="30"/>
      <c r="N1624" s="30"/>
      <c r="O1624" s="30"/>
      <c r="P1624" s="30"/>
      <c r="Q1624" s="30"/>
      <c r="R1624" s="30"/>
      <c r="S1624" s="30"/>
      <c r="T1624" s="30"/>
      <c r="U1624" s="30"/>
      <c r="V1624" s="30"/>
      <c r="W1624" s="30"/>
      <c r="X1624" s="30"/>
      <c r="Y1624" s="30"/>
      <c r="Z1624" s="30"/>
      <c r="AA1624" s="30"/>
    </row>
    <row r="1625">
      <c r="A1625" s="29">
        <v>1398262.0</v>
      </c>
      <c r="B1625" s="29">
        <v>1401330.0</v>
      </c>
      <c r="C1625" s="30" t="str">
        <f t="shared" si="1"/>
        <v>+</v>
      </c>
      <c r="D1625" s="29">
        <f t="shared" si="2"/>
        <v>536</v>
      </c>
      <c r="E1625" s="30"/>
      <c r="F1625" s="30"/>
      <c r="G1625" s="30"/>
      <c r="H1625" s="30"/>
      <c r="I1625" s="30"/>
      <c r="J1625" s="30"/>
      <c r="K1625" s="30"/>
      <c r="L1625" s="30"/>
      <c r="M1625" s="30"/>
      <c r="N1625" s="30"/>
      <c r="O1625" s="30"/>
      <c r="P1625" s="30"/>
      <c r="Q1625" s="30"/>
      <c r="R1625" s="30"/>
      <c r="S1625" s="30"/>
      <c r="T1625" s="30"/>
      <c r="U1625" s="30"/>
      <c r="V1625" s="30"/>
      <c r="W1625" s="30"/>
      <c r="X1625" s="30"/>
      <c r="Y1625" s="30"/>
      <c r="Z1625" s="30"/>
      <c r="AA1625" s="30"/>
    </row>
    <row r="1626">
      <c r="A1626" s="29">
        <v>1401419.0</v>
      </c>
      <c r="B1626" s="29">
        <v>1401348.0</v>
      </c>
      <c r="C1626" s="30" t="str">
        <f t="shared" si="1"/>
        <v>-</v>
      </c>
      <c r="D1626" s="29">
        <f t="shared" si="2"/>
        <v>537</v>
      </c>
      <c r="E1626" s="30"/>
      <c r="F1626" s="30"/>
      <c r="G1626" s="30"/>
      <c r="H1626" s="30"/>
      <c r="I1626" s="30"/>
      <c r="J1626" s="30"/>
      <c r="K1626" s="30"/>
      <c r="L1626" s="30"/>
      <c r="M1626" s="30"/>
      <c r="N1626" s="30"/>
      <c r="O1626" s="30"/>
      <c r="P1626" s="30"/>
      <c r="Q1626" s="30"/>
      <c r="R1626" s="30"/>
      <c r="S1626" s="30"/>
      <c r="T1626" s="30"/>
      <c r="U1626" s="30"/>
      <c r="V1626" s="30"/>
      <c r="W1626" s="30"/>
      <c r="X1626" s="30"/>
      <c r="Y1626" s="30"/>
      <c r="Z1626" s="30"/>
      <c r="AA1626" s="30"/>
    </row>
    <row r="1627">
      <c r="A1627" s="29">
        <v>1401544.0</v>
      </c>
      <c r="B1627" s="29">
        <v>1401612.0</v>
      </c>
      <c r="C1627" s="30" t="str">
        <f t="shared" si="1"/>
        <v>+</v>
      </c>
      <c r="D1627" s="29">
        <f t="shared" si="2"/>
        <v>538</v>
      </c>
      <c r="E1627" s="30"/>
      <c r="F1627" s="30"/>
      <c r="G1627" s="30"/>
      <c r="H1627" s="30"/>
      <c r="I1627" s="30"/>
      <c r="J1627" s="30"/>
      <c r="K1627" s="30"/>
      <c r="L1627" s="30"/>
      <c r="M1627" s="30"/>
      <c r="N1627" s="30"/>
      <c r="O1627" s="30"/>
      <c r="P1627" s="30"/>
      <c r="Q1627" s="30"/>
      <c r="R1627" s="30"/>
      <c r="S1627" s="30"/>
      <c r="T1627" s="30"/>
      <c r="U1627" s="30"/>
      <c r="V1627" s="30"/>
      <c r="W1627" s="30"/>
      <c r="X1627" s="30"/>
      <c r="Y1627" s="30"/>
      <c r="Z1627" s="30"/>
      <c r="AA1627" s="30"/>
    </row>
    <row r="1628">
      <c r="A1628" s="29">
        <v>1401632.0</v>
      </c>
      <c r="B1628" s="29">
        <v>1402084.0</v>
      </c>
      <c r="C1628" s="30" t="str">
        <f t="shared" si="1"/>
        <v>+</v>
      </c>
      <c r="D1628" s="29">
        <f t="shared" si="2"/>
        <v>538</v>
      </c>
      <c r="E1628" s="30"/>
      <c r="F1628" s="30"/>
      <c r="G1628" s="30"/>
      <c r="H1628" s="30"/>
      <c r="I1628" s="30"/>
      <c r="J1628" s="30"/>
      <c r="K1628" s="30"/>
      <c r="L1628" s="30"/>
      <c r="M1628" s="30"/>
      <c r="N1628" s="30"/>
      <c r="O1628" s="30"/>
      <c r="P1628" s="30"/>
      <c r="Q1628" s="30"/>
      <c r="R1628" s="30"/>
      <c r="S1628" s="30"/>
      <c r="T1628" s="30"/>
      <c r="U1628" s="30"/>
      <c r="V1628" s="30"/>
      <c r="W1628" s="30"/>
      <c r="X1628" s="30"/>
      <c r="Y1628" s="30"/>
      <c r="Z1628" s="30"/>
      <c r="AA1628" s="30"/>
    </row>
    <row r="1629">
      <c r="A1629" s="29">
        <v>1402113.0</v>
      </c>
      <c r="B1629" s="29">
        <v>1403993.0</v>
      </c>
      <c r="C1629" s="30" t="str">
        <f t="shared" si="1"/>
        <v>+</v>
      </c>
      <c r="D1629" s="29">
        <f t="shared" si="2"/>
        <v>538</v>
      </c>
      <c r="E1629" s="30"/>
      <c r="F1629" s="30"/>
      <c r="G1629" s="30"/>
      <c r="H1629" s="30"/>
      <c r="I1629" s="30"/>
      <c r="J1629" s="30"/>
      <c r="K1629" s="30"/>
      <c r="L1629" s="30"/>
      <c r="M1629" s="30"/>
      <c r="N1629" s="30"/>
      <c r="O1629" s="30"/>
      <c r="P1629" s="30"/>
      <c r="Q1629" s="30"/>
      <c r="R1629" s="30"/>
      <c r="S1629" s="30"/>
      <c r="T1629" s="30"/>
      <c r="U1629" s="30"/>
      <c r="V1629" s="30"/>
      <c r="W1629" s="30"/>
      <c r="X1629" s="30"/>
      <c r="Y1629" s="30"/>
      <c r="Z1629" s="30"/>
      <c r="AA1629" s="30"/>
    </row>
    <row r="1630">
      <c r="A1630" s="29">
        <v>1403986.0</v>
      </c>
      <c r="B1630" s="29">
        <v>1405242.0</v>
      </c>
      <c r="C1630" s="30" t="str">
        <f t="shared" si="1"/>
        <v>+</v>
      </c>
      <c r="D1630" s="29">
        <f t="shared" si="2"/>
        <v>538</v>
      </c>
      <c r="E1630" s="30"/>
      <c r="F1630" s="30"/>
      <c r="G1630" s="30"/>
      <c r="H1630" s="30"/>
      <c r="I1630" s="30"/>
      <c r="J1630" s="30"/>
      <c r="K1630" s="30"/>
      <c r="L1630" s="30"/>
      <c r="M1630" s="30"/>
      <c r="N1630" s="30"/>
      <c r="O1630" s="30"/>
      <c r="P1630" s="30"/>
      <c r="Q1630" s="30"/>
      <c r="R1630" s="30"/>
      <c r="S1630" s="30"/>
      <c r="T1630" s="30"/>
      <c r="U1630" s="30"/>
      <c r="V1630" s="30"/>
      <c r="W1630" s="30"/>
      <c r="X1630" s="30"/>
      <c r="Y1630" s="30"/>
      <c r="Z1630" s="30"/>
      <c r="AA1630" s="30"/>
    </row>
    <row r="1631">
      <c r="A1631" s="29">
        <v>1405239.0</v>
      </c>
      <c r="B1631" s="29">
        <v>1405766.0</v>
      </c>
      <c r="C1631" s="30" t="str">
        <f t="shared" si="1"/>
        <v>+</v>
      </c>
      <c r="D1631" s="29">
        <f t="shared" si="2"/>
        <v>538</v>
      </c>
      <c r="E1631" s="30"/>
      <c r="F1631" s="30"/>
      <c r="G1631" s="30"/>
      <c r="H1631" s="30"/>
      <c r="I1631" s="30"/>
      <c r="J1631" s="30"/>
      <c r="K1631" s="30"/>
      <c r="L1631" s="30"/>
      <c r="M1631" s="30"/>
      <c r="N1631" s="30"/>
      <c r="O1631" s="30"/>
      <c r="P1631" s="30"/>
      <c r="Q1631" s="30"/>
      <c r="R1631" s="30"/>
      <c r="S1631" s="30"/>
      <c r="T1631" s="30"/>
      <c r="U1631" s="30"/>
      <c r="V1631" s="30"/>
      <c r="W1631" s="30"/>
      <c r="X1631" s="30"/>
      <c r="Y1631" s="30"/>
      <c r="Z1631" s="30"/>
      <c r="AA1631" s="30"/>
    </row>
    <row r="1632">
      <c r="A1632" s="29">
        <v>1406285.0</v>
      </c>
      <c r="B1632" s="29">
        <v>1405758.0</v>
      </c>
      <c r="C1632" s="30" t="str">
        <f t="shared" si="1"/>
        <v>-</v>
      </c>
      <c r="D1632" s="29">
        <f t="shared" si="2"/>
        <v>539</v>
      </c>
      <c r="E1632" s="30"/>
      <c r="F1632" s="30"/>
      <c r="G1632" s="30"/>
      <c r="H1632" s="30"/>
      <c r="I1632" s="30"/>
      <c r="J1632" s="30"/>
      <c r="K1632" s="30"/>
      <c r="L1632" s="30"/>
      <c r="M1632" s="30"/>
      <c r="N1632" s="30"/>
      <c r="O1632" s="30"/>
      <c r="P1632" s="30"/>
      <c r="Q1632" s="30"/>
      <c r="R1632" s="30"/>
      <c r="S1632" s="30"/>
      <c r="T1632" s="30"/>
      <c r="U1632" s="30"/>
      <c r="V1632" s="30"/>
      <c r="W1632" s="30"/>
      <c r="X1632" s="30"/>
      <c r="Y1632" s="30"/>
      <c r="Z1632" s="30"/>
      <c r="AA1632" s="30"/>
    </row>
    <row r="1633">
      <c r="A1633" s="29">
        <v>1406479.0</v>
      </c>
      <c r="B1633" s="29">
        <v>1406787.0</v>
      </c>
      <c r="C1633" s="30" t="str">
        <f t="shared" si="1"/>
        <v>+</v>
      </c>
      <c r="D1633" s="29">
        <f t="shared" si="2"/>
        <v>540</v>
      </c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  <c r="O1633" s="30"/>
      <c r="P1633" s="30"/>
      <c r="Q1633" s="30"/>
      <c r="R1633" s="30"/>
      <c r="S1633" s="30"/>
      <c r="T1633" s="30"/>
      <c r="U1633" s="30"/>
      <c r="V1633" s="30"/>
      <c r="W1633" s="30"/>
      <c r="X1633" s="30"/>
      <c r="Y1633" s="30"/>
      <c r="Z1633" s="30"/>
      <c r="AA1633" s="30"/>
    </row>
    <row r="1634">
      <c r="A1634" s="29">
        <v>1406778.0</v>
      </c>
      <c r="B1634" s="29">
        <v>1407680.0</v>
      </c>
      <c r="C1634" s="30" t="str">
        <f t="shared" si="1"/>
        <v>+</v>
      </c>
      <c r="D1634" s="29">
        <f t="shared" si="2"/>
        <v>540</v>
      </c>
      <c r="E1634" s="30"/>
      <c r="F1634" s="30"/>
      <c r="G1634" s="30"/>
      <c r="H1634" s="30"/>
      <c r="I1634" s="30"/>
      <c r="J1634" s="30"/>
      <c r="K1634" s="30"/>
      <c r="L1634" s="30"/>
      <c r="M1634" s="30"/>
      <c r="N1634" s="30"/>
      <c r="O1634" s="30"/>
      <c r="P1634" s="30"/>
      <c r="Q1634" s="30"/>
      <c r="R1634" s="30"/>
      <c r="S1634" s="30"/>
      <c r="T1634" s="30"/>
      <c r="U1634" s="30"/>
      <c r="V1634" s="30"/>
      <c r="W1634" s="30"/>
      <c r="X1634" s="30"/>
      <c r="Y1634" s="30"/>
      <c r="Z1634" s="30"/>
      <c r="AA1634" s="30"/>
    </row>
    <row r="1635">
      <c r="A1635" s="29">
        <v>1407743.0</v>
      </c>
      <c r="B1635" s="29">
        <v>1409167.0</v>
      </c>
      <c r="C1635" s="30" t="str">
        <f t="shared" si="1"/>
        <v>+</v>
      </c>
      <c r="D1635" s="29">
        <f t="shared" si="2"/>
        <v>540</v>
      </c>
      <c r="E1635" s="30"/>
      <c r="F1635" s="30"/>
      <c r="G1635" s="30"/>
      <c r="H1635" s="30"/>
      <c r="I1635" s="30"/>
      <c r="J1635" s="30"/>
      <c r="K1635" s="30"/>
      <c r="L1635" s="30"/>
      <c r="M1635" s="30"/>
      <c r="N1635" s="30"/>
      <c r="O1635" s="30"/>
      <c r="P1635" s="30"/>
      <c r="Q1635" s="30"/>
      <c r="R1635" s="30"/>
      <c r="S1635" s="30"/>
      <c r="T1635" s="30"/>
      <c r="U1635" s="30"/>
      <c r="V1635" s="30"/>
      <c r="W1635" s="30"/>
      <c r="X1635" s="30"/>
      <c r="Y1635" s="30"/>
      <c r="Z1635" s="30"/>
      <c r="AA1635" s="30"/>
    </row>
    <row r="1636">
      <c r="A1636" s="29">
        <v>1409196.0</v>
      </c>
      <c r="B1636" s="29">
        <v>1409789.0</v>
      </c>
      <c r="C1636" s="30" t="str">
        <f t="shared" si="1"/>
        <v>+</v>
      </c>
      <c r="D1636" s="29">
        <f t="shared" si="2"/>
        <v>540</v>
      </c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0"/>
      <c r="X1636" s="30"/>
      <c r="Y1636" s="30"/>
      <c r="Z1636" s="30"/>
      <c r="AA1636" s="30"/>
    </row>
    <row r="1637">
      <c r="A1637" s="29">
        <v>1409805.0</v>
      </c>
      <c r="B1637" s="29">
        <v>1410314.0</v>
      </c>
      <c r="C1637" s="30" t="str">
        <f t="shared" si="1"/>
        <v>+</v>
      </c>
      <c r="D1637" s="29">
        <f t="shared" si="2"/>
        <v>540</v>
      </c>
      <c r="E1637" s="30"/>
      <c r="F1637" s="30"/>
      <c r="G1637" s="30"/>
      <c r="H1637" s="30"/>
      <c r="I1637" s="30"/>
      <c r="J1637" s="30"/>
      <c r="K1637" s="30"/>
      <c r="L1637" s="30"/>
      <c r="M1637" s="30"/>
      <c r="N1637" s="30"/>
      <c r="O1637" s="30"/>
      <c r="P1637" s="30"/>
      <c r="Q1637" s="30"/>
      <c r="R1637" s="30"/>
      <c r="S1637" s="30"/>
      <c r="T1637" s="30"/>
      <c r="U1637" s="30"/>
      <c r="V1637" s="30"/>
      <c r="W1637" s="30"/>
      <c r="X1637" s="30"/>
      <c r="Y1637" s="30"/>
      <c r="Z1637" s="30"/>
      <c r="AA1637" s="30"/>
    </row>
    <row r="1638">
      <c r="A1638" s="29">
        <v>1410387.0</v>
      </c>
      <c r="B1638" s="29">
        <v>1411295.0</v>
      </c>
      <c r="C1638" s="30" t="str">
        <f t="shared" si="1"/>
        <v>+</v>
      </c>
      <c r="D1638" s="29">
        <f t="shared" si="2"/>
        <v>540</v>
      </c>
      <c r="E1638" s="30"/>
      <c r="F1638" s="30"/>
      <c r="G1638" s="30"/>
      <c r="H1638" s="30"/>
      <c r="I1638" s="30"/>
      <c r="J1638" s="30"/>
      <c r="K1638" s="30"/>
      <c r="L1638" s="30"/>
      <c r="M1638" s="30"/>
      <c r="N1638" s="30"/>
      <c r="O1638" s="30"/>
      <c r="P1638" s="30"/>
      <c r="Q1638" s="30"/>
      <c r="R1638" s="30"/>
      <c r="S1638" s="30"/>
      <c r="T1638" s="30"/>
      <c r="U1638" s="30"/>
      <c r="V1638" s="30"/>
      <c r="W1638" s="30"/>
      <c r="X1638" s="30"/>
      <c r="Y1638" s="30"/>
      <c r="Z1638" s="30"/>
      <c r="AA1638" s="30"/>
    </row>
    <row r="1639">
      <c r="A1639" s="29">
        <v>1411384.0</v>
      </c>
      <c r="B1639" s="29">
        <v>1412772.0</v>
      </c>
      <c r="C1639" s="30" t="str">
        <f t="shared" si="1"/>
        <v>+</v>
      </c>
      <c r="D1639" s="29">
        <f t="shared" si="2"/>
        <v>540</v>
      </c>
      <c r="E1639" s="30"/>
      <c r="F1639" s="30"/>
      <c r="G1639" s="30"/>
      <c r="H1639" s="30"/>
      <c r="I1639" s="30"/>
      <c r="J1639" s="30"/>
      <c r="K1639" s="30"/>
      <c r="L1639" s="30"/>
      <c r="M1639" s="30"/>
      <c r="N1639" s="30"/>
      <c r="O1639" s="30"/>
      <c r="P1639" s="30"/>
      <c r="Q1639" s="30"/>
      <c r="R1639" s="30"/>
      <c r="S1639" s="30"/>
      <c r="T1639" s="30"/>
      <c r="U1639" s="30"/>
      <c r="V1639" s="30"/>
      <c r="W1639" s="30"/>
      <c r="X1639" s="30"/>
      <c r="Y1639" s="30"/>
      <c r="Z1639" s="30"/>
      <c r="AA1639" s="30"/>
    </row>
    <row r="1640">
      <c r="A1640" s="29">
        <v>1412756.0</v>
      </c>
      <c r="B1640" s="29">
        <v>1413565.0</v>
      </c>
      <c r="C1640" s="30" t="str">
        <f t="shared" si="1"/>
        <v>+</v>
      </c>
      <c r="D1640" s="29">
        <f t="shared" si="2"/>
        <v>540</v>
      </c>
      <c r="E1640" s="30"/>
      <c r="F1640" s="30"/>
      <c r="G1640" s="30"/>
      <c r="H1640" s="30"/>
      <c r="I1640" s="30"/>
      <c r="J1640" s="30"/>
      <c r="K1640" s="30"/>
      <c r="L1640" s="30"/>
      <c r="M1640" s="30"/>
      <c r="N1640" s="30"/>
      <c r="O1640" s="30"/>
      <c r="P1640" s="30"/>
      <c r="Q1640" s="30"/>
      <c r="R1640" s="30"/>
      <c r="S1640" s="30"/>
      <c r="T1640" s="30"/>
      <c r="U1640" s="30"/>
      <c r="V1640" s="30"/>
      <c r="W1640" s="30"/>
      <c r="X1640" s="30"/>
      <c r="Y1640" s="30"/>
      <c r="Z1640" s="30"/>
      <c r="AA1640" s="30"/>
    </row>
    <row r="1641">
      <c r="A1641" s="29">
        <v>1413616.0</v>
      </c>
      <c r="B1641" s="29">
        <v>1414077.0</v>
      </c>
      <c r="C1641" s="30" t="str">
        <f t="shared" si="1"/>
        <v>+</v>
      </c>
      <c r="D1641" s="29">
        <f t="shared" si="2"/>
        <v>540</v>
      </c>
      <c r="E1641" s="30"/>
      <c r="F1641" s="30"/>
      <c r="G1641" s="30"/>
      <c r="H1641" s="30"/>
      <c r="I1641" s="30"/>
      <c r="J1641" s="30"/>
      <c r="K1641" s="30"/>
      <c r="L1641" s="30"/>
      <c r="M1641" s="30"/>
      <c r="N1641" s="30"/>
      <c r="O1641" s="30"/>
      <c r="P1641" s="30"/>
      <c r="Q1641" s="30"/>
      <c r="R1641" s="30"/>
      <c r="S1641" s="30"/>
      <c r="T1641" s="30"/>
      <c r="U1641" s="30"/>
      <c r="V1641" s="30"/>
      <c r="W1641" s="30"/>
      <c r="X1641" s="30"/>
      <c r="Y1641" s="30"/>
      <c r="Z1641" s="30"/>
      <c r="AA1641" s="30"/>
    </row>
    <row r="1642">
      <c r="A1642" s="29">
        <v>1414061.0</v>
      </c>
      <c r="B1642" s="29">
        <v>1414693.0</v>
      </c>
      <c r="C1642" s="30" t="str">
        <f t="shared" si="1"/>
        <v>+</v>
      </c>
      <c r="D1642" s="29">
        <f t="shared" si="2"/>
        <v>540</v>
      </c>
      <c r="E1642" s="30"/>
      <c r="F1642" s="30"/>
      <c r="G1642" s="30"/>
      <c r="H1642" s="30"/>
      <c r="I1642" s="30"/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0"/>
      <c r="W1642" s="30"/>
      <c r="X1642" s="30"/>
      <c r="Y1642" s="30"/>
      <c r="Z1642" s="30"/>
      <c r="AA1642" s="30"/>
    </row>
    <row r="1643">
      <c r="A1643" s="29">
        <v>1415163.0</v>
      </c>
      <c r="B1643" s="29">
        <v>1414825.0</v>
      </c>
      <c r="C1643" s="30" t="str">
        <f t="shared" si="1"/>
        <v>-</v>
      </c>
      <c r="D1643" s="29">
        <f t="shared" si="2"/>
        <v>541</v>
      </c>
      <c r="E1643" s="30"/>
      <c r="F1643" s="30"/>
      <c r="G1643" s="30"/>
      <c r="H1643" s="30"/>
      <c r="I1643" s="30"/>
      <c r="J1643" s="30"/>
      <c r="K1643" s="30"/>
      <c r="L1643" s="30"/>
      <c r="M1643" s="30"/>
      <c r="N1643" s="30"/>
      <c r="O1643" s="30"/>
      <c r="P1643" s="30"/>
      <c r="Q1643" s="30"/>
      <c r="R1643" s="30"/>
      <c r="S1643" s="30"/>
      <c r="T1643" s="30"/>
      <c r="U1643" s="30"/>
      <c r="V1643" s="30"/>
      <c r="W1643" s="30"/>
      <c r="X1643" s="30"/>
      <c r="Y1643" s="30"/>
      <c r="Z1643" s="30"/>
      <c r="AA1643" s="30"/>
    </row>
    <row r="1644">
      <c r="A1644" s="29">
        <v>1415492.0</v>
      </c>
      <c r="B1644" s="29">
        <v>1415154.0</v>
      </c>
      <c r="C1644" s="30" t="str">
        <f t="shared" si="1"/>
        <v>-</v>
      </c>
      <c r="D1644" s="29">
        <f t="shared" si="2"/>
        <v>541</v>
      </c>
      <c r="E1644" s="30"/>
      <c r="F1644" s="30"/>
      <c r="G1644" s="30"/>
      <c r="H1644" s="30"/>
      <c r="I1644" s="30"/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  <c r="U1644" s="30"/>
      <c r="V1644" s="30"/>
      <c r="W1644" s="30"/>
      <c r="X1644" s="30"/>
      <c r="Y1644" s="30"/>
      <c r="Z1644" s="30"/>
      <c r="AA1644" s="30"/>
    </row>
    <row r="1645">
      <c r="A1645" s="29">
        <v>1418042.0</v>
      </c>
      <c r="B1645" s="29">
        <v>1417512.0</v>
      </c>
      <c r="C1645" s="30" t="str">
        <f t="shared" si="1"/>
        <v>-</v>
      </c>
      <c r="D1645" s="29">
        <f t="shared" si="2"/>
        <v>541</v>
      </c>
      <c r="E1645" s="30"/>
      <c r="F1645" s="30"/>
      <c r="G1645" s="30"/>
      <c r="H1645" s="30"/>
      <c r="I1645" s="30"/>
      <c r="J1645" s="30"/>
      <c r="K1645" s="30"/>
      <c r="L1645" s="30"/>
      <c r="M1645" s="30"/>
      <c r="N1645" s="30"/>
      <c r="O1645" s="30"/>
      <c r="P1645" s="30"/>
      <c r="Q1645" s="30"/>
      <c r="R1645" s="30"/>
      <c r="S1645" s="30"/>
      <c r="T1645" s="30"/>
      <c r="U1645" s="30"/>
      <c r="V1645" s="30"/>
      <c r="W1645" s="30"/>
      <c r="X1645" s="30"/>
      <c r="Y1645" s="30"/>
      <c r="Z1645" s="30"/>
      <c r="AA1645" s="30"/>
    </row>
    <row r="1646">
      <c r="A1646" s="29">
        <v>1418382.0</v>
      </c>
      <c r="B1646" s="29">
        <v>1418026.0</v>
      </c>
      <c r="C1646" s="30" t="str">
        <f t="shared" si="1"/>
        <v>-</v>
      </c>
      <c r="D1646" s="29">
        <f t="shared" si="2"/>
        <v>541</v>
      </c>
      <c r="E1646" s="30"/>
      <c r="F1646" s="30"/>
      <c r="G1646" s="30"/>
      <c r="H1646" s="30"/>
      <c r="I1646" s="30"/>
      <c r="J1646" s="30"/>
      <c r="K1646" s="30"/>
      <c r="L1646" s="30"/>
      <c r="M1646" s="30"/>
      <c r="N1646" s="30"/>
      <c r="O1646" s="30"/>
      <c r="P1646" s="30"/>
      <c r="Q1646" s="30"/>
      <c r="R1646" s="30"/>
      <c r="S1646" s="30"/>
      <c r="T1646" s="30"/>
      <c r="U1646" s="30"/>
      <c r="V1646" s="30"/>
      <c r="W1646" s="30"/>
      <c r="X1646" s="30"/>
      <c r="Y1646" s="30"/>
      <c r="Z1646" s="30"/>
      <c r="AA1646" s="30"/>
    </row>
    <row r="1647">
      <c r="A1647" s="29">
        <v>1418444.0</v>
      </c>
      <c r="B1647" s="29">
        <v>1419025.0</v>
      </c>
      <c r="C1647" s="30" t="str">
        <f t="shared" si="1"/>
        <v>+</v>
      </c>
      <c r="D1647" s="29">
        <f t="shared" si="2"/>
        <v>542</v>
      </c>
      <c r="E1647" s="30"/>
      <c r="F1647" s="30"/>
      <c r="G1647" s="30"/>
      <c r="H1647" s="30"/>
      <c r="I1647" s="30"/>
      <c r="J1647" s="30"/>
      <c r="K1647" s="30"/>
      <c r="L1647" s="30"/>
      <c r="M1647" s="30"/>
      <c r="N1647" s="30"/>
      <c r="O1647" s="30"/>
      <c r="P1647" s="30"/>
      <c r="Q1647" s="30"/>
      <c r="R1647" s="30"/>
      <c r="S1647" s="30"/>
      <c r="T1647" s="30"/>
      <c r="U1647" s="30"/>
      <c r="V1647" s="30"/>
      <c r="W1647" s="30"/>
      <c r="X1647" s="30"/>
      <c r="Y1647" s="30"/>
      <c r="Z1647" s="30"/>
      <c r="AA1647" s="30"/>
    </row>
    <row r="1648">
      <c r="A1648" s="29">
        <v>1420735.0</v>
      </c>
      <c r="B1648" s="29">
        <v>1419968.0</v>
      </c>
      <c r="C1648" s="30" t="str">
        <f t="shared" si="1"/>
        <v>-</v>
      </c>
      <c r="D1648" s="29">
        <f t="shared" si="2"/>
        <v>543</v>
      </c>
      <c r="E1648" s="30"/>
      <c r="F1648" s="30"/>
      <c r="G1648" s="30"/>
      <c r="H1648" s="30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/>
      <c r="W1648" s="30"/>
      <c r="X1648" s="30"/>
      <c r="Y1648" s="30"/>
      <c r="Z1648" s="30"/>
      <c r="AA1648" s="30"/>
    </row>
    <row r="1649">
      <c r="A1649" s="29">
        <v>1420893.0</v>
      </c>
      <c r="B1649" s="29">
        <v>1422434.0</v>
      </c>
      <c r="C1649" s="30" t="str">
        <f t="shared" si="1"/>
        <v>+</v>
      </c>
      <c r="D1649" s="29">
        <f t="shared" si="2"/>
        <v>544</v>
      </c>
      <c r="E1649" s="30"/>
      <c r="F1649" s="30"/>
      <c r="G1649" s="30"/>
      <c r="H1649" s="30"/>
      <c r="I1649" s="30"/>
      <c r="J1649" s="30"/>
      <c r="K1649" s="30"/>
      <c r="L1649" s="30"/>
      <c r="M1649" s="30"/>
      <c r="N1649" s="30"/>
      <c r="O1649" s="30"/>
      <c r="P1649" s="30"/>
      <c r="Q1649" s="30"/>
      <c r="R1649" s="30"/>
      <c r="S1649" s="30"/>
      <c r="T1649" s="30"/>
      <c r="U1649" s="30"/>
      <c r="V1649" s="30"/>
      <c r="W1649" s="30"/>
      <c r="X1649" s="30"/>
      <c r="Y1649" s="30"/>
      <c r="Z1649" s="30"/>
      <c r="AA1649" s="30"/>
    </row>
    <row r="1650">
      <c r="A1650" s="29">
        <v>1423848.0</v>
      </c>
      <c r="B1650" s="29">
        <v>1422388.0</v>
      </c>
      <c r="C1650" s="30" t="str">
        <f t="shared" si="1"/>
        <v>-</v>
      </c>
      <c r="D1650" s="29">
        <f t="shared" si="2"/>
        <v>545</v>
      </c>
      <c r="E1650" s="30"/>
      <c r="F1650" s="30"/>
      <c r="G1650" s="30"/>
      <c r="H1650" s="30"/>
      <c r="I1650" s="30"/>
      <c r="J1650" s="30"/>
      <c r="K1650" s="30"/>
      <c r="L1650" s="30"/>
      <c r="M1650" s="30"/>
      <c r="N1650" s="30"/>
      <c r="O1650" s="30"/>
      <c r="P1650" s="30"/>
      <c r="Q1650" s="30"/>
      <c r="R1650" s="30"/>
      <c r="S1650" s="30"/>
      <c r="T1650" s="30"/>
      <c r="U1650" s="30"/>
      <c r="V1650" s="30"/>
      <c r="W1650" s="30"/>
      <c r="X1650" s="30"/>
      <c r="Y1650" s="30"/>
      <c r="Z1650" s="30"/>
      <c r="AA1650" s="30"/>
    </row>
    <row r="1651">
      <c r="A1651" s="29">
        <v>1424576.0</v>
      </c>
      <c r="B1651" s="29">
        <v>1423908.0</v>
      </c>
      <c r="C1651" s="30" t="str">
        <f t="shared" si="1"/>
        <v>-</v>
      </c>
      <c r="D1651" s="29">
        <f t="shared" si="2"/>
        <v>545</v>
      </c>
      <c r="E1651" s="30"/>
      <c r="F1651" s="30"/>
      <c r="G1651" s="30"/>
      <c r="H1651" s="30"/>
      <c r="I1651" s="30"/>
      <c r="J1651" s="30"/>
      <c r="K1651" s="30"/>
      <c r="L1651" s="30"/>
      <c r="M1651" s="30"/>
      <c r="N1651" s="30"/>
      <c r="O1651" s="30"/>
      <c r="P1651" s="30"/>
      <c r="Q1651" s="30"/>
      <c r="R1651" s="30"/>
      <c r="S1651" s="30"/>
      <c r="T1651" s="30"/>
      <c r="U1651" s="30"/>
      <c r="V1651" s="30"/>
      <c r="W1651" s="30"/>
      <c r="X1651" s="30"/>
      <c r="Y1651" s="30"/>
      <c r="Z1651" s="30"/>
      <c r="AA1651" s="30"/>
    </row>
    <row r="1652">
      <c r="A1652" s="29">
        <v>1424836.0</v>
      </c>
      <c r="B1652" s="29">
        <v>1424537.0</v>
      </c>
      <c r="C1652" s="30" t="str">
        <f t="shared" si="1"/>
        <v>-</v>
      </c>
      <c r="D1652" s="29">
        <f t="shared" si="2"/>
        <v>545</v>
      </c>
      <c r="E1652" s="30"/>
      <c r="F1652" s="30"/>
      <c r="G1652" s="30"/>
      <c r="H1652" s="30"/>
      <c r="I1652" s="30"/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  <c r="U1652" s="30"/>
      <c r="V1652" s="30"/>
      <c r="W1652" s="30"/>
      <c r="X1652" s="30"/>
      <c r="Y1652" s="30"/>
      <c r="Z1652" s="30"/>
      <c r="AA1652" s="30"/>
    </row>
    <row r="1653">
      <c r="A1653" s="29">
        <v>1425249.0</v>
      </c>
      <c r="B1653" s="29">
        <v>1425653.0</v>
      </c>
      <c r="C1653" s="30" t="str">
        <f t="shared" si="1"/>
        <v>+</v>
      </c>
      <c r="D1653" s="29">
        <f t="shared" si="2"/>
        <v>546</v>
      </c>
      <c r="E1653" s="30"/>
      <c r="F1653" s="30"/>
      <c r="G1653" s="30"/>
      <c r="H1653" s="30"/>
      <c r="I1653" s="30"/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0"/>
      <c r="X1653" s="30"/>
      <c r="Y1653" s="30"/>
      <c r="Z1653" s="30"/>
      <c r="AA1653" s="30"/>
    </row>
    <row r="1654">
      <c r="A1654" s="29">
        <v>1425655.0</v>
      </c>
      <c r="B1654" s="29">
        <v>1426275.0</v>
      </c>
      <c r="C1654" s="30" t="str">
        <f t="shared" si="1"/>
        <v>+</v>
      </c>
      <c r="D1654" s="29">
        <f t="shared" si="2"/>
        <v>546</v>
      </c>
      <c r="E1654" s="30"/>
      <c r="F1654" s="30"/>
      <c r="G1654" s="30"/>
      <c r="H1654" s="30"/>
      <c r="I1654" s="30"/>
      <c r="J1654" s="30"/>
      <c r="K1654" s="30"/>
      <c r="L1654" s="30"/>
      <c r="M1654" s="30"/>
      <c r="N1654" s="30"/>
      <c r="O1654" s="30"/>
      <c r="P1654" s="30"/>
      <c r="Q1654" s="30"/>
      <c r="R1654" s="30"/>
      <c r="S1654" s="30"/>
      <c r="T1654" s="30"/>
      <c r="U1654" s="30"/>
      <c r="V1654" s="30"/>
      <c r="W1654" s="30"/>
      <c r="X1654" s="30"/>
      <c r="Y1654" s="30"/>
      <c r="Z1654" s="30"/>
      <c r="AA1654" s="30"/>
    </row>
    <row r="1655">
      <c r="A1655" s="29">
        <v>1426302.0</v>
      </c>
      <c r="B1655" s="29">
        <v>1426661.0</v>
      </c>
      <c r="C1655" s="30" t="str">
        <f t="shared" si="1"/>
        <v>+</v>
      </c>
      <c r="D1655" s="29">
        <f t="shared" si="2"/>
        <v>546</v>
      </c>
      <c r="E1655" s="30"/>
      <c r="F1655" s="30"/>
      <c r="G1655" s="30"/>
      <c r="H1655" s="30"/>
      <c r="I1655" s="30"/>
      <c r="J1655" s="30"/>
      <c r="K1655" s="30"/>
      <c r="L1655" s="30"/>
      <c r="M1655" s="30"/>
      <c r="N1655" s="30"/>
      <c r="O1655" s="30"/>
      <c r="P1655" s="30"/>
      <c r="Q1655" s="30"/>
      <c r="R1655" s="30"/>
      <c r="S1655" s="30"/>
      <c r="T1655" s="30"/>
      <c r="U1655" s="30"/>
      <c r="V1655" s="30"/>
      <c r="W1655" s="30"/>
      <c r="X1655" s="30"/>
      <c r="Y1655" s="30"/>
      <c r="Z1655" s="30"/>
      <c r="AA1655" s="30"/>
    </row>
    <row r="1656">
      <c r="A1656" s="29">
        <v>1426684.0</v>
      </c>
      <c r="B1656" s="29">
        <v>1426932.0</v>
      </c>
      <c r="C1656" s="30" t="str">
        <f t="shared" si="1"/>
        <v>+</v>
      </c>
      <c r="D1656" s="29">
        <f t="shared" si="2"/>
        <v>546</v>
      </c>
      <c r="E1656" s="30"/>
      <c r="F1656" s="30"/>
      <c r="G1656" s="30"/>
      <c r="H1656" s="30"/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0"/>
      <c r="Z1656" s="30"/>
      <c r="AA1656" s="30"/>
    </row>
    <row r="1657">
      <c r="A1657" s="29">
        <v>1429352.0</v>
      </c>
      <c r="B1657" s="29">
        <v>1427916.0</v>
      </c>
      <c r="C1657" s="30" t="str">
        <f t="shared" si="1"/>
        <v>-</v>
      </c>
      <c r="D1657" s="29">
        <f t="shared" si="2"/>
        <v>547</v>
      </c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  <c r="O1657" s="30"/>
      <c r="P1657" s="30"/>
      <c r="Q1657" s="30"/>
      <c r="R1657" s="30"/>
      <c r="S1657" s="30"/>
      <c r="T1657" s="30"/>
      <c r="U1657" s="30"/>
      <c r="V1657" s="30"/>
      <c r="W1657" s="30"/>
      <c r="X1657" s="30"/>
      <c r="Y1657" s="30"/>
      <c r="Z1657" s="30"/>
      <c r="AA1657" s="30"/>
    </row>
    <row r="1658">
      <c r="A1658" s="29">
        <v>1430320.0</v>
      </c>
      <c r="B1658" s="29">
        <v>1429418.0</v>
      </c>
      <c r="C1658" s="30" t="str">
        <f t="shared" si="1"/>
        <v>-</v>
      </c>
      <c r="D1658" s="29">
        <f t="shared" si="2"/>
        <v>547</v>
      </c>
      <c r="E1658" s="30"/>
      <c r="F1658" s="30"/>
      <c r="G1658" s="30"/>
      <c r="H1658" s="30"/>
      <c r="I1658" s="30"/>
      <c r="J1658" s="30"/>
      <c r="K1658" s="30"/>
      <c r="L1658" s="30"/>
      <c r="M1658" s="30"/>
      <c r="N1658" s="30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0"/>
      <c r="Z1658" s="30"/>
      <c r="AA1658" s="30"/>
    </row>
    <row r="1659">
      <c r="A1659" s="29">
        <v>1430748.0</v>
      </c>
      <c r="B1659" s="29">
        <v>1430341.0</v>
      </c>
      <c r="C1659" s="30" t="str">
        <f t="shared" si="1"/>
        <v>-</v>
      </c>
      <c r="D1659" s="29">
        <f t="shared" si="2"/>
        <v>547</v>
      </c>
      <c r="E1659" s="30"/>
      <c r="F1659" s="30"/>
      <c r="G1659" s="30"/>
      <c r="H1659" s="30"/>
      <c r="I1659" s="30"/>
      <c r="J1659" s="30"/>
      <c r="K1659" s="30"/>
      <c r="L1659" s="30"/>
      <c r="M1659" s="30"/>
      <c r="N1659" s="30"/>
      <c r="O1659" s="30"/>
      <c r="P1659" s="30"/>
      <c r="Q1659" s="30"/>
      <c r="R1659" s="30"/>
      <c r="S1659" s="30"/>
      <c r="T1659" s="30"/>
      <c r="U1659" s="30"/>
      <c r="V1659" s="30"/>
      <c r="W1659" s="30"/>
      <c r="X1659" s="30"/>
      <c r="Y1659" s="30"/>
      <c r="Z1659" s="30"/>
      <c r="AA1659" s="30"/>
    </row>
    <row r="1660">
      <c r="A1660" s="29">
        <v>1436485.0</v>
      </c>
      <c r="B1660" s="29">
        <v>1437087.0</v>
      </c>
      <c r="C1660" s="30" t="str">
        <f t="shared" si="1"/>
        <v>+</v>
      </c>
      <c r="D1660" s="29">
        <f t="shared" si="2"/>
        <v>548</v>
      </c>
      <c r="E1660" s="30"/>
      <c r="F1660" s="30"/>
      <c r="G1660" s="30"/>
      <c r="H1660" s="30"/>
      <c r="I1660" s="30"/>
      <c r="J1660" s="30"/>
      <c r="K1660" s="30"/>
      <c r="L1660" s="30"/>
      <c r="M1660" s="30"/>
      <c r="N1660" s="30"/>
      <c r="O1660" s="30"/>
      <c r="P1660" s="30"/>
      <c r="Q1660" s="30"/>
      <c r="R1660" s="30"/>
      <c r="S1660" s="30"/>
      <c r="T1660" s="30"/>
      <c r="U1660" s="30"/>
      <c r="V1660" s="30"/>
      <c r="W1660" s="30"/>
      <c r="X1660" s="30"/>
      <c r="Y1660" s="30"/>
      <c r="Z1660" s="30"/>
      <c r="AA1660" s="30"/>
    </row>
    <row r="1661">
      <c r="A1661" s="29">
        <v>1437074.0</v>
      </c>
      <c r="B1661" s="29">
        <v>1437727.0</v>
      </c>
      <c r="C1661" s="30" t="str">
        <f t="shared" si="1"/>
        <v>+</v>
      </c>
      <c r="D1661" s="29">
        <f t="shared" si="2"/>
        <v>548</v>
      </c>
      <c r="E1661" s="30"/>
      <c r="F1661" s="30"/>
      <c r="G1661" s="30"/>
      <c r="H1661" s="30"/>
      <c r="I1661" s="30"/>
      <c r="J1661" s="30"/>
      <c r="K1661" s="30"/>
      <c r="L1661" s="30"/>
      <c r="M1661" s="30"/>
      <c r="N1661" s="30"/>
      <c r="O1661" s="30"/>
      <c r="P1661" s="30"/>
      <c r="Q1661" s="30"/>
      <c r="R1661" s="30"/>
      <c r="S1661" s="30"/>
      <c r="T1661" s="30"/>
      <c r="U1661" s="30"/>
      <c r="V1661" s="30"/>
      <c r="W1661" s="30"/>
      <c r="X1661" s="30"/>
      <c r="Y1661" s="30"/>
      <c r="Z1661" s="30"/>
      <c r="AA1661" s="30"/>
    </row>
    <row r="1662">
      <c r="A1662" s="29">
        <v>1437694.0</v>
      </c>
      <c r="B1662" s="29">
        <v>1439298.0</v>
      </c>
      <c r="C1662" s="30" t="str">
        <f t="shared" si="1"/>
        <v>+</v>
      </c>
      <c r="D1662" s="29">
        <f t="shared" si="2"/>
        <v>548</v>
      </c>
      <c r="E1662" s="30"/>
      <c r="F1662" s="30"/>
      <c r="G1662" s="30"/>
      <c r="H1662" s="30"/>
      <c r="I1662" s="30"/>
      <c r="J1662" s="30"/>
      <c r="K1662" s="30"/>
      <c r="L1662" s="30"/>
      <c r="M1662" s="30"/>
      <c r="N1662" s="30"/>
      <c r="O1662" s="30"/>
      <c r="P1662" s="30"/>
      <c r="Q1662" s="30"/>
      <c r="R1662" s="30"/>
      <c r="S1662" s="30"/>
      <c r="T1662" s="30"/>
      <c r="U1662" s="30"/>
      <c r="V1662" s="30"/>
      <c r="W1662" s="30"/>
      <c r="X1662" s="30"/>
      <c r="Y1662" s="30"/>
      <c r="Z1662" s="30"/>
      <c r="AA1662" s="30"/>
    </row>
    <row r="1663">
      <c r="A1663" s="29">
        <v>1439701.0</v>
      </c>
      <c r="B1663" s="29">
        <v>1439366.0</v>
      </c>
      <c r="C1663" s="30" t="str">
        <f t="shared" si="1"/>
        <v>-</v>
      </c>
      <c r="D1663" s="29">
        <f t="shared" si="2"/>
        <v>549</v>
      </c>
      <c r="E1663" s="30"/>
      <c r="F1663" s="30"/>
      <c r="G1663" s="30"/>
      <c r="H1663" s="30"/>
      <c r="I1663" s="30"/>
      <c r="J1663" s="30"/>
      <c r="K1663" s="30"/>
      <c r="L1663" s="30"/>
      <c r="M1663" s="30"/>
      <c r="N1663" s="30"/>
      <c r="O1663" s="30"/>
      <c r="P1663" s="30"/>
      <c r="Q1663" s="30"/>
      <c r="R1663" s="30"/>
      <c r="S1663" s="30"/>
      <c r="T1663" s="30"/>
      <c r="U1663" s="30"/>
      <c r="V1663" s="30"/>
      <c r="W1663" s="30"/>
      <c r="X1663" s="30"/>
      <c r="Y1663" s="30"/>
      <c r="Z1663" s="30"/>
      <c r="AA1663" s="30"/>
    </row>
    <row r="1664">
      <c r="A1664" s="29">
        <v>1439903.0</v>
      </c>
      <c r="B1664" s="29">
        <v>1439691.0</v>
      </c>
      <c r="C1664" s="30" t="str">
        <f t="shared" si="1"/>
        <v>-</v>
      </c>
      <c r="D1664" s="29">
        <f t="shared" si="2"/>
        <v>549</v>
      </c>
      <c r="E1664" s="30"/>
      <c r="F1664" s="30"/>
      <c r="G1664" s="30"/>
      <c r="H1664" s="30"/>
      <c r="I1664" s="30"/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  <c r="U1664" s="30"/>
      <c r="V1664" s="30"/>
      <c r="W1664" s="30"/>
      <c r="X1664" s="30"/>
      <c r="Y1664" s="30"/>
      <c r="Z1664" s="30"/>
      <c r="AA1664" s="30"/>
    </row>
    <row r="1665">
      <c r="A1665" s="29">
        <v>1440126.0</v>
      </c>
      <c r="B1665" s="29">
        <v>1440257.0</v>
      </c>
      <c r="C1665" s="30" t="str">
        <f t="shared" si="1"/>
        <v>+</v>
      </c>
      <c r="D1665" s="29">
        <f t="shared" si="2"/>
        <v>550</v>
      </c>
      <c r="E1665" s="30"/>
      <c r="F1665" s="30"/>
      <c r="G1665" s="30"/>
      <c r="H1665" s="30"/>
      <c r="I1665" s="30"/>
      <c r="J1665" s="30"/>
      <c r="K1665" s="30"/>
      <c r="L1665" s="30"/>
      <c r="M1665" s="30"/>
      <c r="N1665" s="30"/>
      <c r="O1665" s="30"/>
      <c r="P1665" s="30"/>
      <c r="Q1665" s="30"/>
      <c r="R1665" s="30"/>
      <c r="S1665" s="30"/>
      <c r="T1665" s="30"/>
      <c r="U1665" s="30"/>
      <c r="V1665" s="30"/>
      <c r="W1665" s="30"/>
      <c r="X1665" s="30"/>
      <c r="Y1665" s="30"/>
      <c r="Z1665" s="30"/>
      <c r="AA1665" s="30"/>
    </row>
    <row r="1666">
      <c r="A1666" s="29">
        <v>1440723.0</v>
      </c>
      <c r="B1666" s="29">
        <v>1441274.0</v>
      </c>
      <c r="C1666" s="30" t="str">
        <f t="shared" si="1"/>
        <v>+</v>
      </c>
      <c r="D1666" s="29">
        <f t="shared" si="2"/>
        <v>550</v>
      </c>
      <c r="E1666" s="30"/>
      <c r="F1666" s="30"/>
      <c r="G1666" s="30"/>
      <c r="H1666" s="30"/>
      <c r="I1666" s="30"/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0"/>
      <c r="Z1666" s="30"/>
      <c r="AA1666" s="30"/>
    </row>
    <row r="1667">
      <c r="A1667" s="29">
        <v>1442910.0</v>
      </c>
      <c r="B1667" s="29">
        <v>1442068.0</v>
      </c>
      <c r="C1667" s="30" t="str">
        <f t="shared" si="1"/>
        <v>-</v>
      </c>
      <c r="D1667" s="29">
        <f t="shared" si="2"/>
        <v>551</v>
      </c>
      <c r="E1667" s="30"/>
      <c r="F1667" s="30"/>
      <c r="G1667" s="30"/>
      <c r="H1667" s="30"/>
      <c r="I1667" s="30"/>
      <c r="J1667" s="30"/>
      <c r="K1667" s="30"/>
      <c r="L1667" s="30"/>
      <c r="M1667" s="30"/>
      <c r="N1667" s="30"/>
      <c r="O1667" s="30"/>
      <c r="P1667" s="30"/>
      <c r="Q1667" s="30"/>
      <c r="R1667" s="30"/>
      <c r="S1667" s="30"/>
      <c r="T1667" s="30"/>
      <c r="U1667" s="30"/>
      <c r="V1667" s="30"/>
      <c r="W1667" s="30"/>
      <c r="X1667" s="30"/>
      <c r="Y1667" s="30"/>
      <c r="Z1667" s="30"/>
      <c r="AA1667" s="30"/>
    </row>
    <row r="1668">
      <c r="A1668" s="29">
        <v>1443174.0</v>
      </c>
      <c r="B1668" s="29">
        <v>1442932.0</v>
      </c>
      <c r="C1668" s="30" t="str">
        <f t="shared" si="1"/>
        <v>-</v>
      </c>
      <c r="D1668" s="29">
        <f t="shared" si="2"/>
        <v>551</v>
      </c>
      <c r="E1668" s="30"/>
      <c r="F1668" s="30"/>
      <c r="G1668" s="30"/>
      <c r="H1668" s="30"/>
      <c r="I1668" s="30"/>
      <c r="J1668" s="30"/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  <c r="U1668" s="30"/>
      <c r="V1668" s="30"/>
      <c r="W1668" s="30"/>
      <c r="X1668" s="30"/>
      <c r="Y1668" s="30"/>
      <c r="Z1668" s="30"/>
      <c r="AA1668" s="30"/>
    </row>
    <row r="1669">
      <c r="A1669" s="29">
        <v>1443283.0</v>
      </c>
      <c r="B1669" s="29">
        <v>1443867.0</v>
      </c>
      <c r="C1669" s="30" t="str">
        <f t="shared" si="1"/>
        <v>+</v>
      </c>
      <c r="D1669" s="29">
        <f t="shared" si="2"/>
        <v>552</v>
      </c>
      <c r="E1669" s="30"/>
      <c r="F1669" s="30"/>
      <c r="G1669" s="30"/>
      <c r="H1669" s="30"/>
      <c r="I1669" s="30"/>
      <c r="J1669" s="30"/>
      <c r="K1669" s="30"/>
      <c r="L1669" s="30"/>
      <c r="M1669" s="30"/>
      <c r="N1669" s="30"/>
      <c r="O1669" s="30"/>
      <c r="P1669" s="30"/>
      <c r="Q1669" s="30"/>
      <c r="R1669" s="30"/>
      <c r="S1669" s="30"/>
      <c r="T1669" s="30"/>
      <c r="U1669" s="30"/>
      <c r="V1669" s="30"/>
      <c r="W1669" s="30"/>
      <c r="X1669" s="30"/>
      <c r="Y1669" s="30"/>
      <c r="Z1669" s="30"/>
      <c r="AA1669" s="30"/>
    </row>
    <row r="1670">
      <c r="A1670" s="29">
        <v>1444355.0</v>
      </c>
      <c r="B1670" s="29">
        <v>1443888.0</v>
      </c>
      <c r="C1670" s="30" t="str">
        <f t="shared" si="1"/>
        <v>-</v>
      </c>
      <c r="D1670" s="29">
        <f t="shared" si="2"/>
        <v>553</v>
      </c>
      <c r="E1670" s="30"/>
      <c r="F1670" s="30"/>
      <c r="G1670" s="30"/>
      <c r="H1670" s="30"/>
      <c r="I1670" s="30"/>
      <c r="J1670" s="30"/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0"/>
      <c r="X1670" s="30"/>
      <c r="Y1670" s="30"/>
      <c r="Z1670" s="30"/>
      <c r="AA1670" s="30"/>
    </row>
    <row r="1671">
      <c r="A1671" s="29">
        <v>1445360.0</v>
      </c>
      <c r="B1671" s="29">
        <v>1446409.0</v>
      </c>
      <c r="C1671" s="30" t="str">
        <f t="shared" si="1"/>
        <v>+</v>
      </c>
      <c r="D1671" s="29">
        <f t="shared" si="2"/>
        <v>554</v>
      </c>
      <c r="E1671" s="30"/>
      <c r="F1671" s="30"/>
      <c r="G1671" s="30"/>
      <c r="H1671" s="30"/>
      <c r="I1671" s="30"/>
      <c r="J1671" s="30"/>
      <c r="K1671" s="30"/>
      <c r="L1671" s="30"/>
      <c r="M1671" s="30"/>
      <c r="N1671" s="30"/>
      <c r="O1671" s="30"/>
      <c r="P1671" s="30"/>
      <c r="Q1671" s="30"/>
      <c r="R1671" s="30"/>
      <c r="S1671" s="30"/>
      <c r="T1671" s="30"/>
      <c r="U1671" s="30"/>
      <c r="V1671" s="30"/>
      <c r="W1671" s="30"/>
      <c r="X1671" s="30"/>
      <c r="Y1671" s="30"/>
      <c r="Z1671" s="30"/>
      <c r="AA1671" s="30"/>
    </row>
    <row r="1672">
      <c r="A1672" s="29">
        <v>1446406.0</v>
      </c>
      <c r="B1672" s="29">
        <v>1446834.0</v>
      </c>
      <c r="C1672" s="30" t="str">
        <f t="shared" si="1"/>
        <v>+</v>
      </c>
      <c r="D1672" s="29">
        <f t="shared" si="2"/>
        <v>554</v>
      </c>
      <c r="E1672" s="30"/>
      <c r="F1672" s="30"/>
      <c r="G1672" s="30"/>
      <c r="H1672" s="30"/>
      <c r="I1672" s="30"/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  <c r="U1672" s="30"/>
      <c r="V1672" s="30"/>
      <c r="W1672" s="30"/>
      <c r="X1672" s="30"/>
      <c r="Y1672" s="30"/>
      <c r="Z1672" s="30"/>
      <c r="AA1672" s="30"/>
    </row>
    <row r="1673">
      <c r="A1673" s="29">
        <v>1447527.0</v>
      </c>
      <c r="B1673" s="29">
        <v>1447339.0</v>
      </c>
      <c r="C1673" s="30" t="str">
        <f t="shared" si="1"/>
        <v>-</v>
      </c>
      <c r="D1673" s="29">
        <f t="shared" si="2"/>
        <v>555</v>
      </c>
      <c r="E1673" s="30"/>
      <c r="F1673" s="30"/>
      <c r="G1673" s="30"/>
      <c r="H1673" s="30"/>
      <c r="I1673" s="30"/>
      <c r="J1673" s="30"/>
      <c r="K1673" s="30"/>
      <c r="L1673" s="30"/>
      <c r="M1673" s="30"/>
      <c r="N1673" s="30"/>
      <c r="O1673" s="30"/>
      <c r="P1673" s="30"/>
      <c r="Q1673" s="30"/>
      <c r="R1673" s="30"/>
      <c r="S1673" s="30"/>
      <c r="T1673" s="30"/>
      <c r="U1673" s="30"/>
      <c r="V1673" s="30"/>
      <c r="W1673" s="30"/>
      <c r="X1673" s="30"/>
      <c r="Y1673" s="30"/>
      <c r="Z1673" s="30"/>
      <c r="AA1673" s="30"/>
    </row>
    <row r="1674">
      <c r="A1674" s="29">
        <v>1448185.0</v>
      </c>
      <c r="B1674" s="29">
        <v>1447556.0</v>
      </c>
      <c r="C1674" s="30" t="str">
        <f t="shared" si="1"/>
        <v>-</v>
      </c>
      <c r="D1674" s="29">
        <f t="shared" si="2"/>
        <v>555</v>
      </c>
      <c r="E1674" s="30"/>
      <c r="F1674" s="30"/>
      <c r="G1674" s="30"/>
      <c r="H1674" s="30"/>
      <c r="I1674" s="30"/>
      <c r="J1674" s="30"/>
      <c r="K1674" s="30"/>
      <c r="L1674" s="30"/>
      <c r="M1674" s="30"/>
      <c r="N1674" s="30"/>
      <c r="O1674" s="30"/>
      <c r="P1674" s="30"/>
      <c r="Q1674" s="30"/>
      <c r="R1674" s="30"/>
      <c r="S1674" s="30"/>
      <c r="T1674" s="30"/>
      <c r="U1674" s="30"/>
      <c r="V1674" s="30"/>
      <c r="W1674" s="30"/>
      <c r="X1674" s="30"/>
      <c r="Y1674" s="30"/>
      <c r="Z1674" s="30"/>
      <c r="AA1674" s="30"/>
    </row>
    <row r="1675">
      <c r="A1675" s="29">
        <v>1448573.0</v>
      </c>
      <c r="B1675" s="29">
        <v>1448202.0</v>
      </c>
      <c r="C1675" s="30" t="str">
        <f t="shared" si="1"/>
        <v>-</v>
      </c>
      <c r="D1675" s="29">
        <f t="shared" si="2"/>
        <v>555</v>
      </c>
      <c r="E1675" s="30"/>
      <c r="F1675" s="30"/>
      <c r="G1675" s="30"/>
      <c r="H1675" s="30"/>
      <c r="I1675" s="30"/>
      <c r="J1675" s="30"/>
      <c r="K1675" s="30"/>
      <c r="L1675" s="30"/>
      <c r="M1675" s="30"/>
      <c r="N1675" s="30"/>
      <c r="O1675" s="30"/>
      <c r="P1675" s="30"/>
      <c r="Q1675" s="30"/>
      <c r="R1675" s="30"/>
      <c r="S1675" s="30"/>
      <c r="T1675" s="30"/>
      <c r="U1675" s="30"/>
      <c r="V1675" s="30"/>
      <c r="W1675" s="30"/>
      <c r="X1675" s="30"/>
      <c r="Y1675" s="30"/>
      <c r="Z1675" s="30"/>
      <c r="AA1675" s="30"/>
    </row>
    <row r="1676">
      <c r="A1676" s="29">
        <v>1449038.0</v>
      </c>
      <c r="B1676" s="29">
        <v>1449562.0</v>
      </c>
      <c r="C1676" s="30" t="str">
        <f t="shared" si="1"/>
        <v>+</v>
      </c>
      <c r="D1676" s="29">
        <f t="shared" si="2"/>
        <v>556</v>
      </c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  <c r="U1676" s="30"/>
      <c r="V1676" s="30"/>
      <c r="W1676" s="30"/>
      <c r="X1676" s="30"/>
      <c r="Y1676" s="30"/>
      <c r="Z1676" s="30"/>
      <c r="AA1676" s="30"/>
    </row>
    <row r="1677">
      <c r="A1677" s="29">
        <v>1450414.0</v>
      </c>
      <c r="B1677" s="29">
        <v>1450881.0</v>
      </c>
      <c r="C1677" s="30" t="str">
        <f t="shared" si="1"/>
        <v>+</v>
      </c>
      <c r="D1677" s="29">
        <f t="shared" si="2"/>
        <v>556</v>
      </c>
      <c r="E1677" s="30"/>
      <c r="F1677" s="30"/>
      <c r="G1677" s="30"/>
      <c r="H1677" s="30"/>
      <c r="I1677" s="30"/>
      <c r="J1677" s="30"/>
      <c r="K1677" s="30"/>
      <c r="L1677" s="30"/>
      <c r="M1677" s="30"/>
      <c r="N1677" s="30"/>
      <c r="O1677" s="30"/>
      <c r="P1677" s="30"/>
      <c r="Q1677" s="30"/>
      <c r="R1677" s="30"/>
      <c r="S1677" s="30"/>
      <c r="T1677" s="30"/>
      <c r="U1677" s="30"/>
      <c r="V1677" s="30"/>
      <c r="W1677" s="30"/>
      <c r="X1677" s="30"/>
      <c r="Y1677" s="30"/>
      <c r="Z1677" s="30"/>
      <c r="AA1677" s="30"/>
    </row>
    <row r="1678">
      <c r="A1678" s="29">
        <v>1450887.0</v>
      </c>
      <c r="B1678" s="29">
        <v>1451123.0</v>
      </c>
      <c r="C1678" s="30" t="str">
        <f t="shared" si="1"/>
        <v>+</v>
      </c>
      <c r="D1678" s="29">
        <f t="shared" si="2"/>
        <v>556</v>
      </c>
      <c r="E1678" s="30"/>
      <c r="F1678" s="30"/>
      <c r="G1678" s="30"/>
      <c r="H1678" s="30"/>
      <c r="I1678" s="30"/>
      <c r="J1678" s="30"/>
      <c r="K1678" s="30"/>
      <c r="L1678" s="30"/>
      <c r="M1678" s="30"/>
      <c r="N1678" s="30"/>
      <c r="O1678" s="30"/>
      <c r="P1678" s="30"/>
      <c r="Q1678" s="30"/>
      <c r="R1678" s="30"/>
      <c r="S1678" s="30"/>
      <c r="T1678" s="30"/>
      <c r="U1678" s="30"/>
      <c r="V1678" s="30"/>
      <c r="W1678" s="30"/>
      <c r="X1678" s="30"/>
      <c r="Y1678" s="30"/>
      <c r="Z1678" s="30"/>
      <c r="AA1678" s="30"/>
    </row>
    <row r="1679">
      <c r="A1679" s="29">
        <v>1452160.0</v>
      </c>
      <c r="B1679" s="29">
        <v>1451573.0</v>
      </c>
      <c r="C1679" s="30" t="str">
        <f t="shared" si="1"/>
        <v>-</v>
      </c>
      <c r="D1679" s="29">
        <f t="shared" si="2"/>
        <v>557</v>
      </c>
      <c r="E1679" s="30"/>
      <c r="F1679" s="30"/>
      <c r="G1679" s="30"/>
      <c r="H1679" s="30"/>
      <c r="I1679" s="30"/>
      <c r="J1679" s="30"/>
      <c r="K1679" s="30"/>
      <c r="L1679" s="30"/>
      <c r="M1679" s="30"/>
      <c r="N1679" s="30"/>
      <c r="O1679" s="30"/>
      <c r="P1679" s="30"/>
      <c r="Q1679" s="30"/>
      <c r="R1679" s="30"/>
      <c r="S1679" s="30"/>
      <c r="T1679" s="30"/>
      <c r="U1679" s="30"/>
      <c r="V1679" s="30"/>
      <c r="W1679" s="30"/>
      <c r="X1679" s="30"/>
      <c r="Y1679" s="30"/>
      <c r="Z1679" s="30"/>
      <c r="AA1679" s="30"/>
    </row>
    <row r="1680">
      <c r="A1680" s="29">
        <v>1452425.0</v>
      </c>
      <c r="B1680" s="29">
        <v>1452336.0</v>
      </c>
      <c r="C1680" s="30" t="str">
        <f t="shared" si="1"/>
        <v>-</v>
      </c>
      <c r="D1680" s="29">
        <f t="shared" si="2"/>
        <v>557</v>
      </c>
      <c r="E1680" s="30"/>
      <c r="F1680" s="30"/>
      <c r="G1680" s="30"/>
      <c r="H1680" s="30"/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  <c r="U1680" s="30"/>
      <c r="V1680" s="30"/>
      <c r="W1680" s="30"/>
      <c r="X1680" s="30"/>
      <c r="Y1680" s="30"/>
      <c r="Z1680" s="30"/>
      <c r="AA1680" s="30"/>
    </row>
    <row r="1681">
      <c r="A1681" s="29">
        <v>1452583.0</v>
      </c>
      <c r="B1681" s="29">
        <v>1453479.0</v>
      </c>
      <c r="C1681" s="30" t="str">
        <f t="shared" si="1"/>
        <v>+</v>
      </c>
      <c r="D1681" s="29">
        <f t="shared" si="2"/>
        <v>558</v>
      </c>
      <c r="E1681" s="30"/>
      <c r="F1681" s="30"/>
      <c r="G1681" s="30"/>
      <c r="H1681" s="30"/>
      <c r="I1681" s="30"/>
      <c r="J1681" s="30"/>
      <c r="K1681" s="30"/>
      <c r="L1681" s="30"/>
      <c r="M1681" s="30"/>
      <c r="N1681" s="30"/>
      <c r="O1681" s="30"/>
      <c r="P1681" s="30"/>
      <c r="Q1681" s="30"/>
      <c r="R1681" s="30"/>
      <c r="S1681" s="30"/>
      <c r="T1681" s="30"/>
      <c r="U1681" s="30"/>
      <c r="V1681" s="30"/>
      <c r="W1681" s="30"/>
      <c r="X1681" s="30"/>
      <c r="Y1681" s="30"/>
      <c r="Z1681" s="30"/>
      <c r="AA1681" s="30"/>
    </row>
    <row r="1682">
      <c r="A1682" s="29">
        <v>1453688.0</v>
      </c>
      <c r="B1682" s="29">
        <v>1453476.0</v>
      </c>
      <c r="C1682" s="30" t="str">
        <f t="shared" si="1"/>
        <v>-</v>
      </c>
      <c r="D1682" s="29">
        <f t="shared" si="2"/>
        <v>559</v>
      </c>
      <c r="E1682" s="30"/>
      <c r="F1682" s="30"/>
      <c r="G1682" s="30"/>
      <c r="H1682" s="30"/>
      <c r="I1682" s="30"/>
      <c r="J1682" s="30"/>
      <c r="K1682" s="30"/>
      <c r="L1682" s="30"/>
      <c r="M1682" s="30"/>
      <c r="N1682" s="30"/>
      <c r="O1682" s="30"/>
      <c r="P1682" s="30"/>
      <c r="Q1682" s="30"/>
      <c r="R1682" s="30"/>
      <c r="S1682" s="30"/>
      <c r="T1682" s="30"/>
      <c r="U1682" s="30"/>
      <c r="V1682" s="30"/>
      <c r="W1682" s="30"/>
      <c r="X1682" s="30"/>
      <c r="Y1682" s="30"/>
      <c r="Z1682" s="30"/>
      <c r="AA1682" s="30"/>
    </row>
    <row r="1683">
      <c r="A1683" s="29">
        <v>1454212.0</v>
      </c>
      <c r="B1683" s="29">
        <v>1453694.0</v>
      </c>
      <c r="C1683" s="30" t="str">
        <f t="shared" si="1"/>
        <v>-</v>
      </c>
      <c r="D1683" s="29">
        <f t="shared" si="2"/>
        <v>559</v>
      </c>
      <c r="E1683" s="30"/>
      <c r="F1683" s="30"/>
      <c r="G1683" s="30"/>
      <c r="H1683" s="30"/>
      <c r="I1683" s="30"/>
      <c r="J1683" s="30"/>
      <c r="K1683" s="30"/>
      <c r="L1683" s="30"/>
      <c r="M1683" s="30"/>
      <c r="N1683" s="30"/>
      <c r="O1683" s="30"/>
      <c r="P1683" s="30"/>
      <c r="Q1683" s="30"/>
      <c r="R1683" s="30"/>
      <c r="S1683" s="30"/>
      <c r="T1683" s="30"/>
      <c r="U1683" s="30"/>
      <c r="V1683" s="30"/>
      <c r="W1683" s="30"/>
      <c r="X1683" s="30"/>
      <c r="Y1683" s="30"/>
      <c r="Z1683" s="30"/>
      <c r="AA1683" s="30"/>
    </row>
    <row r="1684">
      <c r="A1684" s="29">
        <v>1454423.0</v>
      </c>
      <c r="B1684" s="29">
        <v>1454854.0</v>
      </c>
      <c r="C1684" s="30" t="str">
        <f t="shared" si="1"/>
        <v>+</v>
      </c>
      <c r="D1684" s="29">
        <f t="shared" si="2"/>
        <v>560</v>
      </c>
      <c r="E1684" s="30"/>
      <c r="F1684" s="30"/>
      <c r="G1684" s="30"/>
      <c r="H1684" s="30"/>
      <c r="I1684" s="30"/>
      <c r="J1684" s="30"/>
      <c r="K1684" s="30"/>
      <c r="L1684" s="30"/>
      <c r="M1684" s="30"/>
      <c r="N1684" s="30"/>
      <c r="O1684" s="30"/>
      <c r="P1684" s="30"/>
      <c r="Q1684" s="30"/>
      <c r="R1684" s="30"/>
      <c r="S1684" s="30"/>
      <c r="T1684" s="30"/>
      <c r="U1684" s="30"/>
      <c r="V1684" s="30"/>
      <c r="W1684" s="30"/>
      <c r="X1684" s="30"/>
      <c r="Y1684" s="30"/>
      <c r="Z1684" s="30"/>
      <c r="AA1684" s="30"/>
    </row>
    <row r="1685">
      <c r="A1685" s="29">
        <v>1454909.0</v>
      </c>
      <c r="B1685" s="29">
        <v>1455037.0</v>
      </c>
      <c r="C1685" s="30" t="str">
        <f t="shared" si="1"/>
        <v>+</v>
      </c>
      <c r="D1685" s="29">
        <f t="shared" si="2"/>
        <v>560</v>
      </c>
      <c r="E1685" s="30"/>
      <c r="F1685" s="30"/>
      <c r="G1685" s="30"/>
      <c r="H1685" s="30"/>
      <c r="I1685" s="30"/>
      <c r="J1685" s="30"/>
      <c r="K1685" s="30"/>
      <c r="L1685" s="30"/>
      <c r="M1685" s="30"/>
      <c r="N1685" s="30"/>
      <c r="O1685" s="30"/>
      <c r="P1685" s="30"/>
      <c r="Q1685" s="30"/>
      <c r="R1685" s="30"/>
      <c r="S1685" s="30"/>
      <c r="T1685" s="30"/>
      <c r="U1685" s="30"/>
      <c r="V1685" s="30"/>
      <c r="W1685" s="30"/>
      <c r="X1685" s="30"/>
      <c r="Y1685" s="30"/>
      <c r="Z1685" s="30"/>
      <c r="AA1685" s="30"/>
    </row>
    <row r="1686">
      <c r="A1686" s="29">
        <v>1455019.0</v>
      </c>
      <c r="B1686" s="29">
        <v>1455735.0</v>
      </c>
      <c r="C1686" s="30" t="str">
        <f t="shared" si="1"/>
        <v>+</v>
      </c>
      <c r="D1686" s="29">
        <f t="shared" si="2"/>
        <v>560</v>
      </c>
      <c r="E1686" s="30"/>
      <c r="F1686" s="30"/>
      <c r="G1686" s="30"/>
      <c r="H1686" s="30"/>
      <c r="I1686" s="30"/>
      <c r="J1686" s="30"/>
      <c r="K1686" s="30"/>
      <c r="L1686" s="30"/>
      <c r="M1686" s="30"/>
      <c r="N1686" s="30"/>
      <c r="O1686" s="30"/>
      <c r="P1686" s="30"/>
      <c r="Q1686" s="30"/>
      <c r="R1686" s="30"/>
      <c r="S1686" s="30"/>
      <c r="T1686" s="30"/>
      <c r="U1686" s="30"/>
      <c r="V1686" s="30"/>
      <c r="W1686" s="30"/>
      <c r="X1686" s="30"/>
      <c r="Y1686" s="30"/>
      <c r="Z1686" s="30"/>
      <c r="AA1686" s="30"/>
    </row>
    <row r="1687">
      <c r="A1687" s="29">
        <v>1455684.0</v>
      </c>
      <c r="B1687" s="29">
        <v>1455920.0</v>
      </c>
      <c r="C1687" s="30" t="str">
        <f t="shared" si="1"/>
        <v>+</v>
      </c>
      <c r="D1687" s="29">
        <f t="shared" si="2"/>
        <v>560</v>
      </c>
      <c r="E1687" s="30"/>
      <c r="F1687" s="30"/>
      <c r="G1687" s="30"/>
      <c r="H1687" s="30"/>
      <c r="I1687" s="30"/>
      <c r="J1687" s="30"/>
      <c r="K1687" s="30"/>
      <c r="L1687" s="30"/>
      <c r="M1687" s="30"/>
      <c r="N1687" s="30"/>
      <c r="O1687" s="30"/>
      <c r="P1687" s="30"/>
      <c r="Q1687" s="30"/>
      <c r="R1687" s="30"/>
      <c r="S1687" s="30"/>
      <c r="T1687" s="30"/>
      <c r="U1687" s="30"/>
      <c r="V1687" s="30"/>
      <c r="W1687" s="30"/>
      <c r="X1687" s="30"/>
      <c r="Y1687" s="30"/>
      <c r="Z1687" s="30"/>
      <c r="AA1687" s="30"/>
    </row>
    <row r="1688">
      <c r="A1688" s="29">
        <v>1456821.0</v>
      </c>
      <c r="B1688" s="29">
        <v>1456114.0</v>
      </c>
      <c r="C1688" s="30" t="str">
        <f t="shared" si="1"/>
        <v>-</v>
      </c>
      <c r="D1688" s="29">
        <f t="shared" si="2"/>
        <v>561</v>
      </c>
      <c r="E1688" s="30"/>
      <c r="F1688" s="30"/>
      <c r="G1688" s="30"/>
      <c r="H1688" s="30"/>
      <c r="I1688" s="30"/>
      <c r="J1688" s="30"/>
      <c r="K1688" s="30"/>
      <c r="L1688" s="30"/>
      <c r="M1688" s="30"/>
      <c r="N1688" s="30"/>
      <c r="O1688" s="30"/>
      <c r="P1688" s="30"/>
      <c r="Q1688" s="30"/>
      <c r="R1688" s="30"/>
      <c r="S1688" s="30"/>
      <c r="T1688" s="30"/>
      <c r="U1688" s="30"/>
      <c r="V1688" s="30"/>
      <c r="W1688" s="30"/>
      <c r="X1688" s="30"/>
      <c r="Y1688" s="30"/>
      <c r="Z1688" s="30"/>
      <c r="AA1688" s="30"/>
    </row>
    <row r="1689">
      <c r="A1689" s="29">
        <v>1457520.0</v>
      </c>
      <c r="B1689" s="29">
        <v>1456948.0</v>
      </c>
      <c r="C1689" s="30" t="str">
        <f t="shared" si="1"/>
        <v>-</v>
      </c>
      <c r="D1689" s="29">
        <f t="shared" si="2"/>
        <v>561</v>
      </c>
      <c r="E1689" s="30"/>
      <c r="F1689" s="30"/>
      <c r="G1689" s="30"/>
      <c r="H1689" s="30"/>
      <c r="I1689" s="30"/>
      <c r="J1689" s="30"/>
      <c r="K1689" s="30"/>
      <c r="L1689" s="30"/>
      <c r="M1689" s="30"/>
      <c r="N1689" s="30"/>
      <c r="O1689" s="30"/>
      <c r="P1689" s="30"/>
      <c r="Q1689" s="30"/>
      <c r="R1689" s="30"/>
      <c r="S1689" s="30"/>
      <c r="T1689" s="30"/>
      <c r="U1689" s="30"/>
      <c r="V1689" s="30"/>
      <c r="W1689" s="30"/>
      <c r="X1689" s="30"/>
      <c r="Y1689" s="30"/>
      <c r="Z1689" s="30"/>
      <c r="AA1689" s="30"/>
    </row>
    <row r="1690">
      <c r="A1690" s="29">
        <v>1457635.0</v>
      </c>
      <c r="B1690" s="29">
        <v>1457760.0</v>
      </c>
      <c r="C1690" s="30" t="str">
        <f t="shared" si="1"/>
        <v>+</v>
      </c>
      <c r="D1690" s="29">
        <f t="shared" si="2"/>
        <v>562</v>
      </c>
      <c r="E1690" s="30"/>
      <c r="F1690" s="30"/>
      <c r="G1690" s="30"/>
      <c r="H1690" s="30"/>
      <c r="I1690" s="30"/>
      <c r="J1690" s="30"/>
      <c r="K1690" s="30"/>
      <c r="L1690" s="30"/>
      <c r="M1690" s="30"/>
      <c r="N1690" s="30"/>
      <c r="O1690" s="30"/>
      <c r="P1690" s="30"/>
      <c r="Q1690" s="30"/>
      <c r="R1690" s="30"/>
      <c r="S1690" s="30"/>
      <c r="T1690" s="30"/>
      <c r="U1690" s="30"/>
      <c r="V1690" s="30"/>
      <c r="W1690" s="30"/>
      <c r="X1690" s="30"/>
      <c r="Y1690" s="30"/>
      <c r="Z1690" s="30"/>
      <c r="AA1690" s="30"/>
    </row>
    <row r="1691">
      <c r="A1691" s="29">
        <v>1458641.0</v>
      </c>
      <c r="B1691" s="29">
        <v>1458240.0</v>
      </c>
      <c r="C1691" s="30" t="str">
        <f t="shared" si="1"/>
        <v>-</v>
      </c>
      <c r="D1691" s="29">
        <f t="shared" si="2"/>
        <v>563</v>
      </c>
      <c r="E1691" s="30"/>
      <c r="F1691" s="30"/>
      <c r="G1691" s="30"/>
      <c r="H1691" s="30"/>
      <c r="I1691" s="30"/>
      <c r="J1691" s="30"/>
      <c r="K1691" s="30"/>
      <c r="L1691" s="30"/>
      <c r="M1691" s="30"/>
      <c r="N1691" s="30"/>
      <c r="O1691" s="30"/>
      <c r="P1691" s="30"/>
      <c r="Q1691" s="30"/>
      <c r="R1691" s="30"/>
      <c r="S1691" s="30"/>
      <c r="T1691" s="30"/>
      <c r="U1691" s="30"/>
      <c r="V1691" s="30"/>
      <c r="W1691" s="30"/>
      <c r="X1691" s="30"/>
      <c r="Y1691" s="30"/>
      <c r="Z1691" s="30"/>
      <c r="AA1691" s="30"/>
    </row>
    <row r="1692">
      <c r="A1692" s="29">
        <v>1459209.0</v>
      </c>
      <c r="B1692" s="29">
        <v>1458628.0</v>
      </c>
      <c r="C1692" s="30" t="str">
        <f t="shared" si="1"/>
        <v>-</v>
      </c>
      <c r="D1692" s="29">
        <f t="shared" si="2"/>
        <v>563</v>
      </c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  <c r="O1692" s="30"/>
      <c r="P1692" s="30"/>
      <c r="Q1692" s="30"/>
      <c r="R1692" s="30"/>
      <c r="S1692" s="30"/>
      <c r="T1692" s="30"/>
      <c r="U1692" s="30"/>
      <c r="V1692" s="30"/>
      <c r="W1692" s="30"/>
      <c r="X1692" s="30"/>
      <c r="Y1692" s="30"/>
      <c r="Z1692" s="30"/>
      <c r="AA1692" s="30"/>
    </row>
    <row r="1693">
      <c r="A1693" s="29">
        <v>1461371.0</v>
      </c>
      <c r="B1693" s="29">
        <v>1459206.0</v>
      </c>
      <c r="C1693" s="30" t="str">
        <f t="shared" si="1"/>
        <v>-</v>
      </c>
      <c r="D1693" s="29">
        <f t="shared" si="2"/>
        <v>563</v>
      </c>
      <c r="E1693" s="30"/>
      <c r="F1693" s="30"/>
      <c r="G1693" s="30"/>
      <c r="H1693" s="30"/>
      <c r="I1693" s="30"/>
      <c r="J1693" s="30"/>
      <c r="K1693" s="30"/>
      <c r="L1693" s="30"/>
      <c r="M1693" s="30"/>
      <c r="N1693" s="30"/>
      <c r="O1693" s="30"/>
      <c r="P1693" s="30"/>
      <c r="Q1693" s="30"/>
      <c r="R1693" s="30"/>
      <c r="S1693" s="30"/>
      <c r="T1693" s="30"/>
      <c r="U1693" s="30"/>
      <c r="V1693" s="30"/>
      <c r="W1693" s="30"/>
      <c r="X1693" s="30"/>
      <c r="Y1693" s="30"/>
      <c r="Z1693" s="30"/>
      <c r="AA1693" s="30"/>
    </row>
    <row r="1694">
      <c r="A1694" s="29">
        <v>1461991.0</v>
      </c>
      <c r="B1694" s="29">
        <v>1461533.0</v>
      </c>
      <c r="C1694" s="30" t="str">
        <f t="shared" si="1"/>
        <v>-</v>
      </c>
      <c r="D1694" s="29">
        <f t="shared" si="2"/>
        <v>563</v>
      </c>
      <c r="E1694" s="30"/>
      <c r="F1694" s="30"/>
      <c r="G1694" s="30"/>
      <c r="H1694" s="30"/>
      <c r="I1694" s="30"/>
      <c r="J1694" s="30"/>
      <c r="K1694" s="30"/>
      <c r="L1694" s="30"/>
      <c r="M1694" s="30"/>
      <c r="N1694" s="30"/>
      <c r="O1694" s="30"/>
      <c r="P1694" s="30"/>
      <c r="Q1694" s="30"/>
      <c r="R1694" s="30"/>
      <c r="S1694" s="30"/>
      <c r="T1694" s="30"/>
      <c r="U1694" s="30"/>
      <c r="V1694" s="30"/>
      <c r="W1694" s="30"/>
      <c r="X1694" s="30"/>
      <c r="Y1694" s="30"/>
      <c r="Z1694" s="30"/>
      <c r="AA1694" s="30"/>
    </row>
    <row r="1695">
      <c r="A1695" s="29">
        <v>1462244.0</v>
      </c>
      <c r="B1695" s="29">
        <v>1462074.0</v>
      </c>
      <c r="C1695" s="30" t="str">
        <f t="shared" si="1"/>
        <v>-</v>
      </c>
      <c r="D1695" s="29">
        <f t="shared" si="2"/>
        <v>563</v>
      </c>
      <c r="E1695" s="30"/>
      <c r="F1695" s="30"/>
      <c r="G1695" s="30"/>
      <c r="H1695" s="30"/>
      <c r="I1695" s="30"/>
      <c r="J1695" s="30"/>
      <c r="K1695" s="30"/>
      <c r="L1695" s="30"/>
      <c r="M1695" s="30"/>
      <c r="N1695" s="30"/>
      <c r="O1695" s="30"/>
      <c r="P1695" s="30"/>
      <c r="Q1695" s="30"/>
      <c r="R1695" s="30"/>
      <c r="S1695" s="30"/>
      <c r="T1695" s="30"/>
      <c r="U1695" s="30"/>
      <c r="V1695" s="30"/>
      <c r="W1695" s="30"/>
      <c r="X1695" s="30"/>
      <c r="Y1695" s="30"/>
      <c r="Z1695" s="30"/>
      <c r="AA1695" s="30"/>
    </row>
    <row r="1696">
      <c r="A1696" s="29">
        <v>1463025.0</v>
      </c>
      <c r="B1696" s="29">
        <v>1462699.0</v>
      </c>
      <c r="C1696" s="30" t="str">
        <f t="shared" si="1"/>
        <v>-</v>
      </c>
      <c r="D1696" s="29">
        <f t="shared" si="2"/>
        <v>563</v>
      </c>
      <c r="E1696" s="30"/>
      <c r="F1696" s="30"/>
      <c r="G1696" s="30"/>
      <c r="H1696" s="30"/>
      <c r="I1696" s="30"/>
      <c r="J1696" s="30"/>
      <c r="K1696" s="30"/>
      <c r="L1696" s="30"/>
      <c r="M1696" s="30"/>
      <c r="N1696" s="30"/>
      <c r="O1696" s="30"/>
      <c r="P1696" s="30"/>
      <c r="Q1696" s="30"/>
      <c r="R1696" s="30"/>
      <c r="S1696" s="30"/>
      <c r="T1696" s="30"/>
      <c r="U1696" s="30"/>
      <c r="V1696" s="30"/>
      <c r="W1696" s="30"/>
      <c r="X1696" s="30"/>
      <c r="Y1696" s="30"/>
      <c r="Z1696" s="30"/>
      <c r="AA1696" s="30"/>
    </row>
    <row r="1697">
      <c r="A1697" s="29">
        <v>1463096.0</v>
      </c>
      <c r="B1697" s="29">
        <v>1463491.0</v>
      </c>
      <c r="C1697" s="30" t="str">
        <f t="shared" si="1"/>
        <v>+</v>
      </c>
      <c r="D1697" s="29">
        <f t="shared" si="2"/>
        <v>564</v>
      </c>
      <c r="E1697" s="30"/>
      <c r="F1697" s="30"/>
      <c r="G1697" s="30"/>
      <c r="H1697" s="30"/>
      <c r="I1697" s="30"/>
      <c r="J1697" s="30"/>
      <c r="K1697" s="30"/>
      <c r="L1697" s="30"/>
      <c r="M1697" s="30"/>
      <c r="N1697" s="30"/>
      <c r="O1697" s="30"/>
      <c r="P1697" s="30"/>
      <c r="Q1697" s="30"/>
      <c r="R1697" s="30"/>
      <c r="S1697" s="30"/>
      <c r="T1697" s="30"/>
      <c r="U1697" s="30"/>
      <c r="V1697" s="30"/>
      <c r="W1697" s="30"/>
      <c r="X1697" s="30"/>
      <c r="Y1697" s="30"/>
      <c r="Z1697" s="30"/>
      <c r="AA1697" s="30"/>
    </row>
    <row r="1698">
      <c r="A1698" s="29">
        <v>1463627.0</v>
      </c>
      <c r="B1698" s="29">
        <v>1464097.0</v>
      </c>
      <c r="C1698" s="30" t="str">
        <f t="shared" si="1"/>
        <v>+</v>
      </c>
      <c r="D1698" s="29">
        <f t="shared" si="2"/>
        <v>564</v>
      </c>
      <c r="E1698" s="30"/>
      <c r="F1698" s="30"/>
      <c r="G1698" s="30"/>
      <c r="H1698" s="30"/>
      <c r="I1698" s="30"/>
      <c r="J1698" s="30"/>
      <c r="K1698" s="30"/>
      <c r="L1698" s="30"/>
      <c r="M1698" s="30"/>
      <c r="N1698" s="30"/>
      <c r="O1698" s="30"/>
      <c r="P1698" s="30"/>
      <c r="Q1698" s="30"/>
      <c r="R1698" s="30"/>
      <c r="S1698" s="30"/>
      <c r="T1698" s="30"/>
      <c r="U1698" s="30"/>
      <c r="V1698" s="30"/>
      <c r="W1698" s="30"/>
      <c r="X1698" s="30"/>
      <c r="Y1698" s="30"/>
      <c r="Z1698" s="30"/>
      <c r="AA1698" s="30"/>
    </row>
    <row r="1699">
      <c r="A1699" s="29">
        <v>1465709.0</v>
      </c>
      <c r="B1699" s="29">
        <v>1465224.0</v>
      </c>
      <c r="C1699" s="30" t="str">
        <f t="shared" si="1"/>
        <v>-</v>
      </c>
      <c r="D1699" s="29">
        <f t="shared" si="2"/>
        <v>565</v>
      </c>
      <c r="E1699" s="30"/>
      <c r="F1699" s="30"/>
      <c r="G1699" s="30"/>
      <c r="H1699" s="30"/>
      <c r="I1699" s="30"/>
      <c r="J1699" s="30"/>
      <c r="K1699" s="30"/>
      <c r="L1699" s="30"/>
      <c r="M1699" s="30"/>
      <c r="N1699" s="30"/>
      <c r="O1699" s="30"/>
      <c r="P1699" s="30"/>
      <c r="Q1699" s="30"/>
      <c r="R1699" s="30"/>
      <c r="S1699" s="30"/>
      <c r="T1699" s="30"/>
      <c r="U1699" s="30"/>
      <c r="V1699" s="30"/>
      <c r="W1699" s="30"/>
      <c r="X1699" s="30"/>
      <c r="Y1699" s="30"/>
      <c r="Z1699" s="30"/>
      <c r="AA1699" s="30"/>
    </row>
    <row r="1700">
      <c r="A1700" s="29">
        <v>1467161.0</v>
      </c>
      <c r="B1700" s="29">
        <v>1465911.0</v>
      </c>
      <c r="C1700" s="30" t="str">
        <f t="shared" si="1"/>
        <v>-</v>
      </c>
      <c r="D1700" s="29">
        <f t="shared" si="2"/>
        <v>565</v>
      </c>
      <c r="E1700" s="30"/>
      <c r="F1700" s="30"/>
      <c r="G1700" s="30"/>
      <c r="H1700" s="30"/>
      <c r="I1700" s="30"/>
      <c r="J1700" s="30"/>
      <c r="K1700" s="30"/>
      <c r="L1700" s="30"/>
      <c r="M1700" s="30"/>
      <c r="N1700" s="30"/>
      <c r="O1700" s="30"/>
      <c r="P1700" s="30"/>
      <c r="Q1700" s="30"/>
      <c r="R1700" s="30"/>
      <c r="S1700" s="30"/>
      <c r="T1700" s="30"/>
      <c r="U1700" s="30"/>
      <c r="V1700" s="30"/>
      <c r="W1700" s="30"/>
      <c r="X1700" s="30"/>
      <c r="Y1700" s="30"/>
      <c r="Z1700" s="30"/>
      <c r="AA1700" s="30"/>
    </row>
    <row r="1701">
      <c r="A1701" s="29">
        <v>1467191.0</v>
      </c>
      <c r="B1701" s="29">
        <v>1467811.0</v>
      </c>
      <c r="C1701" s="30" t="str">
        <f t="shared" si="1"/>
        <v>+</v>
      </c>
      <c r="D1701" s="29">
        <f t="shared" si="2"/>
        <v>566</v>
      </c>
      <c r="E1701" s="30"/>
      <c r="F1701" s="30"/>
      <c r="G1701" s="30"/>
      <c r="H1701" s="30"/>
      <c r="I1701" s="30"/>
      <c r="J1701" s="30"/>
      <c r="K1701" s="30"/>
      <c r="L1701" s="30"/>
      <c r="M1701" s="30"/>
      <c r="N1701" s="30"/>
      <c r="O1701" s="30"/>
      <c r="P1701" s="30"/>
      <c r="Q1701" s="30"/>
      <c r="R1701" s="30"/>
      <c r="S1701" s="30"/>
      <c r="T1701" s="30"/>
      <c r="U1701" s="30"/>
      <c r="V1701" s="30"/>
      <c r="W1701" s="30"/>
      <c r="X1701" s="30"/>
      <c r="Y1701" s="30"/>
      <c r="Z1701" s="30"/>
      <c r="AA1701" s="30"/>
    </row>
    <row r="1702">
      <c r="A1702" s="29">
        <v>1467834.0</v>
      </c>
      <c r="B1702" s="29">
        <v>1468502.0</v>
      </c>
      <c r="C1702" s="30" t="str">
        <f t="shared" si="1"/>
        <v>+</v>
      </c>
      <c r="D1702" s="29">
        <f t="shared" si="2"/>
        <v>566</v>
      </c>
      <c r="E1702" s="30"/>
      <c r="F1702" s="30"/>
      <c r="G1702" s="30"/>
      <c r="H1702" s="30"/>
      <c r="I1702" s="30"/>
      <c r="J1702" s="30"/>
      <c r="K1702" s="30"/>
      <c r="L1702" s="30"/>
      <c r="M1702" s="30"/>
      <c r="N1702" s="30"/>
      <c r="O1702" s="30"/>
      <c r="P1702" s="30"/>
      <c r="Q1702" s="30"/>
      <c r="R1702" s="30"/>
      <c r="S1702" s="30"/>
      <c r="T1702" s="30"/>
      <c r="U1702" s="30"/>
      <c r="V1702" s="30"/>
      <c r="W1702" s="30"/>
      <c r="X1702" s="30"/>
      <c r="Y1702" s="30"/>
      <c r="Z1702" s="30"/>
      <c r="AA1702" s="30"/>
    </row>
    <row r="1703">
      <c r="A1703" s="29">
        <v>1468523.0</v>
      </c>
      <c r="B1703" s="29">
        <v>1469569.0</v>
      </c>
      <c r="C1703" s="30" t="str">
        <f t="shared" si="1"/>
        <v>+</v>
      </c>
      <c r="D1703" s="29">
        <f t="shared" si="2"/>
        <v>566</v>
      </c>
      <c r="E1703" s="30"/>
      <c r="F1703" s="30"/>
      <c r="G1703" s="30"/>
      <c r="H1703" s="30"/>
      <c r="I1703" s="30"/>
      <c r="J1703" s="30"/>
      <c r="K1703" s="30"/>
      <c r="L1703" s="30"/>
      <c r="M1703" s="30"/>
      <c r="N1703" s="30"/>
      <c r="O1703" s="30"/>
      <c r="P1703" s="30"/>
      <c r="Q1703" s="30"/>
      <c r="R1703" s="30"/>
      <c r="S1703" s="30"/>
      <c r="T1703" s="30"/>
      <c r="U1703" s="30"/>
      <c r="V1703" s="30"/>
      <c r="W1703" s="30"/>
      <c r="X1703" s="30"/>
      <c r="Y1703" s="30"/>
      <c r="Z1703" s="30"/>
      <c r="AA1703" s="30"/>
    </row>
    <row r="1704">
      <c r="A1704" s="29">
        <v>1469577.0</v>
      </c>
      <c r="B1704" s="29">
        <v>1469744.0</v>
      </c>
      <c r="C1704" s="30" t="str">
        <f t="shared" si="1"/>
        <v>+</v>
      </c>
      <c r="D1704" s="29">
        <f t="shared" si="2"/>
        <v>566</v>
      </c>
      <c r="E1704" s="30"/>
      <c r="F1704" s="30"/>
      <c r="G1704" s="30"/>
      <c r="H1704" s="30"/>
      <c r="I1704" s="30"/>
      <c r="J1704" s="30"/>
      <c r="K1704" s="30"/>
      <c r="L1704" s="30"/>
      <c r="M1704" s="30"/>
      <c r="N1704" s="30"/>
      <c r="O1704" s="30"/>
      <c r="P1704" s="30"/>
      <c r="Q1704" s="30"/>
      <c r="R1704" s="30"/>
      <c r="S1704" s="30"/>
      <c r="T1704" s="30"/>
      <c r="U1704" s="30"/>
      <c r="V1704" s="30"/>
      <c r="W1704" s="30"/>
      <c r="X1704" s="30"/>
      <c r="Y1704" s="30"/>
      <c r="Z1704" s="30"/>
      <c r="AA1704" s="30"/>
    </row>
    <row r="1705">
      <c r="A1705" s="29">
        <v>1469747.0</v>
      </c>
      <c r="B1705" s="29">
        <v>1470559.0</v>
      </c>
      <c r="C1705" s="30" t="str">
        <f t="shared" si="1"/>
        <v>+</v>
      </c>
      <c r="D1705" s="29">
        <f t="shared" si="2"/>
        <v>566</v>
      </c>
      <c r="E1705" s="30"/>
      <c r="F1705" s="30"/>
      <c r="G1705" s="30"/>
      <c r="H1705" s="30"/>
      <c r="I1705" s="30"/>
      <c r="J1705" s="30"/>
      <c r="K1705" s="30"/>
      <c r="L1705" s="30"/>
      <c r="M1705" s="30"/>
      <c r="N1705" s="30"/>
      <c r="O1705" s="30"/>
      <c r="P1705" s="30"/>
      <c r="Q1705" s="30"/>
      <c r="R1705" s="30"/>
      <c r="S1705" s="30"/>
      <c r="T1705" s="30"/>
      <c r="U1705" s="30"/>
      <c r="V1705" s="30"/>
      <c r="W1705" s="30"/>
      <c r="X1705" s="30"/>
      <c r="Y1705" s="30"/>
      <c r="Z1705" s="30"/>
      <c r="AA1705" s="30"/>
    </row>
    <row r="1706">
      <c r="A1706" s="29">
        <v>1471176.0</v>
      </c>
      <c r="B1706" s="29">
        <v>1472021.0</v>
      </c>
      <c r="C1706" s="30" t="str">
        <f t="shared" si="1"/>
        <v>+</v>
      </c>
      <c r="D1706" s="29">
        <f t="shared" si="2"/>
        <v>566</v>
      </c>
      <c r="E1706" s="30"/>
      <c r="F1706" s="30"/>
      <c r="G1706" s="30"/>
      <c r="H1706" s="30"/>
      <c r="I1706" s="30"/>
      <c r="J1706" s="30"/>
      <c r="K1706" s="30"/>
      <c r="L1706" s="30"/>
      <c r="M1706" s="30"/>
      <c r="N1706" s="30"/>
      <c r="O1706" s="30"/>
      <c r="P1706" s="30"/>
      <c r="Q1706" s="30"/>
      <c r="R1706" s="30"/>
      <c r="S1706" s="30"/>
      <c r="T1706" s="30"/>
      <c r="U1706" s="30"/>
      <c r="V1706" s="30"/>
      <c r="W1706" s="30"/>
      <c r="X1706" s="30"/>
      <c r="Y1706" s="30"/>
      <c r="Z1706" s="30"/>
      <c r="AA1706" s="30"/>
    </row>
    <row r="1707">
      <c r="A1707" s="29">
        <v>1472862.0</v>
      </c>
      <c r="B1707" s="29">
        <v>1472023.0</v>
      </c>
      <c r="C1707" s="30" t="str">
        <f t="shared" si="1"/>
        <v>-</v>
      </c>
      <c r="D1707" s="29">
        <f t="shared" si="2"/>
        <v>567</v>
      </c>
      <c r="E1707" s="30"/>
      <c r="F1707" s="30"/>
      <c r="G1707" s="30"/>
      <c r="H1707" s="30"/>
      <c r="I1707" s="30"/>
      <c r="J1707" s="30"/>
      <c r="K1707" s="30"/>
      <c r="L1707" s="30"/>
      <c r="M1707" s="30"/>
      <c r="N1707" s="30"/>
      <c r="O1707" s="30"/>
      <c r="P1707" s="30"/>
      <c r="Q1707" s="30"/>
      <c r="R1707" s="30"/>
      <c r="S1707" s="30"/>
      <c r="T1707" s="30"/>
      <c r="U1707" s="30"/>
      <c r="V1707" s="30"/>
      <c r="W1707" s="30"/>
      <c r="X1707" s="30"/>
      <c r="Y1707" s="30"/>
      <c r="Z1707" s="30"/>
      <c r="AA1707" s="30"/>
    </row>
    <row r="1708">
      <c r="A1708" s="29">
        <v>1472896.0</v>
      </c>
      <c r="B1708" s="29">
        <v>1473261.0</v>
      </c>
      <c r="C1708" s="30" t="str">
        <f t="shared" si="1"/>
        <v>+</v>
      </c>
      <c r="D1708" s="29">
        <f t="shared" si="2"/>
        <v>568</v>
      </c>
      <c r="E1708" s="30"/>
      <c r="F1708" s="30"/>
      <c r="G1708" s="30"/>
      <c r="H1708" s="30"/>
      <c r="I1708" s="30"/>
      <c r="J1708" s="30"/>
      <c r="K1708" s="30"/>
      <c r="L1708" s="30"/>
      <c r="M1708" s="30"/>
      <c r="N1708" s="30"/>
      <c r="O1708" s="30"/>
      <c r="P1708" s="30"/>
      <c r="Q1708" s="30"/>
      <c r="R1708" s="30"/>
      <c r="S1708" s="30"/>
      <c r="T1708" s="30"/>
      <c r="U1708" s="30"/>
      <c r="V1708" s="30"/>
      <c r="W1708" s="30"/>
      <c r="X1708" s="30"/>
      <c r="Y1708" s="30"/>
      <c r="Z1708" s="30"/>
      <c r="AA1708" s="30"/>
    </row>
    <row r="1709">
      <c r="A1709" s="29">
        <v>1473354.0</v>
      </c>
      <c r="B1709" s="29">
        <v>1474391.0</v>
      </c>
      <c r="C1709" s="30" t="str">
        <f t="shared" si="1"/>
        <v>+</v>
      </c>
      <c r="D1709" s="29">
        <f t="shared" si="2"/>
        <v>568</v>
      </c>
      <c r="E1709" s="30"/>
      <c r="F1709" s="30"/>
      <c r="G1709" s="30"/>
      <c r="H1709" s="30"/>
      <c r="I1709" s="30"/>
      <c r="J1709" s="30"/>
      <c r="K1709" s="30"/>
      <c r="L1709" s="30"/>
      <c r="M1709" s="30"/>
      <c r="N1709" s="30"/>
      <c r="O1709" s="30"/>
      <c r="P1709" s="30"/>
      <c r="Q1709" s="30"/>
      <c r="R1709" s="30"/>
      <c r="S1709" s="30"/>
      <c r="T1709" s="30"/>
      <c r="U1709" s="30"/>
      <c r="V1709" s="30"/>
      <c r="W1709" s="30"/>
      <c r="X1709" s="30"/>
      <c r="Y1709" s="30"/>
      <c r="Z1709" s="30"/>
      <c r="AA1709" s="30"/>
    </row>
    <row r="1710">
      <c r="A1710" s="29">
        <v>1474400.0</v>
      </c>
      <c r="B1710" s="29">
        <v>1475296.0</v>
      </c>
      <c r="C1710" s="30" t="str">
        <f t="shared" si="1"/>
        <v>+</v>
      </c>
      <c r="D1710" s="29">
        <f t="shared" si="2"/>
        <v>568</v>
      </c>
      <c r="E1710" s="30"/>
      <c r="F1710" s="30"/>
      <c r="G1710" s="30"/>
      <c r="H1710" s="30"/>
      <c r="I1710" s="30"/>
      <c r="J1710" s="30"/>
      <c r="K1710" s="30"/>
      <c r="L1710" s="30"/>
      <c r="M1710" s="30"/>
      <c r="N1710" s="30"/>
      <c r="O1710" s="30"/>
      <c r="P1710" s="30"/>
      <c r="Q1710" s="30"/>
      <c r="R1710" s="30"/>
      <c r="S1710" s="30"/>
      <c r="T1710" s="30"/>
      <c r="U1710" s="30"/>
      <c r="V1710" s="30"/>
      <c r="W1710" s="30"/>
      <c r="X1710" s="30"/>
      <c r="Y1710" s="30"/>
      <c r="Z1710" s="30"/>
      <c r="AA1710" s="30"/>
    </row>
    <row r="1711">
      <c r="A1711" s="29">
        <v>1476547.0</v>
      </c>
      <c r="B1711" s="29">
        <v>1475288.0</v>
      </c>
      <c r="C1711" s="30" t="str">
        <f t="shared" si="1"/>
        <v>-</v>
      </c>
      <c r="D1711" s="29">
        <f t="shared" si="2"/>
        <v>569</v>
      </c>
      <c r="E1711" s="30"/>
      <c r="F1711" s="30"/>
      <c r="G1711" s="30"/>
      <c r="H1711" s="30"/>
      <c r="I1711" s="30"/>
      <c r="J1711" s="30"/>
      <c r="K1711" s="30"/>
      <c r="L1711" s="30"/>
      <c r="M1711" s="30"/>
      <c r="N1711" s="30"/>
      <c r="O1711" s="30"/>
      <c r="P1711" s="30"/>
      <c r="Q1711" s="30"/>
      <c r="R1711" s="30"/>
      <c r="S1711" s="30"/>
      <c r="T1711" s="30"/>
      <c r="U1711" s="30"/>
      <c r="V1711" s="30"/>
      <c r="W1711" s="30"/>
      <c r="X1711" s="30"/>
      <c r="Y1711" s="30"/>
      <c r="Z1711" s="30"/>
      <c r="AA1711" s="30"/>
    </row>
    <row r="1712">
      <c r="A1712" s="29">
        <v>1477569.0</v>
      </c>
      <c r="B1712" s="29">
        <v>1476544.0</v>
      </c>
      <c r="C1712" s="30" t="str">
        <f t="shared" si="1"/>
        <v>-</v>
      </c>
      <c r="D1712" s="29">
        <f t="shared" si="2"/>
        <v>569</v>
      </c>
      <c r="E1712" s="30"/>
      <c r="F1712" s="30"/>
      <c r="G1712" s="30"/>
      <c r="H1712" s="30"/>
      <c r="I1712" s="30"/>
      <c r="J1712" s="30"/>
      <c r="K1712" s="30"/>
      <c r="L1712" s="30"/>
      <c r="M1712" s="30"/>
      <c r="N1712" s="30"/>
      <c r="O1712" s="30"/>
      <c r="P1712" s="30"/>
      <c r="Q1712" s="30"/>
      <c r="R1712" s="30"/>
      <c r="S1712" s="30"/>
      <c r="T1712" s="30"/>
      <c r="U1712" s="30"/>
      <c r="V1712" s="30"/>
      <c r="W1712" s="30"/>
      <c r="X1712" s="30"/>
      <c r="Y1712" s="30"/>
      <c r="Z1712" s="30"/>
      <c r="AA1712" s="30"/>
    </row>
    <row r="1713">
      <c r="A1713" s="29">
        <v>1478622.0</v>
      </c>
      <c r="B1713" s="29">
        <v>1477603.0</v>
      </c>
      <c r="C1713" s="30" t="str">
        <f t="shared" si="1"/>
        <v>-</v>
      </c>
      <c r="D1713" s="29">
        <f t="shared" si="2"/>
        <v>569</v>
      </c>
      <c r="E1713" s="30"/>
      <c r="F1713" s="30"/>
      <c r="G1713" s="30"/>
      <c r="H1713" s="30"/>
      <c r="I1713" s="30"/>
      <c r="J1713" s="30"/>
      <c r="K1713" s="30"/>
      <c r="L1713" s="30"/>
      <c r="M1713" s="30"/>
      <c r="N1713" s="30"/>
      <c r="O1713" s="30"/>
      <c r="P1713" s="30"/>
      <c r="Q1713" s="30"/>
      <c r="R1713" s="30"/>
      <c r="S1713" s="30"/>
      <c r="T1713" s="30"/>
      <c r="U1713" s="30"/>
      <c r="V1713" s="30"/>
      <c r="W1713" s="30"/>
      <c r="X1713" s="30"/>
      <c r="Y1713" s="30"/>
      <c r="Z1713" s="30"/>
      <c r="AA1713" s="30"/>
    </row>
    <row r="1714">
      <c r="A1714" s="29">
        <v>1478699.0</v>
      </c>
      <c r="B1714" s="29">
        <v>1479715.0</v>
      </c>
      <c r="C1714" s="30" t="str">
        <f t="shared" si="1"/>
        <v>+</v>
      </c>
      <c r="D1714" s="29">
        <f t="shared" si="2"/>
        <v>570</v>
      </c>
      <c r="E1714" s="30"/>
      <c r="F1714" s="30"/>
      <c r="G1714" s="30"/>
      <c r="H1714" s="30"/>
      <c r="I1714" s="30"/>
      <c r="J1714" s="30"/>
      <c r="K1714" s="30"/>
      <c r="L1714" s="30"/>
      <c r="M1714" s="30"/>
      <c r="N1714" s="30"/>
      <c r="O1714" s="30"/>
      <c r="P1714" s="30"/>
      <c r="Q1714" s="30"/>
      <c r="R1714" s="30"/>
      <c r="S1714" s="30"/>
      <c r="T1714" s="30"/>
      <c r="U1714" s="30"/>
      <c r="V1714" s="30"/>
      <c r="W1714" s="30"/>
      <c r="X1714" s="30"/>
      <c r="Y1714" s="30"/>
      <c r="Z1714" s="30"/>
      <c r="AA1714" s="30"/>
    </row>
    <row r="1715">
      <c r="A1715" s="29">
        <v>1479853.0</v>
      </c>
      <c r="B1715" s="29">
        <v>1480257.0</v>
      </c>
      <c r="C1715" s="30" t="str">
        <f t="shared" si="1"/>
        <v>+</v>
      </c>
      <c r="D1715" s="29">
        <f t="shared" si="2"/>
        <v>570</v>
      </c>
      <c r="E1715" s="30"/>
      <c r="F1715" s="30"/>
      <c r="G1715" s="30"/>
      <c r="H1715" s="30"/>
      <c r="I1715" s="30"/>
      <c r="J1715" s="30"/>
      <c r="K1715" s="30"/>
      <c r="L1715" s="30"/>
      <c r="M1715" s="30"/>
      <c r="N1715" s="30"/>
      <c r="O1715" s="30"/>
      <c r="P1715" s="30"/>
      <c r="Q1715" s="30"/>
      <c r="R1715" s="30"/>
      <c r="S1715" s="30"/>
      <c r="T1715" s="30"/>
      <c r="U1715" s="30"/>
      <c r="V1715" s="30"/>
      <c r="W1715" s="30"/>
      <c r="X1715" s="30"/>
      <c r="Y1715" s="30"/>
      <c r="Z1715" s="30"/>
      <c r="AA1715" s="30"/>
    </row>
    <row r="1716">
      <c r="A1716" s="29">
        <v>1480800.0</v>
      </c>
      <c r="B1716" s="29">
        <v>1480249.0</v>
      </c>
      <c r="C1716" s="30" t="str">
        <f t="shared" si="1"/>
        <v>-</v>
      </c>
      <c r="D1716" s="29">
        <f t="shared" si="2"/>
        <v>571</v>
      </c>
      <c r="E1716" s="30"/>
      <c r="F1716" s="30"/>
      <c r="G1716" s="30"/>
      <c r="H1716" s="30"/>
      <c r="I1716" s="30"/>
      <c r="J1716" s="30"/>
      <c r="K1716" s="30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0"/>
      <c r="X1716" s="30"/>
      <c r="Y1716" s="30"/>
      <c r="Z1716" s="30"/>
      <c r="AA1716" s="30"/>
    </row>
    <row r="1717">
      <c r="A1717" s="29">
        <v>1482065.0</v>
      </c>
      <c r="B1717" s="29">
        <v>1480830.0</v>
      </c>
      <c r="C1717" s="30" t="str">
        <f t="shared" si="1"/>
        <v>-</v>
      </c>
      <c r="D1717" s="29">
        <f t="shared" si="2"/>
        <v>571</v>
      </c>
      <c r="E1717" s="30"/>
      <c r="F1717" s="30"/>
      <c r="G1717" s="30"/>
      <c r="H1717" s="30"/>
      <c r="I1717" s="30"/>
      <c r="J1717" s="30"/>
      <c r="K1717" s="30"/>
      <c r="L1717" s="30"/>
      <c r="M1717" s="30"/>
      <c r="N1717" s="30"/>
      <c r="O1717" s="30"/>
      <c r="P1717" s="30"/>
      <c r="Q1717" s="30"/>
      <c r="R1717" s="30"/>
      <c r="S1717" s="30"/>
      <c r="T1717" s="30"/>
      <c r="U1717" s="30"/>
      <c r="V1717" s="30"/>
      <c r="W1717" s="30"/>
      <c r="X1717" s="30"/>
      <c r="Y1717" s="30"/>
      <c r="Z1717" s="30"/>
      <c r="AA1717" s="30"/>
    </row>
    <row r="1718">
      <c r="A1718" s="29">
        <v>1483912.0</v>
      </c>
      <c r="B1718" s="29">
        <v>1482062.0</v>
      </c>
      <c r="C1718" s="30" t="str">
        <f t="shared" si="1"/>
        <v>-</v>
      </c>
      <c r="D1718" s="29">
        <f t="shared" si="2"/>
        <v>571</v>
      </c>
      <c r="E1718" s="30"/>
      <c r="F1718" s="30"/>
      <c r="G1718" s="30"/>
      <c r="H1718" s="30"/>
      <c r="I1718" s="30"/>
      <c r="J1718" s="30"/>
      <c r="K1718" s="30"/>
      <c r="L1718" s="30"/>
      <c r="M1718" s="30"/>
      <c r="N1718" s="30"/>
      <c r="O1718" s="30"/>
      <c r="P1718" s="30"/>
      <c r="Q1718" s="30"/>
      <c r="R1718" s="30"/>
      <c r="S1718" s="30"/>
      <c r="T1718" s="30"/>
      <c r="U1718" s="30"/>
      <c r="V1718" s="30"/>
      <c r="W1718" s="30"/>
      <c r="X1718" s="30"/>
      <c r="Y1718" s="30"/>
      <c r="Z1718" s="30"/>
      <c r="AA1718" s="30"/>
    </row>
    <row r="1719">
      <c r="A1719" s="29">
        <v>1485333.0</v>
      </c>
      <c r="B1719" s="29">
        <v>1483903.0</v>
      </c>
      <c r="C1719" s="30" t="str">
        <f t="shared" si="1"/>
        <v>-</v>
      </c>
      <c r="D1719" s="29">
        <f t="shared" si="2"/>
        <v>571</v>
      </c>
      <c r="E1719" s="30"/>
      <c r="F1719" s="30"/>
      <c r="G1719" s="30"/>
      <c r="H1719" s="30"/>
      <c r="I1719" s="30"/>
      <c r="J1719" s="30"/>
      <c r="K1719" s="30"/>
      <c r="L1719" s="30"/>
      <c r="M1719" s="30"/>
      <c r="N1719" s="30"/>
      <c r="O1719" s="30"/>
      <c r="P1719" s="30"/>
      <c r="Q1719" s="30"/>
      <c r="R1719" s="30"/>
      <c r="S1719" s="30"/>
      <c r="T1719" s="30"/>
      <c r="U1719" s="30"/>
      <c r="V1719" s="30"/>
      <c r="W1719" s="30"/>
      <c r="X1719" s="30"/>
      <c r="Y1719" s="30"/>
      <c r="Z1719" s="30"/>
      <c r="AA1719" s="30"/>
    </row>
    <row r="1720">
      <c r="A1720" s="29">
        <v>1485623.0</v>
      </c>
      <c r="B1720" s="29">
        <v>1485330.0</v>
      </c>
      <c r="C1720" s="30" t="str">
        <f t="shared" si="1"/>
        <v>-</v>
      </c>
      <c r="D1720" s="29">
        <f t="shared" si="2"/>
        <v>571</v>
      </c>
      <c r="E1720" s="30"/>
      <c r="F1720" s="30"/>
      <c r="G1720" s="30"/>
      <c r="H1720" s="30"/>
      <c r="I1720" s="30"/>
      <c r="J1720" s="30"/>
      <c r="K1720" s="30"/>
      <c r="L1720" s="30"/>
      <c r="M1720" s="30"/>
      <c r="N1720" s="30"/>
      <c r="O1720" s="30"/>
      <c r="P1720" s="30"/>
      <c r="Q1720" s="30"/>
      <c r="R1720" s="30"/>
      <c r="S1720" s="30"/>
      <c r="T1720" s="30"/>
      <c r="U1720" s="30"/>
      <c r="V1720" s="30"/>
      <c r="W1720" s="30"/>
      <c r="X1720" s="30"/>
      <c r="Y1720" s="30"/>
      <c r="Z1720" s="30"/>
      <c r="AA1720" s="30"/>
    </row>
    <row r="1721">
      <c r="A1721" s="29">
        <v>1486060.0</v>
      </c>
      <c r="B1721" s="29">
        <v>1485620.0</v>
      </c>
      <c r="C1721" s="30" t="str">
        <f t="shared" si="1"/>
        <v>-</v>
      </c>
      <c r="D1721" s="29">
        <f t="shared" si="2"/>
        <v>571</v>
      </c>
      <c r="E1721" s="30"/>
      <c r="F1721" s="30"/>
      <c r="G1721" s="30"/>
      <c r="H1721" s="30"/>
      <c r="I1721" s="30"/>
      <c r="J1721" s="30"/>
      <c r="K1721" s="30"/>
      <c r="L1721" s="30"/>
      <c r="M1721" s="30"/>
      <c r="N1721" s="30"/>
      <c r="O1721" s="30"/>
      <c r="P1721" s="30"/>
      <c r="Q1721" s="30"/>
      <c r="R1721" s="30"/>
      <c r="S1721" s="30"/>
      <c r="T1721" s="30"/>
      <c r="U1721" s="30"/>
      <c r="V1721" s="30"/>
      <c r="W1721" s="30"/>
      <c r="X1721" s="30"/>
      <c r="Y1721" s="30"/>
      <c r="Z1721" s="30"/>
      <c r="AA1721" s="30"/>
    </row>
    <row r="1722">
      <c r="A1722" s="29">
        <v>1486597.0</v>
      </c>
      <c r="B1722" s="29">
        <v>1486130.0</v>
      </c>
      <c r="C1722" s="30" t="str">
        <f t="shared" si="1"/>
        <v>-</v>
      </c>
      <c r="D1722" s="29">
        <f t="shared" si="2"/>
        <v>571</v>
      </c>
      <c r="E1722" s="30"/>
      <c r="F1722" s="30"/>
      <c r="G1722" s="30"/>
      <c r="H1722" s="30"/>
      <c r="I1722" s="30"/>
      <c r="J1722" s="30"/>
      <c r="K1722" s="30"/>
      <c r="L1722" s="30"/>
      <c r="M1722" s="30"/>
      <c r="N1722" s="30"/>
      <c r="O1722" s="30"/>
      <c r="P1722" s="30"/>
      <c r="Q1722" s="30"/>
      <c r="R1722" s="30"/>
      <c r="S1722" s="30"/>
      <c r="T1722" s="30"/>
      <c r="U1722" s="30"/>
      <c r="V1722" s="30"/>
      <c r="W1722" s="30"/>
      <c r="X1722" s="30"/>
      <c r="Y1722" s="30"/>
      <c r="Z1722" s="30"/>
      <c r="AA1722" s="30"/>
    </row>
    <row r="1723">
      <c r="A1723" s="29">
        <v>1487625.0</v>
      </c>
      <c r="B1723" s="29">
        <v>1486594.0</v>
      </c>
      <c r="C1723" s="30" t="str">
        <f t="shared" si="1"/>
        <v>-</v>
      </c>
      <c r="D1723" s="29">
        <f t="shared" si="2"/>
        <v>571</v>
      </c>
      <c r="E1723" s="30"/>
      <c r="F1723" s="30"/>
      <c r="G1723" s="30"/>
      <c r="H1723" s="30"/>
      <c r="I1723" s="30"/>
      <c r="J1723" s="30"/>
      <c r="K1723" s="30"/>
      <c r="L1723" s="30"/>
      <c r="M1723" s="30"/>
      <c r="N1723" s="30"/>
      <c r="O1723" s="30"/>
      <c r="P1723" s="30"/>
      <c r="Q1723" s="30"/>
      <c r="R1723" s="30"/>
      <c r="S1723" s="30"/>
      <c r="T1723" s="30"/>
      <c r="U1723" s="30"/>
      <c r="V1723" s="30"/>
      <c r="W1723" s="30"/>
      <c r="X1723" s="30"/>
      <c r="Y1723" s="30"/>
      <c r="Z1723" s="30"/>
      <c r="AA1723" s="30"/>
    </row>
    <row r="1724">
      <c r="A1724" s="29">
        <v>1487708.0</v>
      </c>
      <c r="B1724" s="29">
        <v>1488139.0</v>
      </c>
      <c r="C1724" s="30" t="str">
        <f t="shared" si="1"/>
        <v>+</v>
      </c>
      <c r="D1724" s="29">
        <f t="shared" si="2"/>
        <v>572</v>
      </c>
      <c r="E1724" s="30"/>
      <c r="F1724" s="30"/>
      <c r="G1724" s="30"/>
      <c r="H1724" s="30"/>
      <c r="I1724" s="30"/>
      <c r="J1724" s="30"/>
      <c r="K1724" s="30"/>
      <c r="L1724" s="30"/>
      <c r="M1724" s="30"/>
      <c r="N1724" s="30"/>
      <c r="O1724" s="30"/>
      <c r="P1724" s="30"/>
      <c r="Q1724" s="30"/>
      <c r="R1724" s="30"/>
      <c r="S1724" s="30"/>
      <c r="T1724" s="30"/>
      <c r="U1724" s="30"/>
      <c r="V1724" s="30"/>
      <c r="W1724" s="30"/>
      <c r="X1724" s="30"/>
      <c r="Y1724" s="30"/>
      <c r="Z1724" s="30"/>
      <c r="AA1724" s="30"/>
    </row>
    <row r="1725">
      <c r="A1725" s="29">
        <v>1488545.0</v>
      </c>
      <c r="B1725" s="29">
        <v>1489348.0</v>
      </c>
      <c r="C1725" s="30" t="str">
        <f t="shared" si="1"/>
        <v>+</v>
      </c>
      <c r="D1725" s="29">
        <f t="shared" si="2"/>
        <v>572</v>
      </c>
      <c r="E1725" s="30"/>
      <c r="F1725" s="30"/>
      <c r="G1725" s="30"/>
      <c r="H1725" s="30"/>
      <c r="I1725" s="30"/>
      <c r="J1725" s="30"/>
      <c r="K1725" s="30"/>
      <c r="L1725" s="30"/>
      <c r="M1725" s="30"/>
      <c r="N1725" s="30"/>
      <c r="O1725" s="30"/>
      <c r="P1725" s="30"/>
      <c r="Q1725" s="30"/>
      <c r="R1725" s="30"/>
      <c r="S1725" s="30"/>
      <c r="T1725" s="30"/>
      <c r="U1725" s="30"/>
      <c r="V1725" s="30"/>
      <c r="W1725" s="30"/>
      <c r="X1725" s="30"/>
      <c r="Y1725" s="30"/>
      <c r="Z1725" s="30"/>
      <c r="AA1725" s="30"/>
    </row>
    <row r="1726">
      <c r="A1726" s="29">
        <v>1490535.0</v>
      </c>
      <c r="B1726" s="29">
        <v>1489330.0</v>
      </c>
      <c r="C1726" s="30" t="str">
        <f t="shared" si="1"/>
        <v>-</v>
      </c>
      <c r="D1726" s="29">
        <f t="shared" si="2"/>
        <v>573</v>
      </c>
      <c r="E1726" s="30"/>
      <c r="F1726" s="30"/>
      <c r="G1726" s="30"/>
      <c r="H1726" s="30"/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/>
      <c r="W1726" s="30"/>
      <c r="X1726" s="30"/>
      <c r="Y1726" s="30"/>
      <c r="Z1726" s="30"/>
      <c r="AA1726" s="30"/>
    </row>
    <row r="1727">
      <c r="A1727" s="29">
        <v>1490657.0</v>
      </c>
      <c r="B1727" s="29">
        <v>1490532.0</v>
      </c>
      <c r="C1727" s="30" t="str">
        <f t="shared" si="1"/>
        <v>-</v>
      </c>
      <c r="D1727" s="29">
        <f t="shared" si="2"/>
        <v>573</v>
      </c>
      <c r="E1727" s="30"/>
      <c r="F1727" s="30"/>
      <c r="G1727" s="30"/>
      <c r="H1727" s="30"/>
      <c r="I1727" s="30"/>
      <c r="J1727" s="30"/>
      <c r="K1727" s="30"/>
      <c r="L1727" s="30"/>
      <c r="M1727" s="30"/>
      <c r="N1727" s="30"/>
      <c r="O1727" s="30"/>
      <c r="P1727" s="30"/>
      <c r="Q1727" s="30"/>
      <c r="R1727" s="30"/>
      <c r="S1727" s="30"/>
      <c r="T1727" s="30"/>
      <c r="U1727" s="30"/>
      <c r="V1727" s="30"/>
      <c r="W1727" s="30"/>
      <c r="X1727" s="30"/>
      <c r="Y1727" s="30"/>
      <c r="Z1727" s="30"/>
      <c r="AA1727" s="30"/>
    </row>
    <row r="1728">
      <c r="A1728" s="29">
        <v>1490672.0</v>
      </c>
      <c r="B1728" s="29">
        <v>1491274.0</v>
      </c>
      <c r="C1728" s="30" t="str">
        <f t="shared" si="1"/>
        <v>+</v>
      </c>
      <c r="D1728" s="29">
        <f t="shared" si="2"/>
        <v>574</v>
      </c>
      <c r="E1728" s="30"/>
      <c r="F1728" s="30"/>
      <c r="G1728" s="30"/>
      <c r="H1728" s="30"/>
      <c r="I1728" s="30"/>
      <c r="J1728" s="30"/>
      <c r="K1728" s="30"/>
      <c r="L1728" s="30"/>
      <c r="M1728" s="30"/>
      <c r="N1728" s="30"/>
      <c r="O1728" s="30"/>
      <c r="P1728" s="30"/>
      <c r="Q1728" s="30"/>
      <c r="R1728" s="30"/>
      <c r="S1728" s="30"/>
      <c r="T1728" s="30"/>
      <c r="U1728" s="30"/>
      <c r="V1728" s="30"/>
      <c r="W1728" s="30"/>
      <c r="X1728" s="30"/>
      <c r="Y1728" s="30"/>
      <c r="Z1728" s="30"/>
      <c r="AA1728" s="30"/>
    </row>
    <row r="1729">
      <c r="A1729" s="29">
        <v>1492125.0</v>
      </c>
      <c r="B1729" s="29">
        <v>1491271.0</v>
      </c>
      <c r="C1729" s="30" t="str">
        <f t="shared" si="1"/>
        <v>-</v>
      </c>
      <c r="D1729" s="29">
        <f t="shared" si="2"/>
        <v>575</v>
      </c>
      <c r="E1729" s="30"/>
      <c r="F1729" s="30"/>
      <c r="G1729" s="30"/>
      <c r="H1729" s="30"/>
      <c r="I1729" s="30"/>
      <c r="J1729" s="30"/>
      <c r="K1729" s="30"/>
      <c r="L1729" s="30"/>
      <c r="M1729" s="30"/>
      <c r="N1729" s="30"/>
      <c r="O1729" s="30"/>
      <c r="P1729" s="30"/>
      <c r="Q1729" s="30"/>
      <c r="R1729" s="30"/>
      <c r="S1729" s="30"/>
      <c r="T1729" s="30"/>
      <c r="U1729" s="30"/>
      <c r="V1729" s="30"/>
      <c r="W1729" s="30"/>
      <c r="X1729" s="30"/>
      <c r="Y1729" s="30"/>
      <c r="Z1729" s="30"/>
      <c r="AA1729" s="30"/>
    </row>
    <row r="1730">
      <c r="A1730" s="29">
        <v>1492154.0</v>
      </c>
      <c r="B1730" s="29">
        <v>1492351.0</v>
      </c>
      <c r="C1730" s="30" t="str">
        <f t="shared" si="1"/>
        <v>+</v>
      </c>
      <c r="D1730" s="29">
        <f t="shared" si="2"/>
        <v>576</v>
      </c>
      <c r="E1730" s="30"/>
      <c r="F1730" s="30"/>
      <c r="G1730" s="30"/>
      <c r="H1730" s="30"/>
      <c r="I1730" s="30"/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  <c r="U1730" s="30"/>
      <c r="V1730" s="30"/>
      <c r="W1730" s="30"/>
      <c r="X1730" s="30"/>
      <c r="Y1730" s="30"/>
      <c r="Z1730" s="30"/>
      <c r="AA1730" s="30"/>
    </row>
    <row r="1731">
      <c r="A1731" s="29">
        <v>1493409.0</v>
      </c>
      <c r="B1731" s="29">
        <v>1492441.0</v>
      </c>
      <c r="C1731" s="30" t="str">
        <f t="shared" si="1"/>
        <v>-</v>
      </c>
      <c r="D1731" s="29">
        <f t="shared" si="2"/>
        <v>577</v>
      </c>
      <c r="E1731" s="30"/>
      <c r="F1731" s="30"/>
      <c r="G1731" s="30"/>
      <c r="H1731" s="30"/>
      <c r="I1731" s="30"/>
      <c r="J1731" s="30"/>
      <c r="K1731" s="30"/>
      <c r="L1731" s="30"/>
      <c r="M1731" s="30"/>
      <c r="N1731" s="30"/>
      <c r="O1731" s="30"/>
      <c r="P1731" s="30"/>
      <c r="Q1731" s="30"/>
      <c r="R1731" s="30"/>
      <c r="S1731" s="30"/>
      <c r="T1731" s="30"/>
      <c r="U1731" s="30"/>
      <c r="V1731" s="30"/>
      <c r="W1731" s="30"/>
      <c r="X1731" s="30"/>
      <c r="Y1731" s="30"/>
      <c r="Z1731" s="30"/>
      <c r="AA1731" s="30"/>
    </row>
    <row r="1732">
      <c r="A1732" s="29">
        <v>1493835.0</v>
      </c>
      <c r="B1732" s="29">
        <v>1493410.0</v>
      </c>
      <c r="C1732" s="30" t="str">
        <f t="shared" si="1"/>
        <v>-</v>
      </c>
      <c r="D1732" s="29">
        <f t="shared" si="2"/>
        <v>577</v>
      </c>
      <c r="E1732" s="30"/>
      <c r="F1732" s="30"/>
      <c r="G1732" s="30"/>
      <c r="H1732" s="30"/>
      <c r="I1732" s="30"/>
      <c r="J1732" s="30"/>
      <c r="K1732" s="30"/>
      <c r="L1732" s="30"/>
      <c r="M1732" s="30"/>
      <c r="N1732" s="30"/>
      <c r="O1732" s="30"/>
      <c r="P1732" s="30"/>
      <c r="Q1732" s="30"/>
      <c r="R1732" s="30"/>
      <c r="S1732" s="30"/>
      <c r="T1732" s="30"/>
      <c r="U1732" s="30"/>
      <c r="V1732" s="30"/>
      <c r="W1732" s="30"/>
      <c r="X1732" s="30"/>
      <c r="Y1732" s="30"/>
      <c r="Z1732" s="30"/>
      <c r="AA1732" s="30"/>
    </row>
    <row r="1733">
      <c r="A1733" s="29">
        <v>1493885.0</v>
      </c>
      <c r="B1733" s="29">
        <v>1494271.0</v>
      </c>
      <c r="C1733" s="30" t="str">
        <f t="shared" si="1"/>
        <v>+</v>
      </c>
      <c r="D1733" s="29">
        <f t="shared" si="2"/>
        <v>578</v>
      </c>
      <c r="E1733" s="30"/>
      <c r="F1733" s="30"/>
      <c r="G1733" s="30"/>
      <c r="H1733" s="30"/>
      <c r="I1733" s="30"/>
      <c r="J1733" s="30"/>
      <c r="K1733" s="30"/>
      <c r="L1733" s="30"/>
      <c r="M1733" s="30"/>
      <c r="N1733" s="30"/>
      <c r="O1733" s="30"/>
      <c r="P1733" s="30"/>
      <c r="Q1733" s="30"/>
      <c r="R1733" s="30"/>
      <c r="S1733" s="30"/>
      <c r="T1733" s="30"/>
      <c r="U1733" s="30"/>
      <c r="V1733" s="30"/>
      <c r="W1733" s="30"/>
      <c r="X1733" s="30"/>
      <c r="Y1733" s="30"/>
      <c r="Z1733" s="30"/>
      <c r="AA1733" s="30"/>
    </row>
    <row r="1734">
      <c r="A1734" s="29">
        <v>1494447.0</v>
      </c>
      <c r="B1734" s="29">
        <v>1494268.0</v>
      </c>
      <c r="C1734" s="30" t="str">
        <f t="shared" si="1"/>
        <v>-</v>
      </c>
      <c r="D1734" s="29">
        <f t="shared" si="2"/>
        <v>579</v>
      </c>
      <c r="E1734" s="30"/>
      <c r="F1734" s="30"/>
      <c r="G1734" s="30"/>
      <c r="H1734" s="30"/>
      <c r="I1734" s="30"/>
      <c r="J1734" s="30"/>
      <c r="K1734" s="30"/>
      <c r="L1734" s="30"/>
      <c r="M1734" s="30"/>
      <c r="N1734" s="30"/>
      <c r="O1734" s="30"/>
      <c r="P1734" s="30"/>
      <c r="Q1734" s="30"/>
      <c r="R1734" s="30"/>
      <c r="S1734" s="30"/>
      <c r="T1734" s="30"/>
      <c r="U1734" s="30"/>
      <c r="V1734" s="30"/>
      <c r="W1734" s="30"/>
      <c r="X1734" s="30"/>
      <c r="Y1734" s="30"/>
      <c r="Z1734" s="30"/>
      <c r="AA1734" s="30"/>
    </row>
    <row r="1735">
      <c r="A1735" s="29">
        <v>1494771.0</v>
      </c>
      <c r="B1735" s="29">
        <v>1494571.0</v>
      </c>
      <c r="C1735" s="30" t="str">
        <f t="shared" si="1"/>
        <v>-</v>
      </c>
      <c r="D1735" s="29">
        <f t="shared" si="2"/>
        <v>579</v>
      </c>
      <c r="E1735" s="30"/>
      <c r="F1735" s="30"/>
      <c r="G1735" s="30"/>
      <c r="H1735" s="30"/>
      <c r="I1735" s="30"/>
      <c r="J1735" s="30"/>
      <c r="K1735" s="30"/>
      <c r="L1735" s="30"/>
      <c r="M1735" s="30"/>
      <c r="N1735" s="30"/>
      <c r="O1735" s="30"/>
      <c r="P1735" s="30"/>
      <c r="Q1735" s="30"/>
      <c r="R1735" s="30"/>
      <c r="S1735" s="30"/>
      <c r="T1735" s="30"/>
      <c r="U1735" s="30"/>
      <c r="V1735" s="30"/>
      <c r="W1735" s="30"/>
      <c r="X1735" s="30"/>
      <c r="Y1735" s="30"/>
      <c r="Z1735" s="30"/>
      <c r="AA1735" s="30"/>
    </row>
    <row r="1736">
      <c r="A1736" s="29">
        <v>1495167.0</v>
      </c>
      <c r="B1736" s="29">
        <v>1496327.0</v>
      </c>
      <c r="C1736" s="30" t="str">
        <f t="shared" si="1"/>
        <v>+</v>
      </c>
      <c r="D1736" s="29">
        <f t="shared" si="2"/>
        <v>580</v>
      </c>
      <c r="E1736" s="30"/>
      <c r="F1736" s="30"/>
      <c r="G1736" s="30"/>
      <c r="H1736" s="30"/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0"/>
      <c r="Z1736" s="30"/>
      <c r="AA1736" s="30"/>
    </row>
    <row r="1737">
      <c r="A1737" s="29">
        <v>1496400.0</v>
      </c>
      <c r="B1737" s="29">
        <v>1498178.0</v>
      </c>
      <c r="C1737" s="30" t="str">
        <f t="shared" si="1"/>
        <v>+</v>
      </c>
      <c r="D1737" s="29">
        <f t="shared" si="2"/>
        <v>580</v>
      </c>
      <c r="E1737" s="30"/>
      <c r="F1737" s="30"/>
      <c r="G1737" s="30"/>
      <c r="H1737" s="30"/>
      <c r="I1737" s="30"/>
      <c r="J1737" s="30"/>
      <c r="K1737" s="30"/>
      <c r="L1737" s="30"/>
      <c r="M1737" s="30"/>
      <c r="N1737" s="30"/>
      <c r="O1737" s="30"/>
      <c r="P1737" s="30"/>
      <c r="Q1737" s="30"/>
      <c r="R1737" s="30"/>
      <c r="S1737" s="30"/>
      <c r="T1737" s="30"/>
      <c r="U1737" s="30"/>
      <c r="V1737" s="30"/>
      <c r="W1737" s="30"/>
      <c r="X1737" s="30"/>
      <c r="Y1737" s="30"/>
      <c r="Z1737" s="30"/>
      <c r="AA1737" s="30"/>
    </row>
    <row r="1738">
      <c r="A1738" s="29">
        <v>1499208.0</v>
      </c>
      <c r="B1738" s="29">
        <v>1498762.0</v>
      </c>
      <c r="C1738" s="30" t="str">
        <f t="shared" si="1"/>
        <v>-</v>
      </c>
      <c r="D1738" s="29">
        <f t="shared" si="2"/>
        <v>581</v>
      </c>
      <c r="E1738" s="30"/>
      <c r="F1738" s="30"/>
      <c r="G1738" s="30"/>
      <c r="H1738" s="30"/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  <c r="U1738" s="30"/>
      <c r="V1738" s="30"/>
      <c r="W1738" s="30"/>
      <c r="X1738" s="30"/>
      <c r="Y1738" s="30"/>
      <c r="Z1738" s="30"/>
      <c r="AA1738" s="30"/>
    </row>
    <row r="1739">
      <c r="A1739" s="29">
        <v>1499256.0</v>
      </c>
      <c r="B1739" s="29">
        <v>1499882.0</v>
      </c>
      <c r="C1739" s="30" t="str">
        <f t="shared" si="1"/>
        <v>+</v>
      </c>
      <c r="D1739" s="29">
        <f t="shared" si="2"/>
        <v>582</v>
      </c>
      <c r="E1739" s="30"/>
      <c r="F1739" s="30"/>
      <c r="G1739" s="30"/>
      <c r="H1739" s="30"/>
      <c r="I1739" s="30"/>
      <c r="J1739" s="30"/>
      <c r="K1739" s="30"/>
      <c r="L1739" s="30"/>
      <c r="M1739" s="30"/>
      <c r="N1739" s="30"/>
      <c r="O1739" s="30"/>
      <c r="P1739" s="30"/>
      <c r="Q1739" s="30"/>
      <c r="R1739" s="30"/>
      <c r="S1739" s="30"/>
      <c r="T1739" s="30"/>
      <c r="U1739" s="30"/>
      <c r="V1739" s="30"/>
      <c r="W1739" s="30"/>
      <c r="X1739" s="30"/>
      <c r="Y1739" s="30"/>
      <c r="Z1739" s="30"/>
      <c r="AA1739" s="30"/>
    </row>
    <row r="1740">
      <c r="A1740" s="29">
        <v>1500216.0</v>
      </c>
      <c r="B1740" s="29">
        <v>1499863.0</v>
      </c>
      <c r="C1740" s="30" t="str">
        <f t="shared" si="1"/>
        <v>-</v>
      </c>
      <c r="D1740" s="29">
        <f t="shared" si="2"/>
        <v>583</v>
      </c>
      <c r="E1740" s="30"/>
      <c r="F1740" s="30"/>
      <c r="G1740" s="30"/>
      <c r="H1740" s="30"/>
      <c r="I1740" s="30"/>
      <c r="J1740" s="30"/>
      <c r="K1740" s="30"/>
      <c r="L1740" s="30"/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0"/>
      <c r="X1740" s="30"/>
      <c r="Y1740" s="30"/>
      <c r="Z1740" s="30"/>
      <c r="AA1740" s="30"/>
    </row>
    <row r="1741">
      <c r="A1741" s="29">
        <v>1500290.0</v>
      </c>
      <c r="B1741" s="29">
        <v>1500565.0</v>
      </c>
      <c r="C1741" s="30" t="str">
        <f t="shared" si="1"/>
        <v>+</v>
      </c>
      <c r="D1741" s="29">
        <f t="shared" si="2"/>
        <v>584</v>
      </c>
      <c r="E1741" s="30"/>
      <c r="F1741" s="30"/>
      <c r="G1741" s="30"/>
      <c r="H1741" s="30"/>
      <c r="I1741" s="30"/>
      <c r="J1741" s="30"/>
      <c r="K1741" s="30"/>
      <c r="L1741" s="30"/>
      <c r="M1741" s="30"/>
      <c r="N1741" s="30"/>
      <c r="O1741" s="30"/>
      <c r="P1741" s="30"/>
      <c r="Q1741" s="30"/>
      <c r="R1741" s="30"/>
      <c r="S1741" s="30"/>
      <c r="T1741" s="30"/>
      <c r="U1741" s="30"/>
      <c r="V1741" s="30"/>
      <c r="W1741" s="30"/>
      <c r="X1741" s="30"/>
      <c r="Y1741" s="30"/>
      <c r="Z1741" s="30"/>
      <c r="AA1741" s="30"/>
    </row>
    <row r="1742">
      <c r="A1742" s="29">
        <v>1501352.0</v>
      </c>
      <c r="B1742" s="29">
        <v>1500678.0</v>
      </c>
      <c r="C1742" s="30" t="str">
        <f t="shared" si="1"/>
        <v>-</v>
      </c>
      <c r="D1742" s="29">
        <f t="shared" si="2"/>
        <v>585</v>
      </c>
      <c r="E1742" s="30"/>
      <c r="F1742" s="30"/>
      <c r="G1742" s="30"/>
      <c r="H1742" s="30"/>
      <c r="I1742" s="30"/>
      <c r="J1742" s="30"/>
      <c r="K1742" s="30"/>
      <c r="L1742" s="30"/>
      <c r="M1742" s="30"/>
      <c r="N1742" s="30"/>
      <c r="O1742" s="30"/>
      <c r="P1742" s="30"/>
      <c r="Q1742" s="30"/>
      <c r="R1742" s="30"/>
      <c r="S1742" s="30"/>
      <c r="T1742" s="30"/>
      <c r="U1742" s="30"/>
      <c r="V1742" s="30"/>
      <c r="W1742" s="30"/>
      <c r="X1742" s="30"/>
      <c r="Y1742" s="30"/>
      <c r="Z1742" s="30"/>
      <c r="AA1742" s="30"/>
    </row>
    <row r="1743">
      <c r="A1743" s="29">
        <v>1501842.0</v>
      </c>
      <c r="B1743" s="29">
        <v>1501513.0</v>
      </c>
      <c r="C1743" s="30" t="str">
        <f t="shared" si="1"/>
        <v>-</v>
      </c>
      <c r="D1743" s="29">
        <f t="shared" si="2"/>
        <v>585</v>
      </c>
      <c r="E1743" s="30"/>
      <c r="F1743" s="30"/>
      <c r="G1743" s="30"/>
      <c r="H1743" s="30"/>
      <c r="I1743" s="30"/>
      <c r="J1743" s="30"/>
      <c r="K1743" s="30"/>
      <c r="L1743" s="30"/>
      <c r="M1743" s="30"/>
      <c r="N1743" s="30"/>
      <c r="O1743" s="30"/>
      <c r="P1743" s="30"/>
      <c r="Q1743" s="30"/>
      <c r="R1743" s="30"/>
      <c r="S1743" s="30"/>
      <c r="T1743" s="30"/>
      <c r="U1743" s="30"/>
      <c r="V1743" s="30"/>
      <c r="W1743" s="30"/>
      <c r="X1743" s="30"/>
      <c r="Y1743" s="30"/>
      <c r="Z1743" s="30"/>
      <c r="AA1743" s="30"/>
    </row>
    <row r="1744">
      <c r="A1744" s="29">
        <v>1504487.0</v>
      </c>
      <c r="B1744" s="29">
        <v>1501863.0</v>
      </c>
      <c r="C1744" s="30" t="str">
        <f t="shared" si="1"/>
        <v>-</v>
      </c>
      <c r="D1744" s="29">
        <f t="shared" si="2"/>
        <v>585</v>
      </c>
      <c r="E1744" s="30"/>
      <c r="F1744" s="30"/>
      <c r="G1744" s="30"/>
      <c r="H1744" s="30"/>
      <c r="I1744" s="30"/>
      <c r="J1744" s="30"/>
      <c r="K1744" s="30"/>
      <c r="L1744" s="30"/>
      <c r="M1744" s="30"/>
      <c r="N1744" s="30"/>
      <c r="O1744" s="30"/>
      <c r="P1744" s="30"/>
      <c r="Q1744" s="30"/>
      <c r="R1744" s="30"/>
      <c r="S1744" s="30"/>
      <c r="T1744" s="30"/>
      <c r="U1744" s="30"/>
      <c r="V1744" s="30"/>
      <c r="W1744" s="30"/>
      <c r="X1744" s="30"/>
      <c r="Y1744" s="30"/>
      <c r="Z1744" s="30"/>
      <c r="AA1744" s="30"/>
    </row>
    <row r="1745">
      <c r="A1745" s="29">
        <v>1504718.0</v>
      </c>
      <c r="B1745" s="29">
        <v>1504533.0</v>
      </c>
      <c r="C1745" s="30" t="str">
        <f t="shared" si="1"/>
        <v>-</v>
      </c>
      <c r="D1745" s="29">
        <f t="shared" si="2"/>
        <v>585</v>
      </c>
      <c r="E1745" s="30"/>
      <c r="F1745" s="30"/>
      <c r="G1745" s="30"/>
      <c r="H1745" s="30"/>
      <c r="I1745" s="30"/>
      <c r="J1745" s="30"/>
      <c r="K1745" s="30"/>
      <c r="L1745" s="30"/>
      <c r="M1745" s="30"/>
      <c r="N1745" s="30"/>
      <c r="O1745" s="30"/>
      <c r="P1745" s="30"/>
      <c r="Q1745" s="30"/>
      <c r="R1745" s="30"/>
      <c r="S1745" s="30"/>
      <c r="T1745" s="30"/>
      <c r="U1745" s="30"/>
      <c r="V1745" s="30"/>
      <c r="W1745" s="30"/>
      <c r="X1745" s="30"/>
      <c r="Y1745" s="30"/>
      <c r="Z1745" s="30"/>
      <c r="AA1745" s="30"/>
    </row>
    <row r="1746">
      <c r="A1746" s="29">
        <v>1505281.0</v>
      </c>
      <c r="B1746" s="29">
        <v>1504715.0</v>
      </c>
      <c r="C1746" s="30" t="str">
        <f t="shared" si="1"/>
        <v>-</v>
      </c>
      <c r="D1746" s="29">
        <f t="shared" si="2"/>
        <v>585</v>
      </c>
      <c r="E1746" s="30"/>
      <c r="F1746" s="30"/>
      <c r="G1746" s="30"/>
      <c r="H1746" s="30"/>
      <c r="I1746" s="30"/>
      <c r="J1746" s="30"/>
      <c r="K1746" s="30"/>
      <c r="L1746" s="30"/>
      <c r="M1746" s="30"/>
      <c r="N1746" s="30"/>
      <c r="O1746" s="30"/>
      <c r="P1746" s="30"/>
      <c r="Q1746" s="30"/>
      <c r="R1746" s="30"/>
      <c r="S1746" s="30"/>
      <c r="T1746" s="30"/>
      <c r="U1746" s="30"/>
      <c r="V1746" s="30"/>
      <c r="W1746" s="30"/>
      <c r="X1746" s="30"/>
      <c r="Y1746" s="30"/>
      <c r="Z1746" s="30"/>
      <c r="AA1746" s="30"/>
    </row>
    <row r="1747">
      <c r="A1747" s="29">
        <v>1505332.0</v>
      </c>
      <c r="B1747" s="29">
        <v>1505430.0</v>
      </c>
      <c r="C1747" s="30" t="str">
        <f t="shared" si="1"/>
        <v>+</v>
      </c>
      <c r="D1747" s="29">
        <f t="shared" si="2"/>
        <v>586</v>
      </c>
      <c r="E1747" s="30"/>
      <c r="F1747" s="30"/>
      <c r="G1747" s="30"/>
      <c r="H1747" s="30"/>
      <c r="I1747" s="30"/>
      <c r="J1747" s="30"/>
      <c r="K1747" s="30"/>
      <c r="L1747" s="30"/>
      <c r="M1747" s="30"/>
      <c r="N1747" s="30"/>
      <c r="O1747" s="30"/>
      <c r="P1747" s="30"/>
      <c r="Q1747" s="30"/>
      <c r="R1747" s="30"/>
      <c r="S1747" s="30"/>
      <c r="T1747" s="30"/>
      <c r="U1747" s="30"/>
      <c r="V1747" s="30"/>
      <c r="W1747" s="30"/>
      <c r="X1747" s="30"/>
      <c r="Y1747" s="30"/>
      <c r="Z1747" s="30"/>
      <c r="AA1747" s="30"/>
    </row>
    <row r="1748">
      <c r="A1748" s="29">
        <v>1505639.0</v>
      </c>
      <c r="B1748" s="29">
        <v>1506016.0</v>
      </c>
      <c r="C1748" s="30" t="str">
        <f t="shared" si="1"/>
        <v>+</v>
      </c>
      <c r="D1748" s="29">
        <f t="shared" si="2"/>
        <v>586</v>
      </c>
      <c r="E1748" s="30"/>
      <c r="F1748" s="30"/>
      <c r="G1748" s="30"/>
      <c r="H1748" s="30"/>
      <c r="I1748" s="30"/>
      <c r="J1748" s="30"/>
      <c r="K1748" s="30"/>
      <c r="L1748" s="30"/>
      <c r="M1748" s="30"/>
      <c r="N1748" s="30"/>
      <c r="O1748" s="30"/>
      <c r="P1748" s="30"/>
      <c r="Q1748" s="30"/>
      <c r="R1748" s="30"/>
      <c r="S1748" s="30"/>
      <c r="T1748" s="30"/>
      <c r="U1748" s="30"/>
      <c r="V1748" s="30"/>
      <c r="W1748" s="30"/>
      <c r="X1748" s="30"/>
      <c r="Y1748" s="30"/>
      <c r="Z1748" s="30"/>
      <c r="AA1748" s="30"/>
    </row>
    <row r="1749">
      <c r="A1749" s="29">
        <v>1506045.0</v>
      </c>
      <c r="B1749" s="29">
        <v>1506653.0</v>
      </c>
      <c r="C1749" s="30" t="str">
        <f t="shared" si="1"/>
        <v>+</v>
      </c>
      <c r="D1749" s="29">
        <f t="shared" si="2"/>
        <v>586</v>
      </c>
      <c r="E1749" s="30"/>
      <c r="F1749" s="30"/>
      <c r="G1749" s="30"/>
      <c r="H1749" s="30"/>
      <c r="I1749" s="30"/>
      <c r="J1749" s="30"/>
      <c r="K1749" s="30"/>
      <c r="L1749" s="30"/>
      <c r="M1749" s="30"/>
      <c r="N1749" s="30"/>
      <c r="O1749" s="30"/>
      <c r="P1749" s="30"/>
      <c r="Q1749" s="30"/>
      <c r="R1749" s="30"/>
      <c r="S1749" s="30"/>
      <c r="T1749" s="30"/>
      <c r="U1749" s="30"/>
      <c r="V1749" s="30"/>
      <c r="W1749" s="30"/>
      <c r="X1749" s="30"/>
      <c r="Y1749" s="30"/>
      <c r="Z1749" s="30"/>
      <c r="AA1749" s="30"/>
    </row>
    <row r="1750">
      <c r="A1750" s="29">
        <v>1507758.0</v>
      </c>
      <c r="B1750" s="29">
        <v>1506676.0</v>
      </c>
      <c r="C1750" s="30" t="str">
        <f t="shared" si="1"/>
        <v>-</v>
      </c>
      <c r="D1750" s="29">
        <f t="shared" si="2"/>
        <v>587</v>
      </c>
      <c r="E1750" s="30"/>
      <c r="F1750" s="30"/>
      <c r="G1750" s="30"/>
      <c r="H1750" s="30"/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  <c r="U1750" s="30"/>
      <c r="V1750" s="30"/>
      <c r="W1750" s="30"/>
      <c r="X1750" s="30"/>
      <c r="Y1750" s="30"/>
      <c r="Z1750" s="30"/>
      <c r="AA1750" s="30"/>
    </row>
    <row r="1751">
      <c r="A1751" s="29">
        <v>1508570.0</v>
      </c>
      <c r="B1751" s="29">
        <v>1507749.0</v>
      </c>
      <c r="C1751" s="30" t="str">
        <f t="shared" si="1"/>
        <v>-</v>
      </c>
      <c r="D1751" s="29">
        <f t="shared" si="2"/>
        <v>587</v>
      </c>
      <c r="E1751" s="30"/>
      <c r="F1751" s="30"/>
      <c r="G1751" s="30"/>
      <c r="H1751" s="30"/>
      <c r="I1751" s="30"/>
      <c r="J1751" s="30"/>
      <c r="K1751" s="30"/>
      <c r="L1751" s="30"/>
      <c r="M1751" s="30"/>
      <c r="N1751" s="30"/>
      <c r="O1751" s="30"/>
      <c r="P1751" s="30"/>
      <c r="Q1751" s="30"/>
      <c r="R1751" s="30"/>
      <c r="S1751" s="30"/>
      <c r="T1751" s="30"/>
      <c r="U1751" s="30"/>
      <c r="V1751" s="30"/>
      <c r="W1751" s="30"/>
      <c r="X1751" s="30"/>
      <c r="Y1751" s="30"/>
      <c r="Z1751" s="30"/>
      <c r="AA1751" s="30"/>
    </row>
    <row r="1752">
      <c r="A1752" s="29">
        <v>1509862.0</v>
      </c>
      <c r="B1752" s="29">
        <v>1508528.0</v>
      </c>
      <c r="C1752" s="30" t="str">
        <f t="shared" si="1"/>
        <v>-</v>
      </c>
      <c r="D1752" s="29">
        <f t="shared" si="2"/>
        <v>587</v>
      </c>
      <c r="E1752" s="30"/>
      <c r="F1752" s="30"/>
      <c r="G1752" s="30"/>
      <c r="H1752" s="30"/>
      <c r="I1752" s="30"/>
      <c r="J1752" s="30"/>
      <c r="K1752" s="30"/>
      <c r="L1752" s="30"/>
      <c r="M1752" s="30"/>
      <c r="N1752" s="30"/>
      <c r="O1752" s="30"/>
      <c r="P1752" s="30"/>
      <c r="Q1752" s="30"/>
      <c r="R1752" s="30"/>
      <c r="S1752" s="30"/>
      <c r="T1752" s="30"/>
      <c r="U1752" s="30"/>
      <c r="V1752" s="30"/>
      <c r="W1752" s="30"/>
      <c r="X1752" s="30"/>
      <c r="Y1752" s="30"/>
      <c r="Z1752" s="30"/>
      <c r="AA1752" s="30"/>
    </row>
    <row r="1753">
      <c r="A1753" s="29">
        <v>1510937.0</v>
      </c>
      <c r="B1753" s="29">
        <v>1511491.0</v>
      </c>
      <c r="C1753" s="30" t="str">
        <f t="shared" si="1"/>
        <v>+</v>
      </c>
      <c r="D1753" s="29">
        <f t="shared" si="2"/>
        <v>588</v>
      </c>
      <c r="E1753" s="30"/>
      <c r="F1753" s="30"/>
      <c r="G1753" s="30"/>
      <c r="H1753" s="30"/>
      <c r="I1753" s="30"/>
      <c r="J1753" s="30"/>
      <c r="K1753" s="30"/>
      <c r="L1753" s="30"/>
      <c r="M1753" s="30"/>
      <c r="N1753" s="30"/>
      <c r="O1753" s="30"/>
      <c r="P1753" s="30"/>
      <c r="Q1753" s="30"/>
      <c r="R1753" s="30"/>
      <c r="S1753" s="30"/>
      <c r="T1753" s="30"/>
      <c r="U1753" s="30"/>
      <c r="V1753" s="30"/>
      <c r="W1753" s="30"/>
      <c r="X1753" s="30"/>
      <c r="Y1753" s="30"/>
      <c r="Z1753" s="30"/>
      <c r="AA1753" s="30"/>
    </row>
    <row r="1754">
      <c r="A1754" s="29">
        <v>1511638.0</v>
      </c>
      <c r="B1754" s="29">
        <v>1511468.0</v>
      </c>
      <c r="C1754" s="30" t="str">
        <f t="shared" si="1"/>
        <v>-</v>
      </c>
      <c r="D1754" s="29">
        <f t="shared" si="2"/>
        <v>589</v>
      </c>
      <c r="E1754" s="30"/>
      <c r="F1754" s="30"/>
      <c r="G1754" s="30"/>
      <c r="H1754" s="30"/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/>
      <c r="U1754" s="30"/>
      <c r="V1754" s="30"/>
      <c r="W1754" s="30"/>
      <c r="X1754" s="30"/>
      <c r="Y1754" s="30"/>
      <c r="Z1754" s="30"/>
      <c r="AA1754" s="30"/>
    </row>
    <row r="1755">
      <c r="A1755" s="29">
        <v>1512522.0</v>
      </c>
      <c r="B1755" s="29">
        <v>1511686.0</v>
      </c>
      <c r="C1755" s="30" t="str">
        <f t="shared" si="1"/>
        <v>-</v>
      </c>
      <c r="D1755" s="29">
        <f t="shared" si="2"/>
        <v>589</v>
      </c>
      <c r="E1755" s="30"/>
      <c r="F1755" s="30"/>
      <c r="G1755" s="30"/>
      <c r="H1755" s="30"/>
      <c r="I1755" s="30"/>
      <c r="J1755" s="30"/>
      <c r="K1755" s="30"/>
      <c r="L1755" s="30"/>
      <c r="M1755" s="30"/>
      <c r="N1755" s="30"/>
      <c r="O1755" s="30"/>
      <c r="P1755" s="30"/>
      <c r="Q1755" s="30"/>
      <c r="R1755" s="30"/>
      <c r="S1755" s="30"/>
      <c r="T1755" s="30"/>
      <c r="U1755" s="30"/>
      <c r="V1755" s="30"/>
      <c r="W1755" s="30"/>
      <c r="X1755" s="30"/>
      <c r="Y1755" s="30"/>
      <c r="Z1755" s="30"/>
      <c r="AA1755" s="30"/>
    </row>
    <row r="1756">
      <c r="A1756" s="29">
        <v>1512584.0</v>
      </c>
      <c r="B1756" s="29">
        <v>1512853.0</v>
      </c>
      <c r="C1756" s="30" t="str">
        <f t="shared" si="1"/>
        <v>+</v>
      </c>
      <c r="D1756" s="29">
        <f t="shared" si="2"/>
        <v>590</v>
      </c>
      <c r="E1756" s="30"/>
      <c r="F1756" s="30"/>
      <c r="G1756" s="30"/>
      <c r="H1756" s="30"/>
      <c r="I1756" s="30"/>
      <c r="J1756" s="30"/>
      <c r="K1756" s="30"/>
      <c r="L1756" s="30"/>
      <c r="M1756" s="30"/>
      <c r="N1756" s="30"/>
      <c r="O1756" s="30"/>
      <c r="P1756" s="30"/>
      <c r="Q1756" s="30"/>
      <c r="R1756" s="30"/>
      <c r="S1756" s="30"/>
      <c r="T1756" s="30"/>
      <c r="U1756" s="30"/>
      <c r="V1756" s="30"/>
      <c r="W1756" s="30"/>
      <c r="X1756" s="30"/>
      <c r="Y1756" s="30"/>
      <c r="Z1756" s="30"/>
      <c r="AA1756" s="30"/>
    </row>
    <row r="1757">
      <c r="A1757" s="29">
        <v>1513556.0</v>
      </c>
      <c r="B1757" s="29">
        <v>1512822.0</v>
      </c>
      <c r="C1757" s="30" t="str">
        <f t="shared" si="1"/>
        <v>-</v>
      </c>
      <c r="D1757" s="29">
        <f t="shared" si="2"/>
        <v>591</v>
      </c>
      <c r="E1757" s="30"/>
      <c r="F1757" s="30"/>
      <c r="G1757" s="30"/>
      <c r="H1757" s="30"/>
      <c r="I1757" s="30"/>
      <c r="J1757" s="30"/>
      <c r="K1757" s="30"/>
      <c r="L1757" s="30"/>
      <c r="M1757" s="30"/>
      <c r="N1757" s="30"/>
      <c r="O1757" s="30"/>
      <c r="P1757" s="30"/>
      <c r="Q1757" s="30"/>
      <c r="R1757" s="30"/>
      <c r="S1757" s="30"/>
      <c r="T1757" s="30"/>
      <c r="U1757" s="30"/>
      <c r="V1757" s="30"/>
      <c r="W1757" s="30"/>
      <c r="X1757" s="30"/>
      <c r="Y1757" s="30"/>
      <c r="Z1757" s="30"/>
      <c r="AA1757" s="30"/>
    </row>
    <row r="1758">
      <c r="A1758" s="29">
        <v>1514629.0</v>
      </c>
      <c r="B1758" s="29">
        <v>1515963.0</v>
      </c>
      <c r="C1758" s="30" t="str">
        <f t="shared" si="1"/>
        <v>+</v>
      </c>
      <c r="D1758" s="29">
        <f t="shared" si="2"/>
        <v>592</v>
      </c>
      <c r="E1758" s="30"/>
      <c r="F1758" s="30"/>
      <c r="G1758" s="30"/>
      <c r="H1758" s="30"/>
      <c r="I1758" s="30"/>
      <c r="J1758" s="30"/>
      <c r="K1758" s="30"/>
      <c r="L1758" s="30"/>
      <c r="M1758" s="30"/>
      <c r="N1758" s="30"/>
      <c r="O1758" s="30"/>
      <c r="P1758" s="30"/>
      <c r="Q1758" s="30"/>
      <c r="R1758" s="30"/>
      <c r="S1758" s="30"/>
      <c r="T1758" s="30"/>
      <c r="U1758" s="30"/>
      <c r="V1758" s="30"/>
      <c r="W1758" s="30"/>
      <c r="X1758" s="30"/>
      <c r="Y1758" s="30"/>
      <c r="Z1758" s="30"/>
      <c r="AA1758" s="30"/>
    </row>
    <row r="1759">
      <c r="A1759" s="29">
        <v>1516063.0</v>
      </c>
      <c r="B1759" s="29">
        <v>1517556.0</v>
      </c>
      <c r="C1759" s="30" t="str">
        <f t="shared" si="1"/>
        <v>+</v>
      </c>
      <c r="D1759" s="29">
        <f t="shared" si="2"/>
        <v>592</v>
      </c>
      <c r="E1759" s="30"/>
      <c r="F1759" s="30"/>
      <c r="G1759" s="30"/>
      <c r="H1759" s="30"/>
      <c r="I1759" s="30"/>
      <c r="J1759" s="30"/>
      <c r="K1759" s="30"/>
      <c r="L1759" s="30"/>
      <c r="M1759" s="30"/>
      <c r="N1759" s="30"/>
      <c r="O1759" s="30"/>
      <c r="P1759" s="30"/>
      <c r="Q1759" s="30"/>
      <c r="R1759" s="30"/>
      <c r="S1759" s="30"/>
      <c r="T1759" s="30"/>
      <c r="U1759" s="30"/>
      <c r="V1759" s="30"/>
      <c r="W1759" s="30"/>
      <c r="X1759" s="30"/>
      <c r="Y1759" s="30"/>
      <c r="Z1759" s="30"/>
      <c r="AA1759" s="30"/>
    </row>
    <row r="1760">
      <c r="A1760" s="29">
        <v>1518229.0</v>
      </c>
      <c r="B1760" s="29">
        <v>1517543.0</v>
      </c>
      <c r="C1760" s="30" t="str">
        <f t="shared" si="1"/>
        <v>-</v>
      </c>
      <c r="D1760" s="29">
        <f t="shared" si="2"/>
        <v>593</v>
      </c>
      <c r="E1760" s="30"/>
      <c r="F1760" s="30"/>
      <c r="G1760" s="30"/>
      <c r="H1760" s="30"/>
      <c r="I1760" s="30"/>
      <c r="J1760" s="30"/>
      <c r="K1760" s="30"/>
      <c r="L1760" s="30"/>
      <c r="M1760" s="30"/>
      <c r="N1760" s="30"/>
      <c r="O1760" s="30"/>
      <c r="P1760" s="30"/>
      <c r="Q1760" s="30"/>
      <c r="R1760" s="30"/>
      <c r="S1760" s="30"/>
      <c r="T1760" s="30"/>
      <c r="U1760" s="30"/>
      <c r="V1760" s="30"/>
      <c r="W1760" s="30"/>
      <c r="X1760" s="30"/>
      <c r="Y1760" s="30"/>
      <c r="Z1760" s="30"/>
      <c r="AA1760" s="30"/>
    </row>
    <row r="1761">
      <c r="A1761" s="29">
        <v>1518278.0</v>
      </c>
      <c r="B1761" s="29">
        <v>1518604.0</v>
      </c>
      <c r="C1761" s="30" t="str">
        <f t="shared" si="1"/>
        <v>+</v>
      </c>
      <c r="D1761" s="29">
        <f t="shared" si="2"/>
        <v>594</v>
      </c>
      <c r="E1761" s="30"/>
      <c r="F1761" s="30"/>
      <c r="G1761" s="30"/>
      <c r="H1761" s="30"/>
      <c r="I1761" s="30"/>
      <c r="J1761" s="30"/>
      <c r="K1761" s="30"/>
      <c r="L1761" s="30"/>
      <c r="M1761" s="30"/>
      <c r="N1761" s="30"/>
      <c r="O1761" s="30"/>
      <c r="P1761" s="30"/>
      <c r="Q1761" s="30"/>
      <c r="R1761" s="30"/>
      <c r="S1761" s="30"/>
      <c r="T1761" s="30"/>
      <c r="U1761" s="30"/>
      <c r="V1761" s="30"/>
      <c r="W1761" s="30"/>
      <c r="X1761" s="30"/>
      <c r="Y1761" s="30"/>
      <c r="Z1761" s="30"/>
      <c r="AA1761" s="30"/>
    </row>
    <row r="1762">
      <c r="A1762" s="29">
        <v>1518649.0</v>
      </c>
      <c r="B1762" s="29">
        <v>1519896.0</v>
      </c>
      <c r="C1762" s="30" t="str">
        <f t="shared" si="1"/>
        <v>+</v>
      </c>
      <c r="D1762" s="29">
        <f t="shared" si="2"/>
        <v>594</v>
      </c>
      <c r="E1762" s="30"/>
      <c r="F1762" s="30"/>
      <c r="G1762" s="30"/>
      <c r="H1762" s="30"/>
      <c r="I1762" s="30"/>
      <c r="J1762" s="30"/>
      <c r="K1762" s="30"/>
      <c r="L1762" s="30"/>
      <c r="M1762" s="30"/>
      <c r="N1762" s="30"/>
      <c r="O1762" s="30"/>
      <c r="P1762" s="30"/>
      <c r="Q1762" s="30"/>
      <c r="R1762" s="30"/>
      <c r="S1762" s="30"/>
      <c r="T1762" s="30"/>
      <c r="U1762" s="30"/>
      <c r="V1762" s="30"/>
      <c r="W1762" s="30"/>
      <c r="X1762" s="30"/>
      <c r="Y1762" s="30"/>
      <c r="Z1762" s="30"/>
      <c r="AA1762" s="30"/>
    </row>
    <row r="1763">
      <c r="A1763" s="29">
        <v>1519842.0</v>
      </c>
      <c r="B1763" s="29">
        <v>1520189.0</v>
      </c>
      <c r="C1763" s="30" t="str">
        <f t="shared" si="1"/>
        <v>+</v>
      </c>
      <c r="D1763" s="29">
        <f t="shared" si="2"/>
        <v>594</v>
      </c>
      <c r="E1763" s="30"/>
      <c r="F1763" s="30"/>
      <c r="G1763" s="30"/>
      <c r="H1763" s="30"/>
      <c r="I1763" s="30"/>
      <c r="J1763" s="30"/>
      <c r="K1763" s="30"/>
      <c r="L1763" s="30"/>
      <c r="M1763" s="30"/>
      <c r="N1763" s="30"/>
      <c r="O1763" s="30"/>
      <c r="P1763" s="30"/>
      <c r="Q1763" s="30"/>
      <c r="R1763" s="30"/>
      <c r="S1763" s="30"/>
      <c r="T1763" s="30"/>
      <c r="U1763" s="30"/>
      <c r="V1763" s="30"/>
      <c r="W1763" s="30"/>
      <c r="X1763" s="30"/>
      <c r="Y1763" s="30"/>
      <c r="Z1763" s="30"/>
      <c r="AA1763" s="30"/>
    </row>
    <row r="1764">
      <c r="A1764" s="29">
        <v>1520648.0</v>
      </c>
      <c r="B1764" s="29">
        <v>1520352.0</v>
      </c>
      <c r="C1764" s="30" t="str">
        <f t="shared" si="1"/>
        <v>-</v>
      </c>
      <c r="D1764" s="29">
        <f t="shared" si="2"/>
        <v>595</v>
      </c>
      <c r="E1764" s="30"/>
      <c r="F1764" s="30"/>
      <c r="G1764" s="30"/>
      <c r="H1764" s="30"/>
      <c r="I1764" s="30"/>
      <c r="J1764" s="30"/>
      <c r="K1764" s="30"/>
      <c r="L1764" s="30"/>
      <c r="M1764" s="30"/>
      <c r="N1764" s="30"/>
      <c r="O1764" s="30"/>
      <c r="P1764" s="30"/>
      <c r="Q1764" s="30"/>
      <c r="R1764" s="30"/>
      <c r="S1764" s="30"/>
      <c r="T1764" s="30"/>
      <c r="U1764" s="30"/>
      <c r="V1764" s="30"/>
      <c r="W1764" s="30"/>
      <c r="X1764" s="30"/>
      <c r="Y1764" s="30"/>
      <c r="Z1764" s="30"/>
      <c r="AA1764" s="30"/>
    </row>
    <row r="1765">
      <c r="A1765" s="29">
        <v>1520730.0</v>
      </c>
      <c r="B1765" s="29">
        <v>1522229.0</v>
      </c>
      <c r="C1765" s="30" t="str">
        <f t="shared" si="1"/>
        <v>+</v>
      </c>
      <c r="D1765" s="29">
        <f t="shared" si="2"/>
        <v>596</v>
      </c>
      <c r="E1765" s="30"/>
      <c r="F1765" s="30"/>
      <c r="G1765" s="30"/>
      <c r="H1765" s="30"/>
      <c r="I1765" s="30"/>
      <c r="J1765" s="30"/>
      <c r="K1765" s="30"/>
      <c r="L1765" s="30"/>
      <c r="M1765" s="30"/>
      <c r="N1765" s="30"/>
      <c r="O1765" s="30"/>
      <c r="P1765" s="30"/>
      <c r="Q1765" s="30"/>
      <c r="R1765" s="30"/>
      <c r="S1765" s="30"/>
      <c r="T1765" s="30"/>
      <c r="U1765" s="30"/>
      <c r="V1765" s="30"/>
      <c r="W1765" s="30"/>
      <c r="X1765" s="30"/>
      <c r="Y1765" s="30"/>
      <c r="Z1765" s="30"/>
      <c r="AA1765" s="30"/>
    </row>
    <row r="1766">
      <c r="A1766" s="29">
        <v>1523324.0</v>
      </c>
      <c r="B1766" s="29">
        <v>1522335.0</v>
      </c>
      <c r="C1766" s="30" t="str">
        <f t="shared" si="1"/>
        <v>-</v>
      </c>
      <c r="D1766" s="29">
        <f t="shared" si="2"/>
        <v>597</v>
      </c>
      <c r="E1766" s="30"/>
      <c r="F1766" s="30"/>
      <c r="G1766" s="30"/>
      <c r="H1766" s="30"/>
      <c r="I1766" s="30"/>
      <c r="J1766" s="30"/>
      <c r="K1766" s="30"/>
      <c r="L1766" s="30"/>
      <c r="M1766" s="30"/>
      <c r="N1766" s="30"/>
      <c r="O1766" s="30"/>
      <c r="P1766" s="30"/>
      <c r="Q1766" s="30"/>
      <c r="R1766" s="30"/>
      <c r="S1766" s="30"/>
      <c r="T1766" s="30"/>
      <c r="U1766" s="30"/>
      <c r="V1766" s="30"/>
      <c r="W1766" s="30"/>
      <c r="X1766" s="30"/>
      <c r="Y1766" s="30"/>
      <c r="Z1766" s="30"/>
      <c r="AA1766" s="30"/>
    </row>
    <row r="1767">
      <c r="A1767" s="29">
        <v>1523397.0</v>
      </c>
      <c r="B1767" s="29">
        <v>1525604.0</v>
      </c>
      <c r="C1767" s="30" t="str">
        <f t="shared" si="1"/>
        <v>+</v>
      </c>
      <c r="D1767" s="29">
        <f t="shared" si="2"/>
        <v>598</v>
      </c>
      <c r="E1767" s="30"/>
      <c r="F1767" s="30"/>
      <c r="G1767" s="30"/>
      <c r="H1767" s="30"/>
      <c r="I1767" s="30"/>
      <c r="J1767" s="30"/>
      <c r="K1767" s="30"/>
      <c r="L1767" s="30"/>
      <c r="M1767" s="30"/>
      <c r="N1767" s="30"/>
      <c r="O1767" s="30"/>
      <c r="P1767" s="30"/>
      <c r="Q1767" s="30"/>
      <c r="R1767" s="30"/>
      <c r="S1767" s="30"/>
      <c r="T1767" s="30"/>
      <c r="U1767" s="30"/>
      <c r="V1767" s="30"/>
      <c r="W1767" s="30"/>
      <c r="X1767" s="30"/>
      <c r="Y1767" s="30"/>
      <c r="Z1767" s="30"/>
      <c r="AA1767" s="30"/>
    </row>
    <row r="1768">
      <c r="A1768" s="29">
        <v>1526813.0</v>
      </c>
      <c r="B1768" s="29">
        <v>1525599.0</v>
      </c>
      <c r="C1768" s="30" t="str">
        <f t="shared" si="1"/>
        <v>-</v>
      </c>
      <c r="D1768" s="29">
        <f t="shared" si="2"/>
        <v>599</v>
      </c>
      <c r="E1768" s="30"/>
      <c r="F1768" s="30"/>
      <c r="G1768" s="30"/>
      <c r="H1768" s="30"/>
      <c r="I1768" s="30"/>
      <c r="J1768" s="30"/>
      <c r="K1768" s="30"/>
      <c r="L1768" s="30"/>
      <c r="M1768" s="30"/>
      <c r="N1768" s="30"/>
      <c r="O1768" s="30"/>
      <c r="P1768" s="30"/>
      <c r="Q1768" s="30"/>
      <c r="R1768" s="30"/>
      <c r="S1768" s="30"/>
      <c r="T1768" s="30"/>
      <c r="U1768" s="30"/>
      <c r="V1768" s="30"/>
      <c r="W1768" s="30"/>
      <c r="X1768" s="30"/>
      <c r="Y1768" s="30"/>
      <c r="Z1768" s="30"/>
      <c r="AA1768" s="30"/>
    </row>
    <row r="1769">
      <c r="A1769" s="29">
        <v>1527409.0</v>
      </c>
      <c r="B1769" s="29">
        <v>1526810.0</v>
      </c>
      <c r="C1769" s="30" t="str">
        <f t="shared" si="1"/>
        <v>-</v>
      </c>
      <c r="D1769" s="29">
        <f t="shared" si="2"/>
        <v>599</v>
      </c>
      <c r="E1769" s="30"/>
      <c r="F1769" s="30"/>
      <c r="G1769" s="30"/>
      <c r="H1769" s="30"/>
      <c r="I1769" s="30"/>
      <c r="J1769" s="30"/>
      <c r="K1769" s="30"/>
      <c r="L1769" s="30"/>
      <c r="M1769" s="30"/>
      <c r="N1769" s="30"/>
      <c r="O1769" s="30"/>
      <c r="P1769" s="30"/>
      <c r="Q1769" s="30"/>
      <c r="R1769" s="30"/>
      <c r="S1769" s="30"/>
      <c r="T1769" s="30"/>
      <c r="U1769" s="30"/>
      <c r="V1769" s="30"/>
      <c r="W1769" s="30"/>
      <c r="X1769" s="30"/>
      <c r="Y1769" s="30"/>
      <c r="Z1769" s="30"/>
      <c r="AA1769" s="30"/>
    </row>
    <row r="1770">
      <c r="A1770" s="29">
        <v>1527522.0</v>
      </c>
      <c r="B1770" s="29">
        <v>1528196.0</v>
      </c>
      <c r="C1770" s="30" t="str">
        <f t="shared" si="1"/>
        <v>+</v>
      </c>
      <c r="D1770" s="29">
        <f t="shared" si="2"/>
        <v>600</v>
      </c>
      <c r="E1770" s="30"/>
      <c r="F1770" s="30"/>
      <c r="G1770" s="30"/>
      <c r="H1770" s="30"/>
      <c r="I1770" s="30"/>
      <c r="J1770" s="30"/>
      <c r="K1770" s="30"/>
      <c r="L1770" s="30"/>
      <c r="M1770" s="30"/>
      <c r="N1770" s="30"/>
      <c r="O1770" s="30"/>
      <c r="P1770" s="30"/>
      <c r="Q1770" s="30"/>
      <c r="R1770" s="30"/>
      <c r="S1770" s="30"/>
      <c r="T1770" s="30"/>
      <c r="U1770" s="30"/>
      <c r="V1770" s="30"/>
      <c r="W1770" s="30"/>
      <c r="X1770" s="30"/>
      <c r="Y1770" s="30"/>
      <c r="Z1770" s="30"/>
      <c r="AA1770" s="30"/>
    </row>
    <row r="1771">
      <c r="A1771" s="29">
        <v>1528193.0</v>
      </c>
      <c r="B1771" s="29">
        <v>1529398.0</v>
      </c>
      <c r="C1771" s="30" t="str">
        <f t="shared" si="1"/>
        <v>+</v>
      </c>
      <c r="D1771" s="29">
        <f t="shared" si="2"/>
        <v>600</v>
      </c>
      <c r="E1771" s="30"/>
      <c r="F1771" s="30"/>
      <c r="G1771" s="30"/>
      <c r="H1771" s="30"/>
      <c r="I1771" s="30"/>
      <c r="J1771" s="30"/>
      <c r="K1771" s="30"/>
      <c r="L1771" s="30"/>
      <c r="M1771" s="30"/>
      <c r="N1771" s="30"/>
      <c r="O1771" s="30"/>
      <c r="P1771" s="30"/>
      <c r="Q1771" s="30"/>
      <c r="R1771" s="30"/>
      <c r="S1771" s="30"/>
      <c r="T1771" s="30"/>
      <c r="U1771" s="30"/>
      <c r="V1771" s="30"/>
      <c r="W1771" s="30"/>
      <c r="X1771" s="30"/>
      <c r="Y1771" s="30"/>
      <c r="Z1771" s="30"/>
      <c r="AA1771" s="30"/>
    </row>
    <row r="1772">
      <c r="A1772" s="29">
        <v>1529936.0</v>
      </c>
      <c r="B1772" s="29">
        <v>1530643.0</v>
      </c>
      <c r="C1772" s="30" t="str">
        <f t="shared" si="1"/>
        <v>+</v>
      </c>
      <c r="D1772" s="29">
        <f t="shared" si="2"/>
        <v>600</v>
      </c>
      <c r="E1772" s="30"/>
      <c r="F1772" s="30"/>
      <c r="G1772" s="30"/>
      <c r="H1772" s="30"/>
      <c r="I1772" s="30"/>
      <c r="J1772" s="30"/>
      <c r="K1772" s="30"/>
      <c r="L1772" s="30"/>
      <c r="M1772" s="30"/>
      <c r="N1772" s="30"/>
      <c r="O1772" s="30"/>
      <c r="P1772" s="30"/>
      <c r="Q1772" s="30"/>
      <c r="R1772" s="30"/>
      <c r="S1772" s="30"/>
      <c r="T1772" s="30"/>
      <c r="U1772" s="30"/>
      <c r="V1772" s="30"/>
      <c r="W1772" s="30"/>
      <c r="X1772" s="30"/>
      <c r="Y1772" s="30"/>
      <c r="Z1772" s="30"/>
      <c r="AA1772" s="30"/>
    </row>
    <row r="1773">
      <c r="A1773" s="29">
        <v>1531458.0</v>
      </c>
      <c r="B1773" s="29">
        <v>1530850.0</v>
      </c>
      <c r="C1773" s="30" t="str">
        <f t="shared" si="1"/>
        <v>-</v>
      </c>
      <c r="D1773" s="29">
        <f t="shared" si="2"/>
        <v>601</v>
      </c>
      <c r="E1773" s="30"/>
      <c r="F1773" s="30"/>
      <c r="G1773" s="30"/>
      <c r="H1773" s="30"/>
      <c r="I1773" s="30"/>
      <c r="J1773" s="30"/>
      <c r="K1773" s="30"/>
      <c r="L1773" s="30"/>
      <c r="M1773" s="30"/>
      <c r="N1773" s="30"/>
      <c r="O1773" s="30"/>
      <c r="P1773" s="30"/>
      <c r="Q1773" s="30"/>
      <c r="R1773" s="30"/>
      <c r="S1773" s="30"/>
      <c r="T1773" s="30"/>
      <c r="U1773" s="30"/>
      <c r="V1773" s="30"/>
      <c r="W1773" s="30"/>
      <c r="X1773" s="30"/>
      <c r="Y1773" s="30"/>
      <c r="Z1773" s="30"/>
      <c r="AA1773" s="30"/>
    </row>
    <row r="1774">
      <c r="A1774" s="29">
        <v>1533179.0</v>
      </c>
      <c r="B1774" s="29">
        <v>1534018.0</v>
      </c>
      <c r="C1774" s="30" t="str">
        <f t="shared" si="1"/>
        <v>+</v>
      </c>
      <c r="D1774" s="29">
        <f t="shared" si="2"/>
        <v>602</v>
      </c>
      <c r="E1774" s="30"/>
      <c r="F1774" s="30"/>
      <c r="G1774" s="30"/>
      <c r="H1774" s="30"/>
      <c r="I1774" s="30"/>
      <c r="J1774" s="30"/>
      <c r="K1774" s="30"/>
      <c r="L1774" s="30"/>
      <c r="M1774" s="30"/>
      <c r="N1774" s="30"/>
      <c r="O1774" s="30"/>
      <c r="P1774" s="30"/>
      <c r="Q1774" s="30"/>
      <c r="R1774" s="30"/>
      <c r="S1774" s="30"/>
      <c r="T1774" s="30"/>
      <c r="U1774" s="30"/>
      <c r="V1774" s="30"/>
      <c r="W1774" s="30"/>
      <c r="X1774" s="30"/>
      <c r="Y1774" s="30"/>
      <c r="Z1774" s="30"/>
      <c r="AA1774" s="30"/>
    </row>
    <row r="1775">
      <c r="A1775" s="29">
        <v>1534011.0</v>
      </c>
      <c r="B1775" s="29">
        <v>1534436.0</v>
      </c>
      <c r="C1775" s="30" t="str">
        <f t="shared" si="1"/>
        <v>+</v>
      </c>
      <c r="D1775" s="29">
        <f t="shared" si="2"/>
        <v>602</v>
      </c>
      <c r="E1775" s="30"/>
      <c r="F1775" s="30"/>
      <c r="G1775" s="30"/>
      <c r="H1775" s="30"/>
      <c r="I1775" s="30"/>
      <c r="J1775" s="30"/>
      <c r="K1775" s="30"/>
      <c r="L1775" s="30"/>
      <c r="M1775" s="30"/>
      <c r="N1775" s="30"/>
      <c r="O1775" s="30"/>
      <c r="P1775" s="30"/>
      <c r="Q1775" s="30"/>
      <c r="R1775" s="30"/>
      <c r="S1775" s="30"/>
      <c r="T1775" s="30"/>
      <c r="U1775" s="30"/>
      <c r="V1775" s="30"/>
      <c r="W1775" s="30"/>
      <c r="X1775" s="30"/>
      <c r="Y1775" s="30"/>
      <c r="Z1775" s="30"/>
      <c r="AA1775" s="30"/>
    </row>
    <row r="1776">
      <c r="A1776" s="29">
        <v>1534548.0</v>
      </c>
      <c r="B1776" s="29">
        <v>1535006.0</v>
      </c>
      <c r="C1776" s="30" t="str">
        <f t="shared" si="1"/>
        <v>+</v>
      </c>
      <c r="D1776" s="29">
        <f t="shared" si="2"/>
        <v>602</v>
      </c>
      <c r="E1776" s="30"/>
      <c r="F1776" s="30"/>
      <c r="G1776" s="30"/>
      <c r="H1776" s="30"/>
      <c r="I1776" s="30"/>
      <c r="J1776" s="30"/>
      <c r="K1776" s="30"/>
      <c r="L1776" s="30"/>
      <c r="M1776" s="30"/>
      <c r="N1776" s="30"/>
      <c r="O1776" s="30"/>
      <c r="P1776" s="30"/>
      <c r="Q1776" s="30"/>
      <c r="R1776" s="30"/>
      <c r="S1776" s="30"/>
      <c r="T1776" s="30"/>
      <c r="U1776" s="30"/>
      <c r="V1776" s="30"/>
      <c r="W1776" s="30"/>
      <c r="X1776" s="30"/>
      <c r="Y1776" s="30"/>
      <c r="Z1776" s="30"/>
      <c r="AA1776" s="30"/>
    </row>
    <row r="1777">
      <c r="A1777" s="29">
        <v>1535003.0</v>
      </c>
      <c r="B1777" s="29">
        <v>1535533.0</v>
      </c>
      <c r="C1777" s="30" t="str">
        <f t="shared" si="1"/>
        <v>+</v>
      </c>
      <c r="D1777" s="29">
        <f t="shared" si="2"/>
        <v>602</v>
      </c>
      <c r="E1777" s="30"/>
      <c r="F1777" s="30"/>
      <c r="G1777" s="30"/>
      <c r="H1777" s="30"/>
      <c r="I1777" s="30"/>
      <c r="J1777" s="30"/>
      <c r="K1777" s="30"/>
      <c r="L1777" s="30"/>
      <c r="M1777" s="30"/>
      <c r="N1777" s="30"/>
      <c r="O1777" s="30"/>
      <c r="P1777" s="30"/>
      <c r="Q1777" s="30"/>
      <c r="R1777" s="30"/>
      <c r="S1777" s="30"/>
      <c r="T1777" s="30"/>
      <c r="U1777" s="30"/>
      <c r="V1777" s="30"/>
      <c r="W1777" s="30"/>
      <c r="X1777" s="30"/>
      <c r="Y1777" s="30"/>
      <c r="Z1777" s="30"/>
      <c r="AA1777" s="30"/>
    </row>
    <row r="1778">
      <c r="A1778" s="29">
        <v>1535954.0</v>
      </c>
      <c r="B1778" s="29">
        <v>1535451.0</v>
      </c>
      <c r="C1778" s="30" t="str">
        <f t="shared" si="1"/>
        <v>-</v>
      </c>
      <c r="D1778" s="29">
        <f t="shared" si="2"/>
        <v>603</v>
      </c>
      <c r="E1778" s="30"/>
      <c r="F1778" s="30"/>
      <c r="G1778" s="30"/>
      <c r="H1778" s="30"/>
      <c r="I1778" s="30"/>
      <c r="J1778" s="30"/>
      <c r="K1778" s="30"/>
      <c r="L1778" s="30"/>
      <c r="M1778" s="30"/>
      <c r="N1778" s="30"/>
      <c r="O1778" s="30"/>
      <c r="P1778" s="30"/>
      <c r="Q1778" s="30"/>
      <c r="R1778" s="30"/>
      <c r="S1778" s="30"/>
      <c r="T1778" s="30"/>
      <c r="U1778" s="30"/>
      <c r="V1778" s="30"/>
      <c r="W1778" s="30"/>
      <c r="X1778" s="30"/>
      <c r="Y1778" s="30"/>
      <c r="Z1778" s="30"/>
      <c r="AA1778" s="30"/>
    </row>
    <row r="1779">
      <c r="A1779" s="29">
        <v>1536108.0</v>
      </c>
      <c r="B1779" s="29">
        <v>1535917.0</v>
      </c>
      <c r="C1779" s="30" t="str">
        <f t="shared" si="1"/>
        <v>-</v>
      </c>
      <c r="D1779" s="29">
        <f t="shared" si="2"/>
        <v>603</v>
      </c>
      <c r="E1779" s="30"/>
      <c r="F1779" s="30"/>
      <c r="G1779" s="30"/>
      <c r="H1779" s="30"/>
      <c r="I1779" s="30"/>
      <c r="J1779" s="30"/>
      <c r="K1779" s="30"/>
      <c r="L1779" s="30"/>
      <c r="M1779" s="30"/>
      <c r="N1779" s="30"/>
      <c r="O1779" s="30"/>
      <c r="P1779" s="30"/>
      <c r="Q1779" s="30"/>
      <c r="R1779" s="30"/>
      <c r="S1779" s="30"/>
      <c r="T1779" s="30"/>
      <c r="U1779" s="30"/>
      <c r="V1779" s="30"/>
      <c r="W1779" s="30"/>
      <c r="X1779" s="30"/>
      <c r="Y1779" s="30"/>
      <c r="Z1779" s="30"/>
      <c r="AA1779" s="30"/>
    </row>
    <row r="1780">
      <c r="A1780" s="29">
        <v>1538516.0</v>
      </c>
      <c r="B1780" s="29">
        <v>1536105.0</v>
      </c>
      <c r="C1780" s="30" t="str">
        <f t="shared" si="1"/>
        <v>-</v>
      </c>
      <c r="D1780" s="29">
        <f t="shared" si="2"/>
        <v>603</v>
      </c>
      <c r="E1780" s="30"/>
      <c r="F1780" s="30"/>
      <c r="G1780" s="30"/>
      <c r="H1780" s="30"/>
      <c r="I1780" s="30"/>
      <c r="J1780" s="30"/>
      <c r="K1780" s="30"/>
      <c r="L1780" s="30"/>
      <c r="M1780" s="30"/>
      <c r="N1780" s="30"/>
      <c r="O1780" s="30"/>
      <c r="P1780" s="30"/>
      <c r="Q1780" s="30"/>
      <c r="R1780" s="30"/>
      <c r="S1780" s="30"/>
      <c r="T1780" s="30"/>
      <c r="U1780" s="30"/>
      <c r="V1780" s="30"/>
      <c r="W1780" s="30"/>
      <c r="X1780" s="30"/>
      <c r="Y1780" s="30"/>
      <c r="Z1780" s="30"/>
      <c r="AA1780" s="30"/>
    </row>
    <row r="1781">
      <c r="A1781" s="29">
        <v>1538959.0</v>
      </c>
      <c r="B1781" s="29">
        <v>1538513.0</v>
      </c>
      <c r="C1781" s="30" t="str">
        <f t="shared" si="1"/>
        <v>-</v>
      </c>
      <c r="D1781" s="29">
        <f t="shared" si="2"/>
        <v>603</v>
      </c>
      <c r="E1781" s="30"/>
      <c r="F1781" s="30"/>
      <c r="G1781" s="30"/>
      <c r="H1781" s="30"/>
      <c r="I1781" s="30"/>
      <c r="J1781" s="30"/>
      <c r="K1781" s="30"/>
      <c r="L1781" s="30"/>
      <c r="M1781" s="30"/>
      <c r="N1781" s="30"/>
      <c r="O1781" s="30"/>
      <c r="P1781" s="30"/>
      <c r="Q1781" s="30"/>
      <c r="R1781" s="30"/>
      <c r="S1781" s="30"/>
      <c r="T1781" s="30"/>
      <c r="U1781" s="30"/>
      <c r="V1781" s="30"/>
      <c r="W1781" s="30"/>
      <c r="X1781" s="30"/>
      <c r="Y1781" s="30"/>
      <c r="Z1781" s="30"/>
      <c r="AA1781" s="30"/>
    </row>
    <row r="1782">
      <c r="A1782" s="29">
        <v>1539185.0</v>
      </c>
      <c r="B1782" s="29">
        <v>1538946.0</v>
      </c>
      <c r="C1782" s="30" t="str">
        <f t="shared" si="1"/>
        <v>-</v>
      </c>
      <c r="D1782" s="29">
        <f t="shared" si="2"/>
        <v>603</v>
      </c>
      <c r="E1782" s="30"/>
      <c r="F1782" s="30"/>
      <c r="G1782" s="30"/>
      <c r="H1782" s="30"/>
      <c r="I1782" s="30"/>
      <c r="J1782" s="30"/>
      <c r="K1782" s="30"/>
      <c r="L1782" s="30"/>
      <c r="M1782" s="30"/>
      <c r="N1782" s="30"/>
      <c r="O1782" s="30"/>
      <c r="P1782" s="30"/>
      <c r="Q1782" s="30"/>
      <c r="R1782" s="30"/>
      <c r="S1782" s="30"/>
      <c r="T1782" s="30"/>
      <c r="U1782" s="30"/>
      <c r="V1782" s="30"/>
      <c r="W1782" s="30"/>
      <c r="X1782" s="30"/>
      <c r="Y1782" s="30"/>
      <c r="Z1782" s="30"/>
      <c r="AA1782" s="30"/>
    </row>
    <row r="1783">
      <c r="A1783" s="29">
        <v>1539314.0</v>
      </c>
      <c r="B1783" s="29">
        <v>1540183.0</v>
      </c>
      <c r="C1783" s="30" t="str">
        <f t="shared" si="1"/>
        <v>+</v>
      </c>
      <c r="D1783" s="29">
        <f t="shared" si="2"/>
        <v>604</v>
      </c>
      <c r="E1783" s="30"/>
      <c r="F1783" s="30"/>
      <c r="G1783" s="30"/>
      <c r="H1783" s="30"/>
      <c r="I1783" s="30"/>
      <c r="J1783" s="30"/>
      <c r="K1783" s="30"/>
      <c r="L1783" s="30"/>
      <c r="M1783" s="30"/>
      <c r="N1783" s="30"/>
      <c r="O1783" s="30"/>
      <c r="P1783" s="30"/>
      <c r="Q1783" s="30"/>
      <c r="R1783" s="30"/>
      <c r="S1783" s="30"/>
      <c r="T1783" s="30"/>
      <c r="U1783" s="30"/>
      <c r="V1783" s="30"/>
      <c r="W1783" s="30"/>
      <c r="X1783" s="30"/>
      <c r="Y1783" s="30"/>
      <c r="Z1783" s="30"/>
      <c r="AA1783" s="30"/>
    </row>
    <row r="1784">
      <c r="A1784" s="29">
        <v>1540165.0</v>
      </c>
      <c r="B1784" s="29">
        <v>1542339.0</v>
      </c>
      <c r="C1784" s="30" t="str">
        <f t="shared" si="1"/>
        <v>+</v>
      </c>
      <c r="D1784" s="29">
        <f t="shared" si="2"/>
        <v>604</v>
      </c>
      <c r="E1784" s="30"/>
      <c r="F1784" s="30"/>
      <c r="G1784" s="30"/>
      <c r="H1784" s="30"/>
      <c r="I1784" s="30"/>
      <c r="J1784" s="30"/>
      <c r="K1784" s="30"/>
      <c r="L1784" s="30"/>
      <c r="M1784" s="30"/>
      <c r="N1784" s="30"/>
      <c r="O1784" s="30"/>
      <c r="P1784" s="30"/>
      <c r="Q1784" s="30"/>
      <c r="R1784" s="30"/>
      <c r="S1784" s="30"/>
      <c r="T1784" s="30"/>
      <c r="U1784" s="30"/>
      <c r="V1784" s="30"/>
      <c r="W1784" s="30"/>
      <c r="X1784" s="30"/>
      <c r="Y1784" s="30"/>
      <c r="Z1784" s="30"/>
      <c r="AA1784" s="30"/>
    </row>
    <row r="1785">
      <c r="A1785" s="29">
        <v>1542394.0</v>
      </c>
      <c r="B1785" s="29">
        <v>1542927.0</v>
      </c>
      <c r="C1785" s="30" t="str">
        <f t="shared" si="1"/>
        <v>+</v>
      </c>
      <c r="D1785" s="29">
        <f t="shared" si="2"/>
        <v>604</v>
      </c>
      <c r="E1785" s="30"/>
      <c r="F1785" s="30"/>
      <c r="G1785" s="30"/>
      <c r="H1785" s="30"/>
      <c r="I1785" s="30"/>
      <c r="J1785" s="30"/>
      <c r="K1785" s="30"/>
      <c r="L1785" s="30"/>
      <c r="M1785" s="30"/>
      <c r="N1785" s="30"/>
      <c r="O1785" s="30"/>
      <c r="P1785" s="30"/>
      <c r="Q1785" s="30"/>
      <c r="R1785" s="30"/>
      <c r="S1785" s="30"/>
      <c r="T1785" s="30"/>
      <c r="U1785" s="30"/>
      <c r="V1785" s="30"/>
      <c r="W1785" s="30"/>
      <c r="X1785" s="30"/>
      <c r="Y1785" s="30"/>
      <c r="Z1785" s="30"/>
      <c r="AA1785" s="30"/>
    </row>
    <row r="1786">
      <c r="A1786" s="29">
        <v>1542927.0</v>
      </c>
      <c r="B1786" s="29">
        <v>1543487.0</v>
      </c>
      <c r="C1786" s="30" t="str">
        <f t="shared" si="1"/>
        <v>+</v>
      </c>
      <c r="D1786" s="29">
        <f t="shared" si="2"/>
        <v>604</v>
      </c>
      <c r="E1786" s="30"/>
      <c r="F1786" s="30"/>
      <c r="G1786" s="30"/>
      <c r="H1786" s="30"/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  <c r="U1786" s="30"/>
      <c r="V1786" s="30"/>
      <c r="W1786" s="30"/>
      <c r="X1786" s="30"/>
      <c r="Y1786" s="30"/>
      <c r="Z1786" s="30"/>
      <c r="AA1786" s="30"/>
    </row>
    <row r="1787">
      <c r="A1787" s="29">
        <v>1543484.0</v>
      </c>
      <c r="B1787" s="29">
        <v>1544716.0</v>
      </c>
      <c r="C1787" s="30" t="str">
        <f t="shared" si="1"/>
        <v>+</v>
      </c>
      <c r="D1787" s="29">
        <f t="shared" si="2"/>
        <v>604</v>
      </c>
      <c r="E1787" s="30"/>
      <c r="F1787" s="30"/>
      <c r="G1787" s="30"/>
      <c r="H1787" s="30"/>
      <c r="I1787" s="30"/>
      <c r="J1787" s="30"/>
      <c r="K1787" s="30"/>
      <c r="L1787" s="30"/>
      <c r="M1787" s="30"/>
      <c r="N1787" s="30"/>
      <c r="O1787" s="30"/>
      <c r="P1787" s="30"/>
      <c r="Q1787" s="30"/>
      <c r="R1787" s="30"/>
      <c r="S1787" s="30"/>
      <c r="T1787" s="30"/>
      <c r="U1787" s="30"/>
      <c r="V1787" s="30"/>
      <c r="W1787" s="30"/>
      <c r="X1787" s="30"/>
      <c r="Y1787" s="30"/>
      <c r="Z1787" s="30"/>
      <c r="AA1787" s="30"/>
    </row>
    <row r="1788">
      <c r="A1788" s="29">
        <v>1544719.0</v>
      </c>
      <c r="B1788" s="29">
        <v>1545048.0</v>
      </c>
      <c r="C1788" s="30" t="str">
        <f t="shared" si="1"/>
        <v>+</v>
      </c>
      <c r="D1788" s="29">
        <f t="shared" si="2"/>
        <v>604</v>
      </c>
      <c r="E1788" s="30"/>
      <c r="F1788" s="30"/>
      <c r="G1788" s="30"/>
      <c r="H1788" s="30"/>
      <c r="I1788" s="30"/>
      <c r="J1788" s="30"/>
      <c r="K1788" s="30"/>
      <c r="L1788" s="30"/>
      <c r="M1788" s="30"/>
      <c r="N1788" s="30"/>
      <c r="O1788" s="30"/>
      <c r="P1788" s="30"/>
      <c r="Q1788" s="30"/>
      <c r="R1788" s="30"/>
      <c r="S1788" s="30"/>
      <c r="T1788" s="30"/>
      <c r="U1788" s="30"/>
      <c r="V1788" s="30"/>
      <c r="W1788" s="30"/>
      <c r="X1788" s="30"/>
      <c r="Y1788" s="30"/>
      <c r="Z1788" s="30"/>
      <c r="AA1788" s="30"/>
    </row>
    <row r="1789">
      <c r="A1789" s="29">
        <v>1545041.0</v>
      </c>
      <c r="B1789" s="29">
        <v>1545298.0</v>
      </c>
      <c r="C1789" s="30" t="str">
        <f t="shared" si="1"/>
        <v>+</v>
      </c>
      <c r="D1789" s="29">
        <f t="shared" si="2"/>
        <v>604</v>
      </c>
      <c r="E1789" s="30"/>
      <c r="F1789" s="30"/>
      <c r="G1789" s="30"/>
      <c r="H1789" s="30"/>
      <c r="I1789" s="30"/>
      <c r="J1789" s="30"/>
      <c r="K1789" s="30"/>
      <c r="L1789" s="30"/>
      <c r="M1789" s="30"/>
      <c r="N1789" s="30"/>
      <c r="O1789" s="30"/>
      <c r="P1789" s="30"/>
      <c r="Q1789" s="30"/>
      <c r="R1789" s="30"/>
      <c r="S1789" s="30"/>
      <c r="T1789" s="30"/>
      <c r="U1789" s="30"/>
      <c r="V1789" s="30"/>
      <c r="W1789" s="30"/>
      <c r="X1789" s="30"/>
      <c r="Y1789" s="30"/>
      <c r="Z1789" s="30"/>
      <c r="AA1789" s="30"/>
    </row>
    <row r="1790">
      <c r="A1790" s="29">
        <v>1545489.0</v>
      </c>
      <c r="B1790" s="29">
        <v>1545614.0</v>
      </c>
      <c r="C1790" s="30" t="str">
        <f t="shared" si="1"/>
        <v>+</v>
      </c>
      <c r="D1790" s="29">
        <f t="shared" si="2"/>
        <v>604</v>
      </c>
      <c r="E1790" s="30"/>
      <c r="F1790" s="30"/>
      <c r="G1790" s="30"/>
      <c r="H1790" s="30"/>
      <c r="I1790" s="30"/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  <c r="U1790" s="30"/>
      <c r="V1790" s="30"/>
      <c r="W1790" s="30"/>
      <c r="X1790" s="30"/>
      <c r="Y1790" s="30"/>
      <c r="Z1790" s="30"/>
      <c r="AA1790" s="30"/>
    </row>
    <row r="1791">
      <c r="A1791" s="29">
        <v>1545617.0</v>
      </c>
      <c r="B1791" s="29">
        <v>1546090.0</v>
      </c>
      <c r="C1791" s="30" t="str">
        <f t="shared" si="1"/>
        <v>+</v>
      </c>
      <c r="D1791" s="29">
        <f t="shared" si="2"/>
        <v>604</v>
      </c>
      <c r="E1791" s="30"/>
      <c r="F1791" s="30"/>
      <c r="G1791" s="30"/>
      <c r="H1791" s="30"/>
      <c r="I1791" s="30"/>
      <c r="J1791" s="30"/>
      <c r="K1791" s="30"/>
      <c r="L1791" s="30"/>
      <c r="M1791" s="30"/>
      <c r="N1791" s="30"/>
      <c r="O1791" s="30"/>
      <c r="P1791" s="30"/>
      <c r="Q1791" s="30"/>
      <c r="R1791" s="30"/>
      <c r="S1791" s="30"/>
      <c r="T1791" s="30"/>
      <c r="U1791" s="30"/>
      <c r="V1791" s="30"/>
      <c r="W1791" s="30"/>
      <c r="X1791" s="30"/>
      <c r="Y1791" s="30"/>
      <c r="Z1791" s="30"/>
      <c r="AA1791" s="30"/>
    </row>
    <row r="1792">
      <c r="A1792" s="29">
        <v>1546140.0</v>
      </c>
      <c r="B1792" s="29">
        <v>1547813.0</v>
      </c>
      <c r="C1792" s="30" t="str">
        <f t="shared" si="1"/>
        <v>+</v>
      </c>
      <c r="D1792" s="29">
        <f t="shared" si="2"/>
        <v>604</v>
      </c>
      <c r="E1792" s="30"/>
      <c r="F1792" s="30"/>
      <c r="G1792" s="30"/>
      <c r="H1792" s="30"/>
      <c r="I1792" s="30"/>
      <c r="J1792" s="30"/>
      <c r="K1792" s="30"/>
      <c r="L1792" s="30"/>
      <c r="M1792" s="30"/>
      <c r="N1792" s="30"/>
      <c r="O1792" s="30"/>
      <c r="P1792" s="30"/>
      <c r="Q1792" s="30"/>
      <c r="R1792" s="30"/>
      <c r="S1792" s="30"/>
      <c r="T1792" s="30"/>
      <c r="U1792" s="30"/>
      <c r="V1792" s="30"/>
      <c r="W1792" s="30"/>
      <c r="X1792" s="30"/>
      <c r="Y1792" s="30"/>
      <c r="Z1792" s="30"/>
      <c r="AA1792" s="30"/>
    </row>
    <row r="1793">
      <c r="A1793" s="29">
        <v>1547842.0</v>
      </c>
      <c r="B1793" s="29">
        <v>1548462.0</v>
      </c>
      <c r="C1793" s="30" t="str">
        <f t="shared" si="1"/>
        <v>+</v>
      </c>
      <c r="D1793" s="29">
        <f t="shared" si="2"/>
        <v>604</v>
      </c>
      <c r="E1793" s="30"/>
      <c r="F1793" s="30"/>
      <c r="G1793" s="30"/>
      <c r="H1793" s="30"/>
      <c r="I1793" s="30"/>
      <c r="J1793" s="30"/>
      <c r="K1793" s="30"/>
      <c r="L1793" s="30"/>
      <c r="M1793" s="30"/>
      <c r="N1793" s="30"/>
      <c r="O1793" s="30"/>
      <c r="P1793" s="30"/>
      <c r="Q1793" s="30"/>
      <c r="R1793" s="30"/>
      <c r="S1793" s="30"/>
      <c r="T1793" s="30"/>
      <c r="U1793" s="30"/>
      <c r="V1793" s="30"/>
      <c r="W1793" s="30"/>
      <c r="X1793" s="30"/>
      <c r="Y1793" s="30"/>
      <c r="Z1793" s="30"/>
      <c r="AA1793" s="30"/>
    </row>
    <row r="1794">
      <c r="A1794" s="29">
        <v>1548485.0</v>
      </c>
      <c r="B1794" s="29">
        <v>1548727.0</v>
      </c>
      <c r="C1794" s="30" t="str">
        <f t="shared" si="1"/>
        <v>+</v>
      </c>
      <c r="D1794" s="29">
        <f t="shared" si="2"/>
        <v>604</v>
      </c>
      <c r="E1794" s="30"/>
      <c r="F1794" s="30"/>
      <c r="G1794" s="30"/>
      <c r="H1794" s="30"/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  <c r="U1794" s="30"/>
      <c r="V1794" s="30"/>
      <c r="W1794" s="30"/>
      <c r="X1794" s="30"/>
      <c r="Y1794" s="30"/>
      <c r="Z1794" s="30"/>
      <c r="AA1794" s="30"/>
    </row>
    <row r="1795">
      <c r="A1795" s="29">
        <v>1548869.0</v>
      </c>
      <c r="B1795" s="29">
        <v>1549333.0</v>
      </c>
      <c r="C1795" s="30" t="str">
        <f t="shared" si="1"/>
        <v>+</v>
      </c>
      <c r="D1795" s="29">
        <f t="shared" si="2"/>
        <v>604</v>
      </c>
      <c r="E1795" s="30"/>
      <c r="F1795" s="30"/>
      <c r="G1795" s="30"/>
      <c r="H1795" s="30"/>
      <c r="I1795" s="30"/>
      <c r="J1795" s="30"/>
      <c r="K1795" s="30"/>
      <c r="L1795" s="30"/>
      <c r="M1795" s="30"/>
      <c r="N1795" s="30"/>
      <c r="O1795" s="30"/>
      <c r="P1795" s="30"/>
      <c r="Q1795" s="30"/>
      <c r="R1795" s="30"/>
      <c r="S1795" s="30"/>
      <c r="T1795" s="30"/>
      <c r="U1795" s="30"/>
      <c r="V1795" s="30"/>
      <c r="W1795" s="30"/>
      <c r="X1795" s="30"/>
      <c r="Y1795" s="30"/>
      <c r="Z1795" s="30"/>
      <c r="AA1795" s="30"/>
    </row>
    <row r="1796">
      <c r="A1796" s="29">
        <v>1549447.0</v>
      </c>
      <c r="B1796" s="29">
        <v>1549848.0</v>
      </c>
      <c r="C1796" s="30" t="str">
        <f t="shared" si="1"/>
        <v>+</v>
      </c>
      <c r="D1796" s="29">
        <f t="shared" si="2"/>
        <v>604</v>
      </c>
      <c r="E1796" s="30"/>
      <c r="F1796" s="30"/>
      <c r="G1796" s="30"/>
      <c r="H1796" s="30"/>
      <c r="I1796" s="30"/>
      <c r="J1796" s="30"/>
      <c r="K1796" s="30"/>
      <c r="L1796" s="30"/>
      <c r="M1796" s="30"/>
      <c r="N1796" s="30"/>
      <c r="O1796" s="30"/>
      <c r="P1796" s="30"/>
      <c r="Q1796" s="30"/>
      <c r="R1796" s="30"/>
      <c r="S1796" s="30"/>
      <c r="T1796" s="30"/>
      <c r="U1796" s="30"/>
      <c r="V1796" s="30"/>
      <c r="W1796" s="30"/>
      <c r="X1796" s="30"/>
      <c r="Y1796" s="30"/>
      <c r="Z1796" s="30"/>
      <c r="AA1796" s="30"/>
    </row>
    <row r="1797">
      <c r="A1797" s="29">
        <v>1550600.0</v>
      </c>
      <c r="B1797" s="29">
        <v>1549845.0</v>
      </c>
      <c r="C1797" s="30" t="str">
        <f t="shared" si="1"/>
        <v>-</v>
      </c>
      <c r="D1797" s="29">
        <f t="shared" si="2"/>
        <v>605</v>
      </c>
      <c r="E1797" s="30"/>
      <c r="F1797" s="30"/>
      <c r="G1797" s="30"/>
      <c r="H1797" s="30"/>
      <c r="I1797" s="30"/>
      <c r="J1797" s="30"/>
      <c r="K1797" s="30"/>
      <c r="L1797" s="30"/>
      <c r="M1797" s="30"/>
      <c r="N1797" s="30"/>
      <c r="O1797" s="30"/>
      <c r="P1797" s="30"/>
      <c r="Q1797" s="30"/>
      <c r="R1797" s="30"/>
      <c r="S1797" s="30"/>
      <c r="T1797" s="30"/>
      <c r="U1797" s="30"/>
      <c r="V1797" s="30"/>
      <c r="W1797" s="30"/>
      <c r="X1797" s="30"/>
      <c r="Y1797" s="30"/>
      <c r="Z1797" s="30"/>
      <c r="AA1797" s="30"/>
    </row>
    <row r="1798">
      <c r="A1798" s="29">
        <v>1552324.0</v>
      </c>
      <c r="B1798" s="29">
        <v>1550582.0</v>
      </c>
      <c r="C1798" s="30" t="str">
        <f t="shared" si="1"/>
        <v>-</v>
      </c>
      <c r="D1798" s="29">
        <f t="shared" si="2"/>
        <v>605</v>
      </c>
      <c r="E1798" s="30"/>
      <c r="F1798" s="30"/>
      <c r="G1798" s="30"/>
      <c r="H1798" s="30"/>
      <c r="I1798" s="30"/>
      <c r="J1798" s="30"/>
      <c r="K1798" s="30"/>
      <c r="L1798" s="30"/>
      <c r="M1798" s="30"/>
      <c r="N1798" s="30"/>
      <c r="O1798" s="30"/>
      <c r="P1798" s="30"/>
      <c r="Q1798" s="30"/>
      <c r="R1798" s="30"/>
      <c r="S1798" s="30"/>
      <c r="T1798" s="30"/>
      <c r="U1798" s="30"/>
      <c r="V1798" s="30"/>
      <c r="W1798" s="30"/>
      <c r="X1798" s="30"/>
      <c r="Y1798" s="30"/>
      <c r="Z1798" s="30"/>
      <c r="AA1798" s="30"/>
    </row>
    <row r="1799">
      <c r="A1799" s="29">
        <v>1552625.0</v>
      </c>
      <c r="B1799" s="29">
        <v>1552311.0</v>
      </c>
      <c r="C1799" s="30" t="str">
        <f t="shared" si="1"/>
        <v>-</v>
      </c>
      <c r="D1799" s="29">
        <f t="shared" si="2"/>
        <v>605</v>
      </c>
      <c r="E1799" s="30"/>
      <c r="F1799" s="30"/>
      <c r="G1799" s="30"/>
      <c r="H1799" s="30"/>
      <c r="I1799" s="30"/>
      <c r="J1799" s="30"/>
      <c r="K1799" s="30"/>
      <c r="L1799" s="30"/>
      <c r="M1799" s="30"/>
      <c r="N1799" s="30"/>
      <c r="O1799" s="30"/>
      <c r="P1799" s="30"/>
      <c r="Q1799" s="30"/>
      <c r="R1799" s="30"/>
      <c r="S1799" s="30"/>
      <c r="T1799" s="30"/>
      <c r="U1799" s="30"/>
      <c r="V1799" s="30"/>
      <c r="W1799" s="30"/>
      <c r="X1799" s="30"/>
      <c r="Y1799" s="30"/>
      <c r="Z1799" s="30"/>
      <c r="AA1799" s="30"/>
    </row>
    <row r="1800">
      <c r="A1800" s="29">
        <v>1553425.0</v>
      </c>
      <c r="B1800" s="29">
        <v>1552622.0</v>
      </c>
      <c r="C1800" s="30" t="str">
        <f t="shared" si="1"/>
        <v>-</v>
      </c>
      <c r="D1800" s="29">
        <f t="shared" si="2"/>
        <v>605</v>
      </c>
      <c r="E1800" s="30"/>
      <c r="F1800" s="30"/>
      <c r="G1800" s="30"/>
      <c r="H1800" s="30"/>
      <c r="I1800" s="30"/>
      <c r="J1800" s="30"/>
      <c r="K1800" s="30"/>
      <c r="L1800" s="30"/>
      <c r="M1800" s="30"/>
      <c r="N1800" s="30"/>
      <c r="O1800" s="30"/>
      <c r="P1800" s="30"/>
      <c r="Q1800" s="30"/>
      <c r="R1800" s="30"/>
      <c r="S1800" s="30"/>
      <c r="T1800" s="30"/>
      <c r="U1800" s="30"/>
      <c r="V1800" s="30"/>
      <c r="W1800" s="30"/>
      <c r="X1800" s="30"/>
      <c r="Y1800" s="30"/>
      <c r="Z1800" s="30"/>
      <c r="AA1800" s="30"/>
    </row>
    <row r="1801">
      <c r="A1801" s="29">
        <v>1554085.0</v>
      </c>
      <c r="B1801" s="29">
        <v>1553450.0</v>
      </c>
      <c r="C1801" s="30" t="str">
        <f t="shared" si="1"/>
        <v>-</v>
      </c>
      <c r="D1801" s="29">
        <f t="shared" si="2"/>
        <v>605</v>
      </c>
      <c r="E1801" s="30"/>
      <c r="F1801" s="30"/>
      <c r="G1801" s="30"/>
      <c r="H1801" s="30"/>
      <c r="I1801" s="30"/>
      <c r="J1801" s="30"/>
      <c r="K1801" s="30"/>
      <c r="L1801" s="30"/>
      <c r="M1801" s="30"/>
      <c r="N1801" s="30"/>
      <c r="O1801" s="30"/>
      <c r="P1801" s="30"/>
      <c r="Q1801" s="30"/>
      <c r="R1801" s="30"/>
      <c r="S1801" s="30"/>
      <c r="T1801" s="30"/>
      <c r="U1801" s="30"/>
      <c r="V1801" s="30"/>
      <c r="W1801" s="30"/>
      <c r="X1801" s="30"/>
      <c r="Y1801" s="30"/>
      <c r="Z1801" s="30"/>
      <c r="AA1801" s="30"/>
    </row>
    <row r="1802">
      <c r="A1802" s="29">
        <v>1555551.0</v>
      </c>
      <c r="B1802" s="29">
        <v>1554076.0</v>
      </c>
      <c r="C1802" s="30" t="str">
        <f t="shared" si="1"/>
        <v>-</v>
      </c>
      <c r="D1802" s="29">
        <f t="shared" si="2"/>
        <v>605</v>
      </c>
      <c r="E1802" s="30"/>
      <c r="F1802" s="30"/>
      <c r="G1802" s="30"/>
      <c r="H1802" s="30"/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/>
      <c r="U1802" s="30"/>
      <c r="V1802" s="30"/>
      <c r="W1802" s="30"/>
      <c r="X1802" s="30"/>
      <c r="Y1802" s="30"/>
      <c r="Z1802" s="30"/>
      <c r="AA1802" s="30"/>
    </row>
    <row r="1803">
      <c r="A1803" s="29">
        <v>1556599.0</v>
      </c>
      <c r="B1803" s="29">
        <v>1555592.0</v>
      </c>
      <c r="C1803" s="30" t="str">
        <f t="shared" si="1"/>
        <v>-</v>
      </c>
      <c r="D1803" s="29">
        <f t="shared" si="2"/>
        <v>605</v>
      </c>
      <c r="E1803" s="30"/>
      <c r="F1803" s="30"/>
      <c r="G1803" s="30"/>
      <c r="H1803" s="30"/>
      <c r="I1803" s="30"/>
      <c r="J1803" s="30"/>
      <c r="K1803" s="30"/>
      <c r="L1803" s="30"/>
      <c r="M1803" s="30"/>
      <c r="N1803" s="30"/>
      <c r="O1803" s="30"/>
      <c r="P1803" s="30"/>
      <c r="Q1803" s="30"/>
      <c r="R1803" s="30"/>
      <c r="S1803" s="30"/>
      <c r="T1803" s="30"/>
      <c r="U1803" s="30"/>
      <c r="V1803" s="30"/>
      <c r="W1803" s="30"/>
      <c r="X1803" s="30"/>
      <c r="Y1803" s="30"/>
      <c r="Z1803" s="30"/>
      <c r="AA1803" s="30"/>
    </row>
    <row r="1804">
      <c r="A1804" s="29">
        <v>1558452.0</v>
      </c>
      <c r="B1804" s="29">
        <v>1556596.0</v>
      </c>
      <c r="C1804" s="30" t="str">
        <f t="shared" si="1"/>
        <v>-</v>
      </c>
      <c r="D1804" s="29">
        <f t="shared" si="2"/>
        <v>605</v>
      </c>
      <c r="E1804" s="30"/>
      <c r="F1804" s="30"/>
      <c r="G1804" s="30"/>
      <c r="H1804" s="30"/>
      <c r="I1804" s="30"/>
      <c r="J1804" s="30"/>
      <c r="K1804" s="30"/>
      <c r="L1804" s="30"/>
      <c r="M1804" s="30"/>
      <c r="N1804" s="30"/>
      <c r="O1804" s="30"/>
      <c r="P1804" s="30"/>
      <c r="Q1804" s="30"/>
      <c r="R1804" s="30"/>
      <c r="S1804" s="30"/>
      <c r="T1804" s="30"/>
      <c r="U1804" s="30"/>
      <c r="V1804" s="30"/>
      <c r="W1804" s="30"/>
      <c r="X1804" s="30"/>
      <c r="Y1804" s="30"/>
      <c r="Z1804" s="30"/>
      <c r="AA1804" s="30"/>
    </row>
    <row r="1805">
      <c r="A1805" s="29">
        <v>1558622.0</v>
      </c>
      <c r="B1805" s="29">
        <v>1559398.0</v>
      </c>
      <c r="C1805" s="30" t="str">
        <f t="shared" si="1"/>
        <v>+</v>
      </c>
      <c r="D1805" s="29">
        <f t="shared" si="2"/>
        <v>606</v>
      </c>
      <c r="E1805" s="30"/>
      <c r="F1805" s="30"/>
      <c r="G1805" s="30"/>
      <c r="H1805" s="30"/>
      <c r="I1805" s="30"/>
      <c r="J1805" s="30"/>
      <c r="K1805" s="30"/>
      <c r="L1805" s="30"/>
      <c r="M1805" s="30"/>
      <c r="N1805" s="30"/>
      <c r="O1805" s="30"/>
      <c r="P1805" s="30"/>
      <c r="Q1805" s="30"/>
      <c r="R1805" s="30"/>
      <c r="S1805" s="30"/>
      <c r="T1805" s="30"/>
      <c r="U1805" s="30"/>
      <c r="V1805" s="30"/>
      <c r="W1805" s="30"/>
      <c r="X1805" s="30"/>
      <c r="Y1805" s="30"/>
      <c r="Z1805" s="30"/>
      <c r="AA1805" s="30"/>
    </row>
    <row r="1806">
      <c r="A1806" s="29">
        <v>1559395.0</v>
      </c>
      <c r="B1806" s="29">
        <v>1560213.0</v>
      </c>
      <c r="C1806" s="30" t="str">
        <f t="shared" si="1"/>
        <v>+</v>
      </c>
      <c r="D1806" s="29">
        <f t="shared" si="2"/>
        <v>606</v>
      </c>
      <c r="E1806" s="30"/>
      <c r="F1806" s="30"/>
      <c r="G1806" s="30"/>
      <c r="H1806" s="30"/>
      <c r="I1806" s="30"/>
      <c r="J1806" s="30"/>
      <c r="K1806" s="30"/>
      <c r="L1806" s="30"/>
      <c r="M1806" s="30"/>
      <c r="N1806" s="30"/>
      <c r="O1806" s="30"/>
      <c r="P1806" s="30"/>
      <c r="Q1806" s="30"/>
      <c r="R1806" s="30"/>
      <c r="S1806" s="30"/>
      <c r="T1806" s="30"/>
      <c r="U1806" s="30"/>
      <c r="V1806" s="30"/>
      <c r="W1806" s="30"/>
      <c r="X1806" s="30"/>
      <c r="Y1806" s="30"/>
      <c r="Z1806" s="30"/>
      <c r="AA1806" s="30"/>
    </row>
    <row r="1807">
      <c r="A1807" s="29">
        <v>1560233.0</v>
      </c>
      <c r="B1807" s="29">
        <v>1561222.0</v>
      </c>
      <c r="C1807" s="30" t="str">
        <f t="shared" si="1"/>
        <v>+</v>
      </c>
      <c r="D1807" s="29">
        <f t="shared" si="2"/>
        <v>606</v>
      </c>
      <c r="E1807" s="30"/>
      <c r="F1807" s="30"/>
      <c r="G1807" s="30"/>
      <c r="H1807" s="30"/>
      <c r="I1807" s="30"/>
      <c r="J1807" s="30"/>
      <c r="K1807" s="30"/>
      <c r="L1807" s="30"/>
      <c r="M1807" s="30"/>
      <c r="N1807" s="30"/>
      <c r="O1807" s="30"/>
      <c r="P1807" s="30"/>
      <c r="Q1807" s="30"/>
      <c r="R1807" s="30"/>
      <c r="S1807" s="30"/>
      <c r="T1807" s="30"/>
      <c r="U1807" s="30"/>
      <c r="V1807" s="30"/>
      <c r="W1807" s="30"/>
      <c r="X1807" s="30"/>
      <c r="Y1807" s="30"/>
      <c r="Z1807" s="30"/>
      <c r="AA1807" s="30"/>
    </row>
    <row r="1808">
      <c r="A1808" s="29">
        <v>1561494.0</v>
      </c>
      <c r="B1808" s="29">
        <v>1561219.0</v>
      </c>
      <c r="C1808" s="30" t="str">
        <f t="shared" si="1"/>
        <v>-</v>
      </c>
      <c r="D1808" s="29">
        <f t="shared" si="2"/>
        <v>607</v>
      </c>
      <c r="E1808" s="30"/>
      <c r="F1808" s="30"/>
      <c r="G1808" s="30"/>
      <c r="H1808" s="30"/>
      <c r="I1808" s="30"/>
      <c r="J1808" s="30"/>
      <c r="K1808" s="30"/>
      <c r="L1808" s="30"/>
      <c r="M1808" s="30"/>
      <c r="N1808" s="30"/>
      <c r="O1808" s="30"/>
      <c r="P1808" s="30"/>
      <c r="Q1808" s="30"/>
      <c r="R1808" s="30"/>
      <c r="S1808" s="30"/>
      <c r="T1808" s="30"/>
      <c r="U1808" s="30"/>
      <c r="V1808" s="30"/>
      <c r="W1808" s="30"/>
      <c r="X1808" s="30"/>
      <c r="Y1808" s="30"/>
      <c r="Z1808" s="30"/>
      <c r="AA1808" s="30"/>
    </row>
    <row r="1809">
      <c r="A1809" s="29">
        <v>1562312.0</v>
      </c>
      <c r="B1809" s="29">
        <v>1561482.0</v>
      </c>
      <c r="C1809" s="30" t="str">
        <f t="shared" si="1"/>
        <v>-</v>
      </c>
      <c r="D1809" s="29">
        <f t="shared" si="2"/>
        <v>607</v>
      </c>
      <c r="E1809" s="30"/>
      <c r="F1809" s="30"/>
      <c r="G1809" s="30"/>
      <c r="H1809" s="30"/>
      <c r="I1809" s="30"/>
      <c r="J1809" s="30"/>
      <c r="K1809" s="30"/>
      <c r="L1809" s="30"/>
      <c r="M1809" s="30"/>
      <c r="N1809" s="30"/>
      <c r="O1809" s="30"/>
      <c r="P1809" s="30"/>
      <c r="Q1809" s="30"/>
      <c r="R1809" s="30"/>
      <c r="S1809" s="30"/>
      <c r="T1809" s="30"/>
      <c r="U1809" s="30"/>
      <c r="V1809" s="30"/>
      <c r="W1809" s="30"/>
      <c r="X1809" s="30"/>
      <c r="Y1809" s="30"/>
      <c r="Z1809" s="30"/>
      <c r="AA1809" s="30"/>
    </row>
    <row r="1810">
      <c r="A1810" s="29">
        <v>1563005.0</v>
      </c>
      <c r="B1810" s="29">
        <v>1562394.0</v>
      </c>
      <c r="C1810" s="30" t="str">
        <f t="shared" si="1"/>
        <v>-</v>
      </c>
      <c r="D1810" s="29">
        <f t="shared" si="2"/>
        <v>607</v>
      </c>
      <c r="E1810" s="30"/>
      <c r="F1810" s="30"/>
      <c r="G1810" s="30"/>
      <c r="H1810" s="30"/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0"/>
      <c r="U1810" s="30"/>
      <c r="V1810" s="30"/>
      <c r="W1810" s="30"/>
      <c r="X1810" s="30"/>
      <c r="Y1810" s="30"/>
      <c r="Z1810" s="30"/>
      <c r="AA1810" s="30"/>
    </row>
    <row r="1811">
      <c r="A1811" s="29">
        <v>1563438.0</v>
      </c>
      <c r="B1811" s="29">
        <v>1562995.0</v>
      </c>
      <c r="C1811" s="30" t="str">
        <f t="shared" si="1"/>
        <v>-</v>
      </c>
      <c r="D1811" s="29">
        <f t="shared" si="2"/>
        <v>607</v>
      </c>
      <c r="E1811" s="30"/>
      <c r="F1811" s="30"/>
      <c r="G1811" s="30"/>
      <c r="H1811" s="30"/>
      <c r="I1811" s="30"/>
      <c r="J1811" s="30"/>
      <c r="K1811" s="30"/>
      <c r="L1811" s="30"/>
      <c r="M1811" s="30"/>
      <c r="N1811" s="30"/>
      <c r="O1811" s="30"/>
      <c r="P1811" s="30"/>
      <c r="Q1811" s="30"/>
      <c r="R1811" s="30"/>
      <c r="S1811" s="30"/>
      <c r="T1811" s="30"/>
      <c r="U1811" s="30"/>
      <c r="V1811" s="30"/>
      <c r="W1811" s="30"/>
      <c r="X1811" s="30"/>
      <c r="Y1811" s="30"/>
      <c r="Z1811" s="30"/>
      <c r="AA1811" s="30"/>
    </row>
    <row r="1812">
      <c r="A1812" s="29">
        <v>1563874.0</v>
      </c>
      <c r="B1812" s="29">
        <v>1563569.0</v>
      </c>
      <c r="C1812" s="30" t="str">
        <f t="shared" si="1"/>
        <v>-</v>
      </c>
      <c r="D1812" s="29">
        <f t="shared" si="2"/>
        <v>607</v>
      </c>
      <c r="E1812" s="30"/>
      <c r="F1812" s="30"/>
      <c r="G1812" s="30"/>
      <c r="H1812" s="30"/>
      <c r="I1812" s="30"/>
      <c r="J1812" s="30"/>
      <c r="K1812" s="30"/>
      <c r="L1812" s="30"/>
      <c r="M1812" s="30"/>
      <c r="N1812" s="30"/>
      <c r="O1812" s="30"/>
      <c r="P1812" s="30"/>
      <c r="Q1812" s="30"/>
      <c r="R1812" s="30"/>
      <c r="S1812" s="30"/>
      <c r="T1812" s="30"/>
      <c r="U1812" s="30"/>
      <c r="V1812" s="30"/>
      <c r="W1812" s="30"/>
      <c r="X1812" s="30"/>
      <c r="Y1812" s="30"/>
      <c r="Z1812" s="30"/>
      <c r="AA1812" s="30"/>
    </row>
    <row r="1813">
      <c r="A1813" s="29">
        <v>1564839.0</v>
      </c>
      <c r="B1813" s="29">
        <v>1563868.0</v>
      </c>
      <c r="C1813" s="30" t="str">
        <f t="shared" si="1"/>
        <v>-</v>
      </c>
      <c r="D1813" s="29">
        <f t="shared" si="2"/>
        <v>607</v>
      </c>
      <c r="E1813" s="30"/>
      <c r="F1813" s="30"/>
      <c r="G1813" s="30"/>
      <c r="H1813" s="30"/>
      <c r="I1813" s="30"/>
      <c r="J1813" s="30"/>
      <c r="K1813" s="30"/>
      <c r="L1813" s="30"/>
      <c r="M1813" s="30"/>
      <c r="N1813" s="30"/>
      <c r="O1813" s="30"/>
      <c r="P1813" s="30"/>
      <c r="Q1813" s="30"/>
      <c r="R1813" s="30"/>
      <c r="S1813" s="30"/>
      <c r="T1813" s="30"/>
      <c r="U1813" s="30"/>
      <c r="V1813" s="30"/>
      <c r="W1813" s="30"/>
      <c r="X1813" s="30"/>
      <c r="Y1813" s="30"/>
      <c r="Z1813" s="30"/>
      <c r="AA1813" s="30"/>
    </row>
    <row r="1814">
      <c r="A1814" s="29">
        <v>1565389.0</v>
      </c>
      <c r="B1814" s="29">
        <v>1564862.0</v>
      </c>
      <c r="C1814" s="30" t="str">
        <f t="shared" si="1"/>
        <v>-</v>
      </c>
      <c r="D1814" s="29">
        <f t="shared" si="2"/>
        <v>607</v>
      </c>
      <c r="E1814" s="30"/>
      <c r="F1814" s="30"/>
      <c r="G1814" s="30"/>
      <c r="H1814" s="30"/>
      <c r="I1814" s="30"/>
      <c r="J1814" s="30"/>
      <c r="K1814" s="30"/>
      <c r="L1814" s="30"/>
      <c r="M1814" s="30"/>
      <c r="N1814" s="30"/>
      <c r="O1814" s="30"/>
      <c r="P1814" s="30"/>
      <c r="Q1814" s="30"/>
      <c r="R1814" s="30"/>
      <c r="S1814" s="30"/>
      <c r="T1814" s="30"/>
      <c r="U1814" s="30"/>
      <c r="V1814" s="30"/>
      <c r="W1814" s="30"/>
      <c r="X1814" s="30"/>
      <c r="Y1814" s="30"/>
      <c r="Z1814" s="30"/>
      <c r="AA1814" s="30"/>
    </row>
    <row r="1815">
      <c r="A1815" s="29">
        <v>1565739.0</v>
      </c>
      <c r="B1815" s="29">
        <v>1565386.0</v>
      </c>
      <c r="C1815" s="30" t="str">
        <f t="shared" si="1"/>
        <v>-</v>
      </c>
      <c r="D1815" s="29">
        <f t="shared" si="2"/>
        <v>607</v>
      </c>
      <c r="E1815" s="30"/>
      <c r="F1815" s="30"/>
      <c r="G1815" s="30"/>
      <c r="H1815" s="30"/>
      <c r="I1815" s="30"/>
      <c r="J1815" s="30"/>
      <c r="K1815" s="30"/>
      <c r="L1815" s="30"/>
      <c r="M1815" s="30"/>
      <c r="N1815" s="30"/>
      <c r="O1815" s="30"/>
      <c r="P1815" s="30"/>
      <c r="Q1815" s="30"/>
      <c r="R1815" s="30"/>
      <c r="S1815" s="30"/>
      <c r="T1815" s="30"/>
      <c r="U1815" s="30"/>
      <c r="V1815" s="30"/>
      <c r="W1815" s="30"/>
      <c r="X1815" s="30"/>
      <c r="Y1815" s="30"/>
      <c r="Z1815" s="30"/>
      <c r="AA1815" s="30"/>
    </row>
    <row r="1816">
      <c r="A1816" s="29">
        <v>1566570.0</v>
      </c>
      <c r="B1816" s="29">
        <v>1565788.0</v>
      </c>
      <c r="C1816" s="30" t="str">
        <f t="shared" si="1"/>
        <v>-</v>
      </c>
      <c r="D1816" s="29">
        <f t="shared" si="2"/>
        <v>607</v>
      </c>
      <c r="E1816" s="30"/>
      <c r="F1816" s="30"/>
      <c r="G1816" s="30"/>
      <c r="H1816" s="30"/>
      <c r="I1816" s="30"/>
      <c r="J1816" s="30"/>
      <c r="K1816" s="30"/>
      <c r="L1816" s="30"/>
      <c r="M1816" s="30"/>
      <c r="N1816" s="30"/>
      <c r="O1816" s="30"/>
      <c r="P1816" s="30"/>
      <c r="Q1816" s="30"/>
      <c r="R1816" s="30"/>
      <c r="S1816" s="30"/>
      <c r="T1816" s="30"/>
      <c r="U1816" s="30"/>
      <c r="V1816" s="30"/>
      <c r="W1816" s="30"/>
      <c r="X1816" s="30"/>
      <c r="Y1816" s="30"/>
      <c r="Z1816" s="30"/>
      <c r="AA1816" s="30"/>
    </row>
    <row r="1817">
      <c r="A1817" s="29">
        <v>1567429.0</v>
      </c>
      <c r="B1817" s="29">
        <v>1566626.0</v>
      </c>
      <c r="C1817" s="30" t="str">
        <f t="shared" si="1"/>
        <v>-</v>
      </c>
      <c r="D1817" s="29">
        <f t="shared" si="2"/>
        <v>607</v>
      </c>
      <c r="E1817" s="30"/>
      <c r="F1817" s="30"/>
      <c r="G1817" s="30"/>
      <c r="H1817" s="30"/>
      <c r="I1817" s="30"/>
      <c r="J1817" s="30"/>
      <c r="K1817" s="30"/>
      <c r="L1817" s="30"/>
      <c r="M1817" s="30"/>
      <c r="N1817" s="30"/>
      <c r="O1817" s="30"/>
      <c r="P1817" s="30"/>
      <c r="Q1817" s="30"/>
      <c r="R1817" s="30"/>
      <c r="S1817" s="30"/>
      <c r="T1817" s="30"/>
      <c r="U1817" s="30"/>
      <c r="V1817" s="30"/>
      <c r="W1817" s="30"/>
      <c r="X1817" s="30"/>
      <c r="Y1817" s="30"/>
      <c r="Z1817" s="30"/>
      <c r="AA1817" s="30"/>
    </row>
    <row r="1818">
      <c r="A1818" s="29">
        <v>1568465.0</v>
      </c>
      <c r="B1818" s="29">
        <v>1567563.0</v>
      </c>
      <c r="C1818" s="30" t="str">
        <f t="shared" si="1"/>
        <v>-</v>
      </c>
      <c r="D1818" s="29">
        <f t="shared" si="2"/>
        <v>607</v>
      </c>
      <c r="E1818" s="30"/>
      <c r="F1818" s="30"/>
      <c r="G1818" s="30"/>
      <c r="H1818" s="30"/>
      <c r="I1818" s="30"/>
      <c r="J1818" s="30"/>
      <c r="K1818" s="30"/>
      <c r="L1818" s="30"/>
      <c r="M1818" s="30"/>
      <c r="N1818" s="30"/>
      <c r="O1818" s="30"/>
      <c r="P1818" s="30"/>
      <c r="Q1818" s="30"/>
      <c r="R1818" s="30"/>
      <c r="S1818" s="30"/>
      <c r="T1818" s="30"/>
      <c r="U1818" s="30"/>
      <c r="V1818" s="30"/>
      <c r="W1818" s="30"/>
      <c r="X1818" s="30"/>
      <c r="Y1818" s="30"/>
      <c r="Z1818" s="30"/>
      <c r="AA1818" s="30"/>
    </row>
    <row r="1819">
      <c r="A1819" s="29">
        <v>1569370.0</v>
      </c>
      <c r="B1819" s="29">
        <v>1568462.0</v>
      </c>
      <c r="C1819" s="30" t="str">
        <f t="shared" si="1"/>
        <v>-</v>
      </c>
      <c r="D1819" s="29">
        <f t="shared" si="2"/>
        <v>607</v>
      </c>
      <c r="E1819" s="30"/>
      <c r="F1819" s="30"/>
      <c r="G1819" s="30"/>
      <c r="H1819" s="30"/>
      <c r="I1819" s="30"/>
      <c r="J1819" s="30"/>
      <c r="K1819" s="30"/>
      <c r="L1819" s="30"/>
      <c r="M1819" s="30"/>
      <c r="N1819" s="30"/>
      <c r="O1819" s="30"/>
      <c r="P1819" s="30"/>
      <c r="Q1819" s="30"/>
      <c r="R1819" s="30"/>
      <c r="S1819" s="30"/>
      <c r="T1819" s="30"/>
      <c r="U1819" s="30"/>
      <c r="V1819" s="30"/>
      <c r="W1819" s="30"/>
      <c r="X1819" s="30"/>
      <c r="Y1819" s="30"/>
      <c r="Z1819" s="30"/>
      <c r="AA1819" s="30"/>
    </row>
    <row r="1820">
      <c r="A1820" s="29">
        <v>1569649.0</v>
      </c>
      <c r="B1820" s="29">
        <v>1569431.0</v>
      </c>
      <c r="C1820" s="30" t="str">
        <f t="shared" si="1"/>
        <v>-</v>
      </c>
      <c r="D1820" s="29">
        <f t="shared" si="2"/>
        <v>607</v>
      </c>
      <c r="E1820" s="30"/>
      <c r="F1820" s="30"/>
      <c r="G1820" s="30"/>
      <c r="H1820" s="30"/>
      <c r="I1820" s="30"/>
      <c r="J1820" s="30"/>
      <c r="K1820" s="30"/>
      <c r="L1820" s="30"/>
      <c r="M1820" s="30"/>
      <c r="N1820" s="30"/>
      <c r="O1820" s="30"/>
      <c r="P1820" s="30"/>
      <c r="Q1820" s="30"/>
      <c r="R1820" s="30"/>
      <c r="S1820" s="30"/>
      <c r="T1820" s="30"/>
      <c r="U1820" s="30"/>
      <c r="V1820" s="30"/>
      <c r="W1820" s="30"/>
      <c r="X1820" s="30"/>
      <c r="Y1820" s="30"/>
      <c r="Z1820" s="30"/>
      <c r="AA1820" s="30"/>
    </row>
    <row r="1821">
      <c r="A1821" s="29">
        <v>1570717.0</v>
      </c>
      <c r="B1821" s="29">
        <v>1571082.0</v>
      </c>
      <c r="C1821" s="30" t="str">
        <f t="shared" si="1"/>
        <v>+</v>
      </c>
      <c r="D1821" s="29">
        <f t="shared" si="2"/>
        <v>608</v>
      </c>
      <c r="E1821" s="30"/>
      <c r="F1821" s="30"/>
      <c r="G1821" s="30"/>
      <c r="H1821" s="30"/>
      <c r="I1821" s="30"/>
      <c r="J1821" s="30"/>
      <c r="K1821" s="30"/>
      <c r="L1821" s="30"/>
      <c r="M1821" s="30"/>
      <c r="N1821" s="30"/>
      <c r="O1821" s="30"/>
      <c r="P1821" s="30"/>
      <c r="Q1821" s="30"/>
      <c r="R1821" s="30"/>
      <c r="S1821" s="30"/>
      <c r="T1821" s="30"/>
      <c r="U1821" s="30"/>
      <c r="V1821" s="30"/>
      <c r="W1821" s="30"/>
      <c r="X1821" s="30"/>
      <c r="Y1821" s="30"/>
      <c r="Z1821" s="30"/>
      <c r="AA1821" s="30"/>
    </row>
    <row r="1822">
      <c r="A1822" s="29">
        <v>1571152.0</v>
      </c>
      <c r="B1822" s="29">
        <v>1571919.0</v>
      </c>
      <c r="C1822" s="30" t="str">
        <f t="shared" si="1"/>
        <v>+</v>
      </c>
      <c r="D1822" s="29">
        <f t="shared" si="2"/>
        <v>608</v>
      </c>
      <c r="E1822" s="30"/>
      <c r="F1822" s="30"/>
      <c r="G1822" s="30"/>
      <c r="H1822" s="30"/>
      <c r="I1822" s="30"/>
      <c r="J1822" s="30"/>
      <c r="K1822" s="30"/>
      <c r="L1822" s="30"/>
      <c r="M1822" s="30"/>
      <c r="N1822" s="30"/>
      <c r="O1822" s="30"/>
      <c r="P1822" s="30"/>
      <c r="Q1822" s="30"/>
      <c r="R1822" s="30"/>
      <c r="S1822" s="30"/>
      <c r="T1822" s="30"/>
      <c r="U1822" s="30"/>
      <c r="V1822" s="30"/>
      <c r="W1822" s="30"/>
      <c r="X1822" s="30"/>
      <c r="Y1822" s="30"/>
      <c r="Z1822" s="30"/>
      <c r="AA1822" s="30"/>
    </row>
    <row r="1823">
      <c r="A1823" s="29">
        <v>1571921.0</v>
      </c>
      <c r="B1823" s="29">
        <v>1572541.0</v>
      </c>
      <c r="C1823" s="30" t="str">
        <f t="shared" si="1"/>
        <v>+</v>
      </c>
      <c r="D1823" s="29">
        <f t="shared" si="2"/>
        <v>608</v>
      </c>
      <c r="E1823" s="30"/>
      <c r="F1823" s="30"/>
      <c r="G1823" s="30"/>
      <c r="H1823" s="30"/>
      <c r="I1823" s="30"/>
      <c r="J1823" s="30"/>
      <c r="K1823" s="30"/>
      <c r="L1823" s="30"/>
      <c r="M1823" s="30"/>
      <c r="N1823" s="30"/>
      <c r="O1823" s="30"/>
      <c r="P1823" s="30"/>
      <c r="Q1823" s="30"/>
      <c r="R1823" s="30"/>
      <c r="S1823" s="30"/>
      <c r="T1823" s="30"/>
      <c r="U1823" s="30"/>
      <c r="V1823" s="30"/>
      <c r="W1823" s="30"/>
      <c r="X1823" s="30"/>
      <c r="Y1823" s="30"/>
      <c r="Z1823" s="30"/>
      <c r="AA1823" s="30"/>
    </row>
    <row r="1824">
      <c r="A1824" s="29">
        <v>1572495.0</v>
      </c>
      <c r="B1824" s="29">
        <v>1573652.0</v>
      </c>
      <c r="C1824" s="30" t="str">
        <f t="shared" si="1"/>
        <v>+</v>
      </c>
      <c r="D1824" s="29">
        <f t="shared" si="2"/>
        <v>608</v>
      </c>
      <c r="E1824" s="30"/>
      <c r="F1824" s="30"/>
      <c r="G1824" s="30"/>
      <c r="H1824" s="30"/>
      <c r="I1824" s="30"/>
      <c r="J1824" s="30"/>
      <c r="K1824" s="30"/>
      <c r="L1824" s="30"/>
      <c r="M1824" s="30"/>
      <c r="N1824" s="30"/>
      <c r="O1824" s="30"/>
      <c r="P1824" s="30"/>
      <c r="Q1824" s="30"/>
      <c r="R1824" s="30"/>
      <c r="S1824" s="30"/>
      <c r="T1824" s="30"/>
      <c r="U1824" s="30"/>
      <c r="V1824" s="30"/>
      <c r="W1824" s="30"/>
      <c r="X1824" s="30"/>
      <c r="Y1824" s="30"/>
      <c r="Z1824" s="30"/>
      <c r="AA1824" s="30"/>
    </row>
    <row r="1825">
      <c r="A1825" s="29">
        <v>1573637.0</v>
      </c>
      <c r="B1825" s="29">
        <v>1574296.0</v>
      </c>
      <c r="C1825" s="30" t="str">
        <f t="shared" si="1"/>
        <v>+</v>
      </c>
      <c r="D1825" s="29">
        <f t="shared" si="2"/>
        <v>608</v>
      </c>
      <c r="E1825" s="30"/>
      <c r="F1825" s="30"/>
      <c r="G1825" s="30"/>
      <c r="H1825" s="30"/>
      <c r="I1825" s="30"/>
      <c r="J1825" s="30"/>
      <c r="K1825" s="30"/>
      <c r="L1825" s="30"/>
      <c r="M1825" s="30"/>
      <c r="N1825" s="30"/>
      <c r="O1825" s="30"/>
      <c r="P1825" s="30"/>
      <c r="Q1825" s="30"/>
      <c r="R1825" s="30"/>
      <c r="S1825" s="30"/>
      <c r="T1825" s="30"/>
      <c r="U1825" s="30"/>
      <c r="V1825" s="30"/>
      <c r="W1825" s="30"/>
      <c r="X1825" s="30"/>
      <c r="Y1825" s="30"/>
      <c r="Z1825" s="30"/>
      <c r="AA1825" s="30"/>
    </row>
    <row r="1826">
      <c r="A1826" s="29">
        <v>1574286.0</v>
      </c>
      <c r="B1826" s="29">
        <v>1575032.0</v>
      </c>
      <c r="C1826" s="30" t="str">
        <f t="shared" si="1"/>
        <v>+</v>
      </c>
      <c r="D1826" s="29">
        <f t="shared" si="2"/>
        <v>608</v>
      </c>
      <c r="E1826" s="30"/>
      <c r="F1826" s="30"/>
      <c r="G1826" s="30"/>
      <c r="H1826" s="30"/>
      <c r="I1826" s="30"/>
      <c r="J1826" s="30"/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  <c r="U1826" s="30"/>
      <c r="V1826" s="30"/>
      <c r="W1826" s="30"/>
      <c r="X1826" s="30"/>
      <c r="Y1826" s="30"/>
      <c r="Z1826" s="30"/>
      <c r="AA1826" s="30"/>
    </row>
    <row r="1827">
      <c r="A1827" s="29">
        <v>1575029.0</v>
      </c>
      <c r="B1827" s="29">
        <v>1575382.0</v>
      </c>
      <c r="C1827" s="30" t="str">
        <f t="shared" si="1"/>
        <v>+</v>
      </c>
      <c r="D1827" s="29">
        <f t="shared" si="2"/>
        <v>608</v>
      </c>
      <c r="E1827" s="30"/>
      <c r="F1827" s="30"/>
      <c r="G1827" s="30"/>
      <c r="H1827" s="30"/>
      <c r="I1827" s="30"/>
      <c r="J1827" s="30"/>
      <c r="K1827" s="30"/>
      <c r="L1827" s="30"/>
      <c r="M1827" s="30"/>
      <c r="N1827" s="30"/>
      <c r="O1827" s="30"/>
      <c r="P1827" s="30"/>
      <c r="Q1827" s="30"/>
      <c r="R1827" s="30"/>
      <c r="S1827" s="30"/>
      <c r="T1827" s="30"/>
      <c r="U1827" s="30"/>
      <c r="V1827" s="30"/>
      <c r="W1827" s="30"/>
      <c r="X1827" s="30"/>
      <c r="Y1827" s="30"/>
      <c r="Z1827" s="30"/>
      <c r="AA1827" s="30"/>
    </row>
    <row r="1828">
      <c r="A1828" s="29">
        <v>1575407.0</v>
      </c>
      <c r="B1828" s="29">
        <v>1576525.0</v>
      </c>
      <c r="C1828" s="30" t="str">
        <f t="shared" si="1"/>
        <v>+</v>
      </c>
      <c r="D1828" s="29">
        <f t="shared" si="2"/>
        <v>608</v>
      </c>
      <c r="E1828" s="30"/>
      <c r="F1828" s="30"/>
      <c r="G1828" s="30"/>
      <c r="H1828" s="30"/>
      <c r="I1828" s="30"/>
      <c r="J1828" s="30"/>
      <c r="K1828" s="30"/>
      <c r="L1828" s="30"/>
      <c r="M1828" s="30"/>
      <c r="N1828" s="30"/>
      <c r="O1828" s="30"/>
      <c r="P1828" s="30"/>
      <c r="Q1828" s="30"/>
      <c r="R1828" s="30"/>
      <c r="S1828" s="30"/>
      <c r="T1828" s="30"/>
      <c r="U1828" s="30"/>
      <c r="V1828" s="30"/>
      <c r="W1828" s="30"/>
      <c r="X1828" s="30"/>
      <c r="Y1828" s="30"/>
      <c r="Z1828" s="30"/>
      <c r="AA1828" s="30"/>
    </row>
    <row r="1829">
      <c r="A1829" s="29">
        <v>1576533.0</v>
      </c>
      <c r="B1829" s="29">
        <v>1577501.0</v>
      </c>
      <c r="C1829" s="30" t="str">
        <f t="shared" si="1"/>
        <v>+</v>
      </c>
      <c r="D1829" s="29">
        <f t="shared" si="2"/>
        <v>608</v>
      </c>
      <c r="E1829" s="30"/>
      <c r="F1829" s="30"/>
      <c r="G1829" s="30"/>
      <c r="H1829" s="30"/>
      <c r="I1829" s="30"/>
      <c r="J1829" s="30"/>
      <c r="K1829" s="30"/>
      <c r="L1829" s="30"/>
      <c r="M1829" s="30"/>
      <c r="N1829" s="30"/>
      <c r="O1829" s="30"/>
      <c r="P1829" s="30"/>
      <c r="Q1829" s="30"/>
      <c r="R1829" s="30"/>
      <c r="S1829" s="30"/>
      <c r="T1829" s="30"/>
      <c r="U1829" s="30"/>
      <c r="V1829" s="30"/>
      <c r="W1829" s="30"/>
      <c r="X1829" s="30"/>
      <c r="Y1829" s="30"/>
      <c r="Z1829" s="30"/>
      <c r="AA1829" s="30"/>
    </row>
    <row r="1830">
      <c r="A1830" s="29">
        <v>1577545.0</v>
      </c>
      <c r="B1830" s="29">
        <v>1578276.0</v>
      </c>
      <c r="C1830" s="30" t="str">
        <f t="shared" si="1"/>
        <v>+</v>
      </c>
      <c r="D1830" s="29">
        <f t="shared" si="2"/>
        <v>608</v>
      </c>
      <c r="E1830" s="30"/>
      <c r="F1830" s="30"/>
      <c r="G1830" s="30"/>
      <c r="H1830" s="30"/>
      <c r="I1830" s="30"/>
      <c r="J1830" s="30"/>
      <c r="K1830" s="30"/>
      <c r="L1830" s="30"/>
      <c r="M1830" s="30"/>
      <c r="N1830" s="30"/>
      <c r="O1830" s="30"/>
      <c r="P1830" s="30"/>
      <c r="Q1830" s="30"/>
      <c r="R1830" s="30"/>
      <c r="S1830" s="30"/>
      <c r="T1830" s="30"/>
      <c r="U1830" s="30"/>
      <c r="V1830" s="30"/>
      <c r="W1830" s="30"/>
      <c r="X1830" s="30"/>
      <c r="Y1830" s="30"/>
      <c r="Z1830" s="30"/>
      <c r="AA1830" s="30"/>
    </row>
    <row r="1831">
      <c r="A1831" s="29">
        <v>1579162.0</v>
      </c>
      <c r="B1831" s="29">
        <v>1578479.0</v>
      </c>
      <c r="C1831" s="30" t="str">
        <f t="shared" si="1"/>
        <v>-</v>
      </c>
      <c r="D1831" s="29">
        <f t="shared" si="2"/>
        <v>609</v>
      </c>
      <c r="E1831" s="30"/>
      <c r="F1831" s="30"/>
      <c r="G1831" s="30"/>
      <c r="H1831" s="30"/>
      <c r="I1831" s="30"/>
      <c r="J1831" s="30"/>
      <c r="K1831" s="30"/>
      <c r="L1831" s="30"/>
      <c r="M1831" s="30"/>
      <c r="N1831" s="30"/>
      <c r="O1831" s="30"/>
      <c r="P1831" s="30"/>
      <c r="Q1831" s="30"/>
      <c r="R1831" s="30"/>
      <c r="S1831" s="30"/>
      <c r="T1831" s="30"/>
      <c r="U1831" s="30"/>
      <c r="V1831" s="30"/>
      <c r="W1831" s="30"/>
      <c r="X1831" s="30"/>
      <c r="Y1831" s="30"/>
      <c r="Z1831" s="30"/>
      <c r="AA1831" s="30"/>
    </row>
    <row r="1832">
      <c r="A1832" s="29">
        <v>1579951.0</v>
      </c>
      <c r="B1832" s="29">
        <v>1579268.0</v>
      </c>
      <c r="C1832" s="30" t="str">
        <f t="shared" si="1"/>
        <v>-</v>
      </c>
      <c r="D1832" s="29">
        <f t="shared" si="2"/>
        <v>609</v>
      </c>
      <c r="E1832" s="30"/>
      <c r="F1832" s="30"/>
      <c r="G1832" s="30"/>
      <c r="H1832" s="30"/>
      <c r="I1832" s="30"/>
      <c r="J1832" s="30"/>
      <c r="K1832" s="30"/>
      <c r="L1832" s="30"/>
      <c r="M1832" s="30"/>
      <c r="N1832" s="30"/>
      <c r="O1832" s="30"/>
      <c r="P1832" s="30"/>
      <c r="Q1832" s="30"/>
      <c r="R1832" s="30"/>
      <c r="S1832" s="30"/>
      <c r="T1832" s="30"/>
      <c r="U1832" s="30"/>
      <c r="V1832" s="30"/>
      <c r="W1832" s="30"/>
      <c r="X1832" s="30"/>
      <c r="Y1832" s="30"/>
      <c r="Z1832" s="30"/>
      <c r="AA1832" s="30"/>
    </row>
    <row r="1833">
      <c r="A1833" s="29">
        <v>1580060.0</v>
      </c>
      <c r="B1833" s="29">
        <v>1580791.0</v>
      </c>
      <c r="C1833" s="30" t="str">
        <f t="shared" si="1"/>
        <v>+</v>
      </c>
      <c r="D1833" s="29">
        <f t="shared" si="2"/>
        <v>610</v>
      </c>
      <c r="E1833" s="30"/>
      <c r="F1833" s="30"/>
      <c r="G1833" s="30"/>
      <c r="H1833" s="30"/>
      <c r="I1833" s="30"/>
      <c r="J1833" s="30"/>
      <c r="K1833" s="30"/>
      <c r="L1833" s="30"/>
      <c r="M1833" s="30"/>
      <c r="N1833" s="30"/>
      <c r="O1833" s="30"/>
      <c r="P1833" s="30"/>
      <c r="Q1833" s="30"/>
      <c r="R1833" s="30"/>
      <c r="S1833" s="30"/>
      <c r="T1833" s="30"/>
      <c r="U1833" s="30"/>
      <c r="V1833" s="30"/>
      <c r="W1833" s="30"/>
      <c r="X1833" s="30"/>
      <c r="Y1833" s="30"/>
      <c r="Z1833" s="30"/>
      <c r="AA1833" s="30"/>
    </row>
    <row r="1834">
      <c r="A1834" s="29">
        <v>1580823.0</v>
      </c>
      <c r="B1834" s="29">
        <v>1581350.0</v>
      </c>
      <c r="C1834" s="30" t="str">
        <f t="shared" si="1"/>
        <v>+</v>
      </c>
      <c r="D1834" s="29">
        <f t="shared" si="2"/>
        <v>610</v>
      </c>
      <c r="E1834" s="30"/>
      <c r="F1834" s="30"/>
      <c r="G1834" s="30"/>
      <c r="H1834" s="30"/>
      <c r="I1834" s="30"/>
      <c r="J1834" s="30"/>
      <c r="K1834" s="30"/>
      <c r="L1834" s="30"/>
      <c r="M1834" s="30"/>
      <c r="N1834" s="30"/>
      <c r="O1834" s="30"/>
      <c r="P1834" s="30"/>
      <c r="Q1834" s="30"/>
      <c r="R1834" s="30"/>
      <c r="S1834" s="30"/>
      <c r="T1834" s="30"/>
      <c r="U1834" s="30"/>
      <c r="V1834" s="30"/>
      <c r="W1834" s="30"/>
      <c r="X1834" s="30"/>
      <c r="Y1834" s="30"/>
      <c r="Z1834" s="30"/>
      <c r="AA1834" s="30"/>
    </row>
    <row r="1835">
      <c r="A1835" s="29">
        <v>1581939.0</v>
      </c>
      <c r="B1835" s="29">
        <v>1581472.0</v>
      </c>
      <c r="C1835" s="30" t="str">
        <f t="shared" si="1"/>
        <v>-</v>
      </c>
      <c r="D1835" s="29">
        <f t="shared" si="2"/>
        <v>611</v>
      </c>
      <c r="E1835" s="30"/>
      <c r="F1835" s="30"/>
      <c r="G1835" s="30"/>
      <c r="H1835" s="30"/>
      <c r="I1835" s="30"/>
      <c r="J1835" s="30"/>
      <c r="K1835" s="30"/>
      <c r="L1835" s="30"/>
      <c r="M1835" s="30"/>
      <c r="N1835" s="30"/>
      <c r="O1835" s="30"/>
      <c r="P1835" s="30"/>
      <c r="Q1835" s="30"/>
      <c r="R1835" s="30"/>
      <c r="S1835" s="30"/>
      <c r="T1835" s="30"/>
      <c r="U1835" s="30"/>
      <c r="V1835" s="30"/>
      <c r="W1835" s="30"/>
      <c r="X1835" s="30"/>
      <c r="Y1835" s="30"/>
      <c r="Z1835" s="30"/>
      <c r="AA1835" s="30"/>
    </row>
    <row r="1836">
      <c r="A1836" s="29">
        <v>1582117.0</v>
      </c>
      <c r="B1836" s="29">
        <v>1582587.0</v>
      </c>
      <c r="C1836" s="30" t="str">
        <f t="shared" si="1"/>
        <v>+</v>
      </c>
      <c r="D1836" s="29">
        <f t="shared" si="2"/>
        <v>612</v>
      </c>
      <c r="E1836" s="30"/>
      <c r="F1836" s="30"/>
      <c r="G1836" s="30"/>
      <c r="H1836" s="30"/>
      <c r="I1836" s="30"/>
      <c r="J1836" s="30"/>
      <c r="K1836" s="30"/>
      <c r="L1836" s="30"/>
      <c r="M1836" s="30"/>
      <c r="N1836" s="30"/>
      <c r="O1836" s="30"/>
      <c r="P1836" s="30"/>
      <c r="Q1836" s="30"/>
      <c r="R1836" s="30"/>
      <c r="S1836" s="30"/>
      <c r="T1836" s="30"/>
      <c r="U1836" s="30"/>
      <c r="V1836" s="30"/>
      <c r="W1836" s="30"/>
      <c r="X1836" s="30"/>
      <c r="Y1836" s="30"/>
      <c r="Z1836" s="30"/>
      <c r="AA1836" s="30"/>
    </row>
    <row r="1837">
      <c r="A1837" s="29">
        <v>1585073.0</v>
      </c>
      <c r="B1837" s="29">
        <v>1582704.0</v>
      </c>
      <c r="C1837" s="30" t="str">
        <f t="shared" si="1"/>
        <v>-</v>
      </c>
      <c r="D1837" s="29">
        <f t="shared" si="2"/>
        <v>613</v>
      </c>
      <c r="E1837" s="30"/>
      <c r="F1837" s="30"/>
      <c r="G1837" s="30"/>
      <c r="H1837" s="30"/>
      <c r="I1837" s="30"/>
      <c r="J1837" s="30"/>
      <c r="K1837" s="30"/>
      <c r="L1837" s="30"/>
      <c r="M1837" s="30"/>
      <c r="N1837" s="30"/>
      <c r="O1837" s="30"/>
      <c r="P1837" s="30"/>
      <c r="Q1837" s="30"/>
      <c r="R1837" s="30"/>
      <c r="S1837" s="30"/>
      <c r="T1837" s="30"/>
      <c r="U1837" s="30"/>
      <c r="V1837" s="30"/>
      <c r="W1837" s="30"/>
      <c r="X1837" s="30"/>
      <c r="Y1837" s="30"/>
      <c r="Z1837" s="30"/>
      <c r="AA1837" s="30"/>
    </row>
    <row r="1838">
      <c r="A1838" s="29">
        <v>1586200.0</v>
      </c>
      <c r="B1838" s="29">
        <v>1585163.0</v>
      </c>
      <c r="C1838" s="30" t="str">
        <f t="shared" si="1"/>
        <v>-</v>
      </c>
      <c r="D1838" s="29">
        <f t="shared" si="2"/>
        <v>613</v>
      </c>
      <c r="E1838" s="30"/>
      <c r="F1838" s="30"/>
      <c r="G1838" s="30"/>
      <c r="H1838" s="30"/>
      <c r="I1838" s="30"/>
      <c r="J1838" s="30"/>
      <c r="K1838" s="30"/>
      <c r="L1838" s="30"/>
      <c r="M1838" s="30"/>
      <c r="N1838" s="30"/>
      <c r="O1838" s="30"/>
      <c r="P1838" s="30"/>
      <c r="Q1838" s="30"/>
      <c r="R1838" s="30"/>
      <c r="S1838" s="30"/>
      <c r="T1838" s="30"/>
      <c r="U1838" s="30"/>
      <c r="V1838" s="30"/>
      <c r="W1838" s="30"/>
      <c r="X1838" s="30"/>
      <c r="Y1838" s="30"/>
      <c r="Z1838" s="30"/>
      <c r="AA1838" s="30"/>
    </row>
    <row r="1839">
      <c r="A1839" s="29">
        <v>1586691.0</v>
      </c>
      <c r="B1839" s="29">
        <v>1586182.0</v>
      </c>
      <c r="C1839" s="30" t="str">
        <f t="shared" si="1"/>
        <v>-</v>
      </c>
      <c r="D1839" s="29">
        <f t="shared" si="2"/>
        <v>613</v>
      </c>
      <c r="E1839" s="30"/>
      <c r="F1839" s="30"/>
      <c r="G1839" s="30"/>
      <c r="H1839" s="30"/>
      <c r="I1839" s="30"/>
      <c r="J1839" s="30"/>
      <c r="K1839" s="30"/>
      <c r="L1839" s="30"/>
      <c r="M1839" s="30"/>
      <c r="N1839" s="30"/>
      <c r="O1839" s="30"/>
      <c r="P1839" s="30"/>
      <c r="Q1839" s="30"/>
      <c r="R1839" s="30"/>
      <c r="S1839" s="30"/>
      <c r="T1839" s="30"/>
      <c r="U1839" s="30"/>
      <c r="V1839" s="30"/>
      <c r="W1839" s="30"/>
      <c r="X1839" s="30"/>
      <c r="Y1839" s="30"/>
      <c r="Z1839" s="30"/>
      <c r="AA1839" s="30"/>
    </row>
    <row r="1840">
      <c r="A1840" s="29">
        <v>1587437.0</v>
      </c>
      <c r="B1840" s="29">
        <v>1586973.0</v>
      </c>
      <c r="C1840" s="30" t="str">
        <f t="shared" si="1"/>
        <v>-</v>
      </c>
      <c r="D1840" s="29">
        <f t="shared" si="2"/>
        <v>613</v>
      </c>
      <c r="E1840" s="30"/>
      <c r="F1840" s="30"/>
      <c r="G1840" s="30"/>
      <c r="H1840" s="30"/>
      <c r="I1840" s="30"/>
      <c r="J1840" s="30"/>
      <c r="K1840" s="30"/>
      <c r="L1840" s="30"/>
      <c r="M1840" s="30"/>
      <c r="N1840" s="30"/>
      <c r="O1840" s="30"/>
      <c r="P1840" s="30"/>
      <c r="Q1840" s="30"/>
      <c r="R1840" s="30"/>
      <c r="S1840" s="30"/>
      <c r="T1840" s="30"/>
      <c r="U1840" s="30"/>
      <c r="V1840" s="30"/>
      <c r="W1840" s="30"/>
      <c r="X1840" s="30"/>
      <c r="Y1840" s="30"/>
      <c r="Z1840" s="30"/>
      <c r="AA1840" s="30"/>
    </row>
    <row r="1841">
      <c r="A1841" s="29">
        <v>1587477.0</v>
      </c>
      <c r="B1841" s="29">
        <v>1588253.0</v>
      </c>
      <c r="C1841" s="30" t="str">
        <f t="shared" si="1"/>
        <v>+</v>
      </c>
      <c r="D1841" s="29">
        <f t="shared" si="2"/>
        <v>614</v>
      </c>
      <c r="E1841" s="30"/>
      <c r="F1841" s="30"/>
      <c r="G1841" s="30"/>
      <c r="H1841" s="30"/>
      <c r="I1841" s="30"/>
      <c r="J1841" s="30"/>
      <c r="K1841" s="30"/>
      <c r="L1841" s="30"/>
      <c r="M1841" s="30"/>
      <c r="N1841" s="30"/>
      <c r="O1841" s="30"/>
      <c r="P1841" s="30"/>
      <c r="Q1841" s="30"/>
      <c r="R1841" s="30"/>
      <c r="S1841" s="30"/>
      <c r="T1841" s="30"/>
      <c r="U1841" s="30"/>
      <c r="V1841" s="30"/>
      <c r="W1841" s="30"/>
      <c r="X1841" s="30"/>
      <c r="Y1841" s="30"/>
      <c r="Z1841" s="30"/>
      <c r="AA1841" s="30"/>
    </row>
    <row r="1842">
      <c r="A1842" s="29">
        <v>1588654.0</v>
      </c>
      <c r="B1842" s="29">
        <v>1589640.0</v>
      </c>
      <c r="C1842" s="30" t="str">
        <f t="shared" si="1"/>
        <v>+</v>
      </c>
      <c r="D1842" s="29">
        <f t="shared" si="2"/>
        <v>614</v>
      </c>
      <c r="E1842" s="30"/>
      <c r="F1842" s="30"/>
      <c r="G1842" s="30"/>
      <c r="H1842" s="30"/>
      <c r="I1842" s="30"/>
      <c r="J1842" s="30"/>
      <c r="K1842" s="30"/>
      <c r="L1842" s="30"/>
      <c r="M1842" s="30"/>
      <c r="N1842" s="30"/>
      <c r="O1842" s="30"/>
      <c r="P1842" s="30"/>
      <c r="Q1842" s="30"/>
      <c r="R1842" s="30"/>
      <c r="S1842" s="30"/>
      <c r="T1842" s="30"/>
      <c r="U1842" s="30"/>
      <c r="V1842" s="30"/>
      <c r="W1842" s="30"/>
      <c r="X1842" s="30"/>
      <c r="Y1842" s="30"/>
      <c r="Z1842" s="30"/>
      <c r="AA1842" s="30"/>
    </row>
    <row r="1843">
      <c r="A1843" s="29">
        <v>1590950.0</v>
      </c>
      <c r="B1843" s="29">
        <v>1589637.0</v>
      </c>
      <c r="C1843" s="30" t="str">
        <f t="shared" si="1"/>
        <v>-</v>
      </c>
      <c r="D1843" s="29">
        <f t="shared" si="2"/>
        <v>615</v>
      </c>
      <c r="E1843" s="30"/>
      <c r="F1843" s="30"/>
      <c r="G1843" s="30"/>
      <c r="H1843" s="30"/>
      <c r="I1843" s="30"/>
      <c r="J1843" s="30"/>
      <c r="K1843" s="30"/>
      <c r="L1843" s="30"/>
      <c r="M1843" s="30"/>
      <c r="N1843" s="30"/>
      <c r="O1843" s="30"/>
      <c r="P1843" s="30"/>
      <c r="Q1843" s="30"/>
      <c r="R1843" s="30"/>
      <c r="S1843" s="30"/>
      <c r="T1843" s="30"/>
      <c r="U1843" s="30"/>
      <c r="V1843" s="30"/>
      <c r="W1843" s="30"/>
      <c r="X1843" s="30"/>
      <c r="Y1843" s="30"/>
      <c r="Z1843" s="30"/>
      <c r="AA1843" s="30"/>
    </row>
    <row r="1844">
      <c r="A1844" s="29">
        <v>1591676.0</v>
      </c>
      <c r="B1844" s="29">
        <v>1591278.0</v>
      </c>
      <c r="C1844" s="30" t="str">
        <f t="shared" si="1"/>
        <v>-</v>
      </c>
      <c r="D1844" s="29">
        <f t="shared" si="2"/>
        <v>615</v>
      </c>
      <c r="E1844" s="30"/>
      <c r="F1844" s="30"/>
      <c r="G1844" s="30"/>
      <c r="H1844" s="30"/>
      <c r="I1844" s="30"/>
      <c r="J1844" s="30"/>
      <c r="K1844" s="30"/>
      <c r="L1844" s="30"/>
      <c r="M1844" s="30"/>
      <c r="N1844" s="30"/>
      <c r="O1844" s="30"/>
      <c r="P1844" s="30"/>
      <c r="Q1844" s="30"/>
      <c r="R1844" s="30"/>
      <c r="S1844" s="30"/>
      <c r="T1844" s="30"/>
      <c r="U1844" s="30"/>
      <c r="V1844" s="30"/>
      <c r="W1844" s="30"/>
      <c r="X1844" s="30"/>
      <c r="Y1844" s="30"/>
      <c r="Z1844" s="30"/>
      <c r="AA1844" s="30"/>
    </row>
    <row r="1845">
      <c r="A1845" s="29">
        <v>1591917.0</v>
      </c>
      <c r="B1845" s="29">
        <v>1591663.0</v>
      </c>
      <c r="C1845" s="30" t="str">
        <f t="shared" si="1"/>
        <v>-</v>
      </c>
      <c r="D1845" s="29">
        <f t="shared" si="2"/>
        <v>615</v>
      </c>
      <c r="E1845" s="30"/>
      <c r="F1845" s="30"/>
      <c r="G1845" s="30"/>
      <c r="H1845" s="30"/>
      <c r="I1845" s="30"/>
      <c r="J1845" s="30"/>
      <c r="K1845" s="30"/>
      <c r="L1845" s="30"/>
      <c r="M1845" s="30"/>
      <c r="N1845" s="30"/>
      <c r="O1845" s="30"/>
      <c r="P1845" s="30"/>
      <c r="Q1845" s="30"/>
      <c r="R1845" s="30"/>
      <c r="S1845" s="30"/>
      <c r="T1845" s="30"/>
      <c r="U1845" s="30"/>
      <c r="V1845" s="30"/>
      <c r="W1845" s="30"/>
      <c r="X1845" s="30"/>
      <c r="Y1845" s="30"/>
      <c r="Z1845" s="30"/>
      <c r="AA1845" s="30"/>
    </row>
    <row r="1846">
      <c r="A1846" s="29">
        <v>1592729.0</v>
      </c>
      <c r="B1846" s="29">
        <v>1592202.0</v>
      </c>
      <c r="C1846" s="30" t="str">
        <f t="shared" si="1"/>
        <v>-</v>
      </c>
      <c r="D1846" s="29">
        <f t="shared" si="2"/>
        <v>615</v>
      </c>
      <c r="E1846" s="30"/>
      <c r="F1846" s="30"/>
      <c r="G1846" s="30"/>
      <c r="H1846" s="30"/>
      <c r="I1846" s="30"/>
      <c r="J1846" s="30"/>
      <c r="K1846" s="30"/>
      <c r="L1846" s="30"/>
      <c r="M1846" s="30"/>
      <c r="N1846" s="30"/>
      <c r="O1846" s="30"/>
      <c r="P1846" s="30"/>
      <c r="Q1846" s="30"/>
      <c r="R1846" s="30"/>
      <c r="S1846" s="30"/>
      <c r="T1846" s="30"/>
      <c r="U1846" s="30"/>
      <c r="V1846" s="30"/>
      <c r="W1846" s="30"/>
      <c r="X1846" s="30"/>
      <c r="Y1846" s="30"/>
      <c r="Z1846" s="30"/>
      <c r="AA1846" s="30"/>
    </row>
    <row r="1847">
      <c r="A1847" s="29">
        <v>1594431.0</v>
      </c>
      <c r="B1847" s="29">
        <v>1592923.0</v>
      </c>
      <c r="C1847" s="30" t="str">
        <f t="shared" si="1"/>
        <v>-</v>
      </c>
      <c r="D1847" s="29">
        <f t="shared" si="2"/>
        <v>615</v>
      </c>
      <c r="E1847" s="30"/>
      <c r="F1847" s="30"/>
      <c r="G1847" s="30"/>
      <c r="H1847" s="30"/>
      <c r="I1847" s="30"/>
      <c r="J1847" s="30"/>
      <c r="K1847" s="30"/>
      <c r="L1847" s="30"/>
      <c r="M1847" s="30"/>
      <c r="N1847" s="30"/>
      <c r="O1847" s="30"/>
      <c r="P1847" s="30"/>
      <c r="Q1847" s="30"/>
      <c r="R1847" s="30"/>
      <c r="S1847" s="30"/>
      <c r="T1847" s="30"/>
      <c r="U1847" s="30"/>
      <c r="V1847" s="30"/>
      <c r="W1847" s="30"/>
      <c r="X1847" s="30"/>
      <c r="Y1847" s="30"/>
      <c r="Z1847" s="30"/>
      <c r="AA1847" s="30"/>
    </row>
    <row r="1848">
      <c r="A1848" s="29">
        <v>1594797.0</v>
      </c>
      <c r="B1848" s="29">
        <v>1595093.0</v>
      </c>
      <c r="C1848" s="30" t="str">
        <f t="shared" si="1"/>
        <v>+</v>
      </c>
      <c r="D1848" s="29">
        <f t="shared" si="2"/>
        <v>616</v>
      </c>
      <c r="E1848" s="30"/>
      <c r="F1848" s="30"/>
      <c r="G1848" s="30"/>
      <c r="H1848" s="30"/>
      <c r="I1848" s="30"/>
      <c r="J1848" s="30"/>
      <c r="K1848" s="30"/>
      <c r="L1848" s="30"/>
      <c r="M1848" s="30"/>
      <c r="N1848" s="30"/>
      <c r="O1848" s="30"/>
      <c r="P1848" s="30"/>
      <c r="Q1848" s="30"/>
      <c r="R1848" s="30"/>
      <c r="S1848" s="30"/>
      <c r="T1848" s="30"/>
      <c r="U1848" s="30"/>
      <c r="V1848" s="30"/>
      <c r="W1848" s="30"/>
      <c r="X1848" s="30"/>
      <c r="Y1848" s="30"/>
      <c r="Z1848" s="30"/>
      <c r="AA1848" s="30"/>
    </row>
    <row r="1849">
      <c r="A1849" s="29">
        <v>1595288.0</v>
      </c>
      <c r="B1849" s="29">
        <v>1596370.0</v>
      </c>
      <c r="C1849" s="30" t="str">
        <f t="shared" si="1"/>
        <v>+</v>
      </c>
      <c r="D1849" s="29">
        <f t="shared" si="2"/>
        <v>616</v>
      </c>
      <c r="E1849" s="30"/>
      <c r="F1849" s="30"/>
      <c r="G1849" s="30"/>
      <c r="H1849" s="30"/>
      <c r="I1849" s="30"/>
      <c r="J1849" s="30"/>
      <c r="K1849" s="30"/>
      <c r="L1849" s="30"/>
      <c r="M1849" s="30"/>
      <c r="N1849" s="30"/>
      <c r="O1849" s="30"/>
      <c r="P1849" s="30"/>
      <c r="Q1849" s="30"/>
      <c r="R1849" s="30"/>
      <c r="S1849" s="30"/>
      <c r="T1849" s="30"/>
      <c r="U1849" s="30"/>
      <c r="V1849" s="30"/>
      <c r="W1849" s="30"/>
      <c r="X1849" s="30"/>
      <c r="Y1849" s="30"/>
      <c r="Z1849" s="30"/>
      <c r="AA1849" s="30"/>
    </row>
    <row r="1850">
      <c r="A1850" s="29">
        <v>1596576.0</v>
      </c>
      <c r="B1850" s="29">
        <v>1597268.0</v>
      </c>
      <c r="C1850" s="30" t="str">
        <f t="shared" si="1"/>
        <v>+</v>
      </c>
      <c r="D1850" s="29">
        <f t="shared" si="2"/>
        <v>616</v>
      </c>
      <c r="E1850" s="30"/>
      <c r="F1850" s="30"/>
      <c r="G1850" s="30"/>
      <c r="H1850" s="30"/>
      <c r="I1850" s="30"/>
      <c r="J1850" s="30"/>
      <c r="K1850" s="30"/>
      <c r="L1850" s="30"/>
      <c r="M1850" s="30"/>
      <c r="N1850" s="30"/>
      <c r="O1850" s="30"/>
      <c r="P1850" s="30"/>
      <c r="Q1850" s="30"/>
      <c r="R1850" s="30"/>
      <c r="S1850" s="30"/>
      <c r="T1850" s="30"/>
      <c r="U1850" s="30"/>
      <c r="V1850" s="30"/>
      <c r="W1850" s="30"/>
      <c r="X1850" s="30"/>
      <c r="Y1850" s="30"/>
      <c r="Z1850" s="30"/>
      <c r="AA1850" s="30"/>
    </row>
    <row r="1851">
      <c r="A1851" s="29">
        <v>1597639.0</v>
      </c>
      <c r="B1851" s="29">
        <v>1597893.0</v>
      </c>
      <c r="C1851" s="30" t="str">
        <f t="shared" si="1"/>
        <v>+</v>
      </c>
      <c r="D1851" s="29">
        <f t="shared" si="2"/>
        <v>616</v>
      </c>
      <c r="E1851" s="30"/>
      <c r="F1851" s="30"/>
      <c r="G1851" s="30"/>
      <c r="H1851" s="30"/>
      <c r="I1851" s="30"/>
      <c r="J1851" s="30"/>
      <c r="K1851" s="30"/>
      <c r="L1851" s="30"/>
      <c r="M1851" s="30"/>
      <c r="N1851" s="30"/>
      <c r="O1851" s="30"/>
      <c r="P1851" s="30"/>
      <c r="Q1851" s="30"/>
      <c r="R1851" s="30"/>
      <c r="S1851" s="30"/>
      <c r="T1851" s="30"/>
      <c r="U1851" s="30"/>
      <c r="V1851" s="30"/>
      <c r="W1851" s="30"/>
      <c r="X1851" s="30"/>
      <c r="Y1851" s="30"/>
      <c r="Z1851" s="30"/>
      <c r="AA1851" s="30"/>
    </row>
    <row r="1852">
      <c r="A1852" s="29">
        <v>1597959.0</v>
      </c>
      <c r="B1852" s="29">
        <v>1598501.0</v>
      </c>
      <c r="C1852" s="30" t="str">
        <f t="shared" si="1"/>
        <v>+</v>
      </c>
      <c r="D1852" s="29">
        <f t="shared" si="2"/>
        <v>616</v>
      </c>
      <c r="E1852" s="30"/>
      <c r="F1852" s="30"/>
      <c r="G1852" s="30"/>
      <c r="H1852" s="30"/>
      <c r="I1852" s="30"/>
      <c r="J1852" s="30"/>
      <c r="K1852" s="30"/>
      <c r="L1852" s="30"/>
      <c r="M1852" s="30"/>
      <c r="N1852" s="30"/>
      <c r="O1852" s="30"/>
      <c r="P1852" s="30"/>
      <c r="Q1852" s="30"/>
      <c r="R1852" s="30"/>
      <c r="S1852" s="30"/>
      <c r="T1852" s="30"/>
      <c r="U1852" s="30"/>
      <c r="V1852" s="30"/>
      <c r="W1852" s="30"/>
      <c r="X1852" s="30"/>
      <c r="Y1852" s="30"/>
      <c r="Z1852" s="30"/>
      <c r="AA1852" s="30"/>
    </row>
    <row r="1853">
      <c r="A1853" s="29">
        <v>1598486.0</v>
      </c>
      <c r="B1853" s="29">
        <v>1599016.0</v>
      </c>
      <c r="C1853" s="30" t="str">
        <f t="shared" si="1"/>
        <v>+</v>
      </c>
      <c r="D1853" s="29">
        <f t="shared" si="2"/>
        <v>616</v>
      </c>
      <c r="E1853" s="30"/>
      <c r="F1853" s="30"/>
      <c r="G1853" s="30"/>
      <c r="H1853" s="30"/>
      <c r="I1853" s="30"/>
      <c r="J1853" s="30"/>
      <c r="K1853" s="30"/>
      <c r="L1853" s="30"/>
      <c r="M1853" s="30"/>
      <c r="N1853" s="30"/>
      <c r="O1853" s="30"/>
      <c r="P1853" s="30"/>
      <c r="Q1853" s="30"/>
      <c r="R1853" s="30"/>
      <c r="S1853" s="30"/>
      <c r="T1853" s="30"/>
      <c r="U1853" s="30"/>
      <c r="V1853" s="30"/>
      <c r="W1853" s="30"/>
      <c r="X1853" s="30"/>
      <c r="Y1853" s="30"/>
      <c r="Z1853" s="30"/>
      <c r="AA1853" s="30"/>
    </row>
    <row r="1854">
      <c r="A1854" s="29">
        <v>1600745.0</v>
      </c>
      <c r="B1854" s="29">
        <v>1599612.0</v>
      </c>
      <c r="C1854" s="30" t="str">
        <f t="shared" si="1"/>
        <v>-</v>
      </c>
      <c r="D1854" s="29">
        <f t="shared" si="2"/>
        <v>617</v>
      </c>
      <c r="E1854" s="30"/>
      <c r="F1854" s="30"/>
      <c r="G1854" s="30"/>
      <c r="H1854" s="30"/>
      <c r="I1854" s="30"/>
      <c r="J1854" s="30"/>
      <c r="K1854" s="30"/>
      <c r="L1854" s="30"/>
      <c r="M1854" s="30"/>
      <c r="N1854" s="30"/>
      <c r="O1854" s="30"/>
      <c r="P1854" s="30"/>
      <c r="Q1854" s="30"/>
      <c r="R1854" s="30"/>
      <c r="S1854" s="30"/>
      <c r="T1854" s="30"/>
      <c r="U1854" s="30"/>
      <c r="V1854" s="30"/>
      <c r="W1854" s="30"/>
      <c r="X1854" s="30"/>
      <c r="Y1854" s="30"/>
      <c r="Z1854" s="30"/>
      <c r="AA1854" s="30"/>
    </row>
    <row r="1855">
      <c r="A1855" s="29">
        <v>1600850.0</v>
      </c>
      <c r="B1855" s="29">
        <v>1603030.0</v>
      </c>
      <c r="C1855" s="30" t="str">
        <f t="shared" si="1"/>
        <v>+</v>
      </c>
      <c r="D1855" s="29">
        <f t="shared" si="2"/>
        <v>618</v>
      </c>
      <c r="E1855" s="30"/>
      <c r="F1855" s="30"/>
      <c r="G1855" s="30"/>
      <c r="H1855" s="30"/>
      <c r="I1855" s="30"/>
      <c r="J1855" s="30"/>
      <c r="K1855" s="30"/>
      <c r="L1855" s="30"/>
      <c r="M1855" s="30"/>
      <c r="N1855" s="30"/>
      <c r="O1855" s="30"/>
      <c r="P1855" s="30"/>
      <c r="Q1855" s="30"/>
      <c r="R1855" s="30"/>
      <c r="S1855" s="30"/>
      <c r="T1855" s="30"/>
      <c r="U1855" s="30"/>
      <c r="V1855" s="30"/>
      <c r="W1855" s="30"/>
      <c r="X1855" s="30"/>
      <c r="Y1855" s="30"/>
      <c r="Z1855" s="30"/>
      <c r="AA1855" s="30"/>
    </row>
    <row r="1856">
      <c r="A1856" s="29">
        <v>1603138.0</v>
      </c>
      <c r="B1856" s="29">
        <v>1603338.0</v>
      </c>
      <c r="C1856" s="30" t="str">
        <f t="shared" si="1"/>
        <v>+</v>
      </c>
      <c r="D1856" s="29">
        <f t="shared" si="2"/>
        <v>618</v>
      </c>
      <c r="E1856" s="30"/>
      <c r="F1856" s="30"/>
      <c r="G1856" s="30"/>
      <c r="H1856" s="30"/>
      <c r="I1856" s="30"/>
      <c r="J1856" s="30"/>
      <c r="K1856" s="30"/>
      <c r="L1856" s="30"/>
      <c r="M1856" s="30"/>
      <c r="N1856" s="30"/>
      <c r="O1856" s="30"/>
      <c r="P1856" s="30"/>
      <c r="Q1856" s="30"/>
      <c r="R1856" s="30"/>
      <c r="S1856" s="30"/>
      <c r="T1856" s="30"/>
      <c r="U1856" s="30"/>
      <c r="V1856" s="30"/>
      <c r="W1856" s="30"/>
      <c r="X1856" s="30"/>
      <c r="Y1856" s="30"/>
      <c r="Z1856" s="30"/>
      <c r="AA1856" s="30"/>
    </row>
    <row r="1857">
      <c r="A1857" s="29">
        <v>1603415.0</v>
      </c>
      <c r="B1857" s="29">
        <v>1603708.0</v>
      </c>
      <c r="C1857" s="30" t="str">
        <f t="shared" si="1"/>
        <v>+</v>
      </c>
      <c r="D1857" s="29">
        <f t="shared" si="2"/>
        <v>618</v>
      </c>
      <c r="E1857" s="30"/>
      <c r="F1857" s="30"/>
      <c r="G1857" s="30"/>
      <c r="H1857" s="30"/>
      <c r="I1857" s="30"/>
      <c r="J1857" s="30"/>
      <c r="K1857" s="30"/>
      <c r="L1857" s="30"/>
      <c r="M1857" s="30"/>
      <c r="N1857" s="30"/>
      <c r="O1857" s="30"/>
      <c r="P1857" s="30"/>
      <c r="Q1857" s="30"/>
      <c r="R1857" s="30"/>
      <c r="S1857" s="30"/>
      <c r="T1857" s="30"/>
      <c r="U1857" s="30"/>
      <c r="V1857" s="30"/>
      <c r="W1857" s="30"/>
      <c r="X1857" s="30"/>
      <c r="Y1857" s="30"/>
      <c r="Z1857" s="30"/>
      <c r="AA1857" s="30"/>
    </row>
    <row r="1858">
      <c r="A1858" s="29">
        <v>1603705.0</v>
      </c>
      <c r="B1858" s="29">
        <v>1605060.0</v>
      </c>
      <c r="C1858" s="30" t="str">
        <f t="shared" si="1"/>
        <v>+</v>
      </c>
      <c r="D1858" s="29">
        <f t="shared" si="2"/>
        <v>618</v>
      </c>
      <c r="E1858" s="30"/>
      <c r="F1858" s="30"/>
      <c r="G1858" s="30"/>
      <c r="H1858" s="30"/>
      <c r="I1858" s="30"/>
      <c r="J1858" s="30"/>
      <c r="K1858" s="30"/>
      <c r="L1858" s="30"/>
      <c r="M1858" s="30"/>
      <c r="N1858" s="30"/>
      <c r="O1858" s="30"/>
      <c r="P1858" s="30"/>
      <c r="Q1858" s="30"/>
      <c r="R1858" s="30"/>
      <c r="S1858" s="30"/>
      <c r="T1858" s="30"/>
      <c r="U1858" s="30"/>
      <c r="V1858" s="30"/>
      <c r="W1858" s="30"/>
      <c r="X1858" s="30"/>
      <c r="Y1858" s="30"/>
      <c r="Z1858" s="30"/>
      <c r="AA1858" s="30"/>
    </row>
    <row r="1859">
      <c r="A1859" s="29">
        <v>1605171.0</v>
      </c>
      <c r="B1859" s="29">
        <v>1609052.0</v>
      </c>
      <c r="C1859" s="30" t="str">
        <f t="shared" si="1"/>
        <v>+</v>
      </c>
      <c r="D1859" s="29">
        <f t="shared" si="2"/>
        <v>618</v>
      </c>
      <c r="E1859" s="30"/>
      <c r="F1859" s="30"/>
      <c r="G1859" s="30"/>
      <c r="H1859" s="30"/>
      <c r="I1859" s="30"/>
      <c r="J1859" s="30"/>
      <c r="K1859" s="30"/>
      <c r="L1859" s="30"/>
      <c r="M1859" s="30"/>
      <c r="N1859" s="30"/>
      <c r="O1859" s="30"/>
      <c r="P1859" s="30"/>
      <c r="Q1859" s="30"/>
      <c r="R1859" s="30"/>
      <c r="S1859" s="30"/>
      <c r="T1859" s="30"/>
      <c r="U1859" s="30"/>
      <c r="V1859" s="30"/>
      <c r="W1859" s="30"/>
      <c r="X1859" s="30"/>
      <c r="Y1859" s="30"/>
      <c r="Z1859" s="30"/>
      <c r="AA1859" s="30"/>
    </row>
    <row r="1860">
      <c r="A1860" s="29">
        <v>1609049.0</v>
      </c>
      <c r="B1860" s="29">
        <v>1610470.0</v>
      </c>
      <c r="C1860" s="30" t="str">
        <f t="shared" si="1"/>
        <v>+</v>
      </c>
      <c r="D1860" s="29">
        <f t="shared" si="2"/>
        <v>618</v>
      </c>
      <c r="E1860" s="30"/>
      <c r="F1860" s="30"/>
      <c r="G1860" s="30"/>
      <c r="H1860" s="30"/>
      <c r="I1860" s="30"/>
      <c r="J1860" s="30"/>
      <c r="K1860" s="30"/>
      <c r="L1860" s="30"/>
      <c r="M1860" s="30"/>
      <c r="N1860" s="30"/>
      <c r="O1860" s="30"/>
      <c r="P1860" s="30"/>
      <c r="Q1860" s="30"/>
      <c r="R1860" s="30"/>
      <c r="S1860" s="30"/>
      <c r="T1860" s="30"/>
      <c r="U1860" s="30"/>
      <c r="V1860" s="30"/>
      <c r="W1860" s="30"/>
      <c r="X1860" s="30"/>
      <c r="Y1860" s="30"/>
      <c r="Z1860" s="30"/>
      <c r="AA1860" s="30"/>
    </row>
    <row r="1861">
      <c r="A1861" s="29">
        <v>1610467.0</v>
      </c>
      <c r="B1861" s="29">
        <v>1611399.0</v>
      </c>
      <c r="C1861" s="30" t="str">
        <f t="shared" si="1"/>
        <v>+</v>
      </c>
      <c r="D1861" s="29">
        <f t="shared" si="2"/>
        <v>618</v>
      </c>
      <c r="E1861" s="30"/>
      <c r="F1861" s="30"/>
      <c r="G1861" s="30"/>
      <c r="H1861" s="30"/>
      <c r="I1861" s="30"/>
      <c r="J1861" s="30"/>
      <c r="K1861" s="30"/>
      <c r="L1861" s="30"/>
      <c r="M1861" s="30"/>
      <c r="N1861" s="30"/>
      <c r="O1861" s="30"/>
      <c r="P1861" s="30"/>
      <c r="Q1861" s="30"/>
      <c r="R1861" s="30"/>
      <c r="S1861" s="30"/>
      <c r="T1861" s="30"/>
      <c r="U1861" s="30"/>
      <c r="V1861" s="30"/>
      <c r="W1861" s="30"/>
      <c r="X1861" s="30"/>
      <c r="Y1861" s="30"/>
      <c r="Z1861" s="30"/>
      <c r="AA1861" s="30"/>
    </row>
    <row r="1862">
      <c r="A1862" s="29">
        <v>1611401.0</v>
      </c>
      <c r="B1862" s="29">
        <v>1612093.0</v>
      </c>
      <c r="C1862" s="30" t="str">
        <f t="shared" si="1"/>
        <v>+</v>
      </c>
      <c r="D1862" s="29">
        <f t="shared" si="2"/>
        <v>618</v>
      </c>
      <c r="E1862" s="30"/>
      <c r="F1862" s="30"/>
      <c r="G1862" s="30"/>
      <c r="H1862" s="30"/>
      <c r="I1862" s="30"/>
      <c r="J1862" s="30"/>
      <c r="K1862" s="30"/>
      <c r="L1862" s="30"/>
      <c r="M1862" s="30"/>
      <c r="N1862" s="30"/>
      <c r="O1862" s="30"/>
      <c r="P1862" s="30"/>
      <c r="Q1862" s="30"/>
      <c r="R1862" s="30"/>
      <c r="S1862" s="30"/>
      <c r="T1862" s="30"/>
      <c r="U1862" s="30"/>
      <c r="V1862" s="30"/>
      <c r="W1862" s="30"/>
      <c r="X1862" s="30"/>
      <c r="Y1862" s="30"/>
      <c r="Z1862" s="30"/>
      <c r="AA1862" s="30"/>
    </row>
    <row r="1863">
      <c r="A1863" s="29">
        <v>1612071.0</v>
      </c>
      <c r="B1863" s="29">
        <v>1612889.0</v>
      </c>
      <c r="C1863" s="30" t="str">
        <f t="shared" si="1"/>
        <v>+</v>
      </c>
      <c r="D1863" s="29">
        <f t="shared" si="2"/>
        <v>618</v>
      </c>
      <c r="E1863" s="30"/>
      <c r="F1863" s="30"/>
      <c r="G1863" s="30"/>
      <c r="H1863" s="30"/>
      <c r="I1863" s="30"/>
      <c r="J1863" s="30"/>
      <c r="K1863" s="30"/>
      <c r="L1863" s="30"/>
      <c r="M1863" s="30"/>
      <c r="N1863" s="30"/>
      <c r="O1863" s="30"/>
      <c r="P1863" s="30"/>
      <c r="Q1863" s="30"/>
      <c r="R1863" s="30"/>
      <c r="S1863" s="30"/>
      <c r="T1863" s="30"/>
      <c r="U1863" s="30"/>
      <c r="V1863" s="30"/>
      <c r="W1863" s="30"/>
      <c r="X1863" s="30"/>
      <c r="Y1863" s="30"/>
      <c r="Z1863" s="30"/>
      <c r="AA1863" s="30"/>
    </row>
    <row r="1864">
      <c r="A1864" s="29">
        <v>1612925.0</v>
      </c>
      <c r="B1864" s="29">
        <v>1613857.0</v>
      </c>
      <c r="C1864" s="30" t="str">
        <f t="shared" si="1"/>
        <v>+</v>
      </c>
      <c r="D1864" s="29">
        <f t="shared" si="2"/>
        <v>618</v>
      </c>
      <c r="E1864" s="30"/>
      <c r="F1864" s="30"/>
      <c r="G1864" s="30"/>
      <c r="H1864" s="30"/>
      <c r="I1864" s="30"/>
      <c r="J1864" s="30"/>
      <c r="K1864" s="30"/>
      <c r="L1864" s="30"/>
      <c r="M1864" s="30"/>
      <c r="N1864" s="30"/>
      <c r="O1864" s="30"/>
      <c r="P1864" s="30"/>
      <c r="Q1864" s="30"/>
      <c r="R1864" s="30"/>
      <c r="S1864" s="30"/>
      <c r="T1864" s="30"/>
      <c r="U1864" s="30"/>
      <c r="V1864" s="30"/>
      <c r="W1864" s="30"/>
      <c r="X1864" s="30"/>
      <c r="Y1864" s="30"/>
      <c r="Z1864" s="30"/>
      <c r="AA1864" s="30"/>
    </row>
    <row r="1865">
      <c r="A1865" s="29">
        <v>1614289.0</v>
      </c>
      <c r="B1865" s="29">
        <v>1614014.0</v>
      </c>
      <c r="C1865" s="30" t="str">
        <f t="shared" si="1"/>
        <v>-</v>
      </c>
      <c r="D1865" s="29">
        <f t="shared" si="2"/>
        <v>619</v>
      </c>
      <c r="E1865" s="30"/>
      <c r="F1865" s="30"/>
      <c r="G1865" s="30"/>
      <c r="H1865" s="30"/>
      <c r="I1865" s="30"/>
      <c r="J1865" s="30"/>
      <c r="K1865" s="30"/>
      <c r="L1865" s="30"/>
      <c r="M1865" s="30"/>
      <c r="N1865" s="30"/>
      <c r="O1865" s="30"/>
      <c r="P1865" s="30"/>
      <c r="Q1865" s="30"/>
      <c r="R1865" s="30"/>
      <c r="S1865" s="30"/>
      <c r="T1865" s="30"/>
      <c r="U1865" s="30"/>
      <c r="V1865" s="30"/>
      <c r="W1865" s="30"/>
      <c r="X1865" s="30"/>
      <c r="Y1865" s="30"/>
      <c r="Z1865" s="30"/>
      <c r="AA1865" s="30"/>
    </row>
    <row r="1866">
      <c r="A1866" s="29">
        <v>1615596.0</v>
      </c>
      <c r="B1866" s="29">
        <v>1614427.0</v>
      </c>
      <c r="C1866" s="30" t="str">
        <f t="shared" si="1"/>
        <v>-</v>
      </c>
      <c r="D1866" s="29">
        <f t="shared" si="2"/>
        <v>619</v>
      </c>
      <c r="E1866" s="30"/>
      <c r="F1866" s="30"/>
      <c r="G1866" s="30"/>
      <c r="H1866" s="30"/>
      <c r="I1866" s="30"/>
      <c r="J1866" s="30"/>
      <c r="K1866" s="30"/>
      <c r="L1866" s="30"/>
      <c r="M1866" s="30"/>
      <c r="N1866" s="30"/>
      <c r="O1866" s="30"/>
      <c r="P1866" s="30"/>
      <c r="Q1866" s="30"/>
      <c r="R1866" s="30"/>
      <c r="S1866" s="30"/>
      <c r="T1866" s="30"/>
      <c r="U1866" s="30"/>
      <c r="V1866" s="30"/>
      <c r="W1866" s="30"/>
      <c r="X1866" s="30"/>
      <c r="Y1866" s="30"/>
      <c r="Z1866" s="30"/>
      <c r="AA1866" s="30"/>
    </row>
    <row r="1867">
      <c r="A1867" s="29">
        <v>1616576.0</v>
      </c>
      <c r="B1867" s="29">
        <v>1615593.0</v>
      </c>
      <c r="C1867" s="30" t="str">
        <f t="shared" si="1"/>
        <v>-</v>
      </c>
      <c r="D1867" s="29">
        <f t="shared" si="2"/>
        <v>619</v>
      </c>
      <c r="E1867" s="30"/>
      <c r="F1867" s="30"/>
      <c r="G1867" s="30"/>
      <c r="H1867" s="30"/>
      <c r="I1867" s="30"/>
      <c r="J1867" s="30"/>
      <c r="K1867" s="30"/>
      <c r="L1867" s="30"/>
      <c r="M1867" s="30"/>
      <c r="N1867" s="30"/>
      <c r="O1867" s="30"/>
      <c r="P1867" s="30"/>
      <c r="Q1867" s="30"/>
      <c r="R1867" s="30"/>
      <c r="S1867" s="30"/>
      <c r="T1867" s="30"/>
      <c r="U1867" s="30"/>
      <c r="V1867" s="30"/>
      <c r="W1867" s="30"/>
      <c r="X1867" s="30"/>
      <c r="Y1867" s="30"/>
      <c r="Z1867" s="30"/>
      <c r="AA1867" s="30"/>
    </row>
    <row r="1868">
      <c r="A1868" s="29">
        <v>1617985.0</v>
      </c>
      <c r="B1868" s="29">
        <v>1616573.0</v>
      </c>
      <c r="C1868" s="30" t="str">
        <f t="shared" si="1"/>
        <v>-</v>
      </c>
      <c r="D1868" s="29">
        <f t="shared" si="2"/>
        <v>619</v>
      </c>
      <c r="E1868" s="30"/>
      <c r="F1868" s="30"/>
      <c r="G1868" s="30"/>
      <c r="H1868" s="30"/>
      <c r="I1868" s="30"/>
      <c r="J1868" s="30"/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0"/>
      <c r="X1868" s="30"/>
      <c r="Y1868" s="30"/>
      <c r="Z1868" s="30"/>
      <c r="AA1868" s="30"/>
    </row>
    <row r="1869">
      <c r="A1869" s="29">
        <v>1618131.0</v>
      </c>
      <c r="B1869" s="29">
        <v>1617985.0</v>
      </c>
      <c r="C1869" s="30" t="str">
        <f t="shared" si="1"/>
        <v>-</v>
      </c>
      <c r="D1869" s="29">
        <f t="shared" si="2"/>
        <v>619</v>
      </c>
      <c r="E1869" s="30"/>
      <c r="F1869" s="30"/>
      <c r="G1869" s="30"/>
      <c r="H1869" s="30"/>
      <c r="I1869" s="30"/>
      <c r="J1869" s="30"/>
      <c r="K1869" s="30"/>
      <c r="L1869" s="30"/>
      <c r="M1869" s="30"/>
      <c r="N1869" s="30"/>
      <c r="O1869" s="30"/>
      <c r="P1869" s="30"/>
      <c r="Q1869" s="30"/>
      <c r="R1869" s="30"/>
      <c r="S1869" s="30"/>
      <c r="T1869" s="30"/>
      <c r="U1869" s="30"/>
      <c r="V1869" s="30"/>
      <c r="W1869" s="30"/>
      <c r="X1869" s="30"/>
      <c r="Y1869" s="30"/>
      <c r="Z1869" s="30"/>
      <c r="AA1869" s="30"/>
    </row>
    <row r="1870">
      <c r="A1870" s="29">
        <v>1618232.0</v>
      </c>
      <c r="B1870" s="29">
        <v>1620673.0</v>
      </c>
      <c r="C1870" s="30" t="str">
        <f t="shared" si="1"/>
        <v>+</v>
      </c>
      <c r="D1870" s="29">
        <f t="shared" si="2"/>
        <v>620</v>
      </c>
      <c r="E1870" s="30"/>
      <c r="F1870" s="30"/>
      <c r="G1870" s="30"/>
      <c r="H1870" s="30"/>
      <c r="I1870" s="30"/>
      <c r="J1870" s="30"/>
      <c r="K1870" s="30"/>
      <c r="L1870" s="30"/>
      <c r="M1870" s="30"/>
      <c r="N1870" s="30"/>
      <c r="O1870" s="30"/>
      <c r="P1870" s="30"/>
      <c r="Q1870" s="30"/>
      <c r="R1870" s="30"/>
      <c r="S1870" s="30"/>
      <c r="T1870" s="30"/>
      <c r="U1870" s="30"/>
      <c r="V1870" s="30"/>
      <c r="W1870" s="30"/>
      <c r="X1870" s="30"/>
      <c r="Y1870" s="30"/>
      <c r="Z1870" s="30"/>
      <c r="AA1870" s="30"/>
    </row>
    <row r="1871">
      <c r="A1871" s="29">
        <v>1621082.0</v>
      </c>
      <c r="B1871" s="29">
        <v>1620990.0</v>
      </c>
      <c r="C1871" s="30" t="str">
        <f t="shared" si="1"/>
        <v>-</v>
      </c>
      <c r="D1871" s="29">
        <f t="shared" si="2"/>
        <v>621</v>
      </c>
      <c r="E1871" s="30"/>
      <c r="F1871" s="30"/>
      <c r="G1871" s="30"/>
      <c r="H1871" s="30"/>
      <c r="I1871" s="30"/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0"/>
      <c r="X1871" s="30"/>
      <c r="Y1871" s="30"/>
      <c r="Z1871" s="30"/>
      <c r="AA1871" s="30"/>
    </row>
    <row r="1872">
      <c r="A1872" s="29">
        <v>1621320.0</v>
      </c>
      <c r="B1872" s="29">
        <v>1621189.0</v>
      </c>
      <c r="C1872" s="30" t="str">
        <f t="shared" si="1"/>
        <v>-</v>
      </c>
      <c r="D1872" s="29">
        <f t="shared" si="2"/>
        <v>621</v>
      </c>
      <c r="E1872" s="30"/>
      <c r="F1872" s="30"/>
      <c r="G1872" s="30"/>
      <c r="H1872" s="30"/>
      <c r="I1872" s="30"/>
      <c r="J1872" s="30"/>
      <c r="K1872" s="30"/>
      <c r="L1872" s="30"/>
      <c r="M1872" s="30"/>
      <c r="N1872" s="30"/>
      <c r="O1872" s="30"/>
      <c r="P1872" s="30"/>
      <c r="Q1872" s="30"/>
      <c r="R1872" s="30"/>
      <c r="S1872" s="30"/>
      <c r="T1872" s="30"/>
      <c r="U1872" s="30"/>
      <c r="V1872" s="30"/>
      <c r="W1872" s="30"/>
      <c r="X1872" s="30"/>
      <c r="Y1872" s="30"/>
      <c r="Z1872" s="30"/>
      <c r="AA1872" s="30"/>
    </row>
    <row r="1873">
      <c r="A1873" s="29">
        <v>1621691.0</v>
      </c>
      <c r="B1873" s="29">
        <v>1621440.0</v>
      </c>
      <c r="C1873" s="30" t="str">
        <f t="shared" si="1"/>
        <v>-</v>
      </c>
      <c r="D1873" s="29">
        <f t="shared" si="2"/>
        <v>621</v>
      </c>
      <c r="E1873" s="30"/>
      <c r="F1873" s="30"/>
      <c r="G1873" s="30"/>
      <c r="H1873" s="30"/>
      <c r="I1873" s="30"/>
      <c r="J1873" s="30"/>
      <c r="K1873" s="30"/>
      <c r="L1873" s="30"/>
      <c r="M1873" s="30"/>
      <c r="N1873" s="30"/>
      <c r="O1873" s="30"/>
      <c r="P1873" s="30"/>
      <c r="Q1873" s="30"/>
      <c r="R1873" s="30"/>
      <c r="S1873" s="30"/>
      <c r="T1873" s="30"/>
      <c r="U1873" s="30"/>
      <c r="V1873" s="30"/>
      <c r="W1873" s="30"/>
      <c r="X1873" s="30"/>
      <c r="Y1873" s="30"/>
      <c r="Z1873" s="30"/>
      <c r="AA1873" s="30"/>
    </row>
    <row r="1874">
      <c r="A1874" s="29">
        <v>1622327.0</v>
      </c>
      <c r="B1874" s="29">
        <v>1622488.0</v>
      </c>
      <c r="C1874" s="30" t="str">
        <f t="shared" si="1"/>
        <v>+</v>
      </c>
      <c r="D1874" s="29">
        <f t="shared" si="2"/>
        <v>622</v>
      </c>
      <c r="E1874" s="30"/>
      <c r="F1874" s="30"/>
      <c r="G1874" s="30"/>
      <c r="H1874" s="30"/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0"/>
      <c r="T1874" s="30"/>
      <c r="U1874" s="30"/>
      <c r="V1874" s="30"/>
      <c r="W1874" s="30"/>
      <c r="X1874" s="30"/>
      <c r="Y1874" s="30"/>
      <c r="Z1874" s="30"/>
      <c r="AA1874" s="30"/>
    </row>
    <row r="1875">
      <c r="A1875" s="29">
        <v>1622583.0</v>
      </c>
      <c r="B1875" s="29">
        <v>1623785.0</v>
      </c>
      <c r="C1875" s="30" t="str">
        <f t="shared" si="1"/>
        <v>+</v>
      </c>
      <c r="D1875" s="29">
        <f t="shared" si="2"/>
        <v>622</v>
      </c>
      <c r="E1875" s="30"/>
      <c r="F1875" s="30"/>
      <c r="G1875" s="30"/>
      <c r="H1875" s="30"/>
      <c r="I1875" s="30"/>
      <c r="J1875" s="30"/>
      <c r="K1875" s="30"/>
      <c r="L1875" s="30"/>
      <c r="M1875" s="30"/>
      <c r="N1875" s="30"/>
      <c r="O1875" s="30"/>
      <c r="P1875" s="30"/>
      <c r="Q1875" s="30"/>
      <c r="R1875" s="30"/>
      <c r="S1875" s="30"/>
      <c r="T1875" s="30"/>
      <c r="U1875" s="30"/>
      <c r="V1875" s="30"/>
      <c r="W1875" s="30"/>
      <c r="X1875" s="30"/>
      <c r="Y1875" s="30"/>
      <c r="Z1875" s="30"/>
      <c r="AA1875" s="30"/>
    </row>
    <row r="1876">
      <c r="A1876" s="29">
        <v>1624200.0</v>
      </c>
      <c r="B1876" s="29">
        <v>1623970.0</v>
      </c>
      <c r="C1876" s="30" t="str">
        <f t="shared" si="1"/>
        <v>-</v>
      </c>
      <c r="D1876" s="29">
        <f t="shared" si="2"/>
        <v>623</v>
      </c>
      <c r="E1876" s="30"/>
      <c r="F1876" s="30"/>
      <c r="G1876" s="30"/>
      <c r="H1876" s="30"/>
      <c r="I1876" s="30"/>
      <c r="J1876" s="30"/>
      <c r="K1876" s="30"/>
      <c r="L1876" s="30"/>
      <c r="M1876" s="30"/>
      <c r="N1876" s="30"/>
      <c r="O1876" s="30"/>
      <c r="P1876" s="30"/>
      <c r="Q1876" s="30"/>
      <c r="R1876" s="30"/>
      <c r="S1876" s="30"/>
      <c r="T1876" s="30"/>
      <c r="U1876" s="30"/>
      <c r="V1876" s="30"/>
      <c r="W1876" s="30"/>
      <c r="X1876" s="30"/>
      <c r="Y1876" s="30"/>
      <c r="Z1876" s="30"/>
      <c r="AA1876" s="30"/>
    </row>
    <row r="1877">
      <c r="A1877" s="29">
        <v>1624821.0</v>
      </c>
      <c r="B1877" s="29">
        <v>1624477.0</v>
      </c>
      <c r="C1877" s="30" t="str">
        <f t="shared" si="1"/>
        <v>-</v>
      </c>
      <c r="D1877" s="29">
        <f t="shared" si="2"/>
        <v>623</v>
      </c>
      <c r="E1877" s="30"/>
      <c r="F1877" s="30"/>
      <c r="G1877" s="30"/>
      <c r="H1877" s="30"/>
      <c r="I1877" s="30"/>
      <c r="J1877" s="30"/>
      <c r="K1877" s="30"/>
      <c r="L1877" s="30"/>
      <c r="M1877" s="30"/>
      <c r="N1877" s="30"/>
      <c r="O1877" s="30"/>
      <c r="P1877" s="30"/>
      <c r="Q1877" s="30"/>
      <c r="R1877" s="30"/>
      <c r="S1877" s="30"/>
      <c r="T1877" s="30"/>
      <c r="U1877" s="30"/>
      <c r="V1877" s="30"/>
      <c r="W1877" s="30"/>
      <c r="X1877" s="30"/>
      <c r="Y1877" s="30"/>
      <c r="Z1877" s="30"/>
      <c r="AA1877" s="30"/>
    </row>
    <row r="1878">
      <c r="A1878" s="29">
        <v>1625183.0</v>
      </c>
      <c r="B1878" s="29">
        <v>1624800.0</v>
      </c>
      <c r="C1878" s="30" t="str">
        <f t="shared" si="1"/>
        <v>-</v>
      </c>
      <c r="D1878" s="29">
        <f t="shared" si="2"/>
        <v>623</v>
      </c>
      <c r="E1878" s="30"/>
      <c r="F1878" s="30"/>
      <c r="G1878" s="30"/>
      <c r="H1878" s="30"/>
      <c r="I1878" s="30"/>
      <c r="J1878" s="30"/>
      <c r="K1878" s="30"/>
      <c r="L1878" s="30"/>
      <c r="M1878" s="30"/>
      <c r="N1878" s="30"/>
      <c r="O1878" s="30"/>
      <c r="P1878" s="30"/>
      <c r="Q1878" s="30"/>
      <c r="R1878" s="30"/>
      <c r="S1878" s="30"/>
      <c r="T1878" s="30"/>
      <c r="U1878" s="30"/>
      <c r="V1878" s="30"/>
      <c r="W1878" s="30"/>
      <c r="X1878" s="30"/>
      <c r="Y1878" s="30"/>
      <c r="Z1878" s="30"/>
      <c r="AA1878" s="30"/>
    </row>
    <row r="1879">
      <c r="A1879" s="29">
        <v>1625228.0</v>
      </c>
      <c r="B1879" s="29">
        <v>1626397.0</v>
      </c>
      <c r="C1879" s="30" t="str">
        <f t="shared" si="1"/>
        <v>+</v>
      </c>
      <c r="D1879" s="29">
        <f t="shared" si="2"/>
        <v>624</v>
      </c>
      <c r="E1879" s="30"/>
      <c r="F1879" s="30"/>
      <c r="G1879" s="30"/>
      <c r="H1879" s="30"/>
      <c r="I1879" s="30"/>
      <c r="J1879" s="30"/>
      <c r="K1879" s="30"/>
      <c r="L1879" s="30"/>
      <c r="M1879" s="30"/>
      <c r="N1879" s="30"/>
      <c r="O1879" s="30"/>
      <c r="P1879" s="30"/>
      <c r="Q1879" s="30"/>
      <c r="R1879" s="30"/>
      <c r="S1879" s="30"/>
      <c r="T1879" s="30"/>
      <c r="U1879" s="30"/>
      <c r="V1879" s="30"/>
      <c r="W1879" s="30"/>
      <c r="X1879" s="30"/>
      <c r="Y1879" s="30"/>
      <c r="Z1879" s="30"/>
      <c r="AA1879" s="30"/>
    </row>
    <row r="1880">
      <c r="A1880" s="29">
        <v>1627046.0</v>
      </c>
      <c r="B1880" s="29">
        <v>1626612.0</v>
      </c>
      <c r="C1880" s="30" t="str">
        <f t="shared" si="1"/>
        <v>-</v>
      </c>
      <c r="D1880" s="29">
        <f t="shared" si="2"/>
        <v>625</v>
      </c>
      <c r="E1880" s="30"/>
      <c r="F1880" s="30"/>
      <c r="G1880" s="30"/>
      <c r="H1880" s="30"/>
      <c r="I1880" s="30"/>
      <c r="J1880" s="30"/>
      <c r="K1880" s="30"/>
      <c r="L1880" s="30"/>
      <c r="M1880" s="30"/>
      <c r="N1880" s="30"/>
      <c r="O1880" s="30"/>
      <c r="P1880" s="30"/>
      <c r="Q1880" s="30"/>
      <c r="R1880" s="30"/>
      <c r="S1880" s="30"/>
      <c r="T1880" s="30"/>
      <c r="U1880" s="30"/>
      <c r="V1880" s="30"/>
      <c r="W1880" s="30"/>
      <c r="X1880" s="30"/>
      <c r="Y1880" s="30"/>
      <c r="Z1880" s="30"/>
      <c r="AA1880" s="30"/>
    </row>
    <row r="1881">
      <c r="A1881" s="29">
        <v>1627630.0</v>
      </c>
      <c r="B1881" s="29">
        <v>1627043.0</v>
      </c>
      <c r="C1881" s="30" t="str">
        <f t="shared" si="1"/>
        <v>-</v>
      </c>
      <c r="D1881" s="29">
        <f t="shared" si="2"/>
        <v>625</v>
      </c>
      <c r="E1881" s="30"/>
      <c r="F1881" s="30"/>
      <c r="G1881" s="30"/>
      <c r="H1881" s="30"/>
      <c r="I1881" s="30"/>
      <c r="J1881" s="30"/>
      <c r="K1881" s="30"/>
      <c r="L1881" s="30"/>
      <c r="M1881" s="30"/>
      <c r="N1881" s="30"/>
      <c r="O1881" s="30"/>
      <c r="P1881" s="30"/>
      <c r="Q1881" s="30"/>
      <c r="R1881" s="30"/>
      <c r="S1881" s="30"/>
      <c r="T1881" s="30"/>
      <c r="U1881" s="30"/>
      <c r="V1881" s="30"/>
      <c r="W1881" s="30"/>
      <c r="X1881" s="30"/>
      <c r="Y1881" s="30"/>
      <c r="Z1881" s="30"/>
      <c r="AA1881" s="30"/>
    </row>
    <row r="1882">
      <c r="A1882" s="29">
        <v>1627958.0</v>
      </c>
      <c r="B1882" s="29">
        <v>1627617.0</v>
      </c>
      <c r="C1882" s="30" t="str">
        <f t="shared" si="1"/>
        <v>-</v>
      </c>
      <c r="D1882" s="29">
        <f t="shared" si="2"/>
        <v>625</v>
      </c>
      <c r="E1882" s="30"/>
      <c r="F1882" s="30"/>
      <c r="G1882" s="30"/>
      <c r="H1882" s="30"/>
      <c r="I1882" s="30"/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/>
      <c r="U1882" s="30"/>
      <c r="V1882" s="30"/>
      <c r="W1882" s="30"/>
      <c r="X1882" s="30"/>
      <c r="Y1882" s="30"/>
      <c r="Z1882" s="30"/>
      <c r="AA1882" s="30"/>
    </row>
    <row r="1883">
      <c r="A1883" s="29">
        <v>1629045.0</v>
      </c>
      <c r="B1883" s="29">
        <v>1628026.0</v>
      </c>
      <c r="C1883" s="30" t="str">
        <f t="shared" si="1"/>
        <v>-</v>
      </c>
      <c r="D1883" s="29">
        <f t="shared" si="2"/>
        <v>625</v>
      </c>
      <c r="E1883" s="30"/>
      <c r="F1883" s="30"/>
      <c r="G1883" s="30"/>
      <c r="H1883" s="30"/>
      <c r="I1883" s="30"/>
      <c r="J1883" s="30"/>
      <c r="K1883" s="30"/>
      <c r="L1883" s="30"/>
      <c r="M1883" s="30"/>
      <c r="N1883" s="30"/>
      <c r="O1883" s="30"/>
      <c r="P1883" s="30"/>
      <c r="Q1883" s="30"/>
      <c r="R1883" s="30"/>
      <c r="S1883" s="30"/>
      <c r="T1883" s="30"/>
      <c r="U1883" s="30"/>
      <c r="V1883" s="30"/>
      <c r="W1883" s="30"/>
      <c r="X1883" s="30"/>
      <c r="Y1883" s="30"/>
      <c r="Z1883" s="30"/>
      <c r="AA1883" s="30"/>
    </row>
    <row r="1884">
      <c r="A1884" s="29">
        <v>1629506.0</v>
      </c>
      <c r="B1884" s="29">
        <v>1629045.0</v>
      </c>
      <c r="C1884" s="30" t="str">
        <f t="shared" si="1"/>
        <v>-</v>
      </c>
      <c r="D1884" s="29">
        <f t="shared" si="2"/>
        <v>625</v>
      </c>
      <c r="E1884" s="30"/>
      <c r="F1884" s="30"/>
      <c r="G1884" s="30"/>
      <c r="H1884" s="30"/>
      <c r="I1884" s="30"/>
      <c r="J1884" s="30"/>
      <c r="K1884" s="30"/>
      <c r="L1884" s="30"/>
      <c r="M1884" s="30"/>
      <c r="N1884" s="30"/>
      <c r="O1884" s="30"/>
      <c r="P1884" s="30"/>
      <c r="Q1884" s="30"/>
      <c r="R1884" s="30"/>
      <c r="S1884" s="30"/>
      <c r="T1884" s="30"/>
      <c r="U1884" s="30"/>
      <c r="V1884" s="30"/>
      <c r="W1884" s="30"/>
      <c r="X1884" s="30"/>
      <c r="Y1884" s="30"/>
      <c r="Z1884" s="30"/>
      <c r="AA1884" s="30"/>
    </row>
    <row r="1885">
      <c r="A1885" s="29">
        <v>1631360.0</v>
      </c>
      <c r="B1885" s="29">
        <v>1629648.0</v>
      </c>
      <c r="C1885" s="30" t="str">
        <f t="shared" si="1"/>
        <v>-</v>
      </c>
      <c r="D1885" s="29">
        <f t="shared" si="2"/>
        <v>625</v>
      </c>
      <c r="E1885" s="30"/>
      <c r="F1885" s="30"/>
      <c r="G1885" s="30"/>
      <c r="H1885" s="30"/>
      <c r="I1885" s="30"/>
      <c r="J1885" s="30"/>
      <c r="K1885" s="30"/>
      <c r="L1885" s="30"/>
      <c r="M1885" s="30"/>
      <c r="N1885" s="30"/>
      <c r="O1885" s="30"/>
      <c r="P1885" s="30"/>
      <c r="Q1885" s="30"/>
      <c r="R1885" s="30"/>
      <c r="S1885" s="30"/>
      <c r="T1885" s="30"/>
      <c r="U1885" s="30"/>
      <c r="V1885" s="30"/>
      <c r="W1885" s="30"/>
      <c r="X1885" s="30"/>
      <c r="Y1885" s="30"/>
      <c r="Z1885" s="30"/>
      <c r="AA1885" s="30"/>
    </row>
    <row r="1886">
      <c r="A1886" s="29">
        <v>1631646.0</v>
      </c>
      <c r="B1886" s="29">
        <v>1632134.0</v>
      </c>
      <c r="C1886" s="30" t="str">
        <f t="shared" si="1"/>
        <v>+</v>
      </c>
      <c r="D1886" s="29">
        <f t="shared" si="2"/>
        <v>626</v>
      </c>
      <c r="E1886" s="30"/>
      <c r="F1886" s="30"/>
      <c r="G1886" s="30"/>
      <c r="H1886" s="30"/>
      <c r="I1886" s="30"/>
      <c r="J1886" s="30"/>
      <c r="K1886" s="30"/>
      <c r="L1886" s="30"/>
      <c r="M1886" s="30"/>
      <c r="N1886" s="30"/>
      <c r="O1886" s="30"/>
      <c r="P1886" s="30"/>
      <c r="Q1886" s="30"/>
      <c r="R1886" s="30"/>
      <c r="S1886" s="30"/>
      <c r="T1886" s="30"/>
      <c r="U1886" s="30"/>
      <c r="V1886" s="30"/>
      <c r="W1886" s="30"/>
      <c r="X1886" s="30"/>
      <c r="Y1886" s="30"/>
      <c r="Z1886" s="30"/>
      <c r="AA1886" s="30"/>
    </row>
    <row r="1887">
      <c r="A1887" s="29">
        <v>1632784.0</v>
      </c>
      <c r="B1887" s="29">
        <v>1632131.0</v>
      </c>
      <c r="C1887" s="30" t="str">
        <f t="shared" si="1"/>
        <v>-</v>
      </c>
      <c r="D1887" s="29">
        <f t="shared" si="2"/>
        <v>627</v>
      </c>
      <c r="E1887" s="30"/>
      <c r="F1887" s="30"/>
      <c r="G1887" s="30"/>
      <c r="H1887" s="30"/>
      <c r="I1887" s="30"/>
      <c r="J1887" s="30"/>
      <c r="K1887" s="30"/>
      <c r="L1887" s="30"/>
      <c r="M1887" s="30"/>
      <c r="N1887" s="30"/>
      <c r="O1887" s="30"/>
      <c r="P1887" s="30"/>
      <c r="Q1887" s="30"/>
      <c r="R1887" s="30"/>
      <c r="S1887" s="30"/>
      <c r="T1887" s="30"/>
      <c r="U1887" s="30"/>
      <c r="V1887" s="30"/>
      <c r="W1887" s="30"/>
      <c r="X1887" s="30"/>
      <c r="Y1887" s="30"/>
      <c r="Z1887" s="30"/>
      <c r="AA1887" s="30"/>
    </row>
    <row r="1888">
      <c r="A1888" s="29">
        <v>1635944.0</v>
      </c>
      <c r="B1888" s="29">
        <v>1632894.0</v>
      </c>
      <c r="C1888" s="30" t="str">
        <f t="shared" si="1"/>
        <v>-</v>
      </c>
      <c r="D1888" s="29">
        <f t="shared" si="2"/>
        <v>627</v>
      </c>
      <c r="E1888" s="30"/>
      <c r="F1888" s="30"/>
      <c r="G1888" s="30"/>
      <c r="H1888" s="30"/>
      <c r="I1888" s="30"/>
      <c r="J1888" s="30"/>
      <c r="K1888" s="30"/>
      <c r="L1888" s="30"/>
      <c r="M1888" s="30"/>
      <c r="N1888" s="30"/>
      <c r="O1888" s="30"/>
      <c r="P1888" s="30"/>
      <c r="Q1888" s="30"/>
      <c r="R1888" s="30"/>
      <c r="S1888" s="30"/>
      <c r="T1888" s="30"/>
      <c r="U1888" s="30"/>
      <c r="V1888" s="30"/>
      <c r="W1888" s="30"/>
      <c r="X1888" s="30"/>
      <c r="Y1888" s="30"/>
      <c r="Z1888" s="30"/>
      <c r="AA1888" s="30"/>
    </row>
    <row r="1889">
      <c r="A1889" s="29">
        <v>1635999.0</v>
      </c>
      <c r="B1889" s="29">
        <v>1636409.0</v>
      </c>
      <c r="C1889" s="30" t="str">
        <f t="shared" si="1"/>
        <v>+</v>
      </c>
      <c r="D1889" s="29">
        <f t="shared" si="2"/>
        <v>628</v>
      </c>
      <c r="E1889" s="30"/>
      <c r="F1889" s="30"/>
      <c r="G1889" s="30"/>
      <c r="H1889" s="30"/>
      <c r="I1889" s="30"/>
      <c r="J1889" s="30"/>
      <c r="K1889" s="30"/>
      <c r="L1889" s="30"/>
      <c r="M1889" s="30"/>
      <c r="N1889" s="30"/>
      <c r="O1889" s="30"/>
      <c r="P1889" s="30"/>
      <c r="Q1889" s="30"/>
      <c r="R1889" s="30"/>
      <c r="S1889" s="30"/>
      <c r="T1889" s="30"/>
      <c r="U1889" s="30"/>
      <c r="V1889" s="30"/>
      <c r="W1889" s="30"/>
      <c r="X1889" s="30"/>
      <c r="Y1889" s="30"/>
      <c r="Z1889" s="30"/>
      <c r="AA1889" s="30"/>
    </row>
    <row r="1890">
      <c r="A1890" s="29">
        <v>1636835.0</v>
      </c>
      <c r="B1890" s="29">
        <v>1636398.0</v>
      </c>
      <c r="C1890" s="30" t="str">
        <f t="shared" si="1"/>
        <v>-</v>
      </c>
      <c r="D1890" s="29">
        <f t="shared" si="2"/>
        <v>629</v>
      </c>
      <c r="E1890" s="30"/>
      <c r="F1890" s="30"/>
      <c r="G1890" s="30"/>
      <c r="H1890" s="30"/>
      <c r="I1890" s="30"/>
      <c r="J1890" s="30"/>
      <c r="K1890" s="30"/>
      <c r="L1890" s="30"/>
      <c r="M1890" s="30"/>
      <c r="N1890" s="30"/>
      <c r="O1890" s="30"/>
      <c r="P1890" s="30"/>
      <c r="Q1890" s="30"/>
      <c r="R1890" s="30"/>
      <c r="S1890" s="30"/>
      <c r="T1890" s="30"/>
      <c r="U1890" s="30"/>
      <c r="V1890" s="30"/>
      <c r="W1890" s="30"/>
      <c r="X1890" s="30"/>
      <c r="Y1890" s="30"/>
      <c r="Z1890" s="30"/>
      <c r="AA1890" s="30"/>
    </row>
    <row r="1891">
      <c r="A1891" s="29">
        <v>1637122.0</v>
      </c>
      <c r="B1891" s="29">
        <v>1636988.0</v>
      </c>
      <c r="C1891" s="30" t="str">
        <f t="shared" si="1"/>
        <v>-</v>
      </c>
      <c r="D1891" s="29">
        <f t="shared" si="2"/>
        <v>629</v>
      </c>
      <c r="E1891" s="30"/>
      <c r="F1891" s="30"/>
      <c r="G1891" s="30"/>
      <c r="H1891" s="30"/>
      <c r="I1891" s="30"/>
      <c r="J1891" s="30"/>
      <c r="K1891" s="30"/>
      <c r="L1891" s="30"/>
      <c r="M1891" s="30"/>
      <c r="N1891" s="30"/>
      <c r="O1891" s="30"/>
      <c r="P1891" s="30"/>
      <c r="Q1891" s="30"/>
      <c r="R1891" s="30"/>
      <c r="S1891" s="30"/>
      <c r="T1891" s="30"/>
      <c r="U1891" s="30"/>
      <c r="V1891" s="30"/>
      <c r="W1891" s="30"/>
      <c r="X1891" s="30"/>
      <c r="Y1891" s="30"/>
      <c r="Z1891" s="30"/>
      <c r="AA1891" s="30"/>
    </row>
    <row r="1892">
      <c r="A1892" s="29">
        <v>1637284.0</v>
      </c>
      <c r="B1892" s="29">
        <v>1637156.0</v>
      </c>
      <c r="C1892" s="30" t="str">
        <f t="shared" si="1"/>
        <v>-</v>
      </c>
      <c r="D1892" s="29">
        <f t="shared" si="2"/>
        <v>629</v>
      </c>
      <c r="E1892" s="30"/>
      <c r="F1892" s="30"/>
      <c r="G1892" s="30"/>
      <c r="H1892" s="30"/>
      <c r="I1892" s="30"/>
      <c r="J1892" s="30"/>
      <c r="K1892" s="30"/>
      <c r="L1892" s="30"/>
      <c r="M1892" s="30"/>
      <c r="N1892" s="30"/>
      <c r="O1892" s="30"/>
      <c r="P1892" s="30"/>
      <c r="Q1892" s="30"/>
      <c r="R1892" s="30"/>
      <c r="S1892" s="30"/>
      <c r="T1892" s="30"/>
      <c r="U1892" s="30"/>
      <c r="V1892" s="30"/>
      <c r="W1892" s="30"/>
      <c r="X1892" s="30"/>
      <c r="Y1892" s="30"/>
      <c r="Z1892" s="30"/>
      <c r="AA1892" s="30"/>
    </row>
    <row r="1893">
      <c r="A1893" s="29">
        <v>1638278.0</v>
      </c>
      <c r="B1893" s="29">
        <v>1637637.0</v>
      </c>
      <c r="C1893" s="30" t="str">
        <f t="shared" si="1"/>
        <v>-</v>
      </c>
      <c r="D1893" s="29">
        <f t="shared" si="2"/>
        <v>629</v>
      </c>
      <c r="E1893" s="30"/>
      <c r="F1893" s="30"/>
      <c r="G1893" s="30"/>
      <c r="H1893" s="30"/>
      <c r="I1893" s="30"/>
      <c r="J1893" s="30"/>
      <c r="K1893" s="30"/>
      <c r="L1893" s="30"/>
      <c r="M1893" s="30"/>
      <c r="N1893" s="30"/>
      <c r="O1893" s="30"/>
      <c r="P1893" s="30"/>
      <c r="Q1893" s="30"/>
      <c r="R1893" s="30"/>
      <c r="S1893" s="30"/>
      <c r="T1893" s="30"/>
      <c r="U1893" s="30"/>
      <c r="V1893" s="30"/>
      <c r="W1893" s="30"/>
      <c r="X1893" s="30"/>
      <c r="Y1893" s="30"/>
      <c r="Z1893" s="30"/>
      <c r="AA1893" s="30"/>
    </row>
    <row r="1894">
      <c r="A1894" s="29">
        <v>1638625.0</v>
      </c>
      <c r="B1894" s="29">
        <v>1638843.0</v>
      </c>
      <c r="C1894" s="30" t="str">
        <f t="shared" si="1"/>
        <v>+</v>
      </c>
      <c r="D1894" s="29">
        <f t="shared" si="2"/>
        <v>630</v>
      </c>
      <c r="E1894" s="30"/>
      <c r="F1894" s="30"/>
      <c r="G1894" s="30"/>
      <c r="H1894" s="30"/>
      <c r="I1894" s="30"/>
      <c r="J1894" s="30"/>
      <c r="K1894" s="30"/>
      <c r="L1894" s="30"/>
      <c r="M1894" s="30"/>
      <c r="N1894" s="30"/>
      <c r="O1894" s="30"/>
      <c r="P1894" s="30"/>
      <c r="Q1894" s="30"/>
      <c r="R1894" s="30"/>
      <c r="S1894" s="30"/>
      <c r="T1894" s="30"/>
      <c r="U1894" s="30"/>
      <c r="V1894" s="30"/>
      <c r="W1894" s="30"/>
      <c r="X1894" s="30"/>
      <c r="Y1894" s="30"/>
      <c r="Z1894" s="30"/>
      <c r="AA1894" s="30"/>
    </row>
    <row r="1895">
      <c r="A1895" s="29">
        <v>1639730.0</v>
      </c>
      <c r="B1895" s="29">
        <v>1639326.0</v>
      </c>
      <c r="C1895" s="30" t="str">
        <f t="shared" si="1"/>
        <v>-</v>
      </c>
      <c r="D1895" s="29">
        <f t="shared" si="2"/>
        <v>631</v>
      </c>
      <c r="E1895" s="30"/>
      <c r="F1895" s="30"/>
      <c r="G1895" s="30"/>
      <c r="H1895" s="30"/>
      <c r="I1895" s="30"/>
      <c r="J1895" s="30"/>
      <c r="K1895" s="30"/>
      <c r="L1895" s="30"/>
      <c r="M1895" s="30"/>
      <c r="N1895" s="30"/>
      <c r="O1895" s="30"/>
      <c r="P1895" s="30"/>
      <c r="Q1895" s="30"/>
      <c r="R1895" s="30"/>
      <c r="S1895" s="30"/>
      <c r="T1895" s="30"/>
      <c r="U1895" s="30"/>
      <c r="V1895" s="30"/>
      <c r="W1895" s="30"/>
      <c r="X1895" s="30"/>
      <c r="Y1895" s="30"/>
      <c r="Z1895" s="30"/>
      <c r="AA1895" s="30"/>
    </row>
    <row r="1896">
      <c r="A1896" s="29">
        <v>1640110.0</v>
      </c>
      <c r="B1896" s="29">
        <v>1639718.0</v>
      </c>
      <c r="C1896" s="30" t="str">
        <f t="shared" si="1"/>
        <v>-</v>
      </c>
      <c r="D1896" s="29">
        <f t="shared" si="2"/>
        <v>631</v>
      </c>
      <c r="E1896" s="30"/>
      <c r="F1896" s="30"/>
      <c r="G1896" s="30"/>
      <c r="H1896" s="30"/>
      <c r="I1896" s="30"/>
      <c r="J1896" s="30"/>
      <c r="K1896" s="30"/>
      <c r="L1896" s="30"/>
      <c r="M1896" s="30"/>
      <c r="N1896" s="30"/>
      <c r="O1896" s="30"/>
      <c r="P1896" s="30"/>
      <c r="Q1896" s="30"/>
      <c r="R1896" s="30"/>
      <c r="S1896" s="30"/>
      <c r="T1896" s="30"/>
      <c r="U1896" s="30"/>
      <c r="V1896" s="30"/>
      <c r="W1896" s="30"/>
      <c r="X1896" s="30"/>
      <c r="Y1896" s="30"/>
      <c r="Z1896" s="30"/>
      <c r="AA1896" s="30"/>
    </row>
    <row r="1897">
      <c r="A1897" s="29">
        <v>1640904.0</v>
      </c>
      <c r="B1897" s="29">
        <v>1640107.0</v>
      </c>
      <c r="C1897" s="30" t="str">
        <f t="shared" si="1"/>
        <v>-</v>
      </c>
      <c r="D1897" s="29">
        <f t="shared" si="2"/>
        <v>631</v>
      </c>
      <c r="E1897" s="30"/>
      <c r="F1897" s="30"/>
      <c r="G1897" s="30"/>
      <c r="H1897" s="30"/>
      <c r="I1897" s="30"/>
      <c r="J1897" s="30"/>
      <c r="K1897" s="30"/>
      <c r="L1897" s="30"/>
      <c r="M1897" s="30"/>
      <c r="N1897" s="30"/>
      <c r="O1897" s="30"/>
      <c r="P1897" s="30"/>
      <c r="Q1897" s="30"/>
      <c r="R1897" s="30"/>
      <c r="S1897" s="30"/>
      <c r="T1897" s="30"/>
      <c r="U1897" s="30"/>
      <c r="V1897" s="30"/>
      <c r="W1897" s="30"/>
      <c r="X1897" s="30"/>
      <c r="Y1897" s="30"/>
      <c r="Z1897" s="30"/>
      <c r="AA1897" s="30"/>
    </row>
    <row r="1898">
      <c r="A1898" s="29">
        <v>1642254.0</v>
      </c>
      <c r="B1898" s="29">
        <v>1640923.0</v>
      </c>
      <c r="C1898" s="30" t="str">
        <f t="shared" si="1"/>
        <v>-</v>
      </c>
      <c r="D1898" s="29">
        <f t="shared" si="2"/>
        <v>631</v>
      </c>
      <c r="E1898" s="30"/>
      <c r="F1898" s="30"/>
      <c r="G1898" s="30"/>
      <c r="H1898" s="30"/>
      <c r="I1898" s="30"/>
      <c r="J1898" s="30"/>
      <c r="K1898" s="30"/>
      <c r="L1898" s="30"/>
      <c r="M1898" s="30"/>
      <c r="N1898" s="30"/>
      <c r="O1898" s="30"/>
      <c r="P1898" s="30"/>
      <c r="Q1898" s="30"/>
      <c r="R1898" s="30"/>
      <c r="S1898" s="30"/>
      <c r="T1898" s="30"/>
      <c r="U1898" s="30"/>
      <c r="V1898" s="30"/>
      <c r="W1898" s="30"/>
      <c r="X1898" s="30"/>
      <c r="Y1898" s="30"/>
      <c r="Z1898" s="30"/>
      <c r="AA1898" s="30"/>
    </row>
    <row r="1899">
      <c r="A1899" s="29">
        <v>1642299.0</v>
      </c>
      <c r="B1899" s="29">
        <v>1642550.0</v>
      </c>
      <c r="C1899" s="30" t="str">
        <f t="shared" si="1"/>
        <v>+</v>
      </c>
      <c r="D1899" s="29">
        <f t="shared" si="2"/>
        <v>632</v>
      </c>
      <c r="E1899" s="30"/>
      <c r="F1899" s="30"/>
      <c r="G1899" s="30"/>
      <c r="H1899" s="30"/>
      <c r="I1899" s="30"/>
      <c r="J1899" s="30"/>
      <c r="K1899" s="30"/>
      <c r="L1899" s="30"/>
      <c r="M1899" s="30"/>
      <c r="N1899" s="30"/>
      <c r="O1899" s="30"/>
      <c r="P1899" s="30"/>
      <c r="Q1899" s="30"/>
      <c r="R1899" s="30"/>
      <c r="S1899" s="30"/>
      <c r="T1899" s="30"/>
      <c r="U1899" s="30"/>
      <c r="V1899" s="30"/>
      <c r="W1899" s="30"/>
      <c r="X1899" s="30"/>
      <c r="Y1899" s="30"/>
      <c r="Z1899" s="30"/>
      <c r="AA1899" s="30"/>
    </row>
    <row r="1900">
      <c r="A1900" s="29">
        <v>1642804.0</v>
      </c>
      <c r="B1900" s="29">
        <v>1642547.0</v>
      </c>
      <c r="C1900" s="30" t="str">
        <f t="shared" si="1"/>
        <v>-</v>
      </c>
      <c r="D1900" s="29">
        <f t="shared" si="2"/>
        <v>633</v>
      </c>
      <c r="E1900" s="30"/>
      <c r="F1900" s="30"/>
      <c r="G1900" s="30"/>
      <c r="H1900" s="30"/>
      <c r="I1900" s="30"/>
      <c r="J1900" s="30"/>
      <c r="K1900" s="30"/>
      <c r="L1900" s="30"/>
      <c r="M1900" s="30"/>
      <c r="N1900" s="30"/>
      <c r="O1900" s="30"/>
      <c r="P1900" s="30"/>
      <c r="Q1900" s="30"/>
      <c r="R1900" s="30"/>
      <c r="S1900" s="30"/>
      <c r="T1900" s="30"/>
      <c r="U1900" s="30"/>
      <c r="V1900" s="30"/>
      <c r="W1900" s="30"/>
      <c r="X1900" s="30"/>
      <c r="Y1900" s="30"/>
      <c r="Z1900" s="30"/>
      <c r="AA1900" s="30"/>
    </row>
    <row r="1901">
      <c r="A1901" s="29">
        <v>1643119.0</v>
      </c>
      <c r="B1901" s="29">
        <v>1642811.0</v>
      </c>
      <c r="C1901" s="30" t="str">
        <f t="shared" si="1"/>
        <v>-</v>
      </c>
      <c r="D1901" s="29">
        <f t="shared" si="2"/>
        <v>633</v>
      </c>
      <c r="E1901" s="30"/>
      <c r="F1901" s="30"/>
      <c r="G1901" s="30"/>
      <c r="H1901" s="30"/>
      <c r="I1901" s="30"/>
      <c r="J1901" s="30"/>
      <c r="K1901" s="30"/>
      <c r="L1901" s="30"/>
      <c r="M1901" s="30"/>
      <c r="N1901" s="30"/>
      <c r="O1901" s="30"/>
      <c r="P1901" s="30"/>
      <c r="Q1901" s="30"/>
      <c r="R1901" s="30"/>
      <c r="S1901" s="30"/>
      <c r="T1901" s="30"/>
      <c r="U1901" s="30"/>
      <c r="V1901" s="30"/>
      <c r="W1901" s="30"/>
      <c r="X1901" s="30"/>
      <c r="Y1901" s="30"/>
      <c r="Z1901" s="30"/>
      <c r="AA1901" s="30"/>
    </row>
    <row r="1902">
      <c r="A1902" s="29">
        <v>1643669.0</v>
      </c>
      <c r="B1902" s="29">
        <v>1643881.0</v>
      </c>
      <c r="C1902" s="30" t="str">
        <f t="shared" si="1"/>
        <v>+</v>
      </c>
      <c r="D1902" s="29">
        <f t="shared" si="2"/>
        <v>634</v>
      </c>
      <c r="E1902" s="30"/>
      <c r="F1902" s="30"/>
      <c r="G1902" s="30"/>
      <c r="H1902" s="30"/>
      <c r="I1902" s="30"/>
      <c r="J1902" s="30"/>
      <c r="K1902" s="30"/>
      <c r="L1902" s="30"/>
      <c r="M1902" s="30"/>
      <c r="N1902" s="30"/>
      <c r="O1902" s="30"/>
      <c r="P1902" s="30"/>
      <c r="Q1902" s="30"/>
      <c r="R1902" s="30"/>
      <c r="S1902" s="30"/>
      <c r="T1902" s="30"/>
      <c r="U1902" s="30"/>
      <c r="V1902" s="30"/>
      <c r="W1902" s="30"/>
      <c r="X1902" s="30"/>
      <c r="Y1902" s="30"/>
      <c r="Z1902" s="30"/>
      <c r="AA1902" s="30"/>
    </row>
    <row r="1903">
      <c r="A1903" s="29">
        <v>1644488.0</v>
      </c>
      <c r="B1903" s="29">
        <v>1644252.0</v>
      </c>
      <c r="C1903" s="30" t="str">
        <f t="shared" si="1"/>
        <v>-</v>
      </c>
      <c r="D1903" s="29">
        <f t="shared" si="2"/>
        <v>635</v>
      </c>
      <c r="E1903" s="30"/>
      <c r="F1903" s="30"/>
      <c r="G1903" s="30"/>
      <c r="H1903" s="30"/>
      <c r="I1903" s="30"/>
      <c r="J1903" s="30"/>
      <c r="K1903" s="30"/>
      <c r="L1903" s="30"/>
      <c r="M1903" s="30"/>
      <c r="N1903" s="30"/>
      <c r="O1903" s="30"/>
      <c r="P1903" s="30"/>
      <c r="Q1903" s="30"/>
      <c r="R1903" s="30"/>
      <c r="S1903" s="30"/>
      <c r="T1903" s="30"/>
      <c r="U1903" s="30"/>
      <c r="V1903" s="30"/>
      <c r="W1903" s="30"/>
      <c r="X1903" s="30"/>
      <c r="Y1903" s="30"/>
      <c r="Z1903" s="30"/>
      <c r="AA1903" s="30"/>
    </row>
    <row r="1904">
      <c r="A1904" s="29">
        <v>1644626.0</v>
      </c>
      <c r="B1904" s="29">
        <v>1645096.0</v>
      </c>
      <c r="C1904" s="30" t="str">
        <f t="shared" si="1"/>
        <v>+</v>
      </c>
      <c r="D1904" s="29">
        <f t="shared" si="2"/>
        <v>636</v>
      </c>
      <c r="E1904" s="30"/>
      <c r="F1904" s="30"/>
      <c r="G1904" s="30"/>
      <c r="H1904" s="30"/>
      <c r="I1904" s="30"/>
      <c r="J1904" s="30"/>
      <c r="K1904" s="30"/>
      <c r="L1904" s="30"/>
      <c r="M1904" s="30"/>
      <c r="N1904" s="30"/>
      <c r="O1904" s="30"/>
      <c r="P1904" s="30"/>
      <c r="Q1904" s="30"/>
      <c r="R1904" s="30"/>
      <c r="S1904" s="30"/>
      <c r="T1904" s="30"/>
      <c r="U1904" s="30"/>
      <c r="V1904" s="30"/>
      <c r="W1904" s="30"/>
      <c r="X1904" s="30"/>
      <c r="Y1904" s="30"/>
      <c r="Z1904" s="30"/>
      <c r="AA1904" s="30"/>
    </row>
    <row r="1905">
      <c r="A1905" s="29">
        <v>1645096.0</v>
      </c>
      <c r="B1905" s="29">
        <v>1645908.0</v>
      </c>
      <c r="C1905" s="30" t="str">
        <f t="shared" si="1"/>
        <v>+</v>
      </c>
      <c r="D1905" s="29">
        <f t="shared" si="2"/>
        <v>636</v>
      </c>
      <c r="E1905" s="30"/>
      <c r="F1905" s="30"/>
      <c r="G1905" s="30"/>
      <c r="H1905" s="30"/>
      <c r="I1905" s="30"/>
      <c r="J1905" s="30"/>
      <c r="K1905" s="30"/>
      <c r="L1905" s="30"/>
      <c r="M1905" s="30"/>
      <c r="N1905" s="30"/>
      <c r="O1905" s="30"/>
      <c r="P1905" s="30"/>
      <c r="Q1905" s="30"/>
      <c r="R1905" s="30"/>
      <c r="S1905" s="30"/>
      <c r="T1905" s="30"/>
      <c r="U1905" s="30"/>
      <c r="V1905" s="30"/>
      <c r="W1905" s="30"/>
      <c r="X1905" s="30"/>
      <c r="Y1905" s="30"/>
      <c r="Z1905" s="30"/>
      <c r="AA1905" s="30"/>
    </row>
    <row r="1906">
      <c r="A1906" s="29">
        <v>1646486.0</v>
      </c>
      <c r="B1906" s="29">
        <v>1646169.0</v>
      </c>
      <c r="C1906" s="30" t="str">
        <f t="shared" si="1"/>
        <v>-</v>
      </c>
      <c r="D1906" s="29">
        <f t="shared" si="2"/>
        <v>637</v>
      </c>
      <c r="E1906" s="30"/>
      <c r="F1906" s="30"/>
      <c r="G1906" s="30"/>
      <c r="H1906" s="30"/>
      <c r="I1906" s="30"/>
      <c r="J1906" s="30"/>
      <c r="K1906" s="30"/>
      <c r="L1906" s="30"/>
      <c r="M1906" s="30"/>
      <c r="N1906" s="30"/>
      <c r="O1906" s="30"/>
      <c r="P1906" s="30"/>
      <c r="Q1906" s="30"/>
      <c r="R1906" s="30"/>
      <c r="S1906" s="30"/>
      <c r="T1906" s="30"/>
      <c r="U1906" s="30"/>
      <c r="V1906" s="30"/>
      <c r="W1906" s="30"/>
      <c r="X1906" s="30"/>
      <c r="Y1906" s="30"/>
      <c r="Z1906" s="30"/>
      <c r="AA1906" s="30"/>
    </row>
    <row r="1907">
      <c r="A1907" s="29">
        <v>1646862.0</v>
      </c>
      <c r="B1907" s="29">
        <v>1646476.0</v>
      </c>
      <c r="C1907" s="30" t="str">
        <f t="shared" si="1"/>
        <v>-</v>
      </c>
      <c r="D1907" s="29">
        <f t="shared" si="2"/>
        <v>637</v>
      </c>
      <c r="E1907" s="30"/>
      <c r="F1907" s="30"/>
      <c r="G1907" s="30"/>
      <c r="H1907" s="30"/>
      <c r="I1907" s="30"/>
      <c r="J1907" s="30"/>
      <c r="K1907" s="30"/>
      <c r="L1907" s="30"/>
      <c r="M1907" s="30"/>
      <c r="N1907" s="30"/>
      <c r="O1907" s="30"/>
      <c r="P1907" s="30"/>
      <c r="Q1907" s="30"/>
      <c r="R1907" s="30"/>
      <c r="S1907" s="30"/>
      <c r="T1907" s="30"/>
      <c r="U1907" s="30"/>
      <c r="V1907" s="30"/>
      <c r="W1907" s="30"/>
      <c r="X1907" s="30"/>
      <c r="Y1907" s="30"/>
      <c r="Z1907" s="30"/>
      <c r="AA1907" s="30"/>
    </row>
    <row r="1908">
      <c r="A1908" s="29">
        <v>1646910.0</v>
      </c>
      <c r="B1908" s="29">
        <v>1647716.0</v>
      </c>
      <c r="C1908" s="30" t="str">
        <f t="shared" si="1"/>
        <v>+</v>
      </c>
      <c r="D1908" s="29">
        <f t="shared" si="2"/>
        <v>638</v>
      </c>
      <c r="E1908" s="30"/>
      <c r="F1908" s="30"/>
      <c r="G1908" s="30"/>
      <c r="H1908" s="30"/>
      <c r="I1908" s="30"/>
      <c r="J1908" s="30"/>
      <c r="K1908" s="30"/>
      <c r="L1908" s="30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0"/>
      <c r="X1908" s="30"/>
      <c r="Y1908" s="30"/>
      <c r="Z1908" s="30"/>
      <c r="AA1908" s="30"/>
    </row>
    <row r="1909">
      <c r="A1909" s="29">
        <v>1647735.0</v>
      </c>
      <c r="B1909" s="29">
        <v>1650101.0</v>
      </c>
      <c r="C1909" s="30" t="str">
        <f t="shared" si="1"/>
        <v>+</v>
      </c>
      <c r="D1909" s="29">
        <f t="shared" si="2"/>
        <v>638</v>
      </c>
      <c r="E1909" s="30"/>
      <c r="F1909" s="30"/>
      <c r="G1909" s="30"/>
      <c r="H1909" s="30"/>
      <c r="I1909" s="30"/>
      <c r="J1909" s="30"/>
      <c r="K1909" s="30"/>
      <c r="L1909" s="30"/>
      <c r="M1909" s="30"/>
      <c r="N1909" s="30"/>
      <c r="O1909" s="30"/>
      <c r="P1909" s="30"/>
      <c r="Q1909" s="30"/>
      <c r="R1909" s="30"/>
      <c r="S1909" s="30"/>
      <c r="T1909" s="30"/>
      <c r="U1909" s="30"/>
      <c r="V1909" s="30"/>
      <c r="W1909" s="30"/>
      <c r="X1909" s="30"/>
      <c r="Y1909" s="30"/>
      <c r="Z1909" s="30"/>
      <c r="AA1909" s="30"/>
    </row>
    <row r="1910">
      <c r="A1910" s="29">
        <v>1650126.0</v>
      </c>
      <c r="B1910" s="29">
        <v>1650224.0</v>
      </c>
      <c r="C1910" s="30" t="str">
        <f t="shared" si="1"/>
        <v>+</v>
      </c>
      <c r="D1910" s="29">
        <f t="shared" si="2"/>
        <v>638</v>
      </c>
      <c r="E1910" s="30"/>
      <c r="F1910" s="30"/>
      <c r="G1910" s="30"/>
      <c r="H1910" s="30"/>
      <c r="I1910" s="30"/>
      <c r="J1910" s="30"/>
      <c r="K1910" s="30"/>
      <c r="L1910" s="30"/>
      <c r="M1910" s="30"/>
      <c r="N1910" s="30"/>
      <c r="O1910" s="30"/>
      <c r="P1910" s="30"/>
      <c r="Q1910" s="30"/>
      <c r="R1910" s="30"/>
      <c r="S1910" s="30"/>
      <c r="T1910" s="30"/>
      <c r="U1910" s="30"/>
      <c r="V1910" s="30"/>
      <c r="W1910" s="30"/>
      <c r="X1910" s="30"/>
      <c r="Y1910" s="30"/>
      <c r="Z1910" s="30"/>
      <c r="AA1910" s="30"/>
    </row>
    <row r="1911">
      <c r="A1911" s="29">
        <v>1651197.0</v>
      </c>
      <c r="B1911" s="29">
        <v>1650364.0</v>
      </c>
      <c r="C1911" s="30" t="str">
        <f t="shared" si="1"/>
        <v>-</v>
      </c>
      <c r="D1911" s="29">
        <f t="shared" si="2"/>
        <v>639</v>
      </c>
      <c r="E1911" s="30"/>
      <c r="F1911" s="30"/>
      <c r="G1911" s="30"/>
      <c r="H1911" s="30"/>
      <c r="I1911" s="30"/>
      <c r="J1911" s="30"/>
      <c r="K1911" s="30"/>
      <c r="L1911" s="30"/>
      <c r="M1911" s="30"/>
      <c r="N1911" s="30"/>
      <c r="O1911" s="30"/>
      <c r="P1911" s="30"/>
      <c r="Q1911" s="30"/>
      <c r="R1911" s="30"/>
      <c r="S1911" s="30"/>
      <c r="T1911" s="30"/>
      <c r="U1911" s="30"/>
      <c r="V1911" s="30"/>
      <c r="W1911" s="30"/>
      <c r="X1911" s="30"/>
      <c r="Y1911" s="30"/>
      <c r="Z1911" s="30"/>
      <c r="AA1911" s="30"/>
    </row>
    <row r="1912">
      <c r="A1912" s="29">
        <v>1651601.0</v>
      </c>
      <c r="B1912" s="29">
        <v>1651197.0</v>
      </c>
      <c r="C1912" s="30" t="str">
        <f t="shared" si="1"/>
        <v>-</v>
      </c>
      <c r="D1912" s="29">
        <f t="shared" si="2"/>
        <v>639</v>
      </c>
      <c r="E1912" s="30"/>
      <c r="F1912" s="30"/>
      <c r="G1912" s="30"/>
      <c r="H1912" s="30"/>
      <c r="I1912" s="30"/>
      <c r="J1912" s="30"/>
      <c r="K1912" s="30"/>
      <c r="L1912" s="30"/>
      <c r="M1912" s="30"/>
      <c r="N1912" s="30"/>
      <c r="O1912" s="30"/>
      <c r="P1912" s="30"/>
      <c r="Q1912" s="30"/>
      <c r="R1912" s="30"/>
      <c r="S1912" s="30"/>
      <c r="T1912" s="30"/>
      <c r="U1912" s="30"/>
      <c r="V1912" s="30"/>
      <c r="W1912" s="30"/>
      <c r="X1912" s="30"/>
      <c r="Y1912" s="30"/>
      <c r="Z1912" s="30"/>
      <c r="AA1912" s="30"/>
    </row>
    <row r="1913">
      <c r="A1913" s="29">
        <v>1652189.0</v>
      </c>
      <c r="B1913" s="29">
        <v>1651641.0</v>
      </c>
      <c r="C1913" s="30" t="str">
        <f t="shared" si="1"/>
        <v>-</v>
      </c>
      <c r="D1913" s="29">
        <f t="shared" si="2"/>
        <v>639</v>
      </c>
      <c r="E1913" s="30"/>
      <c r="F1913" s="30"/>
      <c r="G1913" s="30"/>
      <c r="H1913" s="30"/>
      <c r="I1913" s="30"/>
      <c r="J1913" s="30"/>
      <c r="K1913" s="30"/>
      <c r="L1913" s="30"/>
      <c r="M1913" s="30"/>
      <c r="N1913" s="30"/>
      <c r="O1913" s="30"/>
      <c r="P1913" s="30"/>
      <c r="Q1913" s="30"/>
      <c r="R1913" s="30"/>
      <c r="S1913" s="30"/>
      <c r="T1913" s="30"/>
      <c r="U1913" s="30"/>
      <c r="V1913" s="30"/>
      <c r="W1913" s="30"/>
      <c r="X1913" s="30"/>
      <c r="Y1913" s="30"/>
      <c r="Z1913" s="30"/>
      <c r="AA1913" s="30"/>
    </row>
    <row r="1914">
      <c r="A1914" s="29">
        <v>1653366.0</v>
      </c>
      <c r="B1914" s="29">
        <v>1652191.0</v>
      </c>
      <c r="C1914" s="30" t="str">
        <f t="shared" si="1"/>
        <v>-</v>
      </c>
      <c r="D1914" s="29">
        <f t="shared" si="2"/>
        <v>639</v>
      </c>
      <c r="E1914" s="30"/>
      <c r="F1914" s="30"/>
      <c r="G1914" s="30"/>
      <c r="H1914" s="30"/>
      <c r="I1914" s="30"/>
      <c r="J1914" s="30"/>
      <c r="K1914" s="30"/>
      <c r="L1914" s="30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0"/>
      <c r="X1914" s="30"/>
      <c r="Y1914" s="30"/>
      <c r="Z1914" s="30"/>
      <c r="AA1914" s="30"/>
    </row>
    <row r="1915">
      <c r="A1915" s="29">
        <v>1654603.0</v>
      </c>
      <c r="B1915" s="29">
        <v>1653371.0</v>
      </c>
      <c r="C1915" s="30" t="str">
        <f t="shared" si="1"/>
        <v>-</v>
      </c>
      <c r="D1915" s="29">
        <f t="shared" si="2"/>
        <v>639</v>
      </c>
      <c r="E1915" s="30"/>
      <c r="F1915" s="30"/>
      <c r="G1915" s="30"/>
      <c r="H1915" s="30"/>
      <c r="I1915" s="30"/>
      <c r="J1915" s="30"/>
      <c r="K1915" s="30"/>
      <c r="L1915" s="30"/>
      <c r="M1915" s="30"/>
      <c r="N1915" s="30"/>
      <c r="O1915" s="30"/>
      <c r="P1915" s="30"/>
      <c r="Q1915" s="30"/>
      <c r="R1915" s="30"/>
      <c r="S1915" s="30"/>
      <c r="T1915" s="30"/>
      <c r="U1915" s="30"/>
      <c r="V1915" s="30"/>
      <c r="W1915" s="30"/>
      <c r="X1915" s="30"/>
      <c r="Y1915" s="30"/>
      <c r="Z1915" s="30"/>
      <c r="AA1915" s="30"/>
    </row>
    <row r="1916">
      <c r="A1916" s="29">
        <v>1654716.0</v>
      </c>
      <c r="B1916" s="29">
        <v>1656452.0</v>
      </c>
      <c r="C1916" s="30" t="str">
        <f t="shared" si="1"/>
        <v>+</v>
      </c>
      <c r="D1916" s="29">
        <f t="shared" si="2"/>
        <v>640</v>
      </c>
      <c r="E1916" s="30"/>
      <c r="F1916" s="30"/>
      <c r="G1916" s="30"/>
      <c r="H1916" s="30"/>
      <c r="I1916" s="30"/>
      <c r="J1916" s="30"/>
      <c r="K1916" s="30"/>
      <c r="L1916" s="30"/>
      <c r="M1916" s="30"/>
      <c r="N1916" s="30"/>
      <c r="O1916" s="30"/>
      <c r="P1916" s="30"/>
      <c r="Q1916" s="30"/>
      <c r="R1916" s="30"/>
      <c r="S1916" s="30"/>
      <c r="T1916" s="30"/>
      <c r="U1916" s="30"/>
      <c r="V1916" s="30"/>
      <c r="W1916" s="30"/>
      <c r="X1916" s="30"/>
      <c r="Y1916" s="30"/>
      <c r="Z1916" s="30"/>
      <c r="AA1916" s="30"/>
    </row>
    <row r="1917">
      <c r="A1917" s="29">
        <v>1656479.0</v>
      </c>
      <c r="B1917" s="29">
        <v>1657423.0</v>
      </c>
      <c r="C1917" s="30" t="str">
        <f t="shared" si="1"/>
        <v>+</v>
      </c>
      <c r="D1917" s="29">
        <f t="shared" si="2"/>
        <v>640</v>
      </c>
      <c r="E1917" s="30"/>
      <c r="F1917" s="30"/>
      <c r="G1917" s="30"/>
      <c r="H1917" s="30"/>
      <c r="I1917" s="30"/>
      <c r="J1917" s="30"/>
      <c r="K1917" s="30"/>
      <c r="L1917" s="30"/>
      <c r="M1917" s="30"/>
      <c r="N1917" s="30"/>
      <c r="O1917" s="30"/>
      <c r="P1917" s="30"/>
      <c r="Q1917" s="30"/>
      <c r="R1917" s="30"/>
      <c r="S1917" s="30"/>
      <c r="T1917" s="30"/>
      <c r="U1917" s="30"/>
      <c r="V1917" s="30"/>
      <c r="W1917" s="30"/>
      <c r="X1917" s="30"/>
      <c r="Y1917" s="30"/>
      <c r="Z1917" s="30"/>
      <c r="AA1917" s="30"/>
    </row>
    <row r="1918">
      <c r="A1918" s="29">
        <v>1657515.0</v>
      </c>
      <c r="B1918" s="29">
        <v>1657742.0</v>
      </c>
      <c r="C1918" s="30" t="str">
        <f t="shared" si="1"/>
        <v>+</v>
      </c>
      <c r="D1918" s="29">
        <f t="shared" si="2"/>
        <v>640</v>
      </c>
      <c r="E1918" s="30"/>
      <c r="F1918" s="30"/>
      <c r="G1918" s="30"/>
      <c r="H1918" s="30"/>
      <c r="I1918" s="30"/>
      <c r="J1918" s="30"/>
      <c r="K1918" s="30"/>
      <c r="L1918" s="30"/>
      <c r="M1918" s="30"/>
      <c r="N1918" s="30"/>
      <c r="O1918" s="30"/>
      <c r="P1918" s="30"/>
      <c r="Q1918" s="30"/>
      <c r="R1918" s="30"/>
      <c r="S1918" s="30"/>
      <c r="T1918" s="30"/>
      <c r="U1918" s="30"/>
      <c r="V1918" s="30"/>
      <c r="W1918" s="30"/>
      <c r="X1918" s="30"/>
      <c r="Y1918" s="30"/>
      <c r="Z1918" s="30"/>
      <c r="AA1918" s="30"/>
    </row>
    <row r="1919">
      <c r="A1919" s="29">
        <v>1657821.0</v>
      </c>
      <c r="B1919" s="29">
        <v>1659809.0</v>
      </c>
      <c r="C1919" s="30" t="str">
        <f t="shared" si="1"/>
        <v>+</v>
      </c>
      <c r="D1919" s="29">
        <f t="shared" si="2"/>
        <v>640</v>
      </c>
      <c r="E1919" s="30"/>
      <c r="F1919" s="30"/>
      <c r="G1919" s="30"/>
      <c r="H1919" s="30"/>
      <c r="I1919" s="30"/>
      <c r="J1919" s="30"/>
      <c r="K1919" s="30"/>
      <c r="L1919" s="30"/>
      <c r="M1919" s="30"/>
      <c r="N1919" s="30"/>
      <c r="O1919" s="30"/>
      <c r="P1919" s="30"/>
      <c r="Q1919" s="30"/>
      <c r="R1919" s="30"/>
      <c r="S1919" s="30"/>
      <c r="T1919" s="30"/>
      <c r="U1919" s="30"/>
      <c r="V1919" s="30"/>
      <c r="W1919" s="30"/>
      <c r="X1919" s="30"/>
      <c r="Y1919" s="30"/>
      <c r="Z1919" s="30"/>
      <c r="AA1919" s="30"/>
    </row>
    <row r="1920">
      <c r="A1920" s="29">
        <v>1660096.0</v>
      </c>
      <c r="B1920" s="29">
        <v>1659923.0</v>
      </c>
      <c r="C1920" s="30" t="str">
        <f t="shared" si="1"/>
        <v>-</v>
      </c>
      <c r="D1920" s="29">
        <f t="shared" si="2"/>
        <v>641</v>
      </c>
      <c r="E1920" s="30"/>
      <c r="F1920" s="30"/>
      <c r="G1920" s="30"/>
      <c r="H1920" s="30"/>
      <c r="I1920" s="30"/>
      <c r="J1920" s="30"/>
      <c r="K1920" s="30"/>
      <c r="L1920" s="30"/>
      <c r="M1920" s="30"/>
      <c r="N1920" s="30"/>
      <c r="O1920" s="30"/>
      <c r="P1920" s="30"/>
      <c r="Q1920" s="30"/>
      <c r="R1920" s="30"/>
      <c r="S1920" s="30"/>
      <c r="T1920" s="30"/>
      <c r="U1920" s="30"/>
      <c r="V1920" s="30"/>
      <c r="W1920" s="30"/>
      <c r="X1920" s="30"/>
      <c r="Y1920" s="30"/>
      <c r="Z1920" s="30"/>
      <c r="AA1920" s="30"/>
    </row>
    <row r="1921">
      <c r="A1921" s="29">
        <v>1660615.0</v>
      </c>
      <c r="B1921" s="29">
        <v>1661529.0</v>
      </c>
      <c r="C1921" s="30" t="str">
        <f t="shared" si="1"/>
        <v>+</v>
      </c>
      <c r="D1921" s="29">
        <f t="shared" si="2"/>
        <v>642</v>
      </c>
      <c r="E1921" s="30"/>
      <c r="F1921" s="30"/>
      <c r="G1921" s="30"/>
      <c r="H1921" s="30"/>
      <c r="I1921" s="30"/>
      <c r="J1921" s="30"/>
      <c r="K1921" s="30"/>
      <c r="L1921" s="30"/>
      <c r="M1921" s="30"/>
      <c r="N1921" s="30"/>
      <c r="O1921" s="30"/>
      <c r="P1921" s="30"/>
      <c r="Q1921" s="30"/>
      <c r="R1921" s="30"/>
      <c r="S1921" s="30"/>
      <c r="T1921" s="30"/>
      <c r="U1921" s="30"/>
      <c r="V1921" s="30"/>
      <c r="W1921" s="30"/>
      <c r="X1921" s="30"/>
      <c r="Y1921" s="30"/>
      <c r="Z1921" s="30"/>
      <c r="AA1921" s="30"/>
    </row>
    <row r="1922">
      <c r="A1922" s="29">
        <v>1662134.0</v>
      </c>
      <c r="B1922" s="29">
        <v>1661526.0</v>
      </c>
      <c r="C1922" s="30" t="str">
        <f t="shared" si="1"/>
        <v>-</v>
      </c>
      <c r="D1922" s="29">
        <f t="shared" si="2"/>
        <v>643</v>
      </c>
      <c r="E1922" s="30"/>
      <c r="F1922" s="30"/>
      <c r="G1922" s="30"/>
      <c r="H1922" s="30"/>
      <c r="I1922" s="30"/>
      <c r="J1922" s="30"/>
      <c r="K1922" s="30"/>
      <c r="L1922" s="30"/>
      <c r="M1922" s="30"/>
      <c r="N1922" s="30"/>
      <c r="O1922" s="30"/>
      <c r="P1922" s="30"/>
      <c r="Q1922" s="30"/>
      <c r="R1922" s="30"/>
      <c r="S1922" s="30"/>
      <c r="T1922" s="30"/>
      <c r="U1922" s="30"/>
      <c r="V1922" s="30"/>
      <c r="W1922" s="30"/>
      <c r="X1922" s="30"/>
      <c r="Y1922" s="30"/>
      <c r="Z1922" s="30"/>
      <c r="AA1922" s="30"/>
    </row>
    <row r="1923">
      <c r="A1923" s="29">
        <v>1662951.0</v>
      </c>
      <c r="B1923" s="29">
        <v>1662247.0</v>
      </c>
      <c r="C1923" s="30" t="str">
        <f t="shared" si="1"/>
        <v>-</v>
      </c>
      <c r="D1923" s="29">
        <f t="shared" si="2"/>
        <v>643</v>
      </c>
      <c r="E1923" s="30"/>
      <c r="F1923" s="30"/>
      <c r="G1923" s="30"/>
      <c r="H1923" s="30"/>
      <c r="I1923" s="30"/>
      <c r="J1923" s="30"/>
      <c r="K1923" s="30"/>
      <c r="L1923" s="30"/>
      <c r="M1923" s="30"/>
      <c r="N1923" s="30"/>
      <c r="O1923" s="30"/>
      <c r="P1923" s="30"/>
      <c r="Q1923" s="30"/>
      <c r="R1923" s="30"/>
      <c r="S1923" s="30"/>
      <c r="T1923" s="30"/>
      <c r="U1923" s="30"/>
      <c r="V1923" s="30"/>
      <c r="W1923" s="30"/>
      <c r="X1923" s="30"/>
      <c r="Y1923" s="30"/>
      <c r="Z1923" s="30"/>
      <c r="AA1923" s="30"/>
    </row>
    <row r="1924">
      <c r="A1924" s="29">
        <v>1663670.0</v>
      </c>
      <c r="B1924" s="29">
        <v>1662942.0</v>
      </c>
      <c r="C1924" s="30" t="str">
        <f t="shared" si="1"/>
        <v>-</v>
      </c>
      <c r="D1924" s="29">
        <f t="shared" si="2"/>
        <v>643</v>
      </c>
      <c r="E1924" s="30"/>
      <c r="F1924" s="30"/>
      <c r="G1924" s="30"/>
      <c r="H1924" s="30"/>
      <c r="I1924" s="30"/>
      <c r="J1924" s="30"/>
      <c r="K1924" s="30"/>
      <c r="L1924" s="30"/>
      <c r="M1924" s="30"/>
      <c r="N1924" s="30"/>
      <c r="O1924" s="30"/>
      <c r="P1924" s="30"/>
      <c r="Q1924" s="30"/>
      <c r="R1924" s="30"/>
      <c r="S1924" s="30"/>
      <c r="T1924" s="30"/>
      <c r="U1924" s="30"/>
      <c r="V1924" s="30"/>
      <c r="W1924" s="30"/>
      <c r="X1924" s="30"/>
      <c r="Y1924" s="30"/>
      <c r="Z1924" s="30"/>
      <c r="AA1924" s="30"/>
    </row>
    <row r="1925">
      <c r="A1925" s="29">
        <v>1664629.0</v>
      </c>
      <c r="B1925" s="29">
        <v>1663667.0</v>
      </c>
      <c r="C1925" s="30" t="str">
        <f t="shared" si="1"/>
        <v>-</v>
      </c>
      <c r="D1925" s="29">
        <f t="shared" si="2"/>
        <v>643</v>
      </c>
      <c r="E1925" s="30"/>
      <c r="F1925" s="30"/>
      <c r="G1925" s="30"/>
      <c r="H1925" s="30"/>
      <c r="I1925" s="30"/>
      <c r="J1925" s="30"/>
      <c r="K1925" s="30"/>
      <c r="L1925" s="30"/>
      <c r="M1925" s="30"/>
      <c r="N1925" s="30"/>
      <c r="O1925" s="30"/>
      <c r="P1925" s="30"/>
      <c r="Q1925" s="30"/>
      <c r="R1925" s="30"/>
      <c r="S1925" s="30"/>
      <c r="T1925" s="30"/>
      <c r="U1925" s="30"/>
      <c r="V1925" s="30"/>
      <c r="W1925" s="30"/>
      <c r="X1925" s="30"/>
      <c r="Y1925" s="30"/>
      <c r="Z1925" s="30"/>
      <c r="AA1925" s="30"/>
    </row>
    <row r="1926">
      <c r="A1926" s="29">
        <v>1665498.0</v>
      </c>
      <c r="B1926" s="29">
        <v>1664626.0</v>
      </c>
      <c r="C1926" s="30" t="str">
        <f t="shared" si="1"/>
        <v>-</v>
      </c>
      <c r="D1926" s="29">
        <f t="shared" si="2"/>
        <v>643</v>
      </c>
      <c r="E1926" s="30"/>
      <c r="F1926" s="30"/>
      <c r="G1926" s="30"/>
      <c r="H1926" s="30"/>
      <c r="I1926" s="30"/>
      <c r="J1926" s="30"/>
      <c r="K1926" s="30"/>
      <c r="L1926" s="30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0"/>
      <c r="X1926" s="30"/>
      <c r="Y1926" s="30"/>
      <c r="Z1926" s="30"/>
      <c r="AA1926" s="30"/>
    </row>
    <row r="1927">
      <c r="A1927" s="29">
        <v>1666877.0</v>
      </c>
      <c r="B1927" s="29">
        <v>1665498.0</v>
      </c>
      <c r="C1927" s="30" t="str">
        <f t="shared" si="1"/>
        <v>-</v>
      </c>
      <c r="D1927" s="29">
        <f t="shared" si="2"/>
        <v>643</v>
      </c>
      <c r="E1927" s="30"/>
      <c r="F1927" s="30"/>
      <c r="G1927" s="30"/>
      <c r="H1927" s="30"/>
      <c r="I1927" s="30"/>
      <c r="J1927" s="30"/>
      <c r="K1927" s="30"/>
      <c r="L1927" s="30"/>
      <c r="M1927" s="30"/>
      <c r="N1927" s="30"/>
      <c r="O1927" s="30"/>
      <c r="P1927" s="30"/>
      <c r="Q1927" s="30"/>
      <c r="R1927" s="30"/>
      <c r="S1927" s="30"/>
      <c r="T1927" s="30"/>
      <c r="U1927" s="30"/>
      <c r="V1927" s="30"/>
      <c r="W1927" s="30"/>
      <c r="X1927" s="30"/>
      <c r="Y1927" s="30"/>
      <c r="Z1927" s="30"/>
      <c r="AA1927" s="30"/>
    </row>
    <row r="1928">
      <c r="A1928" s="29">
        <v>1667767.0</v>
      </c>
      <c r="B1928" s="29">
        <v>1666961.0</v>
      </c>
      <c r="C1928" s="30" t="str">
        <f t="shared" si="1"/>
        <v>-</v>
      </c>
      <c r="D1928" s="29">
        <f t="shared" si="2"/>
        <v>643</v>
      </c>
      <c r="E1928" s="30"/>
      <c r="F1928" s="30"/>
      <c r="G1928" s="30"/>
      <c r="H1928" s="30"/>
      <c r="I1928" s="30"/>
      <c r="J1928" s="30"/>
      <c r="K1928" s="30"/>
      <c r="L1928" s="30"/>
      <c r="M1928" s="30"/>
      <c r="N1928" s="30"/>
      <c r="O1928" s="30"/>
      <c r="P1928" s="30"/>
      <c r="Q1928" s="30"/>
      <c r="R1928" s="30"/>
      <c r="S1928" s="30"/>
      <c r="T1928" s="30"/>
      <c r="U1928" s="30"/>
      <c r="V1928" s="30"/>
      <c r="W1928" s="30"/>
      <c r="X1928" s="30"/>
      <c r="Y1928" s="30"/>
      <c r="Z1928" s="30"/>
      <c r="AA1928" s="30"/>
    </row>
    <row r="1929">
      <c r="A1929" s="29">
        <v>1668845.0</v>
      </c>
      <c r="B1929" s="29">
        <v>1667883.0</v>
      </c>
      <c r="C1929" s="30" t="str">
        <f t="shared" si="1"/>
        <v>-</v>
      </c>
      <c r="D1929" s="29">
        <f t="shared" si="2"/>
        <v>643</v>
      </c>
      <c r="E1929" s="30"/>
      <c r="F1929" s="30"/>
      <c r="G1929" s="30"/>
      <c r="H1929" s="30"/>
      <c r="I1929" s="30"/>
      <c r="J1929" s="30"/>
      <c r="K1929" s="30"/>
      <c r="L1929" s="30"/>
      <c r="M1929" s="30"/>
      <c r="N1929" s="30"/>
      <c r="O1929" s="30"/>
      <c r="P1929" s="30"/>
      <c r="Q1929" s="30"/>
      <c r="R1929" s="30"/>
      <c r="S1929" s="30"/>
      <c r="T1929" s="30"/>
      <c r="U1929" s="30"/>
      <c r="V1929" s="30"/>
      <c r="W1929" s="30"/>
      <c r="X1929" s="30"/>
      <c r="Y1929" s="30"/>
      <c r="Z1929" s="30"/>
      <c r="AA1929" s="30"/>
    </row>
    <row r="1930">
      <c r="A1930" s="29">
        <v>1669822.0</v>
      </c>
      <c r="B1930" s="29">
        <v>1668887.0</v>
      </c>
      <c r="C1930" s="30" t="str">
        <f t="shared" si="1"/>
        <v>-</v>
      </c>
      <c r="D1930" s="29">
        <f t="shared" si="2"/>
        <v>643</v>
      </c>
      <c r="E1930" s="30"/>
      <c r="F1930" s="30"/>
      <c r="G1930" s="30"/>
      <c r="H1930" s="30"/>
      <c r="I1930" s="30"/>
      <c r="J1930" s="30"/>
      <c r="K1930" s="30"/>
      <c r="L1930" s="30"/>
      <c r="M1930" s="30"/>
      <c r="N1930" s="30"/>
      <c r="O1930" s="30"/>
      <c r="P1930" s="30"/>
      <c r="Q1930" s="30"/>
      <c r="R1930" s="30"/>
      <c r="S1930" s="30"/>
      <c r="T1930" s="30"/>
      <c r="U1930" s="30"/>
      <c r="V1930" s="30"/>
      <c r="W1930" s="30"/>
      <c r="X1930" s="30"/>
      <c r="Y1930" s="30"/>
      <c r="Z1930" s="30"/>
      <c r="AA1930" s="30"/>
    </row>
    <row r="1931">
      <c r="A1931" s="29">
        <v>1671162.0</v>
      </c>
      <c r="B1931" s="29">
        <v>1669843.0</v>
      </c>
      <c r="C1931" s="30" t="str">
        <f t="shared" si="1"/>
        <v>-</v>
      </c>
      <c r="D1931" s="29">
        <f t="shared" si="2"/>
        <v>643</v>
      </c>
      <c r="E1931" s="30"/>
      <c r="F1931" s="30"/>
      <c r="G1931" s="30"/>
      <c r="H1931" s="30"/>
      <c r="I1931" s="30"/>
      <c r="J1931" s="30"/>
      <c r="K1931" s="30"/>
      <c r="L1931" s="30"/>
      <c r="M1931" s="30"/>
      <c r="N1931" s="30"/>
      <c r="O1931" s="30"/>
      <c r="P1931" s="30"/>
      <c r="Q1931" s="30"/>
      <c r="R1931" s="30"/>
      <c r="S1931" s="30"/>
      <c r="T1931" s="30"/>
      <c r="U1931" s="30"/>
      <c r="V1931" s="30"/>
      <c r="W1931" s="30"/>
      <c r="X1931" s="30"/>
      <c r="Y1931" s="30"/>
      <c r="Z1931" s="30"/>
      <c r="AA1931" s="30"/>
    </row>
    <row r="1932">
      <c r="A1932" s="29">
        <v>1671882.0</v>
      </c>
      <c r="B1932" s="29">
        <v>1671415.0</v>
      </c>
      <c r="C1932" s="30" t="str">
        <f t="shared" si="1"/>
        <v>-</v>
      </c>
      <c r="D1932" s="29">
        <f t="shared" si="2"/>
        <v>643</v>
      </c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/>
      <c r="U1932" s="30"/>
      <c r="V1932" s="30"/>
      <c r="W1932" s="30"/>
      <c r="X1932" s="30"/>
      <c r="Y1932" s="30"/>
      <c r="Z1932" s="30"/>
      <c r="AA1932" s="30"/>
    </row>
    <row r="1933">
      <c r="A1933" s="29">
        <v>1672078.0</v>
      </c>
      <c r="B1933" s="29">
        <v>1672971.0</v>
      </c>
      <c r="C1933" s="30" t="str">
        <f t="shared" si="1"/>
        <v>+</v>
      </c>
      <c r="D1933" s="29">
        <f t="shared" si="2"/>
        <v>644</v>
      </c>
      <c r="E1933" s="30"/>
      <c r="F1933" s="30"/>
      <c r="G1933" s="30"/>
      <c r="H1933" s="30"/>
      <c r="I1933" s="30"/>
      <c r="J1933" s="30"/>
      <c r="K1933" s="30"/>
      <c r="L1933" s="30"/>
      <c r="M1933" s="30"/>
      <c r="N1933" s="30"/>
      <c r="O1933" s="30"/>
      <c r="P1933" s="30"/>
      <c r="Q1933" s="30"/>
      <c r="R1933" s="30"/>
      <c r="S1933" s="30"/>
      <c r="T1933" s="30"/>
      <c r="U1933" s="30"/>
      <c r="V1933" s="30"/>
      <c r="W1933" s="30"/>
      <c r="X1933" s="30"/>
      <c r="Y1933" s="30"/>
      <c r="Z1933" s="30"/>
      <c r="AA1933" s="30"/>
    </row>
    <row r="1934">
      <c r="A1934" s="29">
        <v>1675504.0</v>
      </c>
      <c r="B1934" s="29">
        <v>1675106.0</v>
      </c>
      <c r="C1934" s="30" t="str">
        <f t="shared" si="1"/>
        <v>-</v>
      </c>
      <c r="D1934" s="29">
        <f t="shared" si="2"/>
        <v>645</v>
      </c>
      <c r="E1934" s="30"/>
      <c r="F1934" s="30"/>
      <c r="G1934" s="30"/>
      <c r="H1934" s="30"/>
      <c r="I1934" s="30"/>
      <c r="J1934" s="30"/>
      <c r="K1934" s="30"/>
      <c r="L1934" s="30"/>
      <c r="M1934" s="30"/>
      <c r="N1934" s="30"/>
      <c r="O1934" s="30"/>
      <c r="P1934" s="30"/>
      <c r="Q1934" s="30"/>
      <c r="R1934" s="30"/>
      <c r="S1934" s="30"/>
      <c r="T1934" s="30"/>
      <c r="U1934" s="30"/>
      <c r="V1934" s="30"/>
      <c r="W1934" s="30"/>
      <c r="X1934" s="30"/>
      <c r="Y1934" s="30"/>
      <c r="Z1934" s="30"/>
      <c r="AA1934" s="30"/>
    </row>
    <row r="1935">
      <c r="A1935" s="29">
        <v>1675953.0</v>
      </c>
      <c r="B1935" s="29">
        <v>1675498.0</v>
      </c>
      <c r="C1935" s="30" t="str">
        <f t="shared" si="1"/>
        <v>-</v>
      </c>
      <c r="D1935" s="29">
        <f t="shared" si="2"/>
        <v>645</v>
      </c>
      <c r="E1935" s="30"/>
      <c r="F1935" s="30"/>
      <c r="G1935" s="30"/>
      <c r="H1935" s="30"/>
      <c r="I1935" s="30"/>
      <c r="J1935" s="30"/>
      <c r="K1935" s="30"/>
      <c r="L1935" s="30"/>
      <c r="M1935" s="30"/>
      <c r="N1935" s="30"/>
      <c r="O1935" s="30"/>
      <c r="P1935" s="30"/>
      <c r="Q1935" s="30"/>
      <c r="R1935" s="30"/>
      <c r="S1935" s="30"/>
      <c r="T1935" s="30"/>
      <c r="U1935" s="30"/>
      <c r="V1935" s="30"/>
      <c r="W1935" s="30"/>
      <c r="X1935" s="30"/>
      <c r="Y1935" s="30"/>
      <c r="Z1935" s="30"/>
      <c r="AA1935" s="30"/>
    </row>
    <row r="1936">
      <c r="A1936" s="29">
        <v>1676309.0</v>
      </c>
      <c r="B1936" s="29">
        <v>1675950.0</v>
      </c>
      <c r="C1936" s="30" t="str">
        <f t="shared" si="1"/>
        <v>-</v>
      </c>
      <c r="D1936" s="29">
        <f t="shared" si="2"/>
        <v>645</v>
      </c>
      <c r="E1936" s="30"/>
      <c r="F1936" s="30"/>
      <c r="G1936" s="30"/>
      <c r="H1936" s="30"/>
      <c r="I1936" s="30"/>
      <c r="J1936" s="30"/>
      <c r="K1936" s="30"/>
      <c r="L1936" s="30"/>
      <c r="M1936" s="30"/>
      <c r="N1936" s="30"/>
      <c r="O1936" s="30"/>
      <c r="P1936" s="30"/>
      <c r="Q1936" s="30"/>
      <c r="R1936" s="30"/>
      <c r="S1936" s="30"/>
      <c r="T1936" s="30"/>
      <c r="U1936" s="30"/>
      <c r="V1936" s="30"/>
      <c r="W1936" s="30"/>
      <c r="X1936" s="30"/>
      <c r="Y1936" s="30"/>
      <c r="Z1936" s="30"/>
      <c r="AA1936" s="30"/>
    </row>
    <row r="1937">
      <c r="A1937" s="29">
        <v>1676899.0</v>
      </c>
      <c r="B1937" s="29">
        <v>1676531.0</v>
      </c>
      <c r="C1937" s="30" t="str">
        <f t="shared" si="1"/>
        <v>-</v>
      </c>
      <c r="D1937" s="29">
        <f t="shared" si="2"/>
        <v>645</v>
      </c>
      <c r="E1937" s="30"/>
      <c r="F1937" s="30"/>
      <c r="G1937" s="30"/>
      <c r="H1937" s="30"/>
      <c r="I1937" s="30"/>
      <c r="J1937" s="30"/>
      <c r="K1937" s="30"/>
      <c r="L1937" s="30"/>
      <c r="M1937" s="30"/>
      <c r="N1937" s="30"/>
      <c r="O1937" s="30"/>
      <c r="P1937" s="30"/>
      <c r="Q1937" s="30"/>
      <c r="R1937" s="30"/>
      <c r="S1937" s="30"/>
      <c r="T1937" s="30"/>
      <c r="U1937" s="30"/>
      <c r="V1937" s="30"/>
      <c r="W1937" s="30"/>
      <c r="X1937" s="30"/>
      <c r="Y1937" s="30"/>
      <c r="Z1937" s="30"/>
      <c r="AA1937" s="30"/>
    </row>
    <row r="1938">
      <c r="A1938" s="29">
        <v>1676915.0</v>
      </c>
      <c r="B1938" s="29">
        <v>1677175.0</v>
      </c>
      <c r="C1938" s="30" t="str">
        <f t="shared" si="1"/>
        <v>+</v>
      </c>
      <c r="D1938" s="29">
        <f t="shared" si="2"/>
        <v>646</v>
      </c>
      <c r="E1938" s="30"/>
      <c r="F1938" s="30"/>
      <c r="G1938" s="30"/>
      <c r="H1938" s="30"/>
      <c r="I1938" s="30"/>
      <c r="J1938" s="30"/>
      <c r="K1938" s="30"/>
      <c r="L1938" s="30"/>
      <c r="M1938" s="30"/>
      <c r="N1938" s="30"/>
      <c r="O1938" s="30"/>
      <c r="P1938" s="30"/>
      <c r="Q1938" s="30"/>
      <c r="R1938" s="30"/>
      <c r="S1938" s="30"/>
      <c r="T1938" s="30"/>
      <c r="U1938" s="30"/>
      <c r="V1938" s="30"/>
      <c r="W1938" s="30"/>
      <c r="X1938" s="30"/>
      <c r="Y1938" s="30"/>
      <c r="Z1938" s="30"/>
      <c r="AA1938" s="30"/>
    </row>
    <row r="1939">
      <c r="A1939" s="29">
        <v>1677481.0</v>
      </c>
      <c r="B1939" s="29">
        <v>1677128.0</v>
      </c>
      <c r="C1939" s="30" t="str">
        <f t="shared" si="1"/>
        <v>-</v>
      </c>
      <c r="D1939" s="29">
        <f t="shared" si="2"/>
        <v>647</v>
      </c>
      <c r="E1939" s="30"/>
      <c r="F1939" s="30"/>
      <c r="G1939" s="30"/>
      <c r="H1939" s="30"/>
      <c r="I1939" s="30"/>
      <c r="J1939" s="30"/>
      <c r="K1939" s="30"/>
      <c r="L1939" s="30"/>
      <c r="M1939" s="30"/>
      <c r="N1939" s="30"/>
      <c r="O1939" s="30"/>
      <c r="P1939" s="30"/>
      <c r="Q1939" s="30"/>
      <c r="R1939" s="30"/>
      <c r="S1939" s="30"/>
      <c r="T1939" s="30"/>
      <c r="U1939" s="30"/>
      <c r="V1939" s="30"/>
      <c r="W1939" s="30"/>
      <c r="X1939" s="30"/>
      <c r="Y1939" s="30"/>
      <c r="Z1939" s="30"/>
      <c r="AA1939" s="30"/>
    </row>
    <row r="1940">
      <c r="A1940" s="29">
        <v>1677808.0</v>
      </c>
      <c r="B1940" s="29">
        <v>1678644.0</v>
      </c>
      <c r="C1940" s="30" t="str">
        <f t="shared" si="1"/>
        <v>+</v>
      </c>
      <c r="D1940" s="29">
        <f t="shared" si="2"/>
        <v>648</v>
      </c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  <c r="O1940" s="30"/>
      <c r="P1940" s="30"/>
      <c r="Q1940" s="30"/>
      <c r="R1940" s="30"/>
      <c r="S1940" s="30"/>
      <c r="T1940" s="30"/>
      <c r="U1940" s="30"/>
      <c r="V1940" s="30"/>
      <c r="W1940" s="30"/>
      <c r="X1940" s="30"/>
      <c r="Y1940" s="30"/>
      <c r="Z1940" s="30"/>
      <c r="AA1940" s="30"/>
    </row>
    <row r="1941">
      <c r="A1941" s="29">
        <v>1679503.0</v>
      </c>
      <c r="B1941" s="29">
        <v>1680075.0</v>
      </c>
      <c r="C1941" s="30" t="str">
        <f t="shared" si="1"/>
        <v>+</v>
      </c>
      <c r="D1941" s="29">
        <f t="shared" si="2"/>
        <v>648</v>
      </c>
      <c r="E1941" s="30"/>
      <c r="F1941" s="30"/>
      <c r="G1941" s="30"/>
      <c r="H1941" s="30"/>
      <c r="I1941" s="30"/>
      <c r="J1941" s="30"/>
      <c r="K1941" s="30"/>
      <c r="L1941" s="30"/>
      <c r="M1941" s="30"/>
      <c r="N1941" s="30"/>
      <c r="O1941" s="30"/>
      <c r="P1941" s="30"/>
      <c r="Q1941" s="30"/>
      <c r="R1941" s="30"/>
      <c r="S1941" s="30"/>
      <c r="T1941" s="30"/>
      <c r="U1941" s="30"/>
      <c r="V1941" s="30"/>
      <c r="W1941" s="30"/>
      <c r="X1941" s="30"/>
      <c r="Y1941" s="30"/>
      <c r="Z1941" s="30"/>
      <c r="AA1941" s="30"/>
    </row>
    <row r="1942">
      <c r="A1942" s="29">
        <v>1680065.0</v>
      </c>
      <c r="B1942" s="29">
        <v>1680475.0</v>
      </c>
      <c r="C1942" s="30" t="str">
        <f t="shared" si="1"/>
        <v>+</v>
      </c>
      <c r="D1942" s="29">
        <f t="shared" si="2"/>
        <v>648</v>
      </c>
      <c r="E1942" s="30"/>
      <c r="F1942" s="30"/>
      <c r="G1942" s="30"/>
      <c r="H1942" s="30"/>
      <c r="I1942" s="30"/>
      <c r="J1942" s="30"/>
      <c r="K1942" s="30"/>
      <c r="L1942" s="30"/>
      <c r="M1942" s="30"/>
      <c r="N1942" s="30"/>
      <c r="O1942" s="30"/>
      <c r="P1942" s="30"/>
      <c r="Q1942" s="30"/>
      <c r="R1942" s="30"/>
      <c r="S1942" s="30"/>
      <c r="T1942" s="30"/>
      <c r="U1942" s="30"/>
      <c r="V1942" s="30"/>
      <c r="W1942" s="30"/>
      <c r="X1942" s="30"/>
      <c r="Y1942" s="30"/>
      <c r="Z1942" s="30"/>
      <c r="AA1942" s="30"/>
    </row>
    <row r="1943">
      <c r="A1943" s="29">
        <v>1680595.0</v>
      </c>
      <c r="B1943" s="29">
        <v>1681653.0</v>
      </c>
      <c r="C1943" s="30" t="str">
        <f t="shared" si="1"/>
        <v>+</v>
      </c>
      <c r="D1943" s="29">
        <f t="shared" si="2"/>
        <v>648</v>
      </c>
      <c r="E1943" s="30"/>
      <c r="F1943" s="30"/>
      <c r="G1943" s="30"/>
      <c r="H1943" s="30"/>
      <c r="I1943" s="30"/>
      <c r="J1943" s="30"/>
      <c r="K1943" s="30"/>
      <c r="L1943" s="30"/>
      <c r="M1943" s="30"/>
      <c r="N1943" s="30"/>
      <c r="O1943" s="30"/>
      <c r="P1943" s="30"/>
      <c r="Q1943" s="30"/>
      <c r="R1943" s="30"/>
      <c r="S1943" s="30"/>
      <c r="T1943" s="30"/>
      <c r="U1943" s="30"/>
      <c r="V1943" s="30"/>
      <c r="W1943" s="30"/>
      <c r="X1943" s="30"/>
      <c r="Y1943" s="30"/>
      <c r="Z1943" s="30"/>
      <c r="AA1943" s="30"/>
    </row>
    <row r="1944">
      <c r="A1944" s="29">
        <v>1681655.0</v>
      </c>
      <c r="B1944" s="29">
        <v>1682413.0</v>
      </c>
      <c r="C1944" s="30" t="str">
        <f t="shared" si="1"/>
        <v>+</v>
      </c>
      <c r="D1944" s="29">
        <f t="shared" si="2"/>
        <v>648</v>
      </c>
      <c r="E1944" s="30"/>
      <c r="F1944" s="30"/>
      <c r="G1944" s="30"/>
      <c r="H1944" s="30"/>
      <c r="I1944" s="30"/>
      <c r="J1944" s="30"/>
      <c r="K1944" s="30"/>
      <c r="L1944" s="30"/>
      <c r="M1944" s="30"/>
      <c r="N1944" s="30"/>
      <c r="O1944" s="30"/>
      <c r="P1944" s="30"/>
      <c r="Q1944" s="30"/>
      <c r="R1944" s="30"/>
      <c r="S1944" s="30"/>
      <c r="T1944" s="30"/>
      <c r="U1944" s="30"/>
      <c r="V1944" s="30"/>
      <c r="W1944" s="30"/>
      <c r="X1944" s="30"/>
      <c r="Y1944" s="30"/>
      <c r="Z1944" s="30"/>
      <c r="AA1944" s="30"/>
    </row>
    <row r="1945">
      <c r="A1945" s="29">
        <v>1682406.0</v>
      </c>
      <c r="B1945" s="29">
        <v>1682819.0</v>
      </c>
      <c r="C1945" s="30" t="str">
        <f t="shared" si="1"/>
        <v>+</v>
      </c>
      <c r="D1945" s="29">
        <f t="shared" si="2"/>
        <v>648</v>
      </c>
      <c r="E1945" s="30"/>
      <c r="F1945" s="30"/>
      <c r="G1945" s="30"/>
      <c r="H1945" s="30"/>
      <c r="I1945" s="30"/>
      <c r="J1945" s="30"/>
      <c r="K1945" s="30"/>
      <c r="L1945" s="30"/>
      <c r="M1945" s="30"/>
      <c r="N1945" s="30"/>
      <c r="O1945" s="30"/>
      <c r="P1945" s="30"/>
      <c r="Q1945" s="30"/>
      <c r="R1945" s="30"/>
      <c r="S1945" s="30"/>
      <c r="T1945" s="30"/>
      <c r="U1945" s="30"/>
      <c r="V1945" s="30"/>
      <c r="W1945" s="30"/>
      <c r="X1945" s="30"/>
      <c r="Y1945" s="30"/>
      <c r="Z1945" s="30"/>
      <c r="AA1945" s="30"/>
    </row>
    <row r="1946">
      <c r="A1946" s="29">
        <v>1682904.0</v>
      </c>
      <c r="B1946" s="29">
        <v>1683416.0</v>
      </c>
      <c r="C1946" s="30" t="str">
        <f t="shared" si="1"/>
        <v>+</v>
      </c>
      <c r="D1946" s="29">
        <f t="shared" si="2"/>
        <v>648</v>
      </c>
      <c r="E1946" s="30"/>
      <c r="F1946" s="30"/>
      <c r="G1946" s="30"/>
      <c r="H1946" s="30"/>
      <c r="I1946" s="30"/>
      <c r="J1946" s="30"/>
      <c r="K1946" s="30"/>
      <c r="L1946" s="30"/>
      <c r="M1946" s="30"/>
      <c r="N1946" s="30"/>
      <c r="O1946" s="30"/>
      <c r="P1946" s="30"/>
      <c r="Q1946" s="30"/>
      <c r="R1946" s="30"/>
      <c r="S1946" s="30"/>
      <c r="T1946" s="30"/>
      <c r="U1946" s="30"/>
      <c r="V1946" s="30"/>
      <c r="W1946" s="30"/>
      <c r="X1946" s="30"/>
      <c r="Y1946" s="30"/>
      <c r="Z1946" s="30"/>
      <c r="AA1946" s="30"/>
    </row>
    <row r="1947">
      <c r="A1947" s="29">
        <v>1683413.0</v>
      </c>
      <c r="B1947" s="29">
        <v>1684075.0</v>
      </c>
      <c r="C1947" s="30" t="str">
        <f t="shared" si="1"/>
        <v>+</v>
      </c>
      <c r="D1947" s="29">
        <f t="shared" si="2"/>
        <v>648</v>
      </c>
      <c r="E1947" s="30"/>
      <c r="F1947" s="30"/>
      <c r="G1947" s="30"/>
      <c r="H1947" s="30"/>
      <c r="I1947" s="30"/>
      <c r="J1947" s="30"/>
      <c r="K1947" s="30"/>
      <c r="L1947" s="30"/>
      <c r="M1947" s="30"/>
      <c r="N1947" s="30"/>
      <c r="O1947" s="30"/>
      <c r="P1947" s="30"/>
      <c r="Q1947" s="30"/>
      <c r="R1947" s="30"/>
      <c r="S1947" s="30"/>
      <c r="T1947" s="30"/>
      <c r="U1947" s="30"/>
      <c r="V1947" s="30"/>
      <c r="W1947" s="30"/>
      <c r="X1947" s="30"/>
      <c r="Y1947" s="30"/>
      <c r="Z1947" s="30"/>
      <c r="AA1947" s="30"/>
    </row>
    <row r="1948">
      <c r="A1948" s="29">
        <v>1684803.0</v>
      </c>
      <c r="B1948" s="29">
        <v>1684726.0</v>
      </c>
      <c r="C1948" s="30" t="str">
        <f t="shared" si="1"/>
        <v>-</v>
      </c>
      <c r="D1948" s="29">
        <f t="shared" si="2"/>
        <v>649</v>
      </c>
      <c r="E1948" s="30"/>
      <c r="F1948" s="30"/>
      <c r="G1948" s="30"/>
      <c r="H1948" s="30"/>
      <c r="I1948" s="30"/>
      <c r="J1948" s="30"/>
      <c r="K1948" s="30"/>
      <c r="L1948" s="30"/>
      <c r="M1948" s="30"/>
      <c r="N1948" s="30"/>
      <c r="O1948" s="30"/>
      <c r="P1948" s="30"/>
      <c r="Q1948" s="30"/>
      <c r="R1948" s="30"/>
      <c r="S1948" s="30"/>
      <c r="T1948" s="30"/>
      <c r="U1948" s="30"/>
      <c r="V1948" s="30"/>
      <c r="W1948" s="30"/>
      <c r="X1948" s="30"/>
      <c r="Y1948" s="30"/>
      <c r="Z1948" s="30"/>
      <c r="AA1948" s="30"/>
    </row>
    <row r="1949">
      <c r="A1949" s="29">
        <v>1685162.0</v>
      </c>
      <c r="B1949" s="29">
        <v>1684941.0</v>
      </c>
      <c r="C1949" s="30" t="str">
        <f t="shared" si="1"/>
        <v>-</v>
      </c>
      <c r="D1949" s="29">
        <f t="shared" si="2"/>
        <v>649</v>
      </c>
      <c r="E1949" s="30"/>
      <c r="F1949" s="30"/>
      <c r="G1949" s="30"/>
      <c r="H1949" s="30"/>
      <c r="I1949" s="30"/>
      <c r="J1949" s="30"/>
      <c r="K1949" s="30"/>
      <c r="L1949" s="30"/>
      <c r="M1949" s="30"/>
      <c r="N1949" s="30"/>
      <c r="O1949" s="30"/>
      <c r="P1949" s="30"/>
      <c r="Q1949" s="30"/>
      <c r="R1949" s="30"/>
      <c r="S1949" s="30"/>
      <c r="T1949" s="30"/>
      <c r="U1949" s="30"/>
      <c r="V1949" s="30"/>
      <c r="W1949" s="30"/>
      <c r="X1949" s="30"/>
      <c r="Y1949" s="30"/>
      <c r="Z1949" s="30"/>
      <c r="AA1949" s="30"/>
    </row>
    <row r="1950">
      <c r="A1950" s="29">
        <v>1685659.0</v>
      </c>
      <c r="B1950" s="29">
        <v>1685159.0</v>
      </c>
      <c r="C1950" s="30" t="str">
        <f t="shared" si="1"/>
        <v>-</v>
      </c>
      <c r="D1950" s="29">
        <f t="shared" si="2"/>
        <v>649</v>
      </c>
      <c r="E1950" s="30"/>
      <c r="F1950" s="30"/>
      <c r="G1950" s="30"/>
      <c r="H1950" s="30"/>
      <c r="I1950" s="30"/>
      <c r="J1950" s="30"/>
      <c r="K1950" s="30"/>
      <c r="L1950" s="30"/>
      <c r="M1950" s="30"/>
      <c r="N1950" s="30"/>
      <c r="O1950" s="30"/>
      <c r="P1950" s="30"/>
      <c r="Q1950" s="30"/>
      <c r="R1950" s="30"/>
      <c r="S1950" s="30"/>
      <c r="T1950" s="30"/>
      <c r="U1950" s="30"/>
      <c r="V1950" s="30"/>
      <c r="W1950" s="30"/>
      <c r="X1950" s="30"/>
      <c r="Y1950" s="30"/>
      <c r="Z1950" s="30"/>
      <c r="AA1950" s="30"/>
    </row>
    <row r="1951">
      <c r="A1951" s="29">
        <v>1685972.0</v>
      </c>
      <c r="B1951" s="29">
        <v>1685649.0</v>
      </c>
      <c r="C1951" s="30" t="str">
        <f t="shared" si="1"/>
        <v>-</v>
      </c>
      <c r="D1951" s="29">
        <f t="shared" si="2"/>
        <v>649</v>
      </c>
      <c r="E1951" s="30"/>
      <c r="F1951" s="30"/>
      <c r="G1951" s="30"/>
      <c r="H1951" s="30"/>
      <c r="I1951" s="30"/>
      <c r="J1951" s="30"/>
      <c r="K1951" s="30"/>
      <c r="L1951" s="30"/>
      <c r="M1951" s="30"/>
      <c r="N1951" s="30"/>
      <c r="O1951" s="30"/>
      <c r="P1951" s="30"/>
      <c r="Q1951" s="30"/>
      <c r="R1951" s="30"/>
      <c r="S1951" s="30"/>
      <c r="T1951" s="30"/>
      <c r="U1951" s="30"/>
      <c r="V1951" s="30"/>
      <c r="W1951" s="30"/>
      <c r="X1951" s="30"/>
      <c r="Y1951" s="30"/>
      <c r="Z1951" s="30"/>
      <c r="AA1951" s="30"/>
    </row>
    <row r="1952">
      <c r="A1952" s="29">
        <v>1685997.0</v>
      </c>
      <c r="B1952" s="29">
        <v>1686458.0</v>
      </c>
      <c r="C1952" s="30" t="str">
        <f t="shared" si="1"/>
        <v>+</v>
      </c>
      <c r="D1952" s="29">
        <f t="shared" si="2"/>
        <v>650</v>
      </c>
      <c r="E1952" s="30"/>
      <c r="F1952" s="30"/>
      <c r="G1952" s="30"/>
      <c r="H1952" s="30"/>
      <c r="I1952" s="30"/>
      <c r="J1952" s="30"/>
      <c r="K1952" s="30"/>
      <c r="L1952" s="30"/>
      <c r="M1952" s="30"/>
      <c r="N1952" s="30"/>
      <c r="O1952" s="30"/>
      <c r="P1952" s="30"/>
      <c r="Q1952" s="30"/>
      <c r="R1952" s="30"/>
      <c r="S1952" s="30"/>
      <c r="T1952" s="30"/>
      <c r="U1952" s="30"/>
      <c r="V1952" s="30"/>
      <c r="W1952" s="30"/>
      <c r="X1952" s="30"/>
      <c r="Y1952" s="30"/>
      <c r="Z1952" s="30"/>
      <c r="AA1952" s="30"/>
    </row>
    <row r="1953">
      <c r="A1953" s="29">
        <v>1686589.0</v>
      </c>
      <c r="B1953" s="29">
        <v>1687029.0</v>
      </c>
      <c r="C1953" s="30" t="str">
        <f t="shared" si="1"/>
        <v>+</v>
      </c>
      <c r="D1953" s="29">
        <f t="shared" si="2"/>
        <v>650</v>
      </c>
      <c r="E1953" s="30"/>
      <c r="F1953" s="30"/>
      <c r="G1953" s="30"/>
      <c r="H1953" s="30"/>
      <c r="I1953" s="30"/>
      <c r="J1953" s="30"/>
      <c r="K1953" s="30"/>
      <c r="L1953" s="30"/>
      <c r="M1953" s="30"/>
      <c r="N1953" s="30"/>
      <c r="O1953" s="30"/>
      <c r="P1953" s="30"/>
      <c r="Q1953" s="30"/>
      <c r="R1953" s="30"/>
      <c r="S1953" s="30"/>
      <c r="T1953" s="30"/>
      <c r="U1953" s="30"/>
      <c r="V1953" s="30"/>
      <c r="W1953" s="30"/>
      <c r="X1953" s="30"/>
      <c r="Y1953" s="30"/>
      <c r="Z1953" s="30"/>
      <c r="AA1953" s="30"/>
    </row>
    <row r="1954">
      <c r="A1954" s="29">
        <v>1687866.0</v>
      </c>
      <c r="B1954" s="29">
        <v>1687687.0</v>
      </c>
      <c r="C1954" s="30" t="str">
        <f t="shared" si="1"/>
        <v>-</v>
      </c>
      <c r="D1954" s="29">
        <f t="shared" si="2"/>
        <v>651</v>
      </c>
      <c r="E1954" s="30"/>
      <c r="F1954" s="30"/>
      <c r="G1954" s="30"/>
      <c r="H1954" s="30"/>
      <c r="I1954" s="30"/>
      <c r="J1954" s="30"/>
      <c r="K1954" s="30"/>
      <c r="L1954" s="30"/>
      <c r="M1954" s="30"/>
      <c r="N1954" s="30"/>
      <c r="O1954" s="30"/>
      <c r="P1954" s="30"/>
      <c r="Q1954" s="30"/>
      <c r="R1954" s="30"/>
      <c r="S1954" s="30"/>
      <c r="T1954" s="30"/>
      <c r="U1954" s="30"/>
      <c r="V1954" s="30"/>
      <c r="W1954" s="30"/>
      <c r="X1954" s="30"/>
      <c r="Y1954" s="30"/>
      <c r="Z1954" s="30"/>
      <c r="AA1954" s="30"/>
    </row>
    <row r="1955">
      <c r="A1955" s="29">
        <v>1688165.0</v>
      </c>
      <c r="B1955" s="29">
        <v>1687860.0</v>
      </c>
      <c r="C1955" s="30" t="str">
        <f t="shared" si="1"/>
        <v>-</v>
      </c>
      <c r="D1955" s="29">
        <f t="shared" si="2"/>
        <v>651</v>
      </c>
      <c r="E1955" s="30"/>
      <c r="F1955" s="30"/>
      <c r="G1955" s="30"/>
      <c r="H1955" s="30"/>
      <c r="I1955" s="30"/>
      <c r="J1955" s="30"/>
      <c r="K1955" s="30"/>
      <c r="L1955" s="30"/>
      <c r="M1955" s="30"/>
      <c r="N1955" s="30"/>
      <c r="O1955" s="30"/>
      <c r="P1955" s="30"/>
      <c r="Q1955" s="30"/>
      <c r="R1955" s="30"/>
      <c r="S1955" s="30"/>
      <c r="T1955" s="30"/>
      <c r="U1955" s="30"/>
      <c r="V1955" s="30"/>
      <c r="W1955" s="30"/>
      <c r="X1955" s="30"/>
      <c r="Y1955" s="30"/>
      <c r="Z1955" s="30"/>
      <c r="AA1955" s="30"/>
    </row>
    <row r="1956">
      <c r="A1956" s="29">
        <v>1688425.0</v>
      </c>
      <c r="B1956" s="29">
        <v>1688264.0</v>
      </c>
      <c r="C1956" s="30" t="str">
        <f t="shared" si="1"/>
        <v>-</v>
      </c>
      <c r="D1956" s="29">
        <f t="shared" si="2"/>
        <v>651</v>
      </c>
      <c r="E1956" s="30"/>
      <c r="F1956" s="30"/>
      <c r="G1956" s="30"/>
      <c r="H1956" s="30"/>
      <c r="I1956" s="30"/>
      <c r="J1956" s="30"/>
      <c r="K1956" s="30"/>
      <c r="L1956" s="30"/>
      <c r="M1956" s="30"/>
      <c r="N1956" s="30"/>
      <c r="O1956" s="30"/>
      <c r="P1956" s="30"/>
      <c r="Q1956" s="30"/>
      <c r="R1956" s="30"/>
      <c r="S1956" s="30"/>
      <c r="T1956" s="30"/>
      <c r="U1956" s="30"/>
      <c r="V1956" s="30"/>
      <c r="W1956" s="30"/>
      <c r="X1956" s="30"/>
      <c r="Y1956" s="30"/>
      <c r="Z1956" s="30"/>
      <c r="AA1956" s="30"/>
    </row>
    <row r="1957">
      <c r="A1957" s="29">
        <v>1688582.0</v>
      </c>
      <c r="B1957" s="29">
        <v>1689061.0</v>
      </c>
      <c r="C1957" s="30" t="str">
        <f t="shared" si="1"/>
        <v>+</v>
      </c>
      <c r="D1957" s="29">
        <f t="shared" si="2"/>
        <v>652</v>
      </c>
      <c r="E1957" s="30"/>
      <c r="F1957" s="30"/>
      <c r="G1957" s="30"/>
      <c r="H1957" s="30"/>
      <c r="I1957" s="30"/>
      <c r="J1957" s="30"/>
      <c r="K1957" s="30"/>
      <c r="L1957" s="30"/>
      <c r="M1957" s="30"/>
      <c r="N1957" s="30"/>
      <c r="O1957" s="30"/>
      <c r="P1957" s="30"/>
      <c r="Q1957" s="30"/>
      <c r="R1957" s="30"/>
      <c r="S1957" s="30"/>
      <c r="T1957" s="30"/>
      <c r="U1957" s="30"/>
      <c r="V1957" s="30"/>
      <c r="W1957" s="30"/>
      <c r="X1957" s="30"/>
      <c r="Y1957" s="30"/>
      <c r="Z1957" s="30"/>
      <c r="AA1957" s="30"/>
    </row>
    <row r="1958">
      <c r="A1958" s="29">
        <v>1689058.0</v>
      </c>
      <c r="B1958" s="29">
        <v>1689456.0</v>
      </c>
      <c r="C1958" s="30" t="str">
        <f t="shared" si="1"/>
        <v>+</v>
      </c>
      <c r="D1958" s="29">
        <f t="shared" si="2"/>
        <v>652</v>
      </c>
      <c r="E1958" s="30"/>
      <c r="F1958" s="30"/>
      <c r="G1958" s="30"/>
      <c r="H1958" s="30"/>
      <c r="I1958" s="30"/>
      <c r="J1958" s="30"/>
      <c r="K1958" s="30"/>
      <c r="L1958" s="30"/>
      <c r="M1958" s="30"/>
      <c r="N1958" s="30"/>
      <c r="O1958" s="30"/>
      <c r="P1958" s="30"/>
      <c r="Q1958" s="30"/>
      <c r="R1958" s="30"/>
      <c r="S1958" s="30"/>
      <c r="T1958" s="30"/>
      <c r="U1958" s="30"/>
      <c r="V1958" s="30"/>
      <c r="W1958" s="30"/>
      <c r="X1958" s="30"/>
      <c r="Y1958" s="30"/>
      <c r="Z1958" s="30"/>
      <c r="AA1958" s="30"/>
    </row>
    <row r="1959">
      <c r="A1959" s="29">
        <v>1691546.0</v>
      </c>
      <c r="B1959" s="29">
        <v>1690209.0</v>
      </c>
      <c r="C1959" s="30" t="str">
        <f t="shared" si="1"/>
        <v>-</v>
      </c>
      <c r="D1959" s="29">
        <f t="shared" si="2"/>
        <v>653</v>
      </c>
      <c r="E1959" s="30"/>
      <c r="F1959" s="30"/>
      <c r="G1959" s="30"/>
      <c r="H1959" s="30"/>
      <c r="I1959" s="30"/>
      <c r="J1959" s="30"/>
      <c r="K1959" s="30"/>
      <c r="L1959" s="30"/>
      <c r="M1959" s="30"/>
      <c r="N1959" s="30"/>
      <c r="O1959" s="30"/>
      <c r="P1959" s="30"/>
      <c r="Q1959" s="30"/>
      <c r="R1959" s="30"/>
      <c r="S1959" s="30"/>
      <c r="T1959" s="30"/>
      <c r="U1959" s="30"/>
      <c r="V1959" s="30"/>
      <c r="W1959" s="30"/>
      <c r="X1959" s="30"/>
      <c r="Y1959" s="30"/>
      <c r="Z1959" s="30"/>
      <c r="AA1959" s="30"/>
    </row>
    <row r="1960">
      <c r="A1960" s="29">
        <v>1691730.0</v>
      </c>
      <c r="B1960" s="29">
        <v>1691858.0</v>
      </c>
      <c r="C1960" s="30" t="str">
        <f t="shared" si="1"/>
        <v>+</v>
      </c>
      <c r="D1960" s="29">
        <f t="shared" si="2"/>
        <v>654</v>
      </c>
      <c r="E1960" s="30"/>
      <c r="F1960" s="30"/>
      <c r="G1960" s="30"/>
      <c r="H1960" s="30"/>
      <c r="I1960" s="30"/>
      <c r="J1960" s="30"/>
      <c r="K1960" s="30"/>
      <c r="L1960" s="30"/>
      <c r="M1960" s="30"/>
      <c r="N1960" s="30"/>
      <c r="O1960" s="30"/>
      <c r="P1960" s="30"/>
      <c r="Q1960" s="30"/>
      <c r="R1960" s="30"/>
      <c r="S1960" s="30"/>
      <c r="T1960" s="30"/>
      <c r="U1960" s="30"/>
      <c r="V1960" s="30"/>
      <c r="W1960" s="30"/>
      <c r="X1960" s="30"/>
      <c r="Y1960" s="30"/>
      <c r="Z1960" s="30"/>
      <c r="AA1960" s="30"/>
    </row>
    <row r="1961">
      <c r="A1961" s="29">
        <v>1692663.0</v>
      </c>
      <c r="B1961" s="29">
        <v>1691872.0</v>
      </c>
      <c r="C1961" s="30" t="str">
        <f t="shared" si="1"/>
        <v>-</v>
      </c>
      <c r="D1961" s="29">
        <f t="shared" si="2"/>
        <v>655</v>
      </c>
      <c r="E1961" s="30"/>
      <c r="F1961" s="30"/>
      <c r="G1961" s="30"/>
      <c r="H1961" s="30"/>
      <c r="I1961" s="30"/>
      <c r="J1961" s="30"/>
      <c r="K1961" s="30"/>
      <c r="L1961" s="30"/>
      <c r="M1961" s="30"/>
      <c r="N1961" s="30"/>
      <c r="O1961" s="30"/>
      <c r="P1961" s="30"/>
      <c r="Q1961" s="30"/>
      <c r="R1961" s="30"/>
      <c r="S1961" s="30"/>
      <c r="T1961" s="30"/>
      <c r="U1961" s="30"/>
      <c r="V1961" s="30"/>
      <c r="W1961" s="30"/>
      <c r="X1961" s="30"/>
      <c r="Y1961" s="30"/>
      <c r="Z1961" s="30"/>
      <c r="AA1961" s="30"/>
    </row>
    <row r="1962">
      <c r="A1962" s="29">
        <v>1693496.0</v>
      </c>
      <c r="B1962" s="29">
        <v>1692651.0</v>
      </c>
      <c r="C1962" s="30" t="str">
        <f t="shared" si="1"/>
        <v>-</v>
      </c>
      <c r="D1962" s="29">
        <f t="shared" si="2"/>
        <v>655</v>
      </c>
      <c r="E1962" s="30"/>
      <c r="F1962" s="30"/>
      <c r="G1962" s="30"/>
      <c r="H1962" s="30"/>
      <c r="I1962" s="30"/>
      <c r="J1962" s="30"/>
      <c r="K1962" s="30"/>
      <c r="L1962" s="30"/>
      <c r="M1962" s="30"/>
      <c r="N1962" s="30"/>
      <c r="O1962" s="30"/>
      <c r="P1962" s="30"/>
      <c r="Q1962" s="30"/>
      <c r="R1962" s="30"/>
      <c r="S1962" s="30"/>
      <c r="T1962" s="30"/>
      <c r="U1962" s="30"/>
      <c r="V1962" s="30"/>
      <c r="W1962" s="30"/>
      <c r="X1962" s="30"/>
      <c r="Y1962" s="30"/>
      <c r="Z1962" s="30"/>
      <c r="AA1962" s="30"/>
    </row>
    <row r="1963">
      <c r="A1963" s="29">
        <v>1694433.0</v>
      </c>
      <c r="B1963" s="29">
        <v>1693489.0</v>
      </c>
      <c r="C1963" s="30" t="str">
        <f t="shared" si="1"/>
        <v>-</v>
      </c>
      <c r="D1963" s="29">
        <f t="shared" si="2"/>
        <v>655</v>
      </c>
      <c r="E1963" s="30"/>
      <c r="F1963" s="30"/>
      <c r="G1963" s="30"/>
      <c r="H1963" s="30"/>
      <c r="I1963" s="30"/>
      <c r="J1963" s="30"/>
      <c r="K1963" s="30"/>
      <c r="L1963" s="30"/>
      <c r="M1963" s="30"/>
      <c r="N1963" s="30"/>
      <c r="O1963" s="30"/>
      <c r="P1963" s="30"/>
      <c r="Q1963" s="30"/>
      <c r="R1963" s="30"/>
      <c r="S1963" s="30"/>
      <c r="T1963" s="30"/>
      <c r="U1963" s="30"/>
      <c r="V1963" s="30"/>
      <c r="W1963" s="30"/>
      <c r="X1963" s="30"/>
      <c r="Y1963" s="30"/>
      <c r="Z1963" s="30"/>
      <c r="AA1963" s="30"/>
    </row>
    <row r="1964">
      <c r="A1964" s="29">
        <v>1695869.0</v>
      </c>
      <c r="B1964" s="29">
        <v>1694526.0</v>
      </c>
      <c r="C1964" s="30" t="str">
        <f t="shared" si="1"/>
        <v>-</v>
      </c>
      <c r="D1964" s="29">
        <f t="shared" si="2"/>
        <v>655</v>
      </c>
      <c r="E1964" s="30"/>
      <c r="F1964" s="30"/>
      <c r="G1964" s="30"/>
      <c r="H1964" s="30"/>
      <c r="I1964" s="30"/>
      <c r="J1964" s="30"/>
      <c r="K1964" s="30"/>
      <c r="L1964" s="30"/>
      <c r="M1964" s="30"/>
      <c r="N1964" s="30"/>
      <c r="O1964" s="30"/>
      <c r="P1964" s="30"/>
      <c r="Q1964" s="30"/>
      <c r="R1964" s="30"/>
      <c r="S1964" s="30"/>
      <c r="T1964" s="30"/>
      <c r="U1964" s="30"/>
      <c r="V1964" s="30"/>
      <c r="W1964" s="30"/>
      <c r="X1964" s="30"/>
      <c r="Y1964" s="30"/>
      <c r="Z1964" s="30"/>
      <c r="AA1964" s="30"/>
    </row>
    <row r="1965">
      <c r="A1965" s="29">
        <v>1697016.0</v>
      </c>
      <c r="B1965" s="29">
        <v>1696111.0</v>
      </c>
      <c r="C1965" s="30" t="str">
        <f t="shared" si="1"/>
        <v>-</v>
      </c>
      <c r="D1965" s="29">
        <f t="shared" si="2"/>
        <v>655</v>
      </c>
      <c r="E1965" s="30"/>
      <c r="F1965" s="30"/>
      <c r="G1965" s="30"/>
      <c r="H1965" s="30"/>
      <c r="I1965" s="30"/>
      <c r="J1965" s="30"/>
      <c r="K1965" s="30"/>
      <c r="L1965" s="30"/>
      <c r="M1965" s="30"/>
      <c r="N1965" s="30"/>
      <c r="O1965" s="30"/>
      <c r="P1965" s="30"/>
      <c r="Q1965" s="30"/>
      <c r="R1965" s="30"/>
      <c r="S1965" s="30"/>
      <c r="T1965" s="30"/>
      <c r="U1965" s="30"/>
      <c r="V1965" s="30"/>
      <c r="W1965" s="30"/>
      <c r="X1965" s="30"/>
      <c r="Y1965" s="30"/>
      <c r="Z1965" s="30"/>
      <c r="AA1965" s="30"/>
    </row>
    <row r="1966">
      <c r="A1966" s="29">
        <v>1697825.0</v>
      </c>
      <c r="B1966" s="29">
        <v>1696998.0</v>
      </c>
      <c r="C1966" s="30" t="str">
        <f t="shared" si="1"/>
        <v>-</v>
      </c>
      <c r="D1966" s="29">
        <f t="shared" si="2"/>
        <v>655</v>
      </c>
      <c r="E1966" s="30"/>
      <c r="F1966" s="30"/>
      <c r="G1966" s="30"/>
      <c r="H1966" s="30"/>
      <c r="I1966" s="30"/>
      <c r="J1966" s="30"/>
      <c r="K1966" s="30"/>
      <c r="L1966" s="30"/>
      <c r="M1966" s="30"/>
      <c r="N1966" s="30"/>
      <c r="O1966" s="30"/>
      <c r="P1966" s="30"/>
      <c r="Q1966" s="30"/>
      <c r="R1966" s="30"/>
      <c r="S1966" s="30"/>
      <c r="T1966" s="30"/>
      <c r="U1966" s="30"/>
      <c r="V1966" s="30"/>
      <c r="W1966" s="30"/>
      <c r="X1966" s="30"/>
      <c r="Y1966" s="30"/>
      <c r="Z1966" s="30"/>
      <c r="AA1966" s="30"/>
    </row>
    <row r="1967">
      <c r="A1967" s="29">
        <v>1698627.0</v>
      </c>
      <c r="B1967" s="29">
        <v>1697830.0</v>
      </c>
      <c r="C1967" s="30" t="str">
        <f t="shared" si="1"/>
        <v>-</v>
      </c>
      <c r="D1967" s="29">
        <f t="shared" si="2"/>
        <v>655</v>
      </c>
      <c r="E1967" s="30"/>
      <c r="F1967" s="30"/>
      <c r="G1967" s="30"/>
      <c r="H1967" s="30"/>
      <c r="I1967" s="30"/>
      <c r="J1967" s="30"/>
      <c r="K1967" s="30"/>
      <c r="L1967" s="30"/>
      <c r="M1967" s="30"/>
      <c r="N1967" s="30"/>
      <c r="O1967" s="30"/>
      <c r="P1967" s="30"/>
      <c r="Q1967" s="30"/>
      <c r="R1967" s="30"/>
      <c r="S1967" s="30"/>
      <c r="T1967" s="30"/>
      <c r="U1967" s="30"/>
      <c r="V1967" s="30"/>
      <c r="W1967" s="30"/>
      <c r="X1967" s="30"/>
      <c r="Y1967" s="30"/>
      <c r="Z1967" s="30"/>
      <c r="AA1967" s="30"/>
    </row>
    <row r="1968">
      <c r="A1968" s="29">
        <v>1700017.0</v>
      </c>
      <c r="B1968" s="29">
        <v>1698620.0</v>
      </c>
      <c r="C1968" s="30" t="str">
        <f t="shared" si="1"/>
        <v>-</v>
      </c>
      <c r="D1968" s="29">
        <f t="shared" si="2"/>
        <v>655</v>
      </c>
      <c r="E1968" s="30"/>
      <c r="F1968" s="30"/>
      <c r="G1968" s="30"/>
      <c r="H1968" s="30"/>
      <c r="I1968" s="30"/>
      <c r="J1968" s="30"/>
      <c r="K1968" s="30"/>
      <c r="L1968" s="30"/>
      <c r="M1968" s="30"/>
      <c r="N1968" s="30"/>
      <c r="O1968" s="30"/>
      <c r="P1968" s="30"/>
      <c r="Q1968" s="30"/>
      <c r="R1968" s="30"/>
      <c r="S1968" s="30"/>
      <c r="T1968" s="30"/>
      <c r="U1968" s="30"/>
      <c r="V1968" s="30"/>
      <c r="W1968" s="30"/>
      <c r="X1968" s="30"/>
      <c r="Y1968" s="30"/>
      <c r="Z1968" s="30"/>
      <c r="AA1968" s="30"/>
    </row>
    <row r="1969">
      <c r="A1969" s="29">
        <v>1700412.0</v>
      </c>
      <c r="B1969" s="29">
        <v>1700669.0</v>
      </c>
      <c r="C1969" s="30" t="str">
        <f t="shared" si="1"/>
        <v>+</v>
      </c>
      <c r="D1969" s="29">
        <f t="shared" si="2"/>
        <v>656</v>
      </c>
      <c r="E1969" s="30"/>
      <c r="F1969" s="30"/>
      <c r="G1969" s="30"/>
      <c r="H1969" s="30"/>
      <c r="I1969" s="30"/>
      <c r="J1969" s="30"/>
      <c r="K1969" s="30"/>
      <c r="L1969" s="30"/>
      <c r="M1969" s="30"/>
      <c r="N1969" s="30"/>
      <c r="O1969" s="30"/>
      <c r="P1969" s="30"/>
      <c r="Q1969" s="30"/>
      <c r="R1969" s="30"/>
      <c r="S1969" s="30"/>
      <c r="T1969" s="30"/>
      <c r="U1969" s="30"/>
      <c r="V1969" s="30"/>
      <c r="W1969" s="30"/>
      <c r="X1969" s="30"/>
      <c r="Y1969" s="30"/>
      <c r="Z1969" s="30"/>
      <c r="AA1969" s="30"/>
    </row>
    <row r="1970">
      <c r="A1970" s="29">
        <v>1700653.0</v>
      </c>
      <c r="B1970" s="29">
        <v>1701150.0</v>
      </c>
      <c r="C1970" s="30" t="str">
        <f t="shared" si="1"/>
        <v>+</v>
      </c>
      <c r="D1970" s="29">
        <f t="shared" si="2"/>
        <v>656</v>
      </c>
      <c r="E1970" s="30"/>
      <c r="F1970" s="30"/>
      <c r="G1970" s="30"/>
      <c r="H1970" s="30"/>
      <c r="I1970" s="30"/>
      <c r="J1970" s="30"/>
      <c r="K1970" s="30"/>
      <c r="L1970" s="30"/>
      <c r="M1970" s="30"/>
      <c r="N1970" s="30"/>
      <c r="O1970" s="30"/>
      <c r="P1970" s="30"/>
      <c r="Q1970" s="30"/>
      <c r="R1970" s="30"/>
      <c r="S1970" s="30"/>
      <c r="T1970" s="30"/>
      <c r="U1970" s="30"/>
      <c r="V1970" s="30"/>
      <c r="W1970" s="30"/>
      <c r="X1970" s="30"/>
      <c r="Y1970" s="30"/>
      <c r="Z1970" s="30"/>
      <c r="AA1970" s="30"/>
    </row>
    <row r="1971">
      <c r="A1971" s="29">
        <v>1702971.0</v>
      </c>
      <c r="B1971" s="29">
        <v>1701121.0</v>
      </c>
      <c r="C1971" s="30" t="str">
        <f t="shared" si="1"/>
        <v>-</v>
      </c>
      <c r="D1971" s="29">
        <f t="shared" si="2"/>
        <v>657</v>
      </c>
      <c r="E1971" s="30"/>
      <c r="F1971" s="30"/>
      <c r="G1971" s="30"/>
      <c r="H1971" s="30"/>
      <c r="I1971" s="30"/>
      <c r="J1971" s="30"/>
      <c r="K1971" s="30"/>
      <c r="L1971" s="30"/>
      <c r="M1971" s="30"/>
      <c r="N1971" s="30"/>
      <c r="O1971" s="30"/>
      <c r="P1971" s="30"/>
      <c r="Q1971" s="30"/>
      <c r="R1971" s="30"/>
      <c r="S1971" s="30"/>
      <c r="T1971" s="30"/>
      <c r="U1971" s="30"/>
      <c r="V1971" s="30"/>
      <c r="W1971" s="30"/>
      <c r="X1971" s="30"/>
      <c r="Y1971" s="30"/>
      <c r="Z1971" s="30"/>
      <c r="AA1971" s="30"/>
    </row>
    <row r="1972">
      <c r="A1972" s="29">
        <v>1703008.0</v>
      </c>
      <c r="B1972" s="29">
        <v>1703370.0</v>
      </c>
      <c r="C1972" s="30" t="str">
        <f t="shared" si="1"/>
        <v>+</v>
      </c>
      <c r="D1972" s="29">
        <f t="shared" si="2"/>
        <v>658</v>
      </c>
      <c r="E1972" s="30"/>
      <c r="F1972" s="30"/>
      <c r="G1972" s="30"/>
      <c r="H1972" s="30"/>
      <c r="I1972" s="30"/>
      <c r="J1972" s="30"/>
      <c r="K1972" s="30"/>
      <c r="L1972" s="30"/>
      <c r="M1972" s="30"/>
      <c r="N1972" s="30"/>
      <c r="O1972" s="30"/>
      <c r="P1972" s="30"/>
      <c r="Q1972" s="30"/>
      <c r="R1972" s="30"/>
      <c r="S1972" s="30"/>
      <c r="T1972" s="30"/>
      <c r="U1972" s="30"/>
      <c r="V1972" s="30"/>
      <c r="W1972" s="30"/>
      <c r="X1972" s="30"/>
      <c r="Y1972" s="30"/>
      <c r="Z1972" s="30"/>
      <c r="AA1972" s="30"/>
    </row>
    <row r="1973">
      <c r="A1973" s="29">
        <v>1703363.0</v>
      </c>
      <c r="B1973" s="29">
        <v>1703596.0</v>
      </c>
      <c r="C1973" s="30" t="str">
        <f t="shared" si="1"/>
        <v>+</v>
      </c>
      <c r="D1973" s="29">
        <f t="shared" si="2"/>
        <v>658</v>
      </c>
      <c r="E1973" s="30"/>
      <c r="F1973" s="30"/>
      <c r="G1973" s="30"/>
      <c r="H1973" s="30"/>
      <c r="I1973" s="30"/>
      <c r="J1973" s="30"/>
      <c r="K1973" s="30"/>
      <c r="L1973" s="30"/>
      <c r="M1973" s="30"/>
      <c r="N1973" s="30"/>
      <c r="O1973" s="30"/>
      <c r="P1973" s="30"/>
      <c r="Q1973" s="30"/>
      <c r="R1973" s="30"/>
      <c r="S1973" s="30"/>
      <c r="T1973" s="30"/>
      <c r="U1973" s="30"/>
      <c r="V1973" s="30"/>
      <c r="W1973" s="30"/>
      <c r="X1973" s="30"/>
      <c r="Y1973" s="30"/>
      <c r="Z1973" s="30"/>
      <c r="AA1973" s="30"/>
    </row>
    <row r="1974">
      <c r="A1974" s="29">
        <v>1703593.0</v>
      </c>
      <c r="B1974" s="29">
        <v>1704498.0</v>
      </c>
      <c r="C1974" s="30" t="str">
        <f t="shared" si="1"/>
        <v>+</v>
      </c>
      <c r="D1974" s="29">
        <f t="shared" si="2"/>
        <v>658</v>
      </c>
      <c r="E1974" s="30"/>
      <c r="F1974" s="30"/>
      <c r="G1974" s="30"/>
      <c r="H1974" s="30"/>
      <c r="I1974" s="30"/>
      <c r="J1974" s="30"/>
      <c r="K1974" s="30"/>
      <c r="L1974" s="30"/>
      <c r="M1974" s="30"/>
      <c r="N1974" s="30"/>
      <c r="O1974" s="30"/>
      <c r="P1974" s="30"/>
      <c r="Q1974" s="30"/>
      <c r="R1974" s="30"/>
      <c r="S1974" s="30"/>
      <c r="T1974" s="30"/>
      <c r="U1974" s="30"/>
      <c r="V1974" s="30"/>
      <c r="W1974" s="30"/>
      <c r="X1974" s="30"/>
      <c r="Y1974" s="30"/>
      <c r="Z1974" s="30"/>
      <c r="AA1974" s="30"/>
    </row>
    <row r="1975">
      <c r="A1975" s="29">
        <v>1704916.0</v>
      </c>
      <c r="B1975" s="29">
        <v>1705098.0</v>
      </c>
      <c r="C1975" s="30" t="str">
        <f t="shared" si="1"/>
        <v>+</v>
      </c>
      <c r="D1975" s="29">
        <f t="shared" si="2"/>
        <v>658</v>
      </c>
      <c r="E1975" s="30"/>
      <c r="F1975" s="30"/>
      <c r="G1975" s="30"/>
      <c r="H1975" s="30"/>
      <c r="I1975" s="30"/>
      <c r="J1975" s="30"/>
      <c r="K1975" s="30"/>
      <c r="L1975" s="30"/>
      <c r="M1975" s="30"/>
      <c r="N1975" s="30"/>
      <c r="O1975" s="30"/>
      <c r="P1975" s="30"/>
      <c r="Q1975" s="30"/>
      <c r="R1975" s="30"/>
      <c r="S1975" s="30"/>
      <c r="T1975" s="30"/>
      <c r="U1975" s="30"/>
      <c r="V1975" s="30"/>
      <c r="W1975" s="30"/>
      <c r="X1975" s="30"/>
      <c r="Y1975" s="30"/>
      <c r="Z1975" s="30"/>
      <c r="AA1975" s="30"/>
    </row>
    <row r="1976">
      <c r="A1976" s="29">
        <v>1705594.0</v>
      </c>
      <c r="B1976" s="29">
        <v>1705157.0</v>
      </c>
      <c r="C1976" s="30" t="str">
        <f t="shared" si="1"/>
        <v>-</v>
      </c>
      <c r="D1976" s="29">
        <f t="shared" si="2"/>
        <v>659</v>
      </c>
      <c r="E1976" s="30"/>
      <c r="F1976" s="30"/>
      <c r="G1976" s="30"/>
      <c r="H1976" s="30"/>
      <c r="I1976" s="30"/>
      <c r="J1976" s="30"/>
      <c r="K1976" s="30"/>
      <c r="L1976" s="30"/>
      <c r="M1976" s="30"/>
      <c r="N1976" s="30"/>
      <c r="O1976" s="30"/>
      <c r="P1976" s="30"/>
      <c r="Q1976" s="30"/>
      <c r="R1976" s="30"/>
      <c r="S1976" s="30"/>
      <c r="T1976" s="30"/>
      <c r="U1976" s="30"/>
      <c r="V1976" s="30"/>
      <c r="W1976" s="30"/>
      <c r="X1976" s="30"/>
      <c r="Y1976" s="30"/>
      <c r="Z1976" s="30"/>
      <c r="AA1976" s="30"/>
    </row>
    <row r="1977">
      <c r="A1977" s="29">
        <v>1705805.0</v>
      </c>
      <c r="B1977" s="29">
        <v>1705578.0</v>
      </c>
      <c r="C1977" s="30" t="str">
        <f t="shared" si="1"/>
        <v>-</v>
      </c>
      <c r="D1977" s="29">
        <f t="shared" si="2"/>
        <v>659</v>
      </c>
      <c r="E1977" s="30"/>
      <c r="F1977" s="30"/>
      <c r="G1977" s="30"/>
      <c r="H1977" s="30"/>
      <c r="I1977" s="30"/>
      <c r="J1977" s="30"/>
      <c r="K1977" s="30"/>
      <c r="L1977" s="30"/>
      <c r="M1977" s="30"/>
      <c r="N1977" s="30"/>
      <c r="O1977" s="30"/>
      <c r="P1977" s="30"/>
      <c r="Q1977" s="30"/>
      <c r="R1977" s="30"/>
      <c r="S1977" s="30"/>
      <c r="T1977" s="30"/>
      <c r="U1977" s="30"/>
      <c r="V1977" s="30"/>
      <c r="W1977" s="30"/>
      <c r="X1977" s="30"/>
      <c r="Y1977" s="30"/>
      <c r="Z1977" s="30"/>
      <c r="AA1977" s="30"/>
    </row>
    <row r="1978">
      <c r="A1978" s="29">
        <v>1705979.0</v>
      </c>
      <c r="B1978" s="29">
        <v>1705902.0</v>
      </c>
      <c r="C1978" s="30" t="str">
        <f t="shared" si="1"/>
        <v>-</v>
      </c>
      <c r="D1978" s="29">
        <f t="shared" si="2"/>
        <v>659</v>
      </c>
      <c r="E1978" s="30"/>
      <c r="F1978" s="30"/>
      <c r="G1978" s="30"/>
      <c r="H1978" s="30"/>
      <c r="I1978" s="30"/>
      <c r="J1978" s="30"/>
      <c r="K1978" s="30"/>
      <c r="L1978" s="30"/>
      <c r="M1978" s="30"/>
      <c r="N1978" s="30"/>
      <c r="O1978" s="30"/>
      <c r="P1978" s="30"/>
      <c r="Q1978" s="30"/>
      <c r="R1978" s="30"/>
      <c r="S1978" s="30"/>
      <c r="T1978" s="30"/>
      <c r="U1978" s="30"/>
      <c r="V1978" s="30"/>
      <c r="W1978" s="30"/>
      <c r="X1978" s="30"/>
      <c r="Y1978" s="30"/>
      <c r="Z1978" s="30"/>
      <c r="AA1978" s="30"/>
    </row>
    <row r="1979">
      <c r="A1979" s="29">
        <v>1706676.0</v>
      </c>
      <c r="B1979" s="29">
        <v>1706080.0</v>
      </c>
      <c r="C1979" s="30" t="str">
        <f t="shared" si="1"/>
        <v>-</v>
      </c>
      <c r="D1979" s="29">
        <f t="shared" si="2"/>
        <v>659</v>
      </c>
      <c r="E1979" s="30"/>
      <c r="F1979" s="30"/>
      <c r="G1979" s="30"/>
      <c r="H1979" s="30"/>
      <c r="I1979" s="30"/>
      <c r="J1979" s="30"/>
      <c r="K1979" s="30"/>
      <c r="L1979" s="30"/>
      <c r="M1979" s="30"/>
      <c r="N1979" s="30"/>
      <c r="O1979" s="30"/>
      <c r="P1979" s="30"/>
      <c r="Q1979" s="30"/>
      <c r="R1979" s="30"/>
      <c r="S1979" s="30"/>
      <c r="T1979" s="30"/>
      <c r="U1979" s="30"/>
      <c r="V1979" s="30"/>
      <c r="W1979" s="30"/>
      <c r="X1979" s="30"/>
      <c r="Y1979" s="30"/>
      <c r="Z1979" s="30"/>
      <c r="AA1979" s="30"/>
    </row>
    <row r="1980">
      <c r="A1980" s="29">
        <v>1706937.0</v>
      </c>
      <c r="B1980" s="29">
        <v>1706824.0</v>
      </c>
      <c r="C1980" s="30" t="str">
        <f t="shared" si="1"/>
        <v>-</v>
      </c>
      <c r="D1980" s="29">
        <f t="shared" si="2"/>
        <v>659</v>
      </c>
      <c r="E1980" s="30"/>
      <c r="F1980" s="30"/>
      <c r="G1980" s="30"/>
      <c r="H1980" s="30"/>
      <c r="I1980" s="30"/>
      <c r="J1980" s="30"/>
      <c r="K1980" s="30"/>
      <c r="L1980" s="30"/>
      <c r="M1980" s="30"/>
      <c r="N1980" s="30"/>
      <c r="O1980" s="30"/>
      <c r="P1980" s="30"/>
      <c r="Q1980" s="30"/>
      <c r="R1980" s="30"/>
      <c r="S1980" s="30"/>
      <c r="T1980" s="30"/>
      <c r="U1980" s="30"/>
      <c r="V1980" s="30"/>
      <c r="W1980" s="30"/>
      <c r="X1980" s="30"/>
      <c r="Y1980" s="30"/>
      <c r="Z1980" s="30"/>
      <c r="AA1980" s="30"/>
    </row>
    <row r="1981">
      <c r="A1981" s="29">
        <v>1707749.0</v>
      </c>
      <c r="B1981" s="29">
        <v>1706967.0</v>
      </c>
      <c r="C1981" s="30" t="str">
        <f t="shared" si="1"/>
        <v>-</v>
      </c>
      <c r="D1981" s="29">
        <f t="shared" si="2"/>
        <v>659</v>
      </c>
      <c r="E1981" s="30"/>
      <c r="F1981" s="30"/>
      <c r="G1981" s="30"/>
      <c r="H1981" s="30"/>
      <c r="I1981" s="30"/>
      <c r="J1981" s="30"/>
      <c r="K1981" s="30"/>
      <c r="L1981" s="30"/>
      <c r="M1981" s="30"/>
      <c r="N1981" s="30"/>
      <c r="O1981" s="30"/>
      <c r="P1981" s="30"/>
      <c r="Q1981" s="30"/>
      <c r="R1981" s="30"/>
      <c r="S1981" s="30"/>
      <c r="T1981" s="30"/>
      <c r="U1981" s="30"/>
      <c r="V1981" s="30"/>
      <c r="W1981" s="30"/>
      <c r="X1981" s="30"/>
      <c r="Y1981" s="30"/>
      <c r="Z1981" s="30"/>
      <c r="AA1981" s="30"/>
    </row>
    <row r="1982">
      <c r="A1982" s="29">
        <v>1707862.0</v>
      </c>
      <c r="B1982" s="29">
        <v>1708422.0</v>
      </c>
      <c r="C1982" s="30" t="str">
        <f t="shared" si="1"/>
        <v>+</v>
      </c>
      <c r="D1982" s="29">
        <f t="shared" si="2"/>
        <v>660</v>
      </c>
      <c r="E1982" s="30"/>
      <c r="F1982" s="30"/>
      <c r="G1982" s="30"/>
      <c r="H1982" s="30"/>
      <c r="I1982" s="30"/>
      <c r="J1982" s="30"/>
      <c r="K1982" s="30"/>
      <c r="L1982" s="30"/>
      <c r="M1982" s="30"/>
      <c r="N1982" s="30"/>
      <c r="O1982" s="30"/>
      <c r="P1982" s="30"/>
      <c r="Q1982" s="30"/>
      <c r="R1982" s="30"/>
      <c r="S1982" s="30"/>
      <c r="T1982" s="30"/>
      <c r="U1982" s="30"/>
      <c r="V1982" s="30"/>
      <c r="W1982" s="30"/>
      <c r="X1982" s="30"/>
      <c r="Y1982" s="30"/>
      <c r="Z1982" s="30"/>
      <c r="AA1982" s="30"/>
    </row>
    <row r="1983">
      <c r="A1983" s="29">
        <v>1708536.0</v>
      </c>
      <c r="B1983" s="29">
        <v>1709123.0</v>
      </c>
      <c r="C1983" s="30" t="str">
        <f t="shared" si="1"/>
        <v>+</v>
      </c>
      <c r="D1983" s="29">
        <f t="shared" si="2"/>
        <v>660</v>
      </c>
      <c r="E1983" s="30"/>
      <c r="F1983" s="30"/>
      <c r="G1983" s="30"/>
      <c r="H1983" s="30"/>
      <c r="I1983" s="30"/>
      <c r="J1983" s="30"/>
      <c r="K1983" s="30"/>
      <c r="L1983" s="30"/>
      <c r="M1983" s="30"/>
      <c r="N1983" s="30"/>
      <c r="O1983" s="30"/>
      <c r="P1983" s="30"/>
      <c r="Q1983" s="30"/>
      <c r="R1983" s="30"/>
      <c r="S1983" s="30"/>
      <c r="T1983" s="30"/>
      <c r="U1983" s="30"/>
      <c r="V1983" s="30"/>
      <c r="W1983" s="30"/>
      <c r="X1983" s="30"/>
      <c r="Y1983" s="30"/>
      <c r="Z1983" s="30"/>
      <c r="AA1983" s="30"/>
    </row>
    <row r="1984">
      <c r="A1984" s="29">
        <v>1709691.0</v>
      </c>
      <c r="B1984" s="29">
        <v>1709338.0</v>
      </c>
      <c r="C1984" s="30" t="str">
        <f t="shared" si="1"/>
        <v>-</v>
      </c>
      <c r="D1984" s="29">
        <f t="shared" si="2"/>
        <v>661</v>
      </c>
      <c r="E1984" s="30"/>
      <c r="F1984" s="30"/>
      <c r="G1984" s="30"/>
      <c r="H1984" s="30"/>
      <c r="I1984" s="30"/>
      <c r="J1984" s="30"/>
      <c r="K1984" s="30"/>
      <c r="L1984" s="30"/>
      <c r="M1984" s="30"/>
      <c r="N1984" s="30"/>
      <c r="O1984" s="30"/>
      <c r="P1984" s="30"/>
      <c r="Q1984" s="30"/>
      <c r="R1984" s="30"/>
      <c r="S1984" s="30"/>
      <c r="T1984" s="30"/>
      <c r="U1984" s="30"/>
      <c r="V1984" s="30"/>
      <c r="W1984" s="30"/>
      <c r="X1984" s="30"/>
      <c r="Y1984" s="30"/>
      <c r="Z1984" s="30"/>
      <c r="AA1984" s="30"/>
    </row>
    <row r="1985">
      <c r="A1985" s="29">
        <v>1712755.0</v>
      </c>
      <c r="B1985" s="29">
        <v>1711214.0</v>
      </c>
      <c r="C1985" s="30" t="str">
        <f t="shared" si="1"/>
        <v>-</v>
      </c>
      <c r="D1985" s="29">
        <f t="shared" si="2"/>
        <v>661</v>
      </c>
      <c r="E1985" s="30"/>
      <c r="F1985" s="30"/>
      <c r="G1985" s="30"/>
      <c r="H1985" s="30"/>
      <c r="I1985" s="30"/>
      <c r="J1985" s="30"/>
      <c r="K1985" s="30"/>
      <c r="L1985" s="30"/>
      <c r="M1985" s="30"/>
      <c r="N1985" s="30"/>
      <c r="O1985" s="30"/>
      <c r="P1985" s="30"/>
      <c r="Q1985" s="30"/>
      <c r="R1985" s="30"/>
      <c r="S1985" s="30"/>
      <c r="T1985" s="30"/>
      <c r="U1985" s="30"/>
      <c r="V1985" s="30"/>
      <c r="W1985" s="30"/>
      <c r="X1985" s="30"/>
      <c r="Y1985" s="30"/>
      <c r="Z1985" s="30"/>
      <c r="AA1985" s="30"/>
    </row>
    <row r="1986">
      <c r="A1986" s="29">
        <v>1714698.0</v>
      </c>
      <c r="B1986" s="29">
        <v>1712752.0</v>
      </c>
      <c r="C1986" s="30" t="str">
        <f t="shared" si="1"/>
        <v>-</v>
      </c>
      <c r="D1986" s="29">
        <f t="shared" si="2"/>
        <v>661</v>
      </c>
      <c r="E1986" s="30"/>
      <c r="F1986" s="30"/>
      <c r="G1986" s="30"/>
      <c r="H1986" s="30"/>
      <c r="I1986" s="30"/>
      <c r="J1986" s="30"/>
      <c r="K1986" s="30"/>
      <c r="L1986" s="30"/>
      <c r="M1986" s="30"/>
      <c r="N1986" s="30"/>
      <c r="O1986" s="30"/>
      <c r="P1986" s="30"/>
      <c r="Q1986" s="30"/>
      <c r="R1986" s="30"/>
      <c r="S1986" s="30"/>
      <c r="T1986" s="30"/>
      <c r="U1986" s="30"/>
      <c r="V1986" s="30"/>
      <c r="W1986" s="30"/>
      <c r="X1986" s="30"/>
      <c r="Y1986" s="30"/>
      <c r="Z1986" s="30"/>
      <c r="AA1986" s="30"/>
    </row>
    <row r="1987">
      <c r="A1987" s="29">
        <v>1715152.0</v>
      </c>
      <c r="B1987" s="29">
        <v>1714700.0</v>
      </c>
      <c r="C1987" s="30" t="str">
        <f t="shared" si="1"/>
        <v>-</v>
      </c>
      <c r="D1987" s="29">
        <f t="shared" si="2"/>
        <v>661</v>
      </c>
      <c r="E1987" s="30"/>
      <c r="F1987" s="30"/>
      <c r="G1987" s="30"/>
      <c r="H1987" s="30"/>
      <c r="I1987" s="30"/>
      <c r="J1987" s="30"/>
      <c r="K1987" s="30"/>
      <c r="L1987" s="30"/>
      <c r="M1987" s="30"/>
      <c r="N1987" s="30"/>
      <c r="O1987" s="30"/>
      <c r="P1987" s="30"/>
      <c r="Q1987" s="30"/>
      <c r="R1987" s="30"/>
      <c r="S1987" s="30"/>
      <c r="T1987" s="30"/>
      <c r="U1987" s="30"/>
      <c r="V1987" s="30"/>
      <c r="W1987" s="30"/>
      <c r="X1987" s="30"/>
      <c r="Y1987" s="30"/>
      <c r="Z1987" s="30"/>
      <c r="AA1987" s="30"/>
    </row>
    <row r="1988">
      <c r="A1988" s="29">
        <v>1715868.0</v>
      </c>
      <c r="B1988" s="29">
        <v>1715356.0</v>
      </c>
      <c r="C1988" s="30" t="str">
        <f t="shared" si="1"/>
        <v>-</v>
      </c>
      <c r="D1988" s="29">
        <f t="shared" si="2"/>
        <v>661</v>
      </c>
      <c r="E1988" s="30"/>
      <c r="F1988" s="30"/>
      <c r="G1988" s="30"/>
      <c r="H1988" s="30"/>
      <c r="I1988" s="30"/>
      <c r="J1988" s="30"/>
      <c r="K1988" s="30"/>
      <c r="L1988" s="30"/>
      <c r="M1988" s="30"/>
      <c r="N1988" s="30"/>
      <c r="O1988" s="30"/>
      <c r="P1988" s="30"/>
      <c r="Q1988" s="30"/>
      <c r="R1988" s="30"/>
      <c r="S1988" s="30"/>
      <c r="T1988" s="30"/>
      <c r="U1988" s="30"/>
      <c r="V1988" s="30"/>
      <c r="W1988" s="30"/>
      <c r="X1988" s="30"/>
      <c r="Y1988" s="30"/>
      <c r="Z1988" s="30"/>
      <c r="AA1988" s="30"/>
    </row>
    <row r="1989">
      <c r="A1989" s="29">
        <v>1716307.0</v>
      </c>
      <c r="B1989" s="29">
        <v>1716687.0</v>
      </c>
      <c r="C1989" s="30" t="str">
        <f t="shared" si="1"/>
        <v>+</v>
      </c>
      <c r="D1989" s="29">
        <f t="shared" si="2"/>
        <v>662</v>
      </c>
      <c r="E1989" s="30"/>
      <c r="F1989" s="30"/>
      <c r="G1989" s="30"/>
      <c r="H1989" s="30"/>
      <c r="I1989" s="30"/>
      <c r="J1989" s="30"/>
      <c r="K1989" s="30"/>
      <c r="L1989" s="30"/>
      <c r="M1989" s="30"/>
      <c r="N1989" s="30"/>
      <c r="O1989" s="30"/>
      <c r="P1989" s="30"/>
      <c r="Q1989" s="30"/>
      <c r="R1989" s="30"/>
      <c r="S1989" s="30"/>
      <c r="T1989" s="30"/>
      <c r="U1989" s="30"/>
      <c r="V1989" s="30"/>
      <c r="W1989" s="30"/>
      <c r="X1989" s="30"/>
      <c r="Y1989" s="30"/>
      <c r="Z1989" s="30"/>
      <c r="AA1989" s="30"/>
    </row>
    <row r="1990">
      <c r="A1990" s="29">
        <v>1717823.0</v>
      </c>
      <c r="B1990" s="29">
        <v>1716684.0</v>
      </c>
      <c r="C1990" s="30" t="str">
        <f t="shared" si="1"/>
        <v>-</v>
      </c>
      <c r="D1990" s="29">
        <f t="shared" si="2"/>
        <v>663</v>
      </c>
      <c r="E1990" s="30"/>
      <c r="F1990" s="30"/>
      <c r="G1990" s="30"/>
      <c r="H1990" s="30"/>
      <c r="I1990" s="30"/>
      <c r="J1990" s="30"/>
      <c r="K1990" s="30"/>
      <c r="L1990" s="30"/>
      <c r="M1990" s="30"/>
      <c r="N1990" s="30"/>
      <c r="O1990" s="30"/>
      <c r="P1990" s="30"/>
      <c r="Q1990" s="30"/>
      <c r="R1990" s="30"/>
      <c r="S1990" s="30"/>
      <c r="T1990" s="30"/>
      <c r="U1990" s="30"/>
      <c r="V1990" s="30"/>
      <c r="W1990" s="30"/>
      <c r="X1990" s="30"/>
      <c r="Y1990" s="30"/>
      <c r="Z1990" s="30"/>
      <c r="AA1990" s="30"/>
    </row>
    <row r="1991">
      <c r="A1991" s="29">
        <v>1718251.0</v>
      </c>
      <c r="B1991" s="29">
        <v>1717820.0</v>
      </c>
      <c r="C1991" s="30" t="str">
        <f t="shared" si="1"/>
        <v>-</v>
      </c>
      <c r="D1991" s="29">
        <f t="shared" si="2"/>
        <v>663</v>
      </c>
      <c r="E1991" s="30"/>
      <c r="F1991" s="30"/>
      <c r="G1991" s="30"/>
      <c r="H1991" s="30"/>
      <c r="I1991" s="30"/>
      <c r="J1991" s="30"/>
      <c r="K1991" s="30"/>
      <c r="L1991" s="30"/>
      <c r="M1991" s="30"/>
      <c r="N1991" s="30"/>
      <c r="O1991" s="30"/>
      <c r="P1991" s="30"/>
      <c r="Q1991" s="30"/>
      <c r="R1991" s="30"/>
      <c r="S1991" s="30"/>
      <c r="T1991" s="30"/>
      <c r="U1991" s="30"/>
      <c r="V1991" s="30"/>
      <c r="W1991" s="30"/>
      <c r="X1991" s="30"/>
      <c r="Y1991" s="30"/>
      <c r="Z1991" s="30"/>
      <c r="AA1991" s="30"/>
    </row>
    <row r="1992">
      <c r="A1992" s="29">
        <v>1718787.0</v>
      </c>
      <c r="B1992" s="29">
        <v>1718248.0</v>
      </c>
      <c r="C1992" s="30" t="str">
        <f t="shared" si="1"/>
        <v>-</v>
      </c>
      <c r="D1992" s="29">
        <f t="shared" si="2"/>
        <v>663</v>
      </c>
      <c r="E1992" s="30"/>
      <c r="F1992" s="30"/>
      <c r="G1992" s="30"/>
      <c r="H1992" s="30"/>
      <c r="I1992" s="30"/>
      <c r="J1992" s="30"/>
      <c r="K1992" s="30"/>
      <c r="L1992" s="30"/>
      <c r="M1992" s="30"/>
      <c r="N1992" s="30"/>
      <c r="O1992" s="30"/>
      <c r="P1992" s="30"/>
      <c r="Q1992" s="30"/>
      <c r="R1992" s="30"/>
      <c r="S1992" s="30"/>
      <c r="T1992" s="30"/>
      <c r="U1992" s="30"/>
      <c r="V1992" s="30"/>
      <c r="W1992" s="30"/>
      <c r="X1992" s="30"/>
      <c r="Y1992" s="30"/>
      <c r="Z1992" s="30"/>
      <c r="AA1992" s="30"/>
    </row>
    <row r="1993">
      <c r="A1993" s="29">
        <v>1719971.0</v>
      </c>
      <c r="B1993" s="29">
        <v>1718784.0</v>
      </c>
      <c r="C1993" s="30" t="str">
        <f t="shared" si="1"/>
        <v>-</v>
      </c>
      <c r="D1993" s="29">
        <f t="shared" si="2"/>
        <v>663</v>
      </c>
      <c r="E1993" s="30"/>
      <c r="F1993" s="30"/>
      <c r="G1993" s="30"/>
      <c r="H1993" s="30"/>
      <c r="I1993" s="30"/>
      <c r="J1993" s="30"/>
      <c r="K1993" s="30"/>
      <c r="L1993" s="30"/>
      <c r="M1993" s="30"/>
      <c r="N1993" s="30"/>
      <c r="O1993" s="30"/>
      <c r="P1993" s="30"/>
      <c r="Q1993" s="30"/>
      <c r="R1993" s="30"/>
      <c r="S1993" s="30"/>
      <c r="T1993" s="30"/>
      <c r="U1993" s="30"/>
      <c r="V1993" s="30"/>
      <c r="W1993" s="30"/>
      <c r="X1993" s="30"/>
      <c r="Y1993" s="30"/>
      <c r="Z1993" s="30"/>
      <c r="AA1993" s="30"/>
    </row>
    <row r="1994">
      <c r="A1994" s="29">
        <v>1721110.0</v>
      </c>
      <c r="B1994" s="29">
        <v>1719968.0</v>
      </c>
      <c r="C1994" s="30" t="str">
        <f t="shared" si="1"/>
        <v>-</v>
      </c>
      <c r="D1994" s="29">
        <f t="shared" si="2"/>
        <v>663</v>
      </c>
      <c r="E1994" s="30"/>
      <c r="F1994" s="30"/>
      <c r="G1994" s="30"/>
      <c r="H1994" s="30"/>
      <c r="I1994" s="30"/>
      <c r="J1994" s="30"/>
      <c r="K1994" s="30"/>
      <c r="L1994" s="30"/>
      <c r="M1994" s="30"/>
      <c r="N1994" s="30"/>
      <c r="O1994" s="30"/>
      <c r="P1994" s="30"/>
      <c r="Q1994" s="30"/>
      <c r="R1994" s="30"/>
      <c r="S1994" s="30"/>
      <c r="T1994" s="30"/>
      <c r="U1994" s="30"/>
      <c r="V1994" s="30"/>
      <c r="W1994" s="30"/>
      <c r="X1994" s="30"/>
      <c r="Y1994" s="30"/>
      <c r="Z1994" s="30"/>
      <c r="AA1994" s="30"/>
    </row>
    <row r="1995">
      <c r="A1995" s="29">
        <v>1722271.0</v>
      </c>
      <c r="B1995" s="29">
        <v>1721174.0</v>
      </c>
      <c r="C1995" s="30" t="str">
        <f t="shared" si="1"/>
        <v>-</v>
      </c>
      <c r="D1995" s="29">
        <f t="shared" si="2"/>
        <v>663</v>
      </c>
      <c r="E1995" s="30"/>
      <c r="F1995" s="30"/>
      <c r="G1995" s="30"/>
      <c r="H1995" s="30"/>
      <c r="I1995" s="30"/>
      <c r="J1995" s="30"/>
      <c r="K1995" s="30"/>
      <c r="L1995" s="30"/>
      <c r="M1995" s="30"/>
      <c r="N1995" s="30"/>
      <c r="O1995" s="30"/>
      <c r="P1995" s="30"/>
      <c r="Q1995" s="30"/>
      <c r="R1995" s="30"/>
      <c r="S1995" s="30"/>
      <c r="T1995" s="30"/>
      <c r="U1995" s="30"/>
      <c r="V1995" s="30"/>
      <c r="W1995" s="30"/>
      <c r="X1995" s="30"/>
      <c r="Y1995" s="30"/>
      <c r="Z1995" s="30"/>
      <c r="AA1995" s="30"/>
    </row>
    <row r="1996">
      <c r="A1996" s="29">
        <v>1722640.0</v>
      </c>
      <c r="B1996" s="29">
        <v>1722293.0</v>
      </c>
      <c r="C1996" s="30" t="str">
        <f t="shared" si="1"/>
        <v>-</v>
      </c>
      <c r="D1996" s="29">
        <f t="shared" si="2"/>
        <v>663</v>
      </c>
      <c r="E1996" s="30"/>
      <c r="F1996" s="30"/>
      <c r="G1996" s="30"/>
      <c r="H1996" s="30"/>
      <c r="I1996" s="30"/>
      <c r="J1996" s="30"/>
      <c r="K1996" s="30"/>
      <c r="L1996" s="30"/>
      <c r="M1996" s="30"/>
      <c r="N1996" s="30"/>
      <c r="O1996" s="30"/>
      <c r="P1996" s="30"/>
      <c r="Q1996" s="30"/>
      <c r="R1996" s="30"/>
      <c r="S1996" s="30"/>
      <c r="T1996" s="30"/>
      <c r="U1996" s="30"/>
      <c r="V1996" s="30"/>
      <c r="W1996" s="30"/>
      <c r="X1996" s="30"/>
      <c r="Y1996" s="30"/>
      <c r="Z1996" s="30"/>
      <c r="AA1996" s="30"/>
    </row>
    <row r="1997">
      <c r="A1997" s="29">
        <v>1723776.0</v>
      </c>
      <c r="B1997" s="29">
        <v>1722637.0</v>
      </c>
      <c r="C1997" s="30" t="str">
        <f t="shared" si="1"/>
        <v>-</v>
      </c>
      <c r="D1997" s="29">
        <f t="shared" si="2"/>
        <v>663</v>
      </c>
      <c r="E1997" s="30"/>
      <c r="F1997" s="30"/>
      <c r="G1997" s="30"/>
      <c r="H1997" s="30"/>
      <c r="I1997" s="30"/>
      <c r="J1997" s="30"/>
      <c r="K1997" s="30"/>
      <c r="L1997" s="30"/>
      <c r="M1997" s="30"/>
      <c r="N1997" s="30"/>
      <c r="O1997" s="30"/>
      <c r="P1997" s="30"/>
      <c r="Q1997" s="30"/>
      <c r="R1997" s="30"/>
      <c r="S1997" s="30"/>
      <c r="T1997" s="30"/>
      <c r="U1997" s="30"/>
      <c r="V1997" s="30"/>
      <c r="W1997" s="30"/>
      <c r="X1997" s="30"/>
      <c r="Y1997" s="30"/>
      <c r="Z1997" s="30"/>
      <c r="AA1997" s="30"/>
    </row>
    <row r="1998">
      <c r="A1998" s="29">
        <v>1723816.0</v>
      </c>
      <c r="B1998" s="29">
        <v>1724958.0</v>
      </c>
      <c r="C1998" s="30" t="str">
        <f t="shared" si="1"/>
        <v>+</v>
      </c>
      <c r="D1998" s="29">
        <f t="shared" si="2"/>
        <v>664</v>
      </c>
      <c r="E1998" s="30"/>
      <c r="F1998" s="30"/>
      <c r="G1998" s="30"/>
      <c r="H1998" s="30"/>
      <c r="I1998" s="30"/>
      <c r="J1998" s="30"/>
      <c r="K1998" s="30"/>
      <c r="L1998" s="30"/>
      <c r="M1998" s="30"/>
      <c r="N1998" s="30"/>
      <c r="O1998" s="30"/>
      <c r="P1998" s="30"/>
      <c r="Q1998" s="30"/>
      <c r="R1998" s="30"/>
      <c r="S1998" s="30"/>
      <c r="T1998" s="30"/>
      <c r="U1998" s="30"/>
      <c r="V1998" s="30"/>
      <c r="W1998" s="30"/>
      <c r="X1998" s="30"/>
      <c r="Y1998" s="30"/>
      <c r="Z1998" s="30"/>
      <c r="AA1998" s="30"/>
    </row>
    <row r="1999">
      <c r="A1999" s="29">
        <v>1725230.0</v>
      </c>
      <c r="B1999" s="29">
        <v>1724994.0</v>
      </c>
      <c r="C1999" s="30" t="str">
        <f t="shared" si="1"/>
        <v>-</v>
      </c>
      <c r="D1999" s="29">
        <f t="shared" si="2"/>
        <v>665</v>
      </c>
      <c r="E1999" s="30"/>
      <c r="F1999" s="30"/>
      <c r="G1999" s="30"/>
      <c r="H1999" s="30"/>
      <c r="I1999" s="30"/>
      <c r="J1999" s="30"/>
      <c r="K1999" s="30"/>
      <c r="L1999" s="30"/>
      <c r="M1999" s="30"/>
      <c r="N1999" s="30"/>
      <c r="O1999" s="30"/>
      <c r="P1999" s="30"/>
      <c r="Q1999" s="30"/>
      <c r="R1999" s="30"/>
      <c r="S1999" s="30"/>
      <c r="T1999" s="30"/>
      <c r="U1999" s="30"/>
      <c r="V1999" s="30"/>
      <c r="W1999" s="30"/>
      <c r="X1999" s="30"/>
      <c r="Y1999" s="30"/>
      <c r="Z1999" s="30"/>
      <c r="AA1999" s="30"/>
    </row>
    <row r="2000">
      <c r="A2000" s="29">
        <v>1726906.0</v>
      </c>
      <c r="B2000" s="29">
        <v>1725572.0</v>
      </c>
      <c r="C2000" s="30" t="str">
        <f t="shared" si="1"/>
        <v>-</v>
      </c>
      <c r="D2000" s="29">
        <f t="shared" si="2"/>
        <v>665</v>
      </c>
      <c r="E2000" s="30"/>
      <c r="F2000" s="30"/>
      <c r="G2000" s="30"/>
      <c r="H2000" s="30"/>
      <c r="I2000" s="30"/>
      <c r="J2000" s="30"/>
      <c r="K2000" s="30"/>
      <c r="L2000" s="30"/>
      <c r="M2000" s="30"/>
      <c r="N2000" s="30"/>
      <c r="O2000" s="30"/>
      <c r="P2000" s="30"/>
      <c r="Q2000" s="30"/>
      <c r="R2000" s="30"/>
      <c r="S2000" s="30"/>
      <c r="T2000" s="30"/>
      <c r="U2000" s="30"/>
      <c r="V2000" s="30"/>
      <c r="W2000" s="30"/>
      <c r="X2000" s="30"/>
      <c r="Y2000" s="30"/>
      <c r="Z2000" s="30"/>
      <c r="AA2000" s="30"/>
    </row>
    <row r="2001">
      <c r="A2001" s="29">
        <v>1729203.0</v>
      </c>
      <c r="B2001" s="29">
        <v>1726903.0</v>
      </c>
      <c r="C2001" s="30" t="str">
        <f t="shared" si="1"/>
        <v>-</v>
      </c>
      <c r="D2001" s="29">
        <f t="shared" si="2"/>
        <v>665</v>
      </c>
      <c r="E2001" s="30"/>
      <c r="F2001" s="30"/>
      <c r="G2001" s="30"/>
      <c r="H2001" s="30"/>
      <c r="I2001" s="30"/>
      <c r="J2001" s="30"/>
      <c r="K2001" s="30"/>
      <c r="L2001" s="30"/>
      <c r="M2001" s="30"/>
      <c r="N2001" s="30"/>
      <c r="O2001" s="30"/>
      <c r="P2001" s="30"/>
      <c r="Q2001" s="30"/>
      <c r="R2001" s="30"/>
      <c r="S2001" s="30"/>
      <c r="T2001" s="30"/>
      <c r="U2001" s="30"/>
      <c r="V2001" s="30"/>
      <c r="W2001" s="30"/>
      <c r="X2001" s="30"/>
      <c r="Y2001" s="30"/>
      <c r="Z2001" s="30"/>
      <c r="AA2001" s="30"/>
    </row>
    <row r="2002">
      <c r="A2002" s="29">
        <v>1729979.0</v>
      </c>
      <c r="B2002" s="29">
        <v>1729200.0</v>
      </c>
      <c r="C2002" s="30" t="str">
        <f t="shared" si="1"/>
        <v>-</v>
      </c>
      <c r="D2002" s="29">
        <f t="shared" si="2"/>
        <v>665</v>
      </c>
      <c r="E2002" s="30"/>
      <c r="F2002" s="30"/>
      <c r="G2002" s="30"/>
      <c r="H2002" s="30"/>
      <c r="I2002" s="30"/>
      <c r="J2002" s="30"/>
      <c r="K2002" s="30"/>
      <c r="L2002" s="30"/>
      <c r="M2002" s="30"/>
      <c r="N2002" s="30"/>
      <c r="O2002" s="30"/>
      <c r="P2002" s="30"/>
      <c r="Q2002" s="30"/>
      <c r="R2002" s="30"/>
      <c r="S2002" s="30"/>
      <c r="T2002" s="30"/>
      <c r="U2002" s="30"/>
      <c r="V2002" s="30"/>
      <c r="W2002" s="30"/>
      <c r="X2002" s="30"/>
      <c r="Y2002" s="30"/>
      <c r="Z2002" s="30"/>
      <c r="AA2002" s="30"/>
    </row>
    <row r="2003">
      <c r="A2003" s="29">
        <v>1731412.0</v>
      </c>
      <c r="B2003" s="29">
        <v>1729976.0</v>
      </c>
      <c r="C2003" s="30" t="str">
        <f t="shared" si="1"/>
        <v>-</v>
      </c>
      <c r="D2003" s="29">
        <f t="shared" si="2"/>
        <v>665</v>
      </c>
      <c r="E2003" s="30"/>
      <c r="F2003" s="30"/>
      <c r="G2003" s="30"/>
      <c r="H2003" s="30"/>
      <c r="I2003" s="30"/>
      <c r="J2003" s="30"/>
      <c r="K2003" s="30"/>
      <c r="L2003" s="30"/>
      <c r="M2003" s="30"/>
      <c r="N2003" s="30"/>
      <c r="O2003" s="30"/>
      <c r="P2003" s="30"/>
      <c r="Q2003" s="30"/>
      <c r="R2003" s="30"/>
      <c r="S2003" s="30"/>
      <c r="T2003" s="30"/>
      <c r="U2003" s="30"/>
      <c r="V2003" s="30"/>
      <c r="W2003" s="30"/>
      <c r="X2003" s="30"/>
      <c r="Y2003" s="30"/>
      <c r="Z2003" s="30"/>
      <c r="AA2003" s="30"/>
    </row>
    <row r="2004">
      <c r="A2004" s="29">
        <v>1734140.0</v>
      </c>
      <c r="B2004" s="29">
        <v>1732257.0</v>
      </c>
      <c r="C2004" s="30" t="str">
        <f t="shared" si="1"/>
        <v>-</v>
      </c>
      <c r="D2004" s="29">
        <f t="shared" si="2"/>
        <v>665</v>
      </c>
      <c r="E2004" s="30"/>
      <c r="F2004" s="30"/>
      <c r="G2004" s="30"/>
      <c r="H2004" s="30"/>
      <c r="I2004" s="30"/>
      <c r="J2004" s="30"/>
      <c r="K2004" s="30"/>
      <c r="L2004" s="30"/>
      <c r="M2004" s="30"/>
      <c r="N2004" s="30"/>
      <c r="O2004" s="30"/>
      <c r="P2004" s="30"/>
      <c r="Q2004" s="30"/>
      <c r="R2004" s="30"/>
      <c r="S2004" s="30"/>
      <c r="T2004" s="30"/>
      <c r="U2004" s="30"/>
      <c r="V2004" s="30"/>
      <c r="W2004" s="30"/>
      <c r="X2004" s="30"/>
      <c r="Y2004" s="30"/>
      <c r="Z2004" s="30"/>
      <c r="AA2004" s="30"/>
    </row>
    <row r="2005">
      <c r="A2005" s="29">
        <v>1734224.0</v>
      </c>
      <c r="B2005" s="29">
        <v>1734424.0</v>
      </c>
      <c r="C2005" s="30" t="str">
        <f t="shared" si="1"/>
        <v>+</v>
      </c>
      <c r="D2005" s="29">
        <f t="shared" si="2"/>
        <v>666</v>
      </c>
      <c r="E2005" s="30"/>
      <c r="F2005" s="30"/>
      <c r="G2005" s="30"/>
      <c r="H2005" s="30"/>
      <c r="I2005" s="30"/>
      <c r="J2005" s="30"/>
      <c r="K2005" s="30"/>
      <c r="L2005" s="30"/>
      <c r="M2005" s="30"/>
      <c r="N2005" s="30"/>
      <c r="O2005" s="30"/>
      <c r="P2005" s="30"/>
      <c r="Q2005" s="30"/>
      <c r="R2005" s="30"/>
      <c r="S2005" s="30"/>
      <c r="T2005" s="30"/>
      <c r="U2005" s="30"/>
      <c r="V2005" s="30"/>
      <c r="W2005" s="30"/>
      <c r="X2005" s="30"/>
      <c r="Y2005" s="30"/>
      <c r="Z2005" s="30"/>
      <c r="AA2005" s="30"/>
    </row>
    <row r="2006">
      <c r="A2006" s="29">
        <v>1734412.0</v>
      </c>
      <c r="B2006" s="29">
        <v>1735182.0</v>
      </c>
      <c r="C2006" s="30" t="str">
        <f t="shared" si="1"/>
        <v>+</v>
      </c>
      <c r="D2006" s="29">
        <f t="shared" si="2"/>
        <v>666</v>
      </c>
      <c r="E2006" s="30"/>
      <c r="F2006" s="30"/>
      <c r="G2006" s="30"/>
      <c r="H2006" s="30"/>
      <c r="I2006" s="30"/>
      <c r="J2006" s="30"/>
      <c r="K2006" s="30"/>
      <c r="L2006" s="30"/>
      <c r="M2006" s="30"/>
      <c r="N2006" s="30"/>
      <c r="O2006" s="30"/>
      <c r="P2006" s="30"/>
      <c r="Q2006" s="30"/>
      <c r="R2006" s="30"/>
      <c r="S2006" s="30"/>
      <c r="T2006" s="30"/>
      <c r="U2006" s="30"/>
      <c r="V2006" s="30"/>
      <c r="W2006" s="30"/>
      <c r="X2006" s="30"/>
      <c r="Y2006" s="30"/>
      <c r="Z2006" s="30"/>
      <c r="AA2006" s="30"/>
    </row>
    <row r="2007">
      <c r="A2007" s="29">
        <v>1735257.0</v>
      </c>
      <c r="B2007" s="29">
        <v>1735490.0</v>
      </c>
      <c r="C2007" s="30" t="str">
        <f t="shared" si="1"/>
        <v>+</v>
      </c>
      <c r="D2007" s="29">
        <f t="shared" si="2"/>
        <v>666</v>
      </c>
      <c r="E2007" s="30"/>
      <c r="F2007" s="30"/>
      <c r="G2007" s="30"/>
      <c r="H2007" s="30"/>
      <c r="I2007" s="30"/>
      <c r="J2007" s="30"/>
      <c r="K2007" s="30"/>
      <c r="L2007" s="30"/>
      <c r="M2007" s="30"/>
      <c r="N2007" s="30"/>
      <c r="O2007" s="30"/>
      <c r="P2007" s="30"/>
      <c r="Q2007" s="30"/>
      <c r="R2007" s="30"/>
      <c r="S2007" s="30"/>
      <c r="T2007" s="30"/>
      <c r="U2007" s="30"/>
      <c r="V2007" s="30"/>
      <c r="W2007" s="30"/>
      <c r="X2007" s="30"/>
      <c r="Y2007" s="30"/>
      <c r="Z2007" s="30"/>
      <c r="AA2007" s="30"/>
    </row>
    <row r="2008">
      <c r="A2008" s="29">
        <v>1736027.0</v>
      </c>
      <c r="B2008" s="29">
        <v>1735491.0</v>
      </c>
      <c r="C2008" s="30" t="str">
        <f t="shared" si="1"/>
        <v>-</v>
      </c>
      <c r="D2008" s="29">
        <f t="shared" si="2"/>
        <v>667</v>
      </c>
      <c r="E2008" s="30"/>
      <c r="F2008" s="30"/>
      <c r="G2008" s="30"/>
      <c r="H2008" s="30"/>
      <c r="I2008" s="30"/>
      <c r="J2008" s="30"/>
      <c r="K2008" s="30"/>
      <c r="L2008" s="30"/>
      <c r="M2008" s="30"/>
      <c r="N2008" s="30"/>
      <c r="O2008" s="30"/>
      <c r="P2008" s="30"/>
      <c r="Q2008" s="30"/>
      <c r="R2008" s="30"/>
      <c r="S2008" s="30"/>
      <c r="T2008" s="30"/>
      <c r="U2008" s="30"/>
      <c r="V2008" s="30"/>
      <c r="W2008" s="30"/>
      <c r="X2008" s="30"/>
      <c r="Y2008" s="30"/>
      <c r="Z2008" s="30"/>
      <c r="AA2008" s="30"/>
    </row>
    <row r="2009">
      <c r="A2009" s="29">
        <v>1736074.0</v>
      </c>
      <c r="B2009" s="29">
        <v>1736427.0</v>
      </c>
      <c r="C2009" s="30" t="str">
        <f t="shared" si="1"/>
        <v>+</v>
      </c>
      <c r="D2009" s="29">
        <f t="shared" si="2"/>
        <v>668</v>
      </c>
      <c r="E2009" s="30"/>
      <c r="F2009" s="30"/>
      <c r="G2009" s="30"/>
      <c r="H2009" s="30"/>
      <c r="I2009" s="30"/>
      <c r="J2009" s="30"/>
      <c r="K2009" s="30"/>
      <c r="L2009" s="30"/>
      <c r="M2009" s="30"/>
      <c r="N2009" s="30"/>
      <c r="O2009" s="30"/>
      <c r="P2009" s="30"/>
      <c r="Q2009" s="30"/>
      <c r="R2009" s="30"/>
      <c r="S2009" s="30"/>
      <c r="T2009" s="30"/>
      <c r="U2009" s="30"/>
      <c r="V2009" s="30"/>
      <c r="W2009" s="30"/>
      <c r="X2009" s="30"/>
      <c r="Y2009" s="30"/>
      <c r="Z2009" s="30"/>
      <c r="AA2009" s="30"/>
    </row>
    <row r="2010">
      <c r="A2010" s="29">
        <v>1736678.0</v>
      </c>
      <c r="B2010" s="29">
        <v>1736520.0</v>
      </c>
      <c r="C2010" s="30" t="str">
        <f t="shared" si="1"/>
        <v>-</v>
      </c>
      <c r="D2010" s="29">
        <f t="shared" si="2"/>
        <v>669</v>
      </c>
      <c r="E2010" s="30"/>
      <c r="F2010" s="30"/>
      <c r="G2010" s="30"/>
      <c r="H2010" s="30"/>
      <c r="I2010" s="30"/>
      <c r="J2010" s="30"/>
      <c r="K2010" s="30"/>
      <c r="L2010" s="30"/>
      <c r="M2010" s="30"/>
      <c r="N2010" s="30"/>
      <c r="O2010" s="30"/>
      <c r="P2010" s="30"/>
      <c r="Q2010" s="30"/>
      <c r="R2010" s="30"/>
      <c r="S2010" s="30"/>
      <c r="T2010" s="30"/>
      <c r="U2010" s="30"/>
      <c r="V2010" s="30"/>
      <c r="W2010" s="30"/>
      <c r="X2010" s="30"/>
      <c r="Y2010" s="30"/>
      <c r="Z2010" s="30"/>
      <c r="AA2010" s="30"/>
    </row>
    <row r="2011">
      <c r="A2011" s="29">
        <v>1738169.0</v>
      </c>
      <c r="B2011" s="29">
        <v>1736703.0</v>
      </c>
      <c r="C2011" s="30" t="str">
        <f t="shared" si="1"/>
        <v>-</v>
      </c>
      <c r="D2011" s="29">
        <f t="shared" si="2"/>
        <v>669</v>
      </c>
      <c r="E2011" s="30"/>
      <c r="F2011" s="30"/>
      <c r="G2011" s="30"/>
      <c r="H2011" s="30"/>
      <c r="I2011" s="30"/>
      <c r="J2011" s="30"/>
      <c r="K2011" s="30"/>
      <c r="L2011" s="30"/>
      <c r="M2011" s="30"/>
      <c r="N2011" s="30"/>
      <c r="O2011" s="30"/>
      <c r="P2011" s="30"/>
      <c r="Q2011" s="30"/>
      <c r="R2011" s="30"/>
      <c r="S2011" s="30"/>
      <c r="T2011" s="30"/>
      <c r="U2011" s="30"/>
      <c r="V2011" s="30"/>
      <c r="W2011" s="30"/>
      <c r="X2011" s="30"/>
      <c r="Y2011" s="30"/>
      <c r="Z2011" s="30"/>
      <c r="AA2011" s="30"/>
    </row>
    <row r="2012">
      <c r="A2012" s="29">
        <v>1738442.0</v>
      </c>
      <c r="B2012" s="29">
        <v>1738200.0</v>
      </c>
      <c r="C2012" s="30" t="str">
        <f t="shared" si="1"/>
        <v>-</v>
      </c>
      <c r="D2012" s="29">
        <f t="shared" si="2"/>
        <v>669</v>
      </c>
      <c r="E2012" s="30"/>
      <c r="F2012" s="30"/>
      <c r="G2012" s="30"/>
      <c r="H2012" s="30"/>
      <c r="I2012" s="30"/>
      <c r="J2012" s="30"/>
      <c r="K2012" s="30"/>
      <c r="L2012" s="30"/>
      <c r="M2012" s="30"/>
      <c r="N2012" s="30"/>
      <c r="O2012" s="30"/>
      <c r="P2012" s="30"/>
      <c r="Q2012" s="30"/>
      <c r="R2012" s="30"/>
      <c r="S2012" s="30"/>
      <c r="T2012" s="30"/>
      <c r="U2012" s="30"/>
      <c r="V2012" s="30"/>
      <c r="W2012" s="30"/>
      <c r="X2012" s="30"/>
      <c r="Y2012" s="30"/>
      <c r="Z2012" s="30"/>
      <c r="AA2012" s="30"/>
    </row>
    <row r="2013">
      <c r="A2013" s="29">
        <v>1738796.0</v>
      </c>
      <c r="B2013" s="29">
        <v>1738485.0</v>
      </c>
      <c r="C2013" s="30" t="str">
        <f t="shared" si="1"/>
        <v>-</v>
      </c>
      <c r="D2013" s="29">
        <f t="shared" si="2"/>
        <v>669</v>
      </c>
      <c r="E2013" s="30"/>
      <c r="F2013" s="30"/>
      <c r="G2013" s="30"/>
      <c r="H2013" s="30"/>
      <c r="I2013" s="30"/>
      <c r="J2013" s="30"/>
      <c r="K2013" s="30"/>
      <c r="L2013" s="30"/>
      <c r="M2013" s="30"/>
      <c r="N2013" s="30"/>
      <c r="O2013" s="30"/>
      <c r="P2013" s="30"/>
      <c r="Q2013" s="30"/>
      <c r="R2013" s="30"/>
      <c r="S2013" s="30"/>
      <c r="T2013" s="30"/>
      <c r="U2013" s="30"/>
      <c r="V2013" s="30"/>
      <c r="W2013" s="30"/>
      <c r="X2013" s="30"/>
      <c r="Y2013" s="30"/>
      <c r="Z2013" s="30"/>
      <c r="AA2013" s="30"/>
    </row>
    <row r="2014">
      <c r="A2014" s="29">
        <v>1739953.0</v>
      </c>
      <c r="B2014" s="29">
        <v>1738832.0</v>
      </c>
      <c r="C2014" s="30" t="str">
        <f t="shared" si="1"/>
        <v>-</v>
      </c>
      <c r="D2014" s="29">
        <f t="shared" si="2"/>
        <v>669</v>
      </c>
      <c r="E2014" s="30"/>
      <c r="F2014" s="30"/>
      <c r="G2014" s="30"/>
      <c r="H2014" s="30"/>
      <c r="I2014" s="30"/>
      <c r="J2014" s="30"/>
      <c r="K2014" s="30"/>
      <c r="L2014" s="30"/>
      <c r="M2014" s="30"/>
      <c r="N2014" s="30"/>
      <c r="O2014" s="30"/>
      <c r="P2014" s="30"/>
      <c r="Q2014" s="30"/>
      <c r="R2014" s="30"/>
      <c r="S2014" s="30"/>
      <c r="T2014" s="30"/>
      <c r="U2014" s="30"/>
      <c r="V2014" s="30"/>
      <c r="W2014" s="30"/>
      <c r="X2014" s="30"/>
      <c r="Y2014" s="30"/>
      <c r="Z2014" s="30"/>
      <c r="AA2014" s="30"/>
    </row>
    <row r="2015">
      <c r="A2015" s="29">
        <v>1741244.0</v>
      </c>
      <c r="B2015" s="29">
        <v>1740093.0</v>
      </c>
      <c r="C2015" s="30" t="str">
        <f t="shared" si="1"/>
        <v>-</v>
      </c>
      <c r="D2015" s="29">
        <f t="shared" si="2"/>
        <v>669</v>
      </c>
      <c r="E2015" s="30"/>
      <c r="F2015" s="30"/>
      <c r="G2015" s="30"/>
      <c r="H2015" s="30"/>
      <c r="I2015" s="30"/>
      <c r="J2015" s="30"/>
      <c r="K2015" s="30"/>
      <c r="L2015" s="30"/>
      <c r="M2015" s="30"/>
      <c r="N2015" s="30"/>
      <c r="O2015" s="30"/>
      <c r="P2015" s="30"/>
      <c r="Q2015" s="30"/>
      <c r="R2015" s="30"/>
      <c r="S2015" s="30"/>
      <c r="T2015" s="30"/>
      <c r="U2015" s="30"/>
      <c r="V2015" s="30"/>
      <c r="W2015" s="30"/>
      <c r="X2015" s="30"/>
      <c r="Y2015" s="30"/>
      <c r="Z2015" s="30"/>
      <c r="AA2015" s="30"/>
    </row>
    <row r="2016">
      <c r="A2016" s="29">
        <v>1742592.0</v>
      </c>
      <c r="B2016" s="29">
        <v>1741246.0</v>
      </c>
      <c r="C2016" s="30" t="str">
        <f t="shared" si="1"/>
        <v>-</v>
      </c>
      <c r="D2016" s="29">
        <f t="shared" si="2"/>
        <v>669</v>
      </c>
      <c r="E2016" s="30"/>
      <c r="F2016" s="30"/>
      <c r="G2016" s="30"/>
      <c r="H2016" s="30"/>
      <c r="I2016" s="30"/>
      <c r="J2016" s="30"/>
      <c r="K2016" s="30"/>
      <c r="L2016" s="30"/>
      <c r="M2016" s="30"/>
      <c r="N2016" s="30"/>
      <c r="O2016" s="30"/>
      <c r="P2016" s="30"/>
      <c r="Q2016" s="30"/>
      <c r="R2016" s="30"/>
      <c r="S2016" s="30"/>
      <c r="T2016" s="30"/>
      <c r="U2016" s="30"/>
      <c r="V2016" s="30"/>
      <c r="W2016" s="30"/>
      <c r="X2016" s="30"/>
      <c r="Y2016" s="30"/>
      <c r="Z2016" s="30"/>
      <c r="AA2016" s="30"/>
    </row>
    <row r="2017">
      <c r="A2017" s="29">
        <v>1743690.0</v>
      </c>
      <c r="B2017" s="29">
        <v>1742632.0</v>
      </c>
      <c r="C2017" s="30" t="str">
        <f t="shared" si="1"/>
        <v>-</v>
      </c>
      <c r="D2017" s="29">
        <f t="shared" si="2"/>
        <v>669</v>
      </c>
      <c r="E2017" s="30"/>
      <c r="F2017" s="30"/>
      <c r="G2017" s="30"/>
      <c r="H2017" s="30"/>
      <c r="I2017" s="30"/>
      <c r="J2017" s="30"/>
      <c r="K2017" s="30"/>
      <c r="L2017" s="30"/>
      <c r="M2017" s="30"/>
      <c r="N2017" s="30"/>
      <c r="O2017" s="30"/>
      <c r="P2017" s="30"/>
      <c r="Q2017" s="30"/>
      <c r="R2017" s="30"/>
      <c r="S2017" s="30"/>
      <c r="T2017" s="30"/>
      <c r="U2017" s="30"/>
      <c r="V2017" s="30"/>
      <c r="W2017" s="30"/>
      <c r="X2017" s="30"/>
      <c r="Y2017" s="30"/>
      <c r="Z2017" s="30"/>
      <c r="AA2017" s="30"/>
    </row>
    <row r="2018">
      <c r="A2018" s="29">
        <v>1744100.0</v>
      </c>
      <c r="B2018" s="29">
        <v>1743687.0</v>
      </c>
      <c r="C2018" s="30" t="str">
        <f t="shared" si="1"/>
        <v>-</v>
      </c>
      <c r="D2018" s="29">
        <f t="shared" si="2"/>
        <v>669</v>
      </c>
      <c r="E2018" s="30"/>
      <c r="F2018" s="30"/>
      <c r="G2018" s="30"/>
      <c r="H2018" s="30"/>
      <c r="I2018" s="30"/>
      <c r="J2018" s="30"/>
      <c r="K2018" s="30"/>
      <c r="L2018" s="30"/>
      <c r="M2018" s="30"/>
      <c r="N2018" s="30"/>
      <c r="O2018" s="30"/>
      <c r="P2018" s="30"/>
      <c r="Q2018" s="30"/>
      <c r="R2018" s="30"/>
      <c r="S2018" s="30"/>
      <c r="T2018" s="30"/>
      <c r="U2018" s="30"/>
      <c r="V2018" s="30"/>
      <c r="W2018" s="30"/>
      <c r="X2018" s="30"/>
      <c r="Y2018" s="30"/>
      <c r="Z2018" s="30"/>
      <c r="AA2018" s="30"/>
    </row>
    <row r="2019">
      <c r="A2019" s="29">
        <v>1744132.0</v>
      </c>
      <c r="B2019" s="29">
        <v>1745463.0</v>
      </c>
      <c r="C2019" s="30" t="str">
        <f t="shared" si="1"/>
        <v>+</v>
      </c>
      <c r="D2019" s="29">
        <f t="shared" si="2"/>
        <v>670</v>
      </c>
      <c r="E2019" s="30"/>
      <c r="F2019" s="30"/>
      <c r="G2019" s="30"/>
      <c r="H2019" s="30"/>
      <c r="I2019" s="30"/>
      <c r="J2019" s="30"/>
      <c r="K2019" s="30"/>
      <c r="L2019" s="30"/>
      <c r="M2019" s="30"/>
      <c r="N2019" s="30"/>
      <c r="O2019" s="30"/>
      <c r="P2019" s="30"/>
      <c r="Q2019" s="30"/>
      <c r="R2019" s="30"/>
      <c r="S2019" s="30"/>
      <c r="T2019" s="30"/>
      <c r="U2019" s="30"/>
      <c r="V2019" s="30"/>
      <c r="W2019" s="30"/>
      <c r="X2019" s="30"/>
      <c r="Y2019" s="30"/>
      <c r="Z2019" s="30"/>
      <c r="AA2019" s="30"/>
    </row>
    <row r="2020">
      <c r="A2020" s="29">
        <v>1745445.0</v>
      </c>
      <c r="B2020" s="29">
        <v>1746317.0</v>
      </c>
      <c r="C2020" s="30" t="str">
        <f t="shared" si="1"/>
        <v>+</v>
      </c>
      <c r="D2020" s="29">
        <f t="shared" si="2"/>
        <v>670</v>
      </c>
      <c r="E2020" s="30"/>
      <c r="F2020" s="30"/>
      <c r="G2020" s="30"/>
      <c r="H2020" s="30"/>
      <c r="I2020" s="30"/>
      <c r="J2020" s="30"/>
      <c r="K2020" s="30"/>
      <c r="L2020" s="30"/>
      <c r="M2020" s="30"/>
      <c r="N2020" s="30"/>
      <c r="O2020" s="30"/>
      <c r="P2020" s="30"/>
      <c r="Q2020" s="30"/>
      <c r="R2020" s="30"/>
      <c r="S2020" s="30"/>
      <c r="T2020" s="30"/>
      <c r="U2020" s="30"/>
      <c r="V2020" s="30"/>
      <c r="W2020" s="30"/>
      <c r="X2020" s="30"/>
      <c r="Y2020" s="30"/>
      <c r="Z2020" s="30"/>
      <c r="AA2020" s="30"/>
    </row>
    <row r="2021">
      <c r="A2021" s="29">
        <v>1746301.0</v>
      </c>
      <c r="B2021" s="29">
        <v>1747668.0</v>
      </c>
      <c r="C2021" s="30" t="str">
        <f t="shared" si="1"/>
        <v>+</v>
      </c>
      <c r="D2021" s="29">
        <f t="shared" si="2"/>
        <v>670</v>
      </c>
      <c r="E2021" s="30"/>
      <c r="F2021" s="30"/>
      <c r="G2021" s="30"/>
      <c r="H2021" s="30"/>
      <c r="I2021" s="30"/>
      <c r="J2021" s="30"/>
      <c r="K2021" s="30"/>
      <c r="L2021" s="30"/>
      <c r="M2021" s="30"/>
      <c r="N2021" s="30"/>
      <c r="O2021" s="30"/>
      <c r="P2021" s="30"/>
      <c r="Q2021" s="30"/>
      <c r="R2021" s="30"/>
      <c r="S2021" s="30"/>
      <c r="T2021" s="30"/>
      <c r="U2021" s="30"/>
      <c r="V2021" s="30"/>
      <c r="W2021" s="30"/>
      <c r="X2021" s="30"/>
      <c r="Y2021" s="30"/>
      <c r="Z2021" s="30"/>
      <c r="AA2021" s="30"/>
    </row>
    <row r="2022">
      <c r="A2022" s="29">
        <v>1747611.0</v>
      </c>
      <c r="B2022" s="29">
        <v>1748957.0</v>
      </c>
      <c r="C2022" s="30" t="str">
        <f t="shared" si="1"/>
        <v>+</v>
      </c>
      <c r="D2022" s="29">
        <f t="shared" si="2"/>
        <v>670</v>
      </c>
      <c r="E2022" s="30"/>
      <c r="F2022" s="30"/>
      <c r="G2022" s="30"/>
      <c r="H2022" s="30"/>
      <c r="I2022" s="30"/>
      <c r="J2022" s="30"/>
      <c r="K2022" s="30"/>
      <c r="L2022" s="30"/>
      <c r="M2022" s="30"/>
      <c r="N2022" s="30"/>
      <c r="O2022" s="30"/>
      <c r="P2022" s="30"/>
      <c r="Q2022" s="30"/>
      <c r="R2022" s="30"/>
      <c r="S2022" s="30"/>
      <c r="T2022" s="30"/>
      <c r="U2022" s="30"/>
      <c r="V2022" s="30"/>
      <c r="W2022" s="30"/>
      <c r="X2022" s="30"/>
      <c r="Y2022" s="30"/>
      <c r="Z2022" s="30"/>
      <c r="AA2022" s="30"/>
    </row>
    <row r="2023">
      <c r="A2023" s="29">
        <v>1750739.0</v>
      </c>
      <c r="B2023" s="29">
        <v>1750975.0</v>
      </c>
      <c r="C2023" s="30" t="str">
        <f t="shared" si="1"/>
        <v>+</v>
      </c>
      <c r="D2023" s="29">
        <f t="shared" si="2"/>
        <v>670</v>
      </c>
      <c r="E2023" s="30"/>
      <c r="F2023" s="30"/>
      <c r="G2023" s="30"/>
      <c r="H2023" s="30"/>
      <c r="I2023" s="30"/>
      <c r="J2023" s="30"/>
      <c r="K2023" s="30"/>
      <c r="L2023" s="30"/>
      <c r="M2023" s="30"/>
      <c r="N2023" s="30"/>
      <c r="O2023" s="30"/>
      <c r="P2023" s="30"/>
      <c r="Q2023" s="30"/>
      <c r="R2023" s="30"/>
      <c r="S2023" s="30"/>
      <c r="T2023" s="30"/>
      <c r="U2023" s="30"/>
      <c r="V2023" s="30"/>
      <c r="W2023" s="30"/>
      <c r="X2023" s="30"/>
      <c r="Y2023" s="30"/>
      <c r="Z2023" s="30"/>
      <c r="AA2023" s="30"/>
    </row>
    <row r="2024">
      <c r="A2024" s="29">
        <v>1750959.0</v>
      </c>
      <c r="B2024" s="29">
        <v>1751378.0</v>
      </c>
      <c r="C2024" s="30" t="str">
        <f t="shared" si="1"/>
        <v>+</v>
      </c>
      <c r="D2024" s="29">
        <f t="shared" si="2"/>
        <v>670</v>
      </c>
      <c r="E2024" s="30"/>
      <c r="F2024" s="30"/>
      <c r="G2024" s="30"/>
      <c r="H2024" s="30"/>
      <c r="I2024" s="30"/>
      <c r="J2024" s="30"/>
      <c r="K2024" s="30"/>
      <c r="L2024" s="30"/>
      <c r="M2024" s="30"/>
      <c r="N2024" s="30"/>
      <c r="O2024" s="30"/>
      <c r="P2024" s="30"/>
      <c r="Q2024" s="30"/>
      <c r="R2024" s="30"/>
      <c r="S2024" s="30"/>
      <c r="T2024" s="30"/>
      <c r="U2024" s="30"/>
      <c r="V2024" s="30"/>
      <c r="W2024" s="30"/>
      <c r="X2024" s="30"/>
      <c r="Y2024" s="30"/>
      <c r="Z2024" s="30"/>
      <c r="AA2024" s="30"/>
    </row>
    <row r="2025">
      <c r="A2025" s="29">
        <v>1752484.0</v>
      </c>
      <c r="B2025" s="29">
        <v>1751879.0</v>
      </c>
      <c r="C2025" s="30" t="str">
        <f t="shared" si="1"/>
        <v>-</v>
      </c>
      <c r="D2025" s="29">
        <f t="shared" si="2"/>
        <v>671</v>
      </c>
      <c r="E2025" s="30"/>
      <c r="F2025" s="30"/>
      <c r="G2025" s="30"/>
      <c r="H2025" s="30"/>
      <c r="I2025" s="30"/>
      <c r="J2025" s="30"/>
      <c r="K2025" s="30"/>
      <c r="L2025" s="30"/>
      <c r="M2025" s="30"/>
      <c r="N2025" s="30"/>
      <c r="O2025" s="30"/>
      <c r="P2025" s="30"/>
      <c r="Q2025" s="30"/>
      <c r="R2025" s="30"/>
      <c r="S2025" s="30"/>
      <c r="T2025" s="30"/>
      <c r="U2025" s="30"/>
      <c r="V2025" s="30"/>
      <c r="W2025" s="30"/>
      <c r="X2025" s="30"/>
      <c r="Y2025" s="30"/>
      <c r="Z2025" s="30"/>
      <c r="AA2025" s="30"/>
    </row>
    <row r="2026">
      <c r="A2026" s="29">
        <v>1753136.0</v>
      </c>
      <c r="B2026" s="29">
        <v>1752513.0</v>
      </c>
      <c r="C2026" s="30" t="str">
        <f t="shared" si="1"/>
        <v>-</v>
      </c>
      <c r="D2026" s="29">
        <f t="shared" si="2"/>
        <v>671</v>
      </c>
      <c r="E2026" s="30"/>
      <c r="F2026" s="30"/>
      <c r="G2026" s="30"/>
      <c r="H2026" s="30"/>
      <c r="I2026" s="30"/>
      <c r="J2026" s="30"/>
      <c r="K2026" s="30"/>
      <c r="L2026" s="30"/>
      <c r="M2026" s="30"/>
      <c r="N2026" s="30"/>
      <c r="O2026" s="30"/>
      <c r="P2026" s="30"/>
      <c r="Q2026" s="30"/>
      <c r="R2026" s="30"/>
      <c r="S2026" s="30"/>
      <c r="T2026" s="30"/>
      <c r="U2026" s="30"/>
      <c r="V2026" s="30"/>
      <c r="W2026" s="30"/>
      <c r="X2026" s="30"/>
      <c r="Y2026" s="30"/>
      <c r="Z2026" s="30"/>
      <c r="AA2026" s="30"/>
    </row>
    <row r="2027">
      <c r="A2027" s="29">
        <v>1757016.0</v>
      </c>
      <c r="B2027" s="29">
        <v>1753495.0</v>
      </c>
      <c r="C2027" s="30" t="str">
        <f t="shared" si="1"/>
        <v>-</v>
      </c>
      <c r="D2027" s="29">
        <f t="shared" si="2"/>
        <v>671</v>
      </c>
      <c r="E2027" s="30"/>
      <c r="F2027" s="30"/>
      <c r="G2027" s="30"/>
      <c r="H2027" s="30"/>
      <c r="I2027" s="30"/>
      <c r="J2027" s="30"/>
      <c r="K2027" s="30"/>
      <c r="L2027" s="30"/>
      <c r="M2027" s="30"/>
      <c r="N2027" s="30"/>
      <c r="O2027" s="30"/>
      <c r="P2027" s="30"/>
      <c r="Q2027" s="30"/>
      <c r="R2027" s="30"/>
      <c r="S2027" s="30"/>
      <c r="T2027" s="30"/>
      <c r="U2027" s="30"/>
      <c r="V2027" s="30"/>
      <c r="W2027" s="30"/>
      <c r="X2027" s="30"/>
      <c r="Y2027" s="30"/>
      <c r="Z2027" s="30"/>
      <c r="AA2027" s="30"/>
    </row>
    <row r="2028">
      <c r="A2028" s="29">
        <v>1758115.0</v>
      </c>
      <c r="B2028" s="29">
        <v>1757009.0</v>
      </c>
      <c r="C2028" s="30" t="str">
        <f t="shared" si="1"/>
        <v>-</v>
      </c>
      <c r="D2028" s="29">
        <f t="shared" si="2"/>
        <v>671</v>
      </c>
      <c r="E2028" s="30"/>
      <c r="F2028" s="30"/>
      <c r="G2028" s="30"/>
      <c r="H2028" s="30"/>
      <c r="I2028" s="30"/>
      <c r="J2028" s="30"/>
      <c r="K2028" s="30"/>
      <c r="L2028" s="30"/>
      <c r="M2028" s="30"/>
      <c r="N2028" s="30"/>
      <c r="O2028" s="30"/>
      <c r="P2028" s="30"/>
      <c r="Q2028" s="30"/>
      <c r="R2028" s="30"/>
      <c r="S2028" s="30"/>
      <c r="T2028" s="30"/>
      <c r="U2028" s="30"/>
      <c r="V2028" s="30"/>
      <c r="W2028" s="30"/>
      <c r="X2028" s="30"/>
      <c r="Y2028" s="30"/>
      <c r="Z2028" s="30"/>
      <c r="AA2028" s="30"/>
    </row>
    <row r="2029">
      <c r="A2029" s="29">
        <v>1758759.0</v>
      </c>
      <c r="B2029" s="29">
        <v>1758112.0</v>
      </c>
      <c r="C2029" s="30" t="str">
        <f t="shared" si="1"/>
        <v>-</v>
      </c>
      <c r="D2029" s="29">
        <f t="shared" si="2"/>
        <v>671</v>
      </c>
      <c r="E2029" s="30"/>
      <c r="F2029" s="30"/>
      <c r="G2029" s="30"/>
      <c r="H2029" s="30"/>
      <c r="I2029" s="30"/>
      <c r="J2029" s="30"/>
      <c r="K2029" s="30"/>
      <c r="L2029" s="30"/>
      <c r="M2029" s="30"/>
      <c r="N2029" s="30"/>
      <c r="O2029" s="30"/>
      <c r="P2029" s="30"/>
      <c r="Q2029" s="30"/>
      <c r="R2029" s="30"/>
      <c r="S2029" s="30"/>
      <c r="T2029" s="30"/>
      <c r="U2029" s="30"/>
      <c r="V2029" s="30"/>
      <c r="W2029" s="30"/>
      <c r="X2029" s="30"/>
      <c r="Y2029" s="30"/>
      <c r="Z2029" s="30"/>
      <c r="AA2029" s="30"/>
    </row>
    <row r="2030">
      <c r="A2030" s="29">
        <v>1759400.0</v>
      </c>
      <c r="B2030" s="29">
        <v>1758831.0</v>
      </c>
      <c r="C2030" s="30" t="str">
        <f t="shared" si="1"/>
        <v>-</v>
      </c>
      <c r="D2030" s="29">
        <f t="shared" si="2"/>
        <v>671</v>
      </c>
      <c r="E2030" s="30"/>
      <c r="F2030" s="30"/>
      <c r="G2030" s="30"/>
      <c r="H2030" s="30"/>
      <c r="I2030" s="30"/>
      <c r="J2030" s="30"/>
      <c r="K2030" s="30"/>
      <c r="L2030" s="30"/>
      <c r="M2030" s="30"/>
      <c r="N2030" s="30"/>
      <c r="O2030" s="30"/>
      <c r="P2030" s="30"/>
      <c r="Q2030" s="30"/>
      <c r="R2030" s="30"/>
      <c r="S2030" s="30"/>
      <c r="T2030" s="30"/>
      <c r="U2030" s="30"/>
      <c r="V2030" s="30"/>
      <c r="W2030" s="30"/>
      <c r="X2030" s="30"/>
      <c r="Y2030" s="30"/>
      <c r="Z2030" s="30"/>
      <c r="AA2030" s="30"/>
    </row>
    <row r="2031">
      <c r="A2031" s="29">
        <v>1759815.0</v>
      </c>
      <c r="B2031" s="29">
        <v>1759387.0</v>
      </c>
      <c r="C2031" s="30" t="str">
        <f t="shared" si="1"/>
        <v>-</v>
      </c>
      <c r="D2031" s="29">
        <f t="shared" si="2"/>
        <v>671</v>
      </c>
      <c r="E2031" s="30"/>
      <c r="F2031" s="30"/>
      <c r="G2031" s="30"/>
      <c r="H2031" s="30"/>
      <c r="I2031" s="30"/>
      <c r="J2031" s="30"/>
      <c r="K2031" s="30"/>
      <c r="L2031" s="30"/>
      <c r="M2031" s="30"/>
      <c r="N2031" s="30"/>
      <c r="O2031" s="30"/>
      <c r="P2031" s="30"/>
      <c r="Q2031" s="30"/>
      <c r="R2031" s="30"/>
      <c r="S2031" s="30"/>
      <c r="T2031" s="30"/>
      <c r="U2031" s="30"/>
      <c r="V2031" s="30"/>
      <c r="W2031" s="30"/>
      <c r="X2031" s="30"/>
      <c r="Y2031" s="30"/>
      <c r="Z2031" s="30"/>
      <c r="AA2031" s="30"/>
    </row>
    <row r="2032">
      <c r="A2032" s="29">
        <v>1761029.0</v>
      </c>
      <c r="B2032" s="29">
        <v>1759944.0</v>
      </c>
      <c r="C2032" s="30" t="str">
        <f t="shared" si="1"/>
        <v>-</v>
      </c>
      <c r="D2032" s="29">
        <f t="shared" si="2"/>
        <v>671</v>
      </c>
      <c r="E2032" s="30"/>
      <c r="F2032" s="30"/>
      <c r="G2032" s="30"/>
      <c r="H2032" s="30"/>
      <c r="I2032" s="30"/>
      <c r="J2032" s="30"/>
      <c r="K2032" s="30"/>
      <c r="L2032" s="30"/>
      <c r="M2032" s="30"/>
      <c r="N2032" s="30"/>
      <c r="O2032" s="30"/>
      <c r="P2032" s="30"/>
      <c r="Q2032" s="30"/>
      <c r="R2032" s="30"/>
      <c r="S2032" s="30"/>
      <c r="T2032" s="30"/>
      <c r="U2032" s="30"/>
      <c r="V2032" s="30"/>
      <c r="W2032" s="30"/>
      <c r="X2032" s="30"/>
      <c r="Y2032" s="30"/>
      <c r="Z2032" s="30"/>
      <c r="AA2032" s="30"/>
    </row>
    <row r="2033">
      <c r="A2033" s="29">
        <v>1762145.0</v>
      </c>
      <c r="B2033" s="29">
        <v>1761075.0</v>
      </c>
      <c r="C2033" s="30" t="str">
        <f t="shared" si="1"/>
        <v>-</v>
      </c>
      <c r="D2033" s="29">
        <f t="shared" si="2"/>
        <v>671</v>
      </c>
      <c r="E2033" s="30"/>
      <c r="F2033" s="30"/>
      <c r="G2033" s="30"/>
      <c r="H2033" s="30"/>
      <c r="I2033" s="30"/>
      <c r="J2033" s="30"/>
      <c r="K2033" s="30"/>
      <c r="L2033" s="30"/>
      <c r="M2033" s="30"/>
      <c r="N2033" s="30"/>
      <c r="O2033" s="30"/>
      <c r="P2033" s="30"/>
      <c r="Q2033" s="30"/>
      <c r="R2033" s="30"/>
      <c r="S2033" s="30"/>
      <c r="T2033" s="30"/>
      <c r="U2033" s="30"/>
      <c r="V2033" s="30"/>
      <c r="W2033" s="30"/>
      <c r="X2033" s="30"/>
      <c r="Y2033" s="30"/>
      <c r="Z2033" s="30"/>
      <c r="AA2033" s="30"/>
    </row>
    <row r="2034">
      <c r="A2034" s="29">
        <v>1764069.0</v>
      </c>
      <c r="B2034" s="29">
        <v>1762252.0</v>
      </c>
      <c r="C2034" s="30" t="str">
        <f t="shared" si="1"/>
        <v>-</v>
      </c>
      <c r="D2034" s="29">
        <f t="shared" si="2"/>
        <v>671</v>
      </c>
      <c r="E2034" s="30"/>
      <c r="F2034" s="30"/>
      <c r="G2034" s="30"/>
      <c r="H2034" s="30"/>
      <c r="I2034" s="30"/>
      <c r="J2034" s="30"/>
      <c r="K2034" s="30"/>
      <c r="L2034" s="30"/>
      <c r="M2034" s="30"/>
      <c r="N2034" s="30"/>
      <c r="O2034" s="30"/>
      <c r="P2034" s="30"/>
      <c r="Q2034" s="30"/>
      <c r="R2034" s="30"/>
      <c r="S2034" s="30"/>
      <c r="T2034" s="30"/>
      <c r="U2034" s="30"/>
      <c r="V2034" s="30"/>
      <c r="W2034" s="30"/>
      <c r="X2034" s="30"/>
      <c r="Y2034" s="30"/>
      <c r="Z2034" s="30"/>
      <c r="AA2034" s="30"/>
    </row>
    <row r="2035">
      <c r="A2035" s="29">
        <v>1765586.0</v>
      </c>
      <c r="B2035" s="29">
        <v>1764351.0</v>
      </c>
      <c r="C2035" s="30" t="str">
        <f t="shared" si="1"/>
        <v>-</v>
      </c>
      <c r="D2035" s="29">
        <f t="shared" si="2"/>
        <v>671</v>
      </c>
      <c r="E2035" s="30"/>
      <c r="F2035" s="30"/>
      <c r="G2035" s="30"/>
      <c r="H2035" s="30"/>
      <c r="I2035" s="30"/>
      <c r="J2035" s="30"/>
      <c r="K2035" s="30"/>
      <c r="L2035" s="30"/>
      <c r="M2035" s="30"/>
      <c r="N2035" s="30"/>
      <c r="O2035" s="30"/>
      <c r="P2035" s="30"/>
      <c r="Q2035" s="30"/>
      <c r="R2035" s="30"/>
      <c r="S2035" s="30"/>
      <c r="T2035" s="30"/>
      <c r="U2035" s="30"/>
      <c r="V2035" s="30"/>
      <c r="W2035" s="30"/>
      <c r="X2035" s="30"/>
      <c r="Y2035" s="30"/>
      <c r="Z2035" s="30"/>
      <c r="AA2035" s="30"/>
    </row>
    <row r="2036">
      <c r="A2036" s="29">
        <v>1766595.0</v>
      </c>
      <c r="B2036" s="29">
        <v>1765639.0</v>
      </c>
      <c r="C2036" s="30" t="str">
        <f t="shared" si="1"/>
        <v>-</v>
      </c>
      <c r="D2036" s="29">
        <f t="shared" si="2"/>
        <v>671</v>
      </c>
      <c r="E2036" s="30"/>
      <c r="F2036" s="30"/>
      <c r="G2036" s="30"/>
      <c r="H2036" s="30"/>
      <c r="I2036" s="30"/>
      <c r="J2036" s="30"/>
      <c r="K2036" s="30"/>
      <c r="L2036" s="30"/>
      <c r="M2036" s="30"/>
      <c r="N2036" s="30"/>
      <c r="O2036" s="30"/>
      <c r="P2036" s="30"/>
      <c r="Q2036" s="30"/>
      <c r="R2036" s="30"/>
      <c r="S2036" s="30"/>
      <c r="T2036" s="30"/>
      <c r="U2036" s="30"/>
      <c r="V2036" s="30"/>
      <c r="W2036" s="30"/>
      <c r="X2036" s="30"/>
      <c r="Y2036" s="30"/>
      <c r="Z2036" s="30"/>
      <c r="AA2036" s="30"/>
    </row>
    <row r="2037">
      <c r="A2037" s="29">
        <v>1766927.0</v>
      </c>
      <c r="B2037" s="29">
        <v>1767886.0</v>
      </c>
      <c r="C2037" s="30" t="str">
        <f t="shared" si="1"/>
        <v>+</v>
      </c>
      <c r="D2037" s="29">
        <f t="shared" si="2"/>
        <v>672</v>
      </c>
      <c r="E2037" s="30"/>
      <c r="F2037" s="30"/>
      <c r="G2037" s="30"/>
      <c r="H2037" s="30"/>
      <c r="I2037" s="30"/>
      <c r="J2037" s="30"/>
      <c r="K2037" s="30"/>
      <c r="L2037" s="30"/>
      <c r="M2037" s="30"/>
      <c r="N2037" s="30"/>
      <c r="O2037" s="30"/>
      <c r="P2037" s="30"/>
      <c r="Q2037" s="30"/>
      <c r="R2037" s="30"/>
      <c r="S2037" s="30"/>
      <c r="T2037" s="30"/>
      <c r="U2037" s="30"/>
      <c r="V2037" s="30"/>
      <c r="W2037" s="30"/>
      <c r="X2037" s="30"/>
      <c r="Y2037" s="30"/>
      <c r="Z2037" s="30"/>
      <c r="AA2037" s="30"/>
    </row>
    <row r="2038">
      <c r="A2038" s="29">
        <v>1767883.0</v>
      </c>
      <c r="B2038" s="29">
        <v>1769061.0</v>
      </c>
      <c r="C2038" s="30" t="str">
        <f t="shared" si="1"/>
        <v>+</v>
      </c>
      <c r="D2038" s="29">
        <f t="shared" si="2"/>
        <v>672</v>
      </c>
      <c r="E2038" s="30"/>
      <c r="F2038" s="30"/>
      <c r="G2038" s="30"/>
      <c r="H2038" s="30"/>
      <c r="I2038" s="30"/>
      <c r="J2038" s="30"/>
      <c r="K2038" s="30"/>
      <c r="L2038" s="30"/>
      <c r="M2038" s="30"/>
      <c r="N2038" s="30"/>
      <c r="O2038" s="30"/>
      <c r="P2038" s="30"/>
      <c r="Q2038" s="30"/>
      <c r="R2038" s="30"/>
      <c r="S2038" s="30"/>
      <c r="T2038" s="30"/>
      <c r="U2038" s="30"/>
      <c r="V2038" s="30"/>
      <c r="W2038" s="30"/>
      <c r="X2038" s="30"/>
      <c r="Y2038" s="30"/>
      <c r="Z2038" s="30"/>
      <c r="AA2038" s="30"/>
    </row>
    <row r="2039">
      <c r="A2039" s="29">
        <v>1770208.0</v>
      </c>
      <c r="B2039" s="29">
        <v>1769042.0</v>
      </c>
      <c r="C2039" s="30" t="str">
        <f t="shared" si="1"/>
        <v>-</v>
      </c>
      <c r="D2039" s="29">
        <f t="shared" si="2"/>
        <v>673</v>
      </c>
      <c r="E2039" s="30"/>
      <c r="F2039" s="30"/>
      <c r="G2039" s="30"/>
      <c r="H2039" s="30"/>
      <c r="I2039" s="30"/>
      <c r="J2039" s="30"/>
      <c r="K2039" s="30"/>
      <c r="L2039" s="30"/>
      <c r="M2039" s="30"/>
      <c r="N2039" s="30"/>
      <c r="O2039" s="30"/>
      <c r="P2039" s="30"/>
      <c r="Q2039" s="30"/>
      <c r="R2039" s="30"/>
      <c r="S2039" s="30"/>
      <c r="T2039" s="30"/>
      <c r="U2039" s="30"/>
      <c r="V2039" s="30"/>
      <c r="W2039" s="30"/>
      <c r="X2039" s="30"/>
      <c r="Y2039" s="30"/>
      <c r="Z2039" s="30"/>
      <c r="AA2039" s="30"/>
    </row>
    <row r="2040">
      <c r="A2040" s="29">
        <v>1771527.0</v>
      </c>
      <c r="B2040" s="29">
        <v>1770241.0</v>
      </c>
      <c r="C2040" s="30" t="str">
        <f t="shared" si="1"/>
        <v>-</v>
      </c>
      <c r="D2040" s="29">
        <f t="shared" si="2"/>
        <v>673</v>
      </c>
      <c r="E2040" s="30"/>
      <c r="F2040" s="30"/>
      <c r="G2040" s="30"/>
      <c r="H2040" s="30"/>
      <c r="I2040" s="30"/>
      <c r="J2040" s="30"/>
      <c r="K2040" s="30"/>
      <c r="L2040" s="30"/>
      <c r="M2040" s="30"/>
      <c r="N2040" s="30"/>
      <c r="O2040" s="30"/>
      <c r="P2040" s="30"/>
      <c r="Q2040" s="30"/>
      <c r="R2040" s="30"/>
      <c r="S2040" s="30"/>
      <c r="T2040" s="30"/>
      <c r="U2040" s="30"/>
      <c r="V2040" s="30"/>
      <c r="W2040" s="30"/>
      <c r="X2040" s="30"/>
      <c r="Y2040" s="30"/>
      <c r="Z2040" s="30"/>
      <c r="AA2040" s="30"/>
    </row>
    <row r="2041">
      <c r="A2041" s="29">
        <v>1771559.0</v>
      </c>
      <c r="B2041" s="29">
        <v>1771828.0</v>
      </c>
      <c r="C2041" s="30" t="str">
        <f t="shared" si="1"/>
        <v>+</v>
      </c>
      <c r="D2041" s="29">
        <f t="shared" si="2"/>
        <v>674</v>
      </c>
      <c r="E2041" s="30"/>
      <c r="F2041" s="30"/>
      <c r="G2041" s="30"/>
      <c r="H2041" s="30"/>
      <c r="I2041" s="30"/>
      <c r="J2041" s="30"/>
      <c r="K2041" s="30"/>
      <c r="L2041" s="30"/>
      <c r="M2041" s="30"/>
      <c r="N2041" s="30"/>
      <c r="O2041" s="30"/>
      <c r="P2041" s="30"/>
      <c r="Q2041" s="30"/>
      <c r="R2041" s="30"/>
      <c r="S2041" s="30"/>
      <c r="T2041" s="30"/>
      <c r="U2041" s="30"/>
      <c r="V2041" s="30"/>
      <c r="W2041" s="30"/>
      <c r="X2041" s="30"/>
      <c r="Y2041" s="30"/>
      <c r="Z2041" s="30"/>
      <c r="AA2041" s="30"/>
    </row>
    <row r="2042">
      <c r="A2042" s="29">
        <v>1771950.0</v>
      </c>
      <c r="B2042" s="29">
        <v>1772150.0</v>
      </c>
      <c r="C2042" s="30" t="str">
        <f t="shared" si="1"/>
        <v>+</v>
      </c>
      <c r="D2042" s="29">
        <f t="shared" si="2"/>
        <v>674</v>
      </c>
      <c r="E2042" s="30"/>
      <c r="F2042" s="30"/>
      <c r="G2042" s="30"/>
      <c r="H2042" s="30"/>
      <c r="I2042" s="30"/>
      <c r="J2042" s="30"/>
      <c r="K2042" s="30"/>
      <c r="L2042" s="30"/>
      <c r="M2042" s="30"/>
      <c r="N2042" s="30"/>
      <c r="O2042" s="30"/>
      <c r="P2042" s="30"/>
      <c r="Q2042" s="30"/>
      <c r="R2042" s="30"/>
      <c r="S2042" s="30"/>
      <c r="T2042" s="30"/>
      <c r="U2042" s="30"/>
      <c r="V2042" s="30"/>
      <c r="W2042" s="30"/>
      <c r="X2042" s="30"/>
      <c r="Y2042" s="30"/>
      <c r="Z2042" s="30"/>
      <c r="AA2042" s="30"/>
    </row>
    <row r="2043">
      <c r="A2043" s="29">
        <v>1772692.0</v>
      </c>
      <c r="B2043" s="29">
        <v>1772423.0</v>
      </c>
      <c r="C2043" s="30" t="str">
        <f t="shared" si="1"/>
        <v>-</v>
      </c>
      <c r="D2043" s="29">
        <f t="shared" si="2"/>
        <v>675</v>
      </c>
      <c r="E2043" s="30"/>
      <c r="F2043" s="30"/>
      <c r="G2043" s="30"/>
      <c r="H2043" s="30"/>
      <c r="I2043" s="30"/>
      <c r="J2043" s="30"/>
      <c r="K2043" s="30"/>
      <c r="L2043" s="30"/>
      <c r="M2043" s="30"/>
      <c r="N2043" s="30"/>
      <c r="O2043" s="30"/>
      <c r="P2043" s="30"/>
      <c r="Q2043" s="30"/>
      <c r="R2043" s="30"/>
      <c r="S2043" s="30"/>
      <c r="T2043" s="30"/>
      <c r="U2043" s="30"/>
      <c r="V2043" s="30"/>
      <c r="W2043" s="30"/>
      <c r="X2043" s="30"/>
      <c r="Y2043" s="30"/>
      <c r="Z2043" s="30"/>
      <c r="AA2043" s="30"/>
    </row>
    <row r="2044">
      <c r="A2044" s="29">
        <v>1773580.0</v>
      </c>
      <c r="B2044" s="29">
        <v>1774578.0</v>
      </c>
      <c r="C2044" s="30" t="str">
        <f t="shared" si="1"/>
        <v>+</v>
      </c>
      <c r="D2044" s="29">
        <f t="shared" si="2"/>
        <v>676</v>
      </c>
      <c r="E2044" s="30"/>
      <c r="F2044" s="30"/>
      <c r="G2044" s="30"/>
      <c r="H2044" s="30"/>
      <c r="I2044" s="30"/>
      <c r="J2044" s="30"/>
      <c r="K2044" s="30"/>
      <c r="L2044" s="30"/>
      <c r="M2044" s="30"/>
      <c r="N2044" s="30"/>
      <c r="O2044" s="30"/>
      <c r="P2044" s="30"/>
      <c r="Q2044" s="30"/>
      <c r="R2044" s="30"/>
      <c r="S2044" s="30"/>
      <c r="T2044" s="30"/>
      <c r="U2044" s="30"/>
      <c r="V2044" s="30"/>
      <c r="W2044" s="30"/>
      <c r="X2044" s="30"/>
      <c r="Y2044" s="30"/>
      <c r="Z2044" s="30"/>
      <c r="AA2044" s="30"/>
    </row>
    <row r="2045">
      <c r="A2045" s="29">
        <v>1774631.0</v>
      </c>
      <c r="B2045" s="29">
        <v>1775179.0</v>
      </c>
      <c r="C2045" s="30" t="str">
        <f t="shared" si="1"/>
        <v>+</v>
      </c>
      <c r="D2045" s="29">
        <f t="shared" si="2"/>
        <v>676</v>
      </c>
      <c r="E2045" s="30"/>
      <c r="F2045" s="30"/>
      <c r="G2045" s="30"/>
      <c r="H2045" s="30"/>
      <c r="I2045" s="30"/>
      <c r="J2045" s="30"/>
      <c r="K2045" s="30"/>
      <c r="L2045" s="30"/>
      <c r="M2045" s="30"/>
      <c r="N2045" s="30"/>
      <c r="O2045" s="30"/>
      <c r="P2045" s="30"/>
      <c r="Q2045" s="30"/>
      <c r="R2045" s="30"/>
      <c r="S2045" s="30"/>
      <c r="T2045" s="30"/>
      <c r="U2045" s="30"/>
      <c r="V2045" s="30"/>
      <c r="W2045" s="30"/>
      <c r="X2045" s="30"/>
      <c r="Y2045" s="30"/>
      <c r="Z2045" s="30"/>
      <c r="AA2045" s="30"/>
    </row>
    <row r="2046">
      <c r="A2046" s="29">
        <v>1775670.0</v>
      </c>
      <c r="B2046" s="29">
        <v>1776050.0</v>
      </c>
      <c r="C2046" s="30" t="str">
        <f t="shared" si="1"/>
        <v>+</v>
      </c>
      <c r="D2046" s="29">
        <f t="shared" si="2"/>
        <v>676</v>
      </c>
      <c r="E2046" s="30"/>
      <c r="F2046" s="30"/>
      <c r="G2046" s="30"/>
      <c r="H2046" s="30"/>
      <c r="I2046" s="30"/>
      <c r="J2046" s="30"/>
      <c r="K2046" s="30"/>
      <c r="L2046" s="30"/>
      <c r="M2046" s="30"/>
      <c r="N2046" s="30"/>
      <c r="O2046" s="30"/>
      <c r="P2046" s="30"/>
      <c r="Q2046" s="30"/>
      <c r="R2046" s="30"/>
      <c r="S2046" s="30"/>
      <c r="T2046" s="30"/>
      <c r="U2046" s="30"/>
      <c r="V2046" s="30"/>
      <c r="W2046" s="30"/>
      <c r="X2046" s="30"/>
      <c r="Y2046" s="30"/>
      <c r="Z2046" s="30"/>
      <c r="AA2046" s="30"/>
    </row>
    <row r="2047">
      <c r="A2047" s="29">
        <v>1776468.0</v>
      </c>
      <c r="B2047" s="29">
        <v>1775962.0</v>
      </c>
      <c r="C2047" s="30" t="str">
        <f t="shared" si="1"/>
        <v>-</v>
      </c>
      <c r="D2047" s="29">
        <f t="shared" si="2"/>
        <v>677</v>
      </c>
      <c r="E2047" s="30"/>
      <c r="F2047" s="30"/>
      <c r="G2047" s="30"/>
      <c r="H2047" s="30"/>
      <c r="I2047" s="30"/>
      <c r="J2047" s="30"/>
      <c r="K2047" s="30"/>
      <c r="L2047" s="30"/>
      <c r="M2047" s="30"/>
      <c r="N2047" s="30"/>
      <c r="O2047" s="30"/>
      <c r="P2047" s="30"/>
      <c r="Q2047" s="30"/>
      <c r="R2047" s="30"/>
      <c r="S2047" s="30"/>
      <c r="T2047" s="30"/>
      <c r="U2047" s="30"/>
      <c r="V2047" s="30"/>
      <c r="W2047" s="30"/>
      <c r="X2047" s="30"/>
      <c r="Y2047" s="30"/>
      <c r="Z2047" s="30"/>
      <c r="AA2047" s="30"/>
    </row>
    <row r="2048">
      <c r="A2048" s="29">
        <v>1776493.0</v>
      </c>
      <c r="B2048" s="29">
        <v>1777497.0</v>
      </c>
      <c r="C2048" s="30" t="str">
        <f t="shared" si="1"/>
        <v>+</v>
      </c>
      <c r="D2048" s="29">
        <f t="shared" si="2"/>
        <v>678</v>
      </c>
      <c r="E2048" s="30"/>
      <c r="F2048" s="30"/>
      <c r="G2048" s="30"/>
      <c r="H2048" s="30"/>
      <c r="I2048" s="30"/>
      <c r="J2048" s="30"/>
      <c r="K2048" s="30"/>
      <c r="L2048" s="30"/>
      <c r="M2048" s="30"/>
      <c r="N2048" s="30"/>
      <c r="O2048" s="30"/>
      <c r="P2048" s="30"/>
      <c r="Q2048" s="30"/>
      <c r="R2048" s="30"/>
      <c r="S2048" s="30"/>
      <c r="T2048" s="30"/>
      <c r="U2048" s="30"/>
      <c r="V2048" s="30"/>
      <c r="W2048" s="30"/>
      <c r="X2048" s="30"/>
      <c r="Y2048" s="30"/>
      <c r="Z2048" s="30"/>
      <c r="AA2048" s="30"/>
    </row>
    <row r="2049">
      <c r="A2049" s="29">
        <v>1777630.0</v>
      </c>
      <c r="B2049" s="29">
        <v>1778976.0</v>
      </c>
      <c r="C2049" s="30" t="str">
        <f t="shared" si="1"/>
        <v>+</v>
      </c>
      <c r="D2049" s="29">
        <f t="shared" si="2"/>
        <v>678</v>
      </c>
      <c r="E2049" s="30"/>
      <c r="F2049" s="30"/>
      <c r="G2049" s="30"/>
      <c r="H2049" s="30"/>
      <c r="I2049" s="30"/>
      <c r="J2049" s="30"/>
      <c r="K2049" s="30"/>
      <c r="L2049" s="30"/>
      <c r="M2049" s="30"/>
      <c r="N2049" s="30"/>
      <c r="O2049" s="30"/>
      <c r="P2049" s="30"/>
      <c r="Q2049" s="30"/>
      <c r="R2049" s="30"/>
      <c r="S2049" s="30"/>
      <c r="T2049" s="30"/>
      <c r="U2049" s="30"/>
      <c r="V2049" s="30"/>
      <c r="W2049" s="30"/>
      <c r="X2049" s="30"/>
      <c r="Y2049" s="30"/>
      <c r="Z2049" s="30"/>
      <c r="AA2049" s="30"/>
    </row>
    <row r="2050">
      <c r="A2050" s="29">
        <v>1779566.0</v>
      </c>
      <c r="B2050" s="29">
        <v>1779033.0</v>
      </c>
      <c r="C2050" s="30" t="str">
        <f t="shared" si="1"/>
        <v>-</v>
      </c>
      <c r="D2050" s="29">
        <f t="shared" si="2"/>
        <v>679</v>
      </c>
      <c r="E2050" s="30"/>
      <c r="F2050" s="30"/>
      <c r="G2050" s="30"/>
      <c r="H2050" s="30"/>
      <c r="I2050" s="30"/>
      <c r="J2050" s="30"/>
      <c r="K2050" s="30"/>
      <c r="L2050" s="30"/>
      <c r="M2050" s="30"/>
      <c r="N2050" s="30"/>
      <c r="O2050" s="30"/>
      <c r="P2050" s="30"/>
      <c r="Q2050" s="30"/>
      <c r="R2050" s="30"/>
      <c r="S2050" s="30"/>
      <c r="T2050" s="30"/>
      <c r="U2050" s="30"/>
      <c r="V2050" s="30"/>
      <c r="W2050" s="30"/>
      <c r="X2050" s="30"/>
      <c r="Y2050" s="30"/>
      <c r="Z2050" s="30"/>
      <c r="AA2050" s="30"/>
    </row>
    <row r="2051">
      <c r="A2051" s="29">
        <v>1779645.0</v>
      </c>
      <c r="B2051" s="29">
        <v>1780421.0</v>
      </c>
      <c r="C2051" s="30" t="str">
        <f t="shared" si="1"/>
        <v>+</v>
      </c>
      <c r="D2051" s="29">
        <f t="shared" si="2"/>
        <v>680</v>
      </c>
      <c r="E2051" s="30"/>
      <c r="F2051" s="30"/>
      <c r="G2051" s="30"/>
      <c r="H2051" s="30"/>
      <c r="I2051" s="30"/>
      <c r="J2051" s="30"/>
      <c r="K2051" s="30"/>
      <c r="L2051" s="30"/>
      <c r="M2051" s="30"/>
      <c r="N2051" s="30"/>
      <c r="O2051" s="30"/>
      <c r="P2051" s="30"/>
      <c r="Q2051" s="30"/>
      <c r="R2051" s="30"/>
      <c r="S2051" s="30"/>
      <c r="T2051" s="30"/>
      <c r="U2051" s="30"/>
      <c r="V2051" s="30"/>
      <c r="W2051" s="30"/>
      <c r="X2051" s="30"/>
      <c r="Y2051" s="30"/>
      <c r="Z2051" s="30"/>
      <c r="AA2051" s="30"/>
    </row>
    <row r="2052">
      <c r="A2052" s="29">
        <v>1780464.0</v>
      </c>
      <c r="B2052" s="29">
        <v>1781363.0</v>
      </c>
      <c r="C2052" s="30" t="str">
        <f t="shared" si="1"/>
        <v>+</v>
      </c>
      <c r="D2052" s="29">
        <f t="shared" si="2"/>
        <v>680</v>
      </c>
      <c r="E2052" s="30"/>
      <c r="F2052" s="30"/>
      <c r="G2052" s="30"/>
      <c r="H2052" s="30"/>
      <c r="I2052" s="30"/>
      <c r="J2052" s="30"/>
      <c r="K2052" s="30"/>
      <c r="L2052" s="30"/>
      <c r="M2052" s="30"/>
      <c r="N2052" s="30"/>
      <c r="O2052" s="30"/>
      <c r="P2052" s="30"/>
      <c r="Q2052" s="30"/>
      <c r="R2052" s="30"/>
      <c r="S2052" s="30"/>
      <c r="T2052" s="30"/>
      <c r="U2052" s="30"/>
      <c r="V2052" s="30"/>
      <c r="W2052" s="30"/>
      <c r="X2052" s="30"/>
      <c r="Y2052" s="30"/>
      <c r="Z2052" s="30"/>
      <c r="AA2052" s="30"/>
    </row>
    <row r="2053">
      <c r="A2053" s="29">
        <v>1781384.0</v>
      </c>
      <c r="B2053" s="29">
        <v>1782292.0</v>
      </c>
      <c r="C2053" s="30" t="str">
        <f t="shared" si="1"/>
        <v>+</v>
      </c>
      <c r="D2053" s="29">
        <f t="shared" si="2"/>
        <v>680</v>
      </c>
      <c r="E2053" s="30"/>
      <c r="F2053" s="30"/>
      <c r="G2053" s="30"/>
      <c r="H2053" s="30"/>
      <c r="I2053" s="30"/>
      <c r="J2053" s="30"/>
      <c r="K2053" s="30"/>
      <c r="L2053" s="30"/>
      <c r="M2053" s="30"/>
      <c r="N2053" s="30"/>
      <c r="O2053" s="30"/>
      <c r="P2053" s="30"/>
      <c r="Q2053" s="30"/>
      <c r="R2053" s="30"/>
      <c r="S2053" s="30"/>
      <c r="T2053" s="30"/>
      <c r="U2053" s="30"/>
      <c r="V2053" s="30"/>
      <c r="W2053" s="30"/>
      <c r="X2053" s="30"/>
      <c r="Y2053" s="30"/>
      <c r="Z2053" s="30"/>
      <c r="AA2053" s="30"/>
    </row>
    <row r="2054">
      <c r="A2054" s="29">
        <v>1782700.0</v>
      </c>
      <c r="B2054" s="29">
        <v>1782966.0</v>
      </c>
      <c r="C2054" s="30" t="str">
        <f t="shared" si="1"/>
        <v>+</v>
      </c>
      <c r="D2054" s="29">
        <f t="shared" si="2"/>
        <v>680</v>
      </c>
      <c r="E2054" s="30"/>
      <c r="F2054" s="30"/>
      <c r="G2054" s="30"/>
      <c r="H2054" s="30"/>
      <c r="I2054" s="30"/>
      <c r="J2054" s="30"/>
      <c r="K2054" s="30"/>
      <c r="L2054" s="30"/>
      <c r="M2054" s="30"/>
      <c r="N2054" s="30"/>
      <c r="O2054" s="30"/>
      <c r="P2054" s="30"/>
      <c r="Q2054" s="30"/>
      <c r="R2054" s="30"/>
      <c r="S2054" s="30"/>
      <c r="T2054" s="30"/>
      <c r="U2054" s="30"/>
      <c r="V2054" s="30"/>
      <c r="W2054" s="30"/>
      <c r="X2054" s="30"/>
      <c r="Y2054" s="30"/>
      <c r="Z2054" s="30"/>
      <c r="AA2054" s="30"/>
    </row>
    <row r="2055">
      <c r="A2055" s="29">
        <v>1783379.0</v>
      </c>
      <c r="B2055" s="29">
        <v>1783489.0</v>
      </c>
      <c r="C2055" s="30" t="str">
        <f t="shared" si="1"/>
        <v>+</v>
      </c>
      <c r="D2055" s="29">
        <f t="shared" si="2"/>
        <v>680</v>
      </c>
      <c r="E2055" s="30"/>
      <c r="F2055" s="30"/>
      <c r="G2055" s="30"/>
      <c r="H2055" s="30"/>
      <c r="I2055" s="30"/>
      <c r="J2055" s="30"/>
      <c r="K2055" s="30"/>
      <c r="L2055" s="30"/>
      <c r="M2055" s="30"/>
      <c r="N2055" s="30"/>
      <c r="O2055" s="30"/>
      <c r="P2055" s="30"/>
      <c r="Q2055" s="30"/>
      <c r="R2055" s="30"/>
      <c r="S2055" s="30"/>
      <c r="T2055" s="30"/>
      <c r="U2055" s="30"/>
      <c r="V2055" s="30"/>
      <c r="W2055" s="30"/>
      <c r="X2055" s="30"/>
      <c r="Y2055" s="30"/>
      <c r="Z2055" s="30"/>
      <c r="AA2055" s="30"/>
    </row>
    <row r="2056">
      <c r="A2056" s="29">
        <v>1783870.0</v>
      </c>
      <c r="B2056" s="29">
        <v>1783622.0</v>
      </c>
      <c r="C2056" s="30" t="str">
        <f t="shared" si="1"/>
        <v>-</v>
      </c>
      <c r="D2056" s="29">
        <f t="shared" si="2"/>
        <v>681</v>
      </c>
      <c r="E2056" s="30"/>
      <c r="F2056" s="30"/>
      <c r="G2056" s="30"/>
      <c r="H2056" s="30"/>
      <c r="I2056" s="30"/>
      <c r="J2056" s="30"/>
      <c r="K2056" s="30"/>
      <c r="L2056" s="30"/>
      <c r="M2056" s="30"/>
      <c r="N2056" s="30"/>
      <c r="O2056" s="30"/>
      <c r="P2056" s="30"/>
      <c r="Q2056" s="30"/>
      <c r="R2056" s="30"/>
      <c r="S2056" s="30"/>
      <c r="T2056" s="30"/>
      <c r="U2056" s="30"/>
      <c r="V2056" s="30"/>
      <c r="W2056" s="30"/>
      <c r="X2056" s="30"/>
      <c r="Y2056" s="30"/>
      <c r="Z2056" s="30"/>
      <c r="AA2056" s="30"/>
    </row>
    <row r="2057">
      <c r="A2057" s="29">
        <v>1785398.0</v>
      </c>
      <c r="B2057" s="29">
        <v>1785078.0</v>
      </c>
      <c r="C2057" s="30" t="str">
        <f t="shared" si="1"/>
        <v>-</v>
      </c>
      <c r="D2057" s="29">
        <f t="shared" si="2"/>
        <v>681</v>
      </c>
      <c r="E2057" s="30"/>
      <c r="F2057" s="30"/>
      <c r="G2057" s="30"/>
      <c r="H2057" s="30"/>
      <c r="I2057" s="30"/>
      <c r="J2057" s="30"/>
      <c r="K2057" s="30"/>
      <c r="L2057" s="30"/>
      <c r="M2057" s="30"/>
      <c r="N2057" s="30"/>
      <c r="O2057" s="30"/>
      <c r="P2057" s="30"/>
      <c r="Q2057" s="30"/>
      <c r="R2057" s="30"/>
      <c r="S2057" s="30"/>
      <c r="T2057" s="30"/>
      <c r="U2057" s="30"/>
      <c r="V2057" s="30"/>
      <c r="W2057" s="30"/>
      <c r="X2057" s="30"/>
      <c r="Y2057" s="30"/>
      <c r="Z2057" s="30"/>
      <c r="AA2057" s="30"/>
    </row>
    <row r="2058">
      <c r="A2058" s="29">
        <v>1785562.0</v>
      </c>
      <c r="B2058" s="29">
        <v>1785425.0</v>
      </c>
      <c r="C2058" s="30" t="str">
        <f t="shared" si="1"/>
        <v>-</v>
      </c>
      <c r="D2058" s="29">
        <f t="shared" si="2"/>
        <v>681</v>
      </c>
      <c r="E2058" s="30"/>
      <c r="F2058" s="30"/>
      <c r="G2058" s="30"/>
      <c r="H2058" s="30"/>
      <c r="I2058" s="30"/>
      <c r="J2058" s="30"/>
      <c r="K2058" s="30"/>
      <c r="L2058" s="30"/>
      <c r="M2058" s="30"/>
      <c r="N2058" s="30"/>
      <c r="O2058" s="30"/>
      <c r="P2058" s="30"/>
      <c r="Q2058" s="30"/>
      <c r="R2058" s="30"/>
      <c r="S2058" s="30"/>
      <c r="T2058" s="30"/>
      <c r="U2058" s="30"/>
      <c r="V2058" s="30"/>
      <c r="W2058" s="30"/>
      <c r="X2058" s="30"/>
      <c r="Y2058" s="30"/>
      <c r="Z2058" s="30"/>
      <c r="AA2058" s="30"/>
    </row>
    <row r="2059">
      <c r="A2059" s="29">
        <v>1786022.0</v>
      </c>
      <c r="B2059" s="29">
        <v>1785858.0</v>
      </c>
      <c r="C2059" s="30" t="str">
        <f t="shared" si="1"/>
        <v>-</v>
      </c>
      <c r="D2059" s="29">
        <f t="shared" si="2"/>
        <v>681</v>
      </c>
      <c r="E2059" s="30"/>
      <c r="F2059" s="30"/>
      <c r="G2059" s="30"/>
      <c r="H2059" s="30"/>
      <c r="I2059" s="30"/>
      <c r="J2059" s="30"/>
      <c r="K2059" s="30"/>
      <c r="L2059" s="30"/>
      <c r="M2059" s="30"/>
      <c r="N2059" s="30"/>
      <c r="O2059" s="30"/>
      <c r="P2059" s="30"/>
      <c r="Q2059" s="30"/>
      <c r="R2059" s="30"/>
      <c r="S2059" s="30"/>
      <c r="T2059" s="30"/>
      <c r="U2059" s="30"/>
      <c r="V2059" s="30"/>
      <c r="W2059" s="30"/>
      <c r="X2059" s="30"/>
      <c r="Y2059" s="30"/>
      <c r="Z2059" s="30"/>
      <c r="AA2059" s="30"/>
    </row>
    <row r="2060">
      <c r="A2060" s="29">
        <v>1786455.0</v>
      </c>
      <c r="B2060" s="29">
        <v>1786144.0</v>
      </c>
      <c r="C2060" s="30" t="str">
        <f t="shared" si="1"/>
        <v>-</v>
      </c>
      <c r="D2060" s="29">
        <f t="shared" si="2"/>
        <v>681</v>
      </c>
      <c r="E2060" s="30"/>
      <c r="F2060" s="30"/>
      <c r="G2060" s="30"/>
      <c r="H2060" s="30"/>
      <c r="I2060" s="30"/>
      <c r="J2060" s="30"/>
      <c r="K2060" s="30"/>
      <c r="L2060" s="30"/>
      <c r="M2060" s="30"/>
      <c r="N2060" s="30"/>
      <c r="O2060" s="30"/>
      <c r="P2060" s="30"/>
      <c r="Q2060" s="30"/>
      <c r="R2060" s="30"/>
      <c r="S2060" s="30"/>
      <c r="T2060" s="30"/>
      <c r="U2060" s="30"/>
      <c r="V2060" s="30"/>
      <c r="W2060" s="30"/>
      <c r="X2060" s="30"/>
      <c r="Y2060" s="30"/>
      <c r="Z2060" s="30"/>
      <c r="AA2060" s="30"/>
    </row>
    <row r="2061">
      <c r="A2061" s="29">
        <v>1790449.0</v>
      </c>
      <c r="B2061" s="29">
        <v>1786586.0</v>
      </c>
      <c r="C2061" s="30" t="str">
        <f t="shared" si="1"/>
        <v>-</v>
      </c>
      <c r="D2061" s="29">
        <f t="shared" si="2"/>
        <v>681</v>
      </c>
      <c r="E2061" s="30"/>
      <c r="F2061" s="30"/>
      <c r="G2061" s="30"/>
      <c r="H2061" s="30"/>
      <c r="I2061" s="30"/>
      <c r="J2061" s="30"/>
      <c r="K2061" s="30"/>
      <c r="L2061" s="30"/>
      <c r="M2061" s="30"/>
      <c r="N2061" s="30"/>
      <c r="O2061" s="30"/>
      <c r="P2061" s="30"/>
      <c r="Q2061" s="30"/>
      <c r="R2061" s="30"/>
      <c r="S2061" s="30"/>
      <c r="T2061" s="30"/>
      <c r="U2061" s="30"/>
      <c r="V2061" s="30"/>
      <c r="W2061" s="30"/>
      <c r="X2061" s="30"/>
      <c r="Y2061" s="30"/>
      <c r="Z2061" s="30"/>
      <c r="AA2061" s="30"/>
    </row>
    <row r="2062">
      <c r="A2062" s="29">
        <v>1790791.0</v>
      </c>
      <c r="B2062" s="29">
        <v>1791417.0</v>
      </c>
      <c r="C2062" s="30" t="str">
        <f t="shared" si="1"/>
        <v>+</v>
      </c>
      <c r="D2062" s="29">
        <f t="shared" si="2"/>
        <v>682</v>
      </c>
      <c r="E2062" s="30"/>
      <c r="F2062" s="30"/>
      <c r="G2062" s="30"/>
      <c r="H2062" s="30"/>
      <c r="I2062" s="30"/>
      <c r="J2062" s="30"/>
      <c r="K2062" s="30"/>
      <c r="L2062" s="30"/>
      <c r="M2062" s="30"/>
      <c r="N2062" s="30"/>
      <c r="O2062" s="30"/>
      <c r="P2062" s="30"/>
      <c r="Q2062" s="30"/>
      <c r="R2062" s="30"/>
      <c r="S2062" s="30"/>
      <c r="T2062" s="30"/>
      <c r="U2062" s="30"/>
      <c r="V2062" s="30"/>
      <c r="W2062" s="30"/>
      <c r="X2062" s="30"/>
      <c r="Y2062" s="30"/>
      <c r="Z2062" s="30"/>
      <c r="AA2062" s="30"/>
    </row>
    <row r="2063">
      <c r="A2063" s="29">
        <v>1791488.0</v>
      </c>
      <c r="B2063" s="29">
        <v>1791799.0</v>
      </c>
      <c r="C2063" s="30" t="str">
        <f t="shared" si="1"/>
        <v>+</v>
      </c>
      <c r="D2063" s="29">
        <f t="shared" si="2"/>
        <v>682</v>
      </c>
      <c r="E2063" s="30"/>
      <c r="F2063" s="30"/>
      <c r="G2063" s="30"/>
      <c r="H2063" s="30"/>
      <c r="I2063" s="30"/>
      <c r="J2063" s="30"/>
      <c r="K2063" s="30"/>
      <c r="L2063" s="30"/>
      <c r="M2063" s="30"/>
      <c r="N2063" s="30"/>
      <c r="O2063" s="30"/>
      <c r="P2063" s="30"/>
      <c r="Q2063" s="30"/>
      <c r="R2063" s="30"/>
      <c r="S2063" s="30"/>
      <c r="T2063" s="30"/>
      <c r="U2063" s="30"/>
      <c r="V2063" s="30"/>
      <c r="W2063" s="30"/>
      <c r="X2063" s="30"/>
      <c r="Y2063" s="30"/>
      <c r="Z2063" s="30"/>
      <c r="AA2063" s="30"/>
    </row>
    <row r="2064">
      <c r="A2064" s="29">
        <v>1793364.0</v>
      </c>
      <c r="B2064" s="29">
        <v>1792270.0</v>
      </c>
      <c r="C2064" s="30" t="str">
        <f t="shared" si="1"/>
        <v>-</v>
      </c>
      <c r="D2064" s="29">
        <f t="shared" si="2"/>
        <v>683</v>
      </c>
      <c r="E2064" s="30"/>
      <c r="F2064" s="30"/>
      <c r="G2064" s="30"/>
      <c r="H2064" s="30"/>
      <c r="I2064" s="30"/>
      <c r="J2064" s="30"/>
      <c r="K2064" s="30"/>
      <c r="L2064" s="30"/>
      <c r="M2064" s="30"/>
      <c r="N2064" s="30"/>
      <c r="O2064" s="30"/>
      <c r="P2064" s="30"/>
      <c r="Q2064" s="30"/>
      <c r="R2064" s="30"/>
      <c r="S2064" s="30"/>
      <c r="T2064" s="30"/>
      <c r="U2064" s="30"/>
      <c r="V2064" s="30"/>
      <c r="W2064" s="30"/>
      <c r="X2064" s="30"/>
      <c r="Y2064" s="30"/>
      <c r="Z2064" s="30"/>
      <c r="AA2064" s="30"/>
    </row>
    <row r="2065">
      <c r="A2065" s="29">
        <v>1794119.0</v>
      </c>
      <c r="B2065" s="29">
        <v>1793364.0</v>
      </c>
      <c r="C2065" s="30" t="str">
        <f t="shared" si="1"/>
        <v>-</v>
      </c>
      <c r="D2065" s="29">
        <f t="shared" si="2"/>
        <v>683</v>
      </c>
      <c r="E2065" s="30"/>
      <c r="F2065" s="30"/>
      <c r="G2065" s="30"/>
      <c r="H2065" s="30"/>
      <c r="I2065" s="30"/>
      <c r="J2065" s="30"/>
      <c r="K2065" s="30"/>
      <c r="L2065" s="30"/>
      <c r="M2065" s="30"/>
      <c r="N2065" s="30"/>
      <c r="O2065" s="30"/>
      <c r="P2065" s="30"/>
      <c r="Q2065" s="30"/>
      <c r="R2065" s="30"/>
      <c r="S2065" s="30"/>
      <c r="T2065" s="30"/>
      <c r="U2065" s="30"/>
      <c r="V2065" s="30"/>
      <c r="W2065" s="30"/>
      <c r="X2065" s="30"/>
      <c r="Y2065" s="30"/>
      <c r="Z2065" s="30"/>
      <c r="AA2065" s="30"/>
    </row>
    <row r="2066">
      <c r="A2066" s="29">
        <v>1794482.0</v>
      </c>
      <c r="B2066" s="29">
        <v>1794222.0</v>
      </c>
      <c r="C2066" s="30" t="str">
        <f t="shared" si="1"/>
        <v>-</v>
      </c>
      <c r="D2066" s="29">
        <f t="shared" si="2"/>
        <v>683</v>
      </c>
      <c r="E2066" s="30"/>
      <c r="F2066" s="30"/>
      <c r="G2066" s="30"/>
      <c r="H2066" s="30"/>
      <c r="I2066" s="30"/>
      <c r="J2066" s="30"/>
      <c r="K2066" s="30"/>
      <c r="L2066" s="30"/>
      <c r="M2066" s="30"/>
      <c r="N2066" s="30"/>
      <c r="O2066" s="30"/>
      <c r="P2066" s="30"/>
      <c r="Q2066" s="30"/>
      <c r="R2066" s="30"/>
      <c r="S2066" s="30"/>
      <c r="T2066" s="30"/>
      <c r="U2066" s="30"/>
      <c r="V2066" s="30"/>
      <c r="W2066" s="30"/>
      <c r="X2066" s="30"/>
      <c r="Y2066" s="30"/>
      <c r="Z2066" s="30"/>
      <c r="AA2066" s="30"/>
    </row>
    <row r="2067">
      <c r="A2067" s="29">
        <v>1795860.0</v>
      </c>
      <c r="B2067" s="29">
        <v>1794688.0</v>
      </c>
      <c r="C2067" s="30" t="str">
        <f t="shared" si="1"/>
        <v>-</v>
      </c>
      <c r="D2067" s="29">
        <f t="shared" si="2"/>
        <v>683</v>
      </c>
      <c r="E2067" s="30"/>
      <c r="F2067" s="30"/>
      <c r="G2067" s="30"/>
      <c r="H2067" s="30"/>
      <c r="I2067" s="30"/>
      <c r="J2067" s="30"/>
      <c r="K2067" s="30"/>
      <c r="L2067" s="30"/>
      <c r="M2067" s="30"/>
      <c r="N2067" s="30"/>
      <c r="O2067" s="30"/>
      <c r="P2067" s="30"/>
      <c r="Q2067" s="30"/>
      <c r="R2067" s="30"/>
      <c r="S2067" s="30"/>
      <c r="T2067" s="30"/>
      <c r="U2067" s="30"/>
      <c r="V2067" s="30"/>
      <c r="W2067" s="30"/>
      <c r="X2067" s="30"/>
      <c r="Y2067" s="30"/>
      <c r="Z2067" s="30"/>
      <c r="AA2067" s="30"/>
    </row>
    <row r="2068">
      <c r="A2068" s="29">
        <v>1797138.0</v>
      </c>
      <c r="B2068" s="29">
        <v>1795870.0</v>
      </c>
      <c r="C2068" s="30" t="str">
        <f t="shared" si="1"/>
        <v>-</v>
      </c>
      <c r="D2068" s="29">
        <f t="shared" si="2"/>
        <v>683</v>
      </c>
      <c r="E2068" s="30"/>
      <c r="F2068" s="30"/>
      <c r="G2068" s="30"/>
      <c r="H2068" s="30"/>
      <c r="I2068" s="30"/>
      <c r="J2068" s="30"/>
      <c r="K2068" s="30"/>
      <c r="L2068" s="30"/>
      <c r="M2068" s="30"/>
      <c r="N2068" s="30"/>
      <c r="O2068" s="30"/>
      <c r="P2068" s="30"/>
      <c r="Q2068" s="30"/>
      <c r="R2068" s="30"/>
      <c r="S2068" s="30"/>
      <c r="T2068" s="30"/>
      <c r="U2068" s="30"/>
      <c r="V2068" s="30"/>
      <c r="W2068" s="30"/>
      <c r="X2068" s="30"/>
      <c r="Y2068" s="30"/>
      <c r="Z2068" s="30"/>
      <c r="AA2068" s="30"/>
    </row>
    <row r="2069">
      <c r="A2069" s="29">
        <v>1798298.0</v>
      </c>
      <c r="B2069" s="29">
        <v>1797135.0</v>
      </c>
      <c r="C2069" s="30" t="str">
        <f t="shared" si="1"/>
        <v>-</v>
      </c>
      <c r="D2069" s="29">
        <f t="shared" si="2"/>
        <v>683</v>
      </c>
      <c r="E2069" s="30"/>
      <c r="F2069" s="30"/>
      <c r="G2069" s="30"/>
      <c r="H2069" s="30"/>
      <c r="I2069" s="30"/>
      <c r="J2069" s="30"/>
      <c r="K2069" s="30"/>
      <c r="L2069" s="30"/>
      <c r="M2069" s="30"/>
      <c r="N2069" s="30"/>
      <c r="O2069" s="30"/>
      <c r="P2069" s="30"/>
      <c r="Q2069" s="30"/>
      <c r="R2069" s="30"/>
      <c r="S2069" s="30"/>
      <c r="T2069" s="30"/>
      <c r="U2069" s="30"/>
      <c r="V2069" s="30"/>
      <c r="W2069" s="30"/>
      <c r="X2069" s="30"/>
      <c r="Y2069" s="30"/>
      <c r="Z2069" s="30"/>
      <c r="AA2069" s="30"/>
    </row>
    <row r="2070">
      <c r="A2070" s="29">
        <v>1798488.0</v>
      </c>
      <c r="B2070" s="29">
        <v>1798309.0</v>
      </c>
      <c r="C2070" s="30" t="str">
        <f t="shared" si="1"/>
        <v>-</v>
      </c>
      <c r="D2070" s="29">
        <f t="shared" si="2"/>
        <v>683</v>
      </c>
      <c r="E2070" s="30"/>
      <c r="F2070" s="30"/>
      <c r="G2070" s="30"/>
      <c r="H2070" s="30"/>
      <c r="I2070" s="30"/>
      <c r="J2070" s="30"/>
      <c r="K2070" s="30"/>
      <c r="L2070" s="30"/>
      <c r="M2070" s="30"/>
      <c r="N2070" s="30"/>
      <c r="O2070" s="30"/>
      <c r="P2070" s="30"/>
      <c r="Q2070" s="30"/>
      <c r="R2070" s="30"/>
      <c r="S2070" s="30"/>
      <c r="T2070" s="30"/>
      <c r="U2070" s="30"/>
      <c r="V2070" s="30"/>
      <c r="W2070" s="30"/>
      <c r="X2070" s="30"/>
      <c r="Y2070" s="30"/>
      <c r="Z2070" s="30"/>
      <c r="AA2070" s="30"/>
    </row>
    <row r="2071">
      <c r="A2071" s="29">
        <v>1799183.0</v>
      </c>
      <c r="B2071" s="29">
        <v>1798635.0</v>
      </c>
      <c r="C2071" s="30" t="str">
        <f t="shared" si="1"/>
        <v>-</v>
      </c>
      <c r="D2071" s="29">
        <f t="shared" si="2"/>
        <v>683</v>
      </c>
      <c r="E2071" s="30"/>
      <c r="F2071" s="30"/>
      <c r="G2071" s="30"/>
      <c r="H2071" s="30"/>
      <c r="I2071" s="30"/>
      <c r="J2071" s="30"/>
      <c r="K2071" s="30"/>
      <c r="L2071" s="30"/>
      <c r="M2071" s="30"/>
      <c r="N2071" s="30"/>
      <c r="O2071" s="30"/>
      <c r="P2071" s="30"/>
      <c r="Q2071" s="30"/>
      <c r="R2071" s="30"/>
      <c r="S2071" s="30"/>
      <c r="T2071" s="30"/>
      <c r="U2071" s="30"/>
      <c r="V2071" s="30"/>
      <c r="W2071" s="30"/>
      <c r="X2071" s="30"/>
      <c r="Y2071" s="30"/>
      <c r="Z2071" s="30"/>
      <c r="AA2071" s="30"/>
    </row>
    <row r="2072">
      <c r="A2072" s="29">
        <v>1800368.0</v>
      </c>
      <c r="B2072" s="29">
        <v>1799343.0</v>
      </c>
      <c r="C2072" s="30" t="str">
        <f t="shared" si="1"/>
        <v>-</v>
      </c>
      <c r="D2072" s="29">
        <f t="shared" si="2"/>
        <v>683</v>
      </c>
      <c r="E2072" s="30"/>
      <c r="F2072" s="30"/>
      <c r="G2072" s="30"/>
      <c r="H2072" s="30"/>
      <c r="I2072" s="30"/>
      <c r="J2072" s="30"/>
      <c r="K2072" s="30"/>
      <c r="L2072" s="30"/>
      <c r="M2072" s="30"/>
      <c r="N2072" s="30"/>
      <c r="O2072" s="30"/>
      <c r="P2072" s="30"/>
      <c r="Q2072" s="30"/>
      <c r="R2072" s="30"/>
      <c r="S2072" s="30"/>
      <c r="T2072" s="30"/>
      <c r="U2072" s="30"/>
      <c r="V2072" s="30"/>
      <c r="W2072" s="30"/>
      <c r="X2072" s="30"/>
      <c r="Y2072" s="30"/>
      <c r="Z2072" s="30"/>
      <c r="AA2072" s="30"/>
    </row>
    <row r="2073">
      <c r="A2073" s="29">
        <v>1801157.0</v>
      </c>
      <c r="B2073" s="29">
        <v>1800924.0</v>
      </c>
      <c r="C2073" s="30" t="str">
        <f t="shared" si="1"/>
        <v>-</v>
      </c>
      <c r="D2073" s="29">
        <f t="shared" si="2"/>
        <v>683</v>
      </c>
      <c r="E2073" s="30"/>
      <c r="F2073" s="30"/>
      <c r="G2073" s="30"/>
      <c r="H2073" s="30"/>
      <c r="I2073" s="30"/>
      <c r="J2073" s="30"/>
      <c r="K2073" s="30"/>
      <c r="L2073" s="30"/>
      <c r="M2073" s="30"/>
      <c r="N2073" s="30"/>
      <c r="O2073" s="30"/>
      <c r="P2073" s="30"/>
      <c r="Q2073" s="30"/>
      <c r="R2073" s="30"/>
      <c r="S2073" s="30"/>
      <c r="T2073" s="30"/>
      <c r="U2073" s="30"/>
      <c r="V2073" s="30"/>
      <c r="W2073" s="30"/>
      <c r="X2073" s="30"/>
      <c r="Y2073" s="30"/>
      <c r="Z2073" s="30"/>
      <c r="AA2073" s="30"/>
    </row>
    <row r="2074">
      <c r="A2074" s="29">
        <v>1801519.0</v>
      </c>
      <c r="B2074" s="29">
        <v>1801160.0</v>
      </c>
      <c r="C2074" s="30" t="str">
        <f t="shared" si="1"/>
        <v>-</v>
      </c>
      <c r="D2074" s="29">
        <f t="shared" si="2"/>
        <v>683</v>
      </c>
      <c r="E2074" s="30"/>
      <c r="F2074" s="30"/>
      <c r="G2074" s="30"/>
      <c r="H2074" s="30"/>
      <c r="I2074" s="30"/>
      <c r="J2074" s="30"/>
      <c r="K2074" s="30"/>
      <c r="L2074" s="30"/>
      <c r="M2074" s="30"/>
      <c r="N2074" s="30"/>
      <c r="O2074" s="30"/>
      <c r="P2074" s="30"/>
      <c r="Q2074" s="30"/>
      <c r="R2074" s="30"/>
      <c r="S2074" s="30"/>
      <c r="T2074" s="30"/>
      <c r="U2074" s="30"/>
      <c r="V2074" s="30"/>
      <c r="W2074" s="30"/>
      <c r="X2074" s="30"/>
      <c r="Y2074" s="30"/>
      <c r="Z2074" s="30"/>
      <c r="AA2074" s="30"/>
    </row>
    <row r="2075">
      <c r="A2075" s="29">
        <v>1801550.0</v>
      </c>
      <c r="B2075" s="29">
        <v>1802248.0</v>
      </c>
      <c r="C2075" s="30" t="str">
        <f t="shared" si="1"/>
        <v>+</v>
      </c>
      <c r="D2075" s="29">
        <f t="shared" si="2"/>
        <v>684</v>
      </c>
      <c r="E2075" s="30"/>
      <c r="F2075" s="30"/>
      <c r="G2075" s="30"/>
      <c r="H2075" s="30"/>
      <c r="I2075" s="30"/>
      <c r="J2075" s="30"/>
      <c r="K2075" s="30"/>
      <c r="L2075" s="30"/>
      <c r="M2075" s="30"/>
      <c r="N2075" s="30"/>
      <c r="O2075" s="30"/>
      <c r="P2075" s="30"/>
      <c r="Q2075" s="30"/>
      <c r="R2075" s="30"/>
      <c r="S2075" s="30"/>
      <c r="T2075" s="30"/>
      <c r="U2075" s="30"/>
      <c r="V2075" s="30"/>
      <c r="W2075" s="30"/>
      <c r="X2075" s="30"/>
      <c r="Y2075" s="30"/>
      <c r="Z2075" s="30"/>
      <c r="AA2075" s="30"/>
    </row>
    <row r="2076">
      <c r="A2076" s="29">
        <v>1803302.0</v>
      </c>
      <c r="B2076" s="29">
        <v>1802760.0</v>
      </c>
      <c r="C2076" s="30" t="str">
        <f t="shared" si="1"/>
        <v>-</v>
      </c>
      <c r="D2076" s="29">
        <f t="shared" si="2"/>
        <v>685</v>
      </c>
      <c r="E2076" s="30"/>
      <c r="F2076" s="30"/>
      <c r="G2076" s="30"/>
      <c r="H2076" s="30"/>
      <c r="I2076" s="30"/>
      <c r="J2076" s="30"/>
      <c r="K2076" s="30"/>
      <c r="L2076" s="30"/>
      <c r="M2076" s="30"/>
      <c r="N2076" s="30"/>
      <c r="O2076" s="30"/>
      <c r="P2076" s="30"/>
      <c r="Q2076" s="30"/>
      <c r="R2076" s="30"/>
      <c r="S2076" s="30"/>
      <c r="T2076" s="30"/>
      <c r="U2076" s="30"/>
      <c r="V2076" s="30"/>
      <c r="W2076" s="30"/>
      <c r="X2076" s="30"/>
      <c r="Y2076" s="30"/>
      <c r="Z2076" s="30"/>
      <c r="AA2076" s="30"/>
    </row>
    <row r="2077">
      <c r="A2077" s="29">
        <v>1804352.0</v>
      </c>
      <c r="B2077" s="29">
        <v>1803348.0</v>
      </c>
      <c r="C2077" s="30" t="str">
        <f t="shared" si="1"/>
        <v>-</v>
      </c>
      <c r="D2077" s="29">
        <f t="shared" si="2"/>
        <v>685</v>
      </c>
      <c r="E2077" s="30"/>
      <c r="F2077" s="30"/>
      <c r="G2077" s="30"/>
      <c r="H2077" s="30"/>
      <c r="I2077" s="30"/>
      <c r="J2077" s="30"/>
      <c r="K2077" s="30"/>
      <c r="L2077" s="30"/>
      <c r="M2077" s="30"/>
      <c r="N2077" s="30"/>
      <c r="O2077" s="30"/>
      <c r="P2077" s="30"/>
      <c r="Q2077" s="30"/>
      <c r="R2077" s="30"/>
      <c r="S2077" s="30"/>
      <c r="T2077" s="30"/>
      <c r="U2077" s="30"/>
      <c r="V2077" s="30"/>
      <c r="W2077" s="30"/>
      <c r="X2077" s="30"/>
      <c r="Y2077" s="30"/>
      <c r="Z2077" s="30"/>
      <c r="AA2077" s="30"/>
    </row>
    <row r="2078">
      <c r="A2078" s="29">
        <v>1804715.0</v>
      </c>
      <c r="B2078" s="29">
        <v>1804593.0</v>
      </c>
      <c r="C2078" s="30" t="str">
        <f t="shared" si="1"/>
        <v>-</v>
      </c>
      <c r="D2078" s="29">
        <f t="shared" si="2"/>
        <v>685</v>
      </c>
      <c r="E2078" s="30"/>
      <c r="F2078" s="30"/>
      <c r="G2078" s="30"/>
      <c r="H2078" s="30"/>
      <c r="I2078" s="30"/>
      <c r="J2078" s="30"/>
      <c r="K2078" s="30"/>
      <c r="L2078" s="30"/>
      <c r="M2078" s="30"/>
      <c r="N2078" s="30"/>
      <c r="O2078" s="30"/>
      <c r="P2078" s="30"/>
      <c r="Q2078" s="30"/>
      <c r="R2078" s="30"/>
      <c r="S2078" s="30"/>
      <c r="T2078" s="30"/>
      <c r="U2078" s="30"/>
      <c r="V2078" s="30"/>
      <c r="W2078" s="30"/>
      <c r="X2078" s="30"/>
      <c r="Y2078" s="30"/>
      <c r="Z2078" s="30"/>
      <c r="AA2078" s="30"/>
    </row>
    <row r="2079">
      <c r="A2079" s="29">
        <v>1804918.0</v>
      </c>
      <c r="B2079" s="29">
        <v>1804727.0</v>
      </c>
      <c r="C2079" s="30" t="str">
        <f t="shared" si="1"/>
        <v>-</v>
      </c>
      <c r="D2079" s="29">
        <f t="shared" si="2"/>
        <v>685</v>
      </c>
      <c r="E2079" s="30"/>
      <c r="F2079" s="30"/>
      <c r="G2079" s="30"/>
      <c r="H2079" s="30"/>
      <c r="I2079" s="30"/>
      <c r="J2079" s="30"/>
      <c r="K2079" s="30"/>
      <c r="L2079" s="30"/>
      <c r="M2079" s="30"/>
      <c r="N2079" s="30"/>
      <c r="O2079" s="30"/>
      <c r="P2079" s="30"/>
      <c r="Q2079" s="30"/>
      <c r="R2079" s="30"/>
      <c r="S2079" s="30"/>
      <c r="T2079" s="30"/>
      <c r="U2079" s="30"/>
      <c r="V2079" s="30"/>
      <c r="W2079" s="30"/>
      <c r="X2079" s="30"/>
      <c r="Y2079" s="30"/>
      <c r="Z2079" s="30"/>
      <c r="AA2079" s="30"/>
    </row>
    <row r="2080">
      <c r="A2080" s="29">
        <v>1805184.0</v>
      </c>
      <c r="B2080" s="29">
        <v>1804915.0</v>
      </c>
      <c r="C2080" s="30" t="str">
        <f t="shared" si="1"/>
        <v>-</v>
      </c>
      <c r="D2080" s="29">
        <f t="shared" si="2"/>
        <v>685</v>
      </c>
      <c r="E2080" s="30"/>
      <c r="F2080" s="30"/>
      <c r="G2080" s="30"/>
      <c r="H2080" s="30"/>
      <c r="I2080" s="30"/>
      <c r="J2080" s="30"/>
      <c r="K2080" s="30"/>
      <c r="L2080" s="30"/>
      <c r="M2080" s="30"/>
      <c r="N2080" s="30"/>
      <c r="O2080" s="30"/>
      <c r="P2080" s="30"/>
      <c r="Q2080" s="30"/>
      <c r="R2080" s="30"/>
      <c r="S2080" s="30"/>
      <c r="T2080" s="30"/>
      <c r="U2080" s="30"/>
      <c r="V2080" s="30"/>
      <c r="W2080" s="30"/>
      <c r="X2080" s="30"/>
      <c r="Y2080" s="30"/>
      <c r="Z2080" s="30"/>
      <c r="AA2080" s="30"/>
    </row>
    <row r="2081">
      <c r="A2081" s="29">
        <v>1805429.0</v>
      </c>
      <c r="B2081" s="29">
        <v>1805626.0</v>
      </c>
      <c r="C2081" s="30" t="str">
        <f t="shared" si="1"/>
        <v>+</v>
      </c>
      <c r="D2081" s="29">
        <f t="shared" si="2"/>
        <v>686</v>
      </c>
      <c r="E2081" s="30"/>
      <c r="F2081" s="30"/>
      <c r="G2081" s="30"/>
      <c r="H2081" s="30"/>
      <c r="I2081" s="30"/>
      <c r="J2081" s="30"/>
      <c r="K2081" s="30"/>
      <c r="L2081" s="30"/>
      <c r="M2081" s="30"/>
      <c r="N2081" s="30"/>
      <c r="O2081" s="30"/>
      <c r="P2081" s="30"/>
      <c r="Q2081" s="30"/>
      <c r="R2081" s="30"/>
      <c r="S2081" s="30"/>
      <c r="T2081" s="30"/>
      <c r="U2081" s="30"/>
      <c r="V2081" s="30"/>
      <c r="W2081" s="30"/>
      <c r="X2081" s="30"/>
      <c r="Y2081" s="30"/>
      <c r="Z2081" s="30"/>
      <c r="AA2081" s="30"/>
    </row>
    <row r="2082">
      <c r="A2082" s="29">
        <v>1806604.0</v>
      </c>
      <c r="B2082" s="29">
        <v>1806299.0</v>
      </c>
      <c r="C2082" s="30" t="str">
        <f t="shared" si="1"/>
        <v>-</v>
      </c>
      <c r="D2082" s="29">
        <f t="shared" si="2"/>
        <v>687</v>
      </c>
      <c r="E2082" s="30"/>
      <c r="F2082" s="30"/>
      <c r="G2082" s="30"/>
      <c r="H2082" s="30"/>
      <c r="I2082" s="30"/>
      <c r="J2082" s="30"/>
      <c r="K2082" s="30"/>
      <c r="L2082" s="30"/>
      <c r="M2082" s="30"/>
      <c r="N2082" s="30"/>
      <c r="O2082" s="30"/>
      <c r="P2082" s="30"/>
      <c r="Q2082" s="30"/>
      <c r="R2082" s="30"/>
      <c r="S2082" s="30"/>
      <c r="T2082" s="30"/>
      <c r="U2082" s="30"/>
      <c r="V2082" s="30"/>
      <c r="W2082" s="30"/>
      <c r="X2082" s="30"/>
      <c r="Y2082" s="30"/>
      <c r="Z2082" s="30"/>
      <c r="AA2082" s="30"/>
    </row>
    <row r="2083">
      <c r="A2083" s="29">
        <v>1806706.0</v>
      </c>
      <c r="B2083" s="29">
        <v>1806614.0</v>
      </c>
      <c r="C2083" s="30" t="str">
        <f t="shared" si="1"/>
        <v>-</v>
      </c>
      <c r="D2083" s="29">
        <f t="shared" si="2"/>
        <v>687</v>
      </c>
      <c r="E2083" s="30"/>
      <c r="F2083" s="30"/>
      <c r="G2083" s="30"/>
      <c r="H2083" s="30"/>
      <c r="I2083" s="30"/>
      <c r="J2083" s="30"/>
      <c r="K2083" s="30"/>
      <c r="L2083" s="30"/>
      <c r="M2083" s="30"/>
      <c r="N2083" s="30"/>
      <c r="O2083" s="30"/>
      <c r="P2083" s="30"/>
      <c r="Q2083" s="30"/>
      <c r="R2083" s="30"/>
      <c r="S2083" s="30"/>
      <c r="T2083" s="30"/>
      <c r="U2083" s="30"/>
      <c r="V2083" s="30"/>
      <c r="W2083" s="30"/>
      <c r="X2083" s="30"/>
      <c r="Y2083" s="30"/>
      <c r="Z2083" s="30"/>
      <c r="AA2083" s="30"/>
    </row>
    <row r="2084">
      <c r="A2084" s="29">
        <v>1807098.0</v>
      </c>
      <c r="B2084" s="29">
        <v>1806694.0</v>
      </c>
      <c r="C2084" s="30" t="str">
        <f t="shared" si="1"/>
        <v>-</v>
      </c>
      <c r="D2084" s="29">
        <f t="shared" si="2"/>
        <v>687</v>
      </c>
      <c r="E2084" s="30"/>
      <c r="F2084" s="30"/>
      <c r="G2084" s="30"/>
      <c r="H2084" s="30"/>
      <c r="I2084" s="30"/>
      <c r="J2084" s="30"/>
      <c r="K2084" s="30"/>
      <c r="L2084" s="30"/>
      <c r="M2084" s="30"/>
      <c r="N2084" s="30"/>
      <c r="O2084" s="30"/>
      <c r="P2084" s="30"/>
      <c r="Q2084" s="30"/>
      <c r="R2084" s="30"/>
      <c r="S2084" s="30"/>
      <c r="T2084" s="30"/>
      <c r="U2084" s="30"/>
      <c r="V2084" s="30"/>
      <c r="W2084" s="30"/>
      <c r="X2084" s="30"/>
      <c r="Y2084" s="30"/>
      <c r="Z2084" s="30"/>
      <c r="AA2084" s="30"/>
    </row>
    <row r="2085">
      <c r="A2085" s="29">
        <v>1808018.0</v>
      </c>
      <c r="B2085" s="29">
        <v>1807470.0</v>
      </c>
      <c r="C2085" s="30" t="str">
        <f t="shared" si="1"/>
        <v>-</v>
      </c>
      <c r="D2085" s="29">
        <f t="shared" si="2"/>
        <v>687</v>
      </c>
      <c r="E2085" s="30"/>
      <c r="F2085" s="30"/>
      <c r="G2085" s="30"/>
      <c r="H2085" s="30"/>
      <c r="I2085" s="30"/>
      <c r="J2085" s="30"/>
      <c r="K2085" s="30"/>
      <c r="L2085" s="30"/>
      <c r="M2085" s="30"/>
      <c r="N2085" s="30"/>
      <c r="O2085" s="30"/>
      <c r="P2085" s="30"/>
      <c r="Q2085" s="30"/>
      <c r="R2085" s="30"/>
      <c r="S2085" s="30"/>
      <c r="T2085" s="30"/>
      <c r="U2085" s="30"/>
      <c r="V2085" s="30"/>
      <c r="W2085" s="30"/>
      <c r="X2085" s="30"/>
      <c r="Y2085" s="30"/>
      <c r="Z2085" s="30"/>
      <c r="AA2085" s="30"/>
    </row>
    <row r="2086">
      <c r="A2086" s="29">
        <v>1808889.0</v>
      </c>
      <c r="B2086" s="29">
        <v>1808197.0</v>
      </c>
      <c r="C2086" s="30" t="str">
        <f t="shared" si="1"/>
        <v>-</v>
      </c>
      <c r="D2086" s="29">
        <f t="shared" si="2"/>
        <v>687</v>
      </c>
      <c r="E2086" s="30"/>
      <c r="F2086" s="30"/>
      <c r="G2086" s="30"/>
      <c r="H2086" s="30"/>
      <c r="I2086" s="30"/>
      <c r="J2086" s="30"/>
      <c r="K2086" s="30"/>
      <c r="L2086" s="30"/>
      <c r="M2086" s="30"/>
      <c r="N2086" s="30"/>
      <c r="O2086" s="30"/>
      <c r="P2086" s="30"/>
      <c r="Q2086" s="30"/>
      <c r="R2086" s="30"/>
      <c r="S2086" s="30"/>
      <c r="T2086" s="30"/>
      <c r="U2086" s="30"/>
      <c r="V2086" s="30"/>
      <c r="W2086" s="30"/>
      <c r="X2086" s="30"/>
      <c r="Y2086" s="30"/>
      <c r="Z2086" s="30"/>
      <c r="AA2086" s="30"/>
    </row>
    <row r="2087">
      <c r="A2087" s="29">
        <v>1809075.0</v>
      </c>
      <c r="B2087" s="29">
        <v>1809308.0</v>
      </c>
      <c r="C2087" s="30" t="str">
        <f t="shared" si="1"/>
        <v>+</v>
      </c>
      <c r="D2087" s="29">
        <f t="shared" si="2"/>
        <v>688</v>
      </c>
      <c r="E2087" s="30"/>
      <c r="F2087" s="30"/>
      <c r="G2087" s="30"/>
      <c r="H2087" s="30"/>
      <c r="I2087" s="30"/>
      <c r="J2087" s="30"/>
      <c r="K2087" s="30"/>
      <c r="L2087" s="30"/>
      <c r="M2087" s="30"/>
      <c r="N2087" s="30"/>
      <c r="O2087" s="30"/>
      <c r="P2087" s="30"/>
      <c r="Q2087" s="30"/>
      <c r="R2087" s="30"/>
      <c r="S2087" s="30"/>
      <c r="T2087" s="30"/>
      <c r="U2087" s="30"/>
      <c r="V2087" s="30"/>
      <c r="W2087" s="30"/>
      <c r="X2087" s="30"/>
      <c r="Y2087" s="30"/>
      <c r="Z2087" s="30"/>
      <c r="AA2087" s="30"/>
    </row>
    <row r="2088">
      <c r="A2088" s="29">
        <v>1810247.0</v>
      </c>
      <c r="B2088" s="29">
        <v>1809798.0</v>
      </c>
      <c r="C2088" s="30" t="str">
        <f t="shared" si="1"/>
        <v>-</v>
      </c>
      <c r="D2088" s="29">
        <f t="shared" si="2"/>
        <v>689</v>
      </c>
      <c r="E2088" s="30"/>
      <c r="F2088" s="30"/>
      <c r="G2088" s="30"/>
      <c r="H2088" s="30"/>
      <c r="I2088" s="30"/>
      <c r="J2088" s="30"/>
      <c r="K2088" s="30"/>
      <c r="L2088" s="30"/>
      <c r="M2088" s="30"/>
      <c r="N2088" s="30"/>
      <c r="O2088" s="30"/>
      <c r="P2088" s="30"/>
      <c r="Q2088" s="30"/>
      <c r="R2088" s="30"/>
      <c r="S2088" s="30"/>
      <c r="T2088" s="30"/>
      <c r="U2088" s="30"/>
      <c r="V2088" s="30"/>
      <c r="W2088" s="30"/>
      <c r="X2088" s="30"/>
      <c r="Y2088" s="30"/>
      <c r="Z2088" s="30"/>
      <c r="AA2088" s="30"/>
    </row>
    <row r="2089">
      <c r="A2089" s="29">
        <v>1811651.0</v>
      </c>
      <c r="B2089" s="29">
        <v>1811247.0</v>
      </c>
      <c r="C2089" s="30" t="str">
        <f t="shared" si="1"/>
        <v>-</v>
      </c>
      <c r="D2089" s="29">
        <f t="shared" si="2"/>
        <v>689</v>
      </c>
      <c r="E2089" s="30"/>
      <c r="F2089" s="30"/>
      <c r="G2089" s="30"/>
      <c r="H2089" s="30"/>
      <c r="I2089" s="30"/>
      <c r="J2089" s="30"/>
      <c r="K2089" s="30"/>
      <c r="L2089" s="30"/>
      <c r="M2089" s="30"/>
      <c r="N2089" s="30"/>
      <c r="O2089" s="30"/>
      <c r="P2089" s="30"/>
      <c r="Q2089" s="30"/>
      <c r="R2089" s="30"/>
      <c r="S2089" s="30"/>
      <c r="T2089" s="30"/>
      <c r="U2089" s="30"/>
      <c r="V2089" s="30"/>
      <c r="W2089" s="30"/>
      <c r="X2089" s="30"/>
      <c r="Y2089" s="30"/>
      <c r="Z2089" s="30"/>
      <c r="AA2089" s="30"/>
    </row>
    <row r="2090">
      <c r="A2090" s="29">
        <v>1811964.0</v>
      </c>
      <c r="B2090" s="29">
        <v>1811632.0</v>
      </c>
      <c r="C2090" s="30" t="str">
        <f t="shared" si="1"/>
        <v>-</v>
      </c>
      <c r="D2090" s="29">
        <f t="shared" si="2"/>
        <v>689</v>
      </c>
      <c r="E2090" s="30"/>
      <c r="F2090" s="30"/>
      <c r="G2090" s="30"/>
      <c r="H2090" s="30"/>
      <c r="I2090" s="30"/>
      <c r="J2090" s="30"/>
      <c r="K2090" s="30"/>
      <c r="L2090" s="30"/>
      <c r="M2090" s="30"/>
      <c r="N2090" s="30"/>
      <c r="O2090" s="30"/>
      <c r="P2090" s="30"/>
      <c r="Q2090" s="30"/>
      <c r="R2090" s="30"/>
      <c r="S2090" s="30"/>
      <c r="T2090" s="30"/>
      <c r="U2090" s="30"/>
      <c r="V2090" s="30"/>
      <c r="W2090" s="30"/>
      <c r="X2090" s="30"/>
      <c r="Y2090" s="30"/>
      <c r="Z2090" s="30"/>
      <c r="AA2090" s="30"/>
    </row>
    <row r="2091">
      <c r="A2091" s="29">
        <v>1812565.0</v>
      </c>
      <c r="B2091" s="29">
        <v>1812822.0</v>
      </c>
      <c r="C2091" s="30" t="str">
        <f t="shared" si="1"/>
        <v>+</v>
      </c>
      <c r="D2091" s="29">
        <f t="shared" si="2"/>
        <v>690</v>
      </c>
      <c r="E2091" s="30"/>
      <c r="F2091" s="30"/>
      <c r="G2091" s="30"/>
      <c r="H2091" s="30"/>
      <c r="I2091" s="30"/>
      <c r="J2091" s="30"/>
      <c r="K2091" s="30"/>
      <c r="L2091" s="30"/>
      <c r="M2091" s="30"/>
      <c r="N2091" s="30"/>
      <c r="O2091" s="30"/>
      <c r="P2091" s="30"/>
      <c r="Q2091" s="30"/>
      <c r="R2091" s="30"/>
      <c r="S2091" s="30"/>
      <c r="T2091" s="30"/>
      <c r="U2091" s="30"/>
      <c r="V2091" s="30"/>
      <c r="W2091" s="30"/>
      <c r="X2091" s="30"/>
      <c r="Y2091" s="30"/>
      <c r="Z2091" s="30"/>
      <c r="AA2091" s="30"/>
    </row>
    <row r="2092">
      <c r="A2092" s="29">
        <v>1812919.0</v>
      </c>
      <c r="B2092" s="29">
        <v>1813023.0</v>
      </c>
      <c r="C2092" s="30" t="str">
        <f t="shared" si="1"/>
        <v>+</v>
      </c>
      <c r="D2092" s="29">
        <f t="shared" si="2"/>
        <v>690</v>
      </c>
      <c r="E2092" s="30"/>
      <c r="F2092" s="30"/>
      <c r="G2092" s="30"/>
      <c r="H2092" s="30"/>
      <c r="I2092" s="30"/>
      <c r="J2092" s="30"/>
      <c r="K2092" s="30"/>
      <c r="L2092" s="30"/>
      <c r="M2092" s="30"/>
      <c r="N2092" s="30"/>
      <c r="O2092" s="30"/>
      <c r="P2092" s="30"/>
      <c r="Q2092" s="30"/>
      <c r="R2092" s="30"/>
      <c r="S2092" s="30"/>
      <c r="T2092" s="30"/>
      <c r="U2092" s="30"/>
      <c r="V2092" s="30"/>
      <c r="W2092" s="30"/>
      <c r="X2092" s="30"/>
      <c r="Y2092" s="30"/>
      <c r="Z2092" s="30"/>
      <c r="AA2092" s="30"/>
    </row>
    <row r="2093">
      <c r="A2093" s="29">
        <v>1813090.0</v>
      </c>
      <c r="B2093" s="29">
        <v>1813353.0</v>
      </c>
      <c r="C2093" s="30" t="str">
        <f t="shared" si="1"/>
        <v>+</v>
      </c>
      <c r="D2093" s="29">
        <f t="shared" si="2"/>
        <v>690</v>
      </c>
      <c r="E2093" s="30"/>
      <c r="F2093" s="30"/>
      <c r="G2093" s="30"/>
      <c r="H2093" s="30"/>
      <c r="I2093" s="30"/>
      <c r="J2093" s="30"/>
      <c r="K2093" s="30"/>
      <c r="L2093" s="30"/>
      <c r="M2093" s="30"/>
      <c r="N2093" s="30"/>
      <c r="O2093" s="30"/>
      <c r="P2093" s="30"/>
      <c r="Q2093" s="30"/>
      <c r="R2093" s="30"/>
      <c r="S2093" s="30"/>
      <c r="T2093" s="30"/>
      <c r="U2093" s="30"/>
      <c r="V2093" s="30"/>
      <c r="W2093" s="30"/>
      <c r="X2093" s="30"/>
      <c r="Y2093" s="30"/>
      <c r="Z2093" s="30"/>
      <c r="AA2093" s="30"/>
    </row>
    <row r="2094">
      <c r="A2094" s="29">
        <v>1813426.0</v>
      </c>
      <c r="B2094" s="29">
        <v>1814043.0</v>
      </c>
      <c r="C2094" s="30" t="str">
        <f t="shared" si="1"/>
        <v>+</v>
      </c>
      <c r="D2094" s="29">
        <f t="shared" si="2"/>
        <v>690</v>
      </c>
      <c r="E2094" s="30"/>
      <c r="F2094" s="30"/>
      <c r="G2094" s="30"/>
      <c r="H2094" s="30"/>
      <c r="I2094" s="30"/>
      <c r="J2094" s="30"/>
      <c r="K2094" s="30"/>
      <c r="L2094" s="30"/>
      <c r="M2094" s="30"/>
      <c r="N2094" s="30"/>
      <c r="O2094" s="30"/>
      <c r="P2094" s="30"/>
      <c r="Q2094" s="30"/>
      <c r="R2094" s="30"/>
      <c r="S2094" s="30"/>
      <c r="T2094" s="30"/>
      <c r="U2094" s="30"/>
      <c r="V2094" s="30"/>
      <c r="W2094" s="30"/>
      <c r="X2094" s="30"/>
      <c r="Y2094" s="30"/>
      <c r="Z2094" s="30"/>
      <c r="AA2094" s="30"/>
    </row>
    <row r="2095">
      <c r="A2095" s="29">
        <v>1813992.0</v>
      </c>
      <c r="B2095" s="29">
        <v>1815107.0</v>
      </c>
      <c r="C2095" s="30" t="str">
        <f t="shared" si="1"/>
        <v>+</v>
      </c>
      <c r="D2095" s="29">
        <f t="shared" si="2"/>
        <v>690</v>
      </c>
      <c r="E2095" s="30"/>
      <c r="F2095" s="30"/>
      <c r="G2095" s="30"/>
      <c r="H2095" s="30"/>
      <c r="I2095" s="30"/>
      <c r="J2095" s="30"/>
      <c r="K2095" s="30"/>
      <c r="L2095" s="30"/>
      <c r="M2095" s="30"/>
      <c r="N2095" s="30"/>
      <c r="O2095" s="30"/>
      <c r="P2095" s="30"/>
      <c r="Q2095" s="30"/>
      <c r="R2095" s="30"/>
      <c r="S2095" s="30"/>
      <c r="T2095" s="30"/>
      <c r="U2095" s="30"/>
      <c r="V2095" s="30"/>
      <c r="W2095" s="30"/>
      <c r="X2095" s="30"/>
      <c r="Y2095" s="30"/>
      <c r="Z2095" s="30"/>
      <c r="AA2095" s="30"/>
    </row>
    <row r="2096">
      <c r="A2096" s="29">
        <v>1815097.0</v>
      </c>
      <c r="B2096" s="29">
        <v>1816038.0</v>
      </c>
      <c r="C2096" s="30" t="str">
        <f t="shared" si="1"/>
        <v>+</v>
      </c>
      <c r="D2096" s="29">
        <f t="shared" si="2"/>
        <v>690</v>
      </c>
      <c r="E2096" s="30"/>
      <c r="F2096" s="30"/>
      <c r="G2096" s="30"/>
      <c r="H2096" s="30"/>
      <c r="I2096" s="30"/>
      <c r="J2096" s="30"/>
      <c r="K2096" s="30"/>
      <c r="L2096" s="30"/>
      <c r="M2096" s="30"/>
      <c r="N2096" s="30"/>
      <c r="O2096" s="30"/>
      <c r="P2096" s="30"/>
      <c r="Q2096" s="30"/>
      <c r="R2096" s="30"/>
      <c r="S2096" s="30"/>
      <c r="T2096" s="30"/>
      <c r="U2096" s="30"/>
      <c r="V2096" s="30"/>
      <c r="W2096" s="30"/>
      <c r="X2096" s="30"/>
      <c r="Y2096" s="30"/>
      <c r="Z2096" s="30"/>
      <c r="AA2096" s="30"/>
    </row>
    <row r="2097">
      <c r="A2097" s="29">
        <v>1816549.0</v>
      </c>
      <c r="B2097" s="29">
        <v>1816019.0</v>
      </c>
      <c r="C2097" s="30" t="str">
        <f t="shared" si="1"/>
        <v>-</v>
      </c>
      <c r="D2097" s="29">
        <f t="shared" si="2"/>
        <v>691</v>
      </c>
      <c r="E2097" s="30"/>
      <c r="F2097" s="30"/>
      <c r="G2097" s="30"/>
      <c r="H2097" s="30"/>
      <c r="I2097" s="30"/>
      <c r="J2097" s="30"/>
      <c r="K2097" s="30"/>
      <c r="L2097" s="30"/>
      <c r="M2097" s="30"/>
      <c r="N2097" s="30"/>
      <c r="O2097" s="30"/>
      <c r="P2097" s="30"/>
      <c r="Q2097" s="30"/>
      <c r="R2097" s="30"/>
      <c r="S2097" s="30"/>
      <c r="T2097" s="30"/>
      <c r="U2097" s="30"/>
      <c r="V2097" s="30"/>
      <c r="W2097" s="30"/>
      <c r="X2097" s="30"/>
      <c r="Y2097" s="30"/>
      <c r="Z2097" s="30"/>
      <c r="AA2097" s="30"/>
    </row>
    <row r="2098">
      <c r="A2098" s="29">
        <v>1817139.0</v>
      </c>
      <c r="B2098" s="29">
        <v>1816546.0</v>
      </c>
      <c r="C2098" s="30" t="str">
        <f t="shared" si="1"/>
        <v>-</v>
      </c>
      <c r="D2098" s="29">
        <f t="shared" si="2"/>
        <v>691</v>
      </c>
      <c r="E2098" s="30"/>
      <c r="F2098" s="30"/>
      <c r="G2098" s="30"/>
      <c r="H2098" s="30"/>
      <c r="I2098" s="30"/>
      <c r="J2098" s="30"/>
      <c r="K2098" s="30"/>
      <c r="L2098" s="30"/>
      <c r="M2098" s="30"/>
      <c r="N2098" s="30"/>
      <c r="O2098" s="30"/>
      <c r="P2098" s="30"/>
      <c r="Q2098" s="30"/>
      <c r="R2098" s="30"/>
      <c r="S2098" s="30"/>
      <c r="T2098" s="30"/>
      <c r="U2098" s="30"/>
      <c r="V2098" s="30"/>
      <c r="W2098" s="30"/>
      <c r="X2098" s="30"/>
      <c r="Y2098" s="30"/>
      <c r="Z2098" s="30"/>
      <c r="AA2098" s="30"/>
    </row>
    <row r="2099">
      <c r="A2099" s="29">
        <v>1817769.0</v>
      </c>
      <c r="B2099" s="29">
        <v>1817173.0</v>
      </c>
      <c r="C2099" s="30" t="str">
        <f t="shared" si="1"/>
        <v>-</v>
      </c>
      <c r="D2099" s="29">
        <f t="shared" si="2"/>
        <v>691</v>
      </c>
      <c r="E2099" s="30"/>
      <c r="F2099" s="30"/>
      <c r="G2099" s="30"/>
      <c r="H2099" s="30"/>
      <c r="I2099" s="30"/>
      <c r="J2099" s="30"/>
      <c r="K2099" s="30"/>
      <c r="L2099" s="30"/>
      <c r="M2099" s="30"/>
      <c r="N2099" s="30"/>
      <c r="O2099" s="30"/>
      <c r="P2099" s="30"/>
      <c r="Q2099" s="30"/>
      <c r="R2099" s="30"/>
      <c r="S2099" s="30"/>
      <c r="T2099" s="30"/>
      <c r="U2099" s="30"/>
      <c r="V2099" s="30"/>
      <c r="W2099" s="30"/>
      <c r="X2099" s="30"/>
      <c r="Y2099" s="30"/>
      <c r="Z2099" s="30"/>
      <c r="AA2099" s="30"/>
    </row>
    <row r="2100">
      <c r="A2100" s="29">
        <v>1817793.0</v>
      </c>
      <c r="B2100" s="29">
        <v>1817984.0</v>
      </c>
      <c r="C2100" s="30" t="str">
        <f t="shared" si="1"/>
        <v>+</v>
      </c>
      <c r="D2100" s="29">
        <f t="shared" si="2"/>
        <v>692</v>
      </c>
      <c r="E2100" s="30"/>
      <c r="F2100" s="30"/>
      <c r="G2100" s="30"/>
      <c r="H2100" s="30"/>
      <c r="I2100" s="30"/>
      <c r="J2100" s="30"/>
      <c r="K2100" s="30"/>
      <c r="L2100" s="30"/>
      <c r="M2100" s="30"/>
      <c r="N2100" s="30"/>
      <c r="O2100" s="30"/>
      <c r="P2100" s="30"/>
      <c r="Q2100" s="30"/>
      <c r="R2100" s="30"/>
      <c r="S2100" s="30"/>
      <c r="T2100" s="30"/>
      <c r="U2100" s="30"/>
      <c r="V2100" s="30"/>
      <c r="W2100" s="30"/>
      <c r="X2100" s="30"/>
      <c r="Y2100" s="30"/>
      <c r="Z2100" s="30"/>
      <c r="AA2100" s="30"/>
    </row>
    <row r="2101">
      <c r="A2101" s="29">
        <v>1818441.0</v>
      </c>
      <c r="B2101" s="29">
        <v>1817962.0</v>
      </c>
      <c r="C2101" s="30" t="str">
        <f t="shared" si="1"/>
        <v>-</v>
      </c>
      <c r="D2101" s="29">
        <f t="shared" si="2"/>
        <v>693</v>
      </c>
      <c r="E2101" s="30"/>
      <c r="F2101" s="30"/>
      <c r="G2101" s="30"/>
      <c r="H2101" s="30"/>
      <c r="I2101" s="30"/>
      <c r="J2101" s="30"/>
      <c r="K2101" s="30"/>
      <c r="L2101" s="30"/>
      <c r="M2101" s="30"/>
      <c r="N2101" s="30"/>
      <c r="O2101" s="30"/>
      <c r="P2101" s="30"/>
      <c r="Q2101" s="30"/>
      <c r="R2101" s="30"/>
      <c r="S2101" s="30"/>
      <c r="T2101" s="30"/>
      <c r="U2101" s="30"/>
      <c r="V2101" s="30"/>
      <c r="W2101" s="30"/>
      <c r="X2101" s="30"/>
      <c r="Y2101" s="30"/>
      <c r="Z2101" s="30"/>
      <c r="AA2101" s="30"/>
    </row>
    <row r="2102">
      <c r="A2102" s="29">
        <v>1819237.0</v>
      </c>
      <c r="B2102" s="29">
        <v>1818434.0</v>
      </c>
      <c r="C2102" s="30" t="str">
        <f t="shared" si="1"/>
        <v>-</v>
      </c>
      <c r="D2102" s="29">
        <f t="shared" si="2"/>
        <v>693</v>
      </c>
      <c r="E2102" s="30"/>
      <c r="F2102" s="30"/>
      <c r="G2102" s="30"/>
      <c r="H2102" s="30"/>
      <c r="I2102" s="30"/>
      <c r="J2102" s="30"/>
      <c r="K2102" s="30"/>
      <c r="L2102" s="30"/>
      <c r="M2102" s="30"/>
      <c r="N2102" s="30"/>
      <c r="O2102" s="30"/>
      <c r="P2102" s="30"/>
      <c r="Q2102" s="30"/>
      <c r="R2102" s="30"/>
      <c r="S2102" s="30"/>
      <c r="T2102" s="30"/>
      <c r="U2102" s="30"/>
      <c r="V2102" s="30"/>
      <c r="W2102" s="30"/>
      <c r="X2102" s="30"/>
      <c r="Y2102" s="30"/>
      <c r="Z2102" s="30"/>
      <c r="AA2102" s="30"/>
    </row>
    <row r="2103">
      <c r="A2103" s="29">
        <v>1820480.0</v>
      </c>
      <c r="B2103" s="29">
        <v>1819257.0</v>
      </c>
      <c r="C2103" s="30" t="str">
        <f t="shared" si="1"/>
        <v>-</v>
      </c>
      <c r="D2103" s="29">
        <f t="shared" si="2"/>
        <v>693</v>
      </c>
      <c r="E2103" s="30"/>
      <c r="F2103" s="30"/>
      <c r="G2103" s="30"/>
      <c r="H2103" s="30"/>
      <c r="I2103" s="30"/>
      <c r="J2103" s="30"/>
      <c r="K2103" s="30"/>
      <c r="L2103" s="30"/>
      <c r="M2103" s="30"/>
      <c r="N2103" s="30"/>
      <c r="O2103" s="30"/>
      <c r="P2103" s="30"/>
      <c r="Q2103" s="30"/>
      <c r="R2103" s="30"/>
      <c r="S2103" s="30"/>
      <c r="T2103" s="30"/>
      <c r="U2103" s="30"/>
      <c r="V2103" s="30"/>
      <c r="W2103" s="30"/>
      <c r="X2103" s="30"/>
      <c r="Y2103" s="30"/>
      <c r="Z2103" s="30"/>
      <c r="AA2103" s="30"/>
    </row>
    <row r="2104">
      <c r="A2104" s="29">
        <v>1821569.0</v>
      </c>
      <c r="B2104" s="29">
        <v>1820487.0</v>
      </c>
      <c r="C2104" s="30" t="str">
        <f t="shared" si="1"/>
        <v>-</v>
      </c>
      <c r="D2104" s="29">
        <f t="shared" si="2"/>
        <v>693</v>
      </c>
      <c r="E2104" s="30"/>
      <c r="F2104" s="30"/>
      <c r="G2104" s="30"/>
      <c r="H2104" s="30"/>
      <c r="I2104" s="30"/>
      <c r="J2104" s="30"/>
      <c r="K2104" s="30"/>
      <c r="L2104" s="30"/>
      <c r="M2104" s="30"/>
      <c r="N2104" s="30"/>
      <c r="O2104" s="30"/>
      <c r="P2104" s="30"/>
      <c r="Q2104" s="30"/>
      <c r="R2104" s="30"/>
      <c r="S2104" s="30"/>
      <c r="T2104" s="30"/>
      <c r="U2104" s="30"/>
      <c r="V2104" s="30"/>
      <c r="W2104" s="30"/>
      <c r="X2104" s="30"/>
      <c r="Y2104" s="30"/>
      <c r="Z2104" s="30"/>
      <c r="AA2104" s="30"/>
    </row>
    <row r="2105">
      <c r="A2105" s="29">
        <v>1821621.0</v>
      </c>
      <c r="B2105" s="29">
        <v>1822748.0</v>
      </c>
      <c r="C2105" s="30" t="str">
        <f t="shared" si="1"/>
        <v>+</v>
      </c>
      <c r="D2105" s="29">
        <f t="shared" si="2"/>
        <v>694</v>
      </c>
      <c r="E2105" s="30"/>
      <c r="F2105" s="30"/>
      <c r="G2105" s="30"/>
      <c r="H2105" s="30"/>
      <c r="I2105" s="30"/>
      <c r="J2105" s="30"/>
      <c r="K2105" s="30"/>
      <c r="L2105" s="30"/>
      <c r="M2105" s="30"/>
      <c r="N2105" s="30"/>
      <c r="O2105" s="30"/>
      <c r="P2105" s="30"/>
      <c r="Q2105" s="30"/>
      <c r="R2105" s="30"/>
      <c r="S2105" s="30"/>
      <c r="T2105" s="30"/>
      <c r="U2105" s="30"/>
      <c r="V2105" s="30"/>
      <c r="W2105" s="30"/>
      <c r="X2105" s="30"/>
      <c r="Y2105" s="30"/>
      <c r="Z2105" s="30"/>
      <c r="AA2105" s="30"/>
    </row>
    <row r="2106">
      <c r="A2106" s="29">
        <v>1822742.0</v>
      </c>
      <c r="B2106" s="29">
        <v>1823239.0</v>
      </c>
      <c r="C2106" s="30" t="str">
        <f t="shared" si="1"/>
        <v>+</v>
      </c>
      <c r="D2106" s="29">
        <f t="shared" si="2"/>
        <v>694</v>
      </c>
      <c r="E2106" s="30"/>
      <c r="F2106" s="30"/>
      <c r="G2106" s="30"/>
      <c r="H2106" s="30"/>
      <c r="I2106" s="30"/>
      <c r="J2106" s="30"/>
      <c r="K2106" s="30"/>
      <c r="L2106" s="30"/>
      <c r="M2106" s="30"/>
      <c r="N2106" s="30"/>
      <c r="O2106" s="30"/>
      <c r="P2106" s="30"/>
      <c r="Q2106" s="30"/>
      <c r="R2106" s="30"/>
      <c r="S2106" s="30"/>
      <c r="T2106" s="30"/>
      <c r="U2106" s="30"/>
      <c r="V2106" s="30"/>
      <c r="W2106" s="30"/>
      <c r="X2106" s="30"/>
      <c r="Y2106" s="30"/>
      <c r="Z2106" s="30"/>
      <c r="AA2106" s="30"/>
    </row>
    <row r="2107">
      <c r="A2107" s="29">
        <v>1823262.0</v>
      </c>
      <c r="B2107" s="29">
        <v>1824323.0</v>
      </c>
      <c r="C2107" s="30" t="str">
        <f t="shared" si="1"/>
        <v>+</v>
      </c>
      <c r="D2107" s="29">
        <f t="shared" si="2"/>
        <v>694</v>
      </c>
      <c r="E2107" s="30"/>
      <c r="F2107" s="30"/>
      <c r="G2107" s="30"/>
      <c r="H2107" s="30"/>
      <c r="I2107" s="30"/>
      <c r="J2107" s="30"/>
      <c r="K2107" s="30"/>
      <c r="L2107" s="30"/>
      <c r="M2107" s="30"/>
      <c r="N2107" s="30"/>
      <c r="O2107" s="30"/>
      <c r="P2107" s="30"/>
      <c r="Q2107" s="30"/>
      <c r="R2107" s="30"/>
      <c r="S2107" s="30"/>
      <c r="T2107" s="30"/>
      <c r="U2107" s="30"/>
      <c r="V2107" s="30"/>
      <c r="W2107" s="30"/>
      <c r="X2107" s="30"/>
      <c r="Y2107" s="30"/>
      <c r="Z2107" s="30"/>
      <c r="AA2107" s="30"/>
    </row>
    <row r="2108">
      <c r="A2108" s="29">
        <v>1824341.0</v>
      </c>
      <c r="B2108" s="29">
        <v>1824685.0</v>
      </c>
      <c r="C2108" s="30" t="str">
        <f t="shared" si="1"/>
        <v>+</v>
      </c>
      <c r="D2108" s="29">
        <f t="shared" si="2"/>
        <v>694</v>
      </c>
      <c r="E2108" s="30"/>
      <c r="F2108" s="30"/>
      <c r="G2108" s="30"/>
      <c r="H2108" s="30"/>
      <c r="I2108" s="30"/>
      <c r="J2108" s="30"/>
      <c r="K2108" s="30"/>
      <c r="L2108" s="30"/>
      <c r="M2108" s="30"/>
      <c r="N2108" s="30"/>
      <c r="O2108" s="30"/>
      <c r="P2108" s="30"/>
      <c r="Q2108" s="30"/>
      <c r="R2108" s="30"/>
      <c r="S2108" s="30"/>
      <c r="T2108" s="30"/>
      <c r="U2108" s="30"/>
      <c r="V2108" s="30"/>
      <c r="W2108" s="30"/>
      <c r="X2108" s="30"/>
      <c r="Y2108" s="30"/>
      <c r="Z2108" s="30"/>
      <c r="AA2108" s="30"/>
    </row>
    <row r="2109">
      <c r="A2109" s="29">
        <v>1825020.0</v>
      </c>
      <c r="B2109" s="29">
        <v>1824682.0</v>
      </c>
      <c r="C2109" s="30" t="str">
        <f t="shared" si="1"/>
        <v>-</v>
      </c>
      <c r="D2109" s="29">
        <f t="shared" si="2"/>
        <v>695</v>
      </c>
      <c r="E2109" s="30"/>
      <c r="F2109" s="30"/>
      <c r="G2109" s="30"/>
      <c r="H2109" s="30"/>
      <c r="I2109" s="30"/>
      <c r="J2109" s="30"/>
      <c r="K2109" s="30"/>
      <c r="L2109" s="30"/>
      <c r="M2109" s="30"/>
      <c r="N2109" s="30"/>
      <c r="O2109" s="30"/>
      <c r="P2109" s="30"/>
      <c r="Q2109" s="30"/>
      <c r="R2109" s="30"/>
      <c r="S2109" s="30"/>
      <c r="T2109" s="30"/>
      <c r="U2109" s="30"/>
      <c r="V2109" s="30"/>
      <c r="W2109" s="30"/>
      <c r="X2109" s="30"/>
      <c r="Y2109" s="30"/>
      <c r="Z2109" s="30"/>
      <c r="AA2109" s="30"/>
    </row>
    <row r="2110">
      <c r="A2110" s="29">
        <v>1825253.0</v>
      </c>
      <c r="B2110" s="29">
        <v>1825549.0</v>
      </c>
      <c r="C2110" s="30" t="str">
        <f t="shared" si="1"/>
        <v>+</v>
      </c>
      <c r="D2110" s="29">
        <f t="shared" si="2"/>
        <v>696</v>
      </c>
      <c r="E2110" s="30"/>
      <c r="F2110" s="30"/>
      <c r="G2110" s="30"/>
      <c r="H2110" s="30"/>
      <c r="I2110" s="30"/>
      <c r="J2110" s="30"/>
      <c r="K2110" s="30"/>
      <c r="L2110" s="30"/>
      <c r="M2110" s="30"/>
      <c r="N2110" s="30"/>
      <c r="O2110" s="30"/>
      <c r="P2110" s="30"/>
      <c r="Q2110" s="30"/>
      <c r="R2110" s="30"/>
      <c r="S2110" s="30"/>
      <c r="T2110" s="30"/>
      <c r="U2110" s="30"/>
      <c r="V2110" s="30"/>
      <c r="W2110" s="30"/>
      <c r="X2110" s="30"/>
      <c r="Y2110" s="30"/>
      <c r="Z2110" s="30"/>
      <c r="AA2110" s="30"/>
    </row>
    <row r="2111">
      <c r="A2111" s="29">
        <v>1825760.0</v>
      </c>
      <c r="B2111" s="29">
        <v>1826032.0</v>
      </c>
      <c r="C2111" s="30" t="str">
        <f t="shared" si="1"/>
        <v>+</v>
      </c>
      <c r="D2111" s="29">
        <f t="shared" si="2"/>
        <v>696</v>
      </c>
      <c r="E2111" s="30"/>
      <c r="F2111" s="30"/>
      <c r="G2111" s="30"/>
      <c r="H2111" s="30"/>
      <c r="I2111" s="30"/>
      <c r="J2111" s="30"/>
      <c r="K2111" s="30"/>
      <c r="L2111" s="30"/>
      <c r="M2111" s="30"/>
      <c r="N2111" s="30"/>
      <c r="O2111" s="30"/>
      <c r="P2111" s="30"/>
      <c r="Q2111" s="30"/>
      <c r="R2111" s="30"/>
      <c r="S2111" s="30"/>
      <c r="T2111" s="30"/>
      <c r="U2111" s="30"/>
      <c r="V2111" s="30"/>
      <c r="W2111" s="30"/>
      <c r="X2111" s="30"/>
      <c r="Y2111" s="30"/>
      <c r="Z2111" s="30"/>
      <c r="AA2111" s="30"/>
    </row>
    <row r="2112">
      <c r="A2112" s="29">
        <v>1826547.0</v>
      </c>
      <c r="B2112" s="29">
        <v>1826170.0</v>
      </c>
      <c r="C2112" s="30" t="str">
        <f t="shared" si="1"/>
        <v>-</v>
      </c>
      <c r="D2112" s="29">
        <f t="shared" si="2"/>
        <v>697</v>
      </c>
      <c r="E2112" s="30"/>
      <c r="F2112" s="30"/>
      <c r="G2112" s="30"/>
      <c r="H2112" s="30"/>
      <c r="I2112" s="30"/>
      <c r="J2112" s="30"/>
      <c r="K2112" s="30"/>
      <c r="L2112" s="30"/>
      <c r="M2112" s="30"/>
      <c r="N2112" s="30"/>
      <c r="O2112" s="30"/>
      <c r="P2112" s="30"/>
      <c r="Q2112" s="30"/>
      <c r="R2112" s="30"/>
      <c r="S2112" s="30"/>
      <c r="T2112" s="30"/>
      <c r="U2112" s="30"/>
      <c r="V2112" s="30"/>
      <c r="W2112" s="30"/>
      <c r="X2112" s="30"/>
      <c r="Y2112" s="30"/>
      <c r="Z2112" s="30"/>
      <c r="AA2112" s="30"/>
    </row>
    <row r="2113">
      <c r="A2113" s="29">
        <v>1826672.0</v>
      </c>
      <c r="B2113" s="29">
        <v>1826950.0</v>
      </c>
      <c r="C2113" s="30" t="str">
        <f t="shared" si="1"/>
        <v>+</v>
      </c>
      <c r="D2113" s="29">
        <f t="shared" si="2"/>
        <v>698</v>
      </c>
      <c r="E2113" s="30"/>
      <c r="F2113" s="30"/>
      <c r="G2113" s="30"/>
      <c r="H2113" s="30"/>
      <c r="I2113" s="30"/>
      <c r="J2113" s="30"/>
      <c r="K2113" s="30"/>
      <c r="L2113" s="30"/>
      <c r="M2113" s="30"/>
      <c r="N2113" s="30"/>
      <c r="O2113" s="30"/>
      <c r="P2113" s="30"/>
      <c r="Q2113" s="30"/>
      <c r="R2113" s="30"/>
      <c r="S2113" s="30"/>
      <c r="T2113" s="30"/>
      <c r="U2113" s="30"/>
      <c r="V2113" s="30"/>
      <c r="W2113" s="30"/>
      <c r="X2113" s="30"/>
      <c r="Y2113" s="30"/>
      <c r="Z2113" s="30"/>
      <c r="AA2113" s="30"/>
    </row>
    <row r="2114">
      <c r="A2114" s="29">
        <v>1827095.0</v>
      </c>
      <c r="B2114" s="29">
        <v>1827352.0</v>
      </c>
      <c r="C2114" s="30" t="str">
        <f t="shared" si="1"/>
        <v>+</v>
      </c>
      <c r="D2114" s="29">
        <f t="shared" si="2"/>
        <v>698</v>
      </c>
      <c r="E2114" s="30"/>
      <c r="F2114" s="30"/>
      <c r="G2114" s="30"/>
      <c r="H2114" s="30"/>
      <c r="I2114" s="30"/>
      <c r="J2114" s="30"/>
      <c r="K2114" s="30"/>
      <c r="L2114" s="30"/>
      <c r="M2114" s="30"/>
      <c r="N2114" s="30"/>
      <c r="O2114" s="30"/>
      <c r="P2114" s="30"/>
      <c r="Q2114" s="30"/>
      <c r="R2114" s="30"/>
      <c r="S2114" s="30"/>
      <c r="T2114" s="30"/>
      <c r="U2114" s="30"/>
      <c r="V2114" s="30"/>
      <c r="W2114" s="30"/>
      <c r="X2114" s="30"/>
      <c r="Y2114" s="30"/>
      <c r="Z2114" s="30"/>
      <c r="AA2114" s="30"/>
    </row>
    <row r="2115">
      <c r="A2115" s="29">
        <v>1827753.0</v>
      </c>
      <c r="B2115" s="29">
        <v>1827622.0</v>
      </c>
      <c r="C2115" s="30" t="str">
        <f t="shared" si="1"/>
        <v>-</v>
      </c>
      <c r="D2115" s="29">
        <f t="shared" si="2"/>
        <v>699</v>
      </c>
      <c r="E2115" s="30"/>
      <c r="F2115" s="30"/>
      <c r="G2115" s="30"/>
      <c r="H2115" s="30"/>
      <c r="I2115" s="30"/>
      <c r="J2115" s="30"/>
      <c r="K2115" s="30"/>
      <c r="L2115" s="30"/>
      <c r="M2115" s="30"/>
      <c r="N2115" s="30"/>
      <c r="O2115" s="30"/>
      <c r="P2115" s="30"/>
      <c r="Q2115" s="30"/>
      <c r="R2115" s="30"/>
      <c r="S2115" s="30"/>
      <c r="T2115" s="30"/>
      <c r="U2115" s="30"/>
      <c r="V2115" s="30"/>
      <c r="W2115" s="30"/>
      <c r="X2115" s="30"/>
      <c r="Y2115" s="30"/>
      <c r="Z2115" s="30"/>
      <c r="AA2115" s="30"/>
    </row>
    <row r="2116">
      <c r="A2116" s="29">
        <v>1827944.0</v>
      </c>
      <c r="B2116" s="29">
        <v>1827825.0</v>
      </c>
      <c r="C2116" s="30" t="str">
        <f t="shared" si="1"/>
        <v>-</v>
      </c>
      <c r="D2116" s="29">
        <f t="shared" si="2"/>
        <v>699</v>
      </c>
      <c r="E2116" s="30"/>
      <c r="F2116" s="30"/>
      <c r="G2116" s="30"/>
      <c r="H2116" s="30"/>
      <c r="I2116" s="30"/>
      <c r="J2116" s="30"/>
      <c r="K2116" s="30"/>
      <c r="L2116" s="30"/>
      <c r="M2116" s="30"/>
      <c r="N2116" s="30"/>
      <c r="O2116" s="30"/>
      <c r="P2116" s="30"/>
      <c r="Q2116" s="30"/>
      <c r="R2116" s="30"/>
      <c r="S2116" s="30"/>
      <c r="T2116" s="30"/>
      <c r="U2116" s="30"/>
      <c r="V2116" s="30"/>
      <c r="W2116" s="30"/>
      <c r="X2116" s="30"/>
      <c r="Y2116" s="30"/>
      <c r="Z2116" s="30"/>
      <c r="AA2116" s="30"/>
    </row>
    <row r="2117">
      <c r="A2117" s="29">
        <v>1828299.0</v>
      </c>
      <c r="B2117" s="29">
        <v>1828505.0</v>
      </c>
      <c r="C2117" s="30" t="str">
        <f t="shared" si="1"/>
        <v>+</v>
      </c>
      <c r="D2117" s="29">
        <f t="shared" si="2"/>
        <v>700</v>
      </c>
      <c r="E2117" s="30"/>
      <c r="F2117" s="30"/>
      <c r="G2117" s="30"/>
      <c r="H2117" s="30"/>
      <c r="I2117" s="30"/>
      <c r="J2117" s="30"/>
      <c r="K2117" s="30"/>
      <c r="L2117" s="30"/>
      <c r="M2117" s="30"/>
      <c r="N2117" s="30"/>
      <c r="O2117" s="30"/>
      <c r="P2117" s="30"/>
      <c r="Q2117" s="30"/>
      <c r="R2117" s="30"/>
      <c r="S2117" s="30"/>
      <c r="T2117" s="30"/>
      <c r="U2117" s="30"/>
      <c r="V2117" s="30"/>
      <c r="W2117" s="30"/>
      <c r="X2117" s="30"/>
      <c r="Y2117" s="30"/>
      <c r="Z2117" s="30"/>
      <c r="AA2117" s="30"/>
    </row>
    <row r="2118">
      <c r="A2118" s="29">
        <v>1829084.0</v>
      </c>
      <c r="B2118" s="29">
        <v>1828845.0</v>
      </c>
      <c r="C2118" s="30" t="str">
        <f t="shared" si="1"/>
        <v>-</v>
      </c>
      <c r="D2118" s="29">
        <f t="shared" si="2"/>
        <v>701</v>
      </c>
      <c r="E2118" s="30"/>
      <c r="F2118" s="30"/>
      <c r="G2118" s="30"/>
      <c r="H2118" s="30"/>
      <c r="I2118" s="30"/>
      <c r="J2118" s="30"/>
      <c r="K2118" s="30"/>
      <c r="L2118" s="30"/>
      <c r="M2118" s="30"/>
      <c r="N2118" s="30"/>
      <c r="O2118" s="30"/>
      <c r="P2118" s="30"/>
      <c r="Q2118" s="30"/>
      <c r="R2118" s="30"/>
      <c r="S2118" s="30"/>
      <c r="T2118" s="30"/>
      <c r="U2118" s="30"/>
      <c r="V2118" s="30"/>
      <c r="W2118" s="30"/>
      <c r="X2118" s="30"/>
      <c r="Y2118" s="30"/>
      <c r="Z2118" s="30"/>
      <c r="AA2118" s="30"/>
    </row>
    <row r="2119">
      <c r="A2119" s="29">
        <v>1829161.0</v>
      </c>
      <c r="B2119" s="29">
        <v>1829310.0</v>
      </c>
      <c r="C2119" s="30" t="str">
        <f t="shared" si="1"/>
        <v>+</v>
      </c>
      <c r="D2119" s="29">
        <f t="shared" si="2"/>
        <v>702</v>
      </c>
      <c r="E2119" s="30"/>
      <c r="F2119" s="30"/>
      <c r="G2119" s="30"/>
      <c r="H2119" s="30"/>
      <c r="I2119" s="30"/>
      <c r="J2119" s="30"/>
      <c r="K2119" s="30"/>
      <c r="L2119" s="30"/>
      <c r="M2119" s="30"/>
      <c r="N2119" s="30"/>
      <c r="O2119" s="30"/>
      <c r="P2119" s="30"/>
      <c r="Q2119" s="30"/>
      <c r="R2119" s="30"/>
      <c r="S2119" s="30"/>
      <c r="T2119" s="30"/>
      <c r="U2119" s="30"/>
      <c r="V2119" s="30"/>
      <c r="W2119" s="30"/>
      <c r="X2119" s="30"/>
      <c r="Y2119" s="30"/>
      <c r="Z2119" s="30"/>
      <c r="AA2119" s="30"/>
    </row>
    <row r="2120">
      <c r="A2120" s="29">
        <v>1830083.0</v>
      </c>
      <c r="B2120" s="29">
        <v>1829643.0</v>
      </c>
      <c r="C2120" s="30" t="str">
        <f t="shared" si="1"/>
        <v>-</v>
      </c>
      <c r="D2120" s="29">
        <f t="shared" si="2"/>
        <v>703</v>
      </c>
      <c r="E2120" s="30"/>
      <c r="F2120" s="30"/>
      <c r="G2120" s="30"/>
      <c r="H2120" s="30"/>
      <c r="I2120" s="30"/>
      <c r="J2120" s="30"/>
      <c r="K2120" s="30"/>
      <c r="L2120" s="30"/>
      <c r="M2120" s="30"/>
      <c r="N2120" s="30"/>
      <c r="O2120" s="30"/>
      <c r="P2120" s="30"/>
      <c r="Q2120" s="30"/>
      <c r="R2120" s="30"/>
      <c r="S2120" s="30"/>
      <c r="T2120" s="30"/>
      <c r="U2120" s="30"/>
      <c r="V2120" s="30"/>
      <c r="W2120" s="30"/>
      <c r="X2120" s="30"/>
      <c r="Y2120" s="30"/>
      <c r="Z2120" s="30"/>
      <c r="AA2120" s="30"/>
    </row>
    <row r="2121">
      <c r="A2121" s="29">
        <v>1830194.0</v>
      </c>
      <c r="B2121" s="29">
        <v>1830376.0</v>
      </c>
      <c r="C2121" s="30" t="str">
        <f t="shared" si="1"/>
        <v>+</v>
      </c>
      <c r="D2121" s="29">
        <f t="shared" si="2"/>
        <v>704</v>
      </c>
      <c r="E2121" s="30"/>
      <c r="F2121" s="30"/>
      <c r="G2121" s="30"/>
      <c r="H2121" s="30"/>
      <c r="I2121" s="30"/>
      <c r="J2121" s="30"/>
      <c r="K2121" s="30"/>
      <c r="L2121" s="30"/>
      <c r="M2121" s="30"/>
      <c r="N2121" s="30"/>
      <c r="O2121" s="30"/>
      <c r="P2121" s="30"/>
      <c r="Q2121" s="30"/>
      <c r="R2121" s="30"/>
      <c r="S2121" s="30"/>
      <c r="T2121" s="30"/>
      <c r="U2121" s="30"/>
      <c r="V2121" s="30"/>
      <c r="W2121" s="30"/>
      <c r="X2121" s="30"/>
      <c r="Y2121" s="30"/>
      <c r="Z2121" s="30"/>
      <c r="AA2121" s="30"/>
    </row>
    <row r="2122">
      <c r="A2122" s="29">
        <v>1830463.0</v>
      </c>
      <c r="B2122" s="29">
        <v>1830888.0</v>
      </c>
      <c r="C2122" s="30" t="str">
        <f t="shared" si="1"/>
        <v>+</v>
      </c>
      <c r="D2122" s="29">
        <f t="shared" si="2"/>
        <v>704</v>
      </c>
      <c r="E2122" s="30"/>
      <c r="F2122" s="30"/>
      <c r="G2122" s="30"/>
      <c r="H2122" s="30"/>
      <c r="I2122" s="30"/>
      <c r="J2122" s="30"/>
      <c r="K2122" s="30"/>
      <c r="L2122" s="30"/>
      <c r="M2122" s="30"/>
      <c r="N2122" s="30"/>
      <c r="O2122" s="30"/>
      <c r="P2122" s="30"/>
      <c r="Q2122" s="30"/>
      <c r="R2122" s="30"/>
      <c r="S2122" s="30"/>
      <c r="T2122" s="30"/>
      <c r="U2122" s="30"/>
      <c r="V2122" s="30"/>
      <c r="W2122" s="30"/>
      <c r="X2122" s="30"/>
      <c r="Y2122" s="30"/>
      <c r="Z2122" s="30"/>
      <c r="AA2122" s="30"/>
    </row>
    <row r="2123">
      <c r="A2123" s="29">
        <v>1831027.0</v>
      </c>
      <c r="B2123" s="29">
        <v>1831215.0</v>
      </c>
      <c r="C2123" s="30" t="str">
        <f t="shared" si="1"/>
        <v>+</v>
      </c>
      <c r="D2123" s="29">
        <f t="shared" si="2"/>
        <v>704</v>
      </c>
      <c r="E2123" s="30"/>
      <c r="F2123" s="30"/>
      <c r="G2123" s="30"/>
      <c r="H2123" s="30"/>
      <c r="I2123" s="30"/>
      <c r="J2123" s="30"/>
      <c r="K2123" s="30"/>
      <c r="L2123" s="30"/>
      <c r="M2123" s="30"/>
      <c r="N2123" s="30"/>
      <c r="O2123" s="30"/>
      <c r="P2123" s="30"/>
      <c r="Q2123" s="30"/>
      <c r="R2123" s="30"/>
      <c r="S2123" s="30"/>
      <c r="T2123" s="30"/>
      <c r="U2123" s="30"/>
      <c r="V2123" s="30"/>
      <c r="W2123" s="30"/>
      <c r="X2123" s="30"/>
      <c r="Y2123" s="30"/>
      <c r="Z2123" s="30"/>
      <c r="AA2123" s="30"/>
    </row>
    <row r="2124">
      <c r="A2124" s="29">
        <v>1831603.0</v>
      </c>
      <c r="B2124" s="29">
        <v>1832169.0</v>
      </c>
      <c r="C2124" s="30" t="str">
        <f t="shared" si="1"/>
        <v>+</v>
      </c>
      <c r="D2124" s="29">
        <f t="shared" si="2"/>
        <v>704</v>
      </c>
      <c r="E2124" s="30"/>
      <c r="F2124" s="30"/>
      <c r="G2124" s="30"/>
      <c r="H2124" s="30"/>
      <c r="I2124" s="30"/>
      <c r="J2124" s="30"/>
      <c r="K2124" s="30"/>
      <c r="L2124" s="30"/>
      <c r="M2124" s="30"/>
      <c r="N2124" s="30"/>
      <c r="O2124" s="30"/>
      <c r="P2124" s="30"/>
      <c r="Q2124" s="30"/>
      <c r="R2124" s="30"/>
      <c r="S2124" s="30"/>
      <c r="T2124" s="30"/>
      <c r="U2124" s="30"/>
      <c r="V2124" s="30"/>
      <c r="W2124" s="30"/>
      <c r="X2124" s="30"/>
      <c r="Y2124" s="30"/>
      <c r="Z2124" s="30"/>
      <c r="AA2124" s="30"/>
    </row>
    <row r="2125">
      <c r="A2125" s="29">
        <v>1832410.0</v>
      </c>
      <c r="B2125" s="29">
        <v>1832183.0</v>
      </c>
      <c r="C2125" s="30" t="str">
        <f t="shared" si="1"/>
        <v>-</v>
      </c>
      <c r="D2125" s="29">
        <f t="shared" si="2"/>
        <v>705</v>
      </c>
      <c r="E2125" s="30"/>
      <c r="F2125" s="30"/>
      <c r="G2125" s="30"/>
      <c r="H2125" s="30"/>
      <c r="I2125" s="30"/>
      <c r="J2125" s="30"/>
      <c r="K2125" s="30"/>
      <c r="L2125" s="30"/>
      <c r="M2125" s="30"/>
      <c r="N2125" s="30"/>
      <c r="O2125" s="30"/>
      <c r="P2125" s="30"/>
      <c r="Q2125" s="30"/>
      <c r="R2125" s="30"/>
      <c r="S2125" s="30"/>
      <c r="T2125" s="30"/>
      <c r="U2125" s="30"/>
      <c r="V2125" s="30"/>
      <c r="W2125" s="30"/>
      <c r="X2125" s="30"/>
      <c r="Y2125" s="30"/>
      <c r="Z2125" s="30"/>
      <c r="AA2125" s="30"/>
    </row>
    <row r="2126">
      <c r="A2126" s="29">
        <v>1832598.0</v>
      </c>
      <c r="B2126" s="29">
        <v>1833815.0</v>
      </c>
      <c r="C2126" s="30" t="str">
        <f t="shared" si="1"/>
        <v>+</v>
      </c>
      <c r="D2126" s="29">
        <f t="shared" si="2"/>
        <v>706</v>
      </c>
      <c r="E2126" s="30"/>
      <c r="F2126" s="30"/>
      <c r="G2126" s="30"/>
      <c r="H2126" s="30"/>
      <c r="I2126" s="30"/>
      <c r="J2126" s="30"/>
      <c r="K2126" s="30"/>
      <c r="L2126" s="30"/>
      <c r="M2126" s="30"/>
      <c r="N2126" s="30"/>
      <c r="O2126" s="30"/>
      <c r="P2126" s="30"/>
      <c r="Q2126" s="30"/>
      <c r="R2126" s="30"/>
      <c r="S2126" s="30"/>
      <c r="T2126" s="30"/>
      <c r="U2126" s="30"/>
      <c r="V2126" s="30"/>
      <c r="W2126" s="30"/>
      <c r="X2126" s="30"/>
      <c r="Y2126" s="30"/>
      <c r="Z2126" s="30"/>
      <c r="AA2126" s="30"/>
    </row>
    <row r="2127">
      <c r="A2127" s="29">
        <v>1834648.0</v>
      </c>
      <c r="B2127" s="29">
        <v>1833812.0</v>
      </c>
      <c r="C2127" s="30" t="str">
        <f t="shared" si="1"/>
        <v>-</v>
      </c>
      <c r="D2127" s="29">
        <f t="shared" si="2"/>
        <v>707</v>
      </c>
      <c r="E2127" s="30"/>
      <c r="F2127" s="30"/>
      <c r="G2127" s="30"/>
      <c r="H2127" s="30"/>
      <c r="I2127" s="30"/>
      <c r="J2127" s="30"/>
      <c r="K2127" s="30"/>
      <c r="L2127" s="30"/>
      <c r="M2127" s="30"/>
      <c r="N2127" s="30"/>
      <c r="O2127" s="30"/>
      <c r="P2127" s="30"/>
      <c r="Q2127" s="30"/>
      <c r="R2127" s="30"/>
      <c r="S2127" s="30"/>
      <c r="T2127" s="30"/>
      <c r="U2127" s="30"/>
      <c r="V2127" s="30"/>
      <c r="W2127" s="30"/>
      <c r="X2127" s="30"/>
      <c r="Y2127" s="30"/>
      <c r="Z2127" s="30"/>
      <c r="AA2127" s="30"/>
    </row>
    <row r="2128">
      <c r="A2128" s="29">
        <v>1834760.0</v>
      </c>
      <c r="B2128" s="29">
        <v>1835212.0</v>
      </c>
      <c r="C2128" s="30" t="str">
        <f t="shared" si="1"/>
        <v>+</v>
      </c>
      <c r="D2128" s="29">
        <f t="shared" si="2"/>
        <v>708</v>
      </c>
      <c r="E2128" s="30"/>
      <c r="F2128" s="30"/>
      <c r="G2128" s="30"/>
      <c r="H2128" s="30"/>
      <c r="I2128" s="30"/>
      <c r="J2128" s="30"/>
      <c r="K2128" s="30"/>
      <c r="L2128" s="30"/>
      <c r="M2128" s="30"/>
      <c r="N2128" s="30"/>
      <c r="O2128" s="30"/>
      <c r="P2128" s="30"/>
      <c r="Q2128" s="30"/>
      <c r="R2128" s="30"/>
      <c r="S2128" s="30"/>
      <c r="T2128" s="30"/>
      <c r="U2128" s="30"/>
      <c r="V2128" s="30"/>
      <c r="W2128" s="30"/>
      <c r="X2128" s="30"/>
      <c r="Y2128" s="30"/>
      <c r="Z2128" s="30"/>
      <c r="AA2128" s="30"/>
    </row>
    <row r="2129">
      <c r="A2129" s="29">
        <v>1835197.0</v>
      </c>
      <c r="B2129" s="29">
        <v>1835676.0</v>
      </c>
      <c r="C2129" s="30" t="str">
        <f t="shared" si="1"/>
        <v>+</v>
      </c>
      <c r="D2129" s="29">
        <f t="shared" si="2"/>
        <v>708</v>
      </c>
      <c r="E2129" s="30"/>
      <c r="F2129" s="30"/>
      <c r="G2129" s="30"/>
      <c r="H2129" s="30"/>
      <c r="I2129" s="30"/>
      <c r="J2129" s="30"/>
      <c r="K2129" s="30"/>
      <c r="L2129" s="30"/>
      <c r="M2129" s="30"/>
      <c r="N2129" s="30"/>
      <c r="O2129" s="30"/>
      <c r="P2129" s="30"/>
      <c r="Q2129" s="30"/>
      <c r="R2129" s="30"/>
      <c r="S2129" s="30"/>
      <c r="T2129" s="30"/>
      <c r="U2129" s="30"/>
      <c r="V2129" s="30"/>
      <c r="W2129" s="30"/>
      <c r="X2129" s="30"/>
      <c r="Y2129" s="30"/>
      <c r="Z2129" s="30"/>
      <c r="AA2129" s="30"/>
    </row>
    <row r="2130">
      <c r="A2130" s="29">
        <v>1836304.0</v>
      </c>
      <c r="B2130" s="29">
        <v>1835717.0</v>
      </c>
      <c r="C2130" s="30" t="str">
        <f t="shared" si="1"/>
        <v>-</v>
      </c>
      <c r="D2130" s="29">
        <f t="shared" si="2"/>
        <v>709</v>
      </c>
      <c r="E2130" s="30"/>
      <c r="F2130" s="30"/>
      <c r="G2130" s="30"/>
      <c r="H2130" s="30"/>
      <c r="I2130" s="30"/>
      <c r="J2130" s="30"/>
      <c r="K2130" s="30"/>
      <c r="L2130" s="30"/>
      <c r="M2130" s="30"/>
      <c r="N2130" s="30"/>
      <c r="O2130" s="30"/>
      <c r="P2130" s="30"/>
      <c r="Q2130" s="30"/>
      <c r="R2130" s="30"/>
      <c r="S2130" s="30"/>
      <c r="T2130" s="30"/>
      <c r="U2130" s="30"/>
      <c r="V2130" s="30"/>
      <c r="W2130" s="30"/>
      <c r="X2130" s="30"/>
      <c r="Y2130" s="30"/>
      <c r="Z2130" s="30"/>
      <c r="AA2130" s="30"/>
    </row>
    <row r="2131">
      <c r="A2131" s="29">
        <v>1837904.0</v>
      </c>
      <c r="B2131" s="29">
        <v>1836336.0</v>
      </c>
      <c r="C2131" s="30" t="str">
        <f t="shared" si="1"/>
        <v>-</v>
      </c>
      <c r="D2131" s="29">
        <f t="shared" si="2"/>
        <v>709</v>
      </c>
      <c r="E2131" s="30"/>
      <c r="F2131" s="30"/>
      <c r="G2131" s="30"/>
      <c r="H2131" s="30"/>
      <c r="I2131" s="30"/>
      <c r="J2131" s="30"/>
      <c r="K2131" s="30"/>
      <c r="L2131" s="30"/>
      <c r="M2131" s="30"/>
      <c r="N2131" s="30"/>
      <c r="O2131" s="30"/>
      <c r="P2131" s="30"/>
      <c r="Q2131" s="30"/>
      <c r="R2131" s="30"/>
      <c r="S2131" s="30"/>
      <c r="T2131" s="30"/>
      <c r="U2131" s="30"/>
      <c r="V2131" s="30"/>
      <c r="W2131" s="30"/>
      <c r="X2131" s="30"/>
      <c r="Y2131" s="30"/>
      <c r="Z2131" s="30"/>
      <c r="AA2131" s="30"/>
    </row>
    <row r="2132">
      <c r="A2132" s="29">
        <v>1839121.0</v>
      </c>
      <c r="B2132" s="29">
        <v>1837934.0</v>
      </c>
      <c r="C2132" s="30" t="str">
        <f t="shared" si="1"/>
        <v>-</v>
      </c>
      <c r="D2132" s="29">
        <f t="shared" si="2"/>
        <v>709</v>
      </c>
      <c r="E2132" s="30"/>
      <c r="F2132" s="30"/>
      <c r="G2132" s="30"/>
      <c r="H2132" s="30"/>
      <c r="I2132" s="30"/>
      <c r="J2132" s="30"/>
      <c r="K2132" s="30"/>
      <c r="L2132" s="30"/>
      <c r="M2132" s="30"/>
      <c r="N2132" s="30"/>
      <c r="O2132" s="30"/>
      <c r="P2132" s="30"/>
      <c r="Q2132" s="30"/>
      <c r="R2132" s="30"/>
      <c r="S2132" s="30"/>
      <c r="T2132" s="30"/>
      <c r="U2132" s="30"/>
      <c r="V2132" s="30"/>
      <c r="W2132" s="30"/>
      <c r="X2132" s="30"/>
      <c r="Y2132" s="30"/>
      <c r="Z2132" s="30"/>
      <c r="AA2132" s="30"/>
    </row>
    <row r="2133">
      <c r="A2133" s="29">
        <v>1839240.0</v>
      </c>
      <c r="B2133" s="29">
        <v>1839722.0</v>
      </c>
      <c r="C2133" s="30" t="str">
        <f t="shared" si="1"/>
        <v>+</v>
      </c>
      <c r="D2133" s="29">
        <f t="shared" si="2"/>
        <v>710</v>
      </c>
      <c r="E2133" s="30"/>
      <c r="F2133" s="30"/>
      <c r="G2133" s="30"/>
      <c r="H2133" s="30"/>
      <c r="I2133" s="30"/>
      <c r="J2133" s="30"/>
      <c r="K2133" s="30"/>
      <c r="L2133" s="30"/>
      <c r="M2133" s="30"/>
      <c r="N2133" s="30"/>
      <c r="O2133" s="30"/>
      <c r="P2133" s="30"/>
      <c r="Q2133" s="30"/>
      <c r="R2133" s="30"/>
      <c r="S2133" s="30"/>
      <c r="T2133" s="30"/>
      <c r="U2133" s="30"/>
      <c r="V2133" s="30"/>
      <c r="W2133" s="30"/>
      <c r="X2133" s="30"/>
      <c r="Y2133" s="30"/>
      <c r="Z2133" s="30"/>
      <c r="AA2133" s="30"/>
    </row>
    <row r="2134">
      <c r="A2134" s="29">
        <v>1840094.0</v>
      </c>
      <c r="B2134" s="29">
        <v>1839777.0</v>
      </c>
      <c r="C2134" s="30" t="str">
        <f t="shared" si="1"/>
        <v>-</v>
      </c>
      <c r="D2134" s="29">
        <f t="shared" si="2"/>
        <v>711</v>
      </c>
      <c r="E2134" s="30"/>
      <c r="F2134" s="30"/>
      <c r="G2134" s="30"/>
      <c r="H2134" s="30"/>
      <c r="I2134" s="30"/>
      <c r="J2134" s="30"/>
      <c r="K2134" s="30"/>
      <c r="L2134" s="30"/>
      <c r="M2134" s="30"/>
      <c r="N2134" s="30"/>
      <c r="O2134" s="30"/>
      <c r="P2134" s="30"/>
      <c r="Q2134" s="30"/>
      <c r="R2134" s="30"/>
      <c r="S2134" s="30"/>
      <c r="T2134" s="30"/>
      <c r="U2134" s="30"/>
      <c r="V2134" s="30"/>
      <c r="W2134" s="30"/>
      <c r="X2134" s="30"/>
      <c r="Y2134" s="30"/>
      <c r="Z2134" s="30"/>
      <c r="AA2134" s="30"/>
    </row>
    <row r="2135">
      <c r="A2135" s="29">
        <v>1840786.0</v>
      </c>
      <c r="B2135" s="29">
        <v>1840094.0</v>
      </c>
      <c r="C2135" s="30" t="str">
        <f t="shared" si="1"/>
        <v>-</v>
      </c>
      <c r="D2135" s="29">
        <f t="shared" si="2"/>
        <v>711</v>
      </c>
      <c r="E2135" s="30"/>
      <c r="F2135" s="30"/>
      <c r="G2135" s="30"/>
      <c r="H2135" s="30"/>
      <c r="I2135" s="30"/>
      <c r="J2135" s="30"/>
      <c r="K2135" s="30"/>
      <c r="L2135" s="30"/>
      <c r="M2135" s="30"/>
      <c r="N2135" s="30"/>
      <c r="O2135" s="30"/>
      <c r="P2135" s="30"/>
      <c r="Q2135" s="30"/>
      <c r="R2135" s="30"/>
      <c r="S2135" s="30"/>
      <c r="T2135" s="30"/>
      <c r="U2135" s="30"/>
      <c r="V2135" s="30"/>
      <c r="W2135" s="30"/>
      <c r="X2135" s="30"/>
      <c r="Y2135" s="30"/>
      <c r="Z2135" s="30"/>
      <c r="AA2135" s="30"/>
    </row>
    <row r="2136">
      <c r="A2136" s="29">
        <v>1841109.0</v>
      </c>
      <c r="B2136" s="29">
        <v>1840810.0</v>
      </c>
      <c r="C2136" s="30" t="str">
        <f t="shared" si="1"/>
        <v>-</v>
      </c>
      <c r="D2136" s="29">
        <f t="shared" si="2"/>
        <v>711</v>
      </c>
      <c r="E2136" s="30"/>
      <c r="F2136" s="30"/>
      <c r="G2136" s="30"/>
      <c r="H2136" s="30"/>
      <c r="I2136" s="30"/>
      <c r="J2136" s="30"/>
      <c r="K2136" s="30"/>
      <c r="L2136" s="30"/>
      <c r="M2136" s="30"/>
      <c r="N2136" s="30"/>
      <c r="O2136" s="30"/>
      <c r="P2136" s="30"/>
      <c r="Q2136" s="30"/>
      <c r="R2136" s="30"/>
      <c r="S2136" s="30"/>
      <c r="T2136" s="30"/>
      <c r="U2136" s="30"/>
      <c r="V2136" s="30"/>
      <c r="W2136" s="30"/>
      <c r="X2136" s="30"/>
      <c r="Y2136" s="30"/>
      <c r="Z2136" s="30"/>
      <c r="AA2136" s="30"/>
    </row>
    <row r="2137">
      <c r="A2137" s="29">
        <v>1841573.0</v>
      </c>
      <c r="B2137" s="29">
        <v>1841106.0</v>
      </c>
      <c r="C2137" s="30" t="str">
        <f t="shared" si="1"/>
        <v>-</v>
      </c>
      <c r="D2137" s="29">
        <f t="shared" si="2"/>
        <v>711</v>
      </c>
      <c r="E2137" s="30"/>
      <c r="F2137" s="30"/>
      <c r="G2137" s="30"/>
      <c r="H2137" s="30"/>
      <c r="I2137" s="30"/>
      <c r="J2137" s="30"/>
      <c r="K2137" s="30"/>
      <c r="L2137" s="30"/>
      <c r="M2137" s="30"/>
      <c r="N2137" s="30"/>
      <c r="O2137" s="30"/>
      <c r="P2137" s="30"/>
      <c r="Q2137" s="30"/>
      <c r="R2137" s="30"/>
      <c r="S2137" s="30"/>
      <c r="T2137" s="30"/>
      <c r="U2137" s="30"/>
      <c r="V2137" s="30"/>
      <c r="W2137" s="30"/>
      <c r="X2137" s="30"/>
      <c r="Y2137" s="30"/>
      <c r="Z2137" s="30"/>
      <c r="AA2137" s="30"/>
    </row>
    <row r="2138">
      <c r="A2138" s="29">
        <v>1842005.0</v>
      </c>
      <c r="B2138" s="29">
        <v>1842940.0</v>
      </c>
      <c r="C2138" s="30" t="str">
        <f t="shared" si="1"/>
        <v>+</v>
      </c>
      <c r="D2138" s="29">
        <f t="shared" si="2"/>
        <v>712</v>
      </c>
      <c r="E2138" s="30"/>
      <c r="F2138" s="30"/>
      <c r="G2138" s="30"/>
      <c r="H2138" s="30"/>
      <c r="I2138" s="30"/>
      <c r="J2138" s="30"/>
      <c r="K2138" s="30"/>
      <c r="L2138" s="30"/>
      <c r="M2138" s="30"/>
      <c r="N2138" s="30"/>
      <c r="O2138" s="30"/>
      <c r="P2138" s="30"/>
      <c r="Q2138" s="30"/>
      <c r="R2138" s="30"/>
      <c r="S2138" s="30"/>
      <c r="T2138" s="30"/>
      <c r="U2138" s="30"/>
      <c r="V2138" s="30"/>
      <c r="W2138" s="30"/>
      <c r="X2138" s="30"/>
      <c r="Y2138" s="30"/>
      <c r="Z2138" s="30"/>
      <c r="AA2138" s="30"/>
    </row>
    <row r="2139">
      <c r="A2139" s="29">
        <v>1843836.0</v>
      </c>
      <c r="B2139" s="29">
        <v>1843093.0</v>
      </c>
      <c r="C2139" s="30" t="str">
        <f t="shared" si="1"/>
        <v>-</v>
      </c>
      <c r="D2139" s="29">
        <f t="shared" si="2"/>
        <v>713</v>
      </c>
      <c r="E2139" s="30"/>
      <c r="F2139" s="30"/>
      <c r="G2139" s="30"/>
      <c r="H2139" s="30"/>
      <c r="I2139" s="30"/>
      <c r="J2139" s="30"/>
      <c r="K2139" s="30"/>
      <c r="L2139" s="30"/>
      <c r="M2139" s="30"/>
      <c r="N2139" s="30"/>
      <c r="O2139" s="30"/>
      <c r="P2139" s="30"/>
      <c r="Q2139" s="30"/>
      <c r="R2139" s="30"/>
      <c r="S2139" s="30"/>
      <c r="T2139" s="30"/>
      <c r="U2139" s="30"/>
      <c r="V2139" s="30"/>
      <c r="W2139" s="30"/>
      <c r="X2139" s="30"/>
      <c r="Y2139" s="30"/>
      <c r="Z2139" s="30"/>
      <c r="AA2139" s="30"/>
    </row>
    <row r="2140">
      <c r="A2140" s="29">
        <v>1843964.0</v>
      </c>
      <c r="B2140" s="29">
        <v>1844497.0</v>
      </c>
      <c r="C2140" s="30" t="str">
        <f t="shared" si="1"/>
        <v>+</v>
      </c>
      <c r="D2140" s="29">
        <f t="shared" si="2"/>
        <v>714</v>
      </c>
      <c r="E2140" s="30"/>
      <c r="F2140" s="30"/>
      <c r="G2140" s="30"/>
      <c r="H2140" s="30"/>
      <c r="I2140" s="30"/>
      <c r="J2140" s="30"/>
      <c r="K2140" s="30"/>
      <c r="L2140" s="30"/>
      <c r="M2140" s="30"/>
      <c r="N2140" s="30"/>
      <c r="O2140" s="30"/>
      <c r="P2140" s="30"/>
      <c r="Q2140" s="30"/>
      <c r="R2140" s="30"/>
      <c r="S2140" s="30"/>
      <c r="T2140" s="30"/>
      <c r="U2140" s="30"/>
      <c r="V2140" s="30"/>
      <c r="W2140" s="30"/>
      <c r="X2140" s="30"/>
      <c r="Y2140" s="30"/>
      <c r="Z2140" s="30"/>
      <c r="AA2140" s="30"/>
    </row>
    <row r="2141">
      <c r="A2141" s="29">
        <v>1845769.0</v>
      </c>
      <c r="B2141" s="29">
        <v>1844534.0</v>
      </c>
      <c r="C2141" s="30" t="str">
        <f t="shared" si="1"/>
        <v>-</v>
      </c>
      <c r="D2141" s="29">
        <f t="shared" si="2"/>
        <v>715</v>
      </c>
      <c r="E2141" s="30"/>
      <c r="F2141" s="30"/>
      <c r="G2141" s="30"/>
      <c r="H2141" s="30"/>
      <c r="I2141" s="30"/>
      <c r="J2141" s="30"/>
      <c r="K2141" s="30"/>
      <c r="L2141" s="30"/>
      <c r="M2141" s="30"/>
      <c r="N2141" s="30"/>
      <c r="O2141" s="30"/>
      <c r="P2141" s="30"/>
      <c r="Q2141" s="30"/>
      <c r="R2141" s="30"/>
      <c r="S2141" s="30"/>
      <c r="T2141" s="30"/>
      <c r="U2141" s="30"/>
      <c r="V2141" s="30"/>
      <c r="W2141" s="30"/>
      <c r="X2141" s="30"/>
      <c r="Y2141" s="30"/>
      <c r="Z2141" s="30"/>
      <c r="AA2141" s="30"/>
    </row>
    <row r="2142">
      <c r="A2142" s="29">
        <v>1846872.0</v>
      </c>
      <c r="B2142" s="29">
        <v>1845766.0</v>
      </c>
      <c r="C2142" s="30" t="str">
        <f t="shared" si="1"/>
        <v>-</v>
      </c>
      <c r="D2142" s="29">
        <f t="shared" si="2"/>
        <v>715</v>
      </c>
      <c r="E2142" s="30"/>
      <c r="F2142" s="30"/>
      <c r="G2142" s="30"/>
      <c r="H2142" s="30"/>
      <c r="I2142" s="30"/>
      <c r="J2142" s="30"/>
      <c r="K2142" s="30"/>
      <c r="L2142" s="30"/>
      <c r="M2142" s="30"/>
      <c r="N2142" s="30"/>
      <c r="O2142" s="30"/>
      <c r="P2142" s="30"/>
      <c r="Q2142" s="30"/>
      <c r="R2142" s="30"/>
      <c r="S2142" s="30"/>
      <c r="T2142" s="30"/>
      <c r="U2142" s="30"/>
      <c r="V2142" s="30"/>
      <c r="W2142" s="30"/>
      <c r="X2142" s="30"/>
      <c r="Y2142" s="30"/>
      <c r="Z2142" s="30"/>
      <c r="AA2142" s="30"/>
    </row>
    <row r="2143">
      <c r="A2143" s="29">
        <v>1846973.0</v>
      </c>
      <c r="B2143" s="29">
        <v>1847239.0</v>
      </c>
      <c r="C2143" s="30" t="str">
        <f t="shared" si="1"/>
        <v>+</v>
      </c>
      <c r="D2143" s="29">
        <f t="shared" si="2"/>
        <v>716</v>
      </c>
      <c r="E2143" s="30"/>
      <c r="F2143" s="30"/>
      <c r="G2143" s="30"/>
      <c r="H2143" s="30"/>
      <c r="I2143" s="30"/>
      <c r="J2143" s="30"/>
      <c r="K2143" s="30"/>
      <c r="L2143" s="30"/>
      <c r="M2143" s="30"/>
      <c r="N2143" s="30"/>
      <c r="O2143" s="30"/>
      <c r="P2143" s="30"/>
      <c r="Q2143" s="30"/>
      <c r="R2143" s="30"/>
      <c r="S2143" s="30"/>
      <c r="T2143" s="30"/>
      <c r="U2143" s="30"/>
      <c r="V2143" s="30"/>
      <c r="W2143" s="30"/>
      <c r="X2143" s="30"/>
      <c r="Y2143" s="30"/>
      <c r="Z2143" s="30"/>
      <c r="AA2143" s="30"/>
    </row>
    <row r="2144">
      <c r="A2144" s="29">
        <v>1847272.0</v>
      </c>
      <c r="B2144" s="29">
        <v>1848639.0</v>
      </c>
      <c r="C2144" s="30" t="str">
        <f t="shared" si="1"/>
        <v>+</v>
      </c>
      <c r="D2144" s="29">
        <f t="shared" si="2"/>
        <v>716</v>
      </c>
      <c r="E2144" s="30"/>
      <c r="F2144" s="30"/>
      <c r="G2144" s="30"/>
      <c r="H2144" s="30"/>
      <c r="I2144" s="30"/>
      <c r="J2144" s="30"/>
      <c r="K2144" s="30"/>
      <c r="L2144" s="30"/>
      <c r="M2144" s="30"/>
      <c r="N2144" s="30"/>
      <c r="O2144" s="30"/>
      <c r="P2144" s="30"/>
      <c r="Q2144" s="30"/>
      <c r="R2144" s="30"/>
      <c r="S2144" s="30"/>
      <c r="T2144" s="30"/>
      <c r="U2144" s="30"/>
      <c r="V2144" s="30"/>
      <c r="W2144" s="30"/>
      <c r="X2144" s="30"/>
      <c r="Y2144" s="30"/>
      <c r="Z2144" s="30"/>
      <c r="AA2144" s="30"/>
    </row>
    <row r="2145">
      <c r="A2145" s="29">
        <v>1848727.0</v>
      </c>
      <c r="B2145" s="29">
        <v>1850118.0</v>
      </c>
      <c r="C2145" s="30" t="str">
        <f t="shared" si="1"/>
        <v>+</v>
      </c>
      <c r="D2145" s="29">
        <f t="shared" si="2"/>
        <v>716</v>
      </c>
      <c r="E2145" s="30"/>
      <c r="F2145" s="30"/>
      <c r="G2145" s="30"/>
      <c r="H2145" s="30"/>
      <c r="I2145" s="30"/>
      <c r="J2145" s="30"/>
      <c r="K2145" s="30"/>
      <c r="L2145" s="30"/>
      <c r="M2145" s="30"/>
      <c r="N2145" s="30"/>
      <c r="O2145" s="30"/>
      <c r="P2145" s="30"/>
      <c r="Q2145" s="30"/>
      <c r="R2145" s="30"/>
      <c r="S2145" s="30"/>
      <c r="T2145" s="30"/>
      <c r="U2145" s="30"/>
      <c r="V2145" s="30"/>
      <c r="W2145" s="30"/>
      <c r="X2145" s="30"/>
      <c r="Y2145" s="30"/>
      <c r="Z2145" s="30"/>
      <c r="AA2145" s="30"/>
    </row>
    <row r="2146">
      <c r="A2146" s="29">
        <v>1850150.0</v>
      </c>
      <c r="B2146" s="29">
        <v>1851559.0</v>
      </c>
      <c r="C2146" s="30" t="str">
        <f t="shared" si="1"/>
        <v>+</v>
      </c>
      <c r="D2146" s="29">
        <f t="shared" si="2"/>
        <v>716</v>
      </c>
      <c r="E2146" s="30"/>
      <c r="F2146" s="30"/>
      <c r="G2146" s="30"/>
      <c r="H2146" s="30"/>
      <c r="I2146" s="30"/>
      <c r="J2146" s="30"/>
      <c r="K2146" s="30"/>
      <c r="L2146" s="30"/>
      <c r="M2146" s="30"/>
      <c r="N2146" s="30"/>
      <c r="O2146" s="30"/>
      <c r="P2146" s="30"/>
      <c r="Q2146" s="30"/>
      <c r="R2146" s="30"/>
      <c r="S2146" s="30"/>
      <c r="T2146" s="30"/>
      <c r="U2146" s="30"/>
      <c r="V2146" s="30"/>
      <c r="W2146" s="30"/>
      <c r="X2146" s="30"/>
      <c r="Y2146" s="30"/>
      <c r="Z2146" s="30"/>
      <c r="AA2146" s="30"/>
    </row>
    <row r="2147">
      <c r="A2147" s="29">
        <v>1851717.0</v>
      </c>
      <c r="B2147" s="29">
        <v>1853177.0</v>
      </c>
      <c r="C2147" s="30" t="str">
        <f t="shared" si="1"/>
        <v>+</v>
      </c>
      <c r="D2147" s="29">
        <f t="shared" si="2"/>
        <v>716</v>
      </c>
      <c r="E2147" s="30"/>
      <c r="F2147" s="30"/>
      <c r="G2147" s="30"/>
      <c r="H2147" s="30"/>
      <c r="I2147" s="30"/>
      <c r="J2147" s="30"/>
      <c r="K2147" s="30"/>
      <c r="L2147" s="30"/>
      <c r="M2147" s="30"/>
      <c r="N2147" s="30"/>
      <c r="O2147" s="30"/>
      <c r="P2147" s="30"/>
      <c r="Q2147" s="30"/>
      <c r="R2147" s="30"/>
      <c r="S2147" s="30"/>
      <c r="T2147" s="30"/>
      <c r="U2147" s="30"/>
      <c r="V2147" s="30"/>
      <c r="W2147" s="30"/>
      <c r="X2147" s="30"/>
      <c r="Y2147" s="30"/>
      <c r="Z2147" s="30"/>
      <c r="AA2147" s="30"/>
    </row>
    <row r="2148">
      <c r="A2148" s="29">
        <v>1853209.0</v>
      </c>
      <c r="B2148" s="29">
        <v>1853910.0</v>
      </c>
      <c r="C2148" s="30" t="str">
        <f t="shared" si="1"/>
        <v>+</v>
      </c>
      <c r="D2148" s="29">
        <f t="shared" si="2"/>
        <v>716</v>
      </c>
      <c r="E2148" s="30"/>
      <c r="F2148" s="30"/>
      <c r="G2148" s="30"/>
      <c r="H2148" s="30"/>
      <c r="I2148" s="30"/>
      <c r="J2148" s="30"/>
      <c r="K2148" s="30"/>
      <c r="L2148" s="30"/>
      <c r="M2148" s="30"/>
      <c r="N2148" s="30"/>
      <c r="O2148" s="30"/>
      <c r="P2148" s="30"/>
      <c r="Q2148" s="30"/>
      <c r="R2148" s="30"/>
      <c r="S2148" s="30"/>
      <c r="T2148" s="30"/>
      <c r="U2148" s="30"/>
      <c r="V2148" s="30"/>
      <c r="W2148" s="30"/>
      <c r="X2148" s="30"/>
      <c r="Y2148" s="30"/>
      <c r="Z2148" s="30"/>
      <c r="AA2148" s="30"/>
    </row>
    <row r="2149">
      <c r="A2149" s="29">
        <v>1854112.0</v>
      </c>
      <c r="B2149" s="29">
        <v>1855464.0</v>
      </c>
      <c r="C2149" s="30" t="str">
        <f t="shared" si="1"/>
        <v>+</v>
      </c>
      <c r="D2149" s="29">
        <f t="shared" si="2"/>
        <v>716</v>
      </c>
      <c r="E2149" s="30"/>
      <c r="F2149" s="30"/>
      <c r="G2149" s="30"/>
      <c r="H2149" s="30"/>
      <c r="I2149" s="30"/>
      <c r="J2149" s="30"/>
      <c r="K2149" s="30"/>
      <c r="L2149" s="30"/>
      <c r="M2149" s="30"/>
      <c r="N2149" s="30"/>
      <c r="O2149" s="30"/>
      <c r="P2149" s="30"/>
      <c r="Q2149" s="30"/>
      <c r="R2149" s="30"/>
      <c r="S2149" s="30"/>
      <c r="T2149" s="30"/>
      <c r="U2149" s="30"/>
      <c r="V2149" s="30"/>
      <c r="W2149" s="30"/>
      <c r="X2149" s="30"/>
      <c r="Y2149" s="30"/>
      <c r="Z2149" s="30"/>
      <c r="AA2149" s="30"/>
    </row>
    <row r="2150">
      <c r="A2150" s="29">
        <v>1855638.0</v>
      </c>
      <c r="B2150" s="29">
        <v>1856780.0</v>
      </c>
      <c r="C2150" s="30" t="str">
        <f t="shared" si="1"/>
        <v>+</v>
      </c>
      <c r="D2150" s="29">
        <f t="shared" si="2"/>
        <v>716</v>
      </c>
      <c r="E2150" s="30"/>
      <c r="F2150" s="30"/>
      <c r="G2150" s="30"/>
      <c r="H2150" s="30"/>
      <c r="I2150" s="30"/>
      <c r="J2150" s="30"/>
      <c r="K2150" s="30"/>
      <c r="L2150" s="30"/>
      <c r="M2150" s="30"/>
      <c r="N2150" s="30"/>
      <c r="O2150" s="30"/>
      <c r="P2150" s="30"/>
      <c r="Q2150" s="30"/>
      <c r="R2150" s="30"/>
      <c r="S2150" s="30"/>
      <c r="T2150" s="30"/>
      <c r="U2150" s="30"/>
      <c r="V2150" s="30"/>
      <c r="W2150" s="30"/>
      <c r="X2150" s="30"/>
      <c r="Y2150" s="30"/>
      <c r="Z2150" s="30"/>
      <c r="AA2150" s="30"/>
    </row>
    <row r="2151">
      <c r="A2151" s="29">
        <v>1857763.0</v>
      </c>
      <c r="B2151" s="29">
        <v>1857569.0</v>
      </c>
      <c r="C2151" s="30" t="str">
        <f t="shared" si="1"/>
        <v>-</v>
      </c>
      <c r="D2151" s="29">
        <f t="shared" si="2"/>
        <v>717</v>
      </c>
      <c r="E2151" s="30"/>
      <c r="F2151" s="30"/>
      <c r="G2151" s="30"/>
      <c r="H2151" s="30"/>
      <c r="I2151" s="30"/>
      <c r="J2151" s="30"/>
      <c r="K2151" s="30"/>
      <c r="L2151" s="30"/>
      <c r="M2151" s="30"/>
      <c r="N2151" s="30"/>
      <c r="O2151" s="30"/>
      <c r="P2151" s="30"/>
      <c r="Q2151" s="30"/>
      <c r="R2151" s="30"/>
      <c r="S2151" s="30"/>
      <c r="T2151" s="30"/>
      <c r="U2151" s="30"/>
      <c r="V2151" s="30"/>
      <c r="W2151" s="30"/>
      <c r="X2151" s="30"/>
      <c r="Y2151" s="30"/>
      <c r="Z2151" s="30"/>
      <c r="AA2151" s="30"/>
    </row>
    <row r="2152">
      <c r="A2152" s="29">
        <v>1859232.0</v>
      </c>
      <c r="B2152" s="29">
        <v>1858096.0</v>
      </c>
      <c r="C2152" s="30" t="str">
        <f t="shared" si="1"/>
        <v>-</v>
      </c>
      <c r="D2152" s="29">
        <f t="shared" si="2"/>
        <v>717</v>
      </c>
      <c r="E2152" s="30"/>
      <c r="F2152" s="30"/>
      <c r="G2152" s="30"/>
      <c r="H2152" s="30"/>
      <c r="I2152" s="30"/>
      <c r="J2152" s="30"/>
      <c r="K2152" s="30"/>
      <c r="L2152" s="30"/>
      <c r="M2152" s="30"/>
      <c r="N2152" s="30"/>
      <c r="O2152" s="30"/>
      <c r="P2152" s="30"/>
      <c r="Q2152" s="30"/>
      <c r="R2152" s="30"/>
      <c r="S2152" s="30"/>
      <c r="T2152" s="30"/>
      <c r="U2152" s="30"/>
      <c r="V2152" s="30"/>
      <c r="W2152" s="30"/>
      <c r="X2152" s="30"/>
      <c r="Y2152" s="30"/>
      <c r="Z2152" s="30"/>
      <c r="AA2152" s="30"/>
    </row>
    <row r="2153">
      <c r="A2153" s="29">
        <v>1859366.0</v>
      </c>
      <c r="B2153" s="29">
        <v>1859611.0</v>
      </c>
      <c r="C2153" s="30" t="str">
        <f t="shared" si="1"/>
        <v>+</v>
      </c>
      <c r="D2153" s="29">
        <f t="shared" si="2"/>
        <v>718</v>
      </c>
      <c r="E2153" s="30"/>
      <c r="F2153" s="30"/>
      <c r="G2153" s="30"/>
      <c r="H2153" s="30"/>
      <c r="I2153" s="30"/>
      <c r="J2153" s="30"/>
      <c r="K2153" s="30"/>
      <c r="L2153" s="30"/>
      <c r="M2153" s="30"/>
      <c r="N2153" s="30"/>
      <c r="O2153" s="30"/>
      <c r="P2153" s="30"/>
      <c r="Q2153" s="30"/>
      <c r="R2153" s="30"/>
      <c r="S2153" s="30"/>
      <c r="T2153" s="30"/>
      <c r="U2153" s="30"/>
      <c r="V2153" s="30"/>
      <c r="W2153" s="30"/>
      <c r="X2153" s="30"/>
      <c r="Y2153" s="30"/>
      <c r="Z2153" s="30"/>
      <c r="AA2153" s="30"/>
    </row>
    <row r="2154">
      <c r="A2154" s="29">
        <v>1860171.0</v>
      </c>
      <c r="B2154" s="29">
        <v>1859818.0</v>
      </c>
      <c r="C2154" s="30" t="str">
        <f t="shared" si="1"/>
        <v>-</v>
      </c>
      <c r="D2154" s="29">
        <f t="shared" si="2"/>
        <v>719</v>
      </c>
      <c r="E2154" s="30"/>
      <c r="F2154" s="30"/>
      <c r="G2154" s="30"/>
      <c r="H2154" s="30"/>
      <c r="I2154" s="30"/>
      <c r="J2154" s="30"/>
      <c r="K2154" s="30"/>
      <c r="L2154" s="30"/>
      <c r="M2154" s="30"/>
      <c r="N2154" s="30"/>
      <c r="O2154" s="30"/>
      <c r="P2154" s="30"/>
      <c r="Q2154" s="30"/>
      <c r="R2154" s="30"/>
      <c r="S2154" s="30"/>
      <c r="T2154" s="30"/>
      <c r="U2154" s="30"/>
      <c r="V2154" s="30"/>
      <c r="W2154" s="30"/>
      <c r="X2154" s="30"/>
      <c r="Y2154" s="30"/>
      <c r="Z2154" s="30"/>
      <c r="AA2154" s="30"/>
    </row>
    <row r="2155">
      <c r="A2155" s="29">
        <v>1862234.0</v>
      </c>
      <c r="B2155" s="29">
        <v>1860168.0</v>
      </c>
      <c r="C2155" s="30" t="str">
        <f t="shared" si="1"/>
        <v>-</v>
      </c>
      <c r="D2155" s="29">
        <f t="shared" si="2"/>
        <v>719</v>
      </c>
      <c r="E2155" s="30"/>
      <c r="F2155" s="30"/>
      <c r="G2155" s="30"/>
      <c r="H2155" s="30"/>
      <c r="I2155" s="30"/>
      <c r="J2155" s="30"/>
      <c r="K2155" s="30"/>
      <c r="L2155" s="30"/>
      <c r="M2155" s="30"/>
      <c r="N2155" s="30"/>
      <c r="O2155" s="30"/>
      <c r="P2155" s="30"/>
      <c r="Q2155" s="30"/>
      <c r="R2155" s="30"/>
      <c r="S2155" s="30"/>
      <c r="T2155" s="30"/>
      <c r="U2155" s="30"/>
      <c r="V2155" s="30"/>
      <c r="W2155" s="30"/>
      <c r="X2155" s="30"/>
      <c r="Y2155" s="30"/>
      <c r="Z2155" s="30"/>
      <c r="AA2155" s="30"/>
    </row>
    <row r="2156">
      <c r="A2156" s="29">
        <v>1863665.0</v>
      </c>
      <c r="B2156" s="29">
        <v>1862268.0</v>
      </c>
      <c r="C2156" s="30" t="str">
        <f t="shared" si="1"/>
        <v>-</v>
      </c>
      <c r="D2156" s="29">
        <f t="shared" si="2"/>
        <v>719</v>
      </c>
      <c r="E2156" s="30"/>
      <c r="F2156" s="30"/>
      <c r="G2156" s="30"/>
      <c r="H2156" s="30"/>
      <c r="I2156" s="30"/>
      <c r="J2156" s="30"/>
      <c r="K2156" s="30"/>
      <c r="L2156" s="30"/>
      <c r="M2156" s="30"/>
      <c r="N2156" s="30"/>
      <c r="O2156" s="30"/>
      <c r="P2156" s="30"/>
      <c r="Q2156" s="30"/>
      <c r="R2156" s="30"/>
      <c r="S2156" s="30"/>
      <c r="T2156" s="30"/>
      <c r="U2156" s="30"/>
      <c r="V2156" s="30"/>
      <c r="W2156" s="30"/>
      <c r="X2156" s="30"/>
      <c r="Y2156" s="30"/>
      <c r="Z2156" s="30"/>
      <c r="AA2156" s="30"/>
    </row>
    <row r="2157">
      <c r="A2157" s="29">
        <v>1866133.0</v>
      </c>
      <c r="B2157" s="29">
        <v>1863713.0</v>
      </c>
      <c r="C2157" s="30" t="str">
        <f t="shared" si="1"/>
        <v>-</v>
      </c>
      <c r="D2157" s="29">
        <f t="shared" si="2"/>
        <v>719</v>
      </c>
      <c r="E2157" s="30"/>
      <c r="F2157" s="30"/>
      <c r="G2157" s="30"/>
      <c r="H2157" s="30"/>
      <c r="I2157" s="30"/>
      <c r="J2157" s="30"/>
      <c r="K2157" s="30"/>
      <c r="L2157" s="30"/>
      <c r="M2157" s="30"/>
      <c r="N2157" s="30"/>
      <c r="O2157" s="30"/>
      <c r="P2157" s="30"/>
      <c r="Q2157" s="30"/>
      <c r="R2157" s="30"/>
      <c r="S2157" s="30"/>
      <c r="T2157" s="30"/>
      <c r="U2157" s="30"/>
      <c r="V2157" s="30"/>
      <c r="W2157" s="30"/>
      <c r="X2157" s="30"/>
      <c r="Y2157" s="30"/>
      <c r="Z2157" s="30"/>
      <c r="AA2157" s="30"/>
    </row>
    <row r="2158">
      <c r="A2158" s="29">
        <v>1868681.0</v>
      </c>
      <c r="B2158" s="29">
        <v>1866168.0</v>
      </c>
      <c r="C2158" s="30" t="str">
        <f t="shared" si="1"/>
        <v>-</v>
      </c>
      <c r="D2158" s="29">
        <f t="shared" si="2"/>
        <v>719</v>
      </c>
      <c r="E2158" s="30"/>
      <c r="F2158" s="30"/>
      <c r="G2158" s="30"/>
      <c r="H2158" s="30"/>
      <c r="I2158" s="30"/>
      <c r="J2158" s="30"/>
      <c r="K2158" s="30"/>
      <c r="L2158" s="30"/>
      <c r="M2158" s="30"/>
      <c r="N2158" s="30"/>
      <c r="O2158" s="30"/>
      <c r="P2158" s="30"/>
      <c r="Q2158" s="30"/>
      <c r="R2158" s="30"/>
      <c r="S2158" s="30"/>
      <c r="T2158" s="30"/>
      <c r="U2158" s="30"/>
      <c r="V2158" s="30"/>
      <c r="W2158" s="30"/>
      <c r="X2158" s="30"/>
      <c r="Y2158" s="30"/>
      <c r="Z2158" s="30"/>
      <c r="AA2158" s="30"/>
    </row>
    <row r="2159">
      <c r="A2159" s="29">
        <v>1868948.0</v>
      </c>
      <c r="B2159" s="29">
        <v>1869241.0</v>
      </c>
      <c r="C2159" s="30" t="str">
        <f t="shared" si="1"/>
        <v>+</v>
      </c>
      <c r="D2159" s="29">
        <f t="shared" si="2"/>
        <v>720</v>
      </c>
      <c r="E2159" s="30"/>
      <c r="F2159" s="30"/>
      <c r="G2159" s="30"/>
      <c r="H2159" s="30"/>
      <c r="I2159" s="30"/>
      <c r="J2159" s="30"/>
      <c r="K2159" s="30"/>
      <c r="L2159" s="30"/>
      <c r="M2159" s="30"/>
      <c r="N2159" s="30"/>
      <c r="O2159" s="30"/>
      <c r="P2159" s="30"/>
      <c r="Q2159" s="30"/>
      <c r="R2159" s="30"/>
      <c r="S2159" s="30"/>
      <c r="T2159" s="30"/>
      <c r="U2159" s="30"/>
      <c r="V2159" s="30"/>
      <c r="W2159" s="30"/>
      <c r="X2159" s="30"/>
      <c r="Y2159" s="30"/>
      <c r="Z2159" s="30"/>
      <c r="AA2159" s="30"/>
    </row>
    <row r="2160">
      <c r="A2160" s="29">
        <v>1869299.0</v>
      </c>
      <c r="B2160" s="29">
        <v>1870441.0</v>
      </c>
      <c r="C2160" s="30" t="str">
        <f t="shared" si="1"/>
        <v>+</v>
      </c>
      <c r="D2160" s="29">
        <f t="shared" si="2"/>
        <v>720</v>
      </c>
      <c r="E2160" s="30"/>
      <c r="F2160" s="30"/>
      <c r="G2160" s="30"/>
      <c r="H2160" s="30"/>
      <c r="I2160" s="30"/>
      <c r="J2160" s="30"/>
      <c r="K2160" s="30"/>
      <c r="L2160" s="30"/>
      <c r="M2160" s="30"/>
      <c r="N2160" s="30"/>
      <c r="O2160" s="30"/>
      <c r="P2160" s="30"/>
      <c r="Q2160" s="30"/>
      <c r="R2160" s="30"/>
      <c r="S2160" s="30"/>
      <c r="T2160" s="30"/>
      <c r="U2160" s="30"/>
      <c r="V2160" s="30"/>
      <c r="W2160" s="30"/>
      <c r="X2160" s="30"/>
      <c r="Y2160" s="30"/>
      <c r="Z2160" s="30"/>
      <c r="AA2160" s="30"/>
    </row>
    <row r="2161">
      <c r="A2161" s="29">
        <v>1871397.0</v>
      </c>
      <c r="B2161" s="29">
        <v>1871113.0</v>
      </c>
      <c r="C2161" s="30" t="str">
        <f t="shared" si="1"/>
        <v>-</v>
      </c>
      <c r="D2161" s="29">
        <f t="shared" si="2"/>
        <v>721</v>
      </c>
      <c r="E2161" s="30"/>
      <c r="F2161" s="30"/>
      <c r="G2161" s="30"/>
      <c r="H2161" s="30"/>
      <c r="I2161" s="30"/>
      <c r="J2161" s="30"/>
      <c r="K2161" s="30"/>
      <c r="L2161" s="30"/>
      <c r="M2161" s="30"/>
      <c r="N2161" s="30"/>
      <c r="O2161" s="30"/>
      <c r="P2161" s="30"/>
      <c r="Q2161" s="30"/>
      <c r="R2161" s="30"/>
      <c r="S2161" s="30"/>
      <c r="T2161" s="30"/>
      <c r="U2161" s="30"/>
      <c r="V2161" s="30"/>
      <c r="W2161" s="30"/>
      <c r="X2161" s="30"/>
      <c r="Y2161" s="30"/>
      <c r="Z2161" s="30"/>
      <c r="AA2161" s="30"/>
    </row>
    <row r="2162">
      <c r="A2162" s="29">
        <v>1872112.0</v>
      </c>
      <c r="B2162" s="29">
        <v>1871432.0</v>
      </c>
      <c r="C2162" s="30" t="str">
        <f t="shared" si="1"/>
        <v>-</v>
      </c>
      <c r="D2162" s="29">
        <f t="shared" si="2"/>
        <v>721</v>
      </c>
      <c r="E2162" s="30"/>
      <c r="F2162" s="30"/>
      <c r="G2162" s="30"/>
      <c r="H2162" s="30"/>
      <c r="I2162" s="30"/>
      <c r="J2162" s="30"/>
      <c r="K2162" s="30"/>
      <c r="L2162" s="30"/>
      <c r="M2162" s="30"/>
      <c r="N2162" s="30"/>
      <c r="O2162" s="30"/>
      <c r="P2162" s="30"/>
      <c r="Q2162" s="30"/>
      <c r="R2162" s="30"/>
      <c r="S2162" s="30"/>
      <c r="T2162" s="30"/>
      <c r="U2162" s="30"/>
      <c r="V2162" s="30"/>
      <c r="W2162" s="30"/>
      <c r="X2162" s="30"/>
      <c r="Y2162" s="30"/>
      <c r="Z2162" s="30"/>
      <c r="AA2162" s="30"/>
    </row>
    <row r="2163">
      <c r="A2163" s="29">
        <v>1872395.0</v>
      </c>
      <c r="B2163" s="29">
        <v>1872682.0</v>
      </c>
      <c r="C2163" s="30" t="str">
        <f t="shared" si="1"/>
        <v>+</v>
      </c>
      <c r="D2163" s="29">
        <f t="shared" si="2"/>
        <v>722</v>
      </c>
      <c r="E2163" s="30"/>
      <c r="F2163" s="30"/>
      <c r="G2163" s="30"/>
      <c r="H2163" s="30"/>
      <c r="I2163" s="30"/>
      <c r="J2163" s="30"/>
      <c r="K2163" s="30"/>
      <c r="L2163" s="30"/>
      <c r="M2163" s="30"/>
      <c r="N2163" s="30"/>
      <c r="O2163" s="30"/>
      <c r="P2163" s="30"/>
      <c r="Q2163" s="30"/>
      <c r="R2163" s="30"/>
      <c r="S2163" s="30"/>
      <c r="T2163" s="30"/>
      <c r="U2163" s="30"/>
      <c r="V2163" s="30"/>
      <c r="W2163" s="30"/>
      <c r="X2163" s="30"/>
      <c r="Y2163" s="30"/>
      <c r="Z2163" s="30"/>
      <c r="AA2163" s="30"/>
    </row>
    <row r="2164">
      <c r="A2164" s="29">
        <v>1872718.0</v>
      </c>
      <c r="B2164" s="29">
        <v>1873038.0</v>
      </c>
      <c r="C2164" s="30" t="str">
        <f t="shared" si="1"/>
        <v>+</v>
      </c>
      <c r="D2164" s="29">
        <f t="shared" si="2"/>
        <v>722</v>
      </c>
      <c r="E2164" s="30"/>
      <c r="F2164" s="30"/>
      <c r="G2164" s="30"/>
      <c r="H2164" s="30"/>
      <c r="I2164" s="30"/>
      <c r="J2164" s="30"/>
      <c r="K2164" s="30"/>
      <c r="L2164" s="30"/>
      <c r="M2164" s="30"/>
      <c r="N2164" s="30"/>
      <c r="O2164" s="30"/>
      <c r="P2164" s="30"/>
      <c r="Q2164" s="30"/>
      <c r="R2164" s="30"/>
      <c r="S2164" s="30"/>
      <c r="T2164" s="30"/>
      <c r="U2164" s="30"/>
      <c r="V2164" s="30"/>
      <c r="W2164" s="30"/>
      <c r="X2164" s="30"/>
      <c r="Y2164" s="30"/>
      <c r="Z2164" s="30"/>
      <c r="AA2164" s="30"/>
    </row>
    <row r="2165">
      <c r="A2165" s="29">
        <v>1873025.0</v>
      </c>
      <c r="B2165" s="29">
        <v>1873777.0</v>
      </c>
      <c r="C2165" s="30" t="str">
        <f t="shared" si="1"/>
        <v>+</v>
      </c>
      <c r="D2165" s="29">
        <f t="shared" si="2"/>
        <v>722</v>
      </c>
      <c r="E2165" s="30"/>
      <c r="F2165" s="30"/>
      <c r="G2165" s="30"/>
      <c r="H2165" s="30"/>
      <c r="I2165" s="30"/>
      <c r="J2165" s="30"/>
      <c r="K2165" s="30"/>
      <c r="L2165" s="30"/>
      <c r="M2165" s="30"/>
      <c r="N2165" s="30"/>
      <c r="O2165" s="30"/>
      <c r="P2165" s="30"/>
      <c r="Q2165" s="30"/>
      <c r="R2165" s="30"/>
      <c r="S2165" s="30"/>
      <c r="T2165" s="30"/>
      <c r="U2165" s="30"/>
      <c r="V2165" s="30"/>
      <c r="W2165" s="30"/>
      <c r="X2165" s="30"/>
      <c r="Y2165" s="30"/>
      <c r="Z2165" s="30"/>
      <c r="AA2165" s="30"/>
    </row>
    <row r="2166">
      <c r="A2166" s="29">
        <v>1873985.0</v>
      </c>
      <c r="B2166" s="29">
        <v>1874167.0</v>
      </c>
      <c r="C2166" s="30" t="str">
        <f t="shared" si="1"/>
        <v>+</v>
      </c>
      <c r="D2166" s="29">
        <f t="shared" si="2"/>
        <v>722</v>
      </c>
      <c r="E2166" s="30"/>
      <c r="F2166" s="30"/>
      <c r="G2166" s="30"/>
      <c r="H2166" s="30"/>
      <c r="I2166" s="30"/>
      <c r="J2166" s="30"/>
      <c r="K2166" s="30"/>
      <c r="L2166" s="30"/>
      <c r="M2166" s="30"/>
      <c r="N2166" s="30"/>
      <c r="O2166" s="30"/>
      <c r="P2166" s="30"/>
      <c r="Q2166" s="30"/>
      <c r="R2166" s="30"/>
      <c r="S2166" s="30"/>
      <c r="T2166" s="30"/>
      <c r="U2166" s="30"/>
      <c r="V2166" s="30"/>
      <c r="W2166" s="30"/>
      <c r="X2166" s="30"/>
      <c r="Y2166" s="30"/>
      <c r="Z2166" s="30"/>
      <c r="AA2166" s="30"/>
    </row>
    <row r="2167">
      <c r="A2167" s="29">
        <v>1874157.0</v>
      </c>
      <c r="B2167" s="29">
        <v>1875713.0</v>
      </c>
      <c r="C2167" s="30" t="str">
        <f t="shared" si="1"/>
        <v>+</v>
      </c>
      <c r="D2167" s="29">
        <f t="shared" si="2"/>
        <v>722</v>
      </c>
      <c r="E2167" s="30"/>
      <c r="F2167" s="30"/>
      <c r="G2167" s="30"/>
      <c r="H2167" s="30"/>
      <c r="I2167" s="30"/>
      <c r="J2167" s="30"/>
      <c r="K2167" s="30"/>
      <c r="L2167" s="30"/>
      <c r="M2167" s="30"/>
      <c r="N2167" s="30"/>
      <c r="O2167" s="30"/>
      <c r="P2167" s="30"/>
      <c r="Q2167" s="30"/>
      <c r="R2167" s="30"/>
      <c r="S2167" s="30"/>
      <c r="T2167" s="30"/>
      <c r="U2167" s="30"/>
      <c r="V2167" s="30"/>
      <c r="W2167" s="30"/>
      <c r="X2167" s="30"/>
      <c r="Y2167" s="30"/>
      <c r="Z2167" s="30"/>
      <c r="AA2167" s="30"/>
    </row>
    <row r="2168">
      <c r="A2168" s="29">
        <v>1876265.0</v>
      </c>
      <c r="B2168" s="29">
        <v>1879897.0</v>
      </c>
      <c r="C2168" s="30" t="str">
        <f t="shared" si="1"/>
        <v>+</v>
      </c>
      <c r="D2168" s="29">
        <f t="shared" si="2"/>
        <v>722</v>
      </c>
      <c r="E2168" s="30"/>
      <c r="F2168" s="30"/>
      <c r="G2168" s="30"/>
      <c r="H2168" s="30"/>
      <c r="I2168" s="30"/>
      <c r="J2168" s="30"/>
      <c r="K2168" s="30"/>
      <c r="L2168" s="30"/>
      <c r="M2168" s="30"/>
      <c r="N2168" s="30"/>
      <c r="O2168" s="30"/>
      <c r="P2168" s="30"/>
      <c r="Q2168" s="30"/>
      <c r="R2168" s="30"/>
      <c r="S2168" s="30"/>
      <c r="T2168" s="30"/>
      <c r="U2168" s="30"/>
      <c r="V2168" s="30"/>
      <c r="W2168" s="30"/>
      <c r="X2168" s="30"/>
      <c r="Y2168" s="30"/>
      <c r="Z2168" s="30"/>
      <c r="AA2168" s="30"/>
    </row>
    <row r="2169">
      <c r="A2169" s="29">
        <v>1880384.0</v>
      </c>
      <c r="B2169" s="29">
        <v>1879947.0</v>
      </c>
      <c r="C2169" s="30" t="str">
        <f t="shared" si="1"/>
        <v>-</v>
      </c>
      <c r="D2169" s="29">
        <f t="shared" si="2"/>
        <v>723</v>
      </c>
      <c r="E2169" s="30"/>
      <c r="F2169" s="30"/>
      <c r="G2169" s="30"/>
      <c r="H2169" s="30"/>
      <c r="I2169" s="30"/>
      <c r="J2169" s="30"/>
      <c r="K2169" s="30"/>
      <c r="L2169" s="30"/>
      <c r="M2169" s="30"/>
      <c r="N2169" s="30"/>
      <c r="O2169" s="30"/>
      <c r="P2169" s="30"/>
      <c r="Q2169" s="30"/>
      <c r="R2169" s="30"/>
      <c r="S2169" s="30"/>
      <c r="T2169" s="30"/>
      <c r="U2169" s="30"/>
      <c r="V2169" s="30"/>
      <c r="W2169" s="30"/>
      <c r="X2169" s="30"/>
      <c r="Y2169" s="30"/>
      <c r="Z2169" s="30"/>
      <c r="AA2169" s="30"/>
    </row>
    <row r="2170">
      <c r="A2170" s="29">
        <v>1880595.0</v>
      </c>
      <c r="B2170" s="29">
        <v>1880377.0</v>
      </c>
      <c r="C2170" s="30" t="str">
        <f t="shared" si="1"/>
        <v>-</v>
      </c>
      <c r="D2170" s="29">
        <f t="shared" si="2"/>
        <v>723</v>
      </c>
      <c r="E2170" s="30"/>
      <c r="F2170" s="30"/>
      <c r="G2170" s="30"/>
      <c r="H2170" s="30"/>
      <c r="I2170" s="30"/>
      <c r="J2170" s="30"/>
      <c r="K2170" s="30"/>
      <c r="L2170" s="30"/>
      <c r="M2170" s="30"/>
      <c r="N2170" s="30"/>
      <c r="O2170" s="30"/>
      <c r="P2170" s="30"/>
      <c r="Q2170" s="30"/>
      <c r="R2170" s="30"/>
      <c r="S2170" s="30"/>
      <c r="T2170" s="30"/>
      <c r="U2170" s="30"/>
      <c r="V2170" s="30"/>
      <c r="W2170" s="30"/>
      <c r="X2170" s="30"/>
      <c r="Y2170" s="30"/>
      <c r="Z2170" s="30"/>
      <c r="AA2170" s="30"/>
    </row>
    <row r="2171">
      <c r="A2171" s="29">
        <v>1880880.0</v>
      </c>
      <c r="B2171" s="29">
        <v>1880689.0</v>
      </c>
      <c r="C2171" s="30" t="str">
        <f t="shared" si="1"/>
        <v>-</v>
      </c>
      <c r="D2171" s="29">
        <f t="shared" si="2"/>
        <v>723</v>
      </c>
      <c r="E2171" s="30"/>
      <c r="F2171" s="30"/>
      <c r="G2171" s="30"/>
      <c r="H2171" s="30"/>
      <c r="I2171" s="30"/>
      <c r="J2171" s="30"/>
      <c r="K2171" s="30"/>
      <c r="L2171" s="30"/>
      <c r="M2171" s="30"/>
      <c r="N2171" s="30"/>
      <c r="O2171" s="30"/>
      <c r="P2171" s="30"/>
      <c r="Q2171" s="30"/>
      <c r="R2171" s="30"/>
      <c r="S2171" s="30"/>
      <c r="T2171" s="30"/>
      <c r="U2171" s="30"/>
      <c r="V2171" s="30"/>
      <c r="W2171" s="30"/>
      <c r="X2171" s="30"/>
      <c r="Y2171" s="30"/>
      <c r="Z2171" s="30"/>
      <c r="AA2171" s="30"/>
    </row>
    <row r="2172">
      <c r="A2172" s="29">
        <v>1881116.0</v>
      </c>
      <c r="B2172" s="29">
        <v>1880904.0</v>
      </c>
      <c r="C2172" s="30" t="str">
        <f t="shared" si="1"/>
        <v>-</v>
      </c>
      <c r="D2172" s="29">
        <f t="shared" si="2"/>
        <v>723</v>
      </c>
      <c r="E2172" s="30"/>
      <c r="F2172" s="30"/>
      <c r="G2172" s="30"/>
      <c r="H2172" s="30"/>
      <c r="I2172" s="30"/>
      <c r="J2172" s="30"/>
      <c r="K2172" s="30"/>
      <c r="L2172" s="30"/>
      <c r="M2172" s="30"/>
      <c r="N2172" s="30"/>
      <c r="O2172" s="30"/>
      <c r="P2172" s="30"/>
      <c r="Q2172" s="30"/>
      <c r="R2172" s="30"/>
      <c r="S2172" s="30"/>
      <c r="T2172" s="30"/>
      <c r="U2172" s="30"/>
      <c r="V2172" s="30"/>
      <c r="W2172" s="30"/>
      <c r="X2172" s="30"/>
      <c r="Y2172" s="30"/>
      <c r="Z2172" s="30"/>
      <c r="AA2172" s="30"/>
    </row>
    <row r="2173">
      <c r="A2173" s="29">
        <v>1881127.0</v>
      </c>
      <c r="B2173" s="29">
        <v>1882035.0</v>
      </c>
      <c r="C2173" s="30" t="str">
        <f t="shared" si="1"/>
        <v>+</v>
      </c>
      <c r="D2173" s="29">
        <f t="shared" si="2"/>
        <v>724</v>
      </c>
      <c r="E2173" s="30"/>
      <c r="F2173" s="30"/>
      <c r="G2173" s="30"/>
      <c r="H2173" s="30"/>
      <c r="I2173" s="30"/>
      <c r="J2173" s="30"/>
      <c r="K2173" s="30"/>
      <c r="L2173" s="30"/>
      <c r="M2173" s="30"/>
      <c r="N2173" s="30"/>
      <c r="O2173" s="30"/>
      <c r="P2173" s="30"/>
      <c r="Q2173" s="30"/>
      <c r="R2173" s="30"/>
      <c r="S2173" s="30"/>
      <c r="T2173" s="30"/>
      <c r="U2173" s="30"/>
      <c r="V2173" s="30"/>
      <c r="W2173" s="30"/>
      <c r="X2173" s="30"/>
      <c r="Y2173" s="30"/>
      <c r="Z2173" s="30"/>
      <c r="AA2173" s="30"/>
    </row>
    <row r="2174">
      <c r="A2174" s="29">
        <v>1882371.0</v>
      </c>
      <c r="B2174" s="29">
        <v>1882036.0</v>
      </c>
      <c r="C2174" s="30" t="str">
        <f t="shared" si="1"/>
        <v>-</v>
      </c>
      <c r="D2174" s="29">
        <f t="shared" si="2"/>
        <v>725</v>
      </c>
      <c r="E2174" s="30"/>
      <c r="F2174" s="30"/>
      <c r="G2174" s="30"/>
      <c r="H2174" s="30"/>
      <c r="I2174" s="30"/>
      <c r="J2174" s="30"/>
      <c r="K2174" s="30"/>
      <c r="L2174" s="30"/>
      <c r="M2174" s="30"/>
      <c r="N2174" s="30"/>
      <c r="O2174" s="30"/>
      <c r="P2174" s="30"/>
      <c r="Q2174" s="30"/>
      <c r="R2174" s="30"/>
      <c r="S2174" s="30"/>
      <c r="T2174" s="30"/>
      <c r="U2174" s="30"/>
      <c r="V2174" s="30"/>
      <c r="W2174" s="30"/>
      <c r="X2174" s="30"/>
      <c r="Y2174" s="30"/>
      <c r="Z2174" s="30"/>
      <c r="AA2174" s="30"/>
    </row>
    <row r="2175">
      <c r="A2175" s="29">
        <v>1882661.0</v>
      </c>
      <c r="B2175" s="29">
        <v>1882371.0</v>
      </c>
      <c r="C2175" s="30" t="str">
        <f t="shared" si="1"/>
        <v>-</v>
      </c>
      <c r="D2175" s="29">
        <f t="shared" si="2"/>
        <v>725</v>
      </c>
      <c r="E2175" s="30"/>
      <c r="F2175" s="30"/>
      <c r="G2175" s="30"/>
      <c r="H2175" s="30"/>
      <c r="I2175" s="30"/>
      <c r="J2175" s="30"/>
      <c r="K2175" s="30"/>
      <c r="L2175" s="30"/>
      <c r="M2175" s="30"/>
      <c r="N2175" s="30"/>
      <c r="O2175" s="30"/>
      <c r="P2175" s="30"/>
      <c r="Q2175" s="30"/>
      <c r="R2175" s="30"/>
      <c r="S2175" s="30"/>
      <c r="T2175" s="30"/>
      <c r="U2175" s="30"/>
      <c r="V2175" s="30"/>
      <c r="W2175" s="30"/>
      <c r="X2175" s="30"/>
      <c r="Y2175" s="30"/>
      <c r="Z2175" s="30"/>
      <c r="AA2175" s="30"/>
    </row>
    <row r="2176">
      <c r="A2176" s="29">
        <v>1883456.0</v>
      </c>
      <c r="B2176" s="29">
        <v>1882665.0</v>
      </c>
      <c r="C2176" s="30" t="str">
        <f t="shared" si="1"/>
        <v>-</v>
      </c>
      <c r="D2176" s="29">
        <f t="shared" si="2"/>
        <v>725</v>
      </c>
      <c r="E2176" s="30"/>
      <c r="F2176" s="30"/>
      <c r="G2176" s="30"/>
      <c r="H2176" s="30"/>
      <c r="I2176" s="30"/>
      <c r="J2176" s="30"/>
      <c r="K2176" s="30"/>
      <c r="L2176" s="30"/>
      <c r="M2176" s="30"/>
      <c r="N2176" s="30"/>
      <c r="O2176" s="30"/>
      <c r="P2176" s="30"/>
      <c r="Q2176" s="30"/>
      <c r="R2176" s="30"/>
      <c r="S2176" s="30"/>
      <c r="T2176" s="30"/>
      <c r="U2176" s="30"/>
      <c r="V2176" s="30"/>
      <c r="W2176" s="30"/>
      <c r="X2176" s="30"/>
      <c r="Y2176" s="30"/>
      <c r="Z2176" s="30"/>
      <c r="AA2176" s="30"/>
    </row>
    <row r="2177">
      <c r="A2177" s="29">
        <v>1883556.0</v>
      </c>
      <c r="B2177" s="29">
        <v>1884287.0</v>
      </c>
      <c r="C2177" s="30" t="str">
        <f t="shared" si="1"/>
        <v>+</v>
      </c>
      <c r="D2177" s="29">
        <f t="shared" si="2"/>
        <v>726</v>
      </c>
      <c r="E2177" s="30"/>
      <c r="F2177" s="30"/>
      <c r="G2177" s="30"/>
      <c r="H2177" s="30"/>
      <c r="I2177" s="30"/>
      <c r="J2177" s="30"/>
      <c r="K2177" s="30"/>
      <c r="L2177" s="30"/>
      <c r="M2177" s="30"/>
      <c r="N2177" s="30"/>
      <c r="O2177" s="30"/>
      <c r="P2177" s="30"/>
      <c r="Q2177" s="30"/>
      <c r="R2177" s="30"/>
      <c r="S2177" s="30"/>
      <c r="T2177" s="30"/>
      <c r="U2177" s="30"/>
      <c r="V2177" s="30"/>
      <c r="W2177" s="30"/>
      <c r="X2177" s="30"/>
      <c r="Y2177" s="30"/>
      <c r="Z2177" s="30"/>
      <c r="AA2177" s="30"/>
    </row>
    <row r="2178">
      <c r="A2178" s="29">
        <v>1884271.0</v>
      </c>
      <c r="B2178" s="29">
        <v>1885194.0</v>
      </c>
      <c r="C2178" s="30" t="str">
        <f t="shared" si="1"/>
        <v>+</v>
      </c>
      <c r="D2178" s="29">
        <f t="shared" si="2"/>
        <v>726</v>
      </c>
      <c r="E2178" s="30"/>
      <c r="F2178" s="30"/>
      <c r="G2178" s="30"/>
      <c r="H2178" s="30"/>
      <c r="I2178" s="30"/>
      <c r="J2178" s="30"/>
      <c r="K2178" s="30"/>
      <c r="L2178" s="30"/>
      <c r="M2178" s="30"/>
      <c r="N2178" s="30"/>
      <c r="O2178" s="30"/>
      <c r="P2178" s="30"/>
      <c r="Q2178" s="30"/>
      <c r="R2178" s="30"/>
      <c r="S2178" s="30"/>
      <c r="T2178" s="30"/>
      <c r="U2178" s="30"/>
      <c r="V2178" s="30"/>
      <c r="W2178" s="30"/>
      <c r="X2178" s="30"/>
      <c r="Y2178" s="30"/>
      <c r="Z2178" s="30"/>
      <c r="AA2178" s="30"/>
    </row>
    <row r="2179">
      <c r="A2179" s="29">
        <v>1885342.0</v>
      </c>
      <c r="B2179" s="29">
        <v>1886547.0</v>
      </c>
      <c r="C2179" s="30" t="str">
        <f t="shared" si="1"/>
        <v>+</v>
      </c>
      <c r="D2179" s="29">
        <f t="shared" si="2"/>
        <v>726</v>
      </c>
      <c r="E2179" s="30"/>
      <c r="F2179" s="30"/>
      <c r="G2179" s="30"/>
      <c r="H2179" s="30"/>
      <c r="I2179" s="30"/>
      <c r="J2179" s="30"/>
      <c r="K2179" s="30"/>
      <c r="L2179" s="30"/>
      <c r="M2179" s="30"/>
      <c r="N2179" s="30"/>
      <c r="O2179" s="30"/>
      <c r="P2179" s="30"/>
      <c r="Q2179" s="30"/>
      <c r="R2179" s="30"/>
      <c r="S2179" s="30"/>
      <c r="T2179" s="30"/>
      <c r="U2179" s="30"/>
      <c r="V2179" s="30"/>
      <c r="W2179" s="30"/>
      <c r="X2179" s="30"/>
      <c r="Y2179" s="30"/>
      <c r="Z2179" s="30"/>
      <c r="AA2179" s="30"/>
    </row>
    <row r="2180">
      <c r="A2180" s="29">
        <v>1886697.0</v>
      </c>
      <c r="B2180" s="29">
        <v>1887566.0</v>
      </c>
      <c r="C2180" s="30" t="str">
        <f t="shared" si="1"/>
        <v>+</v>
      </c>
      <c r="D2180" s="29">
        <f t="shared" si="2"/>
        <v>726</v>
      </c>
      <c r="E2180" s="30"/>
      <c r="F2180" s="30"/>
      <c r="G2180" s="30"/>
      <c r="H2180" s="30"/>
      <c r="I2180" s="30"/>
      <c r="J2180" s="30"/>
      <c r="K2180" s="30"/>
      <c r="L2180" s="30"/>
      <c r="M2180" s="30"/>
      <c r="N2180" s="30"/>
      <c r="O2180" s="30"/>
      <c r="P2180" s="30"/>
      <c r="Q2180" s="30"/>
      <c r="R2180" s="30"/>
      <c r="S2180" s="30"/>
      <c r="T2180" s="30"/>
      <c r="U2180" s="30"/>
      <c r="V2180" s="30"/>
      <c r="W2180" s="30"/>
      <c r="X2180" s="30"/>
      <c r="Y2180" s="30"/>
      <c r="Z2180" s="30"/>
      <c r="AA2180" s="30"/>
    </row>
    <row r="2181">
      <c r="A2181" s="29">
        <v>1887719.0</v>
      </c>
      <c r="B2181" s="29">
        <v>1887531.0</v>
      </c>
      <c r="C2181" s="30" t="str">
        <f t="shared" si="1"/>
        <v>-</v>
      </c>
      <c r="D2181" s="29">
        <f t="shared" si="2"/>
        <v>727</v>
      </c>
      <c r="E2181" s="30"/>
      <c r="F2181" s="30"/>
      <c r="G2181" s="30"/>
      <c r="H2181" s="30"/>
      <c r="I2181" s="30"/>
      <c r="J2181" s="30"/>
      <c r="K2181" s="30"/>
      <c r="L2181" s="30"/>
      <c r="M2181" s="30"/>
      <c r="N2181" s="30"/>
      <c r="O2181" s="30"/>
      <c r="P2181" s="30"/>
      <c r="Q2181" s="30"/>
      <c r="R2181" s="30"/>
      <c r="S2181" s="30"/>
      <c r="T2181" s="30"/>
      <c r="U2181" s="30"/>
      <c r="V2181" s="30"/>
      <c r="W2181" s="30"/>
      <c r="X2181" s="30"/>
      <c r="Y2181" s="30"/>
      <c r="Z2181" s="30"/>
      <c r="AA2181" s="30"/>
    </row>
    <row r="2182">
      <c r="A2182" s="29">
        <v>1888010.0</v>
      </c>
      <c r="B2182" s="29">
        <v>1889689.0</v>
      </c>
      <c r="C2182" s="30" t="str">
        <f t="shared" si="1"/>
        <v>+</v>
      </c>
      <c r="D2182" s="29">
        <f t="shared" si="2"/>
        <v>728</v>
      </c>
      <c r="E2182" s="30"/>
      <c r="F2182" s="30"/>
      <c r="G2182" s="30"/>
      <c r="H2182" s="30"/>
      <c r="I2182" s="30"/>
      <c r="J2182" s="30"/>
      <c r="K2182" s="30"/>
      <c r="L2182" s="30"/>
      <c r="M2182" s="30"/>
      <c r="N2182" s="30"/>
      <c r="O2182" s="30"/>
      <c r="P2182" s="30"/>
      <c r="Q2182" s="30"/>
      <c r="R2182" s="30"/>
      <c r="S2182" s="30"/>
      <c r="T2182" s="30"/>
      <c r="U2182" s="30"/>
      <c r="V2182" s="30"/>
      <c r="W2182" s="30"/>
      <c r="X2182" s="30"/>
      <c r="Y2182" s="30"/>
      <c r="Z2182" s="30"/>
      <c r="AA2182" s="30"/>
    </row>
    <row r="2183">
      <c r="A2183" s="29">
        <v>1890088.0</v>
      </c>
      <c r="B2183" s="29">
        <v>1891413.0</v>
      </c>
      <c r="C2183" s="30" t="str">
        <f t="shared" si="1"/>
        <v>+</v>
      </c>
      <c r="D2183" s="29">
        <f t="shared" si="2"/>
        <v>728</v>
      </c>
      <c r="E2183" s="30"/>
      <c r="F2183" s="30"/>
      <c r="G2183" s="30"/>
      <c r="H2183" s="30"/>
      <c r="I2183" s="30"/>
      <c r="J2183" s="30"/>
      <c r="K2183" s="30"/>
      <c r="L2183" s="30"/>
      <c r="M2183" s="30"/>
      <c r="N2183" s="30"/>
      <c r="O2183" s="30"/>
      <c r="P2183" s="30"/>
      <c r="Q2183" s="30"/>
      <c r="R2183" s="30"/>
      <c r="S2183" s="30"/>
      <c r="T2183" s="30"/>
      <c r="U2183" s="30"/>
      <c r="V2183" s="30"/>
      <c r="W2183" s="30"/>
      <c r="X2183" s="30"/>
      <c r="Y2183" s="30"/>
      <c r="Z2183" s="30"/>
      <c r="AA2183" s="30"/>
    </row>
    <row r="2184">
      <c r="A2184" s="29">
        <v>1891404.0</v>
      </c>
      <c r="B2184" s="29">
        <v>1892138.0</v>
      </c>
      <c r="C2184" s="30" t="str">
        <f t="shared" si="1"/>
        <v>+</v>
      </c>
      <c r="D2184" s="29">
        <f t="shared" si="2"/>
        <v>728</v>
      </c>
      <c r="E2184" s="30"/>
      <c r="F2184" s="30"/>
      <c r="G2184" s="30"/>
      <c r="H2184" s="30"/>
      <c r="I2184" s="30"/>
      <c r="J2184" s="30"/>
      <c r="K2184" s="30"/>
      <c r="L2184" s="30"/>
      <c r="M2184" s="30"/>
      <c r="N2184" s="30"/>
      <c r="O2184" s="30"/>
      <c r="P2184" s="30"/>
      <c r="Q2184" s="30"/>
      <c r="R2184" s="30"/>
      <c r="S2184" s="30"/>
      <c r="T2184" s="30"/>
      <c r="U2184" s="30"/>
      <c r="V2184" s="30"/>
      <c r="W2184" s="30"/>
      <c r="X2184" s="30"/>
      <c r="Y2184" s="30"/>
      <c r="Z2184" s="30"/>
      <c r="AA2184" s="30"/>
    </row>
    <row r="2185">
      <c r="A2185" s="29">
        <v>1892566.0</v>
      </c>
      <c r="B2185" s="29">
        <v>1892135.0</v>
      </c>
      <c r="C2185" s="30" t="str">
        <f t="shared" si="1"/>
        <v>-</v>
      </c>
      <c r="D2185" s="29">
        <f t="shared" si="2"/>
        <v>729</v>
      </c>
      <c r="E2185" s="30"/>
      <c r="F2185" s="30"/>
      <c r="G2185" s="30"/>
      <c r="H2185" s="30"/>
      <c r="I2185" s="30"/>
      <c r="J2185" s="30"/>
      <c r="K2185" s="30"/>
      <c r="L2185" s="30"/>
      <c r="M2185" s="30"/>
      <c r="N2185" s="30"/>
      <c r="O2185" s="30"/>
      <c r="P2185" s="30"/>
      <c r="Q2185" s="30"/>
      <c r="R2185" s="30"/>
      <c r="S2185" s="30"/>
      <c r="T2185" s="30"/>
      <c r="U2185" s="30"/>
      <c r="V2185" s="30"/>
      <c r="W2185" s="30"/>
      <c r="X2185" s="30"/>
      <c r="Y2185" s="30"/>
      <c r="Z2185" s="30"/>
      <c r="AA2185" s="30"/>
    </row>
    <row r="2186">
      <c r="A2186" s="29">
        <v>1894347.0</v>
      </c>
      <c r="B2186" s="29">
        <v>1893670.0</v>
      </c>
      <c r="C2186" s="30" t="str">
        <f t="shared" si="1"/>
        <v>-</v>
      </c>
      <c r="D2186" s="29">
        <f t="shared" si="2"/>
        <v>729</v>
      </c>
      <c r="E2186" s="30"/>
      <c r="F2186" s="30"/>
      <c r="G2186" s="30"/>
      <c r="H2186" s="30"/>
      <c r="I2186" s="30"/>
      <c r="J2186" s="30"/>
      <c r="K2186" s="30"/>
      <c r="L2186" s="30"/>
      <c r="M2186" s="30"/>
      <c r="N2186" s="30"/>
      <c r="O2186" s="30"/>
      <c r="P2186" s="30"/>
      <c r="Q2186" s="30"/>
      <c r="R2186" s="30"/>
      <c r="S2186" s="30"/>
      <c r="T2186" s="30"/>
      <c r="U2186" s="30"/>
      <c r="V2186" s="30"/>
      <c r="W2186" s="30"/>
      <c r="X2186" s="30"/>
      <c r="Y2186" s="30"/>
      <c r="Z2186" s="30"/>
      <c r="AA2186" s="30"/>
    </row>
    <row r="2187">
      <c r="A2187" s="29">
        <v>1894708.0</v>
      </c>
      <c r="B2187" s="29">
        <v>1894415.0</v>
      </c>
      <c r="C2187" s="30" t="str">
        <f t="shared" si="1"/>
        <v>-</v>
      </c>
      <c r="D2187" s="29">
        <f t="shared" si="2"/>
        <v>729</v>
      </c>
      <c r="E2187" s="30"/>
      <c r="F2187" s="30"/>
      <c r="G2187" s="30"/>
      <c r="H2187" s="30"/>
      <c r="I2187" s="30"/>
      <c r="J2187" s="30"/>
      <c r="K2187" s="30"/>
      <c r="L2187" s="30"/>
      <c r="M2187" s="30"/>
      <c r="N2187" s="30"/>
      <c r="O2187" s="30"/>
      <c r="P2187" s="30"/>
      <c r="Q2187" s="30"/>
      <c r="R2187" s="30"/>
      <c r="S2187" s="30"/>
      <c r="T2187" s="30"/>
      <c r="U2187" s="30"/>
      <c r="V2187" s="30"/>
      <c r="W2187" s="30"/>
      <c r="X2187" s="30"/>
      <c r="Y2187" s="30"/>
      <c r="Z2187" s="30"/>
      <c r="AA2187" s="30"/>
    </row>
    <row r="2188">
      <c r="A2188" s="29">
        <v>1895353.0</v>
      </c>
      <c r="B2188" s="29">
        <v>1894754.0</v>
      </c>
      <c r="C2188" s="30" t="str">
        <f t="shared" si="1"/>
        <v>-</v>
      </c>
      <c r="D2188" s="29">
        <f t="shared" si="2"/>
        <v>729</v>
      </c>
      <c r="E2188" s="30"/>
      <c r="F2188" s="30"/>
      <c r="G2188" s="30"/>
      <c r="H2188" s="30"/>
      <c r="I2188" s="30"/>
      <c r="J2188" s="30"/>
      <c r="K2188" s="30"/>
      <c r="L2188" s="30"/>
      <c r="M2188" s="30"/>
      <c r="N2188" s="30"/>
      <c r="O2188" s="30"/>
      <c r="P2188" s="30"/>
      <c r="Q2188" s="30"/>
      <c r="R2188" s="30"/>
      <c r="S2188" s="30"/>
      <c r="T2188" s="30"/>
      <c r="U2188" s="30"/>
      <c r="V2188" s="30"/>
      <c r="W2188" s="30"/>
      <c r="X2188" s="30"/>
      <c r="Y2188" s="30"/>
      <c r="Z2188" s="30"/>
      <c r="AA2188" s="30"/>
    </row>
    <row r="2189">
      <c r="A2189" s="29">
        <v>1895858.0</v>
      </c>
      <c r="B2189" s="29">
        <v>1895313.0</v>
      </c>
      <c r="C2189" s="30" t="str">
        <f t="shared" si="1"/>
        <v>-</v>
      </c>
      <c r="D2189" s="29">
        <f t="shared" si="2"/>
        <v>729</v>
      </c>
      <c r="E2189" s="30"/>
      <c r="F2189" s="30"/>
      <c r="G2189" s="30"/>
      <c r="H2189" s="30"/>
      <c r="I2189" s="30"/>
      <c r="J2189" s="30"/>
      <c r="K2189" s="30"/>
      <c r="L2189" s="30"/>
      <c r="M2189" s="30"/>
      <c r="N2189" s="30"/>
      <c r="O2189" s="30"/>
      <c r="P2189" s="30"/>
      <c r="Q2189" s="30"/>
      <c r="R2189" s="30"/>
      <c r="S2189" s="30"/>
      <c r="T2189" s="30"/>
      <c r="U2189" s="30"/>
      <c r="V2189" s="30"/>
      <c r="W2189" s="30"/>
      <c r="X2189" s="30"/>
      <c r="Y2189" s="30"/>
      <c r="Z2189" s="30"/>
      <c r="AA2189" s="30"/>
    </row>
    <row r="2190">
      <c r="A2190" s="29">
        <v>1895949.0</v>
      </c>
      <c r="B2190" s="29">
        <v>1896680.0</v>
      </c>
      <c r="C2190" s="30" t="str">
        <f t="shared" si="1"/>
        <v>+</v>
      </c>
      <c r="D2190" s="29">
        <f t="shared" si="2"/>
        <v>730</v>
      </c>
      <c r="E2190" s="30"/>
      <c r="F2190" s="30"/>
      <c r="G2190" s="30"/>
      <c r="H2190" s="30"/>
      <c r="I2190" s="30"/>
      <c r="J2190" s="30"/>
      <c r="K2190" s="30"/>
      <c r="L2190" s="30"/>
      <c r="M2190" s="30"/>
      <c r="N2190" s="30"/>
      <c r="O2190" s="30"/>
      <c r="P2190" s="30"/>
      <c r="Q2190" s="30"/>
      <c r="R2190" s="30"/>
      <c r="S2190" s="30"/>
      <c r="T2190" s="30"/>
      <c r="U2190" s="30"/>
      <c r="V2190" s="30"/>
      <c r="W2190" s="30"/>
      <c r="X2190" s="30"/>
      <c r="Y2190" s="30"/>
      <c r="Z2190" s="30"/>
      <c r="AA2190" s="30"/>
    </row>
    <row r="2191">
      <c r="A2191" s="29">
        <v>1896848.0</v>
      </c>
      <c r="B2191" s="29">
        <v>1899001.0</v>
      </c>
      <c r="C2191" s="30" t="str">
        <f t="shared" si="1"/>
        <v>+</v>
      </c>
      <c r="D2191" s="29">
        <f t="shared" si="2"/>
        <v>730</v>
      </c>
      <c r="E2191" s="30"/>
      <c r="F2191" s="30"/>
      <c r="G2191" s="30"/>
      <c r="H2191" s="30"/>
      <c r="I2191" s="30"/>
      <c r="J2191" s="30"/>
      <c r="K2191" s="30"/>
      <c r="L2191" s="30"/>
      <c r="M2191" s="30"/>
      <c r="N2191" s="30"/>
      <c r="O2191" s="30"/>
      <c r="P2191" s="30"/>
      <c r="Q2191" s="30"/>
      <c r="R2191" s="30"/>
      <c r="S2191" s="30"/>
      <c r="T2191" s="30"/>
      <c r="U2191" s="30"/>
      <c r="V2191" s="30"/>
      <c r="W2191" s="30"/>
      <c r="X2191" s="30"/>
      <c r="Y2191" s="30"/>
      <c r="Z2191" s="30"/>
      <c r="AA2191" s="30"/>
    </row>
    <row r="2192">
      <c r="A2192" s="29">
        <v>1898988.0</v>
      </c>
      <c r="B2192" s="29">
        <v>1899548.0</v>
      </c>
      <c r="C2192" s="30" t="str">
        <f t="shared" si="1"/>
        <v>+</v>
      </c>
      <c r="D2192" s="29">
        <f t="shared" si="2"/>
        <v>730</v>
      </c>
      <c r="E2192" s="30"/>
      <c r="F2192" s="30"/>
      <c r="G2192" s="30"/>
      <c r="H2192" s="30"/>
      <c r="I2192" s="30"/>
      <c r="J2192" s="30"/>
      <c r="K2192" s="30"/>
      <c r="L2192" s="30"/>
      <c r="M2192" s="30"/>
      <c r="N2192" s="30"/>
      <c r="O2192" s="30"/>
      <c r="P2192" s="30"/>
      <c r="Q2192" s="30"/>
      <c r="R2192" s="30"/>
      <c r="S2192" s="30"/>
      <c r="T2192" s="30"/>
      <c r="U2192" s="30"/>
      <c r="V2192" s="30"/>
      <c r="W2192" s="30"/>
      <c r="X2192" s="30"/>
      <c r="Y2192" s="30"/>
      <c r="Z2192" s="30"/>
      <c r="AA2192" s="30"/>
    </row>
    <row r="2193">
      <c r="A2193" s="29">
        <v>1899580.0</v>
      </c>
      <c r="B2193" s="29">
        <v>1901901.0</v>
      </c>
      <c r="C2193" s="30" t="str">
        <f t="shared" si="1"/>
        <v>+</v>
      </c>
      <c r="D2193" s="29">
        <f t="shared" si="2"/>
        <v>730</v>
      </c>
      <c r="E2193" s="30"/>
      <c r="F2193" s="30"/>
      <c r="G2193" s="30"/>
      <c r="H2193" s="30"/>
      <c r="I2193" s="30"/>
      <c r="J2193" s="30"/>
      <c r="K2193" s="30"/>
      <c r="L2193" s="30"/>
      <c r="M2193" s="30"/>
      <c r="N2193" s="30"/>
      <c r="O2193" s="30"/>
      <c r="P2193" s="30"/>
      <c r="Q2193" s="30"/>
      <c r="R2193" s="30"/>
      <c r="S2193" s="30"/>
      <c r="T2193" s="30"/>
      <c r="U2193" s="30"/>
      <c r="V2193" s="30"/>
      <c r="W2193" s="30"/>
      <c r="X2193" s="30"/>
      <c r="Y2193" s="30"/>
      <c r="Z2193" s="30"/>
      <c r="AA2193" s="30"/>
    </row>
    <row r="2194">
      <c r="A2194" s="29">
        <v>1901861.0</v>
      </c>
      <c r="B2194" s="29">
        <v>1902409.0</v>
      </c>
      <c r="C2194" s="30" t="str">
        <f t="shared" si="1"/>
        <v>+</v>
      </c>
      <c r="D2194" s="29">
        <f t="shared" si="2"/>
        <v>730</v>
      </c>
      <c r="E2194" s="30"/>
      <c r="F2194" s="30"/>
      <c r="G2194" s="30"/>
      <c r="H2194" s="30"/>
      <c r="I2194" s="30"/>
      <c r="J2194" s="30"/>
      <c r="K2194" s="30"/>
      <c r="L2194" s="30"/>
      <c r="M2194" s="30"/>
      <c r="N2194" s="30"/>
      <c r="O2194" s="30"/>
      <c r="P2194" s="30"/>
      <c r="Q2194" s="30"/>
      <c r="R2194" s="30"/>
      <c r="S2194" s="30"/>
      <c r="T2194" s="30"/>
      <c r="U2194" s="30"/>
      <c r="V2194" s="30"/>
      <c r="W2194" s="30"/>
      <c r="X2194" s="30"/>
      <c r="Y2194" s="30"/>
      <c r="Z2194" s="30"/>
      <c r="AA2194" s="30"/>
    </row>
    <row r="2195">
      <c r="A2195" s="29">
        <v>1903294.0</v>
      </c>
      <c r="B2195" s="29">
        <v>1902509.0</v>
      </c>
      <c r="C2195" s="30" t="str">
        <f t="shared" si="1"/>
        <v>-</v>
      </c>
      <c r="D2195" s="29">
        <f t="shared" si="2"/>
        <v>731</v>
      </c>
      <c r="E2195" s="30"/>
      <c r="F2195" s="30"/>
      <c r="G2195" s="30"/>
      <c r="H2195" s="30"/>
      <c r="I2195" s="30"/>
      <c r="J2195" s="30"/>
      <c r="K2195" s="30"/>
      <c r="L2195" s="30"/>
      <c r="M2195" s="30"/>
      <c r="N2195" s="30"/>
      <c r="O2195" s="30"/>
      <c r="P2195" s="30"/>
      <c r="Q2195" s="30"/>
      <c r="R2195" s="30"/>
      <c r="S2195" s="30"/>
      <c r="T2195" s="30"/>
      <c r="U2195" s="30"/>
      <c r="V2195" s="30"/>
      <c r="W2195" s="30"/>
      <c r="X2195" s="30"/>
      <c r="Y2195" s="30"/>
      <c r="Z2195" s="30"/>
      <c r="AA2195" s="30"/>
    </row>
    <row r="2196">
      <c r="A2196" s="29">
        <v>1904071.0</v>
      </c>
      <c r="B2196" s="29">
        <v>1903304.0</v>
      </c>
      <c r="C2196" s="30" t="str">
        <f t="shared" si="1"/>
        <v>-</v>
      </c>
      <c r="D2196" s="29">
        <f t="shared" si="2"/>
        <v>731</v>
      </c>
      <c r="E2196" s="30"/>
      <c r="F2196" s="30"/>
      <c r="G2196" s="30"/>
      <c r="H2196" s="30"/>
      <c r="I2196" s="30"/>
      <c r="J2196" s="30"/>
      <c r="K2196" s="30"/>
      <c r="L2196" s="30"/>
      <c r="M2196" s="30"/>
      <c r="N2196" s="30"/>
      <c r="O2196" s="30"/>
      <c r="P2196" s="30"/>
      <c r="Q2196" s="30"/>
      <c r="R2196" s="30"/>
      <c r="S2196" s="30"/>
      <c r="T2196" s="30"/>
      <c r="U2196" s="30"/>
      <c r="V2196" s="30"/>
      <c r="W2196" s="30"/>
      <c r="X2196" s="30"/>
      <c r="Y2196" s="30"/>
      <c r="Z2196" s="30"/>
      <c r="AA2196" s="30"/>
    </row>
    <row r="2197">
      <c r="A2197" s="29">
        <v>1904373.0</v>
      </c>
      <c r="B2197" s="29">
        <v>1904041.0</v>
      </c>
      <c r="C2197" s="30" t="str">
        <f t="shared" si="1"/>
        <v>-</v>
      </c>
      <c r="D2197" s="29">
        <f t="shared" si="2"/>
        <v>731</v>
      </c>
      <c r="E2197" s="30"/>
      <c r="F2197" s="30"/>
      <c r="G2197" s="30"/>
      <c r="H2197" s="30"/>
      <c r="I2197" s="30"/>
      <c r="J2197" s="30"/>
      <c r="K2197" s="30"/>
      <c r="L2197" s="30"/>
      <c r="M2197" s="30"/>
      <c r="N2197" s="30"/>
      <c r="O2197" s="30"/>
      <c r="P2197" s="30"/>
      <c r="Q2197" s="30"/>
      <c r="R2197" s="30"/>
      <c r="S2197" s="30"/>
      <c r="T2197" s="30"/>
      <c r="U2197" s="30"/>
      <c r="V2197" s="30"/>
      <c r="W2197" s="30"/>
      <c r="X2197" s="30"/>
      <c r="Y2197" s="30"/>
      <c r="Z2197" s="30"/>
      <c r="AA2197" s="30"/>
    </row>
    <row r="2198">
      <c r="A2198" s="29">
        <v>1905150.0</v>
      </c>
      <c r="B2198" s="29">
        <v>1904518.0</v>
      </c>
      <c r="C2198" s="30" t="str">
        <f t="shared" si="1"/>
        <v>-</v>
      </c>
      <c r="D2198" s="29">
        <f t="shared" si="2"/>
        <v>731</v>
      </c>
      <c r="E2198" s="30"/>
      <c r="F2198" s="30"/>
      <c r="G2198" s="30"/>
      <c r="H2198" s="30"/>
      <c r="I2198" s="30"/>
      <c r="J2198" s="30"/>
      <c r="K2198" s="30"/>
      <c r="L2198" s="30"/>
      <c r="M2198" s="30"/>
      <c r="N2198" s="30"/>
      <c r="O2198" s="30"/>
      <c r="P2198" s="30"/>
      <c r="Q2198" s="30"/>
      <c r="R2198" s="30"/>
      <c r="S2198" s="30"/>
      <c r="T2198" s="30"/>
      <c r="U2198" s="30"/>
      <c r="V2198" s="30"/>
      <c r="W2198" s="30"/>
      <c r="X2198" s="30"/>
      <c r="Y2198" s="30"/>
      <c r="Z2198" s="30"/>
      <c r="AA2198" s="30"/>
    </row>
    <row r="2199">
      <c r="A2199" s="29">
        <v>1905397.0</v>
      </c>
      <c r="B2199" s="29">
        <v>1907487.0</v>
      </c>
      <c r="C2199" s="30" t="str">
        <f t="shared" si="1"/>
        <v>+</v>
      </c>
      <c r="D2199" s="29">
        <f t="shared" si="2"/>
        <v>732</v>
      </c>
      <c r="E2199" s="30"/>
      <c r="F2199" s="30"/>
      <c r="G2199" s="30"/>
      <c r="H2199" s="30"/>
      <c r="I2199" s="30"/>
      <c r="J2199" s="30"/>
      <c r="K2199" s="30"/>
      <c r="L2199" s="30"/>
      <c r="M2199" s="30"/>
      <c r="N2199" s="30"/>
      <c r="O2199" s="30"/>
      <c r="P2199" s="30"/>
      <c r="Q2199" s="30"/>
      <c r="R2199" s="30"/>
      <c r="S2199" s="30"/>
      <c r="T2199" s="30"/>
      <c r="U2199" s="30"/>
      <c r="V2199" s="30"/>
      <c r="W2199" s="30"/>
      <c r="X2199" s="30"/>
      <c r="Y2199" s="30"/>
      <c r="Z2199" s="30"/>
      <c r="AA2199" s="30"/>
    </row>
    <row r="2200">
      <c r="A2200" s="29">
        <v>1907471.0</v>
      </c>
      <c r="B2200" s="29">
        <v>1908019.0</v>
      </c>
      <c r="C2200" s="30" t="str">
        <f t="shared" si="1"/>
        <v>+</v>
      </c>
      <c r="D2200" s="29">
        <f t="shared" si="2"/>
        <v>732</v>
      </c>
      <c r="E2200" s="30"/>
      <c r="F2200" s="30"/>
      <c r="G2200" s="30"/>
      <c r="H2200" s="30"/>
      <c r="I2200" s="30"/>
      <c r="J2200" s="30"/>
      <c r="K2200" s="30"/>
      <c r="L2200" s="30"/>
      <c r="M2200" s="30"/>
      <c r="N2200" s="30"/>
      <c r="O2200" s="30"/>
      <c r="P2200" s="30"/>
      <c r="Q2200" s="30"/>
      <c r="R2200" s="30"/>
      <c r="S2200" s="30"/>
      <c r="T2200" s="30"/>
      <c r="U2200" s="30"/>
      <c r="V2200" s="30"/>
      <c r="W2200" s="30"/>
      <c r="X2200" s="30"/>
      <c r="Y2200" s="30"/>
      <c r="Z2200" s="30"/>
      <c r="AA2200" s="30"/>
    </row>
    <row r="2201">
      <c r="A2201" s="29">
        <v>1908047.0</v>
      </c>
      <c r="B2201" s="29">
        <v>1908673.0</v>
      </c>
      <c r="C2201" s="30" t="str">
        <f t="shared" si="1"/>
        <v>+</v>
      </c>
      <c r="D2201" s="29">
        <f t="shared" si="2"/>
        <v>732</v>
      </c>
      <c r="E2201" s="30"/>
      <c r="F2201" s="30"/>
      <c r="G2201" s="30"/>
      <c r="H2201" s="30"/>
      <c r="I2201" s="30"/>
      <c r="J2201" s="30"/>
      <c r="K2201" s="30"/>
      <c r="L2201" s="30"/>
      <c r="M2201" s="30"/>
      <c r="N2201" s="30"/>
      <c r="O2201" s="30"/>
      <c r="P2201" s="30"/>
      <c r="Q2201" s="30"/>
      <c r="R2201" s="30"/>
      <c r="S2201" s="30"/>
      <c r="T2201" s="30"/>
      <c r="U2201" s="30"/>
      <c r="V2201" s="30"/>
      <c r="W2201" s="30"/>
      <c r="X2201" s="30"/>
      <c r="Y2201" s="30"/>
      <c r="Z2201" s="30"/>
      <c r="AA2201" s="30"/>
    </row>
    <row r="2202">
      <c r="A2202" s="29">
        <v>1909064.0</v>
      </c>
      <c r="B2202" s="29">
        <v>1909831.0</v>
      </c>
      <c r="C2202" s="30" t="str">
        <f t="shared" si="1"/>
        <v>+</v>
      </c>
      <c r="D2202" s="29">
        <f t="shared" si="2"/>
        <v>732</v>
      </c>
      <c r="E2202" s="30"/>
      <c r="F2202" s="30"/>
      <c r="G2202" s="30"/>
      <c r="H2202" s="30"/>
      <c r="I2202" s="30"/>
      <c r="J2202" s="30"/>
      <c r="K2202" s="30"/>
      <c r="L2202" s="30"/>
      <c r="M2202" s="30"/>
      <c r="N2202" s="30"/>
      <c r="O2202" s="30"/>
      <c r="P2202" s="30"/>
      <c r="Q2202" s="30"/>
      <c r="R2202" s="30"/>
      <c r="S2202" s="30"/>
      <c r="T2202" s="30"/>
      <c r="U2202" s="30"/>
      <c r="V2202" s="30"/>
      <c r="W2202" s="30"/>
      <c r="X2202" s="30"/>
      <c r="Y2202" s="30"/>
      <c r="Z2202" s="30"/>
      <c r="AA2202" s="30"/>
    </row>
    <row r="2203">
      <c r="A2203" s="29">
        <v>1909836.0</v>
      </c>
      <c r="B2203" s="29">
        <v>1910741.0</v>
      </c>
      <c r="C2203" s="30" t="str">
        <f t="shared" si="1"/>
        <v>+</v>
      </c>
      <c r="D2203" s="29">
        <f t="shared" si="2"/>
        <v>732</v>
      </c>
      <c r="E2203" s="30"/>
      <c r="F2203" s="30"/>
      <c r="G2203" s="30"/>
      <c r="H2203" s="30"/>
      <c r="I2203" s="30"/>
      <c r="J2203" s="30"/>
      <c r="K2203" s="30"/>
      <c r="L2203" s="30"/>
      <c r="M2203" s="30"/>
      <c r="N2203" s="30"/>
      <c r="O2203" s="30"/>
      <c r="P2203" s="30"/>
      <c r="Q2203" s="30"/>
      <c r="R2203" s="30"/>
      <c r="S2203" s="30"/>
      <c r="T2203" s="30"/>
      <c r="U2203" s="30"/>
      <c r="V2203" s="30"/>
      <c r="W2203" s="30"/>
      <c r="X2203" s="30"/>
      <c r="Y2203" s="30"/>
      <c r="Z2203" s="30"/>
      <c r="AA2203" s="30"/>
    </row>
    <row r="2204">
      <c r="A2204" s="29">
        <v>1910842.0</v>
      </c>
      <c r="B2204" s="29">
        <v>1911537.0</v>
      </c>
      <c r="C2204" s="30" t="str">
        <f t="shared" si="1"/>
        <v>+</v>
      </c>
      <c r="D2204" s="29">
        <f t="shared" si="2"/>
        <v>732</v>
      </c>
      <c r="E2204" s="30"/>
      <c r="F2204" s="30"/>
      <c r="G2204" s="30"/>
      <c r="H2204" s="30"/>
      <c r="I2204" s="30"/>
      <c r="J2204" s="30"/>
      <c r="K2204" s="30"/>
      <c r="L2204" s="30"/>
      <c r="M2204" s="30"/>
      <c r="N2204" s="30"/>
      <c r="O2204" s="30"/>
      <c r="P2204" s="30"/>
      <c r="Q2204" s="30"/>
      <c r="R2204" s="30"/>
      <c r="S2204" s="30"/>
      <c r="T2204" s="30"/>
      <c r="U2204" s="30"/>
      <c r="V2204" s="30"/>
      <c r="W2204" s="30"/>
      <c r="X2204" s="30"/>
      <c r="Y2204" s="30"/>
      <c r="Z2204" s="30"/>
      <c r="AA2204" s="30"/>
    </row>
    <row r="2205">
      <c r="A2205" s="29">
        <v>1912354.0</v>
      </c>
      <c r="B2205" s="29">
        <v>1912088.0</v>
      </c>
      <c r="C2205" s="30" t="str">
        <f t="shared" si="1"/>
        <v>-</v>
      </c>
      <c r="D2205" s="29">
        <f t="shared" si="2"/>
        <v>733</v>
      </c>
      <c r="E2205" s="30"/>
      <c r="F2205" s="30"/>
      <c r="G2205" s="30"/>
      <c r="H2205" s="30"/>
      <c r="I2205" s="30"/>
      <c r="J2205" s="30"/>
      <c r="K2205" s="30"/>
      <c r="L2205" s="30"/>
      <c r="M2205" s="30"/>
      <c r="N2205" s="30"/>
      <c r="O2205" s="30"/>
      <c r="P2205" s="30"/>
      <c r="Q2205" s="30"/>
      <c r="R2205" s="30"/>
      <c r="S2205" s="30"/>
      <c r="T2205" s="30"/>
      <c r="U2205" s="30"/>
      <c r="V2205" s="30"/>
      <c r="W2205" s="30"/>
      <c r="X2205" s="30"/>
      <c r="Y2205" s="30"/>
      <c r="Z2205" s="30"/>
      <c r="AA2205" s="30"/>
    </row>
    <row r="2206">
      <c r="A2206" s="29">
        <v>1912874.0</v>
      </c>
      <c r="B2206" s="29">
        <v>1913365.0</v>
      </c>
      <c r="C2206" s="30" t="str">
        <f t="shared" si="1"/>
        <v>+</v>
      </c>
      <c r="D2206" s="29">
        <f t="shared" si="2"/>
        <v>734</v>
      </c>
      <c r="E2206" s="30"/>
      <c r="F2206" s="30"/>
      <c r="G2206" s="30"/>
      <c r="H2206" s="30"/>
      <c r="I2206" s="30"/>
      <c r="J2206" s="30"/>
      <c r="K2206" s="30"/>
      <c r="L2206" s="30"/>
      <c r="M2206" s="30"/>
      <c r="N2206" s="30"/>
      <c r="O2206" s="30"/>
      <c r="P2206" s="30"/>
      <c r="Q2206" s="30"/>
      <c r="R2206" s="30"/>
      <c r="S2206" s="30"/>
      <c r="T2206" s="30"/>
      <c r="U2206" s="30"/>
      <c r="V2206" s="30"/>
      <c r="W2206" s="30"/>
      <c r="X2206" s="30"/>
      <c r="Y2206" s="30"/>
      <c r="Z2206" s="30"/>
      <c r="AA2206" s="30"/>
    </row>
    <row r="2207">
      <c r="A2207" s="29">
        <v>1913362.0</v>
      </c>
      <c r="B2207" s="29">
        <v>1913892.0</v>
      </c>
      <c r="C2207" s="30" t="str">
        <f t="shared" si="1"/>
        <v>+</v>
      </c>
      <c r="D2207" s="29">
        <f t="shared" si="2"/>
        <v>734</v>
      </c>
      <c r="E2207" s="30"/>
      <c r="F2207" s="30"/>
      <c r="G2207" s="30"/>
      <c r="H2207" s="30"/>
      <c r="I2207" s="30"/>
      <c r="J2207" s="30"/>
      <c r="K2207" s="30"/>
      <c r="L2207" s="30"/>
      <c r="M2207" s="30"/>
      <c r="N2207" s="30"/>
      <c r="O2207" s="30"/>
      <c r="P2207" s="30"/>
      <c r="Q2207" s="30"/>
      <c r="R2207" s="30"/>
      <c r="S2207" s="30"/>
      <c r="T2207" s="30"/>
      <c r="U2207" s="30"/>
      <c r="V2207" s="30"/>
      <c r="W2207" s="30"/>
      <c r="X2207" s="30"/>
      <c r="Y2207" s="30"/>
      <c r="Z2207" s="30"/>
      <c r="AA2207" s="30"/>
    </row>
    <row r="2208">
      <c r="A2208" s="29">
        <v>1913924.0</v>
      </c>
      <c r="B2208" s="29">
        <v>1916761.0</v>
      </c>
      <c r="C2208" s="30" t="str">
        <f t="shared" si="1"/>
        <v>+</v>
      </c>
      <c r="D2208" s="29">
        <f t="shared" si="2"/>
        <v>734</v>
      </c>
      <c r="E2208" s="30"/>
      <c r="F2208" s="30"/>
      <c r="G2208" s="30"/>
      <c r="H2208" s="30"/>
      <c r="I2208" s="30"/>
      <c r="J2208" s="30"/>
      <c r="K2208" s="30"/>
      <c r="L2208" s="30"/>
      <c r="M2208" s="30"/>
      <c r="N2208" s="30"/>
      <c r="O2208" s="30"/>
      <c r="P2208" s="30"/>
      <c r="Q2208" s="30"/>
      <c r="R2208" s="30"/>
      <c r="S2208" s="30"/>
      <c r="T2208" s="30"/>
      <c r="U2208" s="30"/>
      <c r="V2208" s="30"/>
      <c r="W2208" s="30"/>
      <c r="X2208" s="30"/>
      <c r="Y2208" s="30"/>
      <c r="Z2208" s="30"/>
      <c r="AA2208" s="30"/>
    </row>
    <row r="2209">
      <c r="A2209" s="29">
        <v>1920429.0</v>
      </c>
      <c r="B2209" s="29">
        <v>1916758.0</v>
      </c>
      <c r="C2209" s="30" t="str">
        <f t="shared" si="1"/>
        <v>-</v>
      </c>
      <c r="D2209" s="29">
        <f t="shared" si="2"/>
        <v>735</v>
      </c>
      <c r="E2209" s="30"/>
      <c r="F2209" s="30"/>
      <c r="G2209" s="30"/>
      <c r="H2209" s="30"/>
      <c r="I2209" s="30"/>
      <c r="J2209" s="30"/>
      <c r="K2209" s="30"/>
      <c r="L2209" s="30"/>
      <c r="M2209" s="30"/>
      <c r="N2209" s="30"/>
      <c r="O2209" s="30"/>
      <c r="P2209" s="30"/>
      <c r="Q2209" s="30"/>
      <c r="R2209" s="30"/>
      <c r="S2209" s="30"/>
      <c r="T2209" s="30"/>
      <c r="U2209" s="30"/>
      <c r="V2209" s="30"/>
      <c r="W2209" s="30"/>
      <c r="X2209" s="30"/>
      <c r="Y2209" s="30"/>
      <c r="Z2209" s="30"/>
      <c r="AA2209" s="30"/>
    </row>
    <row r="2210">
      <c r="A2210" s="29">
        <v>1920549.0</v>
      </c>
      <c r="B2210" s="29">
        <v>1920950.0</v>
      </c>
      <c r="C2210" s="30" t="str">
        <f t="shared" si="1"/>
        <v>+</v>
      </c>
      <c r="D2210" s="29">
        <f t="shared" si="2"/>
        <v>736</v>
      </c>
      <c r="E2210" s="30"/>
      <c r="F2210" s="30"/>
      <c r="G2210" s="30"/>
      <c r="H2210" s="30"/>
      <c r="I2210" s="30"/>
      <c r="J2210" s="30"/>
      <c r="K2210" s="30"/>
      <c r="L2210" s="30"/>
      <c r="M2210" s="30"/>
      <c r="N2210" s="30"/>
      <c r="O2210" s="30"/>
      <c r="P2210" s="30"/>
      <c r="Q2210" s="30"/>
      <c r="R2210" s="30"/>
      <c r="S2210" s="30"/>
      <c r="T2210" s="30"/>
      <c r="U2210" s="30"/>
      <c r="V2210" s="30"/>
      <c r="W2210" s="30"/>
      <c r="X2210" s="30"/>
      <c r="Y2210" s="30"/>
      <c r="Z2210" s="30"/>
      <c r="AA2210" s="30"/>
    </row>
    <row r="2211">
      <c r="A2211" s="29">
        <v>1921476.0</v>
      </c>
      <c r="B2211" s="29">
        <v>1920940.0</v>
      </c>
      <c r="C2211" s="30" t="str">
        <f t="shared" si="1"/>
        <v>-</v>
      </c>
      <c r="D2211" s="29">
        <f t="shared" si="2"/>
        <v>737</v>
      </c>
      <c r="E2211" s="30"/>
      <c r="F2211" s="30"/>
      <c r="G2211" s="30"/>
      <c r="H2211" s="30"/>
      <c r="I2211" s="30"/>
      <c r="J2211" s="30"/>
      <c r="K2211" s="30"/>
      <c r="L2211" s="30"/>
      <c r="M2211" s="30"/>
      <c r="N2211" s="30"/>
      <c r="O2211" s="30"/>
      <c r="P2211" s="30"/>
      <c r="Q2211" s="30"/>
      <c r="R2211" s="30"/>
      <c r="S2211" s="30"/>
      <c r="T2211" s="30"/>
      <c r="U2211" s="30"/>
      <c r="V2211" s="30"/>
      <c r="W2211" s="30"/>
      <c r="X2211" s="30"/>
      <c r="Y2211" s="30"/>
      <c r="Z2211" s="30"/>
      <c r="AA2211" s="30"/>
    </row>
    <row r="2212">
      <c r="A2212" s="29">
        <v>1921601.0</v>
      </c>
      <c r="B2212" s="29">
        <v>1923259.0</v>
      </c>
      <c r="C2212" s="30" t="str">
        <f t="shared" si="1"/>
        <v>+</v>
      </c>
      <c r="D2212" s="29">
        <f t="shared" si="2"/>
        <v>738</v>
      </c>
      <c r="E2212" s="30"/>
      <c r="F2212" s="30"/>
      <c r="G2212" s="30"/>
      <c r="H2212" s="30"/>
      <c r="I2212" s="30"/>
      <c r="J2212" s="30"/>
      <c r="K2212" s="30"/>
      <c r="L2212" s="30"/>
      <c r="M2212" s="30"/>
      <c r="N2212" s="30"/>
      <c r="O2212" s="30"/>
      <c r="P2212" s="30"/>
      <c r="Q2212" s="30"/>
      <c r="R2212" s="30"/>
      <c r="S2212" s="30"/>
      <c r="T2212" s="30"/>
      <c r="U2212" s="30"/>
      <c r="V2212" s="30"/>
      <c r="W2212" s="30"/>
      <c r="X2212" s="30"/>
      <c r="Y2212" s="30"/>
      <c r="Z2212" s="30"/>
      <c r="AA2212" s="30"/>
    </row>
    <row r="2213">
      <c r="A2213" s="29">
        <v>1923341.0</v>
      </c>
      <c r="B2213" s="29">
        <v>1924999.0</v>
      </c>
      <c r="C2213" s="30" t="str">
        <f t="shared" si="1"/>
        <v>+</v>
      </c>
      <c r="D2213" s="29">
        <f t="shared" si="2"/>
        <v>738</v>
      </c>
      <c r="E2213" s="30"/>
      <c r="F2213" s="30"/>
      <c r="G2213" s="30"/>
      <c r="H2213" s="30"/>
      <c r="I2213" s="30"/>
      <c r="J2213" s="30"/>
      <c r="K2213" s="30"/>
      <c r="L2213" s="30"/>
      <c r="M2213" s="30"/>
      <c r="N2213" s="30"/>
      <c r="O2213" s="30"/>
      <c r="P2213" s="30"/>
      <c r="Q2213" s="30"/>
      <c r="R2213" s="30"/>
      <c r="S2213" s="30"/>
      <c r="T2213" s="30"/>
      <c r="U2213" s="30"/>
      <c r="V2213" s="30"/>
      <c r="W2213" s="30"/>
      <c r="X2213" s="30"/>
      <c r="Y2213" s="30"/>
      <c r="Z2213" s="30"/>
      <c r="AA2213" s="30"/>
    </row>
    <row r="2214">
      <c r="A2214" s="29">
        <v>1924996.0</v>
      </c>
      <c r="B2214" s="29">
        <v>1925460.0</v>
      </c>
      <c r="C2214" s="30" t="str">
        <f t="shared" si="1"/>
        <v>+</v>
      </c>
      <c r="D2214" s="29">
        <f t="shared" si="2"/>
        <v>738</v>
      </c>
      <c r="E2214" s="30"/>
      <c r="F2214" s="30"/>
      <c r="G2214" s="30"/>
      <c r="H2214" s="30"/>
      <c r="I2214" s="30"/>
      <c r="J2214" s="30"/>
      <c r="K2214" s="30"/>
      <c r="L2214" s="30"/>
      <c r="M2214" s="30"/>
      <c r="N2214" s="30"/>
      <c r="O2214" s="30"/>
      <c r="P2214" s="30"/>
      <c r="Q2214" s="30"/>
      <c r="R2214" s="30"/>
      <c r="S2214" s="30"/>
      <c r="T2214" s="30"/>
      <c r="U2214" s="30"/>
      <c r="V2214" s="30"/>
      <c r="W2214" s="30"/>
      <c r="X2214" s="30"/>
      <c r="Y2214" s="30"/>
      <c r="Z2214" s="30"/>
      <c r="AA2214" s="30"/>
    </row>
    <row r="2215">
      <c r="A2215" s="29">
        <v>1926239.0</v>
      </c>
      <c r="B2215" s="29">
        <v>1925457.0</v>
      </c>
      <c r="C2215" s="30" t="str">
        <f t="shared" si="1"/>
        <v>-</v>
      </c>
      <c r="D2215" s="29">
        <f t="shared" si="2"/>
        <v>739</v>
      </c>
      <c r="E2215" s="30"/>
      <c r="F2215" s="30"/>
      <c r="G2215" s="30"/>
      <c r="H2215" s="30"/>
      <c r="I2215" s="30"/>
      <c r="J2215" s="30"/>
      <c r="K2215" s="30"/>
      <c r="L2215" s="30"/>
      <c r="M2215" s="30"/>
      <c r="N2215" s="30"/>
      <c r="O2215" s="30"/>
      <c r="P2215" s="30"/>
      <c r="Q2215" s="30"/>
      <c r="R2215" s="30"/>
      <c r="S2215" s="30"/>
      <c r="T2215" s="30"/>
      <c r="U2215" s="30"/>
      <c r="V2215" s="30"/>
      <c r="W2215" s="30"/>
      <c r="X2215" s="30"/>
      <c r="Y2215" s="30"/>
      <c r="Z2215" s="30"/>
      <c r="AA2215" s="30"/>
    </row>
    <row r="2216">
      <c r="A2216" s="29">
        <v>1926504.0</v>
      </c>
      <c r="B2216" s="29">
        <v>1926944.0</v>
      </c>
      <c r="C2216" s="30" t="str">
        <f t="shared" si="1"/>
        <v>+</v>
      </c>
      <c r="D2216" s="29">
        <f t="shared" si="2"/>
        <v>740</v>
      </c>
      <c r="E2216" s="30"/>
      <c r="F2216" s="30"/>
      <c r="G2216" s="30"/>
      <c r="H2216" s="30"/>
      <c r="I2216" s="30"/>
      <c r="J2216" s="30"/>
      <c r="K2216" s="30"/>
      <c r="L2216" s="30"/>
      <c r="M2216" s="30"/>
      <c r="N2216" s="30"/>
      <c r="O2216" s="30"/>
      <c r="P2216" s="30"/>
      <c r="Q2216" s="30"/>
      <c r="R2216" s="30"/>
      <c r="S2216" s="30"/>
      <c r="T2216" s="30"/>
      <c r="U2216" s="30"/>
      <c r="V2216" s="30"/>
      <c r="W2216" s="30"/>
      <c r="X2216" s="30"/>
      <c r="Y2216" s="30"/>
      <c r="Z2216" s="30"/>
      <c r="AA2216" s="30"/>
    </row>
    <row r="2217">
      <c r="A2217" s="29">
        <v>1926907.0</v>
      </c>
      <c r="B2217" s="29">
        <v>1927239.0</v>
      </c>
      <c r="C2217" s="30" t="str">
        <f t="shared" si="1"/>
        <v>+</v>
      </c>
      <c r="D2217" s="29">
        <f t="shared" si="2"/>
        <v>740</v>
      </c>
      <c r="E2217" s="30"/>
      <c r="F2217" s="30"/>
      <c r="G2217" s="30"/>
      <c r="H2217" s="30"/>
      <c r="I2217" s="30"/>
      <c r="J2217" s="30"/>
      <c r="K2217" s="30"/>
      <c r="L2217" s="30"/>
      <c r="M2217" s="30"/>
      <c r="N2217" s="30"/>
      <c r="O2217" s="30"/>
      <c r="P2217" s="30"/>
      <c r="Q2217" s="30"/>
      <c r="R2217" s="30"/>
      <c r="S2217" s="30"/>
      <c r="T2217" s="30"/>
      <c r="U2217" s="30"/>
      <c r="V2217" s="30"/>
      <c r="W2217" s="30"/>
      <c r="X2217" s="30"/>
      <c r="Y2217" s="30"/>
      <c r="Z2217" s="30"/>
      <c r="AA2217" s="30"/>
    </row>
    <row r="2218">
      <c r="A2218" s="29">
        <v>1927522.0</v>
      </c>
      <c r="B2218" s="29">
        <v>1927232.0</v>
      </c>
      <c r="C2218" s="30" t="str">
        <f t="shared" si="1"/>
        <v>-</v>
      </c>
      <c r="D2218" s="29">
        <f t="shared" si="2"/>
        <v>741</v>
      </c>
      <c r="E2218" s="30"/>
      <c r="F2218" s="30"/>
      <c r="G2218" s="30"/>
      <c r="H2218" s="30"/>
      <c r="I2218" s="30"/>
      <c r="J2218" s="30"/>
      <c r="K2218" s="30"/>
      <c r="L2218" s="30"/>
      <c r="M2218" s="30"/>
      <c r="N2218" s="30"/>
      <c r="O2218" s="30"/>
      <c r="P2218" s="30"/>
      <c r="Q2218" s="30"/>
      <c r="R2218" s="30"/>
      <c r="S2218" s="30"/>
      <c r="T2218" s="30"/>
      <c r="U2218" s="30"/>
      <c r="V2218" s="30"/>
      <c r="W2218" s="30"/>
      <c r="X2218" s="30"/>
      <c r="Y2218" s="30"/>
      <c r="Z2218" s="30"/>
      <c r="AA2218" s="30"/>
    </row>
    <row r="2219">
      <c r="A2219" s="29">
        <v>1928006.0</v>
      </c>
      <c r="B2219" s="29">
        <v>1927608.0</v>
      </c>
      <c r="C2219" s="30" t="str">
        <f t="shared" si="1"/>
        <v>-</v>
      </c>
      <c r="D2219" s="29">
        <f t="shared" si="2"/>
        <v>741</v>
      </c>
      <c r="E2219" s="30"/>
      <c r="F2219" s="30"/>
      <c r="G2219" s="30"/>
      <c r="H2219" s="30"/>
      <c r="I2219" s="30"/>
      <c r="J2219" s="30"/>
      <c r="K2219" s="30"/>
      <c r="L2219" s="30"/>
      <c r="M2219" s="30"/>
      <c r="N2219" s="30"/>
      <c r="O2219" s="30"/>
      <c r="P2219" s="30"/>
      <c r="Q2219" s="30"/>
      <c r="R2219" s="30"/>
      <c r="S2219" s="30"/>
      <c r="T2219" s="30"/>
      <c r="U2219" s="30"/>
      <c r="V2219" s="30"/>
      <c r="W2219" s="30"/>
      <c r="X2219" s="30"/>
      <c r="Y2219" s="30"/>
      <c r="Z2219" s="30"/>
      <c r="AA2219" s="30"/>
    </row>
    <row r="2220">
      <c r="A2220" s="29">
        <v>1928103.0</v>
      </c>
      <c r="B2220" s="29">
        <v>1927990.0</v>
      </c>
      <c r="C2220" s="30" t="str">
        <f t="shared" si="1"/>
        <v>-</v>
      </c>
      <c r="D2220" s="29">
        <f t="shared" si="2"/>
        <v>741</v>
      </c>
      <c r="E2220" s="30"/>
      <c r="F2220" s="30"/>
      <c r="G2220" s="30"/>
      <c r="H2220" s="30"/>
      <c r="I2220" s="30"/>
      <c r="J2220" s="30"/>
      <c r="K2220" s="30"/>
      <c r="L2220" s="30"/>
      <c r="M2220" s="30"/>
      <c r="N2220" s="30"/>
      <c r="O2220" s="30"/>
      <c r="P2220" s="30"/>
      <c r="Q2220" s="30"/>
      <c r="R2220" s="30"/>
      <c r="S2220" s="30"/>
      <c r="T2220" s="30"/>
      <c r="U2220" s="30"/>
      <c r="V2220" s="30"/>
      <c r="W2220" s="30"/>
      <c r="X2220" s="30"/>
      <c r="Y2220" s="30"/>
      <c r="Z2220" s="30"/>
      <c r="AA2220" s="30"/>
    </row>
    <row r="2221">
      <c r="A2221" s="29">
        <v>1928441.0</v>
      </c>
      <c r="B2221" s="29">
        <v>1928716.0</v>
      </c>
      <c r="C2221" s="30" t="str">
        <f t="shared" si="1"/>
        <v>+</v>
      </c>
      <c r="D2221" s="29">
        <f t="shared" si="2"/>
        <v>742</v>
      </c>
      <c r="E2221" s="30"/>
      <c r="F2221" s="30"/>
      <c r="G2221" s="30"/>
      <c r="H2221" s="30"/>
      <c r="I2221" s="30"/>
      <c r="J2221" s="30"/>
      <c r="K2221" s="30"/>
      <c r="L2221" s="30"/>
      <c r="M2221" s="30"/>
      <c r="N2221" s="30"/>
      <c r="O2221" s="30"/>
      <c r="P2221" s="30"/>
      <c r="Q2221" s="30"/>
      <c r="R2221" s="30"/>
      <c r="S2221" s="30"/>
      <c r="T2221" s="30"/>
      <c r="U2221" s="30"/>
      <c r="V2221" s="30"/>
      <c r="W2221" s="30"/>
      <c r="X2221" s="30"/>
      <c r="Y2221" s="30"/>
      <c r="Z2221" s="30"/>
      <c r="AA2221" s="30"/>
    </row>
    <row r="2222">
      <c r="A2222" s="29">
        <v>1929956.0</v>
      </c>
      <c r="B2222" s="29">
        <v>1928973.0</v>
      </c>
      <c r="C2222" s="30" t="str">
        <f t="shared" si="1"/>
        <v>-</v>
      </c>
      <c r="D2222" s="29">
        <f t="shared" si="2"/>
        <v>743</v>
      </c>
      <c r="E2222" s="30"/>
      <c r="F2222" s="30"/>
      <c r="G2222" s="30"/>
      <c r="H2222" s="30"/>
      <c r="I2222" s="30"/>
      <c r="J2222" s="30"/>
      <c r="K2222" s="30"/>
      <c r="L2222" s="30"/>
      <c r="M2222" s="30"/>
      <c r="N2222" s="30"/>
      <c r="O2222" s="30"/>
      <c r="P2222" s="30"/>
      <c r="Q2222" s="30"/>
      <c r="R2222" s="30"/>
      <c r="S2222" s="30"/>
      <c r="T2222" s="30"/>
      <c r="U2222" s="30"/>
      <c r="V2222" s="30"/>
      <c r="W2222" s="30"/>
      <c r="X2222" s="30"/>
      <c r="Y2222" s="30"/>
      <c r="Z2222" s="30"/>
      <c r="AA2222" s="30"/>
    </row>
    <row r="2223">
      <c r="A2223" s="29">
        <v>1930116.0</v>
      </c>
      <c r="B2223" s="29">
        <v>1930733.0</v>
      </c>
      <c r="C2223" s="30" t="str">
        <f t="shared" si="1"/>
        <v>+</v>
      </c>
      <c r="D2223" s="29">
        <f t="shared" si="2"/>
        <v>744</v>
      </c>
      <c r="E2223" s="30"/>
      <c r="F2223" s="30"/>
      <c r="G2223" s="30"/>
      <c r="H2223" s="30"/>
      <c r="I2223" s="30"/>
      <c r="J2223" s="30"/>
      <c r="K2223" s="30"/>
      <c r="L2223" s="30"/>
      <c r="M2223" s="30"/>
      <c r="N2223" s="30"/>
      <c r="O2223" s="30"/>
      <c r="P2223" s="30"/>
      <c r="Q2223" s="30"/>
      <c r="R2223" s="30"/>
      <c r="S2223" s="30"/>
      <c r="T2223" s="30"/>
      <c r="U2223" s="30"/>
      <c r="V2223" s="30"/>
      <c r="W2223" s="30"/>
      <c r="X2223" s="30"/>
      <c r="Y2223" s="30"/>
      <c r="Z2223" s="30"/>
      <c r="AA2223" s="30"/>
    </row>
    <row r="2224">
      <c r="A2224" s="29">
        <v>1930733.0</v>
      </c>
      <c r="B2224" s="29">
        <v>1931458.0</v>
      </c>
      <c r="C2224" s="30" t="str">
        <f t="shared" si="1"/>
        <v>+</v>
      </c>
      <c r="D2224" s="29">
        <f t="shared" si="2"/>
        <v>744</v>
      </c>
      <c r="E2224" s="30"/>
      <c r="F2224" s="30"/>
      <c r="G2224" s="30"/>
      <c r="H2224" s="30"/>
      <c r="I2224" s="30"/>
      <c r="J2224" s="30"/>
      <c r="K2224" s="30"/>
      <c r="L2224" s="30"/>
      <c r="M2224" s="30"/>
      <c r="N2224" s="30"/>
      <c r="O2224" s="30"/>
      <c r="P2224" s="30"/>
      <c r="Q2224" s="30"/>
      <c r="R2224" s="30"/>
      <c r="S2224" s="30"/>
      <c r="T2224" s="30"/>
      <c r="U2224" s="30"/>
      <c r="V2224" s="30"/>
      <c r="W2224" s="30"/>
      <c r="X2224" s="30"/>
      <c r="Y2224" s="30"/>
      <c r="Z2224" s="30"/>
      <c r="AA2224" s="30"/>
    </row>
    <row r="2225">
      <c r="A2225" s="29">
        <v>1931797.0</v>
      </c>
      <c r="B2225" s="29">
        <v>1932303.0</v>
      </c>
      <c r="C2225" s="30" t="str">
        <f t="shared" si="1"/>
        <v>+</v>
      </c>
      <c r="D2225" s="29">
        <f t="shared" si="2"/>
        <v>744</v>
      </c>
      <c r="E2225" s="30"/>
      <c r="F2225" s="30"/>
      <c r="G2225" s="30"/>
      <c r="H2225" s="30"/>
      <c r="I2225" s="30"/>
      <c r="J2225" s="30"/>
      <c r="K2225" s="30"/>
      <c r="L2225" s="30"/>
      <c r="M2225" s="30"/>
      <c r="N2225" s="30"/>
      <c r="O2225" s="30"/>
      <c r="P2225" s="30"/>
      <c r="Q2225" s="30"/>
      <c r="R2225" s="30"/>
      <c r="S2225" s="30"/>
      <c r="T2225" s="30"/>
      <c r="U2225" s="30"/>
      <c r="V2225" s="30"/>
      <c r="W2225" s="30"/>
      <c r="X2225" s="30"/>
      <c r="Y2225" s="30"/>
      <c r="Z2225" s="30"/>
      <c r="AA2225" s="30"/>
    </row>
    <row r="2226">
      <c r="A2226" s="29">
        <v>1932359.0</v>
      </c>
      <c r="B2226" s="29">
        <v>1932553.0</v>
      </c>
      <c r="C2226" s="30" t="str">
        <f t="shared" si="1"/>
        <v>+</v>
      </c>
      <c r="D2226" s="29">
        <f t="shared" si="2"/>
        <v>744</v>
      </c>
      <c r="E2226" s="30"/>
      <c r="F2226" s="30"/>
      <c r="G2226" s="30"/>
      <c r="H2226" s="30"/>
      <c r="I2226" s="30"/>
      <c r="J2226" s="30"/>
      <c r="K2226" s="30"/>
      <c r="L2226" s="30"/>
      <c r="M2226" s="30"/>
      <c r="N2226" s="30"/>
      <c r="O2226" s="30"/>
      <c r="P2226" s="30"/>
      <c r="Q2226" s="30"/>
      <c r="R2226" s="30"/>
      <c r="S2226" s="30"/>
      <c r="T2226" s="30"/>
      <c r="U2226" s="30"/>
      <c r="V2226" s="30"/>
      <c r="W2226" s="30"/>
      <c r="X2226" s="30"/>
      <c r="Y2226" s="30"/>
      <c r="Z2226" s="30"/>
      <c r="AA2226" s="30"/>
    </row>
    <row r="2227">
      <c r="A2227" s="29">
        <v>1933627.0</v>
      </c>
      <c r="B2227" s="29">
        <v>1933277.0</v>
      </c>
      <c r="C2227" s="30" t="str">
        <f t="shared" si="1"/>
        <v>-</v>
      </c>
      <c r="D2227" s="29">
        <f t="shared" si="2"/>
        <v>745</v>
      </c>
      <c r="E2227" s="30"/>
      <c r="F2227" s="30"/>
      <c r="G2227" s="30"/>
      <c r="H2227" s="30"/>
      <c r="I2227" s="30"/>
      <c r="J2227" s="30"/>
      <c r="K2227" s="30"/>
      <c r="L2227" s="30"/>
      <c r="M2227" s="30"/>
      <c r="N2227" s="30"/>
      <c r="O2227" s="30"/>
      <c r="P2227" s="30"/>
      <c r="Q2227" s="30"/>
      <c r="R2227" s="30"/>
      <c r="S2227" s="30"/>
      <c r="T2227" s="30"/>
      <c r="U2227" s="30"/>
      <c r="V2227" s="30"/>
      <c r="W2227" s="30"/>
      <c r="X2227" s="30"/>
      <c r="Y2227" s="30"/>
      <c r="Z2227" s="30"/>
      <c r="AA2227" s="30"/>
    </row>
    <row r="2228">
      <c r="A2228" s="29">
        <v>1934324.0</v>
      </c>
      <c r="B2228" s="29">
        <v>1933923.0</v>
      </c>
      <c r="C2228" s="30" t="str">
        <f t="shared" si="1"/>
        <v>-</v>
      </c>
      <c r="D2228" s="29">
        <f t="shared" si="2"/>
        <v>745</v>
      </c>
      <c r="E2228" s="30"/>
      <c r="F2228" s="30"/>
      <c r="G2228" s="30"/>
      <c r="H2228" s="30"/>
      <c r="I2228" s="30"/>
      <c r="J2228" s="30"/>
      <c r="K2228" s="30"/>
      <c r="L2228" s="30"/>
      <c r="M2228" s="30"/>
      <c r="N2228" s="30"/>
      <c r="O2228" s="30"/>
      <c r="P2228" s="30"/>
      <c r="Q2228" s="30"/>
      <c r="R2228" s="30"/>
      <c r="S2228" s="30"/>
      <c r="T2228" s="30"/>
      <c r="U2228" s="30"/>
      <c r="V2228" s="30"/>
      <c r="W2228" s="30"/>
      <c r="X2228" s="30"/>
      <c r="Y2228" s="30"/>
      <c r="Z2228" s="30"/>
      <c r="AA2228" s="30"/>
    </row>
    <row r="2229">
      <c r="A2229" s="29">
        <v>1934397.0</v>
      </c>
      <c r="B2229" s="29">
        <v>1935563.0</v>
      </c>
      <c r="C2229" s="30" t="str">
        <f t="shared" si="1"/>
        <v>+</v>
      </c>
      <c r="D2229" s="29">
        <f t="shared" si="2"/>
        <v>746</v>
      </c>
      <c r="E2229" s="30"/>
      <c r="F2229" s="30"/>
      <c r="G2229" s="30"/>
      <c r="H2229" s="30"/>
      <c r="I2229" s="30"/>
      <c r="J2229" s="30"/>
      <c r="K2229" s="30"/>
      <c r="L2229" s="30"/>
      <c r="M2229" s="30"/>
      <c r="N2229" s="30"/>
      <c r="O2229" s="30"/>
      <c r="P2229" s="30"/>
      <c r="Q2229" s="30"/>
      <c r="R2229" s="30"/>
      <c r="S2229" s="30"/>
      <c r="T2229" s="30"/>
      <c r="U2229" s="30"/>
      <c r="V2229" s="30"/>
      <c r="W2229" s="30"/>
      <c r="X2229" s="30"/>
      <c r="Y2229" s="30"/>
      <c r="Z2229" s="30"/>
      <c r="AA2229" s="30"/>
    </row>
    <row r="2230">
      <c r="A2230" s="29">
        <v>1936490.0</v>
      </c>
      <c r="B2230" s="29">
        <v>1935570.0</v>
      </c>
      <c r="C2230" s="30" t="str">
        <f t="shared" si="1"/>
        <v>-</v>
      </c>
      <c r="D2230" s="29">
        <f t="shared" si="2"/>
        <v>747</v>
      </c>
      <c r="E2230" s="30"/>
      <c r="F2230" s="30"/>
      <c r="G2230" s="30"/>
      <c r="H2230" s="30"/>
      <c r="I2230" s="30"/>
      <c r="J2230" s="30"/>
      <c r="K2230" s="30"/>
      <c r="L2230" s="30"/>
      <c r="M2230" s="30"/>
      <c r="N2230" s="30"/>
      <c r="O2230" s="30"/>
      <c r="P2230" s="30"/>
      <c r="Q2230" s="30"/>
      <c r="R2230" s="30"/>
      <c r="S2230" s="30"/>
      <c r="T2230" s="30"/>
      <c r="U2230" s="30"/>
      <c r="V2230" s="30"/>
      <c r="W2230" s="30"/>
      <c r="X2230" s="30"/>
      <c r="Y2230" s="30"/>
      <c r="Z2230" s="30"/>
      <c r="AA2230" s="30"/>
    </row>
    <row r="2231">
      <c r="A2231" s="29">
        <v>1937633.0</v>
      </c>
      <c r="B2231" s="29">
        <v>1936518.0</v>
      </c>
      <c r="C2231" s="30" t="str">
        <f t="shared" si="1"/>
        <v>-</v>
      </c>
      <c r="D2231" s="29">
        <f t="shared" si="2"/>
        <v>747</v>
      </c>
      <c r="E2231" s="30"/>
      <c r="F2231" s="30"/>
      <c r="G2231" s="30"/>
      <c r="H2231" s="30"/>
      <c r="I2231" s="30"/>
      <c r="J2231" s="30"/>
      <c r="K2231" s="30"/>
      <c r="L2231" s="30"/>
      <c r="M2231" s="30"/>
      <c r="N2231" s="30"/>
      <c r="O2231" s="30"/>
      <c r="P2231" s="30"/>
      <c r="Q2231" s="30"/>
      <c r="R2231" s="30"/>
      <c r="S2231" s="30"/>
      <c r="T2231" s="30"/>
      <c r="U2231" s="30"/>
      <c r="V2231" s="30"/>
      <c r="W2231" s="30"/>
      <c r="X2231" s="30"/>
      <c r="Y2231" s="30"/>
      <c r="Z2231" s="30"/>
      <c r="AA2231" s="30"/>
    </row>
    <row r="2232">
      <c r="A2232" s="29">
        <v>1938159.0</v>
      </c>
      <c r="B2232" s="29">
        <v>1937626.0</v>
      </c>
      <c r="C2232" s="30" t="str">
        <f t="shared" si="1"/>
        <v>-</v>
      </c>
      <c r="D2232" s="29">
        <f t="shared" si="2"/>
        <v>747</v>
      </c>
      <c r="E2232" s="30"/>
      <c r="F2232" s="30"/>
      <c r="G2232" s="30"/>
      <c r="H2232" s="30"/>
      <c r="I2232" s="30"/>
      <c r="J2232" s="30"/>
      <c r="K2232" s="30"/>
      <c r="L2232" s="30"/>
      <c r="M2232" s="30"/>
      <c r="N2232" s="30"/>
      <c r="O2232" s="30"/>
      <c r="P2232" s="30"/>
      <c r="Q2232" s="30"/>
      <c r="R2232" s="30"/>
      <c r="S2232" s="30"/>
      <c r="T2232" s="30"/>
      <c r="U2232" s="30"/>
      <c r="V2232" s="30"/>
      <c r="W2232" s="30"/>
      <c r="X2232" s="30"/>
      <c r="Y2232" s="30"/>
      <c r="Z2232" s="30"/>
      <c r="AA2232" s="30"/>
    </row>
    <row r="2233">
      <c r="A2233" s="29">
        <v>1939820.0</v>
      </c>
      <c r="B2233" s="29">
        <v>1938417.0</v>
      </c>
      <c r="C2233" s="30" t="str">
        <f t="shared" si="1"/>
        <v>-</v>
      </c>
      <c r="D2233" s="29">
        <f t="shared" si="2"/>
        <v>747</v>
      </c>
      <c r="E2233" s="30"/>
      <c r="F2233" s="30"/>
      <c r="G2233" s="30"/>
      <c r="H2233" s="30"/>
      <c r="I2233" s="30"/>
      <c r="J2233" s="30"/>
      <c r="K2233" s="30"/>
      <c r="L2233" s="30"/>
      <c r="M2233" s="30"/>
      <c r="N2233" s="30"/>
      <c r="O2233" s="30"/>
      <c r="P2233" s="30"/>
      <c r="Q2233" s="30"/>
      <c r="R2233" s="30"/>
      <c r="S2233" s="30"/>
      <c r="T2233" s="30"/>
      <c r="U2233" s="30"/>
      <c r="V2233" s="30"/>
      <c r="W2233" s="30"/>
      <c r="X2233" s="30"/>
      <c r="Y2233" s="30"/>
      <c r="Z2233" s="30"/>
      <c r="AA2233" s="30"/>
    </row>
    <row r="2234">
      <c r="A2234" s="29">
        <v>1939863.0</v>
      </c>
      <c r="B2234" s="29">
        <v>1940717.0</v>
      </c>
      <c r="C2234" s="30" t="str">
        <f t="shared" si="1"/>
        <v>+</v>
      </c>
      <c r="D2234" s="29">
        <f t="shared" si="2"/>
        <v>748</v>
      </c>
      <c r="E2234" s="30"/>
      <c r="F2234" s="30"/>
      <c r="G2234" s="30"/>
      <c r="H2234" s="30"/>
      <c r="I2234" s="30"/>
      <c r="J2234" s="30"/>
      <c r="K2234" s="30"/>
      <c r="L2234" s="30"/>
      <c r="M2234" s="30"/>
      <c r="N2234" s="30"/>
      <c r="O2234" s="30"/>
      <c r="P2234" s="30"/>
      <c r="Q2234" s="30"/>
      <c r="R2234" s="30"/>
      <c r="S2234" s="30"/>
      <c r="T2234" s="30"/>
      <c r="U2234" s="30"/>
      <c r="V2234" s="30"/>
      <c r="W2234" s="30"/>
      <c r="X2234" s="30"/>
      <c r="Y2234" s="30"/>
      <c r="Z2234" s="30"/>
      <c r="AA2234" s="30"/>
    </row>
    <row r="2235">
      <c r="A2235" s="29">
        <v>1940996.0</v>
      </c>
      <c r="B2235" s="29">
        <v>1940718.0</v>
      </c>
      <c r="C2235" s="30" t="str">
        <f t="shared" si="1"/>
        <v>-</v>
      </c>
      <c r="D2235" s="29">
        <f t="shared" si="2"/>
        <v>749</v>
      </c>
      <c r="E2235" s="30"/>
      <c r="F2235" s="30"/>
      <c r="G2235" s="30"/>
      <c r="H2235" s="30"/>
      <c r="I2235" s="30"/>
      <c r="J2235" s="30"/>
      <c r="K2235" s="30"/>
      <c r="L2235" s="30"/>
      <c r="M2235" s="30"/>
      <c r="N2235" s="30"/>
      <c r="O2235" s="30"/>
      <c r="P2235" s="30"/>
      <c r="Q2235" s="30"/>
      <c r="R2235" s="30"/>
      <c r="S2235" s="30"/>
      <c r="T2235" s="30"/>
      <c r="U2235" s="30"/>
      <c r="V2235" s="30"/>
      <c r="W2235" s="30"/>
      <c r="X2235" s="30"/>
      <c r="Y2235" s="30"/>
      <c r="Z2235" s="30"/>
      <c r="AA2235" s="30"/>
    </row>
    <row r="2236">
      <c r="A2236" s="29">
        <v>1941709.0</v>
      </c>
      <c r="B2236" s="29">
        <v>1941020.0</v>
      </c>
      <c r="C2236" s="30" t="str">
        <f t="shared" si="1"/>
        <v>-</v>
      </c>
      <c r="D2236" s="29">
        <f t="shared" si="2"/>
        <v>749</v>
      </c>
      <c r="E2236" s="30"/>
      <c r="F2236" s="30"/>
      <c r="G2236" s="30"/>
      <c r="H2236" s="30"/>
      <c r="I2236" s="30"/>
      <c r="J2236" s="30"/>
      <c r="K2236" s="30"/>
      <c r="L2236" s="30"/>
      <c r="M2236" s="30"/>
      <c r="N2236" s="30"/>
      <c r="O2236" s="30"/>
      <c r="P2236" s="30"/>
      <c r="Q2236" s="30"/>
      <c r="R2236" s="30"/>
      <c r="S2236" s="30"/>
      <c r="T2236" s="30"/>
      <c r="U2236" s="30"/>
      <c r="V2236" s="30"/>
      <c r="W2236" s="30"/>
      <c r="X2236" s="30"/>
      <c r="Y2236" s="30"/>
      <c r="Z2236" s="30"/>
      <c r="AA2236" s="30"/>
    </row>
    <row r="2237">
      <c r="A2237" s="29">
        <v>1941736.0</v>
      </c>
      <c r="B2237" s="29">
        <v>1942509.0</v>
      </c>
      <c r="C2237" s="30" t="str">
        <f t="shared" si="1"/>
        <v>+</v>
      </c>
      <c r="D2237" s="29">
        <f t="shared" si="2"/>
        <v>750</v>
      </c>
      <c r="E2237" s="30"/>
      <c r="F2237" s="30"/>
      <c r="G2237" s="30"/>
      <c r="H2237" s="30"/>
      <c r="I2237" s="30"/>
      <c r="J2237" s="30"/>
      <c r="K2237" s="30"/>
      <c r="L2237" s="30"/>
      <c r="M2237" s="30"/>
      <c r="N2237" s="30"/>
      <c r="O2237" s="30"/>
      <c r="P2237" s="30"/>
      <c r="Q2237" s="30"/>
      <c r="R2237" s="30"/>
      <c r="S2237" s="30"/>
      <c r="T2237" s="30"/>
      <c r="U2237" s="30"/>
      <c r="V2237" s="30"/>
      <c r="W2237" s="30"/>
      <c r="X2237" s="30"/>
      <c r="Y2237" s="30"/>
      <c r="Z2237" s="30"/>
      <c r="AA2237" s="30"/>
    </row>
    <row r="2238">
      <c r="A2238" s="29">
        <v>1942539.0</v>
      </c>
      <c r="B2238" s="29">
        <v>1943189.0</v>
      </c>
      <c r="C2238" s="30" t="str">
        <f t="shared" si="1"/>
        <v>+</v>
      </c>
      <c r="D2238" s="29">
        <f t="shared" si="2"/>
        <v>750</v>
      </c>
      <c r="E2238" s="30"/>
      <c r="F2238" s="30"/>
      <c r="G2238" s="30"/>
      <c r="H2238" s="30"/>
      <c r="I2238" s="30"/>
      <c r="J2238" s="30"/>
      <c r="K2238" s="30"/>
      <c r="L2238" s="30"/>
      <c r="M2238" s="30"/>
      <c r="N2238" s="30"/>
      <c r="O2238" s="30"/>
      <c r="P2238" s="30"/>
      <c r="Q2238" s="30"/>
      <c r="R2238" s="30"/>
      <c r="S2238" s="30"/>
      <c r="T2238" s="30"/>
      <c r="U2238" s="30"/>
      <c r="V2238" s="30"/>
      <c r="W2238" s="30"/>
      <c r="X2238" s="30"/>
      <c r="Y2238" s="30"/>
      <c r="Z2238" s="30"/>
      <c r="AA2238" s="30"/>
    </row>
    <row r="2239">
      <c r="A2239" s="29">
        <v>1943669.0</v>
      </c>
      <c r="B2239" s="29">
        <v>1943190.0</v>
      </c>
      <c r="C2239" s="30" t="str">
        <f t="shared" si="1"/>
        <v>-</v>
      </c>
      <c r="D2239" s="29">
        <f t="shared" si="2"/>
        <v>751</v>
      </c>
      <c r="E2239" s="30"/>
      <c r="F2239" s="30"/>
      <c r="G2239" s="30"/>
      <c r="H2239" s="30"/>
      <c r="I2239" s="30"/>
      <c r="J2239" s="30"/>
      <c r="K2239" s="30"/>
      <c r="L2239" s="30"/>
      <c r="M2239" s="30"/>
      <c r="N2239" s="30"/>
      <c r="O2239" s="30"/>
      <c r="P2239" s="30"/>
      <c r="Q2239" s="30"/>
      <c r="R2239" s="30"/>
      <c r="S2239" s="30"/>
      <c r="T2239" s="30"/>
      <c r="U2239" s="30"/>
      <c r="V2239" s="30"/>
      <c r="W2239" s="30"/>
      <c r="X2239" s="30"/>
      <c r="Y2239" s="30"/>
      <c r="Z2239" s="30"/>
      <c r="AA2239" s="30"/>
    </row>
    <row r="2240">
      <c r="A2240" s="29">
        <v>1943735.0</v>
      </c>
      <c r="B2240" s="29">
        <v>1944469.0</v>
      </c>
      <c r="C2240" s="30" t="str">
        <f t="shared" si="1"/>
        <v>+</v>
      </c>
      <c r="D2240" s="29">
        <f t="shared" si="2"/>
        <v>752</v>
      </c>
      <c r="E2240" s="30"/>
      <c r="F2240" s="30"/>
      <c r="G2240" s="30"/>
      <c r="H2240" s="30"/>
      <c r="I2240" s="30"/>
      <c r="J2240" s="30"/>
      <c r="K2240" s="30"/>
      <c r="L2240" s="30"/>
      <c r="M2240" s="30"/>
      <c r="N2240" s="30"/>
      <c r="O2240" s="30"/>
      <c r="P2240" s="30"/>
      <c r="Q2240" s="30"/>
      <c r="R2240" s="30"/>
      <c r="S2240" s="30"/>
      <c r="T2240" s="30"/>
      <c r="U2240" s="30"/>
      <c r="V2240" s="30"/>
      <c r="W2240" s="30"/>
      <c r="X2240" s="30"/>
      <c r="Y2240" s="30"/>
      <c r="Z2240" s="30"/>
      <c r="AA2240" s="30"/>
    </row>
    <row r="2241">
      <c r="A2241" s="29">
        <v>1944469.0</v>
      </c>
      <c r="B2241" s="29">
        <v>1944999.0</v>
      </c>
      <c r="C2241" s="30" t="str">
        <f t="shared" si="1"/>
        <v>+</v>
      </c>
      <c r="D2241" s="29">
        <f t="shared" si="2"/>
        <v>752</v>
      </c>
      <c r="E2241" s="30"/>
      <c r="F2241" s="30"/>
      <c r="G2241" s="30"/>
      <c r="H2241" s="30"/>
      <c r="I2241" s="30"/>
      <c r="J2241" s="30"/>
      <c r="K2241" s="30"/>
      <c r="L2241" s="30"/>
      <c r="M2241" s="30"/>
      <c r="N2241" s="30"/>
      <c r="O2241" s="30"/>
      <c r="P2241" s="30"/>
      <c r="Q2241" s="30"/>
      <c r="R2241" s="30"/>
      <c r="S2241" s="30"/>
      <c r="T2241" s="30"/>
      <c r="U2241" s="30"/>
      <c r="V2241" s="30"/>
      <c r="W2241" s="30"/>
      <c r="X2241" s="30"/>
      <c r="Y2241" s="30"/>
      <c r="Z2241" s="30"/>
      <c r="AA2241" s="30"/>
    </row>
    <row r="2242">
      <c r="A2242" s="29">
        <v>1945024.0</v>
      </c>
      <c r="B2242" s="29">
        <v>1945449.0</v>
      </c>
      <c r="C2242" s="30" t="str">
        <f t="shared" si="1"/>
        <v>+</v>
      </c>
      <c r="D2242" s="29">
        <f t="shared" si="2"/>
        <v>752</v>
      </c>
      <c r="E2242" s="30"/>
      <c r="F2242" s="30"/>
      <c r="G2242" s="30"/>
      <c r="H2242" s="30"/>
      <c r="I2242" s="30"/>
      <c r="J2242" s="30"/>
      <c r="K2242" s="30"/>
      <c r="L2242" s="30"/>
      <c r="M2242" s="30"/>
      <c r="N2242" s="30"/>
      <c r="O2242" s="30"/>
      <c r="P2242" s="30"/>
      <c r="Q2242" s="30"/>
      <c r="R2242" s="30"/>
      <c r="S2242" s="30"/>
      <c r="T2242" s="30"/>
      <c r="U2242" s="30"/>
      <c r="V2242" s="30"/>
      <c r="W2242" s="30"/>
      <c r="X2242" s="30"/>
      <c r="Y2242" s="30"/>
      <c r="Z2242" s="30"/>
      <c r="AA2242" s="30"/>
    </row>
    <row r="2243">
      <c r="A2243" s="29">
        <v>1945542.0</v>
      </c>
      <c r="B2243" s="29">
        <v>1946549.0</v>
      </c>
      <c r="C2243" s="30" t="str">
        <f t="shared" si="1"/>
        <v>+</v>
      </c>
      <c r="D2243" s="29">
        <f t="shared" si="2"/>
        <v>752</v>
      </c>
      <c r="E2243" s="30"/>
      <c r="F2243" s="30"/>
      <c r="G2243" s="30"/>
      <c r="H2243" s="30"/>
      <c r="I2243" s="30"/>
      <c r="J2243" s="30"/>
      <c r="K2243" s="30"/>
      <c r="L2243" s="30"/>
      <c r="M2243" s="30"/>
      <c r="N2243" s="30"/>
      <c r="O2243" s="30"/>
      <c r="P2243" s="30"/>
      <c r="Q2243" s="30"/>
      <c r="R2243" s="30"/>
      <c r="S2243" s="30"/>
      <c r="T2243" s="30"/>
      <c r="U2243" s="30"/>
      <c r="V2243" s="30"/>
      <c r="W2243" s="30"/>
      <c r="X2243" s="30"/>
      <c r="Y2243" s="30"/>
      <c r="Z2243" s="30"/>
      <c r="AA2243" s="30"/>
    </row>
    <row r="2244">
      <c r="A2244" s="29">
        <v>1946546.0</v>
      </c>
      <c r="B2244" s="29">
        <v>1947160.0</v>
      </c>
      <c r="C2244" s="30" t="str">
        <f t="shared" si="1"/>
        <v>+</v>
      </c>
      <c r="D2244" s="29">
        <f t="shared" si="2"/>
        <v>752</v>
      </c>
      <c r="E2244" s="30"/>
      <c r="F2244" s="30"/>
      <c r="G2244" s="30"/>
      <c r="H2244" s="30"/>
      <c r="I2244" s="30"/>
      <c r="J2244" s="30"/>
      <c r="K2244" s="30"/>
      <c r="L2244" s="30"/>
      <c r="M2244" s="30"/>
      <c r="N2244" s="30"/>
      <c r="O2244" s="30"/>
      <c r="P2244" s="30"/>
      <c r="Q2244" s="30"/>
      <c r="R2244" s="30"/>
      <c r="S2244" s="30"/>
      <c r="T2244" s="30"/>
      <c r="U2244" s="30"/>
      <c r="V2244" s="30"/>
      <c r="W2244" s="30"/>
      <c r="X2244" s="30"/>
      <c r="Y2244" s="30"/>
      <c r="Z2244" s="30"/>
      <c r="AA2244" s="30"/>
    </row>
    <row r="2245">
      <c r="A2245" s="29">
        <v>1948292.0</v>
      </c>
      <c r="B2245" s="29">
        <v>1947489.0</v>
      </c>
      <c r="C2245" s="30" t="str">
        <f t="shared" si="1"/>
        <v>-</v>
      </c>
      <c r="D2245" s="29">
        <f t="shared" si="2"/>
        <v>753</v>
      </c>
      <c r="E2245" s="30"/>
      <c r="F2245" s="30"/>
      <c r="G2245" s="30"/>
      <c r="H2245" s="30"/>
      <c r="I2245" s="30"/>
      <c r="J2245" s="30"/>
      <c r="K2245" s="30"/>
      <c r="L2245" s="30"/>
      <c r="M2245" s="30"/>
      <c r="N2245" s="30"/>
      <c r="O2245" s="30"/>
      <c r="P2245" s="30"/>
      <c r="Q2245" s="30"/>
      <c r="R2245" s="30"/>
      <c r="S2245" s="30"/>
      <c r="T2245" s="30"/>
      <c r="U2245" s="30"/>
      <c r="V2245" s="30"/>
      <c r="W2245" s="30"/>
      <c r="X2245" s="30"/>
      <c r="Y2245" s="30"/>
      <c r="Z2245" s="30"/>
      <c r="AA2245" s="30"/>
    </row>
    <row r="2246">
      <c r="A2246" s="29">
        <v>1949075.0</v>
      </c>
      <c r="B2246" s="29">
        <v>1948320.0</v>
      </c>
      <c r="C2246" s="30" t="str">
        <f t="shared" si="1"/>
        <v>-</v>
      </c>
      <c r="D2246" s="29">
        <f t="shared" si="2"/>
        <v>753</v>
      </c>
      <c r="E2246" s="30"/>
      <c r="F2246" s="30"/>
      <c r="G2246" s="30"/>
      <c r="H2246" s="30"/>
      <c r="I2246" s="30"/>
      <c r="J2246" s="30"/>
      <c r="K2246" s="30"/>
      <c r="L2246" s="30"/>
      <c r="M2246" s="30"/>
      <c r="N2246" s="30"/>
      <c r="O2246" s="30"/>
      <c r="P2246" s="30"/>
      <c r="Q2246" s="30"/>
      <c r="R2246" s="30"/>
      <c r="S2246" s="30"/>
      <c r="T2246" s="30"/>
      <c r="U2246" s="30"/>
      <c r="V2246" s="30"/>
      <c r="W2246" s="30"/>
      <c r="X2246" s="30"/>
      <c r="Y2246" s="30"/>
      <c r="Z2246" s="30"/>
      <c r="AA2246" s="30"/>
    </row>
    <row r="2247">
      <c r="A2247" s="29">
        <v>1949567.0</v>
      </c>
      <c r="B2247" s="29">
        <v>1950688.0</v>
      </c>
      <c r="C2247" s="30" t="str">
        <f t="shared" si="1"/>
        <v>+</v>
      </c>
      <c r="D2247" s="29">
        <f t="shared" si="2"/>
        <v>754</v>
      </c>
      <c r="E2247" s="30"/>
      <c r="F2247" s="30"/>
      <c r="G2247" s="30"/>
      <c r="H2247" s="30"/>
      <c r="I2247" s="30"/>
      <c r="J2247" s="30"/>
      <c r="K2247" s="30"/>
      <c r="L2247" s="30"/>
      <c r="M2247" s="30"/>
      <c r="N2247" s="30"/>
      <c r="O2247" s="30"/>
      <c r="P2247" s="30"/>
      <c r="Q2247" s="30"/>
      <c r="R2247" s="30"/>
      <c r="S2247" s="30"/>
      <c r="T2247" s="30"/>
      <c r="U2247" s="30"/>
      <c r="V2247" s="30"/>
      <c r="W2247" s="30"/>
      <c r="X2247" s="30"/>
      <c r="Y2247" s="30"/>
      <c r="Z2247" s="30"/>
      <c r="AA2247" s="30"/>
    </row>
    <row r="2248">
      <c r="A2248" s="29">
        <v>1951118.0</v>
      </c>
      <c r="B2248" s="29">
        <v>1951303.0</v>
      </c>
      <c r="C2248" s="30" t="str">
        <f t="shared" si="1"/>
        <v>+</v>
      </c>
      <c r="D2248" s="29">
        <f t="shared" si="2"/>
        <v>754</v>
      </c>
      <c r="E2248" s="30"/>
      <c r="F2248" s="30"/>
      <c r="G2248" s="30"/>
      <c r="H2248" s="30"/>
      <c r="I2248" s="30"/>
      <c r="J2248" s="30"/>
      <c r="K2248" s="30"/>
      <c r="L2248" s="30"/>
      <c r="M2248" s="30"/>
      <c r="N2248" s="30"/>
      <c r="O2248" s="30"/>
      <c r="P2248" s="30"/>
      <c r="Q2248" s="30"/>
      <c r="R2248" s="30"/>
      <c r="S2248" s="30"/>
      <c r="T2248" s="30"/>
      <c r="U2248" s="30"/>
      <c r="V2248" s="30"/>
      <c r="W2248" s="30"/>
      <c r="X2248" s="30"/>
      <c r="Y2248" s="30"/>
      <c r="Z2248" s="30"/>
      <c r="AA2248" s="30"/>
    </row>
    <row r="2249">
      <c r="A2249" s="29">
        <v>1951886.0</v>
      </c>
      <c r="B2249" s="29">
        <v>1951653.0</v>
      </c>
      <c r="C2249" s="30" t="str">
        <f t="shared" si="1"/>
        <v>-</v>
      </c>
      <c r="D2249" s="29">
        <f t="shared" si="2"/>
        <v>755</v>
      </c>
      <c r="E2249" s="30"/>
      <c r="F2249" s="30"/>
      <c r="G2249" s="30"/>
      <c r="H2249" s="30"/>
      <c r="I2249" s="30"/>
      <c r="J2249" s="30"/>
      <c r="K2249" s="30"/>
      <c r="L2249" s="30"/>
      <c r="M2249" s="30"/>
      <c r="N2249" s="30"/>
      <c r="O2249" s="30"/>
      <c r="P2249" s="30"/>
      <c r="Q2249" s="30"/>
      <c r="R2249" s="30"/>
      <c r="S2249" s="30"/>
      <c r="T2249" s="30"/>
      <c r="U2249" s="30"/>
      <c r="V2249" s="30"/>
      <c r="W2249" s="30"/>
      <c r="X2249" s="30"/>
      <c r="Y2249" s="30"/>
      <c r="Z2249" s="30"/>
      <c r="AA2249" s="30"/>
    </row>
    <row r="2250">
      <c r="A2250" s="29">
        <v>1952208.0</v>
      </c>
      <c r="B2250" s="29">
        <v>1951876.0</v>
      </c>
      <c r="C2250" s="30" t="str">
        <f t="shared" si="1"/>
        <v>-</v>
      </c>
      <c r="D2250" s="29">
        <f t="shared" si="2"/>
        <v>755</v>
      </c>
      <c r="E2250" s="30"/>
      <c r="F2250" s="30"/>
      <c r="G2250" s="30"/>
      <c r="H2250" s="30"/>
      <c r="I2250" s="30"/>
      <c r="J2250" s="30"/>
      <c r="K2250" s="30"/>
      <c r="L2250" s="30"/>
      <c r="M2250" s="30"/>
      <c r="N2250" s="30"/>
      <c r="O2250" s="30"/>
      <c r="P2250" s="30"/>
      <c r="Q2250" s="30"/>
      <c r="R2250" s="30"/>
      <c r="S2250" s="30"/>
      <c r="T2250" s="30"/>
      <c r="U2250" s="30"/>
      <c r="V2250" s="30"/>
      <c r="W2250" s="30"/>
      <c r="X2250" s="30"/>
      <c r="Y2250" s="30"/>
      <c r="Z2250" s="30"/>
      <c r="AA2250" s="30"/>
    </row>
    <row r="2251">
      <c r="A2251" s="29">
        <v>1953144.0</v>
      </c>
      <c r="B2251" s="29">
        <v>1952239.0</v>
      </c>
      <c r="C2251" s="30" t="str">
        <f t="shared" si="1"/>
        <v>-</v>
      </c>
      <c r="D2251" s="29">
        <f t="shared" si="2"/>
        <v>755</v>
      </c>
      <c r="E2251" s="30"/>
      <c r="F2251" s="30"/>
      <c r="G2251" s="30"/>
      <c r="H2251" s="30"/>
      <c r="I2251" s="30"/>
      <c r="J2251" s="30"/>
      <c r="K2251" s="30"/>
      <c r="L2251" s="30"/>
      <c r="M2251" s="30"/>
      <c r="N2251" s="30"/>
      <c r="O2251" s="30"/>
      <c r="P2251" s="30"/>
      <c r="Q2251" s="30"/>
      <c r="R2251" s="30"/>
      <c r="S2251" s="30"/>
      <c r="T2251" s="30"/>
      <c r="U2251" s="30"/>
      <c r="V2251" s="30"/>
      <c r="W2251" s="30"/>
      <c r="X2251" s="30"/>
      <c r="Y2251" s="30"/>
      <c r="Z2251" s="30"/>
      <c r="AA2251" s="30"/>
    </row>
    <row r="2252">
      <c r="A2252" s="29">
        <v>1954297.0</v>
      </c>
      <c r="B2252" s="29">
        <v>1953170.0</v>
      </c>
      <c r="C2252" s="30" t="str">
        <f t="shared" si="1"/>
        <v>-</v>
      </c>
      <c r="D2252" s="29">
        <f t="shared" si="2"/>
        <v>755</v>
      </c>
      <c r="E2252" s="30"/>
      <c r="F2252" s="30"/>
      <c r="G2252" s="30"/>
      <c r="H2252" s="30"/>
      <c r="I2252" s="30"/>
      <c r="J2252" s="30"/>
      <c r="K2252" s="30"/>
      <c r="L2252" s="30"/>
      <c r="M2252" s="30"/>
      <c r="N2252" s="30"/>
      <c r="O2252" s="30"/>
      <c r="P2252" s="30"/>
      <c r="Q2252" s="30"/>
      <c r="R2252" s="30"/>
      <c r="S2252" s="30"/>
      <c r="T2252" s="30"/>
      <c r="U2252" s="30"/>
      <c r="V2252" s="30"/>
      <c r="W2252" s="30"/>
      <c r="X2252" s="30"/>
      <c r="Y2252" s="30"/>
      <c r="Z2252" s="30"/>
      <c r="AA2252" s="30"/>
    </row>
    <row r="2253">
      <c r="A2253" s="29">
        <v>1954909.0</v>
      </c>
      <c r="B2253" s="29">
        <v>1954376.0</v>
      </c>
      <c r="C2253" s="30" t="str">
        <f t="shared" si="1"/>
        <v>-</v>
      </c>
      <c r="D2253" s="29">
        <f t="shared" si="2"/>
        <v>755</v>
      </c>
      <c r="E2253" s="30"/>
      <c r="F2253" s="30"/>
      <c r="G2253" s="30"/>
      <c r="H2253" s="30"/>
      <c r="I2253" s="30"/>
      <c r="J2253" s="30"/>
      <c r="K2253" s="30"/>
      <c r="L2253" s="30"/>
      <c r="M2253" s="30"/>
      <c r="N2253" s="30"/>
      <c r="O2253" s="30"/>
      <c r="P2253" s="30"/>
      <c r="Q2253" s="30"/>
      <c r="R2253" s="30"/>
      <c r="S2253" s="30"/>
      <c r="T2253" s="30"/>
      <c r="U2253" s="30"/>
      <c r="V2253" s="30"/>
      <c r="W2253" s="30"/>
      <c r="X2253" s="30"/>
      <c r="Y2253" s="30"/>
      <c r="Z2253" s="30"/>
      <c r="AA2253" s="30"/>
    </row>
    <row r="2254">
      <c r="A2254" s="29">
        <v>1957103.0</v>
      </c>
      <c r="B2254" s="29">
        <v>1954881.0</v>
      </c>
      <c r="C2254" s="30" t="str">
        <f t="shared" si="1"/>
        <v>-</v>
      </c>
      <c r="D2254" s="29">
        <f t="shared" si="2"/>
        <v>755</v>
      </c>
      <c r="E2254" s="30"/>
      <c r="F2254" s="30"/>
      <c r="G2254" s="30"/>
      <c r="H2254" s="30"/>
      <c r="I2254" s="30"/>
      <c r="J2254" s="30"/>
      <c r="K2254" s="30"/>
      <c r="L2254" s="30"/>
      <c r="M2254" s="30"/>
      <c r="N2254" s="30"/>
      <c r="O2254" s="30"/>
      <c r="P2254" s="30"/>
      <c r="Q2254" s="30"/>
      <c r="R2254" s="30"/>
      <c r="S2254" s="30"/>
      <c r="T2254" s="30"/>
      <c r="U2254" s="30"/>
      <c r="V2254" s="30"/>
      <c r="W2254" s="30"/>
      <c r="X2254" s="30"/>
      <c r="Y2254" s="30"/>
      <c r="Z2254" s="30"/>
      <c r="AA2254" s="30"/>
    </row>
    <row r="2255">
      <c r="A2255" s="29">
        <v>1958986.0</v>
      </c>
      <c r="B2255" s="29">
        <v>1960125.0</v>
      </c>
      <c r="C2255" s="30" t="str">
        <f t="shared" si="1"/>
        <v>+</v>
      </c>
      <c r="D2255" s="29">
        <f t="shared" si="2"/>
        <v>756</v>
      </c>
      <c r="E2255" s="30"/>
      <c r="F2255" s="30"/>
      <c r="G2255" s="30"/>
      <c r="H2255" s="30"/>
      <c r="I2255" s="30"/>
      <c r="J2255" s="30"/>
      <c r="K2255" s="30"/>
      <c r="L2255" s="30"/>
      <c r="M2255" s="30"/>
      <c r="N2255" s="30"/>
      <c r="O2255" s="30"/>
      <c r="P2255" s="30"/>
      <c r="Q2255" s="30"/>
      <c r="R2255" s="30"/>
      <c r="S2255" s="30"/>
      <c r="T2255" s="30"/>
      <c r="U2255" s="30"/>
      <c r="V2255" s="30"/>
      <c r="W2255" s="30"/>
      <c r="X2255" s="30"/>
      <c r="Y2255" s="30"/>
      <c r="Z2255" s="30"/>
      <c r="AA2255" s="30"/>
    </row>
    <row r="2256">
      <c r="A2256" s="29">
        <v>1960122.0</v>
      </c>
      <c r="B2256" s="29">
        <v>1960826.0</v>
      </c>
      <c r="C2256" s="30" t="str">
        <f t="shared" si="1"/>
        <v>+</v>
      </c>
      <c r="D2256" s="29">
        <f t="shared" si="2"/>
        <v>756</v>
      </c>
      <c r="E2256" s="30"/>
      <c r="F2256" s="30"/>
      <c r="G2256" s="30"/>
      <c r="H2256" s="30"/>
      <c r="I2256" s="30"/>
      <c r="J2256" s="30"/>
      <c r="K2256" s="30"/>
      <c r="L2256" s="30"/>
      <c r="M2256" s="30"/>
      <c r="N2256" s="30"/>
      <c r="O2256" s="30"/>
      <c r="P2256" s="30"/>
      <c r="Q2256" s="30"/>
      <c r="R2256" s="30"/>
      <c r="S2256" s="30"/>
      <c r="T2256" s="30"/>
      <c r="U2256" s="30"/>
      <c r="V2256" s="30"/>
      <c r="W2256" s="30"/>
      <c r="X2256" s="30"/>
      <c r="Y2256" s="30"/>
      <c r="Z2256" s="30"/>
      <c r="AA2256" s="30"/>
    </row>
    <row r="2257">
      <c r="A2257" s="29">
        <v>1961240.0</v>
      </c>
      <c r="B2257" s="29">
        <v>1961022.0</v>
      </c>
      <c r="C2257" s="30" t="str">
        <f t="shared" si="1"/>
        <v>-</v>
      </c>
      <c r="D2257" s="29">
        <f t="shared" si="2"/>
        <v>757</v>
      </c>
      <c r="E2257" s="30"/>
      <c r="F2257" s="30"/>
      <c r="G2257" s="30"/>
      <c r="H2257" s="30"/>
      <c r="I2257" s="30"/>
      <c r="J2257" s="30"/>
      <c r="K2257" s="30"/>
      <c r="L2257" s="30"/>
      <c r="M2257" s="30"/>
      <c r="N2257" s="30"/>
      <c r="O2257" s="30"/>
      <c r="P2257" s="30"/>
      <c r="Q2257" s="30"/>
      <c r="R2257" s="30"/>
      <c r="S2257" s="30"/>
      <c r="T2257" s="30"/>
      <c r="U2257" s="30"/>
      <c r="V2257" s="30"/>
      <c r="W2257" s="30"/>
      <c r="X2257" s="30"/>
      <c r="Y2257" s="30"/>
      <c r="Z2257" s="30"/>
      <c r="AA2257" s="30"/>
    </row>
    <row r="2258">
      <c r="A2258" s="29">
        <v>1962367.0</v>
      </c>
      <c r="B2258" s="29">
        <v>1961678.0</v>
      </c>
      <c r="C2258" s="30" t="str">
        <f t="shared" si="1"/>
        <v>-</v>
      </c>
      <c r="D2258" s="29">
        <f t="shared" si="2"/>
        <v>757</v>
      </c>
      <c r="E2258" s="30"/>
      <c r="F2258" s="30"/>
      <c r="G2258" s="30"/>
      <c r="H2258" s="30"/>
      <c r="I2258" s="30"/>
      <c r="J2258" s="30"/>
      <c r="K2258" s="30"/>
      <c r="L2258" s="30"/>
      <c r="M2258" s="30"/>
      <c r="N2258" s="30"/>
      <c r="O2258" s="30"/>
      <c r="P2258" s="30"/>
      <c r="Q2258" s="30"/>
      <c r="R2258" s="30"/>
      <c r="S2258" s="30"/>
      <c r="T2258" s="30"/>
      <c r="U2258" s="30"/>
      <c r="V2258" s="30"/>
      <c r="W2258" s="30"/>
      <c r="X2258" s="30"/>
      <c r="Y2258" s="30"/>
      <c r="Z2258" s="30"/>
      <c r="AA2258" s="30"/>
    </row>
    <row r="2259">
      <c r="A2259" s="29">
        <v>1962705.0</v>
      </c>
      <c r="B2259" s="29">
        <v>1962370.0</v>
      </c>
      <c r="C2259" s="30" t="str">
        <f t="shared" si="1"/>
        <v>-</v>
      </c>
      <c r="D2259" s="29">
        <f t="shared" si="2"/>
        <v>757</v>
      </c>
      <c r="E2259" s="30"/>
      <c r="F2259" s="30"/>
      <c r="G2259" s="30"/>
      <c r="H2259" s="30"/>
      <c r="I2259" s="30"/>
      <c r="J2259" s="30"/>
      <c r="K2259" s="30"/>
      <c r="L2259" s="30"/>
      <c r="M2259" s="30"/>
      <c r="N2259" s="30"/>
      <c r="O2259" s="30"/>
      <c r="P2259" s="30"/>
      <c r="Q2259" s="30"/>
      <c r="R2259" s="30"/>
      <c r="S2259" s="30"/>
      <c r="T2259" s="30"/>
      <c r="U2259" s="30"/>
      <c r="V2259" s="30"/>
      <c r="W2259" s="30"/>
      <c r="X2259" s="30"/>
      <c r="Y2259" s="30"/>
      <c r="Z2259" s="30"/>
      <c r="AA2259" s="30"/>
    </row>
    <row r="2260">
      <c r="A2260" s="29">
        <v>1963091.0</v>
      </c>
      <c r="B2260" s="29">
        <v>1962708.0</v>
      </c>
      <c r="C2260" s="30" t="str">
        <f t="shared" si="1"/>
        <v>-</v>
      </c>
      <c r="D2260" s="29">
        <f t="shared" si="2"/>
        <v>757</v>
      </c>
      <c r="E2260" s="30"/>
      <c r="F2260" s="30"/>
      <c r="G2260" s="30"/>
      <c r="H2260" s="30"/>
      <c r="I2260" s="30"/>
      <c r="J2260" s="30"/>
      <c r="K2260" s="30"/>
      <c r="L2260" s="30"/>
      <c r="M2260" s="30"/>
      <c r="N2260" s="30"/>
      <c r="O2260" s="30"/>
      <c r="P2260" s="30"/>
      <c r="Q2260" s="30"/>
      <c r="R2260" s="30"/>
      <c r="S2260" s="30"/>
      <c r="T2260" s="30"/>
      <c r="U2260" s="30"/>
      <c r="V2260" s="30"/>
      <c r="W2260" s="30"/>
      <c r="X2260" s="30"/>
      <c r="Y2260" s="30"/>
      <c r="Z2260" s="30"/>
      <c r="AA2260" s="30"/>
    </row>
    <row r="2261">
      <c r="A2261" s="29">
        <v>1963583.0</v>
      </c>
      <c r="B2261" s="29">
        <v>1963254.0</v>
      </c>
      <c r="C2261" s="30" t="str">
        <f t="shared" si="1"/>
        <v>-</v>
      </c>
      <c r="D2261" s="29">
        <f t="shared" si="2"/>
        <v>757</v>
      </c>
      <c r="E2261" s="30"/>
      <c r="F2261" s="30"/>
      <c r="G2261" s="30"/>
      <c r="H2261" s="30"/>
      <c r="I2261" s="30"/>
      <c r="J2261" s="30"/>
      <c r="K2261" s="30"/>
      <c r="L2261" s="30"/>
      <c r="M2261" s="30"/>
      <c r="N2261" s="30"/>
      <c r="O2261" s="30"/>
      <c r="P2261" s="30"/>
      <c r="Q2261" s="30"/>
      <c r="R2261" s="30"/>
      <c r="S2261" s="30"/>
      <c r="T2261" s="30"/>
      <c r="U2261" s="30"/>
      <c r="V2261" s="30"/>
      <c r="W2261" s="30"/>
      <c r="X2261" s="30"/>
      <c r="Y2261" s="30"/>
      <c r="Z2261" s="30"/>
      <c r="AA2261" s="30"/>
    </row>
    <row r="2262">
      <c r="A2262" s="29">
        <v>1964104.0</v>
      </c>
      <c r="B2262" s="29">
        <v>1963724.0</v>
      </c>
      <c r="C2262" s="30" t="str">
        <f t="shared" si="1"/>
        <v>-</v>
      </c>
      <c r="D2262" s="29">
        <f t="shared" si="2"/>
        <v>757</v>
      </c>
      <c r="E2262" s="30"/>
      <c r="F2262" s="30"/>
      <c r="G2262" s="30"/>
      <c r="H2262" s="30"/>
      <c r="I2262" s="30"/>
      <c r="J2262" s="30"/>
      <c r="K2262" s="30"/>
      <c r="L2262" s="30"/>
      <c r="M2262" s="30"/>
      <c r="N2262" s="30"/>
      <c r="O2262" s="30"/>
      <c r="P2262" s="30"/>
      <c r="Q2262" s="30"/>
      <c r="R2262" s="30"/>
      <c r="S2262" s="30"/>
      <c r="T2262" s="30"/>
      <c r="U2262" s="30"/>
      <c r="V2262" s="30"/>
      <c r="W2262" s="30"/>
      <c r="X2262" s="30"/>
      <c r="Y2262" s="30"/>
      <c r="Z2262" s="30"/>
      <c r="AA2262" s="30"/>
    </row>
    <row r="2263">
      <c r="A2263" s="29">
        <v>1964925.0</v>
      </c>
      <c r="B2263" s="29">
        <v>1964584.0</v>
      </c>
      <c r="C2263" s="30" t="str">
        <f t="shared" si="1"/>
        <v>-</v>
      </c>
      <c r="D2263" s="29">
        <f t="shared" si="2"/>
        <v>757</v>
      </c>
      <c r="E2263" s="30"/>
      <c r="F2263" s="30"/>
      <c r="G2263" s="30"/>
      <c r="H2263" s="30"/>
      <c r="I2263" s="30"/>
      <c r="J2263" s="30"/>
      <c r="K2263" s="30"/>
      <c r="L2263" s="30"/>
      <c r="M2263" s="30"/>
      <c r="N2263" s="30"/>
      <c r="O2263" s="30"/>
      <c r="P2263" s="30"/>
      <c r="Q2263" s="30"/>
      <c r="R2263" s="30"/>
      <c r="S2263" s="30"/>
      <c r="T2263" s="30"/>
      <c r="U2263" s="30"/>
      <c r="V2263" s="30"/>
      <c r="W2263" s="30"/>
      <c r="X2263" s="30"/>
      <c r="Y2263" s="30"/>
      <c r="Z2263" s="30"/>
      <c r="AA2263" s="30"/>
    </row>
    <row r="2264">
      <c r="A2264" s="29">
        <v>1965756.0</v>
      </c>
      <c r="B2264" s="29">
        <v>1964989.0</v>
      </c>
      <c r="C2264" s="30" t="str">
        <f t="shared" si="1"/>
        <v>-</v>
      </c>
      <c r="D2264" s="29">
        <f t="shared" si="2"/>
        <v>757</v>
      </c>
      <c r="E2264" s="30"/>
      <c r="F2264" s="30"/>
      <c r="G2264" s="30"/>
      <c r="H2264" s="30"/>
      <c r="I2264" s="30"/>
      <c r="J2264" s="30"/>
      <c r="K2264" s="30"/>
      <c r="L2264" s="30"/>
      <c r="M2264" s="30"/>
      <c r="N2264" s="30"/>
      <c r="O2264" s="30"/>
      <c r="P2264" s="30"/>
      <c r="Q2264" s="30"/>
      <c r="R2264" s="30"/>
      <c r="S2264" s="30"/>
      <c r="T2264" s="30"/>
      <c r="U2264" s="30"/>
      <c r="V2264" s="30"/>
      <c r="W2264" s="30"/>
      <c r="X2264" s="30"/>
      <c r="Y2264" s="30"/>
      <c r="Z2264" s="30"/>
      <c r="AA2264" s="30"/>
    </row>
    <row r="2265">
      <c r="A2265" s="29">
        <v>1966403.0</v>
      </c>
      <c r="B2265" s="29">
        <v>1965861.0</v>
      </c>
      <c r="C2265" s="30" t="str">
        <f t="shared" si="1"/>
        <v>-</v>
      </c>
      <c r="D2265" s="29">
        <f t="shared" si="2"/>
        <v>757</v>
      </c>
      <c r="E2265" s="30"/>
      <c r="F2265" s="30"/>
      <c r="G2265" s="30"/>
      <c r="H2265" s="30"/>
      <c r="I2265" s="30"/>
      <c r="J2265" s="30"/>
      <c r="K2265" s="30"/>
      <c r="L2265" s="30"/>
      <c r="M2265" s="30"/>
      <c r="N2265" s="30"/>
      <c r="O2265" s="30"/>
      <c r="P2265" s="30"/>
      <c r="Q2265" s="30"/>
      <c r="R2265" s="30"/>
      <c r="S2265" s="30"/>
      <c r="T2265" s="30"/>
      <c r="U2265" s="30"/>
      <c r="V2265" s="30"/>
      <c r="W2265" s="30"/>
      <c r="X2265" s="30"/>
      <c r="Y2265" s="30"/>
      <c r="Z2265" s="30"/>
      <c r="AA2265" s="30"/>
    </row>
    <row r="2266">
      <c r="A2266" s="29">
        <v>1967491.0</v>
      </c>
      <c r="B2266" s="29">
        <v>1966415.0</v>
      </c>
      <c r="C2266" s="30" t="str">
        <f t="shared" si="1"/>
        <v>-</v>
      </c>
      <c r="D2266" s="29">
        <f t="shared" si="2"/>
        <v>757</v>
      </c>
      <c r="E2266" s="30"/>
      <c r="F2266" s="30"/>
      <c r="G2266" s="30"/>
      <c r="H2266" s="30"/>
      <c r="I2266" s="30"/>
      <c r="J2266" s="30"/>
      <c r="K2266" s="30"/>
      <c r="L2266" s="30"/>
      <c r="M2266" s="30"/>
      <c r="N2266" s="30"/>
      <c r="O2266" s="30"/>
      <c r="P2266" s="30"/>
      <c r="Q2266" s="30"/>
      <c r="R2266" s="30"/>
      <c r="S2266" s="30"/>
      <c r="T2266" s="30"/>
      <c r="U2266" s="30"/>
      <c r="V2266" s="30"/>
      <c r="W2266" s="30"/>
      <c r="X2266" s="30"/>
      <c r="Y2266" s="30"/>
      <c r="Z2266" s="30"/>
      <c r="AA2266" s="30"/>
    </row>
    <row r="2267">
      <c r="A2267" s="29">
        <v>1967834.0</v>
      </c>
      <c r="B2267" s="29">
        <v>1967938.0</v>
      </c>
      <c r="C2267" s="30" t="str">
        <f t="shared" si="1"/>
        <v>+</v>
      </c>
      <c r="D2267" s="29">
        <f t="shared" si="2"/>
        <v>758</v>
      </c>
      <c r="E2267" s="30"/>
      <c r="F2267" s="30"/>
      <c r="G2267" s="30"/>
      <c r="H2267" s="30"/>
      <c r="I2267" s="30"/>
      <c r="J2267" s="30"/>
      <c r="K2267" s="30"/>
      <c r="L2267" s="30"/>
      <c r="M2267" s="30"/>
      <c r="N2267" s="30"/>
      <c r="O2267" s="30"/>
      <c r="P2267" s="30"/>
      <c r="Q2267" s="30"/>
      <c r="R2267" s="30"/>
      <c r="S2267" s="30"/>
      <c r="T2267" s="30"/>
      <c r="U2267" s="30"/>
      <c r="V2267" s="30"/>
      <c r="W2267" s="30"/>
      <c r="X2267" s="30"/>
      <c r="Y2267" s="30"/>
      <c r="Z2267" s="30"/>
      <c r="AA2267" s="30"/>
    </row>
    <row r="2268">
      <c r="A2268" s="29">
        <v>1968388.0</v>
      </c>
      <c r="B2268" s="29">
        <v>1968131.0</v>
      </c>
      <c r="C2268" s="30" t="str">
        <f t="shared" si="1"/>
        <v>-</v>
      </c>
      <c r="D2268" s="29">
        <f t="shared" si="2"/>
        <v>759</v>
      </c>
      <c r="E2268" s="30"/>
      <c r="F2268" s="30"/>
      <c r="G2268" s="30"/>
      <c r="H2268" s="30"/>
      <c r="I2268" s="30"/>
      <c r="J2268" s="30"/>
      <c r="K2268" s="30"/>
      <c r="L2268" s="30"/>
      <c r="M2268" s="30"/>
      <c r="N2268" s="30"/>
      <c r="O2268" s="30"/>
      <c r="P2268" s="30"/>
      <c r="Q2268" s="30"/>
      <c r="R2268" s="30"/>
      <c r="S2268" s="30"/>
      <c r="T2268" s="30"/>
      <c r="U2268" s="30"/>
      <c r="V2268" s="30"/>
      <c r="W2268" s="30"/>
      <c r="X2268" s="30"/>
      <c r="Y2268" s="30"/>
      <c r="Z2268" s="30"/>
      <c r="AA2268" s="30"/>
    </row>
    <row r="2269">
      <c r="A2269" s="29">
        <v>1968827.0</v>
      </c>
      <c r="B2269" s="29">
        <v>1968444.0</v>
      </c>
      <c r="C2269" s="30" t="str">
        <f t="shared" si="1"/>
        <v>-</v>
      </c>
      <c r="D2269" s="29">
        <f t="shared" si="2"/>
        <v>759</v>
      </c>
      <c r="E2269" s="30"/>
      <c r="F2269" s="30"/>
      <c r="G2269" s="30"/>
      <c r="H2269" s="30"/>
      <c r="I2269" s="30"/>
      <c r="J2269" s="30"/>
      <c r="K2269" s="30"/>
      <c r="L2269" s="30"/>
      <c r="M2269" s="30"/>
      <c r="N2269" s="30"/>
      <c r="O2269" s="30"/>
      <c r="P2269" s="30"/>
      <c r="Q2269" s="30"/>
      <c r="R2269" s="30"/>
      <c r="S2269" s="30"/>
      <c r="T2269" s="30"/>
      <c r="U2269" s="30"/>
      <c r="V2269" s="30"/>
      <c r="W2269" s="30"/>
      <c r="X2269" s="30"/>
      <c r="Y2269" s="30"/>
      <c r="Z2269" s="30"/>
      <c r="AA2269" s="30"/>
    </row>
    <row r="2270">
      <c r="A2270" s="29">
        <v>1969415.0</v>
      </c>
      <c r="B2270" s="29">
        <v>1970494.0</v>
      </c>
      <c r="C2270" s="30" t="str">
        <f t="shared" si="1"/>
        <v>+</v>
      </c>
      <c r="D2270" s="29">
        <f t="shared" si="2"/>
        <v>760</v>
      </c>
      <c r="E2270" s="30"/>
      <c r="F2270" s="30"/>
      <c r="G2270" s="30"/>
      <c r="H2270" s="30"/>
      <c r="I2270" s="30"/>
      <c r="J2270" s="30"/>
      <c r="K2270" s="30"/>
      <c r="L2270" s="30"/>
      <c r="M2270" s="30"/>
      <c r="N2270" s="30"/>
      <c r="O2270" s="30"/>
      <c r="P2270" s="30"/>
      <c r="Q2270" s="30"/>
      <c r="R2270" s="30"/>
      <c r="S2270" s="30"/>
      <c r="T2270" s="30"/>
      <c r="U2270" s="30"/>
      <c r="V2270" s="30"/>
      <c r="W2270" s="30"/>
      <c r="X2270" s="30"/>
      <c r="Y2270" s="30"/>
      <c r="Z2270" s="30"/>
      <c r="AA2270" s="30"/>
    </row>
    <row r="2271">
      <c r="A2271" s="29">
        <v>1970799.0</v>
      </c>
      <c r="B2271" s="29">
        <v>1970485.0</v>
      </c>
      <c r="C2271" s="30" t="str">
        <f t="shared" si="1"/>
        <v>-</v>
      </c>
      <c r="D2271" s="29">
        <f t="shared" si="2"/>
        <v>761</v>
      </c>
      <c r="E2271" s="30"/>
      <c r="F2271" s="30"/>
      <c r="G2271" s="30"/>
      <c r="H2271" s="30"/>
      <c r="I2271" s="30"/>
      <c r="J2271" s="30"/>
      <c r="K2271" s="30"/>
      <c r="L2271" s="30"/>
      <c r="M2271" s="30"/>
      <c r="N2271" s="30"/>
      <c r="O2271" s="30"/>
      <c r="P2271" s="30"/>
      <c r="Q2271" s="30"/>
      <c r="R2271" s="30"/>
      <c r="S2271" s="30"/>
      <c r="T2271" s="30"/>
      <c r="U2271" s="30"/>
      <c r="V2271" s="30"/>
      <c r="W2271" s="30"/>
      <c r="X2271" s="30"/>
      <c r="Y2271" s="30"/>
      <c r="Z2271" s="30"/>
      <c r="AA2271" s="30"/>
    </row>
    <row r="2272">
      <c r="A2272" s="29">
        <v>1970877.0</v>
      </c>
      <c r="B2272" s="29">
        <v>1971221.0</v>
      </c>
      <c r="C2272" s="30" t="str">
        <f t="shared" si="1"/>
        <v>+</v>
      </c>
      <c r="D2272" s="29">
        <f t="shared" si="2"/>
        <v>762</v>
      </c>
      <c r="E2272" s="30"/>
      <c r="F2272" s="30"/>
      <c r="G2272" s="30"/>
      <c r="H2272" s="30"/>
      <c r="I2272" s="30"/>
      <c r="J2272" s="30"/>
      <c r="K2272" s="30"/>
      <c r="L2272" s="30"/>
      <c r="M2272" s="30"/>
      <c r="N2272" s="30"/>
      <c r="O2272" s="30"/>
      <c r="P2272" s="30"/>
      <c r="Q2272" s="30"/>
      <c r="R2272" s="30"/>
      <c r="S2272" s="30"/>
      <c r="T2272" s="30"/>
      <c r="U2272" s="30"/>
      <c r="V2272" s="30"/>
      <c r="W2272" s="30"/>
      <c r="X2272" s="30"/>
      <c r="Y2272" s="30"/>
      <c r="Z2272" s="30"/>
      <c r="AA2272" s="30"/>
    </row>
    <row r="2273">
      <c r="A2273" s="29">
        <v>1971279.0</v>
      </c>
      <c r="B2273" s="29">
        <v>1971217.0</v>
      </c>
      <c r="C2273" s="30" t="str">
        <f t="shared" si="1"/>
        <v>-</v>
      </c>
      <c r="D2273" s="29">
        <f t="shared" si="2"/>
        <v>763</v>
      </c>
      <c r="E2273" s="30"/>
      <c r="F2273" s="30"/>
      <c r="G2273" s="30"/>
      <c r="H2273" s="30"/>
      <c r="I2273" s="30"/>
      <c r="J2273" s="30"/>
      <c r="K2273" s="30"/>
      <c r="L2273" s="30"/>
      <c r="M2273" s="30"/>
      <c r="N2273" s="30"/>
      <c r="O2273" s="30"/>
      <c r="P2273" s="30"/>
      <c r="Q2273" s="30"/>
      <c r="R2273" s="30"/>
      <c r="S2273" s="30"/>
      <c r="T2273" s="30"/>
      <c r="U2273" s="30"/>
      <c r="V2273" s="30"/>
      <c r="W2273" s="30"/>
      <c r="X2273" s="30"/>
      <c r="Y2273" s="30"/>
      <c r="Z2273" s="30"/>
      <c r="AA2273" s="30"/>
    </row>
    <row r="2274">
      <c r="A2274" s="29">
        <v>1971603.0</v>
      </c>
      <c r="B2274" s="29">
        <v>1971301.0</v>
      </c>
      <c r="C2274" s="30" t="str">
        <f t="shared" si="1"/>
        <v>-</v>
      </c>
      <c r="D2274" s="29">
        <f t="shared" si="2"/>
        <v>763</v>
      </c>
      <c r="E2274" s="30"/>
      <c r="F2274" s="30"/>
      <c r="G2274" s="30"/>
      <c r="H2274" s="30"/>
      <c r="I2274" s="30"/>
      <c r="J2274" s="30"/>
      <c r="K2274" s="30"/>
      <c r="L2274" s="30"/>
      <c r="M2274" s="30"/>
      <c r="N2274" s="30"/>
      <c r="O2274" s="30"/>
      <c r="P2274" s="30"/>
      <c r="Q2274" s="30"/>
      <c r="R2274" s="30"/>
      <c r="S2274" s="30"/>
      <c r="T2274" s="30"/>
      <c r="U2274" s="30"/>
      <c r="V2274" s="30"/>
      <c r="W2274" s="30"/>
      <c r="X2274" s="30"/>
      <c r="Y2274" s="30"/>
      <c r="Z2274" s="30"/>
      <c r="AA2274" s="30"/>
    </row>
    <row r="2275">
      <c r="A2275" s="29">
        <v>1971672.0</v>
      </c>
      <c r="B2275" s="29">
        <v>1971785.0</v>
      </c>
      <c r="C2275" s="30" t="str">
        <f t="shared" si="1"/>
        <v>+</v>
      </c>
      <c r="D2275" s="29">
        <f t="shared" si="2"/>
        <v>764</v>
      </c>
      <c r="E2275" s="30"/>
      <c r="F2275" s="30"/>
      <c r="G2275" s="30"/>
      <c r="H2275" s="30"/>
      <c r="I2275" s="30"/>
      <c r="J2275" s="30"/>
      <c r="K2275" s="30"/>
      <c r="L2275" s="30"/>
      <c r="M2275" s="30"/>
      <c r="N2275" s="30"/>
      <c r="O2275" s="30"/>
      <c r="P2275" s="30"/>
      <c r="Q2275" s="30"/>
      <c r="R2275" s="30"/>
      <c r="S2275" s="30"/>
      <c r="T2275" s="30"/>
      <c r="U2275" s="30"/>
      <c r="V2275" s="30"/>
      <c r="W2275" s="30"/>
      <c r="X2275" s="30"/>
      <c r="Y2275" s="30"/>
      <c r="Z2275" s="30"/>
      <c r="AA2275" s="30"/>
    </row>
    <row r="2276">
      <c r="A2276" s="29">
        <v>1971953.0</v>
      </c>
      <c r="B2276" s="29">
        <v>1971792.0</v>
      </c>
      <c r="C2276" s="30" t="str">
        <f t="shared" si="1"/>
        <v>-</v>
      </c>
      <c r="D2276" s="29">
        <f t="shared" si="2"/>
        <v>765</v>
      </c>
      <c r="E2276" s="30"/>
      <c r="F2276" s="30"/>
      <c r="G2276" s="30"/>
      <c r="H2276" s="30"/>
      <c r="I2276" s="30"/>
      <c r="J2276" s="30"/>
      <c r="K2276" s="30"/>
      <c r="L2276" s="30"/>
      <c r="M2276" s="30"/>
      <c r="N2276" s="30"/>
      <c r="O2276" s="30"/>
      <c r="P2276" s="30"/>
      <c r="Q2276" s="30"/>
      <c r="R2276" s="30"/>
      <c r="S2276" s="30"/>
      <c r="T2276" s="30"/>
      <c r="U2276" s="30"/>
      <c r="V2276" s="30"/>
      <c r="W2276" s="30"/>
      <c r="X2276" s="30"/>
      <c r="Y2276" s="30"/>
      <c r="Z2276" s="30"/>
      <c r="AA2276" s="30"/>
    </row>
    <row r="2277">
      <c r="A2277" s="29">
        <v>1972193.0</v>
      </c>
      <c r="B2277" s="29">
        <v>1972005.0</v>
      </c>
      <c r="C2277" s="30" t="str">
        <f t="shared" si="1"/>
        <v>-</v>
      </c>
      <c r="D2277" s="29">
        <f t="shared" si="2"/>
        <v>765</v>
      </c>
      <c r="E2277" s="30"/>
      <c r="F2277" s="30"/>
      <c r="G2277" s="30"/>
      <c r="H2277" s="30"/>
      <c r="I2277" s="30"/>
      <c r="J2277" s="30"/>
      <c r="K2277" s="30"/>
      <c r="L2277" s="30"/>
      <c r="M2277" s="30"/>
      <c r="N2277" s="30"/>
      <c r="O2277" s="30"/>
      <c r="P2277" s="30"/>
      <c r="Q2277" s="30"/>
      <c r="R2277" s="30"/>
      <c r="S2277" s="30"/>
      <c r="T2277" s="30"/>
      <c r="U2277" s="30"/>
      <c r="V2277" s="30"/>
      <c r="W2277" s="30"/>
      <c r="X2277" s="30"/>
      <c r="Y2277" s="30"/>
      <c r="Z2277" s="30"/>
      <c r="AA2277" s="30"/>
    </row>
    <row r="2278">
      <c r="A2278" s="29">
        <v>1972308.0</v>
      </c>
      <c r="B2278" s="29">
        <v>1972787.0</v>
      </c>
      <c r="C2278" s="30" t="str">
        <f t="shared" si="1"/>
        <v>+</v>
      </c>
      <c r="D2278" s="29">
        <f t="shared" si="2"/>
        <v>766</v>
      </c>
      <c r="E2278" s="30"/>
      <c r="F2278" s="30"/>
      <c r="G2278" s="30"/>
      <c r="H2278" s="30"/>
      <c r="I2278" s="30"/>
      <c r="J2278" s="30"/>
      <c r="K2278" s="30"/>
      <c r="L2278" s="30"/>
      <c r="M2278" s="30"/>
      <c r="N2278" s="30"/>
      <c r="O2278" s="30"/>
      <c r="P2278" s="30"/>
      <c r="Q2278" s="30"/>
      <c r="R2278" s="30"/>
      <c r="S2278" s="30"/>
      <c r="T2278" s="30"/>
      <c r="U2278" s="30"/>
      <c r="V2278" s="30"/>
      <c r="W2278" s="30"/>
      <c r="X2278" s="30"/>
      <c r="Y2278" s="30"/>
      <c r="Z2278" s="30"/>
      <c r="AA2278" s="30"/>
    </row>
    <row r="2279">
      <c r="A2279" s="29">
        <v>1972771.0</v>
      </c>
      <c r="B2279" s="29">
        <v>1973334.0</v>
      </c>
      <c r="C2279" s="30" t="str">
        <f t="shared" si="1"/>
        <v>+</v>
      </c>
      <c r="D2279" s="29">
        <f t="shared" si="2"/>
        <v>766</v>
      </c>
      <c r="E2279" s="30"/>
      <c r="F2279" s="30"/>
      <c r="G2279" s="30"/>
      <c r="H2279" s="30"/>
      <c r="I2279" s="30"/>
      <c r="J2279" s="30"/>
      <c r="K2279" s="30"/>
      <c r="L2279" s="30"/>
      <c r="M2279" s="30"/>
      <c r="N2279" s="30"/>
      <c r="O2279" s="30"/>
      <c r="P2279" s="30"/>
      <c r="Q2279" s="30"/>
      <c r="R2279" s="30"/>
      <c r="S2279" s="30"/>
      <c r="T2279" s="30"/>
      <c r="U2279" s="30"/>
      <c r="V2279" s="30"/>
      <c r="W2279" s="30"/>
      <c r="X2279" s="30"/>
      <c r="Y2279" s="30"/>
      <c r="Z2279" s="30"/>
      <c r="AA2279" s="30"/>
    </row>
    <row r="2280">
      <c r="A2280" s="29">
        <v>1973348.0</v>
      </c>
      <c r="B2280" s="29">
        <v>1974127.0</v>
      </c>
      <c r="C2280" s="30" t="str">
        <f t="shared" si="1"/>
        <v>+</v>
      </c>
      <c r="D2280" s="29">
        <f t="shared" si="2"/>
        <v>766</v>
      </c>
      <c r="E2280" s="30"/>
      <c r="F2280" s="30"/>
      <c r="G2280" s="30"/>
      <c r="H2280" s="30"/>
      <c r="I2280" s="30"/>
      <c r="J2280" s="30"/>
      <c r="K2280" s="30"/>
      <c r="L2280" s="30"/>
      <c r="M2280" s="30"/>
      <c r="N2280" s="30"/>
      <c r="O2280" s="30"/>
      <c r="P2280" s="30"/>
      <c r="Q2280" s="30"/>
      <c r="R2280" s="30"/>
      <c r="S2280" s="30"/>
      <c r="T2280" s="30"/>
      <c r="U2280" s="30"/>
      <c r="V2280" s="30"/>
      <c r="W2280" s="30"/>
      <c r="X2280" s="30"/>
      <c r="Y2280" s="30"/>
      <c r="Z2280" s="30"/>
      <c r="AA2280" s="30"/>
    </row>
    <row r="2281">
      <c r="A2281" s="29">
        <v>1975739.0</v>
      </c>
      <c r="B2281" s="29">
        <v>1974327.0</v>
      </c>
      <c r="C2281" s="30" t="str">
        <f t="shared" si="1"/>
        <v>-</v>
      </c>
      <c r="D2281" s="29">
        <f t="shared" si="2"/>
        <v>767</v>
      </c>
      <c r="E2281" s="30"/>
      <c r="F2281" s="30"/>
      <c r="G2281" s="30"/>
      <c r="H2281" s="30"/>
      <c r="I2281" s="30"/>
      <c r="J2281" s="30"/>
      <c r="K2281" s="30"/>
      <c r="L2281" s="30"/>
      <c r="M2281" s="30"/>
      <c r="N2281" s="30"/>
      <c r="O2281" s="30"/>
      <c r="P2281" s="30"/>
      <c r="Q2281" s="30"/>
      <c r="R2281" s="30"/>
      <c r="S2281" s="30"/>
      <c r="T2281" s="30"/>
      <c r="U2281" s="30"/>
      <c r="V2281" s="30"/>
      <c r="W2281" s="30"/>
      <c r="X2281" s="30"/>
      <c r="Y2281" s="30"/>
      <c r="Z2281" s="30"/>
      <c r="AA2281" s="30"/>
    </row>
    <row r="2282">
      <c r="A2282" s="29">
        <v>1976209.0</v>
      </c>
      <c r="B2282" s="29">
        <v>1975778.0</v>
      </c>
      <c r="C2282" s="30" t="str">
        <f t="shared" si="1"/>
        <v>-</v>
      </c>
      <c r="D2282" s="29">
        <f t="shared" si="2"/>
        <v>767</v>
      </c>
      <c r="E2282" s="30"/>
      <c r="F2282" s="30"/>
      <c r="G2282" s="30"/>
      <c r="H2282" s="30"/>
      <c r="I2282" s="30"/>
      <c r="J2282" s="30"/>
      <c r="K2282" s="30"/>
      <c r="L2282" s="30"/>
      <c r="M2282" s="30"/>
      <c r="N2282" s="30"/>
      <c r="O2282" s="30"/>
      <c r="P2282" s="30"/>
      <c r="Q2282" s="30"/>
      <c r="R2282" s="30"/>
      <c r="S2282" s="30"/>
      <c r="T2282" s="30"/>
      <c r="U2282" s="30"/>
      <c r="V2282" s="30"/>
      <c r="W2282" s="30"/>
      <c r="X2282" s="30"/>
      <c r="Y2282" s="30"/>
      <c r="Z2282" s="30"/>
      <c r="AA2282" s="30"/>
    </row>
    <row r="2283">
      <c r="A2283" s="29">
        <v>1976293.0</v>
      </c>
      <c r="B2283" s="29">
        <v>1976985.0</v>
      </c>
      <c r="C2283" s="30" t="str">
        <f t="shared" si="1"/>
        <v>+</v>
      </c>
      <c r="D2283" s="29">
        <f t="shared" si="2"/>
        <v>768</v>
      </c>
      <c r="E2283" s="30"/>
      <c r="F2283" s="30"/>
      <c r="G2283" s="30"/>
      <c r="H2283" s="30"/>
      <c r="I2283" s="30"/>
      <c r="J2283" s="30"/>
      <c r="K2283" s="30"/>
      <c r="L2283" s="30"/>
      <c r="M2283" s="30"/>
      <c r="N2283" s="30"/>
      <c r="O2283" s="30"/>
      <c r="P2283" s="30"/>
      <c r="Q2283" s="30"/>
      <c r="R2283" s="30"/>
      <c r="S2283" s="30"/>
      <c r="T2283" s="30"/>
      <c r="U2283" s="30"/>
      <c r="V2283" s="30"/>
      <c r="W2283" s="30"/>
      <c r="X2283" s="30"/>
      <c r="Y2283" s="30"/>
      <c r="Z2283" s="30"/>
      <c r="AA2283" s="30"/>
    </row>
    <row r="2284">
      <c r="A2284" s="29">
        <v>1978155.0</v>
      </c>
      <c r="B2284" s="29">
        <v>1976959.0</v>
      </c>
      <c r="C2284" s="30" t="str">
        <f t="shared" si="1"/>
        <v>-</v>
      </c>
      <c r="D2284" s="29">
        <f t="shared" si="2"/>
        <v>769</v>
      </c>
      <c r="E2284" s="30"/>
      <c r="F2284" s="30"/>
      <c r="G2284" s="30"/>
      <c r="H2284" s="30"/>
      <c r="I2284" s="30"/>
      <c r="J2284" s="30"/>
      <c r="K2284" s="30"/>
      <c r="L2284" s="30"/>
      <c r="M2284" s="30"/>
      <c r="N2284" s="30"/>
      <c r="O2284" s="30"/>
      <c r="P2284" s="30"/>
      <c r="Q2284" s="30"/>
      <c r="R2284" s="30"/>
      <c r="S2284" s="30"/>
      <c r="T2284" s="30"/>
      <c r="U2284" s="30"/>
      <c r="V2284" s="30"/>
      <c r="W2284" s="30"/>
      <c r="X2284" s="30"/>
      <c r="Y2284" s="30"/>
      <c r="Z2284" s="30"/>
      <c r="AA2284" s="30"/>
    </row>
    <row r="2285">
      <c r="A2285" s="29">
        <v>1978207.0</v>
      </c>
      <c r="B2285" s="29">
        <v>1979217.0</v>
      </c>
      <c r="C2285" s="30" t="str">
        <f t="shared" si="1"/>
        <v>+</v>
      </c>
      <c r="D2285" s="29">
        <f t="shared" si="2"/>
        <v>770</v>
      </c>
      <c r="E2285" s="30"/>
      <c r="F2285" s="30"/>
      <c r="G2285" s="30"/>
      <c r="H2285" s="30"/>
      <c r="I2285" s="30"/>
      <c r="J2285" s="30"/>
      <c r="K2285" s="30"/>
      <c r="L2285" s="30"/>
      <c r="M2285" s="30"/>
      <c r="N2285" s="30"/>
      <c r="O2285" s="30"/>
      <c r="P2285" s="30"/>
      <c r="Q2285" s="30"/>
      <c r="R2285" s="30"/>
      <c r="S2285" s="30"/>
      <c r="T2285" s="30"/>
      <c r="U2285" s="30"/>
      <c r="V2285" s="30"/>
      <c r="W2285" s="30"/>
      <c r="X2285" s="30"/>
      <c r="Y2285" s="30"/>
      <c r="Z2285" s="30"/>
      <c r="AA2285" s="30"/>
    </row>
    <row r="2286">
      <c r="A2286" s="29">
        <v>1979904.0</v>
      </c>
      <c r="B2286" s="29">
        <v>1979212.0</v>
      </c>
      <c r="C2286" s="30" t="str">
        <f t="shared" si="1"/>
        <v>-</v>
      </c>
      <c r="D2286" s="29">
        <f t="shared" si="2"/>
        <v>771</v>
      </c>
      <c r="E2286" s="30"/>
      <c r="F2286" s="30"/>
      <c r="G2286" s="30"/>
      <c r="H2286" s="30"/>
      <c r="I2286" s="30"/>
      <c r="J2286" s="30"/>
      <c r="K2286" s="30"/>
      <c r="L2286" s="30"/>
      <c r="M2286" s="30"/>
      <c r="N2286" s="30"/>
      <c r="O2286" s="30"/>
      <c r="P2286" s="30"/>
      <c r="Q2286" s="30"/>
      <c r="R2286" s="30"/>
      <c r="S2286" s="30"/>
      <c r="T2286" s="30"/>
      <c r="U2286" s="30"/>
      <c r="V2286" s="30"/>
      <c r="W2286" s="30"/>
      <c r="X2286" s="30"/>
      <c r="Y2286" s="30"/>
      <c r="Z2286" s="30"/>
      <c r="AA2286" s="30"/>
    </row>
    <row r="2287">
      <c r="A2287" s="29">
        <v>1981161.0</v>
      </c>
      <c r="B2287" s="29">
        <v>1979926.0</v>
      </c>
      <c r="C2287" s="30" t="str">
        <f t="shared" si="1"/>
        <v>-</v>
      </c>
      <c r="D2287" s="29">
        <f t="shared" si="2"/>
        <v>771</v>
      </c>
      <c r="E2287" s="30"/>
      <c r="F2287" s="30"/>
      <c r="G2287" s="30"/>
      <c r="H2287" s="30"/>
      <c r="I2287" s="30"/>
      <c r="J2287" s="30"/>
      <c r="K2287" s="30"/>
      <c r="L2287" s="30"/>
      <c r="M2287" s="30"/>
      <c r="N2287" s="30"/>
      <c r="O2287" s="30"/>
      <c r="P2287" s="30"/>
      <c r="Q2287" s="30"/>
      <c r="R2287" s="30"/>
      <c r="S2287" s="30"/>
      <c r="T2287" s="30"/>
      <c r="U2287" s="30"/>
      <c r="V2287" s="30"/>
      <c r="W2287" s="30"/>
      <c r="X2287" s="30"/>
      <c r="Y2287" s="30"/>
      <c r="Z2287" s="30"/>
      <c r="AA2287" s="30"/>
    </row>
    <row r="2288">
      <c r="A2288" s="29">
        <v>1982597.0</v>
      </c>
      <c r="B2288" s="29">
        <v>1981182.0</v>
      </c>
      <c r="C2288" s="30" t="str">
        <f t="shared" si="1"/>
        <v>-</v>
      </c>
      <c r="D2288" s="29">
        <f t="shared" si="2"/>
        <v>771</v>
      </c>
      <c r="E2288" s="30"/>
      <c r="F2288" s="30"/>
      <c r="G2288" s="30"/>
      <c r="H2288" s="30"/>
      <c r="I2288" s="30"/>
      <c r="J2288" s="30"/>
      <c r="K2288" s="30"/>
      <c r="L2288" s="30"/>
      <c r="M2288" s="30"/>
      <c r="N2288" s="30"/>
      <c r="O2288" s="30"/>
      <c r="P2288" s="30"/>
      <c r="Q2288" s="30"/>
      <c r="R2288" s="30"/>
      <c r="S2288" s="30"/>
      <c r="T2288" s="30"/>
      <c r="U2288" s="30"/>
      <c r="V2288" s="30"/>
      <c r="W2288" s="30"/>
      <c r="X2288" s="30"/>
      <c r="Y2288" s="30"/>
      <c r="Z2288" s="30"/>
      <c r="AA2288" s="30"/>
    </row>
    <row r="2289">
      <c r="A2289" s="29">
        <v>1982642.0</v>
      </c>
      <c r="B2289" s="29">
        <v>1982830.0</v>
      </c>
      <c r="C2289" s="30" t="str">
        <f t="shared" si="1"/>
        <v>+</v>
      </c>
      <c r="D2289" s="29">
        <f t="shared" si="2"/>
        <v>772</v>
      </c>
      <c r="E2289" s="30"/>
      <c r="F2289" s="30"/>
      <c r="G2289" s="30"/>
      <c r="H2289" s="30"/>
      <c r="I2289" s="30"/>
      <c r="J2289" s="30"/>
      <c r="K2289" s="30"/>
      <c r="L2289" s="30"/>
      <c r="M2289" s="30"/>
      <c r="N2289" s="30"/>
      <c r="O2289" s="30"/>
      <c r="P2289" s="30"/>
      <c r="Q2289" s="30"/>
      <c r="R2289" s="30"/>
      <c r="S2289" s="30"/>
      <c r="T2289" s="30"/>
      <c r="U2289" s="30"/>
      <c r="V2289" s="30"/>
      <c r="W2289" s="30"/>
      <c r="X2289" s="30"/>
      <c r="Y2289" s="30"/>
      <c r="Z2289" s="30"/>
      <c r="AA2289" s="30"/>
    </row>
    <row r="2290">
      <c r="A2290" s="29">
        <v>1983112.0</v>
      </c>
      <c r="B2290" s="29">
        <v>1982801.0</v>
      </c>
      <c r="C2290" s="30" t="str">
        <f t="shared" si="1"/>
        <v>-</v>
      </c>
      <c r="D2290" s="29">
        <f t="shared" si="2"/>
        <v>773</v>
      </c>
      <c r="E2290" s="30"/>
      <c r="F2290" s="30"/>
      <c r="G2290" s="30"/>
      <c r="H2290" s="30"/>
      <c r="I2290" s="30"/>
      <c r="J2290" s="30"/>
      <c r="K2290" s="30"/>
      <c r="L2290" s="30"/>
      <c r="M2290" s="30"/>
      <c r="N2290" s="30"/>
      <c r="O2290" s="30"/>
      <c r="P2290" s="30"/>
      <c r="Q2290" s="30"/>
      <c r="R2290" s="30"/>
      <c r="S2290" s="30"/>
      <c r="T2290" s="30"/>
      <c r="U2290" s="30"/>
      <c r="V2290" s="30"/>
      <c r="W2290" s="30"/>
      <c r="X2290" s="30"/>
      <c r="Y2290" s="30"/>
      <c r="Z2290" s="30"/>
      <c r="AA2290" s="30"/>
    </row>
    <row r="2291">
      <c r="A2291" s="29">
        <v>1985033.0</v>
      </c>
      <c r="B2291" s="29">
        <v>1983156.0</v>
      </c>
      <c r="C2291" s="30" t="str">
        <f t="shared" si="1"/>
        <v>-</v>
      </c>
      <c r="D2291" s="29">
        <f t="shared" si="2"/>
        <v>773</v>
      </c>
      <c r="E2291" s="30"/>
      <c r="F2291" s="30"/>
      <c r="G2291" s="30"/>
      <c r="H2291" s="30"/>
      <c r="I2291" s="30"/>
      <c r="J2291" s="30"/>
      <c r="K2291" s="30"/>
      <c r="L2291" s="30"/>
      <c r="M2291" s="30"/>
      <c r="N2291" s="30"/>
      <c r="O2291" s="30"/>
      <c r="P2291" s="30"/>
      <c r="Q2291" s="30"/>
      <c r="R2291" s="30"/>
      <c r="S2291" s="30"/>
      <c r="T2291" s="30"/>
      <c r="U2291" s="30"/>
      <c r="V2291" s="30"/>
      <c r="W2291" s="30"/>
      <c r="X2291" s="30"/>
      <c r="Y2291" s="30"/>
      <c r="Z2291" s="30"/>
      <c r="AA2291" s="30"/>
    </row>
    <row r="2292">
      <c r="A2292" s="29">
        <v>1986071.0</v>
      </c>
      <c r="B2292" s="29">
        <v>1985127.0</v>
      </c>
      <c r="C2292" s="30" t="str">
        <f t="shared" si="1"/>
        <v>-</v>
      </c>
      <c r="D2292" s="29">
        <f t="shared" si="2"/>
        <v>773</v>
      </c>
      <c r="E2292" s="30"/>
      <c r="F2292" s="30"/>
      <c r="G2292" s="30"/>
      <c r="H2292" s="30"/>
      <c r="I2292" s="30"/>
      <c r="J2292" s="30"/>
      <c r="K2292" s="30"/>
      <c r="L2292" s="30"/>
      <c r="M2292" s="30"/>
      <c r="N2292" s="30"/>
      <c r="O2292" s="30"/>
      <c r="P2292" s="30"/>
      <c r="Q2292" s="30"/>
      <c r="R2292" s="30"/>
      <c r="S2292" s="30"/>
      <c r="T2292" s="30"/>
      <c r="U2292" s="30"/>
      <c r="V2292" s="30"/>
      <c r="W2292" s="30"/>
      <c r="X2292" s="30"/>
      <c r="Y2292" s="30"/>
      <c r="Z2292" s="30"/>
      <c r="AA2292" s="30"/>
    </row>
    <row r="2293">
      <c r="A2293" s="29">
        <v>1987246.0</v>
      </c>
      <c r="B2293" s="29">
        <v>1986068.0</v>
      </c>
      <c r="C2293" s="30" t="str">
        <f t="shared" si="1"/>
        <v>-</v>
      </c>
      <c r="D2293" s="29">
        <f t="shared" si="2"/>
        <v>773</v>
      </c>
      <c r="E2293" s="30"/>
      <c r="F2293" s="30"/>
      <c r="G2293" s="30"/>
      <c r="H2293" s="30"/>
      <c r="I2293" s="30"/>
      <c r="J2293" s="30"/>
      <c r="K2293" s="30"/>
      <c r="L2293" s="30"/>
      <c r="M2293" s="30"/>
      <c r="N2293" s="30"/>
      <c r="O2293" s="30"/>
      <c r="P2293" s="30"/>
      <c r="Q2293" s="30"/>
      <c r="R2293" s="30"/>
      <c r="S2293" s="30"/>
      <c r="T2293" s="30"/>
      <c r="U2293" s="30"/>
      <c r="V2293" s="30"/>
      <c r="W2293" s="30"/>
      <c r="X2293" s="30"/>
      <c r="Y2293" s="30"/>
      <c r="Z2293" s="30"/>
      <c r="AA2293" s="30"/>
    </row>
    <row r="2294">
      <c r="A2294" s="29">
        <v>1987557.0</v>
      </c>
      <c r="B2294" s="29">
        <v>1987252.0</v>
      </c>
      <c r="C2294" s="30" t="str">
        <f t="shared" si="1"/>
        <v>-</v>
      </c>
      <c r="D2294" s="29">
        <f t="shared" si="2"/>
        <v>773</v>
      </c>
      <c r="E2294" s="30"/>
      <c r="F2294" s="30"/>
      <c r="G2294" s="30"/>
      <c r="H2294" s="30"/>
      <c r="I2294" s="30"/>
      <c r="J2294" s="30"/>
      <c r="K2294" s="30"/>
      <c r="L2294" s="30"/>
      <c r="M2294" s="30"/>
      <c r="N2294" s="30"/>
      <c r="O2294" s="30"/>
      <c r="P2294" s="30"/>
      <c r="Q2294" s="30"/>
      <c r="R2294" s="30"/>
      <c r="S2294" s="30"/>
      <c r="T2294" s="30"/>
      <c r="U2294" s="30"/>
      <c r="V2294" s="30"/>
      <c r="W2294" s="30"/>
      <c r="X2294" s="30"/>
      <c r="Y2294" s="30"/>
      <c r="Z2294" s="30"/>
      <c r="AA2294" s="30"/>
    </row>
    <row r="2295">
      <c r="A2295" s="29">
        <v>1988081.0</v>
      </c>
      <c r="B2295" s="29">
        <v>1987554.0</v>
      </c>
      <c r="C2295" s="30" t="str">
        <f t="shared" si="1"/>
        <v>-</v>
      </c>
      <c r="D2295" s="29">
        <f t="shared" si="2"/>
        <v>773</v>
      </c>
      <c r="E2295" s="30"/>
      <c r="F2295" s="30"/>
      <c r="G2295" s="30"/>
      <c r="H2295" s="30"/>
      <c r="I2295" s="30"/>
      <c r="J2295" s="30"/>
      <c r="K2295" s="30"/>
      <c r="L2295" s="30"/>
      <c r="M2295" s="30"/>
      <c r="N2295" s="30"/>
      <c r="O2295" s="30"/>
      <c r="P2295" s="30"/>
      <c r="Q2295" s="30"/>
      <c r="R2295" s="30"/>
      <c r="S2295" s="30"/>
      <c r="T2295" s="30"/>
      <c r="U2295" s="30"/>
      <c r="V2295" s="30"/>
      <c r="W2295" s="30"/>
      <c r="X2295" s="30"/>
      <c r="Y2295" s="30"/>
      <c r="Z2295" s="30"/>
      <c r="AA2295" s="30"/>
    </row>
    <row r="2296">
      <c r="A2296" s="29">
        <v>1988185.0</v>
      </c>
      <c r="B2296" s="29">
        <v>1988538.0</v>
      </c>
      <c r="C2296" s="30" t="str">
        <f t="shared" si="1"/>
        <v>+</v>
      </c>
      <c r="D2296" s="29">
        <f t="shared" si="2"/>
        <v>774</v>
      </c>
      <c r="E2296" s="30"/>
      <c r="F2296" s="30"/>
      <c r="G2296" s="30"/>
      <c r="H2296" s="30"/>
      <c r="I2296" s="30"/>
      <c r="J2296" s="30"/>
      <c r="K2296" s="30"/>
      <c r="L2296" s="30"/>
      <c r="M2296" s="30"/>
      <c r="N2296" s="30"/>
      <c r="O2296" s="30"/>
      <c r="P2296" s="30"/>
      <c r="Q2296" s="30"/>
      <c r="R2296" s="30"/>
      <c r="S2296" s="30"/>
      <c r="T2296" s="30"/>
      <c r="U2296" s="30"/>
      <c r="V2296" s="30"/>
      <c r="W2296" s="30"/>
      <c r="X2296" s="30"/>
      <c r="Y2296" s="30"/>
      <c r="Z2296" s="30"/>
      <c r="AA2296" s="30"/>
    </row>
    <row r="2297">
      <c r="A2297" s="29">
        <v>1990162.0</v>
      </c>
      <c r="B2297" s="29">
        <v>1989731.0</v>
      </c>
      <c r="C2297" s="30" t="str">
        <f t="shared" si="1"/>
        <v>-</v>
      </c>
      <c r="D2297" s="29">
        <f t="shared" si="2"/>
        <v>775</v>
      </c>
      <c r="E2297" s="30"/>
      <c r="F2297" s="30"/>
      <c r="G2297" s="30"/>
      <c r="H2297" s="30"/>
      <c r="I2297" s="30"/>
      <c r="J2297" s="30"/>
      <c r="K2297" s="30"/>
      <c r="L2297" s="30"/>
      <c r="M2297" s="30"/>
      <c r="N2297" s="30"/>
      <c r="O2297" s="30"/>
      <c r="P2297" s="30"/>
      <c r="Q2297" s="30"/>
      <c r="R2297" s="30"/>
      <c r="S2297" s="30"/>
      <c r="T2297" s="30"/>
      <c r="U2297" s="30"/>
      <c r="V2297" s="30"/>
      <c r="W2297" s="30"/>
      <c r="X2297" s="30"/>
      <c r="Y2297" s="30"/>
      <c r="Z2297" s="30"/>
      <c r="AA2297" s="30"/>
    </row>
    <row r="2298">
      <c r="A2298" s="29">
        <v>1992074.0</v>
      </c>
      <c r="B2298" s="29">
        <v>1990224.0</v>
      </c>
      <c r="C2298" s="30" t="str">
        <f t="shared" si="1"/>
        <v>-</v>
      </c>
      <c r="D2298" s="29">
        <f t="shared" si="2"/>
        <v>775</v>
      </c>
      <c r="E2298" s="30"/>
      <c r="F2298" s="30"/>
      <c r="G2298" s="30"/>
      <c r="H2298" s="30"/>
      <c r="I2298" s="30"/>
      <c r="J2298" s="30"/>
      <c r="K2298" s="30"/>
      <c r="L2298" s="30"/>
      <c r="M2298" s="30"/>
      <c r="N2298" s="30"/>
      <c r="O2298" s="30"/>
      <c r="P2298" s="30"/>
      <c r="Q2298" s="30"/>
      <c r="R2298" s="30"/>
      <c r="S2298" s="30"/>
      <c r="T2298" s="30"/>
      <c r="U2298" s="30"/>
      <c r="V2298" s="30"/>
      <c r="W2298" s="30"/>
      <c r="X2298" s="30"/>
      <c r="Y2298" s="30"/>
      <c r="Z2298" s="30"/>
      <c r="AA2298" s="30"/>
    </row>
    <row r="2299">
      <c r="A2299" s="29">
        <v>1992171.0</v>
      </c>
      <c r="B2299" s="29">
        <v>1992557.0</v>
      </c>
      <c r="C2299" s="30" t="str">
        <f t="shared" si="1"/>
        <v>+</v>
      </c>
      <c r="D2299" s="29">
        <f t="shared" si="2"/>
        <v>776</v>
      </c>
      <c r="E2299" s="30"/>
      <c r="F2299" s="30"/>
      <c r="G2299" s="30"/>
      <c r="H2299" s="30"/>
      <c r="I2299" s="30"/>
      <c r="J2299" s="30"/>
      <c r="K2299" s="30"/>
      <c r="L2299" s="30"/>
      <c r="M2299" s="30"/>
      <c r="N2299" s="30"/>
      <c r="O2299" s="30"/>
      <c r="P2299" s="30"/>
      <c r="Q2299" s="30"/>
      <c r="R2299" s="30"/>
      <c r="S2299" s="30"/>
      <c r="T2299" s="30"/>
      <c r="U2299" s="30"/>
      <c r="V2299" s="30"/>
      <c r="W2299" s="30"/>
      <c r="X2299" s="30"/>
      <c r="Y2299" s="30"/>
      <c r="Z2299" s="30"/>
      <c r="AA2299" s="30"/>
    </row>
    <row r="2300">
      <c r="A2300" s="29">
        <v>1992592.0</v>
      </c>
      <c r="B2300" s="29">
        <v>1993263.0</v>
      </c>
      <c r="C2300" s="30" t="str">
        <f t="shared" si="1"/>
        <v>+</v>
      </c>
      <c r="D2300" s="29">
        <f t="shared" si="2"/>
        <v>776</v>
      </c>
      <c r="E2300" s="30"/>
      <c r="F2300" s="30"/>
      <c r="G2300" s="30"/>
      <c r="H2300" s="30"/>
      <c r="I2300" s="30"/>
      <c r="J2300" s="30"/>
      <c r="K2300" s="30"/>
      <c r="L2300" s="30"/>
      <c r="M2300" s="30"/>
      <c r="N2300" s="30"/>
      <c r="O2300" s="30"/>
      <c r="P2300" s="30"/>
      <c r="Q2300" s="30"/>
      <c r="R2300" s="30"/>
      <c r="S2300" s="30"/>
      <c r="T2300" s="30"/>
      <c r="U2300" s="30"/>
      <c r="V2300" s="30"/>
      <c r="W2300" s="30"/>
      <c r="X2300" s="30"/>
      <c r="Y2300" s="30"/>
      <c r="Z2300" s="30"/>
      <c r="AA2300" s="30"/>
    </row>
    <row r="2301">
      <c r="A2301" s="29">
        <v>1993973.0</v>
      </c>
      <c r="B2301" s="29">
        <v>1993260.0</v>
      </c>
      <c r="C2301" s="30" t="str">
        <f t="shared" si="1"/>
        <v>-</v>
      </c>
      <c r="D2301" s="29">
        <f t="shared" si="2"/>
        <v>777</v>
      </c>
      <c r="E2301" s="30"/>
      <c r="F2301" s="30"/>
      <c r="G2301" s="30"/>
      <c r="H2301" s="30"/>
      <c r="I2301" s="30"/>
      <c r="J2301" s="30"/>
      <c r="K2301" s="30"/>
      <c r="L2301" s="30"/>
      <c r="M2301" s="30"/>
      <c r="N2301" s="30"/>
      <c r="O2301" s="30"/>
      <c r="P2301" s="30"/>
      <c r="Q2301" s="30"/>
      <c r="R2301" s="30"/>
      <c r="S2301" s="30"/>
      <c r="T2301" s="30"/>
      <c r="U2301" s="30"/>
      <c r="V2301" s="30"/>
      <c r="W2301" s="30"/>
      <c r="X2301" s="30"/>
      <c r="Y2301" s="30"/>
      <c r="Z2301" s="30"/>
      <c r="AA2301" s="30"/>
    </row>
    <row r="2302">
      <c r="A2302" s="29">
        <v>1994860.0</v>
      </c>
      <c r="B2302" s="29">
        <v>1994006.0</v>
      </c>
      <c r="C2302" s="30" t="str">
        <f t="shared" si="1"/>
        <v>-</v>
      </c>
      <c r="D2302" s="29">
        <f t="shared" si="2"/>
        <v>777</v>
      </c>
      <c r="E2302" s="30"/>
      <c r="F2302" s="30"/>
      <c r="G2302" s="30"/>
      <c r="H2302" s="30"/>
      <c r="I2302" s="30"/>
      <c r="J2302" s="30"/>
      <c r="K2302" s="30"/>
      <c r="L2302" s="30"/>
      <c r="M2302" s="30"/>
      <c r="N2302" s="30"/>
      <c r="O2302" s="30"/>
      <c r="P2302" s="30"/>
      <c r="Q2302" s="30"/>
      <c r="R2302" s="30"/>
      <c r="S2302" s="30"/>
      <c r="T2302" s="30"/>
      <c r="U2302" s="30"/>
      <c r="V2302" s="30"/>
      <c r="W2302" s="30"/>
      <c r="X2302" s="30"/>
      <c r="Y2302" s="30"/>
      <c r="Z2302" s="30"/>
      <c r="AA2302" s="30"/>
    </row>
    <row r="2303">
      <c r="A2303" s="29">
        <v>1995196.0</v>
      </c>
      <c r="B2303" s="29">
        <v>1994864.0</v>
      </c>
      <c r="C2303" s="30" t="str">
        <f t="shared" si="1"/>
        <v>-</v>
      </c>
      <c r="D2303" s="29">
        <f t="shared" si="2"/>
        <v>777</v>
      </c>
      <c r="E2303" s="30"/>
      <c r="F2303" s="30"/>
      <c r="G2303" s="30"/>
      <c r="H2303" s="30"/>
      <c r="I2303" s="30"/>
      <c r="J2303" s="30"/>
      <c r="K2303" s="30"/>
      <c r="L2303" s="30"/>
      <c r="M2303" s="30"/>
      <c r="N2303" s="30"/>
      <c r="O2303" s="30"/>
      <c r="P2303" s="30"/>
      <c r="Q2303" s="30"/>
      <c r="R2303" s="30"/>
      <c r="S2303" s="30"/>
      <c r="T2303" s="30"/>
      <c r="U2303" s="30"/>
      <c r="V2303" s="30"/>
      <c r="W2303" s="30"/>
      <c r="X2303" s="30"/>
      <c r="Y2303" s="30"/>
      <c r="Z2303" s="30"/>
      <c r="AA2303" s="30"/>
    </row>
    <row r="2304">
      <c r="A2304" s="29">
        <v>1995704.0</v>
      </c>
      <c r="B2304" s="29">
        <v>1995294.0</v>
      </c>
      <c r="C2304" s="30" t="str">
        <f t="shared" si="1"/>
        <v>-</v>
      </c>
      <c r="D2304" s="29">
        <f t="shared" si="2"/>
        <v>777</v>
      </c>
      <c r="E2304" s="30"/>
      <c r="F2304" s="30"/>
      <c r="G2304" s="30"/>
      <c r="H2304" s="30"/>
      <c r="I2304" s="30"/>
      <c r="J2304" s="30"/>
      <c r="K2304" s="30"/>
      <c r="L2304" s="30"/>
      <c r="M2304" s="30"/>
      <c r="N2304" s="30"/>
      <c r="O2304" s="30"/>
      <c r="P2304" s="30"/>
      <c r="Q2304" s="30"/>
      <c r="R2304" s="30"/>
      <c r="S2304" s="30"/>
      <c r="T2304" s="30"/>
      <c r="U2304" s="30"/>
      <c r="V2304" s="30"/>
      <c r="W2304" s="30"/>
      <c r="X2304" s="30"/>
      <c r="Y2304" s="30"/>
      <c r="Z2304" s="30"/>
      <c r="AA2304" s="30"/>
    </row>
    <row r="2305">
      <c r="A2305" s="29">
        <v>1996555.0</v>
      </c>
      <c r="B2305" s="29">
        <v>1995815.0</v>
      </c>
      <c r="C2305" s="30" t="str">
        <f t="shared" si="1"/>
        <v>-</v>
      </c>
      <c r="D2305" s="29">
        <f t="shared" si="2"/>
        <v>777</v>
      </c>
      <c r="E2305" s="30"/>
      <c r="F2305" s="30"/>
      <c r="G2305" s="30"/>
      <c r="H2305" s="30"/>
      <c r="I2305" s="30"/>
      <c r="J2305" s="30"/>
      <c r="K2305" s="30"/>
      <c r="L2305" s="30"/>
      <c r="M2305" s="30"/>
      <c r="N2305" s="30"/>
      <c r="O2305" s="30"/>
      <c r="P2305" s="30"/>
      <c r="Q2305" s="30"/>
      <c r="R2305" s="30"/>
      <c r="S2305" s="30"/>
      <c r="T2305" s="30"/>
      <c r="U2305" s="30"/>
      <c r="V2305" s="30"/>
      <c r="W2305" s="30"/>
      <c r="X2305" s="30"/>
      <c r="Y2305" s="30"/>
      <c r="Z2305" s="30"/>
      <c r="AA2305" s="30"/>
    </row>
    <row r="2306">
      <c r="A2306" s="29">
        <v>1996597.0</v>
      </c>
      <c r="B2306" s="29">
        <v>1997601.0</v>
      </c>
      <c r="C2306" s="30" t="str">
        <f t="shared" si="1"/>
        <v>+</v>
      </c>
      <c r="D2306" s="29">
        <f t="shared" si="2"/>
        <v>778</v>
      </c>
      <c r="E2306" s="30"/>
      <c r="F2306" s="30"/>
      <c r="G2306" s="30"/>
      <c r="H2306" s="30"/>
      <c r="I2306" s="30"/>
      <c r="J2306" s="30"/>
      <c r="K2306" s="30"/>
      <c r="L2306" s="30"/>
      <c r="M2306" s="30"/>
      <c r="N2306" s="30"/>
      <c r="O2306" s="30"/>
      <c r="P2306" s="30"/>
      <c r="Q2306" s="30"/>
      <c r="R2306" s="30"/>
      <c r="S2306" s="30"/>
      <c r="T2306" s="30"/>
      <c r="U2306" s="30"/>
      <c r="V2306" s="30"/>
      <c r="W2306" s="30"/>
      <c r="X2306" s="30"/>
      <c r="Y2306" s="30"/>
      <c r="Z2306" s="30"/>
      <c r="AA2306" s="30"/>
    </row>
    <row r="2307">
      <c r="A2307" s="29">
        <v>1997601.0</v>
      </c>
      <c r="B2307" s="29">
        <v>1998329.0</v>
      </c>
      <c r="C2307" s="30" t="str">
        <f t="shared" si="1"/>
        <v>+</v>
      </c>
      <c r="D2307" s="29">
        <f t="shared" si="2"/>
        <v>778</v>
      </c>
      <c r="E2307" s="30"/>
      <c r="F2307" s="30"/>
      <c r="G2307" s="30"/>
      <c r="H2307" s="30"/>
      <c r="I2307" s="30"/>
      <c r="J2307" s="30"/>
      <c r="K2307" s="30"/>
      <c r="L2307" s="30"/>
      <c r="M2307" s="30"/>
      <c r="N2307" s="30"/>
      <c r="O2307" s="30"/>
      <c r="P2307" s="30"/>
      <c r="Q2307" s="30"/>
      <c r="R2307" s="30"/>
      <c r="S2307" s="30"/>
      <c r="T2307" s="30"/>
      <c r="U2307" s="30"/>
      <c r="V2307" s="30"/>
      <c r="W2307" s="30"/>
      <c r="X2307" s="30"/>
      <c r="Y2307" s="30"/>
      <c r="Z2307" s="30"/>
      <c r="AA2307" s="30"/>
    </row>
    <row r="2308">
      <c r="A2308" s="29">
        <v>1998924.0</v>
      </c>
      <c r="B2308" s="29">
        <v>1998373.0</v>
      </c>
      <c r="C2308" s="30" t="str">
        <f t="shared" si="1"/>
        <v>-</v>
      </c>
      <c r="D2308" s="29">
        <f t="shared" si="2"/>
        <v>779</v>
      </c>
      <c r="E2308" s="30"/>
      <c r="F2308" s="30"/>
      <c r="G2308" s="30"/>
      <c r="H2308" s="30"/>
      <c r="I2308" s="30"/>
      <c r="J2308" s="30"/>
      <c r="K2308" s="30"/>
      <c r="L2308" s="30"/>
      <c r="M2308" s="30"/>
      <c r="N2308" s="30"/>
      <c r="O2308" s="30"/>
      <c r="P2308" s="30"/>
      <c r="Q2308" s="30"/>
      <c r="R2308" s="30"/>
      <c r="S2308" s="30"/>
      <c r="T2308" s="30"/>
      <c r="U2308" s="30"/>
      <c r="V2308" s="30"/>
      <c r="W2308" s="30"/>
      <c r="X2308" s="30"/>
      <c r="Y2308" s="30"/>
      <c r="Z2308" s="30"/>
      <c r="AA2308" s="30"/>
    </row>
    <row r="2309">
      <c r="A2309" s="29">
        <v>1999218.0</v>
      </c>
      <c r="B2309" s="29">
        <v>1998955.0</v>
      </c>
      <c r="C2309" s="30" t="str">
        <f t="shared" si="1"/>
        <v>-</v>
      </c>
      <c r="D2309" s="29">
        <f t="shared" si="2"/>
        <v>779</v>
      </c>
      <c r="E2309" s="30"/>
      <c r="F2309" s="30"/>
      <c r="G2309" s="30"/>
      <c r="H2309" s="30"/>
      <c r="I2309" s="30"/>
      <c r="J2309" s="30"/>
      <c r="K2309" s="30"/>
      <c r="L2309" s="30"/>
      <c r="M2309" s="30"/>
      <c r="N2309" s="30"/>
      <c r="O2309" s="30"/>
      <c r="P2309" s="30"/>
      <c r="Q2309" s="30"/>
      <c r="R2309" s="30"/>
      <c r="S2309" s="30"/>
      <c r="T2309" s="30"/>
      <c r="U2309" s="30"/>
      <c r="V2309" s="30"/>
      <c r="W2309" s="30"/>
      <c r="X2309" s="30"/>
      <c r="Y2309" s="30"/>
      <c r="Z2309" s="30"/>
      <c r="AA2309" s="30"/>
    </row>
    <row r="2310">
      <c r="A2310" s="29">
        <v>1999353.0</v>
      </c>
      <c r="B2310" s="29">
        <v>2000111.0</v>
      </c>
      <c r="C2310" s="30" t="str">
        <f t="shared" si="1"/>
        <v>+</v>
      </c>
      <c r="D2310" s="29">
        <f t="shared" si="2"/>
        <v>780</v>
      </c>
      <c r="E2310" s="30"/>
      <c r="F2310" s="30"/>
      <c r="G2310" s="30"/>
      <c r="H2310" s="30"/>
      <c r="I2310" s="30"/>
      <c r="J2310" s="30"/>
      <c r="K2310" s="30"/>
      <c r="L2310" s="30"/>
      <c r="M2310" s="30"/>
      <c r="N2310" s="30"/>
      <c r="O2310" s="30"/>
      <c r="P2310" s="30"/>
      <c r="Q2310" s="30"/>
      <c r="R2310" s="30"/>
      <c r="S2310" s="30"/>
      <c r="T2310" s="30"/>
      <c r="U2310" s="30"/>
      <c r="V2310" s="30"/>
      <c r="W2310" s="30"/>
      <c r="X2310" s="30"/>
      <c r="Y2310" s="30"/>
      <c r="Z2310" s="30"/>
      <c r="AA2310" s="30"/>
    </row>
    <row r="2311">
      <c r="A2311" s="29">
        <v>2001839.0</v>
      </c>
      <c r="B2311" s="29">
        <v>2001615.0</v>
      </c>
      <c r="C2311" s="30" t="str">
        <f t="shared" si="1"/>
        <v>-</v>
      </c>
      <c r="D2311" s="29">
        <f t="shared" si="2"/>
        <v>781</v>
      </c>
      <c r="E2311" s="30"/>
      <c r="F2311" s="30"/>
      <c r="G2311" s="30"/>
      <c r="H2311" s="30"/>
      <c r="I2311" s="30"/>
      <c r="J2311" s="30"/>
      <c r="K2311" s="30"/>
      <c r="L2311" s="30"/>
      <c r="M2311" s="30"/>
      <c r="N2311" s="30"/>
      <c r="O2311" s="30"/>
      <c r="P2311" s="30"/>
      <c r="Q2311" s="30"/>
      <c r="R2311" s="30"/>
      <c r="S2311" s="30"/>
      <c r="T2311" s="30"/>
      <c r="U2311" s="30"/>
      <c r="V2311" s="30"/>
      <c r="W2311" s="30"/>
      <c r="X2311" s="30"/>
      <c r="Y2311" s="30"/>
      <c r="Z2311" s="30"/>
      <c r="AA2311" s="30"/>
    </row>
    <row r="2312">
      <c r="A2312" s="29">
        <v>2002771.0</v>
      </c>
      <c r="B2312" s="29">
        <v>2002040.0</v>
      </c>
      <c r="C2312" s="30" t="str">
        <f t="shared" si="1"/>
        <v>-</v>
      </c>
      <c r="D2312" s="29">
        <f t="shared" si="2"/>
        <v>781</v>
      </c>
      <c r="E2312" s="30"/>
      <c r="F2312" s="30"/>
      <c r="G2312" s="30"/>
      <c r="H2312" s="30"/>
      <c r="I2312" s="30"/>
      <c r="J2312" s="30"/>
      <c r="K2312" s="30"/>
      <c r="L2312" s="30"/>
      <c r="M2312" s="30"/>
      <c r="N2312" s="30"/>
      <c r="O2312" s="30"/>
      <c r="P2312" s="30"/>
      <c r="Q2312" s="30"/>
      <c r="R2312" s="30"/>
      <c r="S2312" s="30"/>
      <c r="T2312" s="30"/>
      <c r="U2312" s="30"/>
      <c r="V2312" s="30"/>
      <c r="W2312" s="30"/>
      <c r="X2312" s="30"/>
      <c r="Y2312" s="30"/>
      <c r="Z2312" s="30"/>
      <c r="AA2312" s="30"/>
    </row>
    <row r="2313">
      <c r="A2313" s="29">
        <v>2002834.0</v>
      </c>
      <c r="B2313" s="29">
        <v>2003214.0</v>
      </c>
      <c r="C2313" s="30" t="str">
        <f t="shared" si="1"/>
        <v>+</v>
      </c>
      <c r="D2313" s="29">
        <f t="shared" si="2"/>
        <v>782</v>
      </c>
      <c r="E2313" s="30"/>
      <c r="F2313" s="30"/>
      <c r="G2313" s="30"/>
      <c r="H2313" s="30"/>
      <c r="I2313" s="30"/>
      <c r="J2313" s="30"/>
      <c r="K2313" s="30"/>
      <c r="L2313" s="30"/>
      <c r="M2313" s="30"/>
      <c r="N2313" s="30"/>
      <c r="O2313" s="30"/>
      <c r="P2313" s="30"/>
      <c r="Q2313" s="30"/>
      <c r="R2313" s="30"/>
      <c r="S2313" s="30"/>
      <c r="T2313" s="30"/>
      <c r="U2313" s="30"/>
      <c r="V2313" s="30"/>
      <c r="W2313" s="30"/>
      <c r="X2313" s="30"/>
      <c r="Y2313" s="30"/>
      <c r="Z2313" s="30"/>
      <c r="AA2313" s="30"/>
    </row>
    <row r="2314">
      <c r="A2314" s="29">
        <v>2004675.0</v>
      </c>
      <c r="B2314" s="29">
        <v>2003221.0</v>
      </c>
      <c r="C2314" s="30" t="str">
        <f t="shared" si="1"/>
        <v>-</v>
      </c>
      <c r="D2314" s="29">
        <f t="shared" si="2"/>
        <v>783</v>
      </c>
      <c r="E2314" s="30"/>
      <c r="F2314" s="30"/>
      <c r="G2314" s="30"/>
      <c r="H2314" s="30"/>
      <c r="I2314" s="30"/>
      <c r="J2314" s="30"/>
      <c r="K2314" s="30"/>
      <c r="L2314" s="30"/>
      <c r="M2314" s="30"/>
      <c r="N2314" s="30"/>
      <c r="O2314" s="30"/>
      <c r="P2314" s="30"/>
      <c r="Q2314" s="30"/>
      <c r="R2314" s="30"/>
      <c r="S2314" s="30"/>
      <c r="T2314" s="30"/>
      <c r="U2314" s="30"/>
      <c r="V2314" s="30"/>
      <c r="W2314" s="30"/>
      <c r="X2314" s="30"/>
      <c r="Y2314" s="30"/>
      <c r="Z2314" s="30"/>
      <c r="AA2314" s="30"/>
    </row>
    <row r="2315">
      <c r="A2315" s="29">
        <v>2004895.0</v>
      </c>
      <c r="B2315" s="29">
        <v>2004668.0</v>
      </c>
      <c r="C2315" s="30" t="str">
        <f t="shared" si="1"/>
        <v>-</v>
      </c>
      <c r="D2315" s="29">
        <f t="shared" si="2"/>
        <v>783</v>
      </c>
      <c r="E2315" s="30"/>
      <c r="F2315" s="30"/>
      <c r="G2315" s="30"/>
      <c r="H2315" s="30"/>
      <c r="I2315" s="30"/>
      <c r="J2315" s="30"/>
      <c r="K2315" s="30"/>
      <c r="L2315" s="30"/>
      <c r="M2315" s="30"/>
      <c r="N2315" s="30"/>
      <c r="O2315" s="30"/>
      <c r="P2315" s="30"/>
      <c r="Q2315" s="30"/>
      <c r="R2315" s="30"/>
      <c r="S2315" s="30"/>
      <c r="T2315" s="30"/>
      <c r="U2315" s="30"/>
      <c r="V2315" s="30"/>
      <c r="W2315" s="30"/>
      <c r="X2315" s="30"/>
      <c r="Y2315" s="30"/>
      <c r="Z2315" s="30"/>
      <c r="AA2315" s="30"/>
    </row>
    <row r="2316">
      <c r="A2316" s="29">
        <v>2005051.0</v>
      </c>
      <c r="B2316" s="29">
        <v>2005254.0</v>
      </c>
      <c r="C2316" s="30" t="str">
        <f t="shared" si="1"/>
        <v>+</v>
      </c>
      <c r="D2316" s="29">
        <f t="shared" si="2"/>
        <v>784</v>
      </c>
      <c r="E2316" s="30"/>
      <c r="F2316" s="30"/>
      <c r="G2316" s="30"/>
      <c r="H2316" s="30"/>
      <c r="I2316" s="30"/>
      <c r="J2316" s="30"/>
      <c r="K2316" s="30"/>
      <c r="L2316" s="30"/>
      <c r="M2316" s="30"/>
      <c r="N2316" s="30"/>
      <c r="O2316" s="30"/>
      <c r="P2316" s="30"/>
      <c r="Q2316" s="30"/>
      <c r="R2316" s="30"/>
      <c r="S2316" s="30"/>
      <c r="T2316" s="30"/>
      <c r="U2316" s="30"/>
      <c r="V2316" s="30"/>
      <c r="W2316" s="30"/>
      <c r="X2316" s="30"/>
      <c r="Y2316" s="30"/>
      <c r="Z2316" s="30"/>
      <c r="AA2316" s="30"/>
    </row>
    <row r="2317">
      <c r="A2317" s="29">
        <v>2006003.0</v>
      </c>
      <c r="B2317" s="29">
        <v>2005398.0</v>
      </c>
      <c r="C2317" s="30" t="str">
        <f t="shared" si="1"/>
        <v>-</v>
      </c>
      <c r="D2317" s="29">
        <f t="shared" si="2"/>
        <v>785</v>
      </c>
      <c r="E2317" s="30"/>
      <c r="F2317" s="30"/>
      <c r="G2317" s="30"/>
      <c r="H2317" s="30"/>
      <c r="I2317" s="30"/>
      <c r="J2317" s="30"/>
      <c r="K2317" s="30"/>
      <c r="L2317" s="30"/>
      <c r="M2317" s="30"/>
      <c r="N2317" s="30"/>
      <c r="O2317" s="30"/>
      <c r="P2317" s="30"/>
      <c r="Q2317" s="30"/>
      <c r="R2317" s="30"/>
      <c r="S2317" s="30"/>
      <c r="T2317" s="30"/>
      <c r="U2317" s="30"/>
      <c r="V2317" s="30"/>
      <c r="W2317" s="30"/>
      <c r="X2317" s="30"/>
      <c r="Y2317" s="30"/>
      <c r="Z2317" s="30"/>
      <c r="AA2317" s="30"/>
    </row>
    <row r="2318">
      <c r="A2318" s="29">
        <v>2006587.0</v>
      </c>
      <c r="B2318" s="29">
        <v>2006000.0</v>
      </c>
      <c r="C2318" s="30" t="str">
        <f t="shared" si="1"/>
        <v>-</v>
      </c>
      <c r="D2318" s="29">
        <f t="shared" si="2"/>
        <v>785</v>
      </c>
      <c r="E2318" s="30"/>
      <c r="F2318" s="30"/>
      <c r="G2318" s="30"/>
      <c r="H2318" s="30"/>
      <c r="I2318" s="30"/>
      <c r="J2318" s="30"/>
      <c r="K2318" s="30"/>
      <c r="L2318" s="30"/>
      <c r="M2318" s="30"/>
      <c r="N2318" s="30"/>
      <c r="O2318" s="30"/>
      <c r="P2318" s="30"/>
      <c r="Q2318" s="30"/>
      <c r="R2318" s="30"/>
      <c r="S2318" s="30"/>
      <c r="T2318" s="30"/>
      <c r="U2318" s="30"/>
      <c r="V2318" s="30"/>
      <c r="W2318" s="30"/>
      <c r="X2318" s="30"/>
      <c r="Y2318" s="30"/>
      <c r="Z2318" s="30"/>
      <c r="AA2318" s="30"/>
    </row>
    <row r="2319">
      <c r="A2319" s="29">
        <v>2006738.0</v>
      </c>
      <c r="B2319" s="29">
        <v>2006562.0</v>
      </c>
      <c r="C2319" s="30" t="str">
        <f t="shared" si="1"/>
        <v>-</v>
      </c>
      <c r="D2319" s="29">
        <f t="shared" si="2"/>
        <v>785</v>
      </c>
      <c r="E2319" s="30"/>
      <c r="F2319" s="30"/>
      <c r="G2319" s="30"/>
      <c r="H2319" s="30"/>
      <c r="I2319" s="30"/>
      <c r="J2319" s="30"/>
      <c r="K2319" s="30"/>
      <c r="L2319" s="30"/>
      <c r="M2319" s="30"/>
      <c r="N2319" s="30"/>
      <c r="O2319" s="30"/>
      <c r="P2319" s="30"/>
      <c r="Q2319" s="30"/>
      <c r="R2319" s="30"/>
      <c r="S2319" s="30"/>
      <c r="T2319" s="30"/>
      <c r="U2319" s="30"/>
      <c r="V2319" s="30"/>
      <c r="W2319" s="30"/>
      <c r="X2319" s="30"/>
      <c r="Y2319" s="30"/>
      <c r="Z2319" s="30"/>
      <c r="AA2319" s="30"/>
    </row>
    <row r="2320">
      <c r="A2320" s="29">
        <v>2008063.0</v>
      </c>
      <c r="B2320" s="29">
        <v>2007377.0</v>
      </c>
      <c r="C2320" s="30" t="str">
        <f t="shared" si="1"/>
        <v>-</v>
      </c>
      <c r="D2320" s="29">
        <f t="shared" si="2"/>
        <v>785</v>
      </c>
      <c r="E2320" s="30"/>
      <c r="F2320" s="30"/>
      <c r="G2320" s="30"/>
      <c r="H2320" s="30"/>
      <c r="I2320" s="30"/>
      <c r="J2320" s="30"/>
      <c r="K2320" s="30"/>
      <c r="L2320" s="30"/>
      <c r="M2320" s="30"/>
      <c r="N2320" s="30"/>
      <c r="O2320" s="30"/>
      <c r="P2320" s="30"/>
      <c r="Q2320" s="30"/>
      <c r="R2320" s="30"/>
      <c r="S2320" s="30"/>
      <c r="T2320" s="30"/>
      <c r="U2320" s="30"/>
      <c r="V2320" s="30"/>
      <c r="W2320" s="30"/>
      <c r="X2320" s="30"/>
      <c r="Y2320" s="30"/>
      <c r="Z2320" s="30"/>
      <c r="AA2320" s="30"/>
    </row>
    <row r="2321">
      <c r="A2321" s="29">
        <v>2008617.0</v>
      </c>
      <c r="B2321" s="29">
        <v>2008060.0</v>
      </c>
      <c r="C2321" s="30" t="str">
        <f t="shared" si="1"/>
        <v>-</v>
      </c>
      <c r="D2321" s="29">
        <f t="shared" si="2"/>
        <v>785</v>
      </c>
      <c r="E2321" s="30"/>
      <c r="F2321" s="30"/>
      <c r="G2321" s="30"/>
      <c r="H2321" s="30"/>
      <c r="I2321" s="30"/>
      <c r="J2321" s="30"/>
      <c r="K2321" s="30"/>
      <c r="L2321" s="30"/>
      <c r="M2321" s="30"/>
      <c r="N2321" s="30"/>
      <c r="O2321" s="30"/>
      <c r="P2321" s="30"/>
      <c r="Q2321" s="30"/>
      <c r="R2321" s="30"/>
      <c r="S2321" s="30"/>
      <c r="T2321" s="30"/>
      <c r="U2321" s="30"/>
      <c r="V2321" s="30"/>
      <c r="W2321" s="30"/>
      <c r="X2321" s="30"/>
      <c r="Y2321" s="30"/>
      <c r="Z2321" s="30"/>
      <c r="AA2321" s="30"/>
    </row>
    <row r="2322">
      <c r="A2322" s="29">
        <v>2009094.0</v>
      </c>
      <c r="B2322" s="29">
        <v>2008666.0</v>
      </c>
      <c r="C2322" s="30" t="str">
        <f t="shared" si="1"/>
        <v>-</v>
      </c>
      <c r="D2322" s="29">
        <f t="shared" si="2"/>
        <v>785</v>
      </c>
      <c r="E2322" s="30"/>
      <c r="F2322" s="30"/>
      <c r="G2322" s="30"/>
      <c r="H2322" s="30"/>
      <c r="I2322" s="30"/>
      <c r="J2322" s="30"/>
      <c r="K2322" s="30"/>
      <c r="L2322" s="30"/>
      <c r="M2322" s="30"/>
      <c r="N2322" s="30"/>
      <c r="O2322" s="30"/>
      <c r="P2322" s="30"/>
      <c r="Q2322" s="30"/>
      <c r="R2322" s="30"/>
      <c r="S2322" s="30"/>
      <c r="T2322" s="30"/>
      <c r="U2322" s="30"/>
      <c r="V2322" s="30"/>
      <c r="W2322" s="30"/>
      <c r="X2322" s="30"/>
      <c r="Y2322" s="30"/>
      <c r="Z2322" s="30"/>
      <c r="AA2322" s="30"/>
    </row>
    <row r="2323">
      <c r="A2323" s="29">
        <v>2009141.0</v>
      </c>
      <c r="B2323" s="29">
        <v>2009896.0</v>
      </c>
      <c r="C2323" s="30" t="str">
        <f t="shared" si="1"/>
        <v>+</v>
      </c>
      <c r="D2323" s="29">
        <f t="shared" si="2"/>
        <v>786</v>
      </c>
      <c r="E2323" s="30"/>
      <c r="F2323" s="30"/>
      <c r="G2323" s="30"/>
      <c r="H2323" s="30"/>
      <c r="I2323" s="30"/>
      <c r="J2323" s="30"/>
      <c r="K2323" s="30"/>
      <c r="L2323" s="30"/>
      <c r="M2323" s="30"/>
      <c r="N2323" s="30"/>
      <c r="O2323" s="30"/>
      <c r="P2323" s="30"/>
      <c r="Q2323" s="30"/>
      <c r="R2323" s="30"/>
      <c r="S2323" s="30"/>
      <c r="T2323" s="30"/>
      <c r="U2323" s="30"/>
      <c r="V2323" s="30"/>
      <c r="W2323" s="30"/>
      <c r="X2323" s="30"/>
      <c r="Y2323" s="30"/>
      <c r="Z2323" s="30"/>
      <c r="AA2323" s="30"/>
    </row>
    <row r="2324">
      <c r="A2324" s="29">
        <v>2009893.0</v>
      </c>
      <c r="B2324" s="29">
        <v>2011002.0</v>
      </c>
      <c r="C2324" s="30" t="str">
        <f t="shared" si="1"/>
        <v>+</v>
      </c>
      <c r="D2324" s="29">
        <f t="shared" si="2"/>
        <v>786</v>
      </c>
      <c r="E2324" s="30"/>
      <c r="F2324" s="30"/>
      <c r="G2324" s="30"/>
      <c r="H2324" s="30"/>
      <c r="I2324" s="30"/>
      <c r="J2324" s="30"/>
      <c r="K2324" s="30"/>
      <c r="L2324" s="30"/>
      <c r="M2324" s="30"/>
      <c r="N2324" s="30"/>
      <c r="O2324" s="30"/>
      <c r="P2324" s="30"/>
      <c r="Q2324" s="30"/>
      <c r="R2324" s="30"/>
      <c r="S2324" s="30"/>
      <c r="T2324" s="30"/>
      <c r="U2324" s="30"/>
      <c r="V2324" s="30"/>
      <c r="W2324" s="30"/>
      <c r="X2324" s="30"/>
      <c r="Y2324" s="30"/>
      <c r="Z2324" s="30"/>
      <c r="AA2324" s="30"/>
    </row>
    <row r="2325">
      <c r="A2325" s="29">
        <v>2010999.0</v>
      </c>
      <c r="B2325" s="29">
        <v>2011283.0</v>
      </c>
      <c r="C2325" s="30" t="str">
        <f t="shared" si="1"/>
        <v>+</v>
      </c>
      <c r="D2325" s="29">
        <f t="shared" si="2"/>
        <v>786</v>
      </c>
      <c r="E2325" s="30"/>
      <c r="F2325" s="30"/>
      <c r="G2325" s="30"/>
      <c r="H2325" s="30"/>
      <c r="I2325" s="30"/>
      <c r="J2325" s="30"/>
      <c r="K2325" s="30"/>
      <c r="L2325" s="30"/>
      <c r="M2325" s="30"/>
      <c r="N2325" s="30"/>
      <c r="O2325" s="30"/>
      <c r="P2325" s="30"/>
      <c r="Q2325" s="30"/>
      <c r="R2325" s="30"/>
      <c r="S2325" s="30"/>
      <c r="T2325" s="30"/>
      <c r="U2325" s="30"/>
      <c r="V2325" s="30"/>
      <c r="W2325" s="30"/>
      <c r="X2325" s="30"/>
      <c r="Y2325" s="30"/>
      <c r="Z2325" s="30"/>
      <c r="AA2325" s="30"/>
    </row>
    <row r="2326">
      <c r="A2326" s="29">
        <v>2012049.0</v>
      </c>
      <c r="B2326" s="29">
        <v>2011369.0</v>
      </c>
      <c r="C2326" s="30" t="str">
        <f t="shared" si="1"/>
        <v>-</v>
      </c>
      <c r="D2326" s="29">
        <f t="shared" si="2"/>
        <v>787</v>
      </c>
      <c r="E2326" s="30"/>
      <c r="F2326" s="30"/>
      <c r="G2326" s="30"/>
      <c r="H2326" s="30"/>
      <c r="I2326" s="30"/>
      <c r="J2326" s="30"/>
      <c r="K2326" s="30"/>
      <c r="L2326" s="30"/>
      <c r="M2326" s="30"/>
      <c r="N2326" s="30"/>
      <c r="O2326" s="30"/>
      <c r="P2326" s="30"/>
      <c r="Q2326" s="30"/>
      <c r="R2326" s="30"/>
      <c r="S2326" s="30"/>
      <c r="T2326" s="30"/>
      <c r="U2326" s="30"/>
      <c r="V2326" s="30"/>
      <c r="W2326" s="30"/>
      <c r="X2326" s="30"/>
      <c r="Y2326" s="30"/>
      <c r="Z2326" s="30"/>
      <c r="AA2326" s="30"/>
    </row>
    <row r="2327">
      <c r="A2327" s="29">
        <v>2013586.0</v>
      </c>
      <c r="B2327" s="29">
        <v>2012147.0</v>
      </c>
      <c r="C2327" s="30" t="str">
        <f t="shared" si="1"/>
        <v>-</v>
      </c>
      <c r="D2327" s="29">
        <f t="shared" si="2"/>
        <v>787</v>
      </c>
      <c r="E2327" s="30"/>
      <c r="F2327" s="30"/>
      <c r="G2327" s="30"/>
      <c r="H2327" s="30"/>
      <c r="I2327" s="30"/>
      <c r="J2327" s="30"/>
      <c r="K2327" s="30"/>
      <c r="L2327" s="30"/>
      <c r="M2327" s="30"/>
      <c r="N2327" s="30"/>
      <c r="O2327" s="30"/>
      <c r="P2327" s="30"/>
      <c r="Q2327" s="30"/>
      <c r="R2327" s="30"/>
      <c r="S2327" s="30"/>
      <c r="T2327" s="30"/>
      <c r="U2327" s="30"/>
      <c r="V2327" s="30"/>
      <c r="W2327" s="30"/>
      <c r="X2327" s="30"/>
      <c r="Y2327" s="30"/>
      <c r="Z2327" s="30"/>
      <c r="AA2327" s="30"/>
    </row>
    <row r="2328">
      <c r="A2328" s="29">
        <v>2014155.0</v>
      </c>
      <c r="B2328" s="29">
        <v>2013685.0</v>
      </c>
      <c r="C2328" s="30" t="str">
        <f t="shared" si="1"/>
        <v>-</v>
      </c>
      <c r="D2328" s="29">
        <f t="shared" si="2"/>
        <v>787</v>
      </c>
      <c r="E2328" s="30"/>
      <c r="F2328" s="30"/>
      <c r="G2328" s="30"/>
      <c r="H2328" s="30"/>
      <c r="I2328" s="30"/>
      <c r="J2328" s="30"/>
      <c r="K2328" s="30"/>
      <c r="L2328" s="30"/>
      <c r="M2328" s="30"/>
      <c r="N2328" s="30"/>
      <c r="O2328" s="30"/>
      <c r="P2328" s="30"/>
      <c r="Q2328" s="30"/>
      <c r="R2328" s="30"/>
      <c r="S2328" s="30"/>
      <c r="T2328" s="30"/>
      <c r="U2328" s="30"/>
      <c r="V2328" s="30"/>
      <c r="W2328" s="30"/>
      <c r="X2328" s="30"/>
      <c r="Y2328" s="30"/>
      <c r="Z2328" s="30"/>
      <c r="AA2328" s="30"/>
    </row>
    <row r="2329">
      <c r="A2329" s="29">
        <v>2015185.0</v>
      </c>
      <c r="B2329" s="29">
        <v>2014181.0</v>
      </c>
      <c r="C2329" s="30" t="str">
        <f t="shared" si="1"/>
        <v>-</v>
      </c>
      <c r="D2329" s="29">
        <f t="shared" si="2"/>
        <v>787</v>
      </c>
      <c r="E2329" s="30"/>
      <c r="F2329" s="30"/>
      <c r="G2329" s="30"/>
      <c r="H2329" s="30"/>
      <c r="I2329" s="30"/>
      <c r="J2329" s="30"/>
      <c r="K2329" s="30"/>
      <c r="L2329" s="30"/>
      <c r="M2329" s="30"/>
      <c r="N2329" s="30"/>
      <c r="O2329" s="30"/>
      <c r="P2329" s="30"/>
      <c r="Q2329" s="30"/>
      <c r="R2329" s="30"/>
      <c r="S2329" s="30"/>
      <c r="T2329" s="30"/>
      <c r="U2329" s="30"/>
      <c r="V2329" s="30"/>
      <c r="W2329" s="30"/>
      <c r="X2329" s="30"/>
      <c r="Y2329" s="30"/>
      <c r="Z2329" s="30"/>
      <c r="AA2329" s="30"/>
    </row>
    <row r="2330">
      <c r="A2330" s="29">
        <v>2016428.0</v>
      </c>
      <c r="B2330" s="29">
        <v>2015214.0</v>
      </c>
      <c r="C2330" s="30" t="str">
        <f t="shared" si="1"/>
        <v>-</v>
      </c>
      <c r="D2330" s="29">
        <f t="shared" si="2"/>
        <v>787</v>
      </c>
      <c r="E2330" s="30"/>
      <c r="F2330" s="30"/>
      <c r="G2330" s="30"/>
      <c r="H2330" s="30"/>
      <c r="I2330" s="30"/>
      <c r="J2330" s="30"/>
      <c r="K2330" s="30"/>
      <c r="L2330" s="30"/>
      <c r="M2330" s="30"/>
      <c r="N2330" s="30"/>
      <c r="O2330" s="30"/>
      <c r="P2330" s="30"/>
      <c r="Q2330" s="30"/>
      <c r="R2330" s="30"/>
      <c r="S2330" s="30"/>
      <c r="T2330" s="30"/>
      <c r="U2330" s="30"/>
      <c r="V2330" s="30"/>
      <c r="W2330" s="30"/>
      <c r="X2330" s="30"/>
      <c r="Y2330" s="30"/>
      <c r="Z2330" s="30"/>
      <c r="AA2330" s="30"/>
    </row>
    <row r="2331">
      <c r="A2331" s="29">
        <v>2017298.0</v>
      </c>
      <c r="B2331" s="29">
        <v>2016450.0</v>
      </c>
      <c r="C2331" s="30" t="str">
        <f t="shared" si="1"/>
        <v>-</v>
      </c>
      <c r="D2331" s="29">
        <f t="shared" si="2"/>
        <v>787</v>
      </c>
      <c r="E2331" s="30"/>
      <c r="F2331" s="30"/>
      <c r="G2331" s="30"/>
      <c r="H2331" s="30"/>
      <c r="I2331" s="30"/>
      <c r="J2331" s="30"/>
      <c r="K2331" s="30"/>
      <c r="L2331" s="30"/>
      <c r="M2331" s="30"/>
      <c r="N2331" s="30"/>
      <c r="O2331" s="30"/>
      <c r="P2331" s="30"/>
      <c r="Q2331" s="30"/>
      <c r="R2331" s="30"/>
      <c r="S2331" s="30"/>
      <c r="T2331" s="30"/>
      <c r="U2331" s="30"/>
      <c r="V2331" s="30"/>
      <c r="W2331" s="30"/>
      <c r="X2331" s="30"/>
      <c r="Y2331" s="30"/>
      <c r="Z2331" s="30"/>
      <c r="AA2331" s="30"/>
    </row>
    <row r="2332">
      <c r="A2332" s="29">
        <v>2018342.0</v>
      </c>
      <c r="B2332" s="29">
        <v>2017332.0</v>
      </c>
      <c r="C2332" s="30" t="str">
        <f t="shared" si="1"/>
        <v>-</v>
      </c>
      <c r="D2332" s="29">
        <f t="shared" si="2"/>
        <v>787</v>
      </c>
      <c r="E2332" s="30"/>
      <c r="F2332" s="30"/>
      <c r="G2332" s="30"/>
      <c r="H2332" s="30"/>
      <c r="I2332" s="30"/>
      <c r="J2332" s="30"/>
      <c r="K2332" s="30"/>
      <c r="L2332" s="30"/>
      <c r="M2332" s="30"/>
      <c r="N2332" s="30"/>
      <c r="O2332" s="30"/>
      <c r="P2332" s="30"/>
      <c r="Q2332" s="30"/>
      <c r="R2332" s="30"/>
      <c r="S2332" s="30"/>
      <c r="T2332" s="30"/>
      <c r="U2332" s="30"/>
      <c r="V2332" s="30"/>
      <c r="W2332" s="30"/>
      <c r="X2332" s="30"/>
      <c r="Y2332" s="30"/>
      <c r="Z2332" s="30"/>
      <c r="AA2332" s="30"/>
    </row>
    <row r="2333">
      <c r="A2333" s="29">
        <v>2018531.0</v>
      </c>
      <c r="B2333" s="29">
        <v>2018956.0</v>
      </c>
      <c r="C2333" s="30" t="str">
        <f t="shared" si="1"/>
        <v>+</v>
      </c>
      <c r="D2333" s="29">
        <f t="shared" si="2"/>
        <v>788</v>
      </c>
      <c r="E2333" s="30"/>
      <c r="F2333" s="30"/>
      <c r="G2333" s="30"/>
      <c r="H2333" s="30"/>
      <c r="I2333" s="30"/>
      <c r="J2333" s="30"/>
      <c r="K2333" s="30"/>
      <c r="L2333" s="30"/>
      <c r="M2333" s="30"/>
      <c r="N2333" s="30"/>
      <c r="O2333" s="30"/>
      <c r="P2333" s="30"/>
      <c r="Q2333" s="30"/>
      <c r="R2333" s="30"/>
      <c r="S2333" s="30"/>
      <c r="T2333" s="30"/>
      <c r="U2333" s="30"/>
      <c r="V2333" s="30"/>
      <c r="W2333" s="30"/>
      <c r="X2333" s="30"/>
      <c r="Y2333" s="30"/>
      <c r="Z2333" s="30"/>
      <c r="AA2333" s="30"/>
    </row>
    <row r="2334">
      <c r="A2334" s="29">
        <v>2019500.0</v>
      </c>
      <c r="B2334" s="29">
        <v>2018925.0</v>
      </c>
      <c r="C2334" s="30" t="str">
        <f t="shared" si="1"/>
        <v>-</v>
      </c>
      <c r="D2334" s="29">
        <f t="shared" si="2"/>
        <v>789</v>
      </c>
      <c r="E2334" s="30"/>
      <c r="F2334" s="30"/>
      <c r="G2334" s="30"/>
      <c r="H2334" s="30"/>
      <c r="I2334" s="30"/>
      <c r="J2334" s="30"/>
      <c r="K2334" s="30"/>
      <c r="L2334" s="30"/>
      <c r="M2334" s="30"/>
      <c r="N2334" s="30"/>
      <c r="O2334" s="30"/>
      <c r="P2334" s="30"/>
      <c r="Q2334" s="30"/>
      <c r="R2334" s="30"/>
      <c r="S2334" s="30"/>
      <c r="T2334" s="30"/>
      <c r="U2334" s="30"/>
      <c r="V2334" s="30"/>
      <c r="W2334" s="30"/>
      <c r="X2334" s="30"/>
      <c r="Y2334" s="30"/>
      <c r="Z2334" s="30"/>
      <c r="AA2334" s="30"/>
    </row>
    <row r="2335">
      <c r="A2335" s="29">
        <v>2019548.0</v>
      </c>
      <c r="B2335" s="29">
        <v>2020138.0</v>
      </c>
      <c r="C2335" s="30" t="str">
        <f t="shared" si="1"/>
        <v>+</v>
      </c>
      <c r="D2335" s="29">
        <f t="shared" si="2"/>
        <v>790</v>
      </c>
      <c r="E2335" s="30"/>
      <c r="F2335" s="30"/>
      <c r="G2335" s="30"/>
      <c r="H2335" s="30"/>
      <c r="I2335" s="30"/>
      <c r="J2335" s="30"/>
      <c r="K2335" s="30"/>
      <c r="L2335" s="30"/>
      <c r="M2335" s="30"/>
      <c r="N2335" s="30"/>
      <c r="O2335" s="30"/>
      <c r="P2335" s="30"/>
      <c r="Q2335" s="30"/>
      <c r="R2335" s="30"/>
      <c r="S2335" s="30"/>
      <c r="T2335" s="30"/>
      <c r="U2335" s="30"/>
      <c r="V2335" s="30"/>
      <c r="W2335" s="30"/>
      <c r="X2335" s="30"/>
      <c r="Y2335" s="30"/>
      <c r="Z2335" s="30"/>
      <c r="AA2335" s="30"/>
    </row>
    <row r="2336">
      <c r="A2336" s="29">
        <v>2020628.0</v>
      </c>
      <c r="B2336" s="29">
        <v>2020119.0</v>
      </c>
      <c r="C2336" s="30" t="str">
        <f t="shared" si="1"/>
        <v>-</v>
      </c>
      <c r="D2336" s="29">
        <f t="shared" si="2"/>
        <v>791</v>
      </c>
      <c r="E2336" s="30"/>
      <c r="F2336" s="30"/>
      <c r="G2336" s="30"/>
      <c r="H2336" s="30"/>
      <c r="I2336" s="30"/>
      <c r="J2336" s="30"/>
      <c r="K2336" s="30"/>
      <c r="L2336" s="30"/>
      <c r="M2336" s="30"/>
      <c r="N2336" s="30"/>
      <c r="O2336" s="30"/>
      <c r="P2336" s="30"/>
      <c r="Q2336" s="30"/>
      <c r="R2336" s="30"/>
      <c r="S2336" s="30"/>
      <c r="T2336" s="30"/>
      <c r="U2336" s="30"/>
      <c r="V2336" s="30"/>
      <c r="W2336" s="30"/>
      <c r="X2336" s="30"/>
      <c r="Y2336" s="30"/>
      <c r="Z2336" s="30"/>
      <c r="AA2336" s="30"/>
    </row>
    <row r="2337">
      <c r="A2337" s="29">
        <v>2020659.0</v>
      </c>
      <c r="B2337" s="29">
        <v>2021249.0</v>
      </c>
      <c r="C2337" s="30" t="str">
        <f t="shared" si="1"/>
        <v>+</v>
      </c>
      <c r="D2337" s="29">
        <f t="shared" si="2"/>
        <v>792</v>
      </c>
      <c r="E2337" s="30"/>
      <c r="F2337" s="30"/>
      <c r="G2337" s="30"/>
      <c r="H2337" s="30"/>
      <c r="I2337" s="30"/>
      <c r="J2337" s="30"/>
      <c r="K2337" s="30"/>
      <c r="L2337" s="30"/>
      <c r="M2337" s="30"/>
      <c r="N2337" s="30"/>
      <c r="O2337" s="30"/>
      <c r="P2337" s="30"/>
      <c r="Q2337" s="30"/>
      <c r="R2337" s="30"/>
      <c r="S2337" s="30"/>
      <c r="T2337" s="30"/>
      <c r="U2337" s="30"/>
      <c r="V2337" s="30"/>
      <c r="W2337" s="30"/>
      <c r="X2337" s="30"/>
      <c r="Y2337" s="30"/>
      <c r="Z2337" s="30"/>
      <c r="AA2337" s="30"/>
    </row>
    <row r="2338">
      <c r="A2338" s="29">
        <v>2021763.0</v>
      </c>
      <c r="B2338" s="29">
        <v>2021233.0</v>
      </c>
      <c r="C2338" s="30" t="str">
        <f t="shared" si="1"/>
        <v>-</v>
      </c>
      <c r="D2338" s="29">
        <f t="shared" si="2"/>
        <v>793</v>
      </c>
      <c r="E2338" s="30"/>
      <c r="F2338" s="30"/>
      <c r="G2338" s="30"/>
      <c r="H2338" s="30"/>
      <c r="I2338" s="30"/>
      <c r="J2338" s="30"/>
      <c r="K2338" s="30"/>
      <c r="L2338" s="30"/>
      <c r="M2338" s="30"/>
      <c r="N2338" s="30"/>
      <c r="O2338" s="30"/>
      <c r="P2338" s="30"/>
      <c r="Q2338" s="30"/>
      <c r="R2338" s="30"/>
      <c r="S2338" s="30"/>
      <c r="T2338" s="30"/>
      <c r="U2338" s="30"/>
      <c r="V2338" s="30"/>
      <c r="W2338" s="30"/>
      <c r="X2338" s="30"/>
      <c r="Y2338" s="30"/>
      <c r="Z2338" s="30"/>
      <c r="AA2338" s="30"/>
    </row>
    <row r="2339">
      <c r="A2339" s="29">
        <v>2022275.0</v>
      </c>
      <c r="B2339" s="29">
        <v>2021760.0</v>
      </c>
      <c r="C2339" s="30" t="str">
        <f t="shared" si="1"/>
        <v>-</v>
      </c>
      <c r="D2339" s="29">
        <f t="shared" si="2"/>
        <v>793</v>
      </c>
      <c r="E2339" s="30"/>
      <c r="F2339" s="30"/>
      <c r="G2339" s="30"/>
      <c r="H2339" s="30"/>
      <c r="I2339" s="30"/>
      <c r="J2339" s="30"/>
      <c r="K2339" s="30"/>
      <c r="L2339" s="30"/>
      <c r="M2339" s="30"/>
      <c r="N2339" s="30"/>
      <c r="O2339" s="30"/>
      <c r="P2339" s="30"/>
      <c r="Q2339" s="30"/>
      <c r="R2339" s="30"/>
      <c r="S2339" s="30"/>
      <c r="T2339" s="30"/>
      <c r="U2339" s="30"/>
      <c r="V2339" s="30"/>
      <c r="W2339" s="30"/>
      <c r="X2339" s="30"/>
      <c r="Y2339" s="30"/>
      <c r="Z2339" s="30"/>
      <c r="AA2339" s="30"/>
    </row>
    <row r="2340">
      <c r="A2340" s="29">
        <v>2022674.0</v>
      </c>
      <c r="B2340" s="29">
        <v>2022297.0</v>
      </c>
      <c r="C2340" s="30" t="str">
        <f t="shared" si="1"/>
        <v>-</v>
      </c>
      <c r="D2340" s="29">
        <f t="shared" si="2"/>
        <v>793</v>
      </c>
      <c r="E2340" s="30"/>
      <c r="F2340" s="30"/>
      <c r="G2340" s="30"/>
      <c r="H2340" s="30"/>
      <c r="I2340" s="30"/>
      <c r="J2340" s="30"/>
      <c r="K2340" s="30"/>
      <c r="L2340" s="30"/>
      <c r="M2340" s="30"/>
      <c r="N2340" s="30"/>
      <c r="O2340" s="30"/>
      <c r="P2340" s="30"/>
      <c r="Q2340" s="30"/>
      <c r="R2340" s="30"/>
      <c r="S2340" s="30"/>
      <c r="T2340" s="30"/>
      <c r="U2340" s="30"/>
      <c r="V2340" s="30"/>
      <c r="W2340" s="30"/>
      <c r="X2340" s="30"/>
      <c r="Y2340" s="30"/>
      <c r="Z2340" s="30"/>
      <c r="AA2340" s="30"/>
    </row>
    <row r="2341">
      <c r="A2341" s="29">
        <v>2022708.0</v>
      </c>
      <c r="B2341" s="29">
        <v>2023190.0</v>
      </c>
      <c r="C2341" s="30" t="str">
        <f t="shared" si="1"/>
        <v>+</v>
      </c>
      <c r="D2341" s="29">
        <f t="shared" si="2"/>
        <v>794</v>
      </c>
      <c r="E2341" s="30"/>
      <c r="F2341" s="30"/>
      <c r="G2341" s="30"/>
      <c r="H2341" s="30"/>
      <c r="I2341" s="30"/>
      <c r="J2341" s="30"/>
      <c r="K2341" s="30"/>
      <c r="L2341" s="30"/>
      <c r="M2341" s="30"/>
      <c r="N2341" s="30"/>
      <c r="O2341" s="30"/>
      <c r="P2341" s="30"/>
      <c r="Q2341" s="30"/>
      <c r="R2341" s="30"/>
      <c r="S2341" s="30"/>
      <c r="T2341" s="30"/>
      <c r="U2341" s="30"/>
      <c r="V2341" s="30"/>
      <c r="W2341" s="30"/>
      <c r="X2341" s="30"/>
      <c r="Y2341" s="30"/>
      <c r="Z2341" s="30"/>
      <c r="AA2341" s="30"/>
    </row>
    <row r="2342">
      <c r="A2342" s="29">
        <v>2024319.0</v>
      </c>
      <c r="B2342" s="29">
        <v>2023180.0</v>
      </c>
      <c r="C2342" s="30" t="str">
        <f t="shared" si="1"/>
        <v>-</v>
      </c>
      <c r="D2342" s="29">
        <f t="shared" si="2"/>
        <v>795</v>
      </c>
      <c r="E2342" s="30"/>
      <c r="F2342" s="30"/>
      <c r="G2342" s="30"/>
      <c r="H2342" s="30"/>
      <c r="I2342" s="30"/>
      <c r="J2342" s="30"/>
      <c r="K2342" s="30"/>
      <c r="L2342" s="30"/>
      <c r="M2342" s="30"/>
      <c r="N2342" s="30"/>
      <c r="O2342" s="30"/>
      <c r="P2342" s="30"/>
      <c r="Q2342" s="30"/>
      <c r="R2342" s="30"/>
      <c r="S2342" s="30"/>
      <c r="T2342" s="30"/>
      <c r="U2342" s="30"/>
      <c r="V2342" s="30"/>
      <c r="W2342" s="30"/>
      <c r="X2342" s="30"/>
      <c r="Y2342" s="30"/>
      <c r="Z2342" s="30"/>
      <c r="AA2342" s="30"/>
    </row>
    <row r="2343">
      <c r="A2343" s="29">
        <v>2024938.0</v>
      </c>
      <c r="B2343" s="29">
        <v>2024309.0</v>
      </c>
      <c r="C2343" s="30" t="str">
        <f t="shared" si="1"/>
        <v>-</v>
      </c>
      <c r="D2343" s="29">
        <f t="shared" si="2"/>
        <v>795</v>
      </c>
      <c r="E2343" s="30"/>
      <c r="F2343" s="30"/>
      <c r="G2343" s="30"/>
      <c r="H2343" s="30"/>
      <c r="I2343" s="30"/>
      <c r="J2343" s="30"/>
      <c r="K2343" s="30"/>
      <c r="L2343" s="30"/>
      <c r="M2343" s="30"/>
      <c r="N2343" s="30"/>
      <c r="O2343" s="30"/>
      <c r="P2343" s="30"/>
      <c r="Q2343" s="30"/>
      <c r="R2343" s="30"/>
      <c r="S2343" s="30"/>
      <c r="T2343" s="30"/>
      <c r="U2343" s="30"/>
      <c r="V2343" s="30"/>
      <c r="W2343" s="30"/>
      <c r="X2343" s="30"/>
      <c r="Y2343" s="30"/>
      <c r="Z2343" s="30"/>
      <c r="AA2343" s="30"/>
    </row>
    <row r="2344">
      <c r="A2344" s="29">
        <v>2025776.0</v>
      </c>
      <c r="B2344" s="29">
        <v>2024889.0</v>
      </c>
      <c r="C2344" s="30" t="str">
        <f t="shared" si="1"/>
        <v>-</v>
      </c>
      <c r="D2344" s="29">
        <f t="shared" si="2"/>
        <v>795</v>
      </c>
      <c r="E2344" s="30"/>
      <c r="F2344" s="30"/>
      <c r="G2344" s="30"/>
      <c r="H2344" s="30"/>
      <c r="I2344" s="30"/>
      <c r="J2344" s="30"/>
      <c r="K2344" s="30"/>
      <c r="L2344" s="30"/>
      <c r="M2344" s="30"/>
      <c r="N2344" s="30"/>
      <c r="O2344" s="30"/>
      <c r="P2344" s="30"/>
      <c r="Q2344" s="30"/>
      <c r="R2344" s="30"/>
      <c r="S2344" s="30"/>
      <c r="T2344" s="30"/>
      <c r="U2344" s="30"/>
      <c r="V2344" s="30"/>
      <c r="W2344" s="30"/>
      <c r="X2344" s="30"/>
      <c r="Y2344" s="30"/>
      <c r="Z2344" s="30"/>
      <c r="AA2344" s="30"/>
    </row>
    <row r="2345">
      <c r="A2345" s="29">
        <v>2025789.0</v>
      </c>
      <c r="B2345" s="29">
        <v>2026781.0</v>
      </c>
      <c r="C2345" s="30" t="str">
        <f t="shared" si="1"/>
        <v>+</v>
      </c>
      <c r="D2345" s="29">
        <f t="shared" si="2"/>
        <v>796</v>
      </c>
      <c r="E2345" s="30"/>
      <c r="F2345" s="30"/>
      <c r="G2345" s="30"/>
      <c r="H2345" s="30"/>
      <c r="I2345" s="30"/>
      <c r="J2345" s="30"/>
      <c r="K2345" s="30"/>
      <c r="L2345" s="30"/>
      <c r="M2345" s="30"/>
      <c r="N2345" s="30"/>
      <c r="O2345" s="30"/>
      <c r="P2345" s="30"/>
      <c r="Q2345" s="30"/>
      <c r="R2345" s="30"/>
      <c r="S2345" s="30"/>
      <c r="T2345" s="30"/>
      <c r="U2345" s="30"/>
      <c r="V2345" s="30"/>
      <c r="W2345" s="30"/>
      <c r="X2345" s="30"/>
      <c r="Y2345" s="30"/>
      <c r="Z2345" s="30"/>
      <c r="AA2345" s="30"/>
    </row>
    <row r="2346">
      <c r="A2346" s="29">
        <v>2027693.0</v>
      </c>
      <c r="B2346" s="29">
        <v>2026899.0</v>
      </c>
      <c r="C2346" s="30" t="str">
        <f t="shared" si="1"/>
        <v>-</v>
      </c>
      <c r="D2346" s="29">
        <f t="shared" si="2"/>
        <v>797</v>
      </c>
      <c r="E2346" s="30"/>
      <c r="F2346" s="30"/>
      <c r="G2346" s="30"/>
      <c r="H2346" s="30"/>
      <c r="I2346" s="30"/>
      <c r="J2346" s="30"/>
      <c r="K2346" s="30"/>
      <c r="L2346" s="30"/>
      <c r="M2346" s="30"/>
      <c r="N2346" s="30"/>
      <c r="O2346" s="30"/>
      <c r="P2346" s="30"/>
      <c r="Q2346" s="30"/>
      <c r="R2346" s="30"/>
      <c r="S2346" s="30"/>
      <c r="T2346" s="30"/>
      <c r="U2346" s="30"/>
      <c r="V2346" s="30"/>
      <c r="W2346" s="30"/>
      <c r="X2346" s="30"/>
      <c r="Y2346" s="30"/>
      <c r="Z2346" s="30"/>
      <c r="AA2346" s="30"/>
    </row>
    <row r="2347">
      <c r="A2347" s="29">
        <v>2030764.0</v>
      </c>
      <c r="B2347" s="29">
        <v>2027687.0</v>
      </c>
      <c r="C2347" s="30" t="str">
        <f t="shared" si="1"/>
        <v>-</v>
      </c>
      <c r="D2347" s="29">
        <f t="shared" si="2"/>
        <v>797</v>
      </c>
      <c r="E2347" s="30"/>
      <c r="F2347" s="30"/>
      <c r="G2347" s="30"/>
      <c r="H2347" s="30"/>
      <c r="I2347" s="30"/>
      <c r="J2347" s="30"/>
      <c r="K2347" s="30"/>
      <c r="L2347" s="30"/>
      <c r="M2347" s="30"/>
      <c r="N2347" s="30"/>
      <c r="O2347" s="30"/>
      <c r="P2347" s="30"/>
      <c r="Q2347" s="30"/>
      <c r="R2347" s="30"/>
      <c r="S2347" s="30"/>
      <c r="T2347" s="30"/>
      <c r="U2347" s="30"/>
      <c r="V2347" s="30"/>
      <c r="W2347" s="30"/>
      <c r="X2347" s="30"/>
      <c r="Y2347" s="30"/>
      <c r="Z2347" s="30"/>
      <c r="AA2347" s="30"/>
    </row>
    <row r="2348">
      <c r="A2348" s="29">
        <v>2031839.0</v>
      </c>
      <c r="B2348" s="29">
        <v>2030751.0</v>
      </c>
      <c r="C2348" s="30" t="str">
        <f t="shared" si="1"/>
        <v>-</v>
      </c>
      <c r="D2348" s="29">
        <f t="shared" si="2"/>
        <v>797</v>
      </c>
      <c r="E2348" s="30"/>
      <c r="F2348" s="30"/>
      <c r="G2348" s="30"/>
      <c r="H2348" s="30"/>
      <c r="I2348" s="30"/>
      <c r="J2348" s="30"/>
      <c r="K2348" s="30"/>
      <c r="L2348" s="30"/>
      <c r="M2348" s="30"/>
      <c r="N2348" s="30"/>
      <c r="O2348" s="30"/>
      <c r="P2348" s="30"/>
      <c r="Q2348" s="30"/>
      <c r="R2348" s="30"/>
      <c r="S2348" s="30"/>
      <c r="T2348" s="30"/>
      <c r="U2348" s="30"/>
      <c r="V2348" s="30"/>
      <c r="W2348" s="30"/>
      <c r="X2348" s="30"/>
      <c r="Y2348" s="30"/>
      <c r="Z2348" s="30"/>
      <c r="AA2348" s="30"/>
    </row>
    <row r="2349">
      <c r="A2349" s="29">
        <v>2032422.0</v>
      </c>
      <c r="B2349" s="29">
        <v>2031964.0</v>
      </c>
      <c r="C2349" s="30" t="str">
        <f t="shared" si="1"/>
        <v>-</v>
      </c>
      <c r="D2349" s="29">
        <f t="shared" si="2"/>
        <v>797</v>
      </c>
      <c r="E2349" s="30"/>
      <c r="F2349" s="30"/>
      <c r="G2349" s="30"/>
      <c r="H2349" s="30"/>
      <c r="I2349" s="30"/>
      <c r="J2349" s="30"/>
      <c r="K2349" s="30"/>
      <c r="L2349" s="30"/>
      <c r="M2349" s="30"/>
      <c r="N2349" s="30"/>
      <c r="O2349" s="30"/>
      <c r="P2349" s="30"/>
      <c r="Q2349" s="30"/>
      <c r="R2349" s="30"/>
      <c r="S2349" s="30"/>
      <c r="T2349" s="30"/>
      <c r="U2349" s="30"/>
      <c r="V2349" s="30"/>
      <c r="W2349" s="30"/>
      <c r="X2349" s="30"/>
      <c r="Y2349" s="30"/>
      <c r="Z2349" s="30"/>
      <c r="AA2349" s="30"/>
    </row>
    <row r="2350">
      <c r="A2350" s="29">
        <v>2032468.0</v>
      </c>
      <c r="B2350" s="29">
        <v>2033667.0</v>
      </c>
      <c r="C2350" s="30" t="str">
        <f t="shared" si="1"/>
        <v>+</v>
      </c>
      <c r="D2350" s="29">
        <f t="shared" si="2"/>
        <v>798</v>
      </c>
      <c r="E2350" s="30"/>
      <c r="F2350" s="30"/>
      <c r="G2350" s="30"/>
      <c r="H2350" s="30"/>
      <c r="I2350" s="30"/>
      <c r="J2350" s="30"/>
      <c r="K2350" s="30"/>
      <c r="L2350" s="30"/>
      <c r="M2350" s="30"/>
      <c r="N2350" s="30"/>
      <c r="O2350" s="30"/>
      <c r="P2350" s="30"/>
      <c r="Q2350" s="30"/>
      <c r="R2350" s="30"/>
      <c r="S2350" s="30"/>
      <c r="T2350" s="30"/>
      <c r="U2350" s="30"/>
      <c r="V2350" s="30"/>
      <c r="W2350" s="30"/>
      <c r="X2350" s="30"/>
      <c r="Y2350" s="30"/>
      <c r="Z2350" s="30"/>
      <c r="AA2350" s="30"/>
    </row>
    <row r="2351">
      <c r="A2351" s="29">
        <v>2034544.0</v>
      </c>
      <c r="B2351" s="29">
        <v>2036445.0</v>
      </c>
      <c r="C2351" s="30" t="str">
        <f t="shared" si="1"/>
        <v>+</v>
      </c>
      <c r="D2351" s="29">
        <f t="shared" si="2"/>
        <v>798</v>
      </c>
      <c r="E2351" s="30"/>
      <c r="F2351" s="30"/>
      <c r="G2351" s="30"/>
      <c r="H2351" s="30"/>
      <c r="I2351" s="30"/>
      <c r="J2351" s="30"/>
      <c r="K2351" s="30"/>
      <c r="L2351" s="30"/>
      <c r="M2351" s="30"/>
      <c r="N2351" s="30"/>
      <c r="O2351" s="30"/>
      <c r="P2351" s="30"/>
      <c r="Q2351" s="30"/>
      <c r="R2351" s="30"/>
      <c r="S2351" s="30"/>
      <c r="T2351" s="30"/>
      <c r="U2351" s="30"/>
      <c r="V2351" s="30"/>
      <c r="W2351" s="30"/>
      <c r="X2351" s="30"/>
      <c r="Y2351" s="30"/>
      <c r="Z2351" s="30"/>
      <c r="AA2351" s="30"/>
    </row>
    <row r="2352">
      <c r="A2352" s="29">
        <v>2036448.0</v>
      </c>
      <c r="B2352" s="29">
        <v>2037386.0</v>
      </c>
      <c r="C2352" s="30" t="str">
        <f t="shared" si="1"/>
        <v>+</v>
      </c>
      <c r="D2352" s="29">
        <f t="shared" si="2"/>
        <v>798</v>
      </c>
      <c r="E2352" s="30"/>
      <c r="F2352" s="30"/>
      <c r="G2352" s="30"/>
      <c r="H2352" s="30"/>
      <c r="I2352" s="30"/>
      <c r="J2352" s="30"/>
      <c r="K2352" s="30"/>
      <c r="L2352" s="30"/>
      <c r="M2352" s="30"/>
      <c r="N2352" s="30"/>
      <c r="O2352" s="30"/>
      <c r="P2352" s="30"/>
      <c r="Q2352" s="30"/>
      <c r="R2352" s="30"/>
      <c r="S2352" s="30"/>
      <c r="T2352" s="30"/>
      <c r="U2352" s="30"/>
      <c r="V2352" s="30"/>
      <c r="W2352" s="30"/>
      <c r="X2352" s="30"/>
      <c r="Y2352" s="30"/>
      <c r="Z2352" s="30"/>
      <c r="AA2352" s="30"/>
    </row>
    <row r="2353">
      <c r="A2353" s="29">
        <v>2038186.0</v>
      </c>
      <c r="B2353" s="29">
        <v>2038815.0</v>
      </c>
      <c r="C2353" s="30" t="str">
        <f t="shared" si="1"/>
        <v>+</v>
      </c>
      <c r="D2353" s="29">
        <f t="shared" si="2"/>
        <v>798</v>
      </c>
      <c r="E2353" s="30"/>
      <c r="F2353" s="30"/>
      <c r="G2353" s="30"/>
      <c r="H2353" s="30"/>
      <c r="I2353" s="30"/>
      <c r="J2353" s="30"/>
      <c r="K2353" s="30"/>
      <c r="L2353" s="30"/>
      <c r="M2353" s="30"/>
      <c r="N2353" s="30"/>
      <c r="O2353" s="30"/>
      <c r="P2353" s="30"/>
      <c r="Q2353" s="30"/>
      <c r="R2353" s="30"/>
      <c r="S2353" s="30"/>
      <c r="T2353" s="30"/>
      <c r="U2353" s="30"/>
      <c r="V2353" s="30"/>
      <c r="W2353" s="30"/>
      <c r="X2353" s="30"/>
      <c r="Y2353" s="30"/>
      <c r="Z2353" s="30"/>
      <c r="AA2353" s="30"/>
    </row>
    <row r="2354">
      <c r="A2354" s="29">
        <v>2038942.0</v>
      </c>
      <c r="B2354" s="29">
        <v>2039223.0</v>
      </c>
      <c r="C2354" s="30" t="str">
        <f t="shared" si="1"/>
        <v>+</v>
      </c>
      <c r="D2354" s="29">
        <f t="shared" si="2"/>
        <v>798</v>
      </c>
      <c r="E2354" s="30"/>
      <c r="F2354" s="30"/>
      <c r="G2354" s="30"/>
      <c r="H2354" s="30"/>
      <c r="I2354" s="30"/>
      <c r="J2354" s="30"/>
      <c r="K2354" s="30"/>
      <c r="L2354" s="30"/>
      <c r="M2354" s="30"/>
      <c r="N2354" s="30"/>
      <c r="O2354" s="30"/>
      <c r="P2354" s="30"/>
      <c r="Q2354" s="30"/>
      <c r="R2354" s="30"/>
      <c r="S2354" s="30"/>
      <c r="T2354" s="30"/>
      <c r="U2354" s="30"/>
      <c r="V2354" s="30"/>
      <c r="W2354" s="30"/>
      <c r="X2354" s="30"/>
      <c r="Y2354" s="30"/>
      <c r="Z2354" s="30"/>
      <c r="AA2354" s="30"/>
    </row>
    <row r="2355">
      <c r="A2355" s="29">
        <v>2040414.0</v>
      </c>
      <c r="B2355" s="29">
        <v>2040319.0</v>
      </c>
      <c r="C2355" s="30" t="str">
        <f t="shared" si="1"/>
        <v>-</v>
      </c>
      <c r="D2355" s="29">
        <f t="shared" si="2"/>
        <v>799</v>
      </c>
      <c r="E2355" s="30"/>
      <c r="F2355" s="30"/>
      <c r="G2355" s="30"/>
      <c r="H2355" s="30"/>
      <c r="I2355" s="30"/>
      <c r="J2355" s="30"/>
      <c r="K2355" s="30"/>
      <c r="L2355" s="30"/>
      <c r="M2355" s="30"/>
      <c r="N2355" s="30"/>
      <c r="O2355" s="30"/>
      <c r="P2355" s="30"/>
      <c r="Q2355" s="30"/>
      <c r="R2355" s="30"/>
      <c r="S2355" s="30"/>
      <c r="T2355" s="30"/>
      <c r="U2355" s="30"/>
      <c r="V2355" s="30"/>
      <c r="W2355" s="30"/>
      <c r="X2355" s="30"/>
      <c r="Y2355" s="30"/>
      <c r="Z2355" s="30"/>
      <c r="AA2355" s="30"/>
    </row>
    <row r="2356">
      <c r="A2356" s="29">
        <v>2040639.0</v>
      </c>
      <c r="B2356" s="29">
        <v>2040490.0</v>
      </c>
      <c r="C2356" s="30" t="str">
        <f t="shared" si="1"/>
        <v>-</v>
      </c>
      <c r="D2356" s="29">
        <f t="shared" si="2"/>
        <v>799</v>
      </c>
      <c r="E2356" s="30"/>
      <c r="F2356" s="30"/>
      <c r="G2356" s="30"/>
      <c r="H2356" s="30"/>
      <c r="I2356" s="30"/>
      <c r="J2356" s="30"/>
      <c r="K2356" s="30"/>
      <c r="L2356" s="30"/>
      <c r="M2356" s="30"/>
      <c r="N2356" s="30"/>
      <c r="O2356" s="30"/>
      <c r="P2356" s="30"/>
      <c r="Q2356" s="30"/>
      <c r="R2356" s="30"/>
      <c r="S2356" s="30"/>
      <c r="T2356" s="30"/>
      <c r="U2356" s="30"/>
      <c r="V2356" s="30"/>
      <c r="W2356" s="30"/>
      <c r="X2356" s="30"/>
      <c r="Y2356" s="30"/>
      <c r="Z2356" s="30"/>
      <c r="AA2356" s="30"/>
    </row>
    <row r="2357">
      <c r="A2357" s="29">
        <v>2042398.0</v>
      </c>
      <c r="B2357" s="29">
        <v>2043654.0</v>
      </c>
      <c r="C2357" s="30" t="str">
        <f t="shared" si="1"/>
        <v>+</v>
      </c>
      <c r="D2357" s="29">
        <f t="shared" si="2"/>
        <v>800</v>
      </c>
      <c r="E2357" s="30"/>
      <c r="F2357" s="30"/>
      <c r="G2357" s="30"/>
      <c r="H2357" s="30"/>
      <c r="I2357" s="30"/>
      <c r="J2357" s="30"/>
      <c r="K2357" s="30"/>
      <c r="L2357" s="30"/>
      <c r="M2357" s="30"/>
      <c r="N2357" s="30"/>
      <c r="O2357" s="30"/>
      <c r="P2357" s="30"/>
      <c r="Q2357" s="30"/>
      <c r="R2357" s="30"/>
      <c r="S2357" s="30"/>
      <c r="T2357" s="30"/>
      <c r="U2357" s="30"/>
      <c r="V2357" s="30"/>
      <c r="W2357" s="30"/>
      <c r="X2357" s="30"/>
      <c r="Y2357" s="30"/>
      <c r="Z2357" s="30"/>
      <c r="AA2357" s="30"/>
    </row>
    <row r="2358">
      <c r="A2358" s="29">
        <v>2044756.0</v>
      </c>
      <c r="B2358" s="29">
        <v>2043647.0</v>
      </c>
      <c r="C2358" s="30" t="str">
        <f t="shared" si="1"/>
        <v>-</v>
      </c>
      <c r="D2358" s="29">
        <f t="shared" si="2"/>
        <v>801</v>
      </c>
      <c r="E2358" s="30"/>
      <c r="F2358" s="30"/>
      <c r="G2358" s="30"/>
      <c r="H2358" s="30"/>
      <c r="I2358" s="30"/>
      <c r="J2358" s="30"/>
      <c r="K2358" s="30"/>
      <c r="L2358" s="30"/>
      <c r="M2358" s="30"/>
      <c r="N2358" s="30"/>
      <c r="O2358" s="30"/>
      <c r="P2358" s="30"/>
      <c r="Q2358" s="30"/>
      <c r="R2358" s="30"/>
      <c r="S2358" s="30"/>
      <c r="T2358" s="30"/>
      <c r="U2358" s="30"/>
      <c r="V2358" s="30"/>
      <c r="W2358" s="30"/>
      <c r="X2358" s="30"/>
      <c r="Y2358" s="30"/>
      <c r="Z2358" s="30"/>
      <c r="AA2358" s="30"/>
    </row>
    <row r="2359">
      <c r="A2359" s="29">
        <v>2045307.0</v>
      </c>
      <c r="B2359" s="29">
        <v>2044789.0</v>
      </c>
      <c r="C2359" s="30" t="str">
        <f t="shared" si="1"/>
        <v>-</v>
      </c>
      <c r="D2359" s="29">
        <f t="shared" si="2"/>
        <v>801</v>
      </c>
      <c r="E2359" s="30"/>
      <c r="F2359" s="30"/>
      <c r="G2359" s="30"/>
      <c r="H2359" s="30"/>
      <c r="I2359" s="30"/>
      <c r="J2359" s="30"/>
      <c r="K2359" s="30"/>
      <c r="L2359" s="30"/>
      <c r="M2359" s="30"/>
      <c r="N2359" s="30"/>
      <c r="O2359" s="30"/>
      <c r="P2359" s="30"/>
      <c r="Q2359" s="30"/>
      <c r="R2359" s="30"/>
      <c r="S2359" s="30"/>
      <c r="T2359" s="30"/>
      <c r="U2359" s="30"/>
      <c r="V2359" s="30"/>
      <c r="W2359" s="30"/>
      <c r="X2359" s="30"/>
      <c r="Y2359" s="30"/>
      <c r="Z2359" s="30"/>
      <c r="AA2359" s="30"/>
    </row>
    <row r="2360">
      <c r="A2360" s="29">
        <v>2045957.0</v>
      </c>
      <c r="B2360" s="29">
        <v>2045304.0</v>
      </c>
      <c r="C2360" s="30" t="str">
        <f t="shared" si="1"/>
        <v>-</v>
      </c>
      <c r="D2360" s="29">
        <f t="shared" si="2"/>
        <v>801</v>
      </c>
      <c r="E2360" s="30"/>
      <c r="F2360" s="30"/>
      <c r="G2360" s="30"/>
      <c r="H2360" s="30"/>
      <c r="I2360" s="30"/>
      <c r="J2360" s="30"/>
      <c r="K2360" s="30"/>
      <c r="L2360" s="30"/>
      <c r="M2360" s="30"/>
      <c r="N2360" s="30"/>
      <c r="O2360" s="30"/>
      <c r="P2360" s="30"/>
      <c r="Q2360" s="30"/>
      <c r="R2360" s="30"/>
      <c r="S2360" s="30"/>
      <c r="T2360" s="30"/>
      <c r="U2360" s="30"/>
      <c r="V2360" s="30"/>
      <c r="W2360" s="30"/>
      <c r="X2360" s="30"/>
      <c r="Y2360" s="30"/>
      <c r="Z2360" s="30"/>
      <c r="AA2360" s="30"/>
    </row>
    <row r="2361">
      <c r="A2361" s="29">
        <v>2049358.0</v>
      </c>
      <c r="B2361" s="29">
        <v>2045954.0</v>
      </c>
      <c r="C2361" s="30" t="str">
        <f t="shared" si="1"/>
        <v>-</v>
      </c>
      <c r="D2361" s="29">
        <f t="shared" si="2"/>
        <v>801</v>
      </c>
      <c r="E2361" s="30"/>
      <c r="F2361" s="30"/>
      <c r="G2361" s="30"/>
      <c r="H2361" s="30"/>
      <c r="I2361" s="30"/>
      <c r="J2361" s="30"/>
      <c r="K2361" s="30"/>
      <c r="L2361" s="30"/>
      <c r="M2361" s="30"/>
      <c r="N2361" s="30"/>
      <c r="O2361" s="30"/>
      <c r="P2361" s="30"/>
      <c r="Q2361" s="30"/>
      <c r="R2361" s="30"/>
      <c r="S2361" s="30"/>
      <c r="T2361" s="30"/>
      <c r="U2361" s="30"/>
      <c r="V2361" s="30"/>
      <c r="W2361" s="30"/>
      <c r="X2361" s="30"/>
      <c r="Y2361" s="30"/>
      <c r="Z2361" s="30"/>
      <c r="AA2361" s="30"/>
    </row>
    <row r="2362">
      <c r="A2362" s="29">
        <v>2049879.0</v>
      </c>
      <c r="B2362" s="29">
        <v>2049421.0</v>
      </c>
      <c r="C2362" s="30" t="str">
        <f t="shared" si="1"/>
        <v>-</v>
      </c>
      <c r="D2362" s="29">
        <f t="shared" si="2"/>
        <v>801</v>
      </c>
      <c r="E2362" s="30"/>
      <c r="F2362" s="30"/>
      <c r="G2362" s="30"/>
      <c r="H2362" s="30"/>
      <c r="I2362" s="30"/>
      <c r="J2362" s="30"/>
      <c r="K2362" s="30"/>
      <c r="L2362" s="30"/>
      <c r="M2362" s="30"/>
      <c r="N2362" s="30"/>
      <c r="O2362" s="30"/>
      <c r="P2362" s="30"/>
      <c r="Q2362" s="30"/>
      <c r="R2362" s="30"/>
      <c r="S2362" s="30"/>
      <c r="T2362" s="30"/>
      <c r="U2362" s="30"/>
      <c r="V2362" s="30"/>
      <c r="W2362" s="30"/>
      <c r="X2362" s="30"/>
      <c r="Y2362" s="30"/>
      <c r="Z2362" s="30"/>
      <c r="AA2362" s="30"/>
    </row>
    <row r="2363">
      <c r="A2363" s="29">
        <v>2051246.0</v>
      </c>
      <c r="B2363" s="29">
        <v>2049876.0</v>
      </c>
      <c r="C2363" s="30" t="str">
        <f t="shared" si="1"/>
        <v>-</v>
      </c>
      <c r="D2363" s="29">
        <f t="shared" si="2"/>
        <v>801</v>
      </c>
      <c r="E2363" s="30"/>
      <c r="F2363" s="30"/>
      <c r="G2363" s="30"/>
      <c r="H2363" s="30"/>
      <c r="I2363" s="30"/>
      <c r="J2363" s="30"/>
      <c r="K2363" s="30"/>
      <c r="L2363" s="30"/>
      <c r="M2363" s="30"/>
      <c r="N2363" s="30"/>
      <c r="O2363" s="30"/>
      <c r="P2363" s="30"/>
      <c r="Q2363" s="30"/>
      <c r="R2363" s="30"/>
      <c r="S2363" s="30"/>
      <c r="T2363" s="30"/>
      <c r="U2363" s="30"/>
      <c r="V2363" s="30"/>
      <c r="W2363" s="30"/>
      <c r="X2363" s="30"/>
      <c r="Y2363" s="30"/>
      <c r="Z2363" s="30"/>
      <c r="AA2363" s="30"/>
    </row>
    <row r="2364">
      <c r="A2364" s="29">
        <v>2051826.0</v>
      </c>
      <c r="B2364" s="29">
        <v>2051266.0</v>
      </c>
      <c r="C2364" s="30" t="str">
        <f t="shared" si="1"/>
        <v>-</v>
      </c>
      <c r="D2364" s="29">
        <f t="shared" si="2"/>
        <v>801</v>
      </c>
      <c r="E2364" s="30"/>
      <c r="F2364" s="30"/>
      <c r="G2364" s="30"/>
      <c r="H2364" s="30"/>
      <c r="I2364" s="30"/>
      <c r="J2364" s="30"/>
      <c r="K2364" s="30"/>
      <c r="L2364" s="30"/>
      <c r="M2364" s="30"/>
      <c r="N2364" s="30"/>
      <c r="O2364" s="30"/>
      <c r="P2364" s="30"/>
      <c r="Q2364" s="30"/>
      <c r="R2364" s="30"/>
      <c r="S2364" s="30"/>
      <c r="T2364" s="30"/>
      <c r="U2364" s="30"/>
      <c r="V2364" s="30"/>
      <c r="W2364" s="30"/>
      <c r="X2364" s="30"/>
      <c r="Y2364" s="30"/>
      <c r="Z2364" s="30"/>
      <c r="AA2364" s="30"/>
    </row>
    <row r="2365">
      <c r="A2365" s="29">
        <v>2052095.0</v>
      </c>
      <c r="B2365" s="29">
        <v>2051790.0</v>
      </c>
      <c r="C2365" s="30" t="str">
        <f t="shared" si="1"/>
        <v>-</v>
      </c>
      <c r="D2365" s="29">
        <f t="shared" si="2"/>
        <v>801</v>
      </c>
      <c r="E2365" s="30"/>
      <c r="F2365" s="30"/>
      <c r="G2365" s="30"/>
      <c r="H2365" s="30"/>
      <c r="I2365" s="30"/>
      <c r="J2365" s="30"/>
      <c r="K2365" s="30"/>
      <c r="L2365" s="30"/>
      <c r="M2365" s="30"/>
      <c r="N2365" s="30"/>
      <c r="O2365" s="30"/>
      <c r="P2365" s="30"/>
      <c r="Q2365" s="30"/>
      <c r="R2365" s="30"/>
      <c r="S2365" s="30"/>
      <c r="T2365" s="30"/>
      <c r="U2365" s="30"/>
      <c r="V2365" s="30"/>
      <c r="W2365" s="30"/>
      <c r="X2365" s="30"/>
      <c r="Y2365" s="30"/>
      <c r="Z2365" s="30"/>
      <c r="AA2365" s="30"/>
    </row>
    <row r="2366">
      <c r="A2366" s="29">
        <v>2052622.0</v>
      </c>
      <c r="B2366" s="29">
        <v>2052083.0</v>
      </c>
      <c r="C2366" s="30" t="str">
        <f t="shared" si="1"/>
        <v>-</v>
      </c>
      <c r="D2366" s="29">
        <f t="shared" si="2"/>
        <v>801</v>
      </c>
      <c r="E2366" s="30"/>
      <c r="F2366" s="30"/>
      <c r="G2366" s="30"/>
      <c r="H2366" s="30"/>
      <c r="I2366" s="30"/>
      <c r="J2366" s="30"/>
      <c r="K2366" s="30"/>
      <c r="L2366" s="30"/>
      <c r="M2366" s="30"/>
      <c r="N2366" s="30"/>
      <c r="O2366" s="30"/>
      <c r="P2366" s="30"/>
      <c r="Q2366" s="30"/>
      <c r="R2366" s="30"/>
      <c r="S2366" s="30"/>
      <c r="T2366" s="30"/>
      <c r="U2366" s="30"/>
      <c r="V2366" s="30"/>
      <c r="W2366" s="30"/>
      <c r="X2366" s="30"/>
      <c r="Y2366" s="30"/>
      <c r="Z2366" s="30"/>
      <c r="AA2366" s="30"/>
    </row>
    <row r="2367">
      <c r="A2367" s="29">
        <v>2052797.0</v>
      </c>
      <c r="B2367" s="29">
        <v>2052609.0</v>
      </c>
      <c r="C2367" s="30" t="str">
        <f t="shared" si="1"/>
        <v>-</v>
      </c>
      <c r="D2367" s="29">
        <f t="shared" si="2"/>
        <v>801</v>
      </c>
      <c r="E2367" s="30"/>
      <c r="F2367" s="30"/>
      <c r="G2367" s="30"/>
      <c r="H2367" s="30"/>
      <c r="I2367" s="30"/>
      <c r="J2367" s="30"/>
      <c r="K2367" s="30"/>
      <c r="L2367" s="30"/>
      <c r="M2367" s="30"/>
      <c r="N2367" s="30"/>
      <c r="O2367" s="30"/>
      <c r="P2367" s="30"/>
      <c r="Q2367" s="30"/>
      <c r="R2367" s="30"/>
      <c r="S2367" s="30"/>
      <c r="T2367" s="30"/>
      <c r="U2367" s="30"/>
      <c r="V2367" s="30"/>
      <c r="W2367" s="30"/>
      <c r="X2367" s="30"/>
      <c r="Y2367" s="30"/>
      <c r="Z2367" s="30"/>
      <c r="AA2367" s="30"/>
    </row>
    <row r="2368">
      <c r="A2368" s="29">
        <v>2052905.0</v>
      </c>
      <c r="B2368" s="29">
        <v>2054359.0</v>
      </c>
      <c r="C2368" s="30" t="str">
        <f t="shared" si="1"/>
        <v>+</v>
      </c>
      <c r="D2368" s="29">
        <f t="shared" si="2"/>
        <v>802</v>
      </c>
      <c r="E2368" s="30"/>
      <c r="F2368" s="30"/>
      <c r="G2368" s="30"/>
      <c r="H2368" s="30"/>
      <c r="I2368" s="30"/>
      <c r="J2368" s="30"/>
      <c r="K2368" s="30"/>
      <c r="L2368" s="30"/>
      <c r="M2368" s="30"/>
      <c r="N2368" s="30"/>
      <c r="O2368" s="30"/>
      <c r="P2368" s="30"/>
      <c r="Q2368" s="30"/>
      <c r="R2368" s="30"/>
      <c r="S2368" s="30"/>
      <c r="T2368" s="30"/>
      <c r="U2368" s="30"/>
      <c r="V2368" s="30"/>
      <c r="W2368" s="30"/>
      <c r="X2368" s="30"/>
      <c r="Y2368" s="30"/>
      <c r="Z2368" s="30"/>
      <c r="AA2368" s="30"/>
    </row>
    <row r="2369">
      <c r="A2369" s="29">
        <v>2054380.0</v>
      </c>
      <c r="B2369" s="29">
        <v>2055123.0</v>
      </c>
      <c r="C2369" s="30" t="str">
        <f t="shared" si="1"/>
        <v>+</v>
      </c>
      <c r="D2369" s="29">
        <f t="shared" si="2"/>
        <v>802</v>
      </c>
      <c r="E2369" s="30"/>
      <c r="F2369" s="30"/>
      <c r="G2369" s="30"/>
      <c r="H2369" s="30"/>
      <c r="I2369" s="30"/>
      <c r="J2369" s="30"/>
      <c r="K2369" s="30"/>
      <c r="L2369" s="30"/>
      <c r="M2369" s="30"/>
      <c r="N2369" s="30"/>
      <c r="O2369" s="30"/>
      <c r="P2369" s="30"/>
      <c r="Q2369" s="30"/>
      <c r="R2369" s="30"/>
      <c r="S2369" s="30"/>
      <c r="T2369" s="30"/>
      <c r="U2369" s="30"/>
      <c r="V2369" s="30"/>
      <c r="W2369" s="30"/>
      <c r="X2369" s="30"/>
      <c r="Y2369" s="30"/>
      <c r="Z2369" s="30"/>
      <c r="AA2369" s="30"/>
    </row>
    <row r="2370">
      <c r="A2370" s="29">
        <v>2055143.0</v>
      </c>
      <c r="B2370" s="29">
        <v>2056159.0</v>
      </c>
      <c r="C2370" s="30" t="str">
        <f t="shared" si="1"/>
        <v>+</v>
      </c>
      <c r="D2370" s="29">
        <f t="shared" si="2"/>
        <v>802</v>
      </c>
      <c r="E2370" s="30"/>
      <c r="F2370" s="30"/>
      <c r="G2370" s="30"/>
      <c r="H2370" s="30"/>
      <c r="I2370" s="30"/>
      <c r="J2370" s="30"/>
      <c r="K2370" s="30"/>
      <c r="L2370" s="30"/>
      <c r="M2370" s="30"/>
      <c r="N2370" s="30"/>
      <c r="O2370" s="30"/>
      <c r="P2370" s="30"/>
      <c r="Q2370" s="30"/>
      <c r="R2370" s="30"/>
      <c r="S2370" s="30"/>
      <c r="T2370" s="30"/>
      <c r="U2370" s="30"/>
      <c r="V2370" s="30"/>
      <c r="W2370" s="30"/>
      <c r="X2370" s="30"/>
      <c r="Y2370" s="30"/>
      <c r="Z2370" s="30"/>
      <c r="AA2370" s="30"/>
    </row>
    <row r="2371">
      <c r="A2371" s="29">
        <v>2058815.0</v>
      </c>
      <c r="B2371" s="29">
        <v>2056113.0</v>
      </c>
      <c r="C2371" s="30" t="str">
        <f t="shared" si="1"/>
        <v>-</v>
      </c>
      <c r="D2371" s="29">
        <f t="shared" si="2"/>
        <v>803</v>
      </c>
      <c r="E2371" s="30"/>
      <c r="F2371" s="30"/>
      <c r="G2371" s="30"/>
      <c r="H2371" s="30"/>
      <c r="I2371" s="30"/>
      <c r="J2371" s="30"/>
      <c r="K2371" s="30"/>
      <c r="L2371" s="30"/>
      <c r="M2371" s="30"/>
      <c r="N2371" s="30"/>
      <c r="O2371" s="30"/>
      <c r="P2371" s="30"/>
      <c r="Q2371" s="30"/>
      <c r="R2371" s="30"/>
      <c r="S2371" s="30"/>
      <c r="T2371" s="30"/>
      <c r="U2371" s="30"/>
      <c r="V2371" s="30"/>
      <c r="W2371" s="30"/>
      <c r="X2371" s="30"/>
      <c r="Y2371" s="30"/>
      <c r="Z2371" s="30"/>
      <c r="AA2371" s="30"/>
    </row>
    <row r="2372">
      <c r="A2372" s="29">
        <v>2059212.0</v>
      </c>
      <c r="B2372" s="29">
        <v>2058865.0</v>
      </c>
      <c r="C2372" s="30" t="str">
        <f t="shared" si="1"/>
        <v>-</v>
      </c>
      <c r="D2372" s="29">
        <f t="shared" si="2"/>
        <v>803</v>
      </c>
      <c r="E2372" s="30"/>
      <c r="F2372" s="30"/>
      <c r="G2372" s="30"/>
      <c r="H2372" s="30"/>
      <c r="I2372" s="30"/>
      <c r="J2372" s="30"/>
      <c r="K2372" s="30"/>
      <c r="L2372" s="30"/>
      <c r="M2372" s="30"/>
      <c r="N2372" s="30"/>
      <c r="O2372" s="30"/>
      <c r="P2372" s="30"/>
      <c r="Q2372" s="30"/>
      <c r="R2372" s="30"/>
      <c r="S2372" s="30"/>
      <c r="T2372" s="30"/>
      <c r="U2372" s="30"/>
      <c r="V2372" s="30"/>
      <c r="W2372" s="30"/>
      <c r="X2372" s="30"/>
      <c r="Y2372" s="30"/>
      <c r="Z2372" s="30"/>
      <c r="AA2372" s="30"/>
    </row>
    <row r="2373">
      <c r="A2373" s="29">
        <v>2059435.0</v>
      </c>
      <c r="B2373" s="29">
        <v>2059226.0</v>
      </c>
      <c r="C2373" s="30" t="str">
        <f t="shared" si="1"/>
        <v>-</v>
      </c>
      <c r="D2373" s="29">
        <f t="shared" si="2"/>
        <v>803</v>
      </c>
      <c r="E2373" s="30"/>
      <c r="F2373" s="30"/>
      <c r="G2373" s="30"/>
      <c r="H2373" s="30"/>
      <c r="I2373" s="30"/>
      <c r="J2373" s="30"/>
      <c r="K2373" s="30"/>
      <c r="L2373" s="30"/>
      <c r="M2373" s="30"/>
      <c r="N2373" s="30"/>
      <c r="O2373" s="30"/>
      <c r="P2373" s="30"/>
      <c r="Q2373" s="30"/>
      <c r="R2373" s="30"/>
      <c r="S2373" s="30"/>
      <c r="T2373" s="30"/>
      <c r="U2373" s="30"/>
      <c r="V2373" s="30"/>
      <c r="W2373" s="30"/>
      <c r="X2373" s="30"/>
      <c r="Y2373" s="30"/>
      <c r="Z2373" s="30"/>
      <c r="AA2373" s="30"/>
    </row>
    <row r="2374">
      <c r="A2374" s="29">
        <v>2059907.0</v>
      </c>
      <c r="B2374" s="29">
        <v>2059428.0</v>
      </c>
      <c r="C2374" s="30" t="str">
        <f t="shared" si="1"/>
        <v>-</v>
      </c>
      <c r="D2374" s="29">
        <f t="shared" si="2"/>
        <v>803</v>
      </c>
      <c r="E2374" s="30"/>
      <c r="F2374" s="30"/>
      <c r="G2374" s="30"/>
      <c r="H2374" s="30"/>
      <c r="I2374" s="30"/>
      <c r="J2374" s="30"/>
      <c r="K2374" s="30"/>
      <c r="L2374" s="30"/>
      <c r="M2374" s="30"/>
      <c r="N2374" s="30"/>
      <c r="O2374" s="30"/>
      <c r="P2374" s="30"/>
      <c r="Q2374" s="30"/>
      <c r="R2374" s="30"/>
      <c r="S2374" s="30"/>
      <c r="T2374" s="30"/>
      <c r="U2374" s="30"/>
      <c r="V2374" s="30"/>
      <c r="W2374" s="30"/>
      <c r="X2374" s="30"/>
      <c r="Y2374" s="30"/>
      <c r="Z2374" s="30"/>
      <c r="AA2374" s="30"/>
    </row>
    <row r="2375">
      <c r="A2375" s="29">
        <v>2060310.0</v>
      </c>
      <c r="B2375" s="29">
        <v>2059912.0</v>
      </c>
      <c r="C2375" s="30" t="str">
        <f t="shared" si="1"/>
        <v>-</v>
      </c>
      <c r="D2375" s="29">
        <f t="shared" si="2"/>
        <v>803</v>
      </c>
      <c r="E2375" s="30"/>
      <c r="F2375" s="30"/>
      <c r="G2375" s="30"/>
      <c r="H2375" s="30"/>
      <c r="I2375" s="30"/>
      <c r="J2375" s="30"/>
      <c r="K2375" s="30"/>
      <c r="L2375" s="30"/>
      <c r="M2375" s="30"/>
      <c r="N2375" s="30"/>
      <c r="O2375" s="30"/>
      <c r="P2375" s="30"/>
      <c r="Q2375" s="30"/>
      <c r="R2375" s="30"/>
      <c r="S2375" s="30"/>
      <c r="T2375" s="30"/>
      <c r="U2375" s="30"/>
      <c r="V2375" s="30"/>
      <c r="W2375" s="30"/>
      <c r="X2375" s="30"/>
      <c r="Y2375" s="30"/>
      <c r="Z2375" s="30"/>
      <c r="AA2375" s="30"/>
    </row>
    <row r="2376">
      <c r="A2376" s="29">
        <v>2060774.0</v>
      </c>
      <c r="B2376" s="29">
        <v>2060346.0</v>
      </c>
      <c r="C2376" s="30" t="str">
        <f t="shared" si="1"/>
        <v>-</v>
      </c>
      <c r="D2376" s="29">
        <f t="shared" si="2"/>
        <v>803</v>
      </c>
      <c r="E2376" s="30"/>
      <c r="F2376" s="30"/>
      <c r="G2376" s="30"/>
      <c r="H2376" s="30"/>
      <c r="I2376" s="30"/>
      <c r="J2376" s="30"/>
      <c r="K2376" s="30"/>
      <c r="L2376" s="30"/>
      <c r="M2376" s="30"/>
      <c r="N2376" s="30"/>
      <c r="O2376" s="30"/>
      <c r="P2376" s="30"/>
      <c r="Q2376" s="30"/>
      <c r="R2376" s="30"/>
      <c r="S2376" s="30"/>
      <c r="T2376" s="30"/>
      <c r="U2376" s="30"/>
      <c r="V2376" s="30"/>
      <c r="W2376" s="30"/>
      <c r="X2376" s="30"/>
      <c r="Y2376" s="30"/>
      <c r="Z2376" s="30"/>
      <c r="AA2376" s="30"/>
    </row>
    <row r="2377">
      <c r="A2377" s="29">
        <v>2061534.0</v>
      </c>
      <c r="B2377" s="29">
        <v>2061379.0</v>
      </c>
      <c r="C2377" s="30" t="str">
        <f t="shared" si="1"/>
        <v>-</v>
      </c>
      <c r="D2377" s="29">
        <f t="shared" si="2"/>
        <v>803</v>
      </c>
      <c r="E2377" s="30"/>
      <c r="F2377" s="30"/>
      <c r="G2377" s="30"/>
      <c r="H2377" s="30"/>
      <c r="I2377" s="30"/>
      <c r="J2377" s="30"/>
      <c r="K2377" s="30"/>
      <c r="L2377" s="30"/>
      <c r="M2377" s="30"/>
      <c r="N2377" s="30"/>
      <c r="O2377" s="30"/>
      <c r="P2377" s="30"/>
      <c r="Q2377" s="30"/>
      <c r="R2377" s="30"/>
      <c r="S2377" s="30"/>
      <c r="T2377" s="30"/>
      <c r="U2377" s="30"/>
      <c r="V2377" s="30"/>
      <c r="W2377" s="30"/>
      <c r="X2377" s="30"/>
      <c r="Y2377" s="30"/>
      <c r="Z2377" s="30"/>
      <c r="AA2377" s="30"/>
    </row>
    <row r="2378">
      <c r="A2378" s="29">
        <v>2062012.0</v>
      </c>
      <c r="B2378" s="29">
        <v>2061635.0</v>
      </c>
      <c r="C2378" s="30" t="str">
        <f t="shared" si="1"/>
        <v>-</v>
      </c>
      <c r="D2378" s="29">
        <f t="shared" si="2"/>
        <v>803</v>
      </c>
      <c r="E2378" s="30"/>
      <c r="F2378" s="30"/>
      <c r="G2378" s="30"/>
      <c r="H2378" s="30"/>
      <c r="I2378" s="30"/>
      <c r="J2378" s="30"/>
      <c r="K2378" s="30"/>
      <c r="L2378" s="30"/>
      <c r="M2378" s="30"/>
      <c r="N2378" s="30"/>
      <c r="O2378" s="30"/>
      <c r="P2378" s="30"/>
      <c r="Q2378" s="30"/>
      <c r="R2378" s="30"/>
      <c r="S2378" s="30"/>
      <c r="T2378" s="30"/>
      <c r="U2378" s="30"/>
      <c r="V2378" s="30"/>
      <c r="W2378" s="30"/>
      <c r="X2378" s="30"/>
      <c r="Y2378" s="30"/>
      <c r="Z2378" s="30"/>
      <c r="AA2378" s="30"/>
    </row>
    <row r="2379">
      <c r="A2379" s="29">
        <v>2062202.0</v>
      </c>
      <c r="B2379" s="29">
        <v>2062056.0</v>
      </c>
      <c r="C2379" s="30" t="str">
        <f t="shared" si="1"/>
        <v>-</v>
      </c>
      <c r="D2379" s="29">
        <f t="shared" si="2"/>
        <v>803</v>
      </c>
      <c r="E2379" s="30"/>
      <c r="F2379" s="30"/>
      <c r="G2379" s="30"/>
      <c r="H2379" s="30"/>
      <c r="I2379" s="30"/>
      <c r="J2379" s="30"/>
      <c r="K2379" s="30"/>
      <c r="L2379" s="30"/>
      <c r="M2379" s="30"/>
      <c r="N2379" s="30"/>
      <c r="O2379" s="30"/>
      <c r="P2379" s="30"/>
      <c r="Q2379" s="30"/>
      <c r="R2379" s="30"/>
      <c r="S2379" s="30"/>
      <c r="T2379" s="30"/>
      <c r="U2379" s="30"/>
      <c r="V2379" s="30"/>
      <c r="W2379" s="30"/>
      <c r="X2379" s="30"/>
      <c r="Y2379" s="30"/>
      <c r="Z2379" s="30"/>
      <c r="AA2379" s="30"/>
    </row>
    <row r="2380">
      <c r="A2380" s="29">
        <v>2062933.0</v>
      </c>
      <c r="B2380" s="29">
        <v>2062469.0</v>
      </c>
      <c r="C2380" s="30" t="str">
        <f t="shared" si="1"/>
        <v>-</v>
      </c>
      <c r="D2380" s="29">
        <f t="shared" si="2"/>
        <v>803</v>
      </c>
      <c r="E2380" s="30"/>
      <c r="F2380" s="30"/>
      <c r="G2380" s="30"/>
      <c r="H2380" s="30"/>
      <c r="I2380" s="30"/>
      <c r="J2380" s="30"/>
      <c r="K2380" s="30"/>
      <c r="L2380" s="30"/>
      <c r="M2380" s="30"/>
      <c r="N2380" s="30"/>
      <c r="O2380" s="30"/>
      <c r="P2380" s="30"/>
      <c r="Q2380" s="30"/>
      <c r="R2380" s="30"/>
      <c r="S2380" s="30"/>
      <c r="T2380" s="30"/>
      <c r="U2380" s="30"/>
      <c r="V2380" s="30"/>
      <c r="W2380" s="30"/>
      <c r="X2380" s="30"/>
      <c r="Y2380" s="30"/>
      <c r="Z2380" s="30"/>
      <c r="AA2380" s="30"/>
    </row>
    <row r="2381">
      <c r="A2381" s="29">
        <v>2064998.0</v>
      </c>
      <c r="B2381" s="29">
        <v>2062956.0</v>
      </c>
      <c r="C2381" s="30" t="str">
        <f t="shared" si="1"/>
        <v>-</v>
      </c>
      <c r="D2381" s="29">
        <f t="shared" si="2"/>
        <v>803</v>
      </c>
      <c r="E2381" s="30"/>
      <c r="F2381" s="30"/>
      <c r="G2381" s="30"/>
      <c r="H2381" s="30"/>
      <c r="I2381" s="30"/>
      <c r="J2381" s="30"/>
      <c r="K2381" s="30"/>
      <c r="L2381" s="30"/>
      <c r="M2381" s="30"/>
      <c r="N2381" s="30"/>
      <c r="O2381" s="30"/>
      <c r="P2381" s="30"/>
      <c r="Q2381" s="30"/>
      <c r="R2381" s="30"/>
      <c r="S2381" s="30"/>
      <c r="T2381" s="30"/>
      <c r="U2381" s="30"/>
      <c r="V2381" s="30"/>
      <c r="W2381" s="30"/>
      <c r="X2381" s="30"/>
      <c r="Y2381" s="30"/>
      <c r="Z2381" s="30"/>
      <c r="AA2381" s="30"/>
    </row>
    <row r="2382">
      <c r="A2382" s="29">
        <v>2065073.0</v>
      </c>
      <c r="B2382" s="29">
        <v>2067214.0</v>
      </c>
      <c r="C2382" s="30" t="str">
        <f t="shared" si="1"/>
        <v>+</v>
      </c>
      <c r="D2382" s="29">
        <f t="shared" si="2"/>
        <v>804</v>
      </c>
      <c r="E2382" s="30"/>
      <c r="F2382" s="30"/>
      <c r="G2382" s="30"/>
      <c r="H2382" s="30"/>
      <c r="I2382" s="30"/>
      <c r="J2382" s="30"/>
      <c r="K2382" s="30"/>
      <c r="L2382" s="30"/>
      <c r="M2382" s="30"/>
      <c r="N2382" s="30"/>
      <c r="O2382" s="30"/>
      <c r="P2382" s="30"/>
      <c r="Q2382" s="30"/>
      <c r="R2382" s="30"/>
      <c r="S2382" s="30"/>
      <c r="T2382" s="30"/>
      <c r="U2382" s="30"/>
      <c r="V2382" s="30"/>
      <c r="W2382" s="30"/>
      <c r="X2382" s="30"/>
      <c r="Y2382" s="30"/>
      <c r="Z2382" s="30"/>
      <c r="AA2382" s="30"/>
    </row>
    <row r="2383">
      <c r="A2383" s="29">
        <v>2068154.0</v>
      </c>
      <c r="B2383" s="29">
        <v>2067315.0</v>
      </c>
      <c r="C2383" s="30" t="str">
        <f t="shared" si="1"/>
        <v>-</v>
      </c>
      <c r="D2383" s="29">
        <f t="shared" si="2"/>
        <v>805</v>
      </c>
      <c r="E2383" s="30"/>
      <c r="F2383" s="30"/>
      <c r="G2383" s="30"/>
      <c r="H2383" s="30"/>
      <c r="I2383" s="30"/>
      <c r="J2383" s="30"/>
      <c r="K2383" s="30"/>
      <c r="L2383" s="30"/>
      <c r="M2383" s="30"/>
      <c r="N2383" s="30"/>
      <c r="O2383" s="30"/>
      <c r="P2383" s="30"/>
      <c r="Q2383" s="30"/>
      <c r="R2383" s="30"/>
      <c r="S2383" s="30"/>
      <c r="T2383" s="30"/>
      <c r="U2383" s="30"/>
      <c r="V2383" s="30"/>
      <c r="W2383" s="30"/>
      <c r="X2383" s="30"/>
      <c r="Y2383" s="30"/>
      <c r="Z2383" s="30"/>
      <c r="AA2383" s="30"/>
    </row>
    <row r="2384">
      <c r="A2384" s="29">
        <v>2068348.0</v>
      </c>
      <c r="B2384" s="29">
        <v>2069172.0</v>
      </c>
      <c r="C2384" s="30" t="str">
        <f t="shared" si="1"/>
        <v>+</v>
      </c>
      <c r="D2384" s="29">
        <f t="shared" si="2"/>
        <v>806</v>
      </c>
      <c r="E2384" s="30"/>
      <c r="F2384" s="30"/>
      <c r="G2384" s="30"/>
      <c r="H2384" s="30"/>
      <c r="I2384" s="30"/>
      <c r="J2384" s="30"/>
      <c r="K2384" s="30"/>
      <c r="L2384" s="30"/>
      <c r="M2384" s="30"/>
      <c r="N2384" s="30"/>
      <c r="O2384" s="30"/>
      <c r="P2384" s="30"/>
      <c r="Q2384" s="30"/>
      <c r="R2384" s="30"/>
      <c r="S2384" s="30"/>
      <c r="T2384" s="30"/>
      <c r="U2384" s="30"/>
      <c r="V2384" s="30"/>
      <c r="W2384" s="30"/>
      <c r="X2384" s="30"/>
      <c r="Y2384" s="30"/>
      <c r="Z2384" s="30"/>
      <c r="AA2384" s="30"/>
    </row>
    <row r="2385">
      <c r="A2385" s="29">
        <v>2069431.0</v>
      </c>
      <c r="B2385" s="29">
        <v>2069153.0</v>
      </c>
      <c r="C2385" s="30" t="str">
        <f t="shared" si="1"/>
        <v>-</v>
      </c>
      <c r="D2385" s="29">
        <f t="shared" si="2"/>
        <v>807</v>
      </c>
      <c r="E2385" s="30"/>
      <c r="F2385" s="30"/>
      <c r="G2385" s="30"/>
      <c r="H2385" s="30"/>
      <c r="I2385" s="30"/>
      <c r="J2385" s="30"/>
      <c r="K2385" s="30"/>
      <c r="L2385" s="30"/>
      <c r="M2385" s="30"/>
      <c r="N2385" s="30"/>
      <c r="O2385" s="30"/>
      <c r="P2385" s="30"/>
      <c r="Q2385" s="30"/>
      <c r="R2385" s="30"/>
      <c r="S2385" s="30"/>
      <c r="T2385" s="30"/>
      <c r="U2385" s="30"/>
      <c r="V2385" s="30"/>
      <c r="W2385" s="30"/>
      <c r="X2385" s="30"/>
      <c r="Y2385" s="30"/>
      <c r="Z2385" s="30"/>
      <c r="AA2385" s="30"/>
    </row>
    <row r="2386">
      <c r="A2386" s="29">
        <v>2069548.0</v>
      </c>
      <c r="B2386" s="29">
        <v>2069895.0</v>
      </c>
      <c r="C2386" s="30" t="str">
        <f t="shared" si="1"/>
        <v>+</v>
      </c>
      <c r="D2386" s="29">
        <f t="shared" si="2"/>
        <v>808</v>
      </c>
      <c r="E2386" s="30"/>
      <c r="F2386" s="30"/>
      <c r="G2386" s="30"/>
      <c r="H2386" s="30"/>
      <c r="I2386" s="30"/>
      <c r="J2386" s="30"/>
      <c r="K2386" s="30"/>
      <c r="L2386" s="30"/>
      <c r="M2386" s="30"/>
      <c r="N2386" s="30"/>
      <c r="O2386" s="30"/>
      <c r="P2386" s="30"/>
      <c r="Q2386" s="30"/>
      <c r="R2386" s="30"/>
      <c r="S2386" s="30"/>
      <c r="T2386" s="30"/>
      <c r="U2386" s="30"/>
      <c r="V2386" s="30"/>
      <c r="W2386" s="30"/>
      <c r="X2386" s="30"/>
      <c r="Y2386" s="30"/>
      <c r="Z2386" s="30"/>
      <c r="AA2386" s="30"/>
    </row>
    <row r="2387">
      <c r="A2387" s="29">
        <v>2069922.0</v>
      </c>
      <c r="B2387" s="29">
        <v>2071232.0</v>
      </c>
      <c r="C2387" s="30" t="str">
        <f t="shared" si="1"/>
        <v>+</v>
      </c>
      <c r="D2387" s="29">
        <f t="shared" si="2"/>
        <v>808</v>
      </c>
      <c r="E2387" s="30"/>
      <c r="F2387" s="30"/>
      <c r="G2387" s="30"/>
      <c r="H2387" s="30"/>
      <c r="I2387" s="30"/>
      <c r="J2387" s="30"/>
      <c r="K2387" s="30"/>
      <c r="L2387" s="30"/>
      <c r="M2387" s="30"/>
      <c r="N2387" s="30"/>
      <c r="O2387" s="30"/>
      <c r="P2387" s="30"/>
      <c r="Q2387" s="30"/>
      <c r="R2387" s="30"/>
      <c r="S2387" s="30"/>
      <c r="T2387" s="30"/>
      <c r="U2387" s="30"/>
      <c r="V2387" s="30"/>
      <c r="W2387" s="30"/>
      <c r="X2387" s="30"/>
      <c r="Y2387" s="30"/>
      <c r="Z2387" s="30"/>
      <c r="AA2387" s="30"/>
    </row>
    <row r="2388">
      <c r="A2388" s="29">
        <v>2071670.0</v>
      </c>
      <c r="B2388" s="29">
        <v>2071209.0</v>
      </c>
      <c r="C2388" s="30" t="str">
        <f t="shared" si="1"/>
        <v>-</v>
      </c>
      <c r="D2388" s="29">
        <f t="shared" si="2"/>
        <v>809</v>
      </c>
      <c r="E2388" s="30"/>
      <c r="F2388" s="30"/>
      <c r="G2388" s="30"/>
      <c r="H2388" s="30"/>
      <c r="I2388" s="30"/>
      <c r="J2388" s="30"/>
      <c r="K2388" s="30"/>
      <c r="L2388" s="30"/>
      <c r="M2388" s="30"/>
      <c r="N2388" s="30"/>
      <c r="O2388" s="30"/>
      <c r="P2388" s="30"/>
      <c r="Q2388" s="30"/>
      <c r="R2388" s="30"/>
      <c r="S2388" s="30"/>
      <c r="T2388" s="30"/>
      <c r="U2388" s="30"/>
      <c r="V2388" s="30"/>
      <c r="W2388" s="30"/>
      <c r="X2388" s="30"/>
      <c r="Y2388" s="30"/>
      <c r="Z2388" s="30"/>
      <c r="AA2388" s="30"/>
    </row>
    <row r="2389">
      <c r="A2389" s="29">
        <v>2071711.0</v>
      </c>
      <c r="B2389" s="29">
        <v>2072349.0</v>
      </c>
      <c r="C2389" s="30" t="str">
        <f t="shared" si="1"/>
        <v>+</v>
      </c>
      <c r="D2389" s="29">
        <f t="shared" si="2"/>
        <v>810</v>
      </c>
      <c r="E2389" s="30"/>
      <c r="F2389" s="30"/>
      <c r="G2389" s="30"/>
      <c r="H2389" s="30"/>
      <c r="I2389" s="30"/>
      <c r="J2389" s="30"/>
      <c r="K2389" s="30"/>
      <c r="L2389" s="30"/>
      <c r="M2389" s="30"/>
      <c r="N2389" s="30"/>
      <c r="O2389" s="30"/>
      <c r="P2389" s="30"/>
      <c r="Q2389" s="30"/>
      <c r="R2389" s="30"/>
      <c r="S2389" s="30"/>
      <c r="T2389" s="30"/>
      <c r="U2389" s="30"/>
      <c r="V2389" s="30"/>
      <c r="W2389" s="30"/>
      <c r="X2389" s="30"/>
      <c r="Y2389" s="30"/>
      <c r="Z2389" s="30"/>
      <c r="AA2389" s="30"/>
    </row>
    <row r="2390">
      <c r="A2390" s="29">
        <v>2073818.0</v>
      </c>
      <c r="B2390" s="29">
        <v>2072346.0</v>
      </c>
      <c r="C2390" s="30" t="str">
        <f t="shared" si="1"/>
        <v>-</v>
      </c>
      <c r="D2390" s="29">
        <f t="shared" si="2"/>
        <v>811</v>
      </c>
      <c r="E2390" s="30"/>
      <c r="F2390" s="30"/>
      <c r="G2390" s="30"/>
      <c r="H2390" s="30"/>
      <c r="I2390" s="30"/>
      <c r="J2390" s="30"/>
      <c r="K2390" s="30"/>
      <c r="L2390" s="30"/>
      <c r="M2390" s="30"/>
      <c r="N2390" s="30"/>
      <c r="O2390" s="30"/>
      <c r="P2390" s="30"/>
      <c r="Q2390" s="30"/>
      <c r="R2390" s="30"/>
      <c r="S2390" s="30"/>
      <c r="T2390" s="30"/>
      <c r="U2390" s="30"/>
      <c r="V2390" s="30"/>
      <c r="W2390" s="30"/>
      <c r="X2390" s="30"/>
      <c r="Y2390" s="30"/>
      <c r="Z2390" s="30"/>
      <c r="AA2390" s="30"/>
    </row>
    <row r="2391">
      <c r="A2391" s="29">
        <v>2074642.0</v>
      </c>
      <c r="B2391" s="29">
        <v>2073848.0</v>
      </c>
      <c r="C2391" s="30" t="str">
        <f t="shared" si="1"/>
        <v>-</v>
      </c>
      <c r="D2391" s="29">
        <f t="shared" si="2"/>
        <v>811</v>
      </c>
      <c r="E2391" s="30"/>
      <c r="F2391" s="30"/>
      <c r="G2391" s="30"/>
      <c r="H2391" s="30"/>
      <c r="I2391" s="30"/>
      <c r="J2391" s="30"/>
      <c r="K2391" s="30"/>
      <c r="L2391" s="30"/>
      <c r="M2391" s="30"/>
      <c r="N2391" s="30"/>
      <c r="O2391" s="30"/>
      <c r="P2391" s="30"/>
      <c r="Q2391" s="30"/>
      <c r="R2391" s="30"/>
      <c r="S2391" s="30"/>
      <c r="T2391" s="30"/>
      <c r="U2391" s="30"/>
      <c r="V2391" s="30"/>
      <c r="W2391" s="30"/>
      <c r="X2391" s="30"/>
      <c r="Y2391" s="30"/>
      <c r="Z2391" s="30"/>
      <c r="AA2391" s="30"/>
    </row>
    <row r="2392">
      <c r="A2392" s="29">
        <v>2075488.0</v>
      </c>
      <c r="B2392" s="29">
        <v>2074991.0</v>
      </c>
      <c r="C2392" s="30" t="str">
        <f t="shared" si="1"/>
        <v>-</v>
      </c>
      <c r="D2392" s="29">
        <f t="shared" si="2"/>
        <v>811</v>
      </c>
      <c r="E2392" s="30"/>
      <c r="F2392" s="30"/>
      <c r="G2392" s="30"/>
      <c r="H2392" s="30"/>
      <c r="I2392" s="30"/>
      <c r="J2392" s="30"/>
      <c r="K2392" s="30"/>
      <c r="L2392" s="30"/>
      <c r="M2392" s="30"/>
      <c r="N2392" s="30"/>
      <c r="O2392" s="30"/>
      <c r="P2392" s="30"/>
      <c r="Q2392" s="30"/>
      <c r="R2392" s="30"/>
      <c r="S2392" s="30"/>
      <c r="T2392" s="30"/>
      <c r="U2392" s="30"/>
      <c r="V2392" s="30"/>
      <c r="W2392" s="30"/>
      <c r="X2392" s="30"/>
      <c r="Y2392" s="30"/>
      <c r="Z2392" s="30"/>
      <c r="AA2392" s="30"/>
    </row>
    <row r="2393">
      <c r="A2393" s="29">
        <v>2075534.0</v>
      </c>
      <c r="B2393" s="29">
        <v>2076190.0</v>
      </c>
      <c r="C2393" s="30" t="str">
        <f t="shared" si="1"/>
        <v>+</v>
      </c>
      <c r="D2393" s="29">
        <f t="shared" si="2"/>
        <v>812</v>
      </c>
      <c r="E2393" s="30"/>
      <c r="F2393" s="30"/>
      <c r="G2393" s="30"/>
      <c r="H2393" s="30"/>
      <c r="I2393" s="30"/>
      <c r="J2393" s="30"/>
      <c r="K2393" s="30"/>
      <c r="L2393" s="30"/>
      <c r="M2393" s="30"/>
      <c r="N2393" s="30"/>
      <c r="O2393" s="30"/>
      <c r="P2393" s="30"/>
      <c r="Q2393" s="30"/>
      <c r="R2393" s="30"/>
      <c r="S2393" s="30"/>
      <c r="T2393" s="30"/>
      <c r="U2393" s="30"/>
      <c r="V2393" s="30"/>
      <c r="W2393" s="30"/>
      <c r="X2393" s="30"/>
      <c r="Y2393" s="30"/>
      <c r="Z2393" s="30"/>
      <c r="AA2393" s="30"/>
    </row>
    <row r="2394">
      <c r="A2394" s="29">
        <v>2076275.0</v>
      </c>
      <c r="B2394" s="29">
        <v>2076664.0</v>
      </c>
      <c r="C2394" s="30" t="str">
        <f t="shared" si="1"/>
        <v>+</v>
      </c>
      <c r="D2394" s="29">
        <f t="shared" si="2"/>
        <v>812</v>
      </c>
      <c r="E2394" s="30"/>
      <c r="F2394" s="30"/>
      <c r="G2394" s="30"/>
      <c r="H2394" s="30"/>
      <c r="I2394" s="30"/>
      <c r="J2394" s="30"/>
      <c r="K2394" s="30"/>
      <c r="L2394" s="30"/>
      <c r="M2394" s="30"/>
      <c r="N2394" s="30"/>
      <c r="O2394" s="30"/>
      <c r="P2394" s="30"/>
      <c r="Q2394" s="30"/>
      <c r="R2394" s="30"/>
      <c r="S2394" s="30"/>
      <c r="T2394" s="30"/>
      <c r="U2394" s="30"/>
      <c r="V2394" s="30"/>
      <c r="W2394" s="30"/>
      <c r="X2394" s="30"/>
      <c r="Y2394" s="30"/>
      <c r="Z2394" s="30"/>
      <c r="AA2394" s="30"/>
    </row>
    <row r="2395">
      <c r="A2395" s="29">
        <v>2076866.0</v>
      </c>
      <c r="B2395" s="29">
        <v>2076633.0</v>
      </c>
      <c r="C2395" s="30" t="str">
        <f t="shared" si="1"/>
        <v>-</v>
      </c>
      <c r="D2395" s="29">
        <f t="shared" si="2"/>
        <v>813</v>
      </c>
      <c r="E2395" s="30"/>
      <c r="F2395" s="30"/>
      <c r="G2395" s="30"/>
      <c r="H2395" s="30"/>
      <c r="I2395" s="30"/>
      <c r="J2395" s="30"/>
      <c r="K2395" s="30"/>
      <c r="L2395" s="30"/>
      <c r="M2395" s="30"/>
      <c r="N2395" s="30"/>
      <c r="O2395" s="30"/>
      <c r="P2395" s="30"/>
      <c r="Q2395" s="30"/>
      <c r="R2395" s="30"/>
      <c r="S2395" s="30"/>
      <c r="T2395" s="30"/>
      <c r="U2395" s="30"/>
      <c r="V2395" s="30"/>
      <c r="W2395" s="30"/>
      <c r="X2395" s="30"/>
      <c r="Y2395" s="30"/>
      <c r="Z2395" s="30"/>
      <c r="AA2395" s="30"/>
    </row>
    <row r="2396">
      <c r="A2396" s="29">
        <v>2077276.0</v>
      </c>
      <c r="B2396" s="29">
        <v>2076863.0</v>
      </c>
      <c r="C2396" s="30" t="str">
        <f t="shared" si="1"/>
        <v>-</v>
      </c>
      <c r="D2396" s="29">
        <f t="shared" si="2"/>
        <v>813</v>
      </c>
      <c r="E2396" s="30"/>
      <c r="F2396" s="30"/>
      <c r="G2396" s="30"/>
      <c r="H2396" s="30"/>
      <c r="I2396" s="30"/>
      <c r="J2396" s="30"/>
      <c r="K2396" s="30"/>
      <c r="L2396" s="30"/>
      <c r="M2396" s="30"/>
      <c r="N2396" s="30"/>
      <c r="O2396" s="30"/>
      <c r="P2396" s="30"/>
      <c r="Q2396" s="30"/>
      <c r="R2396" s="30"/>
      <c r="S2396" s="30"/>
      <c r="T2396" s="30"/>
      <c r="U2396" s="30"/>
      <c r="V2396" s="30"/>
      <c r="W2396" s="30"/>
      <c r="X2396" s="30"/>
      <c r="Y2396" s="30"/>
      <c r="Z2396" s="30"/>
      <c r="AA2396" s="30"/>
    </row>
    <row r="2397">
      <c r="A2397" s="29">
        <v>2077317.0</v>
      </c>
      <c r="B2397" s="29">
        <v>2078195.0</v>
      </c>
      <c r="C2397" s="30" t="str">
        <f t="shared" si="1"/>
        <v>+</v>
      </c>
      <c r="D2397" s="29">
        <f t="shared" si="2"/>
        <v>814</v>
      </c>
      <c r="E2397" s="30"/>
      <c r="F2397" s="30"/>
      <c r="G2397" s="30"/>
      <c r="H2397" s="30"/>
      <c r="I2397" s="30"/>
      <c r="J2397" s="30"/>
      <c r="K2397" s="30"/>
      <c r="L2397" s="30"/>
      <c r="M2397" s="30"/>
      <c r="N2397" s="30"/>
      <c r="O2397" s="30"/>
      <c r="P2397" s="30"/>
      <c r="Q2397" s="30"/>
      <c r="R2397" s="30"/>
      <c r="S2397" s="30"/>
      <c r="T2397" s="30"/>
      <c r="U2397" s="30"/>
      <c r="V2397" s="30"/>
      <c r="W2397" s="30"/>
      <c r="X2397" s="30"/>
      <c r="Y2397" s="30"/>
      <c r="Z2397" s="30"/>
      <c r="AA2397" s="30"/>
    </row>
    <row r="2398">
      <c r="A2398" s="29">
        <v>2078205.0</v>
      </c>
      <c r="B2398" s="29">
        <v>2079002.0</v>
      </c>
      <c r="C2398" s="30" t="str">
        <f t="shared" si="1"/>
        <v>+</v>
      </c>
      <c r="D2398" s="29">
        <f t="shared" si="2"/>
        <v>814</v>
      </c>
      <c r="E2398" s="30"/>
      <c r="F2398" s="30"/>
      <c r="G2398" s="30"/>
      <c r="H2398" s="30"/>
      <c r="I2398" s="30"/>
      <c r="J2398" s="30"/>
      <c r="K2398" s="30"/>
      <c r="L2398" s="30"/>
      <c r="M2398" s="30"/>
      <c r="N2398" s="30"/>
      <c r="O2398" s="30"/>
      <c r="P2398" s="30"/>
      <c r="Q2398" s="30"/>
      <c r="R2398" s="30"/>
      <c r="S2398" s="30"/>
      <c r="T2398" s="30"/>
      <c r="U2398" s="30"/>
      <c r="V2398" s="30"/>
      <c r="W2398" s="30"/>
      <c r="X2398" s="30"/>
      <c r="Y2398" s="30"/>
      <c r="Z2398" s="30"/>
      <c r="AA2398" s="30"/>
    </row>
    <row r="2399">
      <c r="A2399" s="29">
        <v>2079477.0</v>
      </c>
      <c r="B2399" s="29">
        <v>2078992.0</v>
      </c>
      <c r="C2399" s="30" t="str">
        <f t="shared" si="1"/>
        <v>-</v>
      </c>
      <c r="D2399" s="29">
        <f t="shared" si="2"/>
        <v>815</v>
      </c>
      <c r="E2399" s="30"/>
      <c r="F2399" s="30"/>
      <c r="G2399" s="30"/>
      <c r="H2399" s="30"/>
      <c r="I2399" s="30"/>
      <c r="J2399" s="30"/>
      <c r="K2399" s="30"/>
      <c r="L2399" s="30"/>
      <c r="M2399" s="30"/>
      <c r="N2399" s="30"/>
      <c r="O2399" s="30"/>
      <c r="P2399" s="30"/>
      <c r="Q2399" s="30"/>
      <c r="R2399" s="30"/>
      <c r="S2399" s="30"/>
      <c r="T2399" s="30"/>
      <c r="U2399" s="30"/>
      <c r="V2399" s="30"/>
      <c r="W2399" s="30"/>
      <c r="X2399" s="30"/>
      <c r="Y2399" s="30"/>
      <c r="Z2399" s="30"/>
      <c r="AA2399" s="30"/>
    </row>
    <row r="2400">
      <c r="A2400" s="29">
        <v>2080073.0</v>
      </c>
      <c r="B2400" s="29">
        <v>2079531.0</v>
      </c>
      <c r="C2400" s="30" t="str">
        <f t="shared" si="1"/>
        <v>-</v>
      </c>
      <c r="D2400" s="29">
        <f t="shared" si="2"/>
        <v>815</v>
      </c>
      <c r="E2400" s="30"/>
      <c r="F2400" s="30"/>
      <c r="G2400" s="30"/>
      <c r="H2400" s="30"/>
      <c r="I2400" s="30"/>
      <c r="J2400" s="30"/>
      <c r="K2400" s="30"/>
      <c r="L2400" s="30"/>
      <c r="M2400" s="30"/>
      <c r="N2400" s="30"/>
      <c r="O2400" s="30"/>
      <c r="P2400" s="30"/>
      <c r="Q2400" s="30"/>
      <c r="R2400" s="30"/>
      <c r="S2400" s="30"/>
      <c r="T2400" s="30"/>
      <c r="U2400" s="30"/>
      <c r="V2400" s="30"/>
      <c r="W2400" s="30"/>
      <c r="X2400" s="30"/>
      <c r="Y2400" s="30"/>
      <c r="Z2400" s="30"/>
      <c r="AA2400" s="30"/>
    </row>
    <row r="2401">
      <c r="A2401" s="29">
        <v>2081060.0</v>
      </c>
      <c r="B2401" s="29">
        <v>2080128.0</v>
      </c>
      <c r="C2401" s="30" t="str">
        <f t="shared" si="1"/>
        <v>-</v>
      </c>
      <c r="D2401" s="29">
        <f t="shared" si="2"/>
        <v>815</v>
      </c>
      <c r="E2401" s="30"/>
      <c r="F2401" s="30"/>
      <c r="G2401" s="30"/>
      <c r="H2401" s="30"/>
      <c r="I2401" s="30"/>
      <c r="J2401" s="30"/>
      <c r="K2401" s="30"/>
      <c r="L2401" s="30"/>
      <c r="M2401" s="30"/>
      <c r="N2401" s="30"/>
      <c r="O2401" s="30"/>
      <c r="P2401" s="30"/>
      <c r="Q2401" s="30"/>
      <c r="R2401" s="30"/>
      <c r="S2401" s="30"/>
      <c r="T2401" s="30"/>
      <c r="U2401" s="30"/>
      <c r="V2401" s="30"/>
      <c r="W2401" s="30"/>
      <c r="X2401" s="30"/>
      <c r="Y2401" s="30"/>
      <c r="Z2401" s="30"/>
      <c r="AA2401" s="30"/>
    </row>
    <row r="2402">
      <c r="A2402" s="29">
        <v>2081515.0</v>
      </c>
      <c r="B2402" s="29">
        <v>2081057.0</v>
      </c>
      <c r="C2402" s="30" t="str">
        <f t="shared" si="1"/>
        <v>-</v>
      </c>
      <c r="D2402" s="29">
        <f t="shared" si="2"/>
        <v>815</v>
      </c>
      <c r="E2402" s="30"/>
      <c r="F2402" s="30"/>
      <c r="G2402" s="30"/>
      <c r="H2402" s="30"/>
      <c r="I2402" s="30"/>
      <c r="J2402" s="30"/>
      <c r="K2402" s="30"/>
      <c r="L2402" s="30"/>
      <c r="M2402" s="30"/>
      <c r="N2402" s="30"/>
      <c r="O2402" s="30"/>
      <c r="P2402" s="30"/>
      <c r="Q2402" s="30"/>
      <c r="R2402" s="30"/>
      <c r="S2402" s="30"/>
      <c r="T2402" s="30"/>
      <c r="U2402" s="30"/>
      <c r="V2402" s="30"/>
      <c r="W2402" s="30"/>
      <c r="X2402" s="30"/>
      <c r="Y2402" s="30"/>
      <c r="Z2402" s="30"/>
      <c r="AA2402" s="30"/>
    </row>
    <row r="2403">
      <c r="A2403" s="29">
        <v>2082030.0</v>
      </c>
      <c r="B2403" s="29">
        <v>2081536.0</v>
      </c>
      <c r="C2403" s="30" t="str">
        <f t="shared" si="1"/>
        <v>-</v>
      </c>
      <c r="D2403" s="29">
        <f t="shared" si="2"/>
        <v>815</v>
      </c>
      <c r="E2403" s="30"/>
      <c r="F2403" s="30"/>
      <c r="G2403" s="30"/>
      <c r="H2403" s="30"/>
      <c r="I2403" s="30"/>
      <c r="J2403" s="30"/>
      <c r="K2403" s="30"/>
      <c r="L2403" s="30"/>
      <c r="M2403" s="30"/>
      <c r="N2403" s="30"/>
      <c r="O2403" s="30"/>
      <c r="P2403" s="30"/>
      <c r="Q2403" s="30"/>
      <c r="R2403" s="30"/>
      <c r="S2403" s="30"/>
      <c r="T2403" s="30"/>
      <c r="U2403" s="30"/>
      <c r="V2403" s="30"/>
      <c r="W2403" s="30"/>
      <c r="X2403" s="30"/>
      <c r="Y2403" s="30"/>
      <c r="Z2403" s="30"/>
      <c r="AA2403" s="30"/>
    </row>
    <row r="2404">
      <c r="A2404" s="29">
        <v>2082320.0</v>
      </c>
      <c r="B2404" s="29">
        <v>2082027.0</v>
      </c>
      <c r="C2404" s="30" t="str">
        <f t="shared" si="1"/>
        <v>-</v>
      </c>
      <c r="D2404" s="29">
        <f t="shared" si="2"/>
        <v>815</v>
      </c>
      <c r="E2404" s="30"/>
      <c r="F2404" s="30"/>
      <c r="G2404" s="30"/>
      <c r="H2404" s="30"/>
      <c r="I2404" s="30"/>
      <c r="J2404" s="30"/>
      <c r="K2404" s="30"/>
      <c r="L2404" s="30"/>
      <c r="M2404" s="30"/>
      <c r="N2404" s="30"/>
      <c r="O2404" s="30"/>
      <c r="P2404" s="30"/>
      <c r="Q2404" s="30"/>
      <c r="R2404" s="30"/>
      <c r="S2404" s="30"/>
      <c r="T2404" s="30"/>
      <c r="U2404" s="30"/>
      <c r="V2404" s="30"/>
      <c r="W2404" s="30"/>
      <c r="X2404" s="30"/>
      <c r="Y2404" s="30"/>
      <c r="Z2404" s="30"/>
      <c r="AA2404" s="30"/>
    </row>
    <row r="2405">
      <c r="A2405" s="29">
        <v>2083339.0</v>
      </c>
      <c r="B2405" s="29">
        <v>2082344.0</v>
      </c>
      <c r="C2405" s="30" t="str">
        <f t="shared" si="1"/>
        <v>-</v>
      </c>
      <c r="D2405" s="29">
        <f t="shared" si="2"/>
        <v>815</v>
      </c>
      <c r="E2405" s="30"/>
      <c r="F2405" s="30"/>
      <c r="G2405" s="30"/>
      <c r="H2405" s="30"/>
      <c r="I2405" s="30"/>
      <c r="J2405" s="30"/>
      <c r="K2405" s="30"/>
      <c r="L2405" s="30"/>
      <c r="M2405" s="30"/>
      <c r="N2405" s="30"/>
      <c r="O2405" s="30"/>
      <c r="P2405" s="30"/>
      <c r="Q2405" s="30"/>
      <c r="R2405" s="30"/>
      <c r="S2405" s="30"/>
      <c r="T2405" s="30"/>
      <c r="U2405" s="30"/>
      <c r="V2405" s="30"/>
      <c r="W2405" s="30"/>
      <c r="X2405" s="30"/>
      <c r="Y2405" s="30"/>
      <c r="Z2405" s="30"/>
      <c r="AA2405" s="30"/>
    </row>
    <row r="2406">
      <c r="A2406" s="29">
        <v>2083647.0</v>
      </c>
      <c r="B2406" s="29">
        <v>2083336.0</v>
      </c>
      <c r="C2406" s="30" t="str">
        <f t="shared" si="1"/>
        <v>-</v>
      </c>
      <c r="D2406" s="29">
        <f t="shared" si="2"/>
        <v>815</v>
      </c>
      <c r="E2406" s="30"/>
      <c r="F2406" s="30"/>
      <c r="G2406" s="30"/>
      <c r="H2406" s="30"/>
      <c r="I2406" s="30"/>
      <c r="J2406" s="30"/>
      <c r="K2406" s="30"/>
      <c r="L2406" s="30"/>
      <c r="M2406" s="30"/>
      <c r="N2406" s="30"/>
      <c r="O2406" s="30"/>
      <c r="P2406" s="30"/>
      <c r="Q2406" s="30"/>
      <c r="R2406" s="30"/>
      <c r="S2406" s="30"/>
      <c r="T2406" s="30"/>
      <c r="U2406" s="30"/>
      <c r="V2406" s="30"/>
      <c r="W2406" s="30"/>
      <c r="X2406" s="30"/>
      <c r="Y2406" s="30"/>
      <c r="Z2406" s="30"/>
      <c r="AA2406" s="30"/>
    </row>
    <row r="2407">
      <c r="A2407" s="29">
        <v>2083950.0</v>
      </c>
      <c r="B2407" s="29">
        <v>2084372.0</v>
      </c>
      <c r="C2407" s="30" t="str">
        <f t="shared" si="1"/>
        <v>+</v>
      </c>
      <c r="D2407" s="29">
        <f t="shared" si="2"/>
        <v>816</v>
      </c>
      <c r="E2407" s="30"/>
      <c r="F2407" s="30"/>
      <c r="G2407" s="30"/>
      <c r="H2407" s="30"/>
      <c r="I2407" s="30"/>
      <c r="J2407" s="30"/>
      <c r="K2407" s="30"/>
      <c r="L2407" s="30"/>
      <c r="M2407" s="30"/>
      <c r="N2407" s="30"/>
      <c r="O2407" s="30"/>
      <c r="P2407" s="30"/>
      <c r="Q2407" s="30"/>
      <c r="R2407" s="30"/>
      <c r="S2407" s="30"/>
      <c r="T2407" s="30"/>
      <c r="U2407" s="30"/>
      <c r="V2407" s="30"/>
      <c r="W2407" s="30"/>
      <c r="X2407" s="30"/>
      <c r="Y2407" s="30"/>
      <c r="Z2407" s="30"/>
      <c r="AA2407" s="30"/>
    </row>
    <row r="2408">
      <c r="A2408" s="29">
        <v>2084374.0</v>
      </c>
      <c r="B2408" s="29">
        <v>2085276.0</v>
      </c>
      <c r="C2408" s="30" t="str">
        <f t="shared" si="1"/>
        <v>+</v>
      </c>
      <c r="D2408" s="29">
        <f t="shared" si="2"/>
        <v>816</v>
      </c>
      <c r="E2408" s="30"/>
      <c r="F2408" s="30"/>
      <c r="G2408" s="30"/>
      <c r="H2408" s="30"/>
      <c r="I2408" s="30"/>
      <c r="J2408" s="30"/>
      <c r="K2408" s="30"/>
      <c r="L2408" s="30"/>
      <c r="M2408" s="30"/>
      <c r="N2408" s="30"/>
      <c r="O2408" s="30"/>
      <c r="P2408" s="30"/>
      <c r="Q2408" s="30"/>
      <c r="R2408" s="30"/>
      <c r="S2408" s="30"/>
      <c r="T2408" s="30"/>
      <c r="U2408" s="30"/>
      <c r="V2408" s="30"/>
      <c r="W2408" s="30"/>
      <c r="X2408" s="30"/>
      <c r="Y2408" s="30"/>
      <c r="Z2408" s="30"/>
      <c r="AA2408" s="30"/>
    </row>
    <row r="2409">
      <c r="A2409" s="29">
        <v>2085597.0</v>
      </c>
      <c r="B2409" s="29">
        <v>2085899.0</v>
      </c>
      <c r="C2409" s="30" t="str">
        <f t="shared" si="1"/>
        <v>+</v>
      </c>
      <c r="D2409" s="29">
        <f t="shared" si="2"/>
        <v>816</v>
      </c>
      <c r="E2409" s="30"/>
      <c r="F2409" s="30"/>
      <c r="G2409" s="30"/>
      <c r="H2409" s="30"/>
      <c r="I2409" s="30"/>
      <c r="J2409" s="30"/>
      <c r="K2409" s="30"/>
      <c r="L2409" s="30"/>
      <c r="M2409" s="30"/>
      <c r="N2409" s="30"/>
      <c r="O2409" s="30"/>
      <c r="P2409" s="30"/>
      <c r="Q2409" s="30"/>
      <c r="R2409" s="30"/>
      <c r="S2409" s="30"/>
      <c r="T2409" s="30"/>
      <c r="U2409" s="30"/>
      <c r="V2409" s="30"/>
      <c r="W2409" s="30"/>
      <c r="X2409" s="30"/>
      <c r="Y2409" s="30"/>
      <c r="Z2409" s="30"/>
      <c r="AA2409" s="30"/>
    </row>
    <row r="2410">
      <c r="A2410" s="29">
        <v>2087773.0</v>
      </c>
      <c r="B2410" s="29">
        <v>2088153.0</v>
      </c>
      <c r="C2410" s="30" t="str">
        <f t="shared" si="1"/>
        <v>+</v>
      </c>
      <c r="D2410" s="29">
        <f t="shared" si="2"/>
        <v>816</v>
      </c>
      <c r="E2410" s="30"/>
      <c r="F2410" s="30"/>
      <c r="G2410" s="30"/>
      <c r="H2410" s="30"/>
      <c r="I2410" s="30"/>
      <c r="J2410" s="30"/>
      <c r="K2410" s="30"/>
      <c r="L2410" s="30"/>
      <c r="M2410" s="30"/>
      <c r="N2410" s="30"/>
      <c r="O2410" s="30"/>
      <c r="P2410" s="30"/>
      <c r="Q2410" s="30"/>
      <c r="R2410" s="30"/>
      <c r="S2410" s="30"/>
      <c r="T2410" s="30"/>
      <c r="U2410" s="30"/>
      <c r="V2410" s="30"/>
      <c r="W2410" s="30"/>
      <c r="X2410" s="30"/>
      <c r="Y2410" s="30"/>
      <c r="Z2410" s="30"/>
      <c r="AA2410" s="30"/>
    </row>
    <row r="2411">
      <c r="A2411" s="29">
        <v>2088676.0</v>
      </c>
      <c r="B2411" s="29">
        <v>2088122.0</v>
      </c>
      <c r="C2411" s="30" t="str">
        <f t="shared" si="1"/>
        <v>-</v>
      </c>
      <c r="D2411" s="29">
        <f t="shared" si="2"/>
        <v>817</v>
      </c>
      <c r="E2411" s="30"/>
      <c r="F2411" s="30"/>
      <c r="G2411" s="30"/>
      <c r="H2411" s="30"/>
      <c r="I2411" s="30"/>
      <c r="J2411" s="30"/>
      <c r="K2411" s="30"/>
      <c r="L2411" s="30"/>
      <c r="M2411" s="30"/>
      <c r="N2411" s="30"/>
      <c r="O2411" s="30"/>
      <c r="P2411" s="30"/>
      <c r="Q2411" s="30"/>
      <c r="R2411" s="30"/>
      <c r="S2411" s="30"/>
      <c r="T2411" s="30"/>
      <c r="U2411" s="30"/>
      <c r="V2411" s="30"/>
      <c r="W2411" s="30"/>
      <c r="X2411" s="30"/>
      <c r="Y2411" s="30"/>
      <c r="Z2411" s="30"/>
      <c r="AA2411" s="30"/>
    </row>
    <row r="2412">
      <c r="A2412" s="29">
        <v>2089392.0</v>
      </c>
      <c r="B2412" s="29">
        <v>2088673.0</v>
      </c>
      <c r="C2412" s="30" t="str">
        <f t="shared" si="1"/>
        <v>-</v>
      </c>
      <c r="D2412" s="29">
        <f t="shared" si="2"/>
        <v>817</v>
      </c>
      <c r="E2412" s="30"/>
      <c r="F2412" s="30"/>
      <c r="G2412" s="30"/>
      <c r="H2412" s="30"/>
      <c r="I2412" s="30"/>
      <c r="J2412" s="30"/>
      <c r="K2412" s="30"/>
      <c r="L2412" s="30"/>
      <c r="M2412" s="30"/>
      <c r="N2412" s="30"/>
      <c r="O2412" s="30"/>
      <c r="P2412" s="30"/>
      <c r="Q2412" s="30"/>
      <c r="R2412" s="30"/>
      <c r="S2412" s="30"/>
      <c r="T2412" s="30"/>
      <c r="U2412" s="30"/>
      <c r="V2412" s="30"/>
      <c r="W2412" s="30"/>
      <c r="X2412" s="30"/>
      <c r="Y2412" s="30"/>
      <c r="Z2412" s="30"/>
      <c r="AA2412" s="30"/>
    </row>
    <row r="2413">
      <c r="A2413" s="29">
        <v>2090101.0</v>
      </c>
      <c r="B2413" s="29">
        <v>2089424.0</v>
      </c>
      <c r="C2413" s="30" t="str">
        <f t="shared" si="1"/>
        <v>-</v>
      </c>
      <c r="D2413" s="29">
        <f t="shared" si="2"/>
        <v>817</v>
      </c>
      <c r="E2413" s="30"/>
      <c r="F2413" s="30"/>
      <c r="G2413" s="30"/>
      <c r="H2413" s="30"/>
      <c r="I2413" s="30"/>
      <c r="J2413" s="30"/>
      <c r="K2413" s="30"/>
      <c r="L2413" s="30"/>
      <c r="M2413" s="30"/>
      <c r="N2413" s="30"/>
      <c r="O2413" s="30"/>
      <c r="P2413" s="30"/>
      <c r="Q2413" s="30"/>
      <c r="R2413" s="30"/>
      <c r="S2413" s="30"/>
      <c r="T2413" s="30"/>
      <c r="U2413" s="30"/>
      <c r="V2413" s="30"/>
      <c r="W2413" s="30"/>
      <c r="X2413" s="30"/>
      <c r="Y2413" s="30"/>
      <c r="Z2413" s="30"/>
      <c r="AA2413" s="30"/>
    </row>
    <row r="2414">
      <c r="A2414" s="29">
        <v>2090433.0</v>
      </c>
      <c r="B2414" s="29">
        <v>2090098.0</v>
      </c>
      <c r="C2414" s="30" t="str">
        <f t="shared" si="1"/>
        <v>-</v>
      </c>
      <c r="D2414" s="29">
        <f t="shared" si="2"/>
        <v>817</v>
      </c>
      <c r="E2414" s="30"/>
      <c r="F2414" s="30"/>
      <c r="G2414" s="30"/>
      <c r="H2414" s="30"/>
      <c r="I2414" s="30"/>
      <c r="J2414" s="30"/>
      <c r="K2414" s="30"/>
      <c r="L2414" s="30"/>
      <c r="M2414" s="30"/>
      <c r="N2414" s="30"/>
      <c r="O2414" s="30"/>
      <c r="P2414" s="30"/>
      <c r="Q2414" s="30"/>
      <c r="R2414" s="30"/>
      <c r="S2414" s="30"/>
      <c r="T2414" s="30"/>
      <c r="U2414" s="30"/>
      <c r="V2414" s="30"/>
      <c r="W2414" s="30"/>
      <c r="X2414" s="30"/>
      <c r="Y2414" s="30"/>
      <c r="Z2414" s="30"/>
      <c r="AA2414" s="30"/>
    </row>
    <row r="2415">
      <c r="A2415" s="29">
        <v>2091370.0</v>
      </c>
      <c r="B2415" s="29">
        <v>2090456.0</v>
      </c>
      <c r="C2415" s="30" t="str">
        <f t="shared" si="1"/>
        <v>-</v>
      </c>
      <c r="D2415" s="29">
        <f t="shared" si="2"/>
        <v>817</v>
      </c>
      <c r="E2415" s="30"/>
      <c r="F2415" s="30"/>
      <c r="G2415" s="30"/>
      <c r="H2415" s="30"/>
      <c r="I2415" s="30"/>
      <c r="J2415" s="30"/>
      <c r="K2415" s="30"/>
      <c r="L2415" s="30"/>
      <c r="M2415" s="30"/>
      <c r="N2415" s="30"/>
      <c r="O2415" s="30"/>
      <c r="P2415" s="30"/>
      <c r="Q2415" s="30"/>
      <c r="R2415" s="30"/>
      <c r="S2415" s="30"/>
      <c r="T2415" s="30"/>
      <c r="U2415" s="30"/>
      <c r="V2415" s="30"/>
      <c r="W2415" s="30"/>
      <c r="X2415" s="30"/>
      <c r="Y2415" s="30"/>
      <c r="Z2415" s="30"/>
      <c r="AA2415" s="30"/>
    </row>
    <row r="2416">
      <c r="A2416" s="29">
        <v>2091409.0</v>
      </c>
      <c r="B2416" s="29">
        <v>2091930.0</v>
      </c>
      <c r="C2416" s="30" t="str">
        <f t="shared" si="1"/>
        <v>+</v>
      </c>
      <c r="D2416" s="29">
        <f t="shared" si="2"/>
        <v>818</v>
      </c>
      <c r="E2416" s="30"/>
      <c r="F2416" s="30"/>
      <c r="G2416" s="30"/>
      <c r="H2416" s="30"/>
      <c r="I2416" s="30"/>
      <c r="J2416" s="30"/>
      <c r="K2416" s="30"/>
      <c r="L2416" s="30"/>
      <c r="M2416" s="30"/>
      <c r="N2416" s="30"/>
      <c r="O2416" s="30"/>
      <c r="P2416" s="30"/>
      <c r="Q2416" s="30"/>
      <c r="R2416" s="30"/>
      <c r="S2416" s="30"/>
      <c r="T2416" s="30"/>
      <c r="U2416" s="30"/>
      <c r="V2416" s="30"/>
      <c r="W2416" s="30"/>
      <c r="X2416" s="30"/>
      <c r="Y2416" s="30"/>
      <c r="Z2416" s="30"/>
      <c r="AA2416" s="30"/>
    </row>
    <row r="2417">
      <c r="A2417" s="29">
        <v>2093672.0</v>
      </c>
      <c r="B2417" s="29">
        <v>2091918.0</v>
      </c>
      <c r="C2417" s="30" t="str">
        <f t="shared" si="1"/>
        <v>-</v>
      </c>
      <c r="D2417" s="29">
        <f t="shared" si="2"/>
        <v>819</v>
      </c>
      <c r="E2417" s="30"/>
      <c r="F2417" s="30"/>
      <c r="G2417" s="30"/>
      <c r="H2417" s="30"/>
      <c r="I2417" s="30"/>
      <c r="J2417" s="30"/>
      <c r="K2417" s="30"/>
      <c r="L2417" s="30"/>
      <c r="M2417" s="30"/>
      <c r="N2417" s="30"/>
      <c r="O2417" s="30"/>
      <c r="P2417" s="30"/>
      <c r="Q2417" s="30"/>
      <c r="R2417" s="30"/>
      <c r="S2417" s="30"/>
      <c r="T2417" s="30"/>
      <c r="U2417" s="30"/>
      <c r="V2417" s="30"/>
      <c r="W2417" s="30"/>
      <c r="X2417" s="30"/>
      <c r="Y2417" s="30"/>
      <c r="Z2417" s="30"/>
      <c r="AA2417" s="30"/>
    </row>
    <row r="2418">
      <c r="A2418" s="29">
        <v>2094210.0</v>
      </c>
      <c r="B2418" s="29">
        <v>2093680.0</v>
      </c>
      <c r="C2418" s="30" t="str">
        <f t="shared" si="1"/>
        <v>-</v>
      </c>
      <c r="D2418" s="29">
        <f t="shared" si="2"/>
        <v>819</v>
      </c>
      <c r="E2418" s="30"/>
      <c r="F2418" s="30"/>
      <c r="G2418" s="30"/>
      <c r="H2418" s="30"/>
      <c r="I2418" s="30"/>
      <c r="J2418" s="30"/>
      <c r="K2418" s="30"/>
      <c r="L2418" s="30"/>
      <c r="M2418" s="30"/>
      <c r="N2418" s="30"/>
      <c r="O2418" s="30"/>
      <c r="P2418" s="30"/>
      <c r="Q2418" s="30"/>
      <c r="R2418" s="30"/>
      <c r="S2418" s="30"/>
      <c r="T2418" s="30"/>
      <c r="U2418" s="30"/>
      <c r="V2418" s="30"/>
      <c r="W2418" s="30"/>
      <c r="X2418" s="30"/>
      <c r="Y2418" s="30"/>
      <c r="Z2418" s="30"/>
      <c r="AA2418" s="30"/>
    </row>
    <row r="2419">
      <c r="A2419" s="29">
        <v>2094928.0</v>
      </c>
      <c r="B2419" s="29">
        <v>2094191.0</v>
      </c>
      <c r="C2419" s="30" t="str">
        <f t="shared" si="1"/>
        <v>-</v>
      </c>
      <c r="D2419" s="29">
        <f t="shared" si="2"/>
        <v>819</v>
      </c>
      <c r="E2419" s="30"/>
      <c r="F2419" s="30"/>
      <c r="G2419" s="30"/>
      <c r="H2419" s="30"/>
      <c r="I2419" s="30"/>
      <c r="J2419" s="30"/>
      <c r="K2419" s="30"/>
      <c r="L2419" s="30"/>
      <c r="M2419" s="30"/>
      <c r="N2419" s="30"/>
      <c r="O2419" s="30"/>
      <c r="P2419" s="30"/>
      <c r="Q2419" s="30"/>
      <c r="R2419" s="30"/>
      <c r="S2419" s="30"/>
      <c r="T2419" s="30"/>
      <c r="U2419" s="30"/>
      <c r="V2419" s="30"/>
      <c r="W2419" s="30"/>
      <c r="X2419" s="30"/>
      <c r="Y2419" s="30"/>
      <c r="Z2419" s="30"/>
      <c r="AA2419" s="30"/>
    </row>
    <row r="2420">
      <c r="A2420" s="29">
        <v>2095554.0</v>
      </c>
      <c r="B2420" s="29">
        <v>2094958.0</v>
      </c>
      <c r="C2420" s="30" t="str">
        <f t="shared" si="1"/>
        <v>-</v>
      </c>
      <c r="D2420" s="29">
        <f t="shared" si="2"/>
        <v>819</v>
      </c>
      <c r="E2420" s="30"/>
      <c r="F2420" s="30"/>
      <c r="G2420" s="30"/>
      <c r="H2420" s="30"/>
      <c r="I2420" s="30"/>
      <c r="J2420" s="30"/>
      <c r="K2420" s="30"/>
      <c r="L2420" s="30"/>
      <c r="M2420" s="30"/>
      <c r="N2420" s="30"/>
      <c r="O2420" s="30"/>
      <c r="P2420" s="30"/>
      <c r="Q2420" s="30"/>
      <c r="R2420" s="30"/>
      <c r="S2420" s="30"/>
      <c r="T2420" s="30"/>
      <c r="U2420" s="30"/>
      <c r="V2420" s="30"/>
      <c r="W2420" s="30"/>
      <c r="X2420" s="30"/>
      <c r="Y2420" s="30"/>
      <c r="Z2420" s="30"/>
      <c r="AA2420" s="30"/>
    </row>
    <row r="2421">
      <c r="A2421" s="29">
        <v>2103672.0</v>
      </c>
      <c r="B2421" s="29">
        <v>2095615.0</v>
      </c>
      <c r="C2421" s="30" t="str">
        <f t="shared" si="1"/>
        <v>-</v>
      </c>
      <c r="D2421" s="29">
        <f t="shared" si="2"/>
        <v>819</v>
      </c>
      <c r="E2421" s="30"/>
      <c r="F2421" s="30"/>
      <c r="G2421" s="30"/>
      <c r="H2421" s="30"/>
      <c r="I2421" s="30"/>
      <c r="J2421" s="30"/>
      <c r="K2421" s="30"/>
      <c r="L2421" s="30"/>
      <c r="M2421" s="30"/>
      <c r="N2421" s="30"/>
      <c r="O2421" s="30"/>
      <c r="P2421" s="30"/>
      <c r="Q2421" s="30"/>
      <c r="R2421" s="30"/>
      <c r="S2421" s="30"/>
      <c r="T2421" s="30"/>
      <c r="U2421" s="30"/>
      <c r="V2421" s="30"/>
      <c r="W2421" s="30"/>
      <c r="X2421" s="30"/>
      <c r="Y2421" s="30"/>
      <c r="Z2421" s="30"/>
      <c r="AA2421" s="30"/>
    </row>
    <row r="2422">
      <c r="A2422" s="29">
        <v>2105638.0</v>
      </c>
      <c r="B2422" s="29">
        <v>2103713.0</v>
      </c>
      <c r="C2422" s="30" t="str">
        <f t="shared" si="1"/>
        <v>-</v>
      </c>
      <c r="D2422" s="29">
        <f t="shared" si="2"/>
        <v>819</v>
      </c>
      <c r="E2422" s="30"/>
      <c r="F2422" s="30"/>
      <c r="G2422" s="30"/>
      <c r="H2422" s="30"/>
      <c r="I2422" s="30"/>
      <c r="J2422" s="30"/>
      <c r="K2422" s="30"/>
      <c r="L2422" s="30"/>
      <c r="M2422" s="30"/>
      <c r="N2422" s="30"/>
      <c r="O2422" s="30"/>
      <c r="P2422" s="30"/>
      <c r="Q2422" s="30"/>
      <c r="R2422" s="30"/>
      <c r="S2422" s="30"/>
      <c r="T2422" s="30"/>
      <c r="U2422" s="30"/>
      <c r="V2422" s="30"/>
      <c r="W2422" s="30"/>
      <c r="X2422" s="30"/>
      <c r="Y2422" s="30"/>
      <c r="Z2422" s="30"/>
      <c r="AA2422" s="30"/>
    </row>
    <row r="2423">
      <c r="A2423" s="29">
        <v>2105663.0</v>
      </c>
      <c r="B2423" s="29">
        <v>2109262.0</v>
      </c>
      <c r="C2423" s="30" t="str">
        <f t="shared" si="1"/>
        <v>+</v>
      </c>
      <c r="D2423" s="29">
        <f t="shared" si="2"/>
        <v>820</v>
      </c>
      <c r="E2423" s="30"/>
      <c r="F2423" s="30"/>
      <c r="G2423" s="30"/>
      <c r="H2423" s="30"/>
      <c r="I2423" s="30"/>
      <c r="J2423" s="30"/>
      <c r="K2423" s="30"/>
      <c r="L2423" s="30"/>
      <c r="M2423" s="30"/>
      <c r="N2423" s="30"/>
      <c r="O2423" s="30"/>
      <c r="P2423" s="30"/>
      <c r="Q2423" s="30"/>
      <c r="R2423" s="30"/>
      <c r="S2423" s="30"/>
      <c r="T2423" s="30"/>
      <c r="U2423" s="30"/>
      <c r="V2423" s="30"/>
      <c r="W2423" s="30"/>
      <c r="X2423" s="30"/>
      <c r="Y2423" s="30"/>
      <c r="Z2423" s="30"/>
      <c r="AA2423" s="30"/>
    </row>
    <row r="2424">
      <c r="A2424" s="29">
        <v>2109623.0</v>
      </c>
      <c r="B2424" s="29">
        <v>2109246.0</v>
      </c>
      <c r="C2424" s="30" t="str">
        <f t="shared" si="1"/>
        <v>-</v>
      </c>
      <c r="D2424" s="29">
        <f t="shared" si="2"/>
        <v>821</v>
      </c>
      <c r="E2424" s="30"/>
      <c r="F2424" s="30"/>
      <c r="G2424" s="30"/>
      <c r="H2424" s="30"/>
      <c r="I2424" s="30"/>
      <c r="J2424" s="30"/>
      <c r="K2424" s="30"/>
      <c r="L2424" s="30"/>
      <c r="M2424" s="30"/>
      <c r="N2424" s="30"/>
      <c r="O2424" s="30"/>
      <c r="P2424" s="30"/>
      <c r="Q2424" s="30"/>
      <c r="R2424" s="30"/>
      <c r="S2424" s="30"/>
      <c r="T2424" s="30"/>
      <c r="U2424" s="30"/>
      <c r="V2424" s="30"/>
      <c r="W2424" s="30"/>
      <c r="X2424" s="30"/>
      <c r="Y2424" s="30"/>
      <c r="Z2424" s="30"/>
      <c r="AA2424" s="30"/>
    </row>
    <row r="2425">
      <c r="A2425" s="29">
        <v>2109626.0</v>
      </c>
      <c r="B2425" s="29">
        <v>2109769.0</v>
      </c>
      <c r="C2425" s="30" t="str">
        <f t="shared" si="1"/>
        <v>+</v>
      </c>
      <c r="D2425" s="29">
        <f t="shared" si="2"/>
        <v>822</v>
      </c>
      <c r="E2425" s="30"/>
      <c r="F2425" s="30"/>
      <c r="G2425" s="30"/>
      <c r="H2425" s="30"/>
      <c r="I2425" s="30"/>
      <c r="J2425" s="30"/>
      <c r="K2425" s="30"/>
      <c r="L2425" s="30"/>
      <c r="M2425" s="30"/>
      <c r="N2425" s="30"/>
      <c r="O2425" s="30"/>
      <c r="P2425" s="30"/>
      <c r="Q2425" s="30"/>
      <c r="R2425" s="30"/>
      <c r="S2425" s="30"/>
      <c r="T2425" s="30"/>
      <c r="U2425" s="30"/>
      <c r="V2425" s="30"/>
      <c r="W2425" s="30"/>
      <c r="X2425" s="30"/>
      <c r="Y2425" s="30"/>
      <c r="Z2425" s="30"/>
      <c r="AA2425" s="30"/>
    </row>
    <row r="2426">
      <c r="A2426" s="29">
        <v>2109769.0</v>
      </c>
      <c r="B2426" s="29">
        <v>2110224.0</v>
      </c>
      <c r="C2426" s="30" t="str">
        <f t="shared" si="1"/>
        <v>+</v>
      </c>
      <c r="D2426" s="29">
        <f t="shared" si="2"/>
        <v>822</v>
      </c>
      <c r="E2426" s="30"/>
      <c r="F2426" s="30"/>
      <c r="G2426" s="30"/>
      <c r="H2426" s="30"/>
      <c r="I2426" s="30"/>
      <c r="J2426" s="30"/>
      <c r="K2426" s="30"/>
      <c r="L2426" s="30"/>
      <c r="M2426" s="30"/>
      <c r="N2426" s="30"/>
      <c r="O2426" s="30"/>
      <c r="P2426" s="30"/>
      <c r="Q2426" s="30"/>
      <c r="R2426" s="30"/>
      <c r="S2426" s="30"/>
      <c r="T2426" s="30"/>
      <c r="U2426" s="30"/>
      <c r="V2426" s="30"/>
      <c r="W2426" s="30"/>
      <c r="X2426" s="30"/>
      <c r="Y2426" s="30"/>
      <c r="Z2426" s="30"/>
      <c r="AA2426" s="30"/>
    </row>
    <row r="2427">
      <c r="A2427" s="29">
        <v>2110452.0</v>
      </c>
      <c r="B2427" s="29">
        <v>2110622.0</v>
      </c>
      <c r="C2427" s="30" t="str">
        <f t="shared" si="1"/>
        <v>+</v>
      </c>
      <c r="D2427" s="29">
        <f t="shared" si="2"/>
        <v>822</v>
      </c>
      <c r="E2427" s="30"/>
      <c r="F2427" s="30"/>
      <c r="G2427" s="30"/>
      <c r="H2427" s="30"/>
      <c r="I2427" s="30"/>
      <c r="J2427" s="30"/>
      <c r="K2427" s="30"/>
      <c r="L2427" s="30"/>
      <c r="M2427" s="30"/>
      <c r="N2427" s="30"/>
      <c r="O2427" s="30"/>
      <c r="P2427" s="30"/>
      <c r="Q2427" s="30"/>
      <c r="R2427" s="30"/>
      <c r="S2427" s="30"/>
      <c r="T2427" s="30"/>
      <c r="U2427" s="30"/>
      <c r="V2427" s="30"/>
      <c r="W2427" s="30"/>
      <c r="X2427" s="30"/>
      <c r="Y2427" s="30"/>
      <c r="Z2427" s="30"/>
      <c r="AA2427" s="30"/>
    </row>
    <row r="2428">
      <c r="A2428" s="29">
        <v>2110670.0</v>
      </c>
      <c r="B2428" s="29">
        <v>2110993.0</v>
      </c>
      <c r="C2428" s="30" t="str">
        <f t="shared" si="1"/>
        <v>+</v>
      </c>
      <c r="D2428" s="29">
        <f t="shared" si="2"/>
        <v>822</v>
      </c>
      <c r="E2428" s="30"/>
      <c r="F2428" s="30"/>
      <c r="G2428" s="30"/>
      <c r="H2428" s="30"/>
      <c r="I2428" s="30"/>
      <c r="J2428" s="30"/>
      <c r="K2428" s="30"/>
      <c r="L2428" s="30"/>
      <c r="M2428" s="30"/>
      <c r="N2428" s="30"/>
      <c r="O2428" s="30"/>
      <c r="P2428" s="30"/>
      <c r="Q2428" s="30"/>
      <c r="R2428" s="30"/>
      <c r="S2428" s="30"/>
      <c r="T2428" s="30"/>
      <c r="U2428" s="30"/>
      <c r="V2428" s="30"/>
      <c r="W2428" s="30"/>
      <c r="X2428" s="30"/>
      <c r="Y2428" s="30"/>
      <c r="Z2428" s="30"/>
      <c r="AA2428" s="30"/>
    </row>
    <row r="2429">
      <c r="A2429" s="29">
        <v>2112562.0</v>
      </c>
      <c r="B2429" s="29">
        <v>2111132.0</v>
      </c>
      <c r="C2429" s="30" t="str">
        <f t="shared" si="1"/>
        <v>-</v>
      </c>
      <c r="D2429" s="29">
        <f t="shared" si="2"/>
        <v>823</v>
      </c>
      <c r="E2429" s="30"/>
      <c r="F2429" s="30"/>
      <c r="G2429" s="30"/>
      <c r="H2429" s="30"/>
      <c r="I2429" s="30"/>
      <c r="J2429" s="30"/>
      <c r="K2429" s="30"/>
      <c r="L2429" s="30"/>
      <c r="M2429" s="30"/>
      <c r="N2429" s="30"/>
      <c r="O2429" s="30"/>
      <c r="P2429" s="30"/>
      <c r="Q2429" s="30"/>
      <c r="R2429" s="30"/>
      <c r="S2429" s="30"/>
      <c r="T2429" s="30"/>
      <c r="U2429" s="30"/>
      <c r="V2429" s="30"/>
      <c r="W2429" s="30"/>
      <c r="X2429" s="30"/>
      <c r="Y2429" s="30"/>
      <c r="Z2429" s="30"/>
      <c r="AA2429" s="30"/>
    </row>
    <row r="2430">
      <c r="A2430" s="29">
        <v>2112611.0</v>
      </c>
      <c r="B2430" s="29">
        <v>2114518.0</v>
      </c>
      <c r="C2430" s="30" t="str">
        <f t="shared" si="1"/>
        <v>+</v>
      </c>
      <c r="D2430" s="29">
        <f t="shared" si="2"/>
        <v>824</v>
      </c>
      <c r="E2430" s="30"/>
      <c r="F2430" s="30"/>
      <c r="G2430" s="30"/>
      <c r="H2430" s="30"/>
      <c r="I2430" s="30"/>
      <c r="J2430" s="30"/>
      <c r="K2430" s="30"/>
      <c r="L2430" s="30"/>
      <c r="M2430" s="30"/>
      <c r="N2430" s="30"/>
      <c r="O2430" s="30"/>
      <c r="P2430" s="30"/>
      <c r="Q2430" s="30"/>
      <c r="R2430" s="30"/>
      <c r="S2430" s="30"/>
      <c r="T2430" s="30"/>
      <c r="U2430" s="30"/>
      <c r="V2430" s="30"/>
      <c r="W2430" s="30"/>
      <c r="X2430" s="30"/>
      <c r="Y2430" s="30"/>
      <c r="Z2430" s="30"/>
      <c r="AA2430" s="30"/>
    </row>
    <row r="2431">
      <c r="A2431" s="29">
        <v>2114515.0</v>
      </c>
      <c r="B2431" s="29">
        <v>2115864.0</v>
      </c>
      <c r="C2431" s="30" t="str">
        <f t="shared" si="1"/>
        <v>+</v>
      </c>
      <c r="D2431" s="29">
        <f t="shared" si="2"/>
        <v>824</v>
      </c>
      <c r="E2431" s="30"/>
      <c r="F2431" s="30"/>
      <c r="G2431" s="30"/>
      <c r="H2431" s="30"/>
      <c r="I2431" s="30"/>
      <c r="J2431" s="30"/>
      <c r="K2431" s="30"/>
      <c r="L2431" s="30"/>
      <c r="M2431" s="30"/>
      <c r="N2431" s="30"/>
      <c r="O2431" s="30"/>
      <c r="P2431" s="30"/>
      <c r="Q2431" s="30"/>
      <c r="R2431" s="30"/>
      <c r="S2431" s="30"/>
      <c r="T2431" s="30"/>
      <c r="U2431" s="30"/>
      <c r="V2431" s="30"/>
      <c r="W2431" s="30"/>
      <c r="X2431" s="30"/>
      <c r="Y2431" s="30"/>
      <c r="Z2431" s="30"/>
      <c r="AA2431" s="30"/>
    </row>
    <row r="2432">
      <c r="A2432" s="29">
        <v>2116706.0</v>
      </c>
      <c r="B2432" s="29">
        <v>2115861.0</v>
      </c>
      <c r="C2432" s="30" t="str">
        <f t="shared" si="1"/>
        <v>-</v>
      </c>
      <c r="D2432" s="29">
        <f t="shared" si="2"/>
        <v>825</v>
      </c>
      <c r="E2432" s="30"/>
      <c r="F2432" s="30"/>
      <c r="G2432" s="30"/>
      <c r="H2432" s="30"/>
      <c r="I2432" s="30"/>
      <c r="J2432" s="30"/>
      <c r="K2432" s="30"/>
      <c r="L2432" s="30"/>
      <c r="M2432" s="30"/>
      <c r="N2432" s="30"/>
      <c r="O2432" s="30"/>
      <c r="P2432" s="30"/>
      <c r="Q2432" s="30"/>
      <c r="R2432" s="30"/>
      <c r="S2432" s="30"/>
      <c r="T2432" s="30"/>
      <c r="U2432" s="30"/>
      <c r="V2432" s="30"/>
      <c r="W2432" s="30"/>
      <c r="X2432" s="30"/>
      <c r="Y2432" s="30"/>
      <c r="Z2432" s="30"/>
      <c r="AA2432" s="30"/>
    </row>
    <row r="2433">
      <c r="A2433" s="29">
        <v>2117388.0</v>
      </c>
      <c r="B2433" s="29">
        <v>2116762.0</v>
      </c>
      <c r="C2433" s="30" t="str">
        <f t="shared" si="1"/>
        <v>-</v>
      </c>
      <c r="D2433" s="29">
        <f t="shared" si="2"/>
        <v>825</v>
      </c>
      <c r="E2433" s="30"/>
      <c r="F2433" s="30"/>
      <c r="G2433" s="30"/>
      <c r="H2433" s="30"/>
      <c r="I2433" s="30"/>
      <c r="J2433" s="30"/>
      <c r="K2433" s="30"/>
      <c r="L2433" s="30"/>
      <c r="M2433" s="30"/>
      <c r="N2433" s="30"/>
      <c r="O2433" s="30"/>
      <c r="P2433" s="30"/>
      <c r="Q2433" s="30"/>
      <c r="R2433" s="30"/>
      <c r="S2433" s="30"/>
      <c r="T2433" s="30"/>
      <c r="U2433" s="30"/>
      <c r="V2433" s="30"/>
      <c r="W2433" s="30"/>
      <c r="X2433" s="30"/>
      <c r="Y2433" s="30"/>
      <c r="Z2433" s="30"/>
      <c r="AA2433" s="30"/>
    </row>
    <row r="2434">
      <c r="A2434" s="29">
        <v>2117951.0</v>
      </c>
      <c r="B2434" s="29">
        <v>2117424.0</v>
      </c>
      <c r="C2434" s="30" t="str">
        <f t="shared" si="1"/>
        <v>-</v>
      </c>
      <c r="D2434" s="29">
        <f t="shared" si="2"/>
        <v>825</v>
      </c>
      <c r="E2434" s="30"/>
      <c r="F2434" s="30"/>
      <c r="G2434" s="30"/>
      <c r="H2434" s="30"/>
      <c r="I2434" s="30"/>
      <c r="J2434" s="30"/>
      <c r="K2434" s="30"/>
      <c r="L2434" s="30"/>
      <c r="M2434" s="30"/>
      <c r="N2434" s="30"/>
      <c r="O2434" s="30"/>
      <c r="P2434" s="30"/>
      <c r="Q2434" s="30"/>
      <c r="R2434" s="30"/>
      <c r="S2434" s="30"/>
      <c r="T2434" s="30"/>
      <c r="U2434" s="30"/>
      <c r="V2434" s="30"/>
      <c r="W2434" s="30"/>
      <c r="X2434" s="30"/>
      <c r="Y2434" s="30"/>
      <c r="Z2434" s="30"/>
      <c r="AA2434" s="30"/>
    </row>
    <row r="2435">
      <c r="A2435" s="29">
        <v>2119428.0</v>
      </c>
      <c r="B2435" s="29">
        <v>2117971.0</v>
      </c>
      <c r="C2435" s="30" t="str">
        <f t="shared" si="1"/>
        <v>-</v>
      </c>
      <c r="D2435" s="29">
        <f t="shared" si="2"/>
        <v>825</v>
      </c>
      <c r="E2435" s="30"/>
      <c r="F2435" s="30"/>
      <c r="G2435" s="30"/>
      <c r="H2435" s="30"/>
      <c r="I2435" s="30"/>
      <c r="J2435" s="30"/>
      <c r="K2435" s="30"/>
      <c r="L2435" s="30"/>
      <c r="M2435" s="30"/>
      <c r="N2435" s="30"/>
      <c r="O2435" s="30"/>
      <c r="P2435" s="30"/>
      <c r="Q2435" s="30"/>
      <c r="R2435" s="30"/>
      <c r="S2435" s="30"/>
      <c r="T2435" s="30"/>
      <c r="U2435" s="30"/>
      <c r="V2435" s="30"/>
      <c r="W2435" s="30"/>
      <c r="X2435" s="30"/>
      <c r="Y2435" s="30"/>
      <c r="Z2435" s="30"/>
      <c r="AA2435" s="30"/>
    </row>
    <row r="2436">
      <c r="A2436" s="29">
        <v>2119504.0</v>
      </c>
      <c r="B2436" s="29">
        <v>2120436.0</v>
      </c>
      <c r="C2436" s="30" t="str">
        <f t="shared" si="1"/>
        <v>+</v>
      </c>
      <c r="D2436" s="29">
        <f t="shared" si="2"/>
        <v>826</v>
      </c>
      <c r="E2436" s="30"/>
      <c r="F2436" s="30"/>
      <c r="G2436" s="30"/>
      <c r="H2436" s="30"/>
      <c r="I2436" s="30"/>
      <c r="J2436" s="30"/>
      <c r="K2436" s="30"/>
      <c r="L2436" s="30"/>
      <c r="M2436" s="30"/>
      <c r="N2436" s="30"/>
      <c r="O2436" s="30"/>
      <c r="P2436" s="30"/>
      <c r="Q2436" s="30"/>
      <c r="R2436" s="30"/>
      <c r="S2436" s="30"/>
      <c r="T2436" s="30"/>
      <c r="U2436" s="30"/>
      <c r="V2436" s="30"/>
      <c r="W2436" s="30"/>
      <c r="X2436" s="30"/>
      <c r="Y2436" s="30"/>
      <c r="Z2436" s="30"/>
      <c r="AA2436" s="30"/>
    </row>
    <row r="2437">
      <c r="A2437" s="29">
        <v>2120834.0</v>
      </c>
      <c r="B2437" s="29">
        <v>2120421.0</v>
      </c>
      <c r="C2437" s="30" t="str">
        <f t="shared" si="1"/>
        <v>-</v>
      </c>
      <c r="D2437" s="29">
        <f t="shared" si="2"/>
        <v>827</v>
      </c>
      <c r="E2437" s="30"/>
      <c r="F2437" s="30"/>
      <c r="G2437" s="30"/>
      <c r="H2437" s="30"/>
      <c r="I2437" s="30"/>
      <c r="J2437" s="30"/>
      <c r="K2437" s="30"/>
      <c r="L2437" s="30"/>
      <c r="M2437" s="30"/>
      <c r="N2437" s="30"/>
      <c r="O2437" s="30"/>
      <c r="P2437" s="30"/>
      <c r="Q2437" s="30"/>
      <c r="R2437" s="30"/>
      <c r="S2437" s="30"/>
      <c r="T2437" s="30"/>
      <c r="U2437" s="30"/>
      <c r="V2437" s="30"/>
      <c r="W2437" s="30"/>
      <c r="X2437" s="30"/>
      <c r="Y2437" s="30"/>
      <c r="Z2437" s="30"/>
      <c r="AA2437" s="30"/>
    </row>
    <row r="2438">
      <c r="A2438" s="29">
        <v>2122124.0</v>
      </c>
      <c r="B2438" s="29">
        <v>2120865.0</v>
      </c>
      <c r="C2438" s="30" t="str">
        <f t="shared" si="1"/>
        <v>-</v>
      </c>
      <c r="D2438" s="29">
        <f t="shared" si="2"/>
        <v>827</v>
      </c>
      <c r="E2438" s="30"/>
      <c r="F2438" s="30"/>
      <c r="G2438" s="30"/>
      <c r="H2438" s="30"/>
      <c r="I2438" s="30"/>
      <c r="J2438" s="30"/>
      <c r="K2438" s="30"/>
      <c r="L2438" s="30"/>
      <c r="M2438" s="30"/>
      <c r="N2438" s="30"/>
      <c r="O2438" s="30"/>
      <c r="P2438" s="30"/>
      <c r="Q2438" s="30"/>
      <c r="R2438" s="30"/>
      <c r="S2438" s="30"/>
      <c r="T2438" s="30"/>
      <c r="U2438" s="30"/>
      <c r="V2438" s="30"/>
      <c r="W2438" s="30"/>
      <c r="X2438" s="30"/>
      <c r="Y2438" s="30"/>
      <c r="Z2438" s="30"/>
      <c r="AA2438" s="30"/>
    </row>
    <row r="2439">
      <c r="A2439" s="29">
        <v>2122753.0</v>
      </c>
      <c r="B2439" s="29">
        <v>2122145.0</v>
      </c>
      <c r="C2439" s="30" t="str">
        <f t="shared" si="1"/>
        <v>-</v>
      </c>
      <c r="D2439" s="29">
        <f t="shared" si="2"/>
        <v>827</v>
      </c>
      <c r="E2439" s="30"/>
      <c r="F2439" s="30"/>
      <c r="G2439" s="30"/>
      <c r="H2439" s="30"/>
      <c r="I2439" s="30"/>
      <c r="J2439" s="30"/>
      <c r="K2439" s="30"/>
      <c r="L2439" s="30"/>
      <c r="M2439" s="30"/>
      <c r="N2439" s="30"/>
      <c r="O2439" s="30"/>
      <c r="P2439" s="30"/>
      <c r="Q2439" s="30"/>
      <c r="R2439" s="30"/>
      <c r="S2439" s="30"/>
      <c r="T2439" s="30"/>
      <c r="U2439" s="30"/>
      <c r="V2439" s="30"/>
      <c r="W2439" s="30"/>
      <c r="X2439" s="30"/>
      <c r="Y2439" s="30"/>
      <c r="Z2439" s="30"/>
      <c r="AA2439" s="30"/>
    </row>
    <row r="2440">
      <c r="A2440" s="29">
        <v>2123546.0</v>
      </c>
      <c r="B2440" s="29">
        <v>2122857.0</v>
      </c>
      <c r="C2440" s="30" t="str">
        <f t="shared" si="1"/>
        <v>-</v>
      </c>
      <c r="D2440" s="29">
        <f t="shared" si="2"/>
        <v>827</v>
      </c>
      <c r="E2440" s="30"/>
      <c r="F2440" s="30"/>
      <c r="G2440" s="30"/>
      <c r="H2440" s="30"/>
      <c r="I2440" s="30"/>
      <c r="J2440" s="30"/>
      <c r="K2440" s="30"/>
      <c r="L2440" s="30"/>
      <c r="M2440" s="30"/>
      <c r="N2440" s="30"/>
      <c r="O2440" s="30"/>
      <c r="P2440" s="30"/>
      <c r="Q2440" s="30"/>
      <c r="R2440" s="30"/>
      <c r="S2440" s="30"/>
      <c r="T2440" s="30"/>
      <c r="U2440" s="30"/>
      <c r="V2440" s="30"/>
      <c r="W2440" s="30"/>
      <c r="X2440" s="30"/>
      <c r="Y2440" s="30"/>
      <c r="Z2440" s="30"/>
      <c r="AA2440" s="30"/>
    </row>
    <row r="2441">
      <c r="A2441" s="29">
        <v>2123764.0</v>
      </c>
      <c r="B2441" s="29">
        <v>2123549.0</v>
      </c>
      <c r="C2441" s="30" t="str">
        <f t="shared" si="1"/>
        <v>-</v>
      </c>
      <c r="D2441" s="29">
        <f t="shared" si="2"/>
        <v>827</v>
      </c>
      <c r="E2441" s="30"/>
      <c r="F2441" s="30"/>
      <c r="G2441" s="30"/>
      <c r="H2441" s="30"/>
      <c r="I2441" s="30"/>
      <c r="J2441" s="30"/>
      <c r="K2441" s="30"/>
      <c r="L2441" s="30"/>
      <c r="M2441" s="30"/>
      <c r="N2441" s="30"/>
      <c r="O2441" s="30"/>
      <c r="P2441" s="30"/>
      <c r="Q2441" s="30"/>
      <c r="R2441" s="30"/>
      <c r="S2441" s="30"/>
      <c r="T2441" s="30"/>
      <c r="U2441" s="30"/>
      <c r="V2441" s="30"/>
      <c r="W2441" s="30"/>
      <c r="X2441" s="30"/>
      <c r="Y2441" s="30"/>
      <c r="Z2441" s="30"/>
      <c r="AA2441" s="30"/>
    </row>
    <row r="2442">
      <c r="A2442" s="29">
        <v>2124638.0</v>
      </c>
      <c r="B2442" s="29">
        <v>2125696.0</v>
      </c>
      <c r="C2442" s="30" t="str">
        <f t="shared" si="1"/>
        <v>+</v>
      </c>
      <c r="D2442" s="29">
        <f t="shared" si="2"/>
        <v>828</v>
      </c>
      <c r="E2442" s="30"/>
      <c r="F2442" s="30"/>
      <c r="G2442" s="30"/>
      <c r="H2442" s="30"/>
      <c r="I2442" s="30"/>
      <c r="J2442" s="30"/>
      <c r="K2442" s="30"/>
      <c r="L2442" s="30"/>
      <c r="M2442" s="30"/>
      <c r="N2442" s="30"/>
      <c r="O2442" s="30"/>
      <c r="P2442" s="30"/>
      <c r="Q2442" s="30"/>
      <c r="R2442" s="30"/>
      <c r="S2442" s="30"/>
      <c r="T2442" s="30"/>
      <c r="U2442" s="30"/>
      <c r="V2442" s="30"/>
      <c r="W2442" s="30"/>
      <c r="X2442" s="30"/>
      <c r="Y2442" s="30"/>
      <c r="Z2442" s="30"/>
      <c r="AA2442" s="30"/>
    </row>
    <row r="2443">
      <c r="A2443" s="29">
        <v>2125727.0</v>
      </c>
      <c r="B2443" s="29">
        <v>2126056.0</v>
      </c>
      <c r="C2443" s="30" t="str">
        <f t="shared" si="1"/>
        <v>+</v>
      </c>
      <c r="D2443" s="29">
        <f t="shared" si="2"/>
        <v>828</v>
      </c>
      <c r="E2443" s="30"/>
      <c r="F2443" s="30"/>
      <c r="G2443" s="30"/>
      <c r="H2443" s="30"/>
      <c r="I2443" s="30"/>
      <c r="J2443" s="30"/>
      <c r="K2443" s="30"/>
      <c r="L2443" s="30"/>
      <c r="M2443" s="30"/>
      <c r="N2443" s="30"/>
      <c r="O2443" s="30"/>
      <c r="P2443" s="30"/>
      <c r="Q2443" s="30"/>
      <c r="R2443" s="30"/>
      <c r="S2443" s="30"/>
      <c r="T2443" s="30"/>
      <c r="U2443" s="30"/>
      <c r="V2443" s="30"/>
      <c r="W2443" s="30"/>
      <c r="X2443" s="30"/>
      <c r="Y2443" s="30"/>
      <c r="Z2443" s="30"/>
      <c r="AA2443" s="30"/>
    </row>
    <row r="2444">
      <c r="A2444" s="29">
        <v>2126053.0</v>
      </c>
      <c r="B2444" s="29">
        <v>2126784.0</v>
      </c>
      <c r="C2444" s="30" t="str">
        <f t="shared" si="1"/>
        <v>+</v>
      </c>
      <c r="D2444" s="29">
        <f t="shared" si="2"/>
        <v>828</v>
      </c>
      <c r="E2444" s="30"/>
      <c r="F2444" s="30"/>
      <c r="G2444" s="30"/>
      <c r="H2444" s="30"/>
      <c r="I2444" s="30"/>
      <c r="J2444" s="30"/>
      <c r="K2444" s="30"/>
      <c r="L2444" s="30"/>
      <c r="M2444" s="30"/>
      <c r="N2444" s="30"/>
      <c r="O2444" s="30"/>
      <c r="P2444" s="30"/>
      <c r="Q2444" s="30"/>
      <c r="R2444" s="30"/>
      <c r="S2444" s="30"/>
      <c r="T2444" s="30"/>
      <c r="U2444" s="30"/>
      <c r="V2444" s="30"/>
      <c r="W2444" s="30"/>
      <c r="X2444" s="30"/>
      <c r="Y2444" s="30"/>
      <c r="Z2444" s="30"/>
      <c r="AA2444" s="30"/>
    </row>
    <row r="2445">
      <c r="A2445" s="29">
        <v>2126823.0</v>
      </c>
      <c r="B2445" s="29">
        <v>2128112.0</v>
      </c>
      <c r="C2445" s="30" t="str">
        <f t="shared" si="1"/>
        <v>+</v>
      </c>
      <c r="D2445" s="29">
        <f t="shared" si="2"/>
        <v>828</v>
      </c>
      <c r="E2445" s="30"/>
      <c r="F2445" s="30"/>
      <c r="G2445" s="30"/>
      <c r="H2445" s="30"/>
      <c r="I2445" s="30"/>
      <c r="J2445" s="30"/>
      <c r="K2445" s="30"/>
      <c r="L2445" s="30"/>
      <c r="M2445" s="30"/>
      <c r="N2445" s="30"/>
      <c r="O2445" s="30"/>
      <c r="P2445" s="30"/>
      <c r="Q2445" s="30"/>
      <c r="R2445" s="30"/>
      <c r="S2445" s="30"/>
      <c r="T2445" s="30"/>
      <c r="U2445" s="30"/>
      <c r="V2445" s="30"/>
      <c r="W2445" s="30"/>
      <c r="X2445" s="30"/>
      <c r="Y2445" s="30"/>
      <c r="Z2445" s="30"/>
      <c r="AA2445" s="30"/>
    </row>
    <row r="2446">
      <c r="A2446" s="29">
        <v>2128883.0</v>
      </c>
      <c r="B2446" s="29">
        <v>2128101.0</v>
      </c>
      <c r="C2446" s="30" t="str">
        <f t="shared" si="1"/>
        <v>-</v>
      </c>
      <c r="D2446" s="29">
        <f t="shared" si="2"/>
        <v>829</v>
      </c>
      <c r="E2446" s="30"/>
      <c r="F2446" s="30"/>
      <c r="G2446" s="30"/>
      <c r="H2446" s="30"/>
      <c r="I2446" s="30"/>
      <c r="J2446" s="30"/>
      <c r="K2446" s="30"/>
      <c r="L2446" s="30"/>
      <c r="M2446" s="30"/>
      <c r="N2446" s="30"/>
      <c r="O2446" s="30"/>
      <c r="P2446" s="30"/>
      <c r="Q2446" s="30"/>
      <c r="R2446" s="30"/>
      <c r="S2446" s="30"/>
      <c r="T2446" s="30"/>
      <c r="U2446" s="30"/>
      <c r="V2446" s="30"/>
      <c r="W2446" s="30"/>
      <c r="X2446" s="30"/>
      <c r="Y2446" s="30"/>
      <c r="Z2446" s="30"/>
      <c r="AA2446" s="30"/>
    </row>
    <row r="2447">
      <c r="A2447" s="29">
        <v>2129839.0</v>
      </c>
      <c r="B2447" s="29">
        <v>2128907.0</v>
      </c>
      <c r="C2447" s="30" t="str">
        <f t="shared" si="1"/>
        <v>-</v>
      </c>
      <c r="D2447" s="29">
        <f t="shared" si="2"/>
        <v>829</v>
      </c>
      <c r="E2447" s="30"/>
      <c r="F2447" s="30"/>
      <c r="G2447" s="30"/>
      <c r="H2447" s="30"/>
      <c r="I2447" s="30"/>
      <c r="J2447" s="30"/>
      <c r="K2447" s="30"/>
      <c r="L2447" s="30"/>
      <c r="M2447" s="30"/>
      <c r="N2447" s="30"/>
      <c r="O2447" s="30"/>
      <c r="P2447" s="30"/>
      <c r="Q2447" s="30"/>
      <c r="R2447" s="30"/>
      <c r="S2447" s="30"/>
      <c r="T2447" s="30"/>
      <c r="U2447" s="30"/>
      <c r="V2447" s="30"/>
      <c r="W2447" s="30"/>
      <c r="X2447" s="30"/>
      <c r="Y2447" s="30"/>
      <c r="Z2447" s="30"/>
      <c r="AA2447" s="30"/>
    </row>
    <row r="2448">
      <c r="A2448" s="29">
        <v>2129877.0</v>
      </c>
      <c r="B2448" s="29">
        <v>2130260.0</v>
      </c>
      <c r="C2448" s="30" t="str">
        <f t="shared" si="1"/>
        <v>+</v>
      </c>
      <c r="D2448" s="29">
        <f t="shared" si="2"/>
        <v>830</v>
      </c>
      <c r="E2448" s="30"/>
      <c r="F2448" s="30"/>
      <c r="G2448" s="30"/>
      <c r="H2448" s="30"/>
      <c r="I2448" s="30"/>
      <c r="J2448" s="30"/>
      <c r="K2448" s="30"/>
      <c r="L2448" s="30"/>
      <c r="M2448" s="30"/>
      <c r="N2448" s="30"/>
      <c r="O2448" s="30"/>
      <c r="P2448" s="30"/>
      <c r="Q2448" s="30"/>
      <c r="R2448" s="30"/>
      <c r="S2448" s="30"/>
      <c r="T2448" s="30"/>
      <c r="U2448" s="30"/>
      <c r="V2448" s="30"/>
      <c r="W2448" s="30"/>
      <c r="X2448" s="30"/>
      <c r="Y2448" s="30"/>
      <c r="Z2448" s="30"/>
      <c r="AA2448" s="30"/>
    </row>
    <row r="2449">
      <c r="A2449" s="29">
        <v>2131183.0</v>
      </c>
      <c r="B2449" s="29">
        <v>2130257.0</v>
      </c>
      <c r="C2449" s="30" t="str">
        <f t="shared" si="1"/>
        <v>-</v>
      </c>
      <c r="D2449" s="29">
        <f t="shared" si="2"/>
        <v>831</v>
      </c>
      <c r="E2449" s="30"/>
      <c r="F2449" s="30"/>
      <c r="G2449" s="30"/>
      <c r="H2449" s="30"/>
      <c r="I2449" s="30"/>
      <c r="J2449" s="30"/>
      <c r="K2449" s="30"/>
      <c r="L2449" s="30"/>
      <c r="M2449" s="30"/>
      <c r="N2449" s="30"/>
      <c r="O2449" s="30"/>
      <c r="P2449" s="30"/>
      <c r="Q2449" s="30"/>
      <c r="R2449" s="30"/>
      <c r="S2449" s="30"/>
      <c r="T2449" s="30"/>
      <c r="U2449" s="30"/>
      <c r="V2449" s="30"/>
      <c r="W2449" s="30"/>
      <c r="X2449" s="30"/>
      <c r="Y2449" s="30"/>
      <c r="Z2449" s="30"/>
      <c r="AA2449" s="30"/>
    </row>
    <row r="2450">
      <c r="A2450" s="29">
        <v>2131797.0</v>
      </c>
      <c r="B2450" s="29">
        <v>2131207.0</v>
      </c>
      <c r="C2450" s="30" t="str">
        <f t="shared" si="1"/>
        <v>-</v>
      </c>
      <c r="D2450" s="29">
        <f t="shared" si="2"/>
        <v>831</v>
      </c>
      <c r="E2450" s="30"/>
      <c r="F2450" s="30"/>
      <c r="G2450" s="30"/>
      <c r="H2450" s="30"/>
      <c r="I2450" s="30"/>
      <c r="J2450" s="30"/>
      <c r="K2450" s="30"/>
      <c r="L2450" s="30"/>
      <c r="M2450" s="30"/>
      <c r="N2450" s="30"/>
      <c r="O2450" s="30"/>
      <c r="P2450" s="30"/>
      <c r="Q2450" s="30"/>
      <c r="R2450" s="30"/>
      <c r="S2450" s="30"/>
      <c r="T2450" s="30"/>
      <c r="U2450" s="30"/>
      <c r="V2450" s="30"/>
      <c r="W2450" s="30"/>
      <c r="X2450" s="30"/>
      <c r="Y2450" s="30"/>
      <c r="Z2450" s="30"/>
      <c r="AA2450" s="30"/>
    </row>
    <row r="2451">
      <c r="A2451" s="29">
        <v>2132036.0</v>
      </c>
      <c r="B2451" s="29">
        <v>2131878.0</v>
      </c>
      <c r="C2451" s="30" t="str">
        <f t="shared" si="1"/>
        <v>-</v>
      </c>
      <c r="D2451" s="29">
        <f t="shared" si="2"/>
        <v>831</v>
      </c>
      <c r="E2451" s="30"/>
      <c r="F2451" s="30"/>
      <c r="G2451" s="30"/>
      <c r="H2451" s="30"/>
      <c r="I2451" s="30"/>
      <c r="J2451" s="30"/>
      <c r="K2451" s="30"/>
      <c r="L2451" s="30"/>
      <c r="M2451" s="30"/>
      <c r="N2451" s="30"/>
      <c r="O2451" s="30"/>
      <c r="P2451" s="30"/>
      <c r="Q2451" s="30"/>
      <c r="R2451" s="30"/>
      <c r="S2451" s="30"/>
      <c r="T2451" s="30"/>
      <c r="U2451" s="30"/>
      <c r="V2451" s="30"/>
      <c r="W2451" s="30"/>
      <c r="X2451" s="30"/>
      <c r="Y2451" s="30"/>
      <c r="Z2451" s="30"/>
      <c r="AA2451" s="30"/>
    </row>
    <row r="2452">
      <c r="A2452" s="29">
        <v>2132275.0</v>
      </c>
      <c r="B2452" s="29">
        <v>2132033.0</v>
      </c>
      <c r="C2452" s="30" t="str">
        <f t="shared" si="1"/>
        <v>-</v>
      </c>
      <c r="D2452" s="29">
        <f t="shared" si="2"/>
        <v>831</v>
      </c>
      <c r="E2452" s="30"/>
      <c r="F2452" s="30"/>
      <c r="G2452" s="30"/>
      <c r="H2452" s="30"/>
      <c r="I2452" s="30"/>
      <c r="J2452" s="30"/>
      <c r="K2452" s="30"/>
      <c r="L2452" s="30"/>
      <c r="M2452" s="30"/>
      <c r="N2452" s="30"/>
      <c r="O2452" s="30"/>
      <c r="P2452" s="30"/>
      <c r="Q2452" s="30"/>
      <c r="R2452" s="30"/>
      <c r="S2452" s="30"/>
      <c r="T2452" s="30"/>
      <c r="U2452" s="30"/>
      <c r="V2452" s="30"/>
      <c r="W2452" s="30"/>
      <c r="X2452" s="30"/>
      <c r="Y2452" s="30"/>
      <c r="Z2452" s="30"/>
      <c r="AA2452" s="30"/>
    </row>
    <row r="2453">
      <c r="A2453" s="29">
        <v>2132355.0</v>
      </c>
      <c r="B2453" s="29">
        <v>2132648.0</v>
      </c>
      <c r="C2453" s="30" t="str">
        <f t="shared" si="1"/>
        <v>+</v>
      </c>
      <c r="D2453" s="29">
        <f t="shared" si="2"/>
        <v>832</v>
      </c>
      <c r="E2453" s="30"/>
      <c r="F2453" s="30"/>
      <c r="G2453" s="30"/>
      <c r="H2453" s="30"/>
      <c r="I2453" s="30"/>
      <c r="J2453" s="30"/>
      <c r="K2453" s="30"/>
      <c r="L2453" s="30"/>
      <c r="M2453" s="30"/>
      <c r="N2453" s="30"/>
      <c r="O2453" s="30"/>
      <c r="P2453" s="30"/>
      <c r="Q2453" s="30"/>
      <c r="R2453" s="30"/>
      <c r="S2453" s="30"/>
      <c r="T2453" s="30"/>
      <c r="U2453" s="30"/>
      <c r="V2453" s="30"/>
      <c r="W2453" s="30"/>
      <c r="X2453" s="30"/>
      <c r="Y2453" s="30"/>
      <c r="Z2453" s="30"/>
      <c r="AA2453" s="30"/>
    </row>
    <row r="2454">
      <c r="A2454" s="29">
        <v>2132632.0</v>
      </c>
      <c r="B2454" s="29">
        <v>2132910.0</v>
      </c>
      <c r="C2454" s="30" t="str">
        <f t="shared" si="1"/>
        <v>+</v>
      </c>
      <c r="D2454" s="29">
        <f t="shared" si="2"/>
        <v>832</v>
      </c>
      <c r="E2454" s="30"/>
      <c r="F2454" s="30"/>
      <c r="G2454" s="30"/>
      <c r="H2454" s="30"/>
      <c r="I2454" s="30"/>
      <c r="J2454" s="30"/>
      <c r="K2454" s="30"/>
      <c r="L2454" s="30"/>
      <c r="M2454" s="30"/>
      <c r="N2454" s="30"/>
      <c r="O2454" s="30"/>
      <c r="P2454" s="30"/>
      <c r="Q2454" s="30"/>
      <c r="R2454" s="30"/>
      <c r="S2454" s="30"/>
      <c r="T2454" s="30"/>
      <c r="U2454" s="30"/>
      <c r="V2454" s="30"/>
      <c r="W2454" s="30"/>
      <c r="X2454" s="30"/>
      <c r="Y2454" s="30"/>
      <c r="Z2454" s="30"/>
      <c r="AA2454" s="30"/>
    </row>
    <row r="2455">
      <c r="A2455" s="29">
        <v>2133331.0</v>
      </c>
      <c r="B2455" s="29">
        <v>2132879.0</v>
      </c>
      <c r="C2455" s="30" t="str">
        <f t="shared" si="1"/>
        <v>-</v>
      </c>
      <c r="D2455" s="29">
        <f t="shared" si="2"/>
        <v>833</v>
      </c>
      <c r="E2455" s="30"/>
      <c r="F2455" s="30"/>
      <c r="G2455" s="30"/>
      <c r="H2455" s="30"/>
      <c r="I2455" s="30"/>
      <c r="J2455" s="30"/>
      <c r="K2455" s="30"/>
      <c r="L2455" s="30"/>
      <c r="M2455" s="30"/>
      <c r="N2455" s="30"/>
      <c r="O2455" s="30"/>
      <c r="P2455" s="30"/>
      <c r="Q2455" s="30"/>
      <c r="R2455" s="30"/>
      <c r="S2455" s="30"/>
      <c r="T2455" s="30"/>
      <c r="U2455" s="30"/>
      <c r="V2455" s="30"/>
      <c r="W2455" s="30"/>
      <c r="X2455" s="30"/>
      <c r="Y2455" s="30"/>
      <c r="Z2455" s="30"/>
      <c r="AA2455" s="30"/>
    </row>
    <row r="2456">
      <c r="A2456" s="29">
        <v>2133376.0</v>
      </c>
      <c r="B2456" s="29">
        <v>2133861.0</v>
      </c>
      <c r="C2456" s="30" t="str">
        <f t="shared" si="1"/>
        <v>+</v>
      </c>
      <c r="D2456" s="29">
        <f t="shared" si="2"/>
        <v>834</v>
      </c>
      <c r="E2456" s="30"/>
      <c r="F2456" s="30"/>
      <c r="G2456" s="30"/>
      <c r="H2456" s="30"/>
      <c r="I2456" s="30"/>
      <c r="J2456" s="30"/>
      <c r="K2456" s="30"/>
      <c r="L2456" s="30"/>
      <c r="M2456" s="30"/>
      <c r="N2456" s="30"/>
      <c r="O2456" s="30"/>
      <c r="P2456" s="30"/>
      <c r="Q2456" s="30"/>
      <c r="R2456" s="30"/>
      <c r="S2456" s="30"/>
      <c r="T2456" s="30"/>
      <c r="U2456" s="30"/>
      <c r="V2456" s="30"/>
      <c r="W2456" s="30"/>
      <c r="X2456" s="30"/>
      <c r="Y2456" s="30"/>
      <c r="Z2456" s="30"/>
      <c r="AA2456" s="30"/>
    </row>
    <row r="2457">
      <c r="A2457" s="29">
        <v>2133851.0</v>
      </c>
      <c r="B2457" s="29">
        <v>2134996.0</v>
      </c>
      <c r="C2457" s="30" t="str">
        <f t="shared" si="1"/>
        <v>+</v>
      </c>
      <c r="D2457" s="29">
        <f t="shared" si="2"/>
        <v>834</v>
      </c>
      <c r="E2457" s="30"/>
      <c r="F2457" s="30"/>
      <c r="G2457" s="30"/>
      <c r="H2457" s="30"/>
      <c r="I2457" s="30"/>
      <c r="J2457" s="30"/>
      <c r="K2457" s="30"/>
      <c r="L2457" s="30"/>
      <c r="M2457" s="30"/>
      <c r="N2457" s="30"/>
      <c r="O2457" s="30"/>
      <c r="P2457" s="30"/>
      <c r="Q2457" s="30"/>
      <c r="R2457" s="30"/>
      <c r="S2457" s="30"/>
      <c r="T2457" s="30"/>
      <c r="U2457" s="30"/>
      <c r="V2457" s="30"/>
      <c r="W2457" s="30"/>
      <c r="X2457" s="30"/>
      <c r="Y2457" s="30"/>
      <c r="Z2457" s="30"/>
      <c r="AA2457" s="30"/>
    </row>
    <row r="2458">
      <c r="A2458" s="29">
        <v>2135054.0</v>
      </c>
      <c r="B2458" s="29">
        <v>2135566.0</v>
      </c>
      <c r="C2458" s="30" t="str">
        <f t="shared" si="1"/>
        <v>+</v>
      </c>
      <c r="D2458" s="29">
        <f t="shared" si="2"/>
        <v>834</v>
      </c>
      <c r="E2458" s="30"/>
      <c r="F2458" s="30"/>
      <c r="G2458" s="30"/>
      <c r="H2458" s="30"/>
      <c r="I2458" s="30"/>
      <c r="J2458" s="30"/>
      <c r="K2458" s="30"/>
      <c r="L2458" s="30"/>
      <c r="M2458" s="30"/>
      <c r="N2458" s="30"/>
      <c r="O2458" s="30"/>
      <c r="P2458" s="30"/>
      <c r="Q2458" s="30"/>
      <c r="R2458" s="30"/>
      <c r="S2458" s="30"/>
      <c r="T2458" s="30"/>
      <c r="U2458" s="30"/>
      <c r="V2458" s="30"/>
      <c r="W2458" s="30"/>
      <c r="X2458" s="30"/>
      <c r="Y2458" s="30"/>
      <c r="Z2458" s="30"/>
      <c r="AA2458" s="30"/>
    </row>
    <row r="2459">
      <c r="A2459" s="29">
        <v>2135563.0</v>
      </c>
      <c r="B2459" s="29">
        <v>2136279.0</v>
      </c>
      <c r="C2459" s="30" t="str">
        <f t="shared" si="1"/>
        <v>+</v>
      </c>
      <c r="D2459" s="29">
        <f t="shared" si="2"/>
        <v>834</v>
      </c>
      <c r="E2459" s="30"/>
      <c r="F2459" s="30"/>
      <c r="G2459" s="30"/>
      <c r="H2459" s="30"/>
      <c r="I2459" s="30"/>
      <c r="J2459" s="30"/>
      <c r="K2459" s="30"/>
      <c r="L2459" s="30"/>
      <c r="M2459" s="30"/>
      <c r="N2459" s="30"/>
      <c r="O2459" s="30"/>
      <c r="P2459" s="30"/>
      <c r="Q2459" s="30"/>
      <c r="R2459" s="30"/>
      <c r="S2459" s="30"/>
      <c r="T2459" s="30"/>
      <c r="U2459" s="30"/>
      <c r="V2459" s="30"/>
      <c r="W2459" s="30"/>
      <c r="X2459" s="30"/>
      <c r="Y2459" s="30"/>
      <c r="Z2459" s="30"/>
      <c r="AA2459" s="30"/>
    </row>
    <row r="2460">
      <c r="A2460" s="29">
        <v>2137755.0</v>
      </c>
      <c r="B2460" s="29">
        <v>2136268.0</v>
      </c>
      <c r="C2460" s="30" t="str">
        <f t="shared" si="1"/>
        <v>-</v>
      </c>
      <c r="D2460" s="29">
        <f t="shared" si="2"/>
        <v>835</v>
      </c>
      <c r="E2460" s="30"/>
      <c r="F2460" s="30"/>
      <c r="G2460" s="30"/>
      <c r="H2460" s="30"/>
      <c r="I2460" s="30"/>
      <c r="J2460" s="30"/>
      <c r="K2460" s="30"/>
      <c r="L2460" s="30"/>
      <c r="M2460" s="30"/>
      <c r="N2460" s="30"/>
      <c r="O2460" s="30"/>
      <c r="P2460" s="30"/>
      <c r="Q2460" s="30"/>
      <c r="R2460" s="30"/>
      <c r="S2460" s="30"/>
      <c r="T2460" s="30"/>
      <c r="U2460" s="30"/>
      <c r="V2460" s="30"/>
      <c r="W2460" s="30"/>
      <c r="X2460" s="30"/>
      <c r="Y2460" s="30"/>
      <c r="Z2460" s="30"/>
      <c r="AA2460" s="30"/>
    </row>
    <row r="2461">
      <c r="A2461" s="29">
        <v>2138294.0</v>
      </c>
      <c r="B2461" s="29">
        <v>2137782.0</v>
      </c>
      <c r="C2461" s="30" t="str">
        <f t="shared" si="1"/>
        <v>-</v>
      </c>
      <c r="D2461" s="29">
        <f t="shared" si="2"/>
        <v>835</v>
      </c>
      <c r="E2461" s="30"/>
      <c r="F2461" s="30"/>
      <c r="G2461" s="30"/>
      <c r="H2461" s="30"/>
      <c r="I2461" s="30"/>
      <c r="J2461" s="30"/>
      <c r="K2461" s="30"/>
      <c r="L2461" s="30"/>
      <c r="M2461" s="30"/>
      <c r="N2461" s="30"/>
      <c r="O2461" s="30"/>
      <c r="P2461" s="30"/>
      <c r="Q2461" s="30"/>
      <c r="R2461" s="30"/>
      <c r="S2461" s="30"/>
      <c r="T2461" s="30"/>
      <c r="U2461" s="30"/>
      <c r="V2461" s="30"/>
      <c r="W2461" s="30"/>
      <c r="X2461" s="30"/>
      <c r="Y2461" s="30"/>
      <c r="Z2461" s="30"/>
      <c r="AA2461" s="30"/>
    </row>
    <row r="2462">
      <c r="A2462" s="29">
        <v>2138506.0</v>
      </c>
      <c r="B2462" s="29">
        <v>2138291.0</v>
      </c>
      <c r="C2462" s="30" t="str">
        <f t="shared" si="1"/>
        <v>-</v>
      </c>
      <c r="D2462" s="29">
        <f t="shared" si="2"/>
        <v>835</v>
      </c>
      <c r="E2462" s="30"/>
      <c r="F2462" s="30"/>
      <c r="G2462" s="30"/>
      <c r="H2462" s="30"/>
      <c r="I2462" s="30"/>
      <c r="J2462" s="30"/>
      <c r="K2462" s="30"/>
      <c r="L2462" s="30"/>
      <c r="M2462" s="30"/>
      <c r="N2462" s="30"/>
      <c r="O2462" s="30"/>
      <c r="P2462" s="30"/>
      <c r="Q2462" s="30"/>
      <c r="R2462" s="30"/>
      <c r="S2462" s="30"/>
      <c r="T2462" s="30"/>
      <c r="U2462" s="30"/>
      <c r="V2462" s="30"/>
      <c r="W2462" s="30"/>
      <c r="X2462" s="30"/>
      <c r="Y2462" s="30"/>
      <c r="Z2462" s="30"/>
      <c r="AA2462" s="30"/>
    </row>
    <row r="2463">
      <c r="A2463" s="29">
        <v>2140161.0</v>
      </c>
      <c r="B2463" s="29">
        <v>2138677.0</v>
      </c>
      <c r="C2463" s="30" t="str">
        <f t="shared" si="1"/>
        <v>-</v>
      </c>
      <c r="D2463" s="29">
        <f t="shared" si="2"/>
        <v>835</v>
      </c>
      <c r="E2463" s="30"/>
      <c r="F2463" s="30"/>
      <c r="G2463" s="30"/>
      <c r="H2463" s="30"/>
      <c r="I2463" s="30"/>
      <c r="J2463" s="30"/>
      <c r="K2463" s="30"/>
      <c r="L2463" s="30"/>
      <c r="M2463" s="30"/>
      <c r="N2463" s="30"/>
      <c r="O2463" s="30"/>
      <c r="P2463" s="30"/>
      <c r="Q2463" s="30"/>
      <c r="R2463" s="30"/>
      <c r="S2463" s="30"/>
      <c r="T2463" s="30"/>
      <c r="U2463" s="30"/>
      <c r="V2463" s="30"/>
      <c r="W2463" s="30"/>
      <c r="X2463" s="30"/>
      <c r="Y2463" s="30"/>
      <c r="Z2463" s="30"/>
      <c r="AA2463" s="30"/>
    </row>
    <row r="2464">
      <c r="A2464" s="29">
        <v>2141830.0</v>
      </c>
      <c r="B2464" s="29">
        <v>2140310.0</v>
      </c>
      <c r="C2464" s="30" t="str">
        <f t="shared" si="1"/>
        <v>-</v>
      </c>
      <c r="D2464" s="29">
        <f t="shared" si="2"/>
        <v>835</v>
      </c>
      <c r="E2464" s="30"/>
      <c r="F2464" s="30"/>
      <c r="G2464" s="30"/>
      <c r="H2464" s="30"/>
      <c r="I2464" s="30"/>
      <c r="J2464" s="30"/>
      <c r="K2464" s="30"/>
      <c r="L2464" s="30"/>
      <c r="M2464" s="30"/>
      <c r="N2464" s="30"/>
      <c r="O2464" s="30"/>
      <c r="P2464" s="30"/>
      <c r="Q2464" s="30"/>
      <c r="R2464" s="30"/>
      <c r="S2464" s="30"/>
      <c r="T2464" s="30"/>
      <c r="U2464" s="30"/>
      <c r="V2464" s="30"/>
      <c r="W2464" s="30"/>
      <c r="X2464" s="30"/>
      <c r="Y2464" s="30"/>
      <c r="Z2464" s="30"/>
      <c r="AA2464" s="30"/>
    </row>
    <row r="2465">
      <c r="A2465" s="29">
        <v>2142404.0</v>
      </c>
      <c r="B2465" s="29">
        <v>2141874.0</v>
      </c>
      <c r="C2465" s="30" t="str">
        <f t="shared" si="1"/>
        <v>-</v>
      </c>
      <c r="D2465" s="29">
        <f t="shared" si="2"/>
        <v>835</v>
      </c>
      <c r="E2465" s="30"/>
      <c r="F2465" s="30"/>
      <c r="G2465" s="30"/>
      <c r="H2465" s="30"/>
      <c r="I2465" s="30"/>
      <c r="J2465" s="30"/>
      <c r="K2465" s="30"/>
      <c r="L2465" s="30"/>
      <c r="M2465" s="30"/>
      <c r="N2465" s="30"/>
      <c r="O2465" s="30"/>
      <c r="P2465" s="30"/>
      <c r="Q2465" s="30"/>
      <c r="R2465" s="30"/>
      <c r="S2465" s="30"/>
      <c r="T2465" s="30"/>
      <c r="U2465" s="30"/>
      <c r="V2465" s="30"/>
      <c r="W2465" s="30"/>
      <c r="X2465" s="30"/>
      <c r="Y2465" s="30"/>
      <c r="Z2465" s="30"/>
      <c r="AA2465" s="30"/>
    </row>
    <row r="2466">
      <c r="A2466" s="29">
        <v>2143318.0</v>
      </c>
      <c r="B2466" s="29">
        <v>2142407.0</v>
      </c>
      <c r="C2466" s="30" t="str">
        <f t="shared" si="1"/>
        <v>-</v>
      </c>
      <c r="D2466" s="29">
        <f t="shared" si="2"/>
        <v>835</v>
      </c>
      <c r="E2466" s="30"/>
      <c r="F2466" s="30"/>
      <c r="G2466" s="30"/>
      <c r="H2466" s="30"/>
      <c r="I2466" s="30"/>
      <c r="J2466" s="30"/>
      <c r="K2466" s="30"/>
      <c r="L2466" s="30"/>
      <c r="M2466" s="30"/>
      <c r="N2466" s="30"/>
      <c r="O2466" s="30"/>
      <c r="P2466" s="30"/>
      <c r="Q2466" s="30"/>
      <c r="R2466" s="30"/>
      <c r="S2466" s="30"/>
      <c r="T2466" s="30"/>
      <c r="U2466" s="30"/>
      <c r="V2466" s="30"/>
      <c r="W2466" s="30"/>
      <c r="X2466" s="30"/>
      <c r="Y2466" s="30"/>
      <c r="Z2466" s="30"/>
      <c r="AA2466" s="30"/>
    </row>
    <row r="2467">
      <c r="A2467" s="29">
        <v>2143536.0</v>
      </c>
      <c r="B2467" s="29">
        <v>2144135.0</v>
      </c>
      <c r="C2467" s="30" t="str">
        <f t="shared" si="1"/>
        <v>+</v>
      </c>
      <c r="D2467" s="29">
        <f t="shared" si="2"/>
        <v>836</v>
      </c>
      <c r="E2467" s="30"/>
      <c r="F2467" s="30"/>
      <c r="G2467" s="30"/>
      <c r="H2467" s="30"/>
      <c r="I2467" s="30"/>
      <c r="J2467" s="30"/>
      <c r="K2467" s="30"/>
      <c r="L2467" s="30"/>
      <c r="M2467" s="30"/>
      <c r="N2467" s="30"/>
      <c r="O2467" s="30"/>
      <c r="P2467" s="30"/>
      <c r="Q2467" s="30"/>
      <c r="R2467" s="30"/>
      <c r="S2467" s="30"/>
      <c r="T2467" s="30"/>
      <c r="U2467" s="30"/>
      <c r="V2467" s="30"/>
      <c r="W2467" s="30"/>
      <c r="X2467" s="30"/>
      <c r="Y2467" s="30"/>
      <c r="Z2467" s="30"/>
      <c r="AA2467" s="30"/>
    </row>
    <row r="2468">
      <c r="A2468" s="29">
        <v>2145364.0</v>
      </c>
      <c r="B2468" s="29">
        <v>2144132.0</v>
      </c>
      <c r="C2468" s="30" t="str">
        <f t="shared" si="1"/>
        <v>-</v>
      </c>
      <c r="D2468" s="29">
        <f t="shared" si="2"/>
        <v>837</v>
      </c>
      <c r="E2468" s="30"/>
      <c r="F2468" s="30"/>
      <c r="G2468" s="30"/>
      <c r="H2468" s="30"/>
      <c r="I2468" s="30"/>
      <c r="J2468" s="30"/>
      <c r="K2468" s="30"/>
      <c r="L2468" s="30"/>
      <c r="M2468" s="30"/>
      <c r="N2468" s="30"/>
      <c r="O2468" s="30"/>
      <c r="P2468" s="30"/>
      <c r="Q2468" s="30"/>
      <c r="R2468" s="30"/>
      <c r="S2468" s="30"/>
      <c r="T2468" s="30"/>
      <c r="U2468" s="30"/>
      <c r="V2468" s="30"/>
      <c r="W2468" s="30"/>
      <c r="X2468" s="30"/>
      <c r="Y2468" s="30"/>
      <c r="Z2468" s="30"/>
      <c r="AA2468" s="30"/>
    </row>
    <row r="2469">
      <c r="A2469" s="29">
        <v>2145365.0</v>
      </c>
      <c r="B2469" s="29">
        <v>2146651.0</v>
      </c>
      <c r="C2469" s="30" t="str">
        <f t="shared" si="1"/>
        <v>+</v>
      </c>
      <c r="D2469" s="29">
        <f t="shared" si="2"/>
        <v>838</v>
      </c>
      <c r="E2469" s="30"/>
      <c r="F2469" s="30"/>
      <c r="G2469" s="30"/>
      <c r="H2469" s="30"/>
      <c r="I2469" s="30"/>
      <c r="J2469" s="30"/>
      <c r="K2469" s="30"/>
      <c r="L2469" s="30"/>
      <c r="M2469" s="30"/>
      <c r="N2469" s="30"/>
      <c r="O2469" s="30"/>
      <c r="P2469" s="30"/>
      <c r="Q2469" s="30"/>
      <c r="R2469" s="30"/>
      <c r="S2469" s="30"/>
      <c r="T2469" s="30"/>
      <c r="U2469" s="30"/>
      <c r="V2469" s="30"/>
      <c r="W2469" s="30"/>
      <c r="X2469" s="30"/>
      <c r="Y2469" s="30"/>
      <c r="Z2469" s="30"/>
      <c r="AA2469" s="30"/>
    </row>
    <row r="2470">
      <c r="A2470" s="29">
        <v>2148039.0</v>
      </c>
      <c r="B2470" s="29">
        <v>2146636.0</v>
      </c>
      <c r="C2470" s="30" t="str">
        <f t="shared" si="1"/>
        <v>-</v>
      </c>
      <c r="D2470" s="29">
        <f t="shared" si="2"/>
        <v>839</v>
      </c>
      <c r="E2470" s="30"/>
      <c r="F2470" s="30"/>
      <c r="G2470" s="30"/>
      <c r="H2470" s="30"/>
      <c r="I2470" s="30"/>
      <c r="J2470" s="30"/>
      <c r="K2470" s="30"/>
      <c r="L2470" s="30"/>
      <c r="M2470" s="30"/>
      <c r="N2470" s="30"/>
      <c r="O2470" s="30"/>
      <c r="P2470" s="30"/>
      <c r="Q2470" s="30"/>
      <c r="R2470" s="30"/>
      <c r="S2470" s="30"/>
      <c r="T2470" s="30"/>
      <c r="U2470" s="30"/>
      <c r="V2470" s="30"/>
      <c r="W2470" s="30"/>
      <c r="X2470" s="30"/>
      <c r="Y2470" s="30"/>
      <c r="Z2470" s="30"/>
      <c r="AA2470" s="30"/>
    </row>
    <row r="2471">
      <c r="A2471" s="29">
        <v>2148157.0</v>
      </c>
      <c r="B2471" s="29">
        <v>2148714.0</v>
      </c>
      <c r="C2471" s="30" t="str">
        <f t="shared" si="1"/>
        <v>+</v>
      </c>
      <c r="D2471" s="29">
        <f t="shared" si="2"/>
        <v>840</v>
      </c>
      <c r="E2471" s="30"/>
      <c r="F2471" s="30"/>
      <c r="G2471" s="30"/>
      <c r="H2471" s="30"/>
      <c r="I2471" s="30"/>
      <c r="J2471" s="30"/>
      <c r="K2471" s="30"/>
      <c r="L2471" s="30"/>
      <c r="M2471" s="30"/>
      <c r="N2471" s="30"/>
      <c r="O2471" s="30"/>
      <c r="P2471" s="30"/>
      <c r="Q2471" s="30"/>
      <c r="R2471" s="30"/>
      <c r="S2471" s="30"/>
      <c r="T2471" s="30"/>
      <c r="U2471" s="30"/>
      <c r="V2471" s="30"/>
      <c r="W2471" s="30"/>
      <c r="X2471" s="30"/>
      <c r="Y2471" s="30"/>
      <c r="Z2471" s="30"/>
      <c r="AA2471" s="30"/>
    </row>
    <row r="2472">
      <c r="A2472" s="29">
        <v>2149289.0</v>
      </c>
      <c r="B2472" s="29">
        <v>2148816.0</v>
      </c>
      <c r="C2472" s="30" t="str">
        <f t="shared" si="1"/>
        <v>-</v>
      </c>
      <c r="D2472" s="29">
        <f t="shared" si="2"/>
        <v>841</v>
      </c>
      <c r="E2472" s="30"/>
      <c r="F2472" s="30"/>
      <c r="G2472" s="30"/>
      <c r="H2472" s="30"/>
      <c r="I2472" s="30"/>
      <c r="J2472" s="30"/>
      <c r="K2472" s="30"/>
      <c r="L2472" s="30"/>
      <c r="M2472" s="30"/>
      <c r="N2472" s="30"/>
      <c r="O2472" s="30"/>
      <c r="P2472" s="30"/>
      <c r="Q2472" s="30"/>
      <c r="R2472" s="30"/>
      <c r="S2472" s="30"/>
      <c r="T2472" s="30"/>
      <c r="U2472" s="30"/>
      <c r="V2472" s="30"/>
      <c r="W2472" s="30"/>
      <c r="X2472" s="30"/>
      <c r="Y2472" s="30"/>
      <c r="Z2472" s="30"/>
      <c r="AA2472" s="30"/>
    </row>
    <row r="2473">
      <c r="A2473" s="29">
        <v>2150097.0</v>
      </c>
      <c r="B2473" s="29">
        <v>2149312.0</v>
      </c>
      <c r="C2473" s="30" t="str">
        <f t="shared" si="1"/>
        <v>-</v>
      </c>
      <c r="D2473" s="29">
        <f t="shared" si="2"/>
        <v>841</v>
      </c>
      <c r="E2473" s="30"/>
      <c r="F2473" s="30"/>
      <c r="G2473" s="30"/>
      <c r="H2473" s="30"/>
      <c r="I2473" s="30"/>
      <c r="J2473" s="30"/>
      <c r="K2473" s="30"/>
      <c r="L2473" s="30"/>
      <c r="M2473" s="30"/>
      <c r="N2473" s="30"/>
      <c r="O2473" s="30"/>
      <c r="P2473" s="30"/>
      <c r="Q2473" s="30"/>
      <c r="R2473" s="30"/>
      <c r="S2473" s="30"/>
      <c r="T2473" s="30"/>
      <c r="U2473" s="30"/>
      <c r="V2473" s="30"/>
      <c r="W2473" s="30"/>
      <c r="X2473" s="30"/>
      <c r="Y2473" s="30"/>
      <c r="Z2473" s="30"/>
      <c r="AA2473" s="30"/>
    </row>
    <row r="2474">
      <c r="A2474" s="29">
        <v>2150136.0</v>
      </c>
      <c r="B2474" s="29">
        <v>2150735.0</v>
      </c>
      <c r="C2474" s="30" t="str">
        <f t="shared" si="1"/>
        <v>+</v>
      </c>
      <c r="D2474" s="29">
        <f t="shared" si="2"/>
        <v>842</v>
      </c>
      <c r="E2474" s="30"/>
      <c r="F2474" s="30"/>
      <c r="G2474" s="30"/>
      <c r="H2474" s="30"/>
      <c r="I2474" s="30"/>
      <c r="J2474" s="30"/>
      <c r="K2474" s="30"/>
      <c r="L2474" s="30"/>
      <c r="M2474" s="30"/>
      <c r="N2474" s="30"/>
      <c r="O2474" s="30"/>
      <c r="P2474" s="30"/>
      <c r="Q2474" s="30"/>
      <c r="R2474" s="30"/>
      <c r="S2474" s="30"/>
      <c r="T2474" s="30"/>
      <c r="U2474" s="30"/>
      <c r="V2474" s="30"/>
      <c r="W2474" s="30"/>
      <c r="X2474" s="30"/>
      <c r="Y2474" s="30"/>
      <c r="Z2474" s="30"/>
      <c r="AA2474" s="30"/>
    </row>
    <row r="2475">
      <c r="A2475" s="29">
        <v>2150759.0</v>
      </c>
      <c r="B2475" s="29">
        <v>2150923.0</v>
      </c>
      <c r="C2475" s="30" t="str">
        <f t="shared" si="1"/>
        <v>+</v>
      </c>
      <c r="D2475" s="29">
        <f t="shared" si="2"/>
        <v>842</v>
      </c>
      <c r="E2475" s="30"/>
      <c r="F2475" s="30"/>
      <c r="G2475" s="30"/>
      <c r="H2475" s="30"/>
      <c r="I2475" s="30"/>
      <c r="J2475" s="30"/>
      <c r="K2475" s="30"/>
      <c r="L2475" s="30"/>
      <c r="M2475" s="30"/>
      <c r="N2475" s="30"/>
      <c r="O2475" s="30"/>
      <c r="P2475" s="30"/>
      <c r="Q2475" s="30"/>
      <c r="R2475" s="30"/>
      <c r="S2475" s="30"/>
      <c r="T2475" s="30"/>
      <c r="U2475" s="30"/>
      <c r="V2475" s="30"/>
      <c r="W2475" s="30"/>
      <c r="X2475" s="30"/>
      <c r="Y2475" s="30"/>
      <c r="Z2475" s="30"/>
      <c r="AA2475" s="30"/>
    </row>
    <row r="2476">
      <c r="A2476" s="29">
        <v>2150930.0</v>
      </c>
      <c r="B2476" s="29">
        <v>2151196.0</v>
      </c>
      <c r="C2476" s="30" t="str">
        <f t="shared" si="1"/>
        <v>+</v>
      </c>
      <c r="D2476" s="29">
        <f t="shared" si="2"/>
        <v>842</v>
      </c>
      <c r="E2476" s="30"/>
      <c r="F2476" s="30"/>
      <c r="G2476" s="30"/>
      <c r="H2476" s="30"/>
      <c r="I2476" s="30"/>
      <c r="J2476" s="30"/>
      <c r="K2476" s="30"/>
      <c r="L2476" s="30"/>
      <c r="M2476" s="30"/>
      <c r="N2476" s="30"/>
      <c r="O2476" s="30"/>
      <c r="P2476" s="30"/>
      <c r="Q2476" s="30"/>
      <c r="R2476" s="30"/>
      <c r="S2476" s="30"/>
      <c r="T2476" s="30"/>
      <c r="U2476" s="30"/>
      <c r="V2476" s="30"/>
      <c r="W2476" s="30"/>
      <c r="X2476" s="30"/>
      <c r="Y2476" s="30"/>
      <c r="Z2476" s="30"/>
      <c r="AA2476" s="30"/>
    </row>
    <row r="2477">
      <c r="A2477" s="29">
        <v>2152226.0</v>
      </c>
      <c r="B2477" s="29">
        <v>2151198.0</v>
      </c>
      <c r="C2477" s="30" t="str">
        <f t="shared" si="1"/>
        <v>-</v>
      </c>
      <c r="D2477" s="29">
        <f t="shared" si="2"/>
        <v>843</v>
      </c>
      <c r="E2477" s="30"/>
      <c r="F2477" s="30"/>
      <c r="G2477" s="30"/>
      <c r="H2477" s="30"/>
      <c r="I2477" s="30"/>
      <c r="J2477" s="30"/>
      <c r="K2477" s="30"/>
      <c r="L2477" s="30"/>
      <c r="M2477" s="30"/>
      <c r="N2477" s="30"/>
      <c r="O2477" s="30"/>
      <c r="P2477" s="30"/>
      <c r="Q2477" s="30"/>
      <c r="R2477" s="30"/>
      <c r="S2477" s="30"/>
      <c r="T2477" s="30"/>
      <c r="U2477" s="30"/>
      <c r="V2477" s="30"/>
      <c r="W2477" s="30"/>
      <c r="X2477" s="30"/>
      <c r="Y2477" s="30"/>
      <c r="Z2477" s="30"/>
      <c r="AA2477" s="30"/>
    </row>
    <row r="2478">
      <c r="A2478" s="29">
        <v>2152540.0</v>
      </c>
      <c r="B2478" s="29">
        <v>2152223.0</v>
      </c>
      <c r="C2478" s="30" t="str">
        <f t="shared" si="1"/>
        <v>-</v>
      </c>
      <c r="D2478" s="29">
        <f t="shared" si="2"/>
        <v>843</v>
      </c>
      <c r="E2478" s="30"/>
      <c r="F2478" s="30"/>
      <c r="G2478" s="30"/>
      <c r="H2478" s="30"/>
      <c r="I2478" s="30"/>
      <c r="J2478" s="30"/>
      <c r="K2478" s="30"/>
      <c r="L2478" s="30"/>
      <c r="M2478" s="30"/>
      <c r="N2478" s="30"/>
      <c r="O2478" s="30"/>
      <c r="P2478" s="30"/>
      <c r="Q2478" s="30"/>
      <c r="R2478" s="30"/>
      <c r="S2478" s="30"/>
      <c r="T2478" s="30"/>
      <c r="U2478" s="30"/>
      <c r="V2478" s="30"/>
      <c r="W2478" s="30"/>
      <c r="X2478" s="30"/>
      <c r="Y2478" s="30"/>
      <c r="Z2478" s="30"/>
      <c r="AA2478" s="30"/>
    </row>
    <row r="2479">
      <c r="A2479" s="29">
        <v>2153542.0</v>
      </c>
      <c r="B2479" s="29">
        <v>2154825.0</v>
      </c>
      <c r="C2479" s="30" t="str">
        <f t="shared" si="1"/>
        <v>+</v>
      </c>
      <c r="D2479" s="29">
        <f t="shared" si="2"/>
        <v>844</v>
      </c>
      <c r="E2479" s="30"/>
      <c r="F2479" s="30"/>
      <c r="G2479" s="30"/>
      <c r="H2479" s="30"/>
      <c r="I2479" s="30"/>
      <c r="J2479" s="30"/>
      <c r="K2479" s="30"/>
      <c r="L2479" s="30"/>
      <c r="M2479" s="30"/>
      <c r="N2479" s="30"/>
      <c r="O2479" s="30"/>
      <c r="P2479" s="30"/>
      <c r="Q2479" s="30"/>
      <c r="R2479" s="30"/>
      <c r="S2479" s="30"/>
      <c r="T2479" s="30"/>
      <c r="U2479" s="30"/>
      <c r="V2479" s="30"/>
      <c r="W2479" s="30"/>
      <c r="X2479" s="30"/>
      <c r="Y2479" s="30"/>
      <c r="Z2479" s="30"/>
      <c r="AA2479" s="30"/>
    </row>
    <row r="2480">
      <c r="A2480" s="29">
        <v>2154877.0</v>
      </c>
      <c r="B2480" s="29">
        <v>2155050.0</v>
      </c>
      <c r="C2480" s="30" t="str">
        <f t="shared" si="1"/>
        <v>+</v>
      </c>
      <c r="D2480" s="29">
        <f t="shared" si="2"/>
        <v>844</v>
      </c>
      <c r="E2480" s="30"/>
      <c r="F2480" s="30"/>
      <c r="G2480" s="30"/>
      <c r="H2480" s="30"/>
      <c r="I2480" s="30"/>
      <c r="J2480" s="30"/>
      <c r="K2480" s="30"/>
      <c r="L2480" s="30"/>
      <c r="M2480" s="30"/>
      <c r="N2480" s="30"/>
      <c r="O2480" s="30"/>
      <c r="P2480" s="30"/>
      <c r="Q2480" s="30"/>
      <c r="R2480" s="30"/>
      <c r="S2480" s="30"/>
      <c r="T2480" s="30"/>
      <c r="U2480" s="30"/>
      <c r="V2480" s="30"/>
      <c r="W2480" s="30"/>
      <c r="X2480" s="30"/>
      <c r="Y2480" s="30"/>
      <c r="Z2480" s="30"/>
      <c r="AA2480" s="30"/>
    </row>
    <row r="2481">
      <c r="A2481" s="29">
        <v>2156235.0</v>
      </c>
      <c r="B2481" s="29">
        <v>2155591.0</v>
      </c>
      <c r="C2481" s="30" t="str">
        <f t="shared" si="1"/>
        <v>-</v>
      </c>
      <c r="D2481" s="29">
        <f t="shared" si="2"/>
        <v>845</v>
      </c>
      <c r="E2481" s="30"/>
      <c r="F2481" s="30"/>
      <c r="G2481" s="30"/>
      <c r="H2481" s="30"/>
      <c r="I2481" s="30"/>
      <c r="J2481" s="30"/>
      <c r="K2481" s="30"/>
      <c r="L2481" s="30"/>
      <c r="M2481" s="30"/>
      <c r="N2481" s="30"/>
      <c r="O2481" s="30"/>
      <c r="P2481" s="30"/>
      <c r="Q2481" s="30"/>
      <c r="R2481" s="30"/>
      <c r="S2481" s="30"/>
      <c r="T2481" s="30"/>
      <c r="U2481" s="30"/>
      <c r="V2481" s="30"/>
      <c r="W2481" s="30"/>
      <c r="X2481" s="30"/>
      <c r="Y2481" s="30"/>
      <c r="Z2481" s="30"/>
      <c r="AA2481" s="30"/>
    </row>
    <row r="2482">
      <c r="A2482" s="29">
        <v>2156279.0</v>
      </c>
      <c r="B2482" s="29">
        <v>2156506.0</v>
      </c>
      <c r="C2482" s="30" t="str">
        <f t="shared" si="1"/>
        <v>+</v>
      </c>
      <c r="D2482" s="29">
        <f t="shared" si="2"/>
        <v>846</v>
      </c>
      <c r="E2482" s="30"/>
      <c r="F2482" s="30"/>
      <c r="G2482" s="30"/>
      <c r="H2482" s="30"/>
      <c r="I2482" s="30"/>
      <c r="J2482" s="30"/>
      <c r="K2482" s="30"/>
      <c r="L2482" s="30"/>
      <c r="M2482" s="30"/>
      <c r="N2482" s="30"/>
      <c r="O2482" s="30"/>
      <c r="P2482" s="30"/>
      <c r="Q2482" s="30"/>
      <c r="R2482" s="30"/>
      <c r="S2482" s="30"/>
      <c r="T2482" s="30"/>
      <c r="U2482" s="30"/>
      <c r="V2482" s="30"/>
      <c r="W2482" s="30"/>
      <c r="X2482" s="30"/>
      <c r="Y2482" s="30"/>
      <c r="Z2482" s="30"/>
      <c r="AA2482" s="30"/>
    </row>
    <row r="2483">
      <c r="A2483" s="29">
        <v>2157623.0</v>
      </c>
      <c r="B2483" s="29">
        <v>2156490.0</v>
      </c>
      <c r="C2483" s="30" t="str">
        <f t="shared" si="1"/>
        <v>-</v>
      </c>
      <c r="D2483" s="29">
        <f t="shared" si="2"/>
        <v>847</v>
      </c>
      <c r="E2483" s="30"/>
      <c r="F2483" s="30"/>
      <c r="G2483" s="30"/>
      <c r="H2483" s="30"/>
      <c r="I2483" s="30"/>
      <c r="J2483" s="30"/>
      <c r="K2483" s="30"/>
      <c r="L2483" s="30"/>
      <c r="M2483" s="30"/>
      <c r="N2483" s="30"/>
      <c r="O2483" s="30"/>
      <c r="P2483" s="30"/>
      <c r="Q2483" s="30"/>
      <c r="R2483" s="30"/>
      <c r="S2483" s="30"/>
      <c r="T2483" s="30"/>
      <c r="U2483" s="30"/>
      <c r="V2483" s="30"/>
      <c r="W2483" s="30"/>
      <c r="X2483" s="30"/>
      <c r="Y2483" s="30"/>
      <c r="Z2483" s="30"/>
      <c r="AA2483" s="30"/>
    </row>
    <row r="2484">
      <c r="A2484" s="29">
        <v>2157941.0</v>
      </c>
      <c r="B2484" s="29">
        <v>2157624.0</v>
      </c>
      <c r="C2484" s="30" t="str">
        <f t="shared" si="1"/>
        <v>-</v>
      </c>
      <c r="D2484" s="29">
        <f t="shared" si="2"/>
        <v>847</v>
      </c>
      <c r="E2484" s="30"/>
      <c r="F2484" s="30"/>
      <c r="G2484" s="30"/>
      <c r="H2484" s="30"/>
      <c r="I2484" s="30"/>
      <c r="J2484" s="30"/>
      <c r="K2484" s="30"/>
      <c r="L2484" s="30"/>
      <c r="M2484" s="30"/>
      <c r="N2484" s="30"/>
      <c r="O2484" s="30"/>
      <c r="P2484" s="30"/>
      <c r="Q2484" s="30"/>
      <c r="R2484" s="30"/>
      <c r="S2484" s="30"/>
      <c r="T2484" s="30"/>
      <c r="U2484" s="30"/>
      <c r="V2484" s="30"/>
      <c r="W2484" s="30"/>
      <c r="X2484" s="30"/>
      <c r="Y2484" s="30"/>
      <c r="Z2484" s="30"/>
      <c r="AA2484" s="30"/>
    </row>
    <row r="2485">
      <c r="A2485" s="29">
        <v>2159144.0</v>
      </c>
      <c r="B2485" s="29">
        <v>2158044.0</v>
      </c>
      <c r="C2485" s="30" t="str">
        <f t="shared" si="1"/>
        <v>-</v>
      </c>
      <c r="D2485" s="29">
        <f t="shared" si="2"/>
        <v>847</v>
      </c>
      <c r="E2485" s="30"/>
      <c r="F2485" s="30"/>
      <c r="G2485" s="30"/>
      <c r="H2485" s="30"/>
      <c r="I2485" s="30"/>
      <c r="J2485" s="30"/>
      <c r="K2485" s="30"/>
      <c r="L2485" s="30"/>
      <c r="M2485" s="30"/>
      <c r="N2485" s="30"/>
      <c r="O2485" s="30"/>
      <c r="P2485" s="30"/>
      <c r="Q2485" s="30"/>
      <c r="R2485" s="30"/>
      <c r="S2485" s="30"/>
      <c r="T2485" s="30"/>
      <c r="U2485" s="30"/>
      <c r="V2485" s="30"/>
      <c r="W2485" s="30"/>
      <c r="X2485" s="30"/>
      <c r="Y2485" s="30"/>
      <c r="Z2485" s="30"/>
      <c r="AA2485" s="30"/>
    </row>
    <row r="2486">
      <c r="A2486" s="29">
        <v>2159766.0</v>
      </c>
      <c r="B2486" s="29">
        <v>2159113.0</v>
      </c>
      <c r="C2486" s="30" t="str">
        <f t="shared" si="1"/>
        <v>-</v>
      </c>
      <c r="D2486" s="29">
        <f t="shared" si="2"/>
        <v>847</v>
      </c>
      <c r="E2486" s="30"/>
      <c r="F2486" s="30"/>
      <c r="G2486" s="30"/>
      <c r="H2486" s="30"/>
      <c r="I2486" s="30"/>
      <c r="J2486" s="30"/>
      <c r="K2486" s="30"/>
      <c r="L2486" s="30"/>
      <c r="M2486" s="30"/>
      <c r="N2486" s="30"/>
      <c r="O2486" s="30"/>
      <c r="P2486" s="30"/>
      <c r="Q2486" s="30"/>
      <c r="R2486" s="30"/>
      <c r="S2486" s="30"/>
      <c r="T2486" s="30"/>
      <c r="U2486" s="30"/>
      <c r="V2486" s="30"/>
      <c r="W2486" s="30"/>
      <c r="X2486" s="30"/>
      <c r="Y2486" s="30"/>
      <c r="Z2486" s="30"/>
      <c r="AA2486" s="30"/>
    </row>
    <row r="2487">
      <c r="A2487" s="29">
        <v>2160113.0</v>
      </c>
      <c r="B2487" s="29">
        <v>2159817.0</v>
      </c>
      <c r="C2487" s="30" t="str">
        <f t="shared" si="1"/>
        <v>-</v>
      </c>
      <c r="D2487" s="29">
        <f t="shared" si="2"/>
        <v>847</v>
      </c>
      <c r="E2487" s="30"/>
      <c r="F2487" s="30"/>
      <c r="G2487" s="30"/>
      <c r="H2487" s="30"/>
      <c r="I2487" s="30"/>
      <c r="J2487" s="30"/>
      <c r="K2487" s="30"/>
      <c r="L2487" s="30"/>
      <c r="M2487" s="30"/>
      <c r="N2487" s="30"/>
      <c r="O2487" s="30"/>
      <c r="P2487" s="30"/>
      <c r="Q2487" s="30"/>
      <c r="R2487" s="30"/>
      <c r="S2487" s="30"/>
      <c r="T2487" s="30"/>
      <c r="U2487" s="30"/>
      <c r="V2487" s="30"/>
      <c r="W2487" s="30"/>
      <c r="X2487" s="30"/>
      <c r="Y2487" s="30"/>
      <c r="Z2487" s="30"/>
      <c r="AA2487" s="30"/>
    </row>
    <row r="2488">
      <c r="A2488" s="29">
        <v>2161279.0</v>
      </c>
      <c r="B2488" s="29">
        <v>2160110.0</v>
      </c>
      <c r="C2488" s="30" t="str">
        <f t="shared" si="1"/>
        <v>-</v>
      </c>
      <c r="D2488" s="29">
        <f t="shared" si="2"/>
        <v>847</v>
      </c>
      <c r="E2488" s="30"/>
      <c r="F2488" s="30"/>
      <c r="G2488" s="30"/>
      <c r="H2488" s="30"/>
      <c r="I2488" s="30"/>
      <c r="J2488" s="30"/>
      <c r="K2488" s="30"/>
      <c r="L2488" s="30"/>
      <c r="M2488" s="30"/>
      <c r="N2488" s="30"/>
      <c r="O2488" s="30"/>
      <c r="P2488" s="30"/>
      <c r="Q2488" s="30"/>
      <c r="R2488" s="30"/>
      <c r="S2488" s="30"/>
      <c r="T2488" s="30"/>
      <c r="U2488" s="30"/>
      <c r="V2488" s="30"/>
      <c r="W2488" s="30"/>
      <c r="X2488" s="30"/>
      <c r="Y2488" s="30"/>
      <c r="Z2488" s="30"/>
      <c r="AA2488" s="30"/>
    </row>
    <row r="2489">
      <c r="A2489" s="29">
        <v>2161556.0</v>
      </c>
      <c r="B2489" s="29">
        <v>2161344.0</v>
      </c>
      <c r="C2489" s="30" t="str">
        <f t="shared" si="1"/>
        <v>-</v>
      </c>
      <c r="D2489" s="29">
        <f t="shared" si="2"/>
        <v>847</v>
      </c>
      <c r="E2489" s="30"/>
      <c r="F2489" s="30"/>
      <c r="G2489" s="30"/>
      <c r="H2489" s="30"/>
      <c r="I2489" s="30"/>
      <c r="J2489" s="30"/>
      <c r="K2489" s="30"/>
      <c r="L2489" s="30"/>
      <c r="M2489" s="30"/>
      <c r="N2489" s="30"/>
      <c r="O2489" s="30"/>
      <c r="P2489" s="30"/>
      <c r="Q2489" s="30"/>
      <c r="R2489" s="30"/>
      <c r="S2489" s="30"/>
      <c r="T2489" s="30"/>
      <c r="U2489" s="30"/>
      <c r="V2489" s="30"/>
      <c r="W2489" s="30"/>
      <c r="X2489" s="30"/>
      <c r="Y2489" s="30"/>
      <c r="Z2489" s="30"/>
      <c r="AA2489" s="30"/>
    </row>
    <row r="2490">
      <c r="A2490" s="29">
        <v>2162925.0</v>
      </c>
      <c r="B2490" s="29">
        <v>2161657.0</v>
      </c>
      <c r="C2490" s="30" t="str">
        <f t="shared" si="1"/>
        <v>-</v>
      </c>
      <c r="D2490" s="29">
        <f t="shared" si="2"/>
        <v>847</v>
      </c>
      <c r="E2490" s="30"/>
      <c r="F2490" s="30"/>
      <c r="G2490" s="30"/>
      <c r="H2490" s="30"/>
      <c r="I2490" s="30"/>
      <c r="J2490" s="30"/>
      <c r="K2490" s="30"/>
      <c r="L2490" s="30"/>
      <c r="M2490" s="30"/>
      <c r="N2490" s="30"/>
      <c r="O2490" s="30"/>
      <c r="P2490" s="30"/>
      <c r="Q2490" s="30"/>
      <c r="R2490" s="30"/>
      <c r="S2490" s="30"/>
      <c r="T2490" s="30"/>
      <c r="U2490" s="30"/>
      <c r="V2490" s="30"/>
      <c r="W2490" s="30"/>
      <c r="X2490" s="30"/>
      <c r="Y2490" s="30"/>
      <c r="Z2490" s="30"/>
      <c r="AA2490" s="30"/>
    </row>
    <row r="2491">
      <c r="A2491" s="29">
        <v>2163915.0</v>
      </c>
      <c r="B2491" s="29">
        <v>2162926.0</v>
      </c>
      <c r="C2491" s="30" t="str">
        <f t="shared" si="1"/>
        <v>-</v>
      </c>
      <c r="D2491" s="29">
        <f t="shared" si="2"/>
        <v>847</v>
      </c>
      <c r="E2491" s="30"/>
      <c r="F2491" s="30"/>
      <c r="G2491" s="30"/>
      <c r="H2491" s="30"/>
      <c r="I2491" s="30"/>
      <c r="J2491" s="30"/>
      <c r="K2491" s="30"/>
      <c r="L2491" s="30"/>
      <c r="M2491" s="30"/>
      <c r="N2491" s="30"/>
      <c r="O2491" s="30"/>
      <c r="P2491" s="30"/>
      <c r="Q2491" s="30"/>
      <c r="R2491" s="30"/>
      <c r="S2491" s="30"/>
      <c r="T2491" s="30"/>
      <c r="U2491" s="30"/>
      <c r="V2491" s="30"/>
      <c r="W2491" s="30"/>
      <c r="X2491" s="30"/>
      <c r="Y2491" s="30"/>
      <c r="Z2491" s="30"/>
      <c r="AA2491" s="30"/>
    </row>
    <row r="2492">
      <c r="A2492" s="29">
        <v>2164616.0</v>
      </c>
      <c r="B2492" s="29">
        <v>2163945.0</v>
      </c>
      <c r="C2492" s="30" t="str">
        <f t="shared" si="1"/>
        <v>-</v>
      </c>
      <c r="D2492" s="29">
        <f t="shared" si="2"/>
        <v>847</v>
      </c>
      <c r="E2492" s="30"/>
      <c r="F2492" s="30"/>
      <c r="G2492" s="30"/>
      <c r="H2492" s="30"/>
      <c r="I2492" s="30"/>
      <c r="J2492" s="30"/>
      <c r="K2492" s="30"/>
      <c r="L2492" s="30"/>
      <c r="M2492" s="30"/>
      <c r="N2492" s="30"/>
      <c r="O2492" s="30"/>
      <c r="P2492" s="30"/>
      <c r="Q2492" s="30"/>
      <c r="R2492" s="30"/>
      <c r="S2492" s="30"/>
      <c r="T2492" s="30"/>
      <c r="U2492" s="30"/>
      <c r="V2492" s="30"/>
      <c r="W2492" s="30"/>
      <c r="X2492" s="30"/>
      <c r="Y2492" s="30"/>
      <c r="Z2492" s="30"/>
      <c r="AA2492" s="30"/>
    </row>
    <row r="2493">
      <c r="A2493" s="29">
        <v>2166591.0</v>
      </c>
      <c r="B2493" s="29">
        <v>2165797.0</v>
      </c>
      <c r="C2493" s="30" t="str">
        <f t="shared" si="1"/>
        <v>-</v>
      </c>
      <c r="D2493" s="29">
        <f t="shared" si="2"/>
        <v>847</v>
      </c>
      <c r="E2493" s="30"/>
      <c r="F2493" s="30"/>
      <c r="G2493" s="30"/>
      <c r="H2493" s="30"/>
      <c r="I2493" s="30"/>
      <c r="J2493" s="30"/>
      <c r="K2493" s="30"/>
      <c r="L2493" s="30"/>
      <c r="M2493" s="30"/>
      <c r="N2493" s="30"/>
      <c r="O2493" s="30"/>
      <c r="P2493" s="30"/>
      <c r="Q2493" s="30"/>
      <c r="R2493" s="30"/>
      <c r="S2493" s="30"/>
      <c r="T2493" s="30"/>
      <c r="U2493" s="30"/>
      <c r="V2493" s="30"/>
      <c r="W2493" s="30"/>
      <c r="X2493" s="30"/>
      <c r="Y2493" s="30"/>
      <c r="Z2493" s="30"/>
      <c r="AA2493" s="30"/>
    </row>
    <row r="2494">
      <c r="A2494" s="29">
        <v>2166884.0</v>
      </c>
      <c r="B2494" s="29">
        <v>2166594.0</v>
      </c>
      <c r="C2494" s="30" t="str">
        <f t="shared" si="1"/>
        <v>-</v>
      </c>
      <c r="D2494" s="29">
        <f t="shared" si="2"/>
        <v>847</v>
      </c>
      <c r="E2494" s="30"/>
      <c r="F2494" s="30"/>
      <c r="G2494" s="30"/>
      <c r="H2494" s="30"/>
      <c r="I2494" s="30"/>
      <c r="J2494" s="30"/>
      <c r="K2494" s="30"/>
      <c r="L2494" s="30"/>
      <c r="M2494" s="30"/>
      <c r="N2494" s="30"/>
      <c r="O2494" s="30"/>
      <c r="P2494" s="30"/>
      <c r="Q2494" s="30"/>
      <c r="R2494" s="30"/>
      <c r="S2494" s="30"/>
      <c r="T2494" s="30"/>
      <c r="U2494" s="30"/>
      <c r="V2494" s="30"/>
      <c r="W2494" s="30"/>
      <c r="X2494" s="30"/>
      <c r="Y2494" s="30"/>
      <c r="Z2494" s="30"/>
      <c r="AA2494" s="30"/>
    </row>
    <row r="2495">
      <c r="A2495" s="29">
        <v>2168155.0</v>
      </c>
      <c r="B2495" s="29">
        <v>2166881.0</v>
      </c>
      <c r="C2495" s="30" t="str">
        <f t="shared" si="1"/>
        <v>-</v>
      </c>
      <c r="D2495" s="29">
        <f t="shared" si="2"/>
        <v>847</v>
      </c>
      <c r="E2495" s="30"/>
      <c r="F2495" s="30"/>
      <c r="G2495" s="30"/>
      <c r="H2495" s="30"/>
      <c r="I2495" s="30"/>
      <c r="J2495" s="30"/>
      <c r="K2495" s="30"/>
      <c r="L2495" s="30"/>
      <c r="M2495" s="30"/>
      <c r="N2495" s="30"/>
      <c r="O2495" s="30"/>
      <c r="P2495" s="30"/>
      <c r="Q2495" s="30"/>
      <c r="R2495" s="30"/>
      <c r="S2495" s="30"/>
      <c r="T2495" s="30"/>
      <c r="U2495" s="30"/>
      <c r="V2495" s="30"/>
      <c r="W2495" s="30"/>
      <c r="X2495" s="30"/>
      <c r="Y2495" s="30"/>
      <c r="Z2495" s="30"/>
      <c r="AA2495" s="30"/>
    </row>
    <row r="2496">
      <c r="A2496" s="29">
        <v>2168351.0</v>
      </c>
      <c r="B2496" s="29">
        <v>2169037.0</v>
      </c>
      <c r="C2496" s="30" t="str">
        <f t="shared" si="1"/>
        <v>+</v>
      </c>
      <c r="D2496" s="29">
        <f t="shared" si="2"/>
        <v>848</v>
      </c>
      <c r="E2496" s="30"/>
      <c r="F2496" s="30"/>
      <c r="G2496" s="30"/>
      <c r="H2496" s="30"/>
      <c r="I2496" s="30"/>
      <c r="J2496" s="30"/>
      <c r="K2496" s="30"/>
      <c r="L2496" s="30"/>
      <c r="M2496" s="30"/>
      <c r="N2496" s="30"/>
      <c r="O2496" s="30"/>
      <c r="P2496" s="30"/>
      <c r="Q2496" s="30"/>
      <c r="R2496" s="30"/>
      <c r="S2496" s="30"/>
      <c r="T2496" s="30"/>
      <c r="U2496" s="30"/>
      <c r="V2496" s="30"/>
      <c r="W2496" s="30"/>
      <c r="X2496" s="30"/>
      <c r="Y2496" s="30"/>
      <c r="Z2496" s="30"/>
      <c r="AA2496" s="30"/>
    </row>
    <row r="2497">
      <c r="A2497" s="29">
        <v>2169093.0</v>
      </c>
      <c r="B2497" s="29">
        <v>2169206.0</v>
      </c>
      <c r="C2497" s="30" t="str">
        <f t="shared" si="1"/>
        <v>+</v>
      </c>
      <c r="D2497" s="29">
        <f t="shared" si="2"/>
        <v>848</v>
      </c>
      <c r="E2497" s="30"/>
      <c r="F2497" s="30"/>
      <c r="G2497" s="30"/>
      <c r="H2497" s="30"/>
      <c r="I2497" s="30"/>
      <c r="J2497" s="30"/>
      <c r="K2497" s="30"/>
      <c r="L2497" s="30"/>
      <c r="M2497" s="30"/>
      <c r="N2497" s="30"/>
      <c r="O2497" s="30"/>
      <c r="P2497" s="30"/>
      <c r="Q2497" s="30"/>
      <c r="R2497" s="30"/>
      <c r="S2497" s="30"/>
      <c r="T2497" s="30"/>
      <c r="U2497" s="30"/>
      <c r="V2497" s="30"/>
      <c r="W2497" s="30"/>
      <c r="X2497" s="30"/>
      <c r="Y2497" s="30"/>
      <c r="Z2497" s="30"/>
      <c r="AA2497" s="30"/>
    </row>
    <row r="2498">
      <c r="A2498" s="29">
        <v>2169583.0</v>
      </c>
      <c r="B2498" s="29">
        <v>2169203.0</v>
      </c>
      <c r="C2498" s="30" t="str">
        <f t="shared" si="1"/>
        <v>-</v>
      </c>
      <c r="D2498" s="29">
        <f t="shared" si="2"/>
        <v>849</v>
      </c>
      <c r="E2498" s="30"/>
      <c r="F2498" s="30"/>
      <c r="G2498" s="30"/>
      <c r="H2498" s="30"/>
      <c r="I2498" s="30"/>
      <c r="J2498" s="30"/>
      <c r="K2498" s="30"/>
      <c r="L2498" s="30"/>
      <c r="M2498" s="30"/>
      <c r="N2498" s="30"/>
      <c r="O2498" s="30"/>
      <c r="P2498" s="30"/>
      <c r="Q2498" s="30"/>
      <c r="R2498" s="30"/>
      <c r="S2498" s="30"/>
      <c r="T2498" s="30"/>
      <c r="U2498" s="30"/>
      <c r="V2498" s="30"/>
      <c r="W2498" s="30"/>
      <c r="X2498" s="30"/>
      <c r="Y2498" s="30"/>
      <c r="Z2498" s="30"/>
      <c r="AA2498" s="30"/>
    </row>
    <row r="2499">
      <c r="A2499" s="29">
        <v>2169645.0</v>
      </c>
      <c r="B2499" s="29">
        <v>2170421.0</v>
      </c>
      <c r="C2499" s="30" t="str">
        <f t="shared" si="1"/>
        <v>+</v>
      </c>
      <c r="D2499" s="29">
        <f t="shared" si="2"/>
        <v>850</v>
      </c>
      <c r="E2499" s="30"/>
      <c r="F2499" s="30"/>
      <c r="G2499" s="30"/>
      <c r="H2499" s="30"/>
      <c r="I2499" s="30"/>
      <c r="J2499" s="30"/>
      <c r="K2499" s="30"/>
      <c r="L2499" s="30"/>
      <c r="M2499" s="30"/>
      <c r="N2499" s="30"/>
      <c r="O2499" s="30"/>
      <c r="P2499" s="30"/>
      <c r="Q2499" s="30"/>
      <c r="R2499" s="30"/>
      <c r="S2499" s="30"/>
      <c r="T2499" s="30"/>
      <c r="U2499" s="30"/>
      <c r="V2499" s="30"/>
      <c r="W2499" s="30"/>
      <c r="X2499" s="30"/>
      <c r="Y2499" s="30"/>
      <c r="Z2499" s="30"/>
      <c r="AA2499" s="30"/>
    </row>
    <row r="2500">
      <c r="A2500" s="29">
        <v>2170619.0</v>
      </c>
      <c r="B2500" s="29">
        <v>2170942.0</v>
      </c>
      <c r="C2500" s="30" t="str">
        <f t="shared" si="1"/>
        <v>+</v>
      </c>
      <c r="D2500" s="29">
        <f t="shared" si="2"/>
        <v>850</v>
      </c>
      <c r="E2500" s="30"/>
      <c r="F2500" s="30"/>
      <c r="G2500" s="30"/>
      <c r="H2500" s="30"/>
      <c r="I2500" s="30"/>
      <c r="J2500" s="30"/>
      <c r="K2500" s="30"/>
      <c r="L2500" s="30"/>
      <c r="M2500" s="30"/>
      <c r="N2500" s="30"/>
      <c r="O2500" s="30"/>
      <c r="P2500" s="30"/>
      <c r="Q2500" s="30"/>
      <c r="R2500" s="30"/>
      <c r="S2500" s="30"/>
      <c r="T2500" s="30"/>
      <c r="U2500" s="30"/>
      <c r="V2500" s="30"/>
      <c r="W2500" s="30"/>
      <c r="X2500" s="30"/>
      <c r="Y2500" s="30"/>
      <c r="Z2500" s="30"/>
      <c r="AA2500" s="30"/>
    </row>
    <row r="2501">
      <c r="A2501" s="29">
        <v>2171057.0</v>
      </c>
      <c r="B2501" s="29">
        <v>2171275.0</v>
      </c>
      <c r="C2501" s="30" t="str">
        <f t="shared" si="1"/>
        <v>+</v>
      </c>
      <c r="D2501" s="29">
        <f t="shared" si="2"/>
        <v>850</v>
      </c>
      <c r="E2501" s="30"/>
      <c r="F2501" s="30"/>
      <c r="G2501" s="30"/>
      <c r="H2501" s="30"/>
      <c r="I2501" s="30"/>
      <c r="J2501" s="30"/>
      <c r="K2501" s="30"/>
      <c r="L2501" s="30"/>
      <c r="M2501" s="30"/>
      <c r="N2501" s="30"/>
      <c r="O2501" s="30"/>
      <c r="P2501" s="30"/>
      <c r="Q2501" s="30"/>
      <c r="R2501" s="30"/>
      <c r="S2501" s="30"/>
      <c r="T2501" s="30"/>
      <c r="U2501" s="30"/>
      <c r="V2501" s="30"/>
      <c r="W2501" s="30"/>
      <c r="X2501" s="30"/>
      <c r="Y2501" s="30"/>
      <c r="Z2501" s="30"/>
      <c r="AA2501" s="30"/>
    </row>
    <row r="2502">
      <c r="A2502" s="29">
        <v>2171343.0</v>
      </c>
      <c r="B2502" s="29">
        <v>2171552.0</v>
      </c>
      <c r="C2502" s="30" t="str">
        <f t="shared" si="1"/>
        <v>+</v>
      </c>
      <c r="D2502" s="29">
        <f t="shared" si="2"/>
        <v>850</v>
      </c>
      <c r="E2502" s="30"/>
      <c r="F2502" s="30"/>
      <c r="G2502" s="30"/>
      <c r="H2502" s="30"/>
      <c r="I2502" s="30"/>
      <c r="J2502" s="30"/>
      <c r="K2502" s="30"/>
      <c r="L2502" s="30"/>
      <c r="M2502" s="30"/>
      <c r="N2502" s="30"/>
      <c r="O2502" s="30"/>
      <c r="P2502" s="30"/>
      <c r="Q2502" s="30"/>
      <c r="R2502" s="30"/>
      <c r="S2502" s="30"/>
      <c r="T2502" s="30"/>
      <c r="U2502" s="30"/>
      <c r="V2502" s="30"/>
      <c r="W2502" s="30"/>
      <c r="X2502" s="30"/>
      <c r="Y2502" s="30"/>
      <c r="Z2502" s="30"/>
      <c r="AA2502" s="30"/>
    </row>
    <row r="2503">
      <c r="A2503" s="29">
        <v>2171611.0</v>
      </c>
      <c r="B2503" s="29">
        <v>2172381.0</v>
      </c>
      <c r="C2503" s="30" t="str">
        <f t="shared" si="1"/>
        <v>+</v>
      </c>
      <c r="D2503" s="29">
        <f t="shared" si="2"/>
        <v>850</v>
      </c>
      <c r="E2503" s="30"/>
      <c r="F2503" s="30"/>
      <c r="G2503" s="30"/>
      <c r="H2503" s="30"/>
      <c r="I2503" s="30"/>
      <c r="J2503" s="30"/>
      <c r="K2503" s="30"/>
      <c r="L2503" s="30"/>
      <c r="M2503" s="30"/>
      <c r="N2503" s="30"/>
      <c r="O2503" s="30"/>
      <c r="P2503" s="30"/>
      <c r="Q2503" s="30"/>
      <c r="R2503" s="30"/>
      <c r="S2503" s="30"/>
      <c r="T2503" s="30"/>
      <c r="U2503" s="30"/>
      <c r="V2503" s="30"/>
      <c r="W2503" s="30"/>
      <c r="X2503" s="30"/>
      <c r="Y2503" s="30"/>
      <c r="Z2503" s="30"/>
      <c r="AA2503" s="30"/>
    </row>
    <row r="2504">
      <c r="A2504" s="29">
        <v>2173276.0</v>
      </c>
      <c r="B2504" s="29">
        <v>2172854.0</v>
      </c>
      <c r="C2504" s="30" t="str">
        <f t="shared" si="1"/>
        <v>-</v>
      </c>
      <c r="D2504" s="29">
        <f t="shared" si="2"/>
        <v>851</v>
      </c>
      <c r="E2504" s="30"/>
      <c r="F2504" s="30"/>
      <c r="G2504" s="30"/>
      <c r="H2504" s="30"/>
      <c r="I2504" s="30"/>
      <c r="J2504" s="30"/>
      <c r="K2504" s="30"/>
      <c r="L2504" s="30"/>
      <c r="M2504" s="30"/>
      <c r="N2504" s="30"/>
      <c r="O2504" s="30"/>
      <c r="P2504" s="30"/>
      <c r="Q2504" s="30"/>
      <c r="R2504" s="30"/>
      <c r="S2504" s="30"/>
      <c r="T2504" s="30"/>
      <c r="U2504" s="30"/>
      <c r="V2504" s="30"/>
      <c r="W2504" s="30"/>
      <c r="X2504" s="30"/>
      <c r="Y2504" s="30"/>
      <c r="Z2504" s="30"/>
      <c r="AA2504" s="30"/>
    </row>
    <row r="2505">
      <c r="A2505" s="29">
        <v>2173986.0</v>
      </c>
      <c r="B2505" s="29">
        <v>2173273.0</v>
      </c>
      <c r="C2505" s="30" t="str">
        <f t="shared" si="1"/>
        <v>-</v>
      </c>
      <c r="D2505" s="29">
        <f t="shared" si="2"/>
        <v>851</v>
      </c>
      <c r="E2505" s="30"/>
      <c r="F2505" s="30"/>
      <c r="G2505" s="30"/>
      <c r="H2505" s="30"/>
      <c r="I2505" s="30"/>
      <c r="J2505" s="30"/>
      <c r="K2505" s="30"/>
      <c r="L2505" s="30"/>
      <c r="M2505" s="30"/>
      <c r="N2505" s="30"/>
      <c r="O2505" s="30"/>
      <c r="P2505" s="30"/>
      <c r="Q2505" s="30"/>
      <c r="R2505" s="30"/>
      <c r="S2505" s="30"/>
      <c r="T2505" s="30"/>
      <c r="U2505" s="30"/>
      <c r="V2505" s="30"/>
      <c r="W2505" s="30"/>
      <c r="X2505" s="30"/>
      <c r="Y2505" s="30"/>
      <c r="Z2505" s="30"/>
      <c r="AA2505" s="30"/>
    </row>
    <row r="2506">
      <c r="A2506" s="29">
        <v>2175733.0</v>
      </c>
      <c r="B2506" s="29">
        <v>2173988.0</v>
      </c>
      <c r="C2506" s="30" t="str">
        <f t="shared" si="1"/>
        <v>-</v>
      </c>
      <c r="D2506" s="29">
        <f t="shared" si="2"/>
        <v>851</v>
      </c>
      <c r="E2506" s="30"/>
      <c r="F2506" s="30"/>
      <c r="G2506" s="30"/>
      <c r="H2506" s="30"/>
      <c r="I2506" s="30"/>
      <c r="J2506" s="30"/>
      <c r="K2506" s="30"/>
      <c r="L2506" s="30"/>
      <c r="M2506" s="30"/>
      <c r="N2506" s="30"/>
      <c r="O2506" s="30"/>
      <c r="P2506" s="30"/>
      <c r="Q2506" s="30"/>
      <c r="R2506" s="30"/>
      <c r="S2506" s="30"/>
      <c r="T2506" s="30"/>
      <c r="U2506" s="30"/>
      <c r="V2506" s="30"/>
      <c r="W2506" s="30"/>
      <c r="X2506" s="30"/>
      <c r="Y2506" s="30"/>
      <c r="Z2506" s="30"/>
      <c r="AA2506" s="30"/>
    </row>
    <row r="2507">
      <c r="A2507" s="29">
        <v>2175841.0</v>
      </c>
      <c r="B2507" s="29">
        <v>2176440.0</v>
      </c>
      <c r="C2507" s="30" t="str">
        <f t="shared" si="1"/>
        <v>+</v>
      </c>
      <c r="D2507" s="29">
        <f t="shared" si="2"/>
        <v>852</v>
      </c>
      <c r="E2507" s="30"/>
      <c r="F2507" s="30"/>
      <c r="G2507" s="30"/>
      <c r="H2507" s="30"/>
      <c r="I2507" s="30"/>
      <c r="J2507" s="30"/>
      <c r="K2507" s="30"/>
      <c r="L2507" s="30"/>
      <c r="M2507" s="30"/>
      <c r="N2507" s="30"/>
      <c r="O2507" s="30"/>
      <c r="P2507" s="30"/>
      <c r="Q2507" s="30"/>
      <c r="R2507" s="30"/>
      <c r="S2507" s="30"/>
      <c r="T2507" s="30"/>
      <c r="U2507" s="30"/>
      <c r="V2507" s="30"/>
      <c r="W2507" s="30"/>
      <c r="X2507" s="30"/>
      <c r="Y2507" s="30"/>
      <c r="Z2507" s="30"/>
      <c r="AA2507" s="30"/>
    </row>
    <row r="2508">
      <c r="A2508" s="29">
        <v>2176474.0</v>
      </c>
      <c r="B2508" s="29">
        <v>2176911.0</v>
      </c>
      <c r="C2508" s="30" t="str">
        <f t="shared" si="1"/>
        <v>+</v>
      </c>
      <c r="D2508" s="29">
        <f t="shared" si="2"/>
        <v>852</v>
      </c>
      <c r="E2508" s="30"/>
      <c r="F2508" s="30"/>
      <c r="G2508" s="30"/>
      <c r="H2508" s="30"/>
      <c r="I2508" s="30"/>
      <c r="J2508" s="30"/>
      <c r="K2508" s="30"/>
      <c r="L2508" s="30"/>
      <c r="M2508" s="30"/>
      <c r="N2508" s="30"/>
      <c r="O2508" s="30"/>
      <c r="P2508" s="30"/>
      <c r="Q2508" s="30"/>
      <c r="R2508" s="30"/>
      <c r="S2508" s="30"/>
      <c r="T2508" s="30"/>
      <c r="U2508" s="30"/>
      <c r="V2508" s="30"/>
      <c r="W2508" s="30"/>
      <c r="X2508" s="30"/>
      <c r="Y2508" s="30"/>
      <c r="Z2508" s="30"/>
      <c r="AA2508" s="30"/>
    </row>
    <row r="2509">
      <c r="A2509" s="29">
        <v>2180416.0</v>
      </c>
      <c r="B2509" s="29">
        <v>2176904.0</v>
      </c>
      <c r="C2509" s="30" t="str">
        <f t="shared" si="1"/>
        <v>-</v>
      </c>
      <c r="D2509" s="29">
        <f t="shared" si="2"/>
        <v>853</v>
      </c>
      <c r="E2509" s="30"/>
      <c r="F2509" s="30"/>
      <c r="G2509" s="30"/>
      <c r="H2509" s="30"/>
      <c r="I2509" s="30"/>
      <c r="J2509" s="30"/>
      <c r="K2509" s="30"/>
      <c r="L2509" s="30"/>
      <c r="M2509" s="30"/>
      <c r="N2509" s="30"/>
      <c r="O2509" s="30"/>
      <c r="P2509" s="30"/>
      <c r="Q2509" s="30"/>
      <c r="R2509" s="30"/>
      <c r="S2509" s="30"/>
      <c r="T2509" s="30"/>
      <c r="U2509" s="30"/>
      <c r="V2509" s="30"/>
      <c r="W2509" s="30"/>
      <c r="X2509" s="30"/>
      <c r="Y2509" s="30"/>
      <c r="Z2509" s="30"/>
      <c r="AA2509" s="30"/>
    </row>
    <row r="2510">
      <c r="A2510" s="29">
        <v>2180682.0</v>
      </c>
      <c r="B2510" s="29">
        <v>2180479.0</v>
      </c>
      <c r="C2510" s="30" t="str">
        <f t="shared" si="1"/>
        <v>-</v>
      </c>
      <c r="D2510" s="29">
        <f t="shared" si="2"/>
        <v>853</v>
      </c>
      <c r="E2510" s="30"/>
      <c r="F2510" s="30"/>
      <c r="G2510" s="30"/>
      <c r="H2510" s="30"/>
      <c r="I2510" s="30"/>
      <c r="J2510" s="30"/>
      <c r="K2510" s="30"/>
      <c r="L2510" s="30"/>
      <c r="M2510" s="30"/>
      <c r="N2510" s="30"/>
      <c r="O2510" s="30"/>
      <c r="P2510" s="30"/>
      <c r="Q2510" s="30"/>
      <c r="R2510" s="30"/>
      <c r="S2510" s="30"/>
      <c r="T2510" s="30"/>
      <c r="U2510" s="30"/>
      <c r="V2510" s="30"/>
      <c r="W2510" s="30"/>
      <c r="X2510" s="30"/>
      <c r="Y2510" s="30"/>
      <c r="Z2510" s="30"/>
      <c r="AA2510" s="30"/>
    </row>
    <row r="2511">
      <c r="A2511" s="29">
        <v>2180752.0</v>
      </c>
      <c r="B2511" s="29">
        <v>2181108.0</v>
      </c>
      <c r="C2511" s="30" t="str">
        <f t="shared" si="1"/>
        <v>+</v>
      </c>
      <c r="D2511" s="29">
        <f t="shared" si="2"/>
        <v>854</v>
      </c>
      <c r="E2511" s="30"/>
      <c r="F2511" s="30"/>
      <c r="G2511" s="30"/>
      <c r="H2511" s="30"/>
      <c r="I2511" s="30"/>
      <c r="J2511" s="30"/>
      <c r="K2511" s="30"/>
      <c r="L2511" s="30"/>
      <c r="M2511" s="30"/>
      <c r="N2511" s="30"/>
      <c r="O2511" s="30"/>
      <c r="P2511" s="30"/>
      <c r="Q2511" s="30"/>
      <c r="R2511" s="30"/>
      <c r="S2511" s="30"/>
      <c r="T2511" s="30"/>
      <c r="U2511" s="30"/>
      <c r="V2511" s="30"/>
      <c r="W2511" s="30"/>
      <c r="X2511" s="30"/>
      <c r="Y2511" s="30"/>
      <c r="Z2511" s="30"/>
      <c r="AA2511" s="30"/>
    </row>
    <row r="2512">
      <c r="A2512" s="29">
        <v>2181137.0</v>
      </c>
      <c r="B2512" s="29">
        <v>2181331.0</v>
      </c>
      <c r="C2512" s="30" t="str">
        <f t="shared" si="1"/>
        <v>+</v>
      </c>
      <c r="D2512" s="29">
        <f t="shared" si="2"/>
        <v>854</v>
      </c>
      <c r="E2512" s="30"/>
      <c r="F2512" s="30"/>
      <c r="G2512" s="30"/>
      <c r="H2512" s="30"/>
      <c r="I2512" s="30"/>
      <c r="J2512" s="30"/>
      <c r="K2512" s="30"/>
      <c r="L2512" s="30"/>
      <c r="M2512" s="30"/>
      <c r="N2512" s="30"/>
      <c r="O2512" s="30"/>
      <c r="P2512" s="30"/>
      <c r="Q2512" s="30"/>
      <c r="R2512" s="30"/>
      <c r="S2512" s="30"/>
      <c r="T2512" s="30"/>
      <c r="U2512" s="30"/>
      <c r="V2512" s="30"/>
      <c r="W2512" s="30"/>
      <c r="X2512" s="30"/>
      <c r="Y2512" s="30"/>
      <c r="Z2512" s="30"/>
      <c r="AA2512" s="30"/>
    </row>
    <row r="2513">
      <c r="A2513" s="29">
        <v>2183052.0</v>
      </c>
      <c r="B2513" s="29">
        <v>2181355.0</v>
      </c>
      <c r="C2513" s="30" t="str">
        <f t="shared" si="1"/>
        <v>-</v>
      </c>
      <c r="D2513" s="29">
        <f t="shared" si="2"/>
        <v>855</v>
      </c>
      <c r="E2513" s="30"/>
      <c r="F2513" s="30"/>
      <c r="G2513" s="30"/>
      <c r="H2513" s="30"/>
      <c r="I2513" s="30"/>
      <c r="J2513" s="30"/>
      <c r="K2513" s="30"/>
      <c r="L2513" s="30"/>
      <c r="M2513" s="30"/>
      <c r="N2513" s="30"/>
      <c r="O2513" s="30"/>
      <c r="P2513" s="30"/>
      <c r="Q2513" s="30"/>
      <c r="R2513" s="30"/>
      <c r="S2513" s="30"/>
      <c r="T2513" s="30"/>
      <c r="U2513" s="30"/>
      <c r="V2513" s="30"/>
      <c r="W2513" s="30"/>
      <c r="X2513" s="30"/>
      <c r="Y2513" s="30"/>
      <c r="Z2513" s="30"/>
      <c r="AA2513" s="30"/>
    </row>
    <row r="2514">
      <c r="A2514" s="29">
        <v>2183099.0</v>
      </c>
      <c r="B2514" s="29">
        <v>2183620.0</v>
      </c>
      <c r="C2514" s="30" t="str">
        <f t="shared" si="1"/>
        <v>+</v>
      </c>
      <c r="D2514" s="29">
        <f t="shared" si="2"/>
        <v>856</v>
      </c>
      <c r="E2514" s="30"/>
      <c r="F2514" s="30"/>
      <c r="G2514" s="30"/>
      <c r="H2514" s="30"/>
      <c r="I2514" s="30"/>
      <c r="J2514" s="30"/>
      <c r="K2514" s="30"/>
      <c r="L2514" s="30"/>
      <c r="M2514" s="30"/>
      <c r="N2514" s="30"/>
      <c r="O2514" s="30"/>
      <c r="P2514" s="30"/>
      <c r="Q2514" s="30"/>
      <c r="R2514" s="30"/>
      <c r="S2514" s="30"/>
      <c r="T2514" s="30"/>
      <c r="U2514" s="30"/>
      <c r="V2514" s="30"/>
      <c r="W2514" s="30"/>
      <c r="X2514" s="30"/>
      <c r="Y2514" s="30"/>
      <c r="Z2514" s="30"/>
      <c r="AA2514" s="30"/>
    </row>
    <row r="2515">
      <c r="A2515" s="29">
        <v>2183648.0</v>
      </c>
      <c r="B2515" s="29">
        <v>2184934.0</v>
      </c>
      <c r="C2515" s="30" t="str">
        <f t="shared" si="1"/>
        <v>+</v>
      </c>
      <c r="D2515" s="29">
        <f t="shared" si="2"/>
        <v>856</v>
      </c>
      <c r="E2515" s="30"/>
      <c r="F2515" s="30"/>
      <c r="G2515" s="30"/>
      <c r="H2515" s="30"/>
      <c r="I2515" s="30"/>
      <c r="J2515" s="30"/>
      <c r="K2515" s="30"/>
      <c r="L2515" s="30"/>
      <c r="M2515" s="30"/>
      <c r="N2515" s="30"/>
      <c r="O2515" s="30"/>
      <c r="P2515" s="30"/>
      <c r="Q2515" s="30"/>
      <c r="R2515" s="30"/>
      <c r="S2515" s="30"/>
      <c r="T2515" s="30"/>
      <c r="U2515" s="30"/>
      <c r="V2515" s="30"/>
      <c r="W2515" s="30"/>
      <c r="X2515" s="30"/>
      <c r="Y2515" s="30"/>
      <c r="Z2515" s="30"/>
      <c r="AA2515" s="30"/>
    </row>
    <row r="2516">
      <c r="A2516" s="29">
        <v>2185552.0</v>
      </c>
      <c r="B2516" s="29">
        <v>2184935.0</v>
      </c>
      <c r="C2516" s="30" t="str">
        <f t="shared" si="1"/>
        <v>-</v>
      </c>
      <c r="D2516" s="29">
        <f t="shared" si="2"/>
        <v>857</v>
      </c>
      <c r="E2516" s="30"/>
      <c r="F2516" s="30"/>
      <c r="G2516" s="30"/>
      <c r="H2516" s="30"/>
      <c r="I2516" s="30"/>
      <c r="J2516" s="30"/>
      <c r="K2516" s="30"/>
      <c r="L2516" s="30"/>
      <c r="M2516" s="30"/>
      <c r="N2516" s="30"/>
      <c r="O2516" s="30"/>
      <c r="P2516" s="30"/>
      <c r="Q2516" s="30"/>
      <c r="R2516" s="30"/>
      <c r="S2516" s="30"/>
      <c r="T2516" s="30"/>
      <c r="U2516" s="30"/>
      <c r="V2516" s="30"/>
      <c r="W2516" s="30"/>
      <c r="X2516" s="30"/>
      <c r="Y2516" s="30"/>
      <c r="Z2516" s="30"/>
      <c r="AA2516" s="30"/>
    </row>
    <row r="2517">
      <c r="A2517" s="29">
        <v>2186594.0</v>
      </c>
      <c r="B2517" s="29">
        <v>2185554.0</v>
      </c>
      <c r="C2517" s="30" t="str">
        <f t="shared" si="1"/>
        <v>-</v>
      </c>
      <c r="D2517" s="29">
        <f t="shared" si="2"/>
        <v>857</v>
      </c>
      <c r="E2517" s="30"/>
      <c r="F2517" s="30"/>
      <c r="G2517" s="30"/>
      <c r="H2517" s="30"/>
      <c r="I2517" s="30"/>
      <c r="J2517" s="30"/>
      <c r="K2517" s="30"/>
      <c r="L2517" s="30"/>
      <c r="M2517" s="30"/>
      <c r="N2517" s="30"/>
      <c r="O2517" s="30"/>
      <c r="P2517" s="30"/>
      <c r="Q2517" s="30"/>
      <c r="R2517" s="30"/>
      <c r="S2517" s="30"/>
      <c r="T2517" s="30"/>
      <c r="U2517" s="30"/>
      <c r="V2517" s="30"/>
      <c r="W2517" s="30"/>
      <c r="X2517" s="30"/>
      <c r="Y2517" s="30"/>
      <c r="Z2517" s="30"/>
      <c r="AA2517" s="30"/>
    </row>
    <row r="2518">
      <c r="A2518" s="29">
        <v>2186842.0</v>
      </c>
      <c r="B2518" s="29">
        <v>2186621.0</v>
      </c>
      <c r="C2518" s="30" t="str">
        <f t="shared" si="1"/>
        <v>-</v>
      </c>
      <c r="D2518" s="29">
        <f t="shared" si="2"/>
        <v>857</v>
      </c>
      <c r="E2518" s="30"/>
      <c r="F2518" s="30"/>
      <c r="G2518" s="30"/>
      <c r="H2518" s="30"/>
      <c r="I2518" s="30"/>
      <c r="J2518" s="30"/>
      <c r="K2518" s="30"/>
      <c r="L2518" s="30"/>
      <c r="M2518" s="30"/>
      <c r="N2518" s="30"/>
      <c r="O2518" s="30"/>
      <c r="P2518" s="30"/>
      <c r="Q2518" s="30"/>
      <c r="R2518" s="30"/>
      <c r="S2518" s="30"/>
      <c r="T2518" s="30"/>
      <c r="U2518" s="30"/>
      <c r="V2518" s="30"/>
      <c r="W2518" s="30"/>
      <c r="X2518" s="30"/>
      <c r="Y2518" s="30"/>
      <c r="Z2518" s="30"/>
      <c r="AA2518" s="30"/>
    </row>
    <row r="2519">
      <c r="A2519" s="29">
        <v>2189034.0</v>
      </c>
      <c r="B2519" s="29">
        <v>2186839.0</v>
      </c>
      <c r="C2519" s="30" t="str">
        <f t="shared" si="1"/>
        <v>-</v>
      </c>
      <c r="D2519" s="29">
        <f t="shared" si="2"/>
        <v>857</v>
      </c>
      <c r="E2519" s="30"/>
      <c r="F2519" s="30"/>
      <c r="G2519" s="30"/>
      <c r="H2519" s="30"/>
      <c r="I2519" s="30"/>
      <c r="J2519" s="30"/>
      <c r="K2519" s="30"/>
      <c r="L2519" s="30"/>
      <c r="M2519" s="30"/>
      <c r="N2519" s="30"/>
      <c r="O2519" s="30"/>
      <c r="P2519" s="30"/>
      <c r="Q2519" s="30"/>
      <c r="R2519" s="30"/>
      <c r="S2519" s="30"/>
      <c r="T2519" s="30"/>
      <c r="U2519" s="30"/>
      <c r="V2519" s="30"/>
      <c r="W2519" s="30"/>
      <c r="X2519" s="30"/>
      <c r="Y2519" s="30"/>
      <c r="Z2519" s="30"/>
      <c r="AA2519" s="30"/>
    </row>
    <row r="2520">
      <c r="A2520" s="29">
        <v>2189347.0</v>
      </c>
      <c r="B2520" s="29">
        <v>2189069.0</v>
      </c>
      <c r="C2520" s="30" t="str">
        <f t="shared" si="1"/>
        <v>-</v>
      </c>
      <c r="D2520" s="29">
        <f t="shared" si="2"/>
        <v>857</v>
      </c>
      <c r="E2520" s="30"/>
      <c r="F2520" s="30"/>
      <c r="G2520" s="30"/>
      <c r="H2520" s="30"/>
      <c r="I2520" s="30"/>
      <c r="J2520" s="30"/>
      <c r="K2520" s="30"/>
      <c r="L2520" s="30"/>
      <c r="M2520" s="30"/>
      <c r="N2520" s="30"/>
      <c r="O2520" s="30"/>
      <c r="P2520" s="30"/>
      <c r="Q2520" s="30"/>
      <c r="R2520" s="30"/>
      <c r="S2520" s="30"/>
      <c r="T2520" s="30"/>
      <c r="U2520" s="30"/>
      <c r="V2520" s="30"/>
      <c r="W2520" s="30"/>
      <c r="X2520" s="30"/>
      <c r="Y2520" s="30"/>
      <c r="Z2520" s="30"/>
      <c r="AA2520" s="30"/>
    </row>
    <row r="2521">
      <c r="A2521" s="29">
        <v>2189805.0</v>
      </c>
      <c r="B2521" s="29">
        <v>2190107.0</v>
      </c>
      <c r="C2521" s="30" t="str">
        <f t="shared" si="1"/>
        <v>+</v>
      </c>
      <c r="D2521" s="29">
        <f t="shared" si="2"/>
        <v>858</v>
      </c>
      <c r="E2521" s="30"/>
      <c r="F2521" s="30"/>
      <c r="G2521" s="30"/>
      <c r="H2521" s="30"/>
      <c r="I2521" s="30"/>
      <c r="J2521" s="30"/>
      <c r="K2521" s="30"/>
      <c r="L2521" s="30"/>
      <c r="M2521" s="30"/>
      <c r="N2521" s="30"/>
      <c r="O2521" s="30"/>
      <c r="P2521" s="30"/>
      <c r="Q2521" s="30"/>
      <c r="R2521" s="30"/>
      <c r="S2521" s="30"/>
      <c r="T2521" s="30"/>
      <c r="U2521" s="30"/>
      <c r="V2521" s="30"/>
      <c r="W2521" s="30"/>
      <c r="X2521" s="30"/>
      <c r="Y2521" s="30"/>
      <c r="Z2521" s="30"/>
      <c r="AA2521" s="30"/>
    </row>
    <row r="2522">
      <c r="A2522" s="29">
        <v>2190130.0</v>
      </c>
      <c r="B2522" s="29">
        <v>2191563.0</v>
      </c>
      <c r="C2522" s="30" t="str">
        <f t="shared" si="1"/>
        <v>+</v>
      </c>
      <c r="D2522" s="29">
        <f t="shared" si="2"/>
        <v>858</v>
      </c>
      <c r="E2522" s="30"/>
      <c r="F2522" s="30"/>
      <c r="G2522" s="30"/>
      <c r="H2522" s="30"/>
      <c r="I2522" s="30"/>
      <c r="J2522" s="30"/>
      <c r="K2522" s="30"/>
      <c r="L2522" s="30"/>
      <c r="M2522" s="30"/>
      <c r="N2522" s="30"/>
      <c r="O2522" s="30"/>
      <c r="P2522" s="30"/>
      <c r="Q2522" s="30"/>
      <c r="R2522" s="30"/>
      <c r="S2522" s="30"/>
      <c r="T2522" s="30"/>
      <c r="U2522" s="30"/>
      <c r="V2522" s="30"/>
      <c r="W2522" s="30"/>
      <c r="X2522" s="30"/>
      <c r="Y2522" s="30"/>
      <c r="Z2522" s="30"/>
      <c r="AA2522" s="30"/>
    </row>
    <row r="2523">
      <c r="A2523" s="29">
        <v>2191560.0</v>
      </c>
      <c r="B2523" s="29">
        <v>2192384.0</v>
      </c>
      <c r="C2523" s="30" t="str">
        <f t="shared" si="1"/>
        <v>+</v>
      </c>
      <c r="D2523" s="29">
        <f t="shared" si="2"/>
        <v>858</v>
      </c>
      <c r="E2523" s="30"/>
      <c r="F2523" s="30"/>
      <c r="G2523" s="30"/>
      <c r="H2523" s="30"/>
      <c r="I2523" s="30"/>
      <c r="J2523" s="30"/>
      <c r="K2523" s="30"/>
      <c r="L2523" s="30"/>
      <c r="M2523" s="30"/>
      <c r="N2523" s="30"/>
      <c r="O2523" s="30"/>
      <c r="P2523" s="30"/>
      <c r="Q2523" s="30"/>
      <c r="R2523" s="30"/>
      <c r="S2523" s="30"/>
      <c r="T2523" s="30"/>
      <c r="U2523" s="30"/>
      <c r="V2523" s="30"/>
      <c r="W2523" s="30"/>
      <c r="X2523" s="30"/>
      <c r="Y2523" s="30"/>
      <c r="Z2523" s="30"/>
      <c r="AA2523" s="30"/>
    </row>
    <row r="2524">
      <c r="A2524" s="29">
        <v>2192372.0</v>
      </c>
      <c r="B2524" s="29">
        <v>2193187.0</v>
      </c>
      <c r="C2524" s="30" t="str">
        <f t="shared" si="1"/>
        <v>+</v>
      </c>
      <c r="D2524" s="29">
        <f t="shared" si="2"/>
        <v>858</v>
      </c>
      <c r="E2524" s="30"/>
      <c r="F2524" s="30"/>
      <c r="G2524" s="30"/>
      <c r="H2524" s="30"/>
      <c r="I2524" s="30"/>
      <c r="J2524" s="30"/>
      <c r="K2524" s="30"/>
      <c r="L2524" s="30"/>
      <c r="M2524" s="30"/>
      <c r="N2524" s="30"/>
      <c r="O2524" s="30"/>
      <c r="P2524" s="30"/>
      <c r="Q2524" s="30"/>
      <c r="R2524" s="30"/>
      <c r="S2524" s="30"/>
      <c r="T2524" s="30"/>
      <c r="U2524" s="30"/>
      <c r="V2524" s="30"/>
      <c r="W2524" s="30"/>
      <c r="X2524" s="30"/>
      <c r="Y2524" s="30"/>
      <c r="Z2524" s="30"/>
      <c r="AA2524" s="30"/>
    </row>
    <row r="2525">
      <c r="A2525" s="29">
        <v>2193217.0</v>
      </c>
      <c r="B2525" s="29">
        <v>2193603.0</v>
      </c>
      <c r="C2525" s="30" t="str">
        <f t="shared" si="1"/>
        <v>+</v>
      </c>
      <c r="D2525" s="29">
        <f t="shared" si="2"/>
        <v>858</v>
      </c>
      <c r="E2525" s="30"/>
      <c r="F2525" s="30"/>
      <c r="G2525" s="30"/>
      <c r="H2525" s="30"/>
      <c r="I2525" s="30"/>
      <c r="J2525" s="30"/>
      <c r="K2525" s="30"/>
      <c r="L2525" s="30"/>
      <c r="M2525" s="30"/>
      <c r="N2525" s="30"/>
      <c r="O2525" s="30"/>
      <c r="P2525" s="30"/>
      <c r="Q2525" s="30"/>
      <c r="R2525" s="30"/>
      <c r="S2525" s="30"/>
      <c r="T2525" s="30"/>
      <c r="U2525" s="30"/>
      <c r="V2525" s="30"/>
      <c r="W2525" s="30"/>
      <c r="X2525" s="30"/>
      <c r="Y2525" s="30"/>
      <c r="Z2525" s="30"/>
      <c r="AA2525" s="30"/>
    </row>
    <row r="2526">
      <c r="A2526" s="29">
        <v>2194212.0</v>
      </c>
      <c r="B2526" s="29">
        <v>2193568.0</v>
      </c>
      <c r="C2526" s="30" t="str">
        <f t="shared" si="1"/>
        <v>-</v>
      </c>
      <c r="D2526" s="29">
        <f t="shared" si="2"/>
        <v>859</v>
      </c>
      <c r="E2526" s="30"/>
      <c r="F2526" s="30"/>
      <c r="G2526" s="30"/>
      <c r="H2526" s="30"/>
      <c r="I2526" s="30"/>
      <c r="J2526" s="30"/>
      <c r="K2526" s="30"/>
      <c r="L2526" s="30"/>
      <c r="M2526" s="30"/>
      <c r="N2526" s="30"/>
      <c r="O2526" s="30"/>
      <c r="P2526" s="30"/>
      <c r="Q2526" s="30"/>
      <c r="R2526" s="30"/>
      <c r="S2526" s="30"/>
      <c r="T2526" s="30"/>
      <c r="U2526" s="30"/>
      <c r="V2526" s="30"/>
      <c r="W2526" s="30"/>
      <c r="X2526" s="30"/>
      <c r="Y2526" s="30"/>
      <c r="Z2526" s="30"/>
      <c r="AA2526" s="30"/>
    </row>
    <row r="2527">
      <c r="A2527" s="29">
        <v>2194883.0</v>
      </c>
      <c r="B2527" s="29">
        <v>2194212.0</v>
      </c>
      <c r="C2527" s="30" t="str">
        <f t="shared" si="1"/>
        <v>-</v>
      </c>
      <c r="D2527" s="29">
        <f t="shared" si="2"/>
        <v>859</v>
      </c>
      <c r="E2527" s="30"/>
      <c r="F2527" s="30"/>
      <c r="G2527" s="30"/>
      <c r="H2527" s="30"/>
      <c r="I2527" s="30"/>
      <c r="J2527" s="30"/>
      <c r="K2527" s="30"/>
      <c r="L2527" s="30"/>
      <c r="M2527" s="30"/>
      <c r="N2527" s="30"/>
      <c r="O2527" s="30"/>
      <c r="P2527" s="30"/>
      <c r="Q2527" s="30"/>
      <c r="R2527" s="30"/>
      <c r="S2527" s="30"/>
      <c r="T2527" s="30"/>
      <c r="U2527" s="30"/>
      <c r="V2527" s="30"/>
      <c r="W2527" s="30"/>
      <c r="X2527" s="30"/>
      <c r="Y2527" s="30"/>
      <c r="Z2527" s="30"/>
      <c r="AA2527" s="30"/>
    </row>
    <row r="2528">
      <c r="A2528" s="29">
        <v>2195539.0</v>
      </c>
      <c r="B2528" s="29">
        <v>2195036.0</v>
      </c>
      <c r="C2528" s="30" t="str">
        <f t="shared" si="1"/>
        <v>-</v>
      </c>
      <c r="D2528" s="29">
        <f t="shared" si="2"/>
        <v>859</v>
      </c>
      <c r="E2528" s="30"/>
      <c r="F2528" s="30"/>
      <c r="G2528" s="30"/>
      <c r="H2528" s="30"/>
      <c r="I2528" s="30"/>
      <c r="J2528" s="30"/>
      <c r="K2528" s="30"/>
      <c r="L2528" s="30"/>
      <c r="M2528" s="30"/>
      <c r="N2528" s="30"/>
      <c r="O2528" s="30"/>
      <c r="P2528" s="30"/>
      <c r="Q2528" s="30"/>
      <c r="R2528" s="30"/>
      <c r="S2528" s="30"/>
      <c r="T2528" s="30"/>
      <c r="U2528" s="30"/>
      <c r="V2528" s="30"/>
      <c r="W2528" s="30"/>
      <c r="X2528" s="30"/>
      <c r="Y2528" s="30"/>
      <c r="Z2528" s="30"/>
      <c r="AA2528" s="30"/>
    </row>
    <row r="2529">
      <c r="A2529" s="29">
        <v>2195568.0</v>
      </c>
      <c r="B2529" s="29">
        <v>2196485.0</v>
      </c>
      <c r="C2529" s="30" t="str">
        <f t="shared" si="1"/>
        <v>+</v>
      </c>
      <c r="D2529" s="29">
        <f t="shared" si="2"/>
        <v>860</v>
      </c>
      <c r="E2529" s="30"/>
      <c r="F2529" s="30"/>
      <c r="G2529" s="30"/>
      <c r="H2529" s="30"/>
      <c r="I2529" s="30"/>
      <c r="J2529" s="30"/>
      <c r="K2529" s="30"/>
      <c r="L2529" s="30"/>
      <c r="M2529" s="30"/>
      <c r="N2529" s="30"/>
      <c r="O2529" s="30"/>
      <c r="P2529" s="30"/>
      <c r="Q2529" s="30"/>
      <c r="R2529" s="30"/>
      <c r="S2529" s="30"/>
      <c r="T2529" s="30"/>
      <c r="U2529" s="30"/>
      <c r="V2529" s="30"/>
      <c r="W2529" s="30"/>
      <c r="X2529" s="30"/>
      <c r="Y2529" s="30"/>
      <c r="Z2529" s="30"/>
      <c r="AA2529" s="30"/>
    </row>
    <row r="2530">
      <c r="A2530" s="29">
        <v>2196488.0</v>
      </c>
      <c r="B2530" s="29">
        <v>2198245.0</v>
      </c>
      <c r="C2530" s="30" t="str">
        <f t="shared" si="1"/>
        <v>+</v>
      </c>
      <c r="D2530" s="29">
        <f t="shared" si="2"/>
        <v>860</v>
      </c>
      <c r="E2530" s="30"/>
      <c r="F2530" s="30"/>
      <c r="G2530" s="30"/>
      <c r="H2530" s="30"/>
      <c r="I2530" s="30"/>
      <c r="J2530" s="30"/>
      <c r="K2530" s="30"/>
      <c r="L2530" s="30"/>
      <c r="M2530" s="30"/>
      <c r="N2530" s="30"/>
      <c r="O2530" s="30"/>
      <c r="P2530" s="30"/>
      <c r="Q2530" s="30"/>
      <c r="R2530" s="30"/>
      <c r="S2530" s="30"/>
      <c r="T2530" s="30"/>
      <c r="U2530" s="30"/>
      <c r="V2530" s="30"/>
      <c r="W2530" s="30"/>
      <c r="X2530" s="30"/>
      <c r="Y2530" s="30"/>
      <c r="Z2530" s="30"/>
      <c r="AA2530" s="30"/>
    </row>
    <row r="2531">
      <c r="A2531" s="29">
        <v>2199448.0</v>
      </c>
      <c r="B2531" s="29">
        <v>2198237.0</v>
      </c>
      <c r="C2531" s="30" t="str">
        <f t="shared" si="1"/>
        <v>-</v>
      </c>
      <c r="D2531" s="29">
        <f t="shared" si="2"/>
        <v>861</v>
      </c>
      <c r="E2531" s="30"/>
      <c r="F2531" s="30"/>
      <c r="G2531" s="30"/>
      <c r="H2531" s="30"/>
      <c r="I2531" s="30"/>
      <c r="J2531" s="30"/>
      <c r="K2531" s="30"/>
      <c r="L2531" s="30"/>
      <c r="M2531" s="30"/>
      <c r="N2531" s="30"/>
      <c r="O2531" s="30"/>
      <c r="P2531" s="30"/>
      <c r="Q2531" s="30"/>
      <c r="R2531" s="30"/>
      <c r="S2531" s="30"/>
      <c r="T2531" s="30"/>
      <c r="U2531" s="30"/>
      <c r="V2531" s="30"/>
      <c r="W2531" s="30"/>
      <c r="X2531" s="30"/>
      <c r="Y2531" s="30"/>
      <c r="Z2531" s="30"/>
      <c r="AA2531" s="30"/>
    </row>
    <row r="2532">
      <c r="A2532" s="29">
        <v>2199705.0</v>
      </c>
      <c r="B2532" s="29">
        <v>2199445.0</v>
      </c>
      <c r="C2532" s="30" t="str">
        <f t="shared" si="1"/>
        <v>-</v>
      </c>
      <c r="D2532" s="29">
        <f t="shared" si="2"/>
        <v>861</v>
      </c>
      <c r="E2532" s="30"/>
      <c r="F2532" s="30"/>
      <c r="G2532" s="30"/>
      <c r="H2532" s="30"/>
      <c r="I2532" s="30"/>
      <c r="J2532" s="30"/>
      <c r="K2532" s="30"/>
      <c r="L2532" s="30"/>
      <c r="M2532" s="30"/>
      <c r="N2532" s="30"/>
      <c r="O2532" s="30"/>
      <c r="P2532" s="30"/>
      <c r="Q2532" s="30"/>
      <c r="R2532" s="30"/>
      <c r="S2532" s="30"/>
      <c r="T2532" s="30"/>
      <c r="U2532" s="30"/>
      <c r="V2532" s="30"/>
      <c r="W2532" s="30"/>
      <c r="X2532" s="30"/>
      <c r="Y2532" s="30"/>
      <c r="Z2532" s="30"/>
      <c r="AA2532" s="30"/>
    </row>
    <row r="2533">
      <c r="A2533" s="29">
        <v>2199946.0</v>
      </c>
      <c r="B2533" s="29">
        <v>2199749.0</v>
      </c>
      <c r="C2533" s="30" t="str">
        <f t="shared" si="1"/>
        <v>-</v>
      </c>
      <c r="D2533" s="29">
        <f t="shared" si="2"/>
        <v>861</v>
      </c>
      <c r="E2533" s="30"/>
      <c r="F2533" s="30"/>
      <c r="G2533" s="30"/>
      <c r="H2533" s="30"/>
      <c r="I2533" s="30"/>
      <c r="J2533" s="30"/>
      <c r="K2533" s="30"/>
      <c r="L2533" s="30"/>
      <c r="M2533" s="30"/>
      <c r="N2533" s="30"/>
      <c r="O2533" s="30"/>
      <c r="P2533" s="30"/>
      <c r="Q2533" s="30"/>
      <c r="R2533" s="30"/>
      <c r="S2533" s="30"/>
      <c r="T2533" s="30"/>
      <c r="U2533" s="30"/>
      <c r="V2533" s="30"/>
      <c r="W2533" s="30"/>
      <c r="X2533" s="30"/>
      <c r="Y2533" s="30"/>
      <c r="Z2533" s="30"/>
      <c r="AA2533" s="30"/>
    </row>
    <row r="2534">
      <c r="A2534" s="29">
        <v>2200377.0</v>
      </c>
      <c r="B2534" s="29">
        <v>2199943.0</v>
      </c>
      <c r="C2534" s="30" t="str">
        <f t="shared" si="1"/>
        <v>-</v>
      </c>
      <c r="D2534" s="29">
        <f t="shared" si="2"/>
        <v>861</v>
      </c>
      <c r="E2534" s="30"/>
      <c r="F2534" s="30"/>
      <c r="G2534" s="30"/>
      <c r="H2534" s="30"/>
      <c r="I2534" s="30"/>
      <c r="J2534" s="30"/>
      <c r="K2534" s="30"/>
      <c r="L2534" s="30"/>
      <c r="M2534" s="30"/>
      <c r="N2534" s="30"/>
      <c r="O2534" s="30"/>
      <c r="P2534" s="30"/>
      <c r="Q2534" s="30"/>
      <c r="R2534" s="30"/>
      <c r="S2534" s="30"/>
      <c r="T2534" s="30"/>
      <c r="U2534" s="30"/>
      <c r="V2534" s="30"/>
      <c r="W2534" s="30"/>
      <c r="X2534" s="30"/>
      <c r="Y2534" s="30"/>
      <c r="Z2534" s="30"/>
      <c r="AA2534" s="30"/>
    </row>
    <row r="2535">
      <c r="A2535" s="29">
        <v>2200940.0</v>
      </c>
      <c r="B2535" s="29">
        <v>2200380.0</v>
      </c>
      <c r="C2535" s="30" t="str">
        <f t="shared" si="1"/>
        <v>-</v>
      </c>
      <c r="D2535" s="29">
        <f t="shared" si="2"/>
        <v>861</v>
      </c>
      <c r="E2535" s="30"/>
      <c r="F2535" s="30"/>
      <c r="G2535" s="30"/>
      <c r="H2535" s="30"/>
      <c r="I2535" s="30"/>
      <c r="J2535" s="30"/>
      <c r="K2535" s="30"/>
      <c r="L2535" s="30"/>
      <c r="M2535" s="30"/>
      <c r="N2535" s="30"/>
      <c r="O2535" s="30"/>
      <c r="P2535" s="30"/>
      <c r="Q2535" s="30"/>
      <c r="R2535" s="30"/>
      <c r="S2535" s="30"/>
      <c r="T2535" s="30"/>
      <c r="U2535" s="30"/>
      <c r="V2535" s="30"/>
      <c r="W2535" s="30"/>
      <c r="X2535" s="30"/>
      <c r="Y2535" s="30"/>
      <c r="Z2535" s="30"/>
      <c r="AA2535" s="30"/>
    </row>
    <row r="2536">
      <c r="A2536" s="29">
        <v>2201305.0</v>
      </c>
      <c r="B2536" s="29">
        <v>2200937.0</v>
      </c>
      <c r="C2536" s="30" t="str">
        <f t="shared" si="1"/>
        <v>-</v>
      </c>
      <c r="D2536" s="29">
        <f t="shared" si="2"/>
        <v>861</v>
      </c>
      <c r="E2536" s="30"/>
      <c r="F2536" s="30"/>
      <c r="G2536" s="30"/>
      <c r="H2536" s="30"/>
      <c r="I2536" s="30"/>
      <c r="J2536" s="30"/>
      <c r="K2536" s="30"/>
      <c r="L2536" s="30"/>
      <c r="M2536" s="30"/>
      <c r="N2536" s="30"/>
      <c r="O2536" s="30"/>
      <c r="P2536" s="30"/>
      <c r="Q2536" s="30"/>
      <c r="R2536" s="30"/>
      <c r="S2536" s="30"/>
      <c r="T2536" s="30"/>
      <c r="U2536" s="30"/>
      <c r="V2536" s="30"/>
      <c r="W2536" s="30"/>
      <c r="X2536" s="30"/>
      <c r="Y2536" s="30"/>
      <c r="Z2536" s="30"/>
      <c r="AA2536" s="30"/>
    </row>
    <row r="2537">
      <c r="A2537" s="29">
        <v>2202160.0</v>
      </c>
      <c r="B2537" s="29">
        <v>2201339.0</v>
      </c>
      <c r="C2537" s="30" t="str">
        <f t="shared" si="1"/>
        <v>-</v>
      </c>
      <c r="D2537" s="29">
        <f t="shared" si="2"/>
        <v>861</v>
      </c>
      <c r="E2537" s="30"/>
      <c r="F2537" s="30"/>
      <c r="G2537" s="30"/>
      <c r="H2537" s="30"/>
      <c r="I2537" s="30"/>
      <c r="J2537" s="30"/>
      <c r="K2537" s="30"/>
      <c r="L2537" s="30"/>
      <c r="M2537" s="30"/>
      <c r="N2537" s="30"/>
      <c r="O2537" s="30"/>
      <c r="P2537" s="30"/>
      <c r="Q2537" s="30"/>
      <c r="R2537" s="30"/>
      <c r="S2537" s="30"/>
      <c r="T2537" s="30"/>
      <c r="U2537" s="30"/>
      <c r="V2537" s="30"/>
      <c r="W2537" s="30"/>
      <c r="X2537" s="30"/>
      <c r="Y2537" s="30"/>
      <c r="Z2537" s="30"/>
      <c r="AA2537" s="30"/>
    </row>
    <row r="2538">
      <c r="A2538" s="29">
        <v>2202561.0</v>
      </c>
      <c r="B2538" s="29">
        <v>2202118.0</v>
      </c>
      <c r="C2538" s="30" t="str">
        <f t="shared" si="1"/>
        <v>-</v>
      </c>
      <c r="D2538" s="29">
        <f t="shared" si="2"/>
        <v>861</v>
      </c>
      <c r="E2538" s="30"/>
      <c r="F2538" s="30"/>
      <c r="G2538" s="30"/>
      <c r="H2538" s="30"/>
      <c r="I2538" s="30"/>
      <c r="J2538" s="30"/>
      <c r="K2538" s="30"/>
      <c r="L2538" s="30"/>
      <c r="M2538" s="30"/>
      <c r="N2538" s="30"/>
      <c r="O2538" s="30"/>
      <c r="P2538" s="30"/>
      <c r="Q2538" s="30"/>
      <c r="R2538" s="30"/>
      <c r="S2538" s="30"/>
      <c r="T2538" s="30"/>
      <c r="U2538" s="30"/>
      <c r="V2538" s="30"/>
      <c r="W2538" s="30"/>
      <c r="X2538" s="30"/>
      <c r="Y2538" s="30"/>
      <c r="Z2538" s="30"/>
      <c r="AA2538" s="30"/>
    </row>
    <row r="2539">
      <c r="A2539" s="29">
        <v>2203429.0</v>
      </c>
      <c r="B2539" s="29">
        <v>2202995.0</v>
      </c>
      <c r="C2539" s="30" t="str">
        <f t="shared" si="1"/>
        <v>-</v>
      </c>
      <c r="D2539" s="29">
        <f t="shared" si="2"/>
        <v>861</v>
      </c>
      <c r="E2539" s="30"/>
      <c r="F2539" s="30"/>
      <c r="G2539" s="30"/>
      <c r="H2539" s="30"/>
      <c r="I2539" s="30"/>
      <c r="J2539" s="30"/>
      <c r="K2539" s="30"/>
      <c r="L2539" s="30"/>
      <c r="M2539" s="30"/>
      <c r="N2539" s="30"/>
      <c r="O2539" s="30"/>
      <c r="P2539" s="30"/>
      <c r="Q2539" s="30"/>
      <c r="R2539" s="30"/>
      <c r="S2539" s="30"/>
      <c r="T2539" s="30"/>
      <c r="U2539" s="30"/>
      <c r="V2539" s="30"/>
      <c r="W2539" s="30"/>
      <c r="X2539" s="30"/>
      <c r="Y2539" s="30"/>
      <c r="Z2539" s="30"/>
      <c r="AA2539" s="30"/>
    </row>
    <row r="2540">
      <c r="A2540" s="29">
        <v>2203736.0</v>
      </c>
      <c r="B2540" s="29">
        <v>2203422.0</v>
      </c>
      <c r="C2540" s="30" t="str">
        <f t="shared" si="1"/>
        <v>-</v>
      </c>
      <c r="D2540" s="29">
        <f t="shared" si="2"/>
        <v>861</v>
      </c>
      <c r="E2540" s="30"/>
      <c r="F2540" s="30"/>
      <c r="G2540" s="30"/>
      <c r="H2540" s="30"/>
      <c r="I2540" s="30"/>
      <c r="J2540" s="30"/>
      <c r="K2540" s="30"/>
      <c r="L2540" s="30"/>
      <c r="M2540" s="30"/>
      <c r="N2540" s="30"/>
      <c r="O2540" s="30"/>
      <c r="P2540" s="30"/>
      <c r="Q2540" s="30"/>
      <c r="R2540" s="30"/>
      <c r="S2540" s="30"/>
      <c r="T2540" s="30"/>
      <c r="U2540" s="30"/>
      <c r="V2540" s="30"/>
      <c r="W2540" s="30"/>
      <c r="X2540" s="30"/>
      <c r="Y2540" s="30"/>
      <c r="Z2540" s="30"/>
      <c r="AA2540" s="30"/>
    </row>
    <row r="2541">
      <c r="A2541" s="29">
        <v>2204915.0</v>
      </c>
      <c r="B2541" s="29">
        <v>2203776.0</v>
      </c>
      <c r="C2541" s="30" t="str">
        <f t="shared" si="1"/>
        <v>-</v>
      </c>
      <c r="D2541" s="29">
        <f t="shared" si="2"/>
        <v>861</v>
      </c>
      <c r="E2541" s="30"/>
      <c r="F2541" s="30"/>
      <c r="G2541" s="30"/>
      <c r="H2541" s="30"/>
      <c r="I2541" s="30"/>
      <c r="J2541" s="30"/>
      <c r="K2541" s="30"/>
      <c r="L2541" s="30"/>
      <c r="M2541" s="30"/>
      <c r="N2541" s="30"/>
      <c r="O2541" s="30"/>
      <c r="P2541" s="30"/>
      <c r="Q2541" s="30"/>
      <c r="R2541" s="30"/>
      <c r="S2541" s="30"/>
      <c r="T2541" s="30"/>
      <c r="U2541" s="30"/>
      <c r="V2541" s="30"/>
      <c r="W2541" s="30"/>
      <c r="X2541" s="30"/>
      <c r="Y2541" s="30"/>
      <c r="Z2541" s="30"/>
      <c r="AA2541" s="30"/>
    </row>
    <row r="2542">
      <c r="A2542" s="29">
        <v>2207566.0</v>
      </c>
      <c r="B2542" s="29">
        <v>2204912.0</v>
      </c>
      <c r="C2542" s="30" t="str">
        <f t="shared" si="1"/>
        <v>-</v>
      </c>
      <c r="D2542" s="29">
        <f t="shared" si="2"/>
        <v>861</v>
      </c>
      <c r="E2542" s="30"/>
      <c r="F2542" s="30"/>
      <c r="G2542" s="30"/>
      <c r="H2542" s="30"/>
      <c r="I2542" s="30"/>
      <c r="J2542" s="30"/>
      <c r="K2542" s="30"/>
      <c r="L2542" s="30"/>
      <c r="M2542" s="30"/>
      <c r="N2542" s="30"/>
      <c r="O2542" s="30"/>
      <c r="P2542" s="30"/>
      <c r="Q2542" s="30"/>
      <c r="R2542" s="30"/>
      <c r="S2542" s="30"/>
      <c r="T2542" s="30"/>
      <c r="U2542" s="30"/>
      <c r="V2542" s="30"/>
      <c r="W2542" s="30"/>
      <c r="X2542" s="30"/>
      <c r="Y2542" s="30"/>
      <c r="Z2542" s="30"/>
      <c r="AA2542" s="30"/>
    </row>
    <row r="2543">
      <c r="A2543" s="29">
        <v>2210979.0</v>
      </c>
      <c r="B2543" s="29">
        <v>2207596.0</v>
      </c>
      <c r="C2543" s="30" t="str">
        <f t="shared" si="1"/>
        <v>-</v>
      </c>
      <c r="D2543" s="29">
        <f t="shared" si="2"/>
        <v>861</v>
      </c>
      <c r="E2543" s="30"/>
      <c r="F2543" s="30"/>
      <c r="G2543" s="30"/>
      <c r="H2543" s="30"/>
      <c r="I2543" s="30"/>
      <c r="J2543" s="30"/>
      <c r="K2543" s="30"/>
      <c r="L2543" s="30"/>
      <c r="M2543" s="30"/>
      <c r="N2543" s="30"/>
      <c r="O2543" s="30"/>
      <c r="P2543" s="30"/>
      <c r="Q2543" s="30"/>
      <c r="R2543" s="30"/>
      <c r="S2543" s="30"/>
      <c r="T2543" s="30"/>
      <c r="U2543" s="30"/>
      <c r="V2543" s="30"/>
      <c r="W2543" s="30"/>
      <c r="X2543" s="30"/>
      <c r="Y2543" s="30"/>
      <c r="Z2543" s="30"/>
      <c r="AA2543" s="30"/>
    </row>
    <row r="2544">
      <c r="A2544" s="29">
        <v>2211242.0</v>
      </c>
      <c r="B2544" s="29">
        <v>2211015.0</v>
      </c>
      <c r="C2544" s="30" t="str">
        <f t="shared" si="1"/>
        <v>-</v>
      </c>
      <c r="D2544" s="29">
        <f t="shared" si="2"/>
        <v>861</v>
      </c>
      <c r="E2544" s="30"/>
      <c r="F2544" s="30"/>
      <c r="G2544" s="30"/>
      <c r="H2544" s="30"/>
      <c r="I2544" s="30"/>
      <c r="J2544" s="30"/>
      <c r="K2544" s="30"/>
      <c r="L2544" s="30"/>
      <c r="M2544" s="30"/>
      <c r="N2544" s="30"/>
      <c r="O2544" s="30"/>
      <c r="P2544" s="30"/>
      <c r="Q2544" s="30"/>
      <c r="R2544" s="30"/>
      <c r="S2544" s="30"/>
      <c r="T2544" s="30"/>
      <c r="U2544" s="30"/>
      <c r="V2544" s="30"/>
      <c r="W2544" s="30"/>
      <c r="X2544" s="30"/>
      <c r="Y2544" s="30"/>
      <c r="Z2544" s="30"/>
      <c r="AA2544" s="30"/>
    </row>
    <row r="2545">
      <c r="A2545" s="29">
        <v>2213053.0</v>
      </c>
      <c r="B2545" s="29">
        <v>2211272.0</v>
      </c>
      <c r="C2545" s="30" t="str">
        <f t="shared" si="1"/>
        <v>-</v>
      </c>
      <c r="D2545" s="29">
        <f t="shared" si="2"/>
        <v>861</v>
      </c>
      <c r="E2545" s="30"/>
      <c r="F2545" s="30"/>
      <c r="G2545" s="30"/>
      <c r="H2545" s="30"/>
      <c r="I2545" s="30"/>
      <c r="J2545" s="30"/>
      <c r="K2545" s="30"/>
      <c r="L2545" s="30"/>
      <c r="M2545" s="30"/>
      <c r="N2545" s="30"/>
      <c r="O2545" s="30"/>
      <c r="P2545" s="30"/>
      <c r="Q2545" s="30"/>
      <c r="R2545" s="30"/>
      <c r="S2545" s="30"/>
      <c r="T2545" s="30"/>
      <c r="U2545" s="30"/>
      <c r="V2545" s="30"/>
      <c r="W2545" s="30"/>
      <c r="X2545" s="30"/>
      <c r="Y2545" s="30"/>
      <c r="Z2545" s="30"/>
      <c r="AA2545" s="30"/>
    </row>
    <row r="2546">
      <c r="A2546" s="29">
        <v>2213616.0</v>
      </c>
      <c r="B2546" s="29">
        <v>2213050.0</v>
      </c>
      <c r="C2546" s="30" t="str">
        <f t="shared" si="1"/>
        <v>-</v>
      </c>
      <c r="D2546" s="29">
        <f t="shared" si="2"/>
        <v>861</v>
      </c>
      <c r="E2546" s="30"/>
      <c r="F2546" s="30"/>
      <c r="G2546" s="30"/>
      <c r="H2546" s="30"/>
      <c r="I2546" s="30"/>
      <c r="J2546" s="30"/>
      <c r="K2546" s="30"/>
      <c r="L2546" s="30"/>
      <c r="M2546" s="30"/>
      <c r="N2546" s="30"/>
      <c r="O2546" s="30"/>
      <c r="P2546" s="30"/>
      <c r="Q2546" s="30"/>
      <c r="R2546" s="30"/>
      <c r="S2546" s="30"/>
      <c r="T2546" s="30"/>
      <c r="U2546" s="30"/>
      <c r="V2546" s="30"/>
      <c r="W2546" s="30"/>
      <c r="X2546" s="30"/>
      <c r="Y2546" s="30"/>
      <c r="Z2546" s="30"/>
      <c r="AA2546" s="30"/>
    </row>
    <row r="2547">
      <c r="A2547" s="29">
        <v>2213940.0</v>
      </c>
      <c r="B2547" s="29">
        <v>2213650.0</v>
      </c>
      <c r="C2547" s="30" t="str">
        <f t="shared" si="1"/>
        <v>-</v>
      </c>
      <c r="D2547" s="29">
        <f t="shared" si="2"/>
        <v>861</v>
      </c>
      <c r="E2547" s="30"/>
      <c r="F2547" s="30"/>
      <c r="G2547" s="30"/>
      <c r="H2547" s="30"/>
      <c r="I2547" s="30"/>
      <c r="J2547" s="30"/>
      <c r="K2547" s="30"/>
      <c r="L2547" s="30"/>
      <c r="M2547" s="30"/>
      <c r="N2547" s="30"/>
      <c r="O2547" s="30"/>
      <c r="P2547" s="30"/>
      <c r="Q2547" s="30"/>
      <c r="R2547" s="30"/>
      <c r="S2547" s="30"/>
      <c r="T2547" s="30"/>
      <c r="U2547" s="30"/>
      <c r="V2547" s="30"/>
      <c r="W2547" s="30"/>
      <c r="X2547" s="30"/>
      <c r="Y2547" s="30"/>
      <c r="Z2547" s="30"/>
      <c r="AA2547" s="30"/>
    </row>
    <row r="2548">
      <c r="A2548" s="29">
        <v>2214635.0</v>
      </c>
      <c r="B2548" s="29">
        <v>2214234.0</v>
      </c>
      <c r="C2548" s="30" t="str">
        <f t="shared" si="1"/>
        <v>-</v>
      </c>
      <c r="D2548" s="29">
        <f t="shared" si="2"/>
        <v>861</v>
      </c>
      <c r="E2548" s="30"/>
      <c r="F2548" s="30"/>
      <c r="G2548" s="30"/>
      <c r="H2548" s="30"/>
      <c r="I2548" s="30"/>
      <c r="J2548" s="30"/>
      <c r="K2548" s="30"/>
      <c r="L2548" s="30"/>
      <c r="M2548" s="30"/>
      <c r="N2548" s="30"/>
      <c r="O2548" s="30"/>
      <c r="P2548" s="30"/>
      <c r="Q2548" s="30"/>
      <c r="R2548" s="30"/>
      <c r="S2548" s="30"/>
      <c r="T2548" s="30"/>
      <c r="U2548" s="30"/>
      <c r="V2548" s="30"/>
      <c r="W2548" s="30"/>
      <c r="X2548" s="30"/>
      <c r="Y2548" s="30"/>
      <c r="Z2548" s="30"/>
      <c r="AA2548" s="30"/>
    </row>
    <row r="2549">
      <c r="A2549" s="29">
        <v>2215043.0</v>
      </c>
      <c r="B2549" s="29">
        <v>2214729.0</v>
      </c>
      <c r="C2549" s="30" t="str">
        <f t="shared" si="1"/>
        <v>-</v>
      </c>
      <c r="D2549" s="29">
        <f t="shared" si="2"/>
        <v>861</v>
      </c>
      <c r="E2549" s="30"/>
      <c r="F2549" s="30"/>
      <c r="G2549" s="30"/>
      <c r="H2549" s="30"/>
      <c r="I2549" s="30"/>
      <c r="J2549" s="30"/>
      <c r="K2549" s="30"/>
      <c r="L2549" s="30"/>
      <c r="M2549" s="30"/>
      <c r="N2549" s="30"/>
      <c r="O2549" s="30"/>
      <c r="P2549" s="30"/>
      <c r="Q2549" s="30"/>
      <c r="R2549" s="30"/>
      <c r="S2549" s="30"/>
      <c r="T2549" s="30"/>
      <c r="U2549" s="30"/>
      <c r="V2549" s="30"/>
      <c r="W2549" s="30"/>
      <c r="X2549" s="30"/>
      <c r="Y2549" s="30"/>
      <c r="Z2549" s="30"/>
      <c r="AA2549" s="30"/>
    </row>
    <row r="2550">
      <c r="A2550" s="29">
        <v>2215089.0</v>
      </c>
      <c r="B2550" s="29">
        <v>2215535.0</v>
      </c>
      <c r="C2550" s="30" t="str">
        <f t="shared" si="1"/>
        <v>+</v>
      </c>
      <c r="D2550" s="29">
        <f t="shared" si="2"/>
        <v>862</v>
      </c>
      <c r="E2550" s="30"/>
      <c r="F2550" s="30"/>
      <c r="G2550" s="30"/>
      <c r="H2550" s="30"/>
      <c r="I2550" s="30"/>
      <c r="J2550" s="30"/>
      <c r="K2550" s="30"/>
      <c r="L2550" s="30"/>
      <c r="M2550" s="30"/>
      <c r="N2550" s="30"/>
      <c r="O2550" s="30"/>
      <c r="P2550" s="30"/>
      <c r="Q2550" s="30"/>
      <c r="R2550" s="30"/>
      <c r="S2550" s="30"/>
      <c r="T2550" s="30"/>
      <c r="U2550" s="30"/>
      <c r="V2550" s="30"/>
      <c r="W2550" s="30"/>
      <c r="X2550" s="30"/>
      <c r="Y2550" s="30"/>
      <c r="Z2550" s="30"/>
      <c r="AA2550" s="30"/>
    </row>
    <row r="2551">
      <c r="A2551" s="29">
        <v>2217116.0</v>
      </c>
      <c r="B2551" s="29">
        <v>2215518.0</v>
      </c>
      <c r="C2551" s="30" t="str">
        <f t="shared" si="1"/>
        <v>-</v>
      </c>
      <c r="D2551" s="29">
        <f t="shared" si="2"/>
        <v>863</v>
      </c>
      <c r="E2551" s="30"/>
      <c r="F2551" s="30"/>
      <c r="G2551" s="30"/>
      <c r="H2551" s="30"/>
      <c r="I2551" s="30"/>
      <c r="J2551" s="30"/>
      <c r="K2551" s="30"/>
      <c r="L2551" s="30"/>
      <c r="M2551" s="30"/>
      <c r="N2551" s="30"/>
      <c r="O2551" s="30"/>
      <c r="P2551" s="30"/>
      <c r="Q2551" s="30"/>
      <c r="R2551" s="30"/>
      <c r="S2551" s="30"/>
      <c r="T2551" s="30"/>
      <c r="U2551" s="30"/>
      <c r="V2551" s="30"/>
      <c r="W2551" s="30"/>
      <c r="X2551" s="30"/>
      <c r="Y2551" s="30"/>
      <c r="Z2551" s="30"/>
      <c r="AA2551" s="30"/>
    </row>
    <row r="2552">
      <c r="A2552" s="29">
        <v>2217163.0</v>
      </c>
      <c r="B2552" s="29">
        <v>2217753.0</v>
      </c>
      <c r="C2552" s="30" t="str">
        <f t="shared" si="1"/>
        <v>+</v>
      </c>
      <c r="D2552" s="29">
        <f t="shared" si="2"/>
        <v>864</v>
      </c>
      <c r="E2552" s="30"/>
      <c r="F2552" s="30"/>
      <c r="G2552" s="30"/>
      <c r="H2552" s="30"/>
      <c r="I2552" s="30"/>
      <c r="J2552" s="30"/>
      <c r="K2552" s="30"/>
      <c r="L2552" s="30"/>
      <c r="M2552" s="30"/>
      <c r="N2552" s="30"/>
      <c r="O2552" s="30"/>
      <c r="P2552" s="30"/>
      <c r="Q2552" s="30"/>
      <c r="R2552" s="30"/>
      <c r="S2552" s="30"/>
      <c r="T2552" s="30"/>
      <c r="U2552" s="30"/>
      <c r="V2552" s="30"/>
      <c r="W2552" s="30"/>
      <c r="X2552" s="30"/>
      <c r="Y2552" s="30"/>
      <c r="Z2552" s="30"/>
      <c r="AA2552" s="30"/>
    </row>
    <row r="2553">
      <c r="A2553" s="29">
        <v>2218298.0</v>
      </c>
      <c r="B2553" s="29">
        <v>2217756.0</v>
      </c>
      <c r="C2553" s="30" t="str">
        <f t="shared" si="1"/>
        <v>-</v>
      </c>
      <c r="D2553" s="29">
        <f t="shared" si="2"/>
        <v>865</v>
      </c>
      <c r="E2553" s="30"/>
      <c r="F2553" s="30"/>
      <c r="G2553" s="30"/>
      <c r="H2553" s="30"/>
      <c r="I2553" s="30"/>
      <c r="J2553" s="30"/>
      <c r="K2553" s="30"/>
      <c r="L2553" s="30"/>
      <c r="M2553" s="30"/>
      <c r="N2553" s="30"/>
      <c r="O2553" s="30"/>
      <c r="P2553" s="30"/>
      <c r="Q2553" s="30"/>
      <c r="R2553" s="30"/>
      <c r="S2553" s="30"/>
      <c r="T2553" s="30"/>
      <c r="U2553" s="30"/>
      <c r="V2553" s="30"/>
      <c r="W2553" s="30"/>
      <c r="X2553" s="30"/>
      <c r="Y2553" s="30"/>
      <c r="Z2553" s="30"/>
      <c r="AA2553" s="30"/>
    </row>
    <row r="2554">
      <c r="A2554" s="29">
        <v>2219321.0</v>
      </c>
      <c r="B2554" s="29">
        <v>2218320.0</v>
      </c>
      <c r="C2554" s="30" t="str">
        <f t="shared" si="1"/>
        <v>-</v>
      </c>
      <c r="D2554" s="29">
        <f t="shared" si="2"/>
        <v>865</v>
      </c>
      <c r="E2554" s="30"/>
      <c r="F2554" s="30"/>
      <c r="G2554" s="30"/>
      <c r="H2554" s="30"/>
      <c r="I2554" s="30"/>
      <c r="J2554" s="30"/>
      <c r="K2554" s="30"/>
      <c r="L2554" s="30"/>
      <c r="M2554" s="30"/>
      <c r="N2554" s="30"/>
      <c r="O2554" s="30"/>
      <c r="P2554" s="30"/>
      <c r="Q2554" s="30"/>
      <c r="R2554" s="30"/>
      <c r="S2554" s="30"/>
      <c r="T2554" s="30"/>
      <c r="U2554" s="30"/>
      <c r="V2554" s="30"/>
      <c r="W2554" s="30"/>
      <c r="X2554" s="30"/>
      <c r="Y2554" s="30"/>
      <c r="Z2554" s="30"/>
      <c r="AA2554" s="30"/>
    </row>
    <row r="2555">
      <c r="A2555" s="29">
        <v>2220795.0</v>
      </c>
      <c r="B2555" s="29">
        <v>2220328.0</v>
      </c>
      <c r="C2555" s="30" t="str">
        <f t="shared" si="1"/>
        <v>-</v>
      </c>
      <c r="D2555" s="29">
        <f t="shared" si="2"/>
        <v>865</v>
      </c>
      <c r="E2555" s="30"/>
      <c r="F2555" s="30"/>
      <c r="G2555" s="30"/>
      <c r="H2555" s="30"/>
      <c r="I2555" s="30"/>
      <c r="J2555" s="30"/>
      <c r="K2555" s="30"/>
      <c r="L2555" s="30"/>
      <c r="M2555" s="30"/>
      <c r="N2555" s="30"/>
      <c r="O2555" s="30"/>
      <c r="P2555" s="30"/>
      <c r="Q2555" s="30"/>
      <c r="R2555" s="30"/>
      <c r="S2555" s="30"/>
      <c r="T2555" s="30"/>
      <c r="U2555" s="30"/>
      <c r="V2555" s="30"/>
      <c r="W2555" s="30"/>
      <c r="X2555" s="30"/>
      <c r="Y2555" s="30"/>
      <c r="Z2555" s="30"/>
      <c r="AA2555" s="30"/>
    </row>
    <row r="2556">
      <c r="A2556" s="29">
        <v>2222436.0</v>
      </c>
      <c r="B2556" s="29">
        <v>2220826.0</v>
      </c>
      <c r="C2556" s="30" t="str">
        <f t="shared" si="1"/>
        <v>-</v>
      </c>
      <c r="D2556" s="29">
        <f t="shared" si="2"/>
        <v>865</v>
      </c>
      <c r="E2556" s="30"/>
      <c r="F2556" s="30"/>
      <c r="G2556" s="30"/>
      <c r="H2556" s="30"/>
      <c r="I2556" s="30"/>
      <c r="J2556" s="30"/>
      <c r="K2556" s="30"/>
      <c r="L2556" s="30"/>
      <c r="M2556" s="30"/>
      <c r="N2556" s="30"/>
      <c r="O2556" s="30"/>
      <c r="P2556" s="30"/>
      <c r="Q2556" s="30"/>
      <c r="R2556" s="30"/>
      <c r="S2556" s="30"/>
      <c r="T2556" s="30"/>
      <c r="U2556" s="30"/>
      <c r="V2556" s="30"/>
      <c r="W2556" s="30"/>
      <c r="X2556" s="30"/>
      <c r="Y2556" s="30"/>
      <c r="Z2556" s="30"/>
      <c r="AA2556" s="30"/>
    </row>
    <row r="2557">
      <c r="A2557" s="29">
        <v>2223320.0</v>
      </c>
      <c r="B2557" s="29">
        <v>2222433.0</v>
      </c>
      <c r="C2557" s="30" t="str">
        <f t="shared" si="1"/>
        <v>-</v>
      </c>
      <c r="D2557" s="29">
        <f t="shared" si="2"/>
        <v>865</v>
      </c>
      <c r="E2557" s="30"/>
      <c r="F2557" s="30"/>
      <c r="G2557" s="30"/>
      <c r="H2557" s="30"/>
      <c r="I2557" s="30"/>
      <c r="J2557" s="30"/>
      <c r="K2557" s="30"/>
      <c r="L2557" s="30"/>
      <c r="M2557" s="30"/>
      <c r="N2557" s="30"/>
      <c r="O2557" s="30"/>
      <c r="P2557" s="30"/>
      <c r="Q2557" s="30"/>
      <c r="R2557" s="30"/>
      <c r="S2557" s="30"/>
      <c r="T2557" s="30"/>
      <c r="U2557" s="30"/>
      <c r="V2557" s="30"/>
      <c r="W2557" s="30"/>
      <c r="X2557" s="30"/>
      <c r="Y2557" s="30"/>
      <c r="Z2557" s="30"/>
      <c r="AA2557" s="30"/>
    </row>
    <row r="2558">
      <c r="A2558" s="29">
        <v>2223606.0</v>
      </c>
      <c r="B2558" s="29">
        <v>2223343.0</v>
      </c>
      <c r="C2558" s="30" t="str">
        <f t="shared" si="1"/>
        <v>-</v>
      </c>
      <c r="D2558" s="29">
        <f t="shared" si="2"/>
        <v>865</v>
      </c>
      <c r="E2558" s="30"/>
      <c r="F2558" s="30"/>
      <c r="G2558" s="30"/>
      <c r="H2558" s="30"/>
      <c r="I2558" s="30"/>
      <c r="J2558" s="30"/>
      <c r="K2558" s="30"/>
      <c r="L2558" s="30"/>
      <c r="M2558" s="30"/>
      <c r="N2558" s="30"/>
      <c r="O2558" s="30"/>
      <c r="P2558" s="30"/>
      <c r="Q2558" s="30"/>
      <c r="R2558" s="30"/>
      <c r="S2558" s="30"/>
      <c r="T2558" s="30"/>
      <c r="U2558" s="30"/>
      <c r="V2558" s="30"/>
      <c r="W2558" s="30"/>
      <c r="X2558" s="30"/>
      <c r="Y2558" s="30"/>
      <c r="Z2558" s="30"/>
      <c r="AA2558" s="30"/>
    </row>
    <row r="2559">
      <c r="A2559" s="29">
        <v>2224207.0</v>
      </c>
      <c r="B2559" s="29">
        <v>2223629.0</v>
      </c>
      <c r="C2559" s="30" t="str">
        <f t="shared" si="1"/>
        <v>-</v>
      </c>
      <c r="D2559" s="29">
        <f t="shared" si="2"/>
        <v>865</v>
      </c>
      <c r="E2559" s="30"/>
      <c r="F2559" s="30"/>
      <c r="G2559" s="30"/>
      <c r="H2559" s="30"/>
      <c r="I2559" s="30"/>
      <c r="J2559" s="30"/>
      <c r="K2559" s="30"/>
      <c r="L2559" s="30"/>
      <c r="M2559" s="30"/>
      <c r="N2559" s="30"/>
      <c r="O2559" s="30"/>
      <c r="P2559" s="30"/>
      <c r="Q2559" s="30"/>
      <c r="R2559" s="30"/>
      <c r="S2559" s="30"/>
      <c r="T2559" s="30"/>
      <c r="U2559" s="30"/>
      <c r="V2559" s="30"/>
      <c r="W2559" s="30"/>
      <c r="X2559" s="30"/>
      <c r="Y2559" s="30"/>
      <c r="Z2559" s="30"/>
      <c r="AA2559" s="30"/>
    </row>
    <row r="2560">
      <c r="A2560" s="29">
        <v>2224270.0</v>
      </c>
      <c r="B2560" s="29">
        <v>2224941.0</v>
      </c>
      <c r="C2560" s="30" t="str">
        <f t="shared" si="1"/>
        <v>+</v>
      </c>
      <c r="D2560" s="29">
        <f t="shared" si="2"/>
        <v>866</v>
      </c>
      <c r="E2560" s="30"/>
      <c r="F2560" s="30"/>
      <c r="G2560" s="30"/>
      <c r="H2560" s="30"/>
      <c r="I2560" s="30"/>
      <c r="J2560" s="30"/>
      <c r="K2560" s="30"/>
      <c r="L2560" s="30"/>
      <c r="M2560" s="30"/>
      <c r="N2560" s="30"/>
      <c r="O2560" s="30"/>
      <c r="P2560" s="30"/>
      <c r="Q2560" s="30"/>
      <c r="R2560" s="30"/>
      <c r="S2560" s="30"/>
      <c r="T2560" s="30"/>
      <c r="U2560" s="30"/>
      <c r="V2560" s="30"/>
      <c r="W2560" s="30"/>
      <c r="X2560" s="30"/>
      <c r="Y2560" s="30"/>
      <c r="Z2560" s="30"/>
      <c r="AA2560" s="30"/>
    </row>
    <row r="2561">
      <c r="A2561" s="29">
        <v>2224983.0</v>
      </c>
      <c r="B2561" s="29">
        <v>2225123.0</v>
      </c>
      <c r="C2561" s="30" t="str">
        <f t="shared" si="1"/>
        <v>+</v>
      </c>
      <c r="D2561" s="29">
        <f t="shared" si="2"/>
        <v>866</v>
      </c>
      <c r="E2561" s="30"/>
      <c r="F2561" s="30"/>
      <c r="G2561" s="30"/>
      <c r="H2561" s="30"/>
      <c r="I2561" s="30"/>
      <c r="J2561" s="30"/>
      <c r="K2561" s="30"/>
      <c r="L2561" s="30"/>
      <c r="M2561" s="30"/>
      <c r="N2561" s="30"/>
      <c r="O2561" s="30"/>
      <c r="P2561" s="30"/>
      <c r="Q2561" s="30"/>
      <c r="R2561" s="30"/>
      <c r="S2561" s="30"/>
      <c r="T2561" s="30"/>
      <c r="U2561" s="30"/>
      <c r="V2561" s="30"/>
      <c r="W2561" s="30"/>
      <c r="X2561" s="30"/>
      <c r="Y2561" s="30"/>
      <c r="Z2561" s="30"/>
      <c r="AA2561" s="30"/>
    </row>
    <row r="2562">
      <c r="A2562" s="29">
        <v>2225325.0</v>
      </c>
      <c r="B2562" s="29">
        <v>2225131.0</v>
      </c>
      <c r="C2562" s="30" t="str">
        <f t="shared" si="1"/>
        <v>-</v>
      </c>
      <c r="D2562" s="29">
        <f t="shared" si="2"/>
        <v>867</v>
      </c>
      <c r="E2562" s="30"/>
      <c r="F2562" s="30"/>
      <c r="G2562" s="30"/>
      <c r="H2562" s="30"/>
      <c r="I2562" s="30"/>
      <c r="J2562" s="30"/>
      <c r="K2562" s="30"/>
      <c r="L2562" s="30"/>
      <c r="M2562" s="30"/>
      <c r="N2562" s="30"/>
      <c r="O2562" s="30"/>
      <c r="P2562" s="30"/>
      <c r="Q2562" s="30"/>
      <c r="R2562" s="30"/>
      <c r="S2562" s="30"/>
      <c r="T2562" s="30"/>
      <c r="U2562" s="30"/>
      <c r="V2562" s="30"/>
      <c r="W2562" s="30"/>
      <c r="X2562" s="30"/>
      <c r="Y2562" s="30"/>
      <c r="Z2562" s="30"/>
      <c r="AA2562" s="30"/>
    </row>
    <row r="2563">
      <c r="A2563" s="29">
        <v>2226209.0</v>
      </c>
      <c r="B2563" s="29">
        <v>2225331.0</v>
      </c>
      <c r="C2563" s="30" t="str">
        <f t="shared" si="1"/>
        <v>-</v>
      </c>
      <c r="D2563" s="29">
        <f t="shared" si="2"/>
        <v>867</v>
      </c>
      <c r="E2563" s="30"/>
      <c r="F2563" s="30"/>
      <c r="G2563" s="30"/>
      <c r="H2563" s="30"/>
      <c r="I2563" s="30"/>
      <c r="J2563" s="30"/>
      <c r="K2563" s="30"/>
      <c r="L2563" s="30"/>
      <c r="M2563" s="30"/>
      <c r="N2563" s="30"/>
      <c r="O2563" s="30"/>
      <c r="P2563" s="30"/>
      <c r="Q2563" s="30"/>
      <c r="R2563" s="30"/>
      <c r="S2563" s="30"/>
      <c r="T2563" s="30"/>
      <c r="U2563" s="30"/>
      <c r="V2563" s="30"/>
      <c r="W2563" s="30"/>
      <c r="X2563" s="30"/>
      <c r="Y2563" s="30"/>
      <c r="Z2563" s="30"/>
      <c r="AA2563" s="30"/>
    </row>
    <row r="2564">
      <c r="A2564" s="29">
        <v>2226222.0</v>
      </c>
      <c r="B2564" s="29">
        <v>2226812.0</v>
      </c>
      <c r="C2564" s="30" t="str">
        <f t="shared" si="1"/>
        <v>+</v>
      </c>
      <c r="D2564" s="29">
        <f t="shared" si="2"/>
        <v>868</v>
      </c>
      <c r="E2564" s="30"/>
      <c r="F2564" s="30"/>
      <c r="G2564" s="30"/>
      <c r="H2564" s="30"/>
      <c r="I2564" s="30"/>
      <c r="J2564" s="30"/>
      <c r="K2564" s="30"/>
      <c r="L2564" s="30"/>
      <c r="M2564" s="30"/>
      <c r="N2564" s="30"/>
      <c r="O2564" s="30"/>
      <c r="P2564" s="30"/>
      <c r="Q2564" s="30"/>
      <c r="R2564" s="30"/>
      <c r="S2564" s="30"/>
      <c r="T2564" s="30"/>
      <c r="U2564" s="30"/>
      <c r="V2564" s="30"/>
      <c r="W2564" s="30"/>
      <c r="X2564" s="30"/>
      <c r="Y2564" s="30"/>
      <c r="Z2564" s="30"/>
      <c r="AA2564" s="30"/>
    </row>
    <row r="2565">
      <c r="A2565" s="29">
        <v>2227288.0</v>
      </c>
      <c r="B2565" s="29">
        <v>2226791.0</v>
      </c>
      <c r="C2565" s="30" t="str">
        <f t="shared" si="1"/>
        <v>-</v>
      </c>
      <c r="D2565" s="29">
        <f t="shared" si="2"/>
        <v>869</v>
      </c>
      <c r="E2565" s="30"/>
      <c r="F2565" s="30"/>
      <c r="G2565" s="30"/>
      <c r="H2565" s="30"/>
      <c r="I2565" s="30"/>
      <c r="J2565" s="30"/>
      <c r="K2565" s="30"/>
      <c r="L2565" s="30"/>
      <c r="M2565" s="30"/>
      <c r="N2565" s="30"/>
      <c r="O2565" s="30"/>
      <c r="P2565" s="30"/>
      <c r="Q2565" s="30"/>
      <c r="R2565" s="30"/>
      <c r="S2565" s="30"/>
      <c r="T2565" s="30"/>
      <c r="U2565" s="30"/>
      <c r="V2565" s="30"/>
      <c r="W2565" s="30"/>
      <c r="X2565" s="30"/>
      <c r="Y2565" s="30"/>
      <c r="Z2565" s="30"/>
      <c r="AA2565" s="30"/>
    </row>
    <row r="2566">
      <c r="A2566" s="29">
        <v>2227455.0</v>
      </c>
      <c r="B2566" s="29">
        <v>2227285.0</v>
      </c>
      <c r="C2566" s="30" t="str">
        <f t="shared" si="1"/>
        <v>-</v>
      </c>
      <c r="D2566" s="29">
        <f t="shared" si="2"/>
        <v>869</v>
      </c>
      <c r="E2566" s="30"/>
      <c r="F2566" s="30"/>
      <c r="G2566" s="30"/>
      <c r="H2566" s="30"/>
      <c r="I2566" s="30"/>
      <c r="J2566" s="30"/>
      <c r="K2566" s="30"/>
      <c r="L2566" s="30"/>
      <c r="M2566" s="30"/>
      <c r="N2566" s="30"/>
      <c r="O2566" s="30"/>
      <c r="P2566" s="30"/>
      <c r="Q2566" s="30"/>
      <c r="R2566" s="30"/>
      <c r="S2566" s="30"/>
      <c r="T2566" s="30"/>
      <c r="U2566" s="30"/>
      <c r="V2566" s="30"/>
      <c r="W2566" s="30"/>
      <c r="X2566" s="30"/>
      <c r="Y2566" s="30"/>
      <c r="Z2566" s="30"/>
      <c r="AA2566" s="30"/>
    </row>
    <row r="2567">
      <c r="A2567" s="29">
        <v>2227496.0</v>
      </c>
      <c r="B2567" s="29">
        <v>2227915.0</v>
      </c>
      <c r="C2567" s="30" t="str">
        <f t="shared" si="1"/>
        <v>+</v>
      </c>
      <c r="D2567" s="29">
        <f t="shared" si="2"/>
        <v>870</v>
      </c>
      <c r="E2567" s="30"/>
      <c r="F2567" s="30"/>
      <c r="G2567" s="30"/>
      <c r="H2567" s="30"/>
      <c r="I2567" s="30"/>
      <c r="J2567" s="30"/>
      <c r="K2567" s="30"/>
      <c r="L2567" s="30"/>
      <c r="M2567" s="30"/>
      <c r="N2567" s="30"/>
      <c r="O2567" s="30"/>
      <c r="P2567" s="30"/>
      <c r="Q2567" s="30"/>
      <c r="R2567" s="30"/>
      <c r="S2567" s="30"/>
      <c r="T2567" s="30"/>
      <c r="U2567" s="30"/>
      <c r="V2567" s="30"/>
      <c r="W2567" s="30"/>
      <c r="X2567" s="30"/>
      <c r="Y2567" s="30"/>
      <c r="Z2567" s="30"/>
      <c r="AA2567" s="30"/>
    </row>
    <row r="2568">
      <c r="A2568" s="29">
        <v>2228246.0</v>
      </c>
      <c r="B2568" s="29">
        <v>2227890.0</v>
      </c>
      <c r="C2568" s="30" t="str">
        <f t="shared" si="1"/>
        <v>-</v>
      </c>
      <c r="D2568" s="29">
        <f t="shared" si="2"/>
        <v>871</v>
      </c>
      <c r="E2568" s="30"/>
      <c r="F2568" s="30"/>
      <c r="G2568" s="30"/>
      <c r="H2568" s="30"/>
      <c r="I2568" s="30"/>
      <c r="J2568" s="30"/>
      <c r="K2568" s="30"/>
      <c r="L2568" s="30"/>
      <c r="M2568" s="30"/>
      <c r="N2568" s="30"/>
      <c r="O2568" s="30"/>
      <c r="P2568" s="30"/>
      <c r="Q2568" s="30"/>
      <c r="R2568" s="30"/>
      <c r="S2568" s="30"/>
      <c r="T2568" s="30"/>
      <c r="U2568" s="30"/>
      <c r="V2568" s="30"/>
      <c r="W2568" s="30"/>
      <c r="X2568" s="30"/>
      <c r="Y2568" s="30"/>
      <c r="Z2568" s="30"/>
      <c r="AA2568" s="30"/>
    </row>
    <row r="2569">
      <c r="A2569" s="29">
        <v>2228734.0</v>
      </c>
      <c r="B2569" s="29">
        <v>2228240.0</v>
      </c>
      <c r="C2569" s="30" t="str">
        <f t="shared" si="1"/>
        <v>-</v>
      </c>
      <c r="D2569" s="29">
        <f t="shared" si="2"/>
        <v>871</v>
      </c>
      <c r="E2569" s="30"/>
      <c r="F2569" s="30"/>
      <c r="G2569" s="30"/>
      <c r="H2569" s="30"/>
      <c r="I2569" s="30"/>
      <c r="J2569" s="30"/>
      <c r="K2569" s="30"/>
      <c r="L2569" s="30"/>
      <c r="M2569" s="30"/>
      <c r="N2569" s="30"/>
      <c r="O2569" s="30"/>
      <c r="P2569" s="30"/>
      <c r="Q2569" s="30"/>
      <c r="R2569" s="30"/>
      <c r="S2569" s="30"/>
      <c r="T2569" s="30"/>
      <c r="U2569" s="30"/>
      <c r="V2569" s="30"/>
      <c r="W2569" s="30"/>
      <c r="X2569" s="30"/>
      <c r="Y2569" s="30"/>
      <c r="Z2569" s="30"/>
      <c r="AA2569" s="30"/>
    </row>
    <row r="2570">
      <c r="A2570" s="29">
        <v>2228945.0</v>
      </c>
      <c r="B2570" s="29">
        <v>2229319.0</v>
      </c>
      <c r="C2570" s="30" t="str">
        <f t="shared" si="1"/>
        <v>+</v>
      </c>
      <c r="D2570" s="29">
        <f t="shared" si="2"/>
        <v>872</v>
      </c>
      <c r="E2570" s="30"/>
      <c r="F2570" s="30"/>
      <c r="G2570" s="30"/>
      <c r="H2570" s="30"/>
      <c r="I2570" s="30"/>
      <c r="J2570" s="30"/>
      <c r="K2570" s="30"/>
      <c r="L2570" s="30"/>
      <c r="M2570" s="30"/>
      <c r="N2570" s="30"/>
      <c r="O2570" s="30"/>
      <c r="P2570" s="30"/>
      <c r="Q2570" s="30"/>
      <c r="R2570" s="30"/>
      <c r="S2570" s="30"/>
      <c r="T2570" s="30"/>
      <c r="U2570" s="30"/>
      <c r="V2570" s="30"/>
      <c r="W2570" s="30"/>
      <c r="X2570" s="30"/>
      <c r="Y2570" s="30"/>
      <c r="Z2570" s="30"/>
      <c r="AA2570" s="30"/>
    </row>
    <row r="2571">
      <c r="A2571" s="29">
        <v>2229330.0</v>
      </c>
      <c r="B2571" s="29">
        <v>2230373.0</v>
      </c>
      <c r="C2571" s="30" t="str">
        <f t="shared" si="1"/>
        <v>+</v>
      </c>
      <c r="D2571" s="29">
        <f t="shared" si="2"/>
        <v>872</v>
      </c>
      <c r="E2571" s="30"/>
      <c r="F2571" s="30"/>
      <c r="G2571" s="30"/>
      <c r="H2571" s="30"/>
      <c r="I2571" s="30"/>
      <c r="J2571" s="30"/>
      <c r="K2571" s="30"/>
      <c r="L2571" s="30"/>
      <c r="M2571" s="30"/>
      <c r="N2571" s="30"/>
      <c r="O2571" s="30"/>
      <c r="P2571" s="30"/>
      <c r="Q2571" s="30"/>
      <c r="R2571" s="30"/>
      <c r="S2571" s="30"/>
      <c r="T2571" s="30"/>
      <c r="U2571" s="30"/>
      <c r="V2571" s="30"/>
      <c r="W2571" s="30"/>
      <c r="X2571" s="30"/>
      <c r="Y2571" s="30"/>
      <c r="Z2571" s="30"/>
      <c r="AA2571" s="30"/>
    </row>
    <row r="2572">
      <c r="A2572" s="29">
        <v>2231233.0</v>
      </c>
      <c r="B2572" s="29">
        <v>2230370.0</v>
      </c>
      <c r="C2572" s="30" t="str">
        <f t="shared" si="1"/>
        <v>-</v>
      </c>
      <c r="D2572" s="29">
        <f t="shared" si="2"/>
        <v>873</v>
      </c>
      <c r="E2572" s="30"/>
      <c r="F2572" s="30"/>
      <c r="G2572" s="30"/>
      <c r="H2572" s="30"/>
      <c r="I2572" s="30"/>
      <c r="J2572" s="30"/>
      <c r="K2572" s="30"/>
      <c r="L2572" s="30"/>
      <c r="M2572" s="30"/>
      <c r="N2572" s="30"/>
      <c r="O2572" s="30"/>
      <c r="P2572" s="30"/>
      <c r="Q2572" s="30"/>
      <c r="R2572" s="30"/>
      <c r="S2572" s="30"/>
      <c r="T2572" s="30"/>
      <c r="U2572" s="30"/>
      <c r="V2572" s="30"/>
      <c r="W2572" s="30"/>
      <c r="X2572" s="30"/>
      <c r="Y2572" s="30"/>
      <c r="Z2572" s="30"/>
      <c r="AA2572" s="30"/>
    </row>
    <row r="2573">
      <c r="A2573" s="29">
        <v>2231298.0</v>
      </c>
      <c r="B2573" s="29">
        <v>2231594.0</v>
      </c>
      <c r="C2573" s="30" t="str">
        <f t="shared" si="1"/>
        <v>+</v>
      </c>
      <c r="D2573" s="29">
        <f t="shared" si="2"/>
        <v>874</v>
      </c>
      <c r="E2573" s="30"/>
      <c r="F2573" s="30"/>
      <c r="G2573" s="30"/>
      <c r="H2573" s="30"/>
      <c r="I2573" s="30"/>
      <c r="J2573" s="30"/>
      <c r="K2573" s="30"/>
      <c r="L2573" s="30"/>
      <c r="M2573" s="30"/>
      <c r="N2573" s="30"/>
      <c r="O2573" s="30"/>
      <c r="P2573" s="30"/>
      <c r="Q2573" s="30"/>
      <c r="R2573" s="30"/>
      <c r="S2573" s="30"/>
      <c r="T2573" s="30"/>
      <c r="U2573" s="30"/>
      <c r="V2573" s="30"/>
      <c r="W2573" s="30"/>
      <c r="X2573" s="30"/>
      <c r="Y2573" s="30"/>
      <c r="Z2573" s="30"/>
      <c r="AA2573" s="30"/>
    </row>
    <row r="2574">
      <c r="A2574" s="29">
        <v>2233013.0</v>
      </c>
      <c r="B2574" s="29">
        <v>2231583.0</v>
      </c>
      <c r="C2574" s="30" t="str">
        <f t="shared" si="1"/>
        <v>-</v>
      </c>
      <c r="D2574" s="29">
        <f t="shared" si="2"/>
        <v>875</v>
      </c>
      <c r="E2574" s="30"/>
      <c r="F2574" s="30"/>
      <c r="G2574" s="30"/>
      <c r="H2574" s="30"/>
      <c r="I2574" s="30"/>
      <c r="J2574" s="30"/>
      <c r="K2574" s="30"/>
      <c r="L2574" s="30"/>
      <c r="M2574" s="30"/>
      <c r="N2574" s="30"/>
      <c r="O2574" s="30"/>
      <c r="P2574" s="30"/>
      <c r="Q2574" s="30"/>
      <c r="R2574" s="30"/>
      <c r="S2574" s="30"/>
      <c r="T2574" s="30"/>
      <c r="U2574" s="30"/>
      <c r="V2574" s="30"/>
      <c r="W2574" s="30"/>
      <c r="X2574" s="30"/>
      <c r="Y2574" s="30"/>
      <c r="Z2574" s="30"/>
      <c r="AA2574" s="30"/>
    </row>
    <row r="2575">
      <c r="A2575" s="29">
        <v>2233044.0</v>
      </c>
      <c r="B2575" s="29">
        <v>2234132.0</v>
      </c>
      <c r="C2575" s="30" t="str">
        <f t="shared" si="1"/>
        <v>+</v>
      </c>
      <c r="D2575" s="29">
        <f t="shared" si="2"/>
        <v>876</v>
      </c>
      <c r="E2575" s="30"/>
      <c r="F2575" s="30"/>
      <c r="G2575" s="30"/>
      <c r="H2575" s="30"/>
      <c r="I2575" s="30"/>
      <c r="J2575" s="30"/>
      <c r="K2575" s="30"/>
      <c r="L2575" s="30"/>
      <c r="M2575" s="30"/>
      <c r="N2575" s="30"/>
      <c r="O2575" s="30"/>
      <c r="P2575" s="30"/>
      <c r="Q2575" s="30"/>
      <c r="R2575" s="30"/>
      <c r="S2575" s="30"/>
      <c r="T2575" s="30"/>
      <c r="U2575" s="30"/>
      <c r="V2575" s="30"/>
      <c r="W2575" s="30"/>
      <c r="X2575" s="30"/>
      <c r="Y2575" s="30"/>
      <c r="Z2575" s="30"/>
      <c r="AA2575" s="30"/>
    </row>
    <row r="2576">
      <c r="A2576" s="29">
        <v>2235215.0</v>
      </c>
      <c r="B2576" s="29">
        <v>2234097.0</v>
      </c>
      <c r="C2576" s="30" t="str">
        <f t="shared" si="1"/>
        <v>-</v>
      </c>
      <c r="D2576" s="29">
        <f t="shared" si="2"/>
        <v>877</v>
      </c>
      <c r="E2576" s="30"/>
      <c r="F2576" s="30"/>
      <c r="G2576" s="30"/>
      <c r="H2576" s="30"/>
      <c r="I2576" s="30"/>
      <c r="J2576" s="30"/>
      <c r="K2576" s="30"/>
      <c r="L2576" s="30"/>
      <c r="M2576" s="30"/>
      <c r="N2576" s="30"/>
      <c r="O2576" s="30"/>
      <c r="P2576" s="30"/>
      <c r="Q2576" s="30"/>
      <c r="R2576" s="30"/>
      <c r="S2576" s="30"/>
      <c r="T2576" s="30"/>
      <c r="U2576" s="30"/>
      <c r="V2576" s="30"/>
      <c r="W2576" s="30"/>
      <c r="X2576" s="30"/>
      <c r="Y2576" s="30"/>
      <c r="Z2576" s="30"/>
      <c r="AA2576" s="30"/>
    </row>
    <row r="2577">
      <c r="A2577" s="29">
        <v>2235262.0</v>
      </c>
      <c r="B2577" s="29">
        <v>2235732.0</v>
      </c>
      <c r="C2577" s="30" t="str">
        <f t="shared" si="1"/>
        <v>+</v>
      </c>
      <c r="D2577" s="29">
        <f t="shared" si="2"/>
        <v>878</v>
      </c>
      <c r="E2577" s="30"/>
      <c r="F2577" s="30"/>
      <c r="G2577" s="30"/>
      <c r="H2577" s="30"/>
      <c r="I2577" s="30"/>
      <c r="J2577" s="30"/>
      <c r="K2577" s="30"/>
      <c r="L2577" s="30"/>
      <c r="M2577" s="30"/>
      <c r="N2577" s="30"/>
      <c r="O2577" s="30"/>
      <c r="P2577" s="30"/>
      <c r="Q2577" s="30"/>
      <c r="R2577" s="30"/>
      <c r="S2577" s="30"/>
      <c r="T2577" s="30"/>
      <c r="U2577" s="30"/>
      <c r="V2577" s="30"/>
      <c r="W2577" s="30"/>
      <c r="X2577" s="30"/>
      <c r="Y2577" s="30"/>
      <c r="Z2577" s="30"/>
      <c r="AA2577" s="30"/>
    </row>
    <row r="2578">
      <c r="A2578" s="29">
        <v>2235755.0</v>
      </c>
      <c r="B2578" s="29">
        <v>2236441.0</v>
      </c>
      <c r="C2578" s="30" t="str">
        <f t="shared" si="1"/>
        <v>+</v>
      </c>
      <c r="D2578" s="29">
        <f t="shared" si="2"/>
        <v>878</v>
      </c>
      <c r="E2578" s="30"/>
      <c r="F2578" s="30"/>
      <c r="G2578" s="30"/>
      <c r="H2578" s="30"/>
      <c r="I2578" s="30"/>
      <c r="J2578" s="30"/>
      <c r="K2578" s="30"/>
      <c r="L2578" s="30"/>
      <c r="M2578" s="30"/>
      <c r="N2578" s="30"/>
      <c r="O2578" s="30"/>
      <c r="P2578" s="30"/>
      <c r="Q2578" s="30"/>
      <c r="R2578" s="30"/>
      <c r="S2578" s="30"/>
      <c r="T2578" s="30"/>
      <c r="U2578" s="30"/>
      <c r="V2578" s="30"/>
      <c r="W2578" s="30"/>
      <c r="X2578" s="30"/>
      <c r="Y2578" s="30"/>
      <c r="Z2578" s="30"/>
      <c r="AA2578" s="30"/>
    </row>
    <row r="2579">
      <c r="A2579" s="29">
        <v>2236770.0</v>
      </c>
      <c r="B2579" s="29">
        <v>2236429.0</v>
      </c>
      <c r="C2579" s="30" t="str">
        <f t="shared" si="1"/>
        <v>-</v>
      </c>
      <c r="D2579" s="29">
        <f t="shared" si="2"/>
        <v>879</v>
      </c>
      <c r="E2579" s="30"/>
      <c r="F2579" s="30"/>
      <c r="G2579" s="30"/>
      <c r="H2579" s="30"/>
      <c r="I2579" s="30"/>
      <c r="J2579" s="30"/>
      <c r="K2579" s="30"/>
      <c r="L2579" s="30"/>
      <c r="M2579" s="30"/>
      <c r="N2579" s="30"/>
      <c r="O2579" s="30"/>
      <c r="P2579" s="30"/>
      <c r="Q2579" s="30"/>
      <c r="R2579" s="30"/>
      <c r="S2579" s="30"/>
      <c r="T2579" s="30"/>
      <c r="U2579" s="30"/>
      <c r="V2579" s="30"/>
      <c r="W2579" s="30"/>
      <c r="X2579" s="30"/>
      <c r="Y2579" s="30"/>
      <c r="Z2579" s="30"/>
      <c r="AA2579" s="30"/>
    </row>
    <row r="2580">
      <c r="A2580" s="29">
        <v>2237495.0</v>
      </c>
      <c r="B2580" s="29">
        <v>2236767.0</v>
      </c>
      <c r="C2580" s="30" t="str">
        <f t="shared" si="1"/>
        <v>-</v>
      </c>
      <c r="D2580" s="29">
        <f t="shared" si="2"/>
        <v>879</v>
      </c>
      <c r="E2580" s="30"/>
      <c r="F2580" s="30"/>
      <c r="G2580" s="30"/>
      <c r="H2580" s="30"/>
      <c r="I2580" s="30"/>
      <c r="J2580" s="30"/>
      <c r="K2580" s="30"/>
      <c r="L2580" s="30"/>
      <c r="M2580" s="30"/>
      <c r="N2580" s="30"/>
      <c r="O2580" s="30"/>
      <c r="P2580" s="30"/>
      <c r="Q2580" s="30"/>
      <c r="R2580" s="30"/>
      <c r="S2580" s="30"/>
      <c r="T2580" s="30"/>
      <c r="U2580" s="30"/>
      <c r="V2580" s="30"/>
      <c r="W2580" s="30"/>
      <c r="X2580" s="30"/>
      <c r="Y2580" s="30"/>
      <c r="Z2580" s="30"/>
      <c r="AA2580" s="30"/>
    </row>
    <row r="2581">
      <c r="A2581" s="29">
        <v>2239380.0</v>
      </c>
      <c r="B2581" s="29">
        <v>2237533.0</v>
      </c>
      <c r="C2581" s="30" t="str">
        <f t="shared" si="1"/>
        <v>-</v>
      </c>
      <c r="D2581" s="29">
        <f t="shared" si="2"/>
        <v>879</v>
      </c>
      <c r="E2581" s="30"/>
      <c r="F2581" s="30"/>
      <c r="G2581" s="30"/>
      <c r="H2581" s="30"/>
      <c r="I2581" s="30"/>
      <c r="J2581" s="30"/>
      <c r="K2581" s="30"/>
      <c r="L2581" s="30"/>
      <c r="M2581" s="30"/>
      <c r="N2581" s="30"/>
      <c r="O2581" s="30"/>
      <c r="P2581" s="30"/>
      <c r="Q2581" s="30"/>
      <c r="R2581" s="30"/>
      <c r="S2581" s="30"/>
      <c r="T2581" s="30"/>
      <c r="U2581" s="30"/>
      <c r="V2581" s="30"/>
      <c r="W2581" s="30"/>
      <c r="X2581" s="30"/>
      <c r="Y2581" s="30"/>
      <c r="Z2581" s="30"/>
      <c r="AA2581" s="30"/>
    </row>
    <row r="2582">
      <c r="A2582" s="29">
        <v>2239564.0</v>
      </c>
      <c r="B2582" s="29">
        <v>2239959.0</v>
      </c>
      <c r="C2582" s="30" t="str">
        <f t="shared" si="1"/>
        <v>+</v>
      </c>
      <c r="D2582" s="29">
        <f t="shared" si="2"/>
        <v>880</v>
      </c>
      <c r="E2582" s="30"/>
      <c r="F2582" s="30"/>
      <c r="G2582" s="30"/>
      <c r="H2582" s="30"/>
      <c r="I2582" s="30"/>
      <c r="J2582" s="30"/>
      <c r="K2582" s="30"/>
      <c r="L2582" s="30"/>
      <c r="M2582" s="30"/>
      <c r="N2582" s="30"/>
      <c r="O2582" s="30"/>
      <c r="P2582" s="30"/>
      <c r="Q2582" s="30"/>
      <c r="R2582" s="30"/>
      <c r="S2582" s="30"/>
      <c r="T2582" s="30"/>
      <c r="U2582" s="30"/>
      <c r="V2582" s="30"/>
      <c r="W2582" s="30"/>
      <c r="X2582" s="30"/>
      <c r="Y2582" s="30"/>
      <c r="Z2582" s="30"/>
      <c r="AA2582" s="30"/>
    </row>
    <row r="2583">
      <c r="A2583" s="29">
        <v>2239956.0</v>
      </c>
      <c r="B2583" s="29">
        <v>2240192.0</v>
      </c>
      <c r="C2583" s="30" t="str">
        <f t="shared" si="1"/>
        <v>+</v>
      </c>
      <c r="D2583" s="29">
        <f t="shared" si="2"/>
        <v>880</v>
      </c>
      <c r="E2583" s="30"/>
      <c r="F2583" s="30"/>
      <c r="G2583" s="30"/>
      <c r="H2583" s="30"/>
      <c r="I2583" s="30"/>
      <c r="J2583" s="30"/>
      <c r="K2583" s="30"/>
      <c r="L2583" s="30"/>
      <c r="M2583" s="30"/>
      <c r="N2583" s="30"/>
      <c r="O2583" s="30"/>
      <c r="P2583" s="30"/>
      <c r="Q2583" s="30"/>
      <c r="R2583" s="30"/>
      <c r="S2583" s="30"/>
      <c r="T2583" s="30"/>
      <c r="U2583" s="30"/>
      <c r="V2583" s="30"/>
      <c r="W2583" s="30"/>
      <c r="X2583" s="30"/>
      <c r="Y2583" s="30"/>
      <c r="Z2583" s="30"/>
      <c r="AA2583" s="30"/>
    </row>
    <row r="2584">
      <c r="A2584" s="29">
        <v>2241601.0</v>
      </c>
      <c r="B2584" s="29">
        <v>2241840.0</v>
      </c>
      <c r="C2584" s="30" t="str">
        <f t="shared" si="1"/>
        <v>+</v>
      </c>
      <c r="D2584" s="29">
        <f t="shared" si="2"/>
        <v>880</v>
      </c>
      <c r="E2584" s="30"/>
      <c r="F2584" s="30"/>
      <c r="G2584" s="30"/>
      <c r="H2584" s="30"/>
      <c r="I2584" s="30"/>
      <c r="J2584" s="30"/>
      <c r="K2584" s="30"/>
      <c r="L2584" s="30"/>
      <c r="M2584" s="30"/>
      <c r="N2584" s="30"/>
      <c r="O2584" s="30"/>
      <c r="P2584" s="30"/>
      <c r="Q2584" s="30"/>
      <c r="R2584" s="30"/>
      <c r="S2584" s="30"/>
      <c r="T2584" s="30"/>
      <c r="U2584" s="30"/>
      <c r="V2584" s="30"/>
      <c r="W2584" s="30"/>
      <c r="X2584" s="30"/>
      <c r="Y2584" s="30"/>
      <c r="Z2584" s="30"/>
      <c r="AA2584" s="30"/>
    </row>
    <row r="2585">
      <c r="A2585" s="29">
        <v>2241846.0</v>
      </c>
      <c r="B2585" s="29">
        <v>2241998.0</v>
      </c>
      <c r="C2585" s="30" t="str">
        <f t="shared" si="1"/>
        <v>+</v>
      </c>
      <c r="D2585" s="29">
        <f t="shared" si="2"/>
        <v>880</v>
      </c>
      <c r="E2585" s="30"/>
      <c r="F2585" s="30"/>
      <c r="G2585" s="30"/>
      <c r="H2585" s="30"/>
      <c r="I2585" s="30"/>
      <c r="J2585" s="30"/>
      <c r="K2585" s="30"/>
      <c r="L2585" s="30"/>
      <c r="M2585" s="30"/>
      <c r="N2585" s="30"/>
      <c r="O2585" s="30"/>
      <c r="P2585" s="30"/>
      <c r="Q2585" s="30"/>
      <c r="R2585" s="30"/>
      <c r="S2585" s="30"/>
      <c r="T2585" s="30"/>
      <c r="U2585" s="30"/>
      <c r="V2585" s="30"/>
      <c r="W2585" s="30"/>
      <c r="X2585" s="30"/>
      <c r="Y2585" s="30"/>
      <c r="Z2585" s="30"/>
      <c r="AA2585" s="30"/>
    </row>
    <row r="2586">
      <c r="A2586" s="29">
        <v>2242231.0</v>
      </c>
      <c r="B2586" s="29">
        <v>2242521.0</v>
      </c>
      <c r="C2586" s="30" t="str">
        <f t="shared" si="1"/>
        <v>+</v>
      </c>
      <c r="D2586" s="29">
        <f t="shared" si="2"/>
        <v>880</v>
      </c>
      <c r="E2586" s="30"/>
      <c r="F2586" s="30"/>
      <c r="G2586" s="30"/>
      <c r="H2586" s="30"/>
      <c r="I2586" s="30"/>
      <c r="J2586" s="30"/>
      <c r="K2586" s="30"/>
      <c r="L2586" s="30"/>
      <c r="M2586" s="30"/>
      <c r="N2586" s="30"/>
      <c r="O2586" s="30"/>
      <c r="P2586" s="30"/>
      <c r="Q2586" s="30"/>
      <c r="R2586" s="30"/>
      <c r="S2586" s="30"/>
      <c r="T2586" s="30"/>
      <c r="U2586" s="30"/>
      <c r="V2586" s="30"/>
      <c r="W2586" s="30"/>
      <c r="X2586" s="30"/>
      <c r="Y2586" s="30"/>
      <c r="Z2586" s="30"/>
      <c r="AA2586" s="30"/>
    </row>
    <row r="2587">
      <c r="A2587" s="29">
        <v>2242514.0</v>
      </c>
      <c r="B2587" s="29">
        <v>2243734.0</v>
      </c>
      <c r="C2587" s="30" t="str">
        <f t="shared" si="1"/>
        <v>+</v>
      </c>
      <c r="D2587" s="29">
        <f t="shared" si="2"/>
        <v>880</v>
      </c>
      <c r="E2587" s="30"/>
      <c r="F2587" s="30"/>
      <c r="G2587" s="30"/>
      <c r="H2587" s="30"/>
      <c r="I2587" s="30"/>
      <c r="J2587" s="30"/>
      <c r="K2587" s="30"/>
      <c r="L2587" s="30"/>
      <c r="M2587" s="30"/>
      <c r="N2587" s="30"/>
      <c r="O2587" s="30"/>
      <c r="P2587" s="30"/>
      <c r="Q2587" s="30"/>
      <c r="R2587" s="30"/>
      <c r="S2587" s="30"/>
      <c r="T2587" s="30"/>
      <c r="U2587" s="30"/>
      <c r="V2587" s="30"/>
      <c r="W2587" s="30"/>
      <c r="X2587" s="30"/>
      <c r="Y2587" s="30"/>
      <c r="Z2587" s="30"/>
      <c r="AA2587" s="30"/>
    </row>
    <row r="2588">
      <c r="A2588" s="29">
        <v>2243738.0</v>
      </c>
      <c r="B2588" s="29">
        <v>2244007.0</v>
      </c>
      <c r="C2588" s="30" t="str">
        <f t="shared" si="1"/>
        <v>+</v>
      </c>
      <c r="D2588" s="29">
        <f t="shared" si="2"/>
        <v>880</v>
      </c>
      <c r="E2588" s="30"/>
      <c r="F2588" s="30"/>
      <c r="G2588" s="30"/>
      <c r="H2588" s="30"/>
      <c r="I2588" s="30"/>
      <c r="J2588" s="30"/>
      <c r="K2588" s="30"/>
      <c r="L2588" s="30"/>
      <c r="M2588" s="30"/>
      <c r="N2588" s="30"/>
      <c r="O2588" s="30"/>
      <c r="P2588" s="30"/>
      <c r="Q2588" s="30"/>
      <c r="R2588" s="30"/>
      <c r="S2588" s="30"/>
      <c r="T2588" s="30"/>
      <c r="U2588" s="30"/>
      <c r="V2588" s="30"/>
      <c r="W2588" s="30"/>
      <c r="X2588" s="30"/>
      <c r="Y2588" s="30"/>
      <c r="Z2588" s="30"/>
      <c r="AA2588" s="30"/>
    </row>
    <row r="2589">
      <c r="A2589" s="29">
        <v>2244007.0</v>
      </c>
      <c r="B2589" s="29">
        <v>2245044.0</v>
      </c>
      <c r="C2589" s="30" t="str">
        <f t="shared" si="1"/>
        <v>+</v>
      </c>
      <c r="D2589" s="29">
        <f t="shared" si="2"/>
        <v>880</v>
      </c>
      <c r="E2589" s="30"/>
      <c r="F2589" s="30"/>
      <c r="G2589" s="30"/>
      <c r="H2589" s="30"/>
      <c r="I2589" s="30"/>
      <c r="J2589" s="30"/>
      <c r="K2589" s="30"/>
      <c r="L2589" s="30"/>
      <c r="M2589" s="30"/>
      <c r="N2589" s="30"/>
      <c r="O2589" s="30"/>
      <c r="P2589" s="30"/>
      <c r="Q2589" s="30"/>
      <c r="R2589" s="30"/>
      <c r="S2589" s="30"/>
      <c r="T2589" s="30"/>
      <c r="U2589" s="30"/>
      <c r="V2589" s="30"/>
      <c r="W2589" s="30"/>
      <c r="X2589" s="30"/>
      <c r="Y2589" s="30"/>
      <c r="Z2589" s="30"/>
      <c r="AA2589" s="30"/>
    </row>
    <row r="2590">
      <c r="A2590" s="29">
        <v>2245297.0</v>
      </c>
      <c r="B2590" s="29">
        <v>2245196.0</v>
      </c>
      <c r="C2590" s="30" t="str">
        <f t="shared" si="1"/>
        <v>-</v>
      </c>
      <c r="D2590" s="29">
        <f t="shared" si="2"/>
        <v>881</v>
      </c>
      <c r="E2590" s="30"/>
      <c r="F2590" s="30"/>
      <c r="G2590" s="30"/>
      <c r="H2590" s="30"/>
      <c r="I2590" s="30"/>
      <c r="J2590" s="30"/>
      <c r="K2590" s="30"/>
      <c r="L2590" s="30"/>
      <c r="M2590" s="30"/>
      <c r="N2590" s="30"/>
      <c r="O2590" s="30"/>
      <c r="P2590" s="30"/>
      <c r="Q2590" s="30"/>
      <c r="R2590" s="30"/>
      <c r="S2590" s="30"/>
      <c r="T2590" s="30"/>
      <c r="U2590" s="30"/>
      <c r="V2590" s="30"/>
      <c r="W2590" s="30"/>
      <c r="X2590" s="30"/>
      <c r="Y2590" s="30"/>
      <c r="Z2590" s="30"/>
      <c r="AA2590" s="30"/>
    </row>
    <row r="2591">
      <c r="A2591" s="29">
        <v>2245345.0</v>
      </c>
      <c r="B2591" s="29">
        <v>2247039.0</v>
      </c>
      <c r="C2591" s="30" t="str">
        <f t="shared" si="1"/>
        <v>+</v>
      </c>
      <c r="D2591" s="29">
        <f t="shared" si="2"/>
        <v>882</v>
      </c>
      <c r="E2591" s="30"/>
      <c r="F2591" s="30"/>
      <c r="G2591" s="30"/>
      <c r="H2591" s="30"/>
      <c r="I2591" s="30"/>
      <c r="J2591" s="30"/>
      <c r="K2591" s="30"/>
      <c r="L2591" s="30"/>
      <c r="M2591" s="30"/>
      <c r="N2591" s="30"/>
      <c r="O2591" s="30"/>
      <c r="P2591" s="30"/>
      <c r="Q2591" s="30"/>
      <c r="R2591" s="30"/>
      <c r="S2591" s="30"/>
      <c r="T2591" s="30"/>
      <c r="U2591" s="30"/>
      <c r="V2591" s="30"/>
      <c r="W2591" s="30"/>
      <c r="X2591" s="30"/>
      <c r="Y2591" s="30"/>
      <c r="Z2591" s="30"/>
      <c r="AA2591" s="30"/>
    </row>
    <row r="2592">
      <c r="A2592" s="29">
        <v>2247524.0</v>
      </c>
      <c r="B2592" s="29">
        <v>2247036.0</v>
      </c>
      <c r="C2592" s="30" t="str">
        <f t="shared" si="1"/>
        <v>-</v>
      </c>
      <c r="D2592" s="29">
        <f t="shared" si="2"/>
        <v>883</v>
      </c>
      <c r="E2592" s="30"/>
      <c r="F2592" s="30"/>
      <c r="G2592" s="30"/>
      <c r="H2592" s="30"/>
      <c r="I2592" s="30"/>
      <c r="J2592" s="30"/>
      <c r="K2592" s="30"/>
      <c r="L2592" s="30"/>
      <c r="M2592" s="30"/>
      <c r="N2592" s="30"/>
      <c r="O2592" s="30"/>
      <c r="P2592" s="30"/>
      <c r="Q2592" s="30"/>
      <c r="R2592" s="30"/>
      <c r="S2592" s="30"/>
      <c r="T2592" s="30"/>
      <c r="U2592" s="30"/>
      <c r="V2592" s="30"/>
      <c r="W2592" s="30"/>
      <c r="X2592" s="30"/>
      <c r="Y2592" s="30"/>
      <c r="Z2592" s="30"/>
      <c r="AA2592" s="30"/>
    </row>
    <row r="2593">
      <c r="A2593" s="29">
        <v>2249178.0</v>
      </c>
      <c r="B2593" s="29">
        <v>2247529.0</v>
      </c>
      <c r="C2593" s="30" t="str">
        <f t="shared" si="1"/>
        <v>-</v>
      </c>
      <c r="D2593" s="29">
        <f t="shared" si="2"/>
        <v>883</v>
      </c>
      <c r="E2593" s="30"/>
      <c r="F2593" s="30"/>
      <c r="G2593" s="30"/>
      <c r="H2593" s="30"/>
      <c r="I2593" s="30"/>
      <c r="J2593" s="30"/>
      <c r="K2593" s="30"/>
      <c r="L2593" s="30"/>
      <c r="M2593" s="30"/>
      <c r="N2593" s="30"/>
      <c r="O2593" s="30"/>
      <c r="P2593" s="30"/>
      <c r="Q2593" s="30"/>
      <c r="R2593" s="30"/>
      <c r="S2593" s="30"/>
      <c r="T2593" s="30"/>
      <c r="U2593" s="30"/>
      <c r="V2593" s="30"/>
      <c r="W2593" s="30"/>
      <c r="X2593" s="30"/>
      <c r="Y2593" s="30"/>
      <c r="Z2593" s="30"/>
      <c r="AA2593" s="30"/>
    </row>
    <row r="2594">
      <c r="A2594" s="29">
        <v>2250179.0</v>
      </c>
      <c r="B2594" s="29">
        <v>2249175.0</v>
      </c>
      <c r="C2594" s="30" t="str">
        <f t="shared" si="1"/>
        <v>-</v>
      </c>
      <c r="D2594" s="29">
        <f t="shared" si="2"/>
        <v>883</v>
      </c>
      <c r="E2594" s="30"/>
      <c r="F2594" s="30"/>
      <c r="G2594" s="30"/>
      <c r="H2594" s="30"/>
      <c r="I2594" s="30"/>
      <c r="J2594" s="30"/>
      <c r="K2594" s="30"/>
      <c r="L2594" s="30"/>
      <c r="M2594" s="30"/>
      <c r="N2594" s="30"/>
      <c r="O2594" s="30"/>
      <c r="P2594" s="30"/>
      <c r="Q2594" s="30"/>
      <c r="R2594" s="30"/>
      <c r="S2594" s="30"/>
      <c r="T2594" s="30"/>
      <c r="U2594" s="30"/>
      <c r="V2594" s="30"/>
      <c r="W2594" s="30"/>
      <c r="X2594" s="30"/>
      <c r="Y2594" s="30"/>
      <c r="Z2594" s="30"/>
      <c r="AA2594" s="30"/>
    </row>
    <row r="2595">
      <c r="A2595" s="29">
        <v>2250363.0</v>
      </c>
      <c r="B2595" s="29">
        <v>2251370.0</v>
      </c>
      <c r="C2595" s="30" t="str">
        <f t="shared" si="1"/>
        <v>+</v>
      </c>
      <c r="D2595" s="29">
        <f t="shared" si="2"/>
        <v>884</v>
      </c>
      <c r="E2595" s="30"/>
      <c r="F2595" s="30"/>
      <c r="G2595" s="30"/>
      <c r="H2595" s="30"/>
      <c r="I2595" s="30"/>
      <c r="J2595" s="30"/>
      <c r="K2595" s="30"/>
      <c r="L2595" s="30"/>
      <c r="M2595" s="30"/>
      <c r="N2595" s="30"/>
      <c r="O2595" s="30"/>
      <c r="P2595" s="30"/>
      <c r="Q2595" s="30"/>
      <c r="R2595" s="30"/>
      <c r="S2595" s="30"/>
      <c r="T2595" s="30"/>
      <c r="U2595" s="30"/>
      <c r="V2595" s="30"/>
      <c r="W2595" s="30"/>
      <c r="X2595" s="30"/>
      <c r="Y2595" s="30"/>
      <c r="Z2595" s="30"/>
      <c r="AA2595" s="30"/>
    </row>
    <row r="2596">
      <c r="A2596" s="29">
        <v>2251673.0</v>
      </c>
      <c r="B2596" s="29">
        <v>2251398.0</v>
      </c>
      <c r="C2596" s="30" t="str">
        <f t="shared" si="1"/>
        <v>-</v>
      </c>
      <c r="D2596" s="29">
        <f t="shared" si="2"/>
        <v>885</v>
      </c>
      <c r="E2596" s="30"/>
      <c r="F2596" s="30"/>
      <c r="G2596" s="30"/>
      <c r="H2596" s="30"/>
      <c r="I2596" s="30"/>
      <c r="J2596" s="30"/>
      <c r="K2596" s="30"/>
      <c r="L2596" s="30"/>
      <c r="M2596" s="30"/>
      <c r="N2596" s="30"/>
      <c r="O2596" s="30"/>
      <c r="P2596" s="30"/>
      <c r="Q2596" s="30"/>
      <c r="R2596" s="30"/>
      <c r="S2596" s="30"/>
      <c r="T2596" s="30"/>
      <c r="U2596" s="30"/>
      <c r="V2596" s="30"/>
      <c r="W2596" s="30"/>
      <c r="X2596" s="30"/>
      <c r="Y2596" s="30"/>
      <c r="Z2596" s="30"/>
      <c r="AA2596" s="30"/>
    </row>
    <row r="2597">
      <c r="A2597" s="29">
        <v>2251781.0</v>
      </c>
      <c r="B2597" s="29">
        <v>2251999.0</v>
      </c>
      <c r="C2597" s="30" t="str">
        <f t="shared" si="1"/>
        <v>+</v>
      </c>
      <c r="D2597" s="29">
        <f t="shared" si="2"/>
        <v>886</v>
      </c>
      <c r="E2597" s="30"/>
      <c r="F2597" s="30"/>
      <c r="G2597" s="30"/>
      <c r="H2597" s="30"/>
      <c r="I2597" s="30"/>
      <c r="J2597" s="30"/>
      <c r="K2597" s="30"/>
      <c r="L2597" s="30"/>
      <c r="M2597" s="30"/>
      <c r="N2597" s="30"/>
      <c r="O2597" s="30"/>
      <c r="P2597" s="30"/>
      <c r="Q2597" s="30"/>
      <c r="R2597" s="30"/>
      <c r="S2597" s="30"/>
      <c r="T2597" s="30"/>
      <c r="U2597" s="30"/>
      <c r="V2597" s="30"/>
      <c r="W2597" s="30"/>
      <c r="X2597" s="30"/>
      <c r="Y2597" s="30"/>
      <c r="Z2597" s="30"/>
      <c r="AA2597" s="30"/>
    </row>
    <row r="2598">
      <c r="A2598" s="29">
        <v>2253032.0</v>
      </c>
      <c r="B2598" s="29">
        <v>2251989.0</v>
      </c>
      <c r="C2598" s="30" t="str">
        <f t="shared" si="1"/>
        <v>-</v>
      </c>
      <c r="D2598" s="29">
        <f t="shared" si="2"/>
        <v>887</v>
      </c>
      <c r="E2598" s="30"/>
      <c r="F2598" s="30"/>
      <c r="G2598" s="30"/>
      <c r="H2598" s="30"/>
      <c r="I2598" s="30"/>
      <c r="J2598" s="30"/>
      <c r="K2598" s="30"/>
      <c r="L2598" s="30"/>
      <c r="M2598" s="30"/>
      <c r="N2598" s="30"/>
      <c r="O2598" s="30"/>
      <c r="P2598" s="30"/>
      <c r="Q2598" s="30"/>
      <c r="R2598" s="30"/>
      <c r="S2598" s="30"/>
      <c r="T2598" s="30"/>
      <c r="U2598" s="30"/>
      <c r="V2598" s="30"/>
      <c r="W2598" s="30"/>
      <c r="X2598" s="30"/>
      <c r="Y2598" s="30"/>
      <c r="Z2598" s="30"/>
      <c r="AA2598" s="30"/>
    </row>
    <row r="2599">
      <c r="A2599" s="29">
        <v>2253112.0</v>
      </c>
      <c r="B2599" s="29">
        <v>2254308.0</v>
      </c>
      <c r="C2599" s="30" t="str">
        <f t="shared" si="1"/>
        <v>+</v>
      </c>
      <c r="D2599" s="29">
        <f t="shared" si="2"/>
        <v>888</v>
      </c>
      <c r="E2599" s="30"/>
      <c r="F2599" s="30"/>
      <c r="G2599" s="30"/>
      <c r="H2599" s="30"/>
      <c r="I2599" s="30"/>
      <c r="J2599" s="30"/>
      <c r="K2599" s="30"/>
      <c r="L2599" s="30"/>
      <c r="M2599" s="30"/>
      <c r="N2599" s="30"/>
      <c r="O2599" s="30"/>
      <c r="P2599" s="30"/>
      <c r="Q2599" s="30"/>
      <c r="R2599" s="30"/>
      <c r="S2599" s="30"/>
      <c r="T2599" s="30"/>
      <c r="U2599" s="30"/>
      <c r="V2599" s="30"/>
      <c r="W2599" s="30"/>
      <c r="X2599" s="30"/>
      <c r="Y2599" s="30"/>
      <c r="Z2599" s="30"/>
      <c r="AA2599" s="30"/>
    </row>
    <row r="2600">
      <c r="A2600" s="29">
        <v>2254334.0</v>
      </c>
      <c r="B2600" s="29">
        <v>2254408.0</v>
      </c>
      <c r="C2600" s="30" t="str">
        <f t="shared" si="1"/>
        <v>+</v>
      </c>
      <c r="D2600" s="29">
        <f t="shared" si="2"/>
        <v>888</v>
      </c>
      <c r="E2600" s="30"/>
      <c r="F2600" s="30"/>
      <c r="G2600" s="30"/>
      <c r="H2600" s="30"/>
      <c r="I2600" s="30"/>
      <c r="J2600" s="30"/>
      <c r="K2600" s="30"/>
      <c r="L2600" s="30"/>
      <c r="M2600" s="30"/>
      <c r="N2600" s="30"/>
      <c r="O2600" s="30"/>
      <c r="P2600" s="30"/>
      <c r="Q2600" s="30"/>
      <c r="R2600" s="30"/>
      <c r="S2600" s="30"/>
      <c r="T2600" s="30"/>
      <c r="U2600" s="30"/>
      <c r="V2600" s="30"/>
      <c r="W2600" s="30"/>
      <c r="X2600" s="30"/>
      <c r="Y2600" s="30"/>
      <c r="Z2600" s="30"/>
      <c r="AA2600" s="30"/>
    </row>
    <row r="2601">
      <c r="A2601" s="29">
        <v>2254729.0</v>
      </c>
      <c r="B2601" s="29">
        <v>2254445.0</v>
      </c>
      <c r="C2601" s="30" t="str">
        <f t="shared" si="1"/>
        <v>-</v>
      </c>
      <c r="D2601" s="29">
        <f t="shared" si="2"/>
        <v>889</v>
      </c>
      <c r="E2601" s="30"/>
      <c r="F2601" s="30"/>
      <c r="G2601" s="30"/>
      <c r="H2601" s="30"/>
      <c r="I2601" s="30"/>
      <c r="J2601" s="30"/>
      <c r="K2601" s="30"/>
      <c r="L2601" s="30"/>
      <c r="M2601" s="30"/>
      <c r="N2601" s="30"/>
      <c r="O2601" s="30"/>
      <c r="P2601" s="30"/>
      <c r="Q2601" s="30"/>
      <c r="R2601" s="30"/>
      <c r="S2601" s="30"/>
      <c r="T2601" s="30"/>
      <c r="U2601" s="30"/>
      <c r="V2601" s="30"/>
      <c r="W2601" s="30"/>
      <c r="X2601" s="30"/>
      <c r="Y2601" s="30"/>
      <c r="Z2601" s="30"/>
      <c r="AA2601" s="30"/>
    </row>
    <row r="2602">
      <c r="A2602" s="29">
        <v>2255022.0</v>
      </c>
      <c r="B2602" s="29">
        <v>2254702.0</v>
      </c>
      <c r="C2602" s="30" t="str">
        <f t="shared" si="1"/>
        <v>-</v>
      </c>
      <c r="D2602" s="29">
        <f t="shared" si="2"/>
        <v>889</v>
      </c>
      <c r="E2602" s="30"/>
      <c r="F2602" s="30"/>
      <c r="G2602" s="30"/>
      <c r="H2602" s="30"/>
      <c r="I2602" s="30"/>
      <c r="J2602" s="30"/>
      <c r="K2602" s="30"/>
      <c r="L2602" s="30"/>
      <c r="M2602" s="30"/>
      <c r="N2602" s="30"/>
      <c r="O2602" s="30"/>
      <c r="P2602" s="30"/>
      <c r="Q2602" s="30"/>
      <c r="R2602" s="30"/>
      <c r="S2602" s="30"/>
      <c r="T2602" s="30"/>
      <c r="U2602" s="30"/>
      <c r="V2602" s="30"/>
      <c r="W2602" s="30"/>
      <c r="X2602" s="30"/>
      <c r="Y2602" s="30"/>
      <c r="Z2602" s="30"/>
      <c r="AA2602" s="30"/>
    </row>
    <row r="2603">
      <c r="A2603" s="29">
        <v>2255260.0</v>
      </c>
      <c r="B2603" s="29">
        <v>2255099.0</v>
      </c>
      <c r="C2603" s="30" t="str">
        <f t="shared" si="1"/>
        <v>-</v>
      </c>
      <c r="D2603" s="29">
        <f t="shared" si="2"/>
        <v>889</v>
      </c>
      <c r="E2603" s="30"/>
      <c r="F2603" s="30"/>
      <c r="G2603" s="30"/>
      <c r="H2603" s="30"/>
      <c r="I2603" s="30"/>
      <c r="J2603" s="30"/>
      <c r="K2603" s="30"/>
      <c r="L2603" s="30"/>
      <c r="M2603" s="30"/>
      <c r="N2603" s="30"/>
      <c r="O2603" s="30"/>
      <c r="P2603" s="30"/>
      <c r="Q2603" s="30"/>
      <c r="R2603" s="30"/>
      <c r="S2603" s="30"/>
      <c r="T2603" s="30"/>
      <c r="U2603" s="30"/>
      <c r="V2603" s="30"/>
      <c r="W2603" s="30"/>
      <c r="X2603" s="30"/>
      <c r="Y2603" s="30"/>
      <c r="Z2603" s="30"/>
      <c r="AA2603" s="30"/>
    </row>
    <row r="2604">
      <c r="A2604" s="29">
        <v>2256041.0</v>
      </c>
      <c r="B2604" s="29">
        <v>2255499.0</v>
      </c>
      <c r="C2604" s="30" t="str">
        <f t="shared" si="1"/>
        <v>-</v>
      </c>
      <c r="D2604" s="29">
        <f t="shared" si="2"/>
        <v>889</v>
      </c>
      <c r="E2604" s="30"/>
      <c r="F2604" s="30"/>
      <c r="G2604" s="30"/>
      <c r="H2604" s="30"/>
      <c r="I2604" s="30"/>
      <c r="J2604" s="30"/>
      <c r="K2604" s="30"/>
      <c r="L2604" s="30"/>
      <c r="M2604" s="30"/>
      <c r="N2604" s="30"/>
      <c r="O2604" s="30"/>
      <c r="P2604" s="30"/>
      <c r="Q2604" s="30"/>
      <c r="R2604" s="30"/>
      <c r="S2604" s="30"/>
      <c r="T2604" s="30"/>
      <c r="U2604" s="30"/>
      <c r="V2604" s="30"/>
      <c r="W2604" s="30"/>
      <c r="X2604" s="30"/>
      <c r="Y2604" s="30"/>
      <c r="Z2604" s="30"/>
      <c r="AA2604" s="30"/>
    </row>
    <row r="2605">
      <c r="A2605" s="29">
        <v>2256319.0</v>
      </c>
      <c r="B2605" s="29">
        <v>2256071.0</v>
      </c>
      <c r="C2605" s="30" t="str">
        <f t="shared" si="1"/>
        <v>-</v>
      </c>
      <c r="D2605" s="29">
        <f t="shared" si="2"/>
        <v>889</v>
      </c>
      <c r="E2605" s="30"/>
      <c r="F2605" s="30"/>
      <c r="G2605" s="30"/>
      <c r="H2605" s="30"/>
      <c r="I2605" s="30"/>
      <c r="J2605" s="30"/>
      <c r="K2605" s="30"/>
      <c r="L2605" s="30"/>
      <c r="M2605" s="30"/>
      <c r="N2605" s="30"/>
      <c r="O2605" s="30"/>
      <c r="P2605" s="30"/>
      <c r="Q2605" s="30"/>
      <c r="R2605" s="30"/>
      <c r="S2605" s="30"/>
      <c r="T2605" s="30"/>
      <c r="U2605" s="30"/>
      <c r="V2605" s="30"/>
      <c r="W2605" s="30"/>
      <c r="X2605" s="30"/>
      <c r="Y2605" s="30"/>
      <c r="Z2605" s="30"/>
      <c r="AA2605" s="30"/>
    </row>
    <row r="2606">
      <c r="A2606" s="29">
        <v>2257484.0</v>
      </c>
      <c r="B2606" s="29">
        <v>2256375.0</v>
      </c>
      <c r="C2606" s="30" t="str">
        <f t="shared" si="1"/>
        <v>-</v>
      </c>
      <c r="D2606" s="29">
        <f t="shared" si="2"/>
        <v>889</v>
      </c>
      <c r="E2606" s="30"/>
      <c r="F2606" s="30"/>
      <c r="G2606" s="30"/>
      <c r="H2606" s="30"/>
      <c r="I2606" s="30"/>
      <c r="J2606" s="30"/>
      <c r="K2606" s="30"/>
      <c r="L2606" s="30"/>
      <c r="M2606" s="30"/>
      <c r="N2606" s="30"/>
      <c r="O2606" s="30"/>
      <c r="P2606" s="30"/>
      <c r="Q2606" s="30"/>
      <c r="R2606" s="30"/>
      <c r="S2606" s="30"/>
      <c r="T2606" s="30"/>
      <c r="U2606" s="30"/>
      <c r="V2606" s="30"/>
      <c r="W2606" s="30"/>
      <c r="X2606" s="30"/>
      <c r="Y2606" s="30"/>
      <c r="Z2606" s="30"/>
      <c r="AA2606" s="30"/>
    </row>
    <row r="2607">
      <c r="A2607" s="29">
        <v>2258759.0</v>
      </c>
      <c r="B2607" s="29">
        <v>2257488.0</v>
      </c>
      <c r="C2607" s="30" t="str">
        <f t="shared" si="1"/>
        <v>-</v>
      </c>
      <c r="D2607" s="29">
        <f t="shared" si="2"/>
        <v>889</v>
      </c>
      <c r="E2607" s="30"/>
      <c r="F2607" s="30"/>
      <c r="G2607" s="30"/>
      <c r="H2607" s="30"/>
      <c r="I2607" s="30"/>
      <c r="J2607" s="30"/>
      <c r="K2607" s="30"/>
      <c r="L2607" s="30"/>
      <c r="M2607" s="30"/>
      <c r="N2607" s="30"/>
      <c r="O2607" s="30"/>
      <c r="P2607" s="30"/>
      <c r="Q2607" s="30"/>
      <c r="R2607" s="30"/>
      <c r="S2607" s="30"/>
      <c r="T2607" s="30"/>
      <c r="U2607" s="30"/>
      <c r="V2607" s="30"/>
      <c r="W2607" s="30"/>
      <c r="X2607" s="30"/>
      <c r="Y2607" s="30"/>
      <c r="Z2607" s="30"/>
      <c r="AA2607" s="30"/>
    </row>
    <row r="2608">
      <c r="A2608" s="29">
        <v>2259634.0</v>
      </c>
      <c r="B2608" s="29">
        <v>2258831.0</v>
      </c>
      <c r="C2608" s="30" t="str">
        <f t="shared" si="1"/>
        <v>-</v>
      </c>
      <c r="D2608" s="29">
        <f t="shared" si="2"/>
        <v>889</v>
      </c>
      <c r="E2608" s="30"/>
      <c r="F2608" s="30"/>
      <c r="G2608" s="30"/>
      <c r="H2608" s="30"/>
      <c r="I2608" s="30"/>
      <c r="J2608" s="30"/>
      <c r="K2608" s="30"/>
      <c r="L2608" s="30"/>
      <c r="M2608" s="30"/>
      <c r="N2608" s="30"/>
      <c r="O2608" s="30"/>
      <c r="P2608" s="30"/>
      <c r="Q2608" s="30"/>
      <c r="R2608" s="30"/>
      <c r="S2608" s="30"/>
      <c r="T2608" s="30"/>
      <c r="U2608" s="30"/>
      <c r="V2608" s="30"/>
      <c r="W2608" s="30"/>
      <c r="X2608" s="30"/>
      <c r="Y2608" s="30"/>
      <c r="Z2608" s="30"/>
      <c r="AA2608" s="30"/>
    </row>
    <row r="2609">
      <c r="A2609" s="29">
        <v>2259692.0</v>
      </c>
      <c r="B2609" s="29">
        <v>2260444.0</v>
      </c>
      <c r="C2609" s="30" t="str">
        <f t="shared" si="1"/>
        <v>+</v>
      </c>
      <c r="D2609" s="29">
        <f t="shared" si="2"/>
        <v>890</v>
      </c>
      <c r="E2609" s="30"/>
      <c r="F2609" s="30"/>
      <c r="G2609" s="30"/>
      <c r="H2609" s="30"/>
      <c r="I2609" s="30"/>
      <c r="J2609" s="30"/>
      <c r="K2609" s="30"/>
      <c r="L2609" s="30"/>
      <c r="M2609" s="30"/>
      <c r="N2609" s="30"/>
      <c r="O2609" s="30"/>
      <c r="P2609" s="30"/>
      <c r="Q2609" s="30"/>
      <c r="R2609" s="30"/>
      <c r="S2609" s="30"/>
      <c r="T2609" s="30"/>
      <c r="U2609" s="30"/>
      <c r="V2609" s="30"/>
      <c r="W2609" s="30"/>
      <c r="X2609" s="30"/>
      <c r="Y2609" s="30"/>
      <c r="Z2609" s="30"/>
      <c r="AA2609" s="30"/>
    </row>
    <row r="2610">
      <c r="A2610" s="29">
        <v>2260596.0</v>
      </c>
      <c r="B2610" s="29">
        <v>2261228.0</v>
      </c>
      <c r="C2610" s="30" t="str">
        <f t="shared" si="1"/>
        <v>+</v>
      </c>
      <c r="D2610" s="29">
        <f t="shared" si="2"/>
        <v>890</v>
      </c>
      <c r="E2610" s="30"/>
      <c r="F2610" s="30"/>
      <c r="G2610" s="30"/>
      <c r="H2610" s="30"/>
      <c r="I2610" s="30"/>
      <c r="J2610" s="30"/>
      <c r="K2610" s="30"/>
      <c r="L2610" s="30"/>
      <c r="M2610" s="30"/>
      <c r="N2610" s="30"/>
      <c r="O2610" s="30"/>
      <c r="P2610" s="30"/>
      <c r="Q2610" s="30"/>
      <c r="R2610" s="30"/>
      <c r="S2610" s="30"/>
      <c r="T2610" s="30"/>
      <c r="U2610" s="30"/>
      <c r="V2610" s="30"/>
      <c r="W2610" s="30"/>
      <c r="X2610" s="30"/>
      <c r="Y2610" s="30"/>
      <c r="Z2610" s="30"/>
      <c r="AA2610" s="30"/>
    </row>
    <row r="2611">
      <c r="A2611" s="29">
        <v>2261255.0</v>
      </c>
      <c r="B2611" s="29">
        <v>2261449.0</v>
      </c>
      <c r="C2611" s="30" t="str">
        <f t="shared" si="1"/>
        <v>+</v>
      </c>
      <c r="D2611" s="29">
        <f t="shared" si="2"/>
        <v>890</v>
      </c>
      <c r="E2611" s="30"/>
      <c r="F2611" s="30"/>
      <c r="G2611" s="30"/>
      <c r="H2611" s="30"/>
      <c r="I2611" s="30"/>
      <c r="J2611" s="30"/>
      <c r="K2611" s="30"/>
      <c r="L2611" s="30"/>
      <c r="M2611" s="30"/>
      <c r="N2611" s="30"/>
      <c r="O2611" s="30"/>
      <c r="P2611" s="30"/>
      <c r="Q2611" s="30"/>
      <c r="R2611" s="30"/>
      <c r="S2611" s="30"/>
      <c r="T2611" s="30"/>
      <c r="U2611" s="30"/>
      <c r="V2611" s="30"/>
      <c r="W2611" s="30"/>
      <c r="X2611" s="30"/>
      <c r="Y2611" s="30"/>
      <c r="Z2611" s="30"/>
      <c r="AA2611" s="30"/>
    </row>
    <row r="2612">
      <c r="A2612" s="29">
        <v>2261480.0</v>
      </c>
      <c r="B2612" s="29">
        <v>2262124.0</v>
      </c>
      <c r="C2612" s="30" t="str">
        <f t="shared" si="1"/>
        <v>+</v>
      </c>
      <c r="D2612" s="29">
        <f t="shared" si="2"/>
        <v>890</v>
      </c>
      <c r="E2612" s="30"/>
      <c r="F2612" s="30"/>
      <c r="G2612" s="30"/>
      <c r="H2612" s="30"/>
      <c r="I2612" s="30"/>
      <c r="J2612" s="30"/>
      <c r="K2612" s="30"/>
      <c r="L2612" s="30"/>
      <c r="M2612" s="30"/>
      <c r="N2612" s="30"/>
      <c r="O2612" s="30"/>
      <c r="P2612" s="30"/>
      <c r="Q2612" s="30"/>
      <c r="R2612" s="30"/>
      <c r="S2612" s="30"/>
      <c r="T2612" s="30"/>
      <c r="U2612" s="30"/>
      <c r="V2612" s="30"/>
      <c r="W2612" s="30"/>
      <c r="X2612" s="30"/>
      <c r="Y2612" s="30"/>
      <c r="Z2612" s="30"/>
      <c r="AA2612" s="30"/>
    </row>
    <row r="2613">
      <c r="A2613" s="29">
        <v>2262131.0</v>
      </c>
      <c r="B2613" s="29">
        <v>2263147.0</v>
      </c>
      <c r="C2613" s="30" t="str">
        <f t="shared" si="1"/>
        <v>+</v>
      </c>
      <c r="D2613" s="29">
        <f t="shared" si="2"/>
        <v>890</v>
      </c>
      <c r="E2613" s="30"/>
      <c r="F2613" s="30"/>
      <c r="G2613" s="30"/>
      <c r="H2613" s="30"/>
      <c r="I2613" s="30"/>
      <c r="J2613" s="30"/>
      <c r="K2613" s="30"/>
      <c r="L2613" s="30"/>
      <c r="M2613" s="30"/>
      <c r="N2613" s="30"/>
      <c r="O2613" s="30"/>
      <c r="P2613" s="30"/>
      <c r="Q2613" s="30"/>
      <c r="R2613" s="30"/>
      <c r="S2613" s="30"/>
      <c r="T2613" s="30"/>
      <c r="U2613" s="30"/>
      <c r="V2613" s="30"/>
      <c r="W2613" s="30"/>
      <c r="X2613" s="30"/>
      <c r="Y2613" s="30"/>
      <c r="Z2613" s="30"/>
      <c r="AA2613" s="30"/>
    </row>
    <row r="2614">
      <c r="A2614" s="29">
        <v>2263898.0</v>
      </c>
      <c r="B2614" s="29">
        <v>2263278.0</v>
      </c>
      <c r="C2614" s="30" t="str">
        <f t="shared" si="1"/>
        <v>-</v>
      </c>
      <c r="D2614" s="29">
        <f t="shared" si="2"/>
        <v>891</v>
      </c>
      <c r="E2614" s="30"/>
      <c r="F2614" s="30"/>
      <c r="G2614" s="30"/>
      <c r="H2614" s="30"/>
      <c r="I2614" s="30"/>
      <c r="J2614" s="30"/>
      <c r="K2614" s="30"/>
      <c r="L2614" s="30"/>
      <c r="M2614" s="30"/>
      <c r="N2614" s="30"/>
      <c r="O2614" s="30"/>
      <c r="P2614" s="30"/>
      <c r="Q2614" s="30"/>
      <c r="R2614" s="30"/>
      <c r="S2614" s="30"/>
      <c r="T2614" s="30"/>
      <c r="U2614" s="30"/>
      <c r="V2614" s="30"/>
      <c r="W2614" s="30"/>
      <c r="X2614" s="30"/>
      <c r="Y2614" s="30"/>
      <c r="Z2614" s="30"/>
      <c r="AA2614" s="30"/>
    </row>
    <row r="2615">
      <c r="A2615" s="29">
        <v>2265649.0</v>
      </c>
      <c r="B2615" s="29">
        <v>2264183.0</v>
      </c>
      <c r="C2615" s="30" t="str">
        <f t="shared" si="1"/>
        <v>-</v>
      </c>
      <c r="D2615" s="29">
        <f t="shared" si="2"/>
        <v>891</v>
      </c>
      <c r="E2615" s="30"/>
      <c r="F2615" s="30"/>
      <c r="G2615" s="30"/>
      <c r="H2615" s="30"/>
      <c r="I2615" s="30"/>
      <c r="J2615" s="30"/>
      <c r="K2615" s="30"/>
      <c r="L2615" s="30"/>
      <c r="M2615" s="30"/>
      <c r="N2615" s="30"/>
      <c r="O2615" s="30"/>
      <c r="P2615" s="30"/>
      <c r="Q2615" s="30"/>
      <c r="R2615" s="30"/>
      <c r="S2615" s="30"/>
      <c r="T2615" s="30"/>
      <c r="U2615" s="30"/>
      <c r="V2615" s="30"/>
      <c r="W2615" s="30"/>
      <c r="X2615" s="30"/>
      <c r="Y2615" s="30"/>
      <c r="Z2615" s="30"/>
      <c r="AA2615" s="30"/>
    </row>
    <row r="2616">
      <c r="A2616" s="29">
        <v>2265865.0</v>
      </c>
      <c r="B2616" s="29">
        <v>2266836.0</v>
      </c>
      <c r="C2616" s="30" t="str">
        <f t="shared" si="1"/>
        <v>+</v>
      </c>
      <c r="D2616" s="29">
        <f t="shared" si="2"/>
        <v>892</v>
      </c>
      <c r="E2616" s="30"/>
      <c r="F2616" s="30"/>
      <c r="G2616" s="30"/>
      <c r="H2616" s="30"/>
      <c r="I2616" s="30"/>
      <c r="J2616" s="30"/>
      <c r="K2616" s="30"/>
      <c r="L2616" s="30"/>
      <c r="M2616" s="30"/>
      <c r="N2616" s="30"/>
      <c r="O2616" s="30"/>
      <c r="P2616" s="30"/>
      <c r="Q2616" s="30"/>
      <c r="R2616" s="30"/>
      <c r="S2616" s="30"/>
      <c r="T2616" s="30"/>
      <c r="U2616" s="30"/>
      <c r="V2616" s="30"/>
      <c r="W2616" s="30"/>
      <c r="X2616" s="30"/>
      <c r="Y2616" s="30"/>
      <c r="Z2616" s="30"/>
      <c r="AA2616" s="30"/>
    </row>
    <row r="2617">
      <c r="A2617" s="29">
        <v>2267726.0</v>
      </c>
      <c r="B2617" s="29">
        <v>2266833.0</v>
      </c>
      <c r="C2617" s="30" t="str">
        <f t="shared" si="1"/>
        <v>-</v>
      </c>
      <c r="D2617" s="29">
        <f t="shared" si="2"/>
        <v>893</v>
      </c>
      <c r="E2617" s="30"/>
      <c r="F2617" s="30"/>
      <c r="G2617" s="30"/>
      <c r="H2617" s="30"/>
      <c r="I2617" s="30"/>
      <c r="J2617" s="30"/>
      <c r="K2617" s="30"/>
      <c r="L2617" s="30"/>
      <c r="M2617" s="30"/>
      <c r="N2617" s="30"/>
      <c r="O2617" s="30"/>
      <c r="P2617" s="30"/>
      <c r="Q2617" s="30"/>
      <c r="R2617" s="30"/>
      <c r="S2617" s="30"/>
      <c r="T2617" s="30"/>
      <c r="U2617" s="30"/>
      <c r="V2617" s="30"/>
      <c r="W2617" s="30"/>
      <c r="X2617" s="30"/>
      <c r="Y2617" s="30"/>
      <c r="Z2617" s="30"/>
      <c r="AA2617" s="30"/>
    </row>
    <row r="2618">
      <c r="A2618" s="29">
        <v>2268865.0</v>
      </c>
      <c r="B2618" s="29">
        <v>2267729.0</v>
      </c>
      <c r="C2618" s="30" t="str">
        <f t="shared" si="1"/>
        <v>-</v>
      </c>
      <c r="D2618" s="29">
        <f t="shared" si="2"/>
        <v>893</v>
      </c>
      <c r="E2618" s="30"/>
      <c r="F2618" s="30"/>
      <c r="G2618" s="30"/>
      <c r="H2618" s="30"/>
      <c r="I2618" s="30"/>
      <c r="J2618" s="30"/>
      <c r="K2618" s="30"/>
      <c r="L2618" s="30"/>
      <c r="M2618" s="30"/>
      <c r="N2618" s="30"/>
      <c r="O2618" s="30"/>
      <c r="P2618" s="30"/>
      <c r="Q2618" s="30"/>
      <c r="R2618" s="30"/>
      <c r="S2618" s="30"/>
      <c r="T2618" s="30"/>
      <c r="U2618" s="30"/>
      <c r="V2618" s="30"/>
      <c r="W2618" s="30"/>
      <c r="X2618" s="30"/>
      <c r="Y2618" s="30"/>
      <c r="Z2618" s="30"/>
      <c r="AA2618" s="30"/>
    </row>
    <row r="2619">
      <c r="A2619" s="29">
        <v>2269658.0</v>
      </c>
      <c r="B2619" s="29">
        <v>2269182.0</v>
      </c>
      <c r="C2619" s="30" t="str">
        <f t="shared" si="1"/>
        <v>-</v>
      </c>
      <c r="D2619" s="29">
        <f t="shared" si="2"/>
        <v>893</v>
      </c>
      <c r="E2619" s="30"/>
      <c r="F2619" s="30"/>
      <c r="G2619" s="30"/>
      <c r="H2619" s="30"/>
      <c r="I2619" s="30"/>
      <c r="J2619" s="30"/>
      <c r="K2619" s="30"/>
      <c r="L2619" s="30"/>
      <c r="M2619" s="30"/>
      <c r="N2619" s="30"/>
      <c r="O2619" s="30"/>
      <c r="P2619" s="30"/>
      <c r="Q2619" s="30"/>
      <c r="R2619" s="30"/>
      <c r="S2619" s="30"/>
      <c r="T2619" s="30"/>
      <c r="U2619" s="30"/>
      <c r="V2619" s="30"/>
      <c r="W2619" s="30"/>
      <c r="X2619" s="30"/>
      <c r="Y2619" s="30"/>
      <c r="Z2619" s="30"/>
      <c r="AA2619" s="30"/>
    </row>
    <row r="2620">
      <c r="A2620" s="29">
        <v>2269696.0</v>
      </c>
      <c r="B2620" s="29">
        <v>2270505.0</v>
      </c>
      <c r="C2620" s="30" t="str">
        <f t="shared" si="1"/>
        <v>+</v>
      </c>
      <c r="D2620" s="29">
        <f t="shared" si="2"/>
        <v>894</v>
      </c>
      <c r="E2620" s="30"/>
      <c r="F2620" s="30"/>
      <c r="G2620" s="30"/>
      <c r="H2620" s="30"/>
      <c r="I2620" s="30"/>
      <c r="J2620" s="30"/>
      <c r="K2620" s="30"/>
      <c r="L2620" s="30"/>
      <c r="M2620" s="30"/>
      <c r="N2620" s="30"/>
      <c r="O2620" s="30"/>
      <c r="P2620" s="30"/>
      <c r="Q2620" s="30"/>
      <c r="R2620" s="30"/>
      <c r="S2620" s="30"/>
      <c r="T2620" s="30"/>
      <c r="U2620" s="30"/>
      <c r="V2620" s="30"/>
      <c r="W2620" s="30"/>
      <c r="X2620" s="30"/>
      <c r="Y2620" s="30"/>
      <c r="Z2620" s="30"/>
      <c r="AA2620" s="30"/>
    </row>
    <row r="2621">
      <c r="A2621" s="29">
        <v>2271154.0</v>
      </c>
      <c r="B2621" s="29">
        <v>2270483.0</v>
      </c>
      <c r="C2621" s="30" t="str">
        <f t="shared" si="1"/>
        <v>-</v>
      </c>
      <c r="D2621" s="29">
        <f t="shared" si="2"/>
        <v>895</v>
      </c>
      <c r="E2621" s="30"/>
      <c r="F2621" s="30"/>
      <c r="G2621" s="30"/>
      <c r="H2621" s="30"/>
      <c r="I2621" s="30"/>
      <c r="J2621" s="30"/>
      <c r="K2621" s="30"/>
      <c r="L2621" s="30"/>
      <c r="M2621" s="30"/>
      <c r="N2621" s="30"/>
      <c r="O2621" s="30"/>
      <c r="P2621" s="30"/>
      <c r="Q2621" s="30"/>
      <c r="R2621" s="30"/>
      <c r="S2621" s="30"/>
      <c r="T2621" s="30"/>
      <c r="U2621" s="30"/>
      <c r="V2621" s="30"/>
      <c r="W2621" s="30"/>
      <c r="X2621" s="30"/>
      <c r="Y2621" s="30"/>
      <c r="Z2621" s="30"/>
      <c r="AA2621" s="30"/>
    </row>
    <row r="2622">
      <c r="A2622" s="29">
        <v>2271207.0</v>
      </c>
      <c r="B2622" s="29">
        <v>2271956.0</v>
      </c>
      <c r="C2622" s="30" t="str">
        <f t="shared" si="1"/>
        <v>+</v>
      </c>
      <c r="D2622" s="29">
        <f t="shared" si="2"/>
        <v>896</v>
      </c>
      <c r="E2622" s="30"/>
      <c r="F2622" s="30"/>
      <c r="G2622" s="30"/>
      <c r="H2622" s="30"/>
      <c r="I2622" s="30"/>
      <c r="J2622" s="30"/>
      <c r="K2622" s="30"/>
      <c r="L2622" s="30"/>
      <c r="M2622" s="30"/>
      <c r="N2622" s="30"/>
      <c r="O2622" s="30"/>
      <c r="P2622" s="30"/>
      <c r="Q2622" s="30"/>
      <c r="R2622" s="30"/>
      <c r="S2622" s="30"/>
      <c r="T2622" s="30"/>
      <c r="U2622" s="30"/>
      <c r="V2622" s="30"/>
      <c r="W2622" s="30"/>
      <c r="X2622" s="30"/>
      <c r="Y2622" s="30"/>
      <c r="Z2622" s="30"/>
      <c r="AA2622" s="30"/>
    </row>
    <row r="2623">
      <c r="A2623" s="29">
        <v>2271958.0</v>
      </c>
      <c r="B2623" s="29">
        <v>2272875.0</v>
      </c>
      <c r="C2623" s="30" t="str">
        <f t="shared" si="1"/>
        <v>+</v>
      </c>
      <c r="D2623" s="29">
        <f t="shared" si="2"/>
        <v>896</v>
      </c>
      <c r="E2623" s="30"/>
      <c r="F2623" s="30"/>
      <c r="G2623" s="30"/>
      <c r="H2623" s="30"/>
      <c r="I2623" s="30"/>
      <c r="J2623" s="30"/>
      <c r="K2623" s="30"/>
      <c r="L2623" s="30"/>
      <c r="M2623" s="30"/>
      <c r="N2623" s="30"/>
      <c r="O2623" s="30"/>
      <c r="P2623" s="30"/>
      <c r="Q2623" s="30"/>
      <c r="R2623" s="30"/>
      <c r="S2623" s="30"/>
      <c r="T2623" s="30"/>
      <c r="U2623" s="30"/>
      <c r="V2623" s="30"/>
      <c r="W2623" s="30"/>
      <c r="X2623" s="30"/>
      <c r="Y2623" s="30"/>
      <c r="Z2623" s="30"/>
      <c r="AA2623" s="30"/>
    </row>
    <row r="2624">
      <c r="A2624" s="29">
        <v>2272939.0</v>
      </c>
      <c r="B2624" s="29">
        <v>2274447.0</v>
      </c>
      <c r="C2624" s="30" t="str">
        <f t="shared" si="1"/>
        <v>+</v>
      </c>
      <c r="D2624" s="29">
        <f t="shared" si="2"/>
        <v>896</v>
      </c>
      <c r="E2624" s="30"/>
      <c r="F2624" s="30"/>
      <c r="G2624" s="30"/>
      <c r="H2624" s="30"/>
      <c r="I2624" s="30"/>
      <c r="J2624" s="30"/>
      <c r="K2624" s="30"/>
      <c r="L2624" s="30"/>
      <c r="M2624" s="30"/>
      <c r="N2624" s="30"/>
      <c r="O2624" s="30"/>
      <c r="P2624" s="30"/>
      <c r="Q2624" s="30"/>
      <c r="R2624" s="30"/>
      <c r="S2624" s="30"/>
      <c r="T2624" s="30"/>
      <c r="U2624" s="30"/>
      <c r="V2624" s="30"/>
      <c r="W2624" s="30"/>
      <c r="X2624" s="30"/>
      <c r="Y2624" s="30"/>
      <c r="Z2624" s="30"/>
      <c r="AA2624" s="30"/>
    </row>
    <row r="2625">
      <c r="A2625" s="29">
        <v>2274444.0</v>
      </c>
      <c r="B2625" s="29">
        <v>2274905.0</v>
      </c>
      <c r="C2625" s="30" t="str">
        <f t="shared" si="1"/>
        <v>+</v>
      </c>
      <c r="D2625" s="29">
        <f t="shared" si="2"/>
        <v>896</v>
      </c>
      <c r="E2625" s="30"/>
      <c r="F2625" s="30"/>
      <c r="G2625" s="30"/>
      <c r="H2625" s="30"/>
      <c r="I2625" s="30"/>
      <c r="J2625" s="30"/>
      <c r="K2625" s="30"/>
      <c r="L2625" s="30"/>
      <c r="M2625" s="30"/>
      <c r="N2625" s="30"/>
      <c r="O2625" s="30"/>
      <c r="P2625" s="30"/>
      <c r="Q2625" s="30"/>
      <c r="R2625" s="30"/>
      <c r="S2625" s="30"/>
      <c r="T2625" s="30"/>
      <c r="U2625" s="30"/>
      <c r="V2625" s="30"/>
      <c r="W2625" s="30"/>
      <c r="X2625" s="30"/>
      <c r="Y2625" s="30"/>
      <c r="Z2625" s="30"/>
      <c r="AA2625" s="30"/>
    </row>
    <row r="2626">
      <c r="A2626" s="29">
        <v>2276249.0</v>
      </c>
      <c r="B2626" s="29">
        <v>2274897.0</v>
      </c>
      <c r="C2626" s="30" t="str">
        <f t="shared" si="1"/>
        <v>-</v>
      </c>
      <c r="D2626" s="29">
        <f t="shared" si="2"/>
        <v>897</v>
      </c>
      <c r="E2626" s="30"/>
      <c r="F2626" s="30"/>
      <c r="G2626" s="30"/>
      <c r="H2626" s="30"/>
      <c r="I2626" s="30"/>
      <c r="J2626" s="30"/>
      <c r="K2626" s="30"/>
      <c r="L2626" s="30"/>
      <c r="M2626" s="30"/>
      <c r="N2626" s="30"/>
      <c r="O2626" s="30"/>
      <c r="P2626" s="30"/>
      <c r="Q2626" s="30"/>
      <c r="R2626" s="30"/>
      <c r="S2626" s="30"/>
      <c r="T2626" s="30"/>
      <c r="U2626" s="30"/>
      <c r="V2626" s="30"/>
      <c r="W2626" s="30"/>
      <c r="X2626" s="30"/>
      <c r="Y2626" s="30"/>
      <c r="Z2626" s="30"/>
      <c r="AA2626" s="30"/>
    </row>
    <row r="2627">
      <c r="A2627" s="29">
        <v>2276307.0</v>
      </c>
      <c r="B2627" s="29">
        <v>2276870.0</v>
      </c>
      <c r="C2627" s="30" t="str">
        <f t="shared" si="1"/>
        <v>+</v>
      </c>
      <c r="D2627" s="29">
        <f t="shared" si="2"/>
        <v>898</v>
      </c>
      <c r="E2627" s="30"/>
      <c r="F2627" s="30"/>
      <c r="G2627" s="30"/>
      <c r="H2627" s="30"/>
      <c r="I2627" s="30"/>
      <c r="J2627" s="30"/>
      <c r="K2627" s="30"/>
      <c r="L2627" s="30"/>
      <c r="M2627" s="30"/>
      <c r="N2627" s="30"/>
      <c r="O2627" s="30"/>
      <c r="P2627" s="30"/>
      <c r="Q2627" s="30"/>
      <c r="R2627" s="30"/>
      <c r="S2627" s="30"/>
      <c r="T2627" s="30"/>
      <c r="U2627" s="30"/>
      <c r="V2627" s="30"/>
      <c r="W2627" s="30"/>
      <c r="X2627" s="30"/>
      <c r="Y2627" s="30"/>
      <c r="Z2627" s="30"/>
      <c r="AA2627" s="30"/>
    </row>
    <row r="2628">
      <c r="A2628" s="29">
        <v>2277011.0</v>
      </c>
      <c r="B2628" s="29">
        <v>2278240.0</v>
      </c>
      <c r="C2628" s="30" t="str">
        <f t="shared" si="1"/>
        <v>+</v>
      </c>
      <c r="D2628" s="29">
        <f t="shared" si="2"/>
        <v>898</v>
      </c>
      <c r="E2628" s="30"/>
      <c r="F2628" s="30"/>
      <c r="G2628" s="30"/>
      <c r="H2628" s="30"/>
      <c r="I2628" s="30"/>
      <c r="J2628" s="30"/>
      <c r="K2628" s="30"/>
      <c r="L2628" s="30"/>
      <c r="M2628" s="30"/>
      <c r="N2628" s="30"/>
      <c r="O2628" s="30"/>
      <c r="P2628" s="30"/>
      <c r="Q2628" s="30"/>
      <c r="R2628" s="30"/>
      <c r="S2628" s="30"/>
      <c r="T2628" s="30"/>
      <c r="U2628" s="30"/>
      <c r="V2628" s="30"/>
      <c r="W2628" s="30"/>
      <c r="X2628" s="30"/>
      <c r="Y2628" s="30"/>
      <c r="Z2628" s="30"/>
      <c r="AA2628" s="30"/>
    </row>
    <row r="2629">
      <c r="A2629" s="29">
        <v>2279561.0</v>
      </c>
      <c r="B2629" s="29">
        <v>2278257.0</v>
      </c>
      <c r="C2629" s="30" t="str">
        <f t="shared" si="1"/>
        <v>-</v>
      </c>
      <c r="D2629" s="29">
        <f t="shared" si="2"/>
        <v>899</v>
      </c>
      <c r="E2629" s="30"/>
      <c r="F2629" s="30"/>
      <c r="G2629" s="30"/>
      <c r="H2629" s="30"/>
      <c r="I2629" s="30"/>
      <c r="J2629" s="30"/>
      <c r="K2629" s="30"/>
      <c r="L2629" s="30"/>
      <c r="M2629" s="30"/>
      <c r="N2629" s="30"/>
      <c r="O2629" s="30"/>
      <c r="P2629" s="30"/>
      <c r="Q2629" s="30"/>
      <c r="R2629" s="30"/>
      <c r="S2629" s="30"/>
      <c r="T2629" s="30"/>
      <c r="U2629" s="30"/>
      <c r="V2629" s="30"/>
      <c r="W2629" s="30"/>
      <c r="X2629" s="30"/>
      <c r="Y2629" s="30"/>
      <c r="Z2629" s="30"/>
      <c r="AA2629" s="30"/>
    </row>
    <row r="2630">
      <c r="A2630" s="29">
        <v>2279603.0</v>
      </c>
      <c r="B2630" s="29">
        <v>2280010.0</v>
      </c>
      <c r="C2630" s="30" t="str">
        <f t="shared" si="1"/>
        <v>+</v>
      </c>
      <c r="D2630" s="29">
        <f t="shared" si="2"/>
        <v>900</v>
      </c>
      <c r="E2630" s="30"/>
      <c r="F2630" s="30"/>
      <c r="G2630" s="30"/>
      <c r="H2630" s="30"/>
      <c r="I2630" s="30"/>
      <c r="J2630" s="30"/>
      <c r="K2630" s="30"/>
      <c r="L2630" s="30"/>
      <c r="M2630" s="30"/>
      <c r="N2630" s="30"/>
      <c r="O2630" s="30"/>
      <c r="P2630" s="30"/>
      <c r="Q2630" s="30"/>
      <c r="R2630" s="30"/>
      <c r="S2630" s="30"/>
      <c r="T2630" s="30"/>
      <c r="U2630" s="30"/>
      <c r="V2630" s="30"/>
      <c r="W2630" s="30"/>
      <c r="X2630" s="30"/>
      <c r="Y2630" s="30"/>
      <c r="Z2630" s="30"/>
      <c r="AA2630" s="30"/>
    </row>
    <row r="2631">
      <c r="A2631" s="29">
        <v>2280874.0</v>
      </c>
      <c r="B2631" s="29">
        <v>2281095.0</v>
      </c>
      <c r="C2631" s="30" t="str">
        <f t="shared" si="1"/>
        <v>+</v>
      </c>
      <c r="D2631" s="29">
        <f t="shared" si="2"/>
        <v>900</v>
      </c>
      <c r="E2631" s="30"/>
      <c r="F2631" s="30"/>
      <c r="G2631" s="30"/>
      <c r="H2631" s="30"/>
      <c r="I2631" s="30"/>
      <c r="J2631" s="30"/>
      <c r="K2631" s="30"/>
      <c r="L2631" s="30"/>
      <c r="M2631" s="30"/>
      <c r="N2631" s="30"/>
      <c r="O2631" s="30"/>
      <c r="P2631" s="30"/>
      <c r="Q2631" s="30"/>
      <c r="R2631" s="30"/>
      <c r="S2631" s="30"/>
      <c r="T2631" s="30"/>
      <c r="U2631" s="30"/>
      <c r="V2631" s="30"/>
      <c r="W2631" s="30"/>
      <c r="X2631" s="30"/>
      <c r="Y2631" s="30"/>
      <c r="Z2631" s="30"/>
      <c r="AA2631" s="30"/>
    </row>
    <row r="2632">
      <c r="A2632" s="29">
        <v>2281457.0</v>
      </c>
      <c r="B2632" s="29">
        <v>2281068.0</v>
      </c>
      <c r="C2632" s="30" t="str">
        <f t="shared" si="1"/>
        <v>-</v>
      </c>
      <c r="D2632" s="29">
        <f t="shared" si="2"/>
        <v>901</v>
      </c>
      <c r="E2632" s="30"/>
      <c r="F2632" s="30"/>
      <c r="G2632" s="30"/>
      <c r="H2632" s="30"/>
      <c r="I2632" s="30"/>
      <c r="J2632" s="30"/>
      <c r="K2632" s="30"/>
      <c r="L2632" s="30"/>
      <c r="M2632" s="30"/>
      <c r="N2632" s="30"/>
      <c r="O2632" s="30"/>
      <c r="P2632" s="30"/>
      <c r="Q2632" s="30"/>
      <c r="R2632" s="30"/>
      <c r="S2632" s="30"/>
      <c r="T2632" s="30"/>
      <c r="U2632" s="30"/>
      <c r="V2632" s="30"/>
      <c r="W2632" s="30"/>
      <c r="X2632" s="30"/>
      <c r="Y2632" s="30"/>
      <c r="Z2632" s="30"/>
      <c r="AA2632" s="30"/>
    </row>
    <row r="2633">
      <c r="A2633" s="29">
        <v>2281502.0</v>
      </c>
      <c r="B2633" s="29">
        <v>2284180.0</v>
      </c>
      <c r="C2633" s="30" t="str">
        <f t="shared" si="1"/>
        <v>+</v>
      </c>
      <c r="D2633" s="29">
        <f t="shared" si="2"/>
        <v>902</v>
      </c>
      <c r="E2633" s="30"/>
      <c r="F2633" s="30"/>
      <c r="G2633" s="30"/>
      <c r="H2633" s="30"/>
      <c r="I2633" s="30"/>
      <c r="J2633" s="30"/>
      <c r="K2633" s="30"/>
      <c r="L2633" s="30"/>
      <c r="M2633" s="30"/>
      <c r="N2633" s="30"/>
      <c r="O2633" s="30"/>
      <c r="P2633" s="30"/>
      <c r="Q2633" s="30"/>
      <c r="R2633" s="30"/>
      <c r="S2633" s="30"/>
      <c r="T2633" s="30"/>
      <c r="U2633" s="30"/>
      <c r="V2633" s="30"/>
      <c r="W2633" s="30"/>
      <c r="X2633" s="30"/>
      <c r="Y2633" s="30"/>
      <c r="Z2633" s="30"/>
      <c r="AA2633" s="30"/>
    </row>
    <row r="2634">
      <c r="A2634" s="29">
        <v>2284177.0</v>
      </c>
      <c r="B2634" s="29">
        <v>2284563.0</v>
      </c>
      <c r="C2634" s="30" t="str">
        <f t="shared" si="1"/>
        <v>+</v>
      </c>
      <c r="D2634" s="29">
        <f t="shared" si="2"/>
        <v>902</v>
      </c>
      <c r="E2634" s="30"/>
      <c r="F2634" s="30"/>
      <c r="G2634" s="30"/>
      <c r="H2634" s="30"/>
      <c r="I2634" s="30"/>
      <c r="J2634" s="30"/>
      <c r="K2634" s="30"/>
      <c r="L2634" s="30"/>
      <c r="M2634" s="30"/>
      <c r="N2634" s="30"/>
      <c r="O2634" s="30"/>
      <c r="P2634" s="30"/>
      <c r="Q2634" s="30"/>
      <c r="R2634" s="30"/>
      <c r="S2634" s="30"/>
      <c r="T2634" s="30"/>
      <c r="U2634" s="30"/>
      <c r="V2634" s="30"/>
      <c r="W2634" s="30"/>
      <c r="X2634" s="30"/>
      <c r="Y2634" s="30"/>
      <c r="Z2634" s="30"/>
      <c r="AA2634" s="30"/>
    </row>
    <row r="2635">
      <c r="A2635" s="29">
        <v>2284584.0</v>
      </c>
      <c r="B2635" s="29">
        <v>2285132.0</v>
      </c>
      <c r="C2635" s="30" t="str">
        <f t="shared" si="1"/>
        <v>+</v>
      </c>
      <c r="D2635" s="29">
        <f t="shared" si="2"/>
        <v>902</v>
      </c>
      <c r="E2635" s="30"/>
      <c r="F2635" s="30"/>
      <c r="G2635" s="30"/>
      <c r="H2635" s="30"/>
      <c r="I2635" s="30"/>
      <c r="J2635" s="30"/>
      <c r="K2635" s="30"/>
      <c r="L2635" s="30"/>
      <c r="M2635" s="30"/>
      <c r="N2635" s="30"/>
      <c r="O2635" s="30"/>
      <c r="P2635" s="30"/>
      <c r="Q2635" s="30"/>
      <c r="R2635" s="30"/>
      <c r="S2635" s="30"/>
      <c r="T2635" s="30"/>
      <c r="U2635" s="30"/>
      <c r="V2635" s="30"/>
      <c r="W2635" s="30"/>
      <c r="X2635" s="30"/>
      <c r="Y2635" s="30"/>
      <c r="Z2635" s="30"/>
      <c r="AA2635" s="30"/>
    </row>
    <row r="2636">
      <c r="A2636" s="29">
        <v>2285101.0</v>
      </c>
      <c r="B2636" s="29">
        <v>2285841.0</v>
      </c>
      <c r="C2636" s="30" t="str">
        <f t="shared" si="1"/>
        <v>+</v>
      </c>
      <c r="D2636" s="29">
        <f t="shared" si="2"/>
        <v>902</v>
      </c>
      <c r="E2636" s="30"/>
      <c r="F2636" s="30"/>
      <c r="G2636" s="30"/>
      <c r="H2636" s="30"/>
      <c r="I2636" s="30"/>
      <c r="J2636" s="30"/>
      <c r="K2636" s="30"/>
      <c r="L2636" s="30"/>
      <c r="M2636" s="30"/>
      <c r="N2636" s="30"/>
      <c r="O2636" s="30"/>
      <c r="P2636" s="30"/>
      <c r="Q2636" s="30"/>
      <c r="R2636" s="30"/>
      <c r="S2636" s="30"/>
      <c r="T2636" s="30"/>
      <c r="U2636" s="30"/>
      <c r="V2636" s="30"/>
      <c r="W2636" s="30"/>
      <c r="X2636" s="30"/>
      <c r="Y2636" s="30"/>
      <c r="Z2636" s="30"/>
      <c r="AA2636" s="30"/>
    </row>
    <row r="2637">
      <c r="A2637" s="29">
        <v>2286434.0</v>
      </c>
      <c r="B2637" s="29">
        <v>2285838.0</v>
      </c>
      <c r="C2637" s="30" t="str">
        <f t="shared" si="1"/>
        <v>-</v>
      </c>
      <c r="D2637" s="29">
        <f t="shared" si="2"/>
        <v>903</v>
      </c>
      <c r="E2637" s="30"/>
      <c r="F2637" s="30"/>
      <c r="G2637" s="30"/>
      <c r="H2637" s="30"/>
      <c r="I2637" s="30"/>
      <c r="J2637" s="30"/>
      <c r="K2637" s="30"/>
      <c r="L2637" s="30"/>
      <c r="M2637" s="30"/>
      <c r="N2637" s="30"/>
      <c r="O2637" s="30"/>
      <c r="P2637" s="30"/>
      <c r="Q2637" s="30"/>
      <c r="R2637" s="30"/>
      <c r="S2637" s="30"/>
      <c r="T2637" s="30"/>
      <c r="U2637" s="30"/>
      <c r="V2637" s="30"/>
      <c r="W2637" s="30"/>
      <c r="X2637" s="30"/>
      <c r="Y2637" s="30"/>
      <c r="Z2637" s="30"/>
      <c r="AA2637" s="30"/>
    </row>
    <row r="2638">
      <c r="A2638" s="29">
        <v>2286509.0</v>
      </c>
      <c r="B2638" s="29">
        <v>2287330.0</v>
      </c>
      <c r="C2638" s="30" t="str">
        <f t="shared" si="1"/>
        <v>+</v>
      </c>
      <c r="D2638" s="29">
        <f t="shared" si="2"/>
        <v>904</v>
      </c>
      <c r="E2638" s="30"/>
      <c r="F2638" s="30"/>
      <c r="G2638" s="30"/>
      <c r="H2638" s="30"/>
      <c r="I2638" s="30"/>
      <c r="J2638" s="30"/>
      <c r="K2638" s="30"/>
      <c r="L2638" s="30"/>
      <c r="M2638" s="30"/>
      <c r="N2638" s="30"/>
      <c r="O2638" s="30"/>
      <c r="P2638" s="30"/>
      <c r="Q2638" s="30"/>
      <c r="R2638" s="30"/>
      <c r="S2638" s="30"/>
      <c r="T2638" s="30"/>
      <c r="U2638" s="30"/>
      <c r="V2638" s="30"/>
      <c r="W2638" s="30"/>
      <c r="X2638" s="30"/>
      <c r="Y2638" s="30"/>
      <c r="Z2638" s="30"/>
      <c r="AA2638" s="30"/>
    </row>
    <row r="2639">
      <c r="A2639" s="29">
        <v>2287669.0</v>
      </c>
      <c r="B2639" s="29">
        <v>2288124.0</v>
      </c>
      <c r="C2639" s="30" t="str">
        <f t="shared" si="1"/>
        <v>+</v>
      </c>
      <c r="D2639" s="29">
        <f t="shared" si="2"/>
        <v>904</v>
      </c>
      <c r="E2639" s="30"/>
      <c r="F2639" s="30"/>
      <c r="G2639" s="30"/>
      <c r="H2639" s="30"/>
      <c r="I2639" s="30"/>
      <c r="J2639" s="30"/>
      <c r="K2639" s="30"/>
      <c r="L2639" s="30"/>
      <c r="M2639" s="30"/>
      <c r="N2639" s="30"/>
      <c r="O2639" s="30"/>
      <c r="P2639" s="30"/>
      <c r="Q2639" s="30"/>
      <c r="R2639" s="30"/>
      <c r="S2639" s="30"/>
      <c r="T2639" s="30"/>
      <c r="U2639" s="30"/>
      <c r="V2639" s="30"/>
      <c r="W2639" s="30"/>
      <c r="X2639" s="30"/>
      <c r="Y2639" s="30"/>
      <c r="Z2639" s="30"/>
      <c r="AA2639" s="30"/>
    </row>
    <row r="2640">
      <c r="A2640" s="29">
        <v>2288472.0</v>
      </c>
      <c r="B2640" s="29">
        <v>2289011.0</v>
      </c>
      <c r="C2640" s="30" t="str">
        <f t="shared" si="1"/>
        <v>+</v>
      </c>
      <c r="D2640" s="29">
        <f t="shared" si="2"/>
        <v>904</v>
      </c>
      <c r="E2640" s="30"/>
      <c r="F2640" s="30"/>
      <c r="G2640" s="30"/>
      <c r="H2640" s="30"/>
      <c r="I2640" s="30"/>
      <c r="J2640" s="30"/>
      <c r="K2640" s="30"/>
      <c r="L2640" s="30"/>
      <c r="M2640" s="30"/>
      <c r="N2640" s="30"/>
      <c r="O2640" s="30"/>
      <c r="P2640" s="30"/>
      <c r="Q2640" s="30"/>
      <c r="R2640" s="30"/>
      <c r="S2640" s="30"/>
      <c r="T2640" s="30"/>
      <c r="U2640" s="30"/>
      <c r="V2640" s="30"/>
      <c r="W2640" s="30"/>
      <c r="X2640" s="30"/>
      <c r="Y2640" s="30"/>
      <c r="Z2640" s="30"/>
      <c r="AA2640" s="30"/>
    </row>
    <row r="2641">
      <c r="A2641" s="29">
        <v>2289271.0</v>
      </c>
      <c r="B2641" s="29">
        <v>2289777.0</v>
      </c>
      <c r="C2641" s="30" t="str">
        <f t="shared" si="1"/>
        <v>+</v>
      </c>
      <c r="D2641" s="29">
        <f t="shared" si="2"/>
        <v>904</v>
      </c>
      <c r="E2641" s="30"/>
      <c r="F2641" s="30"/>
      <c r="G2641" s="30"/>
      <c r="H2641" s="30"/>
      <c r="I2641" s="30"/>
      <c r="J2641" s="30"/>
      <c r="K2641" s="30"/>
      <c r="L2641" s="30"/>
      <c r="M2641" s="30"/>
      <c r="N2641" s="30"/>
      <c r="O2641" s="30"/>
      <c r="P2641" s="30"/>
      <c r="Q2641" s="30"/>
      <c r="R2641" s="30"/>
      <c r="S2641" s="30"/>
      <c r="T2641" s="30"/>
      <c r="U2641" s="30"/>
      <c r="V2641" s="30"/>
      <c r="W2641" s="30"/>
      <c r="X2641" s="30"/>
      <c r="Y2641" s="30"/>
      <c r="Z2641" s="30"/>
      <c r="AA2641" s="30"/>
    </row>
    <row r="2642">
      <c r="A2642" s="29">
        <v>2289774.0</v>
      </c>
      <c r="B2642" s="29">
        <v>2291018.0</v>
      </c>
      <c r="C2642" s="30" t="str">
        <f t="shared" si="1"/>
        <v>+</v>
      </c>
      <c r="D2642" s="29">
        <f t="shared" si="2"/>
        <v>904</v>
      </c>
      <c r="E2642" s="30"/>
      <c r="F2642" s="30"/>
      <c r="G2642" s="30"/>
      <c r="H2642" s="30"/>
      <c r="I2642" s="30"/>
      <c r="J2642" s="30"/>
      <c r="K2642" s="30"/>
      <c r="L2642" s="30"/>
      <c r="M2642" s="30"/>
      <c r="N2642" s="30"/>
      <c r="O2642" s="30"/>
      <c r="P2642" s="30"/>
      <c r="Q2642" s="30"/>
      <c r="R2642" s="30"/>
      <c r="S2642" s="30"/>
      <c r="T2642" s="30"/>
      <c r="U2642" s="30"/>
      <c r="V2642" s="30"/>
      <c r="W2642" s="30"/>
      <c r="X2642" s="30"/>
      <c r="Y2642" s="30"/>
      <c r="Z2642" s="30"/>
      <c r="AA2642" s="30"/>
    </row>
    <row r="2643">
      <c r="A2643" s="29">
        <v>2291939.0</v>
      </c>
      <c r="B2643" s="29">
        <v>2291181.0</v>
      </c>
      <c r="C2643" s="30" t="str">
        <f t="shared" si="1"/>
        <v>-</v>
      </c>
      <c r="D2643" s="29">
        <f t="shared" si="2"/>
        <v>905</v>
      </c>
      <c r="E2643" s="30"/>
      <c r="F2643" s="30"/>
      <c r="G2643" s="30"/>
      <c r="H2643" s="30"/>
      <c r="I2643" s="30"/>
      <c r="J2643" s="30"/>
      <c r="K2643" s="30"/>
      <c r="L2643" s="30"/>
      <c r="M2643" s="30"/>
      <c r="N2643" s="30"/>
      <c r="O2643" s="30"/>
      <c r="P2643" s="30"/>
      <c r="Q2643" s="30"/>
      <c r="R2643" s="30"/>
      <c r="S2643" s="30"/>
      <c r="T2643" s="30"/>
      <c r="U2643" s="30"/>
      <c r="V2643" s="30"/>
      <c r="W2643" s="30"/>
      <c r="X2643" s="30"/>
      <c r="Y2643" s="30"/>
      <c r="Z2643" s="30"/>
      <c r="AA2643" s="30"/>
    </row>
    <row r="2644">
      <c r="A2644" s="29">
        <v>2292436.0</v>
      </c>
      <c r="B2644" s="29">
        <v>2291924.0</v>
      </c>
      <c r="C2644" s="30" t="str">
        <f t="shared" si="1"/>
        <v>-</v>
      </c>
      <c r="D2644" s="29">
        <f t="shared" si="2"/>
        <v>905</v>
      </c>
      <c r="E2644" s="30"/>
      <c r="F2644" s="30"/>
      <c r="G2644" s="30"/>
      <c r="H2644" s="30"/>
      <c r="I2644" s="30"/>
      <c r="J2644" s="30"/>
      <c r="K2644" s="30"/>
      <c r="L2644" s="30"/>
      <c r="M2644" s="30"/>
      <c r="N2644" s="30"/>
      <c r="O2644" s="30"/>
      <c r="P2644" s="30"/>
      <c r="Q2644" s="30"/>
      <c r="R2644" s="30"/>
      <c r="S2644" s="30"/>
      <c r="T2644" s="30"/>
      <c r="U2644" s="30"/>
      <c r="V2644" s="30"/>
      <c r="W2644" s="30"/>
      <c r="X2644" s="30"/>
      <c r="Y2644" s="30"/>
      <c r="Z2644" s="30"/>
      <c r="AA2644" s="30"/>
    </row>
    <row r="2645">
      <c r="A2645" s="29">
        <v>2292467.0</v>
      </c>
      <c r="B2645" s="29">
        <v>2292865.0</v>
      </c>
      <c r="C2645" s="30" t="str">
        <f t="shared" si="1"/>
        <v>+</v>
      </c>
      <c r="D2645" s="29">
        <f t="shared" si="2"/>
        <v>906</v>
      </c>
      <c r="E2645" s="30"/>
      <c r="F2645" s="30"/>
      <c r="G2645" s="30"/>
      <c r="H2645" s="30"/>
      <c r="I2645" s="30"/>
      <c r="J2645" s="30"/>
      <c r="K2645" s="30"/>
      <c r="L2645" s="30"/>
      <c r="M2645" s="30"/>
      <c r="N2645" s="30"/>
      <c r="O2645" s="30"/>
      <c r="P2645" s="30"/>
      <c r="Q2645" s="30"/>
      <c r="R2645" s="30"/>
      <c r="S2645" s="30"/>
      <c r="T2645" s="30"/>
      <c r="U2645" s="30"/>
      <c r="V2645" s="30"/>
      <c r="W2645" s="30"/>
      <c r="X2645" s="30"/>
      <c r="Y2645" s="30"/>
      <c r="Z2645" s="30"/>
      <c r="AA2645" s="30"/>
    </row>
    <row r="2646">
      <c r="A2646" s="29">
        <v>2292933.0</v>
      </c>
      <c r="B2646" s="29">
        <v>2293481.0</v>
      </c>
      <c r="C2646" s="30" t="str">
        <f t="shared" si="1"/>
        <v>+</v>
      </c>
      <c r="D2646" s="29">
        <f t="shared" si="2"/>
        <v>906</v>
      </c>
      <c r="E2646" s="30"/>
      <c r="F2646" s="30"/>
      <c r="G2646" s="30"/>
      <c r="H2646" s="30"/>
      <c r="I2646" s="30"/>
      <c r="J2646" s="30"/>
      <c r="K2646" s="30"/>
      <c r="L2646" s="30"/>
      <c r="M2646" s="30"/>
      <c r="N2646" s="30"/>
      <c r="O2646" s="30"/>
      <c r="P2646" s="30"/>
      <c r="Q2646" s="30"/>
      <c r="R2646" s="30"/>
      <c r="S2646" s="30"/>
      <c r="T2646" s="30"/>
      <c r="U2646" s="30"/>
      <c r="V2646" s="30"/>
      <c r="W2646" s="30"/>
      <c r="X2646" s="30"/>
      <c r="Y2646" s="30"/>
      <c r="Z2646" s="30"/>
      <c r="AA2646" s="30"/>
    </row>
    <row r="2647">
      <c r="A2647" s="29">
        <v>2293492.0</v>
      </c>
      <c r="B2647" s="29">
        <v>2293770.0</v>
      </c>
      <c r="C2647" s="30" t="str">
        <f t="shared" si="1"/>
        <v>+</v>
      </c>
      <c r="D2647" s="29">
        <f t="shared" si="2"/>
        <v>906</v>
      </c>
      <c r="E2647" s="30"/>
      <c r="F2647" s="30"/>
      <c r="G2647" s="30"/>
      <c r="H2647" s="30"/>
      <c r="I2647" s="30"/>
      <c r="J2647" s="30"/>
      <c r="K2647" s="30"/>
      <c r="L2647" s="30"/>
      <c r="M2647" s="30"/>
      <c r="N2647" s="30"/>
      <c r="O2647" s="30"/>
      <c r="P2647" s="30"/>
      <c r="Q2647" s="30"/>
      <c r="R2647" s="30"/>
      <c r="S2647" s="30"/>
      <c r="T2647" s="30"/>
      <c r="U2647" s="30"/>
      <c r="V2647" s="30"/>
      <c r="W2647" s="30"/>
      <c r="X2647" s="30"/>
      <c r="Y2647" s="30"/>
      <c r="Z2647" s="30"/>
      <c r="AA2647" s="30"/>
    </row>
    <row r="2648">
      <c r="A2648" s="29">
        <v>2293772.0</v>
      </c>
      <c r="B2648" s="29">
        <v>2293924.0</v>
      </c>
      <c r="C2648" s="30" t="str">
        <f t="shared" si="1"/>
        <v>+</v>
      </c>
      <c r="D2648" s="29">
        <f t="shared" si="2"/>
        <v>906</v>
      </c>
      <c r="E2648" s="30"/>
      <c r="F2648" s="30"/>
      <c r="G2648" s="30"/>
      <c r="H2648" s="30"/>
      <c r="I2648" s="30"/>
      <c r="J2648" s="30"/>
      <c r="K2648" s="30"/>
      <c r="L2648" s="30"/>
      <c r="M2648" s="30"/>
      <c r="N2648" s="30"/>
      <c r="O2648" s="30"/>
      <c r="P2648" s="30"/>
      <c r="Q2648" s="30"/>
      <c r="R2648" s="30"/>
      <c r="S2648" s="30"/>
      <c r="T2648" s="30"/>
      <c r="U2648" s="30"/>
      <c r="V2648" s="30"/>
      <c r="W2648" s="30"/>
      <c r="X2648" s="30"/>
      <c r="Y2648" s="30"/>
      <c r="Z2648" s="30"/>
      <c r="AA2648" s="30"/>
    </row>
    <row r="2649">
      <c r="A2649" s="29">
        <v>2294022.0</v>
      </c>
      <c r="B2649" s="29">
        <v>2294438.0</v>
      </c>
      <c r="C2649" s="30" t="str">
        <f t="shared" si="1"/>
        <v>+</v>
      </c>
      <c r="D2649" s="29">
        <f t="shared" si="2"/>
        <v>906</v>
      </c>
      <c r="E2649" s="30"/>
      <c r="F2649" s="30"/>
      <c r="G2649" s="30"/>
      <c r="H2649" s="30"/>
      <c r="I2649" s="30"/>
      <c r="J2649" s="30"/>
      <c r="K2649" s="30"/>
      <c r="L2649" s="30"/>
      <c r="M2649" s="30"/>
      <c r="N2649" s="30"/>
      <c r="O2649" s="30"/>
      <c r="P2649" s="30"/>
      <c r="Q2649" s="30"/>
      <c r="R2649" s="30"/>
      <c r="S2649" s="30"/>
      <c r="T2649" s="30"/>
      <c r="U2649" s="30"/>
      <c r="V2649" s="30"/>
      <c r="W2649" s="30"/>
      <c r="X2649" s="30"/>
      <c r="Y2649" s="30"/>
      <c r="Z2649" s="30"/>
      <c r="AA2649" s="30"/>
    </row>
    <row r="2650">
      <c r="A2650" s="29">
        <v>2294429.0</v>
      </c>
      <c r="B2650" s="29">
        <v>2294791.0</v>
      </c>
      <c r="C2650" s="30" t="str">
        <f t="shared" si="1"/>
        <v>+</v>
      </c>
      <c r="D2650" s="29">
        <f t="shared" si="2"/>
        <v>906</v>
      </c>
      <c r="E2650" s="30"/>
      <c r="F2650" s="30"/>
      <c r="G2650" s="30"/>
      <c r="H2650" s="30"/>
      <c r="I2650" s="30"/>
      <c r="J2650" s="30"/>
      <c r="K2650" s="30"/>
      <c r="L2650" s="30"/>
      <c r="M2650" s="30"/>
      <c r="N2650" s="30"/>
      <c r="O2650" s="30"/>
      <c r="P2650" s="30"/>
      <c r="Q2650" s="30"/>
      <c r="R2650" s="30"/>
      <c r="S2650" s="30"/>
      <c r="T2650" s="30"/>
      <c r="U2650" s="30"/>
      <c r="V2650" s="30"/>
      <c r="W2650" s="30"/>
      <c r="X2650" s="30"/>
      <c r="Y2650" s="30"/>
      <c r="Z2650" s="30"/>
      <c r="AA2650" s="30"/>
    </row>
    <row r="2651">
      <c r="A2651" s="29">
        <v>2294988.0</v>
      </c>
      <c r="B2651" s="29">
        <v>2295758.0</v>
      </c>
      <c r="C2651" s="30" t="str">
        <f t="shared" si="1"/>
        <v>+</v>
      </c>
      <c r="D2651" s="29">
        <f t="shared" si="2"/>
        <v>906</v>
      </c>
      <c r="E2651" s="30"/>
      <c r="F2651" s="30"/>
      <c r="G2651" s="30"/>
      <c r="H2651" s="30"/>
      <c r="I2651" s="30"/>
      <c r="J2651" s="30"/>
      <c r="K2651" s="30"/>
      <c r="L2651" s="30"/>
      <c r="M2651" s="30"/>
      <c r="N2651" s="30"/>
      <c r="O2651" s="30"/>
      <c r="P2651" s="30"/>
      <c r="Q2651" s="30"/>
      <c r="R2651" s="30"/>
      <c r="S2651" s="30"/>
      <c r="T2651" s="30"/>
      <c r="U2651" s="30"/>
      <c r="V2651" s="30"/>
      <c r="W2651" s="30"/>
      <c r="X2651" s="30"/>
      <c r="Y2651" s="30"/>
      <c r="Z2651" s="30"/>
      <c r="AA2651" s="30"/>
    </row>
    <row r="2652">
      <c r="A2652" s="29">
        <v>2295755.0</v>
      </c>
      <c r="B2652" s="29">
        <v>2296654.0</v>
      </c>
      <c r="C2652" s="30" t="str">
        <f t="shared" si="1"/>
        <v>+</v>
      </c>
      <c r="D2652" s="29">
        <f t="shared" si="2"/>
        <v>906</v>
      </c>
      <c r="E2652" s="30"/>
      <c r="F2652" s="30"/>
      <c r="G2652" s="30"/>
      <c r="H2652" s="30"/>
      <c r="I2652" s="30"/>
      <c r="J2652" s="30"/>
      <c r="K2652" s="30"/>
      <c r="L2652" s="30"/>
      <c r="M2652" s="30"/>
      <c r="N2652" s="30"/>
      <c r="O2652" s="30"/>
      <c r="P2652" s="30"/>
      <c r="Q2652" s="30"/>
      <c r="R2652" s="30"/>
      <c r="S2652" s="30"/>
      <c r="T2652" s="30"/>
      <c r="U2652" s="30"/>
      <c r="V2652" s="30"/>
      <c r="W2652" s="30"/>
      <c r="X2652" s="30"/>
      <c r="Y2652" s="30"/>
      <c r="Z2652" s="30"/>
      <c r="AA2652" s="30"/>
    </row>
    <row r="2653">
      <c r="A2653" s="29">
        <v>2297327.0</v>
      </c>
      <c r="B2653" s="29">
        <v>2296716.0</v>
      </c>
      <c r="C2653" s="30" t="str">
        <f t="shared" si="1"/>
        <v>-</v>
      </c>
      <c r="D2653" s="29">
        <f t="shared" si="2"/>
        <v>907</v>
      </c>
      <c r="E2653" s="30"/>
      <c r="F2653" s="30"/>
      <c r="G2653" s="30"/>
      <c r="H2653" s="30"/>
      <c r="I2653" s="30"/>
      <c r="J2653" s="30"/>
      <c r="K2653" s="30"/>
      <c r="L2653" s="30"/>
      <c r="M2653" s="30"/>
      <c r="N2653" s="30"/>
      <c r="O2653" s="30"/>
      <c r="P2653" s="30"/>
      <c r="Q2653" s="30"/>
      <c r="R2653" s="30"/>
      <c r="S2653" s="30"/>
      <c r="T2653" s="30"/>
      <c r="U2653" s="30"/>
      <c r="V2653" s="30"/>
      <c r="W2653" s="30"/>
      <c r="X2653" s="30"/>
      <c r="Y2653" s="30"/>
      <c r="Z2653" s="30"/>
      <c r="AA2653" s="30"/>
    </row>
    <row r="2654">
      <c r="A2654" s="29">
        <v>2297380.0</v>
      </c>
      <c r="B2654" s="29">
        <v>2298426.0</v>
      </c>
      <c r="C2654" s="30" t="str">
        <f t="shared" si="1"/>
        <v>+</v>
      </c>
      <c r="D2654" s="29">
        <f t="shared" si="2"/>
        <v>908</v>
      </c>
      <c r="E2654" s="30"/>
      <c r="F2654" s="30"/>
      <c r="G2654" s="30"/>
      <c r="H2654" s="30"/>
      <c r="I2654" s="30"/>
      <c r="J2654" s="30"/>
      <c r="K2654" s="30"/>
      <c r="L2654" s="30"/>
      <c r="M2654" s="30"/>
      <c r="N2654" s="30"/>
      <c r="O2654" s="30"/>
      <c r="P2654" s="30"/>
      <c r="Q2654" s="30"/>
      <c r="R2654" s="30"/>
      <c r="S2654" s="30"/>
      <c r="T2654" s="30"/>
      <c r="U2654" s="30"/>
      <c r="V2654" s="30"/>
      <c r="W2654" s="30"/>
      <c r="X2654" s="30"/>
      <c r="Y2654" s="30"/>
      <c r="Z2654" s="30"/>
      <c r="AA2654" s="30"/>
    </row>
    <row r="2655">
      <c r="A2655" s="29">
        <v>2299905.0</v>
      </c>
      <c r="B2655" s="29">
        <v>2300942.0</v>
      </c>
      <c r="C2655" s="30" t="str">
        <f t="shared" si="1"/>
        <v>+</v>
      </c>
      <c r="D2655" s="29">
        <f t="shared" si="2"/>
        <v>908</v>
      </c>
      <c r="E2655" s="30"/>
      <c r="F2655" s="30"/>
      <c r="G2655" s="30"/>
      <c r="H2655" s="30"/>
      <c r="I2655" s="30"/>
      <c r="J2655" s="30"/>
      <c r="K2655" s="30"/>
      <c r="L2655" s="30"/>
      <c r="M2655" s="30"/>
      <c r="N2655" s="30"/>
      <c r="O2655" s="30"/>
      <c r="P2655" s="30"/>
      <c r="Q2655" s="30"/>
      <c r="R2655" s="30"/>
      <c r="S2655" s="30"/>
      <c r="T2655" s="30"/>
      <c r="U2655" s="30"/>
      <c r="V2655" s="30"/>
      <c r="W2655" s="30"/>
      <c r="X2655" s="30"/>
      <c r="Y2655" s="30"/>
      <c r="Z2655" s="30"/>
      <c r="AA2655" s="30"/>
    </row>
    <row r="2656">
      <c r="A2656" s="29">
        <v>2302368.0</v>
      </c>
      <c r="B2656" s="29">
        <v>2300974.0</v>
      </c>
      <c r="C2656" s="30" t="str">
        <f t="shared" si="1"/>
        <v>-</v>
      </c>
      <c r="D2656" s="29">
        <f t="shared" si="2"/>
        <v>909</v>
      </c>
      <c r="E2656" s="30"/>
      <c r="F2656" s="30"/>
      <c r="G2656" s="30"/>
      <c r="H2656" s="30"/>
      <c r="I2656" s="30"/>
      <c r="J2656" s="30"/>
      <c r="K2656" s="30"/>
      <c r="L2656" s="30"/>
      <c r="M2656" s="30"/>
      <c r="N2656" s="30"/>
      <c r="O2656" s="30"/>
      <c r="P2656" s="30"/>
      <c r="Q2656" s="30"/>
      <c r="R2656" s="30"/>
      <c r="S2656" s="30"/>
      <c r="T2656" s="30"/>
      <c r="U2656" s="30"/>
      <c r="V2656" s="30"/>
      <c r="W2656" s="30"/>
      <c r="X2656" s="30"/>
      <c r="Y2656" s="30"/>
      <c r="Z2656" s="30"/>
      <c r="AA2656" s="30"/>
    </row>
    <row r="2657">
      <c r="A2657" s="29">
        <v>2303475.0</v>
      </c>
      <c r="B2657" s="29">
        <v>2302405.0</v>
      </c>
      <c r="C2657" s="30" t="str">
        <f t="shared" si="1"/>
        <v>-</v>
      </c>
      <c r="D2657" s="29">
        <f t="shared" si="2"/>
        <v>909</v>
      </c>
      <c r="E2657" s="30"/>
      <c r="F2657" s="30"/>
      <c r="G2657" s="30"/>
      <c r="H2657" s="30"/>
      <c r="I2657" s="30"/>
      <c r="J2657" s="30"/>
      <c r="K2657" s="30"/>
      <c r="L2657" s="30"/>
      <c r="M2657" s="30"/>
      <c r="N2657" s="30"/>
      <c r="O2657" s="30"/>
      <c r="P2657" s="30"/>
      <c r="Q2657" s="30"/>
      <c r="R2657" s="30"/>
      <c r="S2657" s="30"/>
      <c r="T2657" s="30"/>
      <c r="U2657" s="30"/>
      <c r="V2657" s="30"/>
      <c r="W2657" s="30"/>
      <c r="X2657" s="30"/>
      <c r="Y2657" s="30"/>
      <c r="Z2657" s="30"/>
      <c r="AA2657" s="30"/>
    </row>
    <row r="2658">
      <c r="A2658" s="29">
        <v>2304227.0</v>
      </c>
      <c r="B2658" s="29">
        <v>2303469.0</v>
      </c>
      <c r="C2658" s="30" t="str">
        <f t="shared" si="1"/>
        <v>-</v>
      </c>
      <c r="D2658" s="29">
        <f t="shared" si="2"/>
        <v>909</v>
      </c>
      <c r="E2658" s="30"/>
      <c r="F2658" s="30"/>
      <c r="G2658" s="30"/>
      <c r="H2658" s="30"/>
      <c r="I2658" s="30"/>
      <c r="J2658" s="30"/>
      <c r="K2658" s="30"/>
      <c r="L2658" s="30"/>
      <c r="M2658" s="30"/>
      <c r="N2658" s="30"/>
      <c r="O2658" s="30"/>
      <c r="P2658" s="30"/>
      <c r="Q2658" s="30"/>
      <c r="R2658" s="30"/>
      <c r="S2658" s="30"/>
      <c r="T2658" s="30"/>
      <c r="U2658" s="30"/>
      <c r="V2658" s="30"/>
      <c r="W2658" s="30"/>
      <c r="X2658" s="30"/>
      <c r="Y2658" s="30"/>
      <c r="Z2658" s="30"/>
      <c r="AA2658" s="30"/>
    </row>
    <row r="2659">
      <c r="A2659" s="29">
        <v>2305839.0</v>
      </c>
      <c r="B2659" s="29">
        <v>2304343.0</v>
      </c>
      <c r="C2659" s="30" t="str">
        <f t="shared" si="1"/>
        <v>-</v>
      </c>
      <c r="D2659" s="29">
        <f t="shared" si="2"/>
        <v>909</v>
      </c>
      <c r="E2659" s="30"/>
      <c r="F2659" s="30"/>
      <c r="G2659" s="30"/>
      <c r="H2659" s="30"/>
      <c r="I2659" s="30"/>
      <c r="J2659" s="30"/>
      <c r="K2659" s="30"/>
      <c r="L2659" s="30"/>
      <c r="M2659" s="30"/>
      <c r="N2659" s="30"/>
      <c r="O2659" s="30"/>
      <c r="P2659" s="30"/>
      <c r="Q2659" s="30"/>
      <c r="R2659" s="30"/>
      <c r="S2659" s="30"/>
      <c r="T2659" s="30"/>
      <c r="U2659" s="30"/>
      <c r="V2659" s="30"/>
      <c r="W2659" s="30"/>
      <c r="X2659" s="30"/>
      <c r="Y2659" s="30"/>
      <c r="Z2659" s="30"/>
      <c r="AA2659" s="30"/>
    </row>
    <row r="2660">
      <c r="A2660" s="29">
        <v>2307147.0</v>
      </c>
      <c r="B2660" s="29">
        <v>2305927.0</v>
      </c>
      <c r="C2660" s="30" t="str">
        <f t="shared" si="1"/>
        <v>-</v>
      </c>
      <c r="D2660" s="29">
        <f t="shared" si="2"/>
        <v>909</v>
      </c>
      <c r="E2660" s="30"/>
      <c r="F2660" s="30"/>
      <c r="G2660" s="30"/>
      <c r="H2660" s="30"/>
      <c r="I2660" s="30"/>
      <c r="J2660" s="30"/>
      <c r="K2660" s="30"/>
      <c r="L2660" s="30"/>
      <c r="M2660" s="30"/>
      <c r="N2660" s="30"/>
      <c r="O2660" s="30"/>
      <c r="P2660" s="30"/>
      <c r="Q2660" s="30"/>
      <c r="R2660" s="30"/>
      <c r="S2660" s="30"/>
      <c r="T2660" s="30"/>
      <c r="U2660" s="30"/>
      <c r="V2660" s="30"/>
      <c r="W2660" s="30"/>
      <c r="X2660" s="30"/>
      <c r="Y2660" s="30"/>
      <c r="Z2660" s="30"/>
      <c r="AA2660" s="30"/>
    </row>
    <row r="2661">
      <c r="A2661" s="29">
        <v>2308471.0</v>
      </c>
      <c r="B2661" s="29">
        <v>2307140.0</v>
      </c>
      <c r="C2661" s="30" t="str">
        <f t="shared" si="1"/>
        <v>-</v>
      </c>
      <c r="D2661" s="29">
        <f t="shared" si="2"/>
        <v>909</v>
      </c>
      <c r="E2661" s="30"/>
      <c r="F2661" s="30"/>
      <c r="G2661" s="30"/>
      <c r="H2661" s="30"/>
      <c r="I2661" s="30"/>
      <c r="J2661" s="30"/>
      <c r="K2661" s="30"/>
      <c r="L2661" s="30"/>
      <c r="M2661" s="30"/>
      <c r="N2661" s="30"/>
      <c r="O2661" s="30"/>
      <c r="P2661" s="30"/>
      <c r="Q2661" s="30"/>
      <c r="R2661" s="30"/>
      <c r="S2661" s="30"/>
      <c r="T2661" s="30"/>
      <c r="U2661" s="30"/>
      <c r="V2661" s="30"/>
      <c r="W2661" s="30"/>
      <c r="X2661" s="30"/>
      <c r="Y2661" s="30"/>
      <c r="Z2661" s="30"/>
      <c r="AA2661" s="30"/>
    </row>
    <row r="2662">
      <c r="A2662" s="29">
        <v>2309175.0</v>
      </c>
      <c r="B2662" s="29">
        <v>2308468.0</v>
      </c>
      <c r="C2662" s="30" t="str">
        <f t="shared" si="1"/>
        <v>-</v>
      </c>
      <c r="D2662" s="29">
        <f t="shared" si="2"/>
        <v>909</v>
      </c>
      <c r="E2662" s="30"/>
      <c r="F2662" s="30"/>
      <c r="G2662" s="30"/>
      <c r="H2662" s="30"/>
      <c r="I2662" s="30"/>
      <c r="J2662" s="30"/>
      <c r="K2662" s="30"/>
      <c r="L2662" s="30"/>
      <c r="M2662" s="30"/>
      <c r="N2662" s="30"/>
      <c r="O2662" s="30"/>
      <c r="P2662" s="30"/>
      <c r="Q2662" s="30"/>
      <c r="R2662" s="30"/>
      <c r="S2662" s="30"/>
      <c r="T2662" s="30"/>
      <c r="U2662" s="30"/>
      <c r="V2662" s="30"/>
      <c r="W2662" s="30"/>
      <c r="X2662" s="30"/>
      <c r="Y2662" s="30"/>
      <c r="Z2662" s="30"/>
      <c r="AA2662" s="30"/>
    </row>
    <row r="2663">
      <c r="A2663" s="29">
        <v>2309912.0</v>
      </c>
      <c r="B2663" s="29">
        <v>2309172.0</v>
      </c>
      <c r="C2663" s="30" t="str">
        <f t="shared" si="1"/>
        <v>-</v>
      </c>
      <c r="D2663" s="29">
        <f t="shared" si="2"/>
        <v>909</v>
      </c>
      <c r="E2663" s="30"/>
      <c r="F2663" s="30"/>
      <c r="G2663" s="30"/>
      <c r="H2663" s="30"/>
      <c r="I2663" s="30"/>
      <c r="J2663" s="30"/>
      <c r="K2663" s="30"/>
      <c r="L2663" s="30"/>
      <c r="M2663" s="30"/>
      <c r="N2663" s="30"/>
      <c r="O2663" s="30"/>
      <c r="P2663" s="30"/>
      <c r="Q2663" s="30"/>
      <c r="R2663" s="30"/>
      <c r="S2663" s="30"/>
      <c r="T2663" s="30"/>
      <c r="U2663" s="30"/>
      <c r="V2663" s="30"/>
      <c r="W2663" s="30"/>
      <c r="X2663" s="30"/>
      <c r="Y2663" s="30"/>
      <c r="Z2663" s="30"/>
      <c r="AA2663" s="30"/>
    </row>
    <row r="2664">
      <c r="A2664" s="29">
        <v>2310657.0</v>
      </c>
      <c r="B2664" s="29">
        <v>2309917.0</v>
      </c>
      <c r="C2664" s="30" t="str">
        <f t="shared" si="1"/>
        <v>-</v>
      </c>
      <c r="D2664" s="29">
        <f t="shared" si="2"/>
        <v>909</v>
      </c>
      <c r="E2664" s="30"/>
      <c r="F2664" s="30"/>
      <c r="G2664" s="30"/>
      <c r="H2664" s="30"/>
      <c r="I2664" s="30"/>
      <c r="J2664" s="30"/>
      <c r="K2664" s="30"/>
      <c r="L2664" s="30"/>
      <c r="M2664" s="30"/>
      <c r="N2664" s="30"/>
      <c r="O2664" s="30"/>
      <c r="P2664" s="30"/>
      <c r="Q2664" s="30"/>
      <c r="R2664" s="30"/>
      <c r="S2664" s="30"/>
      <c r="T2664" s="30"/>
      <c r="U2664" s="30"/>
      <c r="V2664" s="30"/>
      <c r="W2664" s="30"/>
      <c r="X2664" s="30"/>
      <c r="Y2664" s="30"/>
      <c r="Z2664" s="30"/>
      <c r="AA2664" s="30"/>
    </row>
    <row r="2665">
      <c r="A2665" s="29">
        <v>2311065.0</v>
      </c>
      <c r="B2665" s="29">
        <v>2310661.0</v>
      </c>
      <c r="C2665" s="30" t="str">
        <f t="shared" si="1"/>
        <v>-</v>
      </c>
      <c r="D2665" s="29">
        <f t="shared" si="2"/>
        <v>909</v>
      </c>
      <c r="E2665" s="30"/>
      <c r="F2665" s="30"/>
      <c r="G2665" s="30"/>
      <c r="H2665" s="30"/>
      <c r="I2665" s="30"/>
      <c r="J2665" s="30"/>
      <c r="K2665" s="30"/>
      <c r="L2665" s="30"/>
      <c r="M2665" s="30"/>
      <c r="N2665" s="30"/>
      <c r="O2665" s="30"/>
      <c r="P2665" s="30"/>
      <c r="Q2665" s="30"/>
      <c r="R2665" s="30"/>
      <c r="S2665" s="30"/>
      <c r="T2665" s="30"/>
      <c r="U2665" s="30"/>
      <c r="V2665" s="30"/>
      <c r="W2665" s="30"/>
      <c r="X2665" s="30"/>
      <c r="Y2665" s="30"/>
      <c r="Z2665" s="30"/>
      <c r="AA2665" s="30"/>
    </row>
    <row r="2666">
      <c r="A2666" s="29">
        <v>2311853.0</v>
      </c>
      <c r="B2666" s="29">
        <v>2311062.0</v>
      </c>
      <c r="C2666" s="30" t="str">
        <f t="shared" si="1"/>
        <v>-</v>
      </c>
      <c r="D2666" s="29">
        <f t="shared" si="2"/>
        <v>909</v>
      </c>
      <c r="E2666" s="30"/>
      <c r="F2666" s="30"/>
      <c r="G2666" s="30"/>
      <c r="H2666" s="30"/>
      <c r="I2666" s="30"/>
      <c r="J2666" s="30"/>
      <c r="K2666" s="30"/>
      <c r="L2666" s="30"/>
      <c r="M2666" s="30"/>
      <c r="N2666" s="30"/>
      <c r="O2666" s="30"/>
      <c r="P2666" s="30"/>
      <c r="Q2666" s="30"/>
      <c r="R2666" s="30"/>
      <c r="S2666" s="30"/>
      <c r="T2666" s="30"/>
      <c r="U2666" s="30"/>
      <c r="V2666" s="30"/>
      <c r="W2666" s="30"/>
      <c r="X2666" s="30"/>
      <c r="Y2666" s="30"/>
      <c r="Z2666" s="30"/>
      <c r="AA2666" s="30"/>
    </row>
    <row r="2667">
      <c r="A2667" s="29">
        <v>2312937.0</v>
      </c>
      <c r="B2667" s="29">
        <v>2311891.0</v>
      </c>
      <c r="C2667" s="30" t="str">
        <f t="shared" si="1"/>
        <v>-</v>
      </c>
      <c r="D2667" s="29">
        <f t="shared" si="2"/>
        <v>909</v>
      </c>
      <c r="E2667" s="30"/>
      <c r="F2667" s="30"/>
      <c r="G2667" s="30"/>
      <c r="H2667" s="30"/>
      <c r="I2667" s="30"/>
      <c r="J2667" s="30"/>
      <c r="K2667" s="30"/>
      <c r="L2667" s="30"/>
      <c r="M2667" s="30"/>
      <c r="N2667" s="30"/>
      <c r="O2667" s="30"/>
      <c r="P2667" s="30"/>
      <c r="Q2667" s="30"/>
      <c r="R2667" s="30"/>
      <c r="S2667" s="30"/>
      <c r="T2667" s="30"/>
      <c r="U2667" s="30"/>
      <c r="V2667" s="30"/>
      <c r="W2667" s="30"/>
      <c r="X2667" s="30"/>
      <c r="Y2667" s="30"/>
      <c r="Z2667" s="30"/>
      <c r="AA2667" s="30"/>
    </row>
    <row r="2668">
      <c r="A2668" s="29">
        <v>2313396.0</v>
      </c>
      <c r="B2668" s="29">
        <v>2312941.0</v>
      </c>
      <c r="C2668" s="30" t="str">
        <f t="shared" si="1"/>
        <v>-</v>
      </c>
      <c r="D2668" s="29">
        <f t="shared" si="2"/>
        <v>909</v>
      </c>
      <c r="E2668" s="30"/>
      <c r="F2668" s="30"/>
      <c r="G2668" s="30"/>
      <c r="H2668" s="30"/>
      <c r="I2668" s="30"/>
      <c r="J2668" s="30"/>
      <c r="K2668" s="30"/>
      <c r="L2668" s="30"/>
      <c r="M2668" s="30"/>
      <c r="N2668" s="30"/>
      <c r="O2668" s="30"/>
      <c r="P2668" s="30"/>
      <c r="Q2668" s="30"/>
      <c r="R2668" s="30"/>
      <c r="S2668" s="30"/>
      <c r="T2668" s="30"/>
      <c r="U2668" s="30"/>
      <c r="V2668" s="30"/>
      <c r="W2668" s="30"/>
      <c r="X2668" s="30"/>
      <c r="Y2668" s="30"/>
      <c r="Z2668" s="30"/>
      <c r="AA2668" s="30"/>
    </row>
    <row r="2669">
      <c r="A2669" s="29">
        <v>2314556.0</v>
      </c>
      <c r="B2669" s="29">
        <v>2313393.0</v>
      </c>
      <c r="C2669" s="30" t="str">
        <f t="shared" si="1"/>
        <v>-</v>
      </c>
      <c r="D2669" s="29">
        <f t="shared" si="2"/>
        <v>909</v>
      </c>
      <c r="E2669" s="30"/>
      <c r="F2669" s="30"/>
      <c r="G2669" s="30"/>
      <c r="H2669" s="30"/>
      <c r="I2669" s="30"/>
      <c r="J2669" s="30"/>
      <c r="K2669" s="30"/>
      <c r="L2669" s="30"/>
      <c r="M2669" s="30"/>
      <c r="N2669" s="30"/>
      <c r="O2669" s="30"/>
      <c r="P2669" s="30"/>
      <c r="Q2669" s="30"/>
      <c r="R2669" s="30"/>
      <c r="S2669" s="30"/>
      <c r="T2669" s="30"/>
      <c r="U2669" s="30"/>
      <c r="V2669" s="30"/>
      <c r="W2669" s="30"/>
      <c r="X2669" s="30"/>
      <c r="Y2669" s="30"/>
      <c r="Z2669" s="30"/>
      <c r="AA2669" s="30"/>
    </row>
    <row r="2670">
      <c r="A2670" s="29">
        <v>2315771.0</v>
      </c>
      <c r="B2670" s="29">
        <v>2314557.0</v>
      </c>
      <c r="C2670" s="30" t="str">
        <f t="shared" si="1"/>
        <v>-</v>
      </c>
      <c r="D2670" s="29">
        <f t="shared" si="2"/>
        <v>909</v>
      </c>
      <c r="E2670" s="30"/>
      <c r="F2670" s="30"/>
      <c r="G2670" s="30"/>
      <c r="H2670" s="30"/>
      <c r="I2670" s="30"/>
      <c r="J2670" s="30"/>
      <c r="K2670" s="30"/>
      <c r="L2670" s="30"/>
      <c r="M2670" s="30"/>
      <c r="N2670" s="30"/>
      <c r="O2670" s="30"/>
      <c r="P2670" s="30"/>
      <c r="Q2670" s="30"/>
      <c r="R2670" s="30"/>
      <c r="S2670" s="30"/>
      <c r="T2670" s="30"/>
      <c r="U2670" s="30"/>
      <c r="V2670" s="30"/>
      <c r="W2670" s="30"/>
      <c r="X2670" s="30"/>
      <c r="Y2670" s="30"/>
      <c r="Z2670" s="30"/>
      <c r="AA2670" s="30"/>
    </row>
    <row r="2671">
      <c r="A2671" s="29">
        <v>2317015.0</v>
      </c>
      <c r="B2671" s="29">
        <v>2315810.0</v>
      </c>
      <c r="C2671" s="30" t="str">
        <f t="shared" si="1"/>
        <v>-</v>
      </c>
      <c r="D2671" s="29">
        <f t="shared" si="2"/>
        <v>909</v>
      </c>
      <c r="E2671" s="30"/>
      <c r="F2671" s="30"/>
      <c r="G2671" s="30"/>
      <c r="H2671" s="30"/>
      <c r="I2671" s="30"/>
      <c r="J2671" s="30"/>
      <c r="K2671" s="30"/>
      <c r="L2671" s="30"/>
      <c r="M2671" s="30"/>
      <c r="N2671" s="30"/>
      <c r="O2671" s="30"/>
      <c r="P2671" s="30"/>
      <c r="Q2671" s="30"/>
      <c r="R2671" s="30"/>
      <c r="S2671" s="30"/>
      <c r="T2671" s="30"/>
      <c r="U2671" s="30"/>
      <c r="V2671" s="30"/>
      <c r="W2671" s="30"/>
      <c r="X2671" s="30"/>
      <c r="Y2671" s="30"/>
      <c r="Z2671" s="30"/>
      <c r="AA2671" s="30"/>
    </row>
    <row r="2672">
      <c r="A2672" s="29">
        <v>2317956.0</v>
      </c>
      <c r="B2672" s="29">
        <v>2317012.0</v>
      </c>
      <c r="C2672" s="30" t="str">
        <f t="shared" si="1"/>
        <v>-</v>
      </c>
      <c r="D2672" s="29">
        <f t="shared" si="2"/>
        <v>909</v>
      </c>
      <c r="E2672" s="30"/>
      <c r="F2672" s="30"/>
      <c r="G2672" s="30"/>
      <c r="H2672" s="30"/>
      <c r="I2672" s="30"/>
      <c r="J2672" s="30"/>
      <c r="K2672" s="30"/>
      <c r="L2672" s="30"/>
      <c r="M2672" s="30"/>
      <c r="N2672" s="30"/>
      <c r="O2672" s="30"/>
      <c r="P2672" s="30"/>
      <c r="Q2672" s="30"/>
      <c r="R2672" s="30"/>
      <c r="S2672" s="30"/>
      <c r="T2672" s="30"/>
      <c r="U2672" s="30"/>
      <c r="V2672" s="30"/>
      <c r="W2672" s="30"/>
      <c r="X2672" s="30"/>
      <c r="Y2672" s="30"/>
      <c r="Z2672" s="30"/>
      <c r="AA2672" s="30"/>
    </row>
    <row r="2673">
      <c r="A2673" s="29">
        <v>2319130.0</v>
      </c>
      <c r="B2673" s="29">
        <v>2317946.0</v>
      </c>
      <c r="C2673" s="30" t="str">
        <f t="shared" si="1"/>
        <v>-</v>
      </c>
      <c r="D2673" s="29">
        <f t="shared" si="2"/>
        <v>909</v>
      </c>
      <c r="E2673" s="30"/>
      <c r="F2673" s="30"/>
      <c r="G2673" s="30"/>
      <c r="H2673" s="30"/>
      <c r="I2673" s="30"/>
      <c r="J2673" s="30"/>
      <c r="K2673" s="30"/>
      <c r="L2673" s="30"/>
      <c r="M2673" s="30"/>
      <c r="N2673" s="30"/>
      <c r="O2673" s="30"/>
      <c r="P2673" s="30"/>
      <c r="Q2673" s="30"/>
      <c r="R2673" s="30"/>
      <c r="S2673" s="30"/>
      <c r="T2673" s="30"/>
      <c r="U2673" s="30"/>
      <c r="V2673" s="30"/>
      <c r="W2673" s="30"/>
      <c r="X2673" s="30"/>
      <c r="Y2673" s="30"/>
      <c r="Z2673" s="30"/>
      <c r="AA2673" s="30"/>
    </row>
    <row r="2674">
      <c r="A2674" s="29">
        <v>2319921.0</v>
      </c>
      <c r="B2674" s="29">
        <v>2319127.0</v>
      </c>
      <c r="C2674" s="30" t="str">
        <f t="shared" si="1"/>
        <v>-</v>
      </c>
      <c r="D2674" s="29">
        <f t="shared" si="2"/>
        <v>909</v>
      </c>
      <c r="E2674" s="30"/>
      <c r="F2674" s="30"/>
      <c r="G2674" s="30"/>
      <c r="H2674" s="30"/>
      <c r="I2674" s="30"/>
      <c r="J2674" s="30"/>
      <c r="K2674" s="30"/>
      <c r="L2674" s="30"/>
      <c r="M2674" s="30"/>
      <c r="N2674" s="30"/>
      <c r="O2674" s="30"/>
      <c r="P2674" s="30"/>
      <c r="Q2674" s="30"/>
      <c r="R2674" s="30"/>
      <c r="S2674" s="30"/>
      <c r="T2674" s="30"/>
      <c r="U2674" s="30"/>
      <c r="V2674" s="30"/>
      <c r="W2674" s="30"/>
      <c r="X2674" s="30"/>
      <c r="Y2674" s="30"/>
      <c r="Z2674" s="30"/>
      <c r="AA2674" s="30"/>
    </row>
    <row r="2675">
      <c r="A2675" s="29">
        <v>2321057.0</v>
      </c>
      <c r="B2675" s="29">
        <v>2319999.0</v>
      </c>
      <c r="C2675" s="30" t="str">
        <f t="shared" si="1"/>
        <v>-</v>
      </c>
      <c r="D2675" s="29">
        <f t="shared" si="2"/>
        <v>909</v>
      </c>
      <c r="E2675" s="30"/>
      <c r="F2675" s="30"/>
      <c r="G2675" s="30"/>
      <c r="H2675" s="30"/>
      <c r="I2675" s="30"/>
      <c r="J2675" s="30"/>
      <c r="K2675" s="30"/>
      <c r="L2675" s="30"/>
      <c r="M2675" s="30"/>
      <c r="N2675" s="30"/>
      <c r="O2675" s="30"/>
      <c r="P2675" s="30"/>
      <c r="Q2675" s="30"/>
      <c r="R2675" s="30"/>
      <c r="S2675" s="30"/>
      <c r="T2675" s="30"/>
      <c r="U2675" s="30"/>
      <c r="V2675" s="30"/>
      <c r="W2675" s="30"/>
      <c r="X2675" s="30"/>
      <c r="Y2675" s="30"/>
      <c r="Z2675" s="30"/>
      <c r="AA2675" s="30"/>
    </row>
    <row r="2676">
      <c r="A2676" s="29">
        <v>2321585.0</v>
      </c>
      <c r="B2676" s="29">
        <v>2321112.0</v>
      </c>
      <c r="C2676" s="30" t="str">
        <f t="shared" si="1"/>
        <v>-</v>
      </c>
      <c r="D2676" s="29">
        <f t="shared" si="2"/>
        <v>909</v>
      </c>
      <c r="E2676" s="30"/>
      <c r="F2676" s="30"/>
      <c r="G2676" s="30"/>
      <c r="H2676" s="30"/>
      <c r="I2676" s="30"/>
      <c r="J2676" s="30"/>
      <c r="K2676" s="30"/>
      <c r="L2676" s="30"/>
      <c r="M2676" s="30"/>
      <c r="N2676" s="30"/>
      <c r="O2676" s="30"/>
      <c r="P2676" s="30"/>
      <c r="Q2676" s="30"/>
      <c r="R2676" s="30"/>
      <c r="S2676" s="30"/>
      <c r="T2676" s="30"/>
      <c r="U2676" s="30"/>
      <c r="V2676" s="30"/>
      <c r="W2676" s="30"/>
      <c r="X2676" s="30"/>
      <c r="Y2676" s="30"/>
      <c r="Z2676" s="30"/>
      <c r="AA2676" s="30"/>
    </row>
    <row r="2677">
      <c r="A2677" s="29">
        <v>2321971.0</v>
      </c>
      <c r="B2677" s="29">
        <v>2321729.0</v>
      </c>
      <c r="C2677" s="30" t="str">
        <f t="shared" si="1"/>
        <v>-</v>
      </c>
      <c r="D2677" s="29">
        <f t="shared" si="2"/>
        <v>909</v>
      </c>
      <c r="E2677" s="30"/>
      <c r="F2677" s="30"/>
      <c r="G2677" s="30"/>
      <c r="H2677" s="30"/>
      <c r="I2677" s="30"/>
      <c r="J2677" s="30"/>
      <c r="K2677" s="30"/>
      <c r="L2677" s="30"/>
      <c r="M2677" s="30"/>
      <c r="N2677" s="30"/>
      <c r="O2677" s="30"/>
      <c r="P2677" s="30"/>
      <c r="Q2677" s="30"/>
      <c r="R2677" s="30"/>
      <c r="S2677" s="30"/>
      <c r="T2677" s="30"/>
      <c r="U2677" s="30"/>
      <c r="V2677" s="30"/>
      <c r="W2677" s="30"/>
      <c r="X2677" s="30"/>
      <c r="Y2677" s="30"/>
      <c r="Z2677" s="30"/>
      <c r="AA2677" s="30"/>
    </row>
    <row r="2678">
      <c r="A2678" s="29">
        <v>2322254.0</v>
      </c>
      <c r="B2678" s="29">
        <v>2322475.0</v>
      </c>
      <c r="C2678" s="30" t="str">
        <f t="shared" si="1"/>
        <v>+</v>
      </c>
      <c r="D2678" s="29">
        <f t="shared" si="2"/>
        <v>910</v>
      </c>
      <c r="E2678" s="43"/>
      <c r="F2678" s="30"/>
      <c r="G2678" s="30"/>
      <c r="H2678" s="30"/>
      <c r="I2678" s="30"/>
      <c r="J2678" s="30"/>
      <c r="K2678" s="30"/>
      <c r="L2678" s="30"/>
      <c r="M2678" s="30"/>
      <c r="N2678" s="30"/>
      <c r="O2678" s="30"/>
      <c r="P2678" s="30"/>
      <c r="Q2678" s="30"/>
      <c r="R2678" s="30"/>
      <c r="S2678" s="30"/>
      <c r="T2678" s="30"/>
      <c r="U2678" s="30"/>
      <c r="V2678" s="30"/>
      <c r="W2678" s="30"/>
      <c r="X2678" s="30"/>
      <c r="Y2678" s="30"/>
      <c r="Z2678" s="30"/>
      <c r="AA2678" s="30"/>
    </row>
    <row r="2679">
      <c r="A2679" s="29">
        <v>2322456.0</v>
      </c>
      <c r="B2679" s="29">
        <v>2322857.0</v>
      </c>
      <c r="C2679" s="30" t="str">
        <f t="shared" si="1"/>
        <v>+</v>
      </c>
      <c r="D2679" s="29">
        <f t="shared" si="2"/>
        <v>910</v>
      </c>
      <c r="E2679" s="30"/>
      <c r="F2679" s="30"/>
      <c r="G2679" s="30"/>
      <c r="H2679" s="30"/>
      <c r="I2679" s="30"/>
      <c r="J2679" s="30"/>
      <c r="K2679" s="30"/>
      <c r="L2679" s="30"/>
      <c r="M2679" s="30"/>
      <c r="N2679" s="30"/>
      <c r="O2679" s="30"/>
      <c r="P2679" s="30"/>
      <c r="Q2679" s="30"/>
      <c r="R2679" s="30"/>
      <c r="S2679" s="30"/>
      <c r="T2679" s="30"/>
      <c r="U2679" s="30"/>
      <c r="V2679" s="30"/>
      <c r="W2679" s="30"/>
      <c r="X2679" s="30"/>
      <c r="Y2679" s="30"/>
      <c r="Z2679" s="30"/>
      <c r="AA2679" s="30"/>
    </row>
    <row r="2680">
      <c r="A2680" s="29">
        <v>2323507.0</v>
      </c>
      <c r="B2680" s="29">
        <v>2323355.0</v>
      </c>
      <c r="C2680" s="30" t="str">
        <f t="shared" si="1"/>
        <v>-</v>
      </c>
      <c r="D2680" s="29">
        <f t="shared" si="2"/>
        <v>911</v>
      </c>
      <c r="E2680" s="30"/>
      <c r="F2680" s="30"/>
      <c r="G2680" s="30"/>
      <c r="H2680" s="30"/>
      <c r="I2680" s="30"/>
      <c r="J2680" s="30"/>
      <c r="K2680" s="30"/>
      <c r="L2680" s="30"/>
      <c r="M2680" s="30"/>
      <c r="N2680" s="30"/>
      <c r="O2680" s="30"/>
      <c r="P2680" s="30"/>
      <c r="Q2680" s="30"/>
      <c r="R2680" s="30"/>
      <c r="S2680" s="30"/>
      <c r="T2680" s="30"/>
      <c r="U2680" s="30"/>
      <c r="V2680" s="30"/>
      <c r="W2680" s="30"/>
      <c r="X2680" s="30"/>
      <c r="Y2680" s="30"/>
      <c r="Z2680" s="30"/>
      <c r="AA2680" s="30"/>
    </row>
    <row r="2681">
      <c r="A2681" s="29">
        <v>2324830.0</v>
      </c>
      <c r="B2681" s="29">
        <v>2323547.0</v>
      </c>
      <c r="C2681" s="30" t="str">
        <f t="shared" si="1"/>
        <v>-</v>
      </c>
      <c r="D2681" s="29">
        <f t="shared" si="2"/>
        <v>911</v>
      </c>
      <c r="E2681" s="30"/>
      <c r="F2681" s="30"/>
      <c r="G2681" s="30"/>
      <c r="H2681" s="30"/>
      <c r="I2681" s="30"/>
      <c r="J2681" s="30"/>
      <c r="K2681" s="30"/>
      <c r="L2681" s="30"/>
      <c r="M2681" s="30"/>
      <c r="N2681" s="30"/>
      <c r="O2681" s="30"/>
      <c r="P2681" s="30"/>
      <c r="Q2681" s="30"/>
      <c r="R2681" s="30"/>
      <c r="S2681" s="30"/>
      <c r="T2681" s="30"/>
      <c r="U2681" s="30"/>
      <c r="V2681" s="30"/>
      <c r="W2681" s="30"/>
      <c r="X2681" s="30"/>
      <c r="Y2681" s="30"/>
      <c r="Z2681" s="30"/>
      <c r="AA2681" s="30"/>
    </row>
    <row r="2682">
      <c r="A2682" s="29">
        <v>2325668.0</v>
      </c>
      <c r="B2682" s="29">
        <v>2324823.0</v>
      </c>
      <c r="C2682" s="30" t="str">
        <f t="shared" si="1"/>
        <v>-</v>
      </c>
      <c r="D2682" s="29">
        <f t="shared" si="2"/>
        <v>911</v>
      </c>
      <c r="E2682" s="30"/>
      <c r="F2682" s="30"/>
      <c r="G2682" s="30"/>
      <c r="H2682" s="30"/>
      <c r="I2682" s="30"/>
      <c r="J2682" s="30"/>
      <c r="K2682" s="30"/>
      <c r="L2682" s="30"/>
      <c r="M2682" s="30"/>
      <c r="N2682" s="30"/>
      <c r="O2682" s="30"/>
      <c r="P2682" s="30"/>
      <c r="Q2682" s="30"/>
      <c r="R2682" s="30"/>
      <c r="S2682" s="30"/>
      <c r="T2682" s="30"/>
      <c r="U2682" s="30"/>
      <c r="V2682" s="30"/>
      <c r="W2682" s="30"/>
      <c r="X2682" s="30"/>
      <c r="Y2682" s="30"/>
      <c r="Z2682" s="30"/>
      <c r="AA2682" s="30"/>
    </row>
    <row r="2683">
      <c r="A2683" s="29">
        <v>2326759.0</v>
      </c>
      <c r="B2683" s="29">
        <v>2327190.0</v>
      </c>
      <c r="C2683" s="30" t="str">
        <f t="shared" si="1"/>
        <v>+</v>
      </c>
      <c r="D2683" s="29">
        <f t="shared" si="2"/>
        <v>912</v>
      </c>
      <c r="E2683" s="30"/>
      <c r="F2683" s="30"/>
      <c r="G2683" s="30"/>
      <c r="H2683" s="30"/>
      <c r="I2683" s="30"/>
      <c r="J2683" s="30"/>
      <c r="K2683" s="30"/>
      <c r="L2683" s="30"/>
      <c r="M2683" s="30"/>
      <c r="N2683" s="30"/>
      <c r="O2683" s="30"/>
      <c r="P2683" s="30"/>
      <c r="Q2683" s="30"/>
      <c r="R2683" s="30"/>
      <c r="S2683" s="30"/>
      <c r="T2683" s="30"/>
      <c r="U2683" s="30"/>
      <c r="V2683" s="30"/>
      <c r="W2683" s="30"/>
      <c r="X2683" s="30"/>
      <c r="Y2683" s="30"/>
      <c r="Z2683" s="30"/>
      <c r="AA2683" s="30"/>
    </row>
    <row r="2684">
      <c r="A2684" s="29">
        <v>2327300.0</v>
      </c>
      <c r="B2684" s="29">
        <v>2327992.0</v>
      </c>
      <c r="C2684" s="30" t="str">
        <f t="shared" si="1"/>
        <v>+</v>
      </c>
      <c r="D2684" s="29">
        <f t="shared" si="2"/>
        <v>912</v>
      </c>
      <c r="E2684" s="30"/>
      <c r="F2684" s="30"/>
      <c r="G2684" s="30"/>
      <c r="H2684" s="30"/>
      <c r="I2684" s="30"/>
      <c r="J2684" s="30"/>
      <c r="K2684" s="30"/>
      <c r="L2684" s="30"/>
      <c r="M2684" s="30"/>
      <c r="N2684" s="30"/>
      <c r="O2684" s="30"/>
      <c r="P2684" s="30"/>
      <c r="Q2684" s="30"/>
      <c r="R2684" s="30"/>
      <c r="S2684" s="30"/>
      <c r="T2684" s="30"/>
      <c r="U2684" s="30"/>
      <c r="V2684" s="30"/>
      <c r="W2684" s="30"/>
      <c r="X2684" s="30"/>
      <c r="Y2684" s="30"/>
      <c r="Z2684" s="30"/>
      <c r="AA2684" s="30"/>
    </row>
    <row r="2685">
      <c r="A2685" s="29">
        <v>2329710.0</v>
      </c>
      <c r="B2685" s="29">
        <v>2328070.0</v>
      </c>
      <c r="C2685" s="30" t="str">
        <f t="shared" si="1"/>
        <v>-</v>
      </c>
      <c r="D2685" s="29">
        <f t="shared" si="2"/>
        <v>913</v>
      </c>
      <c r="E2685" s="30"/>
      <c r="F2685" s="30"/>
      <c r="G2685" s="30"/>
      <c r="H2685" s="30"/>
      <c r="I2685" s="30"/>
      <c r="J2685" s="30"/>
      <c r="K2685" s="30"/>
      <c r="L2685" s="30"/>
      <c r="M2685" s="30"/>
      <c r="N2685" s="30"/>
      <c r="O2685" s="30"/>
      <c r="P2685" s="30"/>
      <c r="Q2685" s="30"/>
      <c r="R2685" s="30"/>
      <c r="S2685" s="30"/>
      <c r="T2685" s="30"/>
      <c r="U2685" s="30"/>
      <c r="V2685" s="30"/>
      <c r="W2685" s="30"/>
      <c r="X2685" s="30"/>
      <c r="Y2685" s="30"/>
      <c r="Z2685" s="30"/>
      <c r="AA2685" s="30"/>
    </row>
    <row r="2686">
      <c r="A2686" s="29">
        <v>2329839.0</v>
      </c>
      <c r="B2686" s="29">
        <v>2330453.0</v>
      </c>
      <c r="C2686" s="30" t="str">
        <f t="shared" si="1"/>
        <v>+</v>
      </c>
      <c r="D2686" s="29">
        <f t="shared" si="2"/>
        <v>914</v>
      </c>
      <c r="E2686" s="30"/>
      <c r="F2686" s="30"/>
      <c r="G2686" s="30"/>
      <c r="H2686" s="30"/>
      <c r="I2686" s="30"/>
      <c r="J2686" s="30"/>
      <c r="K2686" s="30"/>
      <c r="L2686" s="30"/>
      <c r="M2686" s="30"/>
      <c r="N2686" s="30"/>
      <c r="O2686" s="30"/>
      <c r="P2686" s="30"/>
      <c r="Q2686" s="30"/>
      <c r="R2686" s="30"/>
      <c r="S2686" s="30"/>
      <c r="T2686" s="30"/>
      <c r="U2686" s="30"/>
      <c r="V2686" s="30"/>
      <c r="W2686" s="30"/>
      <c r="X2686" s="30"/>
      <c r="Y2686" s="30"/>
      <c r="Z2686" s="30"/>
      <c r="AA2686" s="30"/>
    </row>
    <row r="2687">
      <c r="A2687" s="29">
        <v>2330476.0</v>
      </c>
      <c r="B2687" s="29">
        <v>2331477.0</v>
      </c>
      <c r="C2687" s="30" t="str">
        <f t="shared" si="1"/>
        <v>+</v>
      </c>
      <c r="D2687" s="29">
        <f t="shared" si="2"/>
        <v>914</v>
      </c>
      <c r="E2687" s="30"/>
      <c r="F2687" s="30"/>
      <c r="G2687" s="30"/>
      <c r="H2687" s="30"/>
      <c r="I2687" s="30"/>
      <c r="J2687" s="30"/>
      <c r="K2687" s="30"/>
      <c r="L2687" s="30"/>
      <c r="M2687" s="30"/>
      <c r="N2687" s="30"/>
      <c r="O2687" s="30"/>
      <c r="P2687" s="30"/>
      <c r="Q2687" s="30"/>
      <c r="R2687" s="30"/>
      <c r="S2687" s="30"/>
      <c r="T2687" s="30"/>
      <c r="U2687" s="30"/>
      <c r="V2687" s="30"/>
      <c r="W2687" s="30"/>
      <c r="X2687" s="30"/>
      <c r="Y2687" s="30"/>
      <c r="Z2687" s="30"/>
      <c r="AA2687" s="30"/>
    </row>
    <row r="2688">
      <c r="A2688" s="29">
        <v>2331474.0</v>
      </c>
      <c r="B2688" s="29">
        <v>2331812.0</v>
      </c>
      <c r="C2688" s="30" t="str">
        <f t="shared" si="1"/>
        <v>+</v>
      </c>
      <c r="D2688" s="29">
        <f t="shared" si="2"/>
        <v>914</v>
      </c>
      <c r="E2688" s="30"/>
      <c r="F2688" s="30"/>
      <c r="G2688" s="30"/>
      <c r="H2688" s="30"/>
      <c r="I2688" s="30"/>
      <c r="J2688" s="30"/>
      <c r="K2688" s="30"/>
      <c r="L2688" s="30"/>
      <c r="M2688" s="30"/>
      <c r="N2688" s="30"/>
      <c r="O2688" s="30"/>
      <c r="P2688" s="30"/>
      <c r="Q2688" s="30"/>
      <c r="R2688" s="30"/>
      <c r="S2688" s="30"/>
      <c r="T2688" s="30"/>
      <c r="U2688" s="30"/>
      <c r="V2688" s="30"/>
      <c r="W2688" s="30"/>
      <c r="X2688" s="30"/>
      <c r="Y2688" s="30"/>
      <c r="Z2688" s="30"/>
      <c r="AA2688" s="30"/>
    </row>
    <row r="2689">
      <c r="A2689" s="29">
        <v>2331841.0</v>
      </c>
      <c r="B2689" s="29">
        <v>2332434.0</v>
      </c>
      <c r="C2689" s="30" t="str">
        <f t="shared" si="1"/>
        <v>+</v>
      </c>
      <c r="D2689" s="29">
        <f t="shared" si="2"/>
        <v>914</v>
      </c>
      <c r="E2689" s="30"/>
      <c r="F2689" s="30"/>
      <c r="G2689" s="30"/>
      <c r="H2689" s="30"/>
      <c r="I2689" s="30"/>
      <c r="J2689" s="30"/>
      <c r="K2689" s="30"/>
      <c r="L2689" s="30"/>
      <c r="M2689" s="30"/>
      <c r="N2689" s="30"/>
      <c r="O2689" s="30"/>
      <c r="P2689" s="30"/>
      <c r="Q2689" s="30"/>
      <c r="R2689" s="30"/>
      <c r="S2689" s="30"/>
      <c r="T2689" s="30"/>
      <c r="U2689" s="30"/>
      <c r="V2689" s="30"/>
      <c r="W2689" s="30"/>
      <c r="X2689" s="30"/>
      <c r="Y2689" s="30"/>
      <c r="Z2689" s="30"/>
      <c r="AA2689" s="30"/>
    </row>
    <row r="2690">
      <c r="A2690" s="29">
        <v>2333690.0</v>
      </c>
      <c r="B2690" s="29">
        <v>2332431.0</v>
      </c>
      <c r="C2690" s="30" t="str">
        <f t="shared" si="1"/>
        <v>-</v>
      </c>
      <c r="D2690" s="29">
        <f t="shared" si="2"/>
        <v>915</v>
      </c>
      <c r="E2690" s="30"/>
      <c r="F2690" s="30"/>
      <c r="G2690" s="30"/>
      <c r="H2690" s="30"/>
      <c r="I2690" s="30"/>
      <c r="J2690" s="30"/>
      <c r="K2690" s="30"/>
      <c r="L2690" s="30"/>
      <c r="M2690" s="30"/>
      <c r="N2690" s="30"/>
      <c r="O2690" s="30"/>
      <c r="P2690" s="30"/>
      <c r="Q2690" s="30"/>
      <c r="R2690" s="30"/>
      <c r="S2690" s="30"/>
      <c r="T2690" s="30"/>
      <c r="U2690" s="30"/>
      <c r="V2690" s="30"/>
      <c r="W2690" s="30"/>
      <c r="X2690" s="30"/>
      <c r="Y2690" s="30"/>
      <c r="Z2690" s="30"/>
      <c r="AA2690" s="30"/>
    </row>
    <row r="2691">
      <c r="A2691" s="29">
        <v>2334311.0</v>
      </c>
      <c r="B2691" s="29">
        <v>2335015.0</v>
      </c>
      <c r="C2691" s="30" t="str">
        <f t="shared" si="1"/>
        <v>+</v>
      </c>
      <c r="D2691" s="29">
        <f t="shared" si="2"/>
        <v>916</v>
      </c>
      <c r="E2691" s="30"/>
      <c r="F2691" s="30"/>
      <c r="G2691" s="30"/>
      <c r="H2691" s="30"/>
      <c r="I2691" s="30"/>
      <c r="J2691" s="30"/>
      <c r="K2691" s="30"/>
      <c r="L2691" s="30"/>
      <c r="M2691" s="30"/>
      <c r="N2691" s="30"/>
      <c r="O2691" s="30"/>
      <c r="P2691" s="30"/>
      <c r="Q2691" s="30"/>
      <c r="R2691" s="30"/>
      <c r="S2691" s="30"/>
      <c r="T2691" s="30"/>
      <c r="U2691" s="30"/>
      <c r="V2691" s="30"/>
      <c r="W2691" s="30"/>
      <c r="X2691" s="30"/>
      <c r="Y2691" s="30"/>
      <c r="Z2691" s="30"/>
      <c r="AA2691" s="30"/>
    </row>
    <row r="2692">
      <c r="A2692" s="29">
        <v>2335310.0</v>
      </c>
      <c r="B2692" s="29">
        <v>2336134.0</v>
      </c>
      <c r="C2692" s="30" t="str">
        <f t="shared" si="1"/>
        <v>+</v>
      </c>
      <c r="D2692" s="29">
        <f t="shared" si="2"/>
        <v>916</v>
      </c>
      <c r="E2692" s="30"/>
      <c r="F2692" s="30"/>
      <c r="G2692" s="30"/>
      <c r="H2692" s="30"/>
      <c r="I2692" s="30"/>
      <c r="J2692" s="30"/>
      <c r="K2692" s="30"/>
      <c r="L2692" s="30"/>
      <c r="M2692" s="30"/>
      <c r="N2692" s="30"/>
      <c r="O2692" s="30"/>
      <c r="P2692" s="30"/>
      <c r="Q2692" s="30"/>
      <c r="R2692" s="30"/>
      <c r="S2692" s="30"/>
      <c r="T2692" s="30"/>
      <c r="U2692" s="30"/>
      <c r="V2692" s="30"/>
      <c r="W2692" s="30"/>
      <c r="X2692" s="30"/>
      <c r="Y2692" s="30"/>
      <c r="Z2692" s="30"/>
      <c r="AA2692" s="30"/>
    </row>
    <row r="2693">
      <c r="A2693" s="29">
        <v>2336119.0</v>
      </c>
      <c r="B2693" s="29">
        <v>2337054.0</v>
      </c>
      <c r="C2693" s="30" t="str">
        <f t="shared" si="1"/>
        <v>+</v>
      </c>
      <c r="D2693" s="29">
        <f t="shared" si="2"/>
        <v>916</v>
      </c>
      <c r="E2693" s="30"/>
      <c r="F2693" s="30"/>
      <c r="G2693" s="30"/>
      <c r="H2693" s="30"/>
      <c r="I2693" s="30"/>
      <c r="J2693" s="30"/>
      <c r="K2693" s="30"/>
      <c r="L2693" s="30"/>
      <c r="M2693" s="30"/>
      <c r="N2693" s="30"/>
      <c r="O2693" s="30"/>
      <c r="P2693" s="30"/>
      <c r="Q2693" s="30"/>
      <c r="R2693" s="30"/>
      <c r="S2693" s="30"/>
      <c r="T2693" s="30"/>
      <c r="U2693" s="30"/>
      <c r="V2693" s="30"/>
      <c r="W2693" s="30"/>
      <c r="X2693" s="30"/>
      <c r="Y2693" s="30"/>
      <c r="Z2693" s="30"/>
      <c r="AA2693" s="30"/>
    </row>
    <row r="2694">
      <c r="A2694" s="29">
        <v>2337051.0</v>
      </c>
      <c r="B2694" s="29">
        <v>2337980.0</v>
      </c>
      <c r="C2694" s="30" t="str">
        <f t="shared" si="1"/>
        <v>+</v>
      </c>
      <c r="D2694" s="29">
        <f t="shared" si="2"/>
        <v>916</v>
      </c>
      <c r="E2694" s="30"/>
      <c r="F2694" s="30"/>
      <c r="G2694" s="30"/>
      <c r="H2694" s="30"/>
      <c r="I2694" s="30"/>
      <c r="J2694" s="30"/>
      <c r="K2694" s="30"/>
      <c r="L2694" s="30"/>
      <c r="M2694" s="30"/>
      <c r="N2694" s="30"/>
      <c r="O2694" s="30"/>
      <c r="P2694" s="30"/>
      <c r="Q2694" s="30"/>
      <c r="R2694" s="30"/>
      <c r="S2694" s="30"/>
      <c r="T2694" s="30"/>
      <c r="U2694" s="30"/>
      <c r="V2694" s="30"/>
      <c r="W2694" s="30"/>
      <c r="X2694" s="30"/>
      <c r="Y2694" s="30"/>
      <c r="Z2694" s="30"/>
      <c r="AA2694" s="30"/>
    </row>
    <row r="2695">
      <c r="A2695" s="29">
        <v>2339113.0</v>
      </c>
      <c r="B2695" s="29">
        <v>2337977.0</v>
      </c>
      <c r="C2695" s="30" t="str">
        <f t="shared" si="1"/>
        <v>-</v>
      </c>
      <c r="D2695" s="29">
        <f t="shared" si="2"/>
        <v>917</v>
      </c>
      <c r="E2695" s="30"/>
      <c r="F2695" s="30"/>
      <c r="G2695" s="30"/>
      <c r="H2695" s="30"/>
      <c r="I2695" s="30"/>
      <c r="J2695" s="30"/>
      <c r="K2695" s="30"/>
      <c r="L2695" s="30"/>
      <c r="M2695" s="30"/>
      <c r="N2695" s="30"/>
      <c r="O2695" s="30"/>
      <c r="P2695" s="30"/>
      <c r="Q2695" s="30"/>
      <c r="R2695" s="30"/>
      <c r="S2695" s="30"/>
      <c r="T2695" s="30"/>
      <c r="U2695" s="30"/>
      <c r="V2695" s="30"/>
      <c r="W2695" s="30"/>
      <c r="X2695" s="30"/>
      <c r="Y2695" s="30"/>
      <c r="Z2695" s="30"/>
      <c r="AA2695" s="30"/>
    </row>
    <row r="2696">
      <c r="A2696" s="29">
        <v>2340548.0</v>
      </c>
      <c r="B2696" s="29">
        <v>2339115.0</v>
      </c>
      <c r="C2696" s="30" t="str">
        <f t="shared" si="1"/>
        <v>-</v>
      </c>
      <c r="D2696" s="29">
        <f t="shared" si="2"/>
        <v>917</v>
      </c>
      <c r="E2696" s="30"/>
      <c r="F2696" s="30"/>
      <c r="G2696" s="30"/>
      <c r="H2696" s="30"/>
      <c r="I2696" s="30"/>
      <c r="J2696" s="30"/>
      <c r="K2696" s="30"/>
      <c r="L2696" s="30"/>
      <c r="M2696" s="30"/>
      <c r="N2696" s="30"/>
      <c r="O2696" s="30"/>
      <c r="P2696" s="30"/>
      <c r="Q2696" s="30"/>
      <c r="R2696" s="30"/>
      <c r="S2696" s="30"/>
      <c r="T2696" s="30"/>
      <c r="U2696" s="30"/>
      <c r="V2696" s="30"/>
      <c r="W2696" s="30"/>
      <c r="X2696" s="30"/>
      <c r="Y2696" s="30"/>
      <c r="Z2696" s="30"/>
      <c r="AA2696" s="30"/>
    </row>
    <row r="2697">
      <c r="A2697" s="29">
        <v>2340986.0</v>
      </c>
      <c r="B2697" s="29">
        <v>2341147.0</v>
      </c>
      <c r="C2697" s="30" t="str">
        <f t="shared" si="1"/>
        <v>+</v>
      </c>
      <c r="D2697" s="29">
        <f t="shared" si="2"/>
        <v>918</v>
      </c>
      <c r="E2697" s="30"/>
      <c r="F2697" s="30"/>
      <c r="G2697" s="30"/>
      <c r="H2697" s="30"/>
      <c r="I2697" s="30"/>
      <c r="J2697" s="30"/>
      <c r="K2697" s="30"/>
      <c r="L2697" s="30"/>
      <c r="M2697" s="30"/>
      <c r="N2697" s="30"/>
      <c r="O2697" s="30"/>
      <c r="P2697" s="30"/>
      <c r="Q2697" s="30"/>
      <c r="R2697" s="30"/>
      <c r="S2697" s="30"/>
      <c r="T2697" s="30"/>
      <c r="U2697" s="30"/>
      <c r="V2697" s="30"/>
      <c r="W2697" s="30"/>
      <c r="X2697" s="30"/>
      <c r="Y2697" s="30"/>
      <c r="Z2697" s="30"/>
      <c r="AA2697" s="30"/>
    </row>
    <row r="2698">
      <c r="A2698" s="29">
        <v>2342138.0</v>
      </c>
      <c r="B2698" s="29">
        <v>2341548.0</v>
      </c>
      <c r="C2698" s="30" t="str">
        <f t="shared" si="1"/>
        <v>-</v>
      </c>
      <c r="D2698" s="29">
        <f t="shared" si="2"/>
        <v>919</v>
      </c>
      <c r="E2698" s="30"/>
      <c r="F2698" s="30"/>
      <c r="G2698" s="30"/>
      <c r="H2698" s="30"/>
      <c r="I2698" s="30"/>
      <c r="J2698" s="30"/>
      <c r="K2698" s="30"/>
      <c r="L2698" s="30"/>
      <c r="M2698" s="30"/>
      <c r="N2698" s="30"/>
      <c r="O2698" s="30"/>
      <c r="P2698" s="30"/>
      <c r="Q2698" s="30"/>
      <c r="R2698" s="30"/>
      <c r="S2698" s="30"/>
      <c r="T2698" s="30"/>
      <c r="U2698" s="30"/>
      <c r="V2698" s="30"/>
      <c r="W2698" s="30"/>
      <c r="X2698" s="30"/>
      <c r="Y2698" s="30"/>
      <c r="Z2698" s="30"/>
      <c r="AA2698" s="30"/>
    </row>
    <row r="2699">
      <c r="A2699" s="29">
        <v>2342763.0</v>
      </c>
      <c r="B2699" s="29">
        <v>2342125.0</v>
      </c>
      <c r="C2699" s="30" t="str">
        <f t="shared" si="1"/>
        <v>-</v>
      </c>
      <c r="D2699" s="29">
        <f t="shared" si="2"/>
        <v>919</v>
      </c>
      <c r="E2699" s="30"/>
      <c r="F2699" s="30"/>
      <c r="G2699" s="30"/>
      <c r="H2699" s="30"/>
      <c r="I2699" s="30"/>
      <c r="J2699" s="30"/>
      <c r="K2699" s="30"/>
      <c r="L2699" s="30"/>
      <c r="M2699" s="30"/>
      <c r="N2699" s="30"/>
      <c r="O2699" s="30"/>
      <c r="P2699" s="30"/>
      <c r="Q2699" s="30"/>
      <c r="R2699" s="30"/>
      <c r="S2699" s="30"/>
      <c r="T2699" s="30"/>
      <c r="U2699" s="30"/>
      <c r="V2699" s="30"/>
      <c r="W2699" s="30"/>
      <c r="X2699" s="30"/>
      <c r="Y2699" s="30"/>
      <c r="Z2699" s="30"/>
      <c r="AA2699" s="30"/>
    </row>
    <row r="2700">
      <c r="A2700" s="29">
        <v>2343525.0</v>
      </c>
      <c r="B2700" s="29">
        <v>2345729.0</v>
      </c>
      <c r="C2700" s="30" t="str">
        <f t="shared" si="1"/>
        <v>+</v>
      </c>
      <c r="D2700" s="29">
        <f t="shared" si="2"/>
        <v>920</v>
      </c>
      <c r="E2700" s="30"/>
      <c r="F2700" s="30"/>
      <c r="G2700" s="30"/>
      <c r="H2700" s="30"/>
      <c r="I2700" s="30"/>
      <c r="J2700" s="30"/>
      <c r="K2700" s="30"/>
      <c r="L2700" s="30"/>
      <c r="M2700" s="30"/>
      <c r="N2700" s="30"/>
      <c r="O2700" s="30"/>
      <c r="P2700" s="30"/>
      <c r="Q2700" s="30"/>
      <c r="R2700" s="30"/>
      <c r="S2700" s="30"/>
      <c r="T2700" s="30"/>
      <c r="U2700" s="30"/>
      <c r="V2700" s="30"/>
      <c r="W2700" s="30"/>
      <c r="X2700" s="30"/>
      <c r="Y2700" s="30"/>
      <c r="Z2700" s="30"/>
      <c r="AA2700" s="30"/>
    </row>
    <row r="2701">
      <c r="A2701" s="29">
        <v>2345739.0</v>
      </c>
      <c r="B2701" s="29">
        <v>2346269.0</v>
      </c>
      <c r="C2701" s="30" t="str">
        <f t="shared" si="1"/>
        <v>+</v>
      </c>
      <c r="D2701" s="29">
        <f t="shared" si="2"/>
        <v>920</v>
      </c>
      <c r="E2701" s="30"/>
      <c r="F2701" s="30"/>
      <c r="G2701" s="30"/>
      <c r="H2701" s="30"/>
      <c r="I2701" s="30"/>
      <c r="J2701" s="30"/>
      <c r="K2701" s="30"/>
      <c r="L2701" s="30"/>
      <c r="M2701" s="30"/>
      <c r="N2701" s="30"/>
      <c r="O2701" s="30"/>
      <c r="P2701" s="30"/>
      <c r="Q2701" s="30"/>
      <c r="R2701" s="30"/>
      <c r="S2701" s="30"/>
      <c r="T2701" s="30"/>
      <c r="U2701" s="30"/>
      <c r="V2701" s="30"/>
      <c r="W2701" s="30"/>
      <c r="X2701" s="30"/>
      <c r="Y2701" s="30"/>
      <c r="Z2701" s="30"/>
      <c r="AA2701" s="30"/>
    </row>
    <row r="2702">
      <c r="A2702" s="29">
        <v>2346492.0</v>
      </c>
      <c r="B2702" s="29">
        <v>2346746.0</v>
      </c>
      <c r="C2702" s="30" t="str">
        <f t="shared" si="1"/>
        <v>+</v>
      </c>
      <c r="D2702" s="29">
        <f t="shared" si="2"/>
        <v>920</v>
      </c>
      <c r="E2702" s="30"/>
      <c r="F2702" s="30"/>
      <c r="G2702" s="30"/>
      <c r="H2702" s="30"/>
      <c r="I2702" s="30"/>
      <c r="J2702" s="30"/>
      <c r="K2702" s="30"/>
      <c r="L2702" s="30"/>
      <c r="M2702" s="30"/>
      <c r="N2702" s="30"/>
      <c r="O2702" s="30"/>
      <c r="P2702" s="30"/>
      <c r="Q2702" s="30"/>
      <c r="R2702" s="30"/>
      <c r="S2702" s="30"/>
      <c r="T2702" s="30"/>
      <c r="U2702" s="30"/>
      <c r="V2702" s="30"/>
      <c r="W2702" s="30"/>
      <c r="X2702" s="30"/>
      <c r="Y2702" s="30"/>
      <c r="Z2702" s="30"/>
      <c r="AA2702" s="30"/>
    </row>
    <row r="2703">
      <c r="A2703" s="29">
        <v>2346743.0</v>
      </c>
      <c r="B2703" s="29">
        <v>2347378.0</v>
      </c>
      <c r="C2703" s="30" t="str">
        <f t="shared" si="1"/>
        <v>+</v>
      </c>
      <c r="D2703" s="29">
        <f t="shared" si="2"/>
        <v>920</v>
      </c>
      <c r="E2703" s="30"/>
      <c r="F2703" s="30"/>
      <c r="G2703" s="30"/>
      <c r="H2703" s="30"/>
      <c r="I2703" s="30"/>
      <c r="J2703" s="30"/>
      <c r="K2703" s="30"/>
      <c r="L2703" s="30"/>
      <c r="M2703" s="30"/>
      <c r="N2703" s="30"/>
      <c r="O2703" s="30"/>
      <c r="P2703" s="30"/>
      <c r="Q2703" s="30"/>
      <c r="R2703" s="30"/>
      <c r="S2703" s="30"/>
      <c r="T2703" s="30"/>
      <c r="U2703" s="30"/>
      <c r="V2703" s="30"/>
      <c r="W2703" s="30"/>
      <c r="X2703" s="30"/>
      <c r="Y2703" s="30"/>
      <c r="Z2703" s="30"/>
      <c r="AA2703" s="30"/>
    </row>
    <row r="2704">
      <c r="A2704" s="29">
        <v>2347436.0</v>
      </c>
      <c r="B2704" s="29">
        <v>2349502.0</v>
      </c>
      <c r="C2704" s="30" t="str">
        <f t="shared" si="1"/>
        <v>+</v>
      </c>
      <c r="D2704" s="29">
        <f t="shared" si="2"/>
        <v>920</v>
      </c>
      <c r="E2704" s="30"/>
      <c r="F2704" s="30"/>
      <c r="G2704" s="30"/>
      <c r="H2704" s="30"/>
      <c r="I2704" s="30"/>
      <c r="J2704" s="30"/>
      <c r="K2704" s="30"/>
      <c r="L2704" s="30"/>
      <c r="M2704" s="30"/>
      <c r="N2704" s="30"/>
      <c r="O2704" s="30"/>
      <c r="P2704" s="30"/>
      <c r="Q2704" s="30"/>
      <c r="R2704" s="30"/>
      <c r="S2704" s="30"/>
      <c r="T2704" s="30"/>
      <c r="U2704" s="30"/>
      <c r="V2704" s="30"/>
      <c r="W2704" s="30"/>
      <c r="X2704" s="30"/>
      <c r="Y2704" s="30"/>
      <c r="Z2704" s="30"/>
      <c r="AA2704" s="30"/>
    </row>
    <row r="2705">
      <c r="A2705" s="29">
        <v>2349459.0</v>
      </c>
      <c r="B2705" s="29">
        <v>2350010.0</v>
      </c>
      <c r="C2705" s="30" t="str">
        <f t="shared" si="1"/>
        <v>+</v>
      </c>
      <c r="D2705" s="29">
        <f t="shared" si="2"/>
        <v>920</v>
      </c>
      <c r="E2705" s="30"/>
      <c r="F2705" s="30"/>
      <c r="G2705" s="30"/>
      <c r="H2705" s="30"/>
      <c r="I2705" s="30"/>
      <c r="J2705" s="30"/>
      <c r="K2705" s="30"/>
      <c r="L2705" s="30"/>
      <c r="M2705" s="30"/>
      <c r="N2705" s="30"/>
      <c r="O2705" s="30"/>
      <c r="P2705" s="30"/>
      <c r="Q2705" s="30"/>
      <c r="R2705" s="30"/>
      <c r="S2705" s="30"/>
      <c r="T2705" s="30"/>
      <c r="U2705" s="30"/>
      <c r="V2705" s="30"/>
      <c r="W2705" s="30"/>
      <c r="X2705" s="30"/>
      <c r="Y2705" s="30"/>
      <c r="Z2705" s="30"/>
      <c r="AA2705" s="30"/>
    </row>
    <row r="2706">
      <c r="A2706" s="29">
        <v>2350987.0</v>
      </c>
      <c r="B2706" s="29">
        <v>2350430.0</v>
      </c>
      <c r="C2706" s="30" t="str">
        <f t="shared" si="1"/>
        <v>-</v>
      </c>
      <c r="D2706" s="29">
        <f t="shared" si="2"/>
        <v>921</v>
      </c>
      <c r="E2706" s="30"/>
      <c r="F2706" s="30"/>
      <c r="G2706" s="30"/>
      <c r="H2706" s="30"/>
      <c r="I2706" s="30"/>
      <c r="J2706" s="30"/>
      <c r="K2706" s="30"/>
      <c r="L2706" s="30"/>
      <c r="M2706" s="30"/>
      <c r="N2706" s="30"/>
      <c r="O2706" s="30"/>
      <c r="P2706" s="30"/>
      <c r="Q2706" s="30"/>
      <c r="R2706" s="30"/>
      <c r="S2706" s="30"/>
      <c r="T2706" s="30"/>
      <c r="U2706" s="30"/>
      <c r="V2706" s="30"/>
      <c r="W2706" s="30"/>
      <c r="X2706" s="30"/>
      <c r="Y2706" s="30"/>
      <c r="Z2706" s="30"/>
      <c r="AA2706" s="30"/>
    </row>
    <row r="2707">
      <c r="A2707" s="29">
        <v>2351029.0</v>
      </c>
      <c r="B2707" s="29">
        <v>2351361.0</v>
      </c>
      <c r="C2707" s="30" t="str">
        <f t="shared" si="1"/>
        <v>+</v>
      </c>
      <c r="D2707" s="29">
        <f t="shared" si="2"/>
        <v>922</v>
      </c>
      <c r="E2707" s="30"/>
      <c r="F2707" s="30"/>
      <c r="G2707" s="30"/>
      <c r="H2707" s="30"/>
      <c r="I2707" s="30"/>
      <c r="J2707" s="30"/>
      <c r="K2707" s="30"/>
      <c r="L2707" s="30"/>
      <c r="M2707" s="30"/>
      <c r="N2707" s="30"/>
      <c r="O2707" s="30"/>
      <c r="P2707" s="30"/>
      <c r="Q2707" s="30"/>
      <c r="R2707" s="30"/>
      <c r="S2707" s="30"/>
      <c r="T2707" s="30"/>
      <c r="U2707" s="30"/>
      <c r="V2707" s="30"/>
      <c r="W2707" s="30"/>
      <c r="X2707" s="30"/>
      <c r="Y2707" s="30"/>
      <c r="Z2707" s="30"/>
      <c r="AA2707" s="30"/>
    </row>
    <row r="2708">
      <c r="A2708" s="29">
        <v>2351459.0</v>
      </c>
      <c r="B2708" s="29">
        <v>2353552.0</v>
      </c>
      <c r="C2708" s="30" t="str">
        <f t="shared" si="1"/>
        <v>+</v>
      </c>
      <c r="D2708" s="29">
        <f t="shared" si="2"/>
        <v>922</v>
      </c>
      <c r="E2708" s="30"/>
      <c r="F2708" s="30"/>
      <c r="G2708" s="30"/>
      <c r="H2708" s="30"/>
      <c r="I2708" s="30"/>
      <c r="J2708" s="30"/>
      <c r="K2708" s="30"/>
      <c r="L2708" s="30"/>
      <c r="M2708" s="30"/>
      <c r="N2708" s="30"/>
      <c r="O2708" s="30"/>
      <c r="P2708" s="30"/>
      <c r="Q2708" s="30"/>
      <c r="R2708" s="30"/>
      <c r="S2708" s="30"/>
      <c r="T2708" s="30"/>
      <c r="U2708" s="30"/>
      <c r="V2708" s="30"/>
      <c r="W2708" s="30"/>
      <c r="X2708" s="30"/>
      <c r="Y2708" s="30"/>
      <c r="Z2708" s="30"/>
      <c r="AA2708" s="30"/>
    </row>
    <row r="2709">
      <c r="A2709" s="29">
        <v>2353554.0</v>
      </c>
      <c r="B2709" s="29">
        <v>2354819.0</v>
      </c>
      <c r="C2709" s="30" t="str">
        <f t="shared" si="1"/>
        <v>+</v>
      </c>
      <c r="D2709" s="29">
        <f t="shared" si="2"/>
        <v>922</v>
      </c>
      <c r="E2709" s="30"/>
      <c r="F2709" s="30"/>
      <c r="G2709" s="30"/>
      <c r="H2709" s="30"/>
      <c r="I2709" s="30"/>
      <c r="J2709" s="30"/>
      <c r="K2709" s="30"/>
      <c r="L2709" s="30"/>
      <c r="M2709" s="30"/>
      <c r="N2709" s="30"/>
      <c r="O2709" s="30"/>
      <c r="P2709" s="30"/>
      <c r="Q2709" s="30"/>
      <c r="R2709" s="30"/>
      <c r="S2709" s="30"/>
      <c r="T2709" s="30"/>
      <c r="U2709" s="30"/>
      <c r="V2709" s="30"/>
      <c r="W2709" s="30"/>
      <c r="X2709" s="30"/>
      <c r="Y2709" s="30"/>
      <c r="Z2709" s="30"/>
      <c r="AA2709" s="30"/>
    </row>
    <row r="2710">
      <c r="A2710" s="29">
        <v>2354992.0</v>
      </c>
      <c r="B2710" s="29">
        <v>2355621.0</v>
      </c>
      <c r="C2710" s="30" t="str">
        <f t="shared" si="1"/>
        <v>+</v>
      </c>
      <c r="D2710" s="29">
        <f t="shared" si="2"/>
        <v>922</v>
      </c>
      <c r="E2710" s="30"/>
      <c r="F2710" s="30"/>
      <c r="G2710" s="30"/>
      <c r="H2710" s="30"/>
      <c r="I2710" s="30"/>
      <c r="J2710" s="30"/>
      <c r="K2710" s="30"/>
      <c r="L2710" s="30"/>
      <c r="M2710" s="30"/>
      <c r="N2710" s="30"/>
      <c r="O2710" s="30"/>
      <c r="P2710" s="30"/>
      <c r="Q2710" s="30"/>
      <c r="R2710" s="30"/>
      <c r="S2710" s="30"/>
      <c r="T2710" s="30"/>
      <c r="U2710" s="30"/>
      <c r="V2710" s="30"/>
      <c r="W2710" s="30"/>
      <c r="X2710" s="30"/>
      <c r="Y2710" s="30"/>
      <c r="Z2710" s="30"/>
      <c r="AA2710" s="30"/>
    </row>
    <row r="2711">
      <c r="A2711" s="29">
        <v>2356553.0</v>
      </c>
      <c r="B2711" s="29">
        <v>2355465.0</v>
      </c>
      <c r="C2711" s="30" t="str">
        <f t="shared" si="1"/>
        <v>-</v>
      </c>
      <c r="D2711" s="29">
        <f t="shared" si="2"/>
        <v>923</v>
      </c>
      <c r="E2711" s="30"/>
      <c r="F2711" s="30"/>
      <c r="G2711" s="30"/>
      <c r="H2711" s="30"/>
      <c r="I2711" s="30"/>
      <c r="J2711" s="30"/>
      <c r="K2711" s="30"/>
      <c r="L2711" s="30"/>
      <c r="M2711" s="30"/>
      <c r="N2711" s="30"/>
      <c r="O2711" s="30"/>
      <c r="P2711" s="30"/>
      <c r="Q2711" s="30"/>
      <c r="R2711" s="30"/>
      <c r="S2711" s="30"/>
      <c r="T2711" s="30"/>
      <c r="U2711" s="30"/>
      <c r="V2711" s="30"/>
      <c r="W2711" s="30"/>
      <c r="X2711" s="30"/>
      <c r="Y2711" s="30"/>
      <c r="Z2711" s="30"/>
      <c r="AA2711" s="30"/>
    </row>
    <row r="2712">
      <c r="A2712" s="29">
        <v>2357117.0</v>
      </c>
      <c r="B2712" s="29">
        <v>2356629.0</v>
      </c>
      <c r="C2712" s="30" t="str">
        <f t="shared" si="1"/>
        <v>-</v>
      </c>
      <c r="D2712" s="29">
        <f t="shared" si="2"/>
        <v>923</v>
      </c>
      <c r="E2712" s="30"/>
      <c r="F2712" s="30"/>
      <c r="G2712" s="30"/>
      <c r="H2712" s="30"/>
      <c r="I2712" s="30"/>
      <c r="J2712" s="30"/>
      <c r="K2712" s="30"/>
      <c r="L2712" s="30"/>
      <c r="M2712" s="30"/>
      <c r="N2712" s="30"/>
      <c r="O2712" s="30"/>
      <c r="P2712" s="30"/>
      <c r="Q2712" s="30"/>
      <c r="R2712" s="30"/>
      <c r="S2712" s="30"/>
      <c r="T2712" s="30"/>
      <c r="U2712" s="30"/>
      <c r="V2712" s="30"/>
      <c r="W2712" s="30"/>
      <c r="X2712" s="30"/>
      <c r="Y2712" s="30"/>
      <c r="Z2712" s="30"/>
      <c r="AA2712" s="30"/>
    </row>
    <row r="2713">
      <c r="A2713" s="29">
        <v>2357828.0</v>
      </c>
      <c r="B2713" s="29">
        <v>2357427.0</v>
      </c>
      <c r="C2713" s="30" t="str">
        <f t="shared" si="1"/>
        <v>-</v>
      </c>
      <c r="D2713" s="29">
        <f t="shared" si="2"/>
        <v>923</v>
      </c>
      <c r="E2713" s="30"/>
      <c r="F2713" s="30"/>
      <c r="G2713" s="30"/>
      <c r="H2713" s="30"/>
      <c r="I2713" s="30"/>
      <c r="J2713" s="30"/>
      <c r="K2713" s="30"/>
      <c r="L2713" s="30"/>
      <c r="M2713" s="30"/>
      <c r="N2713" s="30"/>
      <c r="O2713" s="30"/>
      <c r="P2713" s="30"/>
      <c r="Q2713" s="30"/>
      <c r="R2713" s="30"/>
      <c r="S2713" s="30"/>
      <c r="T2713" s="30"/>
      <c r="U2713" s="30"/>
      <c r="V2713" s="30"/>
      <c r="W2713" s="30"/>
      <c r="X2713" s="30"/>
      <c r="Y2713" s="30"/>
      <c r="Z2713" s="30"/>
      <c r="AA2713" s="30"/>
    </row>
    <row r="2714">
      <c r="A2714" s="29">
        <v>2357873.0</v>
      </c>
      <c r="B2714" s="29">
        <v>2358826.0</v>
      </c>
      <c r="C2714" s="30" t="str">
        <f t="shared" si="1"/>
        <v>+</v>
      </c>
      <c r="D2714" s="29">
        <f t="shared" si="2"/>
        <v>924</v>
      </c>
      <c r="E2714" s="30"/>
      <c r="F2714" s="30"/>
      <c r="G2714" s="30"/>
      <c r="H2714" s="30"/>
      <c r="I2714" s="30"/>
      <c r="J2714" s="30"/>
      <c r="K2714" s="30"/>
      <c r="L2714" s="30"/>
      <c r="M2714" s="30"/>
      <c r="N2714" s="30"/>
      <c r="O2714" s="30"/>
      <c r="P2714" s="30"/>
      <c r="Q2714" s="30"/>
      <c r="R2714" s="30"/>
      <c r="S2714" s="30"/>
      <c r="T2714" s="30"/>
      <c r="U2714" s="30"/>
      <c r="V2714" s="30"/>
      <c r="W2714" s="30"/>
      <c r="X2714" s="30"/>
      <c r="Y2714" s="30"/>
      <c r="Z2714" s="30"/>
      <c r="AA2714" s="30"/>
    </row>
    <row r="2715">
      <c r="A2715" s="29">
        <v>2358823.0</v>
      </c>
      <c r="B2715" s="29">
        <v>2359593.0</v>
      </c>
      <c r="C2715" s="30" t="str">
        <f t="shared" si="1"/>
        <v>+</v>
      </c>
      <c r="D2715" s="29">
        <f t="shared" si="2"/>
        <v>924</v>
      </c>
      <c r="E2715" s="30"/>
      <c r="F2715" s="30"/>
      <c r="G2715" s="30"/>
      <c r="H2715" s="30"/>
      <c r="I2715" s="30"/>
      <c r="J2715" s="30"/>
      <c r="K2715" s="30"/>
      <c r="L2715" s="30"/>
      <c r="M2715" s="30"/>
      <c r="N2715" s="30"/>
      <c r="O2715" s="30"/>
      <c r="P2715" s="30"/>
      <c r="Q2715" s="30"/>
      <c r="R2715" s="30"/>
      <c r="S2715" s="30"/>
      <c r="T2715" s="30"/>
      <c r="U2715" s="30"/>
      <c r="V2715" s="30"/>
      <c r="W2715" s="30"/>
      <c r="X2715" s="30"/>
      <c r="Y2715" s="30"/>
      <c r="Z2715" s="30"/>
      <c r="AA2715" s="30"/>
    </row>
    <row r="2716">
      <c r="A2716" s="29">
        <v>2360668.0</v>
      </c>
      <c r="B2716" s="29">
        <v>2359994.0</v>
      </c>
      <c r="C2716" s="30" t="str">
        <f t="shared" si="1"/>
        <v>-</v>
      </c>
      <c r="D2716" s="29">
        <f t="shared" si="2"/>
        <v>925</v>
      </c>
      <c r="E2716" s="30"/>
      <c r="F2716" s="30"/>
      <c r="G2716" s="30"/>
      <c r="H2716" s="30"/>
      <c r="I2716" s="30"/>
      <c r="J2716" s="30"/>
      <c r="K2716" s="30"/>
      <c r="L2716" s="30"/>
      <c r="M2716" s="30"/>
      <c r="N2716" s="30"/>
      <c r="O2716" s="30"/>
      <c r="P2716" s="30"/>
      <c r="Q2716" s="30"/>
      <c r="R2716" s="30"/>
      <c r="S2716" s="30"/>
      <c r="T2716" s="30"/>
      <c r="U2716" s="30"/>
      <c r="V2716" s="30"/>
      <c r="W2716" s="30"/>
      <c r="X2716" s="30"/>
      <c r="Y2716" s="30"/>
      <c r="Z2716" s="30"/>
      <c r="AA2716" s="30"/>
    </row>
    <row r="2717">
      <c r="A2717" s="29">
        <v>2360951.0</v>
      </c>
      <c r="B2717" s="29">
        <v>2360730.0</v>
      </c>
      <c r="C2717" s="30" t="str">
        <f t="shared" si="1"/>
        <v>-</v>
      </c>
      <c r="D2717" s="29">
        <f t="shared" si="2"/>
        <v>925</v>
      </c>
      <c r="E2717" s="30"/>
      <c r="F2717" s="30"/>
      <c r="G2717" s="30"/>
      <c r="H2717" s="30"/>
      <c r="I2717" s="30"/>
      <c r="J2717" s="30"/>
      <c r="K2717" s="30"/>
      <c r="L2717" s="30"/>
      <c r="M2717" s="30"/>
      <c r="N2717" s="30"/>
      <c r="O2717" s="30"/>
      <c r="P2717" s="30"/>
      <c r="Q2717" s="30"/>
      <c r="R2717" s="30"/>
      <c r="S2717" s="30"/>
      <c r="T2717" s="30"/>
      <c r="U2717" s="30"/>
      <c r="V2717" s="30"/>
      <c r="W2717" s="30"/>
      <c r="X2717" s="30"/>
      <c r="Y2717" s="30"/>
      <c r="Z2717" s="30"/>
      <c r="AA2717" s="30"/>
    </row>
    <row r="2718">
      <c r="A2718" s="29">
        <v>2361040.0</v>
      </c>
      <c r="B2718" s="29">
        <v>2361360.0</v>
      </c>
      <c r="C2718" s="30" t="str">
        <f t="shared" si="1"/>
        <v>+</v>
      </c>
      <c r="D2718" s="29">
        <f t="shared" si="2"/>
        <v>926</v>
      </c>
      <c r="E2718" s="30"/>
      <c r="F2718" s="30"/>
      <c r="G2718" s="30"/>
      <c r="H2718" s="30"/>
      <c r="I2718" s="30"/>
      <c r="J2718" s="30"/>
      <c r="K2718" s="30"/>
      <c r="L2718" s="30"/>
      <c r="M2718" s="30"/>
      <c r="N2718" s="30"/>
      <c r="O2718" s="30"/>
      <c r="P2718" s="30"/>
      <c r="Q2718" s="30"/>
      <c r="R2718" s="30"/>
      <c r="S2718" s="30"/>
      <c r="T2718" s="30"/>
      <c r="U2718" s="30"/>
      <c r="V2718" s="30"/>
      <c r="W2718" s="30"/>
      <c r="X2718" s="30"/>
      <c r="Y2718" s="30"/>
      <c r="Z2718" s="30"/>
      <c r="AA2718" s="30"/>
    </row>
    <row r="2719">
      <c r="A2719" s="29">
        <v>2361399.0</v>
      </c>
      <c r="B2719" s="29">
        <v>2362034.0</v>
      </c>
      <c r="C2719" s="30" t="str">
        <f t="shared" si="1"/>
        <v>+</v>
      </c>
      <c r="D2719" s="29">
        <f t="shared" si="2"/>
        <v>926</v>
      </c>
      <c r="E2719" s="30"/>
      <c r="F2719" s="30"/>
      <c r="G2719" s="30"/>
      <c r="H2719" s="30"/>
      <c r="I2719" s="30"/>
      <c r="J2719" s="30"/>
      <c r="K2719" s="30"/>
      <c r="L2719" s="30"/>
      <c r="M2719" s="30"/>
      <c r="N2719" s="30"/>
      <c r="O2719" s="30"/>
      <c r="P2719" s="30"/>
      <c r="Q2719" s="30"/>
      <c r="R2719" s="30"/>
      <c r="S2719" s="30"/>
      <c r="T2719" s="30"/>
      <c r="U2719" s="30"/>
      <c r="V2719" s="30"/>
      <c r="W2719" s="30"/>
      <c r="X2719" s="30"/>
      <c r="Y2719" s="30"/>
      <c r="Z2719" s="30"/>
      <c r="AA2719" s="30"/>
    </row>
    <row r="2720">
      <c r="A2720" s="29">
        <v>2362968.0</v>
      </c>
      <c r="B2720" s="29">
        <v>2363318.0</v>
      </c>
      <c r="C2720" s="30" t="str">
        <f t="shared" si="1"/>
        <v>+</v>
      </c>
      <c r="D2720" s="29">
        <f t="shared" si="2"/>
        <v>926</v>
      </c>
      <c r="E2720" s="30"/>
      <c r="F2720" s="30"/>
      <c r="G2720" s="30"/>
      <c r="H2720" s="30"/>
      <c r="I2720" s="30"/>
      <c r="J2720" s="30"/>
      <c r="K2720" s="30"/>
      <c r="L2720" s="30"/>
      <c r="M2720" s="30"/>
      <c r="N2720" s="30"/>
      <c r="O2720" s="30"/>
      <c r="P2720" s="30"/>
      <c r="Q2720" s="30"/>
      <c r="R2720" s="30"/>
      <c r="S2720" s="30"/>
      <c r="T2720" s="30"/>
      <c r="U2720" s="30"/>
      <c r="V2720" s="30"/>
      <c r="W2720" s="30"/>
      <c r="X2720" s="30"/>
      <c r="Y2720" s="30"/>
      <c r="Z2720" s="30"/>
      <c r="AA2720" s="30"/>
    </row>
    <row r="2721">
      <c r="A2721" s="29">
        <v>2363737.0</v>
      </c>
      <c r="B2721" s="29">
        <v>2363315.0</v>
      </c>
      <c r="C2721" s="30" t="str">
        <f t="shared" si="1"/>
        <v>-</v>
      </c>
      <c r="D2721" s="29">
        <f t="shared" si="2"/>
        <v>927</v>
      </c>
      <c r="E2721" s="30"/>
      <c r="F2721" s="30"/>
      <c r="G2721" s="30"/>
      <c r="H2721" s="30"/>
      <c r="I2721" s="30"/>
      <c r="J2721" s="30"/>
      <c r="K2721" s="30"/>
      <c r="L2721" s="30"/>
      <c r="M2721" s="30"/>
      <c r="N2721" s="30"/>
      <c r="O2721" s="30"/>
      <c r="P2721" s="30"/>
      <c r="Q2721" s="30"/>
      <c r="R2721" s="30"/>
      <c r="S2721" s="30"/>
      <c r="T2721" s="30"/>
      <c r="U2721" s="30"/>
      <c r="V2721" s="30"/>
      <c r="W2721" s="30"/>
      <c r="X2721" s="30"/>
      <c r="Y2721" s="30"/>
      <c r="Z2721" s="30"/>
      <c r="AA2721" s="30"/>
    </row>
    <row r="2722">
      <c r="A2722" s="29">
        <v>2365133.0</v>
      </c>
      <c r="B2722" s="29">
        <v>2364183.0</v>
      </c>
      <c r="C2722" s="30" t="str">
        <f t="shared" si="1"/>
        <v>-</v>
      </c>
      <c r="D2722" s="29">
        <f t="shared" si="2"/>
        <v>927</v>
      </c>
      <c r="E2722" s="30"/>
      <c r="F2722" s="30"/>
      <c r="G2722" s="30"/>
      <c r="H2722" s="30"/>
      <c r="I2722" s="30"/>
      <c r="J2722" s="30"/>
      <c r="K2722" s="30"/>
      <c r="L2722" s="30"/>
      <c r="M2722" s="30"/>
      <c r="N2722" s="30"/>
      <c r="O2722" s="30"/>
      <c r="P2722" s="30"/>
      <c r="Q2722" s="30"/>
      <c r="R2722" s="30"/>
      <c r="S2722" s="30"/>
      <c r="T2722" s="30"/>
      <c r="U2722" s="30"/>
      <c r="V2722" s="30"/>
      <c r="W2722" s="30"/>
      <c r="X2722" s="30"/>
      <c r="Y2722" s="30"/>
      <c r="Z2722" s="30"/>
      <c r="AA2722" s="30"/>
    </row>
    <row r="2723">
      <c r="A2723" s="29">
        <v>2365649.0</v>
      </c>
      <c r="B2723" s="29">
        <v>2365224.0</v>
      </c>
      <c r="C2723" s="30" t="str">
        <f t="shared" si="1"/>
        <v>-</v>
      </c>
      <c r="D2723" s="29">
        <f t="shared" si="2"/>
        <v>927</v>
      </c>
      <c r="E2723" s="30"/>
      <c r="F2723" s="30"/>
      <c r="G2723" s="30"/>
      <c r="H2723" s="30"/>
      <c r="I2723" s="30"/>
      <c r="J2723" s="30"/>
      <c r="K2723" s="30"/>
      <c r="L2723" s="30"/>
      <c r="M2723" s="30"/>
      <c r="N2723" s="30"/>
      <c r="O2723" s="30"/>
      <c r="P2723" s="30"/>
      <c r="Q2723" s="30"/>
      <c r="R2723" s="30"/>
      <c r="S2723" s="30"/>
      <c r="T2723" s="30"/>
      <c r="U2723" s="30"/>
      <c r="V2723" s="30"/>
      <c r="W2723" s="30"/>
      <c r="X2723" s="30"/>
      <c r="Y2723" s="30"/>
      <c r="Z2723" s="30"/>
      <c r="AA2723" s="30"/>
    </row>
    <row r="2724">
      <c r="A2724" s="29">
        <v>2366070.0</v>
      </c>
      <c r="B2724" s="29">
        <v>2365699.0</v>
      </c>
      <c r="C2724" s="30" t="str">
        <f t="shared" si="1"/>
        <v>-</v>
      </c>
      <c r="D2724" s="29">
        <f t="shared" si="2"/>
        <v>927</v>
      </c>
      <c r="E2724" s="30"/>
      <c r="F2724" s="30"/>
      <c r="G2724" s="30"/>
      <c r="H2724" s="30"/>
      <c r="I2724" s="30"/>
      <c r="J2724" s="30"/>
      <c r="K2724" s="30"/>
      <c r="L2724" s="30"/>
      <c r="M2724" s="30"/>
      <c r="N2724" s="30"/>
      <c r="O2724" s="30"/>
      <c r="P2724" s="30"/>
      <c r="Q2724" s="30"/>
      <c r="R2724" s="30"/>
      <c r="S2724" s="30"/>
      <c r="T2724" s="30"/>
      <c r="U2724" s="30"/>
      <c r="V2724" s="30"/>
      <c r="W2724" s="30"/>
      <c r="X2724" s="30"/>
      <c r="Y2724" s="30"/>
      <c r="Z2724" s="30"/>
      <c r="AA2724" s="30"/>
    </row>
    <row r="2725">
      <c r="A2725" s="29">
        <v>2366432.0</v>
      </c>
      <c r="B2725" s="29">
        <v>2366040.0</v>
      </c>
      <c r="C2725" s="30" t="str">
        <f t="shared" si="1"/>
        <v>-</v>
      </c>
      <c r="D2725" s="29">
        <f t="shared" si="2"/>
        <v>927</v>
      </c>
      <c r="E2725" s="30"/>
      <c r="F2725" s="30"/>
      <c r="G2725" s="30"/>
      <c r="H2725" s="30"/>
      <c r="I2725" s="30"/>
      <c r="J2725" s="30"/>
      <c r="K2725" s="30"/>
      <c r="L2725" s="30"/>
      <c r="M2725" s="30"/>
      <c r="N2725" s="30"/>
      <c r="O2725" s="30"/>
      <c r="P2725" s="30"/>
      <c r="Q2725" s="30"/>
      <c r="R2725" s="30"/>
      <c r="S2725" s="30"/>
      <c r="T2725" s="30"/>
      <c r="U2725" s="30"/>
      <c r="V2725" s="30"/>
      <c r="W2725" s="30"/>
      <c r="X2725" s="30"/>
      <c r="Y2725" s="30"/>
      <c r="Z2725" s="30"/>
      <c r="AA2725" s="30"/>
    </row>
    <row r="2726">
      <c r="A2726" s="29">
        <v>2367365.0</v>
      </c>
      <c r="B2726" s="29">
        <v>2366454.0</v>
      </c>
      <c r="C2726" s="30" t="str">
        <f t="shared" si="1"/>
        <v>-</v>
      </c>
      <c r="D2726" s="29">
        <f t="shared" si="2"/>
        <v>927</v>
      </c>
      <c r="E2726" s="30"/>
      <c r="F2726" s="30"/>
      <c r="G2726" s="30"/>
      <c r="H2726" s="30"/>
      <c r="I2726" s="30"/>
      <c r="J2726" s="30"/>
      <c r="K2726" s="30"/>
      <c r="L2726" s="30"/>
      <c r="M2726" s="30"/>
      <c r="N2726" s="30"/>
      <c r="O2726" s="30"/>
      <c r="P2726" s="30"/>
      <c r="Q2726" s="30"/>
      <c r="R2726" s="30"/>
      <c r="S2726" s="30"/>
      <c r="T2726" s="30"/>
      <c r="U2726" s="30"/>
      <c r="V2726" s="30"/>
      <c r="W2726" s="30"/>
      <c r="X2726" s="30"/>
      <c r="Y2726" s="30"/>
      <c r="Z2726" s="30"/>
      <c r="AA2726" s="30"/>
    </row>
    <row r="2727">
      <c r="A2727" s="29">
        <v>2368034.0</v>
      </c>
      <c r="B2727" s="29">
        <v>2369089.0</v>
      </c>
      <c r="C2727" s="30" t="str">
        <f t="shared" si="1"/>
        <v>+</v>
      </c>
      <c r="D2727" s="29">
        <f t="shared" si="2"/>
        <v>928</v>
      </c>
      <c r="E2727" s="30"/>
      <c r="F2727" s="30"/>
      <c r="G2727" s="30"/>
      <c r="H2727" s="30"/>
      <c r="I2727" s="30"/>
      <c r="J2727" s="30"/>
      <c r="K2727" s="30"/>
      <c r="L2727" s="30"/>
      <c r="M2727" s="30"/>
      <c r="N2727" s="30"/>
      <c r="O2727" s="30"/>
      <c r="P2727" s="30"/>
      <c r="Q2727" s="30"/>
      <c r="R2727" s="30"/>
      <c r="S2727" s="30"/>
      <c r="T2727" s="30"/>
      <c r="U2727" s="30"/>
      <c r="V2727" s="30"/>
      <c r="W2727" s="30"/>
      <c r="X2727" s="30"/>
      <c r="Y2727" s="30"/>
      <c r="Z2727" s="30"/>
      <c r="AA2727" s="30"/>
    </row>
    <row r="2728">
      <c r="A2728" s="29">
        <v>2369458.0</v>
      </c>
      <c r="B2728" s="29">
        <v>2369144.0</v>
      </c>
      <c r="C2728" s="30" t="str">
        <f t="shared" si="1"/>
        <v>-</v>
      </c>
      <c r="D2728" s="29">
        <f t="shared" si="2"/>
        <v>929</v>
      </c>
      <c r="E2728" s="30"/>
      <c r="F2728" s="30"/>
      <c r="G2728" s="30"/>
      <c r="H2728" s="30"/>
      <c r="I2728" s="30"/>
      <c r="J2728" s="30"/>
      <c r="K2728" s="30"/>
      <c r="L2728" s="30"/>
      <c r="M2728" s="30"/>
      <c r="N2728" s="30"/>
      <c r="O2728" s="30"/>
      <c r="P2728" s="30"/>
      <c r="Q2728" s="30"/>
      <c r="R2728" s="30"/>
      <c r="S2728" s="30"/>
      <c r="T2728" s="30"/>
      <c r="U2728" s="30"/>
      <c r="V2728" s="30"/>
      <c r="W2728" s="30"/>
      <c r="X2728" s="30"/>
      <c r="Y2728" s="30"/>
      <c r="Z2728" s="30"/>
      <c r="AA2728" s="30"/>
    </row>
    <row r="2729">
      <c r="A2729" s="29">
        <v>2370136.0</v>
      </c>
      <c r="B2729" s="29">
        <v>2369462.0</v>
      </c>
      <c r="C2729" s="30" t="str">
        <f t="shared" si="1"/>
        <v>-</v>
      </c>
      <c r="D2729" s="29">
        <f t="shared" si="2"/>
        <v>929</v>
      </c>
      <c r="E2729" s="30"/>
      <c r="F2729" s="30"/>
      <c r="G2729" s="30"/>
      <c r="H2729" s="30"/>
      <c r="I2729" s="30"/>
      <c r="J2729" s="30"/>
      <c r="K2729" s="30"/>
      <c r="L2729" s="30"/>
      <c r="M2729" s="30"/>
      <c r="N2729" s="30"/>
      <c r="O2729" s="30"/>
      <c r="P2729" s="30"/>
      <c r="Q2729" s="30"/>
      <c r="R2729" s="30"/>
      <c r="S2729" s="30"/>
      <c r="T2729" s="30"/>
      <c r="U2729" s="30"/>
      <c r="V2729" s="30"/>
      <c r="W2729" s="30"/>
      <c r="X2729" s="30"/>
      <c r="Y2729" s="30"/>
      <c r="Z2729" s="30"/>
      <c r="AA2729" s="30"/>
    </row>
    <row r="2730">
      <c r="A2730" s="29">
        <v>2370240.0</v>
      </c>
      <c r="B2730" s="29">
        <v>2370824.0</v>
      </c>
      <c r="C2730" s="30" t="str">
        <f t="shared" si="1"/>
        <v>+</v>
      </c>
      <c r="D2730" s="29">
        <f t="shared" si="2"/>
        <v>930</v>
      </c>
      <c r="E2730" s="30"/>
      <c r="F2730" s="30"/>
      <c r="G2730" s="30"/>
      <c r="H2730" s="30"/>
      <c r="I2730" s="30"/>
      <c r="J2730" s="30"/>
      <c r="K2730" s="30"/>
      <c r="L2730" s="30"/>
      <c r="M2730" s="30"/>
      <c r="N2730" s="30"/>
      <c r="O2730" s="30"/>
      <c r="P2730" s="30"/>
      <c r="Q2730" s="30"/>
      <c r="R2730" s="30"/>
      <c r="S2730" s="30"/>
      <c r="T2730" s="30"/>
      <c r="U2730" s="30"/>
      <c r="V2730" s="30"/>
      <c r="W2730" s="30"/>
      <c r="X2730" s="30"/>
      <c r="Y2730" s="30"/>
      <c r="Z2730" s="30"/>
      <c r="AA2730" s="30"/>
    </row>
    <row r="2731">
      <c r="A2731" s="29">
        <v>2372778.0</v>
      </c>
      <c r="B2731" s="29">
        <v>2370808.0</v>
      </c>
      <c r="C2731" s="30" t="str">
        <f t="shared" si="1"/>
        <v>-</v>
      </c>
      <c r="D2731" s="29">
        <f t="shared" si="2"/>
        <v>931</v>
      </c>
      <c r="E2731" s="30"/>
      <c r="F2731" s="30"/>
      <c r="G2731" s="30"/>
      <c r="H2731" s="30"/>
      <c r="I2731" s="30"/>
      <c r="J2731" s="30"/>
      <c r="K2731" s="30"/>
      <c r="L2731" s="30"/>
      <c r="M2731" s="30"/>
      <c r="N2731" s="30"/>
      <c r="O2731" s="30"/>
      <c r="P2731" s="30"/>
      <c r="Q2731" s="30"/>
      <c r="R2731" s="30"/>
      <c r="S2731" s="30"/>
      <c r="T2731" s="30"/>
      <c r="U2731" s="30"/>
      <c r="V2731" s="30"/>
      <c r="W2731" s="30"/>
      <c r="X2731" s="30"/>
      <c r="Y2731" s="30"/>
      <c r="Z2731" s="30"/>
      <c r="AA2731" s="30"/>
    </row>
    <row r="2732">
      <c r="A2732" s="29">
        <v>2372960.0</v>
      </c>
      <c r="B2732" s="29">
        <v>2373172.0</v>
      </c>
      <c r="C2732" s="30" t="str">
        <f t="shared" si="1"/>
        <v>+</v>
      </c>
      <c r="D2732" s="29">
        <f t="shared" si="2"/>
        <v>932</v>
      </c>
      <c r="E2732" s="30"/>
      <c r="F2732" s="30"/>
      <c r="G2732" s="30"/>
      <c r="H2732" s="30"/>
      <c r="I2732" s="30"/>
      <c r="J2732" s="30"/>
      <c r="K2732" s="30"/>
      <c r="L2732" s="30"/>
      <c r="M2732" s="30"/>
      <c r="N2732" s="30"/>
      <c r="O2732" s="30"/>
      <c r="P2732" s="30"/>
      <c r="Q2732" s="30"/>
      <c r="R2732" s="30"/>
      <c r="S2732" s="30"/>
      <c r="T2732" s="30"/>
      <c r="U2732" s="30"/>
      <c r="V2732" s="30"/>
      <c r="W2732" s="30"/>
      <c r="X2732" s="30"/>
      <c r="Y2732" s="30"/>
      <c r="Z2732" s="30"/>
      <c r="AA2732" s="30"/>
    </row>
    <row r="2733">
      <c r="A2733" s="29">
        <v>2373175.0</v>
      </c>
      <c r="B2733" s="29">
        <v>2374065.0</v>
      </c>
      <c r="C2733" s="30" t="str">
        <f t="shared" si="1"/>
        <v>+</v>
      </c>
      <c r="D2733" s="29">
        <f t="shared" si="2"/>
        <v>932</v>
      </c>
      <c r="E2733" s="30"/>
      <c r="F2733" s="30"/>
      <c r="G2733" s="30"/>
      <c r="H2733" s="30"/>
      <c r="I2733" s="30"/>
      <c r="J2733" s="30"/>
      <c r="K2733" s="30"/>
      <c r="L2733" s="30"/>
      <c r="M2733" s="30"/>
      <c r="N2733" s="30"/>
      <c r="O2733" s="30"/>
      <c r="P2733" s="30"/>
      <c r="Q2733" s="30"/>
      <c r="R2733" s="30"/>
      <c r="S2733" s="30"/>
      <c r="T2733" s="30"/>
      <c r="U2733" s="30"/>
      <c r="V2733" s="30"/>
      <c r="W2733" s="30"/>
      <c r="X2733" s="30"/>
      <c r="Y2733" s="30"/>
      <c r="Z2733" s="30"/>
      <c r="AA2733" s="30"/>
    </row>
    <row r="2734">
      <c r="A2734" s="29">
        <v>2374052.0</v>
      </c>
      <c r="B2734" s="29">
        <v>2374777.0</v>
      </c>
      <c r="C2734" s="30" t="str">
        <f t="shared" si="1"/>
        <v>+</v>
      </c>
      <c r="D2734" s="29">
        <f t="shared" si="2"/>
        <v>932</v>
      </c>
      <c r="E2734" s="30"/>
      <c r="F2734" s="30"/>
      <c r="G2734" s="30"/>
      <c r="H2734" s="30"/>
      <c r="I2734" s="30"/>
      <c r="J2734" s="30"/>
      <c r="K2734" s="30"/>
      <c r="L2734" s="30"/>
      <c r="M2734" s="30"/>
      <c r="N2734" s="30"/>
      <c r="O2734" s="30"/>
      <c r="P2734" s="30"/>
      <c r="Q2734" s="30"/>
      <c r="R2734" s="30"/>
      <c r="S2734" s="30"/>
      <c r="T2734" s="30"/>
      <c r="U2734" s="30"/>
      <c r="V2734" s="30"/>
      <c r="W2734" s="30"/>
      <c r="X2734" s="30"/>
      <c r="Y2734" s="30"/>
      <c r="Z2734" s="30"/>
      <c r="AA2734" s="30"/>
    </row>
    <row r="2735">
      <c r="A2735" s="29">
        <v>2375103.0</v>
      </c>
      <c r="B2735" s="29">
        <v>2374774.0</v>
      </c>
      <c r="C2735" s="30" t="str">
        <f t="shared" si="1"/>
        <v>-</v>
      </c>
      <c r="D2735" s="29">
        <f t="shared" si="2"/>
        <v>933</v>
      </c>
      <c r="E2735" s="30"/>
      <c r="F2735" s="30"/>
      <c r="G2735" s="30"/>
      <c r="H2735" s="30"/>
      <c r="I2735" s="30"/>
      <c r="J2735" s="30"/>
      <c r="K2735" s="30"/>
      <c r="L2735" s="30"/>
      <c r="M2735" s="30"/>
      <c r="N2735" s="30"/>
      <c r="O2735" s="30"/>
      <c r="P2735" s="30"/>
      <c r="Q2735" s="30"/>
      <c r="R2735" s="30"/>
      <c r="S2735" s="30"/>
      <c r="T2735" s="30"/>
      <c r="U2735" s="30"/>
      <c r="V2735" s="30"/>
      <c r="W2735" s="30"/>
      <c r="X2735" s="30"/>
      <c r="Y2735" s="30"/>
      <c r="Z2735" s="30"/>
      <c r="AA2735" s="30"/>
    </row>
    <row r="2736">
      <c r="A2736" s="29">
        <v>2375146.0</v>
      </c>
      <c r="B2736" s="29">
        <v>2376744.0</v>
      </c>
      <c r="C2736" s="30" t="str">
        <f t="shared" si="1"/>
        <v>+</v>
      </c>
      <c r="D2736" s="29">
        <f t="shared" si="2"/>
        <v>934</v>
      </c>
      <c r="E2736" s="30"/>
      <c r="F2736" s="30"/>
      <c r="G2736" s="30"/>
      <c r="H2736" s="30"/>
      <c r="I2736" s="30"/>
      <c r="J2736" s="30"/>
      <c r="K2736" s="30"/>
      <c r="L2736" s="30"/>
      <c r="M2736" s="30"/>
      <c r="N2736" s="30"/>
      <c r="O2736" s="30"/>
      <c r="P2736" s="30"/>
      <c r="Q2736" s="30"/>
      <c r="R2736" s="30"/>
      <c r="S2736" s="30"/>
      <c r="T2736" s="30"/>
      <c r="U2736" s="30"/>
      <c r="V2736" s="30"/>
      <c r="W2736" s="30"/>
      <c r="X2736" s="30"/>
      <c r="Y2736" s="30"/>
      <c r="Z2736" s="30"/>
      <c r="AA2736" s="30"/>
    </row>
    <row r="2737">
      <c r="A2737" s="29">
        <v>2376765.0</v>
      </c>
      <c r="B2737" s="29">
        <v>2377907.0</v>
      </c>
      <c r="C2737" s="30" t="str">
        <f t="shared" si="1"/>
        <v>+</v>
      </c>
      <c r="D2737" s="29">
        <f t="shared" si="2"/>
        <v>934</v>
      </c>
      <c r="E2737" s="30"/>
      <c r="F2737" s="30"/>
      <c r="G2737" s="30"/>
      <c r="H2737" s="30"/>
      <c r="I2737" s="30"/>
      <c r="J2737" s="30"/>
      <c r="K2737" s="30"/>
      <c r="L2737" s="30"/>
      <c r="M2737" s="30"/>
      <c r="N2737" s="30"/>
      <c r="O2737" s="30"/>
      <c r="P2737" s="30"/>
      <c r="Q2737" s="30"/>
      <c r="R2737" s="30"/>
      <c r="S2737" s="30"/>
      <c r="T2737" s="30"/>
      <c r="U2737" s="30"/>
      <c r="V2737" s="30"/>
      <c r="W2737" s="30"/>
      <c r="X2737" s="30"/>
      <c r="Y2737" s="30"/>
      <c r="Z2737" s="30"/>
      <c r="AA2737" s="30"/>
    </row>
    <row r="2738">
      <c r="A2738" s="29">
        <v>2377908.0</v>
      </c>
      <c r="B2738" s="29">
        <v>2379059.0</v>
      </c>
      <c r="C2738" s="30" t="str">
        <f t="shared" si="1"/>
        <v>+</v>
      </c>
      <c r="D2738" s="29">
        <f t="shared" si="2"/>
        <v>934</v>
      </c>
      <c r="E2738" s="30"/>
      <c r="F2738" s="30"/>
      <c r="G2738" s="30"/>
      <c r="H2738" s="30"/>
      <c r="I2738" s="30"/>
      <c r="J2738" s="30"/>
      <c r="K2738" s="30"/>
      <c r="L2738" s="30"/>
      <c r="M2738" s="30"/>
      <c r="N2738" s="30"/>
      <c r="O2738" s="30"/>
      <c r="P2738" s="30"/>
      <c r="Q2738" s="30"/>
      <c r="R2738" s="30"/>
      <c r="S2738" s="30"/>
      <c r="T2738" s="30"/>
      <c r="U2738" s="30"/>
      <c r="V2738" s="30"/>
      <c r="W2738" s="30"/>
      <c r="X2738" s="30"/>
      <c r="Y2738" s="30"/>
      <c r="Z2738" s="30"/>
      <c r="AA2738" s="30"/>
    </row>
    <row r="2739">
      <c r="A2739" s="29">
        <v>2379312.0</v>
      </c>
      <c r="B2739" s="29">
        <v>2379896.0</v>
      </c>
      <c r="C2739" s="30" t="str">
        <f t="shared" si="1"/>
        <v>+</v>
      </c>
      <c r="D2739" s="29">
        <f t="shared" si="2"/>
        <v>934</v>
      </c>
      <c r="E2739" s="30"/>
      <c r="F2739" s="30"/>
      <c r="G2739" s="30"/>
      <c r="H2739" s="30"/>
      <c r="I2739" s="30"/>
      <c r="J2739" s="30"/>
      <c r="K2739" s="30"/>
      <c r="L2739" s="30"/>
      <c r="M2739" s="30"/>
      <c r="N2739" s="30"/>
      <c r="O2739" s="30"/>
      <c r="P2739" s="30"/>
      <c r="Q2739" s="30"/>
      <c r="R2739" s="30"/>
      <c r="S2739" s="30"/>
      <c r="T2739" s="30"/>
      <c r="U2739" s="30"/>
      <c r="V2739" s="30"/>
      <c r="W2739" s="30"/>
      <c r="X2739" s="30"/>
      <c r="Y2739" s="30"/>
      <c r="Z2739" s="30"/>
      <c r="AA2739" s="30"/>
    </row>
    <row r="2740">
      <c r="A2740" s="29">
        <v>2379897.0</v>
      </c>
      <c r="B2740" s="29">
        <v>2380814.0</v>
      </c>
      <c r="C2740" s="30" t="str">
        <f t="shared" si="1"/>
        <v>+</v>
      </c>
      <c r="D2740" s="29">
        <f t="shared" si="2"/>
        <v>934</v>
      </c>
      <c r="E2740" s="30"/>
      <c r="F2740" s="30"/>
      <c r="G2740" s="30"/>
      <c r="H2740" s="30"/>
      <c r="I2740" s="30"/>
      <c r="J2740" s="30"/>
      <c r="K2740" s="30"/>
      <c r="L2740" s="30"/>
      <c r="M2740" s="30"/>
      <c r="N2740" s="30"/>
      <c r="O2740" s="30"/>
      <c r="P2740" s="30"/>
      <c r="Q2740" s="30"/>
      <c r="R2740" s="30"/>
      <c r="S2740" s="30"/>
      <c r="T2740" s="30"/>
      <c r="U2740" s="30"/>
      <c r="V2740" s="30"/>
      <c r="W2740" s="30"/>
      <c r="X2740" s="30"/>
      <c r="Y2740" s="30"/>
      <c r="Z2740" s="30"/>
      <c r="AA2740" s="30"/>
    </row>
    <row r="2741">
      <c r="A2741" s="29">
        <v>2382262.0</v>
      </c>
      <c r="B2741" s="29">
        <v>2380811.0</v>
      </c>
      <c r="C2741" s="30" t="str">
        <f t="shared" si="1"/>
        <v>-</v>
      </c>
      <c r="D2741" s="29">
        <f t="shared" si="2"/>
        <v>935</v>
      </c>
      <c r="E2741" s="30"/>
      <c r="F2741" s="30"/>
      <c r="G2741" s="30"/>
      <c r="H2741" s="30"/>
      <c r="I2741" s="30"/>
      <c r="J2741" s="30"/>
      <c r="K2741" s="30"/>
      <c r="L2741" s="30"/>
      <c r="M2741" s="30"/>
      <c r="N2741" s="30"/>
      <c r="O2741" s="30"/>
      <c r="P2741" s="30"/>
      <c r="Q2741" s="30"/>
      <c r="R2741" s="30"/>
      <c r="S2741" s="30"/>
      <c r="T2741" s="30"/>
      <c r="U2741" s="30"/>
      <c r="V2741" s="30"/>
      <c r="W2741" s="30"/>
      <c r="X2741" s="30"/>
      <c r="Y2741" s="30"/>
      <c r="Z2741" s="30"/>
      <c r="AA2741" s="30"/>
    </row>
    <row r="2742">
      <c r="A2742" s="29">
        <v>2383239.0</v>
      </c>
      <c r="B2742" s="29">
        <v>2382223.0</v>
      </c>
      <c r="C2742" s="30" t="str">
        <f t="shared" si="1"/>
        <v>-</v>
      </c>
      <c r="D2742" s="29">
        <f t="shared" si="2"/>
        <v>935</v>
      </c>
      <c r="E2742" s="30"/>
      <c r="F2742" s="30"/>
      <c r="G2742" s="30"/>
      <c r="H2742" s="30"/>
      <c r="I2742" s="30"/>
      <c r="J2742" s="30"/>
      <c r="K2742" s="30"/>
      <c r="L2742" s="30"/>
      <c r="M2742" s="30"/>
      <c r="N2742" s="30"/>
      <c r="O2742" s="30"/>
      <c r="P2742" s="30"/>
      <c r="Q2742" s="30"/>
      <c r="R2742" s="30"/>
      <c r="S2742" s="30"/>
      <c r="T2742" s="30"/>
      <c r="U2742" s="30"/>
      <c r="V2742" s="30"/>
      <c r="W2742" s="30"/>
      <c r="X2742" s="30"/>
      <c r="Y2742" s="30"/>
      <c r="Z2742" s="30"/>
      <c r="AA2742" s="30"/>
    </row>
    <row r="2743">
      <c r="A2743" s="29">
        <v>2385776.0</v>
      </c>
      <c r="B2743" s="29">
        <v>2383554.0</v>
      </c>
      <c r="C2743" s="30" t="str">
        <f t="shared" si="1"/>
        <v>-</v>
      </c>
      <c r="D2743" s="29">
        <f t="shared" si="2"/>
        <v>935</v>
      </c>
      <c r="E2743" s="30"/>
      <c r="F2743" s="30"/>
      <c r="G2743" s="30"/>
      <c r="H2743" s="30"/>
      <c r="I2743" s="30"/>
      <c r="J2743" s="30"/>
      <c r="K2743" s="30"/>
      <c r="L2743" s="30"/>
      <c r="M2743" s="30"/>
      <c r="N2743" s="30"/>
      <c r="O2743" s="30"/>
      <c r="P2743" s="30"/>
      <c r="Q2743" s="30"/>
      <c r="R2743" s="30"/>
      <c r="S2743" s="30"/>
      <c r="T2743" s="30"/>
      <c r="U2743" s="30"/>
      <c r="V2743" s="30"/>
      <c r="W2743" s="30"/>
      <c r="X2743" s="30"/>
      <c r="Y2743" s="30"/>
      <c r="Z2743" s="30"/>
      <c r="AA2743" s="30"/>
    </row>
    <row r="2744">
      <c r="A2744" s="29">
        <v>2387639.0</v>
      </c>
      <c r="B2744" s="29">
        <v>2386335.0</v>
      </c>
      <c r="C2744" s="30" t="str">
        <f t="shared" si="1"/>
        <v>-</v>
      </c>
      <c r="D2744" s="29">
        <f t="shared" si="2"/>
        <v>935</v>
      </c>
      <c r="E2744" s="30"/>
      <c r="F2744" s="30"/>
      <c r="G2744" s="30"/>
      <c r="H2744" s="30"/>
      <c r="I2744" s="30"/>
      <c r="J2744" s="30"/>
      <c r="K2744" s="30"/>
      <c r="L2744" s="30"/>
      <c r="M2744" s="30"/>
      <c r="N2744" s="30"/>
      <c r="O2744" s="30"/>
      <c r="P2744" s="30"/>
      <c r="Q2744" s="30"/>
      <c r="R2744" s="30"/>
      <c r="S2744" s="30"/>
      <c r="T2744" s="30"/>
      <c r="U2744" s="30"/>
      <c r="V2744" s="30"/>
      <c r="W2744" s="30"/>
      <c r="X2744" s="30"/>
      <c r="Y2744" s="30"/>
      <c r="Z2744" s="30"/>
      <c r="AA2744" s="30"/>
    </row>
    <row r="2745">
      <c r="A2745" s="29">
        <v>2388309.0</v>
      </c>
      <c r="B2745" s="29">
        <v>2387662.0</v>
      </c>
      <c r="C2745" s="30" t="str">
        <f t="shared" si="1"/>
        <v>-</v>
      </c>
      <c r="D2745" s="29">
        <f t="shared" si="2"/>
        <v>935</v>
      </c>
      <c r="E2745" s="30"/>
      <c r="F2745" s="30"/>
      <c r="G2745" s="30"/>
      <c r="H2745" s="30"/>
      <c r="I2745" s="30"/>
      <c r="J2745" s="30"/>
      <c r="K2745" s="30"/>
      <c r="L2745" s="30"/>
      <c r="M2745" s="30"/>
      <c r="N2745" s="30"/>
      <c r="O2745" s="30"/>
      <c r="P2745" s="30"/>
      <c r="Q2745" s="30"/>
      <c r="R2745" s="30"/>
      <c r="S2745" s="30"/>
      <c r="T2745" s="30"/>
      <c r="U2745" s="30"/>
      <c r="V2745" s="30"/>
      <c r="W2745" s="30"/>
      <c r="X2745" s="30"/>
      <c r="Y2745" s="30"/>
      <c r="Z2745" s="30"/>
      <c r="AA2745" s="30"/>
    </row>
    <row r="2746">
      <c r="A2746" s="29">
        <v>2389210.0</v>
      </c>
      <c r="B2746" s="29">
        <v>2388287.0</v>
      </c>
      <c r="C2746" s="30" t="str">
        <f t="shared" si="1"/>
        <v>-</v>
      </c>
      <c r="D2746" s="29">
        <f t="shared" si="2"/>
        <v>935</v>
      </c>
      <c r="E2746" s="30"/>
      <c r="F2746" s="30"/>
      <c r="G2746" s="30"/>
      <c r="H2746" s="30"/>
      <c r="I2746" s="30"/>
      <c r="J2746" s="30"/>
      <c r="K2746" s="30"/>
      <c r="L2746" s="30"/>
      <c r="M2746" s="30"/>
      <c r="N2746" s="30"/>
      <c r="O2746" s="30"/>
      <c r="P2746" s="30"/>
      <c r="Q2746" s="30"/>
      <c r="R2746" s="30"/>
      <c r="S2746" s="30"/>
      <c r="T2746" s="30"/>
      <c r="U2746" s="30"/>
      <c r="V2746" s="30"/>
      <c r="W2746" s="30"/>
      <c r="X2746" s="30"/>
      <c r="Y2746" s="30"/>
      <c r="Z2746" s="30"/>
      <c r="AA2746" s="30"/>
    </row>
    <row r="2747">
      <c r="A2747" s="29">
        <v>2390535.0</v>
      </c>
      <c r="B2747" s="29">
        <v>2389207.0</v>
      </c>
      <c r="C2747" s="30" t="str">
        <f t="shared" si="1"/>
        <v>-</v>
      </c>
      <c r="D2747" s="29">
        <f t="shared" si="2"/>
        <v>935</v>
      </c>
      <c r="E2747" s="30"/>
      <c r="F2747" s="30"/>
      <c r="G2747" s="30"/>
      <c r="H2747" s="30"/>
      <c r="I2747" s="30"/>
      <c r="J2747" s="30"/>
      <c r="K2747" s="30"/>
      <c r="L2747" s="30"/>
      <c r="M2747" s="30"/>
      <c r="N2747" s="30"/>
      <c r="O2747" s="30"/>
      <c r="P2747" s="30"/>
      <c r="Q2747" s="30"/>
      <c r="R2747" s="30"/>
      <c r="S2747" s="30"/>
      <c r="T2747" s="30"/>
      <c r="U2747" s="30"/>
      <c r="V2747" s="30"/>
      <c r="W2747" s="30"/>
      <c r="X2747" s="30"/>
      <c r="Y2747" s="30"/>
      <c r="Z2747" s="30"/>
      <c r="AA2747" s="30"/>
    </row>
    <row r="2748">
      <c r="A2748" s="29">
        <v>2390921.0</v>
      </c>
      <c r="B2748" s="29">
        <v>2392579.0</v>
      </c>
      <c r="C2748" s="30" t="str">
        <f t="shared" si="1"/>
        <v>+</v>
      </c>
      <c r="D2748" s="29">
        <f t="shared" si="2"/>
        <v>936</v>
      </c>
      <c r="E2748" s="30"/>
      <c r="F2748" s="30"/>
      <c r="G2748" s="30"/>
      <c r="H2748" s="30"/>
      <c r="I2748" s="30"/>
      <c r="J2748" s="30"/>
      <c r="K2748" s="30"/>
      <c r="L2748" s="30"/>
      <c r="M2748" s="30"/>
      <c r="N2748" s="30"/>
      <c r="O2748" s="30"/>
      <c r="P2748" s="30"/>
      <c r="Q2748" s="30"/>
      <c r="R2748" s="30"/>
      <c r="S2748" s="30"/>
      <c r="T2748" s="30"/>
      <c r="U2748" s="30"/>
      <c r="V2748" s="30"/>
      <c r="W2748" s="30"/>
      <c r="X2748" s="30"/>
      <c r="Y2748" s="30"/>
      <c r="Z2748" s="30"/>
      <c r="AA2748" s="30"/>
    </row>
    <row r="2749">
      <c r="A2749" s="29">
        <v>2393118.0</v>
      </c>
      <c r="B2749" s="29">
        <v>2392576.0</v>
      </c>
      <c r="C2749" s="30" t="str">
        <f t="shared" si="1"/>
        <v>-</v>
      </c>
      <c r="D2749" s="29">
        <f t="shared" si="2"/>
        <v>937</v>
      </c>
      <c r="E2749" s="30"/>
      <c r="F2749" s="30"/>
      <c r="G2749" s="30"/>
      <c r="H2749" s="30"/>
      <c r="I2749" s="30"/>
      <c r="J2749" s="30"/>
      <c r="K2749" s="30"/>
      <c r="L2749" s="30"/>
      <c r="M2749" s="30"/>
      <c r="N2749" s="30"/>
      <c r="O2749" s="30"/>
      <c r="P2749" s="30"/>
      <c r="Q2749" s="30"/>
      <c r="R2749" s="30"/>
      <c r="S2749" s="30"/>
      <c r="T2749" s="30"/>
      <c r="U2749" s="30"/>
      <c r="V2749" s="30"/>
      <c r="W2749" s="30"/>
      <c r="X2749" s="30"/>
      <c r="Y2749" s="30"/>
      <c r="Z2749" s="30"/>
      <c r="AA2749" s="30"/>
    </row>
    <row r="2750">
      <c r="A2750" s="29">
        <v>2394139.0</v>
      </c>
      <c r="B2750" s="29">
        <v>2393108.0</v>
      </c>
      <c r="C2750" s="30" t="str">
        <f t="shared" si="1"/>
        <v>-</v>
      </c>
      <c r="D2750" s="29">
        <f t="shared" si="2"/>
        <v>937</v>
      </c>
      <c r="E2750" s="30"/>
      <c r="F2750" s="30"/>
      <c r="G2750" s="30"/>
      <c r="H2750" s="30"/>
      <c r="I2750" s="30"/>
      <c r="J2750" s="30"/>
      <c r="K2750" s="30"/>
      <c r="L2750" s="30"/>
      <c r="M2750" s="30"/>
      <c r="N2750" s="30"/>
      <c r="O2750" s="30"/>
      <c r="P2750" s="30"/>
      <c r="Q2750" s="30"/>
      <c r="R2750" s="30"/>
      <c r="S2750" s="30"/>
      <c r="T2750" s="30"/>
      <c r="U2750" s="30"/>
      <c r="V2750" s="30"/>
      <c r="W2750" s="30"/>
      <c r="X2750" s="30"/>
      <c r="Y2750" s="30"/>
      <c r="Z2750" s="30"/>
      <c r="AA2750" s="30"/>
    </row>
    <row r="2751">
      <c r="A2751" s="29">
        <v>2394638.0</v>
      </c>
      <c r="B2751" s="29">
        <v>2394111.0</v>
      </c>
      <c r="C2751" s="30" t="str">
        <f t="shared" si="1"/>
        <v>-</v>
      </c>
      <c r="D2751" s="29">
        <f t="shared" si="2"/>
        <v>937</v>
      </c>
      <c r="E2751" s="30"/>
      <c r="F2751" s="30"/>
      <c r="G2751" s="30"/>
      <c r="H2751" s="30"/>
      <c r="I2751" s="30"/>
      <c r="J2751" s="30"/>
      <c r="K2751" s="30"/>
      <c r="L2751" s="30"/>
      <c r="M2751" s="30"/>
      <c r="N2751" s="30"/>
      <c r="O2751" s="30"/>
      <c r="P2751" s="30"/>
      <c r="Q2751" s="30"/>
      <c r="R2751" s="30"/>
      <c r="S2751" s="30"/>
      <c r="T2751" s="30"/>
      <c r="U2751" s="30"/>
      <c r="V2751" s="30"/>
      <c r="W2751" s="30"/>
      <c r="X2751" s="30"/>
      <c r="Y2751" s="30"/>
      <c r="Z2751" s="30"/>
      <c r="AA2751" s="30"/>
    </row>
    <row r="2752">
      <c r="A2752" s="29">
        <v>2394717.0</v>
      </c>
      <c r="B2752" s="29">
        <v>2395031.0</v>
      </c>
      <c r="C2752" s="30" t="str">
        <f t="shared" si="1"/>
        <v>+</v>
      </c>
      <c r="D2752" s="29">
        <f t="shared" si="2"/>
        <v>938</v>
      </c>
      <c r="E2752" s="30"/>
      <c r="F2752" s="30"/>
      <c r="G2752" s="30"/>
      <c r="H2752" s="30"/>
      <c r="I2752" s="30"/>
      <c r="J2752" s="30"/>
      <c r="K2752" s="30"/>
      <c r="L2752" s="30"/>
      <c r="M2752" s="30"/>
      <c r="N2752" s="30"/>
      <c r="O2752" s="30"/>
      <c r="P2752" s="30"/>
      <c r="Q2752" s="30"/>
      <c r="R2752" s="30"/>
      <c r="S2752" s="30"/>
      <c r="T2752" s="30"/>
      <c r="U2752" s="30"/>
      <c r="V2752" s="30"/>
      <c r="W2752" s="30"/>
      <c r="X2752" s="30"/>
      <c r="Y2752" s="30"/>
      <c r="Z2752" s="30"/>
      <c r="AA2752" s="30"/>
    </row>
    <row r="2753">
      <c r="A2753" s="29">
        <v>2395050.0</v>
      </c>
      <c r="B2753" s="29">
        <v>2395952.0</v>
      </c>
      <c r="C2753" s="30" t="str">
        <f t="shared" si="1"/>
        <v>+</v>
      </c>
      <c r="D2753" s="29">
        <f t="shared" si="2"/>
        <v>938</v>
      </c>
      <c r="E2753" s="30"/>
      <c r="F2753" s="30"/>
      <c r="G2753" s="30"/>
      <c r="H2753" s="30"/>
      <c r="I2753" s="30"/>
      <c r="J2753" s="30"/>
      <c r="K2753" s="30"/>
      <c r="L2753" s="30"/>
      <c r="M2753" s="30"/>
      <c r="N2753" s="30"/>
      <c r="O2753" s="30"/>
      <c r="P2753" s="30"/>
      <c r="Q2753" s="30"/>
      <c r="R2753" s="30"/>
      <c r="S2753" s="30"/>
      <c r="T2753" s="30"/>
      <c r="U2753" s="30"/>
      <c r="V2753" s="30"/>
      <c r="W2753" s="30"/>
      <c r="X2753" s="30"/>
      <c r="Y2753" s="30"/>
      <c r="Z2753" s="30"/>
      <c r="AA2753" s="30"/>
    </row>
    <row r="2754">
      <c r="A2754" s="29">
        <v>2395945.0</v>
      </c>
      <c r="B2754" s="29">
        <v>2396535.0</v>
      </c>
      <c r="C2754" s="30" t="str">
        <f t="shared" si="1"/>
        <v>+</v>
      </c>
      <c r="D2754" s="29">
        <f t="shared" si="2"/>
        <v>938</v>
      </c>
      <c r="E2754" s="30"/>
      <c r="F2754" s="30"/>
      <c r="G2754" s="30"/>
      <c r="H2754" s="30"/>
      <c r="I2754" s="30"/>
      <c r="J2754" s="30"/>
      <c r="K2754" s="30"/>
      <c r="L2754" s="30"/>
      <c r="M2754" s="30"/>
      <c r="N2754" s="30"/>
      <c r="O2754" s="30"/>
      <c r="P2754" s="30"/>
      <c r="Q2754" s="30"/>
      <c r="R2754" s="30"/>
      <c r="S2754" s="30"/>
      <c r="T2754" s="30"/>
      <c r="U2754" s="30"/>
      <c r="V2754" s="30"/>
      <c r="W2754" s="30"/>
      <c r="X2754" s="30"/>
      <c r="Y2754" s="30"/>
      <c r="Z2754" s="30"/>
      <c r="AA2754" s="30"/>
    </row>
    <row r="2755">
      <c r="A2755" s="29">
        <v>2397167.0</v>
      </c>
      <c r="B2755" s="29">
        <v>2396532.0</v>
      </c>
      <c r="C2755" s="30" t="str">
        <f t="shared" si="1"/>
        <v>-</v>
      </c>
      <c r="D2755" s="29">
        <f t="shared" si="2"/>
        <v>939</v>
      </c>
      <c r="E2755" s="30"/>
      <c r="F2755" s="30"/>
      <c r="G2755" s="30"/>
      <c r="H2755" s="30"/>
      <c r="I2755" s="30"/>
      <c r="J2755" s="30"/>
      <c r="K2755" s="30"/>
      <c r="L2755" s="30"/>
      <c r="M2755" s="30"/>
      <c r="N2755" s="30"/>
      <c r="O2755" s="30"/>
      <c r="P2755" s="30"/>
      <c r="Q2755" s="30"/>
      <c r="R2755" s="30"/>
      <c r="S2755" s="30"/>
      <c r="T2755" s="30"/>
      <c r="U2755" s="30"/>
      <c r="V2755" s="30"/>
      <c r="W2755" s="30"/>
      <c r="X2755" s="30"/>
      <c r="Y2755" s="30"/>
      <c r="Z2755" s="30"/>
      <c r="AA2755" s="30"/>
    </row>
    <row r="2756">
      <c r="A2756" s="29">
        <v>2399639.0</v>
      </c>
      <c r="B2756" s="29">
        <v>2397168.0</v>
      </c>
      <c r="C2756" s="30" t="str">
        <f t="shared" si="1"/>
        <v>-</v>
      </c>
      <c r="D2756" s="29">
        <f t="shared" si="2"/>
        <v>939</v>
      </c>
      <c r="E2756" s="30"/>
      <c r="F2756" s="30"/>
      <c r="G2756" s="30"/>
      <c r="H2756" s="30"/>
      <c r="I2756" s="30"/>
      <c r="J2756" s="30"/>
      <c r="K2756" s="30"/>
      <c r="L2756" s="30"/>
      <c r="M2756" s="30"/>
      <c r="N2756" s="30"/>
      <c r="O2756" s="30"/>
      <c r="P2756" s="30"/>
      <c r="Q2756" s="30"/>
      <c r="R2756" s="30"/>
      <c r="S2756" s="30"/>
      <c r="T2756" s="30"/>
      <c r="U2756" s="30"/>
      <c r="V2756" s="30"/>
      <c r="W2756" s="30"/>
      <c r="X2756" s="30"/>
      <c r="Y2756" s="30"/>
      <c r="Z2756" s="30"/>
      <c r="AA2756" s="30"/>
    </row>
    <row r="2757">
      <c r="A2757" s="29">
        <v>2399720.0</v>
      </c>
      <c r="B2757" s="29">
        <v>2400421.0</v>
      </c>
      <c r="C2757" s="30" t="str">
        <f t="shared" si="1"/>
        <v>+</v>
      </c>
      <c r="D2757" s="29">
        <f t="shared" si="2"/>
        <v>940</v>
      </c>
      <c r="E2757" s="30"/>
      <c r="F2757" s="30"/>
      <c r="G2757" s="30"/>
      <c r="H2757" s="30"/>
      <c r="I2757" s="30"/>
      <c r="J2757" s="30"/>
      <c r="K2757" s="30"/>
      <c r="L2757" s="30"/>
      <c r="M2757" s="30"/>
      <c r="N2757" s="30"/>
      <c r="O2757" s="30"/>
      <c r="P2757" s="30"/>
      <c r="Q2757" s="30"/>
      <c r="R2757" s="30"/>
      <c r="S2757" s="30"/>
      <c r="T2757" s="30"/>
      <c r="U2757" s="30"/>
      <c r="V2757" s="30"/>
      <c r="W2757" s="30"/>
      <c r="X2757" s="30"/>
      <c r="Y2757" s="30"/>
      <c r="Z2757" s="30"/>
      <c r="AA2757" s="30"/>
    </row>
    <row r="2758">
      <c r="A2758" s="29">
        <v>2400903.0</v>
      </c>
      <c r="B2758" s="29">
        <v>2400433.0</v>
      </c>
      <c r="C2758" s="30" t="str">
        <f t="shared" si="1"/>
        <v>-</v>
      </c>
      <c r="D2758" s="29">
        <f t="shared" si="2"/>
        <v>941</v>
      </c>
      <c r="E2758" s="30"/>
      <c r="F2758" s="30"/>
      <c r="G2758" s="30"/>
      <c r="H2758" s="30"/>
      <c r="I2758" s="30"/>
      <c r="J2758" s="30"/>
      <c r="K2758" s="30"/>
      <c r="L2758" s="30"/>
      <c r="M2758" s="30"/>
      <c r="N2758" s="30"/>
      <c r="O2758" s="30"/>
      <c r="P2758" s="30"/>
      <c r="Q2758" s="30"/>
      <c r="R2758" s="30"/>
      <c r="S2758" s="30"/>
      <c r="T2758" s="30"/>
      <c r="U2758" s="30"/>
      <c r="V2758" s="30"/>
      <c r="W2758" s="30"/>
      <c r="X2758" s="30"/>
      <c r="Y2758" s="30"/>
      <c r="Z2758" s="30"/>
      <c r="AA2758" s="30"/>
    </row>
    <row r="2759">
      <c r="A2759" s="29">
        <v>2401106.0</v>
      </c>
      <c r="B2759" s="29">
        <v>2402407.0</v>
      </c>
      <c r="C2759" s="30" t="str">
        <f t="shared" si="1"/>
        <v>+</v>
      </c>
      <c r="D2759" s="29">
        <f t="shared" si="2"/>
        <v>942</v>
      </c>
      <c r="E2759" s="30"/>
      <c r="F2759" s="30"/>
      <c r="G2759" s="30"/>
      <c r="H2759" s="30"/>
      <c r="I2759" s="30"/>
      <c r="J2759" s="30"/>
      <c r="K2759" s="30"/>
      <c r="L2759" s="30"/>
      <c r="M2759" s="30"/>
      <c r="N2759" s="30"/>
      <c r="O2759" s="30"/>
      <c r="P2759" s="30"/>
      <c r="Q2759" s="30"/>
      <c r="R2759" s="30"/>
      <c r="S2759" s="30"/>
      <c r="T2759" s="30"/>
      <c r="U2759" s="30"/>
      <c r="V2759" s="30"/>
      <c r="W2759" s="30"/>
      <c r="X2759" s="30"/>
      <c r="Y2759" s="30"/>
      <c r="Z2759" s="30"/>
      <c r="AA2759" s="30"/>
    </row>
    <row r="2760">
      <c r="A2760" s="29">
        <v>2403029.0</v>
      </c>
      <c r="B2760" s="29">
        <v>2402355.0</v>
      </c>
      <c r="C2760" s="30" t="str">
        <f t="shared" si="1"/>
        <v>-</v>
      </c>
      <c r="D2760" s="29">
        <f t="shared" si="2"/>
        <v>943</v>
      </c>
      <c r="E2760" s="30"/>
      <c r="F2760" s="30"/>
      <c r="G2760" s="30"/>
      <c r="H2760" s="30"/>
      <c r="I2760" s="30"/>
      <c r="J2760" s="30"/>
      <c r="K2760" s="30"/>
      <c r="L2760" s="30"/>
      <c r="M2760" s="30"/>
      <c r="N2760" s="30"/>
      <c r="O2760" s="30"/>
      <c r="P2760" s="30"/>
      <c r="Q2760" s="30"/>
      <c r="R2760" s="30"/>
      <c r="S2760" s="30"/>
      <c r="T2760" s="30"/>
      <c r="U2760" s="30"/>
      <c r="V2760" s="30"/>
      <c r="W2760" s="30"/>
      <c r="X2760" s="30"/>
      <c r="Y2760" s="30"/>
      <c r="Z2760" s="30"/>
      <c r="AA2760" s="30"/>
    </row>
    <row r="2761">
      <c r="A2761" s="29">
        <v>2403589.0</v>
      </c>
      <c r="B2761" s="29">
        <v>2403026.0</v>
      </c>
      <c r="C2761" s="30" t="str">
        <f t="shared" si="1"/>
        <v>-</v>
      </c>
      <c r="D2761" s="29">
        <f t="shared" si="2"/>
        <v>943</v>
      </c>
      <c r="E2761" s="30"/>
      <c r="F2761" s="30"/>
      <c r="G2761" s="30"/>
      <c r="H2761" s="30"/>
      <c r="I2761" s="30"/>
      <c r="J2761" s="30"/>
      <c r="K2761" s="30"/>
      <c r="L2761" s="30"/>
      <c r="M2761" s="30"/>
      <c r="N2761" s="30"/>
      <c r="O2761" s="30"/>
      <c r="P2761" s="30"/>
      <c r="Q2761" s="30"/>
      <c r="R2761" s="30"/>
      <c r="S2761" s="30"/>
      <c r="T2761" s="30"/>
      <c r="U2761" s="30"/>
      <c r="V2761" s="30"/>
      <c r="W2761" s="30"/>
      <c r="X2761" s="30"/>
      <c r="Y2761" s="30"/>
      <c r="Z2761" s="30"/>
      <c r="AA2761" s="30"/>
    </row>
    <row r="2762">
      <c r="A2762" s="29">
        <v>2404801.0</v>
      </c>
      <c r="B2762" s="29">
        <v>2403908.0</v>
      </c>
      <c r="C2762" s="30" t="str">
        <f t="shared" si="1"/>
        <v>-</v>
      </c>
      <c r="D2762" s="29">
        <f t="shared" si="2"/>
        <v>943</v>
      </c>
      <c r="E2762" s="30"/>
      <c r="F2762" s="30"/>
      <c r="G2762" s="30"/>
      <c r="H2762" s="30"/>
      <c r="I2762" s="30"/>
      <c r="J2762" s="30"/>
      <c r="K2762" s="30"/>
      <c r="L2762" s="30"/>
      <c r="M2762" s="30"/>
      <c r="N2762" s="30"/>
      <c r="O2762" s="30"/>
      <c r="P2762" s="30"/>
      <c r="Q2762" s="30"/>
      <c r="R2762" s="30"/>
      <c r="S2762" s="30"/>
      <c r="T2762" s="30"/>
      <c r="U2762" s="30"/>
      <c r="V2762" s="30"/>
      <c r="W2762" s="30"/>
      <c r="X2762" s="30"/>
      <c r="Y2762" s="30"/>
      <c r="Z2762" s="30"/>
      <c r="AA2762" s="30"/>
    </row>
    <row r="2763">
      <c r="A2763" s="29">
        <v>2404846.0</v>
      </c>
      <c r="B2763" s="29">
        <v>2406051.0</v>
      </c>
      <c r="C2763" s="30" t="str">
        <f t="shared" si="1"/>
        <v>+</v>
      </c>
      <c r="D2763" s="29">
        <f t="shared" si="2"/>
        <v>944</v>
      </c>
      <c r="E2763" s="30"/>
      <c r="F2763" s="30"/>
      <c r="G2763" s="30"/>
      <c r="H2763" s="30"/>
      <c r="I2763" s="30"/>
      <c r="J2763" s="30"/>
      <c r="K2763" s="30"/>
      <c r="L2763" s="30"/>
      <c r="M2763" s="30"/>
      <c r="N2763" s="30"/>
      <c r="O2763" s="30"/>
      <c r="P2763" s="30"/>
      <c r="Q2763" s="30"/>
      <c r="R2763" s="30"/>
      <c r="S2763" s="30"/>
      <c r="T2763" s="30"/>
      <c r="U2763" s="30"/>
      <c r="V2763" s="30"/>
      <c r="W2763" s="30"/>
      <c r="X2763" s="30"/>
      <c r="Y2763" s="30"/>
      <c r="Z2763" s="30"/>
      <c r="AA2763" s="30"/>
    </row>
    <row r="2764">
      <c r="A2764" s="29">
        <v>2407173.0</v>
      </c>
      <c r="B2764" s="29">
        <v>2406067.0</v>
      </c>
      <c r="C2764" s="30" t="str">
        <f t="shared" si="1"/>
        <v>-</v>
      </c>
      <c r="D2764" s="29">
        <f t="shared" si="2"/>
        <v>945</v>
      </c>
      <c r="E2764" s="30"/>
      <c r="F2764" s="30"/>
      <c r="G2764" s="30"/>
      <c r="H2764" s="30"/>
      <c r="I2764" s="30"/>
      <c r="J2764" s="30"/>
      <c r="K2764" s="30"/>
      <c r="L2764" s="30"/>
      <c r="M2764" s="30"/>
      <c r="N2764" s="30"/>
      <c r="O2764" s="30"/>
      <c r="P2764" s="30"/>
      <c r="Q2764" s="30"/>
      <c r="R2764" s="30"/>
      <c r="S2764" s="30"/>
      <c r="T2764" s="30"/>
      <c r="U2764" s="30"/>
      <c r="V2764" s="30"/>
      <c r="W2764" s="30"/>
      <c r="X2764" s="30"/>
      <c r="Y2764" s="30"/>
      <c r="Z2764" s="30"/>
      <c r="AA2764" s="30"/>
    </row>
    <row r="2765">
      <c r="A2765" s="29">
        <v>2407958.0</v>
      </c>
      <c r="B2765" s="29">
        <v>2407170.0</v>
      </c>
      <c r="C2765" s="30" t="str">
        <f t="shared" si="1"/>
        <v>-</v>
      </c>
      <c r="D2765" s="29">
        <f t="shared" si="2"/>
        <v>945</v>
      </c>
      <c r="E2765" s="30"/>
      <c r="F2765" s="30"/>
      <c r="G2765" s="30"/>
      <c r="H2765" s="30"/>
      <c r="I2765" s="30"/>
      <c r="J2765" s="30"/>
      <c r="K2765" s="30"/>
      <c r="L2765" s="30"/>
      <c r="M2765" s="30"/>
      <c r="N2765" s="30"/>
      <c r="O2765" s="30"/>
      <c r="P2765" s="30"/>
      <c r="Q2765" s="30"/>
      <c r="R2765" s="30"/>
      <c r="S2765" s="30"/>
      <c r="T2765" s="30"/>
      <c r="U2765" s="30"/>
      <c r="V2765" s="30"/>
      <c r="W2765" s="30"/>
      <c r="X2765" s="30"/>
      <c r="Y2765" s="30"/>
      <c r="Z2765" s="30"/>
      <c r="AA2765" s="30"/>
    </row>
    <row r="2766">
      <c r="A2766" s="29">
        <v>2408439.0</v>
      </c>
      <c r="B2766" s="29">
        <v>2409182.0</v>
      </c>
      <c r="C2766" s="30" t="str">
        <f t="shared" si="1"/>
        <v>+</v>
      </c>
      <c r="D2766" s="29">
        <f t="shared" si="2"/>
        <v>946</v>
      </c>
      <c r="E2766" s="30"/>
      <c r="F2766" s="30"/>
      <c r="G2766" s="30"/>
      <c r="H2766" s="30"/>
      <c r="I2766" s="30"/>
      <c r="J2766" s="30"/>
      <c r="K2766" s="30"/>
      <c r="L2766" s="30"/>
      <c r="M2766" s="30"/>
      <c r="N2766" s="30"/>
      <c r="O2766" s="30"/>
      <c r="P2766" s="30"/>
      <c r="Q2766" s="30"/>
      <c r="R2766" s="30"/>
      <c r="S2766" s="30"/>
      <c r="T2766" s="30"/>
      <c r="U2766" s="30"/>
      <c r="V2766" s="30"/>
      <c r="W2766" s="30"/>
      <c r="X2766" s="30"/>
      <c r="Y2766" s="30"/>
      <c r="Z2766" s="30"/>
      <c r="AA2766" s="30"/>
    </row>
    <row r="2767">
      <c r="A2767" s="29">
        <v>2409575.0</v>
      </c>
      <c r="B2767" s="29">
        <v>2409165.0</v>
      </c>
      <c r="C2767" s="30" t="str">
        <f t="shared" si="1"/>
        <v>-</v>
      </c>
      <c r="D2767" s="29">
        <f t="shared" si="2"/>
        <v>947</v>
      </c>
      <c r="E2767" s="30"/>
      <c r="F2767" s="30"/>
      <c r="G2767" s="30"/>
      <c r="H2767" s="30"/>
      <c r="I2767" s="30"/>
      <c r="J2767" s="30"/>
      <c r="K2767" s="30"/>
      <c r="L2767" s="30"/>
      <c r="M2767" s="30"/>
      <c r="N2767" s="30"/>
      <c r="O2767" s="30"/>
      <c r="P2767" s="30"/>
      <c r="Q2767" s="30"/>
      <c r="R2767" s="30"/>
      <c r="S2767" s="30"/>
      <c r="T2767" s="30"/>
      <c r="U2767" s="30"/>
      <c r="V2767" s="30"/>
      <c r="W2767" s="30"/>
      <c r="X2767" s="30"/>
      <c r="Y2767" s="30"/>
      <c r="Z2767" s="30"/>
      <c r="AA2767" s="30"/>
    </row>
    <row r="2768">
      <c r="A2768" s="29">
        <v>2409624.0</v>
      </c>
      <c r="B2768" s="29">
        <v>2410739.0</v>
      </c>
      <c r="C2768" s="30" t="str">
        <f t="shared" si="1"/>
        <v>+</v>
      </c>
      <c r="D2768" s="29">
        <f t="shared" si="2"/>
        <v>948</v>
      </c>
      <c r="E2768" s="30"/>
      <c r="F2768" s="30"/>
      <c r="G2768" s="30"/>
      <c r="H2768" s="30"/>
      <c r="I2768" s="30"/>
      <c r="J2768" s="30"/>
      <c r="K2768" s="30"/>
      <c r="L2768" s="30"/>
      <c r="M2768" s="30"/>
      <c r="N2768" s="30"/>
      <c r="O2768" s="30"/>
      <c r="P2768" s="30"/>
      <c r="Q2768" s="30"/>
      <c r="R2768" s="30"/>
      <c r="S2768" s="30"/>
      <c r="T2768" s="30"/>
      <c r="U2768" s="30"/>
      <c r="V2768" s="30"/>
      <c r="W2768" s="30"/>
      <c r="X2768" s="30"/>
      <c r="Y2768" s="30"/>
      <c r="Z2768" s="30"/>
      <c r="AA2768" s="30"/>
    </row>
    <row r="2769">
      <c r="A2769" s="29">
        <v>2410770.0</v>
      </c>
      <c r="B2769" s="29">
        <v>2411765.0</v>
      </c>
      <c r="C2769" s="30" t="str">
        <f t="shared" si="1"/>
        <v>+</v>
      </c>
      <c r="D2769" s="29">
        <f t="shared" si="2"/>
        <v>948</v>
      </c>
      <c r="E2769" s="30"/>
      <c r="F2769" s="30"/>
      <c r="G2769" s="30"/>
      <c r="H2769" s="30"/>
      <c r="I2769" s="30"/>
      <c r="J2769" s="30"/>
      <c r="K2769" s="30"/>
      <c r="L2769" s="30"/>
      <c r="M2769" s="30"/>
      <c r="N2769" s="30"/>
      <c r="O2769" s="30"/>
      <c r="P2769" s="30"/>
      <c r="Q2769" s="30"/>
      <c r="R2769" s="30"/>
      <c r="S2769" s="30"/>
      <c r="T2769" s="30"/>
      <c r="U2769" s="30"/>
      <c r="V2769" s="30"/>
      <c r="W2769" s="30"/>
      <c r="X2769" s="30"/>
      <c r="Y2769" s="30"/>
      <c r="Z2769" s="30"/>
      <c r="AA2769" s="30"/>
    </row>
    <row r="2770">
      <c r="A2770" s="29">
        <v>2412767.0</v>
      </c>
      <c r="B2770" s="29">
        <v>2411823.0</v>
      </c>
      <c r="C2770" s="30" t="str">
        <f t="shared" si="1"/>
        <v>-</v>
      </c>
      <c r="D2770" s="29">
        <f t="shared" si="2"/>
        <v>949</v>
      </c>
      <c r="E2770" s="30"/>
      <c r="F2770" s="30"/>
      <c r="G2770" s="30"/>
      <c r="H2770" s="30"/>
      <c r="I2770" s="30"/>
      <c r="J2770" s="30"/>
      <c r="K2770" s="30"/>
      <c r="L2770" s="30"/>
      <c r="M2770" s="30"/>
      <c r="N2770" s="30"/>
      <c r="O2770" s="30"/>
      <c r="P2770" s="30"/>
      <c r="Q2770" s="30"/>
      <c r="R2770" s="30"/>
      <c r="S2770" s="30"/>
      <c r="T2770" s="30"/>
      <c r="U2770" s="30"/>
      <c r="V2770" s="30"/>
      <c r="W2770" s="30"/>
      <c r="X2770" s="30"/>
      <c r="Y2770" s="30"/>
      <c r="Z2770" s="30"/>
      <c r="AA2770" s="30"/>
    </row>
    <row r="2771">
      <c r="A2771" s="29">
        <v>2413981.0</v>
      </c>
      <c r="B2771" s="29">
        <v>2412785.0</v>
      </c>
      <c r="C2771" s="30" t="str">
        <f t="shared" si="1"/>
        <v>-</v>
      </c>
      <c r="D2771" s="29">
        <f t="shared" si="2"/>
        <v>949</v>
      </c>
      <c r="E2771" s="30"/>
      <c r="F2771" s="30"/>
      <c r="G2771" s="30"/>
      <c r="H2771" s="30"/>
      <c r="I2771" s="30"/>
      <c r="J2771" s="30"/>
      <c r="K2771" s="30"/>
      <c r="L2771" s="30"/>
      <c r="M2771" s="30"/>
      <c r="N2771" s="30"/>
      <c r="O2771" s="30"/>
      <c r="P2771" s="30"/>
      <c r="Q2771" s="30"/>
      <c r="R2771" s="30"/>
      <c r="S2771" s="30"/>
      <c r="T2771" s="30"/>
      <c r="U2771" s="30"/>
      <c r="V2771" s="30"/>
      <c r="W2771" s="30"/>
      <c r="X2771" s="30"/>
      <c r="Y2771" s="30"/>
      <c r="Z2771" s="30"/>
      <c r="AA2771" s="30"/>
    </row>
    <row r="2772">
      <c r="A2772" s="29">
        <v>2414987.0</v>
      </c>
      <c r="B2772" s="29">
        <v>2413968.0</v>
      </c>
      <c r="C2772" s="30" t="str">
        <f t="shared" si="1"/>
        <v>-</v>
      </c>
      <c r="D2772" s="29">
        <f t="shared" si="2"/>
        <v>949</v>
      </c>
      <c r="E2772" s="30"/>
      <c r="F2772" s="30"/>
      <c r="G2772" s="30"/>
      <c r="H2772" s="30"/>
      <c r="I2772" s="30"/>
      <c r="J2772" s="30"/>
      <c r="K2772" s="30"/>
      <c r="L2772" s="30"/>
      <c r="M2772" s="30"/>
      <c r="N2772" s="30"/>
      <c r="O2772" s="30"/>
      <c r="P2772" s="30"/>
      <c r="Q2772" s="30"/>
      <c r="R2772" s="30"/>
      <c r="S2772" s="30"/>
      <c r="T2772" s="30"/>
      <c r="U2772" s="30"/>
      <c r="V2772" s="30"/>
      <c r="W2772" s="30"/>
      <c r="X2772" s="30"/>
      <c r="Y2772" s="30"/>
      <c r="Z2772" s="30"/>
      <c r="AA2772" s="30"/>
    </row>
    <row r="2773">
      <c r="A2773" s="29">
        <v>2415928.0</v>
      </c>
      <c r="B2773" s="29">
        <v>2414984.0</v>
      </c>
      <c r="C2773" s="30" t="str">
        <f t="shared" si="1"/>
        <v>-</v>
      </c>
      <c r="D2773" s="29">
        <f t="shared" si="2"/>
        <v>949</v>
      </c>
      <c r="E2773" s="30"/>
      <c r="F2773" s="30"/>
      <c r="G2773" s="30"/>
      <c r="H2773" s="30"/>
      <c r="I2773" s="30"/>
      <c r="J2773" s="30"/>
      <c r="K2773" s="30"/>
      <c r="L2773" s="30"/>
      <c r="M2773" s="30"/>
      <c r="N2773" s="30"/>
      <c r="O2773" s="30"/>
      <c r="P2773" s="30"/>
      <c r="Q2773" s="30"/>
      <c r="R2773" s="30"/>
      <c r="S2773" s="30"/>
      <c r="T2773" s="30"/>
      <c r="U2773" s="30"/>
      <c r="V2773" s="30"/>
      <c r="W2773" s="30"/>
      <c r="X2773" s="30"/>
      <c r="Y2773" s="30"/>
      <c r="Z2773" s="30"/>
      <c r="AA2773" s="30"/>
    </row>
    <row r="2774">
      <c r="A2774" s="29">
        <v>2416728.0</v>
      </c>
      <c r="B2774" s="29">
        <v>2415922.0</v>
      </c>
      <c r="C2774" s="30" t="str">
        <f t="shared" si="1"/>
        <v>-</v>
      </c>
      <c r="D2774" s="29">
        <f t="shared" si="2"/>
        <v>949</v>
      </c>
      <c r="E2774" s="30"/>
      <c r="F2774" s="30"/>
      <c r="G2774" s="30"/>
      <c r="H2774" s="30"/>
      <c r="I2774" s="30"/>
      <c r="J2774" s="30"/>
      <c r="K2774" s="30"/>
      <c r="L2774" s="30"/>
      <c r="M2774" s="30"/>
      <c r="N2774" s="30"/>
      <c r="O2774" s="30"/>
      <c r="P2774" s="30"/>
      <c r="Q2774" s="30"/>
      <c r="R2774" s="30"/>
      <c r="S2774" s="30"/>
      <c r="T2774" s="30"/>
      <c r="U2774" s="30"/>
      <c r="V2774" s="30"/>
      <c r="W2774" s="30"/>
      <c r="X2774" s="30"/>
      <c r="Y2774" s="30"/>
      <c r="Z2774" s="30"/>
      <c r="AA2774" s="30"/>
    </row>
    <row r="2775">
      <c r="A2775" s="29">
        <v>2416826.0</v>
      </c>
      <c r="B2775" s="29">
        <v>2417770.0</v>
      </c>
      <c r="C2775" s="30" t="str">
        <f t="shared" si="1"/>
        <v>+</v>
      </c>
      <c r="D2775" s="29">
        <f t="shared" si="2"/>
        <v>950</v>
      </c>
      <c r="E2775" s="30"/>
      <c r="F2775" s="30"/>
      <c r="G2775" s="30"/>
      <c r="H2775" s="30"/>
      <c r="I2775" s="30"/>
      <c r="J2775" s="30"/>
      <c r="K2775" s="30"/>
      <c r="L2775" s="30"/>
      <c r="M2775" s="30"/>
      <c r="N2775" s="30"/>
      <c r="O2775" s="30"/>
      <c r="P2775" s="30"/>
      <c r="Q2775" s="30"/>
      <c r="R2775" s="30"/>
      <c r="S2775" s="30"/>
      <c r="T2775" s="30"/>
      <c r="U2775" s="30"/>
      <c r="V2775" s="30"/>
      <c r="W2775" s="30"/>
      <c r="X2775" s="30"/>
      <c r="Y2775" s="30"/>
      <c r="Z2775" s="30"/>
      <c r="AA2775" s="30"/>
    </row>
    <row r="2776">
      <c r="A2776" s="29">
        <v>2417795.0</v>
      </c>
      <c r="B2776" s="29">
        <v>2418781.0</v>
      </c>
      <c r="C2776" s="30" t="str">
        <f t="shared" si="1"/>
        <v>+</v>
      </c>
      <c r="D2776" s="29">
        <f t="shared" si="2"/>
        <v>950</v>
      </c>
      <c r="E2776" s="30"/>
      <c r="F2776" s="30"/>
      <c r="G2776" s="30"/>
      <c r="H2776" s="30"/>
      <c r="I2776" s="30"/>
      <c r="J2776" s="30"/>
      <c r="K2776" s="30"/>
      <c r="L2776" s="30"/>
      <c r="M2776" s="30"/>
      <c r="N2776" s="30"/>
      <c r="O2776" s="30"/>
      <c r="P2776" s="30"/>
      <c r="Q2776" s="30"/>
      <c r="R2776" s="30"/>
      <c r="S2776" s="30"/>
      <c r="T2776" s="30"/>
      <c r="U2776" s="30"/>
      <c r="V2776" s="30"/>
      <c r="W2776" s="30"/>
      <c r="X2776" s="30"/>
      <c r="Y2776" s="30"/>
      <c r="Z2776" s="30"/>
      <c r="AA2776" s="30"/>
    </row>
    <row r="2777">
      <c r="A2777" s="29">
        <v>2420341.0</v>
      </c>
      <c r="B2777" s="29">
        <v>2419925.0</v>
      </c>
      <c r="C2777" s="30" t="str">
        <f t="shared" si="1"/>
        <v>-</v>
      </c>
      <c r="D2777" s="29">
        <f t="shared" si="2"/>
        <v>951</v>
      </c>
      <c r="E2777" s="30"/>
      <c r="F2777" s="30"/>
      <c r="G2777" s="30"/>
      <c r="H2777" s="30"/>
      <c r="I2777" s="30"/>
      <c r="J2777" s="30"/>
      <c r="K2777" s="30"/>
      <c r="L2777" s="30"/>
      <c r="M2777" s="30"/>
      <c r="N2777" s="30"/>
      <c r="O2777" s="30"/>
      <c r="P2777" s="30"/>
      <c r="Q2777" s="30"/>
      <c r="R2777" s="30"/>
      <c r="S2777" s="30"/>
      <c r="T2777" s="30"/>
      <c r="U2777" s="30"/>
      <c r="V2777" s="30"/>
      <c r="W2777" s="30"/>
      <c r="X2777" s="30"/>
      <c r="Y2777" s="30"/>
      <c r="Z2777" s="30"/>
      <c r="AA2777" s="30"/>
    </row>
    <row r="2778">
      <c r="A2778" s="29">
        <v>2421064.0</v>
      </c>
      <c r="B2778" s="29">
        <v>2420372.0</v>
      </c>
      <c r="C2778" s="30" t="str">
        <f t="shared" si="1"/>
        <v>-</v>
      </c>
      <c r="D2778" s="29">
        <f t="shared" si="2"/>
        <v>951</v>
      </c>
      <c r="E2778" s="30"/>
      <c r="F2778" s="30"/>
      <c r="G2778" s="30"/>
      <c r="H2778" s="30"/>
      <c r="I2778" s="30"/>
      <c r="J2778" s="30"/>
      <c r="K2778" s="30"/>
      <c r="L2778" s="30"/>
      <c r="M2778" s="30"/>
      <c r="N2778" s="30"/>
      <c r="O2778" s="30"/>
      <c r="P2778" s="30"/>
      <c r="Q2778" s="30"/>
      <c r="R2778" s="30"/>
      <c r="S2778" s="30"/>
      <c r="T2778" s="30"/>
      <c r="U2778" s="30"/>
      <c r="V2778" s="30"/>
      <c r="W2778" s="30"/>
      <c r="X2778" s="30"/>
      <c r="Y2778" s="30"/>
      <c r="Z2778" s="30"/>
      <c r="AA2778" s="30"/>
    </row>
    <row r="2779">
      <c r="A2779" s="29">
        <v>2422299.0</v>
      </c>
      <c r="B2779" s="29">
        <v>2421082.0</v>
      </c>
      <c r="C2779" s="30" t="str">
        <f t="shared" si="1"/>
        <v>-</v>
      </c>
      <c r="D2779" s="29">
        <f t="shared" si="2"/>
        <v>951</v>
      </c>
      <c r="E2779" s="30"/>
      <c r="F2779" s="30"/>
      <c r="G2779" s="30"/>
      <c r="H2779" s="30"/>
      <c r="I2779" s="30"/>
      <c r="J2779" s="30"/>
      <c r="K2779" s="30"/>
      <c r="L2779" s="30"/>
      <c r="M2779" s="30"/>
      <c r="N2779" s="30"/>
      <c r="O2779" s="30"/>
      <c r="P2779" s="30"/>
      <c r="Q2779" s="30"/>
      <c r="R2779" s="30"/>
      <c r="S2779" s="30"/>
      <c r="T2779" s="30"/>
      <c r="U2779" s="30"/>
      <c r="V2779" s="30"/>
      <c r="W2779" s="30"/>
      <c r="X2779" s="30"/>
      <c r="Y2779" s="30"/>
      <c r="Z2779" s="30"/>
      <c r="AA2779" s="30"/>
    </row>
    <row r="2780">
      <c r="A2780" s="29">
        <v>2422327.0</v>
      </c>
      <c r="B2780" s="29">
        <v>2422911.0</v>
      </c>
      <c r="C2780" s="30" t="str">
        <f t="shared" si="1"/>
        <v>+</v>
      </c>
      <c r="D2780" s="29">
        <f t="shared" si="2"/>
        <v>952</v>
      </c>
      <c r="E2780" s="30"/>
      <c r="F2780" s="30"/>
      <c r="G2780" s="30"/>
      <c r="H2780" s="30"/>
      <c r="I2780" s="30"/>
      <c r="J2780" s="30"/>
      <c r="K2780" s="30"/>
      <c r="L2780" s="30"/>
      <c r="M2780" s="30"/>
      <c r="N2780" s="30"/>
      <c r="O2780" s="30"/>
      <c r="P2780" s="30"/>
      <c r="Q2780" s="30"/>
      <c r="R2780" s="30"/>
      <c r="S2780" s="30"/>
      <c r="T2780" s="30"/>
      <c r="U2780" s="30"/>
      <c r="V2780" s="30"/>
      <c r="W2780" s="30"/>
      <c r="X2780" s="30"/>
      <c r="Y2780" s="30"/>
      <c r="Z2780" s="30"/>
      <c r="AA2780" s="30"/>
    </row>
    <row r="2781">
      <c r="A2781" s="29">
        <v>2422935.0</v>
      </c>
      <c r="B2781" s="29">
        <v>2423159.0</v>
      </c>
      <c r="C2781" s="30" t="str">
        <f t="shared" si="1"/>
        <v>+</v>
      </c>
      <c r="D2781" s="29">
        <f t="shared" si="2"/>
        <v>952</v>
      </c>
      <c r="E2781" s="30"/>
      <c r="F2781" s="30"/>
      <c r="G2781" s="30"/>
      <c r="H2781" s="30"/>
      <c r="I2781" s="30"/>
      <c r="J2781" s="30"/>
      <c r="K2781" s="30"/>
      <c r="L2781" s="30"/>
      <c r="M2781" s="30"/>
      <c r="N2781" s="30"/>
      <c r="O2781" s="30"/>
      <c r="P2781" s="30"/>
      <c r="Q2781" s="30"/>
      <c r="R2781" s="30"/>
      <c r="S2781" s="30"/>
      <c r="T2781" s="30"/>
      <c r="U2781" s="30"/>
      <c r="V2781" s="30"/>
      <c r="W2781" s="30"/>
      <c r="X2781" s="30"/>
      <c r="Y2781" s="30"/>
      <c r="Z2781" s="30"/>
      <c r="AA2781" s="30"/>
    </row>
    <row r="2782">
      <c r="A2782" s="29">
        <v>2423711.0</v>
      </c>
      <c r="B2782" s="29">
        <v>2423872.0</v>
      </c>
      <c r="C2782" s="30" t="str">
        <f t="shared" si="1"/>
        <v>+</v>
      </c>
      <c r="D2782" s="29">
        <f t="shared" si="2"/>
        <v>952</v>
      </c>
      <c r="E2782" s="30"/>
      <c r="F2782" s="30"/>
      <c r="G2782" s="30"/>
      <c r="H2782" s="30"/>
      <c r="I2782" s="30"/>
      <c r="J2782" s="30"/>
      <c r="K2782" s="30"/>
      <c r="L2782" s="30"/>
      <c r="M2782" s="30"/>
      <c r="N2782" s="30"/>
      <c r="O2782" s="30"/>
      <c r="P2782" s="30"/>
      <c r="Q2782" s="30"/>
      <c r="R2782" s="30"/>
      <c r="S2782" s="30"/>
      <c r="T2782" s="30"/>
      <c r="U2782" s="30"/>
      <c r="V2782" s="30"/>
      <c r="W2782" s="30"/>
      <c r="X2782" s="30"/>
      <c r="Y2782" s="30"/>
      <c r="Z2782" s="30"/>
      <c r="AA2782" s="30"/>
    </row>
    <row r="2783">
      <c r="A2783" s="29">
        <v>2424227.0</v>
      </c>
      <c r="B2783" s="29">
        <v>2424036.0</v>
      </c>
      <c r="C2783" s="30" t="str">
        <f t="shared" si="1"/>
        <v>-</v>
      </c>
      <c r="D2783" s="29">
        <f t="shared" si="2"/>
        <v>953</v>
      </c>
      <c r="E2783" s="30"/>
      <c r="F2783" s="30"/>
      <c r="G2783" s="30"/>
      <c r="H2783" s="30"/>
      <c r="I2783" s="30"/>
      <c r="J2783" s="30"/>
      <c r="K2783" s="30"/>
      <c r="L2783" s="30"/>
      <c r="M2783" s="30"/>
      <c r="N2783" s="30"/>
      <c r="O2783" s="30"/>
      <c r="P2783" s="30"/>
      <c r="Q2783" s="30"/>
      <c r="R2783" s="30"/>
      <c r="S2783" s="30"/>
      <c r="T2783" s="30"/>
      <c r="U2783" s="30"/>
      <c r="V2783" s="30"/>
      <c r="W2783" s="30"/>
      <c r="X2783" s="30"/>
      <c r="Y2783" s="30"/>
      <c r="Z2783" s="30"/>
      <c r="AA2783" s="30"/>
    </row>
    <row r="2784">
      <c r="A2784" s="29">
        <v>2424477.0</v>
      </c>
      <c r="B2784" s="29">
        <v>2424830.0</v>
      </c>
      <c r="C2784" s="30" t="str">
        <f t="shared" si="1"/>
        <v>+</v>
      </c>
      <c r="D2784" s="29">
        <f t="shared" si="2"/>
        <v>954</v>
      </c>
      <c r="E2784" s="30"/>
      <c r="F2784" s="30"/>
      <c r="G2784" s="30"/>
      <c r="H2784" s="30"/>
      <c r="I2784" s="30"/>
      <c r="J2784" s="30"/>
      <c r="K2784" s="30"/>
      <c r="L2784" s="30"/>
      <c r="M2784" s="30"/>
      <c r="N2784" s="30"/>
      <c r="O2784" s="30"/>
      <c r="P2784" s="30"/>
      <c r="Q2784" s="30"/>
      <c r="R2784" s="30"/>
      <c r="S2784" s="30"/>
      <c r="T2784" s="30"/>
      <c r="U2784" s="30"/>
      <c r="V2784" s="30"/>
      <c r="W2784" s="30"/>
      <c r="X2784" s="30"/>
      <c r="Y2784" s="30"/>
      <c r="Z2784" s="30"/>
      <c r="AA2784" s="30"/>
    </row>
    <row r="2785">
      <c r="A2785" s="29">
        <v>2424944.0</v>
      </c>
      <c r="B2785" s="29">
        <v>2425675.0</v>
      </c>
      <c r="C2785" s="30" t="str">
        <f t="shared" si="1"/>
        <v>+</v>
      </c>
      <c r="D2785" s="29">
        <f t="shared" si="2"/>
        <v>954</v>
      </c>
      <c r="E2785" s="30"/>
      <c r="F2785" s="30"/>
      <c r="G2785" s="30"/>
      <c r="H2785" s="30"/>
      <c r="I2785" s="30"/>
      <c r="J2785" s="30"/>
      <c r="K2785" s="30"/>
      <c r="L2785" s="30"/>
      <c r="M2785" s="30"/>
      <c r="N2785" s="30"/>
      <c r="O2785" s="30"/>
      <c r="P2785" s="30"/>
      <c r="Q2785" s="30"/>
      <c r="R2785" s="30"/>
      <c r="S2785" s="30"/>
      <c r="T2785" s="30"/>
      <c r="U2785" s="30"/>
      <c r="V2785" s="30"/>
      <c r="W2785" s="30"/>
      <c r="X2785" s="30"/>
      <c r="Y2785" s="30"/>
      <c r="Z2785" s="30"/>
      <c r="AA2785" s="30"/>
    </row>
    <row r="2786">
      <c r="A2786" s="29">
        <v>2425663.0</v>
      </c>
      <c r="B2786" s="29">
        <v>2426067.0</v>
      </c>
      <c r="C2786" s="30" t="str">
        <f t="shared" si="1"/>
        <v>+</v>
      </c>
      <c r="D2786" s="29">
        <f t="shared" si="2"/>
        <v>954</v>
      </c>
      <c r="E2786" s="30"/>
      <c r="F2786" s="30"/>
      <c r="G2786" s="30"/>
      <c r="H2786" s="30"/>
      <c r="I2786" s="30"/>
      <c r="J2786" s="30"/>
      <c r="K2786" s="30"/>
      <c r="L2786" s="30"/>
      <c r="M2786" s="30"/>
      <c r="N2786" s="30"/>
      <c r="O2786" s="30"/>
      <c r="P2786" s="30"/>
      <c r="Q2786" s="30"/>
      <c r="R2786" s="30"/>
      <c r="S2786" s="30"/>
      <c r="T2786" s="30"/>
      <c r="U2786" s="30"/>
      <c r="V2786" s="30"/>
      <c r="W2786" s="30"/>
      <c r="X2786" s="30"/>
      <c r="Y2786" s="30"/>
      <c r="Z2786" s="30"/>
      <c r="AA2786" s="30"/>
    </row>
    <row r="2787">
      <c r="A2787" s="29">
        <v>2426894.0</v>
      </c>
      <c r="B2787" s="29">
        <v>2426541.0</v>
      </c>
      <c r="C2787" s="30" t="str">
        <f t="shared" si="1"/>
        <v>-</v>
      </c>
      <c r="D2787" s="29">
        <f t="shared" si="2"/>
        <v>955</v>
      </c>
      <c r="E2787" s="30"/>
      <c r="F2787" s="30"/>
      <c r="G2787" s="30"/>
      <c r="H2787" s="30"/>
      <c r="I2787" s="30"/>
      <c r="J2787" s="30"/>
      <c r="K2787" s="30"/>
      <c r="L2787" s="30"/>
      <c r="M2787" s="30"/>
      <c r="N2787" s="30"/>
      <c r="O2787" s="30"/>
      <c r="P2787" s="30"/>
      <c r="Q2787" s="30"/>
      <c r="R2787" s="30"/>
      <c r="S2787" s="30"/>
      <c r="T2787" s="30"/>
      <c r="U2787" s="30"/>
      <c r="V2787" s="30"/>
      <c r="W2787" s="30"/>
      <c r="X2787" s="30"/>
      <c r="Y2787" s="30"/>
      <c r="Z2787" s="30"/>
      <c r="AA2787" s="30"/>
    </row>
    <row r="2788">
      <c r="A2788" s="29">
        <v>2427494.0</v>
      </c>
      <c r="B2788" s="29">
        <v>2427886.0</v>
      </c>
      <c r="C2788" s="30" t="str">
        <f t="shared" si="1"/>
        <v>+</v>
      </c>
      <c r="D2788" s="29">
        <f t="shared" si="2"/>
        <v>956</v>
      </c>
      <c r="E2788" s="30"/>
      <c r="F2788" s="30"/>
      <c r="G2788" s="30"/>
      <c r="H2788" s="30"/>
      <c r="I2788" s="30"/>
      <c r="J2788" s="30"/>
      <c r="K2788" s="30"/>
      <c r="L2788" s="30"/>
      <c r="M2788" s="30"/>
      <c r="N2788" s="30"/>
      <c r="O2788" s="30"/>
      <c r="P2788" s="30"/>
      <c r="Q2788" s="30"/>
      <c r="R2788" s="30"/>
      <c r="S2788" s="30"/>
      <c r="T2788" s="30"/>
      <c r="U2788" s="30"/>
      <c r="V2788" s="30"/>
      <c r="W2788" s="30"/>
      <c r="X2788" s="30"/>
      <c r="Y2788" s="30"/>
      <c r="Z2788" s="30"/>
      <c r="AA2788" s="30"/>
    </row>
    <row r="2789">
      <c r="A2789" s="29">
        <v>2427880.0</v>
      </c>
      <c r="B2789" s="29">
        <v>2428521.0</v>
      </c>
      <c r="C2789" s="30" t="str">
        <f t="shared" si="1"/>
        <v>+</v>
      </c>
      <c r="D2789" s="29">
        <f t="shared" si="2"/>
        <v>956</v>
      </c>
      <c r="E2789" s="30"/>
      <c r="F2789" s="30"/>
      <c r="G2789" s="30"/>
      <c r="H2789" s="30"/>
      <c r="I2789" s="30"/>
      <c r="J2789" s="30"/>
      <c r="K2789" s="30"/>
      <c r="L2789" s="30"/>
      <c r="M2789" s="30"/>
      <c r="N2789" s="30"/>
      <c r="O2789" s="30"/>
      <c r="P2789" s="30"/>
      <c r="Q2789" s="30"/>
      <c r="R2789" s="30"/>
      <c r="S2789" s="30"/>
      <c r="T2789" s="30"/>
      <c r="U2789" s="30"/>
      <c r="V2789" s="30"/>
      <c r="W2789" s="30"/>
      <c r="X2789" s="30"/>
      <c r="Y2789" s="30"/>
      <c r="Z2789" s="30"/>
      <c r="AA2789" s="30"/>
    </row>
    <row r="2790">
      <c r="A2790" s="29">
        <v>2433965.0</v>
      </c>
      <c r="B2790" s="29">
        <v>2432868.0</v>
      </c>
      <c r="C2790" s="30" t="str">
        <f t="shared" si="1"/>
        <v>-</v>
      </c>
      <c r="D2790" s="29">
        <f t="shared" si="2"/>
        <v>957</v>
      </c>
      <c r="E2790" s="30"/>
      <c r="F2790" s="30"/>
      <c r="G2790" s="30"/>
      <c r="H2790" s="30"/>
      <c r="I2790" s="30"/>
      <c r="J2790" s="30"/>
      <c r="K2790" s="30"/>
      <c r="L2790" s="30"/>
      <c r="M2790" s="30"/>
      <c r="N2790" s="30"/>
      <c r="O2790" s="30"/>
      <c r="P2790" s="30"/>
      <c r="Q2790" s="30"/>
      <c r="R2790" s="30"/>
      <c r="S2790" s="30"/>
      <c r="T2790" s="30"/>
      <c r="U2790" s="30"/>
      <c r="V2790" s="30"/>
      <c r="W2790" s="30"/>
      <c r="X2790" s="30"/>
      <c r="Y2790" s="30"/>
      <c r="Z2790" s="30"/>
      <c r="AA2790" s="30"/>
    </row>
    <row r="2791">
      <c r="A2791" s="29">
        <v>2434465.0</v>
      </c>
      <c r="B2791" s="29">
        <v>2433965.0</v>
      </c>
      <c r="C2791" s="30" t="str">
        <f t="shared" si="1"/>
        <v>-</v>
      </c>
      <c r="D2791" s="29">
        <f t="shared" si="2"/>
        <v>957</v>
      </c>
      <c r="E2791" s="30"/>
      <c r="F2791" s="30"/>
      <c r="G2791" s="30"/>
      <c r="H2791" s="30"/>
      <c r="I2791" s="30"/>
      <c r="J2791" s="30"/>
      <c r="K2791" s="30"/>
      <c r="L2791" s="30"/>
      <c r="M2791" s="30"/>
      <c r="N2791" s="30"/>
      <c r="O2791" s="30"/>
      <c r="P2791" s="30"/>
      <c r="Q2791" s="30"/>
      <c r="R2791" s="30"/>
      <c r="S2791" s="30"/>
      <c r="T2791" s="30"/>
      <c r="U2791" s="30"/>
      <c r="V2791" s="30"/>
      <c r="W2791" s="30"/>
      <c r="X2791" s="30"/>
      <c r="Y2791" s="30"/>
      <c r="Z2791" s="30"/>
      <c r="AA2791" s="30"/>
    </row>
    <row r="2792">
      <c r="A2792" s="29">
        <v>2434827.0</v>
      </c>
      <c r="B2792" s="29">
        <v>2434462.0</v>
      </c>
      <c r="C2792" s="30" t="str">
        <f t="shared" si="1"/>
        <v>-</v>
      </c>
      <c r="D2792" s="29">
        <f t="shared" si="2"/>
        <v>957</v>
      </c>
      <c r="E2792" s="30"/>
      <c r="F2792" s="30"/>
      <c r="G2792" s="30"/>
      <c r="H2792" s="30"/>
      <c r="I2792" s="30"/>
      <c r="J2792" s="30"/>
      <c r="K2792" s="30"/>
      <c r="L2792" s="30"/>
      <c r="M2792" s="30"/>
      <c r="N2792" s="30"/>
      <c r="O2792" s="30"/>
      <c r="P2792" s="30"/>
      <c r="Q2792" s="30"/>
      <c r="R2792" s="30"/>
      <c r="S2792" s="30"/>
      <c r="T2792" s="30"/>
      <c r="U2792" s="30"/>
      <c r="V2792" s="30"/>
      <c r="W2792" s="30"/>
      <c r="X2792" s="30"/>
      <c r="Y2792" s="30"/>
      <c r="Z2792" s="30"/>
      <c r="AA2792" s="30"/>
    </row>
    <row r="2793">
      <c r="A2793" s="29">
        <v>2435252.0</v>
      </c>
      <c r="B2793" s="29">
        <v>2434824.0</v>
      </c>
      <c r="C2793" s="30" t="str">
        <f t="shared" si="1"/>
        <v>-</v>
      </c>
      <c r="D2793" s="29">
        <f t="shared" si="2"/>
        <v>957</v>
      </c>
      <c r="E2793" s="30"/>
      <c r="F2793" s="30"/>
      <c r="G2793" s="30"/>
      <c r="H2793" s="30"/>
      <c r="I2793" s="30"/>
      <c r="J2793" s="30"/>
      <c r="K2793" s="30"/>
      <c r="L2793" s="30"/>
      <c r="M2793" s="30"/>
      <c r="N2793" s="30"/>
      <c r="O2793" s="30"/>
      <c r="P2793" s="30"/>
      <c r="Q2793" s="30"/>
      <c r="R2793" s="30"/>
      <c r="S2793" s="30"/>
      <c r="T2793" s="30"/>
      <c r="U2793" s="30"/>
      <c r="V2793" s="30"/>
      <c r="W2793" s="30"/>
      <c r="X2793" s="30"/>
      <c r="Y2793" s="30"/>
      <c r="Z2793" s="30"/>
      <c r="AA2793" s="30"/>
    </row>
    <row r="2794">
      <c r="A2794" s="29">
        <v>2436012.0</v>
      </c>
      <c r="B2794" s="29">
        <v>2435209.0</v>
      </c>
      <c r="C2794" s="30" t="str">
        <f t="shared" si="1"/>
        <v>-</v>
      </c>
      <c r="D2794" s="29">
        <f t="shared" si="2"/>
        <v>957</v>
      </c>
      <c r="E2794" s="30"/>
      <c r="F2794" s="30"/>
      <c r="G2794" s="30"/>
      <c r="H2794" s="30"/>
      <c r="I2794" s="30"/>
      <c r="J2794" s="30"/>
      <c r="K2794" s="30"/>
      <c r="L2794" s="30"/>
      <c r="M2794" s="30"/>
      <c r="N2794" s="30"/>
      <c r="O2794" s="30"/>
      <c r="P2794" s="30"/>
      <c r="Q2794" s="30"/>
      <c r="R2794" s="30"/>
      <c r="S2794" s="30"/>
      <c r="T2794" s="30"/>
      <c r="U2794" s="30"/>
      <c r="V2794" s="30"/>
      <c r="W2794" s="30"/>
      <c r="X2794" s="30"/>
      <c r="Y2794" s="30"/>
      <c r="Z2794" s="30"/>
      <c r="AA2794" s="3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32" t="s">
        <v>634</v>
      </c>
      <c r="B1" s="32" t="s">
        <v>635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33" t="s">
        <v>636</v>
      </c>
      <c r="B2" s="29" t="str">
        <f>VLOOKUP(PROPER(UPPER(A2)), from6!$A$1:$B2745, 2,False)</f>
        <v>K</v>
      </c>
      <c r="C2" s="34"/>
      <c r="D2" s="34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>
      <c r="A3" s="33" t="s">
        <v>638</v>
      </c>
      <c r="B3" s="29" t="str">
        <f>VLOOKUP(PROPER(UPPER(A3)), from6!$A$1:$B2745, 2,False)</f>
        <v>E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>
      <c r="A4" s="33" t="s">
        <v>640</v>
      </c>
      <c r="B4" s="29" t="str">
        <f>VLOOKUP(PROPER(UPPER(A4)), from6!$A$1:$B2745, 2,False)</f>
        <v>A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>
      <c r="A5" s="33" t="s">
        <v>642</v>
      </c>
      <c r="B5" s="29" t="str">
        <f>VLOOKUP(PROPER(UPPER(A5)), from6!$A$1:$B2745, 2,False)</f>
        <v>M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>
      <c r="A6" s="33" t="s">
        <v>644</v>
      </c>
      <c r="B6" s="29" t="str">
        <f>VLOOKUP(PROPER(UPPER(A6)), from6!$A$1:$B2745, 2,False)</f>
        <v>R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>
      <c r="A7" s="33" t="s">
        <v>642</v>
      </c>
      <c r="B7" s="29" t="str">
        <f>VLOOKUP(PROPER(UPPER(A7)), from6!$A$1:$B2745, 2,False)</f>
        <v>M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>
      <c r="A8" s="33" t="s">
        <v>647</v>
      </c>
      <c r="B8" s="29" t="str">
        <f>VLOOKUP(PROPER(UPPER(A8)), from6!$A$1:$B2745, 2,False)</f>
        <v>L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>
      <c r="A9" s="33" t="s">
        <v>642</v>
      </c>
      <c r="B9" s="29" t="str">
        <f>VLOOKUP(PROPER(UPPER(A9)), from6!$A$1:$B2745, 2,False)</f>
        <v>M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>
      <c r="A10" s="33" t="s">
        <v>644</v>
      </c>
      <c r="B10" s="29" t="str">
        <f>VLOOKUP(PROPER(UPPER(A10)), from6!$A$1:$B2745, 2,False)</f>
        <v>R</v>
      </c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>
      <c r="A11" s="33" t="s">
        <v>638</v>
      </c>
      <c r="B11" s="29" t="str">
        <f>VLOOKUP(PROPER(UPPER(A11)), from6!$A$1:$B2745, 2,False)</f>
        <v>E</v>
      </c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>
      <c r="A12" s="33" t="s">
        <v>638</v>
      </c>
      <c r="B12" s="29" t="str">
        <f>VLOOKUP(PROPER(UPPER(A12)), from6!$A$1:$B2745, 2,False)</f>
        <v>E</v>
      </c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>
      <c r="A13" s="33" t="s">
        <v>647</v>
      </c>
      <c r="B13" s="29" t="str">
        <f>VLOOKUP(PROPER(UPPER(A13)), from6!$A$1:$B2745, 2,False)</f>
        <v>L</v>
      </c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>
      <c r="A14" s="33" t="s">
        <v>638</v>
      </c>
      <c r="B14" s="29" t="str">
        <f>VLOOKUP(PROPER(UPPER(A14)), from6!$A$1:$B2745, 2,False)</f>
        <v>E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>
      <c r="A15" s="33" t="s">
        <v>636</v>
      </c>
      <c r="B15" s="29" t="str">
        <f>VLOOKUP(PROPER(UPPER(A15)), from6!$A$1:$B2745, 2,False)</f>
        <v>K</v>
      </c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>
      <c r="A16" s="33" t="s">
        <v>655</v>
      </c>
      <c r="B16" s="29" t="str">
        <f>VLOOKUP(PROPER(UPPER(A16)), from6!$A$1:$B2745, 2,False)</f>
        <v>V</v>
      </c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>
      <c r="A17" s="33" t="s">
        <v>647</v>
      </c>
      <c r="B17" s="29" t="str">
        <f>VLOOKUP(PROPER(UPPER(A17)), from6!$A$1:$B2745, 2,False)</f>
        <v>L</v>
      </c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>
      <c r="A18" s="33" t="s">
        <v>636</v>
      </c>
      <c r="B18" s="29" t="str">
        <f>VLOOKUP(PROPER(UPPER(A18)), from6!$A$1:$B2745, 2,False)</f>
        <v>K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>
      <c r="A19" s="33" t="s">
        <v>659</v>
      </c>
      <c r="B19" s="29" t="str">
        <f>VLOOKUP(PROPER(UPPER(A19)), from6!$A$1:$B2745, 2,False)</f>
        <v>T</v>
      </c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>
      <c r="A20" s="33" t="s">
        <v>647</v>
      </c>
      <c r="B20" s="29" t="str">
        <f>VLOOKUP(PROPER(UPPER(A20)), from6!$A$1:$B2745, 2,False)</f>
        <v>L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>
      <c r="A21" s="33" t="s">
        <v>662</v>
      </c>
      <c r="B21" s="29" t="str">
        <f>VLOOKUP(PROPER(UPPER(A21)), from6!$A$1:$B2745, 2,False)</f>
        <v>S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>
      <c r="A22" s="33" t="s">
        <v>664</v>
      </c>
      <c r="B22" s="29" t="str">
        <f>VLOOKUP(PROPER(UPPER(A22)), from6!$A$1:$B2745, 2,False)</f>
        <v>P</v>
      </c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>
      <c r="A23" s="33" t="s">
        <v>644</v>
      </c>
      <c r="B23" s="29" t="str">
        <f>VLOOKUP(PROPER(UPPER(A23)), from6!$A$1:$B2745, 2,False)</f>
        <v>R</v>
      </c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>
      <c r="A24" s="33" t="s">
        <v>638</v>
      </c>
      <c r="B24" s="29" t="str">
        <f>VLOOKUP(PROPER(UPPER(A24)), from6!$A$1:$B2745, 2,False)</f>
        <v>E</v>
      </c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>
      <c r="A25" s="33" t="s">
        <v>640</v>
      </c>
      <c r="B25" s="29" t="str">
        <f>VLOOKUP(PROPER(UPPER(A25)), from6!$A$1:$B2745, 2,False)</f>
        <v>A</v>
      </c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>
      <c r="A26" s="33" t="s">
        <v>642</v>
      </c>
      <c r="B26" s="29" t="str">
        <f>VLOOKUP(PROPER(UPPER(A26)), from6!$A$1:$B2745, 2,False)</f>
        <v>M</v>
      </c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>
      <c r="A27" s="33" t="s">
        <v>655</v>
      </c>
      <c r="B27" s="29" t="str">
        <f>VLOOKUP(PROPER(UPPER(A27)), from6!$A$1:$B2745, 2,False)</f>
        <v>V</v>
      </c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>
      <c r="A28" s="33" t="s">
        <v>647</v>
      </c>
      <c r="B28" s="29" t="str">
        <f>VLOOKUP(PROPER(UPPER(A28)), from6!$A$1:$B2745, 2,False)</f>
        <v>L</v>
      </c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>
      <c r="A29" s="33" t="s">
        <v>644</v>
      </c>
      <c r="B29" s="29" t="str">
        <f>VLOOKUP(PROPER(UPPER(A29)), from6!$A$1:$B2745, 2,False)</f>
        <v>R</v>
      </c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>
      <c r="A30" s="33" t="s">
        <v>642</v>
      </c>
      <c r="B30" s="29" t="str">
        <f>VLOOKUP(PROPER(UPPER(A30)), from6!$A$1:$B2745, 2,False)</f>
        <v>M</v>
      </c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>
      <c r="A31" s="33" t="s">
        <v>644</v>
      </c>
      <c r="B31" s="29" t="str">
        <f>VLOOKUP(PROPER(UPPER(A31)), from6!$A$1:$B2745, 2,False)</f>
        <v>R</v>
      </c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>
      <c r="A32" s="33" t="s">
        <v>674</v>
      </c>
      <c r="B32" s="29" t="str">
        <f>VLOOKUP(PROPER(UPPER(A32)), from6!$A$1:$B2745, 2,False)</f>
        <v>Y</v>
      </c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>
      <c r="A33" s="33" t="s">
        <v>676</v>
      </c>
      <c r="B33" s="29" t="str">
        <f>VLOOKUP(PROPER(UPPER(A33)), from6!$A$1:$B2745, 2,False)</f>
        <v>G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>
      <c r="A34" s="33" t="s">
        <v>647</v>
      </c>
      <c r="B34" s="29" t="str">
        <f>VLOOKUP(PROPER(UPPER(A34)), from6!$A$1:$B2745, 2,False)</f>
        <v>L</v>
      </c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>
      <c r="A35" s="33" t="s">
        <v>647</v>
      </c>
      <c r="B35" s="29" t="str">
        <f>VLOOKUP(PROPER(UPPER(A35)), from6!$A$1:$B2745, 2,False)</f>
        <v>L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>
      <c r="A36" s="33" t="s">
        <v>680</v>
      </c>
      <c r="B36" s="29" t="str">
        <f>VLOOKUP(PROPER(UPPER(A36)), from6!$A$1:$B2745, 2,False)</f>
        <v>D</v>
      </c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>
      <c r="A37" s="33" t="s">
        <v>676</v>
      </c>
      <c r="B37" s="29" t="str">
        <f>VLOOKUP(PROPER(UPPER(A37)), from6!$A$1:$B2745, 2,False)</f>
        <v>G</v>
      </c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>
      <c r="A38" s="33" t="s">
        <v>636</v>
      </c>
      <c r="B38" s="29" t="str">
        <f>VLOOKUP(PROPER(UPPER(A38)), from6!$A$1:$B2745, 2,False)</f>
        <v>K</v>
      </c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>
      <c r="A39" s="33" t="s">
        <v>664</v>
      </c>
      <c r="B39" s="29" t="str">
        <f>VLOOKUP(PROPER(UPPER(A39)), from6!$A$1:$B2745, 2,False)</f>
        <v>P</v>
      </c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>
      <c r="A40" s="33" t="s">
        <v>636</v>
      </c>
      <c r="B40" s="29" t="str">
        <f>VLOOKUP(PROPER(UPPER(A40)), from6!$A$1:$B2745, 2,False)</f>
        <v>K</v>
      </c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>
      <c r="A41" s="33" t="s">
        <v>659</v>
      </c>
      <c r="B41" s="29" t="str">
        <f>VLOOKUP(PROPER(UPPER(A41)), from6!$A$1:$B2745, 2,False)</f>
        <v>T</v>
      </c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>
      <c r="A42" s="33" t="s">
        <v>647</v>
      </c>
      <c r="B42" s="29" t="str">
        <f>VLOOKUP(PROPER(UPPER(A42)), from6!$A$1:$B2745, 2,False)</f>
        <v>L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>
      <c r="A43" s="33" t="s">
        <v>638</v>
      </c>
      <c r="B43" s="29" t="str">
        <f>VLOOKUP(PROPER(UPPER(A43)), from6!$A$1:$B2745, 2,False)</f>
        <v>E</v>
      </c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>
      <c r="A44" s="33" t="s">
        <v>638</v>
      </c>
      <c r="B44" s="29" t="str">
        <f>VLOOKUP(PROPER(UPPER(A44)), from6!$A$1:$B2745, 2,False)</f>
        <v>E</v>
      </c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>
      <c r="A45" s="33" t="s">
        <v>655</v>
      </c>
      <c r="B45" s="29" t="str">
        <f>VLOOKUP(PROPER(UPPER(A45)), from6!$A$1:$B2745, 2,False)</f>
        <v>V</v>
      </c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>
      <c r="A46" s="33" t="s">
        <v>676</v>
      </c>
      <c r="B46" s="29" t="str">
        <f>VLOOKUP(PROPER(UPPER(A46)), from6!$A$1:$B2745, 2,False)</f>
        <v>G</v>
      </c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>
      <c r="A47" s="33" t="s">
        <v>691</v>
      </c>
      <c r="B47" s="29" t="str">
        <f>VLOOKUP(PROPER(UPPER(A47)), from6!$A$1:$B2745, 2,False)</f>
        <v>Q</v>
      </c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>
      <c r="A48" s="33" t="s">
        <v>674</v>
      </c>
      <c r="B48" s="29" t="str">
        <f>VLOOKUP(PROPER(UPPER(A48)), from6!$A$1:$B2745, 2,False)</f>
        <v>Y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>
      <c r="A49" s="33" t="s">
        <v>694</v>
      </c>
      <c r="B49" s="29" t="str">
        <f>VLOOKUP(PROPER(UPPER(A49)), from6!$A$1:$B2745, 2,False)</f>
        <v>F</v>
      </c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>
      <c r="A50" s="33" t="s">
        <v>696</v>
      </c>
      <c r="B50" s="29" t="str">
        <f>VLOOKUP(PROPER(UPPER(A50)), from6!$A$1:$B2745, 2,False)</f>
        <v>N</v>
      </c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>
      <c r="A51" s="33" t="s">
        <v>655</v>
      </c>
      <c r="B51" s="29" t="str">
        <f>VLOOKUP(PROPER(UPPER(A51)), from6!$A$1:$B2745, 2,False)</f>
        <v>V</v>
      </c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>
      <c r="A52" s="33" t="s">
        <v>659</v>
      </c>
      <c r="B52" s="29" t="str">
        <f>VLOOKUP(PROPER(UPPER(A52)), from6!$A$1:$B2745, 2,False)</f>
        <v>T</v>
      </c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>
      <c r="A53" s="33" t="s">
        <v>644</v>
      </c>
      <c r="B53" s="29" t="str">
        <f>VLOOKUP(PROPER(UPPER(A53)), from6!$A$1:$B2745, 2,False)</f>
        <v>R</v>
      </c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>
      <c r="A54" s="33" t="s">
        <v>638</v>
      </c>
      <c r="B54" s="29" t="str">
        <f>VLOOKUP(PROPER(UPPER(A54)), from6!$A$1:$B2745, 2,False)</f>
        <v>E</v>
      </c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>
      <c r="A55" s="33" t="s">
        <v>644</v>
      </c>
      <c r="B55" s="29" t="str">
        <f>VLOOKUP(PROPER(UPPER(A55)), from6!$A$1:$B2745, 2,False)</f>
        <v>R</v>
      </c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>
      <c r="A56" s="33" t="s">
        <v>703</v>
      </c>
      <c r="B56" s="29" t="str">
        <f>VLOOKUP(PROPER(UPPER(A56)), from6!$A$1:$B2745, 2,False)</f>
        <v>I</v>
      </c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>
      <c r="A57" s="33" t="s">
        <v>644</v>
      </c>
      <c r="B57" s="29" t="str">
        <f>VLOOKUP(PROPER(UPPER(A57)), from6!$A$1:$B2745, 2,False)</f>
        <v>R</v>
      </c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>
      <c r="A58" s="33" t="s">
        <v>691</v>
      </c>
      <c r="B58" s="29" t="str">
        <f>VLOOKUP(PROPER(UPPER(A58)), from6!$A$1:$B2745, 2,False)</f>
        <v>Q</v>
      </c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>
      <c r="A59" s="33" t="s">
        <v>703</v>
      </c>
      <c r="B59" s="29" t="str">
        <f>VLOOKUP(PROPER(UPPER(A59)), from6!$A$1:$B2745, 2,False)</f>
        <v>I</v>
      </c>
      <c r="C59" s="29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>
      <c r="A60" s="33" t="s">
        <v>638</v>
      </c>
      <c r="B60" s="29" t="str">
        <f>VLOOKUP(PROPER(UPPER(A60)), from6!$A$1:$B2745, 2,False)</f>
        <v>E</v>
      </c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>
      <c r="A61" s="33" t="s">
        <v>655</v>
      </c>
      <c r="B61" s="29" t="str">
        <f>VLOOKUP(PROPER(UPPER(A61)), from6!$A$1:$B2745, 2,False)</f>
        <v>V</v>
      </c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>
      <c r="A62" s="33" t="s">
        <v>636</v>
      </c>
      <c r="B62" s="29" t="str">
        <f>VLOOKUP(PROPER(UPPER(A62)), from6!$A$1:$B2745, 2,False)</f>
        <v>K</v>
      </c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>
      <c r="A63" s="33" t="s">
        <v>640</v>
      </c>
      <c r="B63" s="29" t="str">
        <f>VLOOKUP(PROPER(UPPER(A63)), from6!$A$1:$B2745, 2,False)</f>
        <v>A</v>
      </c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>
      <c r="A64" s="33" t="s">
        <v>647</v>
      </c>
      <c r="B64" s="29" t="str">
        <f>VLOOKUP(PROPER(UPPER(A64)), from6!$A$1:$B2745, 2,False)</f>
        <v>L</v>
      </c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>
      <c r="A65" s="33" t="s">
        <v>644</v>
      </c>
      <c r="B65" s="29" t="str">
        <f>VLOOKUP(PROPER(UPPER(A65)), from6!$A$1:$B2745, 2,False)</f>
        <v>R</v>
      </c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>
      <c r="A66" s="33" t="s">
        <v>636</v>
      </c>
      <c r="B66" s="29" t="str">
        <f>VLOOKUP(PROPER(UPPER(A66)), from6!$A$1:$B2745, 2,False)</f>
        <v>K</v>
      </c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>
      <c r="A67" s="33" t="s">
        <v>647</v>
      </c>
      <c r="B67" s="29" t="str">
        <f>VLOOKUP(PROPER(UPPER(A67)), from6!$A$1:$B2745, 2,False)</f>
        <v>L</v>
      </c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>
      <c r="A68" s="33" t="s">
        <v>644</v>
      </c>
      <c r="B68" s="29" t="str">
        <f>VLOOKUP(PROPER(UPPER(A68)), from6!$A$1:$B2745, 2,False)</f>
        <v>R</v>
      </c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>
      <c r="A69" s="33" t="s">
        <v>716</v>
      </c>
      <c r="B69" s="29" t="str">
        <f>VLOOKUP(PROPER(UPPER(A69)), from6!$A$1:$B2745, 2,False)</f>
        <v>H</v>
      </c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>
      <c r="A70" s="33" t="s">
        <v>664</v>
      </c>
      <c r="B70" s="29" t="str">
        <f>VLOOKUP(PROPER(UPPER(A70)), from6!$A$1:$B2745, 2,False)</f>
        <v>P</v>
      </c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>
      <c r="A71" s="33" t="s">
        <v>662</v>
      </c>
      <c r="B71" s="29" t="str">
        <f>VLOOKUP(PROPER(UPPER(A71)), from6!$A$1:$B2745, 2,False)</f>
        <v>S</v>
      </c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>
      <c r="A72" s="33" t="s">
        <v>644</v>
      </c>
      <c r="B72" s="29" t="str">
        <f>VLOOKUP(PROPER(UPPER(A72)), from6!$A$1:$B2745, 2,False)</f>
        <v>R</v>
      </c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>
      <c r="A73" s="33" t="s">
        <v>662</v>
      </c>
      <c r="B73" s="29" t="str">
        <f>VLOOKUP(PROPER(UPPER(A73)), from6!$A$1:$B2745, 2,False)</f>
        <v>S</v>
      </c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>
      <c r="A74" s="33" t="s">
        <v>636</v>
      </c>
      <c r="B74" s="29" t="str">
        <f>VLOOKUP(PROPER(UPPER(A74)), from6!$A$1:$B2745, 2,False)</f>
        <v>K</v>
      </c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>
      <c r="A75" s="33" t="s">
        <v>674</v>
      </c>
      <c r="B75" s="29" t="str">
        <f>VLOOKUP(PROPER(UPPER(A75)), from6!$A$1:$B2745, 2,False)</f>
        <v>Y</v>
      </c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>
      <c r="A76" s="33" t="s">
        <v>647</v>
      </c>
      <c r="B76" s="29" t="str">
        <f>VLOOKUP(PROPER(UPPER(A76)), from6!$A$1:$B2745, 2,False)</f>
        <v>L</v>
      </c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>
      <c r="A77" s="33" t="s">
        <v>636</v>
      </c>
      <c r="B77" s="29" t="str">
        <f>VLOOKUP(PROPER(UPPER(A77)), from6!$A$1:$B2745, 2,False)</f>
        <v>K</v>
      </c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>
      <c r="A78" s="33" t="s">
        <v>662</v>
      </c>
      <c r="B78" s="29" t="str">
        <f>VLOOKUP(PROPER(UPPER(A78)), from6!$A$1:$B2745, 2,False)</f>
        <v>S</v>
      </c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>
      <c r="A79" s="33" t="s">
        <v>647</v>
      </c>
      <c r="B79" s="29" t="str">
        <f>VLOOKUP(PROPER(UPPER(A79)), from6!$A$1:$B2745, 2,False)</f>
        <v>L</v>
      </c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>
      <c r="A80" s="33" t="s">
        <v>647</v>
      </c>
      <c r="B80" s="29" t="str">
        <f>VLOOKUP(PROPER(UPPER(A80)), from6!$A$1:$B2745, 2,False)</f>
        <v>L</v>
      </c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>
      <c r="A81" s="33" t="s">
        <v>662</v>
      </c>
      <c r="B81" s="29" t="str">
        <f>VLOOKUP(PROPER(UPPER(A81)), from6!$A$1:$B2745, 2,False)</f>
        <v>S</v>
      </c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>
      <c r="A82" s="33" t="s">
        <v>647</v>
      </c>
      <c r="B82" s="29" t="str">
        <f>VLOOKUP(PROPER(UPPER(A82)), from6!$A$1:$B2745, 2,False)</f>
        <v>L</v>
      </c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>
      <c r="A83" s="33" t="s">
        <v>642</v>
      </c>
      <c r="B83" s="29" t="str">
        <f>VLOOKUP(PROPER(UPPER(A83)), from6!$A$1:$B2745, 2,False)</f>
        <v>M</v>
      </c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>
      <c r="A84" s="33" t="s">
        <v>680</v>
      </c>
      <c r="B84" s="29" t="str">
        <f>VLOOKUP(PROPER(UPPER(A84)), from6!$A$1:$B2745, 2,False)</f>
        <v>D</v>
      </c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>
      <c r="A85" s="33" t="s">
        <v>638</v>
      </c>
      <c r="B85" s="29" t="str">
        <f>VLOOKUP(PROPER(UPPER(A85)), from6!$A$1:$B2745, 2,False)</f>
        <v>E</v>
      </c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>
      <c r="A86" s="33" t="s">
        <v>696</v>
      </c>
      <c r="B86" s="29" t="str">
        <f>VLOOKUP(PROPER(UPPER(A86)), from6!$A$1:$B2745, 2,False)</f>
        <v>N</v>
      </c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>
      <c r="A87" s="33" t="s">
        <v>638</v>
      </c>
      <c r="B87" s="29" t="str">
        <f>VLOOKUP(PROPER(UPPER(A87)), from6!$A$1:$B2745, 2,False)</f>
        <v>E</v>
      </c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>
      <c r="A88" s="33" t="s">
        <v>676</v>
      </c>
      <c r="B88" s="29" t="str">
        <f>VLOOKUP(PROPER(UPPER(A88)), from6!$A$1:$B2745, 2,False)</f>
        <v>G</v>
      </c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>
      <c r="A89" s="29"/>
      <c r="B89" s="29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>
      <c r="A90" s="29"/>
      <c r="B90" s="29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>
      <c r="A91" s="29"/>
      <c r="B91" s="29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>
      <c r="A92" s="29"/>
      <c r="B92" s="29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>
      <c r="A93" s="29"/>
      <c r="B93" s="29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>
      <c r="A94" s="29"/>
      <c r="B94" s="29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>
      <c r="A95" s="29"/>
      <c r="B95" s="29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>
      <c r="A96" s="29"/>
      <c r="B96" s="29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>
      <c r="A97" s="29"/>
      <c r="B97" s="29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>
      <c r="A98" s="29"/>
      <c r="B98" s="29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>
      <c r="A99" s="29"/>
      <c r="B99" s="29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>
      <c r="A100" s="29"/>
      <c r="B100" s="29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>
      <c r="A101" s="29"/>
      <c r="B101" s="29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>
      <c r="A102" s="29"/>
      <c r="B102" s="29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>
      <c r="A103" s="29"/>
      <c r="B103" s="29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>
      <c r="A104" s="29"/>
      <c r="B104" s="29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>
      <c r="A105" s="29"/>
      <c r="B105" s="29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>
      <c r="A106" s="29"/>
      <c r="B106" s="29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>
      <c r="A107" s="29"/>
      <c r="B107" s="29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>
      <c r="A108" s="29"/>
      <c r="B108" s="29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>
      <c r="A109" s="29"/>
      <c r="B109" s="29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>
      <c r="A110" s="29"/>
      <c r="B110" s="29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>
      <c r="A111" s="29"/>
      <c r="B111" s="29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>
      <c r="A112" s="29"/>
      <c r="B112" s="29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>
      <c r="A113" s="29"/>
      <c r="B113" s="29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>
      <c r="A114" s="29"/>
      <c r="B114" s="29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>
      <c r="A115" s="29"/>
      <c r="B115" s="29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>
      <c r="A116" s="29"/>
      <c r="B116" s="29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>
      <c r="A117" s="29"/>
      <c r="B117" s="29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>
      <c r="A118" s="29"/>
      <c r="B118" s="29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>
      <c r="A119" s="29"/>
      <c r="B119" s="29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>
      <c r="A120" s="29"/>
      <c r="B120" s="29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>
      <c r="A121" s="29"/>
      <c r="B121" s="29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>
      <c r="A122" s="29"/>
      <c r="B122" s="29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>
      <c r="A123" s="29"/>
      <c r="B123" s="29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>
      <c r="A124" s="29"/>
      <c r="B124" s="29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>
      <c r="A125" s="29"/>
      <c r="B125" s="29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>
      <c r="A126" s="29"/>
      <c r="B126" s="29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>
      <c r="A127" s="29"/>
      <c r="B127" s="29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>
      <c r="A128" s="29"/>
      <c r="B128" s="29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>
      <c r="A129" s="29"/>
      <c r="B129" s="29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>
      <c r="A130" s="29"/>
      <c r="B130" s="29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>
      <c r="A131" s="29"/>
      <c r="B131" s="29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>
      <c r="A132" s="29"/>
      <c r="B132" s="29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>
      <c r="A133" s="29"/>
      <c r="B133" s="29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>
      <c r="A134" s="29"/>
      <c r="B134" s="29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>
      <c r="A135" s="29"/>
      <c r="B135" s="29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>
      <c r="A136" s="29"/>
      <c r="B136" s="29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>
      <c r="A137" s="29"/>
      <c r="B137" s="29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>
      <c r="A138" s="29"/>
      <c r="B138" s="29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>
      <c r="A139" s="29"/>
      <c r="B139" s="29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>
      <c r="A140" s="29"/>
      <c r="B140" s="29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>
      <c r="A141" s="29"/>
      <c r="B141" s="29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>
      <c r="A142" s="29"/>
      <c r="B142" s="29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>
      <c r="A143" s="29"/>
      <c r="B143" s="29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>
      <c r="A144" s="29"/>
      <c r="B144" s="29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>
      <c r="A145" s="29"/>
      <c r="B145" s="29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>
      <c r="A146" s="29"/>
      <c r="B146" s="29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>
      <c r="A147" s="29"/>
      <c r="B147" s="29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>
      <c r="A148" s="29"/>
      <c r="B148" s="29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>
      <c r="A149" s="29"/>
      <c r="B149" s="29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>
      <c r="A150" s="29"/>
      <c r="B150" s="29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>
      <c r="A151" s="29"/>
      <c r="B151" s="29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>
      <c r="A152" s="29"/>
      <c r="B152" s="29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>
      <c r="A153" s="29"/>
      <c r="B153" s="29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>
      <c r="A154" s="29"/>
      <c r="B154" s="29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>
      <c r="A155" s="29"/>
      <c r="B155" s="29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>
      <c r="A156" s="29"/>
      <c r="B156" s="29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>
      <c r="A157" s="29"/>
      <c r="B157" s="29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>
      <c r="A158" s="29"/>
      <c r="B158" s="29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>
      <c r="A159" s="29"/>
      <c r="B159" s="29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>
      <c r="A160" s="29"/>
      <c r="B160" s="29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>
      <c r="A161" s="29"/>
      <c r="B161" s="29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>
      <c r="A162" s="29"/>
      <c r="B162" s="29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>
      <c r="A163" s="29"/>
      <c r="B163" s="29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>
      <c r="A164" s="29"/>
      <c r="B164" s="29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>
      <c r="A165" s="29"/>
      <c r="B165" s="29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>
      <c r="A166" s="29"/>
      <c r="B166" s="29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>
      <c r="A167" s="29"/>
      <c r="B167" s="29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>
      <c r="A168" s="29"/>
      <c r="B168" s="29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>
      <c r="A169" s="29"/>
      <c r="B169" s="29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>
      <c r="A170" s="29"/>
      <c r="B170" s="29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>
      <c r="A171" s="29"/>
      <c r="B171" s="29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>
      <c r="A172" s="29"/>
      <c r="B172" s="29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>
      <c r="A173" s="29"/>
      <c r="B173" s="29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>
      <c r="A174" s="29"/>
      <c r="B174" s="29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>
      <c r="A175" s="29"/>
      <c r="B175" s="29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>
      <c r="A176" s="29"/>
      <c r="B176" s="29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>
      <c r="A177" s="29"/>
      <c r="B177" s="29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>
      <c r="A178" s="29"/>
      <c r="B178" s="29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>
      <c r="A179" s="29"/>
      <c r="B179" s="29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>
      <c r="A180" s="29"/>
      <c r="B180" s="29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>
      <c r="A181" s="29"/>
      <c r="B181" s="29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>
      <c r="A182" s="29"/>
      <c r="B182" s="29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>
      <c r="A183" s="29"/>
      <c r="B183" s="29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>
      <c r="A184" s="29"/>
      <c r="B184" s="29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>
      <c r="A185" s="29"/>
      <c r="B185" s="29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>
      <c r="A186" s="29"/>
      <c r="B186" s="29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>
      <c r="A187" s="29"/>
      <c r="B187" s="29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>
      <c r="A188" s="29"/>
      <c r="B188" s="29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>
      <c r="A189" s="29"/>
      <c r="B189" s="29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>
      <c r="A190" s="29"/>
      <c r="B190" s="29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>
      <c r="A191" s="29"/>
      <c r="B191" s="29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>
      <c r="A192" s="29"/>
      <c r="B192" s="29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>
      <c r="A193" s="29"/>
      <c r="B193" s="29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>
      <c r="A194" s="29"/>
      <c r="B194" s="29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>
      <c r="A195" s="29"/>
      <c r="B195" s="29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>
      <c r="A196" s="29"/>
      <c r="B196" s="29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>
      <c r="A197" s="29"/>
      <c r="B197" s="29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>
      <c r="A198" s="29"/>
      <c r="B198" s="29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>
      <c r="A199" s="29"/>
      <c r="B199" s="29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>
      <c r="A200" s="29"/>
      <c r="B200" s="29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>
      <c r="A201" s="29"/>
      <c r="B201" s="29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>
      <c r="A202" s="29"/>
      <c r="B202" s="29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>
      <c r="A203" s="29"/>
      <c r="B203" s="29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>
      <c r="A204" s="29"/>
      <c r="B204" s="29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>
      <c r="A205" s="29"/>
      <c r="B205" s="29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>
      <c r="A206" s="29"/>
      <c r="B206" s="29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>
      <c r="A207" s="29"/>
      <c r="B207" s="29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>
      <c r="A208" s="29"/>
      <c r="B208" s="29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>
      <c r="A209" s="29"/>
      <c r="B209" s="29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>
      <c r="A210" s="29"/>
      <c r="B210" s="29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>
      <c r="A211" s="29"/>
      <c r="B211" s="29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>
      <c r="A212" s="29"/>
      <c r="B212" s="29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>
      <c r="A213" s="29"/>
      <c r="B213" s="29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>
      <c r="A214" s="29"/>
      <c r="B214" s="29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>
      <c r="A215" s="29"/>
      <c r="B215" s="29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>
      <c r="A216" s="29"/>
      <c r="B216" s="29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>
      <c r="A217" s="29"/>
      <c r="B217" s="29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>
      <c r="A218" s="29"/>
      <c r="B218" s="29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>
      <c r="A219" s="29"/>
      <c r="B219" s="29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>
      <c r="A220" s="29"/>
      <c r="B220" s="29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>
      <c r="A221" s="29"/>
      <c r="B221" s="29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>
      <c r="A222" s="29"/>
      <c r="B222" s="29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>
      <c r="A223" s="29"/>
      <c r="B223" s="29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>
      <c r="A224" s="29"/>
      <c r="B224" s="29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>
      <c r="A225" s="29"/>
      <c r="B225" s="29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>
      <c r="A226" s="29"/>
      <c r="B226" s="29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>
      <c r="A227" s="29"/>
      <c r="B227" s="29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>
      <c r="A228" s="29"/>
      <c r="B228" s="29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>
      <c r="A229" s="29"/>
      <c r="B229" s="29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>
      <c r="A230" s="29"/>
      <c r="B230" s="29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>
      <c r="A231" s="29"/>
      <c r="B231" s="29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>
      <c r="A232" s="29"/>
      <c r="B232" s="29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>
      <c r="A233" s="29"/>
      <c r="B233" s="29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>
      <c r="A234" s="29"/>
      <c r="B234" s="29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>
      <c r="A235" s="29"/>
      <c r="B235" s="29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>
      <c r="A236" s="29"/>
      <c r="B236" s="29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>
      <c r="A237" s="29"/>
      <c r="B237" s="29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>
      <c r="A238" s="29"/>
      <c r="B238" s="29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>
      <c r="A239" s="29"/>
      <c r="B239" s="29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>
      <c r="A240" s="29"/>
      <c r="B240" s="29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>
      <c r="A241" s="29"/>
      <c r="B241" s="29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>
      <c r="A242" s="29"/>
      <c r="B242" s="29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>
      <c r="A243" s="29"/>
      <c r="B243" s="29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>
      <c r="A244" s="29"/>
      <c r="B244" s="29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>
      <c r="A245" s="29"/>
      <c r="B245" s="29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>
      <c r="A246" s="29"/>
      <c r="B246" s="29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>
      <c r="A247" s="29"/>
      <c r="B247" s="29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>
      <c r="A248" s="29"/>
      <c r="B248" s="29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>
      <c r="A249" s="29"/>
      <c r="B249" s="29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>
      <c r="A250" s="29"/>
      <c r="B250" s="29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>
      <c r="A251" s="29"/>
      <c r="B251" s="29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>
      <c r="A252" s="29"/>
      <c r="B252" s="29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>
      <c r="A253" s="29"/>
      <c r="B253" s="29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>
      <c r="A254" s="29"/>
      <c r="B254" s="29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>
      <c r="A255" s="29"/>
      <c r="B255" s="29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>
      <c r="A256" s="29"/>
      <c r="B256" s="29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>
      <c r="A257" s="29"/>
      <c r="B257" s="29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>
      <c r="A258" s="29"/>
      <c r="B258" s="29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>
      <c r="A259" s="29"/>
      <c r="B259" s="29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>
      <c r="A260" s="29"/>
      <c r="B260" s="29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>
      <c r="A261" s="29"/>
      <c r="B261" s="29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>
      <c r="A262" s="29"/>
      <c r="B262" s="29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>
      <c r="A263" s="29"/>
      <c r="B263" s="29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>
      <c r="A264" s="29"/>
      <c r="B264" s="29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>
      <c r="A265" s="29"/>
      <c r="B265" s="29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>
      <c r="A266" s="29"/>
      <c r="B266" s="29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>
      <c r="A267" s="29"/>
      <c r="B267" s="29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>
      <c r="A268" s="29"/>
      <c r="B268" s="29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>
      <c r="A269" s="29"/>
      <c r="B269" s="29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>
      <c r="A270" s="29"/>
      <c r="B270" s="29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>
      <c r="A271" s="29"/>
      <c r="B271" s="29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>
      <c r="A272" s="29"/>
      <c r="B272" s="29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>
      <c r="A273" s="29"/>
      <c r="B273" s="29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>
      <c r="A274" s="29"/>
      <c r="B274" s="29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>
      <c r="A275" s="29"/>
      <c r="B275" s="29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>
      <c r="A276" s="29"/>
      <c r="B276" s="29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>
      <c r="A277" s="29"/>
      <c r="B277" s="29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>
      <c r="A278" s="29"/>
      <c r="B278" s="29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>
      <c r="A279" s="29"/>
      <c r="B279" s="29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>
      <c r="A280" s="29"/>
      <c r="B280" s="29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>
      <c r="A281" s="29"/>
      <c r="B281" s="29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>
      <c r="A282" s="29"/>
      <c r="B282" s="29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>
      <c r="A283" s="29"/>
      <c r="B283" s="29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>
      <c r="A284" s="29"/>
      <c r="B284" s="29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>
      <c r="A285" s="29"/>
      <c r="B285" s="29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>
      <c r="A286" s="29"/>
      <c r="B286" s="29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>
      <c r="A287" s="29"/>
      <c r="B287" s="29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>
      <c r="A288" s="29"/>
      <c r="B288" s="29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>
      <c r="A289" s="29"/>
      <c r="B289" s="29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>
      <c r="A290" s="29"/>
      <c r="B290" s="29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>
      <c r="A291" s="29"/>
      <c r="B291" s="29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>
      <c r="A292" s="29"/>
      <c r="B292" s="29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>
      <c r="A293" s="29"/>
      <c r="B293" s="29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>
      <c r="A294" s="29"/>
      <c r="B294" s="29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>
      <c r="A295" s="29"/>
      <c r="B295" s="29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>
      <c r="A296" s="29"/>
      <c r="B296" s="29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>
      <c r="A297" s="29"/>
      <c r="B297" s="29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>
      <c r="A298" s="29"/>
      <c r="B298" s="29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>
      <c r="A299" s="29"/>
      <c r="B299" s="29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>
      <c r="A300" s="29"/>
      <c r="B300" s="29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>
      <c r="A301" s="29"/>
      <c r="B301" s="29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>
      <c r="A302" s="29"/>
      <c r="B302" s="29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>
      <c r="A303" s="29"/>
      <c r="B303" s="29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>
      <c r="A304" s="29"/>
      <c r="B304" s="29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>
      <c r="A305" s="29"/>
      <c r="B305" s="29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>
      <c r="A306" s="29"/>
      <c r="B306" s="29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>
      <c r="A307" s="29"/>
      <c r="B307" s="29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>
      <c r="A308" s="29"/>
      <c r="B308" s="29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>
      <c r="A309" s="29"/>
      <c r="B309" s="29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>
      <c r="A310" s="29"/>
      <c r="B310" s="29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>
      <c r="A311" s="29"/>
      <c r="B311" s="29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>
      <c r="A312" s="29"/>
      <c r="B312" s="29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>
      <c r="A313" s="29"/>
      <c r="B313" s="29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>
      <c r="A314" s="29"/>
      <c r="B314" s="29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>
      <c r="A315" s="29"/>
      <c r="B315" s="29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>
      <c r="A316" s="29"/>
      <c r="B316" s="29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>
      <c r="A317" s="29"/>
      <c r="B317" s="29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>
      <c r="A318" s="29"/>
      <c r="B318" s="29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>
      <c r="A319" s="29"/>
      <c r="B319" s="29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>
      <c r="A320" s="29"/>
      <c r="B320" s="29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>
      <c r="A321" s="29"/>
      <c r="B321" s="29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>
      <c r="A322" s="29"/>
      <c r="B322" s="29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>
      <c r="A323" s="29"/>
      <c r="B323" s="29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>
      <c r="A324" s="29"/>
      <c r="B324" s="29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>
      <c r="A325" s="29"/>
      <c r="B325" s="29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>
      <c r="A326" s="29"/>
      <c r="B326" s="29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>
      <c r="A327" s="29"/>
      <c r="B327" s="29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>
      <c r="A328" s="29"/>
      <c r="B328" s="29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>
      <c r="A329" s="29"/>
      <c r="B329" s="29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>
      <c r="A330" s="29"/>
      <c r="B330" s="29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>
      <c r="A331" s="29"/>
      <c r="B331" s="29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>
      <c r="A332" s="29"/>
      <c r="B332" s="29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>
      <c r="A333" s="29"/>
      <c r="B333" s="29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>
      <c r="A334" s="29"/>
      <c r="B334" s="29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>
      <c r="A335" s="29"/>
      <c r="B335" s="29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>
      <c r="A336" s="29"/>
      <c r="B336" s="29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>
      <c r="A337" s="29"/>
      <c r="B337" s="29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>
      <c r="A338" s="29"/>
      <c r="B338" s="29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>
      <c r="A339" s="29"/>
      <c r="B339" s="29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>
      <c r="A340" s="29"/>
      <c r="B340" s="29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>
      <c r="A341" s="29"/>
      <c r="B341" s="29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>
      <c r="A342" s="29"/>
      <c r="B342" s="29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>
      <c r="A343" s="29"/>
      <c r="B343" s="29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>
      <c r="A344" s="29"/>
      <c r="B344" s="29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>
      <c r="A345" s="29"/>
      <c r="B345" s="29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>
      <c r="A346" s="29"/>
      <c r="B346" s="29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>
      <c r="A347" s="29"/>
      <c r="B347" s="29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>
      <c r="A348" s="29"/>
      <c r="B348" s="29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>
      <c r="A349" s="29"/>
      <c r="B349" s="29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>
      <c r="A350" s="29"/>
      <c r="B350" s="29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>
      <c r="A351" s="29"/>
      <c r="B351" s="29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>
      <c r="A352" s="29"/>
      <c r="B352" s="29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>
      <c r="A353" s="29"/>
      <c r="B353" s="29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>
      <c r="A354" s="29"/>
      <c r="B354" s="29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>
      <c r="A355" s="29"/>
      <c r="B355" s="29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>
      <c r="A356" s="29"/>
      <c r="B356" s="29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>
      <c r="A357" s="29"/>
      <c r="B357" s="29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>
      <c r="A358" s="29"/>
      <c r="B358" s="29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>
      <c r="A359" s="29"/>
      <c r="B359" s="29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>
      <c r="A360" s="29"/>
      <c r="B360" s="29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>
      <c r="A361" s="29"/>
      <c r="B361" s="29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>
      <c r="A362" s="29"/>
      <c r="B362" s="29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>
      <c r="A363" s="29"/>
      <c r="B363" s="29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>
      <c r="A364" s="29"/>
      <c r="B364" s="29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>
      <c r="A365" s="29"/>
      <c r="B365" s="29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>
      <c r="A366" s="29"/>
      <c r="B366" s="29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>
      <c r="A367" s="29"/>
      <c r="B367" s="29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>
      <c r="A368" s="29"/>
      <c r="B368" s="29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>
      <c r="A369" s="29"/>
      <c r="B369" s="29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>
      <c r="A370" s="29"/>
      <c r="B370" s="29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>
      <c r="A371" s="29"/>
      <c r="B371" s="29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>
      <c r="A372" s="29"/>
      <c r="B372" s="29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>
      <c r="A373" s="29"/>
      <c r="B373" s="29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>
      <c r="A374" s="29"/>
      <c r="B374" s="29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>
      <c r="A375" s="29"/>
      <c r="B375" s="29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>
      <c r="A376" s="29"/>
      <c r="B376" s="29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>
      <c r="A377" s="29"/>
      <c r="B377" s="29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>
      <c r="A378" s="29"/>
      <c r="B378" s="29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>
      <c r="A379" s="29"/>
      <c r="B379" s="29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>
      <c r="A380" s="29"/>
      <c r="B380" s="29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>
      <c r="A381" s="29"/>
      <c r="B381" s="29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>
      <c r="A382" s="29"/>
      <c r="B382" s="29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>
      <c r="A383" s="29"/>
      <c r="B383" s="29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>
      <c r="A384" s="29"/>
      <c r="B384" s="29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>
      <c r="A385" s="29"/>
      <c r="B385" s="29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>
      <c r="A386" s="29"/>
      <c r="B386" s="29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>
      <c r="A387" s="29"/>
      <c r="B387" s="29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>
      <c r="A388" s="29"/>
      <c r="B388" s="29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>
      <c r="A389" s="29"/>
      <c r="B389" s="29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>
      <c r="A390" s="29"/>
      <c r="B390" s="29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>
      <c r="A391" s="29"/>
      <c r="B391" s="29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>
      <c r="A392" s="29"/>
      <c r="B392" s="29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>
      <c r="A393" s="29"/>
      <c r="B393" s="29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>
      <c r="A394" s="29"/>
      <c r="B394" s="29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>
      <c r="A395" s="29"/>
      <c r="B395" s="29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>
      <c r="A396" s="29"/>
      <c r="B396" s="29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>
      <c r="A397" s="29"/>
      <c r="B397" s="29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>
      <c r="A398" s="29"/>
      <c r="B398" s="29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>
      <c r="A399" s="29"/>
      <c r="B399" s="29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>
      <c r="A400" s="29"/>
      <c r="B400" s="29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>
      <c r="A401" s="29"/>
      <c r="B401" s="29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>
      <c r="A402" s="29"/>
      <c r="B402" s="29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>
      <c r="A403" s="29"/>
      <c r="B403" s="29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>
      <c r="A404" s="29"/>
      <c r="B404" s="29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>
      <c r="A405" s="29"/>
      <c r="B405" s="29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>
      <c r="A406" s="29"/>
      <c r="B406" s="29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>
      <c r="A407" s="29"/>
      <c r="B407" s="29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>
      <c r="A408" s="29"/>
      <c r="B408" s="29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>
      <c r="A409" s="29"/>
      <c r="B409" s="29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>
      <c r="A410" s="29"/>
      <c r="B410" s="29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>
      <c r="A411" s="29"/>
      <c r="B411" s="29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>
      <c r="A412" s="29"/>
      <c r="B412" s="29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>
      <c r="A413" s="29"/>
      <c r="B413" s="29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>
      <c r="A414" s="29"/>
      <c r="B414" s="29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>
      <c r="A415" s="29"/>
      <c r="B415" s="29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>
      <c r="A416" s="29"/>
      <c r="B416" s="29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>
      <c r="A417" s="29"/>
      <c r="B417" s="29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>
      <c r="A418" s="29"/>
      <c r="B418" s="29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>
      <c r="A419" s="29"/>
      <c r="B419" s="29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>
      <c r="A420" s="29"/>
      <c r="B420" s="29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>
      <c r="A421" s="29"/>
      <c r="B421" s="29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>
      <c r="A422" s="29"/>
      <c r="B422" s="29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>
      <c r="A423" s="29"/>
      <c r="B423" s="29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>
      <c r="A424" s="29"/>
      <c r="B424" s="29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>
      <c r="A425" s="29"/>
      <c r="B425" s="29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>
      <c r="A426" s="29"/>
      <c r="B426" s="29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>
      <c r="A427" s="29"/>
      <c r="B427" s="29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>
      <c r="A428" s="29"/>
      <c r="B428" s="29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>
      <c r="A429" s="29"/>
      <c r="B429" s="29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>
      <c r="A430" s="29"/>
      <c r="B430" s="29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>
      <c r="A431" s="29"/>
      <c r="B431" s="29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>
      <c r="A432" s="29"/>
      <c r="B432" s="29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>
      <c r="A433" s="29"/>
      <c r="B433" s="29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>
      <c r="A434" s="29"/>
      <c r="B434" s="29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>
      <c r="A435" s="29"/>
      <c r="B435" s="29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>
      <c r="A436" s="29"/>
      <c r="B436" s="29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>
      <c r="A437" s="29"/>
      <c r="B437" s="29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>
      <c r="A438" s="29"/>
      <c r="B438" s="29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>
      <c r="A439" s="29"/>
      <c r="B439" s="29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>
      <c r="A440" s="29"/>
      <c r="B440" s="29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>
      <c r="A441" s="29"/>
      <c r="B441" s="29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>
      <c r="A442" s="29"/>
      <c r="B442" s="29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>
      <c r="A443" s="29"/>
      <c r="B443" s="29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>
      <c r="A444" s="29"/>
      <c r="B444" s="29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>
      <c r="A445" s="29"/>
      <c r="B445" s="29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>
      <c r="A446" s="29"/>
      <c r="B446" s="29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>
      <c r="A447" s="29"/>
      <c r="B447" s="29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>
      <c r="A448" s="29"/>
      <c r="B448" s="29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>
      <c r="A449" s="29"/>
      <c r="B449" s="29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>
      <c r="A450" s="29"/>
      <c r="B450" s="29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>
      <c r="A451" s="29"/>
      <c r="B451" s="29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>
      <c r="A452" s="29"/>
      <c r="B452" s="29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>
      <c r="A453" s="29"/>
      <c r="B453" s="29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>
      <c r="A454" s="29"/>
      <c r="B454" s="29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>
      <c r="A455" s="29"/>
      <c r="B455" s="29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>
      <c r="A456" s="29"/>
      <c r="B456" s="29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>
      <c r="A457" s="29"/>
      <c r="B457" s="29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>
      <c r="A458" s="29"/>
      <c r="B458" s="29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>
      <c r="A459" s="29"/>
      <c r="B459" s="29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>
      <c r="A460" s="29"/>
      <c r="B460" s="29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>
      <c r="A461" s="29"/>
      <c r="B461" s="29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>
      <c r="A462" s="29"/>
      <c r="B462" s="29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>
      <c r="A463" s="29"/>
      <c r="B463" s="29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>
      <c r="A464" s="29"/>
      <c r="B464" s="29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>
      <c r="A465" s="29"/>
      <c r="B465" s="29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>
      <c r="A466" s="29"/>
      <c r="B466" s="29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>
      <c r="A467" s="29"/>
      <c r="B467" s="29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>
      <c r="A468" s="29"/>
      <c r="B468" s="29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>
      <c r="A469" s="29"/>
      <c r="B469" s="29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>
      <c r="A470" s="29"/>
      <c r="B470" s="29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>
      <c r="A471" s="29"/>
      <c r="B471" s="29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>
      <c r="A472" s="29"/>
      <c r="B472" s="29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>
      <c r="A473" s="29"/>
      <c r="B473" s="29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>
      <c r="A474" s="29"/>
      <c r="B474" s="29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>
      <c r="A475" s="29"/>
      <c r="B475" s="29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>
      <c r="A476" s="29"/>
      <c r="B476" s="29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>
      <c r="A477" s="29"/>
      <c r="B477" s="29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>
      <c r="A478" s="29"/>
      <c r="B478" s="29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>
      <c r="A479" s="29"/>
      <c r="B479" s="29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>
      <c r="A480" s="29"/>
      <c r="B480" s="29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>
      <c r="A481" s="29"/>
      <c r="B481" s="29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>
      <c r="A482" s="29"/>
      <c r="B482" s="29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>
      <c r="A483" s="29"/>
      <c r="B483" s="29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>
      <c r="A484" s="29"/>
      <c r="B484" s="29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>
      <c r="A485" s="29"/>
      <c r="B485" s="29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>
      <c r="A486" s="29"/>
      <c r="B486" s="29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>
      <c r="A487" s="29"/>
      <c r="B487" s="29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>
      <c r="A488" s="29"/>
      <c r="B488" s="29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>
      <c r="A489" s="29"/>
      <c r="B489" s="29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>
      <c r="A490" s="29"/>
      <c r="B490" s="29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>
      <c r="A491" s="29"/>
      <c r="B491" s="29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>
      <c r="A492" s="29"/>
      <c r="B492" s="29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>
      <c r="A493" s="29"/>
      <c r="B493" s="29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>
      <c r="A494" s="29"/>
      <c r="B494" s="29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>
      <c r="A495" s="29"/>
      <c r="B495" s="29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>
      <c r="A496" s="29"/>
      <c r="B496" s="29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>
      <c r="A497" s="29"/>
      <c r="B497" s="29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>
      <c r="A498" s="29"/>
      <c r="B498" s="29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>
      <c r="A499" s="29"/>
      <c r="B499" s="29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>
      <c r="A500" s="29"/>
      <c r="B500" s="29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>
      <c r="A501" s="29"/>
      <c r="B501" s="29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>
      <c r="A502" s="29"/>
      <c r="B502" s="29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>
      <c r="A503" s="29"/>
      <c r="B503" s="29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>
      <c r="A504" s="29"/>
      <c r="B504" s="29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>
      <c r="A505" s="29"/>
      <c r="B505" s="29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>
      <c r="A506" s="29"/>
      <c r="B506" s="29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>
      <c r="A507" s="29"/>
      <c r="B507" s="29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>
      <c r="A508" s="29"/>
      <c r="B508" s="29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>
      <c r="A509" s="29"/>
      <c r="B509" s="29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>
      <c r="A510" s="29"/>
      <c r="B510" s="29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>
      <c r="A511" s="29"/>
      <c r="B511" s="29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>
      <c r="A512" s="29"/>
      <c r="B512" s="29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>
      <c r="A513" s="29"/>
      <c r="B513" s="29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>
      <c r="A514" s="29"/>
      <c r="B514" s="29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>
      <c r="A515" s="29"/>
      <c r="B515" s="29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>
      <c r="A516" s="29"/>
      <c r="B516" s="29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>
      <c r="A517" s="29"/>
      <c r="B517" s="29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>
      <c r="A518" s="29"/>
      <c r="B518" s="29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>
      <c r="A519" s="29"/>
      <c r="B519" s="29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>
      <c r="A520" s="29"/>
      <c r="B520" s="29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>
      <c r="A521" s="29"/>
      <c r="B521" s="29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>
      <c r="A522" s="29"/>
      <c r="B522" s="29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>
      <c r="A523" s="29"/>
      <c r="B523" s="29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>
      <c r="A524" s="29"/>
      <c r="B524" s="29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>
      <c r="A525" s="29"/>
      <c r="B525" s="29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>
      <c r="A526" s="29"/>
      <c r="B526" s="29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>
      <c r="A527" s="29"/>
      <c r="B527" s="29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>
      <c r="A528" s="29"/>
      <c r="B528" s="29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>
      <c r="A529" s="29"/>
      <c r="B529" s="29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>
      <c r="A530" s="29"/>
      <c r="B530" s="29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>
      <c r="A531" s="29"/>
      <c r="B531" s="29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>
      <c r="A532" s="29"/>
      <c r="B532" s="29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>
      <c r="A533" s="29"/>
      <c r="B533" s="29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>
      <c r="A534" s="29"/>
      <c r="B534" s="29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>
      <c r="A535" s="29"/>
      <c r="B535" s="29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>
      <c r="A536" s="29"/>
      <c r="B536" s="29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>
      <c r="A537" s="29"/>
      <c r="B537" s="29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>
      <c r="A538" s="29"/>
      <c r="B538" s="29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>
      <c r="A539" s="29"/>
      <c r="B539" s="29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>
      <c r="A540" s="29"/>
      <c r="B540" s="29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>
      <c r="A541" s="29"/>
      <c r="B541" s="29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>
      <c r="A542" s="29"/>
      <c r="B542" s="29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>
      <c r="A543" s="29"/>
      <c r="B543" s="29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>
      <c r="A544" s="29"/>
      <c r="B544" s="29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>
      <c r="A545" s="29"/>
      <c r="B545" s="29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>
      <c r="A546" s="29"/>
      <c r="B546" s="29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>
      <c r="A547" s="29"/>
      <c r="B547" s="29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>
      <c r="A548" s="29"/>
      <c r="B548" s="29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>
      <c r="A549" s="29"/>
      <c r="B549" s="29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>
      <c r="A550" s="29"/>
      <c r="B550" s="29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>
      <c r="A551" s="29"/>
      <c r="B551" s="29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>
      <c r="A552" s="29"/>
      <c r="B552" s="29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>
      <c r="A553" s="29"/>
      <c r="B553" s="29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>
      <c r="A554" s="29"/>
      <c r="B554" s="29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>
      <c r="A555" s="29"/>
      <c r="B555" s="29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>
      <c r="A556" s="29"/>
      <c r="B556" s="29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>
      <c r="A557" s="29"/>
      <c r="B557" s="29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>
      <c r="A558" s="29"/>
      <c r="B558" s="29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>
      <c r="A559" s="29"/>
      <c r="B559" s="29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>
      <c r="A560" s="29"/>
      <c r="B560" s="29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>
      <c r="A561" s="29"/>
      <c r="B561" s="29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>
      <c r="A562" s="29"/>
      <c r="B562" s="29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>
      <c r="A563" s="29"/>
      <c r="B563" s="29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>
      <c r="A564" s="29"/>
      <c r="B564" s="29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>
      <c r="A565" s="29"/>
      <c r="B565" s="29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>
      <c r="A566" s="29"/>
      <c r="B566" s="29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>
      <c r="A567" s="29"/>
      <c r="B567" s="29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>
      <c r="A568" s="29"/>
      <c r="B568" s="29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>
      <c r="A569" s="29"/>
      <c r="B569" s="29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>
      <c r="A570" s="29"/>
      <c r="B570" s="29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>
      <c r="A571" s="29"/>
      <c r="B571" s="29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>
      <c r="A572" s="29"/>
      <c r="B572" s="29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>
      <c r="A573" s="29"/>
      <c r="B573" s="29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>
      <c r="A574" s="29"/>
      <c r="B574" s="29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>
      <c r="A575" s="29"/>
      <c r="B575" s="29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>
      <c r="A576" s="29"/>
      <c r="B576" s="29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>
      <c r="A577" s="29"/>
      <c r="B577" s="29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>
      <c r="A578" s="29"/>
      <c r="B578" s="29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>
      <c r="A579" s="29"/>
      <c r="B579" s="29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>
      <c r="A580" s="29"/>
      <c r="B580" s="29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>
      <c r="A581" s="29"/>
      <c r="B581" s="29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>
      <c r="A582" s="29"/>
      <c r="B582" s="29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>
      <c r="A583" s="29"/>
      <c r="B583" s="29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>
      <c r="A584" s="29"/>
      <c r="B584" s="29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>
      <c r="A585" s="29"/>
      <c r="B585" s="29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>
      <c r="A586" s="29"/>
      <c r="B586" s="29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>
      <c r="A587" s="29"/>
      <c r="B587" s="29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>
      <c r="A588" s="29"/>
      <c r="B588" s="29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>
      <c r="A589" s="29"/>
      <c r="B589" s="29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>
      <c r="A590" s="29"/>
      <c r="B590" s="29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>
      <c r="A591" s="29"/>
      <c r="B591" s="29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>
      <c r="A592" s="29"/>
      <c r="B592" s="29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>
      <c r="A593" s="29"/>
      <c r="B593" s="29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>
      <c r="A594" s="29"/>
      <c r="B594" s="29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>
      <c r="A595" s="29"/>
      <c r="B595" s="29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>
      <c r="A596" s="29"/>
      <c r="B596" s="29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>
      <c r="A597" s="29"/>
      <c r="B597" s="29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>
      <c r="A598" s="29"/>
      <c r="B598" s="29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>
      <c r="A599" s="29"/>
      <c r="B599" s="29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>
      <c r="A600" s="29"/>
      <c r="B600" s="29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>
      <c r="A601" s="29"/>
      <c r="B601" s="29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>
      <c r="A602" s="29"/>
      <c r="B602" s="29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>
      <c r="A603" s="29"/>
      <c r="B603" s="29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>
      <c r="A604" s="29"/>
      <c r="B604" s="29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>
      <c r="A605" s="29"/>
      <c r="B605" s="29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>
      <c r="A606" s="29"/>
      <c r="B606" s="29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>
      <c r="A607" s="29"/>
      <c r="B607" s="29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>
      <c r="A608" s="29"/>
      <c r="B608" s="29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>
      <c r="A609" s="29"/>
      <c r="B609" s="29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>
      <c r="A610" s="29"/>
      <c r="B610" s="29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>
      <c r="A611" s="29"/>
      <c r="B611" s="29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>
      <c r="A612" s="29"/>
      <c r="B612" s="29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>
      <c r="A613" s="29"/>
      <c r="B613" s="29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>
      <c r="A614" s="29"/>
      <c r="B614" s="29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>
      <c r="A615" s="29"/>
      <c r="B615" s="29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>
      <c r="A616" s="29"/>
      <c r="B616" s="29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>
      <c r="A617" s="29"/>
      <c r="B617" s="29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>
      <c r="A618" s="29"/>
      <c r="B618" s="29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>
      <c r="A619" s="29"/>
      <c r="B619" s="29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>
      <c r="A620" s="29"/>
      <c r="B620" s="29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>
      <c r="A621" s="29"/>
      <c r="B621" s="29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>
      <c r="A622" s="29"/>
      <c r="B622" s="29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>
      <c r="A623" s="29"/>
      <c r="B623" s="29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>
      <c r="A624" s="29"/>
      <c r="B624" s="29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>
      <c r="A625" s="29"/>
      <c r="B625" s="29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>
      <c r="A626" s="29"/>
      <c r="B626" s="29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>
      <c r="A627" s="29"/>
      <c r="B627" s="29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>
      <c r="A628" s="29"/>
      <c r="B628" s="29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>
      <c r="A629" s="29"/>
      <c r="B629" s="29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>
      <c r="A630" s="29"/>
      <c r="B630" s="29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>
      <c r="A631" s="29"/>
      <c r="B631" s="29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>
      <c r="A632" s="29"/>
      <c r="B632" s="29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>
      <c r="A633" s="29"/>
      <c r="B633" s="29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>
      <c r="A634" s="29"/>
      <c r="B634" s="29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>
      <c r="A635" s="29"/>
      <c r="B635" s="29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>
      <c r="A636" s="29"/>
      <c r="B636" s="29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>
      <c r="A637" s="29"/>
      <c r="B637" s="29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>
      <c r="A638" s="29"/>
      <c r="B638" s="29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>
      <c r="A639" s="29"/>
      <c r="B639" s="29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>
      <c r="A640" s="29"/>
      <c r="B640" s="29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>
      <c r="A641" s="29"/>
      <c r="B641" s="29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>
      <c r="A642" s="29"/>
      <c r="B642" s="29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>
      <c r="A643" s="29"/>
      <c r="B643" s="29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>
      <c r="A644" s="29"/>
      <c r="B644" s="29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>
      <c r="A645" s="29"/>
      <c r="B645" s="29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>
      <c r="A646" s="29"/>
      <c r="B646" s="29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>
      <c r="A647" s="29"/>
      <c r="B647" s="29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>
      <c r="A648" s="29"/>
      <c r="B648" s="29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>
      <c r="A649" s="29"/>
      <c r="B649" s="29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>
      <c r="A650" s="29"/>
      <c r="B650" s="29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>
      <c r="A651" s="29"/>
      <c r="B651" s="29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>
      <c r="A652" s="29"/>
      <c r="B652" s="29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>
      <c r="A653" s="29"/>
      <c r="B653" s="29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>
      <c r="A654" s="29"/>
      <c r="B654" s="29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>
      <c r="A655" s="29"/>
      <c r="B655" s="29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>
      <c r="A656" s="29"/>
      <c r="B656" s="29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>
      <c r="A657" s="29"/>
      <c r="B657" s="29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>
      <c r="A658" s="29"/>
      <c r="B658" s="29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>
      <c r="A659" s="29"/>
      <c r="B659" s="29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>
      <c r="A660" s="29"/>
      <c r="B660" s="29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>
      <c r="A661" s="29"/>
      <c r="B661" s="29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>
      <c r="A662" s="29"/>
      <c r="B662" s="29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>
      <c r="A663" s="29"/>
      <c r="B663" s="29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>
      <c r="A664" s="29"/>
      <c r="B664" s="29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>
      <c r="A665" s="29"/>
      <c r="B665" s="29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>
      <c r="A666" s="29"/>
      <c r="B666" s="29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>
      <c r="A667" s="29"/>
      <c r="B667" s="29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>
      <c r="A668" s="29"/>
      <c r="B668" s="29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>
      <c r="A669" s="29"/>
      <c r="B669" s="29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>
      <c r="A670" s="29"/>
      <c r="B670" s="29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>
      <c r="A671" s="29"/>
      <c r="B671" s="29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>
      <c r="A672" s="29"/>
      <c r="B672" s="29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>
      <c r="A673" s="29"/>
      <c r="B673" s="29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>
      <c r="A674" s="29"/>
      <c r="B674" s="29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>
      <c r="A675" s="29"/>
      <c r="B675" s="29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>
      <c r="A676" s="29"/>
      <c r="B676" s="29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>
      <c r="A677" s="29"/>
      <c r="B677" s="29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>
      <c r="A678" s="29"/>
      <c r="B678" s="29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>
      <c r="A679" s="29"/>
      <c r="B679" s="29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>
      <c r="A680" s="29"/>
      <c r="B680" s="29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>
      <c r="A681" s="29"/>
      <c r="B681" s="29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>
      <c r="A682" s="29"/>
      <c r="B682" s="29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>
      <c r="A683" s="29"/>
      <c r="B683" s="29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>
      <c r="A684" s="29"/>
      <c r="B684" s="29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>
      <c r="A685" s="29"/>
      <c r="B685" s="29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>
      <c r="A686" s="29"/>
      <c r="B686" s="29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>
      <c r="A687" s="29"/>
      <c r="B687" s="29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>
      <c r="A688" s="29"/>
      <c r="B688" s="29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>
      <c r="A689" s="29"/>
      <c r="B689" s="29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>
      <c r="A690" s="29"/>
      <c r="B690" s="29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>
      <c r="A691" s="29"/>
      <c r="B691" s="29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>
      <c r="A692" s="29"/>
      <c r="B692" s="29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>
      <c r="A693" s="29"/>
      <c r="B693" s="29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>
      <c r="A694" s="29"/>
      <c r="B694" s="29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>
      <c r="A695" s="29"/>
      <c r="B695" s="29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>
      <c r="A696" s="29"/>
      <c r="B696" s="29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>
      <c r="A697" s="29"/>
      <c r="B697" s="29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>
      <c r="A698" s="29"/>
      <c r="B698" s="29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>
      <c r="A699" s="29"/>
      <c r="B699" s="29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>
      <c r="A700" s="29"/>
      <c r="B700" s="29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>
      <c r="A701" s="29"/>
      <c r="B701" s="29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>
      <c r="A702" s="29"/>
      <c r="B702" s="29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>
      <c r="A703" s="29"/>
      <c r="B703" s="29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>
      <c r="A704" s="29"/>
      <c r="B704" s="29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>
      <c r="A705" s="29"/>
      <c r="B705" s="29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>
      <c r="A706" s="29"/>
      <c r="B706" s="29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>
      <c r="A707" s="29"/>
      <c r="B707" s="29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>
      <c r="A708" s="29"/>
      <c r="B708" s="29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>
      <c r="A709" s="29"/>
      <c r="B709" s="29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>
      <c r="A710" s="29"/>
      <c r="B710" s="29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>
      <c r="A711" s="29"/>
      <c r="B711" s="29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>
      <c r="A712" s="29"/>
      <c r="B712" s="29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>
      <c r="A713" s="29"/>
      <c r="B713" s="29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>
      <c r="A714" s="29"/>
      <c r="B714" s="29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>
      <c r="A715" s="29"/>
      <c r="B715" s="29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>
      <c r="A716" s="29"/>
      <c r="B716" s="29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>
      <c r="A717" s="29"/>
      <c r="B717" s="29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>
      <c r="A718" s="29"/>
      <c r="B718" s="29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>
      <c r="A719" s="29"/>
      <c r="B719" s="29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>
      <c r="A720" s="29"/>
      <c r="B720" s="29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>
      <c r="A721" s="29"/>
      <c r="B721" s="29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>
      <c r="A722" s="29"/>
      <c r="B722" s="29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>
      <c r="A723" s="29"/>
      <c r="B723" s="29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>
      <c r="A724" s="29"/>
      <c r="B724" s="29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>
      <c r="A725" s="29"/>
      <c r="B725" s="29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>
      <c r="A726" s="29"/>
      <c r="B726" s="29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>
      <c r="A727" s="29"/>
      <c r="B727" s="29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>
      <c r="A728" s="29"/>
      <c r="B728" s="29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>
      <c r="A729" s="29"/>
      <c r="B729" s="29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>
      <c r="A730" s="29"/>
      <c r="B730" s="29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>
      <c r="A731" s="29"/>
      <c r="B731" s="29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>
      <c r="A732" s="29"/>
      <c r="B732" s="29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>
      <c r="A733" s="29"/>
      <c r="B733" s="29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>
      <c r="A734" s="29"/>
      <c r="B734" s="29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>
      <c r="A735" s="29"/>
      <c r="B735" s="29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>
      <c r="A736" s="29"/>
      <c r="B736" s="29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>
      <c r="A737" s="29"/>
      <c r="B737" s="29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>
      <c r="A738" s="29"/>
      <c r="B738" s="29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>
      <c r="A739" s="29"/>
      <c r="B739" s="29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>
      <c r="A740" s="29"/>
      <c r="B740" s="29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>
      <c r="A741" s="29"/>
      <c r="B741" s="29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>
      <c r="A742" s="29"/>
      <c r="B742" s="29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>
      <c r="A743" s="29"/>
      <c r="B743" s="29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>
      <c r="A744" s="29"/>
      <c r="B744" s="29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>
      <c r="A745" s="29"/>
      <c r="B745" s="29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>
      <c r="A746" s="29"/>
      <c r="B746" s="29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>
      <c r="A747" s="29"/>
      <c r="B747" s="29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>
      <c r="A748" s="29"/>
      <c r="B748" s="29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>
      <c r="A749" s="29"/>
      <c r="B749" s="29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>
      <c r="A750" s="29"/>
      <c r="B750" s="29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>
      <c r="A751" s="29"/>
      <c r="B751" s="29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>
      <c r="A752" s="29"/>
      <c r="B752" s="29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>
      <c r="A753" s="29"/>
      <c r="B753" s="29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>
      <c r="A754" s="29"/>
      <c r="B754" s="29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>
      <c r="A755" s="29"/>
      <c r="B755" s="29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>
      <c r="A756" s="29"/>
      <c r="B756" s="29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>
      <c r="A757" s="29"/>
      <c r="B757" s="29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>
      <c r="A758" s="29"/>
      <c r="B758" s="29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>
      <c r="A759" s="29"/>
      <c r="B759" s="29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>
      <c r="A760" s="29"/>
      <c r="B760" s="29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>
      <c r="A761" s="29"/>
      <c r="B761" s="29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>
      <c r="A762" s="29"/>
      <c r="B762" s="29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>
      <c r="A763" s="29"/>
      <c r="B763" s="29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>
      <c r="A764" s="29"/>
      <c r="B764" s="29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>
      <c r="A765" s="29"/>
      <c r="B765" s="29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>
      <c r="A766" s="29"/>
      <c r="B766" s="29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>
      <c r="A767" s="29"/>
      <c r="B767" s="29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>
      <c r="A768" s="29"/>
      <c r="B768" s="29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>
      <c r="A769" s="29"/>
      <c r="B769" s="29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>
      <c r="A770" s="29"/>
      <c r="B770" s="29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>
      <c r="A771" s="29"/>
      <c r="B771" s="29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>
      <c r="A772" s="29"/>
      <c r="B772" s="29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>
      <c r="A773" s="29"/>
      <c r="B773" s="29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>
      <c r="A774" s="29"/>
      <c r="B774" s="29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>
      <c r="A775" s="29"/>
      <c r="B775" s="29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>
      <c r="A776" s="29"/>
      <c r="B776" s="29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>
      <c r="A777" s="29"/>
      <c r="B777" s="29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>
      <c r="A778" s="29"/>
      <c r="B778" s="29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>
      <c r="A779" s="29"/>
      <c r="B779" s="29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>
      <c r="A780" s="29"/>
      <c r="B780" s="29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>
      <c r="A781" s="29"/>
      <c r="B781" s="29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>
      <c r="A782" s="29"/>
      <c r="B782" s="29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>
      <c r="A783" s="29"/>
      <c r="B783" s="29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>
      <c r="A784" s="29"/>
      <c r="B784" s="29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>
      <c r="A785" s="29"/>
      <c r="B785" s="29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>
      <c r="A786" s="29"/>
      <c r="B786" s="29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>
      <c r="A787" s="29"/>
      <c r="B787" s="29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>
      <c r="A788" s="29"/>
      <c r="B788" s="29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>
      <c r="A789" s="29"/>
      <c r="B789" s="29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>
      <c r="A790" s="29"/>
      <c r="B790" s="29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>
      <c r="A791" s="29"/>
      <c r="B791" s="29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>
      <c r="A792" s="29"/>
      <c r="B792" s="29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>
      <c r="A793" s="29"/>
      <c r="B793" s="29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>
      <c r="A794" s="29"/>
      <c r="B794" s="29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>
      <c r="A795" s="29"/>
      <c r="B795" s="29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>
      <c r="A796" s="29"/>
      <c r="B796" s="29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>
      <c r="A797" s="29"/>
      <c r="B797" s="29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>
      <c r="A798" s="29"/>
      <c r="B798" s="29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>
      <c r="A799" s="29"/>
      <c r="B799" s="29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>
      <c r="A800" s="29"/>
      <c r="B800" s="29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>
      <c r="A801" s="29"/>
      <c r="B801" s="29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>
      <c r="A802" s="29"/>
      <c r="B802" s="29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>
      <c r="A803" s="29"/>
      <c r="B803" s="29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>
      <c r="A804" s="29"/>
      <c r="B804" s="29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>
      <c r="A805" s="29"/>
      <c r="B805" s="29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>
      <c r="A806" s="29"/>
      <c r="B806" s="29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>
      <c r="A807" s="29"/>
      <c r="B807" s="29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>
      <c r="A808" s="29"/>
      <c r="B808" s="29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>
      <c r="A809" s="29"/>
      <c r="B809" s="29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>
      <c r="A810" s="29"/>
      <c r="B810" s="29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>
      <c r="A811" s="29"/>
      <c r="B811" s="29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>
      <c r="A812" s="29"/>
      <c r="B812" s="29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>
      <c r="A813" s="29"/>
      <c r="B813" s="29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>
      <c r="A814" s="29"/>
      <c r="B814" s="29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>
      <c r="A815" s="29"/>
      <c r="B815" s="29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>
      <c r="A816" s="29"/>
      <c r="B816" s="29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>
      <c r="A817" s="29"/>
      <c r="B817" s="29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>
      <c r="A818" s="29"/>
      <c r="B818" s="29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>
      <c r="A819" s="29"/>
      <c r="B819" s="29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>
      <c r="A820" s="29"/>
      <c r="B820" s="29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>
      <c r="A821" s="29"/>
      <c r="B821" s="29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>
      <c r="A822" s="29"/>
      <c r="B822" s="29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>
      <c r="A823" s="29"/>
      <c r="B823" s="29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>
      <c r="A824" s="29"/>
      <c r="B824" s="29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>
      <c r="A825" s="29"/>
      <c r="B825" s="29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>
      <c r="A826" s="29"/>
      <c r="B826" s="29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>
      <c r="A827" s="29"/>
      <c r="B827" s="29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>
      <c r="A828" s="29"/>
      <c r="B828" s="29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>
      <c r="A829" s="29"/>
      <c r="B829" s="29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>
      <c r="A830" s="29"/>
      <c r="B830" s="29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>
      <c r="A831" s="29"/>
      <c r="B831" s="29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>
      <c r="A832" s="29"/>
      <c r="B832" s="29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>
      <c r="A833" s="29"/>
      <c r="B833" s="29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>
      <c r="A834" s="29"/>
      <c r="B834" s="29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>
      <c r="A835" s="29"/>
      <c r="B835" s="29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>
      <c r="A836" s="29"/>
      <c r="B836" s="29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>
      <c r="A837" s="29"/>
      <c r="B837" s="29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>
      <c r="A838" s="29"/>
      <c r="B838" s="29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>
      <c r="A839" s="29"/>
      <c r="B839" s="29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>
      <c r="A840" s="29"/>
      <c r="B840" s="29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>
      <c r="A841" s="29"/>
      <c r="B841" s="29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>
      <c r="A842" s="29"/>
      <c r="B842" s="29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>
      <c r="A843" s="29"/>
      <c r="B843" s="29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>
      <c r="A844" s="29"/>
      <c r="B844" s="29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>
      <c r="A845" s="29"/>
      <c r="B845" s="29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>
      <c r="A846" s="29"/>
      <c r="B846" s="29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>
      <c r="A847" s="29"/>
      <c r="B847" s="29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>
      <c r="A848" s="29"/>
      <c r="B848" s="29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>
      <c r="A849" s="29"/>
      <c r="B849" s="29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>
      <c r="A850" s="29"/>
      <c r="B850" s="29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>
      <c r="A851" s="29"/>
      <c r="B851" s="29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>
      <c r="A852" s="29"/>
      <c r="B852" s="29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>
      <c r="A853" s="29"/>
      <c r="B853" s="29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>
      <c r="A854" s="29"/>
      <c r="B854" s="29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>
      <c r="A855" s="29"/>
      <c r="B855" s="29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>
      <c r="A856" s="29"/>
      <c r="B856" s="29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>
      <c r="A857" s="29"/>
      <c r="B857" s="29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>
      <c r="A858" s="29"/>
      <c r="B858" s="29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>
      <c r="A859" s="29"/>
      <c r="B859" s="29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>
      <c r="A860" s="29"/>
      <c r="B860" s="29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>
      <c r="A861" s="29"/>
      <c r="B861" s="29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>
      <c r="A862" s="29"/>
      <c r="B862" s="29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>
      <c r="A863" s="29"/>
      <c r="B863" s="29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>
      <c r="A864" s="29"/>
      <c r="B864" s="29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>
      <c r="A865" s="29"/>
      <c r="B865" s="29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>
      <c r="A866" s="29"/>
      <c r="B866" s="29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>
      <c r="A867" s="29"/>
      <c r="B867" s="29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>
      <c r="A868" s="29"/>
      <c r="B868" s="29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>
      <c r="A869" s="29"/>
      <c r="B869" s="29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>
      <c r="A870" s="29"/>
      <c r="B870" s="29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>
      <c r="A871" s="29"/>
      <c r="B871" s="29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>
      <c r="A872" s="29"/>
      <c r="B872" s="29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>
      <c r="A873" s="29"/>
      <c r="B873" s="29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>
      <c r="A874" s="29"/>
      <c r="B874" s="29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>
      <c r="A875" s="29"/>
      <c r="B875" s="29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>
      <c r="A876" s="29"/>
      <c r="B876" s="29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>
      <c r="A877" s="29"/>
      <c r="B877" s="29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>
      <c r="A878" s="29"/>
      <c r="B878" s="29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>
      <c r="A879" s="29"/>
      <c r="B879" s="29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>
      <c r="A880" s="29"/>
      <c r="B880" s="29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>
      <c r="A881" s="29"/>
      <c r="B881" s="29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>
      <c r="A882" s="29"/>
      <c r="B882" s="29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>
      <c r="A883" s="29"/>
      <c r="B883" s="29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>
      <c r="A884" s="29"/>
      <c r="B884" s="29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>
      <c r="A885" s="29"/>
      <c r="B885" s="29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>
      <c r="A886" s="29"/>
      <c r="B886" s="29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>
      <c r="A887" s="29"/>
      <c r="B887" s="29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>
      <c r="A888" s="29"/>
      <c r="B888" s="29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>
      <c r="A889" s="29"/>
      <c r="B889" s="29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>
      <c r="A890" s="29"/>
      <c r="B890" s="29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>
      <c r="A891" s="29"/>
      <c r="B891" s="29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>
      <c r="A892" s="29"/>
      <c r="B892" s="29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>
      <c r="A893" s="29"/>
      <c r="B893" s="29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>
      <c r="A894" s="29"/>
      <c r="B894" s="29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>
      <c r="A895" s="29"/>
      <c r="B895" s="29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>
      <c r="A896" s="29"/>
      <c r="B896" s="29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>
      <c r="A897" s="29"/>
      <c r="B897" s="29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>
      <c r="A898" s="29"/>
      <c r="B898" s="29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>
      <c r="A899" s="29"/>
      <c r="B899" s="29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>
      <c r="A900" s="29"/>
      <c r="B900" s="29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>
      <c r="A901" s="29"/>
      <c r="B901" s="29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>
      <c r="A902" s="29"/>
      <c r="B902" s="29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>
      <c r="A903" s="29"/>
      <c r="B903" s="29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>
      <c r="A904" s="29"/>
      <c r="B904" s="29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>
      <c r="A905" s="29"/>
      <c r="B905" s="29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>
      <c r="A906" s="29"/>
      <c r="B906" s="29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>
      <c r="A907" s="29"/>
      <c r="B907" s="29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>
      <c r="A908" s="29"/>
      <c r="B908" s="29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>
      <c r="A909" s="29"/>
      <c r="B909" s="29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>
      <c r="A910" s="29"/>
      <c r="B910" s="29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>
      <c r="A911" s="29"/>
      <c r="B911" s="29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>
      <c r="A912" s="29"/>
      <c r="B912" s="29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>
      <c r="A913" s="29"/>
      <c r="B913" s="29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>
      <c r="A914" s="29"/>
      <c r="B914" s="29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>
      <c r="A915" s="29"/>
      <c r="B915" s="29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>
      <c r="A916" s="29"/>
      <c r="B916" s="29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>
      <c r="A917" s="29"/>
      <c r="B917" s="29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>
      <c r="A918" s="29"/>
      <c r="B918" s="29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>
      <c r="A919" s="29"/>
      <c r="B919" s="29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>
      <c r="A920" s="29"/>
      <c r="B920" s="29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>
      <c r="A921" s="29"/>
      <c r="B921" s="29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>
      <c r="A922" s="29"/>
      <c r="B922" s="29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>
      <c r="A923" s="29"/>
      <c r="B923" s="29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>
      <c r="A924" s="29"/>
      <c r="B924" s="29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>
      <c r="A925" s="29"/>
      <c r="B925" s="29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>
      <c r="A926" s="29"/>
      <c r="B926" s="29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>
      <c r="A927" s="29"/>
      <c r="B927" s="29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>
      <c r="A928" s="29"/>
      <c r="B928" s="29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>
      <c r="A929" s="29"/>
      <c r="B929" s="29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>
      <c r="A930" s="29"/>
      <c r="B930" s="29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>
      <c r="A931" s="29"/>
      <c r="B931" s="29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>
      <c r="A932" s="29"/>
      <c r="B932" s="29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>
      <c r="A933" s="29"/>
      <c r="B933" s="29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>
      <c r="A934" s="29"/>
      <c r="B934" s="29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>
      <c r="A935" s="29"/>
      <c r="B935" s="29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>
      <c r="A936" s="29"/>
      <c r="B936" s="29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>
      <c r="A937" s="29"/>
      <c r="B937" s="29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>
      <c r="A938" s="29"/>
      <c r="B938" s="29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>
      <c r="A939" s="29"/>
      <c r="B939" s="29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>
      <c r="A940" s="29"/>
      <c r="B940" s="29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>
      <c r="A941" s="29"/>
      <c r="B941" s="29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>
      <c r="A942" s="29"/>
      <c r="B942" s="29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>
      <c r="A943" s="29"/>
      <c r="B943" s="29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>
      <c r="A944" s="29"/>
      <c r="B944" s="29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>
      <c r="A945" s="29"/>
      <c r="B945" s="29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>
      <c r="A946" s="29"/>
      <c r="B946" s="29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>
      <c r="A947" s="29"/>
      <c r="B947" s="29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>
      <c r="A948" s="29"/>
      <c r="B948" s="29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>
      <c r="A949" s="29"/>
      <c r="B949" s="29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>
      <c r="A950" s="29"/>
      <c r="B950" s="29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>
      <c r="A951" s="29"/>
      <c r="B951" s="29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>
      <c r="A952" s="29"/>
      <c r="B952" s="29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>
      <c r="A953" s="29"/>
      <c r="B953" s="29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>
      <c r="A954" s="29"/>
      <c r="B954" s="29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>
      <c r="A955" s="29"/>
      <c r="B955" s="29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>
      <c r="A956" s="29"/>
      <c r="B956" s="29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>
      <c r="A957" s="29"/>
      <c r="B957" s="29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>
      <c r="A958" s="29"/>
      <c r="B958" s="29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>
      <c r="A959" s="29"/>
      <c r="B959" s="29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>
      <c r="A960" s="29"/>
      <c r="B960" s="29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>
      <c r="A961" s="29"/>
      <c r="B961" s="29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>
      <c r="A962" s="29"/>
      <c r="B962" s="29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>
      <c r="A963" s="29"/>
      <c r="B963" s="29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>
      <c r="A964" s="29"/>
      <c r="B964" s="29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>
      <c r="A965" s="29"/>
      <c r="B965" s="29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>
      <c r="A966" s="29"/>
      <c r="B966" s="29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>
      <c r="A967" s="29"/>
      <c r="B967" s="29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>
      <c r="A968" s="29"/>
      <c r="B968" s="29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>
      <c r="A969" s="29"/>
      <c r="B969" s="29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>
      <c r="A970" s="29"/>
      <c r="B970" s="29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>
      <c r="A971" s="29"/>
      <c r="B971" s="29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>
      <c r="A972" s="29"/>
      <c r="B972" s="29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>
      <c r="A973" s="29"/>
      <c r="B973" s="29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>
      <c r="A974" s="29"/>
      <c r="B974" s="29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>
      <c r="A975" s="29"/>
      <c r="B975" s="29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>
      <c r="A976" s="29"/>
      <c r="B976" s="29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>
      <c r="A977" s="29"/>
      <c r="B977" s="29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>
      <c r="A978" s="29"/>
      <c r="B978" s="29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>
      <c r="A979" s="29"/>
      <c r="B979" s="29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>
      <c r="A980" s="29"/>
      <c r="B980" s="29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>
      <c r="A981" s="29"/>
      <c r="B981" s="29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>
      <c r="A982" s="29"/>
      <c r="B982" s="29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>
      <c r="A983" s="29"/>
      <c r="B983" s="29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>
      <c r="A984" s="29"/>
      <c r="B984" s="29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>
      <c r="A985" s="29"/>
      <c r="B985" s="29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>
      <c r="A986" s="29"/>
      <c r="B986" s="29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>
      <c r="A987" s="29"/>
      <c r="B987" s="29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>
      <c r="A988" s="29"/>
      <c r="B988" s="29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>
      <c r="A989" s="29"/>
      <c r="B989" s="29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>
      <c r="A990" s="29"/>
      <c r="B990" s="29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>
      <c r="A991" s="29"/>
      <c r="B991" s="29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>
      <c r="A992" s="29"/>
      <c r="B992" s="29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>
      <c r="A993" s="29"/>
      <c r="B993" s="29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>
      <c r="A994" s="29"/>
      <c r="B994" s="29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>
      <c r="A995" s="29"/>
      <c r="B995" s="29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>
      <c r="A996" s="29"/>
      <c r="B996" s="29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>
      <c r="A997" s="29"/>
      <c r="B997" s="29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>
      <c r="A998" s="29"/>
      <c r="B998" s="29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>
      <c r="A999" s="29"/>
      <c r="B999" s="29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>
      <c r="A1000" s="29"/>
      <c r="B1000" s="29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  <row r="1001">
      <c r="A1001" s="29"/>
      <c r="B1001" s="29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</row>
    <row r="1002">
      <c r="A1002" s="29"/>
      <c r="B1002" s="29"/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</row>
    <row r="1003">
      <c r="A1003" s="29"/>
      <c r="B1003" s="29"/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</row>
    <row r="1004">
      <c r="A1004" s="29"/>
      <c r="B1004" s="29"/>
      <c r="C1004" s="30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</row>
    <row r="1005">
      <c r="A1005" s="29"/>
      <c r="B1005" s="29"/>
      <c r="C1005" s="30"/>
      <c r="D1005" s="30"/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</row>
    <row r="1006">
      <c r="A1006" s="29"/>
      <c r="B1006" s="29"/>
      <c r="C1006" s="30"/>
      <c r="D1006" s="30"/>
      <c r="E1006" s="30"/>
      <c r="F1006" s="30"/>
      <c r="G1006" s="30"/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</row>
    <row r="1007">
      <c r="A1007" s="29"/>
      <c r="B1007" s="29"/>
      <c r="C1007" s="30"/>
      <c r="D1007" s="30"/>
      <c r="E1007" s="30"/>
      <c r="F1007" s="30"/>
      <c r="G1007" s="30"/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0"/>
      <c r="X1007" s="30"/>
      <c r="Y1007" s="30"/>
      <c r="Z1007" s="30"/>
    </row>
    <row r="1008">
      <c r="A1008" s="29"/>
      <c r="B1008" s="29"/>
      <c r="C1008" s="30"/>
      <c r="D1008" s="30"/>
      <c r="E1008" s="30"/>
      <c r="F1008" s="30"/>
      <c r="G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0"/>
      <c r="X1008" s="30"/>
      <c r="Y1008" s="30"/>
      <c r="Z1008" s="30"/>
    </row>
    <row r="1009">
      <c r="A1009" s="29"/>
      <c r="B1009" s="29"/>
      <c r="C1009" s="30"/>
      <c r="D1009" s="30"/>
      <c r="E1009" s="30"/>
      <c r="F1009" s="30"/>
      <c r="G1009" s="30"/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0"/>
      <c r="Z1009" s="30"/>
    </row>
    <row r="1010">
      <c r="A1010" s="29"/>
      <c r="B1010" s="29"/>
      <c r="C1010" s="30"/>
      <c r="D1010" s="30"/>
      <c r="E1010" s="30"/>
      <c r="F1010" s="30"/>
      <c r="G1010" s="30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0"/>
      <c r="X1010" s="30"/>
      <c r="Y1010" s="30"/>
      <c r="Z1010" s="30"/>
    </row>
    <row r="1011">
      <c r="A1011" s="29"/>
      <c r="B1011" s="29"/>
      <c r="C1011" s="30"/>
      <c r="D1011" s="30"/>
      <c r="E1011" s="30"/>
      <c r="F1011" s="30"/>
      <c r="G1011" s="30"/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/>
    </row>
    <row r="1012">
      <c r="A1012" s="29"/>
      <c r="B1012" s="29"/>
      <c r="C1012" s="30"/>
      <c r="D1012" s="30"/>
      <c r="E1012" s="30"/>
      <c r="F1012" s="30"/>
      <c r="G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</row>
    <row r="1013">
      <c r="A1013" s="29"/>
      <c r="B1013" s="29"/>
      <c r="C1013" s="30"/>
      <c r="D1013" s="30"/>
      <c r="E1013" s="30"/>
      <c r="F1013" s="30"/>
      <c r="G1013" s="30"/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0"/>
      <c r="Z1013" s="30"/>
    </row>
    <row r="1014">
      <c r="A1014" s="29"/>
      <c r="B1014" s="29"/>
      <c r="C1014" s="30"/>
      <c r="D1014" s="30"/>
      <c r="E1014" s="30"/>
      <c r="F1014" s="30"/>
      <c r="G1014" s="30"/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</row>
    <row r="1015">
      <c r="A1015" s="29"/>
      <c r="B1015" s="29"/>
      <c r="C1015" s="30"/>
      <c r="D1015" s="30"/>
      <c r="E1015" s="30"/>
      <c r="F1015" s="30"/>
      <c r="G1015" s="30"/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0"/>
      <c r="Z1015" s="30"/>
    </row>
    <row r="1016">
      <c r="A1016" s="29"/>
      <c r="B1016" s="29"/>
      <c r="C1016" s="30"/>
      <c r="D1016" s="30"/>
      <c r="E1016" s="30"/>
      <c r="F1016" s="30"/>
      <c r="G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0"/>
      <c r="X1016" s="30"/>
      <c r="Y1016" s="30"/>
      <c r="Z1016" s="30"/>
    </row>
    <row r="1017">
      <c r="A1017" s="29"/>
      <c r="B1017" s="29"/>
      <c r="C1017" s="30"/>
      <c r="D1017" s="30"/>
      <c r="E1017" s="30"/>
      <c r="F1017" s="30"/>
      <c r="G1017" s="30"/>
      <c r="H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0"/>
      <c r="X1017" s="30"/>
      <c r="Y1017" s="30"/>
      <c r="Z1017" s="30"/>
    </row>
    <row r="1018">
      <c r="A1018" s="29"/>
      <c r="B1018" s="29"/>
      <c r="C1018" s="30"/>
      <c r="D1018" s="30"/>
      <c r="E1018" s="30"/>
      <c r="F1018" s="30"/>
      <c r="G1018" s="30"/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0"/>
      <c r="X1018" s="30"/>
      <c r="Y1018" s="30"/>
      <c r="Z1018" s="30"/>
    </row>
    <row r="1019">
      <c r="A1019" s="29"/>
      <c r="B1019" s="29"/>
      <c r="C1019" s="30"/>
      <c r="D1019" s="30"/>
      <c r="E1019" s="30"/>
      <c r="F1019" s="30"/>
      <c r="G1019" s="30"/>
      <c r="H1019" s="30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0"/>
      <c r="X1019" s="30"/>
      <c r="Y1019" s="30"/>
      <c r="Z1019" s="30"/>
    </row>
    <row r="1020">
      <c r="A1020" s="29"/>
      <c r="B1020" s="29"/>
      <c r="C1020" s="30"/>
      <c r="D1020" s="30"/>
      <c r="E1020" s="30"/>
      <c r="F1020" s="30"/>
      <c r="G1020" s="30"/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</row>
    <row r="1021">
      <c r="A1021" s="29"/>
      <c r="B1021" s="29"/>
      <c r="C1021" s="30"/>
      <c r="D1021" s="30"/>
      <c r="E1021" s="30"/>
      <c r="F1021" s="30"/>
      <c r="G1021" s="30"/>
      <c r="H1021" s="30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0"/>
      <c r="X1021" s="30"/>
      <c r="Y1021" s="30"/>
      <c r="Z1021" s="30"/>
    </row>
    <row r="1022">
      <c r="A1022" s="29"/>
      <c r="B1022" s="29"/>
      <c r="C1022" s="30"/>
      <c r="D1022" s="30"/>
      <c r="E1022" s="30"/>
      <c r="F1022" s="30"/>
      <c r="G1022" s="30"/>
      <c r="H1022" s="3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</row>
    <row r="1023">
      <c r="A1023" s="29"/>
      <c r="B1023" s="29"/>
      <c r="C1023" s="30"/>
      <c r="D1023" s="30"/>
      <c r="E1023" s="30"/>
      <c r="F1023" s="30"/>
      <c r="G1023" s="30"/>
      <c r="H1023" s="30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0"/>
      <c r="Z1023" s="30"/>
    </row>
    <row r="1024">
      <c r="A1024" s="29"/>
      <c r="B1024" s="29"/>
      <c r="C1024" s="30"/>
      <c r="D1024" s="30"/>
      <c r="E1024" s="30"/>
      <c r="F1024" s="30"/>
      <c r="G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0"/>
      <c r="Z1024" s="30"/>
    </row>
    <row r="1025">
      <c r="A1025" s="29"/>
      <c r="B1025" s="29"/>
      <c r="C1025" s="30"/>
      <c r="D1025" s="30"/>
      <c r="E1025" s="30"/>
      <c r="F1025" s="30"/>
      <c r="G1025" s="30"/>
      <c r="H1025" s="30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0"/>
      <c r="Z1025" s="30"/>
    </row>
    <row r="1026">
      <c r="A1026" s="29"/>
      <c r="B1026" s="29"/>
      <c r="C1026" s="30"/>
      <c r="D1026" s="30"/>
      <c r="E1026" s="30"/>
      <c r="F1026" s="30"/>
      <c r="G1026" s="30"/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</row>
    <row r="1027">
      <c r="A1027" s="29"/>
      <c r="B1027" s="29"/>
      <c r="C1027" s="30"/>
      <c r="D1027" s="30"/>
      <c r="E1027" s="30"/>
      <c r="F1027" s="30"/>
      <c r="G1027" s="30"/>
      <c r="H1027" s="30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0"/>
      <c r="X1027" s="30"/>
      <c r="Y1027" s="30"/>
      <c r="Z1027" s="30"/>
    </row>
    <row r="1028">
      <c r="A1028" s="29"/>
      <c r="B1028" s="29"/>
      <c r="C1028" s="30"/>
      <c r="D1028" s="30"/>
      <c r="E1028" s="30"/>
      <c r="F1028" s="30"/>
      <c r="G1028" s="30"/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0"/>
      <c r="X1028" s="30"/>
      <c r="Y1028" s="30"/>
      <c r="Z1028" s="30"/>
    </row>
    <row r="1029">
      <c r="A1029" s="29"/>
      <c r="B1029" s="29"/>
      <c r="C1029" s="30"/>
      <c r="D1029" s="30"/>
      <c r="E1029" s="30"/>
      <c r="F1029" s="30"/>
      <c r="G1029" s="30"/>
      <c r="H1029" s="30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0"/>
      <c r="X1029" s="30"/>
      <c r="Y1029" s="30"/>
      <c r="Z1029" s="30"/>
    </row>
    <row r="1030">
      <c r="A1030" s="29"/>
      <c r="B1030" s="29"/>
      <c r="C1030" s="30"/>
      <c r="D1030" s="30"/>
      <c r="E1030" s="30"/>
      <c r="F1030" s="30"/>
      <c r="G1030" s="30"/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0"/>
      <c r="X1030" s="30"/>
      <c r="Y1030" s="30"/>
      <c r="Z1030" s="30"/>
    </row>
    <row r="1031">
      <c r="A1031" s="29"/>
      <c r="B1031" s="29"/>
      <c r="C1031" s="30"/>
      <c r="D1031" s="30"/>
      <c r="E1031" s="30"/>
      <c r="F1031" s="30"/>
      <c r="G1031" s="30"/>
      <c r="H1031" s="30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0"/>
      <c r="X1031" s="30"/>
      <c r="Y1031" s="30"/>
      <c r="Z1031" s="30"/>
    </row>
    <row r="1032">
      <c r="A1032" s="29"/>
      <c r="B1032" s="29"/>
      <c r="C1032" s="30"/>
      <c r="D1032" s="30"/>
      <c r="E1032" s="30"/>
      <c r="F1032" s="30"/>
      <c r="G1032" s="30"/>
      <c r="H1032" s="30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0"/>
      <c r="X1032" s="30"/>
      <c r="Y1032" s="30"/>
      <c r="Z1032" s="30"/>
    </row>
    <row r="1033">
      <c r="A1033" s="29"/>
      <c r="B1033" s="29"/>
      <c r="C1033" s="30"/>
      <c r="D1033" s="30"/>
      <c r="E1033" s="30"/>
      <c r="F1033" s="30"/>
      <c r="G1033" s="30"/>
      <c r="H1033" s="30"/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0"/>
      <c r="X1033" s="30"/>
      <c r="Y1033" s="30"/>
      <c r="Z1033" s="30"/>
    </row>
    <row r="1034">
      <c r="A1034" s="29"/>
      <c r="B1034" s="29"/>
      <c r="C1034" s="30"/>
      <c r="D1034" s="30"/>
      <c r="E1034" s="30"/>
      <c r="F1034" s="30"/>
      <c r="G1034" s="30"/>
      <c r="H1034" s="30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</row>
    <row r="1035">
      <c r="A1035" s="29"/>
      <c r="B1035" s="29"/>
      <c r="C1035" s="30"/>
      <c r="D1035" s="30"/>
      <c r="E1035" s="30"/>
      <c r="F1035" s="30"/>
      <c r="G1035" s="30"/>
      <c r="H1035" s="30"/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0"/>
      <c r="Z1035" s="30"/>
    </row>
    <row r="1036">
      <c r="A1036" s="29"/>
      <c r="B1036" s="29"/>
      <c r="C1036" s="30"/>
      <c r="D1036" s="30"/>
      <c r="E1036" s="30"/>
      <c r="F1036" s="30"/>
      <c r="G1036" s="30"/>
      <c r="H1036" s="30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0"/>
      <c r="Z1036" s="30"/>
    </row>
    <row r="1037">
      <c r="A1037" s="29"/>
      <c r="B1037" s="29"/>
      <c r="C1037" s="30"/>
      <c r="D1037" s="30"/>
      <c r="E1037" s="30"/>
      <c r="F1037" s="30"/>
      <c r="G1037" s="30"/>
      <c r="H1037" s="30"/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  <c r="U1037" s="30"/>
      <c r="V1037" s="30"/>
      <c r="W1037" s="30"/>
      <c r="X1037" s="30"/>
      <c r="Y1037" s="30"/>
      <c r="Z1037" s="30"/>
    </row>
    <row r="1038">
      <c r="A1038" s="29"/>
      <c r="B1038" s="29"/>
      <c r="C1038" s="30"/>
      <c r="D1038" s="30"/>
      <c r="E1038" s="30"/>
      <c r="F1038" s="30"/>
      <c r="G1038" s="30"/>
      <c r="H1038" s="30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0"/>
      <c r="X1038" s="30"/>
      <c r="Y1038" s="30"/>
      <c r="Z1038" s="30"/>
    </row>
    <row r="1039">
      <c r="A1039" s="29"/>
      <c r="B1039" s="29"/>
      <c r="C1039" s="30"/>
      <c r="D1039" s="30"/>
      <c r="E1039" s="30"/>
      <c r="F1039" s="30"/>
      <c r="G1039" s="30"/>
      <c r="H1039" s="30"/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0"/>
      <c r="Z1039" s="30"/>
    </row>
    <row r="1040">
      <c r="A1040" s="29"/>
      <c r="B1040" s="29"/>
      <c r="C1040" s="30"/>
      <c r="D1040" s="30"/>
      <c r="E1040" s="30"/>
      <c r="F1040" s="30"/>
      <c r="G1040" s="30"/>
      <c r="H1040" s="30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</row>
    <row r="1041">
      <c r="A1041" s="29"/>
      <c r="B1041" s="29"/>
      <c r="C1041" s="30"/>
      <c r="D1041" s="30"/>
      <c r="E1041" s="30"/>
      <c r="F1041" s="30"/>
      <c r="G1041" s="30"/>
      <c r="H1041" s="30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0"/>
      <c r="Z1041" s="30"/>
    </row>
    <row r="1042">
      <c r="A1042" s="29"/>
      <c r="B1042" s="29"/>
      <c r="C1042" s="30"/>
      <c r="D1042" s="30"/>
      <c r="E1042" s="30"/>
      <c r="F1042" s="30"/>
      <c r="G1042" s="30"/>
      <c r="H1042" s="30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</row>
    <row r="1043">
      <c r="A1043" s="29"/>
      <c r="B1043" s="29"/>
      <c r="C1043" s="30"/>
      <c r="D1043" s="30"/>
      <c r="E1043" s="30"/>
      <c r="F1043" s="30"/>
      <c r="G1043" s="30"/>
      <c r="H1043" s="30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0"/>
      <c r="Z1043" s="30"/>
    </row>
    <row r="1044">
      <c r="A1044" s="29"/>
      <c r="B1044" s="29"/>
      <c r="C1044" s="30"/>
      <c r="D1044" s="30"/>
      <c r="E1044" s="30"/>
      <c r="F1044" s="30"/>
      <c r="G1044" s="30"/>
      <c r="H1044" s="30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0"/>
      <c r="X1044" s="30"/>
      <c r="Y1044" s="30"/>
      <c r="Z1044" s="30"/>
    </row>
    <row r="1045">
      <c r="A1045" s="29"/>
      <c r="B1045" s="29"/>
      <c r="C1045" s="30"/>
      <c r="D1045" s="30"/>
      <c r="E1045" s="30"/>
      <c r="F1045" s="30"/>
      <c r="G1045" s="30"/>
      <c r="H1045" s="30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0"/>
      <c r="X1045" s="30"/>
      <c r="Y1045" s="30"/>
      <c r="Z1045" s="30"/>
    </row>
    <row r="1046">
      <c r="A1046" s="29"/>
      <c r="B1046" s="29"/>
      <c r="C1046" s="30"/>
      <c r="D1046" s="30"/>
      <c r="E1046" s="30"/>
      <c r="F1046" s="30"/>
      <c r="G1046" s="30"/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0"/>
      <c r="X1046" s="30"/>
      <c r="Y1046" s="30"/>
      <c r="Z1046" s="30"/>
    </row>
    <row r="1047">
      <c r="A1047" s="29"/>
      <c r="B1047" s="29"/>
      <c r="C1047" s="30"/>
      <c r="D1047" s="30"/>
      <c r="E1047" s="30"/>
      <c r="F1047" s="30"/>
      <c r="G1047" s="30"/>
      <c r="H1047" s="30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/>
    </row>
    <row r="1048">
      <c r="A1048" s="29"/>
      <c r="B1048" s="29"/>
      <c r="C1048" s="30"/>
      <c r="D1048" s="30"/>
      <c r="E1048" s="30"/>
      <c r="F1048" s="30"/>
      <c r="G1048" s="30"/>
      <c r="H1048" s="30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</row>
    <row r="1049">
      <c r="A1049" s="29"/>
      <c r="B1049" s="29"/>
      <c r="C1049" s="30"/>
      <c r="D1049" s="30"/>
      <c r="E1049" s="30"/>
      <c r="F1049" s="30"/>
      <c r="G1049" s="30"/>
      <c r="H1049" s="30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0"/>
      <c r="X1049" s="30"/>
      <c r="Y1049" s="30"/>
      <c r="Z1049" s="30"/>
    </row>
    <row r="1050">
      <c r="A1050" s="29"/>
      <c r="B1050" s="29"/>
      <c r="C1050" s="30"/>
      <c r="D1050" s="30"/>
      <c r="E1050" s="30"/>
      <c r="F1050" s="30"/>
      <c r="G1050" s="30"/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</row>
    <row r="1051">
      <c r="A1051" s="29"/>
      <c r="B1051" s="29"/>
      <c r="C1051" s="30"/>
      <c r="D1051" s="30"/>
      <c r="E1051" s="30"/>
      <c r="F1051" s="30"/>
      <c r="G1051" s="30"/>
      <c r="H1051" s="30"/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  <c r="U1051" s="30"/>
      <c r="V1051" s="30"/>
      <c r="W1051" s="30"/>
      <c r="X1051" s="30"/>
      <c r="Y1051" s="30"/>
      <c r="Z1051" s="30"/>
    </row>
    <row r="1052">
      <c r="A1052" s="29"/>
      <c r="B1052" s="29"/>
      <c r="C1052" s="30"/>
      <c r="D1052" s="30"/>
      <c r="E1052" s="30"/>
      <c r="F1052" s="30"/>
      <c r="G1052" s="30"/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0"/>
      <c r="X1052" s="30"/>
      <c r="Y1052" s="30"/>
      <c r="Z1052" s="30"/>
    </row>
    <row r="1053">
      <c r="A1053" s="29"/>
      <c r="B1053" s="29"/>
      <c r="C1053" s="30"/>
      <c r="D1053" s="30"/>
      <c r="E1053" s="30"/>
      <c r="F1053" s="30"/>
      <c r="G1053" s="30"/>
      <c r="H1053" s="30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0"/>
      <c r="Z1053" s="30"/>
    </row>
    <row r="1054">
      <c r="A1054" s="29"/>
      <c r="B1054" s="29"/>
      <c r="C1054" s="30"/>
      <c r="D1054" s="30"/>
      <c r="E1054" s="30"/>
      <c r="F1054" s="30"/>
      <c r="G1054" s="30"/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0"/>
      <c r="X1054" s="30"/>
      <c r="Y1054" s="30"/>
      <c r="Z1054" s="30"/>
    </row>
    <row r="1055">
      <c r="A1055" s="29"/>
      <c r="B1055" s="29"/>
      <c r="C1055" s="30"/>
      <c r="D1055" s="30"/>
      <c r="E1055" s="30"/>
      <c r="F1055" s="30"/>
      <c r="G1055" s="30"/>
      <c r="H1055" s="30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0"/>
      <c r="Z1055" s="30"/>
    </row>
    <row r="1056">
      <c r="A1056" s="29"/>
      <c r="B1056" s="29"/>
      <c r="C1056" s="30"/>
      <c r="D1056" s="30"/>
      <c r="E1056" s="30"/>
      <c r="F1056" s="30"/>
      <c r="G1056" s="30"/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</row>
    <row r="1057">
      <c r="A1057" s="29"/>
      <c r="B1057" s="29"/>
      <c r="C1057" s="30"/>
      <c r="D1057" s="30"/>
      <c r="E1057" s="30"/>
      <c r="F1057" s="30"/>
      <c r="G1057" s="30"/>
      <c r="H1057" s="30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30"/>
      <c r="W1057" s="30"/>
      <c r="X1057" s="30"/>
      <c r="Y1057" s="30"/>
      <c r="Z1057" s="30"/>
    </row>
    <row r="1058">
      <c r="A1058" s="29"/>
      <c r="B1058" s="29"/>
      <c r="C1058" s="30"/>
      <c r="D1058" s="30"/>
      <c r="E1058" s="30"/>
      <c r="F1058" s="30"/>
      <c r="G1058" s="30"/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</row>
    <row r="1059">
      <c r="A1059" s="29"/>
      <c r="B1059" s="29"/>
      <c r="C1059" s="30"/>
      <c r="D1059" s="30"/>
      <c r="E1059" s="30"/>
      <c r="F1059" s="30"/>
      <c r="G1059" s="30"/>
      <c r="H1059" s="30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0"/>
      <c r="Z1059" s="30"/>
    </row>
    <row r="1060">
      <c r="A1060" s="29"/>
      <c r="B1060" s="29"/>
      <c r="C1060" s="30"/>
      <c r="D1060" s="30"/>
      <c r="E1060" s="30"/>
      <c r="F1060" s="30"/>
      <c r="G1060" s="30"/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0"/>
      <c r="X1060" s="30"/>
      <c r="Y1060" s="30"/>
      <c r="Z1060" s="30"/>
    </row>
    <row r="1061">
      <c r="A1061" s="29"/>
      <c r="B1061" s="29"/>
      <c r="C1061" s="30"/>
      <c r="D1061" s="30"/>
      <c r="E1061" s="30"/>
      <c r="F1061" s="30"/>
      <c r="G1061" s="30"/>
      <c r="H1061" s="30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0"/>
      <c r="X1061" s="30"/>
      <c r="Y1061" s="30"/>
      <c r="Z1061" s="30"/>
    </row>
    <row r="1062">
      <c r="A1062" s="29"/>
      <c r="B1062" s="29"/>
      <c r="C1062" s="30"/>
      <c r="D1062" s="30"/>
      <c r="E1062" s="30"/>
      <c r="F1062" s="30"/>
      <c r="G1062" s="30"/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0"/>
      <c r="X1062" s="30"/>
      <c r="Y1062" s="30"/>
      <c r="Z1062" s="30"/>
    </row>
    <row r="1063">
      <c r="A1063" s="29"/>
      <c r="B1063" s="29"/>
      <c r="C1063" s="30"/>
      <c r="D1063" s="30"/>
      <c r="E1063" s="30"/>
      <c r="F1063" s="30"/>
      <c r="G1063" s="30"/>
      <c r="H1063" s="30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0"/>
      <c r="Z1063" s="30"/>
    </row>
    <row r="1064">
      <c r="A1064" s="29"/>
      <c r="B1064" s="29"/>
      <c r="C1064" s="30"/>
      <c r="D1064" s="30"/>
      <c r="E1064" s="30"/>
      <c r="F1064" s="30"/>
      <c r="G1064" s="30"/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0"/>
      <c r="X1064" s="30"/>
      <c r="Y1064" s="30"/>
      <c r="Z1064" s="30"/>
    </row>
    <row r="1065">
      <c r="A1065" s="29"/>
      <c r="B1065" s="29"/>
      <c r="C1065" s="30"/>
      <c r="D1065" s="30"/>
      <c r="E1065" s="30"/>
      <c r="F1065" s="30"/>
      <c r="G1065" s="30"/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0"/>
      <c r="X1065" s="30"/>
      <c r="Y1065" s="30"/>
      <c r="Z1065" s="30"/>
    </row>
    <row r="1066">
      <c r="A1066" s="29"/>
      <c r="B1066" s="29"/>
      <c r="C1066" s="30"/>
      <c r="D1066" s="30"/>
      <c r="E1066" s="30"/>
      <c r="F1066" s="30"/>
      <c r="G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</row>
    <row r="1067">
      <c r="A1067" s="29"/>
      <c r="B1067" s="29"/>
      <c r="C1067" s="30"/>
      <c r="D1067" s="30"/>
      <c r="E1067" s="30"/>
      <c r="F1067" s="30"/>
      <c r="G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0"/>
      <c r="X1067" s="30"/>
      <c r="Y1067" s="30"/>
      <c r="Z1067" s="30"/>
    </row>
    <row r="1068">
      <c r="A1068" s="29"/>
      <c r="B1068" s="29"/>
      <c r="C1068" s="30"/>
      <c r="D1068" s="30"/>
      <c r="E1068" s="30"/>
      <c r="F1068" s="30"/>
      <c r="G1068" s="30"/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0"/>
      <c r="Z1068" s="30"/>
    </row>
    <row r="1069">
      <c r="A1069" s="29"/>
      <c r="B1069" s="29"/>
      <c r="C1069" s="30"/>
      <c r="D1069" s="30"/>
      <c r="E1069" s="30"/>
      <c r="F1069" s="30"/>
      <c r="G1069" s="30"/>
      <c r="H1069" s="30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0"/>
      <c r="Z1069" s="30"/>
    </row>
    <row r="1070">
      <c r="A1070" s="29"/>
      <c r="B1070" s="29"/>
      <c r="C1070" s="30"/>
      <c r="D1070" s="30"/>
      <c r="E1070" s="30"/>
      <c r="F1070" s="30"/>
      <c r="G1070" s="30"/>
      <c r="H1070" s="30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0"/>
      <c r="X1070" s="30"/>
      <c r="Y1070" s="30"/>
      <c r="Z1070" s="30"/>
    </row>
    <row r="1071">
      <c r="A1071" s="29"/>
      <c r="B1071" s="29"/>
      <c r="C1071" s="30"/>
      <c r="D1071" s="30"/>
      <c r="E1071" s="30"/>
      <c r="F1071" s="30"/>
      <c r="G1071" s="30"/>
      <c r="H1071" s="30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  <c r="U1071" s="30"/>
      <c r="V1071" s="30"/>
      <c r="W1071" s="30"/>
      <c r="X1071" s="30"/>
      <c r="Y1071" s="30"/>
      <c r="Z1071" s="30"/>
    </row>
    <row r="1072">
      <c r="A1072" s="29"/>
      <c r="B1072" s="29"/>
      <c r="C1072" s="30"/>
      <c r="D1072" s="30"/>
      <c r="E1072" s="30"/>
      <c r="F1072" s="30"/>
      <c r="G1072" s="30"/>
      <c r="H1072" s="30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</row>
    <row r="1073">
      <c r="A1073" s="29"/>
      <c r="B1073" s="29"/>
      <c r="C1073" s="30"/>
      <c r="D1073" s="30"/>
      <c r="E1073" s="30"/>
      <c r="F1073" s="30"/>
      <c r="G1073" s="30"/>
      <c r="H1073" s="30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0"/>
      <c r="Z1073" s="30"/>
    </row>
    <row r="1074">
      <c r="A1074" s="29"/>
      <c r="B1074" s="29"/>
      <c r="C1074" s="30"/>
      <c r="D1074" s="30"/>
      <c r="E1074" s="30"/>
      <c r="F1074" s="30"/>
      <c r="G1074" s="30"/>
      <c r="H1074" s="30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</row>
    <row r="1075">
      <c r="A1075" s="29"/>
      <c r="B1075" s="29"/>
      <c r="C1075" s="30"/>
      <c r="D1075" s="30"/>
      <c r="E1075" s="30"/>
      <c r="F1075" s="30"/>
      <c r="G1075" s="30"/>
      <c r="H1075" s="30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0"/>
      <c r="X1075" s="30"/>
      <c r="Y1075" s="30"/>
      <c r="Z1075" s="30"/>
    </row>
    <row r="1076">
      <c r="A1076" s="29"/>
      <c r="B1076" s="29"/>
      <c r="C1076" s="30"/>
      <c r="D1076" s="30"/>
      <c r="E1076" s="30"/>
      <c r="F1076" s="30"/>
      <c r="G1076" s="30"/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0"/>
      <c r="X1076" s="30"/>
      <c r="Y1076" s="30"/>
      <c r="Z1076" s="30"/>
    </row>
    <row r="1077">
      <c r="A1077" s="29"/>
      <c r="B1077" s="29"/>
      <c r="C1077" s="30"/>
      <c r="D1077" s="30"/>
      <c r="E1077" s="30"/>
      <c r="F1077" s="30"/>
      <c r="G1077" s="30"/>
      <c r="H1077" s="30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0"/>
      <c r="Z1077" s="30"/>
    </row>
    <row r="1078">
      <c r="A1078" s="29"/>
      <c r="B1078" s="29"/>
      <c r="C1078" s="30"/>
      <c r="D1078" s="30"/>
      <c r="E1078" s="30"/>
      <c r="F1078" s="30"/>
      <c r="G1078" s="30"/>
      <c r="H1078" s="30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</row>
    <row r="1079">
      <c r="A1079" s="29"/>
      <c r="B1079" s="29"/>
      <c r="C1079" s="30"/>
      <c r="D1079" s="30"/>
      <c r="E1079" s="30"/>
      <c r="F1079" s="30"/>
      <c r="G1079" s="30"/>
      <c r="H1079" s="30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0"/>
      <c r="Z1079" s="30"/>
    </row>
    <row r="1080">
      <c r="A1080" s="29"/>
      <c r="B1080" s="29"/>
      <c r="C1080" s="30"/>
      <c r="D1080" s="30"/>
      <c r="E1080" s="30"/>
      <c r="F1080" s="30"/>
      <c r="G1080" s="30"/>
      <c r="H1080" s="30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0"/>
      <c r="X1080" s="30"/>
      <c r="Y1080" s="30"/>
      <c r="Z1080" s="30"/>
    </row>
    <row r="1081">
      <c r="A1081" s="29"/>
      <c r="B1081" s="29"/>
      <c r="C1081" s="30"/>
      <c r="D1081" s="30"/>
      <c r="E1081" s="30"/>
      <c r="F1081" s="30"/>
      <c r="G1081" s="30"/>
      <c r="H1081" s="30"/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0"/>
      <c r="Z1081" s="30"/>
    </row>
    <row r="1082">
      <c r="A1082" s="29"/>
      <c r="B1082" s="29"/>
      <c r="C1082" s="30"/>
      <c r="D1082" s="30"/>
      <c r="E1082" s="30"/>
      <c r="F1082" s="30"/>
      <c r="G1082" s="30"/>
      <c r="H1082" s="3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</row>
    <row r="1083">
      <c r="A1083" s="29"/>
      <c r="B1083" s="29"/>
      <c r="C1083" s="30"/>
      <c r="D1083" s="30"/>
      <c r="E1083" s="30"/>
      <c r="F1083" s="30"/>
      <c r="G1083" s="30"/>
      <c r="H1083" s="30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  <c r="U1083" s="30"/>
      <c r="V1083" s="30"/>
      <c r="W1083" s="30"/>
      <c r="X1083" s="30"/>
      <c r="Y1083" s="30"/>
      <c r="Z1083" s="30"/>
    </row>
    <row r="1084">
      <c r="A1084" s="29"/>
      <c r="B1084" s="29"/>
      <c r="C1084" s="30"/>
      <c r="D1084" s="30"/>
      <c r="E1084" s="30"/>
      <c r="F1084" s="30"/>
      <c r="G1084" s="30"/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</row>
    <row r="1085">
      <c r="A1085" s="29"/>
      <c r="B1085" s="29"/>
      <c r="C1085" s="30"/>
      <c r="D1085" s="30"/>
      <c r="E1085" s="30"/>
      <c r="F1085" s="30"/>
      <c r="G1085" s="30"/>
      <c r="H1085" s="30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0"/>
      <c r="X1085" s="30"/>
      <c r="Y1085" s="30"/>
      <c r="Z1085" s="30"/>
    </row>
    <row r="1086">
      <c r="A1086" s="29"/>
      <c r="B1086" s="29"/>
      <c r="C1086" s="30"/>
      <c r="D1086" s="30"/>
      <c r="E1086" s="30"/>
      <c r="F1086" s="30"/>
      <c r="G1086" s="30"/>
      <c r="H1086" s="30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</row>
    <row r="1087">
      <c r="A1087" s="29"/>
      <c r="B1087" s="29"/>
      <c r="C1087" s="30"/>
      <c r="D1087" s="30"/>
      <c r="E1087" s="30"/>
      <c r="F1087" s="30"/>
      <c r="G1087" s="30"/>
      <c r="H1087" s="30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0"/>
      <c r="Z1087" s="30"/>
    </row>
    <row r="1088">
      <c r="A1088" s="29"/>
      <c r="B1088" s="29"/>
      <c r="C1088" s="30"/>
      <c r="D1088" s="30"/>
      <c r="E1088" s="30"/>
      <c r="F1088" s="30"/>
      <c r="G1088" s="30"/>
      <c r="H1088" s="30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</row>
    <row r="1089">
      <c r="A1089" s="29"/>
      <c r="B1089" s="29"/>
      <c r="C1089" s="30"/>
      <c r="D1089" s="30"/>
      <c r="E1089" s="30"/>
      <c r="F1089" s="30"/>
      <c r="G1089" s="30"/>
      <c r="H1089" s="30"/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0"/>
      <c r="X1089" s="30"/>
      <c r="Y1089" s="30"/>
      <c r="Z1089" s="30"/>
    </row>
    <row r="1090">
      <c r="A1090" s="29"/>
      <c r="B1090" s="29"/>
      <c r="C1090" s="30"/>
      <c r="D1090" s="30"/>
      <c r="E1090" s="30"/>
      <c r="F1090" s="30"/>
      <c r="G1090" s="30"/>
      <c r="H1090" s="30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0"/>
      <c r="X1090" s="30"/>
      <c r="Y1090" s="30"/>
      <c r="Z1090" s="30"/>
    </row>
    <row r="1091">
      <c r="A1091" s="29"/>
      <c r="B1091" s="29"/>
      <c r="C1091" s="30"/>
      <c r="D1091" s="30"/>
      <c r="E1091" s="30"/>
      <c r="F1091" s="30"/>
      <c r="G1091" s="30"/>
      <c r="H1091" s="30"/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0"/>
      <c r="X1091" s="30"/>
      <c r="Y1091" s="30"/>
      <c r="Z1091" s="30"/>
    </row>
    <row r="1092">
      <c r="A1092" s="29"/>
      <c r="B1092" s="29"/>
      <c r="C1092" s="30"/>
      <c r="D1092" s="30"/>
      <c r="E1092" s="30"/>
      <c r="F1092" s="30"/>
      <c r="G1092" s="30"/>
      <c r="H1092" s="30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</row>
    <row r="1093">
      <c r="A1093" s="29"/>
      <c r="B1093" s="29"/>
      <c r="C1093" s="30"/>
      <c r="D1093" s="30"/>
      <c r="E1093" s="30"/>
      <c r="F1093" s="30"/>
      <c r="G1093" s="30"/>
      <c r="H1093" s="30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  <c r="U1093" s="30"/>
      <c r="V1093" s="30"/>
      <c r="W1093" s="30"/>
      <c r="X1093" s="30"/>
      <c r="Y1093" s="30"/>
      <c r="Z1093" s="30"/>
    </row>
    <row r="1094">
      <c r="A1094" s="29"/>
      <c r="B1094" s="29"/>
      <c r="C1094" s="30"/>
      <c r="D1094" s="30"/>
      <c r="E1094" s="30"/>
      <c r="F1094" s="30"/>
      <c r="G1094" s="30"/>
      <c r="H1094" s="30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0"/>
      <c r="X1094" s="30"/>
      <c r="Y1094" s="30"/>
      <c r="Z1094" s="30"/>
    </row>
    <row r="1095">
      <c r="A1095" s="29"/>
      <c r="B1095" s="29"/>
      <c r="C1095" s="30"/>
      <c r="D1095" s="30"/>
      <c r="E1095" s="30"/>
      <c r="F1095" s="30"/>
      <c r="G1095" s="30"/>
      <c r="H1095" s="30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0"/>
      <c r="X1095" s="30"/>
      <c r="Y1095" s="30"/>
      <c r="Z1095" s="30"/>
    </row>
    <row r="1096">
      <c r="A1096" s="29"/>
      <c r="B1096" s="29"/>
      <c r="C1096" s="30"/>
      <c r="D1096" s="30"/>
      <c r="E1096" s="30"/>
      <c r="F1096" s="30"/>
      <c r="G1096" s="30"/>
      <c r="H1096" s="30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</row>
    <row r="1097">
      <c r="A1097" s="29"/>
      <c r="B1097" s="29"/>
      <c r="C1097" s="30"/>
      <c r="D1097" s="30"/>
      <c r="E1097" s="30"/>
      <c r="F1097" s="30"/>
      <c r="G1097" s="30"/>
      <c r="H1097" s="3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0"/>
      <c r="Z1097" s="30"/>
    </row>
    <row r="1098">
      <c r="A1098" s="29"/>
      <c r="B1098" s="29"/>
      <c r="C1098" s="30"/>
      <c r="D1098" s="30"/>
      <c r="E1098" s="30"/>
      <c r="F1098" s="30"/>
      <c r="G1098" s="30"/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0"/>
      <c r="X1098" s="30"/>
      <c r="Y1098" s="30"/>
      <c r="Z1098" s="30"/>
    </row>
    <row r="1099">
      <c r="A1099" s="29"/>
      <c r="B1099" s="29"/>
      <c r="C1099" s="30"/>
      <c r="D1099" s="30"/>
      <c r="E1099" s="30"/>
      <c r="F1099" s="30"/>
      <c r="G1099" s="30"/>
      <c r="H1099" s="30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0"/>
      <c r="X1099" s="30"/>
      <c r="Y1099" s="30"/>
      <c r="Z1099" s="30"/>
    </row>
    <row r="1100">
      <c r="A1100" s="29"/>
      <c r="B1100" s="29"/>
      <c r="C1100" s="30"/>
      <c r="D1100" s="30"/>
      <c r="E1100" s="30"/>
      <c r="F1100" s="30"/>
      <c r="G1100" s="30"/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</row>
    <row r="1101">
      <c r="A1101" s="29"/>
      <c r="B1101" s="29"/>
      <c r="C1101" s="30"/>
      <c r="D1101" s="30"/>
      <c r="E1101" s="30"/>
      <c r="F1101" s="30"/>
      <c r="G1101" s="30"/>
      <c r="H1101" s="30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0"/>
      <c r="X1101" s="30"/>
      <c r="Y1101" s="30"/>
      <c r="Z1101" s="30"/>
    </row>
    <row r="1102">
      <c r="A1102" s="29"/>
      <c r="B1102" s="29"/>
      <c r="C1102" s="30"/>
      <c r="D1102" s="30"/>
      <c r="E1102" s="30"/>
      <c r="F1102" s="30"/>
      <c r="G1102" s="30"/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</row>
    <row r="1103">
      <c r="A1103" s="29"/>
      <c r="B1103" s="29"/>
      <c r="C1103" s="30"/>
      <c r="D1103" s="30"/>
      <c r="E1103" s="30"/>
      <c r="F1103" s="30"/>
      <c r="G1103" s="30"/>
      <c r="H1103" s="30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0"/>
      <c r="X1103" s="30"/>
      <c r="Y1103" s="30"/>
      <c r="Z1103" s="30"/>
    </row>
    <row r="1104">
      <c r="A1104" s="29"/>
      <c r="B1104" s="29"/>
      <c r="C1104" s="30"/>
      <c r="D1104" s="30"/>
      <c r="E1104" s="30"/>
      <c r="F1104" s="30"/>
      <c r="G1104" s="30"/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/>
    </row>
    <row r="1105">
      <c r="A1105" s="29"/>
      <c r="B1105" s="29"/>
      <c r="C1105" s="30"/>
      <c r="D1105" s="30"/>
      <c r="E1105" s="30"/>
      <c r="F1105" s="30"/>
      <c r="G1105" s="30"/>
      <c r="H1105" s="30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/>
      <c r="W1105" s="30"/>
      <c r="X1105" s="30"/>
      <c r="Y1105" s="30"/>
      <c r="Z1105" s="30"/>
    </row>
    <row r="1106">
      <c r="A1106" s="29"/>
      <c r="B1106" s="29"/>
      <c r="C1106" s="30"/>
      <c r="D1106" s="30"/>
      <c r="E1106" s="30"/>
      <c r="F1106" s="30"/>
      <c r="G1106" s="30"/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0"/>
      <c r="X1106" s="30"/>
      <c r="Y1106" s="30"/>
      <c r="Z1106" s="30"/>
    </row>
    <row r="1107">
      <c r="A1107" s="29"/>
      <c r="B1107" s="29"/>
      <c r="C1107" s="30"/>
      <c r="D1107" s="30"/>
      <c r="E1107" s="30"/>
      <c r="F1107" s="30"/>
      <c r="G1107" s="30"/>
      <c r="H1107" s="30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0"/>
      <c r="X1107" s="30"/>
      <c r="Y1107" s="30"/>
      <c r="Z1107" s="30"/>
    </row>
    <row r="1108">
      <c r="A1108" s="29"/>
      <c r="B1108" s="29"/>
      <c r="C1108" s="30"/>
      <c r="D1108" s="30"/>
      <c r="E1108" s="30"/>
      <c r="F1108" s="30"/>
      <c r="G1108" s="30"/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0"/>
      <c r="X1108" s="30"/>
      <c r="Y1108" s="30"/>
      <c r="Z1108" s="30"/>
    </row>
    <row r="1109">
      <c r="A1109" s="29"/>
      <c r="B1109" s="29"/>
      <c r="C1109" s="30"/>
      <c r="D1109" s="30"/>
      <c r="E1109" s="30"/>
      <c r="F1109" s="30"/>
      <c r="G1109" s="30"/>
      <c r="H1109" s="30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30"/>
      <c r="W1109" s="30"/>
      <c r="X1109" s="30"/>
      <c r="Y1109" s="30"/>
      <c r="Z1109" s="30"/>
    </row>
    <row r="1110">
      <c r="A1110" s="29"/>
      <c r="B1110" s="29"/>
      <c r="C1110" s="30"/>
      <c r="D1110" s="30"/>
      <c r="E1110" s="30"/>
      <c r="F1110" s="30"/>
      <c r="G1110" s="30"/>
      <c r="H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0"/>
      <c r="X1110" s="30"/>
      <c r="Y1110" s="30"/>
      <c r="Z1110" s="30"/>
    </row>
    <row r="1111">
      <c r="A1111" s="29"/>
      <c r="B1111" s="29"/>
      <c r="C1111" s="30"/>
      <c r="D1111" s="30"/>
      <c r="E1111" s="30"/>
      <c r="F1111" s="30"/>
      <c r="G1111" s="30"/>
      <c r="H1111" s="30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0"/>
      <c r="X1111" s="30"/>
      <c r="Y1111" s="30"/>
      <c r="Z1111" s="30"/>
    </row>
    <row r="1112">
      <c r="A1112" s="29"/>
      <c r="B1112" s="29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0"/>
      <c r="X1112" s="30"/>
      <c r="Y1112" s="30"/>
      <c r="Z1112" s="30"/>
    </row>
    <row r="1113">
      <c r="A1113" s="29"/>
      <c r="B1113" s="29"/>
      <c r="C1113" s="30"/>
      <c r="D1113" s="30"/>
      <c r="E1113" s="30"/>
      <c r="F1113" s="30"/>
      <c r="G1113" s="30"/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</row>
    <row r="1114">
      <c r="A1114" s="29"/>
      <c r="B1114" s="29"/>
      <c r="C1114" s="30"/>
      <c r="D1114" s="30"/>
      <c r="E1114" s="30"/>
      <c r="F1114" s="30"/>
      <c r="G1114" s="30"/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</row>
    <row r="1115">
      <c r="A1115" s="29"/>
      <c r="B1115" s="29"/>
      <c r="C1115" s="30"/>
      <c r="D1115" s="30"/>
      <c r="E1115" s="30"/>
      <c r="F1115" s="30"/>
      <c r="G1115" s="30"/>
      <c r="H1115" s="30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  <c r="U1115" s="30"/>
      <c r="V1115" s="30"/>
      <c r="W1115" s="30"/>
      <c r="X1115" s="30"/>
      <c r="Y1115" s="30"/>
      <c r="Z1115" s="30"/>
    </row>
    <row r="1116">
      <c r="A1116" s="29"/>
      <c r="B1116" s="29"/>
      <c r="C1116" s="30"/>
      <c r="D1116" s="30"/>
      <c r="E1116" s="30"/>
      <c r="F1116" s="30"/>
      <c r="G1116" s="30"/>
      <c r="H1116" s="30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0"/>
      <c r="Z1116" s="30"/>
    </row>
    <row r="1117">
      <c r="A1117" s="29"/>
      <c r="B1117" s="29"/>
      <c r="C1117" s="30"/>
      <c r="D1117" s="30"/>
      <c r="E1117" s="30"/>
      <c r="F1117" s="30"/>
      <c r="G1117" s="30"/>
      <c r="H1117" s="30"/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0"/>
      <c r="X1117" s="30"/>
      <c r="Y1117" s="30"/>
      <c r="Z1117" s="30"/>
    </row>
    <row r="1118">
      <c r="A1118" s="29"/>
      <c r="B1118" s="29"/>
      <c r="C1118" s="30"/>
      <c r="D1118" s="30"/>
      <c r="E1118" s="30"/>
      <c r="F1118" s="30"/>
      <c r="G1118" s="30"/>
      <c r="H1118" s="30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0"/>
      <c r="X1118" s="30"/>
      <c r="Y1118" s="30"/>
      <c r="Z1118" s="30"/>
    </row>
    <row r="1119">
      <c r="A1119" s="29"/>
      <c r="B1119" s="29"/>
      <c r="C1119" s="30"/>
      <c r="D1119" s="30"/>
      <c r="E1119" s="30"/>
      <c r="F1119" s="30"/>
      <c r="G1119" s="30"/>
      <c r="H1119" s="30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  <c r="U1119" s="30"/>
      <c r="V1119" s="30"/>
      <c r="W1119" s="30"/>
      <c r="X1119" s="30"/>
      <c r="Y1119" s="30"/>
      <c r="Z1119" s="30"/>
    </row>
    <row r="1120">
      <c r="A1120" s="29"/>
      <c r="B1120" s="29"/>
      <c r="C1120" s="30"/>
      <c r="D1120" s="30"/>
      <c r="E1120" s="30"/>
      <c r="F1120" s="30"/>
      <c r="G1120" s="30"/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0"/>
      <c r="X1120" s="30"/>
      <c r="Y1120" s="30"/>
      <c r="Z1120" s="30"/>
    </row>
    <row r="1121">
      <c r="A1121" s="29"/>
      <c r="B1121" s="29"/>
      <c r="C1121" s="30"/>
      <c r="D1121" s="30"/>
      <c r="E1121" s="30"/>
      <c r="F1121" s="30"/>
      <c r="G1121" s="30"/>
      <c r="H1121" s="30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  <c r="U1121" s="30"/>
      <c r="V1121" s="30"/>
      <c r="W1121" s="30"/>
      <c r="X1121" s="30"/>
      <c r="Y1121" s="30"/>
      <c r="Z1121" s="30"/>
    </row>
    <row r="1122">
      <c r="A1122" s="29"/>
      <c r="B1122" s="29"/>
      <c r="C1122" s="30"/>
      <c r="D1122" s="30"/>
      <c r="E1122" s="30"/>
      <c r="F1122" s="30"/>
      <c r="G1122" s="30"/>
      <c r="H1122" s="30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0"/>
      <c r="Z1122" s="30"/>
    </row>
    <row r="1123">
      <c r="A1123" s="29"/>
      <c r="B1123" s="29"/>
      <c r="C1123" s="30"/>
      <c r="D1123" s="30"/>
      <c r="E1123" s="30"/>
      <c r="F1123" s="30"/>
      <c r="G1123" s="30"/>
      <c r="H1123" s="30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30"/>
      <c r="X1123" s="30"/>
      <c r="Y1123" s="30"/>
      <c r="Z1123" s="30"/>
    </row>
    <row r="1124">
      <c r="A1124" s="29"/>
      <c r="B1124" s="29"/>
      <c r="C1124" s="30"/>
      <c r="D1124" s="30"/>
      <c r="E1124" s="30"/>
      <c r="F1124" s="30"/>
      <c r="G1124" s="30"/>
      <c r="H1124" s="30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0"/>
      <c r="X1124" s="30"/>
      <c r="Y1124" s="30"/>
      <c r="Z1124" s="30"/>
    </row>
    <row r="1125">
      <c r="A1125" s="29"/>
      <c r="B1125" s="29"/>
      <c r="C1125" s="30"/>
      <c r="D1125" s="30"/>
      <c r="E1125" s="30"/>
      <c r="F1125" s="30"/>
      <c r="G1125" s="30"/>
      <c r="H1125" s="30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  <c r="U1125" s="30"/>
      <c r="V1125" s="30"/>
      <c r="W1125" s="30"/>
      <c r="X1125" s="30"/>
      <c r="Y1125" s="30"/>
      <c r="Z1125" s="30"/>
    </row>
    <row r="1126">
      <c r="A1126" s="29"/>
      <c r="B1126" s="29"/>
      <c r="C1126" s="30"/>
      <c r="D1126" s="30"/>
      <c r="E1126" s="30"/>
      <c r="F1126" s="30"/>
      <c r="G1126" s="30"/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0"/>
      <c r="Y1126" s="30"/>
      <c r="Z1126" s="30"/>
    </row>
    <row r="1127">
      <c r="A1127" s="29"/>
      <c r="B1127" s="29"/>
      <c r="C1127" s="30"/>
      <c r="D1127" s="30"/>
      <c r="E1127" s="30"/>
      <c r="F1127" s="30"/>
      <c r="G1127" s="30"/>
      <c r="H1127" s="3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30"/>
      <c r="Z1127" s="30"/>
    </row>
    <row r="1128">
      <c r="A1128" s="29"/>
      <c r="B1128" s="29"/>
      <c r="C1128" s="30"/>
      <c r="D1128" s="30"/>
      <c r="E1128" s="30"/>
      <c r="F1128" s="30"/>
      <c r="G1128" s="30"/>
      <c r="H1128" s="30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0"/>
      <c r="X1128" s="30"/>
      <c r="Y1128" s="30"/>
      <c r="Z1128" s="30"/>
    </row>
    <row r="1129">
      <c r="A1129" s="29"/>
      <c r="B1129" s="29"/>
      <c r="C1129" s="30"/>
      <c r="D1129" s="30"/>
      <c r="E1129" s="30"/>
      <c r="F1129" s="30"/>
      <c r="G1129" s="30"/>
      <c r="H1129" s="30"/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  <c r="U1129" s="30"/>
      <c r="V1129" s="30"/>
      <c r="W1129" s="30"/>
      <c r="X1129" s="30"/>
      <c r="Y1129" s="30"/>
      <c r="Z1129" s="30"/>
    </row>
    <row r="1130">
      <c r="A1130" s="29"/>
      <c r="B1130" s="29"/>
      <c r="C1130" s="30"/>
      <c r="D1130" s="30"/>
      <c r="E1130" s="30"/>
      <c r="F1130" s="30"/>
      <c r="G1130" s="30"/>
      <c r="H1130" s="30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0"/>
      <c r="Z1130" s="30"/>
    </row>
    <row r="1131">
      <c r="A1131" s="29"/>
      <c r="B1131" s="29"/>
      <c r="C1131" s="30"/>
      <c r="D1131" s="30"/>
      <c r="E1131" s="30"/>
      <c r="F1131" s="30"/>
      <c r="G1131" s="30"/>
      <c r="H1131" s="30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  <c r="U1131" s="30"/>
      <c r="V1131" s="30"/>
      <c r="W1131" s="30"/>
      <c r="X1131" s="30"/>
      <c r="Y1131" s="30"/>
      <c r="Z1131" s="30"/>
    </row>
    <row r="1132">
      <c r="A1132" s="29"/>
      <c r="B1132" s="29"/>
      <c r="C1132" s="30"/>
      <c r="D1132" s="30"/>
      <c r="E1132" s="30"/>
      <c r="F1132" s="30"/>
      <c r="G1132" s="30"/>
      <c r="H1132" s="30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0"/>
      <c r="X1132" s="30"/>
      <c r="Y1132" s="30"/>
      <c r="Z1132" s="30"/>
    </row>
    <row r="1133">
      <c r="A1133" s="29"/>
      <c r="B1133" s="29"/>
      <c r="C1133" s="30"/>
      <c r="D1133" s="30"/>
      <c r="E1133" s="30"/>
      <c r="F1133" s="30"/>
      <c r="G1133" s="30"/>
      <c r="H1133" s="30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/>
      <c r="W1133" s="30"/>
      <c r="X1133" s="30"/>
      <c r="Y1133" s="30"/>
      <c r="Z1133" s="30"/>
    </row>
    <row r="1134">
      <c r="A1134" s="29"/>
      <c r="B1134" s="29"/>
      <c r="C1134" s="30"/>
      <c r="D1134" s="30"/>
      <c r="E1134" s="30"/>
      <c r="F1134" s="30"/>
      <c r="G1134" s="30"/>
      <c r="H1134" s="30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0"/>
      <c r="Z1134" s="30"/>
    </row>
    <row r="1135">
      <c r="A1135" s="29"/>
      <c r="B1135" s="29"/>
      <c r="C1135" s="30"/>
      <c r="D1135" s="30"/>
      <c r="E1135" s="30"/>
      <c r="F1135" s="30"/>
      <c r="G1135" s="30"/>
      <c r="H1135" s="30"/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  <c r="U1135" s="30"/>
      <c r="V1135" s="30"/>
      <c r="W1135" s="30"/>
      <c r="X1135" s="30"/>
      <c r="Y1135" s="30"/>
      <c r="Z1135" s="30"/>
    </row>
    <row r="1136">
      <c r="A1136" s="29"/>
      <c r="B1136" s="29"/>
      <c r="C1136" s="30"/>
      <c r="D1136" s="30"/>
      <c r="E1136" s="30"/>
      <c r="F1136" s="30"/>
      <c r="G1136" s="30"/>
      <c r="H1136" s="30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/>
    </row>
    <row r="1137">
      <c r="A1137" s="29"/>
      <c r="B1137" s="29"/>
      <c r="C1137" s="30"/>
      <c r="D1137" s="30"/>
      <c r="E1137" s="30"/>
      <c r="F1137" s="30"/>
      <c r="G1137" s="30"/>
      <c r="H1137" s="30"/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0"/>
      <c r="Z1137" s="30"/>
    </row>
    <row r="1138">
      <c r="A1138" s="29"/>
      <c r="B1138" s="29"/>
      <c r="C1138" s="30"/>
      <c r="D1138" s="30"/>
      <c r="E1138" s="30"/>
      <c r="F1138" s="30"/>
      <c r="G1138" s="30"/>
      <c r="H1138" s="30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0"/>
      <c r="Z1138" s="30"/>
    </row>
    <row r="1139">
      <c r="A1139" s="29"/>
      <c r="B1139" s="29"/>
      <c r="C1139" s="30"/>
      <c r="D1139" s="30"/>
      <c r="E1139" s="30"/>
      <c r="F1139" s="30"/>
      <c r="G1139" s="30"/>
      <c r="H1139" s="30"/>
      <c r="I1139" s="30"/>
      <c r="J1139" s="30"/>
      <c r="K1139" s="30"/>
      <c r="L1139" s="30"/>
      <c r="M1139" s="30"/>
      <c r="N1139" s="30"/>
      <c r="O1139" s="30"/>
      <c r="P1139" s="30"/>
      <c r="Q1139" s="30"/>
      <c r="R1139" s="30"/>
      <c r="S1139" s="30"/>
      <c r="T1139" s="30"/>
      <c r="U1139" s="30"/>
      <c r="V1139" s="30"/>
      <c r="W1139" s="30"/>
      <c r="X1139" s="30"/>
      <c r="Y1139" s="30"/>
      <c r="Z1139" s="30"/>
    </row>
    <row r="1140">
      <c r="A1140" s="29"/>
      <c r="B1140" s="29"/>
      <c r="C1140" s="30"/>
      <c r="D1140" s="30"/>
      <c r="E1140" s="30"/>
      <c r="F1140" s="30"/>
      <c r="G1140" s="30"/>
      <c r="H1140" s="30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0"/>
      <c r="X1140" s="30"/>
      <c r="Y1140" s="30"/>
      <c r="Z1140" s="30"/>
    </row>
    <row r="1141">
      <c r="A1141" s="29"/>
      <c r="B1141" s="29"/>
      <c r="C1141" s="30"/>
      <c r="D1141" s="30"/>
      <c r="E1141" s="30"/>
      <c r="F1141" s="30"/>
      <c r="G1141" s="30"/>
      <c r="H1141" s="30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0"/>
      <c r="Z1141" s="30"/>
    </row>
    <row r="1142">
      <c r="A1142" s="29"/>
      <c r="B1142" s="29"/>
      <c r="C1142" s="30"/>
      <c r="D1142" s="30"/>
      <c r="E1142" s="30"/>
      <c r="F1142" s="30"/>
      <c r="G1142" s="30"/>
      <c r="H1142" s="3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0"/>
      <c r="X1142" s="30"/>
      <c r="Y1142" s="30"/>
      <c r="Z1142" s="30"/>
    </row>
    <row r="1143">
      <c r="A1143" s="29"/>
      <c r="B1143" s="29"/>
      <c r="C1143" s="30"/>
      <c r="D1143" s="30"/>
      <c r="E1143" s="30"/>
      <c r="F1143" s="30"/>
      <c r="G1143" s="30"/>
      <c r="H1143" s="30"/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0"/>
      <c r="Z1143" s="30"/>
    </row>
    <row r="1144">
      <c r="A1144" s="29"/>
      <c r="B1144" s="29"/>
      <c r="C1144" s="30"/>
      <c r="D1144" s="30"/>
      <c r="E1144" s="30"/>
      <c r="F1144" s="30"/>
      <c r="G1144" s="30"/>
      <c r="H1144" s="30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0"/>
      <c r="X1144" s="30"/>
      <c r="Y1144" s="30"/>
      <c r="Z1144" s="30"/>
    </row>
    <row r="1145">
      <c r="A1145" s="29"/>
      <c r="B1145" s="29"/>
      <c r="C1145" s="30"/>
      <c r="D1145" s="30"/>
      <c r="E1145" s="30"/>
      <c r="F1145" s="30"/>
      <c r="G1145" s="30"/>
      <c r="H1145" s="30"/>
      <c r="I1145" s="30"/>
      <c r="J1145" s="30"/>
      <c r="K1145" s="30"/>
      <c r="L1145" s="30"/>
      <c r="M1145" s="30"/>
      <c r="N1145" s="30"/>
      <c r="O1145" s="30"/>
      <c r="P1145" s="30"/>
      <c r="Q1145" s="30"/>
      <c r="R1145" s="30"/>
      <c r="S1145" s="30"/>
      <c r="T1145" s="30"/>
      <c r="U1145" s="30"/>
      <c r="V1145" s="30"/>
      <c r="W1145" s="30"/>
      <c r="X1145" s="30"/>
      <c r="Y1145" s="30"/>
      <c r="Z1145" s="30"/>
    </row>
    <row r="1146">
      <c r="A1146" s="29"/>
      <c r="B1146" s="29"/>
      <c r="C1146" s="30"/>
      <c r="D1146" s="30"/>
      <c r="E1146" s="30"/>
      <c r="F1146" s="30"/>
      <c r="G1146" s="30"/>
      <c r="H1146" s="30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0"/>
      <c r="X1146" s="30"/>
      <c r="Y1146" s="30"/>
      <c r="Z1146" s="30"/>
    </row>
    <row r="1147">
      <c r="A1147" s="29"/>
      <c r="B1147" s="29"/>
      <c r="C1147" s="30"/>
      <c r="D1147" s="30"/>
      <c r="E1147" s="30"/>
      <c r="F1147" s="30"/>
      <c r="G1147" s="30"/>
      <c r="H1147" s="30"/>
      <c r="I1147" s="30"/>
      <c r="J1147" s="30"/>
      <c r="K1147" s="30"/>
      <c r="L1147" s="30"/>
      <c r="M1147" s="30"/>
      <c r="N1147" s="30"/>
      <c r="O1147" s="30"/>
      <c r="P1147" s="30"/>
      <c r="Q1147" s="30"/>
      <c r="R1147" s="30"/>
      <c r="S1147" s="30"/>
      <c r="T1147" s="30"/>
      <c r="U1147" s="30"/>
      <c r="V1147" s="30"/>
      <c r="W1147" s="30"/>
      <c r="X1147" s="30"/>
      <c r="Y1147" s="30"/>
      <c r="Z1147" s="30"/>
    </row>
    <row r="1148">
      <c r="A1148" s="29"/>
      <c r="B1148" s="29"/>
      <c r="C1148" s="30"/>
      <c r="D1148" s="30"/>
      <c r="E1148" s="30"/>
      <c r="F1148" s="30"/>
      <c r="G1148" s="30"/>
      <c r="H1148" s="30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0"/>
      <c r="X1148" s="30"/>
      <c r="Y1148" s="30"/>
      <c r="Z1148" s="30"/>
    </row>
    <row r="1149">
      <c r="A1149" s="29"/>
      <c r="B1149" s="29"/>
      <c r="C1149" s="30"/>
      <c r="D1149" s="30"/>
      <c r="E1149" s="30"/>
      <c r="F1149" s="30"/>
      <c r="G1149" s="30"/>
      <c r="H1149" s="30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0"/>
      <c r="X1149" s="30"/>
      <c r="Y1149" s="30"/>
      <c r="Z1149" s="30"/>
    </row>
    <row r="1150">
      <c r="A1150" s="29"/>
      <c r="B1150" s="29"/>
      <c r="C1150" s="30"/>
      <c r="D1150" s="30"/>
      <c r="E1150" s="30"/>
      <c r="F1150" s="30"/>
      <c r="G1150" s="30"/>
      <c r="H1150" s="30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/>
    </row>
    <row r="1151">
      <c r="A1151" s="29"/>
      <c r="B1151" s="29"/>
      <c r="C1151" s="30"/>
      <c r="D1151" s="30"/>
      <c r="E1151" s="30"/>
      <c r="F1151" s="30"/>
      <c r="G1151" s="30"/>
      <c r="H1151" s="30"/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0"/>
      <c r="Z1151" s="30"/>
    </row>
    <row r="1152">
      <c r="A1152" s="29"/>
      <c r="B1152" s="29"/>
      <c r="C1152" s="30"/>
      <c r="D1152" s="30"/>
      <c r="E1152" s="30"/>
      <c r="F1152" s="30"/>
      <c r="G1152" s="30"/>
      <c r="H1152" s="30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0"/>
      <c r="Z1152" s="30"/>
    </row>
    <row r="1153">
      <c r="A1153" s="29"/>
      <c r="B1153" s="29"/>
      <c r="C1153" s="30"/>
      <c r="D1153" s="30"/>
      <c r="E1153" s="30"/>
      <c r="F1153" s="30"/>
      <c r="G1153" s="30"/>
      <c r="H1153" s="30"/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/>
      <c r="U1153" s="30"/>
      <c r="V1153" s="30"/>
      <c r="W1153" s="30"/>
      <c r="X1153" s="30"/>
      <c r="Y1153" s="30"/>
      <c r="Z1153" s="30"/>
    </row>
    <row r="1154">
      <c r="A1154" s="29"/>
      <c r="B1154" s="29"/>
      <c r="C1154" s="30"/>
      <c r="D1154" s="30"/>
      <c r="E1154" s="30"/>
      <c r="F1154" s="30"/>
      <c r="G1154" s="30"/>
      <c r="H1154" s="30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0"/>
      <c r="Z1154" s="30"/>
    </row>
    <row r="1155">
      <c r="A1155" s="29"/>
      <c r="B1155" s="29"/>
      <c r="C1155" s="30"/>
      <c r="D1155" s="30"/>
      <c r="E1155" s="30"/>
      <c r="F1155" s="30"/>
      <c r="G1155" s="30"/>
      <c r="H1155" s="30"/>
      <c r="I1155" s="30"/>
      <c r="J1155" s="30"/>
      <c r="K1155" s="30"/>
      <c r="L1155" s="30"/>
      <c r="M1155" s="30"/>
      <c r="N1155" s="30"/>
      <c r="O1155" s="30"/>
      <c r="P1155" s="30"/>
      <c r="Q1155" s="30"/>
      <c r="R1155" s="30"/>
      <c r="S1155" s="30"/>
      <c r="T1155" s="30"/>
      <c r="U1155" s="30"/>
      <c r="V1155" s="30"/>
      <c r="W1155" s="30"/>
      <c r="X1155" s="30"/>
      <c r="Y1155" s="30"/>
      <c r="Z1155" s="30"/>
    </row>
    <row r="1156">
      <c r="A1156" s="29"/>
      <c r="B1156" s="29"/>
      <c r="C1156" s="30"/>
      <c r="D1156" s="30"/>
      <c r="E1156" s="30"/>
      <c r="F1156" s="30"/>
      <c r="G1156" s="30"/>
      <c r="H1156" s="30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0"/>
      <c r="Z1156" s="30"/>
    </row>
    <row r="1157">
      <c r="A1157" s="29"/>
      <c r="B1157" s="29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0"/>
      <c r="X1157" s="30"/>
      <c r="Y1157" s="30"/>
      <c r="Z1157" s="30"/>
    </row>
    <row r="1158">
      <c r="A1158" s="29"/>
      <c r="B1158" s="29"/>
      <c r="C1158" s="30"/>
      <c r="D1158" s="30"/>
      <c r="E1158" s="30"/>
      <c r="F1158" s="30"/>
      <c r="G1158" s="30"/>
      <c r="H1158" s="30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0"/>
      <c r="X1158" s="30"/>
      <c r="Y1158" s="30"/>
      <c r="Z1158" s="30"/>
    </row>
    <row r="1159">
      <c r="A1159" s="29"/>
      <c r="B1159" s="29"/>
      <c r="C1159" s="30"/>
      <c r="D1159" s="30"/>
      <c r="E1159" s="30"/>
      <c r="F1159" s="30"/>
      <c r="G1159" s="30"/>
      <c r="H1159" s="30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0"/>
      <c r="Z1159" s="30"/>
    </row>
    <row r="1160">
      <c r="A1160" s="29"/>
      <c r="B1160" s="29"/>
      <c r="C1160" s="30"/>
      <c r="D1160" s="30"/>
      <c r="E1160" s="30"/>
      <c r="F1160" s="30"/>
      <c r="G1160" s="30"/>
      <c r="H1160" s="30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</row>
    <row r="1161">
      <c r="A1161" s="29"/>
      <c r="B1161" s="29"/>
      <c r="C1161" s="30"/>
      <c r="D1161" s="30"/>
      <c r="E1161" s="30"/>
      <c r="F1161" s="30"/>
      <c r="G1161" s="30"/>
      <c r="H1161" s="30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/>
      <c r="U1161" s="30"/>
      <c r="V1161" s="30"/>
      <c r="W1161" s="30"/>
      <c r="X1161" s="30"/>
      <c r="Y1161" s="30"/>
      <c r="Z1161" s="30"/>
    </row>
    <row r="1162">
      <c r="A1162" s="29"/>
      <c r="B1162" s="29"/>
      <c r="C1162" s="30"/>
      <c r="D1162" s="30"/>
      <c r="E1162" s="30"/>
      <c r="F1162" s="30"/>
      <c r="G1162" s="30"/>
      <c r="H1162" s="30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/>
    </row>
    <row r="1163">
      <c r="A1163" s="29"/>
      <c r="B1163" s="29"/>
      <c r="C1163" s="30"/>
      <c r="D1163" s="30"/>
      <c r="E1163" s="30"/>
      <c r="F1163" s="30"/>
      <c r="G1163" s="30"/>
      <c r="H1163" s="30"/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0"/>
      <c r="X1163" s="30"/>
      <c r="Y1163" s="30"/>
      <c r="Z1163" s="30"/>
    </row>
    <row r="1164">
      <c r="A1164" s="29"/>
      <c r="B1164" s="29"/>
      <c r="C1164" s="30"/>
      <c r="D1164" s="30"/>
      <c r="E1164" s="30"/>
      <c r="F1164" s="30"/>
      <c r="G1164" s="30"/>
      <c r="H1164" s="30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0"/>
      <c r="X1164" s="30"/>
      <c r="Y1164" s="30"/>
      <c r="Z1164" s="30"/>
    </row>
    <row r="1165">
      <c r="A1165" s="29"/>
      <c r="B1165" s="29"/>
      <c r="C1165" s="30"/>
      <c r="D1165" s="30"/>
      <c r="E1165" s="30"/>
      <c r="F1165" s="30"/>
      <c r="G1165" s="30"/>
      <c r="H1165" s="30"/>
      <c r="I1165" s="30"/>
      <c r="J1165" s="30"/>
      <c r="K1165" s="30"/>
      <c r="L1165" s="30"/>
      <c r="M1165" s="30"/>
      <c r="N1165" s="30"/>
      <c r="O1165" s="30"/>
      <c r="P1165" s="30"/>
      <c r="Q1165" s="30"/>
      <c r="R1165" s="30"/>
      <c r="S1165" s="30"/>
      <c r="T1165" s="30"/>
      <c r="U1165" s="30"/>
      <c r="V1165" s="30"/>
      <c r="W1165" s="30"/>
      <c r="X1165" s="30"/>
      <c r="Y1165" s="30"/>
      <c r="Z1165" s="30"/>
    </row>
    <row r="1166">
      <c r="A1166" s="29"/>
      <c r="B1166" s="29"/>
      <c r="C1166" s="30"/>
      <c r="D1166" s="30"/>
      <c r="E1166" s="30"/>
      <c r="F1166" s="30"/>
      <c r="G1166" s="30"/>
      <c r="H1166" s="30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0"/>
      <c r="Z1166" s="30"/>
    </row>
    <row r="1167">
      <c r="A1167" s="29"/>
      <c r="B1167" s="29"/>
      <c r="C1167" s="30"/>
      <c r="D1167" s="30"/>
      <c r="E1167" s="30"/>
      <c r="F1167" s="30"/>
      <c r="G1167" s="30"/>
      <c r="H1167" s="30"/>
      <c r="I1167" s="30"/>
      <c r="J1167" s="30"/>
      <c r="K1167" s="30"/>
      <c r="L1167" s="30"/>
      <c r="M1167" s="30"/>
      <c r="N1167" s="30"/>
      <c r="O1167" s="30"/>
      <c r="P1167" s="30"/>
      <c r="Q1167" s="30"/>
      <c r="R1167" s="30"/>
      <c r="S1167" s="30"/>
      <c r="T1167" s="30"/>
      <c r="U1167" s="30"/>
      <c r="V1167" s="30"/>
      <c r="W1167" s="30"/>
      <c r="X1167" s="30"/>
      <c r="Y1167" s="30"/>
      <c r="Z1167" s="30"/>
    </row>
    <row r="1168">
      <c r="A1168" s="29"/>
      <c r="B1168" s="29"/>
      <c r="C1168" s="30"/>
      <c r="D1168" s="30"/>
      <c r="E1168" s="30"/>
      <c r="F1168" s="30"/>
      <c r="G1168" s="30"/>
      <c r="H1168" s="30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/>
    </row>
    <row r="1169">
      <c r="A1169" s="29"/>
      <c r="B1169" s="29"/>
      <c r="C1169" s="30"/>
      <c r="D1169" s="30"/>
      <c r="E1169" s="30"/>
      <c r="F1169" s="30"/>
      <c r="G1169" s="30"/>
      <c r="H1169" s="30"/>
      <c r="I1169" s="30"/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0"/>
      <c r="Z1169" s="30"/>
    </row>
    <row r="1170">
      <c r="A1170" s="29"/>
      <c r="B1170" s="29"/>
      <c r="C1170" s="30"/>
      <c r="D1170" s="30"/>
      <c r="E1170" s="30"/>
      <c r="F1170" s="30"/>
      <c r="G1170" s="30"/>
      <c r="H1170" s="30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0"/>
      <c r="Z1170" s="30"/>
    </row>
    <row r="1171">
      <c r="A1171" s="29"/>
      <c r="B1171" s="29"/>
      <c r="C1171" s="30"/>
      <c r="D1171" s="30"/>
      <c r="E1171" s="30"/>
      <c r="F1171" s="30"/>
      <c r="G1171" s="30"/>
      <c r="H1171" s="30"/>
      <c r="I1171" s="30"/>
      <c r="J1171" s="30"/>
      <c r="K1171" s="30"/>
      <c r="L1171" s="30"/>
      <c r="M1171" s="30"/>
      <c r="N1171" s="30"/>
      <c r="O1171" s="30"/>
      <c r="P1171" s="30"/>
      <c r="Q1171" s="30"/>
      <c r="R1171" s="30"/>
      <c r="S1171" s="30"/>
      <c r="T1171" s="30"/>
      <c r="U1171" s="30"/>
      <c r="V1171" s="30"/>
      <c r="W1171" s="30"/>
      <c r="X1171" s="30"/>
      <c r="Y1171" s="30"/>
      <c r="Z1171" s="30"/>
    </row>
    <row r="1172">
      <c r="A1172" s="29"/>
      <c r="B1172" s="29"/>
      <c r="C1172" s="30"/>
      <c r="D1172" s="30"/>
      <c r="E1172" s="30"/>
      <c r="F1172" s="30"/>
      <c r="G1172" s="30"/>
      <c r="H1172" s="3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0"/>
      <c r="X1172" s="30"/>
      <c r="Y1172" s="30"/>
      <c r="Z1172" s="30"/>
    </row>
    <row r="1173">
      <c r="A1173" s="29"/>
      <c r="B1173" s="29"/>
      <c r="C1173" s="30"/>
      <c r="D1173" s="30"/>
      <c r="E1173" s="30"/>
      <c r="F1173" s="30"/>
      <c r="G1173" s="30"/>
      <c r="H1173" s="30"/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/>
      <c r="W1173" s="30"/>
      <c r="X1173" s="30"/>
      <c r="Y1173" s="30"/>
      <c r="Z1173" s="30"/>
    </row>
    <row r="1174">
      <c r="A1174" s="29"/>
      <c r="B1174" s="29"/>
      <c r="C1174" s="30"/>
      <c r="D1174" s="30"/>
      <c r="E1174" s="30"/>
      <c r="F1174" s="30"/>
      <c r="G1174" s="30"/>
      <c r="H1174" s="30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0"/>
      <c r="X1174" s="30"/>
      <c r="Y1174" s="30"/>
      <c r="Z1174" s="30"/>
    </row>
    <row r="1175">
      <c r="A1175" s="29"/>
      <c r="B1175" s="29"/>
      <c r="C1175" s="30"/>
      <c r="D1175" s="30"/>
      <c r="E1175" s="30"/>
      <c r="F1175" s="30"/>
      <c r="G1175" s="30"/>
      <c r="H1175" s="30"/>
      <c r="I1175" s="30"/>
      <c r="J1175" s="30"/>
      <c r="K1175" s="30"/>
      <c r="L1175" s="30"/>
      <c r="M1175" s="30"/>
      <c r="N1175" s="30"/>
      <c r="O1175" s="30"/>
      <c r="P1175" s="30"/>
      <c r="Q1175" s="30"/>
      <c r="R1175" s="30"/>
      <c r="S1175" s="30"/>
      <c r="T1175" s="30"/>
      <c r="U1175" s="30"/>
      <c r="V1175" s="30"/>
      <c r="W1175" s="30"/>
      <c r="X1175" s="30"/>
      <c r="Y1175" s="30"/>
      <c r="Z1175" s="30"/>
    </row>
    <row r="1176">
      <c r="A1176" s="29"/>
      <c r="B1176" s="29"/>
      <c r="C1176" s="30"/>
      <c r="D1176" s="30"/>
      <c r="E1176" s="30"/>
      <c r="F1176" s="30"/>
      <c r="G1176" s="30"/>
      <c r="H1176" s="30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0"/>
      <c r="Y1176" s="30"/>
      <c r="Z1176" s="30"/>
    </row>
    <row r="1177">
      <c r="A1177" s="29"/>
      <c r="B1177" s="29"/>
      <c r="C1177" s="30"/>
      <c r="D1177" s="30"/>
      <c r="E1177" s="30"/>
      <c r="F1177" s="30"/>
      <c r="G1177" s="30"/>
      <c r="H1177" s="30"/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0"/>
      <c r="X1177" s="30"/>
      <c r="Y1177" s="30"/>
      <c r="Z1177" s="30"/>
    </row>
    <row r="1178">
      <c r="A1178" s="29"/>
      <c r="B1178" s="29"/>
      <c r="C1178" s="30"/>
      <c r="D1178" s="30"/>
      <c r="E1178" s="30"/>
      <c r="F1178" s="30"/>
      <c r="G1178" s="30"/>
      <c r="H1178" s="30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</row>
    <row r="1179">
      <c r="A1179" s="29"/>
      <c r="B1179" s="29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0"/>
      <c r="Z1179" s="30"/>
    </row>
    <row r="1180">
      <c r="A1180" s="29"/>
      <c r="B1180" s="29"/>
      <c r="C1180" s="30"/>
      <c r="D1180" s="30"/>
      <c r="E1180" s="30"/>
      <c r="F1180" s="30"/>
      <c r="G1180" s="30"/>
      <c r="H1180" s="30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0"/>
      <c r="Z1180" s="30"/>
    </row>
    <row r="1181">
      <c r="A1181" s="29"/>
      <c r="B1181" s="29"/>
      <c r="C1181" s="30"/>
      <c r="D1181" s="30"/>
      <c r="E1181" s="30"/>
      <c r="F1181" s="30"/>
      <c r="G1181" s="30"/>
      <c r="H1181" s="30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/>
      <c r="U1181" s="30"/>
      <c r="V1181" s="30"/>
      <c r="W1181" s="30"/>
      <c r="X1181" s="30"/>
      <c r="Y1181" s="30"/>
      <c r="Z1181" s="30"/>
    </row>
    <row r="1182">
      <c r="A1182" s="29"/>
      <c r="B1182" s="29"/>
      <c r="C1182" s="30"/>
      <c r="D1182" s="30"/>
      <c r="E1182" s="30"/>
      <c r="F1182" s="30"/>
      <c r="G1182" s="30"/>
      <c r="H1182" s="30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0"/>
      <c r="Z1182" s="30"/>
    </row>
    <row r="1183">
      <c r="A1183" s="29"/>
      <c r="B1183" s="29"/>
      <c r="C1183" s="30"/>
      <c r="D1183" s="30"/>
      <c r="E1183" s="30"/>
      <c r="F1183" s="30"/>
      <c r="G1183" s="30"/>
      <c r="H1183" s="30"/>
      <c r="I1183" s="30"/>
      <c r="J1183" s="30"/>
      <c r="K1183" s="30"/>
      <c r="L1183" s="30"/>
      <c r="M1183" s="30"/>
      <c r="N1183" s="30"/>
      <c r="O1183" s="30"/>
      <c r="P1183" s="30"/>
      <c r="Q1183" s="30"/>
      <c r="R1183" s="30"/>
      <c r="S1183" s="30"/>
      <c r="T1183" s="30"/>
      <c r="U1183" s="30"/>
      <c r="V1183" s="30"/>
      <c r="W1183" s="30"/>
      <c r="X1183" s="30"/>
      <c r="Y1183" s="30"/>
      <c r="Z1183" s="30"/>
    </row>
    <row r="1184">
      <c r="A1184" s="29"/>
      <c r="B1184" s="29"/>
      <c r="C1184" s="30"/>
      <c r="D1184" s="30"/>
      <c r="E1184" s="30"/>
      <c r="F1184" s="30"/>
      <c r="G1184" s="30"/>
      <c r="H1184" s="30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0"/>
      <c r="X1184" s="30"/>
      <c r="Y1184" s="30"/>
      <c r="Z1184" s="30"/>
    </row>
    <row r="1185">
      <c r="A1185" s="29"/>
      <c r="B1185" s="29"/>
      <c r="C1185" s="30"/>
      <c r="D1185" s="30"/>
      <c r="E1185" s="30"/>
      <c r="F1185" s="30"/>
      <c r="G1185" s="30"/>
      <c r="H1185" s="30"/>
      <c r="I1185" s="30"/>
      <c r="J1185" s="30"/>
      <c r="K1185" s="30"/>
      <c r="L1185" s="30"/>
      <c r="M1185" s="30"/>
      <c r="N1185" s="30"/>
      <c r="O1185" s="30"/>
      <c r="P1185" s="30"/>
      <c r="Q1185" s="30"/>
      <c r="R1185" s="30"/>
      <c r="S1185" s="30"/>
      <c r="T1185" s="30"/>
      <c r="U1185" s="30"/>
      <c r="V1185" s="30"/>
      <c r="W1185" s="30"/>
      <c r="X1185" s="30"/>
      <c r="Y1185" s="30"/>
      <c r="Z1185" s="30"/>
    </row>
    <row r="1186">
      <c r="A1186" s="29"/>
      <c r="B1186" s="29"/>
      <c r="C1186" s="30"/>
      <c r="D1186" s="30"/>
      <c r="E1186" s="30"/>
      <c r="F1186" s="30"/>
      <c r="G1186" s="30"/>
      <c r="H1186" s="30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0"/>
      <c r="X1186" s="30"/>
      <c r="Y1186" s="30"/>
      <c r="Z1186" s="30"/>
    </row>
    <row r="1187">
      <c r="A1187" s="29"/>
      <c r="B1187" s="29"/>
      <c r="C1187" s="30"/>
      <c r="D1187" s="30"/>
      <c r="E1187" s="30"/>
      <c r="F1187" s="30"/>
      <c r="G1187" s="30"/>
      <c r="H1187" s="30"/>
      <c r="I1187" s="30"/>
      <c r="J1187" s="30"/>
      <c r="K1187" s="30"/>
      <c r="L1187" s="30"/>
      <c r="M1187" s="30"/>
      <c r="N1187" s="30"/>
      <c r="O1187" s="30"/>
      <c r="P1187" s="30"/>
      <c r="Q1187" s="30"/>
      <c r="R1187" s="30"/>
      <c r="S1187" s="30"/>
      <c r="T1187" s="30"/>
      <c r="U1187" s="30"/>
      <c r="V1187" s="30"/>
      <c r="W1187" s="30"/>
      <c r="X1187" s="30"/>
      <c r="Y1187" s="30"/>
      <c r="Z1187" s="30"/>
    </row>
    <row r="1188">
      <c r="A1188" s="29"/>
      <c r="B1188" s="29"/>
      <c r="C1188" s="30"/>
      <c r="D1188" s="30"/>
      <c r="E1188" s="30"/>
      <c r="F1188" s="30"/>
      <c r="G1188" s="30"/>
      <c r="H1188" s="30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0"/>
      <c r="X1188" s="30"/>
      <c r="Y1188" s="30"/>
      <c r="Z1188" s="30"/>
    </row>
    <row r="1189">
      <c r="A1189" s="29"/>
      <c r="B1189" s="29"/>
      <c r="C1189" s="30"/>
      <c r="D1189" s="30"/>
      <c r="E1189" s="30"/>
      <c r="F1189" s="30"/>
      <c r="G1189" s="30"/>
      <c r="H1189" s="30"/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/>
      <c r="U1189" s="30"/>
      <c r="V1189" s="30"/>
      <c r="W1189" s="30"/>
      <c r="X1189" s="30"/>
      <c r="Y1189" s="30"/>
      <c r="Z1189" s="30"/>
    </row>
    <row r="1190">
      <c r="A1190" s="29"/>
      <c r="B1190" s="29"/>
      <c r="C1190" s="30"/>
      <c r="D1190" s="30"/>
      <c r="E1190" s="30"/>
      <c r="F1190" s="30"/>
      <c r="G1190" s="30"/>
      <c r="H1190" s="30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/>
    </row>
    <row r="1191">
      <c r="A1191" s="29"/>
      <c r="B1191" s="29"/>
      <c r="C1191" s="30"/>
      <c r="D1191" s="30"/>
      <c r="E1191" s="30"/>
      <c r="F1191" s="30"/>
      <c r="G1191" s="30"/>
      <c r="H1191" s="30"/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0"/>
      <c r="Z1191" s="30"/>
    </row>
    <row r="1192">
      <c r="A1192" s="29"/>
      <c r="B1192" s="29"/>
      <c r="C1192" s="30"/>
      <c r="D1192" s="30"/>
      <c r="E1192" s="30"/>
      <c r="F1192" s="30"/>
      <c r="G1192" s="30"/>
      <c r="H1192" s="30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/>
    </row>
    <row r="1193">
      <c r="A1193" s="29"/>
      <c r="B1193" s="29"/>
      <c r="C1193" s="30"/>
      <c r="D1193" s="30"/>
      <c r="E1193" s="30"/>
      <c r="F1193" s="30"/>
      <c r="G1193" s="30"/>
      <c r="H1193" s="30"/>
      <c r="I1193" s="30"/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0"/>
      <c r="Z1193" s="30"/>
    </row>
    <row r="1194">
      <c r="A1194" s="29"/>
      <c r="B1194" s="29"/>
      <c r="C1194" s="30"/>
      <c r="D1194" s="30"/>
      <c r="E1194" s="30"/>
      <c r="F1194" s="30"/>
      <c r="G1194" s="30"/>
      <c r="H1194" s="30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0"/>
      <c r="X1194" s="30"/>
      <c r="Y1194" s="30"/>
      <c r="Z1194" s="30"/>
    </row>
    <row r="1195">
      <c r="A1195" s="29"/>
      <c r="B1195" s="29"/>
      <c r="C1195" s="30"/>
      <c r="D1195" s="30"/>
      <c r="E1195" s="30"/>
      <c r="F1195" s="30"/>
      <c r="G1195" s="30"/>
      <c r="H1195" s="30"/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0"/>
      <c r="Z1195" s="30"/>
    </row>
    <row r="1196">
      <c r="A1196" s="29"/>
      <c r="B1196" s="29"/>
      <c r="C1196" s="30"/>
      <c r="D1196" s="30"/>
      <c r="E1196" s="30"/>
      <c r="F1196" s="30"/>
      <c r="G1196" s="30"/>
      <c r="H1196" s="30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0"/>
      <c r="X1196" s="30"/>
      <c r="Y1196" s="30"/>
      <c r="Z1196" s="30"/>
    </row>
    <row r="1197">
      <c r="A1197" s="29"/>
      <c r="B1197" s="29"/>
      <c r="C1197" s="30"/>
      <c r="D1197" s="30"/>
      <c r="E1197" s="30"/>
      <c r="F1197" s="30"/>
      <c r="G1197" s="30"/>
      <c r="H1197" s="30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0"/>
      <c r="Z1197" s="30"/>
    </row>
    <row r="1198">
      <c r="A1198" s="29"/>
      <c r="B1198" s="29"/>
      <c r="C1198" s="30"/>
      <c r="D1198" s="30"/>
      <c r="E1198" s="30"/>
      <c r="F1198" s="30"/>
      <c r="G1198" s="30"/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0"/>
      <c r="Z1198" s="30"/>
    </row>
    <row r="1199">
      <c r="A1199" s="29"/>
      <c r="B1199" s="29"/>
      <c r="C1199" s="30"/>
      <c r="D1199" s="30"/>
      <c r="E1199" s="30"/>
      <c r="F1199" s="30"/>
      <c r="G1199" s="30"/>
      <c r="H1199" s="30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0"/>
      <c r="U1199" s="30"/>
      <c r="V1199" s="30"/>
      <c r="W1199" s="30"/>
      <c r="X1199" s="30"/>
      <c r="Y1199" s="30"/>
      <c r="Z1199" s="30"/>
    </row>
    <row r="1200">
      <c r="A1200" s="29"/>
      <c r="B1200" s="29"/>
      <c r="C1200" s="30"/>
      <c r="D1200" s="30"/>
      <c r="E1200" s="30"/>
      <c r="F1200" s="30"/>
      <c r="G1200" s="30"/>
      <c r="H1200" s="30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0"/>
      <c r="X1200" s="30"/>
      <c r="Y1200" s="30"/>
      <c r="Z1200" s="30"/>
    </row>
    <row r="1201">
      <c r="A1201" s="29"/>
      <c r="B1201" s="29"/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  <c r="O1201" s="30"/>
      <c r="P1201" s="30"/>
      <c r="Q1201" s="30"/>
      <c r="R1201" s="30"/>
      <c r="S1201" s="30"/>
      <c r="T1201" s="30"/>
      <c r="U1201" s="30"/>
      <c r="V1201" s="30"/>
      <c r="W1201" s="30"/>
      <c r="X1201" s="30"/>
      <c r="Y1201" s="30"/>
      <c r="Z1201" s="30"/>
    </row>
    <row r="1202">
      <c r="A1202" s="29"/>
      <c r="B1202" s="29"/>
      <c r="C1202" s="30"/>
      <c r="D1202" s="30"/>
      <c r="E1202" s="30"/>
      <c r="F1202" s="30"/>
      <c r="G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0"/>
      <c r="X1202" s="30"/>
      <c r="Y1202" s="30"/>
      <c r="Z1202" s="30"/>
    </row>
    <row r="1203">
      <c r="A1203" s="29"/>
      <c r="B1203" s="29"/>
      <c r="C1203" s="30"/>
      <c r="D1203" s="30"/>
      <c r="E1203" s="30"/>
      <c r="F1203" s="30"/>
      <c r="G1203" s="30"/>
      <c r="H1203" s="30"/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0"/>
      <c r="X1203" s="30"/>
      <c r="Y1203" s="30"/>
      <c r="Z1203" s="30"/>
    </row>
    <row r="1204">
      <c r="A1204" s="29"/>
      <c r="B1204" s="29"/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/>
    </row>
    <row r="1205">
      <c r="A1205" s="29"/>
      <c r="B1205" s="29"/>
      <c r="C1205" s="30"/>
      <c r="D1205" s="30"/>
      <c r="E1205" s="30"/>
      <c r="F1205" s="30"/>
      <c r="G1205" s="30"/>
      <c r="H1205" s="30"/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0"/>
      <c r="X1205" s="30"/>
      <c r="Y1205" s="30"/>
      <c r="Z1205" s="30"/>
    </row>
    <row r="1206">
      <c r="A1206" s="29"/>
      <c r="B1206" s="29"/>
      <c r="C1206" s="30"/>
      <c r="D1206" s="30"/>
      <c r="E1206" s="30"/>
      <c r="F1206" s="30"/>
      <c r="G1206" s="30"/>
      <c r="H1206" s="30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0"/>
      <c r="X1206" s="30"/>
      <c r="Y1206" s="30"/>
      <c r="Z1206" s="30"/>
    </row>
    <row r="1207">
      <c r="A1207" s="29"/>
      <c r="B1207" s="29"/>
      <c r="C1207" s="30"/>
      <c r="D1207" s="30"/>
      <c r="E1207" s="30"/>
      <c r="F1207" s="30"/>
      <c r="G1207" s="30"/>
      <c r="H1207" s="30"/>
      <c r="I1207" s="30"/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0"/>
      <c r="X1207" s="30"/>
      <c r="Y1207" s="30"/>
      <c r="Z1207" s="30"/>
    </row>
    <row r="1208">
      <c r="A1208" s="29"/>
      <c r="B1208" s="29"/>
      <c r="C1208" s="30"/>
      <c r="D1208" s="30"/>
      <c r="E1208" s="30"/>
      <c r="F1208" s="30"/>
      <c r="G1208" s="30"/>
      <c r="H1208" s="30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0"/>
      <c r="X1208" s="30"/>
      <c r="Y1208" s="30"/>
      <c r="Z1208" s="30"/>
    </row>
    <row r="1209">
      <c r="A1209" s="29"/>
      <c r="B1209" s="29"/>
      <c r="C1209" s="30"/>
      <c r="D1209" s="30"/>
      <c r="E1209" s="30"/>
      <c r="F1209" s="30"/>
      <c r="G1209" s="30"/>
      <c r="H1209" s="30"/>
      <c r="I1209" s="30"/>
      <c r="J1209" s="30"/>
      <c r="K1209" s="30"/>
      <c r="L1209" s="30"/>
      <c r="M1209" s="30"/>
      <c r="N1209" s="30"/>
      <c r="O1209" s="30"/>
      <c r="P1209" s="30"/>
      <c r="Q1209" s="30"/>
      <c r="R1209" s="30"/>
      <c r="S1209" s="30"/>
      <c r="T1209" s="30"/>
      <c r="U1209" s="30"/>
      <c r="V1209" s="30"/>
      <c r="W1209" s="30"/>
      <c r="X1209" s="30"/>
      <c r="Y1209" s="30"/>
      <c r="Z1209" s="30"/>
    </row>
    <row r="1210">
      <c r="A1210" s="29"/>
      <c r="B1210" s="29"/>
      <c r="C1210" s="30"/>
      <c r="D1210" s="30"/>
      <c r="E1210" s="30"/>
      <c r="F1210" s="30"/>
      <c r="G1210" s="30"/>
      <c r="H1210" s="30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</row>
    <row r="1211">
      <c r="A1211" s="29"/>
      <c r="B1211" s="29"/>
      <c r="C1211" s="30"/>
      <c r="D1211" s="30"/>
      <c r="E1211" s="30"/>
      <c r="F1211" s="30"/>
      <c r="G1211" s="30"/>
      <c r="H1211" s="30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0"/>
      <c r="Z1211" s="30"/>
    </row>
    <row r="1212">
      <c r="A1212" s="29"/>
      <c r="B1212" s="29"/>
      <c r="C1212" s="30"/>
      <c r="D1212" s="30"/>
      <c r="E1212" s="30"/>
      <c r="F1212" s="30"/>
      <c r="G1212" s="30"/>
      <c r="H1212" s="30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0"/>
      <c r="X1212" s="30"/>
      <c r="Y1212" s="30"/>
      <c r="Z1212" s="30"/>
    </row>
    <row r="1213">
      <c r="A1213" s="29"/>
      <c r="B1213" s="29"/>
      <c r="C1213" s="30"/>
      <c r="D1213" s="30"/>
      <c r="E1213" s="30"/>
      <c r="F1213" s="30"/>
      <c r="G1213" s="30"/>
      <c r="H1213" s="30"/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0"/>
      <c r="Z1213" s="30"/>
    </row>
    <row r="1214">
      <c r="A1214" s="29"/>
      <c r="B1214" s="29"/>
      <c r="C1214" s="30"/>
      <c r="D1214" s="30"/>
      <c r="E1214" s="30"/>
      <c r="F1214" s="30"/>
      <c r="G1214" s="30"/>
      <c r="H1214" s="30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0"/>
      <c r="Z1214" s="30"/>
    </row>
    <row r="1215">
      <c r="A1215" s="29"/>
      <c r="B1215" s="29"/>
      <c r="C1215" s="30"/>
      <c r="D1215" s="30"/>
      <c r="E1215" s="30"/>
      <c r="F1215" s="30"/>
      <c r="G1215" s="30"/>
      <c r="H1215" s="30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0"/>
      <c r="X1215" s="30"/>
      <c r="Y1215" s="30"/>
      <c r="Z1215" s="30"/>
    </row>
    <row r="1216">
      <c r="A1216" s="29"/>
      <c r="B1216" s="29"/>
      <c r="C1216" s="30"/>
      <c r="D1216" s="30"/>
      <c r="E1216" s="30"/>
      <c r="F1216" s="30"/>
      <c r="G1216" s="30"/>
      <c r="H1216" s="30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</row>
    <row r="1217">
      <c r="A1217" s="29"/>
      <c r="B1217" s="29"/>
      <c r="C1217" s="30"/>
      <c r="D1217" s="30"/>
      <c r="E1217" s="30"/>
      <c r="F1217" s="30"/>
      <c r="G1217" s="30"/>
      <c r="H1217" s="30"/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0"/>
      <c r="Z1217" s="30"/>
    </row>
    <row r="1218">
      <c r="A1218" s="29"/>
      <c r="B1218" s="29"/>
      <c r="C1218" s="30"/>
      <c r="D1218" s="30"/>
      <c r="E1218" s="30"/>
      <c r="F1218" s="30"/>
      <c r="G1218" s="30"/>
      <c r="H1218" s="30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0"/>
      <c r="X1218" s="30"/>
      <c r="Y1218" s="30"/>
      <c r="Z1218" s="30"/>
    </row>
    <row r="1219">
      <c r="A1219" s="29"/>
      <c r="B1219" s="29"/>
      <c r="C1219" s="30"/>
      <c r="D1219" s="30"/>
      <c r="E1219" s="30"/>
      <c r="F1219" s="30"/>
      <c r="G1219" s="30"/>
      <c r="H1219" s="30"/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0"/>
      <c r="Z1219" s="30"/>
    </row>
    <row r="1220">
      <c r="A1220" s="29"/>
      <c r="B1220" s="29"/>
      <c r="C1220" s="30"/>
      <c r="D1220" s="30"/>
      <c r="E1220" s="30"/>
      <c r="F1220" s="30"/>
      <c r="G1220" s="30"/>
      <c r="H1220" s="30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0"/>
      <c r="X1220" s="30"/>
      <c r="Y1220" s="30"/>
      <c r="Z1220" s="30"/>
    </row>
    <row r="1221">
      <c r="A1221" s="29"/>
      <c r="B1221" s="29"/>
      <c r="C1221" s="30"/>
      <c r="D1221" s="30"/>
      <c r="E1221" s="30"/>
      <c r="F1221" s="30"/>
      <c r="G1221" s="30"/>
      <c r="H1221" s="30"/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0"/>
      <c r="Z1221" s="30"/>
    </row>
    <row r="1222">
      <c r="A1222" s="29"/>
      <c r="B1222" s="29"/>
      <c r="C1222" s="30"/>
      <c r="D1222" s="30"/>
      <c r="E1222" s="30"/>
      <c r="F1222" s="30"/>
      <c r="G1222" s="30"/>
      <c r="H1222" s="30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</row>
    <row r="1223">
      <c r="A1223" s="29"/>
      <c r="B1223" s="29"/>
      <c r="C1223" s="30"/>
      <c r="D1223" s="30"/>
      <c r="E1223" s="30"/>
      <c r="F1223" s="30"/>
      <c r="G1223" s="30"/>
      <c r="H1223" s="30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0"/>
      <c r="Z1223" s="30"/>
    </row>
    <row r="1224">
      <c r="A1224" s="29"/>
      <c r="B1224" s="29"/>
      <c r="C1224" s="30"/>
      <c r="D1224" s="30"/>
      <c r="E1224" s="30"/>
      <c r="F1224" s="30"/>
      <c r="G1224" s="30"/>
      <c r="H1224" s="30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0"/>
      <c r="X1224" s="30"/>
      <c r="Y1224" s="30"/>
      <c r="Z1224" s="30"/>
    </row>
    <row r="1225">
      <c r="A1225" s="29"/>
      <c r="B1225" s="29"/>
      <c r="C1225" s="30"/>
      <c r="D1225" s="30"/>
      <c r="E1225" s="30"/>
      <c r="F1225" s="30"/>
      <c r="G1225" s="30"/>
      <c r="H1225" s="30"/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0"/>
      <c r="Z1225" s="30"/>
    </row>
    <row r="1226">
      <c r="A1226" s="29"/>
      <c r="B1226" s="29"/>
      <c r="C1226" s="30"/>
      <c r="D1226" s="30"/>
      <c r="E1226" s="30"/>
      <c r="F1226" s="30"/>
      <c r="G1226" s="30"/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0"/>
      <c r="Z1226" s="30"/>
    </row>
    <row r="1227">
      <c r="A1227" s="29"/>
      <c r="B1227" s="29"/>
      <c r="C1227" s="30"/>
      <c r="D1227" s="30"/>
      <c r="E1227" s="30"/>
      <c r="F1227" s="30"/>
      <c r="G1227" s="30"/>
      <c r="H1227" s="30"/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0"/>
      <c r="Z1227" s="30"/>
    </row>
    <row r="1228">
      <c r="A1228" s="29"/>
      <c r="B1228" s="29"/>
      <c r="C1228" s="30"/>
      <c r="D1228" s="30"/>
      <c r="E1228" s="30"/>
      <c r="F1228" s="30"/>
      <c r="G1228" s="30"/>
      <c r="H1228" s="30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0"/>
      <c r="X1228" s="30"/>
      <c r="Y1228" s="30"/>
      <c r="Z1228" s="30"/>
    </row>
    <row r="1229">
      <c r="A1229" s="29"/>
      <c r="B1229" s="29"/>
      <c r="C1229" s="30"/>
      <c r="D1229" s="30"/>
      <c r="E1229" s="30"/>
      <c r="F1229" s="30"/>
      <c r="G1229" s="30"/>
      <c r="H1229" s="30"/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0"/>
      <c r="X1229" s="30"/>
      <c r="Y1229" s="30"/>
      <c r="Z1229" s="30"/>
    </row>
    <row r="1230">
      <c r="A1230" s="29"/>
      <c r="B1230" s="29"/>
      <c r="C1230" s="30"/>
      <c r="D1230" s="30"/>
      <c r="E1230" s="30"/>
      <c r="F1230" s="30"/>
      <c r="G1230" s="30"/>
      <c r="H1230" s="30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0"/>
      <c r="X1230" s="30"/>
      <c r="Y1230" s="30"/>
      <c r="Z1230" s="30"/>
    </row>
    <row r="1231">
      <c r="A1231" s="29"/>
      <c r="B1231" s="29"/>
      <c r="C1231" s="30"/>
      <c r="D1231" s="30"/>
      <c r="E1231" s="30"/>
      <c r="F1231" s="30"/>
      <c r="G1231" s="30"/>
      <c r="H1231" s="30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/>
    </row>
    <row r="1232">
      <c r="A1232" s="29"/>
      <c r="B1232" s="29"/>
      <c r="C1232" s="30"/>
      <c r="D1232" s="30"/>
      <c r="E1232" s="30"/>
      <c r="F1232" s="30"/>
      <c r="G1232" s="30"/>
      <c r="H1232" s="3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</row>
    <row r="1233">
      <c r="A1233" s="29"/>
      <c r="B1233" s="29"/>
      <c r="C1233" s="30"/>
      <c r="D1233" s="30"/>
      <c r="E1233" s="30"/>
      <c r="F1233" s="30"/>
      <c r="G1233" s="30"/>
      <c r="H1233" s="30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0"/>
      <c r="Z1233" s="30"/>
    </row>
    <row r="1234">
      <c r="A1234" s="29"/>
      <c r="B1234" s="29"/>
      <c r="C1234" s="30"/>
      <c r="D1234" s="30"/>
      <c r="E1234" s="30"/>
      <c r="F1234" s="30"/>
      <c r="G1234" s="30"/>
      <c r="H1234" s="30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</row>
    <row r="1235">
      <c r="A1235" s="29"/>
      <c r="B1235" s="29"/>
      <c r="C1235" s="30"/>
      <c r="D1235" s="30"/>
      <c r="E1235" s="30"/>
      <c r="F1235" s="30"/>
      <c r="G1235" s="30"/>
      <c r="H1235" s="30"/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0"/>
      <c r="X1235" s="30"/>
      <c r="Y1235" s="30"/>
      <c r="Z1235" s="30"/>
    </row>
    <row r="1236">
      <c r="A1236" s="29"/>
      <c r="B1236" s="29"/>
      <c r="C1236" s="30"/>
      <c r="D1236" s="30"/>
      <c r="E1236" s="30"/>
      <c r="F1236" s="30"/>
      <c r="G1236" s="30"/>
      <c r="H1236" s="30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</row>
    <row r="1237">
      <c r="A1237" s="29"/>
      <c r="B1237" s="29"/>
      <c r="C1237" s="30"/>
      <c r="D1237" s="30"/>
      <c r="E1237" s="30"/>
      <c r="F1237" s="30"/>
      <c r="G1237" s="30"/>
      <c r="H1237" s="30"/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0"/>
      <c r="Z1237" s="30"/>
    </row>
    <row r="1238">
      <c r="A1238" s="29"/>
      <c r="B1238" s="29"/>
      <c r="C1238" s="30"/>
      <c r="D1238" s="30"/>
      <c r="E1238" s="30"/>
      <c r="F1238" s="30"/>
      <c r="G1238" s="30"/>
      <c r="H1238" s="30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</row>
    <row r="1239">
      <c r="A1239" s="29"/>
      <c r="B1239" s="29"/>
      <c r="C1239" s="30"/>
      <c r="D1239" s="30"/>
      <c r="E1239" s="30"/>
      <c r="F1239" s="30"/>
      <c r="G1239" s="30"/>
      <c r="H1239" s="30"/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0"/>
      <c r="Z1239" s="30"/>
    </row>
    <row r="1240">
      <c r="A1240" s="29"/>
      <c r="B1240" s="29"/>
      <c r="C1240" s="30"/>
      <c r="D1240" s="30"/>
      <c r="E1240" s="30"/>
      <c r="F1240" s="30"/>
      <c r="G1240" s="30"/>
      <c r="H1240" s="30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0"/>
      <c r="X1240" s="30"/>
      <c r="Y1240" s="30"/>
      <c r="Z1240" s="30"/>
    </row>
    <row r="1241">
      <c r="A1241" s="29"/>
      <c r="B1241" s="29"/>
      <c r="C1241" s="30"/>
      <c r="D1241" s="30"/>
      <c r="E1241" s="30"/>
      <c r="F1241" s="30"/>
      <c r="G1241" s="30"/>
      <c r="H1241" s="30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0"/>
      <c r="Z1241" s="30"/>
    </row>
    <row r="1242">
      <c r="A1242" s="29"/>
      <c r="B1242" s="29"/>
      <c r="C1242" s="30"/>
      <c r="D1242" s="30"/>
      <c r="E1242" s="30"/>
      <c r="F1242" s="30"/>
      <c r="G1242" s="30"/>
      <c r="H1242" s="30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</row>
    <row r="1243">
      <c r="A1243" s="29"/>
      <c r="B1243" s="29"/>
      <c r="C1243" s="30"/>
      <c r="D1243" s="30"/>
      <c r="E1243" s="30"/>
      <c r="F1243" s="30"/>
      <c r="G1243" s="30"/>
      <c r="H1243" s="30"/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0"/>
      <c r="Z1243" s="30"/>
    </row>
    <row r="1244">
      <c r="A1244" s="29"/>
      <c r="B1244" s="29"/>
      <c r="C1244" s="30"/>
      <c r="D1244" s="30"/>
      <c r="E1244" s="30"/>
      <c r="F1244" s="30"/>
      <c r="G1244" s="30"/>
      <c r="H1244" s="30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</row>
    <row r="1245">
      <c r="A1245" s="29"/>
      <c r="B1245" s="29"/>
      <c r="C1245" s="30"/>
      <c r="D1245" s="30"/>
      <c r="E1245" s="30"/>
      <c r="F1245" s="30"/>
      <c r="G1245" s="30"/>
      <c r="H1245" s="30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0"/>
      <c r="Z1245" s="30"/>
    </row>
    <row r="1246">
      <c r="A1246" s="29"/>
      <c r="B1246" s="29"/>
      <c r="C1246" s="30"/>
      <c r="D1246" s="30"/>
      <c r="E1246" s="30"/>
      <c r="F1246" s="30"/>
      <c r="G1246" s="30"/>
      <c r="H1246" s="30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</row>
    <row r="1247">
      <c r="A1247" s="29"/>
      <c r="B1247" s="29"/>
      <c r="C1247" s="30"/>
      <c r="D1247" s="30"/>
      <c r="E1247" s="30"/>
      <c r="F1247" s="30"/>
      <c r="G1247" s="30"/>
      <c r="H1247" s="30"/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0"/>
      <c r="X1247" s="30"/>
      <c r="Y1247" s="30"/>
      <c r="Z1247" s="30"/>
    </row>
    <row r="1248">
      <c r="A1248" s="29"/>
      <c r="B1248" s="29"/>
      <c r="C1248" s="30"/>
      <c r="D1248" s="30"/>
      <c r="E1248" s="30"/>
      <c r="F1248" s="30"/>
      <c r="G1248" s="30"/>
      <c r="H1248" s="30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0"/>
      <c r="X1248" s="30"/>
      <c r="Y1248" s="30"/>
      <c r="Z1248" s="30"/>
    </row>
    <row r="1249">
      <c r="A1249" s="29"/>
      <c r="B1249" s="29"/>
      <c r="C1249" s="30"/>
      <c r="D1249" s="30"/>
      <c r="E1249" s="30"/>
      <c r="F1249" s="30"/>
      <c r="G1249" s="30"/>
      <c r="H1249" s="30"/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0"/>
      <c r="X1249" s="30"/>
      <c r="Y1249" s="30"/>
      <c r="Z1249" s="30"/>
    </row>
    <row r="1250">
      <c r="A1250" s="29"/>
      <c r="B1250" s="29"/>
      <c r="C1250" s="30"/>
      <c r="D1250" s="30"/>
      <c r="E1250" s="30"/>
      <c r="F1250" s="30"/>
      <c r="G1250" s="30"/>
      <c r="H1250" s="30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</row>
    <row r="1251">
      <c r="A1251" s="29"/>
      <c r="B1251" s="29"/>
      <c r="C1251" s="30"/>
      <c r="D1251" s="30"/>
      <c r="E1251" s="30"/>
      <c r="F1251" s="30"/>
      <c r="G1251" s="30"/>
      <c r="H1251" s="30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0"/>
      <c r="Z1251" s="30"/>
    </row>
    <row r="1252">
      <c r="A1252" s="29"/>
      <c r="B1252" s="29"/>
      <c r="C1252" s="30"/>
      <c r="D1252" s="30"/>
      <c r="E1252" s="30"/>
      <c r="F1252" s="30"/>
      <c r="G1252" s="30"/>
      <c r="H1252" s="30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</row>
    <row r="1253">
      <c r="A1253" s="29"/>
      <c r="B1253" s="29"/>
      <c r="C1253" s="30"/>
      <c r="D1253" s="30"/>
      <c r="E1253" s="30"/>
      <c r="F1253" s="30"/>
      <c r="G1253" s="30"/>
      <c r="H1253" s="30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0"/>
      <c r="Z1253" s="30"/>
    </row>
    <row r="1254">
      <c r="A1254" s="29"/>
      <c r="B1254" s="29"/>
      <c r="C1254" s="30"/>
      <c r="D1254" s="30"/>
      <c r="E1254" s="30"/>
      <c r="F1254" s="30"/>
      <c r="G1254" s="30"/>
      <c r="H1254" s="30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</row>
    <row r="1255">
      <c r="A1255" s="29"/>
      <c r="B1255" s="29"/>
      <c r="C1255" s="30"/>
      <c r="D1255" s="30"/>
      <c r="E1255" s="30"/>
      <c r="F1255" s="30"/>
      <c r="G1255" s="30"/>
      <c r="H1255" s="30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0"/>
      <c r="Z1255" s="30"/>
    </row>
    <row r="1256">
      <c r="A1256" s="29"/>
      <c r="B1256" s="29"/>
      <c r="C1256" s="30"/>
      <c r="D1256" s="30"/>
      <c r="E1256" s="30"/>
      <c r="F1256" s="30"/>
      <c r="G1256" s="30"/>
      <c r="H1256" s="30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</row>
    <row r="1257">
      <c r="A1257" s="29"/>
      <c r="B1257" s="29"/>
      <c r="C1257" s="30"/>
      <c r="D1257" s="30"/>
      <c r="E1257" s="30"/>
      <c r="F1257" s="30"/>
      <c r="G1257" s="30"/>
      <c r="H1257" s="30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0"/>
      <c r="X1257" s="30"/>
      <c r="Y1257" s="30"/>
      <c r="Z1257" s="30"/>
    </row>
    <row r="1258">
      <c r="A1258" s="29"/>
      <c r="B1258" s="29"/>
      <c r="C1258" s="30"/>
      <c r="D1258" s="30"/>
      <c r="E1258" s="30"/>
      <c r="F1258" s="30"/>
      <c r="G1258" s="30"/>
      <c r="H1258" s="30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0"/>
      <c r="X1258" s="30"/>
      <c r="Y1258" s="30"/>
      <c r="Z1258" s="30"/>
    </row>
    <row r="1259">
      <c r="A1259" s="29"/>
      <c r="B1259" s="29"/>
      <c r="C1259" s="30"/>
      <c r="D1259" s="30"/>
      <c r="E1259" s="30"/>
      <c r="F1259" s="30"/>
      <c r="G1259" s="30"/>
      <c r="H1259" s="30"/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0"/>
      <c r="X1259" s="30"/>
      <c r="Y1259" s="30"/>
      <c r="Z1259" s="30"/>
    </row>
    <row r="1260">
      <c r="A1260" s="29"/>
      <c r="B1260" s="29"/>
      <c r="C1260" s="30"/>
      <c r="D1260" s="30"/>
      <c r="E1260" s="30"/>
      <c r="F1260" s="30"/>
      <c r="G1260" s="30"/>
      <c r="H1260" s="30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0"/>
      <c r="X1260" s="30"/>
      <c r="Y1260" s="30"/>
      <c r="Z1260" s="30"/>
    </row>
    <row r="1261">
      <c r="A1261" s="29"/>
      <c r="B1261" s="29"/>
      <c r="C1261" s="30"/>
      <c r="D1261" s="30"/>
      <c r="E1261" s="30"/>
      <c r="F1261" s="30"/>
      <c r="G1261" s="30"/>
      <c r="H1261" s="30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0"/>
      <c r="X1261" s="30"/>
      <c r="Y1261" s="30"/>
      <c r="Z1261" s="30"/>
    </row>
    <row r="1262">
      <c r="A1262" s="29"/>
      <c r="B1262" s="29"/>
      <c r="C1262" s="30"/>
      <c r="D1262" s="30"/>
      <c r="E1262" s="30"/>
      <c r="F1262" s="30"/>
      <c r="G1262" s="30"/>
      <c r="H1262" s="3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0"/>
      <c r="X1262" s="30"/>
      <c r="Y1262" s="30"/>
      <c r="Z1262" s="30"/>
    </row>
    <row r="1263">
      <c r="A1263" s="29"/>
      <c r="B1263" s="29"/>
      <c r="C1263" s="30"/>
      <c r="D1263" s="30"/>
      <c r="E1263" s="30"/>
      <c r="F1263" s="30"/>
      <c r="G1263" s="30"/>
      <c r="H1263" s="30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0"/>
      <c r="Z1263" s="30"/>
    </row>
    <row r="1264">
      <c r="A1264" s="29"/>
      <c r="B1264" s="29"/>
      <c r="C1264" s="30"/>
      <c r="D1264" s="30"/>
      <c r="E1264" s="30"/>
      <c r="F1264" s="30"/>
      <c r="G1264" s="30"/>
      <c r="H1264" s="30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</row>
    <row r="1265">
      <c r="A1265" s="29"/>
      <c r="B1265" s="29"/>
      <c r="C1265" s="30"/>
      <c r="D1265" s="30"/>
      <c r="E1265" s="30"/>
      <c r="F1265" s="30"/>
      <c r="G1265" s="30"/>
      <c r="H1265" s="30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0"/>
      <c r="X1265" s="30"/>
      <c r="Y1265" s="30"/>
      <c r="Z1265" s="30"/>
    </row>
    <row r="1266">
      <c r="A1266" s="29"/>
      <c r="B1266" s="29"/>
      <c r="C1266" s="30"/>
      <c r="D1266" s="30"/>
      <c r="E1266" s="30"/>
      <c r="F1266" s="30"/>
      <c r="G1266" s="30"/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0"/>
      <c r="X1266" s="30"/>
      <c r="Y1266" s="30"/>
      <c r="Z1266" s="30"/>
    </row>
    <row r="1267">
      <c r="A1267" s="29"/>
      <c r="B1267" s="29"/>
      <c r="C1267" s="30"/>
      <c r="D1267" s="30"/>
      <c r="E1267" s="30"/>
      <c r="F1267" s="30"/>
      <c r="G1267" s="30"/>
      <c r="H1267" s="30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0"/>
      <c r="Z1267" s="30"/>
    </row>
    <row r="1268">
      <c r="A1268" s="29"/>
      <c r="B1268" s="29"/>
      <c r="C1268" s="30"/>
      <c r="D1268" s="30"/>
      <c r="E1268" s="30"/>
      <c r="F1268" s="30"/>
      <c r="G1268" s="30"/>
      <c r="H1268" s="30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</row>
    <row r="1269">
      <c r="A1269" s="29"/>
      <c r="B1269" s="29"/>
      <c r="C1269" s="30"/>
      <c r="D1269" s="30"/>
      <c r="E1269" s="30"/>
      <c r="F1269" s="30"/>
      <c r="G1269" s="30"/>
      <c r="H1269" s="30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0"/>
      <c r="X1269" s="30"/>
      <c r="Y1269" s="30"/>
      <c r="Z1269" s="30"/>
    </row>
    <row r="1270">
      <c r="A1270" s="29"/>
      <c r="B1270" s="29"/>
      <c r="C1270" s="30"/>
      <c r="D1270" s="30"/>
      <c r="E1270" s="30"/>
      <c r="F1270" s="30"/>
      <c r="G1270" s="30"/>
      <c r="H1270" s="30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</row>
    <row r="1271">
      <c r="A1271" s="29"/>
      <c r="B1271" s="29"/>
      <c r="C1271" s="30"/>
      <c r="D1271" s="30"/>
      <c r="E1271" s="30"/>
      <c r="F1271" s="30"/>
      <c r="G1271" s="30"/>
      <c r="H1271" s="30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0"/>
      <c r="Z1271" s="30"/>
    </row>
    <row r="1272">
      <c r="A1272" s="29"/>
      <c r="B1272" s="29"/>
      <c r="C1272" s="30"/>
      <c r="D1272" s="30"/>
      <c r="E1272" s="30"/>
      <c r="F1272" s="30"/>
      <c r="G1272" s="30"/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0"/>
      <c r="X1272" s="30"/>
      <c r="Y1272" s="30"/>
      <c r="Z1272" s="30"/>
    </row>
    <row r="1273">
      <c r="A1273" s="29"/>
      <c r="B1273" s="29"/>
      <c r="C1273" s="30"/>
      <c r="D1273" s="30"/>
      <c r="E1273" s="30"/>
      <c r="F1273" s="30"/>
      <c r="G1273" s="30"/>
      <c r="H1273" s="30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0"/>
      <c r="X1273" s="30"/>
      <c r="Y1273" s="30"/>
      <c r="Z1273" s="30"/>
    </row>
    <row r="1274">
      <c r="A1274" s="29"/>
      <c r="B1274" s="29"/>
      <c r="C1274" s="30"/>
      <c r="D1274" s="30"/>
      <c r="E1274" s="30"/>
      <c r="F1274" s="30"/>
      <c r="G1274" s="30"/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0"/>
      <c r="X1274" s="30"/>
      <c r="Y1274" s="30"/>
      <c r="Z1274" s="30"/>
    </row>
    <row r="1275">
      <c r="A1275" s="29"/>
      <c r="B1275" s="29"/>
      <c r="C1275" s="30"/>
      <c r="D1275" s="30"/>
      <c r="E1275" s="30"/>
      <c r="F1275" s="30"/>
      <c r="G1275" s="30"/>
      <c r="H1275" s="30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0"/>
      <c r="X1275" s="30"/>
      <c r="Y1275" s="30"/>
      <c r="Z1275" s="30"/>
    </row>
    <row r="1276">
      <c r="A1276" s="29"/>
      <c r="B1276" s="29"/>
      <c r="C1276" s="30"/>
      <c r="D1276" s="30"/>
      <c r="E1276" s="30"/>
      <c r="F1276" s="30"/>
      <c r="G1276" s="30"/>
      <c r="H1276" s="30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</row>
    <row r="1277">
      <c r="A1277" s="29"/>
      <c r="B1277" s="29"/>
      <c r="C1277" s="30"/>
      <c r="D1277" s="30"/>
      <c r="E1277" s="30"/>
      <c r="F1277" s="30"/>
      <c r="G1277" s="30"/>
      <c r="H1277" s="3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0"/>
      <c r="X1277" s="30"/>
      <c r="Y1277" s="30"/>
      <c r="Z1277" s="30"/>
    </row>
    <row r="1278">
      <c r="A1278" s="29"/>
      <c r="B1278" s="29"/>
      <c r="C1278" s="30"/>
      <c r="D1278" s="30"/>
      <c r="E1278" s="30"/>
      <c r="F1278" s="30"/>
      <c r="G1278" s="30"/>
      <c r="H1278" s="30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0"/>
      <c r="X1278" s="30"/>
      <c r="Y1278" s="30"/>
      <c r="Z1278" s="30"/>
    </row>
    <row r="1279">
      <c r="A1279" s="29"/>
      <c r="B1279" s="29"/>
      <c r="C1279" s="30"/>
      <c r="D1279" s="30"/>
      <c r="E1279" s="30"/>
      <c r="F1279" s="30"/>
      <c r="G1279" s="30"/>
      <c r="H1279" s="30"/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0"/>
      <c r="X1279" s="30"/>
      <c r="Y1279" s="30"/>
      <c r="Z1279" s="30"/>
    </row>
    <row r="1280">
      <c r="A1280" s="29"/>
      <c r="B1280" s="29"/>
      <c r="C1280" s="30"/>
      <c r="D1280" s="30"/>
      <c r="E1280" s="30"/>
      <c r="F1280" s="30"/>
      <c r="G1280" s="30"/>
      <c r="H1280" s="30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</row>
    <row r="1281">
      <c r="A1281" s="29"/>
      <c r="B1281" s="29"/>
      <c r="C1281" s="30"/>
      <c r="D1281" s="30"/>
      <c r="E1281" s="30"/>
      <c r="F1281" s="30"/>
      <c r="G1281" s="30"/>
      <c r="H1281" s="30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0"/>
      <c r="Z1281" s="30"/>
    </row>
    <row r="1282">
      <c r="A1282" s="29"/>
      <c r="B1282" s="29"/>
      <c r="C1282" s="30"/>
      <c r="D1282" s="30"/>
      <c r="E1282" s="30"/>
      <c r="F1282" s="30"/>
      <c r="G1282" s="30"/>
      <c r="H1282" s="30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0"/>
      <c r="X1282" s="30"/>
      <c r="Y1282" s="30"/>
      <c r="Z1282" s="30"/>
    </row>
    <row r="1283">
      <c r="A1283" s="29"/>
      <c r="B1283" s="29"/>
      <c r="C1283" s="30"/>
      <c r="D1283" s="30"/>
      <c r="E1283" s="30"/>
      <c r="F1283" s="30"/>
      <c r="G1283" s="30"/>
      <c r="H1283" s="30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0"/>
      <c r="X1283" s="30"/>
      <c r="Y1283" s="30"/>
      <c r="Z1283" s="30"/>
    </row>
    <row r="1284">
      <c r="A1284" s="29"/>
      <c r="B1284" s="29"/>
      <c r="C1284" s="30"/>
      <c r="D1284" s="30"/>
      <c r="E1284" s="30"/>
      <c r="F1284" s="30"/>
      <c r="G1284" s="30"/>
      <c r="H1284" s="30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30"/>
      <c r="Z1284" s="30"/>
    </row>
    <row r="1285">
      <c r="A1285" s="29"/>
      <c r="B1285" s="29"/>
      <c r="C1285" s="30"/>
      <c r="D1285" s="30"/>
      <c r="E1285" s="30"/>
      <c r="F1285" s="30"/>
      <c r="G1285" s="30"/>
      <c r="H1285" s="30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0"/>
      <c r="Z1285" s="30"/>
    </row>
    <row r="1286">
      <c r="A1286" s="29"/>
      <c r="B1286" s="29"/>
      <c r="C1286" s="30"/>
      <c r="D1286" s="30"/>
      <c r="E1286" s="30"/>
      <c r="F1286" s="30"/>
      <c r="G1286" s="30"/>
      <c r="H1286" s="30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</row>
    <row r="1287">
      <c r="A1287" s="29"/>
      <c r="B1287" s="29"/>
      <c r="C1287" s="30"/>
      <c r="D1287" s="30"/>
      <c r="E1287" s="30"/>
      <c r="F1287" s="30"/>
      <c r="G1287" s="30"/>
      <c r="H1287" s="30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0"/>
      <c r="Z1287" s="30"/>
    </row>
    <row r="1288">
      <c r="A1288" s="29"/>
      <c r="B1288" s="29"/>
      <c r="C1288" s="30"/>
      <c r="D1288" s="30"/>
      <c r="E1288" s="30"/>
      <c r="F1288" s="30"/>
      <c r="G1288" s="30"/>
      <c r="H1288" s="30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0"/>
      <c r="X1288" s="30"/>
      <c r="Y1288" s="30"/>
      <c r="Z1288" s="30"/>
    </row>
    <row r="1289">
      <c r="A1289" s="29"/>
      <c r="B1289" s="29"/>
      <c r="C1289" s="30"/>
      <c r="D1289" s="30"/>
      <c r="E1289" s="30"/>
      <c r="F1289" s="30"/>
      <c r="G1289" s="30"/>
      <c r="H1289" s="30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0"/>
      <c r="Z1289" s="30"/>
    </row>
    <row r="1290">
      <c r="A1290" s="29"/>
      <c r="B1290" s="29"/>
      <c r="C1290" s="30"/>
      <c r="D1290" s="30"/>
      <c r="E1290" s="30"/>
      <c r="F1290" s="30"/>
      <c r="G1290" s="30"/>
      <c r="H1290" s="30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0"/>
      <c r="X1290" s="30"/>
      <c r="Y1290" s="30"/>
      <c r="Z1290" s="30"/>
    </row>
    <row r="1291">
      <c r="A1291" s="29"/>
      <c r="B1291" s="29"/>
      <c r="C1291" s="30"/>
      <c r="D1291" s="30"/>
      <c r="E1291" s="30"/>
      <c r="F1291" s="30"/>
      <c r="G1291" s="30"/>
      <c r="H1291" s="30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0"/>
      <c r="X1291" s="30"/>
      <c r="Y1291" s="30"/>
      <c r="Z1291" s="30"/>
    </row>
    <row r="1292">
      <c r="A1292" s="29"/>
      <c r="B1292" s="29"/>
      <c r="C1292" s="30"/>
      <c r="D1292" s="30"/>
      <c r="E1292" s="30"/>
      <c r="F1292" s="30"/>
      <c r="G1292" s="30"/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</row>
    <row r="1293">
      <c r="A1293" s="29"/>
      <c r="B1293" s="29"/>
      <c r="C1293" s="30"/>
      <c r="D1293" s="30"/>
      <c r="E1293" s="30"/>
      <c r="F1293" s="30"/>
      <c r="G1293" s="30"/>
      <c r="H1293" s="30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0"/>
      <c r="X1293" s="30"/>
      <c r="Y1293" s="30"/>
      <c r="Z1293" s="30"/>
    </row>
    <row r="1294">
      <c r="A1294" s="29"/>
      <c r="B1294" s="29"/>
      <c r="C1294" s="30"/>
      <c r="D1294" s="30"/>
      <c r="E1294" s="30"/>
      <c r="F1294" s="30"/>
      <c r="G1294" s="30"/>
      <c r="H1294" s="30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0"/>
      <c r="Z1294" s="30"/>
    </row>
    <row r="1295">
      <c r="A1295" s="29"/>
      <c r="B1295" s="29"/>
      <c r="C1295" s="30"/>
      <c r="D1295" s="30"/>
      <c r="E1295" s="30"/>
      <c r="F1295" s="30"/>
      <c r="G1295" s="30"/>
      <c r="H1295" s="30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0"/>
      <c r="X1295" s="30"/>
      <c r="Y1295" s="30"/>
      <c r="Z1295" s="30"/>
    </row>
    <row r="1296">
      <c r="A1296" s="29"/>
      <c r="B1296" s="29"/>
      <c r="C1296" s="30"/>
      <c r="D1296" s="30"/>
      <c r="E1296" s="30"/>
      <c r="F1296" s="30"/>
      <c r="G1296" s="30"/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</row>
    <row r="1297">
      <c r="A1297" s="29"/>
      <c r="B1297" s="29"/>
      <c r="C1297" s="30"/>
      <c r="D1297" s="30"/>
      <c r="E1297" s="30"/>
      <c r="F1297" s="30"/>
      <c r="G1297" s="30"/>
      <c r="H1297" s="30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0"/>
      <c r="X1297" s="30"/>
      <c r="Y1297" s="30"/>
      <c r="Z1297" s="30"/>
    </row>
    <row r="1298">
      <c r="A1298" s="29"/>
      <c r="B1298" s="29"/>
      <c r="C1298" s="30"/>
      <c r="D1298" s="30"/>
      <c r="E1298" s="30"/>
      <c r="F1298" s="30"/>
      <c r="G1298" s="30"/>
      <c r="H1298" s="30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0"/>
      <c r="X1298" s="30"/>
      <c r="Y1298" s="30"/>
      <c r="Z1298" s="30"/>
    </row>
    <row r="1299">
      <c r="A1299" s="29"/>
      <c r="B1299" s="29"/>
      <c r="C1299" s="30"/>
      <c r="D1299" s="30"/>
      <c r="E1299" s="30"/>
      <c r="F1299" s="30"/>
      <c r="G1299" s="30"/>
      <c r="H1299" s="30"/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0"/>
      <c r="Z1299" s="30"/>
    </row>
    <row r="1300">
      <c r="A1300" s="29"/>
      <c r="B1300" s="29"/>
      <c r="C1300" s="30"/>
      <c r="D1300" s="30"/>
      <c r="E1300" s="30"/>
      <c r="F1300" s="30"/>
      <c r="G1300" s="30"/>
      <c r="H1300" s="30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0"/>
      <c r="Z1300" s="30"/>
    </row>
    <row r="1301">
      <c r="A1301" s="29"/>
      <c r="B1301" s="29"/>
      <c r="C1301" s="30"/>
      <c r="D1301" s="30"/>
      <c r="E1301" s="30"/>
      <c r="F1301" s="30"/>
      <c r="G1301" s="30"/>
      <c r="H1301" s="30"/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  <c r="U1301" s="30"/>
      <c r="V1301" s="30"/>
      <c r="W1301" s="30"/>
      <c r="X1301" s="30"/>
      <c r="Y1301" s="30"/>
      <c r="Z1301" s="30"/>
    </row>
    <row r="1302">
      <c r="A1302" s="29"/>
      <c r="B1302" s="29"/>
      <c r="C1302" s="30"/>
      <c r="D1302" s="30"/>
      <c r="E1302" s="30"/>
      <c r="F1302" s="30"/>
      <c r="G1302" s="30"/>
      <c r="H1302" s="30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0"/>
      <c r="Z1302" s="30"/>
    </row>
    <row r="1303">
      <c r="A1303" s="29"/>
      <c r="B1303" s="29"/>
      <c r="C1303" s="30"/>
      <c r="D1303" s="30"/>
      <c r="E1303" s="30"/>
      <c r="F1303" s="30"/>
      <c r="G1303" s="30"/>
      <c r="H1303" s="30"/>
      <c r="I1303" s="30"/>
      <c r="J1303" s="30"/>
      <c r="K1303" s="30"/>
      <c r="L1303" s="30"/>
      <c r="M1303" s="30"/>
      <c r="N1303" s="30"/>
      <c r="O1303" s="30"/>
      <c r="P1303" s="30"/>
      <c r="Q1303" s="30"/>
      <c r="R1303" s="30"/>
      <c r="S1303" s="30"/>
      <c r="T1303" s="30"/>
      <c r="U1303" s="30"/>
      <c r="V1303" s="30"/>
      <c r="W1303" s="30"/>
      <c r="X1303" s="30"/>
      <c r="Y1303" s="30"/>
      <c r="Z1303" s="30"/>
    </row>
    <row r="1304">
      <c r="A1304" s="29"/>
      <c r="B1304" s="29"/>
      <c r="C1304" s="30"/>
      <c r="D1304" s="30"/>
      <c r="E1304" s="30"/>
      <c r="F1304" s="30"/>
      <c r="G1304" s="30"/>
      <c r="H1304" s="30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/>
    </row>
    <row r="1305">
      <c r="A1305" s="29"/>
      <c r="B1305" s="29"/>
      <c r="C1305" s="30"/>
      <c r="D1305" s="30"/>
      <c r="E1305" s="30"/>
      <c r="F1305" s="30"/>
      <c r="G1305" s="30"/>
      <c r="H1305" s="30"/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0"/>
      <c r="Z1305" s="30"/>
    </row>
    <row r="1306">
      <c r="A1306" s="29"/>
      <c r="B1306" s="29"/>
      <c r="C1306" s="30"/>
      <c r="D1306" s="30"/>
      <c r="E1306" s="30"/>
      <c r="F1306" s="30"/>
      <c r="G1306" s="30"/>
      <c r="H1306" s="30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0"/>
      <c r="X1306" s="30"/>
      <c r="Y1306" s="30"/>
      <c r="Z1306" s="30"/>
    </row>
    <row r="1307">
      <c r="A1307" s="29"/>
      <c r="B1307" s="29"/>
      <c r="C1307" s="30"/>
      <c r="D1307" s="30"/>
      <c r="E1307" s="30"/>
      <c r="F1307" s="30"/>
      <c r="G1307" s="30"/>
      <c r="H1307" s="30"/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/>
      <c r="U1307" s="30"/>
      <c r="V1307" s="30"/>
      <c r="W1307" s="30"/>
      <c r="X1307" s="30"/>
      <c r="Y1307" s="30"/>
      <c r="Z1307" s="30"/>
    </row>
    <row r="1308">
      <c r="A1308" s="29"/>
      <c r="B1308" s="29"/>
      <c r="C1308" s="30"/>
      <c r="D1308" s="30"/>
      <c r="E1308" s="30"/>
      <c r="F1308" s="30"/>
      <c r="G1308" s="30"/>
      <c r="H1308" s="30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0"/>
      <c r="Z1308" s="30"/>
    </row>
    <row r="1309">
      <c r="A1309" s="29"/>
      <c r="B1309" s="29"/>
      <c r="C1309" s="30"/>
      <c r="D1309" s="30"/>
      <c r="E1309" s="30"/>
      <c r="F1309" s="30"/>
      <c r="G1309" s="30"/>
      <c r="H1309" s="30"/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  <c r="U1309" s="30"/>
      <c r="V1309" s="30"/>
      <c r="W1309" s="30"/>
      <c r="X1309" s="30"/>
      <c r="Y1309" s="30"/>
      <c r="Z1309" s="30"/>
    </row>
    <row r="1310">
      <c r="A1310" s="29"/>
      <c r="B1310" s="29"/>
      <c r="C1310" s="30"/>
      <c r="D1310" s="30"/>
      <c r="E1310" s="30"/>
      <c r="F1310" s="30"/>
      <c r="G1310" s="30"/>
      <c r="H1310" s="30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</row>
    <row r="1311">
      <c r="A1311" s="29"/>
      <c r="B1311" s="29"/>
      <c r="C1311" s="30"/>
      <c r="D1311" s="30"/>
      <c r="E1311" s="30"/>
      <c r="F1311" s="30"/>
      <c r="G1311" s="30"/>
      <c r="H1311" s="30"/>
      <c r="I1311" s="30"/>
      <c r="J1311" s="30"/>
      <c r="K1311" s="30"/>
      <c r="L1311" s="30"/>
      <c r="M1311" s="30"/>
      <c r="N1311" s="30"/>
      <c r="O1311" s="30"/>
      <c r="P1311" s="30"/>
      <c r="Q1311" s="30"/>
      <c r="R1311" s="30"/>
      <c r="S1311" s="30"/>
      <c r="T1311" s="30"/>
      <c r="U1311" s="30"/>
      <c r="V1311" s="30"/>
      <c r="W1311" s="30"/>
      <c r="X1311" s="30"/>
      <c r="Y1311" s="30"/>
      <c r="Z1311" s="30"/>
    </row>
    <row r="1312">
      <c r="A1312" s="29"/>
      <c r="B1312" s="29"/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0"/>
      <c r="X1312" s="30"/>
      <c r="Y1312" s="30"/>
      <c r="Z1312" s="30"/>
    </row>
    <row r="1313">
      <c r="A1313" s="29"/>
      <c r="B1313" s="29"/>
      <c r="C1313" s="30"/>
      <c r="D1313" s="30"/>
      <c r="E1313" s="30"/>
      <c r="F1313" s="30"/>
      <c r="G1313" s="30"/>
      <c r="H1313" s="30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0"/>
      <c r="Z1313" s="30"/>
    </row>
    <row r="1314">
      <c r="A1314" s="29"/>
      <c r="B1314" s="29"/>
      <c r="C1314" s="30"/>
      <c r="D1314" s="30"/>
      <c r="E1314" s="30"/>
      <c r="F1314" s="30"/>
      <c r="G1314" s="30"/>
      <c r="H1314" s="30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0"/>
      <c r="X1314" s="30"/>
      <c r="Y1314" s="30"/>
      <c r="Z1314" s="30"/>
    </row>
    <row r="1315">
      <c r="A1315" s="29"/>
      <c r="B1315" s="29"/>
      <c r="C1315" s="30"/>
      <c r="D1315" s="30"/>
      <c r="E1315" s="30"/>
      <c r="F1315" s="30"/>
      <c r="G1315" s="30"/>
      <c r="H1315" s="30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0"/>
      <c r="Z1315" s="30"/>
    </row>
    <row r="1316">
      <c r="A1316" s="29"/>
      <c r="B1316" s="29"/>
      <c r="C1316" s="30"/>
      <c r="D1316" s="30"/>
      <c r="E1316" s="30"/>
      <c r="F1316" s="30"/>
      <c r="G1316" s="30"/>
      <c r="H1316" s="30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0"/>
      <c r="X1316" s="30"/>
      <c r="Y1316" s="30"/>
      <c r="Z1316" s="30"/>
    </row>
    <row r="1317">
      <c r="A1317" s="29"/>
      <c r="B1317" s="29"/>
      <c r="C1317" s="30"/>
      <c r="D1317" s="30"/>
      <c r="E1317" s="30"/>
      <c r="F1317" s="30"/>
      <c r="G1317" s="30"/>
      <c r="H1317" s="30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30"/>
      <c r="Z1317" s="30"/>
    </row>
    <row r="1318">
      <c r="A1318" s="29"/>
      <c r="B1318" s="29"/>
      <c r="C1318" s="30"/>
      <c r="D1318" s="30"/>
      <c r="E1318" s="30"/>
      <c r="F1318" s="30"/>
      <c r="G1318" s="30"/>
      <c r="H1318" s="30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0"/>
      <c r="X1318" s="30"/>
      <c r="Y1318" s="30"/>
      <c r="Z1318" s="30"/>
    </row>
    <row r="1319">
      <c r="A1319" s="29"/>
      <c r="B1319" s="29"/>
      <c r="C1319" s="30"/>
      <c r="D1319" s="30"/>
      <c r="E1319" s="30"/>
      <c r="F1319" s="30"/>
      <c r="G1319" s="30"/>
      <c r="H1319" s="30"/>
      <c r="I1319" s="30"/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0"/>
      <c r="Z1319" s="30"/>
    </row>
    <row r="1320">
      <c r="A1320" s="29"/>
      <c r="B1320" s="29"/>
      <c r="C1320" s="30"/>
      <c r="D1320" s="30"/>
      <c r="E1320" s="30"/>
      <c r="F1320" s="30"/>
      <c r="G1320" s="30"/>
      <c r="H1320" s="30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0"/>
      <c r="X1320" s="30"/>
      <c r="Y1320" s="30"/>
      <c r="Z1320" s="30"/>
    </row>
    <row r="1321">
      <c r="A1321" s="29"/>
      <c r="B1321" s="29"/>
      <c r="C1321" s="30"/>
      <c r="D1321" s="30"/>
      <c r="E1321" s="30"/>
      <c r="F1321" s="30"/>
      <c r="G1321" s="30"/>
      <c r="H1321" s="30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/>
      <c r="W1321" s="30"/>
      <c r="X1321" s="30"/>
      <c r="Y1321" s="30"/>
      <c r="Z1321" s="30"/>
    </row>
    <row r="1322">
      <c r="A1322" s="29"/>
      <c r="B1322" s="29"/>
      <c r="C1322" s="30"/>
      <c r="D1322" s="30"/>
      <c r="E1322" s="30"/>
      <c r="F1322" s="30"/>
      <c r="G1322" s="30"/>
      <c r="H1322" s="30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0"/>
      <c r="X1322" s="30"/>
      <c r="Y1322" s="30"/>
      <c r="Z1322" s="30"/>
    </row>
    <row r="1323">
      <c r="A1323" s="29"/>
      <c r="B1323" s="29"/>
      <c r="C1323" s="30"/>
      <c r="D1323" s="30"/>
      <c r="E1323" s="30"/>
      <c r="F1323" s="30"/>
      <c r="G1323" s="30"/>
      <c r="H1323" s="30"/>
      <c r="I1323" s="30"/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0"/>
      <c r="Z1323" s="30"/>
    </row>
    <row r="1324">
      <c r="A1324" s="29"/>
      <c r="B1324" s="29"/>
      <c r="C1324" s="30"/>
      <c r="D1324" s="30"/>
      <c r="E1324" s="30"/>
      <c r="F1324" s="30"/>
      <c r="G1324" s="30"/>
      <c r="H1324" s="30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/>
    </row>
    <row r="1325">
      <c r="A1325" s="29"/>
      <c r="B1325" s="29"/>
      <c r="C1325" s="30"/>
      <c r="D1325" s="30"/>
      <c r="E1325" s="30"/>
      <c r="F1325" s="30"/>
      <c r="G1325" s="30"/>
      <c r="H1325" s="30"/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0"/>
      <c r="Z1325" s="30"/>
    </row>
    <row r="1326">
      <c r="A1326" s="29"/>
      <c r="B1326" s="29"/>
      <c r="C1326" s="30"/>
      <c r="D1326" s="30"/>
      <c r="E1326" s="30"/>
      <c r="F1326" s="30"/>
      <c r="G1326" s="30"/>
      <c r="H1326" s="30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0"/>
      <c r="X1326" s="30"/>
      <c r="Y1326" s="30"/>
      <c r="Z1326" s="30"/>
    </row>
    <row r="1327">
      <c r="A1327" s="29"/>
      <c r="B1327" s="29"/>
      <c r="C1327" s="30"/>
      <c r="D1327" s="30"/>
      <c r="E1327" s="30"/>
      <c r="F1327" s="30"/>
      <c r="G1327" s="30"/>
      <c r="H1327" s="30"/>
      <c r="I1327" s="30"/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0"/>
      <c r="Z1327" s="30"/>
    </row>
    <row r="1328">
      <c r="A1328" s="29"/>
      <c r="B1328" s="29"/>
      <c r="C1328" s="30"/>
      <c r="D1328" s="30"/>
      <c r="E1328" s="30"/>
      <c r="F1328" s="30"/>
      <c r="G1328" s="30"/>
      <c r="H1328" s="30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0"/>
      <c r="X1328" s="30"/>
      <c r="Y1328" s="30"/>
      <c r="Z1328" s="30"/>
    </row>
    <row r="1329">
      <c r="A1329" s="29"/>
      <c r="B1329" s="29"/>
      <c r="C1329" s="30"/>
      <c r="D1329" s="30"/>
      <c r="E1329" s="30"/>
      <c r="F1329" s="30"/>
      <c r="G1329" s="30"/>
      <c r="H1329" s="30"/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0"/>
      <c r="X1329" s="30"/>
      <c r="Y1329" s="30"/>
      <c r="Z1329" s="30"/>
    </row>
    <row r="1330">
      <c r="A1330" s="29"/>
      <c r="B1330" s="29"/>
      <c r="C1330" s="30"/>
      <c r="D1330" s="30"/>
      <c r="E1330" s="30"/>
      <c r="F1330" s="30"/>
      <c r="G1330" s="30"/>
      <c r="H1330" s="30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0"/>
      <c r="X1330" s="30"/>
      <c r="Y1330" s="30"/>
      <c r="Z1330" s="30"/>
    </row>
    <row r="1331">
      <c r="A1331" s="29"/>
      <c r="B1331" s="29"/>
      <c r="C1331" s="30"/>
      <c r="D1331" s="30"/>
      <c r="E1331" s="30"/>
      <c r="F1331" s="30"/>
      <c r="G1331" s="30"/>
      <c r="H1331" s="30"/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0"/>
      <c r="X1331" s="30"/>
      <c r="Y1331" s="30"/>
      <c r="Z1331" s="30"/>
    </row>
    <row r="1332">
      <c r="A1332" s="29"/>
      <c r="B1332" s="29"/>
      <c r="C1332" s="30"/>
      <c r="D1332" s="30"/>
      <c r="E1332" s="30"/>
      <c r="F1332" s="30"/>
      <c r="G1332" s="30"/>
      <c r="H1332" s="30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</row>
    <row r="1333">
      <c r="A1333" s="29"/>
      <c r="B1333" s="29"/>
      <c r="C1333" s="30"/>
      <c r="D1333" s="30"/>
      <c r="E1333" s="30"/>
      <c r="F1333" s="30"/>
      <c r="G1333" s="30"/>
      <c r="H1333" s="30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0"/>
      <c r="Z1333" s="30"/>
    </row>
    <row r="1334">
      <c r="A1334" s="29"/>
      <c r="B1334" s="29"/>
      <c r="C1334" s="30"/>
      <c r="D1334" s="30"/>
      <c r="E1334" s="30"/>
      <c r="F1334" s="30"/>
      <c r="G1334" s="30"/>
      <c r="H1334" s="30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</row>
    <row r="1335">
      <c r="A1335" s="29"/>
      <c r="B1335" s="29"/>
      <c r="C1335" s="30"/>
      <c r="D1335" s="30"/>
      <c r="E1335" s="30"/>
      <c r="F1335" s="30"/>
      <c r="G1335" s="30"/>
      <c r="H1335" s="30"/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0"/>
      <c r="X1335" s="30"/>
      <c r="Y1335" s="30"/>
      <c r="Z1335" s="30"/>
    </row>
    <row r="1336">
      <c r="A1336" s="29"/>
      <c r="B1336" s="29"/>
      <c r="C1336" s="30"/>
      <c r="D1336" s="30"/>
      <c r="E1336" s="30"/>
      <c r="F1336" s="30"/>
      <c r="G1336" s="30"/>
      <c r="H1336" s="30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0"/>
      <c r="X1336" s="30"/>
      <c r="Y1336" s="30"/>
      <c r="Z1336" s="30"/>
    </row>
    <row r="1337">
      <c r="A1337" s="29"/>
      <c r="B1337" s="29"/>
      <c r="C1337" s="30"/>
      <c r="D1337" s="30"/>
      <c r="E1337" s="30"/>
      <c r="F1337" s="30"/>
      <c r="G1337" s="30"/>
      <c r="H1337" s="30"/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0"/>
      <c r="Z1337" s="30"/>
    </row>
    <row r="1338">
      <c r="A1338" s="29"/>
      <c r="B1338" s="29"/>
      <c r="C1338" s="30"/>
      <c r="D1338" s="30"/>
      <c r="E1338" s="30"/>
      <c r="F1338" s="30"/>
      <c r="G1338" s="30"/>
      <c r="H1338" s="30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0"/>
      <c r="X1338" s="30"/>
      <c r="Y1338" s="30"/>
      <c r="Z1338" s="30"/>
    </row>
    <row r="1339">
      <c r="A1339" s="29"/>
      <c r="B1339" s="29"/>
      <c r="C1339" s="30"/>
      <c r="D1339" s="30"/>
      <c r="E1339" s="30"/>
      <c r="F1339" s="30"/>
      <c r="G1339" s="30"/>
      <c r="H1339" s="30"/>
      <c r="I1339" s="30"/>
      <c r="J1339" s="30"/>
      <c r="K1339" s="30"/>
      <c r="L1339" s="30"/>
      <c r="M1339" s="30"/>
      <c r="N1339" s="30"/>
      <c r="O1339" s="30"/>
      <c r="P1339" s="30"/>
      <c r="Q1339" s="30"/>
      <c r="R1339" s="30"/>
      <c r="S1339" s="30"/>
      <c r="T1339" s="30"/>
      <c r="U1339" s="30"/>
      <c r="V1339" s="30"/>
      <c r="W1339" s="30"/>
      <c r="X1339" s="30"/>
      <c r="Y1339" s="30"/>
      <c r="Z1339" s="30"/>
    </row>
    <row r="1340">
      <c r="A1340" s="29"/>
      <c r="B1340" s="29"/>
      <c r="C1340" s="30"/>
      <c r="D1340" s="30"/>
      <c r="E1340" s="30"/>
      <c r="F1340" s="30"/>
      <c r="G1340" s="30"/>
      <c r="H1340" s="30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0"/>
      <c r="X1340" s="30"/>
      <c r="Y1340" s="30"/>
      <c r="Z1340" s="30"/>
    </row>
    <row r="1341">
      <c r="A1341" s="29"/>
      <c r="B1341" s="29"/>
      <c r="C1341" s="30"/>
      <c r="D1341" s="30"/>
      <c r="E1341" s="30"/>
      <c r="F1341" s="30"/>
      <c r="G1341" s="30"/>
      <c r="H1341" s="30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0"/>
      <c r="Z1341" s="30"/>
    </row>
    <row r="1342">
      <c r="A1342" s="29"/>
      <c r="B1342" s="29"/>
      <c r="C1342" s="30"/>
      <c r="D1342" s="30"/>
      <c r="E1342" s="30"/>
      <c r="F1342" s="30"/>
      <c r="G1342" s="30"/>
      <c r="H1342" s="30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/>
    </row>
    <row r="1343">
      <c r="A1343" s="29"/>
      <c r="B1343" s="29"/>
      <c r="C1343" s="30"/>
      <c r="D1343" s="30"/>
      <c r="E1343" s="30"/>
      <c r="F1343" s="30"/>
      <c r="G1343" s="30"/>
      <c r="H1343" s="30"/>
      <c r="I1343" s="30"/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0"/>
      <c r="Z1343" s="30"/>
    </row>
    <row r="1344">
      <c r="A1344" s="29"/>
      <c r="B1344" s="29"/>
      <c r="C1344" s="30"/>
      <c r="D1344" s="30"/>
      <c r="E1344" s="30"/>
      <c r="F1344" s="30"/>
      <c r="G1344" s="30"/>
      <c r="H1344" s="30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/>
    </row>
    <row r="1345">
      <c r="A1345" s="29"/>
      <c r="B1345" s="29"/>
      <c r="C1345" s="30"/>
      <c r="D1345" s="30"/>
      <c r="E1345" s="30"/>
      <c r="F1345" s="30"/>
      <c r="G1345" s="30"/>
      <c r="H1345" s="30"/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0"/>
      <c r="Z1345" s="30"/>
    </row>
    <row r="1346">
      <c r="A1346" s="29"/>
      <c r="B1346" s="29"/>
      <c r="C1346" s="30"/>
      <c r="D1346" s="30"/>
      <c r="E1346" s="30"/>
      <c r="F1346" s="30"/>
      <c r="G1346" s="30"/>
      <c r="H1346" s="30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0"/>
      <c r="X1346" s="30"/>
      <c r="Y1346" s="30"/>
      <c r="Z1346" s="30"/>
    </row>
    <row r="1347">
      <c r="A1347" s="29"/>
      <c r="B1347" s="29"/>
      <c r="C1347" s="30"/>
      <c r="D1347" s="30"/>
      <c r="E1347" s="30"/>
      <c r="F1347" s="30"/>
      <c r="G1347" s="30"/>
      <c r="H1347" s="30"/>
      <c r="I1347" s="30"/>
      <c r="J1347" s="30"/>
      <c r="K1347" s="30"/>
      <c r="L1347" s="30"/>
      <c r="M1347" s="30"/>
      <c r="N1347" s="30"/>
      <c r="O1347" s="30"/>
      <c r="P1347" s="30"/>
      <c r="Q1347" s="30"/>
      <c r="R1347" s="30"/>
      <c r="S1347" s="30"/>
      <c r="T1347" s="30"/>
      <c r="U1347" s="30"/>
      <c r="V1347" s="30"/>
      <c r="W1347" s="30"/>
      <c r="X1347" s="30"/>
      <c r="Y1347" s="30"/>
      <c r="Z1347" s="30"/>
    </row>
    <row r="1348">
      <c r="A1348" s="29"/>
      <c r="B1348" s="29"/>
      <c r="C1348" s="30"/>
      <c r="D1348" s="30"/>
      <c r="E1348" s="30"/>
      <c r="F1348" s="30"/>
      <c r="G1348" s="30"/>
      <c r="H1348" s="30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0"/>
      <c r="Z1348" s="30"/>
    </row>
    <row r="1349">
      <c r="A1349" s="29"/>
      <c r="B1349" s="29"/>
      <c r="C1349" s="30"/>
      <c r="D1349" s="30"/>
      <c r="E1349" s="30"/>
      <c r="F1349" s="30"/>
      <c r="G1349" s="30"/>
      <c r="H1349" s="30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  <c r="U1349" s="30"/>
      <c r="V1349" s="30"/>
      <c r="W1349" s="30"/>
      <c r="X1349" s="30"/>
      <c r="Y1349" s="30"/>
      <c r="Z1349" s="30"/>
    </row>
    <row r="1350">
      <c r="A1350" s="29"/>
      <c r="B1350" s="29"/>
      <c r="C1350" s="30"/>
      <c r="D1350" s="30"/>
      <c r="E1350" s="30"/>
      <c r="F1350" s="30"/>
      <c r="G1350" s="30"/>
      <c r="H1350" s="30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0"/>
      <c r="Z1350" s="30"/>
    </row>
    <row r="1351">
      <c r="A1351" s="29"/>
      <c r="B1351" s="29"/>
      <c r="C1351" s="30"/>
      <c r="D1351" s="30"/>
      <c r="E1351" s="30"/>
      <c r="F1351" s="30"/>
      <c r="G1351" s="30"/>
      <c r="H1351" s="30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0"/>
      <c r="X1351" s="30"/>
      <c r="Y1351" s="30"/>
      <c r="Z1351" s="30"/>
    </row>
    <row r="1352">
      <c r="A1352" s="29"/>
      <c r="B1352" s="29"/>
      <c r="C1352" s="30"/>
      <c r="D1352" s="30"/>
      <c r="E1352" s="30"/>
      <c r="F1352" s="30"/>
      <c r="G1352" s="30"/>
      <c r="H1352" s="3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</row>
    <row r="1353">
      <c r="A1353" s="29"/>
      <c r="B1353" s="29"/>
      <c r="C1353" s="30"/>
      <c r="D1353" s="30"/>
      <c r="E1353" s="30"/>
      <c r="F1353" s="30"/>
      <c r="G1353" s="30"/>
      <c r="H1353" s="30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0"/>
      <c r="Z1353" s="30"/>
    </row>
    <row r="1354">
      <c r="A1354" s="29"/>
      <c r="B1354" s="29"/>
      <c r="C1354" s="30"/>
      <c r="D1354" s="30"/>
      <c r="E1354" s="30"/>
      <c r="F1354" s="30"/>
      <c r="G1354" s="30"/>
      <c r="H1354" s="30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</row>
    <row r="1355">
      <c r="A1355" s="29"/>
      <c r="B1355" s="29"/>
      <c r="C1355" s="30"/>
      <c r="D1355" s="30"/>
      <c r="E1355" s="30"/>
      <c r="F1355" s="30"/>
      <c r="G1355" s="30"/>
      <c r="H1355" s="30"/>
      <c r="I1355" s="30"/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0"/>
      <c r="X1355" s="30"/>
      <c r="Y1355" s="30"/>
      <c r="Z1355" s="30"/>
    </row>
    <row r="1356">
      <c r="A1356" s="29"/>
      <c r="B1356" s="29"/>
      <c r="C1356" s="30"/>
      <c r="D1356" s="30"/>
      <c r="E1356" s="30"/>
      <c r="F1356" s="30"/>
      <c r="G1356" s="30"/>
      <c r="H1356" s="30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0"/>
      <c r="X1356" s="30"/>
      <c r="Y1356" s="30"/>
      <c r="Z1356" s="30"/>
    </row>
    <row r="1357">
      <c r="A1357" s="29"/>
      <c r="B1357" s="29"/>
      <c r="C1357" s="30"/>
      <c r="D1357" s="30"/>
      <c r="E1357" s="30"/>
      <c r="F1357" s="30"/>
      <c r="G1357" s="30"/>
      <c r="H1357" s="30"/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  <c r="U1357" s="30"/>
      <c r="V1357" s="30"/>
      <c r="W1357" s="30"/>
      <c r="X1357" s="30"/>
      <c r="Y1357" s="30"/>
      <c r="Z1357" s="30"/>
    </row>
    <row r="1358">
      <c r="A1358" s="29"/>
      <c r="B1358" s="29"/>
      <c r="C1358" s="30"/>
      <c r="D1358" s="30"/>
      <c r="E1358" s="30"/>
      <c r="F1358" s="30"/>
      <c r="G1358" s="30"/>
      <c r="H1358" s="30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0"/>
      <c r="Z1358" s="30"/>
    </row>
    <row r="1359">
      <c r="A1359" s="29"/>
      <c r="B1359" s="29"/>
      <c r="C1359" s="30"/>
      <c r="D1359" s="30"/>
      <c r="E1359" s="30"/>
      <c r="F1359" s="30"/>
      <c r="G1359" s="30"/>
      <c r="H1359" s="30"/>
      <c r="I1359" s="30"/>
      <c r="J1359" s="30"/>
      <c r="K1359" s="30"/>
      <c r="L1359" s="30"/>
      <c r="M1359" s="30"/>
      <c r="N1359" s="30"/>
      <c r="O1359" s="30"/>
      <c r="P1359" s="30"/>
      <c r="Q1359" s="30"/>
      <c r="R1359" s="30"/>
      <c r="S1359" s="30"/>
      <c r="T1359" s="30"/>
      <c r="U1359" s="30"/>
      <c r="V1359" s="30"/>
      <c r="W1359" s="30"/>
      <c r="X1359" s="30"/>
      <c r="Y1359" s="30"/>
      <c r="Z1359" s="30"/>
    </row>
    <row r="1360">
      <c r="A1360" s="29"/>
      <c r="B1360" s="29"/>
      <c r="C1360" s="30"/>
      <c r="D1360" s="30"/>
      <c r="E1360" s="30"/>
      <c r="F1360" s="30"/>
      <c r="G1360" s="30"/>
      <c r="H1360" s="30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0"/>
      <c r="X1360" s="30"/>
      <c r="Y1360" s="30"/>
      <c r="Z1360" s="30"/>
    </row>
    <row r="1361">
      <c r="A1361" s="29"/>
      <c r="B1361" s="29"/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0"/>
      <c r="X1361" s="30"/>
      <c r="Y1361" s="30"/>
      <c r="Z1361" s="30"/>
    </row>
    <row r="1362">
      <c r="A1362" s="29"/>
      <c r="B1362" s="29"/>
      <c r="C1362" s="30"/>
      <c r="D1362" s="30"/>
      <c r="E1362" s="30"/>
      <c r="F1362" s="30"/>
      <c r="G1362" s="30"/>
      <c r="H1362" s="30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0"/>
      <c r="X1362" s="30"/>
      <c r="Y1362" s="30"/>
      <c r="Z1362" s="30"/>
    </row>
    <row r="1363">
      <c r="A1363" s="29"/>
      <c r="B1363" s="29"/>
      <c r="C1363" s="30"/>
      <c r="D1363" s="30"/>
      <c r="E1363" s="30"/>
      <c r="F1363" s="30"/>
      <c r="G1363" s="30"/>
      <c r="H1363" s="30"/>
      <c r="I1363" s="30"/>
      <c r="J1363" s="30"/>
      <c r="K1363" s="30"/>
      <c r="L1363" s="30"/>
      <c r="M1363" s="30"/>
      <c r="N1363" s="30"/>
      <c r="O1363" s="30"/>
      <c r="P1363" s="30"/>
      <c r="Q1363" s="30"/>
      <c r="R1363" s="30"/>
      <c r="S1363" s="30"/>
      <c r="T1363" s="30"/>
      <c r="U1363" s="30"/>
      <c r="V1363" s="30"/>
      <c r="W1363" s="30"/>
      <c r="X1363" s="30"/>
      <c r="Y1363" s="30"/>
      <c r="Z1363" s="30"/>
    </row>
    <row r="1364">
      <c r="A1364" s="29"/>
      <c r="B1364" s="29"/>
      <c r="C1364" s="30"/>
      <c r="D1364" s="30"/>
      <c r="E1364" s="30"/>
      <c r="F1364" s="30"/>
      <c r="G1364" s="30"/>
      <c r="H1364" s="30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/>
    </row>
    <row r="1365">
      <c r="A1365" s="29"/>
      <c r="B1365" s="29"/>
      <c r="C1365" s="30"/>
      <c r="D1365" s="30"/>
      <c r="E1365" s="30"/>
      <c r="F1365" s="30"/>
      <c r="G1365" s="30"/>
      <c r="H1365" s="30"/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0"/>
      <c r="Z1365" s="30"/>
    </row>
    <row r="1366">
      <c r="A1366" s="29"/>
      <c r="B1366" s="29"/>
      <c r="C1366" s="30"/>
      <c r="D1366" s="30"/>
      <c r="E1366" s="30"/>
      <c r="F1366" s="30"/>
      <c r="G1366" s="30"/>
      <c r="H1366" s="30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0"/>
      <c r="Z1366" s="30"/>
    </row>
    <row r="1367">
      <c r="A1367" s="29"/>
      <c r="B1367" s="29"/>
      <c r="C1367" s="30"/>
      <c r="D1367" s="30"/>
      <c r="E1367" s="30"/>
      <c r="F1367" s="30"/>
      <c r="G1367" s="30"/>
      <c r="H1367" s="30"/>
      <c r="I1367" s="30"/>
      <c r="J1367" s="30"/>
      <c r="K1367" s="30"/>
      <c r="L1367" s="30"/>
      <c r="M1367" s="30"/>
      <c r="N1367" s="30"/>
      <c r="O1367" s="30"/>
      <c r="P1367" s="30"/>
      <c r="Q1367" s="30"/>
      <c r="R1367" s="30"/>
      <c r="S1367" s="30"/>
      <c r="T1367" s="30"/>
      <c r="U1367" s="30"/>
      <c r="V1367" s="30"/>
      <c r="W1367" s="30"/>
      <c r="X1367" s="30"/>
      <c r="Y1367" s="30"/>
      <c r="Z1367" s="30"/>
    </row>
    <row r="1368">
      <c r="A1368" s="29"/>
      <c r="B1368" s="29"/>
      <c r="C1368" s="30"/>
      <c r="D1368" s="30"/>
      <c r="E1368" s="30"/>
      <c r="F1368" s="30"/>
      <c r="G1368" s="30"/>
      <c r="H1368" s="30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/>
    </row>
    <row r="1369">
      <c r="A1369" s="29"/>
      <c r="B1369" s="29"/>
      <c r="C1369" s="30"/>
      <c r="D1369" s="30"/>
      <c r="E1369" s="30"/>
      <c r="F1369" s="30"/>
      <c r="G1369" s="30"/>
      <c r="H1369" s="30"/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0"/>
      <c r="Z1369" s="30"/>
    </row>
    <row r="1370">
      <c r="A1370" s="29"/>
      <c r="B1370" s="29"/>
      <c r="C1370" s="30"/>
      <c r="D1370" s="30"/>
      <c r="E1370" s="30"/>
      <c r="F1370" s="30"/>
      <c r="G1370" s="30"/>
      <c r="H1370" s="30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</row>
    <row r="1371">
      <c r="A1371" s="29"/>
      <c r="B1371" s="29"/>
      <c r="C1371" s="30"/>
      <c r="D1371" s="30"/>
      <c r="E1371" s="30"/>
      <c r="F1371" s="30"/>
      <c r="G1371" s="30"/>
      <c r="H1371" s="30"/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0"/>
      <c r="Z1371" s="30"/>
    </row>
    <row r="1372">
      <c r="A1372" s="29"/>
      <c r="B1372" s="29"/>
      <c r="C1372" s="30"/>
      <c r="D1372" s="30"/>
      <c r="E1372" s="30"/>
      <c r="F1372" s="30"/>
      <c r="G1372" s="30"/>
      <c r="H1372" s="30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</row>
    <row r="1373">
      <c r="A1373" s="29"/>
      <c r="B1373" s="29"/>
      <c r="C1373" s="30"/>
      <c r="D1373" s="30"/>
      <c r="E1373" s="30"/>
      <c r="F1373" s="30"/>
      <c r="G1373" s="30"/>
      <c r="H1373" s="30"/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0"/>
      <c r="X1373" s="30"/>
      <c r="Y1373" s="30"/>
      <c r="Z1373" s="30"/>
    </row>
    <row r="1374">
      <c r="A1374" s="29"/>
      <c r="B1374" s="29"/>
      <c r="C1374" s="30"/>
      <c r="D1374" s="30"/>
      <c r="E1374" s="30"/>
      <c r="F1374" s="30"/>
      <c r="G1374" s="30"/>
      <c r="H1374" s="30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0"/>
      <c r="Z1374" s="30"/>
    </row>
    <row r="1375">
      <c r="A1375" s="29"/>
      <c r="B1375" s="29"/>
      <c r="C1375" s="30"/>
      <c r="D1375" s="30"/>
      <c r="E1375" s="30"/>
      <c r="F1375" s="30"/>
      <c r="G1375" s="30"/>
      <c r="H1375" s="30"/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  <c r="U1375" s="30"/>
      <c r="V1375" s="30"/>
      <c r="W1375" s="30"/>
      <c r="X1375" s="30"/>
      <c r="Y1375" s="30"/>
      <c r="Z1375" s="30"/>
    </row>
    <row r="1376">
      <c r="A1376" s="29"/>
      <c r="B1376" s="29"/>
      <c r="C1376" s="30"/>
      <c r="D1376" s="30"/>
      <c r="E1376" s="30"/>
      <c r="F1376" s="30"/>
      <c r="G1376" s="30"/>
      <c r="H1376" s="30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/>
    </row>
    <row r="1377">
      <c r="A1377" s="29"/>
      <c r="B1377" s="29"/>
      <c r="C1377" s="30"/>
      <c r="D1377" s="30"/>
      <c r="E1377" s="30"/>
      <c r="F1377" s="30"/>
      <c r="G1377" s="30"/>
      <c r="H1377" s="30"/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0"/>
      <c r="X1377" s="30"/>
      <c r="Y1377" s="30"/>
      <c r="Z1377" s="30"/>
    </row>
    <row r="1378">
      <c r="A1378" s="29"/>
      <c r="B1378" s="29"/>
      <c r="C1378" s="30"/>
      <c r="D1378" s="30"/>
      <c r="E1378" s="30"/>
      <c r="F1378" s="30"/>
      <c r="G1378" s="30"/>
      <c r="H1378" s="30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/>
    </row>
    <row r="1379">
      <c r="A1379" s="29"/>
      <c r="B1379" s="29"/>
      <c r="C1379" s="30"/>
      <c r="D1379" s="30"/>
      <c r="E1379" s="30"/>
      <c r="F1379" s="30"/>
      <c r="G1379" s="30"/>
      <c r="H1379" s="30"/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0"/>
      <c r="X1379" s="30"/>
      <c r="Y1379" s="30"/>
      <c r="Z1379" s="30"/>
    </row>
    <row r="1380">
      <c r="A1380" s="29"/>
      <c r="B1380" s="29"/>
      <c r="C1380" s="30"/>
      <c r="D1380" s="30"/>
      <c r="E1380" s="30"/>
      <c r="F1380" s="30"/>
      <c r="G1380" s="30"/>
      <c r="H1380" s="30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</row>
    <row r="1381">
      <c r="A1381" s="29"/>
      <c r="B1381" s="29"/>
      <c r="C1381" s="30"/>
      <c r="D1381" s="30"/>
      <c r="E1381" s="30"/>
      <c r="F1381" s="30"/>
      <c r="G1381" s="30"/>
      <c r="H1381" s="30"/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30"/>
      <c r="Z1381" s="30"/>
    </row>
    <row r="1382">
      <c r="A1382" s="29"/>
      <c r="B1382" s="29"/>
      <c r="C1382" s="30"/>
      <c r="D1382" s="30"/>
      <c r="E1382" s="30"/>
      <c r="F1382" s="30"/>
      <c r="G1382" s="30"/>
      <c r="H1382" s="30"/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0"/>
      <c r="X1382" s="30"/>
      <c r="Y1382" s="30"/>
      <c r="Z1382" s="30"/>
    </row>
    <row r="1383">
      <c r="A1383" s="29"/>
      <c r="B1383" s="29"/>
      <c r="C1383" s="30"/>
      <c r="D1383" s="30"/>
      <c r="E1383" s="30"/>
      <c r="F1383" s="30"/>
      <c r="G1383" s="30"/>
      <c r="H1383" s="30"/>
      <c r="I1383" s="30"/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  <c r="U1383" s="30"/>
      <c r="V1383" s="30"/>
      <c r="W1383" s="30"/>
      <c r="X1383" s="30"/>
      <c r="Y1383" s="30"/>
      <c r="Z1383" s="30"/>
    </row>
    <row r="1384">
      <c r="A1384" s="29"/>
      <c r="B1384" s="29"/>
      <c r="C1384" s="30"/>
      <c r="D1384" s="30"/>
      <c r="E1384" s="30"/>
      <c r="F1384" s="30"/>
      <c r="G1384" s="30"/>
      <c r="H1384" s="30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0"/>
      <c r="Z1384" s="30"/>
    </row>
    <row r="1385">
      <c r="A1385" s="29"/>
      <c r="B1385" s="29"/>
      <c r="C1385" s="30"/>
      <c r="D1385" s="30"/>
      <c r="E1385" s="30"/>
      <c r="F1385" s="30"/>
      <c r="G1385" s="30"/>
      <c r="H1385" s="30"/>
      <c r="I1385" s="30"/>
      <c r="J1385" s="30"/>
      <c r="K1385" s="30"/>
      <c r="L1385" s="30"/>
      <c r="M1385" s="30"/>
      <c r="N1385" s="30"/>
      <c r="O1385" s="30"/>
      <c r="P1385" s="30"/>
      <c r="Q1385" s="30"/>
      <c r="R1385" s="30"/>
      <c r="S1385" s="30"/>
      <c r="T1385" s="30"/>
      <c r="U1385" s="30"/>
      <c r="V1385" s="30"/>
      <c r="W1385" s="30"/>
      <c r="X1385" s="30"/>
      <c r="Y1385" s="30"/>
      <c r="Z1385" s="30"/>
    </row>
    <row r="1386">
      <c r="A1386" s="29"/>
      <c r="B1386" s="29"/>
      <c r="C1386" s="30"/>
      <c r="D1386" s="30"/>
      <c r="E1386" s="30"/>
      <c r="F1386" s="30"/>
      <c r="G1386" s="30"/>
      <c r="H1386" s="30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0"/>
      <c r="X1386" s="30"/>
      <c r="Y1386" s="30"/>
      <c r="Z1386" s="30"/>
    </row>
    <row r="1387">
      <c r="A1387" s="29"/>
      <c r="B1387" s="29"/>
      <c r="C1387" s="30"/>
      <c r="D1387" s="30"/>
      <c r="E1387" s="30"/>
      <c r="F1387" s="30"/>
      <c r="G1387" s="30"/>
      <c r="H1387" s="30"/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0"/>
      <c r="Z1387" s="30"/>
    </row>
    <row r="1388">
      <c r="A1388" s="29"/>
      <c r="B1388" s="29"/>
      <c r="C1388" s="30"/>
      <c r="D1388" s="30"/>
      <c r="E1388" s="30"/>
      <c r="F1388" s="30"/>
      <c r="G1388" s="30"/>
      <c r="H1388" s="30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/>
    </row>
    <row r="1389">
      <c r="A1389" s="29"/>
      <c r="B1389" s="29"/>
      <c r="C1389" s="30"/>
      <c r="D1389" s="30"/>
      <c r="E1389" s="30"/>
      <c r="F1389" s="30"/>
      <c r="G1389" s="30"/>
      <c r="H1389" s="30"/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0"/>
      <c r="Z1389" s="30"/>
    </row>
    <row r="1390">
      <c r="A1390" s="29"/>
      <c r="B1390" s="29"/>
      <c r="C1390" s="30"/>
      <c r="D1390" s="30"/>
      <c r="E1390" s="30"/>
      <c r="F1390" s="30"/>
      <c r="G1390" s="30"/>
      <c r="H1390" s="30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/>
    </row>
    <row r="1391">
      <c r="A1391" s="29"/>
      <c r="B1391" s="29"/>
      <c r="C1391" s="30"/>
      <c r="D1391" s="30"/>
      <c r="E1391" s="30"/>
      <c r="F1391" s="30"/>
      <c r="G1391" s="30"/>
      <c r="H1391" s="30"/>
      <c r="I1391" s="30"/>
      <c r="J1391" s="30"/>
      <c r="K1391" s="30"/>
      <c r="L1391" s="30"/>
      <c r="M1391" s="30"/>
      <c r="N1391" s="30"/>
      <c r="O1391" s="30"/>
      <c r="P1391" s="30"/>
      <c r="Q1391" s="30"/>
      <c r="R1391" s="30"/>
      <c r="S1391" s="30"/>
      <c r="T1391" s="30"/>
      <c r="U1391" s="30"/>
      <c r="V1391" s="30"/>
      <c r="W1391" s="30"/>
      <c r="X1391" s="30"/>
      <c r="Y1391" s="30"/>
      <c r="Z1391" s="30"/>
    </row>
    <row r="1392">
      <c r="A1392" s="29"/>
      <c r="B1392" s="29"/>
      <c r="C1392" s="30"/>
      <c r="D1392" s="30"/>
      <c r="E1392" s="30"/>
      <c r="F1392" s="30"/>
      <c r="G1392" s="30"/>
      <c r="H1392" s="30"/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0"/>
      <c r="Z1392" s="30"/>
    </row>
    <row r="1393">
      <c r="A1393" s="29"/>
      <c r="B1393" s="29"/>
      <c r="C1393" s="30"/>
      <c r="D1393" s="30"/>
      <c r="E1393" s="30"/>
      <c r="F1393" s="30"/>
      <c r="G1393" s="30"/>
      <c r="H1393" s="30"/>
      <c r="I1393" s="30"/>
      <c r="J1393" s="30"/>
      <c r="K1393" s="30"/>
      <c r="L1393" s="30"/>
      <c r="M1393" s="30"/>
      <c r="N1393" s="30"/>
      <c r="O1393" s="30"/>
      <c r="P1393" s="30"/>
      <c r="Q1393" s="30"/>
      <c r="R1393" s="30"/>
      <c r="S1393" s="30"/>
      <c r="T1393" s="30"/>
      <c r="U1393" s="30"/>
      <c r="V1393" s="30"/>
      <c r="W1393" s="30"/>
      <c r="X1393" s="30"/>
      <c r="Y1393" s="30"/>
      <c r="Z1393" s="30"/>
    </row>
    <row r="1394">
      <c r="A1394" s="29"/>
      <c r="B1394" s="29"/>
      <c r="C1394" s="30"/>
      <c r="D1394" s="30"/>
      <c r="E1394" s="30"/>
      <c r="F1394" s="30"/>
      <c r="G1394" s="30"/>
      <c r="H1394" s="30"/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0"/>
      <c r="X1394" s="30"/>
      <c r="Y1394" s="30"/>
      <c r="Z1394" s="30"/>
    </row>
    <row r="1395">
      <c r="A1395" s="29"/>
      <c r="B1395" s="29"/>
      <c r="C1395" s="30"/>
      <c r="D1395" s="30"/>
      <c r="E1395" s="30"/>
      <c r="F1395" s="30"/>
      <c r="G1395" s="30"/>
      <c r="H1395" s="30"/>
      <c r="I1395" s="30"/>
      <c r="J1395" s="30"/>
      <c r="K1395" s="30"/>
      <c r="L1395" s="30"/>
      <c r="M1395" s="30"/>
      <c r="N1395" s="30"/>
      <c r="O1395" s="30"/>
      <c r="P1395" s="30"/>
      <c r="Q1395" s="30"/>
      <c r="R1395" s="30"/>
      <c r="S1395" s="30"/>
      <c r="T1395" s="30"/>
      <c r="U1395" s="30"/>
      <c r="V1395" s="30"/>
      <c r="W1395" s="30"/>
      <c r="X1395" s="30"/>
      <c r="Y1395" s="30"/>
      <c r="Z1395" s="30"/>
    </row>
    <row r="1396">
      <c r="A1396" s="29"/>
      <c r="B1396" s="29"/>
      <c r="C1396" s="30"/>
      <c r="D1396" s="30"/>
      <c r="E1396" s="30"/>
      <c r="F1396" s="30"/>
      <c r="G1396" s="30"/>
      <c r="H1396" s="30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0"/>
      <c r="Z1396" s="30"/>
    </row>
    <row r="1397">
      <c r="A1397" s="29"/>
      <c r="B1397" s="29"/>
      <c r="C1397" s="30"/>
      <c r="D1397" s="30"/>
      <c r="E1397" s="30"/>
      <c r="F1397" s="30"/>
      <c r="G1397" s="30"/>
      <c r="H1397" s="30"/>
      <c r="I1397" s="30"/>
      <c r="J1397" s="30"/>
      <c r="K1397" s="30"/>
      <c r="L1397" s="30"/>
      <c r="M1397" s="30"/>
      <c r="N1397" s="30"/>
      <c r="O1397" s="30"/>
      <c r="P1397" s="30"/>
      <c r="Q1397" s="30"/>
      <c r="R1397" s="30"/>
      <c r="S1397" s="30"/>
      <c r="T1397" s="30"/>
      <c r="U1397" s="30"/>
      <c r="V1397" s="30"/>
      <c r="W1397" s="30"/>
      <c r="X1397" s="30"/>
      <c r="Y1397" s="30"/>
      <c r="Z1397" s="30"/>
    </row>
    <row r="1398">
      <c r="A1398" s="29"/>
      <c r="B1398" s="29"/>
      <c r="C1398" s="30"/>
      <c r="D1398" s="30"/>
      <c r="E1398" s="30"/>
      <c r="F1398" s="30"/>
      <c r="G1398" s="30"/>
      <c r="H1398" s="30"/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0"/>
      <c r="X1398" s="30"/>
      <c r="Y1398" s="30"/>
      <c r="Z1398" s="30"/>
    </row>
    <row r="1399">
      <c r="A1399" s="29"/>
      <c r="B1399" s="29"/>
      <c r="C1399" s="30"/>
      <c r="D1399" s="30"/>
      <c r="E1399" s="30"/>
      <c r="F1399" s="30"/>
      <c r="G1399" s="30"/>
      <c r="H1399" s="30"/>
      <c r="I1399" s="30"/>
      <c r="J1399" s="30"/>
      <c r="K1399" s="30"/>
      <c r="L1399" s="30"/>
      <c r="M1399" s="30"/>
      <c r="N1399" s="30"/>
      <c r="O1399" s="30"/>
      <c r="P1399" s="30"/>
      <c r="Q1399" s="30"/>
      <c r="R1399" s="30"/>
      <c r="S1399" s="30"/>
      <c r="T1399" s="30"/>
      <c r="U1399" s="30"/>
      <c r="V1399" s="30"/>
      <c r="W1399" s="30"/>
      <c r="X1399" s="30"/>
      <c r="Y1399" s="30"/>
      <c r="Z1399" s="30"/>
    </row>
    <row r="1400">
      <c r="A1400" s="29"/>
      <c r="B1400" s="29"/>
      <c r="C1400" s="30"/>
      <c r="D1400" s="30"/>
      <c r="E1400" s="30"/>
      <c r="F1400" s="30"/>
      <c r="G1400" s="30"/>
      <c r="H1400" s="30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0"/>
      <c r="X1400" s="30"/>
      <c r="Y1400" s="30"/>
      <c r="Z1400" s="30"/>
    </row>
    <row r="1401">
      <c r="A1401" s="29"/>
      <c r="B1401" s="29"/>
      <c r="C1401" s="30"/>
      <c r="D1401" s="30"/>
      <c r="E1401" s="30"/>
      <c r="F1401" s="30"/>
      <c r="G1401" s="30"/>
      <c r="H1401" s="30"/>
      <c r="I1401" s="30"/>
      <c r="J1401" s="30"/>
      <c r="K1401" s="30"/>
      <c r="L1401" s="30"/>
      <c r="M1401" s="30"/>
      <c r="N1401" s="30"/>
      <c r="O1401" s="30"/>
      <c r="P1401" s="30"/>
      <c r="Q1401" s="30"/>
      <c r="R1401" s="30"/>
      <c r="S1401" s="30"/>
      <c r="T1401" s="30"/>
      <c r="U1401" s="30"/>
      <c r="V1401" s="30"/>
      <c r="W1401" s="30"/>
      <c r="X1401" s="30"/>
      <c r="Y1401" s="30"/>
      <c r="Z1401" s="30"/>
    </row>
    <row r="1402">
      <c r="A1402" s="29"/>
      <c r="B1402" s="29"/>
      <c r="C1402" s="30"/>
      <c r="D1402" s="30"/>
      <c r="E1402" s="30"/>
      <c r="F1402" s="30"/>
      <c r="G1402" s="30"/>
      <c r="H1402" s="30"/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0"/>
      <c r="Z1402" s="30"/>
    </row>
    <row r="1403">
      <c r="A1403" s="29"/>
      <c r="B1403" s="29"/>
      <c r="C1403" s="30"/>
      <c r="D1403" s="30"/>
      <c r="E1403" s="30"/>
      <c r="F1403" s="30"/>
      <c r="G1403" s="30"/>
      <c r="H1403" s="30"/>
      <c r="I1403" s="30"/>
      <c r="J1403" s="30"/>
      <c r="K1403" s="30"/>
      <c r="L1403" s="30"/>
      <c r="M1403" s="30"/>
      <c r="N1403" s="30"/>
      <c r="O1403" s="30"/>
      <c r="P1403" s="30"/>
      <c r="Q1403" s="30"/>
      <c r="R1403" s="30"/>
      <c r="S1403" s="30"/>
      <c r="T1403" s="30"/>
      <c r="U1403" s="30"/>
      <c r="V1403" s="30"/>
      <c r="W1403" s="30"/>
      <c r="X1403" s="30"/>
      <c r="Y1403" s="30"/>
      <c r="Z1403" s="30"/>
    </row>
    <row r="1404">
      <c r="A1404" s="29"/>
      <c r="B1404" s="29"/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0"/>
      <c r="X1404" s="30"/>
      <c r="Y1404" s="30"/>
      <c r="Z1404" s="30"/>
    </row>
    <row r="1405">
      <c r="A1405" s="29"/>
      <c r="B1405" s="29"/>
      <c r="C1405" s="30"/>
      <c r="D1405" s="30"/>
      <c r="E1405" s="30"/>
      <c r="F1405" s="30"/>
      <c r="G1405" s="30"/>
      <c r="H1405" s="30"/>
      <c r="I1405" s="30"/>
      <c r="J1405" s="30"/>
      <c r="K1405" s="30"/>
      <c r="L1405" s="30"/>
      <c r="M1405" s="30"/>
      <c r="N1405" s="30"/>
      <c r="O1405" s="30"/>
      <c r="P1405" s="30"/>
      <c r="Q1405" s="30"/>
      <c r="R1405" s="30"/>
      <c r="S1405" s="30"/>
      <c r="T1405" s="30"/>
      <c r="U1405" s="30"/>
      <c r="V1405" s="30"/>
      <c r="W1405" s="30"/>
      <c r="X1405" s="30"/>
      <c r="Y1405" s="30"/>
      <c r="Z1405" s="30"/>
    </row>
    <row r="1406">
      <c r="A1406" s="29"/>
      <c r="B1406" s="29"/>
      <c r="C1406" s="30"/>
      <c r="D1406" s="30"/>
      <c r="E1406" s="30"/>
      <c r="F1406" s="30"/>
      <c r="G1406" s="30"/>
      <c r="H1406" s="30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0"/>
      <c r="X1406" s="30"/>
      <c r="Y1406" s="30"/>
      <c r="Z1406" s="30"/>
    </row>
    <row r="1407">
      <c r="A1407" s="29"/>
      <c r="B1407" s="29"/>
      <c r="C1407" s="30"/>
      <c r="D1407" s="30"/>
      <c r="E1407" s="30"/>
      <c r="F1407" s="30"/>
      <c r="G1407" s="30"/>
      <c r="H1407" s="30"/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0"/>
      <c r="X1407" s="30"/>
      <c r="Y1407" s="30"/>
      <c r="Z1407" s="30"/>
    </row>
    <row r="1408">
      <c r="A1408" s="29"/>
      <c r="B1408" s="29"/>
      <c r="C1408" s="30"/>
      <c r="D1408" s="30"/>
      <c r="E1408" s="30"/>
      <c r="F1408" s="30"/>
      <c r="G1408" s="30"/>
      <c r="H1408" s="30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0"/>
      <c r="X1408" s="30"/>
      <c r="Y1408" s="30"/>
      <c r="Z1408" s="30"/>
    </row>
    <row r="1409">
      <c r="A1409" s="29"/>
      <c r="B1409" s="29"/>
      <c r="C1409" s="30"/>
      <c r="D1409" s="30"/>
      <c r="E1409" s="30"/>
      <c r="F1409" s="30"/>
      <c r="G1409" s="30"/>
      <c r="H1409" s="30"/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0"/>
      <c r="X1409" s="30"/>
      <c r="Y1409" s="30"/>
      <c r="Z1409" s="30"/>
    </row>
    <row r="1410">
      <c r="A1410" s="29"/>
      <c r="B1410" s="29"/>
      <c r="C1410" s="30"/>
      <c r="D1410" s="30"/>
      <c r="E1410" s="30"/>
      <c r="F1410" s="30"/>
      <c r="G1410" s="30"/>
      <c r="H1410" s="30"/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0"/>
      <c r="X1410" s="30"/>
      <c r="Y1410" s="30"/>
      <c r="Z1410" s="30"/>
    </row>
    <row r="1411">
      <c r="A1411" s="29"/>
      <c r="B1411" s="29"/>
      <c r="C1411" s="30"/>
      <c r="D1411" s="30"/>
      <c r="E1411" s="30"/>
      <c r="F1411" s="30"/>
      <c r="G1411" s="30"/>
      <c r="H1411" s="30"/>
      <c r="I1411" s="30"/>
      <c r="J1411" s="30"/>
      <c r="K1411" s="30"/>
      <c r="L1411" s="30"/>
      <c r="M1411" s="30"/>
      <c r="N1411" s="30"/>
      <c r="O1411" s="30"/>
      <c r="P1411" s="30"/>
      <c r="Q1411" s="30"/>
      <c r="R1411" s="30"/>
      <c r="S1411" s="30"/>
      <c r="T1411" s="30"/>
      <c r="U1411" s="30"/>
      <c r="V1411" s="30"/>
      <c r="W1411" s="30"/>
      <c r="X1411" s="30"/>
      <c r="Y1411" s="30"/>
      <c r="Z1411" s="30"/>
    </row>
    <row r="1412">
      <c r="A1412" s="29"/>
      <c r="B1412" s="29"/>
      <c r="C1412" s="30"/>
      <c r="D1412" s="30"/>
      <c r="E1412" s="30"/>
      <c r="F1412" s="30"/>
      <c r="G1412" s="30"/>
      <c r="H1412" s="30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0"/>
      <c r="Z1412" s="30"/>
    </row>
    <row r="1413">
      <c r="A1413" s="29"/>
      <c r="B1413" s="29"/>
      <c r="C1413" s="30"/>
      <c r="D1413" s="30"/>
      <c r="E1413" s="30"/>
      <c r="F1413" s="30"/>
      <c r="G1413" s="30"/>
      <c r="H1413" s="30"/>
      <c r="I1413" s="30"/>
      <c r="J1413" s="30"/>
      <c r="K1413" s="30"/>
      <c r="L1413" s="30"/>
      <c r="M1413" s="30"/>
      <c r="N1413" s="30"/>
      <c r="O1413" s="30"/>
      <c r="P1413" s="30"/>
      <c r="Q1413" s="30"/>
      <c r="R1413" s="30"/>
      <c r="S1413" s="30"/>
      <c r="T1413" s="30"/>
      <c r="U1413" s="30"/>
      <c r="V1413" s="30"/>
      <c r="W1413" s="30"/>
      <c r="X1413" s="30"/>
      <c r="Y1413" s="30"/>
      <c r="Z1413" s="30"/>
    </row>
    <row r="1414">
      <c r="A1414" s="29"/>
      <c r="B1414" s="29"/>
      <c r="C1414" s="30"/>
      <c r="D1414" s="30"/>
      <c r="E1414" s="30"/>
      <c r="F1414" s="30"/>
      <c r="G1414" s="30"/>
      <c r="H1414" s="30"/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0"/>
      <c r="Z1414" s="30"/>
    </row>
    <row r="1415">
      <c r="A1415" s="29"/>
      <c r="B1415" s="29"/>
      <c r="C1415" s="30"/>
      <c r="D1415" s="30"/>
      <c r="E1415" s="30"/>
      <c r="F1415" s="30"/>
      <c r="G1415" s="30"/>
      <c r="H1415" s="30"/>
      <c r="I1415" s="30"/>
      <c r="J1415" s="30"/>
      <c r="K1415" s="30"/>
      <c r="L1415" s="30"/>
      <c r="M1415" s="30"/>
      <c r="N1415" s="30"/>
      <c r="O1415" s="30"/>
      <c r="P1415" s="30"/>
      <c r="Q1415" s="30"/>
      <c r="R1415" s="30"/>
      <c r="S1415" s="30"/>
      <c r="T1415" s="30"/>
      <c r="U1415" s="30"/>
      <c r="V1415" s="30"/>
      <c r="W1415" s="30"/>
      <c r="X1415" s="30"/>
      <c r="Y1415" s="30"/>
      <c r="Z1415" s="30"/>
    </row>
    <row r="1416">
      <c r="A1416" s="29"/>
      <c r="B1416" s="29"/>
      <c r="C1416" s="30"/>
      <c r="D1416" s="30"/>
      <c r="E1416" s="30"/>
      <c r="F1416" s="30"/>
      <c r="G1416" s="30"/>
      <c r="H1416" s="30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0"/>
      <c r="X1416" s="30"/>
      <c r="Y1416" s="30"/>
      <c r="Z1416" s="30"/>
    </row>
    <row r="1417">
      <c r="A1417" s="29"/>
      <c r="B1417" s="29"/>
      <c r="C1417" s="30"/>
      <c r="D1417" s="30"/>
      <c r="E1417" s="30"/>
      <c r="F1417" s="30"/>
      <c r="G1417" s="30"/>
      <c r="H1417" s="30"/>
      <c r="I1417" s="30"/>
      <c r="J1417" s="30"/>
      <c r="K1417" s="30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30"/>
      <c r="X1417" s="30"/>
      <c r="Y1417" s="30"/>
      <c r="Z1417" s="30"/>
    </row>
    <row r="1418">
      <c r="A1418" s="29"/>
      <c r="B1418" s="29"/>
      <c r="C1418" s="30"/>
      <c r="D1418" s="30"/>
      <c r="E1418" s="30"/>
      <c r="F1418" s="30"/>
      <c r="G1418" s="30"/>
      <c r="H1418" s="30"/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0"/>
      <c r="Z1418" s="30"/>
    </row>
    <row r="1419">
      <c r="A1419" s="29"/>
      <c r="B1419" s="29"/>
      <c r="C1419" s="30"/>
      <c r="D1419" s="30"/>
      <c r="E1419" s="30"/>
      <c r="F1419" s="30"/>
      <c r="G1419" s="30"/>
      <c r="H1419" s="30"/>
      <c r="I1419" s="30"/>
      <c r="J1419" s="30"/>
      <c r="K1419" s="30"/>
      <c r="L1419" s="30"/>
      <c r="M1419" s="30"/>
      <c r="N1419" s="30"/>
      <c r="O1419" s="30"/>
      <c r="P1419" s="30"/>
      <c r="Q1419" s="30"/>
      <c r="R1419" s="30"/>
      <c r="S1419" s="30"/>
      <c r="T1419" s="30"/>
      <c r="U1419" s="30"/>
      <c r="V1419" s="30"/>
      <c r="W1419" s="30"/>
      <c r="X1419" s="30"/>
      <c r="Y1419" s="30"/>
      <c r="Z1419" s="30"/>
    </row>
    <row r="1420">
      <c r="A1420" s="29"/>
      <c r="B1420" s="29"/>
      <c r="C1420" s="30"/>
      <c r="D1420" s="30"/>
      <c r="E1420" s="30"/>
      <c r="F1420" s="30"/>
      <c r="G1420" s="30"/>
      <c r="H1420" s="30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0"/>
      <c r="Z1420" s="30"/>
    </row>
    <row r="1421">
      <c r="A1421" s="29"/>
      <c r="B1421" s="29"/>
      <c r="C1421" s="30"/>
      <c r="D1421" s="30"/>
      <c r="E1421" s="30"/>
      <c r="F1421" s="30"/>
      <c r="G1421" s="30"/>
      <c r="H1421" s="30"/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0"/>
      <c r="X1421" s="30"/>
      <c r="Y1421" s="30"/>
      <c r="Z1421" s="30"/>
    </row>
    <row r="1422">
      <c r="A1422" s="29"/>
      <c r="B1422" s="29"/>
      <c r="C1422" s="30"/>
      <c r="D1422" s="30"/>
      <c r="E1422" s="30"/>
      <c r="F1422" s="30"/>
      <c r="G1422" s="30"/>
      <c r="H1422" s="30"/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0"/>
      <c r="X1422" s="30"/>
      <c r="Y1422" s="30"/>
      <c r="Z1422" s="30"/>
    </row>
    <row r="1423">
      <c r="A1423" s="29"/>
      <c r="B1423" s="29"/>
      <c r="C1423" s="30"/>
      <c r="D1423" s="30"/>
      <c r="E1423" s="30"/>
      <c r="F1423" s="30"/>
      <c r="G1423" s="30"/>
      <c r="H1423" s="30"/>
      <c r="I1423" s="30"/>
      <c r="J1423" s="30"/>
      <c r="K1423" s="30"/>
      <c r="L1423" s="30"/>
      <c r="M1423" s="30"/>
      <c r="N1423" s="30"/>
      <c r="O1423" s="30"/>
      <c r="P1423" s="30"/>
      <c r="Q1423" s="30"/>
      <c r="R1423" s="30"/>
      <c r="S1423" s="30"/>
      <c r="T1423" s="30"/>
      <c r="U1423" s="30"/>
      <c r="V1423" s="30"/>
      <c r="W1423" s="30"/>
      <c r="X1423" s="30"/>
      <c r="Y1423" s="30"/>
      <c r="Z1423" s="30"/>
    </row>
    <row r="1424">
      <c r="A1424" s="29"/>
      <c r="B1424" s="29"/>
      <c r="C1424" s="30"/>
      <c r="D1424" s="30"/>
      <c r="E1424" s="30"/>
      <c r="F1424" s="30"/>
      <c r="G1424" s="30"/>
      <c r="H1424" s="30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0"/>
      <c r="X1424" s="30"/>
      <c r="Y1424" s="30"/>
      <c r="Z1424" s="30"/>
    </row>
    <row r="1425">
      <c r="A1425" s="29"/>
      <c r="B1425" s="29"/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  <c r="O1425" s="30"/>
      <c r="P1425" s="30"/>
      <c r="Q1425" s="30"/>
      <c r="R1425" s="30"/>
      <c r="S1425" s="30"/>
      <c r="T1425" s="30"/>
      <c r="U1425" s="30"/>
      <c r="V1425" s="30"/>
      <c r="W1425" s="30"/>
      <c r="X1425" s="30"/>
      <c r="Y1425" s="30"/>
      <c r="Z1425" s="30"/>
    </row>
    <row r="1426">
      <c r="A1426" s="29"/>
      <c r="B1426" s="29"/>
      <c r="C1426" s="30"/>
      <c r="D1426" s="30"/>
      <c r="E1426" s="30"/>
      <c r="F1426" s="30"/>
      <c r="G1426" s="30"/>
      <c r="H1426" s="30"/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0"/>
      <c r="X1426" s="30"/>
      <c r="Y1426" s="30"/>
      <c r="Z1426" s="30"/>
    </row>
    <row r="1427">
      <c r="A1427" s="29"/>
      <c r="B1427" s="29"/>
      <c r="C1427" s="30"/>
      <c r="D1427" s="30"/>
      <c r="E1427" s="30"/>
      <c r="F1427" s="30"/>
      <c r="G1427" s="30"/>
      <c r="H1427" s="30"/>
      <c r="I1427" s="30"/>
      <c r="J1427" s="30"/>
      <c r="K1427" s="30"/>
      <c r="L1427" s="30"/>
      <c r="M1427" s="30"/>
      <c r="N1427" s="30"/>
      <c r="O1427" s="30"/>
      <c r="P1427" s="30"/>
      <c r="Q1427" s="30"/>
      <c r="R1427" s="30"/>
      <c r="S1427" s="30"/>
      <c r="T1427" s="30"/>
      <c r="U1427" s="30"/>
      <c r="V1427" s="30"/>
      <c r="W1427" s="30"/>
      <c r="X1427" s="30"/>
      <c r="Y1427" s="30"/>
      <c r="Z1427" s="30"/>
    </row>
    <row r="1428">
      <c r="A1428" s="29"/>
      <c r="B1428" s="29"/>
      <c r="C1428" s="30"/>
      <c r="D1428" s="30"/>
      <c r="E1428" s="30"/>
      <c r="F1428" s="30"/>
      <c r="G1428" s="30"/>
      <c r="H1428" s="30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0"/>
      <c r="X1428" s="30"/>
      <c r="Y1428" s="30"/>
      <c r="Z1428" s="30"/>
    </row>
    <row r="1429">
      <c r="A1429" s="29"/>
      <c r="B1429" s="29"/>
      <c r="C1429" s="30"/>
      <c r="D1429" s="30"/>
      <c r="E1429" s="30"/>
      <c r="F1429" s="30"/>
      <c r="G1429" s="30"/>
      <c r="H1429" s="30"/>
      <c r="I1429" s="30"/>
      <c r="J1429" s="30"/>
      <c r="K1429" s="30"/>
      <c r="L1429" s="30"/>
      <c r="M1429" s="30"/>
      <c r="N1429" s="30"/>
      <c r="O1429" s="30"/>
      <c r="P1429" s="30"/>
      <c r="Q1429" s="30"/>
      <c r="R1429" s="30"/>
      <c r="S1429" s="30"/>
      <c r="T1429" s="30"/>
      <c r="U1429" s="30"/>
      <c r="V1429" s="30"/>
      <c r="W1429" s="30"/>
      <c r="X1429" s="30"/>
      <c r="Y1429" s="30"/>
      <c r="Z1429" s="30"/>
    </row>
    <row r="1430">
      <c r="A1430" s="29"/>
      <c r="B1430" s="29"/>
      <c r="C1430" s="30"/>
      <c r="D1430" s="30"/>
      <c r="E1430" s="30"/>
      <c r="F1430" s="30"/>
      <c r="G1430" s="30"/>
      <c r="H1430" s="30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0"/>
      <c r="X1430" s="30"/>
      <c r="Y1430" s="30"/>
      <c r="Z1430" s="30"/>
    </row>
    <row r="1431">
      <c r="A1431" s="29"/>
      <c r="B1431" s="29"/>
      <c r="C1431" s="30"/>
      <c r="D1431" s="30"/>
      <c r="E1431" s="30"/>
      <c r="F1431" s="30"/>
      <c r="G1431" s="30"/>
      <c r="H1431" s="30"/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0"/>
      <c r="Z1431" s="30"/>
    </row>
    <row r="1432">
      <c r="A1432" s="29"/>
      <c r="B1432" s="29"/>
      <c r="C1432" s="30"/>
      <c r="D1432" s="30"/>
      <c r="E1432" s="30"/>
      <c r="F1432" s="30"/>
      <c r="G1432" s="30"/>
      <c r="H1432" s="30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0"/>
      <c r="Y1432" s="30"/>
      <c r="Z1432" s="30"/>
    </row>
    <row r="1433">
      <c r="A1433" s="29"/>
      <c r="B1433" s="29"/>
      <c r="C1433" s="30"/>
      <c r="D1433" s="30"/>
      <c r="E1433" s="30"/>
      <c r="F1433" s="30"/>
      <c r="G1433" s="30"/>
      <c r="H1433" s="30"/>
      <c r="I1433" s="30"/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0"/>
      <c r="X1433" s="30"/>
      <c r="Y1433" s="30"/>
      <c r="Z1433" s="30"/>
    </row>
    <row r="1434">
      <c r="A1434" s="29"/>
      <c r="B1434" s="29"/>
      <c r="C1434" s="30"/>
      <c r="D1434" s="30"/>
      <c r="E1434" s="30"/>
      <c r="F1434" s="30"/>
      <c r="G1434" s="30"/>
      <c r="H1434" s="30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/>
    </row>
    <row r="1435">
      <c r="A1435" s="29"/>
      <c r="B1435" s="29"/>
      <c r="C1435" s="30"/>
      <c r="D1435" s="30"/>
      <c r="E1435" s="30"/>
      <c r="F1435" s="30"/>
      <c r="G1435" s="30"/>
      <c r="H1435" s="30"/>
      <c r="I1435" s="30"/>
      <c r="J1435" s="30"/>
      <c r="K1435" s="30"/>
      <c r="L1435" s="30"/>
      <c r="M1435" s="30"/>
      <c r="N1435" s="30"/>
      <c r="O1435" s="30"/>
      <c r="P1435" s="30"/>
      <c r="Q1435" s="30"/>
      <c r="R1435" s="30"/>
      <c r="S1435" s="30"/>
      <c r="T1435" s="30"/>
      <c r="U1435" s="30"/>
      <c r="V1435" s="30"/>
      <c r="W1435" s="30"/>
      <c r="X1435" s="30"/>
      <c r="Y1435" s="30"/>
      <c r="Z1435" s="30"/>
    </row>
    <row r="1436">
      <c r="A1436" s="29"/>
      <c r="B1436" s="29"/>
      <c r="C1436" s="30"/>
      <c r="D1436" s="30"/>
      <c r="E1436" s="30"/>
      <c r="F1436" s="30"/>
      <c r="G1436" s="30"/>
      <c r="H1436" s="30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0"/>
      <c r="X1436" s="30"/>
      <c r="Y1436" s="30"/>
      <c r="Z1436" s="30"/>
    </row>
    <row r="1437">
      <c r="A1437" s="29"/>
      <c r="B1437" s="29"/>
      <c r="C1437" s="30"/>
      <c r="D1437" s="30"/>
      <c r="E1437" s="30"/>
      <c r="F1437" s="30"/>
      <c r="G1437" s="30"/>
      <c r="H1437" s="30"/>
      <c r="I1437" s="30"/>
      <c r="J1437" s="30"/>
      <c r="K1437" s="30"/>
      <c r="L1437" s="30"/>
      <c r="M1437" s="30"/>
      <c r="N1437" s="30"/>
      <c r="O1437" s="30"/>
      <c r="P1437" s="30"/>
      <c r="Q1437" s="30"/>
      <c r="R1437" s="30"/>
      <c r="S1437" s="30"/>
      <c r="T1437" s="30"/>
      <c r="U1437" s="30"/>
      <c r="V1437" s="30"/>
      <c r="W1437" s="30"/>
      <c r="X1437" s="30"/>
      <c r="Y1437" s="30"/>
      <c r="Z1437" s="30"/>
    </row>
    <row r="1438">
      <c r="A1438" s="29"/>
      <c r="B1438" s="29"/>
      <c r="C1438" s="30"/>
      <c r="D1438" s="30"/>
      <c r="E1438" s="30"/>
      <c r="F1438" s="30"/>
      <c r="G1438" s="30"/>
      <c r="H1438" s="30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0"/>
      <c r="X1438" s="30"/>
      <c r="Y1438" s="30"/>
      <c r="Z1438" s="30"/>
    </row>
    <row r="1439">
      <c r="A1439" s="29"/>
      <c r="B1439" s="29"/>
      <c r="C1439" s="30"/>
      <c r="D1439" s="30"/>
      <c r="E1439" s="30"/>
      <c r="F1439" s="30"/>
      <c r="G1439" s="30"/>
      <c r="H1439" s="30"/>
      <c r="I1439" s="30"/>
      <c r="J1439" s="30"/>
      <c r="K1439" s="30"/>
      <c r="L1439" s="30"/>
      <c r="M1439" s="30"/>
      <c r="N1439" s="30"/>
      <c r="O1439" s="30"/>
      <c r="P1439" s="30"/>
      <c r="Q1439" s="30"/>
      <c r="R1439" s="30"/>
      <c r="S1439" s="30"/>
      <c r="T1439" s="30"/>
      <c r="U1439" s="30"/>
      <c r="V1439" s="30"/>
      <c r="W1439" s="30"/>
      <c r="X1439" s="30"/>
      <c r="Y1439" s="30"/>
      <c r="Z1439" s="30"/>
    </row>
    <row r="1440">
      <c r="A1440" s="29"/>
      <c r="B1440" s="29"/>
      <c r="C1440" s="30"/>
      <c r="D1440" s="30"/>
      <c r="E1440" s="30"/>
      <c r="F1440" s="30"/>
      <c r="G1440" s="30"/>
      <c r="H1440" s="30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0"/>
      <c r="Z1440" s="30"/>
    </row>
    <row r="1441">
      <c r="A1441" s="29"/>
      <c r="B1441" s="29"/>
      <c r="C1441" s="30"/>
      <c r="D1441" s="30"/>
      <c r="E1441" s="30"/>
      <c r="F1441" s="30"/>
      <c r="G1441" s="30"/>
      <c r="H1441" s="30"/>
      <c r="I1441" s="30"/>
      <c r="J1441" s="30"/>
      <c r="K1441" s="30"/>
      <c r="L1441" s="30"/>
      <c r="M1441" s="30"/>
      <c r="N1441" s="30"/>
      <c r="O1441" s="30"/>
      <c r="P1441" s="30"/>
      <c r="Q1441" s="30"/>
      <c r="R1441" s="30"/>
      <c r="S1441" s="30"/>
      <c r="T1441" s="30"/>
      <c r="U1441" s="30"/>
      <c r="V1441" s="30"/>
      <c r="W1441" s="30"/>
      <c r="X1441" s="30"/>
      <c r="Y1441" s="30"/>
      <c r="Z1441" s="30"/>
    </row>
    <row r="1442">
      <c r="A1442" s="29"/>
      <c r="B1442" s="29"/>
      <c r="C1442" s="30"/>
      <c r="D1442" s="30"/>
      <c r="E1442" s="30"/>
      <c r="F1442" s="30"/>
      <c r="G1442" s="30"/>
      <c r="H1442" s="30"/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0"/>
      <c r="X1442" s="30"/>
      <c r="Y1442" s="30"/>
      <c r="Z1442" s="30"/>
    </row>
    <row r="1443">
      <c r="A1443" s="29"/>
      <c r="B1443" s="29"/>
      <c r="C1443" s="30"/>
      <c r="D1443" s="30"/>
      <c r="E1443" s="30"/>
      <c r="F1443" s="30"/>
      <c r="G1443" s="30"/>
      <c r="H1443" s="30"/>
      <c r="I1443" s="30"/>
      <c r="J1443" s="30"/>
      <c r="K1443" s="30"/>
      <c r="L1443" s="30"/>
      <c r="M1443" s="30"/>
      <c r="N1443" s="30"/>
      <c r="O1443" s="30"/>
      <c r="P1443" s="30"/>
      <c r="Q1443" s="30"/>
      <c r="R1443" s="30"/>
      <c r="S1443" s="30"/>
      <c r="T1443" s="30"/>
      <c r="U1443" s="30"/>
      <c r="V1443" s="30"/>
      <c r="W1443" s="30"/>
      <c r="X1443" s="30"/>
      <c r="Y1443" s="30"/>
      <c r="Z1443" s="30"/>
    </row>
    <row r="1444">
      <c r="A1444" s="29"/>
      <c r="B1444" s="29"/>
      <c r="C1444" s="30"/>
      <c r="D1444" s="30"/>
      <c r="E1444" s="30"/>
      <c r="F1444" s="30"/>
      <c r="G1444" s="30"/>
      <c r="H1444" s="30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0"/>
      <c r="Z1444" s="30"/>
    </row>
    <row r="1445">
      <c r="A1445" s="29"/>
      <c r="B1445" s="29"/>
      <c r="C1445" s="30"/>
      <c r="D1445" s="30"/>
      <c r="E1445" s="30"/>
      <c r="F1445" s="30"/>
      <c r="G1445" s="30"/>
      <c r="H1445" s="30"/>
      <c r="I1445" s="30"/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0"/>
      <c r="U1445" s="30"/>
      <c r="V1445" s="30"/>
      <c r="W1445" s="30"/>
      <c r="X1445" s="30"/>
      <c r="Y1445" s="30"/>
      <c r="Z1445" s="30"/>
    </row>
    <row r="1446">
      <c r="A1446" s="29"/>
      <c r="B1446" s="29"/>
      <c r="C1446" s="30"/>
      <c r="D1446" s="30"/>
      <c r="E1446" s="30"/>
      <c r="F1446" s="30"/>
      <c r="G1446" s="30"/>
      <c r="H1446" s="30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0"/>
      <c r="X1446" s="30"/>
      <c r="Y1446" s="30"/>
      <c r="Z1446" s="30"/>
    </row>
    <row r="1447">
      <c r="A1447" s="29"/>
      <c r="B1447" s="29"/>
      <c r="C1447" s="30"/>
      <c r="D1447" s="30"/>
      <c r="E1447" s="30"/>
      <c r="F1447" s="30"/>
      <c r="G1447" s="30"/>
      <c r="H1447" s="30"/>
      <c r="I1447" s="30"/>
      <c r="J1447" s="30"/>
      <c r="K1447" s="30"/>
      <c r="L1447" s="30"/>
      <c r="M1447" s="30"/>
      <c r="N1447" s="30"/>
      <c r="O1447" s="30"/>
      <c r="P1447" s="30"/>
      <c r="Q1447" s="30"/>
      <c r="R1447" s="30"/>
      <c r="S1447" s="30"/>
      <c r="T1447" s="30"/>
      <c r="U1447" s="30"/>
      <c r="V1447" s="30"/>
      <c r="W1447" s="30"/>
      <c r="X1447" s="30"/>
      <c r="Y1447" s="30"/>
      <c r="Z1447" s="30"/>
    </row>
    <row r="1448">
      <c r="A1448" s="29"/>
      <c r="B1448" s="29"/>
      <c r="C1448" s="30"/>
      <c r="D1448" s="30"/>
      <c r="E1448" s="30"/>
      <c r="F1448" s="30"/>
      <c r="G1448" s="30"/>
      <c r="H1448" s="30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0"/>
      <c r="Z1448" s="30"/>
    </row>
    <row r="1449">
      <c r="A1449" s="29"/>
      <c r="B1449" s="29"/>
      <c r="C1449" s="30"/>
      <c r="D1449" s="30"/>
      <c r="E1449" s="30"/>
      <c r="F1449" s="30"/>
      <c r="G1449" s="30"/>
      <c r="H1449" s="30"/>
      <c r="I1449" s="30"/>
      <c r="J1449" s="30"/>
      <c r="K1449" s="30"/>
      <c r="L1449" s="30"/>
      <c r="M1449" s="30"/>
      <c r="N1449" s="30"/>
      <c r="O1449" s="30"/>
      <c r="P1449" s="30"/>
      <c r="Q1449" s="30"/>
      <c r="R1449" s="30"/>
      <c r="S1449" s="30"/>
      <c r="T1449" s="30"/>
      <c r="U1449" s="30"/>
      <c r="V1449" s="30"/>
      <c r="W1449" s="30"/>
      <c r="X1449" s="30"/>
      <c r="Y1449" s="30"/>
      <c r="Z1449" s="30"/>
    </row>
    <row r="1450">
      <c r="A1450" s="29"/>
      <c r="B1450" s="29"/>
      <c r="C1450" s="30"/>
      <c r="D1450" s="30"/>
      <c r="E1450" s="30"/>
      <c r="F1450" s="30"/>
      <c r="G1450" s="30"/>
      <c r="H1450" s="30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0"/>
      <c r="X1450" s="30"/>
      <c r="Y1450" s="30"/>
      <c r="Z1450" s="30"/>
    </row>
    <row r="1451">
      <c r="A1451" s="29"/>
      <c r="B1451" s="29"/>
      <c r="C1451" s="30"/>
      <c r="D1451" s="30"/>
      <c r="E1451" s="30"/>
      <c r="F1451" s="30"/>
      <c r="G1451" s="30"/>
      <c r="H1451" s="30"/>
      <c r="I1451" s="30"/>
      <c r="J1451" s="30"/>
      <c r="K1451" s="30"/>
      <c r="L1451" s="30"/>
      <c r="M1451" s="30"/>
      <c r="N1451" s="30"/>
      <c r="O1451" s="30"/>
      <c r="P1451" s="30"/>
      <c r="Q1451" s="30"/>
      <c r="R1451" s="30"/>
      <c r="S1451" s="30"/>
      <c r="T1451" s="30"/>
      <c r="U1451" s="30"/>
      <c r="V1451" s="30"/>
      <c r="W1451" s="30"/>
      <c r="X1451" s="30"/>
      <c r="Y1451" s="30"/>
      <c r="Z1451" s="30"/>
    </row>
    <row r="1452">
      <c r="A1452" s="29"/>
      <c r="B1452" s="29"/>
      <c r="C1452" s="30"/>
      <c r="D1452" s="30"/>
      <c r="E1452" s="30"/>
      <c r="F1452" s="30"/>
      <c r="G1452" s="30"/>
      <c r="H1452" s="30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0"/>
      <c r="X1452" s="30"/>
      <c r="Y1452" s="30"/>
      <c r="Z1452" s="30"/>
    </row>
    <row r="1453">
      <c r="A1453" s="29"/>
      <c r="B1453" s="29"/>
      <c r="C1453" s="30"/>
      <c r="D1453" s="30"/>
      <c r="E1453" s="30"/>
      <c r="F1453" s="30"/>
      <c r="G1453" s="30"/>
      <c r="H1453" s="30"/>
      <c r="I1453" s="30"/>
      <c r="J1453" s="30"/>
      <c r="K1453" s="30"/>
      <c r="L1453" s="30"/>
      <c r="M1453" s="30"/>
      <c r="N1453" s="30"/>
      <c r="O1453" s="30"/>
      <c r="P1453" s="30"/>
      <c r="Q1453" s="30"/>
      <c r="R1453" s="30"/>
      <c r="S1453" s="30"/>
      <c r="T1453" s="30"/>
      <c r="U1453" s="30"/>
      <c r="V1453" s="30"/>
      <c r="W1453" s="30"/>
      <c r="X1453" s="30"/>
      <c r="Y1453" s="30"/>
      <c r="Z1453" s="30"/>
    </row>
    <row r="1454">
      <c r="A1454" s="29"/>
      <c r="B1454" s="29"/>
      <c r="C1454" s="30"/>
      <c r="D1454" s="30"/>
      <c r="E1454" s="30"/>
      <c r="F1454" s="30"/>
      <c r="G1454" s="30"/>
      <c r="H1454" s="30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0"/>
      <c r="Z1454" s="30"/>
    </row>
    <row r="1455">
      <c r="A1455" s="29"/>
      <c r="B1455" s="29"/>
      <c r="C1455" s="30"/>
      <c r="D1455" s="30"/>
      <c r="E1455" s="30"/>
      <c r="F1455" s="30"/>
      <c r="G1455" s="30"/>
      <c r="H1455" s="30"/>
      <c r="I1455" s="30"/>
      <c r="J1455" s="30"/>
      <c r="K1455" s="30"/>
      <c r="L1455" s="30"/>
      <c r="M1455" s="30"/>
      <c r="N1455" s="30"/>
      <c r="O1455" s="30"/>
      <c r="P1455" s="30"/>
      <c r="Q1455" s="30"/>
      <c r="R1455" s="30"/>
      <c r="S1455" s="30"/>
      <c r="T1455" s="30"/>
      <c r="U1455" s="30"/>
      <c r="V1455" s="30"/>
      <c r="W1455" s="30"/>
      <c r="X1455" s="30"/>
      <c r="Y1455" s="30"/>
      <c r="Z1455" s="30"/>
    </row>
    <row r="1456">
      <c r="A1456" s="29"/>
      <c r="B1456" s="29"/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0"/>
      <c r="X1456" s="30"/>
      <c r="Y1456" s="30"/>
      <c r="Z1456" s="30"/>
    </row>
    <row r="1457">
      <c r="A1457" s="29"/>
      <c r="B1457" s="29"/>
      <c r="C1457" s="30"/>
      <c r="D1457" s="30"/>
      <c r="E1457" s="30"/>
      <c r="F1457" s="30"/>
      <c r="G1457" s="30"/>
      <c r="H1457" s="30"/>
      <c r="I1457" s="30"/>
      <c r="J1457" s="30"/>
      <c r="K1457" s="30"/>
      <c r="L1457" s="30"/>
      <c r="M1457" s="30"/>
      <c r="N1457" s="30"/>
      <c r="O1457" s="30"/>
      <c r="P1457" s="30"/>
      <c r="Q1457" s="30"/>
      <c r="R1457" s="30"/>
      <c r="S1457" s="30"/>
      <c r="T1457" s="30"/>
      <c r="U1457" s="30"/>
      <c r="V1457" s="30"/>
      <c r="W1457" s="30"/>
      <c r="X1457" s="30"/>
      <c r="Y1457" s="30"/>
      <c r="Z1457" s="30"/>
    </row>
    <row r="1458">
      <c r="A1458" s="29"/>
      <c r="B1458" s="29"/>
      <c r="C1458" s="30"/>
      <c r="D1458" s="30"/>
      <c r="E1458" s="30"/>
      <c r="F1458" s="30"/>
      <c r="G1458" s="30"/>
      <c r="H1458" s="30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0"/>
      <c r="X1458" s="30"/>
      <c r="Y1458" s="30"/>
      <c r="Z1458" s="30"/>
    </row>
    <row r="1459">
      <c r="A1459" s="29"/>
      <c r="B1459" s="29"/>
      <c r="C1459" s="30"/>
      <c r="D1459" s="30"/>
      <c r="E1459" s="30"/>
      <c r="F1459" s="30"/>
      <c r="G1459" s="30"/>
      <c r="H1459" s="30"/>
      <c r="I1459" s="30"/>
      <c r="J1459" s="30"/>
      <c r="K1459" s="30"/>
      <c r="L1459" s="30"/>
      <c r="M1459" s="30"/>
      <c r="N1459" s="30"/>
      <c r="O1459" s="30"/>
      <c r="P1459" s="30"/>
      <c r="Q1459" s="30"/>
      <c r="R1459" s="30"/>
      <c r="S1459" s="30"/>
      <c r="T1459" s="30"/>
      <c r="U1459" s="30"/>
      <c r="V1459" s="30"/>
      <c r="W1459" s="30"/>
      <c r="X1459" s="30"/>
      <c r="Y1459" s="30"/>
      <c r="Z1459" s="30"/>
    </row>
    <row r="1460">
      <c r="A1460" s="29"/>
      <c r="B1460" s="29"/>
      <c r="C1460" s="30"/>
      <c r="D1460" s="30"/>
      <c r="E1460" s="30"/>
      <c r="F1460" s="30"/>
      <c r="G1460" s="30"/>
      <c r="H1460" s="30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0"/>
      <c r="X1460" s="30"/>
      <c r="Y1460" s="30"/>
      <c r="Z1460" s="30"/>
    </row>
    <row r="1461">
      <c r="A1461" s="29"/>
      <c r="B1461" s="29"/>
      <c r="C1461" s="30"/>
      <c r="D1461" s="30"/>
      <c r="E1461" s="30"/>
      <c r="F1461" s="30"/>
      <c r="G1461" s="30"/>
      <c r="H1461" s="30"/>
      <c r="I1461" s="30"/>
      <c r="J1461" s="30"/>
      <c r="K1461" s="30"/>
      <c r="L1461" s="30"/>
      <c r="M1461" s="30"/>
      <c r="N1461" s="30"/>
      <c r="O1461" s="30"/>
      <c r="P1461" s="30"/>
      <c r="Q1461" s="30"/>
      <c r="R1461" s="30"/>
      <c r="S1461" s="30"/>
      <c r="T1461" s="30"/>
      <c r="U1461" s="30"/>
      <c r="V1461" s="30"/>
      <c r="W1461" s="30"/>
      <c r="X1461" s="30"/>
      <c r="Y1461" s="30"/>
      <c r="Z1461" s="30"/>
    </row>
    <row r="1462">
      <c r="A1462" s="29"/>
      <c r="B1462" s="29"/>
      <c r="C1462" s="30"/>
      <c r="D1462" s="30"/>
      <c r="E1462" s="30"/>
      <c r="F1462" s="30"/>
      <c r="G1462" s="30"/>
      <c r="H1462" s="30"/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0"/>
      <c r="X1462" s="30"/>
      <c r="Y1462" s="30"/>
      <c r="Z1462" s="30"/>
    </row>
    <row r="1463">
      <c r="A1463" s="29"/>
      <c r="B1463" s="29"/>
      <c r="C1463" s="30"/>
      <c r="D1463" s="30"/>
      <c r="E1463" s="30"/>
      <c r="F1463" s="30"/>
      <c r="G1463" s="30"/>
      <c r="H1463" s="30"/>
      <c r="I1463" s="30"/>
      <c r="J1463" s="30"/>
      <c r="K1463" s="30"/>
      <c r="L1463" s="30"/>
      <c r="M1463" s="30"/>
      <c r="N1463" s="30"/>
      <c r="O1463" s="30"/>
      <c r="P1463" s="30"/>
      <c r="Q1463" s="30"/>
      <c r="R1463" s="30"/>
      <c r="S1463" s="30"/>
      <c r="T1463" s="30"/>
      <c r="U1463" s="30"/>
      <c r="V1463" s="30"/>
      <c r="W1463" s="30"/>
      <c r="X1463" s="30"/>
      <c r="Y1463" s="30"/>
      <c r="Z1463" s="30"/>
    </row>
    <row r="1464">
      <c r="A1464" s="29"/>
      <c r="B1464" s="29"/>
      <c r="C1464" s="30"/>
      <c r="D1464" s="30"/>
      <c r="E1464" s="30"/>
      <c r="F1464" s="30"/>
      <c r="G1464" s="30"/>
      <c r="H1464" s="30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0"/>
      <c r="Z1464" s="30"/>
    </row>
    <row r="1465">
      <c r="A1465" s="29"/>
      <c r="B1465" s="29"/>
      <c r="C1465" s="30"/>
      <c r="D1465" s="30"/>
      <c r="E1465" s="30"/>
      <c r="F1465" s="30"/>
      <c r="G1465" s="30"/>
      <c r="H1465" s="30"/>
      <c r="I1465" s="30"/>
      <c r="J1465" s="30"/>
      <c r="K1465" s="30"/>
      <c r="L1465" s="30"/>
      <c r="M1465" s="30"/>
      <c r="N1465" s="30"/>
      <c r="O1465" s="30"/>
      <c r="P1465" s="30"/>
      <c r="Q1465" s="30"/>
      <c r="R1465" s="30"/>
      <c r="S1465" s="30"/>
      <c r="T1465" s="30"/>
      <c r="U1465" s="30"/>
      <c r="V1465" s="30"/>
      <c r="W1465" s="30"/>
      <c r="X1465" s="30"/>
      <c r="Y1465" s="30"/>
      <c r="Z1465" s="30"/>
    </row>
    <row r="1466">
      <c r="A1466" s="29"/>
      <c r="B1466" s="29"/>
      <c r="C1466" s="30"/>
      <c r="D1466" s="30"/>
      <c r="E1466" s="30"/>
      <c r="F1466" s="30"/>
      <c r="G1466" s="30"/>
      <c r="H1466" s="30"/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0"/>
      <c r="X1466" s="30"/>
      <c r="Y1466" s="30"/>
      <c r="Z1466" s="30"/>
    </row>
    <row r="1467">
      <c r="A1467" s="29"/>
      <c r="B1467" s="29"/>
      <c r="C1467" s="30"/>
      <c r="D1467" s="30"/>
      <c r="E1467" s="30"/>
      <c r="F1467" s="30"/>
      <c r="G1467" s="30"/>
      <c r="H1467" s="30"/>
      <c r="I1467" s="30"/>
      <c r="J1467" s="30"/>
      <c r="K1467" s="30"/>
      <c r="L1467" s="30"/>
      <c r="M1467" s="30"/>
      <c r="N1467" s="30"/>
      <c r="O1467" s="30"/>
      <c r="P1467" s="30"/>
      <c r="Q1467" s="30"/>
      <c r="R1467" s="30"/>
      <c r="S1467" s="30"/>
      <c r="T1467" s="30"/>
      <c r="U1467" s="30"/>
      <c r="V1467" s="30"/>
      <c r="W1467" s="30"/>
      <c r="X1467" s="30"/>
      <c r="Y1467" s="30"/>
      <c r="Z1467" s="30"/>
    </row>
    <row r="1468">
      <c r="A1468" s="29"/>
      <c r="B1468" s="29"/>
      <c r="C1468" s="30"/>
      <c r="D1468" s="30"/>
      <c r="E1468" s="30"/>
      <c r="F1468" s="30"/>
      <c r="G1468" s="30"/>
      <c r="H1468" s="30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0"/>
      <c r="Z1468" s="30"/>
    </row>
    <row r="1469">
      <c r="A1469" s="29"/>
      <c r="B1469" s="29"/>
      <c r="C1469" s="30"/>
      <c r="D1469" s="30"/>
      <c r="E1469" s="30"/>
      <c r="F1469" s="30"/>
      <c r="G1469" s="30"/>
      <c r="H1469" s="30"/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0"/>
      <c r="Z1469" s="30"/>
    </row>
    <row r="1470">
      <c r="A1470" s="29"/>
      <c r="B1470" s="29"/>
      <c r="C1470" s="30"/>
      <c r="D1470" s="30"/>
      <c r="E1470" s="30"/>
      <c r="F1470" s="30"/>
      <c r="G1470" s="30"/>
      <c r="H1470" s="30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0"/>
      <c r="X1470" s="30"/>
      <c r="Y1470" s="30"/>
      <c r="Z1470" s="30"/>
    </row>
    <row r="1471">
      <c r="A1471" s="29"/>
      <c r="B1471" s="29"/>
      <c r="C1471" s="30"/>
      <c r="D1471" s="30"/>
      <c r="E1471" s="30"/>
      <c r="F1471" s="30"/>
      <c r="G1471" s="30"/>
      <c r="H1471" s="30"/>
      <c r="I1471" s="30"/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/>
      <c r="U1471" s="30"/>
      <c r="V1471" s="30"/>
      <c r="W1471" s="30"/>
      <c r="X1471" s="30"/>
      <c r="Y1471" s="30"/>
      <c r="Z1471" s="30"/>
    </row>
    <row r="1472">
      <c r="A1472" s="29"/>
      <c r="B1472" s="29"/>
      <c r="C1472" s="30"/>
      <c r="D1472" s="30"/>
      <c r="E1472" s="30"/>
      <c r="F1472" s="30"/>
      <c r="G1472" s="30"/>
      <c r="H1472" s="30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0"/>
      <c r="Z1472" s="30"/>
    </row>
    <row r="1473">
      <c r="A1473" s="29"/>
      <c r="B1473" s="29"/>
      <c r="C1473" s="30"/>
      <c r="D1473" s="30"/>
      <c r="E1473" s="30"/>
      <c r="F1473" s="30"/>
      <c r="G1473" s="30"/>
      <c r="H1473" s="30"/>
      <c r="I1473" s="30"/>
      <c r="J1473" s="30"/>
      <c r="K1473" s="30"/>
      <c r="L1473" s="30"/>
      <c r="M1473" s="30"/>
      <c r="N1473" s="30"/>
      <c r="O1473" s="30"/>
      <c r="P1473" s="30"/>
      <c r="Q1473" s="30"/>
      <c r="R1473" s="30"/>
      <c r="S1473" s="30"/>
      <c r="T1473" s="30"/>
      <c r="U1473" s="30"/>
      <c r="V1473" s="30"/>
      <c r="W1473" s="30"/>
      <c r="X1473" s="30"/>
      <c r="Y1473" s="30"/>
      <c r="Z1473" s="30"/>
    </row>
    <row r="1474">
      <c r="A1474" s="29"/>
      <c r="B1474" s="29"/>
      <c r="C1474" s="30"/>
      <c r="D1474" s="30"/>
      <c r="E1474" s="30"/>
      <c r="F1474" s="30"/>
      <c r="G1474" s="30"/>
      <c r="H1474" s="30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0"/>
      <c r="Z1474" s="30"/>
    </row>
    <row r="1475">
      <c r="A1475" s="29"/>
      <c r="B1475" s="29"/>
      <c r="C1475" s="30"/>
      <c r="D1475" s="30"/>
      <c r="E1475" s="30"/>
      <c r="F1475" s="30"/>
      <c r="G1475" s="30"/>
      <c r="H1475" s="30"/>
      <c r="I1475" s="30"/>
      <c r="J1475" s="30"/>
      <c r="K1475" s="30"/>
      <c r="L1475" s="30"/>
      <c r="M1475" s="30"/>
      <c r="N1475" s="30"/>
      <c r="O1475" s="30"/>
      <c r="P1475" s="30"/>
      <c r="Q1475" s="30"/>
      <c r="R1475" s="30"/>
      <c r="S1475" s="30"/>
      <c r="T1475" s="30"/>
      <c r="U1475" s="30"/>
      <c r="V1475" s="30"/>
      <c r="W1475" s="30"/>
      <c r="X1475" s="30"/>
      <c r="Y1475" s="30"/>
      <c r="Z1475" s="30"/>
    </row>
    <row r="1476">
      <c r="A1476" s="29"/>
      <c r="B1476" s="29"/>
      <c r="C1476" s="30"/>
      <c r="D1476" s="30"/>
      <c r="E1476" s="30"/>
      <c r="F1476" s="30"/>
      <c r="G1476" s="30"/>
      <c r="H1476" s="30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0"/>
      <c r="Z1476" s="30"/>
    </row>
    <row r="1477">
      <c r="A1477" s="29"/>
      <c r="B1477" s="29"/>
      <c r="C1477" s="30"/>
      <c r="D1477" s="30"/>
      <c r="E1477" s="30"/>
      <c r="F1477" s="30"/>
      <c r="G1477" s="30"/>
      <c r="H1477" s="30"/>
      <c r="I1477" s="30"/>
      <c r="J1477" s="30"/>
      <c r="K1477" s="30"/>
      <c r="L1477" s="30"/>
      <c r="M1477" s="30"/>
      <c r="N1477" s="30"/>
      <c r="O1477" s="30"/>
      <c r="P1477" s="30"/>
      <c r="Q1477" s="30"/>
      <c r="R1477" s="30"/>
      <c r="S1477" s="30"/>
      <c r="T1477" s="30"/>
      <c r="U1477" s="30"/>
      <c r="V1477" s="30"/>
      <c r="W1477" s="30"/>
      <c r="X1477" s="30"/>
      <c r="Y1477" s="30"/>
      <c r="Z1477" s="30"/>
    </row>
    <row r="1478">
      <c r="A1478" s="29"/>
      <c r="B1478" s="29"/>
      <c r="C1478" s="30"/>
      <c r="D1478" s="30"/>
      <c r="E1478" s="30"/>
      <c r="F1478" s="30"/>
      <c r="G1478" s="30"/>
      <c r="H1478" s="30"/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0"/>
      <c r="Z1478" s="30"/>
    </row>
    <row r="1479">
      <c r="A1479" s="29"/>
      <c r="B1479" s="29"/>
      <c r="C1479" s="30"/>
      <c r="D1479" s="30"/>
      <c r="E1479" s="30"/>
      <c r="F1479" s="30"/>
      <c r="G1479" s="30"/>
      <c r="H1479" s="30"/>
      <c r="I1479" s="30"/>
      <c r="J1479" s="30"/>
      <c r="K1479" s="30"/>
      <c r="L1479" s="30"/>
      <c r="M1479" s="30"/>
      <c r="N1479" s="30"/>
      <c r="O1479" s="30"/>
      <c r="P1479" s="30"/>
      <c r="Q1479" s="30"/>
      <c r="R1479" s="30"/>
      <c r="S1479" s="30"/>
      <c r="T1479" s="30"/>
      <c r="U1479" s="30"/>
      <c r="V1479" s="30"/>
      <c r="W1479" s="30"/>
      <c r="X1479" s="30"/>
      <c r="Y1479" s="30"/>
      <c r="Z1479" s="30"/>
    </row>
    <row r="1480">
      <c r="A1480" s="29"/>
      <c r="B1480" s="29"/>
      <c r="C1480" s="30"/>
      <c r="D1480" s="30"/>
      <c r="E1480" s="30"/>
      <c r="F1480" s="30"/>
      <c r="G1480" s="30"/>
      <c r="H1480" s="30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0"/>
      <c r="Z1480" s="30"/>
    </row>
    <row r="1481">
      <c r="A1481" s="29"/>
      <c r="B1481" s="29"/>
      <c r="C1481" s="30"/>
      <c r="D1481" s="30"/>
      <c r="E1481" s="30"/>
      <c r="F1481" s="30"/>
      <c r="G1481" s="30"/>
      <c r="H1481" s="30"/>
      <c r="I1481" s="30"/>
      <c r="J1481" s="30"/>
      <c r="K1481" s="30"/>
      <c r="L1481" s="30"/>
      <c r="M1481" s="30"/>
      <c r="N1481" s="30"/>
      <c r="O1481" s="30"/>
      <c r="P1481" s="30"/>
      <c r="Q1481" s="30"/>
      <c r="R1481" s="30"/>
      <c r="S1481" s="30"/>
      <c r="T1481" s="30"/>
      <c r="U1481" s="30"/>
      <c r="V1481" s="30"/>
      <c r="W1481" s="30"/>
      <c r="X1481" s="30"/>
      <c r="Y1481" s="30"/>
      <c r="Z1481" s="30"/>
    </row>
    <row r="1482">
      <c r="A1482" s="29"/>
      <c r="B1482" s="29"/>
      <c r="C1482" s="30"/>
      <c r="D1482" s="30"/>
      <c r="E1482" s="30"/>
      <c r="F1482" s="30"/>
      <c r="G1482" s="30"/>
      <c r="H1482" s="30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0"/>
      <c r="X1482" s="30"/>
      <c r="Y1482" s="30"/>
      <c r="Z1482" s="30"/>
    </row>
    <row r="1483">
      <c r="A1483" s="29"/>
      <c r="B1483" s="29"/>
      <c r="C1483" s="30"/>
      <c r="D1483" s="30"/>
      <c r="E1483" s="30"/>
      <c r="F1483" s="30"/>
      <c r="G1483" s="30"/>
      <c r="H1483" s="30"/>
      <c r="I1483" s="30"/>
      <c r="J1483" s="30"/>
      <c r="K1483" s="30"/>
      <c r="L1483" s="30"/>
      <c r="M1483" s="30"/>
      <c r="N1483" s="30"/>
      <c r="O1483" s="30"/>
      <c r="P1483" s="30"/>
      <c r="Q1483" s="30"/>
      <c r="R1483" s="30"/>
      <c r="S1483" s="30"/>
      <c r="T1483" s="30"/>
      <c r="U1483" s="30"/>
      <c r="V1483" s="30"/>
      <c r="W1483" s="30"/>
      <c r="X1483" s="30"/>
      <c r="Y1483" s="30"/>
      <c r="Z1483" s="30"/>
    </row>
    <row r="1484">
      <c r="A1484" s="29"/>
      <c r="B1484" s="29"/>
      <c r="C1484" s="30"/>
      <c r="D1484" s="30"/>
      <c r="E1484" s="30"/>
      <c r="F1484" s="30"/>
      <c r="G1484" s="30"/>
      <c r="H1484" s="30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0"/>
      <c r="Z1484" s="30"/>
    </row>
    <row r="1485">
      <c r="A1485" s="29"/>
      <c r="B1485" s="29"/>
      <c r="C1485" s="30"/>
      <c r="D1485" s="30"/>
      <c r="E1485" s="30"/>
      <c r="F1485" s="30"/>
      <c r="G1485" s="30"/>
      <c r="H1485" s="30"/>
      <c r="I1485" s="30"/>
      <c r="J1485" s="30"/>
      <c r="K1485" s="30"/>
      <c r="L1485" s="30"/>
      <c r="M1485" s="30"/>
      <c r="N1485" s="30"/>
      <c r="O1485" s="30"/>
      <c r="P1485" s="30"/>
      <c r="Q1485" s="30"/>
      <c r="R1485" s="30"/>
      <c r="S1485" s="30"/>
      <c r="T1485" s="30"/>
      <c r="U1485" s="30"/>
      <c r="V1485" s="30"/>
      <c r="W1485" s="30"/>
      <c r="X1485" s="30"/>
      <c r="Y1485" s="30"/>
      <c r="Z1485" s="30"/>
    </row>
    <row r="1486">
      <c r="A1486" s="29"/>
      <c r="B1486" s="29"/>
      <c r="C1486" s="30"/>
      <c r="D1486" s="30"/>
      <c r="E1486" s="30"/>
      <c r="F1486" s="30"/>
      <c r="G1486" s="30"/>
      <c r="H1486" s="30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0"/>
      <c r="X1486" s="30"/>
      <c r="Y1486" s="30"/>
      <c r="Z1486" s="30"/>
    </row>
    <row r="1487">
      <c r="A1487" s="29"/>
      <c r="B1487" s="29"/>
      <c r="C1487" s="30"/>
      <c r="D1487" s="30"/>
      <c r="E1487" s="30"/>
      <c r="F1487" s="30"/>
      <c r="G1487" s="30"/>
      <c r="H1487" s="30"/>
      <c r="I1487" s="30"/>
      <c r="J1487" s="30"/>
      <c r="K1487" s="30"/>
      <c r="L1487" s="30"/>
      <c r="M1487" s="30"/>
      <c r="N1487" s="30"/>
      <c r="O1487" s="30"/>
      <c r="P1487" s="30"/>
      <c r="Q1487" s="30"/>
      <c r="R1487" s="30"/>
      <c r="S1487" s="30"/>
      <c r="T1487" s="30"/>
      <c r="U1487" s="30"/>
      <c r="V1487" s="30"/>
      <c r="W1487" s="30"/>
      <c r="X1487" s="30"/>
      <c r="Y1487" s="30"/>
      <c r="Z1487" s="30"/>
    </row>
    <row r="1488">
      <c r="A1488" s="29"/>
      <c r="B1488" s="29"/>
      <c r="C1488" s="30"/>
      <c r="D1488" s="30"/>
      <c r="E1488" s="30"/>
      <c r="F1488" s="30"/>
      <c r="G1488" s="30"/>
      <c r="H1488" s="30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0"/>
      <c r="X1488" s="30"/>
      <c r="Y1488" s="30"/>
      <c r="Z1488" s="30"/>
    </row>
    <row r="1489">
      <c r="A1489" s="29"/>
      <c r="B1489" s="29"/>
      <c r="C1489" s="30"/>
      <c r="D1489" s="30"/>
      <c r="E1489" s="30"/>
      <c r="F1489" s="30"/>
      <c r="G1489" s="30"/>
      <c r="H1489" s="30"/>
      <c r="I1489" s="30"/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0"/>
      <c r="X1489" s="30"/>
      <c r="Y1489" s="30"/>
      <c r="Z1489" s="30"/>
    </row>
    <row r="1490">
      <c r="A1490" s="29"/>
      <c r="B1490" s="29"/>
      <c r="C1490" s="30"/>
      <c r="D1490" s="30"/>
      <c r="E1490" s="30"/>
      <c r="F1490" s="30"/>
      <c r="G1490" s="30"/>
      <c r="H1490" s="30"/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0"/>
      <c r="X1490" s="30"/>
      <c r="Y1490" s="30"/>
      <c r="Z1490" s="30"/>
    </row>
    <row r="1491">
      <c r="A1491" s="29"/>
      <c r="B1491" s="29"/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  <c r="O1491" s="30"/>
      <c r="P1491" s="30"/>
      <c r="Q1491" s="30"/>
      <c r="R1491" s="30"/>
      <c r="S1491" s="30"/>
      <c r="T1491" s="30"/>
      <c r="U1491" s="30"/>
      <c r="V1491" s="30"/>
      <c r="W1491" s="30"/>
      <c r="X1491" s="30"/>
      <c r="Y1491" s="30"/>
      <c r="Z1491" s="30"/>
    </row>
    <row r="1492">
      <c r="A1492" s="29"/>
      <c r="B1492" s="29"/>
      <c r="C1492" s="30"/>
      <c r="D1492" s="30"/>
      <c r="E1492" s="30"/>
      <c r="F1492" s="30"/>
      <c r="G1492" s="30"/>
      <c r="H1492" s="30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0"/>
      <c r="Z1492" s="30"/>
    </row>
    <row r="1493">
      <c r="A1493" s="29"/>
      <c r="B1493" s="29"/>
      <c r="C1493" s="30"/>
      <c r="D1493" s="30"/>
      <c r="E1493" s="30"/>
      <c r="F1493" s="30"/>
      <c r="G1493" s="30"/>
      <c r="H1493" s="30"/>
      <c r="I1493" s="30"/>
      <c r="J1493" s="30"/>
      <c r="K1493" s="30"/>
      <c r="L1493" s="30"/>
      <c r="M1493" s="30"/>
      <c r="N1493" s="30"/>
      <c r="O1493" s="30"/>
      <c r="P1493" s="30"/>
      <c r="Q1493" s="30"/>
      <c r="R1493" s="30"/>
      <c r="S1493" s="30"/>
      <c r="T1493" s="30"/>
      <c r="U1493" s="30"/>
      <c r="V1493" s="30"/>
      <c r="W1493" s="30"/>
      <c r="X1493" s="30"/>
      <c r="Y1493" s="30"/>
      <c r="Z1493" s="30"/>
    </row>
    <row r="1494">
      <c r="A1494" s="29"/>
      <c r="B1494" s="29"/>
      <c r="C1494" s="30"/>
      <c r="D1494" s="30"/>
      <c r="E1494" s="30"/>
      <c r="F1494" s="30"/>
      <c r="G1494" s="30"/>
      <c r="H1494" s="30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0"/>
      <c r="Z1494" s="30"/>
    </row>
    <row r="1495">
      <c r="A1495" s="29"/>
      <c r="B1495" s="29"/>
      <c r="C1495" s="30"/>
      <c r="D1495" s="30"/>
      <c r="E1495" s="30"/>
      <c r="F1495" s="30"/>
      <c r="G1495" s="30"/>
      <c r="H1495" s="30"/>
      <c r="I1495" s="30"/>
      <c r="J1495" s="30"/>
      <c r="K1495" s="30"/>
      <c r="L1495" s="30"/>
      <c r="M1495" s="30"/>
      <c r="N1495" s="30"/>
      <c r="O1495" s="30"/>
      <c r="P1495" s="30"/>
      <c r="Q1495" s="30"/>
      <c r="R1495" s="30"/>
      <c r="S1495" s="30"/>
      <c r="T1495" s="30"/>
      <c r="U1495" s="30"/>
      <c r="V1495" s="30"/>
      <c r="W1495" s="30"/>
      <c r="X1495" s="30"/>
      <c r="Y1495" s="30"/>
      <c r="Z1495" s="30"/>
    </row>
    <row r="1496">
      <c r="A1496" s="29"/>
      <c r="B1496" s="29"/>
      <c r="C1496" s="30"/>
      <c r="D1496" s="30"/>
      <c r="E1496" s="30"/>
      <c r="F1496" s="30"/>
      <c r="G1496" s="30"/>
      <c r="H1496" s="30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0"/>
      <c r="X1496" s="30"/>
      <c r="Y1496" s="30"/>
      <c r="Z1496" s="30"/>
    </row>
    <row r="1497">
      <c r="A1497" s="29"/>
      <c r="B1497" s="29"/>
      <c r="C1497" s="30"/>
      <c r="D1497" s="30"/>
      <c r="E1497" s="30"/>
      <c r="F1497" s="30"/>
      <c r="G1497" s="30"/>
      <c r="H1497" s="30"/>
      <c r="I1497" s="30"/>
      <c r="J1497" s="30"/>
      <c r="K1497" s="30"/>
      <c r="L1497" s="30"/>
      <c r="M1497" s="30"/>
      <c r="N1497" s="30"/>
      <c r="O1497" s="30"/>
      <c r="P1497" s="30"/>
      <c r="Q1497" s="30"/>
      <c r="R1497" s="30"/>
      <c r="S1497" s="30"/>
      <c r="T1497" s="30"/>
      <c r="U1497" s="30"/>
      <c r="V1497" s="30"/>
      <c r="W1497" s="30"/>
      <c r="X1497" s="30"/>
      <c r="Y1497" s="30"/>
      <c r="Z1497" s="30"/>
    </row>
    <row r="1498">
      <c r="A1498" s="29"/>
      <c r="B1498" s="29"/>
      <c r="C1498" s="30"/>
      <c r="D1498" s="30"/>
      <c r="E1498" s="30"/>
      <c r="F1498" s="30"/>
      <c r="G1498" s="30"/>
      <c r="H1498" s="30"/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0"/>
      <c r="Z1498" s="30"/>
    </row>
    <row r="1499">
      <c r="A1499" s="29"/>
      <c r="B1499" s="29"/>
      <c r="C1499" s="30"/>
      <c r="D1499" s="30"/>
      <c r="E1499" s="30"/>
      <c r="F1499" s="30"/>
      <c r="G1499" s="30"/>
      <c r="H1499" s="30"/>
      <c r="I1499" s="30"/>
      <c r="J1499" s="30"/>
      <c r="K1499" s="30"/>
      <c r="L1499" s="30"/>
      <c r="M1499" s="30"/>
      <c r="N1499" s="30"/>
      <c r="O1499" s="30"/>
      <c r="P1499" s="30"/>
      <c r="Q1499" s="30"/>
      <c r="R1499" s="30"/>
      <c r="S1499" s="30"/>
      <c r="T1499" s="30"/>
      <c r="U1499" s="30"/>
      <c r="V1499" s="30"/>
      <c r="W1499" s="30"/>
      <c r="X1499" s="30"/>
      <c r="Y1499" s="30"/>
      <c r="Z1499" s="30"/>
    </row>
    <row r="1500">
      <c r="A1500" s="29"/>
      <c r="B1500" s="29"/>
      <c r="C1500" s="30"/>
      <c r="D1500" s="30"/>
      <c r="E1500" s="30"/>
      <c r="F1500" s="30"/>
      <c r="G1500" s="30"/>
      <c r="H1500" s="30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0"/>
      <c r="X1500" s="30"/>
      <c r="Y1500" s="30"/>
      <c r="Z1500" s="30"/>
    </row>
    <row r="1501">
      <c r="A1501" s="29"/>
      <c r="B1501" s="29"/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  <c r="O1501" s="30"/>
      <c r="P1501" s="30"/>
      <c r="Q1501" s="30"/>
      <c r="R1501" s="30"/>
      <c r="S1501" s="30"/>
      <c r="T1501" s="30"/>
      <c r="U1501" s="30"/>
      <c r="V1501" s="30"/>
      <c r="W1501" s="30"/>
      <c r="X1501" s="30"/>
      <c r="Y1501" s="30"/>
      <c r="Z1501" s="30"/>
    </row>
    <row r="1502">
      <c r="A1502" s="29"/>
      <c r="B1502" s="29"/>
      <c r="C1502" s="30"/>
      <c r="D1502" s="30"/>
      <c r="E1502" s="30"/>
      <c r="F1502" s="30"/>
      <c r="G1502" s="30"/>
      <c r="H1502" s="30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0"/>
      <c r="X1502" s="30"/>
      <c r="Y1502" s="30"/>
      <c r="Z1502" s="30"/>
    </row>
    <row r="1503">
      <c r="A1503" s="29"/>
      <c r="B1503" s="29"/>
      <c r="C1503" s="30"/>
      <c r="D1503" s="30"/>
      <c r="E1503" s="30"/>
      <c r="F1503" s="30"/>
      <c r="G1503" s="30"/>
      <c r="H1503" s="30"/>
      <c r="I1503" s="30"/>
      <c r="J1503" s="30"/>
      <c r="K1503" s="30"/>
      <c r="L1503" s="30"/>
      <c r="M1503" s="30"/>
      <c r="N1503" s="30"/>
      <c r="O1503" s="30"/>
      <c r="P1503" s="30"/>
      <c r="Q1503" s="30"/>
      <c r="R1503" s="30"/>
      <c r="S1503" s="30"/>
      <c r="T1503" s="30"/>
      <c r="U1503" s="30"/>
      <c r="V1503" s="30"/>
      <c r="W1503" s="30"/>
      <c r="X1503" s="30"/>
      <c r="Y1503" s="30"/>
      <c r="Z1503" s="30"/>
    </row>
    <row r="1504">
      <c r="A1504" s="29"/>
      <c r="B1504" s="29"/>
      <c r="C1504" s="30"/>
      <c r="D1504" s="30"/>
      <c r="E1504" s="30"/>
      <c r="F1504" s="30"/>
      <c r="G1504" s="30"/>
      <c r="H1504" s="30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0"/>
      <c r="X1504" s="30"/>
      <c r="Y1504" s="30"/>
      <c r="Z1504" s="30"/>
    </row>
    <row r="1505">
      <c r="A1505" s="29"/>
      <c r="B1505" s="29"/>
      <c r="C1505" s="30"/>
      <c r="D1505" s="30"/>
      <c r="E1505" s="30"/>
      <c r="F1505" s="30"/>
      <c r="G1505" s="30"/>
      <c r="H1505" s="30"/>
      <c r="I1505" s="30"/>
      <c r="J1505" s="30"/>
      <c r="K1505" s="30"/>
      <c r="L1505" s="30"/>
      <c r="M1505" s="30"/>
      <c r="N1505" s="30"/>
      <c r="O1505" s="30"/>
      <c r="P1505" s="30"/>
      <c r="Q1505" s="30"/>
      <c r="R1505" s="30"/>
      <c r="S1505" s="30"/>
      <c r="T1505" s="30"/>
      <c r="U1505" s="30"/>
      <c r="V1505" s="30"/>
      <c r="W1505" s="30"/>
      <c r="X1505" s="30"/>
      <c r="Y1505" s="30"/>
      <c r="Z1505" s="30"/>
    </row>
    <row r="1506">
      <c r="A1506" s="29"/>
      <c r="B1506" s="29"/>
      <c r="C1506" s="30"/>
      <c r="D1506" s="30"/>
      <c r="E1506" s="30"/>
      <c r="F1506" s="30"/>
      <c r="G1506" s="30"/>
      <c r="H1506" s="30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0"/>
      <c r="Z1506" s="30"/>
    </row>
    <row r="1507">
      <c r="A1507" s="29"/>
      <c r="B1507" s="29"/>
      <c r="C1507" s="30"/>
      <c r="D1507" s="30"/>
      <c r="E1507" s="30"/>
      <c r="F1507" s="30"/>
      <c r="G1507" s="30"/>
      <c r="H1507" s="30"/>
      <c r="I1507" s="30"/>
      <c r="J1507" s="30"/>
      <c r="K1507" s="30"/>
      <c r="L1507" s="30"/>
      <c r="M1507" s="30"/>
      <c r="N1507" s="30"/>
      <c r="O1507" s="30"/>
      <c r="P1507" s="30"/>
      <c r="Q1507" s="30"/>
      <c r="R1507" s="30"/>
      <c r="S1507" s="30"/>
      <c r="T1507" s="30"/>
      <c r="U1507" s="30"/>
      <c r="V1507" s="30"/>
      <c r="W1507" s="30"/>
      <c r="X1507" s="30"/>
      <c r="Y1507" s="30"/>
      <c r="Z1507" s="30"/>
    </row>
    <row r="1508">
      <c r="A1508" s="29"/>
      <c r="B1508" s="29"/>
      <c r="C1508" s="30"/>
      <c r="D1508" s="30"/>
      <c r="E1508" s="30"/>
      <c r="F1508" s="30"/>
      <c r="G1508" s="30"/>
      <c r="H1508" s="30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0"/>
      <c r="Z1508" s="30"/>
    </row>
    <row r="1509">
      <c r="A1509" s="29"/>
      <c r="B1509" s="29"/>
      <c r="C1509" s="30"/>
      <c r="D1509" s="30"/>
      <c r="E1509" s="30"/>
      <c r="F1509" s="30"/>
      <c r="G1509" s="30"/>
      <c r="H1509" s="30"/>
      <c r="I1509" s="30"/>
      <c r="J1509" s="30"/>
      <c r="K1509" s="30"/>
      <c r="L1509" s="30"/>
      <c r="M1509" s="30"/>
      <c r="N1509" s="30"/>
      <c r="O1509" s="30"/>
      <c r="P1509" s="30"/>
      <c r="Q1509" s="30"/>
      <c r="R1509" s="30"/>
      <c r="S1509" s="30"/>
      <c r="T1509" s="30"/>
      <c r="U1509" s="30"/>
      <c r="V1509" s="30"/>
      <c r="W1509" s="30"/>
      <c r="X1509" s="30"/>
      <c r="Y1509" s="30"/>
      <c r="Z1509" s="30"/>
    </row>
    <row r="1510">
      <c r="A1510" s="29"/>
      <c r="B1510" s="29"/>
      <c r="C1510" s="30"/>
      <c r="D1510" s="30"/>
      <c r="E1510" s="30"/>
      <c r="F1510" s="30"/>
      <c r="G1510" s="30"/>
      <c r="H1510" s="30"/>
      <c r="I1510" s="30"/>
      <c r="J1510" s="30"/>
      <c r="K1510" s="30"/>
      <c r="L1510" s="30"/>
      <c r="M1510" s="30"/>
      <c r="N1510" s="30"/>
      <c r="O1510" s="30"/>
      <c r="P1510" s="30"/>
      <c r="Q1510" s="30"/>
      <c r="R1510" s="30"/>
      <c r="S1510" s="30"/>
      <c r="T1510" s="30"/>
      <c r="U1510" s="30"/>
      <c r="V1510" s="30"/>
      <c r="W1510" s="30"/>
      <c r="X1510" s="30"/>
      <c r="Y1510" s="30"/>
      <c r="Z1510" s="30"/>
    </row>
    <row r="1511">
      <c r="A1511" s="29"/>
      <c r="B1511" s="29"/>
      <c r="C1511" s="30"/>
      <c r="D1511" s="30"/>
      <c r="E1511" s="30"/>
      <c r="F1511" s="30"/>
      <c r="G1511" s="30"/>
      <c r="H1511" s="30"/>
      <c r="I1511" s="30"/>
      <c r="J1511" s="30"/>
      <c r="K1511" s="30"/>
      <c r="L1511" s="30"/>
      <c r="M1511" s="30"/>
      <c r="N1511" s="30"/>
      <c r="O1511" s="30"/>
      <c r="P1511" s="30"/>
      <c r="Q1511" s="30"/>
      <c r="R1511" s="30"/>
      <c r="S1511" s="30"/>
      <c r="T1511" s="30"/>
      <c r="U1511" s="30"/>
      <c r="V1511" s="30"/>
      <c r="W1511" s="30"/>
      <c r="X1511" s="30"/>
      <c r="Y1511" s="30"/>
      <c r="Z1511" s="30"/>
    </row>
    <row r="1512">
      <c r="A1512" s="29"/>
      <c r="B1512" s="29"/>
      <c r="C1512" s="30"/>
      <c r="D1512" s="30"/>
      <c r="E1512" s="30"/>
      <c r="F1512" s="30"/>
      <c r="G1512" s="30"/>
      <c r="H1512" s="30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  <c r="U1512" s="30"/>
      <c r="V1512" s="30"/>
      <c r="W1512" s="30"/>
      <c r="X1512" s="30"/>
      <c r="Y1512" s="30"/>
      <c r="Z1512" s="30"/>
    </row>
    <row r="1513">
      <c r="A1513" s="29"/>
      <c r="B1513" s="29"/>
      <c r="C1513" s="30"/>
      <c r="D1513" s="30"/>
      <c r="E1513" s="30"/>
      <c r="F1513" s="30"/>
      <c r="G1513" s="30"/>
      <c r="H1513" s="30"/>
      <c r="I1513" s="30"/>
      <c r="J1513" s="30"/>
      <c r="K1513" s="30"/>
      <c r="L1513" s="30"/>
      <c r="M1513" s="30"/>
      <c r="N1513" s="30"/>
      <c r="O1513" s="30"/>
      <c r="P1513" s="30"/>
      <c r="Q1513" s="30"/>
      <c r="R1513" s="30"/>
      <c r="S1513" s="30"/>
      <c r="T1513" s="30"/>
      <c r="U1513" s="30"/>
      <c r="V1513" s="30"/>
      <c r="W1513" s="30"/>
      <c r="X1513" s="30"/>
      <c r="Y1513" s="30"/>
      <c r="Z1513" s="30"/>
    </row>
    <row r="1514">
      <c r="A1514" s="29"/>
      <c r="B1514" s="29"/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0"/>
      <c r="Z1514" s="30"/>
    </row>
    <row r="1515">
      <c r="A1515" s="29"/>
      <c r="B1515" s="29"/>
      <c r="C1515" s="30"/>
      <c r="D1515" s="30"/>
      <c r="E1515" s="30"/>
      <c r="F1515" s="30"/>
      <c r="G1515" s="30"/>
      <c r="H1515" s="30"/>
      <c r="I1515" s="30"/>
      <c r="J1515" s="30"/>
      <c r="K1515" s="30"/>
      <c r="L1515" s="30"/>
      <c r="M1515" s="30"/>
      <c r="N1515" s="30"/>
      <c r="O1515" s="30"/>
      <c r="P1515" s="30"/>
      <c r="Q1515" s="30"/>
      <c r="R1515" s="30"/>
      <c r="S1515" s="30"/>
      <c r="T1515" s="30"/>
      <c r="U1515" s="30"/>
      <c r="V1515" s="30"/>
      <c r="W1515" s="30"/>
      <c r="X1515" s="30"/>
      <c r="Y1515" s="30"/>
      <c r="Z1515" s="30"/>
    </row>
    <row r="1516">
      <c r="A1516" s="29"/>
      <c r="B1516" s="29"/>
      <c r="C1516" s="30"/>
      <c r="D1516" s="30"/>
      <c r="E1516" s="30"/>
      <c r="F1516" s="30"/>
      <c r="G1516" s="30"/>
      <c r="H1516" s="30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0"/>
      <c r="X1516" s="30"/>
      <c r="Y1516" s="30"/>
      <c r="Z1516" s="30"/>
    </row>
    <row r="1517">
      <c r="A1517" s="29"/>
      <c r="B1517" s="29"/>
      <c r="C1517" s="30"/>
      <c r="D1517" s="30"/>
      <c r="E1517" s="30"/>
      <c r="F1517" s="30"/>
      <c r="G1517" s="30"/>
      <c r="H1517" s="30"/>
      <c r="I1517" s="30"/>
      <c r="J1517" s="30"/>
      <c r="K1517" s="30"/>
      <c r="L1517" s="30"/>
      <c r="M1517" s="30"/>
      <c r="N1517" s="30"/>
      <c r="O1517" s="30"/>
      <c r="P1517" s="30"/>
      <c r="Q1517" s="30"/>
      <c r="R1517" s="30"/>
      <c r="S1517" s="30"/>
      <c r="T1517" s="30"/>
      <c r="U1517" s="30"/>
      <c r="V1517" s="30"/>
      <c r="W1517" s="30"/>
      <c r="X1517" s="30"/>
      <c r="Y1517" s="30"/>
      <c r="Z1517" s="30"/>
    </row>
    <row r="1518">
      <c r="A1518" s="29"/>
      <c r="B1518" s="29"/>
      <c r="C1518" s="30"/>
      <c r="D1518" s="30"/>
      <c r="E1518" s="30"/>
      <c r="F1518" s="30"/>
      <c r="G1518" s="30"/>
      <c r="H1518" s="30"/>
      <c r="I1518" s="30"/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0"/>
      <c r="Z1518" s="30"/>
    </row>
    <row r="1519">
      <c r="A1519" s="29"/>
      <c r="B1519" s="29"/>
      <c r="C1519" s="30"/>
      <c r="D1519" s="30"/>
      <c r="E1519" s="30"/>
      <c r="F1519" s="30"/>
      <c r="G1519" s="30"/>
      <c r="H1519" s="30"/>
      <c r="I1519" s="30"/>
      <c r="J1519" s="30"/>
      <c r="K1519" s="30"/>
      <c r="L1519" s="30"/>
      <c r="M1519" s="30"/>
      <c r="N1519" s="30"/>
      <c r="O1519" s="30"/>
      <c r="P1519" s="30"/>
      <c r="Q1519" s="30"/>
      <c r="R1519" s="30"/>
      <c r="S1519" s="30"/>
      <c r="T1519" s="30"/>
      <c r="U1519" s="30"/>
      <c r="V1519" s="30"/>
      <c r="W1519" s="30"/>
      <c r="X1519" s="30"/>
      <c r="Y1519" s="30"/>
      <c r="Z1519" s="30"/>
    </row>
    <row r="1520">
      <c r="A1520" s="29"/>
      <c r="B1520" s="29"/>
      <c r="C1520" s="30"/>
      <c r="D1520" s="30"/>
      <c r="E1520" s="30"/>
      <c r="F1520" s="30"/>
      <c r="G1520" s="30"/>
      <c r="H1520" s="30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  <c r="U1520" s="30"/>
      <c r="V1520" s="30"/>
      <c r="W1520" s="30"/>
      <c r="X1520" s="30"/>
      <c r="Y1520" s="30"/>
      <c r="Z1520" s="30"/>
    </row>
    <row r="1521">
      <c r="A1521" s="29"/>
      <c r="B1521" s="29"/>
      <c r="C1521" s="30"/>
      <c r="D1521" s="30"/>
      <c r="E1521" s="30"/>
      <c r="F1521" s="30"/>
      <c r="G1521" s="30"/>
      <c r="H1521" s="30"/>
      <c r="I1521" s="30"/>
      <c r="J1521" s="30"/>
      <c r="K1521" s="30"/>
      <c r="L1521" s="30"/>
      <c r="M1521" s="30"/>
      <c r="N1521" s="30"/>
      <c r="O1521" s="30"/>
      <c r="P1521" s="30"/>
      <c r="Q1521" s="30"/>
      <c r="R1521" s="30"/>
      <c r="S1521" s="30"/>
      <c r="T1521" s="30"/>
      <c r="U1521" s="30"/>
      <c r="V1521" s="30"/>
      <c r="W1521" s="30"/>
      <c r="X1521" s="30"/>
      <c r="Y1521" s="30"/>
      <c r="Z1521" s="30"/>
    </row>
    <row r="1522">
      <c r="A1522" s="29"/>
      <c r="B1522" s="29"/>
      <c r="C1522" s="30"/>
      <c r="D1522" s="30"/>
      <c r="E1522" s="30"/>
      <c r="F1522" s="30"/>
      <c r="G1522" s="30"/>
      <c r="H1522" s="30"/>
      <c r="I1522" s="30"/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0"/>
      <c r="X1522" s="30"/>
      <c r="Y1522" s="30"/>
      <c r="Z1522" s="30"/>
    </row>
    <row r="1523">
      <c r="A1523" s="29"/>
      <c r="B1523" s="29"/>
      <c r="C1523" s="30"/>
      <c r="D1523" s="30"/>
      <c r="E1523" s="30"/>
      <c r="F1523" s="30"/>
      <c r="G1523" s="30"/>
      <c r="H1523" s="30"/>
      <c r="I1523" s="30"/>
      <c r="J1523" s="30"/>
      <c r="K1523" s="30"/>
      <c r="L1523" s="30"/>
      <c r="M1523" s="30"/>
      <c r="N1523" s="30"/>
      <c r="O1523" s="30"/>
      <c r="P1523" s="30"/>
      <c r="Q1523" s="30"/>
      <c r="R1523" s="30"/>
      <c r="S1523" s="30"/>
      <c r="T1523" s="30"/>
      <c r="U1523" s="30"/>
      <c r="V1523" s="30"/>
      <c r="W1523" s="30"/>
      <c r="X1523" s="30"/>
      <c r="Y1523" s="30"/>
      <c r="Z1523" s="30"/>
    </row>
    <row r="1524">
      <c r="A1524" s="29"/>
      <c r="B1524" s="29"/>
      <c r="C1524" s="30"/>
      <c r="D1524" s="30"/>
      <c r="E1524" s="30"/>
      <c r="F1524" s="30"/>
      <c r="G1524" s="30"/>
      <c r="H1524" s="30"/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  <c r="U1524" s="30"/>
      <c r="V1524" s="30"/>
      <c r="W1524" s="30"/>
      <c r="X1524" s="30"/>
      <c r="Y1524" s="30"/>
      <c r="Z1524" s="30"/>
    </row>
    <row r="1525">
      <c r="A1525" s="29"/>
      <c r="B1525" s="29"/>
      <c r="C1525" s="30"/>
      <c r="D1525" s="30"/>
      <c r="E1525" s="30"/>
      <c r="F1525" s="30"/>
      <c r="G1525" s="30"/>
      <c r="H1525" s="30"/>
      <c r="I1525" s="30"/>
      <c r="J1525" s="30"/>
      <c r="K1525" s="30"/>
      <c r="L1525" s="30"/>
      <c r="M1525" s="30"/>
      <c r="N1525" s="30"/>
      <c r="O1525" s="30"/>
      <c r="P1525" s="30"/>
      <c r="Q1525" s="30"/>
      <c r="R1525" s="30"/>
      <c r="S1525" s="30"/>
      <c r="T1525" s="30"/>
      <c r="U1525" s="30"/>
      <c r="V1525" s="30"/>
      <c r="W1525" s="30"/>
      <c r="X1525" s="30"/>
      <c r="Y1525" s="30"/>
      <c r="Z1525" s="30"/>
    </row>
    <row r="1526">
      <c r="A1526" s="29"/>
      <c r="B1526" s="29"/>
      <c r="C1526" s="30"/>
      <c r="D1526" s="30"/>
      <c r="E1526" s="30"/>
      <c r="F1526" s="30"/>
      <c r="G1526" s="30"/>
      <c r="H1526" s="30"/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/>
      <c r="U1526" s="30"/>
      <c r="V1526" s="30"/>
      <c r="W1526" s="30"/>
      <c r="X1526" s="30"/>
      <c r="Y1526" s="30"/>
      <c r="Z1526" s="30"/>
    </row>
    <row r="1527">
      <c r="A1527" s="29"/>
      <c r="B1527" s="29"/>
      <c r="C1527" s="30"/>
      <c r="D1527" s="30"/>
      <c r="E1527" s="30"/>
      <c r="F1527" s="30"/>
      <c r="G1527" s="30"/>
      <c r="H1527" s="30"/>
      <c r="I1527" s="30"/>
      <c r="J1527" s="30"/>
      <c r="K1527" s="30"/>
      <c r="L1527" s="30"/>
      <c r="M1527" s="30"/>
      <c r="N1527" s="30"/>
      <c r="O1527" s="30"/>
      <c r="P1527" s="30"/>
      <c r="Q1527" s="30"/>
      <c r="R1527" s="30"/>
      <c r="S1527" s="30"/>
      <c r="T1527" s="30"/>
      <c r="U1527" s="30"/>
      <c r="V1527" s="30"/>
      <c r="W1527" s="30"/>
      <c r="X1527" s="30"/>
      <c r="Y1527" s="30"/>
      <c r="Z1527" s="30"/>
    </row>
    <row r="1528">
      <c r="A1528" s="29"/>
      <c r="B1528" s="29"/>
      <c r="C1528" s="30"/>
      <c r="D1528" s="30"/>
      <c r="E1528" s="30"/>
      <c r="F1528" s="30"/>
      <c r="G1528" s="30"/>
      <c r="H1528" s="30"/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0"/>
      <c r="Z1528" s="30"/>
    </row>
    <row r="1529">
      <c r="A1529" s="29"/>
      <c r="B1529" s="29"/>
      <c r="C1529" s="30"/>
      <c r="D1529" s="30"/>
      <c r="E1529" s="30"/>
      <c r="F1529" s="30"/>
      <c r="G1529" s="30"/>
      <c r="H1529" s="30"/>
      <c r="I1529" s="30"/>
      <c r="J1529" s="30"/>
      <c r="K1529" s="30"/>
      <c r="L1529" s="30"/>
      <c r="M1529" s="30"/>
      <c r="N1529" s="30"/>
      <c r="O1529" s="30"/>
      <c r="P1529" s="30"/>
      <c r="Q1529" s="30"/>
      <c r="R1529" s="30"/>
      <c r="S1529" s="30"/>
      <c r="T1529" s="30"/>
      <c r="U1529" s="30"/>
      <c r="V1529" s="30"/>
      <c r="W1529" s="30"/>
      <c r="X1529" s="30"/>
      <c r="Y1529" s="30"/>
      <c r="Z1529" s="30"/>
    </row>
    <row r="1530">
      <c r="A1530" s="29"/>
      <c r="B1530" s="29"/>
      <c r="C1530" s="30"/>
      <c r="D1530" s="30"/>
      <c r="E1530" s="30"/>
      <c r="F1530" s="30"/>
      <c r="G1530" s="30"/>
      <c r="H1530" s="30"/>
      <c r="I1530" s="30"/>
      <c r="J1530" s="30"/>
      <c r="K1530" s="30"/>
      <c r="L1530" s="30"/>
      <c r="M1530" s="30"/>
      <c r="N1530" s="30"/>
      <c r="O1530" s="30"/>
      <c r="P1530" s="30"/>
      <c r="Q1530" s="30"/>
      <c r="R1530" s="30"/>
      <c r="S1530" s="30"/>
      <c r="T1530" s="30"/>
      <c r="U1530" s="30"/>
      <c r="V1530" s="30"/>
      <c r="W1530" s="30"/>
      <c r="X1530" s="30"/>
      <c r="Y1530" s="30"/>
      <c r="Z1530" s="30"/>
    </row>
    <row r="1531">
      <c r="A1531" s="29"/>
      <c r="B1531" s="29"/>
      <c r="C1531" s="30"/>
      <c r="D1531" s="30"/>
      <c r="E1531" s="30"/>
      <c r="F1531" s="30"/>
      <c r="G1531" s="30"/>
      <c r="H1531" s="30"/>
      <c r="I1531" s="30"/>
      <c r="J1531" s="30"/>
      <c r="K1531" s="30"/>
      <c r="L1531" s="30"/>
      <c r="M1531" s="30"/>
      <c r="N1531" s="30"/>
      <c r="O1531" s="30"/>
      <c r="P1531" s="30"/>
      <c r="Q1531" s="30"/>
      <c r="R1531" s="30"/>
      <c r="S1531" s="30"/>
      <c r="T1531" s="30"/>
      <c r="U1531" s="30"/>
      <c r="V1531" s="30"/>
      <c r="W1531" s="30"/>
      <c r="X1531" s="30"/>
      <c r="Y1531" s="30"/>
      <c r="Z1531" s="30"/>
    </row>
    <row r="1532">
      <c r="A1532" s="29"/>
      <c r="B1532" s="29"/>
      <c r="C1532" s="30"/>
      <c r="D1532" s="30"/>
      <c r="E1532" s="30"/>
      <c r="F1532" s="30"/>
      <c r="G1532" s="30"/>
      <c r="H1532" s="30"/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  <c r="U1532" s="30"/>
      <c r="V1532" s="30"/>
      <c r="W1532" s="30"/>
      <c r="X1532" s="30"/>
      <c r="Y1532" s="30"/>
      <c r="Z1532" s="30"/>
    </row>
    <row r="1533">
      <c r="A1533" s="29"/>
      <c r="B1533" s="29"/>
      <c r="C1533" s="30"/>
      <c r="D1533" s="30"/>
      <c r="E1533" s="30"/>
      <c r="F1533" s="30"/>
      <c r="G1533" s="30"/>
      <c r="H1533" s="30"/>
      <c r="I1533" s="30"/>
      <c r="J1533" s="30"/>
      <c r="K1533" s="30"/>
      <c r="L1533" s="30"/>
      <c r="M1533" s="30"/>
      <c r="N1533" s="30"/>
      <c r="O1533" s="30"/>
      <c r="P1533" s="30"/>
      <c r="Q1533" s="30"/>
      <c r="R1533" s="30"/>
      <c r="S1533" s="30"/>
      <c r="T1533" s="30"/>
      <c r="U1533" s="30"/>
      <c r="V1533" s="30"/>
      <c r="W1533" s="30"/>
      <c r="X1533" s="30"/>
      <c r="Y1533" s="30"/>
      <c r="Z1533" s="30"/>
    </row>
    <row r="1534">
      <c r="A1534" s="29"/>
      <c r="B1534" s="29"/>
      <c r="C1534" s="30"/>
      <c r="D1534" s="30"/>
      <c r="E1534" s="30"/>
      <c r="F1534" s="30"/>
      <c r="G1534" s="30"/>
      <c r="H1534" s="30"/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0"/>
      <c r="Z1534" s="30"/>
    </row>
    <row r="1535">
      <c r="A1535" s="29"/>
      <c r="B1535" s="29"/>
      <c r="C1535" s="30"/>
      <c r="D1535" s="30"/>
      <c r="E1535" s="30"/>
      <c r="F1535" s="30"/>
      <c r="G1535" s="30"/>
      <c r="H1535" s="30"/>
      <c r="I1535" s="30"/>
      <c r="J1535" s="30"/>
      <c r="K1535" s="30"/>
      <c r="L1535" s="30"/>
      <c r="M1535" s="30"/>
      <c r="N1535" s="30"/>
      <c r="O1535" s="30"/>
      <c r="P1535" s="30"/>
      <c r="Q1535" s="30"/>
      <c r="R1535" s="30"/>
      <c r="S1535" s="30"/>
      <c r="T1535" s="30"/>
      <c r="U1535" s="30"/>
      <c r="V1535" s="30"/>
      <c r="W1535" s="30"/>
      <c r="X1535" s="30"/>
      <c r="Y1535" s="30"/>
      <c r="Z1535" s="30"/>
    </row>
    <row r="1536">
      <c r="A1536" s="29"/>
      <c r="B1536" s="29"/>
      <c r="C1536" s="30"/>
      <c r="D1536" s="30"/>
      <c r="E1536" s="30"/>
      <c r="F1536" s="30"/>
      <c r="G1536" s="30"/>
      <c r="H1536" s="30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  <c r="U1536" s="30"/>
      <c r="V1536" s="30"/>
      <c r="W1536" s="30"/>
      <c r="X1536" s="30"/>
      <c r="Y1536" s="30"/>
      <c r="Z1536" s="30"/>
    </row>
    <row r="1537">
      <c r="A1537" s="29"/>
      <c r="B1537" s="29"/>
      <c r="C1537" s="30"/>
      <c r="D1537" s="30"/>
      <c r="E1537" s="30"/>
      <c r="F1537" s="30"/>
      <c r="G1537" s="30"/>
      <c r="H1537" s="30"/>
      <c r="I1537" s="30"/>
      <c r="J1537" s="30"/>
      <c r="K1537" s="30"/>
      <c r="L1537" s="30"/>
      <c r="M1537" s="30"/>
      <c r="N1537" s="30"/>
      <c r="O1537" s="30"/>
      <c r="P1537" s="30"/>
      <c r="Q1537" s="30"/>
      <c r="R1537" s="30"/>
      <c r="S1537" s="30"/>
      <c r="T1537" s="30"/>
      <c r="U1537" s="30"/>
      <c r="V1537" s="30"/>
      <c r="W1537" s="30"/>
      <c r="X1537" s="30"/>
      <c r="Y1537" s="30"/>
      <c r="Z1537" s="30"/>
    </row>
    <row r="1538">
      <c r="A1538" s="29"/>
      <c r="B1538" s="29"/>
      <c r="C1538" s="30"/>
      <c r="D1538" s="30"/>
      <c r="E1538" s="30"/>
      <c r="F1538" s="30"/>
      <c r="G1538" s="30"/>
      <c r="H1538" s="30"/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/>
      <c r="U1538" s="30"/>
      <c r="V1538" s="30"/>
      <c r="W1538" s="30"/>
      <c r="X1538" s="30"/>
      <c r="Y1538" s="30"/>
      <c r="Z1538" s="30"/>
    </row>
    <row r="1539">
      <c r="A1539" s="29"/>
      <c r="B1539" s="29"/>
      <c r="C1539" s="30"/>
      <c r="D1539" s="30"/>
      <c r="E1539" s="30"/>
      <c r="F1539" s="30"/>
      <c r="G1539" s="30"/>
      <c r="H1539" s="30"/>
      <c r="I1539" s="30"/>
      <c r="J1539" s="30"/>
      <c r="K1539" s="30"/>
      <c r="L1539" s="30"/>
      <c r="M1539" s="30"/>
      <c r="N1539" s="30"/>
      <c r="O1539" s="30"/>
      <c r="P1539" s="30"/>
      <c r="Q1539" s="30"/>
      <c r="R1539" s="30"/>
      <c r="S1539" s="30"/>
      <c r="T1539" s="30"/>
      <c r="U1539" s="30"/>
      <c r="V1539" s="30"/>
      <c r="W1539" s="30"/>
      <c r="X1539" s="30"/>
      <c r="Y1539" s="30"/>
      <c r="Z1539" s="30"/>
    </row>
    <row r="1540">
      <c r="A1540" s="29"/>
      <c r="B1540" s="29"/>
      <c r="C1540" s="30"/>
      <c r="D1540" s="30"/>
      <c r="E1540" s="30"/>
      <c r="F1540" s="30"/>
      <c r="G1540" s="30"/>
      <c r="H1540" s="30"/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  <c r="U1540" s="30"/>
      <c r="V1540" s="30"/>
      <c r="W1540" s="30"/>
      <c r="X1540" s="30"/>
      <c r="Y1540" s="30"/>
      <c r="Z1540" s="30"/>
    </row>
    <row r="1541">
      <c r="A1541" s="29"/>
      <c r="B1541" s="29"/>
      <c r="C1541" s="30"/>
      <c r="D1541" s="30"/>
      <c r="E1541" s="30"/>
      <c r="F1541" s="30"/>
      <c r="G1541" s="30"/>
      <c r="H1541" s="30"/>
      <c r="I1541" s="30"/>
      <c r="J1541" s="30"/>
      <c r="K1541" s="30"/>
      <c r="L1541" s="30"/>
      <c r="M1541" s="30"/>
      <c r="N1541" s="30"/>
      <c r="O1541" s="30"/>
      <c r="P1541" s="30"/>
      <c r="Q1541" s="30"/>
      <c r="R1541" s="30"/>
      <c r="S1541" s="30"/>
      <c r="T1541" s="30"/>
      <c r="U1541" s="30"/>
      <c r="V1541" s="30"/>
      <c r="W1541" s="30"/>
      <c r="X1541" s="30"/>
      <c r="Y1541" s="30"/>
      <c r="Z1541" s="30"/>
    </row>
    <row r="1542">
      <c r="A1542" s="29"/>
      <c r="B1542" s="29"/>
      <c r="C1542" s="30"/>
      <c r="D1542" s="30"/>
      <c r="E1542" s="30"/>
      <c r="F1542" s="30"/>
      <c r="G1542" s="30"/>
      <c r="H1542" s="30"/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/>
      <c r="W1542" s="30"/>
      <c r="X1542" s="30"/>
      <c r="Y1542" s="30"/>
      <c r="Z1542" s="30"/>
    </row>
    <row r="1543">
      <c r="A1543" s="29"/>
      <c r="B1543" s="29"/>
      <c r="C1543" s="30"/>
      <c r="D1543" s="30"/>
      <c r="E1543" s="30"/>
      <c r="F1543" s="30"/>
      <c r="G1543" s="30"/>
      <c r="H1543" s="30"/>
      <c r="I1543" s="30"/>
      <c r="J1543" s="30"/>
      <c r="K1543" s="30"/>
      <c r="L1543" s="30"/>
      <c r="M1543" s="30"/>
      <c r="N1543" s="30"/>
      <c r="O1543" s="30"/>
      <c r="P1543" s="30"/>
      <c r="Q1543" s="30"/>
      <c r="R1543" s="30"/>
      <c r="S1543" s="30"/>
      <c r="T1543" s="30"/>
      <c r="U1543" s="30"/>
      <c r="V1543" s="30"/>
      <c r="W1543" s="30"/>
      <c r="X1543" s="30"/>
      <c r="Y1543" s="30"/>
      <c r="Z1543" s="30"/>
    </row>
    <row r="1544">
      <c r="A1544" s="29"/>
      <c r="B1544" s="29"/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  <c r="U1544" s="30"/>
      <c r="V1544" s="30"/>
      <c r="W1544" s="30"/>
      <c r="X1544" s="30"/>
      <c r="Y1544" s="30"/>
      <c r="Z1544" s="30"/>
    </row>
    <row r="1545">
      <c r="A1545" s="29"/>
      <c r="B1545" s="29"/>
      <c r="C1545" s="30"/>
      <c r="D1545" s="30"/>
      <c r="E1545" s="30"/>
      <c r="F1545" s="30"/>
      <c r="G1545" s="30"/>
      <c r="H1545" s="30"/>
      <c r="I1545" s="30"/>
      <c r="J1545" s="30"/>
      <c r="K1545" s="30"/>
      <c r="L1545" s="30"/>
      <c r="M1545" s="30"/>
      <c r="N1545" s="30"/>
      <c r="O1545" s="30"/>
      <c r="P1545" s="30"/>
      <c r="Q1545" s="30"/>
      <c r="R1545" s="30"/>
      <c r="S1545" s="30"/>
      <c r="T1545" s="30"/>
      <c r="U1545" s="30"/>
      <c r="V1545" s="30"/>
      <c r="W1545" s="30"/>
      <c r="X1545" s="30"/>
      <c r="Y1545" s="30"/>
      <c r="Z1545" s="30"/>
    </row>
    <row r="1546">
      <c r="A1546" s="29"/>
      <c r="B1546" s="29"/>
      <c r="C1546" s="30"/>
      <c r="D1546" s="30"/>
      <c r="E1546" s="30"/>
      <c r="F1546" s="30"/>
      <c r="G1546" s="30"/>
      <c r="H1546" s="30"/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30"/>
      <c r="Z1546" s="30"/>
    </row>
    <row r="1547">
      <c r="A1547" s="29"/>
      <c r="B1547" s="29"/>
      <c r="C1547" s="30"/>
      <c r="D1547" s="30"/>
      <c r="E1547" s="30"/>
      <c r="F1547" s="30"/>
      <c r="G1547" s="30"/>
      <c r="H1547" s="30"/>
      <c r="I1547" s="30"/>
      <c r="J1547" s="30"/>
      <c r="K1547" s="30"/>
      <c r="L1547" s="30"/>
      <c r="M1547" s="30"/>
      <c r="N1547" s="30"/>
      <c r="O1547" s="30"/>
      <c r="P1547" s="30"/>
      <c r="Q1547" s="30"/>
      <c r="R1547" s="30"/>
      <c r="S1547" s="30"/>
      <c r="T1547" s="30"/>
      <c r="U1547" s="30"/>
      <c r="V1547" s="30"/>
      <c r="W1547" s="30"/>
      <c r="X1547" s="30"/>
      <c r="Y1547" s="30"/>
      <c r="Z1547" s="30"/>
    </row>
    <row r="1548">
      <c r="A1548" s="29"/>
      <c r="B1548" s="29"/>
      <c r="C1548" s="30"/>
      <c r="D1548" s="30"/>
      <c r="E1548" s="30"/>
      <c r="F1548" s="30"/>
      <c r="G1548" s="30"/>
      <c r="H1548" s="30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  <c r="U1548" s="30"/>
      <c r="V1548" s="30"/>
      <c r="W1548" s="30"/>
      <c r="X1548" s="30"/>
      <c r="Y1548" s="30"/>
      <c r="Z1548" s="30"/>
    </row>
    <row r="1549">
      <c r="A1549" s="29"/>
      <c r="B1549" s="29"/>
      <c r="C1549" s="30"/>
      <c r="D1549" s="30"/>
      <c r="E1549" s="30"/>
      <c r="F1549" s="30"/>
      <c r="G1549" s="30"/>
      <c r="H1549" s="30"/>
      <c r="I1549" s="30"/>
      <c r="J1549" s="30"/>
      <c r="K1549" s="30"/>
      <c r="L1549" s="30"/>
      <c r="M1549" s="30"/>
      <c r="N1549" s="30"/>
      <c r="O1549" s="30"/>
      <c r="P1549" s="30"/>
      <c r="Q1549" s="30"/>
      <c r="R1549" s="30"/>
      <c r="S1549" s="30"/>
      <c r="T1549" s="30"/>
      <c r="U1549" s="30"/>
      <c r="V1549" s="30"/>
      <c r="W1549" s="30"/>
      <c r="X1549" s="30"/>
      <c r="Y1549" s="30"/>
      <c r="Z1549" s="30"/>
    </row>
    <row r="1550">
      <c r="A1550" s="29"/>
      <c r="B1550" s="29"/>
      <c r="C1550" s="30"/>
      <c r="D1550" s="30"/>
      <c r="E1550" s="30"/>
      <c r="F1550" s="30"/>
      <c r="G1550" s="30"/>
      <c r="H1550" s="30"/>
      <c r="I1550" s="30"/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0"/>
      <c r="Z1550" s="30"/>
    </row>
    <row r="1551">
      <c r="A1551" s="29"/>
      <c r="B1551" s="29"/>
      <c r="C1551" s="30"/>
      <c r="D1551" s="30"/>
      <c r="E1551" s="30"/>
      <c r="F1551" s="30"/>
      <c r="G1551" s="30"/>
      <c r="H1551" s="30"/>
      <c r="I1551" s="30"/>
      <c r="J1551" s="30"/>
      <c r="K1551" s="30"/>
      <c r="L1551" s="30"/>
      <c r="M1551" s="30"/>
      <c r="N1551" s="30"/>
      <c r="O1551" s="30"/>
      <c r="P1551" s="30"/>
      <c r="Q1551" s="30"/>
      <c r="R1551" s="30"/>
      <c r="S1551" s="30"/>
      <c r="T1551" s="30"/>
      <c r="U1551" s="30"/>
      <c r="V1551" s="30"/>
      <c r="W1551" s="30"/>
      <c r="X1551" s="30"/>
      <c r="Y1551" s="30"/>
      <c r="Z1551" s="30"/>
    </row>
    <row r="1552">
      <c r="A1552" s="29"/>
      <c r="B1552" s="29"/>
      <c r="C1552" s="30"/>
      <c r="D1552" s="30"/>
      <c r="E1552" s="30"/>
      <c r="F1552" s="30"/>
      <c r="G1552" s="30"/>
      <c r="H1552" s="30"/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  <c r="U1552" s="30"/>
      <c r="V1552" s="30"/>
      <c r="W1552" s="30"/>
      <c r="X1552" s="30"/>
      <c r="Y1552" s="30"/>
      <c r="Z1552" s="30"/>
    </row>
    <row r="1553">
      <c r="A1553" s="29"/>
      <c r="B1553" s="29"/>
      <c r="C1553" s="30"/>
      <c r="D1553" s="30"/>
      <c r="E1553" s="30"/>
      <c r="F1553" s="30"/>
      <c r="G1553" s="30"/>
      <c r="H1553" s="30"/>
      <c r="I1553" s="30"/>
      <c r="J1553" s="30"/>
      <c r="K1553" s="30"/>
      <c r="L1553" s="30"/>
      <c r="M1553" s="30"/>
      <c r="N1553" s="30"/>
      <c r="O1553" s="30"/>
      <c r="P1553" s="30"/>
      <c r="Q1553" s="30"/>
      <c r="R1553" s="30"/>
      <c r="S1553" s="30"/>
      <c r="T1553" s="30"/>
      <c r="U1553" s="30"/>
      <c r="V1553" s="30"/>
      <c r="W1553" s="30"/>
      <c r="X1553" s="30"/>
      <c r="Y1553" s="30"/>
      <c r="Z1553" s="30"/>
    </row>
    <row r="1554">
      <c r="A1554" s="29"/>
      <c r="B1554" s="29"/>
      <c r="C1554" s="30"/>
      <c r="D1554" s="30"/>
      <c r="E1554" s="30"/>
      <c r="F1554" s="30"/>
      <c r="G1554" s="30"/>
      <c r="H1554" s="30"/>
      <c r="I1554" s="30"/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0"/>
      <c r="Z1554" s="30"/>
    </row>
    <row r="1555">
      <c r="A1555" s="29"/>
      <c r="B1555" s="29"/>
      <c r="C1555" s="30"/>
      <c r="D1555" s="30"/>
      <c r="E1555" s="30"/>
      <c r="F1555" s="30"/>
      <c r="G1555" s="30"/>
      <c r="H1555" s="30"/>
      <c r="I1555" s="30"/>
      <c r="J1555" s="30"/>
      <c r="K1555" s="30"/>
      <c r="L1555" s="30"/>
      <c r="M1555" s="30"/>
      <c r="N1555" s="30"/>
      <c r="O1555" s="30"/>
      <c r="P1555" s="30"/>
      <c r="Q1555" s="30"/>
      <c r="R1555" s="30"/>
      <c r="S1555" s="30"/>
      <c r="T1555" s="30"/>
      <c r="U1555" s="30"/>
      <c r="V1555" s="30"/>
      <c r="W1555" s="30"/>
      <c r="X1555" s="30"/>
      <c r="Y1555" s="30"/>
      <c r="Z1555" s="30"/>
    </row>
    <row r="1556">
      <c r="A1556" s="29"/>
      <c r="B1556" s="29"/>
      <c r="C1556" s="30"/>
      <c r="D1556" s="30"/>
      <c r="E1556" s="30"/>
      <c r="F1556" s="30"/>
      <c r="G1556" s="30"/>
      <c r="H1556" s="30"/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0"/>
      <c r="X1556" s="30"/>
      <c r="Y1556" s="30"/>
      <c r="Z1556" s="30"/>
    </row>
    <row r="1557">
      <c r="A1557" s="29"/>
      <c r="B1557" s="29"/>
      <c r="C1557" s="30"/>
      <c r="D1557" s="30"/>
      <c r="E1557" s="30"/>
      <c r="F1557" s="30"/>
      <c r="G1557" s="30"/>
      <c r="H1557" s="30"/>
      <c r="I1557" s="30"/>
      <c r="J1557" s="30"/>
      <c r="K1557" s="30"/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/>
      <c r="W1557" s="30"/>
      <c r="X1557" s="30"/>
      <c r="Y1557" s="30"/>
      <c r="Z1557" s="30"/>
    </row>
    <row r="1558">
      <c r="A1558" s="29"/>
      <c r="B1558" s="29"/>
      <c r="C1558" s="30"/>
      <c r="D1558" s="30"/>
      <c r="E1558" s="30"/>
      <c r="F1558" s="30"/>
      <c r="G1558" s="30"/>
      <c r="H1558" s="30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0"/>
      <c r="Z1558" s="30"/>
    </row>
    <row r="1559">
      <c r="A1559" s="29"/>
      <c r="B1559" s="29"/>
      <c r="C1559" s="30"/>
      <c r="D1559" s="30"/>
      <c r="E1559" s="30"/>
      <c r="F1559" s="30"/>
      <c r="G1559" s="30"/>
      <c r="H1559" s="30"/>
      <c r="I1559" s="30"/>
      <c r="J1559" s="30"/>
      <c r="K1559" s="30"/>
      <c r="L1559" s="30"/>
      <c r="M1559" s="30"/>
      <c r="N1559" s="30"/>
      <c r="O1559" s="30"/>
      <c r="P1559" s="30"/>
      <c r="Q1559" s="30"/>
      <c r="R1559" s="30"/>
      <c r="S1559" s="30"/>
      <c r="T1559" s="30"/>
      <c r="U1559" s="30"/>
      <c r="V1559" s="30"/>
      <c r="W1559" s="30"/>
      <c r="X1559" s="30"/>
      <c r="Y1559" s="30"/>
      <c r="Z1559" s="30"/>
    </row>
    <row r="1560">
      <c r="A1560" s="29"/>
      <c r="B1560" s="29"/>
      <c r="C1560" s="30"/>
      <c r="D1560" s="30"/>
      <c r="E1560" s="30"/>
      <c r="F1560" s="30"/>
      <c r="G1560" s="30"/>
      <c r="H1560" s="30"/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0"/>
      <c r="Z1560" s="30"/>
    </row>
    <row r="1561">
      <c r="A1561" s="29"/>
      <c r="B1561" s="29"/>
      <c r="C1561" s="30"/>
      <c r="D1561" s="30"/>
      <c r="E1561" s="30"/>
      <c r="F1561" s="30"/>
      <c r="G1561" s="30"/>
      <c r="H1561" s="30"/>
      <c r="I1561" s="30"/>
      <c r="J1561" s="30"/>
      <c r="K1561" s="30"/>
      <c r="L1561" s="30"/>
      <c r="M1561" s="30"/>
      <c r="N1561" s="30"/>
      <c r="O1561" s="30"/>
      <c r="P1561" s="30"/>
      <c r="Q1561" s="30"/>
      <c r="R1561" s="30"/>
      <c r="S1561" s="30"/>
      <c r="T1561" s="30"/>
      <c r="U1561" s="30"/>
      <c r="V1561" s="30"/>
      <c r="W1561" s="30"/>
      <c r="X1561" s="30"/>
      <c r="Y1561" s="30"/>
      <c r="Z1561" s="30"/>
    </row>
    <row r="1562">
      <c r="A1562" s="29"/>
      <c r="B1562" s="29"/>
      <c r="C1562" s="30"/>
      <c r="D1562" s="30"/>
      <c r="E1562" s="30"/>
      <c r="F1562" s="30"/>
      <c r="G1562" s="30"/>
      <c r="H1562" s="30"/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/>
      <c r="U1562" s="30"/>
      <c r="V1562" s="30"/>
      <c r="W1562" s="30"/>
      <c r="X1562" s="30"/>
      <c r="Y1562" s="30"/>
      <c r="Z1562" s="30"/>
    </row>
    <row r="1563">
      <c r="A1563" s="29"/>
      <c r="B1563" s="29"/>
      <c r="C1563" s="30"/>
      <c r="D1563" s="30"/>
      <c r="E1563" s="30"/>
      <c r="F1563" s="30"/>
      <c r="G1563" s="30"/>
      <c r="H1563" s="30"/>
      <c r="I1563" s="30"/>
      <c r="J1563" s="30"/>
      <c r="K1563" s="30"/>
      <c r="L1563" s="30"/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0"/>
      <c r="X1563" s="30"/>
      <c r="Y1563" s="30"/>
      <c r="Z1563" s="30"/>
    </row>
    <row r="1564">
      <c r="A1564" s="29"/>
      <c r="B1564" s="29"/>
      <c r="C1564" s="30"/>
      <c r="D1564" s="30"/>
      <c r="E1564" s="30"/>
      <c r="F1564" s="30"/>
      <c r="G1564" s="30"/>
      <c r="H1564" s="30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/>
      <c r="W1564" s="30"/>
      <c r="X1564" s="30"/>
      <c r="Y1564" s="30"/>
      <c r="Z1564" s="30"/>
    </row>
    <row r="1565">
      <c r="A1565" s="29"/>
      <c r="B1565" s="29"/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  <c r="O1565" s="30"/>
      <c r="P1565" s="30"/>
      <c r="Q1565" s="30"/>
      <c r="R1565" s="30"/>
      <c r="S1565" s="30"/>
      <c r="T1565" s="30"/>
      <c r="U1565" s="30"/>
      <c r="V1565" s="30"/>
      <c r="W1565" s="30"/>
      <c r="X1565" s="30"/>
      <c r="Y1565" s="30"/>
      <c r="Z1565" s="30"/>
    </row>
    <row r="1566">
      <c r="A1566" s="29"/>
      <c r="B1566" s="29"/>
      <c r="C1566" s="30"/>
      <c r="D1566" s="30"/>
      <c r="E1566" s="30"/>
      <c r="F1566" s="30"/>
      <c r="G1566" s="30"/>
      <c r="H1566" s="30"/>
      <c r="I1566" s="30"/>
      <c r="J1566" s="30"/>
      <c r="K1566" s="30"/>
      <c r="L1566" s="30"/>
      <c r="M1566" s="30"/>
      <c r="N1566" s="30"/>
      <c r="O1566" s="30"/>
      <c r="P1566" s="30"/>
      <c r="Q1566" s="30"/>
      <c r="R1566" s="30"/>
      <c r="S1566" s="30"/>
      <c r="T1566" s="30"/>
      <c r="U1566" s="30"/>
      <c r="V1566" s="30"/>
      <c r="W1566" s="30"/>
      <c r="X1566" s="30"/>
      <c r="Y1566" s="30"/>
      <c r="Z1566" s="30"/>
    </row>
    <row r="1567">
      <c r="A1567" s="29"/>
      <c r="B1567" s="29"/>
      <c r="C1567" s="30"/>
      <c r="D1567" s="30"/>
      <c r="E1567" s="30"/>
      <c r="F1567" s="30"/>
      <c r="G1567" s="30"/>
      <c r="H1567" s="30"/>
      <c r="I1567" s="30"/>
      <c r="J1567" s="30"/>
      <c r="K1567" s="30"/>
      <c r="L1567" s="30"/>
      <c r="M1567" s="30"/>
      <c r="N1567" s="30"/>
      <c r="O1567" s="30"/>
      <c r="P1567" s="30"/>
      <c r="Q1567" s="30"/>
      <c r="R1567" s="30"/>
      <c r="S1567" s="30"/>
      <c r="T1567" s="30"/>
      <c r="U1567" s="30"/>
      <c r="V1567" s="30"/>
      <c r="W1567" s="30"/>
      <c r="X1567" s="30"/>
      <c r="Y1567" s="30"/>
      <c r="Z1567" s="30"/>
    </row>
    <row r="1568">
      <c r="A1568" s="29"/>
      <c r="B1568" s="29"/>
      <c r="C1568" s="30"/>
      <c r="D1568" s="30"/>
      <c r="E1568" s="30"/>
      <c r="F1568" s="30"/>
      <c r="G1568" s="30"/>
      <c r="H1568" s="30"/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0"/>
      <c r="Z1568" s="30"/>
    </row>
    <row r="1569">
      <c r="A1569" s="29"/>
      <c r="B1569" s="29"/>
      <c r="C1569" s="30"/>
      <c r="D1569" s="30"/>
      <c r="E1569" s="30"/>
      <c r="F1569" s="30"/>
      <c r="G1569" s="30"/>
      <c r="H1569" s="30"/>
      <c r="I1569" s="30"/>
      <c r="J1569" s="30"/>
      <c r="K1569" s="30"/>
      <c r="L1569" s="30"/>
      <c r="M1569" s="30"/>
      <c r="N1569" s="30"/>
      <c r="O1569" s="30"/>
      <c r="P1569" s="30"/>
      <c r="Q1569" s="30"/>
      <c r="R1569" s="30"/>
      <c r="S1569" s="30"/>
      <c r="T1569" s="30"/>
      <c r="U1569" s="30"/>
      <c r="V1569" s="30"/>
      <c r="W1569" s="30"/>
      <c r="X1569" s="30"/>
      <c r="Y1569" s="30"/>
      <c r="Z1569" s="30"/>
    </row>
    <row r="1570">
      <c r="A1570" s="29"/>
      <c r="B1570" s="29"/>
      <c r="C1570" s="30"/>
      <c r="D1570" s="30"/>
      <c r="E1570" s="30"/>
      <c r="F1570" s="30"/>
      <c r="G1570" s="30"/>
      <c r="H1570" s="30"/>
      <c r="I1570" s="30"/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0"/>
      <c r="Z1570" s="30"/>
    </row>
    <row r="1571">
      <c r="A1571" s="29"/>
      <c r="B1571" s="29"/>
      <c r="C1571" s="30"/>
      <c r="D1571" s="30"/>
      <c r="E1571" s="30"/>
      <c r="F1571" s="30"/>
      <c r="G1571" s="30"/>
      <c r="H1571" s="30"/>
      <c r="I1571" s="30"/>
      <c r="J1571" s="30"/>
      <c r="K1571" s="30"/>
      <c r="L1571" s="30"/>
      <c r="M1571" s="30"/>
      <c r="N1571" s="30"/>
      <c r="O1571" s="30"/>
      <c r="P1571" s="30"/>
      <c r="Q1571" s="30"/>
      <c r="R1571" s="30"/>
      <c r="S1571" s="30"/>
      <c r="T1571" s="30"/>
      <c r="U1571" s="30"/>
      <c r="V1571" s="30"/>
      <c r="W1571" s="30"/>
      <c r="X1571" s="30"/>
      <c r="Y1571" s="30"/>
      <c r="Z1571" s="30"/>
    </row>
    <row r="1572">
      <c r="A1572" s="29"/>
      <c r="B1572" s="29"/>
      <c r="C1572" s="30"/>
      <c r="D1572" s="30"/>
      <c r="E1572" s="30"/>
      <c r="F1572" s="30"/>
      <c r="G1572" s="30"/>
      <c r="H1572" s="30"/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  <c r="U1572" s="30"/>
      <c r="V1572" s="30"/>
      <c r="W1572" s="30"/>
      <c r="X1572" s="30"/>
      <c r="Y1572" s="30"/>
      <c r="Z1572" s="30"/>
    </row>
    <row r="1573">
      <c r="A1573" s="29"/>
      <c r="B1573" s="29"/>
      <c r="C1573" s="30"/>
      <c r="D1573" s="30"/>
      <c r="E1573" s="30"/>
      <c r="F1573" s="30"/>
      <c r="G1573" s="30"/>
      <c r="H1573" s="30"/>
      <c r="I1573" s="30"/>
      <c r="J1573" s="30"/>
      <c r="K1573" s="30"/>
      <c r="L1573" s="30"/>
      <c r="M1573" s="30"/>
      <c r="N1573" s="30"/>
      <c r="O1573" s="30"/>
      <c r="P1573" s="30"/>
      <c r="Q1573" s="30"/>
      <c r="R1573" s="30"/>
      <c r="S1573" s="30"/>
      <c r="T1573" s="30"/>
      <c r="U1573" s="30"/>
      <c r="V1573" s="30"/>
      <c r="W1573" s="30"/>
      <c r="X1573" s="30"/>
      <c r="Y1573" s="30"/>
      <c r="Z1573" s="30"/>
    </row>
    <row r="1574">
      <c r="A1574" s="29"/>
      <c r="B1574" s="29"/>
      <c r="C1574" s="30"/>
      <c r="D1574" s="30"/>
      <c r="E1574" s="30"/>
      <c r="F1574" s="30"/>
      <c r="G1574" s="30"/>
      <c r="H1574" s="30"/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0"/>
      <c r="X1574" s="30"/>
      <c r="Y1574" s="30"/>
      <c r="Z1574" s="30"/>
    </row>
    <row r="1575">
      <c r="A1575" s="29"/>
      <c r="B1575" s="29"/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  <c r="O1575" s="30"/>
      <c r="P1575" s="30"/>
      <c r="Q1575" s="30"/>
      <c r="R1575" s="30"/>
      <c r="S1575" s="30"/>
      <c r="T1575" s="30"/>
      <c r="U1575" s="30"/>
      <c r="V1575" s="30"/>
      <c r="W1575" s="30"/>
      <c r="X1575" s="30"/>
      <c r="Y1575" s="30"/>
      <c r="Z1575" s="30"/>
    </row>
    <row r="1576">
      <c r="A1576" s="29"/>
      <c r="B1576" s="29"/>
      <c r="C1576" s="30"/>
      <c r="D1576" s="30"/>
      <c r="E1576" s="30"/>
      <c r="F1576" s="30"/>
      <c r="G1576" s="30"/>
      <c r="H1576" s="30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/>
      <c r="W1576" s="30"/>
      <c r="X1576" s="30"/>
      <c r="Y1576" s="30"/>
      <c r="Z1576" s="30"/>
    </row>
    <row r="1577">
      <c r="A1577" s="29"/>
      <c r="B1577" s="29"/>
      <c r="C1577" s="30"/>
      <c r="D1577" s="30"/>
      <c r="E1577" s="30"/>
      <c r="F1577" s="30"/>
      <c r="G1577" s="30"/>
      <c r="H1577" s="30"/>
      <c r="I1577" s="30"/>
      <c r="J1577" s="30"/>
      <c r="K1577" s="30"/>
      <c r="L1577" s="30"/>
      <c r="M1577" s="30"/>
      <c r="N1577" s="30"/>
      <c r="O1577" s="30"/>
      <c r="P1577" s="30"/>
      <c r="Q1577" s="30"/>
      <c r="R1577" s="30"/>
      <c r="S1577" s="30"/>
      <c r="T1577" s="30"/>
      <c r="U1577" s="30"/>
      <c r="V1577" s="30"/>
      <c r="W1577" s="30"/>
      <c r="X1577" s="30"/>
      <c r="Y1577" s="30"/>
      <c r="Z1577" s="30"/>
    </row>
    <row r="1578">
      <c r="A1578" s="29"/>
      <c r="B1578" s="29"/>
      <c r="C1578" s="30"/>
      <c r="D1578" s="30"/>
      <c r="E1578" s="30"/>
      <c r="F1578" s="30"/>
      <c r="G1578" s="30"/>
      <c r="H1578" s="30"/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/>
      <c r="W1578" s="30"/>
      <c r="X1578" s="30"/>
      <c r="Y1578" s="30"/>
      <c r="Z1578" s="30"/>
    </row>
    <row r="1579">
      <c r="A1579" s="29"/>
      <c r="B1579" s="29"/>
      <c r="C1579" s="30"/>
      <c r="D1579" s="30"/>
      <c r="E1579" s="30"/>
      <c r="F1579" s="30"/>
      <c r="G1579" s="30"/>
      <c r="H1579" s="30"/>
      <c r="I1579" s="30"/>
      <c r="J1579" s="30"/>
      <c r="K1579" s="30"/>
      <c r="L1579" s="30"/>
      <c r="M1579" s="30"/>
      <c r="N1579" s="30"/>
      <c r="O1579" s="30"/>
      <c r="P1579" s="30"/>
      <c r="Q1579" s="30"/>
      <c r="R1579" s="30"/>
      <c r="S1579" s="30"/>
      <c r="T1579" s="30"/>
      <c r="U1579" s="30"/>
      <c r="V1579" s="30"/>
      <c r="W1579" s="30"/>
      <c r="X1579" s="30"/>
      <c r="Y1579" s="30"/>
      <c r="Z1579" s="30"/>
    </row>
    <row r="1580">
      <c r="A1580" s="29"/>
      <c r="B1580" s="29"/>
      <c r="C1580" s="30"/>
      <c r="D1580" s="30"/>
      <c r="E1580" s="30"/>
      <c r="F1580" s="30"/>
      <c r="G1580" s="30"/>
      <c r="H1580" s="30"/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0"/>
      <c r="X1580" s="30"/>
      <c r="Y1580" s="30"/>
      <c r="Z1580" s="30"/>
    </row>
    <row r="1581">
      <c r="A1581" s="29"/>
      <c r="B1581" s="29"/>
      <c r="C1581" s="30"/>
      <c r="D1581" s="30"/>
      <c r="E1581" s="30"/>
      <c r="F1581" s="30"/>
      <c r="G1581" s="30"/>
      <c r="H1581" s="30"/>
      <c r="I1581" s="30"/>
      <c r="J1581" s="30"/>
      <c r="K1581" s="30"/>
      <c r="L1581" s="30"/>
      <c r="M1581" s="30"/>
      <c r="N1581" s="30"/>
      <c r="O1581" s="30"/>
      <c r="P1581" s="30"/>
      <c r="Q1581" s="30"/>
      <c r="R1581" s="30"/>
      <c r="S1581" s="30"/>
      <c r="T1581" s="30"/>
      <c r="U1581" s="30"/>
      <c r="V1581" s="30"/>
      <c r="W1581" s="30"/>
      <c r="X1581" s="30"/>
      <c r="Y1581" s="30"/>
      <c r="Z1581" s="30"/>
    </row>
    <row r="1582">
      <c r="A1582" s="29"/>
      <c r="B1582" s="29"/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/>
      <c r="U1582" s="30"/>
      <c r="V1582" s="30"/>
      <c r="W1582" s="30"/>
      <c r="X1582" s="30"/>
      <c r="Y1582" s="30"/>
      <c r="Z1582" s="30"/>
    </row>
    <row r="1583">
      <c r="A1583" s="29"/>
      <c r="B1583" s="29"/>
      <c r="C1583" s="30"/>
      <c r="D1583" s="30"/>
      <c r="E1583" s="30"/>
      <c r="F1583" s="30"/>
      <c r="G1583" s="30"/>
      <c r="H1583" s="30"/>
      <c r="I1583" s="30"/>
      <c r="J1583" s="30"/>
      <c r="K1583" s="30"/>
      <c r="L1583" s="30"/>
      <c r="M1583" s="30"/>
      <c r="N1583" s="30"/>
      <c r="O1583" s="30"/>
      <c r="P1583" s="30"/>
      <c r="Q1583" s="30"/>
      <c r="R1583" s="30"/>
      <c r="S1583" s="30"/>
      <c r="T1583" s="30"/>
      <c r="U1583" s="30"/>
      <c r="V1583" s="30"/>
      <c r="W1583" s="30"/>
      <c r="X1583" s="30"/>
      <c r="Y1583" s="30"/>
      <c r="Z1583" s="30"/>
    </row>
    <row r="1584">
      <c r="A1584" s="29"/>
      <c r="B1584" s="29"/>
      <c r="C1584" s="30"/>
      <c r="D1584" s="30"/>
      <c r="E1584" s="30"/>
      <c r="F1584" s="30"/>
      <c r="G1584" s="30"/>
      <c r="H1584" s="30"/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  <c r="U1584" s="30"/>
      <c r="V1584" s="30"/>
      <c r="W1584" s="30"/>
      <c r="X1584" s="30"/>
      <c r="Y1584" s="30"/>
      <c r="Z1584" s="30"/>
    </row>
    <row r="1585">
      <c r="A1585" s="29"/>
      <c r="B1585" s="29"/>
      <c r="C1585" s="30"/>
      <c r="D1585" s="30"/>
      <c r="E1585" s="30"/>
      <c r="F1585" s="30"/>
      <c r="G1585" s="30"/>
      <c r="H1585" s="30"/>
      <c r="I1585" s="30"/>
      <c r="J1585" s="30"/>
      <c r="K1585" s="30"/>
      <c r="L1585" s="30"/>
      <c r="M1585" s="30"/>
      <c r="N1585" s="30"/>
      <c r="O1585" s="30"/>
      <c r="P1585" s="30"/>
      <c r="Q1585" s="30"/>
      <c r="R1585" s="30"/>
      <c r="S1585" s="30"/>
      <c r="T1585" s="30"/>
      <c r="U1585" s="30"/>
      <c r="V1585" s="30"/>
      <c r="W1585" s="30"/>
      <c r="X1585" s="30"/>
      <c r="Y1585" s="30"/>
      <c r="Z1585" s="30"/>
    </row>
    <row r="1586">
      <c r="A1586" s="29"/>
      <c r="B1586" s="29"/>
      <c r="C1586" s="30"/>
      <c r="D1586" s="30"/>
      <c r="E1586" s="30"/>
      <c r="F1586" s="30"/>
      <c r="G1586" s="30"/>
      <c r="H1586" s="30"/>
      <c r="I1586" s="30"/>
      <c r="J1586" s="30"/>
      <c r="K1586" s="30"/>
      <c r="L1586" s="30"/>
      <c r="M1586" s="30"/>
      <c r="N1586" s="30"/>
      <c r="O1586" s="30"/>
      <c r="P1586" s="30"/>
      <c r="Q1586" s="30"/>
      <c r="R1586" s="30"/>
      <c r="S1586" s="30"/>
      <c r="T1586" s="30"/>
      <c r="U1586" s="30"/>
      <c r="V1586" s="30"/>
      <c r="W1586" s="30"/>
      <c r="X1586" s="30"/>
      <c r="Y1586" s="30"/>
      <c r="Z1586" s="30"/>
    </row>
    <row r="1587">
      <c r="A1587" s="29"/>
      <c r="B1587" s="29"/>
      <c r="C1587" s="30"/>
      <c r="D1587" s="30"/>
      <c r="E1587" s="30"/>
      <c r="F1587" s="30"/>
      <c r="G1587" s="30"/>
      <c r="H1587" s="30"/>
      <c r="I1587" s="30"/>
      <c r="J1587" s="30"/>
      <c r="K1587" s="30"/>
      <c r="L1587" s="30"/>
      <c r="M1587" s="30"/>
      <c r="N1587" s="30"/>
      <c r="O1587" s="30"/>
      <c r="P1587" s="30"/>
      <c r="Q1587" s="30"/>
      <c r="R1587" s="30"/>
      <c r="S1587" s="30"/>
      <c r="T1587" s="30"/>
      <c r="U1587" s="30"/>
      <c r="V1587" s="30"/>
      <c r="W1587" s="30"/>
      <c r="X1587" s="30"/>
      <c r="Y1587" s="30"/>
      <c r="Z1587" s="30"/>
    </row>
    <row r="1588">
      <c r="A1588" s="29"/>
      <c r="B1588" s="29"/>
      <c r="C1588" s="30"/>
      <c r="D1588" s="30"/>
      <c r="E1588" s="30"/>
      <c r="F1588" s="30"/>
      <c r="G1588" s="30"/>
      <c r="H1588" s="30"/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  <c r="U1588" s="30"/>
      <c r="V1588" s="30"/>
      <c r="W1588" s="30"/>
      <c r="X1588" s="30"/>
      <c r="Y1588" s="30"/>
      <c r="Z1588" s="30"/>
    </row>
    <row r="1589">
      <c r="A1589" s="29"/>
      <c r="B1589" s="29"/>
      <c r="C1589" s="30"/>
      <c r="D1589" s="30"/>
      <c r="E1589" s="30"/>
      <c r="F1589" s="30"/>
      <c r="G1589" s="30"/>
      <c r="H1589" s="30"/>
      <c r="I1589" s="30"/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0"/>
      <c r="X1589" s="30"/>
      <c r="Y1589" s="30"/>
      <c r="Z1589" s="30"/>
    </row>
    <row r="1590">
      <c r="A1590" s="29"/>
      <c r="B1590" s="29"/>
      <c r="C1590" s="30"/>
      <c r="D1590" s="30"/>
      <c r="E1590" s="30"/>
      <c r="F1590" s="30"/>
      <c r="G1590" s="30"/>
      <c r="H1590" s="30"/>
      <c r="I1590" s="30"/>
      <c r="J1590" s="30"/>
      <c r="K1590" s="30"/>
      <c r="L1590" s="30"/>
      <c r="M1590" s="30"/>
      <c r="N1590" s="30"/>
      <c r="O1590" s="30"/>
      <c r="P1590" s="30"/>
      <c r="Q1590" s="30"/>
      <c r="R1590" s="30"/>
      <c r="S1590" s="30"/>
      <c r="T1590" s="30"/>
      <c r="U1590" s="30"/>
      <c r="V1590" s="30"/>
      <c r="W1590" s="30"/>
      <c r="X1590" s="30"/>
      <c r="Y1590" s="30"/>
      <c r="Z1590" s="30"/>
    </row>
    <row r="1591">
      <c r="A1591" s="29"/>
      <c r="B1591" s="29"/>
      <c r="C1591" s="30"/>
      <c r="D1591" s="30"/>
      <c r="E1591" s="30"/>
      <c r="F1591" s="30"/>
      <c r="G1591" s="30"/>
      <c r="H1591" s="30"/>
      <c r="I1591" s="30"/>
      <c r="J1591" s="30"/>
      <c r="K1591" s="30"/>
      <c r="L1591" s="30"/>
      <c r="M1591" s="30"/>
      <c r="N1591" s="30"/>
      <c r="O1591" s="30"/>
      <c r="P1591" s="30"/>
      <c r="Q1591" s="30"/>
      <c r="R1591" s="30"/>
      <c r="S1591" s="30"/>
      <c r="T1591" s="30"/>
      <c r="U1591" s="30"/>
      <c r="V1591" s="30"/>
      <c r="W1591" s="30"/>
      <c r="X1591" s="30"/>
      <c r="Y1591" s="30"/>
      <c r="Z1591" s="30"/>
    </row>
    <row r="1592">
      <c r="A1592" s="29"/>
      <c r="B1592" s="29"/>
      <c r="C1592" s="30"/>
      <c r="D1592" s="30"/>
      <c r="E1592" s="30"/>
      <c r="F1592" s="30"/>
      <c r="G1592" s="30"/>
      <c r="H1592" s="30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  <c r="U1592" s="30"/>
      <c r="V1592" s="30"/>
      <c r="W1592" s="30"/>
      <c r="X1592" s="30"/>
      <c r="Y1592" s="30"/>
      <c r="Z1592" s="30"/>
    </row>
    <row r="1593">
      <c r="A1593" s="29"/>
      <c r="B1593" s="29"/>
      <c r="C1593" s="30"/>
      <c r="D1593" s="30"/>
      <c r="E1593" s="30"/>
      <c r="F1593" s="30"/>
      <c r="G1593" s="30"/>
      <c r="H1593" s="30"/>
      <c r="I1593" s="30"/>
      <c r="J1593" s="30"/>
      <c r="K1593" s="30"/>
      <c r="L1593" s="30"/>
      <c r="M1593" s="30"/>
      <c r="N1593" s="30"/>
      <c r="O1593" s="30"/>
      <c r="P1593" s="30"/>
      <c r="Q1593" s="30"/>
      <c r="R1593" s="30"/>
      <c r="S1593" s="30"/>
      <c r="T1593" s="30"/>
      <c r="U1593" s="30"/>
      <c r="V1593" s="30"/>
      <c r="W1593" s="30"/>
      <c r="X1593" s="30"/>
      <c r="Y1593" s="30"/>
      <c r="Z1593" s="30"/>
    </row>
    <row r="1594">
      <c r="A1594" s="29"/>
      <c r="B1594" s="29"/>
      <c r="C1594" s="30"/>
      <c r="D1594" s="30"/>
      <c r="E1594" s="30"/>
      <c r="F1594" s="30"/>
      <c r="G1594" s="30"/>
      <c r="H1594" s="30"/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0"/>
      <c r="X1594" s="30"/>
      <c r="Y1594" s="30"/>
      <c r="Z1594" s="30"/>
    </row>
    <row r="1595">
      <c r="A1595" s="29"/>
      <c r="B1595" s="29"/>
      <c r="C1595" s="30"/>
      <c r="D1595" s="30"/>
      <c r="E1595" s="30"/>
      <c r="F1595" s="30"/>
      <c r="G1595" s="30"/>
      <c r="H1595" s="30"/>
      <c r="I1595" s="30"/>
      <c r="J1595" s="30"/>
      <c r="K1595" s="30"/>
      <c r="L1595" s="30"/>
      <c r="M1595" s="30"/>
      <c r="N1595" s="30"/>
      <c r="O1595" s="30"/>
      <c r="P1595" s="30"/>
      <c r="Q1595" s="30"/>
      <c r="R1595" s="30"/>
      <c r="S1595" s="30"/>
      <c r="T1595" s="30"/>
      <c r="U1595" s="30"/>
      <c r="V1595" s="30"/>
      <c r="W1595" s="30"/>
      <c r="X1595" s="30"/>
      <c r="Y1595" s="30"/>
      <c r="Z1595" s="30"/>
    </row>
    <row r="1596">
      <c r="A1596" s="29"/>
      <c r="B1596" s="29"/>
      <c r="C1596" s="30"/>
      <c r="D1596" s="30"/>
      <c r="E1596" s="30"/>
      <c r="F1596" s="30"/>
      <c r="G1596" s="30"/>
      <c r="H1596" s="30"/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0"/>
      <c r="Z1596" s="30"/>
    </row>
    <row r="1597">
      <c r="A1597" s="29"/>
      <c r="B1597" s="29"/>
      <c r="C1597" s="30"/>
      <c r="D1597" s="30"/>
      <c r="E1597" s="30"/>
      <c r="F1597" s="30"/>
      <c r="G1597" s="30"/>
      <c r="H1597" s="30"/>
      <c r="I1597" s="30"/>
      <c r="J1597" s="30"/>
      <c r="K1597" s="30"/>
      <c r="L1597" s="30"/>
      <c r="M1597" s="30"/>
      <c r="N1597" s="30"/>
      <c r="O1597" s="30"/>
      <c r="P1597" s="30"/>
      <c r="Q1597" s="30"/>
      <c r="R1597" s="30"/>
      <c r="S1597" s="30"/>
      <c r="T1597" s="30"/>
      <c r="U1597" s="30"/>
      <c r="V1597" s="30"/>
      <c r="W1597" s="30"/>
      <c r="X1597" s="30"/>
      <c r="Y1597" s="30"/>
      <c r="Z1597" s="30"/>
    </row>
    <row r="1598">
      <c r="A1598" s="29"/>
      <c r="B1598" s="29"/>
      <c r="C1598" s="30"/>
      <c r="D1598" s="30"/>
      <c r="E1598" s="30"/>
      <c r="F1598" s="30"/>
      <c r="G1598" s="30"/>
      <c r="H1598" s="30"/>
      <c r="I1598" s="30"/>
      <c r="J1598" s="30"/>
      <c r="K1598" s="30"/>
      <c r="L1598" s="30"/>
      <c r="M1598" s="30"/>
      <c r="N1598" s="30"/>
      <c r="O1598" s="30"/>
      <c r="P1598" s="30"/>
      <c r="Q1598" s="30"/>
      <c r="R1598" s="30"/>
      <c r="S1598" s="30"/>
      <c r="T1598" s="30"/>
      <c r="U1598" s="30"/>
      <c r="V1598" s="30"/>
      <c r="W1598" s="30"/>
      <c r="X1598" s="30"/>
      <c r="Y1598" s="30"/>
      <c r="Z1598" s="30"/>
    </row>
    <row r="1599">
      <c r="A1599" s="29"/>
      <c r="B1599" s="29"/>
      <c r="C1599" s="30"/>
      <c r="D1599" s="30"/>
      <c r="E1599" s="30"/>
      <c r="F1599" s="30"/>
      <c r="G1599" s="30"/>
      <c r="H1599" s="30"/>
      <c r="I1599" s="30"/>
      <c r="J1599" s="30"/>
      <c r="K1599" s="30"/>
      <c r="L1599" s="30"/>
      <c r="M1599" s="30"/>
      <c r="N1599" s="30"/>
      <c r="O1599" s="30"/>
      <c r="P1599" s="30"/>
      <c r="Q1599" s="30"/>
      <c r="R1599" s="30"/>
      <c r="S1599" s="30"/>
      <c r="T1599" s="30"/>
      <c r="U1599" s="30"/>
      <c r="V1599" s="30"/>
      <c r="W1599" s="30"/>
      <c r="X1599" s="30"/>
      <c r="Y1599" s="30"/>
      <c r="Z1599" s="30"/>
    </row>
    <row r="1600">
      <c r="A1600" s="29"/>
      <c r="B1600" s="29"/>
      <c r="C1600" s="30"/>
      <c r="D1600" s="30"/>
      <c r="E1600" s="30"/>
      <c r="F1600" s="30"/>
      <c r="G1600" s="30"/>
      <c r="H1600" s="30"/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0"/>
      <c r="Z1600" s="30"/>
    </row>
    <row r="1601">
      <c r="A1601" s="29"/>
      <c r="B1601" s="29"/>
      <c r="C1601" s="30"/>
      <c r="D1601" s="30"/>
      <c r="E1601" s="30"/>
      <c r="F1601" s="30"/>
      <c r="G1601" s="30"/>
      <c r="H1601" s="30"/>
      <c r="I1601" s="30"/>
      <c r="J1601" s="30"/>
      <c r="K1601" s="30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0"/>
      <c r="X1601" s="30"/>
      <c r="Y1601" s="30"/>
      <c r="Z1601" s="30"/>
    </row>
    <row r="1602">
      <c r="A1602" s="29"/>
      <c r="B1602" s="29"/>
      <c r="C1602" s="30"/>
      <c r="D1602" s="30"/>
      <c r="E1602" s="30"/>
      <c r="F1602" s="30"/>
      <c r="G1602" s="30"/>
      <c r="H1602" s="30"/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30"/>
      <c r="Z1602" s="30"/>
    </row>
    <row r="1603">
      <c r="A1603" s="29"/>
      <c r="B1603" s="29"/>
      <c r="C1603" s="30"/>
      <c r="D1603" s="30"/>
      <c r="E1603" s="30"/>
      <c r="F1603" s="30"/>
      <c r="G1603" s="30"/>
      <c r="H1603" s="30"/>
      <c r="I1603" s="30"/>
      <c r="J1603" s="30"/>
      <c r="K1603" s="30"/>
      <c r="L1603" s="30"/>
      <c r="M1603" s="30"/>
      <c r="N1603" s="30"/>
      <c r="O1603" s="30"/>
      <c r="P1603" s="30"/>
      <c r="Q1603" s="30"/>
      <c r="R1603" s="30"/>
      <c r="S1603" s="30"/>
      <c r="T1603" s="30"/>
      <c r="U1603" s="30"/>
      <c r="V1603" s="30"/>
      <c r="W1603" s="30"/>
      <c r="X1603" s="30"/>
      <c r="Y1603" s="30"/>
      <c r="Z1603" s="30"/>
    </row>
    <row r="1604">
      <c r="A1604" s="29"/>
      <c r="B1604" s="29"/>
      <c r="C1604" s="30"/>
      <c r="D1604" s="30"/>
      <c r="E1604" s="30"/>
      <c r="F1604" s="30"/>
      <c r="G1604" s="30"/>
      <c r="H1604" s="30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  <c r="U1604" s="30"/>
      <c r="V1604" s="30"/>
      <c r="W1604" s="30"/>
      <c r="X1604" s="30"/>
      <c r="Y1604" s="30"/>
      <c r="Z1604" s="30"/>
    </row>
    <row r="1605">
      <c r="A1605" s="29"/>
      <c r="B1605" s="29"/>
      <c r="C1605" s="30"/>
      <c r="D1605" s="30"/>
      <c r="E1605" s="30"/>
      <c r="F1605" s="30"/>
      <c r="G1605" s="30"/>
      <c r="H1605" s="30"/>
      <c r="I1605" s="30"/>
      <c r="J1605" s="30"/>
      <c r="K1605" s="30"/>
      <c r="L1605" s="30"/>
      <c r="M1605" s="30"/>
      <c r="N1605" s="30"/>
      <c r="O1605" s="30"/>
      <c r="P1605" s="30"/>
      <c r="Q1605" s="30"/>
      <c r="R1605" s="30"/>
      <c r="S1605" s="30"/>
      <c r="T1605" s="30"/>
      <c r="U1605" s="30"/>
      <c r="V1605" s="30"/>
      <c r="W1605" s="30"/>
      <c r="X1605" s="30"/>
      <c r="Y1605" s="30"/>
      <c r="Z1605" s="30"/>
    </row>
    <row r="1606">
      <c r="A1606" s="29"/>
      <c r="B1606" s="29"/>
      <c r="C1606" s="30"/>
      <c r="D1606" s="30"/>
      <c r="E1606" s="30"/>
      <c r="F1606" s="30"/>
      <c r="G1606" s="30"/>
      <c r="H1606" s="30"/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0"/>
      <c r="Z1606" s="30"/>
    </row>
    <row r="1607">
      <c r="A1607" s="29"/>
      <c r="B1607" s="29"/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0"/>
      <c r="X1607" s="30"/>
      <c r="Y1607" s="30"/>
      <c r="Z1607" s="30"/>
    </row>
    <row r="1608">
      <c r="A1608" s="29"/>
      <c r="B1608" s="29"/>
      <c r="C1608" s="30"/>
      <c r="D1608" s="30"/>
      <c r="E1608" s="30"/>
      <c r="F1608" s="30"/>
      <c r="G1608" s="30"/>
      <c r="H1608" s="30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  <c r="U1608" s="30"/>
      <c r="V1608" s="30"/>
      <c r="W1608" s="30"/>
      <c r="X1608" s="30"/>
      <c r="Y1608" s="30"/>
      <c r="Z1608" s="30"/>
    </row>
    <row r="1609">
      <c r="A1609" s="29"/>
      <c r="B1609" s="29"/>
      <c r="C1609" s="30"/>
      <c r="D1609" s="30"/>
      <c r="E1609" s="30"/>
      <c r="F1609" s="30"/>
      <c r="G1609" s="30"/>
      <c r="H1609" s="30"/>
      <c r="I1609" s="30"/>
      <c r="J1609" s="30"/>
      <c r="K1609" s="30"/>
      <c r="L1609" s="30"/>
      <c r="M1609" s="30"/>
      <c r="N1609" s="30"/>
      <c r="O1609" s="30"/>
      <c r="P1609" s="30"/>
      <c r="Q1609" s="30"/>
      <c r="R1609" s="30"/>
      <c r="S1609" s="30"/>
      <c r="T1609" s="30"/>
      <c r="U1609" s="30"/>
      <c r="V1609" s="30"/>
      <c r="W1609" s="30"/>
      <c r="X1609" s="30"/>
      <c r="Y1609" s="30"/>
      <c r="Z1609" s="30"/>
    </row>
    <row r="1610">
      <c r="A1610" s="29"/>
      <c r="B1610" s="29"/>
      <c r="C1610" s="30"/>
      <c r="D1610" s="30"/>
      <c r="E1610" s="30"/>
      <c r="F1610" s="30"/>
      <c r="G1610" s="30"/>
      <c r="H1610" s="30"/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0"/>
      <c r="X1610" s="30"/>
      <c r="Y1610" s="30"/>
      <c r="Z1610" s="30"/>
    </row>
    <row r="1611">
      <c r="A1611" s="29"/>
      <c r="B1611" s="29"/>
      <c r="C1611" s="30"/>
      <c r="D1611" s="30"/>
      <c r="E1611" s="30"/>
      <c r="F1611" s="30"/>
      <c r="G1611" s="30"/>
      <c r="H1611" s="30"/>
      <c r="I1611" s="30"/>
      <c r="J1611" s="30"/>
      <c r="K1611" s="30"/>
      <c r="L1611" s="30"/>
      <c r="M1611" s="30"/>
      <c r="N1611" s="30"/>
      <c r="O1611" s="30"/>
      <c r="P1611" s="30"/>
      <c r="Q1611" s="30"/>
      <c r="R1611" s="30"/>
      <c r="S1611" s="30"/>
      <c r="T1611" s="30"/>
      <c r="U1611" s="30"/>
      <c r="V1611" s="30"/>
      <c r="W1611" s="30"/>
      <c r="X1611" s="30"/>
      <c r="Y1611" s="30"/>
      <c r="Z1611" s="30"/>
    </row>
    <row r="1612">
      <c r="A1612" s="29"/>
      <c r="B1612" s="29"/>
      <c r="C1612" s="30"/>
      <c r="D1612" s="30"/>
      <c r="E1612" s="30"/>
      <c r="F1612" s="30"/>
      <c r="G1612" s="30"/>
      <c r="H1612" s="30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  <c r="U1612" s="30"/>
      <c r="V1612" s="30"/>
      <c r="W1612" s="30"/>
      <c r="X1612" s="30"/>
      <c r="Y1612" s="30"/>
      <c r="Z1612" s="30"/>
    </row>
    <row r="1613">
      <c r="A1613" s="29"/>
      <c r="B1613" s="29"/>
      <c r="C1613" s="30"/>
      <c r="D1613" s="30"/>
      <c r="E1613" s="30"/>
      <c r="F1613" s="30"/>
      <c r="G1613" s="30"/>
      <c r="H1613" s="30"/>
      <c r="I1613" s="30"/>
      <c r="J1613" s="30"/>
      <c r="K1613" s="30"/>
      <c r="L1613" s="30"/>
      <c r="M1613" s="30"/>
      <c r="N1613" s="30"/>
      <c r="O1613" s="30"/>
      <c r="P1613" s="30"/>
      <c r="Q1613" s="30"/>
      <c r="R1613" s="30"/>
      <c r="S1613" s="30"/>
      <c r="T1613" s="30"/>
      <c r="U1613" s="30"/>
      <c r="V1613" s="30"/>
      <c r="W1613" s="30"/>
      <c r="X1613" s="30"/>
      <c r="Y1613" s="30"/>
      <c r="Z1613" s="30"/>
    </row>
    <row r="1614">
      <c r="A1614" s="29"/>
      <c r="B1614" s="29"/>
      <c r="C1614" s="30"/>
      <c r="D1614" s="30"/>
      <c r="E1614" s="30"/>
      <c r="F1614" s="30"/>
      <c r="G1614" s="30"/>
      <c r="H1614" s="30"/>
      <c r="I1614" s="30"/>
      <c r="J1614" s="30"/>
      <c r="K1614" s="30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0"/>
      <c r="X1614" s="30"/>
      <c r="Y1614" s="30"/>
      <c r="Z1614" s="30"/>
    </row>
    <row r="1615">
      <c r="A1615" s="29"/>
      <c r="B1615" s="29"/>
      <c r="C1615" s="30"/>
      <c r="D1615" s="30"/>
      <c r="E1615" s="30"/>
      <c r="F1615" s="30"/>
      <c r="G1615" s="30"/>
      <c r="H1615" s="30"/>
      <c r="I1615" s="30"/>
      <c r="J1615" s="30"/>
      <c r="K1615" s="30"/>
      <c r="L1615" s="30"/>
      <c r="M1615" s="30"/>
      <c r="N1615" s="30"/>
      <c r="O1615" s="30"/>
      <c r="P1615" s="30"/>
      <c r="Q1615" s="30"/>
      <c r="R1615" s="30"/>
      <c r="S1615" s="30"/>
      <c r="T1615" s="30"/>
      <c r="U1615" s="30"/>
      <c r="V1615" s="30"/>
      <c r="W1615" s="30"/>
      <c r="X1615" s="30"/>
      <c r="Y1615" s="30"/>
      <c r="Z1615" s="30"/>
    </row>
    <row r="1616">
      <c r="A1616" s="29"/>
      <c r="B1616" s="29"/>
      <c r="C1616" s="30"/>
      <c r="D1616" s="30"/>
      <c r="E1616" s="30"/>
      <c r="F1616" s="30"/>
      <c r="G1616" s="30"/>
      <c r="H1616" s="30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0"/>
      <c r="Z1616" s="30"/>
    </row>
    <row r="1617">
      <c r="A1617" s="29"/>
      <c r="B1617" s="29"/>
      <c r="C1617" s="30"/>
      <c r="D1617" s="30"/>
      <c r="E1617" s="30"/>
      <c r="F1617" s="30"/>
      <c r="G1617" s="30"/>
      <c r="H1617" s="30"/>
      <c r="I1617" s="30"/>
      <c r="J1617" s="30"/>
      <c r="K1617" s="30"/>
      <c r="L1617" s="30"/>
      <c r="M1617" s="30"/>
      <c r="N1617" s="30"/>
      <c r="O1617" s="30"/>
      <c r="P1617" s="30"/>
      <c r="Q1617" s="30"/>
      <c r="R1617" s="30"/>
      <c r="S1617" s="30"/>
      <c r="T1617" s="30"/>
      <c r="U1617" s="30"/>
      <c r="V1617" s="30"/>
      <c r="W1617" s="30"/>
      <c r="X1617" s="30"/>
      <c r="Y1617" s="30"/>
      <c r="Z1617" s="30"/>
    </row>
    <row r="1618">
      <c r="A1618" s="29"/>
      <c r="B1618" s="29"/>
      <c r="C1618" s="30"/>
      <c r="D1618" s="30"/>
      <c r="E1618" s="30"/>
      <c r="F1618" s="30"/>
      <c r="G1618" s="30"/>
      <c r="H1618" s="30"/>
      <c r="I1618" s="30"/>
      <c r="J1618" s="30"/>
      <c r="K1618" s="30"/>
      <c r="L1618" s="30"/>
      <c r="M1618" s="30"/>
      <c r="N1618" s="30"/>
      <c r="O1618" s="30"/>
      <c r="P1618" s="30"/>
      <c r="Q1618" s="30"/>
      <c r="R1618" s="30"/>
      <c r="S1618" s="30"/>
      <c r="T1618" s="30"/>
      <c r="U1618" s="30"/>
      <c r="V1618" s="30"/>
      <c r="W1618" s="30"/>
      <c r="X1618" s="30"/>
      <c r="Y1618" s="30"/>
      <c r="Z1618" s="30"/>
    </row>
    <row r="1619">
      <c r="A1619" s="29"/>
      <c r="B1619" s="29"/>
      <c r="C1619" s="30"/>
      <c r="D1619" s="30"/>
      <c r="E1619" s="30"/>
      <c r="F1619" s="30"/>
      <c r="G1619" s="30"/>
      <c r="H1619" s="30"/>
      <c r="I1619" s="30"/>
      <c r="J1619" s="30"/>
      <c r="K1619" s="30"/>
      <c r="L1619" s="30"/>
      <c r="M1619" s="30"/>
      <c r="N1619" s="30"/>
      <c r="O1619" s="30"/>
      <c r="P1619" s="30"/>
      <c r="Q1619" s="30"/>
      <c r="R1619" s="30"/>
      <c r="S1619" s="30"/>
      <c r="T1619" s="30"/>
      <c r="U1619" s="30"/>
      <c r="V1619" s="30"/>
      <c r="W1619" s="30"/>
      <c r="X1619" s="30"/>
      <c r="Y1619" s="30"/>
      <c r="Z1619" s="30"/>
    </row>
    <row r="1620">
      <c r="A1620" s="29"/>
      <c r="B1620" s="29"/>
      <c r="C1620" s="30"/>
      <c r="D1620" s="30"/>
      <c r="E1620" s="30"/>
      <c r="F1620" s="30"/>
      <c r="G1620" s="30"/>
      <c r="H1620" s="30"/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0"/>
      <c r="X1620" s="30"/>
      <c r="Y1620" s="30"/>
      <c r="Z1620" s="30"/>
    </row>
    <row r="1621">
      <c r="A1621" s="29"/>
      <c r="B1621" s="29"/>
      <c r="C1621" s="30"/>
      <c r="D1621" s="30"/>
      <c r="E1621" s="30"/>
      <c r="F1621" s="30"/>
      <c r="G1621" s="30"/>
      <c r="H1621" s="30"/>
      <c r="I1621" s="30"/>
      <c r="J1621" s="30"/>
      <c r="K1621" s="30"/>
      <c r="L1621" s="30"/>
      <c r="M1621" s="30"/>
      <c r="N1621" s="30"/>
      <c r="O1621" s="30"/>
      <c r="P1621" s="30"/>
      <c r="Q1621" s="30"/>
      <c r="R1621" s="30"/>
      <c r="S1621" s="30"/>
      <c r="T1621" s="30"/>
      <c r="U1621" s="30"/>
      <c r="V1621" s="30"/>
      <c r="W1621" s="30"/>
      <c r="X1621" s="30"/>
      <c r="Y1621" s="30"/>
      <c r="Z1621" s="30"/>
    </row>
    <row r="1622">
      <c r="A1622" s="29"/>
      <c r="B1622" s="29"/>
      <c r="C1622" s="30"/>
      <c r="D1622" s="30"/>
      <c r="E1622" s="30"/>
      <c r="F1622" s="30"/>
      <c r="G1622" s="30"/>
      <c r="H1622" s="30"/>
      <c r="I1622" s="30"/>
      <c r="J1622" s="30"/>
      <c r="K1622" s="30"/>
      <c r="L1622" s="30"/>
      <c r="M1622" s="30"/>
      <c r="N1622" s="30"/>
      <c r="O1622" s="30"/>
      <c r="P1622" s="30"/>
      <c r="Q1622" s="30"/>
      <c r="R1622" s="30"/>
      <c r="S1622" s="30"/>
      <c r="T1622" s="30"/>
      <c r="U1622" s="30"/>
      <c r="V1622" s="30"/>
      <c r="W1622" s="30"/>
      <c r="X1622" s="30"/>
      <c r="Y1622" s="30"/>
      <c r="Z1622" s="30"/>
    </row>
    <row r="1623">
      <c r="A1623" s="29"/>
      <c r="B1623" s="29"/>
      <c r="C1623" s="30"/>
      <c r="D1623" s="30"/>
      <c r="E1623" s="30"/>
      <c r="F1623" s="30"/>
      <c r="G1623" s="30"/>
      <c r="H1623" s="30"/>
      <c r="I1623" s="30"/>
      <c r="J1623" s="30"/>
      <c r="K1623" s="30"/>
      <c r="L1623" s="30"/>
      <c r="M1623" s="30"/>
      <c r="N1623" s="30"/>
      <c r="O1623" s="30"/>
      <c r="P1623" s="30"/>
      <c r="Q1623" s="30"/>
      <c r="R1623" s="30"/>
      <c r="S1623" s="30"/>
      <c r="T1623" s="30"/>
      <c r="U1623" s="30"/>
      <c r="V1623" s="30"/>
      <c r="W1623" s="30"/>
      <c r="X1623" s="30"/>
      <c r="Y1623" s="30"/>
      <c r="Z1623" s="30"/>
    </row>
    <row r="1624">
      <c r="A1624" s="29"/>
      <c r="B1624" s="29"/>
      <c r="C1624" s="30"/>
      <c r="D1624" s="30"/>
      <c r="E1624" s="30"/>
      <c r="F1624" s="30"/>
      <c r="G1624" s="30"/>
      <c r="H1624" s="30"/>
      <c r="I1624" s="30"/>
      <c r="J1624" s="30"/>
      <c r="K1624" s="30"/>
      <c r="L1624" s="30"/>
      <c r="M1624" s="30"/>
      <c r="N1624" s="30"/>
      <c r="O1624" s="30"/>
      <c r="P1624" s="30"/>
      <c r="Q1624" s="30"/>
      <c r="R1624" s="30"/>
      <c r="S1624" s="30"/>
      <c r="T1624" s="30"/>
      <c r="U1624" s="30"/>
      <c r="V1624" s="30"/>
      <c r="W1624" s="30"/>
      <c r="X1624" s="30"/>
      <c r="Y1624" s="30"/>
      <c r="Z1624" s="30"/>
    </row>
    <row r="1625">
      <c r="A1625" s="29"/>
      <c r="B1625" s="29"/>
      <c r="C1625" s="30"/>
      <c r="D1625" s="30"/>
      <c r="E1625" s="30"/>
      <c r="F1625" s="30"/>
      <c r="G1625" s="30"/>
      <c r="H1625" s="30"/>
      <c r="I1625" s="30"/>
      <c r="J1625" s="30"/>
      <c r="K1625" s="30"/>
      <c r="L1625" s="30"/>
      <c r="M1625" s="30"/>
      <c r="N1625" s="30"/>
      <c r="O1625" s="30"/>
      <c r="P1625" s="30"/>
      <c r="Q1625" s="30"/>
      <c r="R1625" s="30"/>
      <c r="S1625" s="30"/>
      <c r="T1625" s="30"/>
      <c r="U1625" s="30"/>
      <c r="V1625" s="30"/>
      <c r="W1625" s="30"/>
      <c r="X1625" s="30"/>
      <c r="Y1625" s="30"/>
      <c r="Z1625" s="30"/>
    </row>
    <row r="1626">
      <c r="A1626" s="29"/>
      <c r="B1626" s="29"/>
      <c r="C1626" s="30"/>
      <c r="D1626" s="30"/>
      <c r="E1626" s="30"/>
      <c r="F1626" s="30"/>
      <c r="G1626" s="30"/>
      <c r="H1626" s="30"/>
      <c r="I1626" s="30"/>
      <c r="J1626" s="30"/>
      <c r="K1626" s="30"/>
      <c r="L1626" s="30"/>
      <c r="M1626" s="30"/>
      <c r="N1626" s="30"/>
      <c r="O1626" s="30"/>
      <c r="P1626" s="30"/>
      <c r="Q1626" s="30"/>
      <c r="R1626" s="30"/>
      <c r="S1626" s="30"/>
      <c r="T1626" s="30"/>
      <c r="U1626" s="30"/>
      <c r="V1626" s="30"/>
      <c r="W1626" s="30"/>
      <c r="X1626" s="30"/>
      <c r="Y1626" s="30"/>
      <c r="Z1626" s="30"/>
    </row>
    <row r="1627">
      <c r="A1627" s="29"/>
      <c r="B1627" s="29"/>
      <c r="C1627" s="30"/>
      <c r="D1627" s="30"/>
      <c r="E1627" s="30"/>
      <c r="F1627" s="30"/>
      <c r="G1627" s="30"/>
      <c r="H1627" s="30"/>
      <c r="I1627" s="30"/>
      <c r="J1627" s="30"/>
      <c r="K1627" s="30"/>
      <c r="L1627" s="30"/>
      <c r="M1627" s="30"/>
      <c r="N1627" s="30"/>
      <c r="O1627" s="30"/>
      <c r="P1627" s="30"/>
      <c r="Q1627" s="30"/>
      <c r="R1627" s="30"/>
      <c r="S1627" s="30"/>
      <c r="T1627" s="30"/>
      <c r="U1627" s="30"/>
      <c r="V1627" s="30"/>
      <c r="W1627" s="30"/>
      <c r="X1627" s="30"/>
      <c r="Y1627" s="30"/>
      <c r="Z1627" s="30"/>
    </row>
    <row r="1628">
      <c r="A1628" s="29"/>
      <c r="B1628" s="29"/>
      <c r="C1628" s="30"/>
      <c r="D1628" s="30"/>
      <c r="E1628" s="30"/>
      <c r="F1628" s="30"/>
      <c r="G1628" s="30"/>
      <c r="H1628" s="30"/>
      <c r="I1628" s="30"/>
      <c r="J1628" s="30"/>
      <c r="K1628" s="30"/>
      <c r="L1628" s="30"/>
      <c r="M1628" s="30"/>
      <c r="N1628" s="30"/>
      <c r="O1628" s="30"/>
      <c r="P1628" s="30"/>
      <c r="Q1628" s="30"/>
      <c r="R1628" s="30"/>
      <c r="S1628" s="30"/>
      <c r="T1628" s="30"/>
      <c r="U1628" s="30"/>
      <c r="V1628" s="30"/>
      <c r="W1628" s="30"/>
      <c r="X1628" s="30"/>
      <c r="Y1628" s="30"/>
      <c r="Z1628" s="30"/>
    </row>
    <row r="1629">
      <c r="A1629" s="29"/>
      <c r="B1629" s="29"/>
      <c r="C1629" s="30"/>
      <c r="D1629" s="30"/>
      <c r="E1629" s="30"/>
      <c r="F1629" s="30"/>
      <c r="G1629" s="30"/>
      <c r="H1629" s="30"/>
      <c r="I1629" s="30"/>
      <c r="J1629" s="30"/>
      <c r="K1629" s="30"/>
      <c r="L1629" s="30"/>
      <c r="M1629" s="30"/>
      <c r="N1629" s="30"/>
      <c r="O1629" s="30"/>
      <c r="P1629" s="30"/>
      <c r="Q1629" s="30"/>
      <c r="R1629" s="30"/>
      <c r="S1629" s="30"/>
      <c r="T1629" s="30"/>
      <c r="U1629" s="30"/>
      <c r="V1629" s="30"/>
      <c r="W1629" s="30"/>
      <c r="X1629" s="30"/>
      <c r="Y1629" s="30"/>
      <c r="Z1629" s="30"/>
    </row>
    <row r="1630">
      <c r="A1630" s="29"/>
      <c r="B1630" s="29"/>
      <c r="C1630" s="30"/>
      <c r="D1630" s="30"/>
      <c r="E1630" s="30"/>
      <c r="F1630" s="30"/>
      <c r="G1630" s="30"/>
      <c r="H1630" s="30"/>
      <c r="I1630" s="30"/>
      <c r="J1630" s="30"/>
      <c r="K1630" s="30"/>
      <c r="L1630" s="30"/>
      <c r="M1630" s="30"/>
      <c r="N1630" s="30"/>
      <c r="O1630" s="30"/>
      <c r="P1630" s="30"/>
      <c r="Q1630" s="30"/>
      <c r="R1630" s="30"/>
      <c r="S1630" s="30"/>
      <c r="T1630" s="30"/>
      <c r="U1630" s="30"/>
      <c r="V1630" s="30"/>
      <c r="W1630" s="30"/>
      <c r="X1630" s="30"/>
      <c r="Y1630" s="30"/>
      <c r="Z1630" s="30"/>
    </row>
    <row r="1631">
      <c r="A1631" s="29"/>
      <c r="B1631" s="29"/>
      <c r="C1631" s="30"/>
      <c r="D1631" s="30"/>
      <c r="E1631" s="30"/>
      <c r="F1631" s="30"/>
      <c r="G1631" s="30"/>
      <c r="H1631" s="30"/>
      <c r="I1631" s="30"/>
      <c r="J1631" s="30"/>
      <c r="K1631" s="30"/>
      <c r="L1631" s="30"/>
      <c r="M1631" s="30"/>
      <c r="N1631" s="30"/>
      <c r="O1631" s="30"/>
      <c r="P1631" s="30"/>
      <c r="Q1631" s="30"/>
      <c r="R1631" s="30"/>
      <c r="S1631" s="30"/>
      <c r="T1631" s="30"/>
      <c r="U1631" s="30"/>
      <c r="V1631" s="30"/>
      <c r="W1631" s="30"/>
      <c r="X1631" s="30"/>
      <c r="Y1631" s="30"/>
      <c r="Z1631" s="30"/>
    </row>
    <row r="1632">
      <c r="A1632" s="29"/>
      <c r="B1632" s="29"/>
      <c r="C1632" s="30"/>
      <c r="D1632" s="30"/>
      <c r="E1632" s="30"/>
      <c r="F1632" s="30"/>
      <c r="G1632" s="30"/>
      <c r="H1632" s="30"/>
      <c r="I1632" s="30"/>
      <c r="J1632" s="30"/>
      <c r="K1632" s="30"/>
      <c r="L1632" s="30"/>
      <c r="M1632" s="30"/>
      <c r="N1632" s="30"/>
      <c r="O1632" s="30"/>
      <c r="P1632" s="30"/>
      <c r="Q1632" s="30"/>
      <c r="R1632" s="30"/>
      <c r="S1632" s="30"/>
      <c r="T1632" s="30"/>
      <c r="U1632" s="30"/>
      <c r="V1632" s="30"/>
      <c r="W1632" s="30"/>
      <c r="X1632" s="30"/>
      <c r="Y1632" s="30"/>
      <c r="Z1632" s="30"/>
    </row>
    <row r="1633">
      <c r="A1633" s="29"/>
      <c r="B1633" s="29"/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  <c r="O1633" s="30"/>
      <c r="P1633" s="30"/>
      <c r="Q1633" s="30"/>
      <c r="R1633" s="30"/>
      <c r="S1633" s="30"/>
      <c r="T1633" s="30"/>
      <c r="U1633" s="30"/>
      <c r="V1633" s="30"/>
      <c r="W1633" s="30"/>
      <c r="X1633" s="30"/>
      <c r="Y1633" s="30"/>
      <c r="Z1633" s="30"/>
    </row>
    <row r="1634">
      <c r="A1634" s="29"/>
      <c r="B1634" s="29"/>
      <c r="C1634" s="30"/>
      <c r="D1634" s="30"/>
      <c r="E1634" s="30"/>
      <c r="F1634" s="30"/>
      <c r="G1634" s="30"/>
      <c r="H1634" s="30"/>
      <c r="I1634" s="30"/>
      <c r="J1634" s="30"/>
      <c r="K1634" s="30"/>
      <c r="L1634" s="30"/>
      <c r="M1634" s="30"/>
      <c r="N1634" s="30"/>
      <c r="O1634" s="30"/>
      <c r="P1634" s="30"/>
      <c r="Q1634" s="30"/>
      <c r="R1634" s="30"/>
      <c r="S1634" s="30"/>
      <c r="T1634" s="30"/>
      <c r="U1634" s="30"/>
      <c r="V1634" s="30"/>
      <c r="W1634" s="30"/>
      <c r="X1634" s="30"/>
      <c r="Y1634" s="30"/>
      <c r="Z1634" s="30"/>
    </row>
    <row r="1635">
      <c r="A1635" s="29"/>
      <c r="B1635" s="29"/>
      <c r="C1635" s="30"/>
      <c r="D1635" s="30"/>
      <c r="E1635" s="30"/>
      <c r="F1635" s="30"/>
      <c r="G1635" s="30"/>
      <c r="H1635" s="30"/>
      <c r="I1635" s="30"/>
      <c r="J1635" s="30"/>
      <c r="K1635" s="30"/>
      <c r="L1635" s="30"/>
      <c r="M1635" s="30"/>
      <c r="N1635" s="30"/>
      <c r="O1635" s="30"/>
      <c r="P1635" s="30"/>
      <c r="Q1635" s="30"/>
      <c r="R1635" s="30"/>
      <c r="S1635" s="30"/>
      <c r="T1635" s="30"/>
      <c r="U1635" s="30"/>
      <c r="V1635" s="30"/>
      <c r="W1635" s="30"/>
      <c r="X1635" s="30"/>
      <c r="Y1635" s="30"/>
      <c r="Z1635" s="30"/>
    </row>
    <row r="1636">
      <c r="A1636" s="29"/>
      <c r="B1636" s="29"/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0"/>
      <c r="X1636" s="30"/>
      <c r="Y1636" s="30"/>
      <c r="Z1636" s="30"/>
    </row>
    <row r="1637">
      <c r="A1637" s="29"/>
      <c r="B1637" s="29"/>
      <c r="C1637" s="30"/>
      <c r="D1637" s="30"/>
      <c r="E1637" s="30"/>
      <c r="F1637" s="30"/>
      <c r="G1637" s="30"/>
      <c r="H1637" s="30"/>
      <c r="I1637" s="30"/>
      <c r="J1637" s="30"/>
      <c r="K1637" s="30"/>
      <c r="L1637" s="30"/>
      <c r="M1637" s="30"/>
      <c r="N1637" s="30"/>
      <c r="O1637" s="30"/>
      <c r="P1637" s="30"/>
      <c r="Q1637" s="30"/>
      <c r="R1637" s="30"/>
      <c r="S1637" s="30"/>
      <c r="T1637" s="30"/>
      <c r="U1637" s="30"/>
      <c r="V1637" s="30"/>
      <c r="W1637" s="30"/>
      <c r="X1637" s="30"/>
      <c r="Y1637" s="30"/>
      <c r="Z1637" s="30"/>
    </row>
    <row r="1638">
      <c r="A1638" s="29"/>
      <c r="B1638" s="29"/>
      <c r="C1638" s="30"/>
      <c r="D1638" s="30"/>
      <c r="E1638" s="30"/>
      <c r="F1638" s="30"/>
      <c r="G1638" s="30"/>
      <c r="H1638" s="30"/>
      <c r="I1638" s="30"/>
      <c r="J1638" s="30"/>
      <c r="K1638" s="30"/>
      <c r="L1638" s="30"/>
      <c r="M1638" s="30"/>
      <c r="N1638" s="30"/>
      <c r="O1638" s="30"/>
      <c r="P1638" s="30"/>
      <c r="Q1638" s="30"/>
      <c r="R1638" s="30"/>
      <c r="S1638" s="30"/>
      <c r="T1638" s="30"/>
      <c r="U1638" s="30"/>
      <c r="V1638" s="30"/>
      <c r="W1638" s="30"/>
      <c r="X1638" s="30"/>
      <c r="Y1638" s="30"/>
      <c r="Z1638" s="30"/>
    </row>
    <row r="1639">
      <c r="A1639" s="29"/>
      <c r="B1639" s="29"/>
      <c r="C1639" s="30"/>
      <c r="D1639" s="30"/>
      <c r="E1639" s="30"/>
      <c r="F1639" s="30"/>
      <c r="G1639" s="30"/>
      <c r="H1639" s="30"/>
      <c r="I1639" s="30"/>
      <c r="J1639" s="30"/>
      <c r="K1639" s="30"/>
      <c r="L1639" s="30"/>
      <c r="M1639" s="30"/>
      <c r="N1639" s="30"/>
      <c r="O1639" s="30"/>
      <c r="P1639" s="30"/>
      <c r="Q1639" s="30"/>
      <c r="R1639" s="30"/>
      <c r="S1639" s="30"/>
      <c r="T1639" s="30"/>
      <c r="U1639" s="30"/>
      <c r="V1639" s="30"/>
      <c r="W1639" s="30"/>
      <c r="X1639" s="30"/>
      <c r="Y1639" s="30"/>
      <c r="Z1639" s="30"/>
    </row>
    <row r="1640">
      <c r="A1640" s="29"/>
      <c r="B1640" s="29"/>
      <c r="C1640" s="30"/>
      <c r="D1640" s="30"/>
      <c r="E1640" s="30"/>
      <c r="F1640" s="30"/>
      <c r="G1640" s="30"/>
      <c r="H1640" s="30"/>
      <c r="I1640" s="30"/>
      <c r="J1640" s="30"/>
      <c r="K1640" s="30"/>
      <c r="L1640" s="30"/>
      <c r="M1640" s="30"/>
      <c r="N1640" s="30"/>
      <c r="O1640" s="30"/>
      <c r="P1640" s="30"/>
      <c r="Q1640" s="30"/>
      <c r="R1640" s="30"/>
      <c r="S1640" s="30"/>
      <c r="T1640" s="30"/>
      <c r="U1640" s="30"/>
      <c r="V1640" s="30"/>
      <c r="W1640" s="30"/>
      <c r="X1640" s="30"/>
      <c r="Y1640" s="30"/>
      <c r="Z1640" s="30"/>
    </row>
    <row r="1641">
      <c r="A1641" s="29"/>
      <c r="B1641" s="29"/>
      <c r="C1641" s="30"/>
      <c r="D1641" s="30"/>
      <c r="E1641" s="30"/>
      <c r="F1641" s="30"/>
      <c r="G1641" s="30"/>
      <c r="H1641" s="30"/>
      <c r="I1641" s="30"/>
      <c r="J1641" s="30"/>
      <c r="K1641" s="30"/>
      <c r="L1641" s="30"/>
      <c r="M1641" s="30"/>
      <c r="N1641" s="30"/>
      <c r="O1641" s="30"/>
      <c r="P1641" s="30"/>
      <c r="Q1641" s="30"/>
      <c r="R1641" s="30"/>
      <c r="S1641" s="30"/>
      <c r="T1641" s="30"/>
      <c r="U1641" s="30"/>
      <c r="V1641" s="30"/>
      <c r="W1641" s="30"/>
      <c r="X1641" s="30"/>
      <c r="Y1641" s="30"/>
      <c r="Z1641" s="30"/>
    </row>
    <row r="1642">
      <c r="A1642" s="29"/>
      <c r="B1642" s="29"/>
      <c r="C1642" s="30"/>
      <c r="D1642" s="30"/>
      <c r="E1642" s="30"/>
      <c r="F1642" s="30"/>
      <c r="G1642" s="30"/>
      <c r="H1642" s="30"/>
      <c r="I1642" s="30"/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0"/>
      <c r="W1642" s="30"/>
      <c r="X1642" s="30"/>
      <c r="Y1642" s="30"/>
      <c r="Z1642" s="30"/>
    </row>
    <row r="1643">
      <c r="A1643" s="29"/>
      <c r="B1643" s="29"/>
      <c r="C1643" s="30"/>
      <c r="D1643" s="30"/>
      <c r="E1643" s="30"/>
      <c r="F1643" s="30"/>
      <c r="G1643" s="30"/>
      <c r="H1643" s="30"/>
      <c r="I1643" s="30"/>
      <c r="J1643" s="30"/>
      <c r="K1643" s="30"/>
      <c r="L1643" s="30"/>
      <c r="M1643" s="30"/>
      <c r="N1643" s="30"/>
      <c r="O1643" s="30"/>
      <c r="P1643" s="30"/>
      <c r="Q1643" s="30"/>
      <c r="R1643" s="30"/>
      <c r="S1643" s="30"/>
      <c r="T1643" s="30"/>
      <c r="U1643" s="30"/>
      <c r="V1643" s="30"/>
      <c r="W1643" s="30"/>
      <c r="X1643" s="30"/>
      <c r="Y1643" s="30"/>
      <c r="Z1643" s="30"/>
    </row>
    <row r="1644">
      <c r="A1644" s="29"/>
      <c r="B1644" s="29"/>
      <c r="C1644" s="30"/>
      <c r="D1644" s="30"/>
      <c r="E1644" s="30"/>
      <c r="F1644" s="30"/>
      <c r="G1644" s="30"/>
      <c r="H1644" s="30"/>
      <c r="I1644" s="30"/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  <c r="U1644" s="30"/>
      <c r="V1644" s="30"/>
      <c r="W1644" s="30"/>
      <c r="X1644" s="30"/>
      <c r="Y1644" s="30"/>
      <c r="Z1644" s="30"/>
    </row>
    <row r="1645">
      <c r="A1645" s="29"/>
      <c r="B1645" s="29"/>
      <c r="C1645" s="30"/>
      <c r="D1645" s="30"/>
      <c r="E1645" s="30"/>
      <c r="F1645" s="30"/>
      <c r="G1645" s="30"/>
      <c r="H1645" s="30"/>
      <c r="I1645" s="30"/>
      <c r="J1645" s="30"/>
      <c r="K1645" s="30"/>
      <c r="L1645" s="30"/>
      <c r="M1645" s="30"/>
      <c r="N1645" s="30"/>
      <c r="O1645" s="30"/>
      <c r="P1645" s="30"/>
      <c r="Q1645" s="30"/>
      <c r="R1645" s="30"/>
      <c r="S1645" s="30"/>
      <c r="T1645" s="30"/>
      <c r="U1645" s="30"/>
      <c r="V1645" s="30"/>
      <c r="W1645" s="30"/>
      <c r="X1645" s="30"/>
      <c r="Y1645" s="30"/>
      <c r="Z1645" s="30"/>
    </row>
    <row r="1646">
      <c r="A1646" s="29"/>
      <c r="B1646" s="29"/>
      <c r="C1646" s="30"/>
      <c r="D1646" s="30"/>
      <c r="E1646" s="30"/>
      <c r="F1646" s="30"/>
      <c r="G1646" s="30"/>
      <c r="H1646" s="30"/>
      <c r="I1646" s="30"/>
      <c r="J1646" s="30"/>
      <c r="K1646" s="30"/>
      <c r="L1646" s="30"/>
      <c r="M1646" s="30"/>
      <c r="N1646" s="30"/>
      <c r="O1646" s="30"/>
      <c r="P1646" s="30"/>
      <c r="Q1646" s="30"/>
      <c r="R1646" s="30"/>
      <c r="S1646" s="30"/>
      <c r="T1646" s="30"/>
      <c r="U1646" s="30"/>
      <c r="V1646" s="30"/>
      <c r="W1646" s="30"/>
      <c r="X1646" s="30"/>
      <c r="Y1646" s="30"/>
      <c r="Z1646" s="30"/>
    </row>
    <row r="1647">
      <c r="A1647" s="29"/>
      <c r="B1647" s="29"/>
      <c r="C1647" s="30"/>
      <c r="D1647" s="30"/>
      <c r="E1647" s="30"/>
      <c r="F1647" s="30"/>
      <c r="G1647" s="30"/>
      <c r="H1647" s="30"/>
      <c r="I1647" s="30"/>
      <c r="J1647" s="30"/>
      <c r="K1647" s="30"/>
      <c r="L1647" s="30"/>
      <c r="M1647" s="30"/>
      <c r="N1647" s="30"/>
      <c r="O1647" s="30"/>
      <c r="P1647" s="30"/>
      <c r="Q1647" s="30"/>
      <c r="R1647" s="30"/>
      <c r="S1647" s="30"/>
      <c r="T1647" s="30"/>
      <c r="U1647" s="30"/>
      <c r="V1647" s="30"/>
      <c r="W1647" s="30"/>
      <c r="X1647" s="30"/>
      <c r="Y1647" s="30"/>
      <c r="Z1647" s="30"/>
    </row>
    <row r="1648">
      <c r="A1648" s="29"/>
      <c r="B1648" s="29"/>
      <c r="C1648" s="30"/>
      <c r="D1648" s="30"/>
      <c r="E1648" s="30"/>
      <c r="F1648" s="30"/>
      <c r="G1648" s="30"/>
      <c r="H1648" s="30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/>
      <c r="W1648" s="30"/>
      <c r="X1648" s="30"/>
      <c r="Y1648" s="30"/>
      <c r="Z1648" s="30"/>
    </row>
    <row r="1649">
      <c r="A1649" s="29"/>
      <c r="B1649" s="29"/>
      <c r="C1649" s="30"/>
      <c r="D1649" s="30"/>
      <c r="E1649" s="30"/>
      <c r="F1649" s="30"/>
      <c r="G1649" s="30"/>
      <c r="H1649" s="30"/>
      <c r="I1649" s="30"/>
      <c r="J1649" s="30"/>
      <c r="K1649" s="30"/>
      <c r="L1649" s="30"/>
      <c r="M1649" s="30"/>
      <c r="N1649" s="30"/>
      <c r="O1649" s="30"/>
      <c r="P1649" s="30"/>
      <c r="Q1649" s="30"/>
      <c r="R1649" s="30"/>
      <c r="S1649" s="30"/>
      <c r="T1649" s="30"/>
      <c r="U1649" s="30"/>
      <c r="V1649" s="30"/>
      <c r="W1649" s="30"/>
      <c r="X1649" s="30"/>
      <c r="Y1649" s="30"/>
      <c r="Z1649" s="30"/>
    </row>
    <row r="1650">
      <c r="A1650" s="29"/>
      <c r="B1650" s="29"/>
      <c r="C1650" s="30"/>
      <c r="D1650" s="30"/>
      <c r="E1650" s="30"/>
      <c r="F1650" s="30"/>
      <c r="G1650" s="30"/>
      <c r="H1650" s="30"/>
      <c r="I1650" s="30"/>
      <c r="J1650" s="30"/>
      <c r="K1650" s="30"/>
      <c r="L1650" s="30"/>
      <c r="M1650" s="30"/>
      <c r="N1650" s="30"/>
      <c r="O1650" s="30"/>
      <c r="P1650" s="30"/>
      <c r="Q1650" s="30"/>
      <c r="R1650" s="30"/>
      <c r="S1650" s="30"/>
      <c r="T1650" s="30"/>
      <c r="U1650" s="30"/>
      <c r="V1650" s="30"/>
      <c r="W1650" s="30"/>
      <c r="X1650" s="30"/>
      <c r="Y1650" s="30"/>
      <c r="Z1650" s="30"/>
    </row>
    <row r="1651">
      <c r="A1651" s="29"/>
      <c r="B1651" s="29"/>
      <c r="C1651" s="30"/>
      <c r="D1651" s="30"/>
      <c r="E1651" s="30"/>
      <c r="F1651" s="30"/>
      <c r="G1651" s="30"/>
      <c r="H1651" s="30"/>
      <c r="I1651" s="30"/>
      <c r="J1651" s="30"/>
      <c r="K1651" s="30"/>
      <c r="L1651" s="30"/>
      <c r="M1651" s="30"/>
      <c r="N1651" s="30"/>
      <c r="O1651" s="30"/>
      <c r="P1651" s="30"/>
      <c r="Q1651" s="30"/>
      <c r="R1651" s="30"/>
      <c r="S1651" s="30"/>
      <c r="T1651" s="30"/>
      <c r="U1651" s="30"/>
      <c r="V1651" s="30"/>
      <c r="W1651" s="30"/>
      <c r="X1651" s="30"/>
      <c r="Y1651" s="30"/>
      <c r="Z1651" s="30"/>
    </row>
    <row r="1652">
      <c r="A1652" s="29"/>
      <c r="B1652" s="29"/>
      <c r="C1652" s="30"/>
      <c r="D1652" s="30"/>
      <c r="E1652" s="30"/>
      <c r="F1652" s="30"/>
      <c r="G1652" s="30"/>
      <c r="H1652" s="30"/>
      <c r="I1652" s="30"/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  <c r="U1652" s="30"/>
      <c r="V1652" s="30"/>
      <c r="W1652" s="30"/>
      <c r="X1652" s="30"/>
      <c r="Y1652" s="30"/>
      <c r="Z1652" s="30"/>
    </row>
    <row r="1653">
      <c r="A1653" s="29"/>
      <c r="B1653" s="29"/>
      <c r="C1653" s="30"/>
      <c r="D1653" s="30"/>
      <c r="E1653" s="30"/>
      <c r="F1653" s="30"/>
      <c r="G1653" s="30"/>
      <c r="H1653" s="30"/>
      <c r="I1653" s="30"/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0"/>
      <c r="X1653" s="30"/>
      <c r="Y1653" s="30"/>
      <c r="Z1653" s="30"/>
    </row>
    <row r="1654">
      <c r="A1654" s="29"/>
      <c r="B1654" s="29"/>
      <c r="C1654" s="30"/>
      <c r="D1654" s="30"/>
      <c r="E1654" s="30"/>
      <c r="F1654" s="30"/>
      <c r="G1654" s="30"/>
      <c r="H1654" s="30"/>
      <c r="I1654" s="30"/>
      <c r="J1654" s="30"/>
      <c r="K1654" s="30"/>
      <c r="L1654" s="30"/>
      <c r="M1654" s="30"/>
      <c r="N1654" s="30"/>
      <c r="O1654" s="30"/>
      <c r="P1654" s="30"/>
      <c r="Q1654" s="30"/>
      <c r="R1654" s="30"/>
      <c r="S1654" s="30"/>
      <c r="T1654" s="30"/>
      <c r="U1654" s="30"/>
      <c r="V1654" s="30"/>
      <c r="W1654" s="30"/>
      <c r="X1654" s="30"/>
      <c r="Y1654" s="30"/>
      <c r="Z1654" s="30"/>
    </row>
    <row r="1655">
      <c r="A1655" s="29"/>
      <c r="B1655" s="29"/>
      <c r="C1655" s="30"/>
      <c r="D1655" s="30"/>
      <c r="E1655" s="30"/>
      <c r="F1655" s="30"/>
      <c r="G1655" s="30"/>
      <c r="H1655" s="30"/>
      <c r="I1655" s="30"/>
      <c r="J1655" s="30"/>
      <c r="K1655" s="30"/>
      <c r="L1655" s="30"/>
      <c r="M1655" s="30"/>
      <c r="N1655" s="30"/>
      <c r="O1655" s="30"/>
      <c r="P1655" s="30"/>
      <c r="Q1655" s="30"/>
      <c r="R1655" s="30"/>
      <c r="S1655" s="30"/>
      <c r="T1655" s="30"/>
      <c r="U1655" s="30"/>
      <c r="V1655" s="30"/>
      <c r="W1655" s="30"/>
      <c r="X1655" s="30"/>
      <c r="Y1655" s="30"/>
      <c r="Z1655" s="30"/>
    </row>
    <row r="1656">
      <c r="A1656" s="29"/>
      <c r="B1656" s="29"/>
      <c r="C1656" s="30"/>
      <c r="D1656" s="30"/>
      <c r="E1656" s="30"/>
      <c r="F1656" s="30"/>
      <c r="G1656" s="30"/>
      <c r="H1656" s="30"/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0"/>
      <c r="Z1656" s="30"/>
    </row>
    <row r="1657">
      <c r="A1657" s="29"/>
      <c r="B1657" s="29"/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  <c r="O1657" s="30"/>
      <c r="P1657" s="30"/>
      <c r="Q1657" s="30"/>
      <c r="R1657" s="30"/>
      <c r="S1657" s="30"/>
      <c r="T1657" s="30"/>
      <c r="U1657" s="30"/>
      <c r="V1657" s="30"/>
      <c r="W1657" s="30"/>
      <c r="X1657" s="30"/>
      <c r="Y1657" s="30"/>
      <c r="Z1657" s="30"/>
    </row>
    <row r="1658">
      <c r="A1658" s="29"/>
      <c r="B1658" s="29"/>
      <c r="C1658" s="30"/>
      <c r="D1658" s="30"/>
      <c r="E1658" s="30"/>
      <c r="F1658" s="30"/>
      <c r="G1658" s="30"/>
      <c r="H1658" s="30"/>
      <c r="I1658" s="30"/>
      <c r="J1658" s="30"/>
      <c r="K1658" s="30"/>
      <c r="L1658" s="30"/>
      <c r="M1658" s="30"/>
      <c r="N1658" s="30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0"/>
      <c r="Z1658" s="30"/>
    </row>
    <row r="1659">
      <c r="A1659" s="29"/>
      <c r="B1659" s="29"/>
      <c r="C1659" s="30"/>
      <c r="D1659" s="30"/>
      <c r="E1659" s="30"/>
      <c r="F1659" s="30"/>
      <c r="G1659" s="30"/>
      <c r="H1659" s="30"/>
      <c r="I1659" s="30"/>
      <c r="J1659" s="30"/>
      <c r="K1659" s="30"/>
      <c r="L1659" s="30"/>
      <c r="M1659" s="30"/>
      <c r="N1659" s="30"/>
      <c r="O1659" s="30"/>
      <c r="P1659" s="30"/>
      <c r="Q1659" s="30"/>
      <c r="R1659" s="30"/>
      <c r="S1659" s="30"/>
      <c r="T1659" s="30"/>
      <c r="U1659" s="30"/>
      <c r="V1659" s="30"/>
      <c r="W1659" s="30"/>
      <c r="X1659" s="30"/>
      <c r="Y1659" s="30"/>
      <c r="Z1659" s="30"/>
    </row>
    <row r="1660">
      <c r="A1660" s="29"/>
      <c r="B1660" s="29"/>
      <c r="C1660" s="30"/>
      <c r="D1660" s="30"/>
      <c r="E1660" s="30"/>
      <c r="F1660" s="30"/>
      <c r="G1660" s="30"/>
      <c r="H1660" s="30"/>
      <c r="I1660" s="30"/>
      <c r="J1660" s="30"/>
      <c r="K1660" s="30"/>
      <c r="L1660" s="30"/>
      <c r="M1660" s="30"/>
      <c r="N1660" s="30"/>
      <c r="O1660" s="30"/>
      <c r="P1660" s="30"/>
      <c r="Q1660" s="30"/>
      <c r="R1660" s="30"/>
      <c r="S1660" s="30"/>
      <c r="T1660" s="30"/>
      <c r="U1660" s="30"/>
      <c r="V1660" s="30"/>
      <c r="W1660" s="30"/>
      <c r="X1660" s="30"/>
      <c r="Y1660" s="30"/>
      <c r="Z1660" s="30"/>
    </row>
    <row r="1661">
      <c r="A1661" s="29"/>
      <c r="B1661" s="29"/>
      <c r="C1661" s="30"/>
      <c r="D1661" s="30"/>
      <c r="E1661" s="30"/>
      <c r="F1661" s="30"/>
      <c r="G1661" s="30"/>
      <c r="H1661" s="30"/>
      <c r="I1661" s="30"/>
      <c r="J1661" s="30"/>
      <c r="K1661" s="30"/>
      <c r="L1661" s="30"/>
      <c r="M1661" s="30"/>
      <c r="N1661" s="30"/>
      <c r="O1661" s="30"/>
      <c r="P1661" s="30"/>
      <c r="Q1661" s="30"/>
      <c r="R1661" s="30"/>
      <c r="S1661" s="30"/>
      <c r="T1661" s="30"/>
      <c r="U1661" s="30"/>
      <c r="V1661" s="30"/>
      <c r="W1661" s="30"/>
      <c r="X1661" s="30"/>
      <c r="Y1661" s="30"/>
      <c r="Z1661" s="30"/>
    </row>
    <row r="1662">
      <c r="A1662" s="29"/>
      <c r="B1662" s="29"/>
      <c r="C1662" s="30"/>
      <c r="D1662" s="30"/>
      <c r="E1662" s="30"/>
      <c r="F1662" s="30"/>
      <c r="G1662" s="30"/>
      <c r="H1662" s="30"/>
      <c r="I1662" s="30"/>
      <c r="J1662" s="30"/>
      <c r="K1662" s="30"/>
      <c r="L1662" s="30"/>
      <c r="M1662" s="30"/>
      <c r="N1662" s="30"/>
      <c r="O1662" s="30"/>
      <c r="P1662" s="30"/>
      <c r="Q1662" s="30"/>
      <c r="R1662" s="30"/>
      <c r="S1662" s="30"/>
      <c r="T1662" s="30"/>
      <c r="U1662" s="30"/>
      <c r="V1662" s="30"/>
      <c r="W1662" s="30"/>
      <c r="X1662" s="30"/>
      <c r="Y1662" s="30"/>
      <c r="Z1662" s="30"/>
    </row>
    <row r="1663">
      <c r="A1663" s="29"/>
      <c r="B1663" s="29"/>
      <c r="C1663" s="30"/>
      <c r="D1663" s="30"/>
      <c r="E1663" s="30"/>
      <c r="F1663" s="30"/>
      <c r="G1663" s="30"/>
      <c r="H1663" s="30"/>
      <c r="I1663" s="30"/>
      <c r="J1663" s="30"/>
      <c r="K1663" s="30"/>
      <c r="L1663" s="30"/>
      <c r="M1663" s="30"/>
      <c r="N1663" s="30"/>
      <c r="O1663" s="30"/>
      <c r="P1663" s="30"/>
      <c r="Q1663" s="30"/>
      <c r="R1663" s="30"/>
      <c r="S1663" s="30"/>
      <c r="T1663" s="30"/>
      <c r="U1663" s="30"/>
      <c r="V1663" s="30"/>
      <c r="W1663" s="30"/>
      <c r="X1663" s="30"/>
      <c r="Y1663" s="30"/>
      <c r="Z1663" s="30"/>
    </row>
    <row r="1664">
      <c r="A1664" s="29"/>
      <c r="B1664" s="29"/>
      <c r="C1664" s="30"/>
      <c r="D1664" s="30"/>
      <c r="E1664" s="30"/>
      <c r="F1664" s="30"/>
      <c r="G1664" s="30"/>
      <c r="H1664" s="30"/>
      <c r="I1664" s="30"/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  <c r="U1664" s="30"/>
      <c r="V1664" s="30"/>
      <c r="W1664" s="30"/>
      <c r="X1664" s="30"/>
      <c r="Y1664" s="30"/>
      <c r="Z1664" s="30"/>
    </row>
    <row r="1665">
      <c r="A1665" s="29"/>
      <c r="B1665" s="29"/>
      <c r="C1665" s="30"/>
      <c r="D1665" s="30"/>
      <c r="E1665" s="30"/>
      <c r="F1665" s="30"/>
      <c r="G1665" s="30"/>
      <c r="H1665" s="30"/>
      <c r="I1665" s="30"/>
      <c r="J1665" s="30"/>
      <c r="K1665" s="30"/>
      <c r="L1665" s="30"/>
      <c r="M1665" s="30"/>
      <c r="N1665" s="30"/>
      <c r="O1665" s="30"/>
      <c r="P1665" s="30"/>
      <c r="Q1665" s="30"/>
      <c r="R1665" s="30"/>
      <c r="S1665" s="30"/>
      <c r="T1665" s="30"/>
      <c r="U1665" s="30"/>
      <c r="V1665" s="30"/>
      <c r="W1665" s="30"/>
      <c r="X1665" s="30"/>
      <c r="Y1665" s="30"/>
      <c r="Z1665" s="30"/>
    </row>
    <row r="1666">
      <c r="A1666" s="29"/>
      <c r="B1666" s="29"/>
      <c r="C1666" s="30"/>
      <c r="D1666" s="30"/>
      <c r="E1666" s="30"/>
      <c r="F1666" s="30"/>
      <c r="G1666" s="30"/>
      <c r="H1666" s="30"/>
      <c r="I1666" s="30"/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0"/>
      <c r="Z1666" s="30"/>
    </row>
    <row r="1667">
      <c r="A1667" s="29"/>
      <c r="B1667" s="29"/>
      <c r="C1667" s="30"/>
      <c r="D1667" s="30"/>
      <c r="E1667" s="30"/>
      <c r="F1667" s="30"/>
      <c r="G1667" s="30"/>
      <c r="H1667" s="30"/>
      <c r="I1667" s="30"/>
      <c r="J1667" s="30"/>
      <c r="K1667" s="30"/>
      <c r="L1667" s="30"/>
      <c r="M1667" s="30"/>
      <c r="N1667" s="30"/>
      <c r="O1667" s="30"/>
      <c r="P1667" s="30"/>
      <c r="Q1667" s="30"/>
      <c r="R1667" s="30"/>
      <c r="S1667" s="30"/>
      <c r="T1667" s="30"/>
      <c r="U1667" s="30"/>
      <c r="V1667" s="30"/>
      <c r="W1667" s="30"/>
      <c r="X1667" s="30"/>
      <c r="Y1667" s="30"/>
      <c r="Z1667" s="30"/>
    </row>
    <row r="1668">
      <c r="A1668" s="29"/>
      <c r="B1668" s="29"/>
      <c r="C1668" s="30"/>
      <c r="D1668" s="30"/>
      <c r="E1668" s="30"/>
      <c r="F1668" s="30"/>
      <c r="G1668" s="30"/>
      <c r="H1668" s="30"/>
      <c r="I1668" s="30"/>
      <c r="J1668" s="30"/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  <c r="U1668" s="30"/>
      <c r="V1668" s="30"/>
      <c r="W1668" s="30"/>
      <c r="X1668" s="30"/>
      <c r="Y1668" s="30"/>
      <c r="Z1668" s="30"/>
    </row>
    <row r="1669">
      <c r="A1669" s="29"/>
      <c r="B1669" s="29"/>
      <c r="C1669" s="30"/>
      <c r="D1669" s="30"/>
      <c r="E1669" s="30"/>
      <c r="F1669" s="30"/>
      <c r="G1669" s="30"/>
      <c r="H1669" s="30"/>
      <c r="I1669" s="30"/>
      <c r="J1669" s="30"/>
      <c r="K1669" s="30"/>
      <c r="L1669" s="30"/>
      <c r="M1669" s="30"/>
      <c r="N1669" s="30"/>
      <c r="O1669" s="30"/>
      <c r="P1669" s="30"/>
      <c r="Q1669" s="30"/>
      <c r="R1669" s="30"/>
      <c r="S1669" s="30"/>
      <c r="T1669" s="30"/>
      <c r="U1669" s="30"/>
      <c r="V1669" s="30"/>
      <c r="W1669" s="30"/>
      <c r="X1669" s="30"/>
      <c r="Y1669" s="30"/>
      <c r="Z1669" s="30"/>
    </row>
    <row r="1670">
      <c r="A1670" s="29"/>
      <c r="B1670" s="29"/>
      <c r="C1670" s="30"/>
      <c r="D1670" s="30"/>
      <c r="E1670" s="30"/>
      <c r="F1670" s="30"/>
      <c r="G1670" s="30"/>
      <c r="H1670" s="30"/>
      <c r="I1670" s="30"/>
      <c r="J1670" s="30"/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0"/>
      <c r="X1670" s="30"/>
      <c r="Y1670" s="30"/>
      <c r="Z1670" s="30"/>
    </row>
    <row r="1671">
      <c r="A1671" s="29"/>
      <c r="B1671" s="29"/>
      <c r="C1671" s="30"/>
      <c r="D1671" s="30"/>
      <c r="E1671" s="30"/>
      <c r="F1671" s="30"/>
      <c r="G1671" s="30"/>
      <c r="H1671" s="30"/>
      <c r="I1671" s="30"/>
      <c r="J1671" s="30"/>
      <c r="K1671" s="30"/>
      <c r="L1671" s="30"/>
      <c r="M1671" s="30"/>
      <c r="N1671" s="30"/>
      <c r="O1671" s="30"/>
      <c r="P1671" s="30"/>
      <c r="Q1671" s="30"/>
      <c r="R1671" s="30"/>
      <c r="S1671" s="30"/>
      <c r="T1671" s="30"/>
      <c r="U1671" s="30"/>
      <c r="V1671" s="30"/>
      <c r="W1671" s="30"/>
      <c r="X1671" s="30"/>
      <c r="Y1671" s="30"/>
      <c r="Z1671" s="30"/>
    </row>
    <row r="1672">
      <c r="A1672" s="29"/>
      <c r="B1672" s="29"/>
      <c r="C1672" s="30"/>
      <c r="D1672" s="30"/>
      <c r="E1672" s="30"/>
      <c r="F1672" s="30"/>
      <c r="G1672" s="30"/>
      <c r="H1672" s="30"/>
      <c r="I1672" s="30"/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  <c r="U1672" s="30"/>
      <c r="V1672" s="30"/>
      <c r="W1672" s="30"/>
      <c r="X1672" s="30"/>
      <c r="Y1672" s="30"/>
      <c r="Z1672" s="30"/>
    </row>
    <row r="1673">
      <c r="A1673" s="29"/>
      <c r="B1673" s="29"/>
      <c r="C1673" s="30"/>
      <c r="D1673" s="30"/>
      <c r="E1673" s="30"/>
      <c r="F1673" s="30"/>
      <c r="G1673" s="30"/>
      <c r="H1673" s="30"/>
      <c r="I1673" s="30"/>
      <c r="J1673" s="30"/>
      <c r="K1673" s="30"/>
      <c r="L1673" s="30"/>
      <c r="M1673" s="30"/>
      <c r="N1673" s="30"/>
      <c r="O1673" s="30"/>
      <c r="P1673" s="30"/>
      <c r="Q1673" s="30"/>
      <c r="R1673" s="30"/>
      <c r="S1673" s="30"/>
      <c r="T1673" s="30"/>
      <c r="U1673" s="30"/>
      <c r="V1673" s="30"/>
      <c r="W1673" s="30"/>
      <c r="X1673" s="30"/>
      <c r="Y1673" s="30"/>
      <c r="Z1673" s="30"/>
    </row>
    <row r="1674">
      <c r="A1674" s="29"/>
      <c r="B1674" s="29"/>
      <c r="C1674" s="30"/>
      <c r="D1674" s="30"/>
      <c r="E1674" s="30"/>
      <c r="F1674" s="30"/>
      <c r="G1674" s="30"/>
      <c r="H1674" s="30"/>
      <c r="I1674" s="30"/>
      <c r="J1674" s="30"/>
      <c r="K1674" s="30"/>
      <c r="L1674" s="30"/>
      <c r="M1674" s="30"/>
      <c r="N1674" s="30"/>
      <c r="O1674" s="30"/>
      <c r="P1674" s="30"/>
      <c r="Q1674" s="30"/>
      <c r="R1674" s="30"/>
      <c r="S1674" s="30"/>
      <c r="T1674" s="30"/>
      <c r="U1674" s="30"/>
      <c r="V1674" s="30"/>
      <c r="W1674" s="30"/>
      <c r="X1674" s="30"/>
      <c r="Y1674" s="30"/>
      <c r="Z1674" s="30"/>
    </row>
    <row r="1675">
      <c r="A1675" s="29"/>
      <c r="B1675" s="29"/>
      <c r="C1675" s="30"/>
      <c r="D1675" s="30"/>
      <c r="E1675" s="30"/>
      <c r="F1675" s="30"/>
      <c r="G1675" s="30"/>
      <c r="H1675" s="30"/>
      <c r="I1675" s="30"/>
      <c r="J1675" s="30"/>
      <c r="K1675" s="30"/>
      <c r="L1675" s="30"/>
      <c r="M1675" s="30"/>
      <c r="N1675" s="30"/>
      <c r="O1675" s="30"/>
      <c r="P1675" s="30"/>
      <c r="Q1675" s="30"/>
      <c r="R1675" s="30"/>
      <c r="S1675" s="30"/>
      <c r="T1675" s="30"/>
      <c r="U1675" s="30"/>
      <c r="V1675" s="30"/>
      <c r="W1675" s="30"/>
      <c r="X1675" s="30"/>
      <c r="Y1675" s="30"/>
      <c r="Z1675" s="30"/>
    </row>
    <row r="1676">
      <c r="A1676" s="29"/>
      <c r="B1676" s="29"/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  <c r="U1676" s="30"/>
      <c r="V1676" s="30"/>
      <c r="W1676" s="30"/>
      <c r="X1676" s="30"/>
      <c r="Y1676" s="30"/>
      <c r="Z1676" s="30"/>
    </row>
    <row r="1677">
      <c r="A1677" s="29"/>
      <c r="B1677" s="29"/>
      <c r="C1677" s="30"/>
      <c r="D1677" s="30"/>
      <c r="E1677" s="30"/>
      <c r="F1677" s="30"/>
      <c r="G1677" s="30"/>
      <c r="H1677" s="30"/>
      <c r="I1677" s="30"/>
      <c r="J1677" s="30"/>
      <c r="K1677" s="30"/>
      <c r="L1677" s="30"/>
      <c r="M1677" s="30"/>
      <c r="N1677" s="30"/>
      <c r="O1677" s="30"/>
      <c r="P1677" s="30"/>
      <c r="Q1677" s="30"/>
      <c r="R1677" s="30"/>
      <c r="S1677" s="30"/>
      <c r="T1677" s="30"/>
      <c r="U1677" s="30"/>
      <c r="V1677" s="30"/>
      <c r="W1677" s="30"/>
      <c r="X1677" s="30"/>
      <c r="Y1677" s="30"/>
      <c r="Z1677" s="30"/>
    </row>
    <row r="1678">
      <c r="A1678" s="29"/>
      <c r="B1678" s="29"/>
      <c r="C1678" s="30"/>
      <c r="D1678" s="30"/>
      <c r="E1678" s="30"/>
      <c r="F1678" s="30"/>
      <c r="G1678" s="30"/>
      <c r="H1678" s="30"/>
      <c r="I1678" s="30"/>
      <c r="J1678" s="30"/>
      <c r="K1678" s="30"/>
      <c r="L1678" s="30"/>
      <c r="M1678" s="30"/>
      <c r="N1678" s="30"/>
      <c r="O1678" s="30"/>
      <c r="P1678" s="30"/>
      <c r="Q1678" s="30"/>
      <c r="R1678" s="30"/>
      <c r="S1678" s="30"/>
      <c r="T1678" s="30"/>
      <c r="U1678" s="30"/>
      <c r="V1678" s="30"/>
      <c r="W1678" s="30"/>
      <c r="X1678" s="30"/>
      <c r="Y1678" s="30"/>
      <c r="Z1678" s="30"/>
    </row>
    <row r="1679">
      <c r="A1679" s="29"/>
      <c r="B1679" s="29"/>
      <c r="C1679" s="30"/>
      <c r="D1679" s="30"/>
      <c r="E1679" s="30"/>
      <c r="F1679" s="30"/>
      <c r="G1679" s="30"/>
      <c r="H1679" s="30"/>
      <c r="I1679" s="30"/>
      <c r="J1679" s="30"/>
      <c r="K1679" s="30"/>
      <c r="L1679" s="30"/>
      <c r="M1679" s="30"/>
      <c r="N1679" s="30"/>
      <c r="O1679" s="30"/>
      <c r="P1679" s="30"/>
      <c r="Q1679" s="30"/>
      <c r="R1679" s="30"/>
      <c r="S1679" s="30"/>
      <c r="T1679" s="30"/>
      <c r="U1679" s="30"/>
      <c r="V1679" s="30"/>
      <c r="W1679" s="30"/>
      <c r="X1679" s="30"/>
      <c r="Y1679" s="30"/>
      <c r="Z1679" s="30"/>
    </row>
    <row r="1680">
      <c r="A1680" s="29"/>
      <c r="B1680" s="29"/>
      <c r="C1680" s="30"/>
      <c r="D1680" s="30"/>
      <c r="E1680" s="30"/>
      <c r="F1680" s="30"/>
      <c r="G1680" s="30"/>
      <c r="H1680" s="30"/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  <c r="U1680" s="30"/>
      <c r="V1680" s="30"/>
      <c r="W1680" s="30"/>
      <c r="X1680" s="30"/>
      <c r="Y1680" s="30"/>
      <c r="Z1680" s="30"/>
    </row>
    <row r="1681">
      <c r="A1681" s="29"/>
      <c r="B1681" s="29"/>
      <c r="C1681" s="30"/>
      <c r="D1681" s="30"/>
      <c r="E1681" s="30"/>
      <c r="F1681" s="30"/>
      <c r="G1681" s="30"/>
      <c r="H1681" s="30"/>
      <c r="I1681" s="30"/>
      <c r="J1681" s="30"/>
      <c r="K1681" s="30"/>
      <c r="L1681" s="30"/>
      <c r="M1681" s="30"/>
      <c r="N1681" s="30"/>
      <c r="O1681" s="30"/>
      <c r="P1681" s="30"/>
      <c r="Q1681" s="30"/>
      <c r="R1681" s="30"/>
      <c r="S1681" s="30"/>
      <c r="T1681" s="30"/>
      <c r="U1681" s="30"/>
      <c r="V1681" s="30"/>
      <c r="W1681" s="30"/>
      <c r="X1681" s="30"/>
      <c r="Y1681" s="30"/>
      <c r="Z1681" s="30"/>
    </row>
    <row r="1682">
      <c r="A1682" s="29"/>
      <c r="B1682" s="29"/>
      <c r="C1682" s="30"/>
      <c r="D1682" s="30"/>
      <c r="E1682" s="30"/>
      <c r="F1682" s="30"/>
      <c r="G1682" s="30"/>
      <c r="H1682" s="30"/>
      <c r="I1682" s="30"/>
      <c r="J1682" s="30"/>
      <c r="K1682" s="30"/>
      <c r="L1682" s="30"/>
      <c r="M1682" s="30"/>
      <c r="N1682" s="30"/>
      <c r="O1682" s="30"/>
      <c r="P1682" s="30"/>
      <c r="Q1682" s="30"/>
      <c r="R1682" s="30"/>
      <c r="S1682" s="30"/>
      <c r="T1682" s="30"/>
      <c r="U1682" s="30"/>
      <c r="V1682" s="30"/>
      <c r="W1682" s="30"/>
      <c r="X1682" s="30"/>
      <c r="Y1682" s="30"/>
      <c r="Z1682" s="30"/>
    </row>
    <row r="1683">
      <c r="A1683" s="29"/>
      <c r="B1683" s="29"/>
      <c r="C1683" s="30"/>
      <c r="D1683" s="30"/>
      <c r="E1683" s="30"/>
      <c r="F1683" s="30"/>
      <c r="G1683" s="30"/>
      <c r="H1683" s="30"/>
      <c r="I1683" s="30"/>
      <c r="J1683" s="30"/>
      <c r="K1683" s="30"/>
      <c r="L1683" s="30"/>
      <c r="M1683" s="30"/>
      <c r="N1683" s="30"/>
      <c r="O1683" s="30"/>
      <c r="P1683" s="30"/>
      <c r="Q1683" s="30"/>
      <c r="R1683" s="30"/>
      <c r="S1683" s="30"/>
      <c r="T1683" s="30"/>
      <c r="U1683" s="30"/>
      <c r="V1683" s="30"/>
      <c r="W1683" s="30"/>
      <c r="X1683" s="30"/>
      <c r="Y1683" s="30"/>
      <c r="Z1683" s="30"/>
    </row>
    <row r="1684">
      <c r="A1684" s="29"/>
      <c r="B1684" s="29"/>
      <c r="C1684" s="30"/>
      <c r="D1684" s="30"/>
      <c r="E1684" s="30"/>
      <c r="F1684" s="30"/>
      <c r="G1684" s="30"/>
      <c r="H1684" s="30"/>
      <c r="I1684" s="30"/>
      <c r="J1684" s="30"/>
      <c r="K1684" s="30"/>
      <c r="L1684" s="30"/>
      <c r="M1684" s="30"/>
      <c r="N1684" s="30"/>
      <c r="O1684" s="30"/>
      <c r="P1684" s="30"/>
      <c r="Q1684" s="30"/>
      <c r="R1684" s="30"/>
      <c r="S1684" s="30"/>
      <c r="T1684" s="30"/>
      <c r="U1684" s="30"/>
      <c r="V1684" s="30"/>
      <c r="W1684" s="30"/>
      <c r="X1684" s="30"/>
      <c r="Y1684" s="30"/>
      <c r="Z1684" s="30"/>
    </row>
    <row r="1685">
      <c r="A1685" s="29"/>
      <c r="B1685" s="29"/>
      <c r="C1685" s="30"/>
      <c r="D1685" s="30"/>
      <c r="E1685" s="30"/>
      <c r="F1685" s="30"/>
      <c r="G1685" s="30"/>
      <c r="H1685" s="30"/>
      <c r="I1685" s="30"/>
      <c r="J1685" s="30"/>
      <c r="K1685" s="30"/>
      <c r="L1685" s="30"/>
      <c r="M1685" s="30"/>
      <c r="N1685" s="30"/>
      <c r="O1685" s="30"/>
      <c r="P1685" s="30"/>
      <c r="Q1685" s="30"/>
      <c r="R1685" s="30"/>
      <c r="S1685" s="30"/>
      <c r="T1685" s="30"/>
      <c r="U1685" s="30"/>
      <c r="V1685" s="30"/>
      <c r="W1685" s="30"/>
      <c r="X1685" s="30"/>
      <c r="Y1685" s="30"/>
      <c r="Z1685" s="30"/>
    </row>
    <row r="1686">
      <c r="A1686" s="29"/>
      <c r="B1686" s="29"/>
      <c r="C1686" s="30"/>
      <c r="D1686" s="30"/>
      <c r="E1686" s="30"/>
      <c r="F1686" s="30"/>
      <c r="G1686" s="30"/>
      <c r="H1686" s="30"/>
      <c r="I1686" s="30"/>
      <c r="J1686" s="30"/>
      <c r="K1686" s="30"/>
      <c r="L1686" s="30"/>
      <c r="M1686" s="30"/>
      <c r="N1686" s="30"/>
      <c r="O1686" s="30"/>
      <c r="P1686" s="30"/>
      <c r="Q1686" s="30"/>
      <c r="R1686" s="30"/>
      <c r="S1686" s="30"/>
      <c r="T1686" s="30"/>
      <c r="U1686" s="30"/>
      <c r="V1686" s="30"/>
      <c r="W1686" s="30"/>
      <c r="X1686" s="30"/>
      <c r="Y1686" s="30"/>
      <c r="Z1686" s="30"/>
    </row>
    <row r="1687">
      <c r="A1687" s="29"/>
      <c r="B1687" s="29"/>
      <c r="C1687" s="30"/>
      <c r="D1687" s="30"/>
      <c r="E1687" s="30"/>
      <c r="F1687" s="30"/>
      <c r="G1687" s="30"/>
      <c r="H1687" s="30"/>
      <c r="I1687" s="30"/>
      <c r="J1687" s="30"/>
      <c r="K1687" s="30"/>
      <c r="L1687" s="30"/>
      <c r="M1687" s="30"/>
      <c r="N1687" s="30"/>
      <c r="O1687" s="30"/>
      <c r="P1687" s="30"/>
      <c r="Q1687" s="30"/>
      <c r="R1687" s="30"/>
      <c r="S1687" s="30"/>
      <c r="T1687" s="30"/>
      <c r="U1687" s="30"/>
      <c r="V1687" s="30"/>
      <c r="W1687" s="30"/>
      <c r="X1687" s="30"/>
      <c r="Y1687" s="30"/>
      <c r="Z1687" s="30"/>
    </row>
    <row r="1688">
      <c r="A1688" s="29"/>
      <c r="B1688" s="29"/>
      <c r="C1688" s="30"/>
      <c r="D1688" s="30"/>
      <c r="E1688" s="30"/>
      <c r="F1688" s="30"/>
      <c r="G1688" s="30"/>
      <c r="H1688" s="30"/>
      <c r="I1688" s="30"/>
      <c r="J1688" s="30"/>
      <c r="K1688" s="30"/>
      <c r="L1688" s="30"/>
      <c r="M1688" s="30"/>
      <c r="N1688" s="30"/>
      <c r="O1688" s="30"/>
      <c r="P1688" s="30"/>
      <c r="Q1688" s="30"/>
      <c r="R1688" s="30"/>
      <c r="S1688" s="30"/>
      <c r="T1688" s="30"/>
      <c r="U1688" s="30"/>
      <c r="V1688" s="30"/>
      <c r="W1688" s="30"/>
      <c r="X1688" s="30"/>
      <c r="Y1688" s="30"/>
      <c r="Z1688" s="30"/>
    </row>
    <row r="1689">
      <c r="A1689" s="29"/>
      <c r="B1689" s="29"/>
      <c r="C1689" s="30"/>
      <c r="D1689" s="30"/>
      <c r="E1689" s="30"/>
      <c r="F1689" s="30"/>
      <c r="G1689" s="30"/>
      <c r="H1689" s="30"/>
      <c r="I1689" s="30"/>
      <c r="J1689" s="30"/>
      <c r="K1689" s="30"/>
      <c r="L1689" s="30"/>
      <c r="M1689" s="30"/>
      <c r="N1689" s="30"/>
      <c r="O1689" s="30"/>
      <c r="P1689" s="30"/>
      <c r="Q1689" s="30"/>
      <c r="R1689" s="30"/>
      <c r="S1689" s="30"/>
      <c r="T1689" s="30"/>
      <c r="U1689" s="30"/>
      <c r="V1689" s="30"/>
      <c r="W1689" s="30"/>
      <c r="X1689" s="30"/>
      <c r="Y1689" s="30"/>
      <c r="Z1689" s="30"/>
    </row>
    <row r="1690">
      <c r="A1690" s="29"/>
      <c r="B1690" s="29"/>
      <c r="C1690" s="30"/>
      <c r="D1690" s="30"/>
      <c r="E1690" s="30"/>
      <c r="F1690" s="30"/>
      <c r="G1690" s="30"/>
      <c r="H1690" s="30"/>
      <c r="I1690" s="30"/>
      <c r="J1690" s="30"/>
      <c r="K1690" s="30"/>
      <c r="L1690" s="30"/>
      <c r="M1690" s="30"/>
      <c r="N1690" s="30"/>
      <c r="O1690" s="30"/>
      <c r="P1690" s="30"/>
      <c r="Q1690" s="30"/>
      <c r="R1690" s="30"/>
      <c r="S1690" s="30"/>
      <c r="T1690" s="30"/>
      <c r="U1690" s="30"/>
      <c r="V1690" s="30"/>
      <c r="W1690" s="30"/>
      <c r="X1690" s="30"/>
      <c r="Y1690" s="30"/>
      <c r="Z1690" s="30"/>
    </row>
    <row r="1691">
      <c r="A1691" s="29"/>
      <c r="B1691" s="29"/>
      <c r="C1691" s="30"/>
      <c r="D1691" s="30"/>
      <c r="E1691" s="30"/>
      <c r="F1691" s="30"/>
      <c r="G1691" s="30"/>
      <c r="H1691" s="30"/>
      <c r="I1691" s="30"/>
      <c r="J1691" s="30"/>
      <c r="K1691" s="30"/>
      <c r="L1691" s="30"/>
      <c r="M1691" s="30"/>
      <c r="N1691" s="30"/>
      <c r="O1691" s="30"/>
      <c r="P1691" s="30"/>
      <c r="Q1691" s="30"/>
      <c r="R1691" s="30"/>
      <c r="S1691" s="30"/>
      <c r="T1691" s="30"/>
      <c r="U1691" s="30"/>
      <c r="V1691" s="30"/>
      <c r="W1691" s="30"/>
      <c r="X1691" s="30"/>
      <c r="Y1691" s="30"/>
      <c r="Z1691" s="30"/>
    </row>
    <row r="1692">
      <c r="A1692" s="29"/>
      <c r="B1692" s="29"/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  <c r="O1692" s="30"/>
      <c r="P1692" s="30"/>
      <c r="Q1692" s="30"/>
      <c r="R1692" s="30"/>
      <c r="S1692" s="30"/>
      <c r="T1692" s="30"/>
      <c r="U1692" s="30"/>
      <c r="V1692" s="30"/>
      <c r="W1692" s="30"/>
      <c r="X1692" s="30"/>
      <c r="Y1692" s="30"/>
      <c r="Z1692" s="30"/>
    </row>
    <row r="1693">
      <c r="A1693" s="29"/>
      <c r="B1693" s="29"/>
      <c r="C1693" s="30"/>
      <c r="D1693" s="30"/>
      <c r="E1693" s="30"/>
      <c r="F1693" s="30"/>
      <c r="G1693" s="30"/>
      <c r="H1693" s="30"/>
      <c r="I1693" s="30"/>
      <c r="J1693" s="30"/>
      <c r="K1693" s="30"/>
      <c r="L1693" s="30"/>
      <c r="M1693" s="30"/>
      <c r="N1693" s="30"/>
      <c r="O1693" s="30"/>
      <c r="P1693" s="30"/>
      <c r="Q1693" s="30"/>
      <c r="R1693" s="30"/>
      <c r="S1693" s="30"/>
      <c r="T1693" s="30"/>
      <c r="U1693" s="30"/>
      <c r="V1693" s="30"/>
      <c r="W1693" s="30"/>
      <c r="X1693" s="30"/>
      <c r="Y1693" s="30"/>
      <c r="Z1693" s="30"/>
    </row>
    <row r="1694">
      <c r="A1694" s="29"/>
      <c r="B1694" s="29"/>
      <c r="C1694" s="30"/>
      <c r="D1694" s="30"/>
      <c r="E1694" s="30"/>
      <c r="F1694" s="30"/>
      <c r="G1694" s="30"/>
      <c r="H1694" s="30"/>
      <c r="I1694" s="30"/>
      <c r="J1694" s="30"/>
      <c r="K1694" s="30"/>
      <c r="L1694" s="30"/>
      <c r="M1694" s="30"/>
      <c r="N1694" s="30"/>
      <c r="O1694" s="30"/>
      <c r="P1694" s="30"/>
      <c r="Q1694" s="30"/>
      <c r="R1694" s="30"/>
      <c r="S1694" s="30"/>
      <c r="T1694" s="30"/>
      <c r="U1694" s="30"/>
      <c r="V1694" s="30"/>
      <c r="W1694" s="30"/>
      <c r="X1694" s="30"/>
      <c r="Y1694" s="30"/>
      <c r="Z1694" s="30"/>
    </row>
    <row r="1695">
      <c r="A1695" s="29"/>
      <c r="B1695" s="29"/>
      <c r="C1695" s="30"/>
      <c r="D1695" s="30"/>
      <c r="E1695" s="30"/>
      <c r="F1695" s="30"/>
      <c r="G1695" s="30"/>
      <c r="H1695" s="30"/>
      <c r="I1695" s="30"/>
      <c r="J1695" s="30"/>
      <c r="K1695" s="30"/>
      <c r="L1695" s="30"/>
      <c r="M1695" s="30"/>
      <c r="N1695" s="30"/>
      <c r="O1695" s="30"/>
      <c r="P1695" s="30"/>
      <c r="Q1695" s="30"/>
      <c r="R1695" s="30"/>
      <c r="S1695" s="30"/>
      <c r="T1695" s="30"/>
      <c r="U1695" s="30"/>
      <c r="V1695" s="30"/>
      <c r="W1695" s="30"/>
      <c r="X1695" s="30"/>
      <c r="Y1695" s="30"/>
      <c r="Z1695" s="30"/>
    </row>
    <row r="1696">
      <c r="A1696" s="29"/>
      <c r="B1696" s="29"/>
      <c r="C1696" s="30"/>
      <c r="D1696" s="30"/>
      <c r="E1696" s="30"/>
      <c r="F1696" s="30"/>
      <c r="G1696" s="30"/>
      <c r="H1696" s="30"/>
      <c r="I1696" s="30"/>
      <c r="J1696" s="30"/>
      <c r="K1696" s="30"/>
      <c r="L1696" s="30"/>
      <c r="M1696" s="30"/>
      <c r="N1696" s="30"/>
      <c r="O1696" s="30"/>
      <c r="P1696" s="30"/>
      <c r="Q1696" s="30"/>
      <c r="R1696" s="30"/>
      <c r="S1696" s="30"/>
      <c r="T1696" s="30"/>
      <c r="U1696" s="30"/>
      <c r="V1696" s="30"/>
      <c r="W1696" s="30"/>
      <c r="X1696" s="30"/>
      <c r="Y1696" s="30"/>
      <c r="Z1696" s="30"/>
    </row>
    <row r="1697">
      <c r="A1697" s="29"/>
      <c r="B1697" s="29"/>
      <c r="C1697" s="30"/>
      <c r="D1697" s="30"/>
      <c r="E1697" s="30"/>
      <c r="F1697" s="30"/>
      <c r="G1697" s="30"/>
      <c r="H1697" s="30"/>
      <c r="I1697" s="30"/>
      <c r="J1697" s="30"/>
      <c r="K1697" s="30"/>
      <c r="L1697" s="30"/>
      <c r="M1697" s="30"/>
      <c r="N1697" s="30"/>
      <c r="O1697" s="30"/>
      <c r="P1697" s="30"/>
      <c r="Q1697" s="30"/>
      <c r="R1697" s="30"/>
      <c r="S1697" s="30"/>
      <c r="T1697" s="30"/>
      <c r="U1697" s="30"/>
      <c r="V1697" s="30"/>
      <c r="W1697" s="30"/>
      <c r="X1697" s="30"/>
      <c r="Y1697" s="30"/>
      <c r="Z1697" s="30"/>
    </row>
    <row r="1698">
      <c r="A1698" s="29"/>
      <c r="B1698" s="29"/>
      <c r="C1698" s="30"/>
      <c r="D1698" s="30"/>
      <c r="E1698" s="30"/>
      <c r="F1698" s="30"/>
      <c r="G1698" s="30"/>
      <c r="H1698" s="30"/>
      <c r="I1698" s="30"/>
      <c r="J1698" s="30"/>
      <c r="K1698" s="30"/>
      <c r="L1698" s="30"/>
      <c r="M1698" s="30"/>
      <c r="N1698" s="30"/>
      <c r="O1698" s="30"/>
      <c r="P1698" s="30"/>
      <c r="Q1698" s="30"/>
      <c r="R1698" s="30"/>
      <c r="S1698" s="30"/>
      <c r="T1698" s="30"/>
      <c r="U1698" s="30"/>
      <c r="V1698" s="30"/>
      <c r="W1698" s="30"/>
      <c r="X1698" s="30"/>
      <c r="Y1698" s="30"/>
      <c r="Z1698" s="30"/>
    </row>
    <row r="1699">
      <c r="A1699" s="29"/>
      <c r="B1699" s="29"/>
      <c r="C1699" s="30"/>
      <c r="D1699" s="30"/>
      <c r="E1699" s="30"/>
      <c r="F1699" s="30"/>
      <c r="G1699" s="30"/>
      <c r="H1699" s="30"/>
      <c r="I1699" s="30"/>
      <c r="J1699" s="30"/>
      <c r="K1699" s="30"/>
      <c r="L1699" s="30"/>
      <c r="M1699" s="30"/>
      <c r="N1699" s="30"/>
      <c r="O1699" s="30"/>
      <c r="P1699" s="30"/>
      <c r="Q1699" s="30"/>
      <c r="R1699" s="30"/>
      <c r="S1699" s="30"/>
      <c r="T1699" s="30"/>
      <c r="U1699" s="30"/>
      <c r="V1699" s="30"/>
      <c r="W1699" s="30"/>
      <c r="X1699" s="30"/>
      <c r="Y1699" s="30"/>
      <c r="Z1699" s="30"/>
    </row>
    <row r="1700">
      <c r="A1700" s="29"/>
      <c r="B1700" s="29"/>
      <c r="C1700" s="30"/>
      <c r="D1700" s="30"/>
      <c r="E1700" s="30"/>
      <c r="F1700" s="30"/>
      <c r="G1700" s="30"/>
      <c r="H1700" s="30"/>
      <c r="I1700" s="30"/>
      <c r="J1700" s="30"/>
      <c r="K1700" s="30"/>
      <c r="L1700" s="30"/>
      <c r="M1700" s="30"/>
      <c r="N1700" s="30"/>
      <c r="O1700" s="30"/>
      <c r="P1700" s="30"/>
      <c r="Q1700" s="30"/>
      <c r="R1700" s="30"/>
      <c r="S1700" s="30"/>
      <c r="T1700" s="30"/>
      <c r="U1700" s="30"/>
      <c r="V1700" s="30"/>
      <c r="W1700" s="30"/>
      <c r="X1700" s="30"/>
      <c r="Y1700" s="30"/>
      <c r="Z1700" s="30"/>
    </row>
    <row r="1701">
      <c r="A1701" s="29"/>
      <c r="B1701" s="29"/>
      <c r="C1701" s="30"/>
      <c r="D1701" s="30"/>
      <c r="E1701" s="30"/>
      <c r="F1701" s="30"/>
      <c r="G1701" s="30"/>
      <c r="H1701" s="30"/>
      <c r="I1701" s="30"/>
      <c r="J1701" s="30"/>
      <c r="K1701" s="30"/>
      <c r="L1701" s="30"/>
      <c r="M1701" s="30"/>
      <c r="N1701" s="30"/>
      <c r="O1701" s="30"/>
      <c r="P1701" s="30"/>
      <c r="Q1701" s="30"/>
      <c r="R1701" s="30"/>
      <c r="S1701" s="30"/>
      <c r="T1701" s="30"/>
      <c r="U1701" s="30"/>
      <c r="V1701" s="30"/>
      <c r="W1701" s="30"/>
      <c r="X1701" s="30"/>
      <c r="Y1701" s="30"/>
      <c r="Z1701" s="30"/>
    </row>
    <row r="1702">
      <c r="A1702" s="29"/>
      <c r="B1702" s="29"/>
      <c r="C1702" s="30"/>
      <c r="D1702" s="30"/>
      <c r="E1702" s="30"/>
      <c r="F1702" s="30"/>
      <c r="G1702" s="30"/>
      <c r="H1702" s="30"/>
      <c r="I1702" s="30"/>
      <c r="J1702" s="30"/>
      <c r="K1702" s="30"/>
      <c r="L1702" s="30"/>
      <c r="M1702" s="30"/>
      <c r="N1702" s="30"/>
      <c r="O1702" s="30"/>
      <c r="P1702" s="30"/>
      <c r="Q1702" s="30"/>
      <c r="R1702" s="30"/>
      <c r="S1702" s="30"/>
      <c r="T1702" s="30"/>
      <c r="U1702" s="30"/>
      <c r="V1702" s="30"/>
      <c r="W1702" s="30"/>
      <c r="X1702" s="30"/>
      <c r="Y1702" s="30"/>
      <c r="Z1702" s="30"/>
    </row>
    <row r="1703">
      <c r="A1703" s="29"/>
      <c r="B1703" s="29"/>
      <c r="C1703" s="30"/>
      <c r="D1703" s="30"/>
      <c r="E1703" s="30"/>
      <c r="F1703" s="30"/>
      <c r="G1703" s="30"/>
      <c r="H1703" s="30"/>
      <c r="I1703" s="30"/>
      <c r="J1703" s="30"/>
      <c r="K1703" s="30"/>
      <c r="L1703" s="30"/>
      <c r="M1703" s="30"/>
      <c r="N1703" s="30"/>
      <c r="O1703" s="30"/>
      <c r="P1703" s="30"/>
      <c r="Q1703" s="30"/>
      <c r="R1703" s="30"/>
      <c r="S1703" s="30"/>
      <c r="T1703" s="30"/>
      <c r="U1703" s="30"/>
      <c r="V1703" s="30"/>
      <c r="W1703" s="30"/>
      <c r="X1703" s="30"/>
      <c r="Y1703" s="30"/>
      <c r="Z1703" s="30"/>
    </row>
    <row r="1704">
      <c r="A1704" s="29"/>
      <c r="B1704" s="29"/>
      <c r="C1704" s="30"/>
      <c r="D1704" s="30"/>
      <c r="E1704" s="30"/>
      <c r="F1704" s="30"/>
      <c r="G1704" s="30"/>
      <c r="H1704" s="30"/>
      <c r="I1704" s="30"/>
      <c r="J1704" s="30"/>
      <c r="K1704" s="30"/>
      <c r="L1704" s="30"/>
      <c r="M1704" s="30"/>
      <c r="N1704" s="30"/>
      <c r="O1704" s="30"/>
      <c r="P1704" s="30"/>
      <c r="Q1704" s="30"/>
      <c r="R1704" s="30"/>
      <c r="S1704" s="30"/>
      <c r="T1704" s="30"/>
      <c r="U1704" s="30"/>
      <c r="V1704" s="30"/>
      <c r="W1704" s="30"/>
      <c r="X1704" s="30"/>
      <c r="Y1704" s="30"/>
      <c r="Z1704" s="30"/>
    </row>
    <row r="1705">
      <c r="A1705" s="29"/>
      <c r="B1705" s="29"/>
      <c r="C1705" s="30"/>
      <c r="D1705" s="30"/>
      <c r="E1705" s="30"/>
      <c r="F1705" s="30"/>
      <c r="G1705" s="30"/>
      <c r="H1705" s="30"/>
      <c r="I1705" s="30"/>
      <c r="J1705" s="30"/>
      <c r="K1705" s="30"/>
      <c r="L1705" s="30"/>
      <c r="M1705" s="30"/>
      <c r="N1705" s="30"/>
      <c r="O1705" s="30"/>
      <c r="P1705" s="30"/>
      <c r="Q1705" s="30"/>
      <c r="R1705" s="30"/>
      <c r="S1705" s="30"/>
      <c r="T1705" s="30"/>
      <c r="U1705" s="30"/>
      <c r="V1705" s="30"/>
      <c r="W1705" s="30"/>
      <c r="X1705" s="30"/>
      <c r="Y1705" s="30"/>
      <c r="Z1705" s="30"/>
    </row>
    <row r="1706">
      <c r="A1706" s="29"/>
      <c r="B1706" s="29"/>
      <c r="C1706" s="30"/>
      <c r="D1706" s="30"/>
      <c r="E1706" s="30"/>
      <c r="F1706" s="30"/>
      <c r="G1706" s="30"/>
      <c r="H1706" s="30"/>
      <c r="I1706" s="30"/>
      <c r="J1706" s="30"/>
      <c r="K1706" s="30"/>
      <c r="L1706" s="30"/>
      <c r="M1706" s="30"/>
      <c r="N1706" s="30"/>
      <c r="O1706" s="30"/>
      <c r="P1706" s="30"/>
      <c r="Q1706" s="30"/>
      <c r="R1706" s="30"/>
      <c r="S1706" s="30"/>
      <c r="T1706" s="30"/>
      <c r="U1706" s="30"/>
      <c r="V1706" s="30"/>
      <c r="W1706" s="30"/>
      <c r="X1706" s="30"/>
      <c r="Y1706" s="30"/>
      <c r="Z1706" s="30"/>
    </row>
    <row r="1707">
      <c r="A1707" s="29"/>
      <c r="B1707" s="29"/>
      <c r="C1707" s="30"/>
      <c r="D1707" s="30"/>
      <c r="E1707" s="30"/>
      <c r="F1707" s="30"/>
      <c r="G1707" s="30"/>
      <c r="H1707" s="30"/>
      <c r="I1707" s="30"/>
      <c r="J1707" s="30"/>
      <c r="K1707" s="30"/>
      <c r="L1707" s="30"/>
      <c r="M1707" s="30"/>
      <c r="N1707" s="30"/>
      <c r="O1707" s="30"/>
      <c r="P1707" s="30"/>
      <c r="Q1707" s="30"/>
      <c r="R1707" s="30"/>
      <c r="S1707" s="30"/>
      <c r="T1707" s="30"/>
      <c r="U1707" s="30"/>
      <c r="V1707" s="30"/>
      <c r="W1707" s="30"/>
      <c r="X1707" s="30"/>
      <c r="Y1707" s="30"/>
      <c r="Z1707" s="30"/>
    </row>
    <row r="1708">
      <c r="A1708" s="29"/>
      <c r="B1708" s="29"/>
      <c r="C1708" s="30"/>
      <c r="D1708" s="30"/>
      <c r="E1708" s="30"/>
      <c r="F1708" s="30"/>
      <c r="G1708" s="30"/>
      <c r="H1708" s="30"/>
      <c r="I1708" s="30"/>
      <c r="J1708" s="30"/>
      <c r="K1708" s="30"/>
      <c r="L1708" s="30"/>
      <c r="M1708" s="30"/>
      <c r="N1708" s="30"/>
      <c r="O1708" s="30"/>
      <c r="P1708" s="30"/>
      <c r="Q1708" s="30"/>
      <c r="R1708" s="30"/>
      <c r="S1708" s="30"/>
      <c r="T1708" s="30"/>
      <c r="U1708" s="30"/>
      <c r="V1708" s="30"/>
      <c r="W1708" s="30"/>
      <c r="X1708" s="30"/>
      <c r="Y1708" s="30"/>
      <c r="Z1708" s="30"/>
    </row>
    <row r="1709">
      <c r="A1709" s="29"/>
      <c r="B1709" s="29"/>
      <c r="C1709" s="30"/>
      <c r="D1709" s="30"/>
      <c r="E1709" s="30"/>
      <c r="F1709" s="30"/>
      <c r="G1709" s="30"/>
      <c r="H1709" s="30"/>
      <c r="I1709" s="30"/>
      <c r="J1709" s="30"/>
      <c r="K1709" s="30"/>
      <c r="L1709" s="30"/>
      <c r="M1709" s="30"/>
      <c r="N1709" s="30"/>
      <c r="O1709" s="30"/>
      <c r="P1709" s="30"/>
      <c r="Q1709" s="30"/>
      <c r="R1709" s="30"/>
      <c r="S1709" s="30"/>
      <c r="T1709" s="30"/>
      <c r="U1709" s="30"/>
      <c r="V1709" s="30"/>
      <c r="W1709" s="30"/>
      <c r="X1709" s="30"/>
      <c r="Y1709" s="30"/>
      <c r="Z1709" s="30"/>
    </row>
    <row r="1710">
      <c r="A1710" s="29"/>
      <c r="B1710" s="29"/>
      <c r="C1710" s="30"/>
      <c r="D1710" s="30"/>
      <c r="E1710" s="30"/>
      <c r="F1710" s="30"/>
      <c r="G1710" s="30"/>
      <c r="H1710" s="30"/>
      <c r="I1710" s="30"/>
      <c r="J1710" s="30"/>
      <c r="K1710" s="30"/>
      <c r="L1710" s="30"/>
      <c r="M1710" s="30"/>
      <c r="N1710" s="30"/>
      <c r="O1710" s="30"/>
      <c r="P1710" s="30"/>
      <c r="Q1710" s="30"/>
      <c r="R1710" s="30"/>
      <c r="S1710" s="30"/>
      <c r="T1710" s="30"/>
      <c r="U1710" s="30"/>
      <c r="V1710" s="30"/>
      <c r="W1710" s="30"/>
      <c r="X1710" s="30"/>
      <c r="Y1710" s="30"/>
      <c r="Z1710" s="30"/>
    </row>
    <row r="1711">
      <c r="A1711" s="29"/>
      <c r="B1711" s="29"/>
      <c r="C1711" s="30"/>
      <c r="D1711" s="30"/>
      <c r="E1711" s="30"/>
      <c r="F1711" s="30"/>
      <c r="G1711" s="30"/>
      <c r="H1711" s="30"/>
      <c r="I1711" s="30"/>
      <c r="J1711" s="30"/>
      <c r="K1711" s="30"/>
      <c r="L1711" s="30"/>
      <c r="M1711" s="30"/>
      <c r="N1711" s="30"/>
      <c r="O1711" s="30"/>
      <c r="P1711" s="30"/>
      <c r="Q1711" s="30"/>
      <c r="R1711" s="30"/>
      <c r="S1711" s="30"/>
      <c r="T1711" s="30"/>
      <c r="U1711" s="30"/>
      <c r="V1711" s="30"/>
      <c r="W1711" s="30"/>
      <c r="X1711" s="30"/>
      <c r="Y1711" s="30"/>
      <c r="Z1711" s="30"/>
    </row>
    <row r="1712">
      <c r="A1712" s="29"/>
      <c r="B1712" s="29"/>
      <c r="C1712" s="30"/>
      <c r="D1712" s="30"/>
      <c r="E1712" s="30"/>
      <c r="F1712" s="30"/>
      <c r="G1712" s="30"/>
      <c r="H1712" s="30"/>
      <c r="I1712" s="30"/>
      <c r="J1712" s="30"/>
      <c r="K1712" s="30"/>
      <c r="L1712" s="30"/>
      <c r="M1712" s="30"/>
      <c r="N1712" s="30"/>
      <c r="O1712" s="30"/>
      <c r="P1712" s="30"/>
      <c r="Q1712" s="30"/>
      <c r="R1712" s="30"/>
      <c r="S1712" s="30"/>
      <c r="T1712" s="30"/>
      <c r="U1712" s="30"/>
      <c r="V1712" s="30"/>
      <c r="W1712" s="30"/>
      <c r="X1712" s="30"/>
      <c r="Y1712" s="30"/>
      <c r="Z1712" s="30"/>
    </row>
    <row r="1713">
      <c r="A1713" s="29"/>
      <c r="B1713" s="29"/>
      <c r="C1713" s="30"/>
      <c r="D1713" s="30"/>
      <c r="E1713" s="30"/>
      <c r="F1713" s="30"/>
      <c r="G1713" s="30"/>
      <c r="H1713" s="30"/>
      <c r="I1713" s="30"/>
      <c r="J1713" s="30"/>
      <c r="K1713" s="30"/>
      <c r="L1713" s="30"/>
      <c r="M1713" s="30"/>
      <c r="N1713" s="30"/>
      <c r="O1713" s="30"/>
      <c r="P1713" s="30"/>
      <c r="Q1713" s="30"/>
      <c r="R1713" s="30"/>
      <c r="S1713" s="30"/>
      <c r="T1713" s="30"/>
      <c r="U1713" s="30"/>
      <c r="V1713" s="30"/>
      <c r="W1713" s="30"/>
      <c r="X1713" s="30"/>
      <c r="Y1713" s="30"/>
      <c r="Z1713" s="30"/>
    </row>
    <row r="1714">
      <c r="A1714" s="29"/>
      <c r="B1714" s="29"/>
      <c r="C1714" s="30"/>
      <c r="D1714" s="30"/>
      <c r="E1714" s="30"/>
      <c r="F1714" s="30"/>
      <c r="G1714" s="30"/>
      <c r="H1714" s="30"/>
      <c r="I1714" s="30"/>
      <c r="J1714" s="30"/>
      <c r="K1714" s="30"/>
      <c r="L1714" s="30"/>
      <c r="M1714" s="30"/>
      <c r="N1714" s="30"/>
      <c r="O1714" s="30"/>
      <c r="P1714" s="30"/>
      <c r="Q1714" s="30"/>
      <c r="R1714" s="30"/>
      <c r="S1714" s="30"/>
      <c r="T1714" s="30"/>
      <c r="U1714" s="30"/>
      <c r="V1714" s="30"/>
      <c r="W1714" s="30"/>
      <c r="X1714" s="30"/>
      <c r="Y1714" s="30"/>
      <c r="Z1714" s="30"/>
    </row>
    <row r="1715">
      <c r="A1715" s="29"/>
      <c r="B1715" s="29"/>
      <c r="C1715" s="30"/>
      <c r="D1715" s="30"/>
      <c r="E1715" s="30"/>
      <c r="F1715" s="30"/>
      <c r="G1715" s="30"/>
      <c r="H1715" s="30"/>
      <c r="I1715" s="30"/>
      <c r="J1715" s="30"/>
      <c r="K1715" s="30"/>
      <c r="L1715" s="30"/>
      <c r="M1715" s="30"/>
      <c r="N1715" s="30"/>
      <c r="O1715" s="30"/>
      <c r="P1715" s="30"/>
      <c r="Q1715" s="30"/>
      <c r="R1715" s="30"/>
      <c r="S1715" s="30"/>
      <c r="T1715" s="30"/>
      <c r="U1715" s="30"/>
      <c r="V1715" s="30"/>
      <c r="W1715" s="30"/>
      <c r="X1715" s="30"/>
      <c r="Y1715" s="30"/>
      <c r="Z1715" s="30"/>
    </row>
    <row r="1716">
      <c r="A1716" s="29"/>
      <c r="B1716" s="29"/>
      <c r="C1716" s="30"/>
      <c r="D1716" s="30"/>
      <c r="E1716" s="30"/>
      <c r="F1716" s="30"/>
      <c r="G1716" s="30"/>
      <c r="H1716" s="30"/>
      <c r="I1716" s="30"/>
      <c r="J1716" s="30"/>
      <c r="K1716" s="30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0"/>
      <c r="X1716" s="30"/>
      <c r="Y1716" s="30"/>
      <c r="Z1716" s="30"/>
    </row>
    <row r="1717">
      <c r="A1717" s="29"/>
      <c r="B1717" s="29"/>
      <c r="C1717" s="30"/>
      <c r="D1717" s="30"/>
      <c r="E1717" s="30"/>
      <c r="F1717" s="30"/>
      <c r="G1717" s="30"/>
      <c r="H1717" s="30"/>
      <c r="I1717" s="30"/>
      <c r="J1717" s="30"/>
      <c r="K1717" s="30"/>
      <c r="L1717" s="30"/>
      <c r="M1717" s="30"/>
      <c r="N1717" s="30"/>
      <c r="O1717" s="30"/>
      <c r="P1717" s="30"/>
      <c r="Q1717" s="30"/>
      <c r="R1717" s="30"/>
      <c r="S1717" s="30"/>
      <c r="T1717" s="30"/>
      <c r="U1717" s="30"/>
      <c r="V1717" s="30"/>
      <c r="W1717" s="30"/>
      <c r="X1717" s="30"/>
      <c r="Y1717" s="30"/>
      <c r="Z1717" s="30"/>
    </row>
    <row r="1718">
      <c r="A1718" s="29"/>
      <c r="B1718" s="29"/>
      <c r="C1718" s="30"/>
      <c r="D1718" s="30"/>
      <c r="E1718" s="30"/>
      <c r="F1718" s="30"/>
      <c r="G1718" s="30"/>
      <c r="H1718" s="30"/>
      <c r="I1718" s="30"/>
      <c r="J1718" s="30"/>
      <c r="K1718" s="30"/>
      <c r="L1718" s="30"/>
      <c r="M1718" s="30"/>
      <c r="N1718" s="30"/>
      <c r="O1718" s="30"/>
      <c r="P1718" s="30"/>
      <c r="Q1718" s="30"/>
      <c r="R1718" s="30"/>
      <c r="S1718" s="30"/>
      <c r="T1718" s="30"/>
      <c r="U1718" s="30"/>
      <c r="V1718" s="30"/>
      <c r="W1718" s="30"/>
      <c r="X1718" s="30"/>
      <c r="Y1718" s="30"/>
      <c r="Z1718" s="30"/>
    </row>
    <row r="1719">
      <c r="A1719" s="29"/>
      <c r="B1719" s="29"/>
      <c r="C1719" s="30"/>
      <c r="D1719" s="30"/>
      <c r="E1719" s="30"/>
      <c r="F1719" s="30"/>
      <c r="G1719" s="30"/>
      <c r="H1719" s="30"/>
      <c r="I1719" s="30"/>
      <c r="J1719" s="30"/>
      <c r="K1719" s="30"/>
      <c r="L1719" s="30"/>
      <c r="M1719" s="30"/>
      <c r="N1719" s="30"/>
      <c r="O1719" s="30"/>
      <c r="P1719" s="30"/>
      <c r="Q1719" s="30"/>
      <c r="R1719" s="30"/>
      <c r="S1719" s="30"/>
      <c r="T1719" s="30"/>
      <c r="U1719" s="30"/>
      <c r="V1719" s="30"/>
      <c r="W1719" s="30"/>
      <c r="X1719" s="30"/>
      <c r="Y1719" s="30"/>
      <c r="Z1719" s="30"/>
    </row>
    <row r="1720">
      <c r="A1720" s="29"/>
      <c r="B1720" s="29"/>
      <c r="C1720" s="30"/>
      <c r="D1720" s="30"/>
      <c r="E1720" s="30"/>
      <c r="F1720" s="30"/>
      <c r="G1720" s="30"/>
      <c r="H1720" s="30"/>
      <c r="I1720" s="30"/>
      <c r="J1720" s="30"/>
      <c r="K1720" s="30"/>
      <c r="L1720" s="30"/>
      <c r="M1720" s="30"/>
      <c r="N1720" s="30"/>
      <c r="O1720" s="30"/>
      <c r="P1720" s="30"/>
      <c r="Q1720" s="30"/>
      <c r="R1720" s="30"/>
      <c r="S1720" s="30"/>
      <c r="T1720" s="30"/>
      <c r="U1720" s="30"/>
      <c r="V1720" s="30"/>
      <c r="W1720" s="30"/>
      <c r="X1720" s="30"/>
      <c r="Y1720" s="30"/>
      <c r="Z1720" s="30"/>
    </row>
    <row r="1721">
      <c r="A1721" s="29"/>
      <c r="B1721" s="29"/>
      <c r="C1721" s="30"/>
      <c r="D1721" s="30"/>
      <c r="E1721" s="30"/>
      <c r="F1721" s="30"/>
      <c r="G1721" s="30"/>
      <c r="H1721" s="30"/>
      <c r="I1721" s="30"/>
      <c r="J1721" s="30"/>
      <c r="K1721" s="30"/>
      <c r="L1721" s="30"/>
      <c r="M1721" s="30"/>
      <c r="N1721" s="30"/>
      <c r="O1721" s="30"/>
      <c r="P1721" s="30"/>
      <c r="Q1721" s="30"/>
      <c r="R1721" s="30"/>
      <c r="S1721" s="30"/>
      <c r="T1721" s="30"/>
      <c r="U1721" s="30"/>
      <c r="V1721" s="30"/>
      <c r="W1721" s="30"/>
      <c r="X1721" s="30"/>
      <c r="Y1721" s="30"/>
      <c r="Z1721" s="30"/>
    </row>
    <row r="1722">
      <c r="A1722" s="29"/>
      <c r="B1722" s="29"/>
      <c r="C1722" s="30"/>
      <c r="D1722" s="30"/>
      <c r="E1722" s="30"/>
      <c r="F1722" s="30"/>
      <c r="G1722" s="30"/>
      <c r="H1722" s="30"/>
      <c r="I1722" s="30"/>
      <c r="J1722" s="30"/>
      <c r="K1722" s="30"/>
      <c r="L1722" s="30"/>
      <c r="M1722" s="30"/>
      <c r="N1722" s="30"/>
      <c r="O1722" s="30"/>
      <c r="P1722" s="30"/>
      <c r="Q1722" s="30"/>
      <c r="R1722" s="30"/>
      <c r="S1722" s="30"/>
      <c r="T1722" s="30"/>
      <c r="U1722" s="30"/>
      <c r="V1722" s="30"/>
      <c r="W1722" s="30"/>
      <c r="X1722" s="30"/>
      <c r="Y1722" s="30"/>
      <c r="Z1722" s="30"/>
    </row>
    <row r="1723">
      <c r="A1723" s="29"/>
      <c r="B1723" s="29"/>
      <c r="C1723" s="30"/>
      <c r="D1723" s="30"/>
      <c r="E1723" s="30"/>
      <c r="F1723" s="30"/>
      <c r="G1723" s="30"/>
      <c r="H1723" s="30"/>
      <c r="I1723" s="30"/>
      <c r="J1723" s="30"/>
      <c r="K1723" s="30"/>
      <c r="L1723" s="30"/>
      <c r="M1723" s="30"/>
      <c r="N1723" s="30"/>
      <c r="O1723" s="30"/>
      <c r="P1723" s="30"/>
      <c r="Q1723" s="30"/>
      <c r="R1723" s="30"/>
      <c r="S1723" s="30"/>
      <c r="T1723" s="30"/>
      <c r="U1723" s="30"/>
      <c r="V1723" s="30"/>
      <c r="W1723" s="30"/>
      <c r="X1723" s="30"/>
      <c r="Y1723" s="30"/>
      <c r="Z1723" s="30"/>
    </row>
    <row r="1724">
      <c r="A1724" s="29"/>
      <c r="B1724" s="29"/>
      <c r="C1724" s="30"/>
      <c r="D1724" s="30"/>
      <c r="E1724" s="30"/>
      <c r="F1724" s="30"/>
      <c r="G1724" s="30"/>
      <c r="H1724" s="30"/>
      <c r="I1724" s="30"/>
      <c r="J1724" s="30"/>
      <c r="K1724" s="30"/>
      <c r="L1724" s="30"/>
      <c r="M1724" s="30"/>
      <c r="N1724" s="30"/>
      <c r="O1724" s="30"/>
      <c r="P1724" s="30"/>
      <c r="Q1724" s="30"/>
      <c r="R1724" s="30"/>
      <c r="S1724" s="30"/>
      <c r="T1724" s="30"/>
      <c r="U1724" s="30"/>
      <c r="V1724" s="30"/>
      <c r="W1724" s="30"/>
      <c r="X1724" s="30"/>
      <c r="Y1724" s="30"/>
      <c r="Z1724" s="30"/>
    </row>
    <row r="1725">
      <c r="A1725" s="29"/>
      <c r="B1725" s="29"/>
      <c r="C1725" s="30"/>
      <c r="D1725" s="30"/>
      <c r="E1725" s="30"/>
      <c r="F1725" s="30"/>
      <c r="G1725" s="30"/>
      <c r="H1725" s="30"/>
      <c r="I1725" s="30"/>
      <c r="J1725" s="30"/>
      <c r="K1725" s="30"/>
      <c r="L1725" s="30"/>
      <c r="M1725" s="30"/>
      <c r="N1725" s="30"/>
      <c r="O1725" s="30"/>
      <c r="P1725" s="30"/>
      <c r="Q1725" s="30"/>
      <c r="R1725" s="30"/>
      <c r="S1725" s="30"/>
      <c r="T1725" s="30"/>
      <c r="U1725" s="30"/>
      <c r="V1725" s="30"/>
      <c r="W1725" s="30"/>
      <c r="X1725" s="30"/>
      <c r="Y1725" s="30"/>
      <c r="Z1725" s="30"/>
    </row>
    <row r="1726">
      <c r="A1726" s="29"/>
      <c r="B1726" s="29"/>
      <c r="C1726" s="30"/>
      <c r="D1726" s="30"/>
      <c r="E1726" s="30"/>
      <c r="F1726" s="30"/>
      <c r="G1726" s="30"/>
      <c r="H1726" s="30"/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/>
      <c r="W1726" s="30"/>
      <c r="X1726" s="30"/>
      <c r="Y1726" s="30"/>
      <c r="Z1726" s="30"/>
    </row>
    <row r="1727">
      <c r="A1727" s="29"/>
      <c r="B1727" s="29"/>
      <c r="C1727" s="30"/>
      <c r="D1727" s="30"/>
      <c r="E1727" s="30"/>
      <c r="F1727" s="30"/>
      <c r="G1727" s="30"/>
      <c r="H1727" s="30"/>
      <c r="I1727" s="30"/>
      <c r="J1727" s="30"/>
      <c r="K1727" s="30"/>
      <c r="L1727" s="30"/>
      <c r="M1727" s="30"/>
      <c r="N1727" s="30"/>
      <c r="O1727" s="30"/>
      <c r="P1727" s="30"/>
      <c r="Q1727" s="30"/>
      <c r="R1727" s="30"/>
      <c r="S1727" s="30"/>
      <c r="T1727" s="30"/>
      <c r="U1727" s="30"/>
      <c r="V1727" s="30"/>
      <c r="W1727" s="30"/>
      <c r="X1727" s="30"/>
      <c r="Y1727" s="30"/>
      <c r="Z1727" s="30"/>
    </row>
    <row r="1728">
      <c r="A1728" s="29"/>
      <c r="B1728" s="29"/>
      <c r="C1728" s="30"/>
      <c r="D1728" s="30"/>
      <c r="E1728" s="30"/>
      <c r="F1728" s="30"/>
      <c r="G1728" s="30"/>
      <c r="H1728" s="30"/>
      <c r="I1728" s="30"/>
      <c r="J1728" s="30"/>
      <c r="K1728" s="30"/>
      <c r="L1728" s="30"/>
      <c r="M1728" s="30"/>
      <c r="N1728" s="30"/>
      <c r="O1728" s="30"/>
      <c r="P1728" s="30"/>
      <c r="Q1728" s="30"/>
      <c r="R1728" s="30"/>
      <c r="S1728" s="30"/>
      <c r="T1728" s="30"/>
      <c r="U1728" s="30"/>
      <c r="V1728" s="30"/>
      <c r="W1728" s="30"/>
      <c r="X1728" s="30"/>
      <c r="Y1728" s="30"/>
      <c r="Z1728" s="30"/>
    </row>
    <row r="1729">
      <c r="A1729" s="29"/>
      <c r="B1729" s="29"/>
      <c r="C1729" s="30"/>
      <c r="D1729" s="30"/>
      <c r="E1729" s="30"/>
      <c r="F1729" s="30"/>
      <c r="G1729" s="30"/>
      <c r="H1729" s="30"/>
      <c r="I1729" s="30"/>
      <c r="J1729" s="30"/>
      <c r="K1729" s="30"/>
      <c r="L1729" s="30"/>
      <c r="M1729" s="30"/>
      <c r="N1729" s="30"/>
      <c r="O1729" s="30"/>
      <c r="P1729" s="30"/>
      <c r="Q1729" s="30"/>
      <c r="R1729" s="30"/>
      <c r="S1729" s="30"/>
      <c r="T1729" s="30"/>
      <c r="U1729" s="30"/>
      <c r="V1729" s="30"/>
      <c r="W1729" s="30"/>
      <c r="X1729" s="30"/>
      <c r="Y1729" s="30"/>
      <c r="Z1729" s="30"/>
    </row>
    <row r="1730">
      <c r="A1730" s="29"/>
      <c r="B1730" s="29"/>
      <c r="C1730" s="30"/>
      <c r="D1730" s="30"/>
      <c r="E1730" s="30"/>
      <c r="F1730" s="30"/>
      <c r="G1730" s="30"/>
      <c r="H1730" s="30"/>
      <c r="I1730" s="30"/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  <c r="U1730" s="30"/>
      <c r="V1730" s="30"/>
      <c r="W1730" s="30"/>
      <c r="X1730" s="30"/>
      <c r="Y1730" s="30"/>
      <c r="Z1730" s="30"/>
    </row>
    <row r="1731">
      <c r="A1731" s="29"/>
      <c r="B1731" s="29"/>
      <c r="C1731" s="30"/>
      <c r="D1731" s="30"/>
      <c r="E1731" s="30"/>
      <c r="F1731" s="30"/>
      <c r="G1731" s="30"/>
      <c r="H1731" s="30"/>
      <c r="I1731" s="30"/>
      <c r="J1731" s="30"/>
      <c r="K1731" s="30"/>
      <c r="L1731" s="30"/>
      <c r="M1731" s="30"/>
      <c r="N1731" s="30"/>
      <c r="O1731" s="30"/>
      <c r="P1731" s="30"/>
      <c r="Q1731" s="30"/>
      <c r="R1731" s="30"/>
      <c r="S1731" s="30"/>
      <c r="T1731" s="30"/>
      <c r="U1731" s="30"/>
      <c r="V1731" s="30"/>
      <c r="W1731" s="30"/>
      <c r="X1731" s="30"/>
      <c r="Y1731" s="30"/>
      <c r="Z1731" s="30"/>
    </row>
    <row r="1732">
      <c r="A1732" s="29"/>
      <c r="B1732" s="29"/>
      <c r="C1732" s="30"/>
      <c r="D1732" s="30"/>
      <c r="E1732" s="30"/>
      <c r="F1732" s="30"/>
      <c r="G1732" s="30"/>
      <c r="H1732" s="30"/>
      <c r="I1732" s="30"/>
      <c r="J1732" s="30"/>
      <c r="K1732" s="30"/>
      <c r="L1732" s="30"/>
      <c r="M1732" s="30"/>
      <c r="N1732" s="30"/>
      <c r="O1732" s="30"/>
      <c r="P1732" s="30"/>
      <c r="Q1732" s="30"/>
      <c r="R1732" s="30"/>
      <c r="S1732" s="30"/>
      <c r="T1732" s="30"/>
      <c r="U1732" s="30"/>
      <c r="V1732" s="30"/>
      <c r="W1732" s="30"/>
      <c r="X1732" s="30"/>
      <c r="Y1732" s="30"/>
      <c r="Z1732" s="30"/>
    </row>
    <row r="1733">
      <c r="A1733" s="29"/>
      <c r="B1733" s="29"/>
      <c r="C1733" s="30"/>
      <c r="D1733" s="30"/>
      <c r="E1733" s="30"/>
      <c r="F1733" s="30"/>
      <c r="G1733" s="30"/>
      <c r="H1733" s="30"/>
      <c r="I1733" s="30"/>
      <c r="J1733" s="30"/>
      <c r="K1733" s="30"/>
      <c r="L1733" s="30"/>
      <c r="M1733" s="30"/>
      <c r="N1733" s="30"/>
      <c r="O1733" s="30"/>
      <c r="P1733" s="30"/>
      <c r="Q1733" s="30"/>
      <c r="R1733" s="30"/>
      <c r="S1733" s="30"/>
      <c r="T1733" s="30"/>
      <c r="U1733" s="30"/>
      <c r="V1733" s="30"/>
      <c r="W1733" s="30"/>
      <c r="X1733" s="30"/>
      <c r="Y1733" s="30"/>
      <c r="Z1733" s="30"/>
    </row>
    <row r="1734">
      <c r="A1734" s="29"/>
      <c r="B1734" s="29"/>
      <c r="C1734" s="30"/>
      <c r="D1734" s="30"/>
      <c r="E1734" s="30"/>
      <c r="F1734" s="30"/>
      <c r="G1734" s="30"/>
      <c r="H1734" s="30"/>
      <c r="I1734" s="30"/>
      <c r="J1734" s="30"/>
      <c r="K1734" s="30"/>
      <c r="L1734" s="30"/>
      <c r="M1734" s="30"/>
      <c r="N1734" s="30"/>
      <c r="O1734" s="30"/>
      <c r="P1734" s="30"/>
      <c r="Q1734" s="30"/>
      <c r="R1734" s="30"/>
      <c r="S1734" s="30"/>
      <c r="T1734" s="30"/>
      <c r="U1734" s="30"/>
      <c r="V1734" s="30"/>
      <c r="W1734" s="30"/>
      <c r="X1734" s="30"/>
      <c r="Y1734" s="30"/>
      <c r="Z1734" s="30"/>
    </row>
    <row r="1735">
      <c r="A1735" s="29"/>
      <c r="B1735" s="29"/>
      <c r="C1735" s="30"/>
      <c r="D1735" s="30"/>
      <c r="E1735" s="30"/>
      <c r="F1735" s="30"/>
      <c r="G1735" s="30"/>
      <c r="H1735" s="30"/>
      <c r="I1735" s="30"/>
      <c r="J1735" s="30"/>
      <c r="K1735" s="30"/>
      <c r="L1735" s="30"/>
      <c r="M1735" s="30"/>
      <c r="N1735" s="30"/>
      <c r="O1735" s="30"/>
      <c r="P1735" s="30"/>
      <c r="Q1735" s="30"/>
      <c r="R1735" s="30"/>
      <c r="S1735" s="30"/>
      <c r="T1735" s="30"/>
      <c r="U1735" s="30"/>
      <c r="V1735" s="30"/>
      <c r="W1735" s="30"/>
      <c r="X1735" s="30"/>
      <c r="Y1735" s="30"/>
      <c r="Z1735" s="30"/>
    </row>
    <row r="1736">
      <c r="A1736" s="29"/>
      <c r="B1736" s="29"/>
      <c r="C1736" s="30"/>
      <c r="D1736" s="30"/>
      <c r="E1736" s="30"/>
      <c r="F1736" s="30"/>
      <c r="G1736" s="30"/>
      <c r="H1736" s="30"/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0"/>
      <c r="Z1736" s="30"/>
    </row>
    <row r="1737">
      <c r="A1737" s="29"/>
      <c r="B1737" s="29"/>
      <c r="C1737" s="30"/>
      <c r="D1737" s="30"/>
      <c r="E1737" s="30"/>
      <c r="F1737" s="30"/>
      <c r="G1737" s="30"/>
      <c r="H1737" s="30"/>
      <c r="I1737" s="30"/>
      <c r="J1737" s="30"/>
      <c r="K1737" s="30"/>
      <c r="L1737" s="30"/>
      <c r="M1737" s="30"/>
      <c r="N1737" s="30"/>
      <c r="O1737" s="30"/>
      <c r="P1737" s="30"/>
      <c r="Q1737" s="30"/>
      <c r="R1737" s="30"/>
      <c r="S1737" s="30"/>
      <c r="T1737" s="30"/>
      <c r="U1737" s="30"/>
      <c r="V1737" s="30"/>
      <c r="W1737" s="30"/>
      <c r="X1737" s="30"/>
      <c r="Y1737" s="30"/>
      <c r="Z1737" s="30"/>
    </row>
    <row r="1738">
      <c r="A1738" s="29"/>
      <c r="B1738" s="29"/>
      <c r="C1738" s="30"/>
      <c r="D1738" s="30"/>
      <c r="E1738" s="30"/>
      <c r="F1738" s="30"/>
      <c r="G1738" s="30"/>
      <c r="H1738" s="30"/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  <c r="U1738" s="30"/>
      <c r="V1738" s="30"/>
      <c r="W1738" s="30"/>
      <c r="X1738" s="30"/>
      <c r="Y1738" s="30"/>
      <c r="Z1738" s="30"/>
    </row>
    <row r="1739">
      <c r="A1739" s="29"/>
      <c r="B1739" s="29"/>
      <c r="C1739" s="30"/>
      <c r="D1739" s="30"/>
      <c r="E1739" s="30"/>
      <c r="F1739" s="30"/>
      <c r="G1739" s="30"/>
      <c r="H1739" s="30"/>
      <c r="I1739" s="30"/>
      <c r="J1739" s="30"/>
      <c r="K1739" s="30"/>
      <c r="L1739" s="30"/>
      <c r="M1739" s="30"/>
      <c r="N1739" s="30"/>
      <c r="O1739" s="30"/>
      <c r="P1739" s="30"/>
      <c r="Q1739" s="30"/>
      <c r="R1739" s="30"/>
      <c r="S1739" s="30"/>
      <c r="T1739" s="30"/>
      <c r="U1739" s="30"/>
      <c r="V1739" s="30"/>
      <c r="W1739" s="30"/>
      <c r="X1739" s="30"/>
      <c r="Y1739" s="30"/>
      <c r="Z1739" s="30"/>
    </row>
    <row r="1740">
      <c r="A1740" s="29"/>
      <c r="B1740" s="29"/>
      <c r="C1740" s="30"/>
      <c r="D1740" s="30"/>
      <c r="E1740" s="30"/>
      <c r="F1740" s="30"/>
      <c r="G1740" s="30"/>
      <c r="H1740" s="30"/>
      <c r="I1740" s="30"/>
      <c r="J1740" s="30"/>
      <c r="K1740" s="30"/>
      <c r="L1740" s="30"/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0"/>
      <c r="X1740" s="30"/>
      <c r="Y1740" s="30"/>
      <c r="Z1740" s="30"/>
    </row>
    <row r="1741">
      <c r="A1741" s="29"/>
      <c r="B1741" s="29"/>
      <c r="C1741" s="30"/>
      <c r="D1741" s="30"/>
      <c r="E1741" s="30"/>
      <c r="F1741" s="30"/>
      <c r="G1741" s="30"/>
      <c r="H1741" s="30"/>
      <c r="I1741" s="30"/>
      <c r="J1741" s="30"/>
      <c r="K1741" s="30"/>
      <c r="L1741" s="30"/>
      <c r="M1741" s="30"/>
      <c r="N1741" s="30"/>
      <c r="O1741" s="30"/>
      <c r="P1741" s="30"/>
      <c r="Q1741" s="30"/>
      <c r="R1741" s="30"/>
      <c r="S1741" s="30"/>
      <c r="T1741" s="30"/>
      <c r="U1741" s="30"/>
      <c r="V1741" s="30"/>
      <c r="W1741" s="30"/>
      <c r="X1741" s="30"/>
      <c r="Y1741" s="30"/>
      <c r="Z1741" s="30"/>
    </row>
    <row r="1742">
      <c r="A1742" s="29"/>
      <c r="B1742" s="29"/>
      <c r="C1742" s="30"/>
      <c r="D1742" s="30"/>
      <c r="E1742" s="30"/>
      <c r="F1742" s="30"/>
      <c r="G1742" s="30"/>
      <c r="H1742" s="30"/>
      <c r="I1742" s="30"/>
      <c r="J1742" s="30"/>
      <c r="K1742" s="30"/>
      <c r="L1742" s="30"/>
      <c r="M1742" s="30"/>
      <c r="N1742" s="30"/>
      <c r="O1742" s="30"/>
      <c r="P1742" s="30"/>
      <c r="Q1742" s="30"/>
      <c r="R1742" s="30"/>
      <c r="S1742" s="30"/>
      <c r="T1742" s="30"/>
      <c r="U1742" s="30"/>
      <c r="V1742" s="30"/>
      <c r="W1742" s="30"/>
      <c r="X1742" s="30"/>
      <c r="Y1742" s="30"/>
      <c r="Z1742" s="30"/>
    </row>
    <row r="1743">
      <c r="A1743" s="29"/>
      <c r="B1743" s="29"/>
      <c r="C1743" s="30"/>
      <c r="D1743" s="30"/>
      <c r="E1743" s="30"/>
      <c r="F1743" s="30"/>
      <c r="G1743" s="30"/>
      <c r="H1743" s="30"/>
      <c r="I1743" s="30"/>
      <c r="J1743" s="30"/>
      <c r="K1743" s="30"/>
      <c r="L1743" s="30"/>
      <c r="M1743" s="30"/>
      <c r="N1743" s="30"/>
      <c r="O1743" s="30"/>
      <c r="P1743" s="30"/>
      <c r="Q1743" s="30"/>
      <c r="R1743" s="30"/>
      <c r="S1743" s="30"/>
      <c r="T1743" s="30"/>
      <c r="U1743" s="30"/>
      <c r="V1743" s="30"/>
      <c r="W1743" s="30"/>
      <c r="X1743" s="30"/>
      <c r="Y1743" s="30"/>
      <c r="Z1743" s="30"/>
    </row>
    <row r="1744">
      <c r="A1744" s="29"/>
      <c r="B1744" s="29"/>
      <c r="C1744" s="30"/>
      <c r="D1744" s="30"/>
      <c r="E1744" s="30"/>
      <c r="F1744" s="30"/>
      <c r="G1744" s="30"/>
      <c r="H1744" s="30"/>
      <c r="I1744" s="30"/>
      <c r="J1744" s="30"/>
      <c r="K1744" s="30"/>
      <c r="L1744" s="30"/>
      <c r="M1744" s="30"/>
      <c r="N1744" s="30"/>
      <c r="O1744" s="30"/>
      <c r="P1744" s="30"/>
      <c r="Q1744" s="30"/>
      <c r="R1744" s="30"/>
      <c r="S1744" s="30"/>
      <c r="T1744" s="30"/>
      <c r="U1744" s="30"/>
      <c r="V1744" s="30"/>
      <c r="W1744" s="30"/>
      <c r="X1744" s="30"/>
      <c r="Y1744" s="30"/>
      <c r="Z1744" s="30"/>
    </row>
    <row r="1745">
      <c r="A1745" s="29"/>
      <c r="B1745" s="29"/>
      <c r="C1745" s="30"/>
      <c r="D1745" s="30"/>
      <c r="E1745" s="30"/>
      <c r="F1745" s="30"/>
      <c r="G1745" s="30"/>
      <c r="H1745" s="30"/>
      <c r="I1745" s="30"/>
      <c r="J1745" s="30"/>
      <c r="K1745" s="30"/>
      <c r="L1745" s="30"/>
      <c r="M1745" s="30"/>
      <c r="N1745" s="30"/>
      <c r="O1745" s="30"/>
      <c r="P1745" s="30"/>
      <c r="Q1745" s="30"/>
      <c r="R1745" s="30"/>
      <c r="S1745" s="30"/>
      <c r="T1745" s="30"/>
      <c r="U1745" s="30"/>
      <c r="V1745" s="30"/>
      <c r="W1745" s="30"/>
      <c r="X1745" s="30"/>
      <c r="Y1745" s="30"/>
      <c r="Z1745" s="30"/>
    </row>
    <row r="1746">
      <c r="A1746" s="29"/>
      <c r="B1746" s="29"/>
      <c r="C1746" s="30"/>
      <c r="D1746" s="30"/>
      <c r="E1746" s="30"/>
      <c r="F1746" s="30"/>
      <c r="G1746" s="30"/>
      <c r="H1746" s="30"/>
      <c r="I1746" s="30"/>
      <c r="J1746" s="30"/>
      <c r="K1746" s="30"/>
      <c r="L1746" s="30"/>
      <c r="M1746" s="30"/>
      <c r="N1746" s="30"/>
      <c r="O1746" s="30"/>
      <c r="P1746" s="30"/>
      <c r="Q1746" s="30"/>
      <c r="R1746" s="30"/>
      <c r="S1746" s="30"/>
      <c r="T1746" s="30"/>
      <c r="U1746" s="30"/>
      <c r="V1746" s="30"/>
      <c r="W1746" s="30"/>
      <c r="X1746" s="30"/>
      <c r="Y1746" s="30"/>
      <c r="Z1746" s="30"/>
    </row>
    <row r="1747">
      <c r="A1747" s="29"/>
      <c r="B1747" s="29"/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0"/>
      <c r="N1747" s="30"/>
      <c r="O1747" s="30"/>
      <c r="P1747" s="30"/>
      <c r="Q1747" s="30"/>
      <c r="R1747" s="30"/>
      <c r="S1747" s="30"/>
      <c r="T1747" s="30"/>
      <c r="U1747" s="30"/>
      <c r="V1747" s="30"/>
      <c r="W1747" s="30"/>
      <c r="X1747" s="30"/>
      <c r="Y1747" s="30"/>
      <c r="Z1747" s="30"/>
    </row>
    <row r="1748">
      <c r="A1748" s="29"/>
      <c r="B1748" s="29"/>
      <c r="C1748" s="30"/>
      <c r="D1748" s="30"/>
      <c r="E1748" s="30"/>
      <c r="F1748" s="30"/>
      <c r="G1748" s="30"/>
      <c r="H1748" s="30"/>
      <c r="I1748" s="30"/>
      <c r="J1748" s="30"/>
      <c r="K1748" s="30"/>
      <c r="L1748" s="30"/>
      <c r="M1748" s="30"/>
      <c r="N1748" s="30"/>
      <c r="O1748" s="30"/>
      <c r="P1748" s="30"/>
      <c r="Q1748" s="30"/>
      <c r="R1748" s="30"/>
      <c r="S1748" s="30"/>
      <c r="T1748" s="30"/>
      <c r="U1748" s="30"/>
      <c r="V1748" s="30"/>
      <c r="W1748" s="30"/>
      <c r="X1748" s="30"/>
      <c r="Y1748" s="30"/>
      <c r="Z1748" s="30"/>
    </row>
    <row r="1749">
      <c r="A1749" s="29"/>
      <c r="B1749" s="29"/>
      <c r="C1749" s="30"/>
      <c r="D1749" s="30"/>
      <c r="E1749" s="30"/>
      <c r="F1749" s="30"/>
      <c r="G1749" s="30"/>
      <c r="H1749" s="30"/>
      <c r="I1749" s="30"/>
      <c r="J1749" s="30"/>
      <c r="K1749" s="30"/>
      <c r="L1749" s="30"/>
      <c r="M1749" s="30"/>
      <c r="N1749" s="30"/>
      <c r="O1749" s="30"/>
      <c r="P1749" s="30"/>
      <c r="Q1749" s="30"/>
      <c r="R1749" s="30"/>
      <c r="S1749" s="30"/>
      <c r="T1749" s="30"/>
      <c r="U1749" s="30"/>
      <c r="V1749" s="30"/>
      <c r="W1749" s="30"/>
      <c r="X1749" s="30"/>
      <c r="Y1749" s="30"/>
      <c r="Z1749" s="30"/>
    </row>
    <row r="1750">
      <c r="A1750" s="29"/>
      <c r="B1750" s="29"/>
      <c r="C1750" s="30"/>
      <c r="D1750" s="30"/>
      <c r="E1750" s="30"/>
      <c r="F1750" s="30"/>
      <c r="G1750" s="30"/>
      <c r="H1750" s="30"/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  <c r="U1750" s="30"/>
      <c r="V1750" s="30"/>
      <c r="W1750" s="30"/>
      <c r="X1750" s="30"/>
      <c r="Y1750" s="30"/>
      <c r="Z1750" s="30"/>
    </row>
    <row r="1751">
      <c r="A1751" s="29"/>
      <c r="B1751" s="29"/>
      <c r="C1751" s="30"/>
      <c r="D1751" s="30"/>
      <c r="E1751" s="30"/>
      <c r="F1751" s="30"/>
      <c r="G1751" s="30"/>
      <c r="H1751" s="30"/>
      <c r="I1751" s="30"/>
      <c r="J1751" s="30"/>
      <c r="K1751" s="30"/>
      <c r="L1751" s="30"/>
      <c r="M1751" s="30"/>
      <c r="N1751" s="30"/>
      <c r="O1751" s="30"/>
      <c r="P1751" s="30"/>
      <c r="Q1751" s="30"/>
      <c r="R1751" s="30"/>
      <c r="S1751" s="30"/>
      <c r="T1751" s="30"/>
      <c r="U1751" s="30"/>
      <c r="V1751" s="30"/>
      <c r="W1751" s="30"/>
      <c r="X1751" s="30"/>
      <c r="Y1751" s="30"/>
      <c r="Z1751" s="30"/>
    </row>
    <row r="1752">
      <c r="A1752" s="29"/>
      <c r="B1752" s="29"/>
      <c r="C1752" s="30"/>
      <c r="D1752" s="30"/>
      <c r="E1752" s="30"/>
      <c r="F1752" s="30"/>
      <c r="G1752" s="30"/>
      <c r="H1752" s="30"/>
      <c r="I1752" s="30"/>
      <c r="J1752" s="30"/>
      <c r="K1752" s="30"/>
      <c r="L1752" s="30"/>
      <c r="M1752" s="30"/>
      <c r="N1752" s="30"/>
      <c r="O1752" s="30"/>
      <c r="P1752" s="30"/>
      <c r="Q1752" s="30"/>
      <c r="R1752" s="30"/>
      <c r="S1752" s="30"/>
      <c r="T1752" s="30"/>
      <c r="U1752" s="30"/>
      <c r="V1752" s="30"/>
      <c r="W1752" s="30"/>
      <c r="X1752" s="30"/>
      <c r="Y1752" s="30"/>
      <c r="Z1752" s="30"/>
    </row>
    <row r="1753">
      <c r="A1753" s="29"/>
      <c r="B1753" s="29"/>
      <c r="C1753" s="30"/>
      <c r="D1753" s="30"/>
      <c r="E1753" s="30"/>
      <c r="F1753" s="30"/>
      <c r="G1753" s="30"/>
      <c r="H1753" s="30"/>
      <c r="I1753" s="30"/>
      <c r="J1753" s="30"/>
      <c r="K1753" s="30"/>
      <c r="L1753" s="30"/>
      <c r="M1753" s="30"/>
      <c r="N1753" s="30"/>
      <c r="O1753" s="30"/>
      <c r="P1753" s="30"/>
      <c r="Q1753" s="30"/>
      <c r="R1753" s="30"/>
      <c r="S1753" s="30"/>
      <c r="T1753" s="30"/>
      <c r="U1753" s="30"/>
      <c r="V1753" s="30"/>
      <c r="W1753" s="30"/>
      <c r="X1753" s="30"/>
      <c r="Y1753" s="30"/>
      <c r="Z1753" s="30"/>
    </row>
    <row r="1754">
      <c r="A1754" s="29"/>
      <c r="B1754" s="29"/>
      <c r="C1754" s="30"/>
      <c r="D1754" s="30"/>
      <c r="E1754" s="30"/>
      <c r="F1754" s="30"/>
      <c r="G1754" s="30"/>
      <c r="H1754" s="30"/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/>
      <c r="U1754" s="30"/>
      <c r="V1754" s="30"/>
      <c r="W1754" s="30"/>
      <c r="X1754" s="30"/>
      <c r="Y1754" s="30"/>
      <c r="Z1754" s="30"/>
    </row>
    <row r="1755">
      <c r="A1755" s="29"/>
      <c r="B1755" s="29"/>
      <c r="C1755" s="30"/>
      <c r="D1755" s="30"/>
      <c r="E1755" s="30"/>
      <c r="F1755" s="30"/>
      <c r="G1755" s="30"/>
      <c r="H1755" s="30"/>
      <c r="I1755" s="30"/>
      <c r="J1755" s="30"/>
      <c r="K1755" s="30"/>
      <c r="L1755" s="30"/>
      <c r="M1755" s="30"/>
      <c r="N1755" s="30"/>
      <c r="O1755" s="30"/>
      <c r="P1755" s="30"/>
      <c r="Q1755" s="30"/>
      <c r="R1755" s="30"/>
      <c r="S1755" s="30"/>
      <c r="T1755" s="30"/>
      <c r="U1755" s="30"/>
      <c r="V1755" s="30"/>
      <c r="W1755" s="30"/>
      <c r="X1755" s="30"/>
      <c r="Y1755" s="30"/>
      <c r="Z1755" s="30"/>
    </row>
    <row r="1756">
      <c r="A1756" s="29"/>
      <c r="B1756" s="29"/>
      <c r="C1756" s="30"/>
      <c r="D1756" s="30"/>
      <c r="E1756" s="30"/>
      <c r="F1756" s="30"/>
      <c r="G1756" s="30"/>
      <c r="H1756" s="30"/>
      <c r="I1756" s="30"/>
      <c r="J1756" s="30"/>
      <c r="K1756" s="30"/>
      <c r="L1756" s="30"/>
      <c r="M1756" s="30"/>
      <c r="N1756" s="30"/>
      <c r="O1756" s="30"/>
      <c r="P1756" s="30"/>
      <c r="Q1756" s="30"/>
      <c r="R1756" s="30"/>
      <c r="S1756" s="30"/>
      <c r="T1756" s="30"/>
      <c r="U1756" s="30"/>
      <c r="V1756" s="30"/>
      <c r="W1756" s="30"/>
      <c r="X1756" s="30"/>
      <c r="Y1756" s="30"/>
      <c r="Z1756" s="30"/>
    </row>
    <row r="1757">
      <c r="A1757" s="29"/>
      <c r="B1757" s="29"/>
      <c r="C1757" s="30"/>
      <c r="D1757" s="30"/>
      <c r="E1757" s="30"/>
      <c r="F1757" s="30"/>
      <c r="G1757" s="30"/>
      <c r="H1757" s="30"/>
      <c r="I1757" s="30"/>
      <c r="J1757" s="30"/>
      <c r="K1757" s="30"/>
      <c r="L1757" s="30"/>
      <c r="M1757" s="30"/>
      <c r="N1757" s="30"/>
      <c r="O1757" s="30"/>
      <c r="P1757" s="30"/>
      <c r="Q1757" s="30"/>
      <c r="R1757" s="30"/>
      <c r="S1757" s="30"/>
      <c r="T1757" s="30"/>
      <c r="U1757" s="30"/>
      <c r="V1757" s="30"/>
      <c r="W1757" s="30"/>
      <c r="X1757" s="30"/>
      <c r="Y1757" s="30"/>
      <c r="Z1757" s="30"/>
    </row>
    <row r="1758">
      <c r="A1758" s="29"/>
      <c r="B1758" s="29"/>
      <c r="C1758" s="30"/>
      <c r="D1758" s="30"/>
      <c r="E1758" s="30"/>
      <c r="F1758" s="30"/>
      <c r="G1758" s="30"/>
      <c r="H1758" s="30"/>
      <c r="I1758" s="30"/>
      <c r="J1758" s="30"/>
      <c r="K1758" s="30"/>
      <c r="L1758" s="30"/>
      <c r="M1758" s="30"/>
      <c r="N1758" s="30"/>
      <c r="O1758" s="30"/>
      <c r="P1758" s="30"/>
      <c r="Q1758" s="30"/>
      <c r="R1758" s="30"/>
      <c r="S1758" s="30"/>
      <c r="T1758" s="30"/>
      <c r="U1758" s="30"/>
      <c r="V1758" s="30"/>
      <c r="W1758" s="30"/>
      <c r="X1758" s="30"/>
      <c r="Y1758" s="30"/>
      <c r="Z1758" s="30"/>
    </row>
    <row r="1759">
      <c r="A1759" s="29"/>
      <c r="B1759" s="29"/>
      <c r="C1759" s="30"/>
      <c r="D1759" s="30"/>
      <c r="E1759" s="30"/>
      <c r="F1759" s="30"/>
      <c r="G1759" s="30"/>
      <c r="H1759" s="30"/>
      <c r="I1759" s="30"/>
      <c r="J1759" s="30"/>
      <c r="K1759" s="30"/>
      <c r="L1759" s="30"/>
      <c r="M1759" s="30"/>
      <c r="N1759" s="30"/>
      <c r="O1759" s="30"/>
      <c r="P1759" s="30"/>
      <c r="Q1759" s="30"/>
      <c r="R1759" s="30"/>
      <c r="S1759" s="30"/>
      <c r="T1759" s="30"/>
      <c r="U1759" s="30"/>
      <c r="V1759" s="30"/>
      <c r="W1759" s="30"/>
      <c r="X1759" s="30"/>
      <c r="Y1759" s="30"/>
      <c r="Z1759" s="30"/>
    </row>
    <row r="1760">
      <c r="A1760" s="29"/>
      <c r="B1760" s="29"/>
      <c r="C1760" s="30"/>
      <c r="D1760" s="30"/>
      <c r="E1760" s="30"/>
      <c r="F1760" s="30"/>
      <c r="G1760" s="30"/>
      <c r="H1760" s="30"/>
      <c r="I1760" s="30"/>
      <c r="J1760" s="30"/>
      <c r="K1760" s="30"/>
      <c r="L1760" s="30"/>
      <c r="M1760" s="30"/>
      <c r="N1760" s="30"/>
      <c r="O1760" s="30"/>
      <c r="P1760" s="30"/>
      <c r="Q1760" s="30"/>
      <c r="R1760" s="30"/>
      <c r="S1760" s="30"/>
      <c r="T1760" s="30"/>
      <c r="U1760" s="30"/>
      <c r="V1760" s="30"/>
      <c r="W1760" s="30"/>
      <c r="X1760" s="30"/>
      <c r="Y1760" s="30"/>
      <c r="Z1760" s="30"/>
    </row>
    <row r="1761">
      <c r="A1761" s="29"/>
      <c r="B1761" s="29"/>
      <c r="C1761" s="30"/>
      <c r="D1761" s="30"/>
      <c r="E1761" s="30"/>
      <c r="F1761" s="30"/>
      <c r="G1761" s="30"/>
      <c r="H1761" s="30"/>
      <c r="I1761" s="30"/>
      <c r="J1761" s="30"/>
      <c r="K1761" s="30"/>
      <c r="L1761" s="30"/>
      <c r="M1761" s="30"/>
      <c r="N1761" s="30"/>
      <c r="O1761" s="30"/>
      <c r="P1761" s="30"/>
      <c r="Q1761" s="30"/>
      <c r="R1761" s="30"/>
      <c r="S1761" s="30"/>
      <c r="T1761" s="30"/>
      <c r="U1761" s="30"/>
      <c r="V1761" s="30"/>
      <c r="W1761" s="30"/>
      <c r="X1761" s="30"/>
      <c r="Y1761" s="30"/>
      <c r="Z1761" s="30"/>
    </row>
    <row r="1762">
      <c r="A1762" s="29"/>
      <c r="B1762" s="29"/>
      <c r="C1762" s="30"/>
      <c r="D1762" s="30"/>
      <c r="E1762" s="30"/>
      <c r="F1762" s="30"/>
      <c r="G1762" s="30"/>
      <c r="H1762" s="30"/>
      <c r="I1762" s="30"/>
      <c r="J1762" s="30"/>
      <c r="K1762" s="30"/>
      <c r="L1762" s="30"/>
      <c r="M1762" s="30"/>
      <c r="N1762" s="30"/>
      <c r="O1762" s="30"/>
      <c r="P1762" s="30"/>
      <c r="Q1762" s="30"/>
      <c r="R1762" s="30"/>
      <c r="S1762" s="30"/>
      <c r="T1762" s="30"/>
      <c r="U1762" s="30"/>
      <c r="V1762" s="30"/>
      <c r="W1762" s="30"/>
      <c r="X1762" s="30"/>
      <c r="Y1762" s="30"/>
      <c r="Z1762" s="30"/>
    </row>
    <row r="1763">
      <c r="A1763" s="29"/>
      <c r="B1763" s="29"/>
      <c r="C1763" s="30"/>
      <c r="D1763" s="30"/>
      <c r="E1763" s="30"/>
      <c r="F1763" s="30"/>
      <c r="G1763" s="30"/>
      <c r="H1763" s="30"/>
      <c r="I1763" s="30"/>
      <c r="J1763" s="30"/>
      <c r="K1763" s="30"/>
      <c r="L1763" s="30"/>
      <c r="M1763" s="30"/>
      <c r="N1763" s="30"/>
      <c r="O1763" s="30"/>
      <c r="P1763" s="30"/>
      <c r="Q1763" s="30"/>
      <c r="R1763" s="30"/>
      <c r="S1763" s="30"/>
      <c r="T1763" s="30"/>
      <c r="U1763" s="30"/>
      <c r="V1763" s="30"/>
      <c r="W1763" s="30"/>
      <c r="X1763" s="30"/>
      <c r="Y1763" s="30"/>
      <c r="Z1763" s="30"/>
    </row>
    <row r="1764">
      <c r="A1764" s="29"/>
      <c r="B1764" s="29"/>
      <c r="C1764" s="30"/>
      <c r="D1764" s="30"/>
      <c r="E1764" s="30"/>
      <c r="F1764" s="30"/>
      <c r="G1764" s="30"/>
      <c r="H1764" s="30"/>
      <c r="I1764" s="30"/>
      <c r="J1764" s="30"/>
      <c r="K1764" s="30"/>
      <c r="L1764" s="30"/>
      <c r="M1764" s="30"/>
      <c r="N1764" s="30"/>
      <c r="O1764" s="30"/>
      <c r="P1764" s="30"/>
      <c r="Q1764" s="30"/>
      <c r="R1764" s="30"/>
      <c r="S1764" s="30"/>
      <c r="T1764" s="30"/>
      <c r="U1764" s="30"/>
      <c r="V1764" s="30"/>
      <c r="W1764" s="30"/>
      <c r="X1764" s="30"/>
      <c r="Y1764" s="30"/>
      <c r="Z1764" s="30"/>
    </row>
    <row r="1765">
      <c r="A1765" s="29"/>
      <c r="B1765" s="29"/>
      <c r="C1765" s="30"/>
      <c r="D1765" s="30"/>
      <c r="E1765" s="30"/>
      <c r="F1765" s="30"/>
      <c r="G1765" s="30"/>
      <c r="H1765" s="30"/>
      <c r="I1765" s="30"/>
      <c r="J1765" s="30"/>
      <c r="K1765" s="30"/>
      <c r="L1765" s="30"/>
      <c r="M1765" s="30"/>
      <c r="N1765" s="30"/>
      <c r="O1765" s="30"/>
      <c r="P1765" s="30"/>
      <c r="Q1765" s="30"/>
      <c r="R1765" s="30"/>
      <c r="S1765" s="30"/>
      <c r="T1765" s="30"/>
      <c r="U1765" s="30"/>
      <c r="V1765" s="30"/>
      <c r="W1765" s="30"/>
      <c r="X1765" s="30"/>
      <c r="Y1765" s="30"/>
      <c r="Z1765" s="30"/>
    </row>
    <row r="1766">
      <c r="A1766" s="29"/>
      <c r="B1766" s="29"/>
      <c r="C1766" s="30"/>
      <c r="D1766" s="30"/>
      <c r="E1766" s="30"/>
      <c r="F1766" s="30"/>
      <c r="G1766" s="30"/>
      <c r="H1766" s="30"/>
      <c r="I1766" s="30"/>
      <c r="J1766" s="30"/>
      <c r="K1766" s="30"/>
      <c r="L1766" s="30"/>
      <c r="M1766" s="30"/>
      <c r="N1766" s="30"/>
      <c r="O1766" s="30"/>
      <c r="P1766" s="30"/>
      <c r="Q1766" s="30"/>
      <c r="R1766" s="30"/>
      <c r="S1766" s="30"/>
      <c r="T1766" s="30"/>
      <c r="U1766" s="30"/>
      <c r="V1766" s="30"/>
      <c r="W1766" s="30"/>
      <c r="X1766" s="30"/>
      <c r="Y1766" s="30"/>
      <c r="Z1766" s="30"/>
    </row>
    <row r="1767">
      <c r="A1767" s="29"/>
      <c r="B1767" s="29"/>
      <c r="C1767" s="30"/>
      <c r="D1767" s="30"/>
      <c r="E1767" s="30"/>
      <c r="F1767" s="30"/>
      <c r="G1767" s="30"/>
      <c r="H1767" s="30"/>
      <c r="I1767" s="30"/>
      <c r="J1767" s="30"/>
      <c r="K1767" s="30"/>
      <c r="L1767" s="30"/>
      <c r="M1767" s="30"/>
      <c r="N1767" s="30"/>
      <c r="O1767" s="30"/>
      <c r="P1767" s="30"/>
      <c r="Q1767" s="30"/>
      <c r="R1767" s="30"/>
      <c r="S1767" s="30"/>
      <c r="T1767" s="30"/>
      <c r="U1767" s="30"/>
      <c r="V1767" s="30"/>
      <c r="W1767" s="30"/>
      <c r="X1767" s="30"/>
      <c r="Y1767" s="30"/>
      <c r="Z1767" s="30"/>
    </row>
    <row r="1768">
      <c r="A1768" s="29"/>
      <c r="B1768" s="29"/>
      <c r="C1768" s="30"/>
      <c r="D1768" s="30"/>
      <c r="E1768" s="30"/>
      <c r="F1768" s="30"/>
      <c r="G1768" s="30"/>
      <c r="H1768" s="30"/>
      <c r="I1768" s="30"/>
      <c r="J1768" s="30"/>
      <c r="K1768" s="30"/>
      <c r="L1768" s="30"/>
      <c r="M1768" s="30"/>
      <c r="N1768" s="30"/>
      <c r="O1768" s="30"/>
      <c r="P1768" s="30"/>
      <c r="Q1768" s="30"/>
      <c r="R1768" s="30"/>
      <c r="S1768" s="30"/>
      <c r="T1768" s="30"/>
      <c r="U1768" s="30"/>
      <c r="V1768" s="30"/>
      <c r="W1768" s="30"/>
      <c r="X1768" s="30"/>
      <c r="Y1768" s="30"/>
      <c r="Z1768" s="30"/>
    </row>
    <row r="1769">
      <c r="A1769" s="29"/>
      <c r="B1769" s="29"/>
      <c r="C1769" s="30"/>
      <c r="D1769" s="30"/>
      <c r="E1769" s="30"/>
      <c r="F1769" s="30"/>
      <c r="G1769" s="30"/>
      <c r="H1769" s="30"/>
      <c r="I1769" s="30"/>
      <c r="J1769" s="30"/>
      <c r="K1769" s="30"/>
      <c r="L1769" s="30"/>
      <c r="M1769" s="30"/>
      <c r="N1769" s="30"/>
      <c r="O1769" s="30"/>
      <c r="P1769" s="30"/>
      <c r="Q1769" s="30"/>
      <c r="R1769" s="30"/>
      <c r="S1769" s="30"/>
      <c r="T1769" s="30"/>
      <c r="U1769" s="30"/>
      <c r="V1769" s="30"/>
      <c r="W1769" s="30"/>
      <c r="X1769" s="30"/>
      <c r="Y1769" s="30"/>
      <c r="Z1769" s="30"/>
    </row>
    <row r="1770">
      <c r="A1770" s="29"/>
      <c r="B1770" s="29"/>
      <c r="C1770" s="30"/>
      <c r="D1770" s="30"/>
      <c r="E1770" s="30"/>
      <c r="F1770" s="30"/>
      <c r="G1770" s="30"/>
      <c r="H1770" s="30"/>
      <c r="I1770" s="30"/>
      <c r="J1770" s="30"/>
      <c r="K1770" s="30"/>
      <c r="L1770" s="30"/>
      <c r="M1770" s="30"/>
      <c r="N1770" s="30"/>
      <c r="O1770" s="30"/>
      <c r="P1770" s="30"/>
      <c r="Q1770" s="30"/>
      <c r="R1770" s="30"/>
      <c r="S1770" s="30"/>
      <c r="T1770" s="30"/>
      <c r="U1770" s="30"/>
      <c r="V1770" s="30"/>
      <c r="W1770" s="30"/>
      <c r="X1770" s="30"/>
      <c r="Y1770" s="30"/>
      <c r="Z1770" s="30"/>
    </row>
    <row r="1771">
      <c r="A1771" s="29"/>
      <c r="B1771" s="29"/>
      <c r="C1771" s="30"/>
      <c r="D1771" s="30"/>
      <c r="E1771" s="30"/>
      <c r="F1771" s="30"/>
      <c r="G1771" s="30"/>
      <c r="H1771" s="30"/>
      <c r="I1771" s="30"/>
      <c r="J1771" s="30"/>
      <c r="K1771" s="30"/>
      <c r="L1771" s="30"/>
      <c r="M1771" s="30"/>
      <c r="N1771" s="30"/>
      <c r="O1771" s="30"/>
      <c r="P1771" s="30"/>
      <c r="Q1771" s="30"/>
      <c r="R1771" s="30"/>
      <c r="S1771" s="30"/>
      <c r="T1771" s="30"/>
      <c r="U1771" s="30"/>
      <c r="V1771" s="30"/>
      <c r="W1771" s="30"/>
      <c r="X1771" s="30"/>
      <c r="Y1771" s="30"/>
      <c r="Z1771" s="30"/>
    </row>
    <row r="1772">
      <c r="A1772" s="29"/>
      <c r="B1772" s="29"/>
      <c r="C1772" s="30"/>
      <c r="D1772" s="30"/>
      <c r="E1772" s="30"/>
      <c r="F1772" s="30"/>
      <c r="G1772" s="30"/>
      <c r="H1772" s="30"/>
      <c r="I1772" s="30"/>
      <c r="J1772" s="30"/>
      <c r="K1772" s="30"/>
      <c r="L1772" s="30"/>
      <c r="M1772" s="30"/>
      <c r="N1772" s="30"/>
      <c r="O1772" s="30"/>
      <c r="P1772" s="30"/>
      <c r="Q1772" s="30"/>
      <c r="R1772" s="30"/>
      <c r="S1772" s="30"/>
      <c r="T1772" s="30"/>
      <c r="U1772" s="30"/>
      <c r="V1772" s="30"/>
      <c r="W1772" s="30"/>
      <c r="X1772" s="30"/>
      <c r="Y1772" s="30"/>
      <c r="Z1772" s="30"/>
    </row>
    <row r="1773">
      <c r="A1773" s="29"/>
      <c r="B1773" s="29"/>
      <c r="C1773" s="30"/>
      <c r="D1773" s="30"/>
      <c r="E1773" s="30"/>
      <c r="F1773" s="30"/>
      <c r="G1773" s="30"/>
      <c r="H1773" s="30"/>
      <c r="I1773" s="30"/>
      <c r="J1773" s="30"/>
      <c r="K1773" s="30"/>
      <c r="L1773" s="30"/>
      <c r="M1773" s="30"/>
      <c r="N1773" s="30"/>
      <c r="O1773" s="30"/>
      <c r="P1773" s="30"/>
      <c r="Q1773" s="30"/>
      <c r="R1773" s="30"/>
      <c r="S1773" s="30"/>
      <c r="T1773" s="30"/>
      <c r="U1773" s="30"/>
      <c r="V1773" s="30"/>
      <c r="W1773" s="30"/>
      <c r="X1773" s="30"/>
      <c r="Y1773" s="30"/>
      <c r="Z1773" s="30"/>
    </row>
    <row r="1774">
      <c r="A1774" s="29"/>
      <c r="B1774" s="29"/>
      <c r="C1774" s="30"/>
      <c r="D1774" s="30"/>
      <c r="E1774" s="30"/>
      <c r="F1774" s="30"/>
      <c r="G1774" s="30"/>
      <c r="H1774" s="30"/>
      <c r="I1774" s="30"/>
      <c r="J1774" s="30"/>
      <c r="K1774" s="30"/>
      <c r="L1774" s="30"/>
      <c r="M1774" s="30"/>
      <c r="N1774" s="30"/>
      <c r="O1774" s="30"/>
      <c r="P1774" s="30"/>
      <c r="Q1774" s="30"/>
      <c r="R1774" s="30"/>
      <c r="S1774" s="30"/>
      <c r="T1774" s="30"/>
      <c r="U1774" s="30"/>
      <c r="V1774" s="30"/>
      <c r="W1774" s="30"/>
      <c r="X1774" s="30"/>
      <c r="Y1774" s="30"/>
      <c r="Z1774" s="30"/>
    </row>
    <row r="1775">
      <c r="A1775" s="29"/>
      <c r="B1775" s="29"/>
      <c r="C1775" s="30"/>
      <c r="D1775" s="30"/>
      <c r="E1775" s="30"/>
      <c r="F1775" s="30"/>
      <c r="G1775" s="30"/>
      <c r="H1775" s="30"/>
      <c r="I1775" s="30"/>
      <c r="J1775" s="30"/>
      <c r="K1775" s="30"/>
      <c r="L1775" s="30"/>
      <c r="M1775" s="30"/>
      <c r="N1775" s="30"/>
      <c r="O1775" s="30"/>
      <c r="P1775" s="30"/>
      <c r="Q1775" s="30"/>
      <c r="R1775" s="30"/>
      <c r="S1775" s="30"/>
      <c r="T1775" s="30"/>
      <c r="U1775" s="30"/>
      <c r="V1775" s="30"/>
      <c r="W1775" s="30"/>
      <c r="X1775" s="30"/>
      <c r="Y1775" s="30"/>
      <c r="Z1775" s="30"/>
    </row>
    <row r="1776">
      <c r="A1776" s="29"/>
      <c r="B1776" s="29"/>
      <c r="C1776" s="30"/>
      <c r="D1776" s="30"/>
      <c r="E1776" s="30"/>
      <c r="F1776" s="30"/>
      <c r="G1776" s="30"/>
      <c r="H1776" s="30"/>
      <c r="I1776" s="30"/>
      <c r="J1776" s="30"/>
      <c r="K1776" s="30"/>
      <c r="L1776" s="30"/>
      <c r="M1776" s="30"/>
      <c r="N1776" s="30"/>
      <c r="O1776" s="30"/>
      <c r="P1776" s="30"/>
      <c r="Q1776" s="30"/>
      <c r="R1776" s="30"/>
      <c r="S1776" s="30"/>
      <c r="T1776" s="30"/>
      <c r="U1776" s="30"/>
      <c r="V1776" s="30"/>
      <c r="W1776" s="30"/>
      <c r="X1776" s="30"/>
      <c r="Y1776" s="30"/>
      <c r="Z1776" s="30"/>
    </row>
    <row r="1777">
      <c r="A1777" s="29"/>
      <c r="B1777" s="29"/>
      <c r="C1777" s="30"/>
      <c r="D1777" s="30"/>
      <c r="E1777" s="30"/>
      <c r="F1777" s="30"/>
      <c r="G1777" s="30"/>
      <c r="H1777" s="30"/>
      <c r="I1777" s="30"/>
      <c r="J1777" s="30"/>
      <c r="K1777" s="30"/>
      <c r="L1777" s="30"/>
      <c r="M1777" s="30"/>
      <c r="N1777" s="30"/>
      <c r="O1777" s="30"/>
      <c r="P1777" s="30"/>
      <c r="Q1777" s="30"/>
      <c r="R1777" s="30"/>
      <c r="S1777" s="30"/>
      <c r="T1777" s="30"/>
      <c r="U1777" s="30"/>
      <c r="V1777" s="30"/>
      <c r="W1777" s="30"/>
      <c r="X1777" s="30"/>
      <c r="Y1777" s="30"/>
      <c r="Z1777" s="30"/>
    </row>
    <row r="1778">
      <c r="A1778" s="29"/>
      <c r="B1778" s="29"/>
      <c r="C1778" s="30"/>
      <c r="D1778" s="30"/>
      <c r="E1778" s="30"/>
      <c r="F1778" s="30"/>
      <c r="G1778" s="30"/>
      <c r="H1778" s="30"/>
      <c r="I1778" s="30"/>
      <c r="J1778" s="30"/>
      <c r="K1778" s="30"/>
      <c r="L1778" s="30"/>
      <c r="M1778" s="30"/>
      <c r="N1778" s="30"/>
      <c r="O1778" s="30"/>
      <c r="P1778" s="30"/>
      <c r="Q1778" s="30"/>
      <c r="R1778" s="30"/>
      <c r="S1778" s="30"/>
      <c r="T1778" s="30"/>
      <c r="U1778" s="30"/>
      <c r="V1778" s="30"/>
      <c r="W1778" s="30"/>
      <c r="X1778" s="30"/>
      <c r="Y1778" s="30"/>
      <c r="Z1778" s="30"/>
    </row>
    <row r="1779">
      <c r="A1779" s="29"/>
      <c r="B1779" s="29"/>
      <c r="C1779" s="30"/>
      <c r="D1779" s="30"/>
      <c r="E1779" s="30"/>
      <c r="F1779" s="30"/>
      <c r="G1779" s="30"/>
      <c r="H1779" s="30"/>
      <c r="I1779" s="30"/>
      <c r="J1779" s="30"/>
      <c r="K1779" s="30"/>
      <c r="L1779" s="30"/>
      <c r="M1779" s="30"/>
      <c r="N1779" s="30"/>
      <c r="O1779" s="30"/>
      <c r="P1779" s="30"/>
      <c r="Q1779" s="30"/>
      <c r="R1779" s="30"/>
      <c r="S1779" s="30"/>
      <c r="T1779" s="30"/>
      <c r="U1779" s="30"/>
      <c r="V1779" s="30"/>
      <c r="W1779" s="30"/>
      <c r="X1779" s="30"/>
      <c r="Y1779" s="30"/>
      <c r="Z1779" s="30"/>
    </row>
    <row r="1780">
      <c r="A1780" s="29"/>
      <c r="B1780" s="29"/>
      <c r="C1780" s="30"/>
      <c r="D1780" s="30"/>
      <c r="E1780" s="30"/>
      <c r="F1780" s="30"/>
      <c r="G1780" s="30"/>
      <c r="H1780" s="30"/>
      <c r="I1780" s="30"/>
      <c r="J1780" s="30"/>
      <c r="K1780" s="30"/>
      <c r="L1780" s="30"/>
      <c r="M1780" s="30"/>
      <c r="N1780" s="30"/>
      <c r="O1780" s="30"/>
      <c r="P1780" s="30"/>
      <c r="Q1780" s="30"/>
      <c r="R1780" s="30"/>
      <c r="S1780" s="30"/>
      <c r="T1780" s="30"/>
      <c r="U1780" s="30"/>
      <c r="V1780" s="30"/>
      <c r="W1780" s="30"/>
      <c r="X1780" s="30"/>
      <c r="Y1780" s="30"/>
      <c r="Z1780" s="30"/>
    </row>
    <row r="1781">
      <c r="A1781" s="29"/>
      <c r="B1781" s="29"/>
      <c r="C1781" s="30"/>
      <c r="D1781" s="30"/>
      <c r="E1781" s="30"/>
      <c r="F1781" s="30"/>
      <c r="G1781" s="30"/>
      <c r="H1781" s="30"/>
      <c r="I1781" s="30"/>
      <c r="J1781" s="30"/>
      <c r="K1781" s="30"/>
      <c r="L1781" s="30"/>
      <c r="M1781" s="30"/>
      <c r="N1781" s="30"/>
      <c r="O1781" s="30"/>
      <c r="P1781" s="30"/>
      <c r="Q1781" s="30"/>
      <c r="R1781" s="30"/>
      <c r="S1781" s="30"/>
      <c r="T1781" s="30"/>
      <c r="U1781" s="30"/>
      <c r="V1781" s="30"/>
      <c r="W1781" s="30"/>
      <c r="X1781" s="30"/>
      <c r="Y1781" s="30"/>
      <c r="Z1781" s="30"/>
    </row>
    <row r="1782">
      <c r="A1782" s="29"/>
      <c r="B1782" s="29"/>
      <c r="C1782" s="30"/>
      <c r="D1782" s="30"/>
      <c r="E1782" s="30"/>
      <c r="F1782" s="30"/>
      <c r="G1782" s="30"/>
      <c r="H1782" s="30"/>
      <c r="I1782" s="30"/>
      <c r="J1782" s="30"/>
      <c r="K1782" s="30"/>
      <c r="L1782" s="30"/>
      <c r="M1782" s="30"/>
      <c r="N1782" s="30"/>
      <c r="O1782" s="30"/>
      <c r="P1782" s="30"/>
      <c r="Q1782" s="30"/>
      <c r="R1782" s="30"/>
      <c r="S1782" s="30"/>
      <c r="T1782" s="30"/>
      <c r="U1782" s="30"/>
      <c r="V1782" s="30"/>
      <c r="W1782" s="30"/>
      <c r="X1782" s="30"/>
      <c r="Y1782" s="30"/>
      <c r="Z1782" s="30"/>
    </row>
    <row r="1783">
      <c r="A1783" s="29"/>
      <c r="B1783" s="29"/>
      <c r="C1783" s="30"/>
      <c r="D1783" s="30"/>
      <c r="E1783" s="30"/>
      <c r="F1783" s="30"/>
      <c r="G1783" s="30"/>
      <c r="H1783" s="30"/>
      <c r="I1783" s="30"/>
      <c r="J1783" s="30"/>
      <c r="K1783" s="30"/>
      <c r="L1783" s="30"/>
      <c r="M1783" s="30"/>
      <c r="N1783" s="30"/>
      <c r="O1783" s="30"/>
      <c r="P1783" s="30"/>
      <c r="Q1783" s="30"/>
      <c r="R1783" s="30"/>
      <c r="S1783" s="30"/>
      <c r="T1783" s="30"/>
      <c r="U1783" s="30"/>
      <c r="V1783" s="30"/>
      <c r="W1783" s="30"/>
      <c r="X1783" s="30"/>
      <c r="Y1783" s="30"/>
      <c r="Z1783" s="30"/>
    </row>
    <row r="1784">
      <c r="A1784" s="29"/>
      <c r="B1784" s="29"/>
      <c r="C1784" s="30"/>
      <c r="D1784" s="30"/>
      <c r="E1784" s="30"/>
      <c r="F1784" s="30"/>
      <c r="G1784" s="30"/>
      <c r="H1784" s="30"/>
      <c r="I1784" s="30"/>
      <c r="J1784" s="30"/>
      <c r="K1784" s="30"/>
      <c r="L1784" s="30"/>
      <c r="M1784" s="30"/>
      <c r="N1784" s="30"/>
      <c r="O1784" s="30"/>
      <c r="P1784" s="30"/>
      <c r="Q1784" s="30"/>
      <c r="R1784" s="30"/>
      <c r="S1784" s="30"/>
      <c r="T1784" s="30"/>
      <c r="U1784" s="30"/>
      <c r="V1784" s="30"/>
      <c r="W1784" s="30"/>
      <c r="X1784" s="30"/>
      <c r="Y1784" s="30"/>
      <c r="Z1784" s="30"/>
    </row>
    <row r="1785">
      <c r="A1785" s="29"/>
      <c r="B1785" s="29"/>
      <c r="C1785" s="30"/>
      <c r="D1785" s="30"/>
      <c r="E1785" s="30"/>
      <c r="F1785" s="30"/>
      <c r="G1785" s="30"/>
      <c r="H1785" s="30"/>
      <c r="I1785" s="30"/>
      <c r="J1785" s="30"/>
      <c r="K1785" s="30"/>
      <c r="L1785" s="30"/>
      <c r="M1785" s="30"/>
      <c r="N1785" s="30"/>
      <c r="O1785" s="30"/>
      <c r="P1785" s="30"/>
      <c r="Q1785" s="30"/>
      <c r="R1785" s="30"/>
      <c r="S1785" s="30"/>
      <c r="T1785" s="30"/>
      <c r="U1785" s="30"/>
      <c r="V1785" s="30"/>
      <c r="W1785" s="30"/>
      <c r="X1785" s="30"/>
      <c r="Y1785" s="30"/>
      <c r="Z1785" s="30"/>
    </row>
    <row r="1786">
      <c r="A1786" s="29"/>
      <c r="B1786" s="29"/>
      <c r="C1786" s="30"/>
      <c r="D1786" s="30"/>
      <c r="E1786" s="30"/>
      <c r="F1786" s="30"/>
      <c r="G1786" s="30"/>
      <c r="H1786" s="30"/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  <c r="U1786" s="30"/>
      <c r="V1786" s="30"/>
      <c r="W1786" s="30"/>
      <c r="X1786" s="30"/>
      <c r="Y1786" s="30"/>
      <c r="Z1786" s="30"/>
    </row>
    <row r="1787">
      <c r="A1787" s="29"/>
      <c r="B1787" s="29"/>
      <c r="C1787" s="30"/>
      <c r="D1787" s="30"/>
      <c r="E1787" s="30"/>
      <c r="F1787" s="30"/>
      <c r="G1787" s="30"/>
      <c r="H1787" s="30"/>
      <c r="I1787" s="30"/>
      <c r="J1787" s="30"/>
      <c r="K1787" s="30"/>
      <c r="L1787" s="30"/>
      <c r="M1787" s="30"/>
      <c r="N1787" s="30"/>
      <c r="O1787" s="30"/>
      <c r="P1787" s="30"/>
      <c r="Q1787" s="30"/>
      <c r="R1787" s="30"/>
      <c r="S1787" s="30"/>
      <c r="T1787" s="30"/>
      <c r="U1787" s="30"/>
      <c r="V1787" s="30"/>
      <c r="W1787" s="30"/>
      <c r="X1787" s="30"/>
      <c r="Y1787" s="30"/>
      <c r="Z1787" s="30"/>
    </row>
    <row r="1788">
      <c r="A1788" s="29"/>
      <c r="B1788" s="29"/>
      <c r="C1788" s="30"/>
      <c r="D1788" s="30"/>
      <c r="E1788" s="30"/>
      <c r="F1788" s="30"/>
      <c r="G1788" s="30"/>
      <c r="H1788" s="30"/>
      <c r="I1788" s="30"/>
      <c r="J1788" s="30"/>
      <c r="K1788" s="30"/>
      <c r="L1788" s="30"/>
      <c r="M1788" s="30"/>
      <c r="N1788" s="30"/>
      <c r="O1788" s="30"/>
      <c r="P1788" s="30"/>
      <c r="Q1788" s="30"/>
      <c r="R1788" s="30"/>
      <c r="S1788" s="30"/>
      <c r="T1788" s="30"/>
      <c r="U1788" s="30"/>
      <c r="V1788" s="30"/>
      <c r="W1788" s="30"/>
      <c r="X1788" s="30"/>
      <c r="Y1788" s="30"/>
      <c r="Z1788" s="30"/>
    </row>
    <row r="1789">
      <c r="A1789" s="29"/>
      <c r="B1789" s="29"/>
      <c r="C1789" s="30"/>
      <c r="D1789" s="30"/>
      <c r="E1789" s="30"/>
      <c r="F1789" s="30"/>
      <c r="G1789" s="30"/>
      <c r="H1789" s="30"/>
      <c r="I1789" s="30"/>
      <c r="J1789" s="30"/>
      <c r="K1789" s="30"/>
      <c r="L1789" s="30"/>
      <c r="M1789" s="30"/>
      <c r="N1789" s="30"/>
      <c r="O1789" s="30"/>
      <c r="P1789" s="30"/>
      <c r="Q1789" s="30"/>
      <c r="R1789" s="30"/>
      <c r="S1789" s="30"/>
      <c r="T1789" s="30"/>
      <c r="U1789" s="30"/>
      <c r="V1789" s="30"/>
      <c r="W1789" s="30"/>
      <c r="X1789" s="30"/>
      <c r="Y1789" s="30"/>
      <c r="Z1789" s="30"/>
    </row>
    <row r="1790">
      <c r="A1790" s="29"/>
      <c r="B1790" s="29"/>
      <c r="C1790" s="30"/>
      <c r="D1790" s="30"/>
      <c r="E1790" s="30"/>
      <c r="F1790" s="30"/>
      <c r="G1790" s="30"/>
      <c r="H1790" s="30"/>
      <c r="I1790" s="30"/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  <c r="U1790" s="30"/>
      <c r="V1790" s="30"/>
      <c r="W1790" s="30"/>
      <c r="X1790" s="30"/>
      <c r="Y1790" s="30"/>
      <c r="Z1790" s="30"/>
    </row>
    <row r="1791">
      <c r="A1791" s="29"/>
      <c r="B1791" s="29"/>
      <c r="C1791" s="30"/>
      <c r="D1791" s="30"/>
      <c r="E1791" s="30"/>
      <c r="F1791" s="30"/>
      <c r="G1791" s="30"/>
      <c r="H1791" s="30"/>
      <c r="I1791" s="30"/>
      <c r="J1791" s="30"/>
      <c r="K1791" s="30"/>
      <c r="L1791" s="30"/>
      <c r="M1791" s="30"/>
      <c r="N1791" s="30"/>
      <c r="O1791" s="30"/>
      <c r="P1791" s="30"/>
      <c r="Q1791" s="30"/>
      <c r="R1791" s="30"/>
      <c r="S1791" s="30"/>
      <c r="T1791" s="30"/>
      <c r="U1791" s="30"/>
      <c r="V1791" s="30"/>
      <c r="W1791" s="30"/>
      <c r="X1791" s="30"/>
      <c r="Y1791" s="30"/>
      <c r="Z1791" s="30"/>
    </row>
    <row r="1792">
      <c r="A1792" s="29"/>
      <c r="B1792" s="29"/>
      <c r="C1792" s="30"/>
      <c r="D1792" s="30"/>
      <c r="E1792" s="30"/>
      <c r="F1792" s="30"/>
      <c r="G1792" s="30"/>
      <c r="H1792" s="30"/>
      <c r="I1792" s="30"/>
      <c r="J1792" s="30"/>
      <c r="K1792" s="30"/>
      <c r="L1792" s="30"/>
      <c r="M1792" s="30"/>
      <c r="N1792" s="30"/>
      <c r="O1792" s="30"/>
      <c r="P1792" s="30"/>
      <c r="Q1792" s="30"/>
      <c r="R1792" s="30"/>
      <c r="S1792" s="30"/>
      <c r="T1792" s="30"/>
      <c r="U1792" s="30"/>
      <c r="V1792" s="30"/>
      <c r="W1792" s="30"/>
      <c r="X1792" s="30"/>
      <c r="Y1792" s="30"/>
      <c r="Z1792" s="30"/>
    </row>
    <row r="1793">
      <c r="A1793" s="29"/>
      <c r="B1793" s="29"/>
      <c r="C1793" s="30"/>
      <c r="D1793" s="30"/>
      <c r="E1793" s="30"/>
      <c r="F1793" s="30"/>
      <c r="G1793" s="30"/>
      <c r="H1793" s="30"/>
      <c r="I1793" s="30"/>
      <c r="J1793" s="30"/>
      <c r="K1793" s="30"/>
      <c r="L1793" s="30"/>
      <c r="M1793" s="30"/>
      <c r="N1793" s="30"/>
      <c r="O1793" s="30"/>
      <c r="P1793" s="30"/>
      <c r="Q1793" s="30"/>
      <c r="R1793" s="30"/>
      <c r="S1793" s="30"/>
      <c r="T1793" s="30"/>
      <c r="U1793" s="30"/>
      <c r="V1793" s="30"/>
      <c r="W1793" s="30"/>
      <c r="X1793" s="30"/>
      <c r="Y1793" s="30"/>
      <c r="Z1793" s="30"/>
    </row>
    <row r="1794">
      <c r="A1794" s="29"/>
      <c r="B1794" s="29"/>
      <c r="C1794" s="30"/>
      <c r="D1794" s="30"/>
      <c r="E1794" s="30"/>
      <c r="F1794" s="30"/>
      <c r="G1794" s="30"/>
      <c r="H1794" s="30"/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  <c r="U1794" s="30"/>
      <c r="V1794" s="30"/>
      <c r="W1794" s="30"/>
      <c r="X1794" s="30"/>
      <c r="Y1794" s="30"/>
      <c r="Z1794" s="30"/>
    </row>
    <row r="1795">
      <c r="A1795" s="29"/>
      <c r="B1795" s="29"/>
      <c r="C1795" s="30"/>
      <c r="D1795" s="30"/>
      <c r="E1795" s="30"/>
      <c r="F1795" s="30"/>
      <c r="G1795" s="30"/>
      <c r="H1795" s="30"/>
      <c r="I1795" s="30"/>
      <c r="J1795" s="30"/>
      <c r="K1795" s="30"/>
      <c r="L1795" s="30"/>
      <c r="M1795" s="30"/>
      <c r="N1795" s="30"/>
      <c r="O1795" s="30"/>
      <c r="P1795" s="30"/>
      <c r="Q1795" s="30"/>
      <c r="R1795" s="30"/>
      <c r="S1795" s="30"/>
      <c r="T1795" s="30"/>
      <c r="U1795" s="30"/>
      <c r="V1795" s="30"/>
      <c r="W1795" s="30"/>
      <c r="X1795" s="30"/>
      <c r="Y1795" s="30"/>
      <c r="Z1795" s="30"/>
    </row>
    <row r="1796">
      <c r="A1796" s="29"/>
      <c r="B1796" s="29"/>
      <c r="C1796" s="30"/>
      <c r="D1796" s="30"/>
      <c r="E1796" s="30"/>
      <c r="F1796" s="30"/>
      <c r="G1796" s="30"/>
      <c r="H1796" s="30"/>
      <c r="I1796" s="30"/>
      <c r="J1796" s="30"/>
      <c r="K1796" s="30"/>
      <c r="L1796" s="30"/>
      <c r="M1796" s="30"/>
      <c r="N1796" s="30"/>
      <c r="O1796" s="30"/>
      <c r="P1796" s="30"/>
      <c r="Q1796" s="30"/>
      <c r="R1796" s="30"/>
      <c r="S1796" s="30"/>
      <c r="T1796" s="30"/>
      <c r="U1796" s="30"/>
      <c r="V1796" s="30"/>
      <c r="W1796" s="30"/>
      <c r="X1796" s="30"/>
      <c r="Y1796" s="30"/>
      <c r="Z1796" s="30"/>
    </row>
    <row r="1797">
      <c r="A1797" s="29"/>
      <c r="B1797" s="29"/>
      <c r="C1797" s="30"/>
      <c r="D1797" s="30"/>
      <c r="E1797" s="30"/>
      <c r="F1797" s="30"/>
      <c r="G1797" s="30"/>
      <c r="H1797" s="30"/>
      <c r="I1797" s="30"/>
      <c r="J1797" s="30"/>
      <c r="K1797" s="30"/>
      <c r="L1797" s="30"/>
      <c r="M1797" s="30"/>
      <c r="N1797" s="30"/>
      <c r="O1797" s="30"/>
      <c r="P1797" s="30"/>
      <c r="Q1797" s="30"/>
      <c r="R1797" s="30"/>
      <c r="S1797" s="30"/>
      <c r="T1797" s="30"/>
      <c r="U1797" s="30"/>
      <c r="V1797" s="30"/>
      <c r="W1797" s="30"/>
      <c r="X1797" s="30"/>
      <c r="Y1797" s="30"/>
      <c r="Z1797" s="30"/>
    </row>
    <row r="1798">
      <c r="A1798" s="29"/>
      <c r="B1798" s="29"/>
      <c r="C1798" s="30"/>
      <c r="D1798" s="30"/>
      <c r="E1798" s="30"/>
      <c r="F1798" s="30"/>
      <c r="G1798" s="30"/>
      <c r="H1798" s="30"/>
      <c r="I1798" s="30"/>
      <c r="J1798" s="30"/>
      <c r="K1798" s="30"/>
      <c r="L1798" s="30"/>
      <c r="M1798" s="30"/>
      <c r="N1798" s="30"/>
      <c r="O1798" s="30"/>
      <c r="P1798" s="30"/>
      <c r="Q1798" s="30"/>
      <c r="R1798" s="30"/>
      <c r="S1798" s="30"/>
      <c r="T1798" s="30"/>
      <c r="U1798" s="30"/>
      <c r="V1798" s="30"/>
      <c r="W1798" s="30"/>
      <c r="X1798" s="30"/>
      <c r="Y1798" s="30"/>
      <c r="Z1798" s="30"/>
    </row>
    <row r="1799">
      <c r="A1799" s="29"/>
      <c r="B1799" s="29"/>
      <c r="C1799" s="30"/>
      <c r="D1799" s="30"/>
      <c r="E1799" s="30"/>
      <c r="F1799" s="30"/>
      <c r="G1799" s="30"/>
      <c r="H1799" s="30"/>
      <c r="I1799" s="30"/>
      <c r="J1799" s="30"/>
      <c r="K1799" s="30"/>
      <c r="L1799" s="30"/>
      <c r="M1799" s="30"/>
      <c r="N1799" s="30"/>
      <c r="O1799" s="30"/>
      <c r="P1799" s="30"/>
      <c r="Q1799" s="30"/>
      <c r="R1799" s="30"/>
      <c r="S1799" s="30"/>
      <c r="T1799" s="30"/>
      <c r="U1799" s="30"/>
      <c r="V1799" s="30"/>
      <c r="W1799" s="30"/>
      <c r="X1799" s="30"/>
      <c r="Y1799" s="30"/>
      <c r="Z1799" s="30"/>
    </row>
    <row r="1800">
      <c r="A1800" s="29"/>
      <c r="B1800" s="29"/>
      <c r="C1800" s="30"/>
      <c r="D1800" s="30"/>
      <c r="E1800" s="30"/>
      <c r="F1800" s="30"/>
      <c r="G1800" s="30"/>
      <c r="H1800" s="30"/>
      <c r="I1800" s="30"/>
      <c r="J1800" s="30"/>
      <c r="K1800" s="30"/>
      <c r="L1800" s="30"/>
      <c r="M1800" s="30"/>
      <c r="N1800" s="30"/>
      <c r="O1800" s="30"/>
      <c r="P1800" s="30"/>
      <c r="Q1800" s="30"/>
      <c r="R1800" s="30"/>
      <c r="S1800" s="30"/>
      <c r="T1800" s="30"/>
      <c r="U1800" s="30"/>
      <c r="V1800" s="30"/>
      <c r="W1800" s="30"/>
      <c r="X1800" s="30"/>
      <c r="Y1800" s="30"/>
      <c r="Z1800" s="30"/>
    </row>
    <row r="1801">
      <c r="A1801" s="29"/>
      <c r="B1801" s="29"/>
      <c r="C1801" s="30"/>
      <c r="D1801" s="30"/>
      <c r="E1801" s="30"/>
      <c r="F1801" s="30"/>
      <c r="G1801" s="30"/>
      <c r="H1801" s="30"/>
      <c r="I1801" s="30"/>
      <c r="J1801" s="30"/>
      <c r="K1801" s="30"/>
      <c r="L1801" s="30"/>
      <c r="M1801" s="30"/>
      <c r="N1801" s="30"/>
      <c r="O1801" s="30"/>
      <c r="P1801" s="30"/>
      <c r="Q1801" s="30"/>
      <c r="R1801" s="30"/>
      <c r="S1801" s="30"/>
      <c r="T1801" s="30"/>
      <c r="U1801" s="30"/>
      <c r="V1801" s="30"/>
      <c r="W1801" s="30"/>
      <c r="X1801" s="30"/>
      <c r="Y1801" s="30"/>
      <c r="Z1801" s="30"/>
    </row>
    <row r="1802">
      <c r="A1802" s="29"/>
      <c r="B1802" s="29"/>
      <c r="C1802" s="30"/>
      <c r="D1802" s="30"/>
      <c r="E1802" s="30"/>
      <c r="F1802" s="30"/>
      <c r="G1802" s="30"/>
      <c r="H1802" s="30"/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/>
      <c r="U1802" s="30"/>
      <c r="V1802" s="30"/>
      <c r="W1802" s="30"/>
      <c r="X1802" s="30"/>
      <c r="Y1802" s="30"/>
      <c r="Z1802" s="30"/>
    </row>
    <row r="1803">
      <c r="A1803" s="29"/>
      <c r="B1803" s="29"/>
      <c r="C1803" s="30"/>
      <c r="D1803" s="30"/>
      <c r="E1803" s="30"/>
      <c r="F1803" s="30"/>
      <c r="G1803" s="30"/>
      <c r="H1803" s="30"/>
      <c r="I1803" s="30"/>
      <c r="J1803" s="30"/>
      <c r="K1803" s="30"/>
      <c r="L1803" s="30"/>
      <c r="M1803" s="30"/>
      <c r="N1803" s="30"/>
      <c r="O1803" s="30"/>
      <c r="P1803" s="30"/>
      <c r="Q1803" s="30"/>
      <c r="R1803" s="30"/>
      <c r="S1803" s="30"/>
      <c r="T1803" s="30"/>
      <c r="U1803" s="30"/>
      <c r="V1803" s="30"/>
      <c r="W1803" s="30"/>
      <c r="X1803" s="30"/>
      <c r="Y1803" s="30"/>
      <c r="Z1803" s="30"/>
    </row>
    <row r="1804">
      <c r="A1804" s="29"/>
      <c r="B1804" s="29"/>
      <c r="C1804" s="30"/>
      <c r="D1804" s="30"/>
      <c r="E1804" s="30"/>
      <c r="F1804" s="30"/>
      <c r="G1804" s="30"/>
      <c r="H1804" s="30"/>
      <c r="I1804" s="30"/>
      <c r="J1804" s="30"/>
      <c r="K1804" s="30"/>
      <c r="L1804" s="30"/>
      <c r="M1804" s="30"/>
      <c r="N1804" s="30"/>
      <c r="O1804" s="30"/>
      <c r="P1804" s="30"/>
      <c r="Q1804" s="30"/>
      <c r="R1804" s="30"/>
      <c r="S1804" s="30"/>
      <c r="T1804" s="30"/>
      <c r="U1804" s="30"/>
      <c r="V1804" s="30"/>
      <c r="W1804" s="30"/>
      <c r="X1804" s="30"/>
      <c r="Y1804" s="30"/>
      <c r="Z1804" s="30"/>
    </row>
    <row r="1805">
      <c r="A1805" s="29"/>
      <c r="B1805" s="29"/>
      <c r="C1805" s="30"/>
      <c r="D1805" s="30"/>
      <c r="E1805" s="30"/>
      <c r="F1805" s="30"/>
      <c r="G1805" s="30"/>
      <c r="H1805" s="30"/>
      <c r="I1805" s="30"/>
      <c r="J1805" s="30"/>
      <c r="K1805" s="30"/>
      <c r="L1805" s="30"/>
      <c r="M1805" s="30"/>
      <c r="N1805" s="30"/>
      <c r="O1805" s="30"/>
      <c r="P1805" s="30"/>
      <c r="Q1805" s="30"/>
      <c r="R1805" s="30"/>
      <c r="S1805" s="30"/>
      <c r="T1805" s="30"/>
      <c r="U1805" s="30"/>
      <c r="V1805" s="30"/>
      <c r="W1805" s="30"/>
      <c r="X1805" s="30"/>
      <c r="Y1805" s="30"/>
      <c r="Z1805" s="30"/>
    </row>
    <row r="1806">
      <c r="A1806" s="29"/>
      <c r="B1806" s="29"/>
      <c r="C1806" s="30"/>
      <c r="D1806" s="30"/>
      <c r="E1806" s="30"/>
      <c r="F1806" s="30"/>
      <c r="G1806" s="30"/>
      <c r="H1806" s="30"/>
      <c r="I1806" s="30"/>
      <c r="J1806" s="30"/>
      <c r="K1806" s="30"/>
      <c r="L1806" s="30"/>
      <c r="M1806" s="30"/>
      <c r="N1806" s="30"/>
      <c r="O1806" s="30"/>
      <c r="P1806" s="30"/>
      <c r="Q1806" s="30"/>
      <c r="R1806" s="30"/>
      <c r="S1806" s="30"/>
      <c r="T1806" s="30"/>
      <c r="U1806" s="30"/>
      <c r="V1806" s="30"/>
      <c r="W1806" s="30"/>
      <c r="X1806" s="30"/>
      <c r="Y1806" s="30"/>
      <c r="Z1806" s="30"/>
    </row>
    <row r="1807">
      <c r="A1807" s="29"/>
      <c r="B1807" s="29"/>
      <c r="C1807" s="30"/>
      <c r="D1807" s="30"/>
      <c r="E1807" s="30"/>
      <c r="F1807" s="30"/>
      <c r="G1807" s="30"/>
      <c r="H1807" s="30"/>
      <c r="I1807" s="30"/>
      <c r="J1807" s="30"/>
      <c r="K1807" s="30"/>
      <c r="L1807" s="30"/>
      <c r="M1807" s="30"/>
      <c r="N1807" s="30"/>
      <c r="O1807" s="30"/>
      <c r="P1807" s="30"/>
      <c r="Q1807" s="30"/>
      <c r="R1807" s="30"/>
      <c r="S1807" s="30"/>
      <c r="T1807" s="30"/>
      <c r="U1807" s="30"/>
      <c r="V1807" s="30"/>
      <c r="W1807" s="30"/>
      <c r="X1807" s="30"/>
      <c r="Y1807" s="30"/>
      <c r="Z1807" s="30"/>
    </row>
    <row r="1808">
      <c r="A1808" s="29"/>
      <c r="B1808" s="29"/>
      <c r="C1808" s="30"/>
      <c r="D1808" s="30"/>
      <c r="E1808" s="30"/>
      <c r="F1808" s="30"/>
      <c r="G1808" s="30"/>
      <c r="H1808" s="30"/>
      <c r="I1808" s="30"/>
      <c r="J1808" s="30"/>
      <c r="K1808" s="30"/>
      <c r="L1808" s="30"/>
      <c r="M1808" s="30"/>
      <c r="N1808" s="30"/>
      <c r="O1808" s="30"/>
      <c r="P1808" s="30"/>
      <c r="Q1808" s="30"/>
      <c r="R1808" s="30"/>
      <c r="S1808" s="30"/>
      <c r="T1808" s="30"/>
      <c r="U1808" s="30"/>
      <c r="V1808" s="30"/>
      <c r="W1808" s="30"/>
      <c r="X1808" s="30"/>
      <c r="Y1808" s="30"/>
      <c r="Z1808" s="30"/>
    </row>
    <row r="1809">
      <c r="A1809" s="29"/>
      <c r="B1809" s="29"/>
      <c r="C1809" s="30"/>
      <c r="D1809" s="30"/>
      <c r="E1809" s="30"/>
      <c r="F1809" s="30"/>
      <c r="G1809" s="30"/>
      <c r="H1809" s="30"/>
      <c r="I1809" s="30"/>
      <c r="J1809" s="30"/>
      <c r="K1809" s="30"/>
      <c r="L1809" s="30"/>
      <c r="M1809" s="30"/>
      <c r="N1809" s="30"/>
      <c r="O1809" s="30"/>
      <c r="P1809" s="30"/>
      <c r="Q1809" s="30"/>
      <c r="R1809" s="30"/>
      <c r="S1809" s="30"/>
      <c r="T1809" s="30"/>
      <c r="U1809" s="30"/>
      <c r="V1809" s="30"/>
      <c r="W1809" s="30"/>
      <c r="X1809" s="30"/>
      <c r="Y1809" s="30"/>
      <c r="Z1809" s="30"/>
    </row>
    <row r="1810">
      <c r="A1810" s="29"/>
      <c r="B1810" s="29"/>
      <c r="C1810" s="30"/>
      <c r="D1810" s="30"/>
      <c r="E1810" s="30"/>
      <c r="F1810" s="30"/>
      <c r="G1810" s="30"/>
      <c r="H1810" s="30"/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0"/>
      <c r="U1810" s="30"/>
      <c r="V1810" s="30"/>
      <c r="W1810" s="30"/>
      <c r="X1810" s="30"/>
      <c r="Y1810" s="30"/>
      <c r="Z1810" s="30"/>
    </row>
    <row r="1811">
      <c r="A1811" s="29"/>
      <c r="B1811" s="29"/>
      <c r="C1811" s="30"/>
      <c r="D1811" s="30"/>
      <c r="E1811" s="30"/>
      <c r="F1811" s="30"/>
      <c r="G1811" s="30"/>
      <c r="H1811" s="30"/>
      <c r="I1811" s="30"/>
      <c r="J1811" s="30"/>
      <c r="K1811" s="30"/>
      <c r="L1811" s="30"/>
      <c r="M1811" s="30"/>
      <c r="N1811" s="30"/>
      <c r="O1811" s="30"/>
      <c r="P1811" s="30"/>
      <c r="Q1811" s="30"/>
      <c r="R1811" s="30"/>
      <c r="S1811" s="30"/>
      <c r="T1811" s="30"/>
      <c r="U1811" s="30"/>
      <c r="V1811" s="30"/>
      <c r="W1811" s="30"/>
      <c r="X1811" s="30"/>
      <c r="Y1811" s="30"/>
      <c r="Z1811" s="30"/>
    </row>
    <row r="1812">
      <c r="A1812" s="29"/>
      <c r="B1812" s="29"/>
      <c r="C1812" s="30"/>
      <c r="D1812" s="30"/>
      <c r="E1812" s="30"/>
      <c r="F1812" s="30"/>
      <c r="G1812" s="30"/>
      <c r="H1812" s="30"/>
      <c r="I1812" s="30"/>
      <c r="J1812" s="30"/>
      <c r="K1812" s="30"/>
      <c r="L1812" s="30"/>
      <c r="M1812" s="30"/>
      <c r="N1812" s="30"/>
      <c r="O1812" s="30"/>
      <c r="P1812" s="30"/>
      <c r="Q1812" s="30"/>
      <c r="R1812" s="30"/>
      <c r="S1812" s="30"/>
      <c r="T1812" s="30"/>
      <c r="U1812" s="30"/>
      <c r="V1812" s="30"/>
      <c r="W1812" s="30"/>
      <c r="X1812" s="30"/>
      <c r="Y1812" s="30"/>
      <c r="Z1812" s="30"/>
    </row>
    <row r="1813">
      <c r="A1813" s="29"/>
      <c r="B1813" s="29"/>
      <c r="C1813" s="30"/>
      <c r="D1813" s="30"/>
      <c r="E1813" s="30"/>
      <c r="F1813" s="30"/>
      <c r="G1813" s="30"/>
      <c r="H1813" s="30"/>
      <c r="I1813" s="30"/>
      <c r="J1813" s="30"/>
      <c r="K1813" s="30"/>
      <c r="L1813" s="30"/>
      <c r="M1813" s="30"/>
      <c r="N1813" s="30"/>
      <c r="O1813" s="30"/>
      <c r="P1813" s="30"/>
      <c r="Q1813" s="30"/>
      <c r="R1813" s="30"/>
      <c r="S1813" s="30"/>
      <c r="T1813" s="30"/>
      <c r="U1813" s="30"/>
      <c r="V1813" s="30"/>
      <c r="W1813" s="30"/>
      <c r="X1813" s="30"/>
      <c r="Y1813" s="30"/>
      <c r="Z1813" s="30"/>
    </row>
    <row r="1814">
      <c r="A1814" s="29"/>
      <c r="B1814" s="29"/>
      <c r="C1814" s="30"/>
      <c r="D1814" s="30"/>
      <c r="E1814" s="30"/>
      <c r="F1814" s="30"/>
      <c r="G1814" s="30"/>
      <c r="H1814" s="30"/>
      <c r="I1814" s="30"/>
      <c r="J1814" s="30"/>
      <c r="K1814" s="30"/>
      <c r="L1814" s="30"/>
      <c r="M1814" s="30"/>
      <c r="N1814" s="30"/>
      <c r="O1814" s="30"/>
      <c r="P1814" s="30"/>
      <c r="Q1814" s="30"/>
      <c r="R1814" s="30"/>
      <c r="S1814" s="30"/>
      <c r="T1814" s="30"/>
      <c r="U1814" s="30"/>
      <c r="V1814" s="30"/>
      <c r="W1814" s="30"/>
      <c r="X1814" s="30"/>
      <c r="Y1814" s="30"/>
      <c r="Z1814" s="30"/>
    </row>
    <row r="1815">
      <c r="A1815" s="29"/>
      <c r="B1815" s="29"/>
      <c r="C1815" s="30"/>
      <c r="D1815" s="30"/>
      <c r="E1815" s="30"/>
      <c r="F1815" s="30"/>
      <c r="G1815" s="30"/>
      <c r="H1815" s="30"/>
      <c r="I1815" s="30"/>
      <c r="J1815" s="30"/>
      <c r="K1815" s="30"/>
      <c r="L1815" s="30"/>
      <c r="M1815" s="30"/>
      <c r="N1815" s="30"/>
      <c r="O1815" s="30"/>
      <c r="P1815" s="30"/>
      <c r="Q1815" s="30"/>
      <c r="R1815" s="30"/>
      <c r="S1815" s="30"/>
      <c r="T1815" s="30"/>
      <c r="U1815" s="30"/>
      <c r="V1815" s="30"/>
      <c r="W1815" s="30"/>
      <c r="X1815" s="30"/>
      <c r="Y1815" s="30"/>
      <c r="Z1815" s="30"/>
    </row>
    <row r="1816">
      <c r="A1816" s="29"/>
      <c r="B1816" s="29"/>
      <c r="C1816" s="30"/>
      <c r="D1816" s="30"/>
      <c r="E1816" s="30"/>
      <c r="F1816" s="30"/>
      <c r="G1816" s="30"/>
      <c r="H1816" s="30"/>
      <c r="I1816" s="30"/>
      <c r="J1816" s="30"/>
      <c r="K1816" s="30"/>
      <c r="L1816" s="30"/>
      <c r="M1816" s="30"/>
      <c r="N1816" s="30"/>
      <c r="O1816" s="30"/>
      <c r="P1816" s="30"/>
      <c r="Q1816" s="30"/>
      <c r="R1816" s="30"/>
      <c r="S1816" s="30"/>
      <c r="T1816" s="30"/>
      <c r="U1816" s="30"/>
      <c r="V1816" s="30"/>
      <c r="W1816" s="30"/>
      <c r="X1816" s="30"/>
      <c r="Y1816" s="30"/>
      <c r="Z1816" s="30"/>
    </row>
    <row r="1817">
      <c r="A1817" s="29"/>
      <c r="B1817" s="29"/>
      <c r="C1817" s="30"/>
      <c r="D1817" s="30"/>
      <c r="E1817" s="30"/>
      <c r="F1817" s="30"/>
      <c r="G1817" s="30"/>
      <c r="H1817" s="30"/>
      <c r="I1817" s="30"/>
      <c r="J1817" s="30"/>
      <c r="K1817" s="30"/>
      <c r="L1817" s="30"/>
      <c r="M1817" s="30"/>
      <c r="N1817" s="30"/>
      <c r="O1817" s="30"/>
      <c r="P1817" s="30"/>
      <c r="Q1817" s="30"/>
      <c r="R1817" s="30"/>
      <c r="S1817" s="30"/>
      <c r="T1817" s="30"/>
      <c r="U1817" s="30"/>
      <c r="V1817" s="30"/>
      <c r="W1817" s="30"/>
      <c r="X1817" s="30"/>
      <c r="Y1817" s="30"/>
      <c r="Z1817" s="30"/>
    </row>
    <row r="1818">
      <c r="A1818" s="29"/>
      <c r="B1818" s="29"/>
      <c r="C1818" s="30"/>
      <c r="D1818" s="30"/>
      <c r="E1818" s="30"/>
      <c r="F1818" s="30"/>
      <c r="G1818" s="30"/>
      <c r="H1818" s="30"/>
      <c r="I1818" s="30"/>
      <c r="J1818" s="30"/>
      <c r="K1818" s="30"/>
      <c r="L1818" s="30"/>
      <c r="M1818" s="30"/>
      <c r="N1818" s="30"/>
      <c r="O1818" s="30"/>
      <c r="P1818" s="30"/>
      <c r="Q1818" s="30"/>
      <c r="R1818" s="30"/>
      <c r="S1818" s="30"/>
      <c r="T1818" s="30"/>
      <c r="U1818" s="30"/>
      <c r="V1818" s="30"/>
      <c r="W1818" s="30"/>
      <c r="X1818" s="30"/>
      <c r="Y1818" s="30"/>
      <c r="Z1818" s="30"/>
    </row>
    <row r="1819">
      <c r="A1819" s="29"/>
      <c r="B1819" s="29"/>
      <c r="C1819" s="30"/>
      <c r="D1819" s="30"/>
      <c r="E1819" s="30"/>
      <c r="F1819" s="30"/>
      <c r="G1819" s="30"/>
      <c r="H1819" s="30"/>
      <c r="I1819" s="30"/>
      <c r="J1819" s="30"/>
      <c r="K1819" s="30"/>
      <c r="L1819" s="30"/>
      <c r="M1819" s="30"/>
      <c r="N1819" s="30"/>
      <c r="O1819" s="30"/>
      <c r="P1819" s="30"/>
      <c r="Q1819" s="30"/>
      <c r="R1819" s="30"/>
      <c r="S1819" s="30"/>
      <c r="T1819" s="30"/>
      <c r="U1819" s="30"/>
      <c r="V1819" s="30"/>
      <c r="W1819" s="30"/>
      <c r="X1819" s="30"/>
      <c r="Y1819" s="30"/>
      <c r="Z1819" s="30"/>
    </row>
    <row r="1820">
      <c r="A1820" s="29"/>
      <c r="B1820" s="29"/>
      <c r="C1820" s="30"/>
      <c r="D1820" s="30"/>
      <c r="E1820" s="30"/>
      <c r="F1820" s="30"/>
      <c r="G1820" s="30"/>
      <c r="H1820" s="30"/>
      <c r="I1820" s="30"/>
      <c r="J1820" s="30"/>
      <c r="K1820" s="30"/>
      <c r="L1820" s="30"/>
      <c r="M1820" s="30"/>
      <c r="N1820" s="30"/>
      <c r="O1820" s="30"/>
      <c r="P1820" s="30"/>
      <c r="Q1820" s="30"/>
      <c r="R1820" s="30"/>
      <c r="S1820" s="30"/>
      <c r="T1820" s="30"/>
      <c r="U1820" s="30"/>
      <c r="V1820" s="30"/>
      <c r="W1820" s="30"/>
      <c r="X1820" s="30"/>
      <c r="Y1820" s="30"/>
      <c r="Z1820" s="30"/>
    </row>
    <row r="1821">
      <c r="A1821" s="29"/>
      <c r="B1821" s="29"/>
      <c r="C1821" s="30"/>
      <c r="D1821" s="30"/>
      <c r="E1821" s="30"/>
      <c r="F1821" s="30"/>
      <c r="G1821" s="30"/>
      <c r="H1821" s="30"/>
      <c r="I1821" s="30"/>
      <c r="J1821" s="30"/>
      <c r="K1821" s="30"/>
      <c r="L1821" s="30"/>
      <c r="M1821" s="30"/>
      <c r="N1821" s="30"/>
      <c r="O1821" s="30"/>
      <c r="P1821" s="30"/>
      <c r="Q1821" s="30"/>
      <c r="R1821" s="30"/>
      <c r="S1821" s="30"/>
      <c r="T1821" s="30"/>
      <c r="U1821" s="30"/>
      <c r="V1821" s="30"/>
      <c r="W1821" s="30"/>
      <c r="X1821" s="30"/>
      <c r="Y1821" s="30"/>
      <c r="Z1821" s="30"/>
    </row>
    <row r="1822">
      <c r="A1822" s="29"/>
      <c r="B1822" s="29"/>
      <c r="C1822" s="30"/>
      <c r="D1822" s="30"/>
      <c r="E1822" s="30"/>
      <c r="F1822" s="30"/>
      <c r="G1822" s="30"/>
      <c r="H1822" s="30"/>
      <c r="I1822" s="30"/>
      <c r="J1822" s="30"/>
      <c r="K1822" s="30"/>
      <c r="L1822" s="30"/>
      <c r="M1822" s="30"/>
      <c r="N1822" s="30"/>
      <c r="O1822" s="30"/>
      <c r="P1822" s="30"/>
      <c r="Q1822" s="30"/>
      <c r="R1822" s="30"/>
      <c r="S1822" s="30"/>
      <c r="T1822" s="30"/>
      <c r="U1822" s="30"/>
      <c r="V1822" s="30"/>
      <c r="W1822" s="30"/>
      <c r="X1822" s="30"/>
      <c r="Y1822" s="30"/>
      <c r="Z1822" s="30"/>
    </row>
    <row r="1823">
      <c r="A1823" s="29"/>
      <c r="B1823" s="29"/>
      <c r="C1823" s="30"/>
      <c r="D1823" s="30"/>
      <c r="E1823" s="30"/>
      <c r="F1823" s="30"/>
      <c r="G1823" s="30"/>
      <c r="H1823" s="30"/>
      <c r="I1823" s="30"/>
      <c r="J1823" s="30"/>
      <c r="K1823" s="30"/>
      <c r="L1823" s="30"/>
      <c r="M1823" s="30"/>
      <c r="N1823" s="30"/>
      <c r="O1823" s="30"/>
      <c r="P1823" s="30"/>
      <c r="Q1823" s="30"/>
      <c r="R1823" s="30"/>
      <c r="S1823" s="30"/>
      <c r="T1823" s="30"/>
      <c r="U1823" s="30"/>
      <c r="V1823" s="30"/>
      <c r="W1823" s="30"/>
      <c r="X1823" s="30"/>
      <c r="Y1823" s="30"/>
      <c r="Z1823" s="30"/>
    </row>
    <row r="1824">
      <c r="A1824" s="29"/>
      <c r="B1824" s="29"/>
      <c r="C1824" s="30"/>
      <c r="D1824" s="30"/>
      <c r="E1824" s="30"/>
      <c r="F1824" s="30"/>
      <c r="G1824" s="30"/>
      <c r="H1824" s="30"/>
      <c r="I1824" s="30"/>
      <c r="J1824" s="30"/>
      <c r="K1824" s="30"/>
      <c r="L1824" s="30"/>
      <c r="M1824" s="30"/>
      <c r="N1824" s="30"/>
      <c r="O1824" s="30"/>
      <c r="P1824" s="30"/>
      <c r="Q1824" s="30"/>
      <c r="R1824" s="30"/>
      <c r="S1824" s="30"/>
      <c r="T1824" s="30"/>
      <c r="U1824" s="30"/>
      <c r="V1824" s="30"/>
      <c r="W1824" s="30"/>
      <c r="X1824" s="30"/>
      <c r="Y1824" s="30"/>
      <c r="Z1824" s="30"/>
    </row>
    <row r="1825">
      <c r="A1825" s="29"/>
      <c r="B1825" s="29"/>
      <c r="C1825" s="30"/>
      <c r="D1825" s="30"/>
      <c r="E1825" s="30"/>
      <c r="F1825" s="30"/>
      <c r="G1825" s="30"/>
      <c r="H1825" s="30"/>
      <c r="I1825" s="30"/>
      <c r="J1825" s="30"/>
      <c r="K1825" s="30"/>
      <c r="L1825" s="30"/>
      <c r="M1825" s="30"/>
      <c r="N1825" s="30"/>
      <c r="O1825" s="30"/>
      <c r="P1825" s="30"/>
      <c r="Q1825" s="30"/>
      <c r="R1825" s="30"/>
      <c r="S1825" s="30"/>
      <c r="T1825" s="30"/>
      <c r="U1825" s="30"/>
      <c r="V1825" s="30"/>
      <c r="W1825" s="30"/>
      <c r="X1825" s="30"/>
      <c r="Y1825" s="30"/>
      <c r="Z1825" s="30"/>
    </row>
    <row r="1826">
      <c r="A1826" s="29"/>
      <c r="B1826" s="29"/>
      <c r="C1826" s="30"/>
      <c r="D1826" s="30"/>
      <c r="E1826" s="30"/>
      <c r="F1826" s="30"/>
      <c r="G1826" s="30"/>
      <c r="H1826" s="30"/>
      <c r="I1826" s="30"/>
      <c r="J1826" s="30"/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  <c r="U1826" s="30"/>
      <c r="V1826" s="30"/>
      <c r="W1826" s="30"/>
      <c r="X1826" s="30"/>
      <c r="Y1826" s="30"/>
      <c r="Z1826" s="30"/>
    </row>
    <row r="1827">
      <c r="A1827" s="29"/>
      <c r="B1827" s="29"/>
      <c r="C1827" s="30"/>
      <c r="D1827" s="30"/>
      <c r="E1827" s="30"/>
      <c r="F1827" s="30"/>
      <c r="G1827" s="30"/>
      <c r="H1827" s="30"/>
      <c r="I1827" s="30"/>
      <c r="J1827" s="30"/>
      <c r="K1827" s="30"/>
      <c r="L1827" s="30"/>
      <c r="M1827" s="30"/>
      <c r="N1827" s="30"/>
      <c r="O1827" s="30"/>
      <c r="P1827" s="30"/>
      <c r="Q1827" s="30"/>
      <c r="R1827" s="30"/>
      <c r="S1827" s="30"/>
      <c r="T1827" s="30"/>
      <c r="U1827" s="30"/>
      <c r="V1827" s="30"/>
      <c r="W1827" s="30"/>
      <c r="X1827" s="30"/>
      <c r="Y1827" s="30"/>
      <c r="Z1827" s="30"/>
    </row>
    <row r="1828">
      <c r="A1828" s="29"/>
      <c r="B1828" s="29"/>
      <c r="C1828" s="30"/>
      <c r="D1828" s="30"/>
      <c r="E1828" s="30"/>
      <c r="F1828" s="30"/>
      <c r="G1828" s="30"/>
      <c r="H1828" s="30"/>
      <c r="I1828" s="30"/>
      <c r="J1828" s="30"/>
      <c r="K1828" s="30"/>
      <c r="L1828" s="30"/>
      <c r="M1828" s="30"/>
      <c r="N1828" s="30"/>
      <c r="O1828" s="30"/>
      <c r="P1828" s="30"/>
      <c r="Q1828" s="30"/>
      <c r="R1828" s="30"/>
      <c r="S1828" s="30"/>
      <c r="T1828" s="30"/>
      <c r="U1828" s="30"/>
      <c r="V1828" s="30"/>
      <c r="W1828" s="30"/>
      <c r="X1828" s="30"/>
      <c r="Y1828" s="30"/>
      <c r="Z1828" s="30"/>
    </row>
    <row r="1829">
      <c r="A1829" s="29"/>
      <c r="B1829" s="29"/>
      <c r="C1829" s="30"/>
      <c r="D1829" s="30"/>
      <c r="E1829" s="30"/>
      <c r="F1829" s="30"/>
      <c r="G1829" s="30"/>
      <c r="H1829" s="30"/>
      <c r="I1829" s="30"/>
      <c r="J1829" s="30"/>
      <c r="K1829" s="30"/>
      <c r="L1829" s="30"/>
      <c r="M1829" s="30"/>
      <c r="N1829" s="30"/>
      <c r="O1829" s="30"/>
      <c r="P1829" s="30"/>
      <c r="Q1829" s="30"/>
      <c r="R1829" s="30"/>
      <c r="S1829" s="30"/>
      <c r="T1829" s="30"/>
      <c r="U1829" s="30"/>
      <c r="V1829" s="30"/>
      <c r="W1829" s="30"/>
      <c r="X1829" s="30"/>
      <c r="Y1829" s="30"/>
      <c r="Z1829" s="30"/>
    </row>
    <row r="1830">
      <c r="A1830" s="29"/>
      <c r="B1830" s="29"/>
      <c r="C1830" s="30"/>
      <c r="D1830" s="30"/>
      <c r="E1830" s="30"/>
      <c r="F1830" s="30"/>
      <c r="G1830" s="30"/>
      <c r="H1830" s="30"/>
      <c r="I1830" s="30"/>
      <c r="J1830" s="30"/>
      <c r="K1830" s="30"/>
      <c r="L1830" s="30"/>
      <c r="M1830" s="30"/>
      <c r="N1830" s="30"/>
      <c r="O1830" s="30"/>
      <c r="P1830" s="30"/>
      <c r="Q1830" s="30"/>
      <c r="R1830" s="30"/>
      <c r="S1830" s="30"/>
      <c r="T1830" s="30"/>
      <c r="U1830" s="30"/>
      <c r="V1830" s="30"/>
      <c r="W1830" s="30"/>
      <c r="X1830" s="30"/>
      <c r="Y1830" s="30"/>
      <c r="Z1830" s="30"/>
    </row>
    <row r="1831">
      <c r="A1831" s="29"/>
      <c r="B1831" s="29"/>
      <c r="C1831" s="30"/>
      <c r="D1831" s="30"/>
      <c r="E1831" s="30"/>
      <c r="F1831" s="30"/>
      <c r="G1831" s="30"/>
      <c r="H1831" s="30"/>
      <c r="I1831" s="30"/>
      <c r="J1831" s="30"/>
      <c r="K1831" s="30"/>
      <c r="L1831" s="30"/>
      <c r="M1831" s="30"/>
      <c r="N1831" s="30"/>
      <c r="O1831" s="30"/>
      <c r="P1831" s="30"/>
      <c r="Q1831" s="30"/>
      <c r="R1831" s="30"/>
      <c r="S1831" s="30"/>
      <c r="T1831" s="30"/>
      <c r="U1831" s="30"/>
      <c r="V1831" s="30"/>
      <c r="W1831" s="30"/>
      <c r="X1831" s="30"/>
      <c r="Y1831" s="30"/>
      <c r="Z1831" s="30"/>
    </row>
    <row r="1832">
      <c r="A1832" s="29"/>
      <c r="B1832" s="29"/>
      <c r="C1832" s="30"/>
      <c r="D1832" s="30"/>
      <c r="E1832" s="30"/>
      <c r="F1832" s="30"/>
      <c r="G1832" s="30"/>
      <c r="H1832" s="30"/>
      <c r="I1832" s="30"/>
      <c r="J1832" s="30"/>
      <c r="K1832" s="30"/>
      <c r="L1832" s="30"/>
      <c r="M1832" s="30"/>
      <c r="N1832" s="30"/>
      <c r="O1832" s="30"/>
      <c r="P1832" s="30"/>
      <c r="Q1832" s="30"/>
      <c r="R1832" s="30"/>
      <c r="S1832" s="30"/>
      <c r="T1832" s="30"/>
      <c r="U1832" s="30"/>
      <c r="V1832" s="30"/>
      <c r="W1832" s="30"/>
      <c r="X1832" s="30"/>
      <c r="Y1832" s="30"/>
      <c r="Z1832" s="30"/>
    </row>
    <row r="1833">
      <c r="A1833" s="29"/>
      <c r="B1833" s="29"/>
      <c r="C1833" s="30"/>
      <c r="D1833" s="30"/>
      <c r="E1833" s="30"/>
      <c r="F1833" s="30"/>
      <c r="G1833" s="30"/>
      <c r="H1833" s="30"/>
      <c r="I1833" s="30"/>
      <c r="J1833" s="30"/>
      <c r="K1833" s="30"/>
      <c r="L1833" s="30"/>
      <c r="M1833" s="30"/>
      <c r="N1833" s="30"/>
      <c r="O1833" s="30"/>
      <c r="P1833" s="30"/>
      <c r="Q1833" s="30"/>
      <c r="R1833" s="30"/>
      <c r="S1833" s="30"/>
      <c r="T1833" s="30"/>
      <c r="U1833" s="30"/>
      <c r="V1833" s="30"/>
      <c r="W1833" s="30"/>
      <c r="X1833" s="30"/>
      <c r="Y1833" s="30"/>
      <c r="Z1833" s="30"/>
    </row>
    <row r="1834">
      <c r="A1834" s="29"/>
      <c r="B1834" s="29"/>
      <c r="C1834" s="30"/>
      <c r="D1834" s="30"/>
      <c r="E1834" s="30"/>
      <c r="F1834" s="30"/>
      <c r="G1834" s="30"/>
      <c r="H1834" s="30"/>
      <c r="I1834" s="30"/>
      <c r="J1834" s="30"/>
      <c r="K1834" s="30"/>
      <c r="L1834" s="30"/>
      <c r="M1834" s="30"/>
      <c r="N1834" s="30"/>
      <c r="O1834" s="30"/>
      <c r="P1834" s="30"/>
      <c r="Q1834" s="30"/>
      <c r="R1834" s="30"/>
      <c r="S1834" s="30"/>
      <c r="T1834" s="30"/>
      <c r="U1834" s="30"/>
      <c r="V1834" s="30"/>
      <c r="W1834" s="30"/>
      <c r="X1834" s="30"/>
      <c r="Y1834" s="30"/>
      <c r="Z1834" s="30"/>
    </row>
    <row r="1835">
      <c r="A1835" s="29"/>
      <c r="B1835" s="29"/>
      <c r="C1835" s="30"/>
      <c r="D1835" s="30"/>
      <c r="E1835" s="30"/>
      <c r="F1835" s="30"/>
      <c r="G1835" s="30"/>
      <c r="H1835" s="30"/>
      <c r="I1835" s="30"/>
      <c r="J1835" s="30"/>
      <c r="K1835" s="30"/>
      <c r="L1835" s="30"/>
      <c r="M1835" s="30"/>
      <c r="N1835" s="30"/>
      <c r="O1835" s="30"/>
      <c r="P1835" s="30"/>
      <c r="Q1835" s="30"/>
      <c r="R1835" s="30"/>
      <c r="S1835" s="30"/>
      <c r="T1835" s="30"/>
      <c r="U1835" s="30"/>
      <c r="V1835" s="30"/>
      <c r="W1835" s="30"/>
      <c r="X1835" s="30"/>
      <c r="Y1835" s="30"/>
      <c r="Z1835" s="30"/>
    </row>
    <row r="1836">
      <c r="A1836" s="29"/>
      <c r="B1836" s="29"/>
      <c r="C1836" s="30"/>
      <c r="D1836" s="30"/>
      <c r="E1836" s="30"/>
      <c r="F1836" s="30"/>
      <c r="G1836" s="30"/>
      <c r="H1836" s="30"/>
      <c r="I1836" s="30"/>
      <c r="J1836" s="30"/>
      <c r="K1836" s="30"/>
      <c r="L1836" s="30"/>
      <c r="M1836" s="30"/>
      <c r="N1836" s="30"/>
      <c r="O1836" s="30"/>
      <c r="P1836" s="30"/>
      <c r="Q1836" s="30"/>
      <c r="R1836" s="30"/>
      <c r="S1836" s="30"/>
      <c r="T1836" s="30"/>
      <c r="U1836" s="30"/>
      <c r="V1836" s="30"/>
      <c r="W1836" s="30"/>
      <c r="X1836" s="30"/>
      <c r="Y1836" s="30"/>
      <c r="Z1836" s="30"/>
    </row>
    <row r="1837">
      <c r="A1837" s="29"/>
      <c r="B1837" s="29"/>
      <c r="C1837" s="30"/>
      <c r="D1837" s="30"/>
      <c r="E1837" s="30"/>
      <c r="F1837" s="30"/>
      <c r="G1837" s="30"/>
      <c r="H1837" s="30"/>
      <c r="I1837" s="30"/>
      <c r="J1837" s="30"/>
      <c r="K1837" s="30"/>
      <c r="L1837" s="30"/>
      <c r="M1837" s="30"/>
      <c r="N1837" s="30"/>
      <c r="O1837" s="30"/>
      <c r="P1837" s="30"/>
      <c r="Q1837" s="30"/>
      <c r="R1837" s="30"/>
      <c r="S1837" s="30"/>
      <c r="T1837" s="30"/>
      <c r="U1837" s="30"/>
      <c r="V1837" s="30"/>
      <c r="W1837" s="30"/>
      <c r="X1837" s="30"/>
      <c r="Y1837" s="30"/>
      <c r="Z1837" s="30"/>
    </row>
    <row r="1838">
      <c r="A1838" s="29"/>
      <c r="B1838" s="29"/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0"/>
      <c r="N1838" s="30"/>
      <c r="O1838" s="30"/>
      <c r="P1838" s="30"/>
      <c r="Q1838" s="30"/>
      <c r="R1838" s="30"/>
      <c r="S1838" s="30"/>
      <c r="T1838" s="30"/>
      <c r="U1838" s="30"/>
      <c r="V1838" s="30"/>
      <c r="W1838" s="30"/>
      <c r="X1838" s="30"/>
      <c r="Y1838" s="30"/>
      <c r="Z1838" s="30"/>
    </row>
    <row r="1839">
      <c r="A1839" s="29"/>
      <c r="B1839" s="29"/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30"/>
      <c r="N1839" s="30"/>
      <c r="O1839" s="30"/>
      <c r="P1839" s="30"/>
      <c r="Q1839" s="30"/>
      <c r="R1839" s="30"/>
      <c r="S1839" s="30"/>
      <c r="T1839" s="30"/>
      <c r="U1839" s="30"/>
      <c r="V1839" s="30"/>
      <c r="W1839" s="30"/>
      <c r="X1839" s="30"/>
      <c r="Y1839" s="30"/>
      <c r="Z1839" s="30"/>
    </row>
    <row r="1840">
      <c r="A1840" s="29"/>
      <c r="B1840" s="29"/>
      <c r="C1840" s="30"/>
      <c r="D1840" s="30"/>
      <c r="E1840" s="30"/>
      <c r="F1840" s="30"/>
      <c r="G1840" s="30"/>
      <c r="H1840" s="30"/>
      <c r="I1840" s="30"/>
      <c r="J1840" s="30"/>
      <c r="K1840" s="30"/>
      <c r="L1840" s="30"/>
      <c r="M1840" s="30"/>
      <c r="N1840" s="30"/>
      <c r="O1840" s="30"/>
      <c r="P1840" s="30"/>
      <c r="Q1840" s="30"/>
      <c r="R1840" s="30"/>
      <c r="S1840" s="30"/>
      <c r="T1840" s="30"/>
      <c r="U1840" s="30"/>
      <c r="V1840" s="30"/>
      <c r="W1840" s="30"/>
      <c r="X1840" s="30"/>
      <c r="Y1840" s="30"/>
      <c r="Z1840" s="30"/>
    </row>
    <row r="1841">
      <c r="A1841" s="29"/>
      <c r="B1841" s="29"/>
      <c r="C1841" s="30"/>
      <c r="D1841" s="30"/>
      <c r="E1841" s="30"/>
      <c r="F1841" s="30"/>
      <c r="G1841" s="30"/>
      <c r="H1841" s="30"/>
      <c r="I1841" s="30"/>
      <c r="J1841" s="30"/>
      <c r="K1841" s="30"/>
      <c r="L1841" s="30"/>
      <c r="M1841" s="30"/>
      <c r="N1841" s="30"/>
      <c r="O1841" s="30"/>
      <c r="P1841" s="30"/>
      <c r="Q1841" s="30"/>
      <c r="R1841" s="30"/>
      <c r="S1841" s="30"/>
      <c r="T1841" s="30"/>
      <c r="U1841" s="30"/>
      <c r="V1841" s="30"/>
      <c r="W1841" s="30"/>
      <c r="X1841" s="30"/>
      <c r="Y1841" s="30"/>
      <c r="Z1841" s="30"/>
    </row>
    <row r="1842">
      <c r="A1842" s="29"/>
      <c r="B1842" s="29"/>
      <c r="C1842" s="30"/>
      <c r="D1842" s="30"/>
      <c r="E1842" s="30"/>
      <c r="F1842" s="30"/>
      <c r="G1842" s="30"/>
      <c r="H1842" s="30"/>
      <c r="I1842" s="30"/>
      <c r="J1842" s="30"/>
      <c r="K1842" s="30"/>
      <c r="L1842" s="30"/>
      <c r="M1842" s="30"/>
      <c r="N1842" s="30"/>
      <c r="O1842" s="30"/>
      <c r="P1842" s="30"/>
      <c r="Q1842" s="30"/>
      <c r="R1842" s="30"/>
      <c r="S1842" s="30"/>
      <c r="T1842" s="30"/>
      <c r="U1842" s="30"/>
      <c r="V1842" s="30"/>
      <c r="W1842" s="30"/>
      <c r="X1842" s="30"/>
      <c r="Y1842" s="30"/>
      <c r="Z1842" s="30"/>
    </row>
    <row r="1843">
      <c r="A1843" s="29"/>
      <c r="B1843" s="29"/>
      <c r="C1843" s="30"/>
      <c r="D1843" s="30"/>
      <c r="E1843" s="30"/>
      <c r="F1843" s="30"/>
      <c r="G1843" s="30"/>
      <c r="H1843" s="30"/>
      <c r="I1843" s="30"/>
      <c r="J1843" s="30"/>
      <c r="K1843" s="30"/>
      <c r="L1843" s="30"/>
      <c r="M1843" s="30"/>
      <c r="N1843" s="30"/>
      <c r="O1843" s="30"/>
      <c r="P1843" s="30"/>
      <c r="Q1843" s="30"/>
      <c r="R1843" s="30"/>
      <c r="S1843" s="30"/>
      <c r="T1843" s="30"/>
      <c r="U1843" s="30"/>
      <c r="V1843" s="30"/>
      <c r="W1843" s="30"/>
      <c r="X1843" s="30"/>
      <c r="Y1843" s="30"/>
      <c r="Z1843" s="30"/>
    </row>
    <row r="1844">
      <c r="A1844" s="29"/>
      <c r="B1844" s="29"/>
      <c r="C1844" s="30"/>
      <c r="D1844" s="30"/>
      <c r="E1844" s="30"/>
      <c r="F1844" s="30"/>
      <c r="G1844" s="30"/>
      <c r="H1844" s="30"/>
      <c r="I1844" s="30"/>
      <c r="J1844" s="30"/>
      <c r="K1844" s="30"/>
      <c r="L1844" s="30"/>
      <c r="M1844" s="30"/>
      <c r="N1844" s="30"/>
      <c r="O1844" s="30"/>
      <c r="P1844" s="30"/>
      <c r="Q1844" s="30"/>
      <c r="R1844" s="30"/>
      <c r="S1844" s="30"/>
      <c r="T1844" s="30"/>
      <c r="U1844" s="30"/>
      <c r="V1844" s="30"/>
      <c r="W1844" s="30"/>
      <c r="X1844" s="30"/>
      <c r="Y1844" s="30"/>
      <c r="Z1844" s="30"/>
    </row>
    <row r="1845">
      <c r="A1845" s="29"/>
      <c r="B1845" s="29"/>
      <c r="C1845" s="30"/>
      <c r="D1845" s="30"/>
      <c r="E1845" s="30"/>
      <c r="F1845" s="30"/>
      <c r="G1845" s="30"/>
      <c r="H1845" s="30"/>
      <c r="I1845" s="30"/>
      <c r="J1845" s="30"/>
      <c r="K1845" s="30"/>
      <c r="L1845" s="30"/>
      <c r="M1845" s="30"/>
      <c r="N1845" s="30"/>
      <c r="O1845" s="30"/>
      <c r="P1845" s="30"/>
      <c r="Q1845" s="30"/>
      <c r="R1845" s="30"/>
      <c r="S1845" s="30"/>
      <c r="T1845" s="30"/>
      <c r="U1845" s="30"/>
      <c r="V1845" s="30"/>
      <c r="W1845" s="30"/>
      <c r="X1845" s="30"/>
      <c r="Y1845" s="30"/>
      <c r="Z1845" s="30"/>
    </row>
    <row r="1846">
      <c r="A1846" s="29"/>
      <c r="B1846" s="29"/>
      <c r="C1846" s="30"/>
      <c r="D1846" s="30"/>
      <c r="E1846" s="30"/>
      <c r="F1846" s="30"/>
      <c r="G1846" s="30"/>
      <c r="H1846" s="30"/>
      <c r="I1846" s="30"/>
      <c r="J1846" s="30"/>
      <c r="K1846" s="30"/>
      <c r="L1846" s="30"/>
      <c r="M1846" s="30"/>
      <c r="N1846" s="30"/>
      <c r="O1846" s="30"/>
      <c r="P1846" s="30"/>
      <c r="Q1846" s="30"/>
      <c r="R1846" s="30"/>
      <c r="S1846" s="30"/>
      <c r="T1846" s="30"/>
      <c r="U1846" s="30"/>
      <c r="V1846" s="30"/>
      <c r="W1846" s="30"/>
      <c r="X1846" s="30"/>
      <c r="Y1846" s="30"/>
      <c r="Z1846" s="30"/>
    </row>
    <row r="1847">
      <c r="A1847" s="29"/>
      <c r="B1847" s="29"/>
      <c r="C1847" s="30"/>
      <c r="D1847" s="30"/>
      <c r="E1847" s="30"/>
      <c r="F1847" s="30"/>
      <c r="G1847" s="30"/>
      <c r="H1847" s="30"/>
      <c r="I1847" s="30"/>
      <c r="J1847" s="30"/>
      <c r="K1847" s="30"/>
      <c r="L1847" s="30"/>
      <c r="M1847" s="30"/>
      <c r="N1847" s="30"/>
      <c r="O1847" s="30"/>
      <c r="P1847" s="30"/>
      <c r="Q1847" s="30"/>
      <c r="R1847" s="30"/>
      <c r="S1847" s="30"/>
      <c r="T1847" s="30"/>
      <c r="U1847" s="30"/>
      <c r="V1847" s="30"/>
      <c r="W1847" s="30"/>
      <c r="X1847" s="30"/>
      <c r="Y1847" s="30"/>
      <c r="Z1847" s="30"/>
    </row>
    <row r="1848">
      <c r="A1848" s="29"/>
      <c r="B1848" s="29"/>
      <c r="C1848" s="30"/>
      <c r="D1848" s="30"/>
      <c r="E1848" s="30"/>
      <c r="F1848" s="30"/>
      <c r="G1848" s="30"/>
      <c r="H1848" s="30"/>
      <c r="I1848" s="30"/>
      <c r="J1848" s="30"/>
      <c r="K1848" s="30"/>
      <c r="L1848" s="30"/>
      <c r="M1848" s="30"/>
      <c r="N1848" s="30"/>
      <c r="O1848" s="30"/>
      <c r="P1848" s="30"/>
      <c r="Q1848" s="30"/>
      <c r="R1848" s="30"/>
      <c r="S1848" s="30"/>
      <c r="T1848" s="30"/>
      <c r="U1848" s="30"/>
      <c r="V1848" s="30"/>
      <c r="W1848" s="30"/>
      <c r="X1848" s="30"/>
      <c r="Y1848" s="30"/>
      <c r="Z1848" s="30"/>
    </row>
    <row r="1849">
      <c r="A1849" s="29"/>
      <c r="B1849" s="29"/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0"/>
      <c r="N1849" s="30"/>
      <c r="O1849" s="30"/>
      <c r="P1849" s="30"/>
      <c r="Q1849" s="30"/>
      <c r="R1849" s="30"/>
      <c r="S1849" s="30"/>
      <c r="T1849" s="30"/>
      <c r="U1849" s="30"/>
      <c r="V1849" s="30"/>
      <c r="W1849" s="30"/>
      <c r="X1849" s="30"/>
      <c r="Y1849" s="30"/>
      <c r="Z1849" s="30"/>
    </row>
    <row r="1850">
      <c r="A1850" s="29"/>
      <c r="B1850" s="29"/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30"/>
      <c r="N1850" s="30"/>
      <c r="O1850" s="30"/>
      <c r="P1850" s="30"/>
      <c r="Q1850" s="30"/>
      <c r="R1850" s="30"/>
      <c r="S1850" s="30"/>
      <c r="T1850" s="30"/>
      <c r="U1850" s="30"/>
      <c r="V1850" s="30"/>
      <c r="W1850" s="30"/>
      <c r="X1850" s="30"/>
      <c r="Y1850" s="30"/>
      <c r="Z1850" s="30"/>
    </row>
    <row r="1851">
      <c r="A1851" s="29"/>
      <c r="B1851" s="29"/>
      <c r="C1851" s="30"/>
      <c r="D1851" s="30"/>
      <c r="E1851" s="30"/>
      <c r="F1851" s="30"/>
      <c r="G1851" s="30"/>
      <c r="H1851" s="30"/>
      <c r="I1851" s="30"/>
      <c r="J1851" s="30"/>
      <c r="K1851" s="30"/>
      <c r="L1851" s="30"/>
      <c r="M1851" s="30"/>
      <c r="N1851" s="30"/>
      <c r="O1851" s="30"/>
      <c r="P1851" s="30"/>
      <c r="Q1851" s="30"/>
      <c r="R1851" s="30"/>
      <c r="S1851" s="30"/>
      <c r="T1851" s="30"/>
      <c r="U1851" s="30"/>
      <c r="V1851" s="30"/>
      <c r="W1851" s="30"/>
      <c r="X1851" s="30"/>
      <c r="Y1851" s="30"/>
      <c r="Z1851" s="30"/>
    </row>
    <row r="1852">
      <c r="A1852" s="29"/>
      <c r="B1852" s="29"/>
      <c r="C1852" s="30"/>
      <c r="D1852" s="30"/>
      <c r="E1852" s="30"/>
      <c r="F1852" s="30"/>
      <c r="G1852" s="30"/>
      <c r="H1852" s="30"/>
      <c r="I1852" s="30"/>
      <c r="J1852" s="30"/>
      <c r="K1852" s="30"/>
      <c r="L1852" s="30"/>
      <c r="M1852" s="30"/>
      <c r="N1852" s="30"/>
      <c r="O1852" s="30"/>
      <c r="P1852" s="30"/>
      <c r="Q1852" s="30"/>
      <c r="R1852" s="30"/>
      <c r="S1852" s="30"/>
      <c r="T1852" s="30"/>
      <c r="U1852" s="30"/>
      <c r="V1852" s="30"/>
      <c r="W1852" s="30"/>
      <c r="X1852" s="30"/>
      <c r="Y1852" s="30"/>
      <c r="Z1852" s="30"/>
    </row>
    <row r="1853">
      <c r="A1853" s="29"/>
      <c r="B1853" s="29"/>
      <c r="C1853" s="30"/>
      <c r="D1853" s="30"/>
      <c r="E1853" s="30"/>
      <c r="F1853" s="30"/>
      <c r="G1853" s="30"/>
      <c r="H1853" s="30"/>
      <c r="I1853" s="30"/>
      <c r="J1853" s="30"/>
      <c r="K1853" s="30"/>
      <c r="L1853" s="30"/>
      <c r="M1853" s="30"/>
      <c r="N1853" s="30"/>
      <c r="O1853" s="30"/>
      <c r="P1853" s="30"/>
      <c r="Q1853" s="30"/>
      <c r="R1853" s="30"/>
      <c r="S1853" s="30"/>
      <c r="T1853" s="30"/>
      <c r="U1853" s="30"/>
      <c r="V1853" s="30"/>
      <c r="W1853" s="30"/>
      <c r="X1853" s="30"/>
      <c r="Y1853" s="30"/>
      <c r="Z1853" s="30"/>
    </row>
    <row r="1854">
      <c r="A1854" s="29"/>
      <c r="B1854" s="29"/>
      <c r="C1854" s="30"/>
      <c r="D1854" s="30"/>
      <c r="E1854" s="30"/>
      <c r="F1854" s="30"/>
      <c r="G1854" s="30"/>
      <c r="H1854" s="30"/>
      <c r="I1854" s="30"/>
      <c r="J1854" s="30"/>
      <c r="K1854" s="30"/>
      <c r="L1854" s="30"/>
      <c r="M1854" s="30"/>
      <c r="N1854" s="30"/>
      <c r="O1854" s="30"/>
      <c r="P1854" s="30"/>
      <c r="Q1854" s="30"/>
      <c r="R1854" s="30"/>
      <c r="S1854" s="30"/>
      <c r="T1854" s="30"/>
      <c r="U1854" s="30"/>
      <c r="V1854" s="30"/>
      <c r="W1854" s="30"/>
      <c r="X1854" s="30"/>
      <c r="Y1854" s="30"/>
      <c r="Z1854" s="30"/>
    </row>
    <row r="1855">
      <c r="A1855" s="29"/>
      <c r="B1855" s="29"/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0"/>
      <c r="N1855" s="30"/>
      <c r="O1855" s="30"/>
      <c r="P1855" s="30"/>
      <c r="Q1855" s="30"/>
      <c r="R1855" s="30"/>
      <c r="S1855" s="30"/>
      <c r="T1855" s="30"/>
      <c r="U1855" s="30"/>
      <c r="V1855" s="30"/>
      <c r="W1855" s="30"/>
      <c r="X1855" s="30"/>
      <c r="Y1855" s="30"/>
      <c r="Z1855" s="30"/>
    </row>
    <row r="1856">
      <c r="A1856" s="29"/>
      <c r="B1856" s="29"/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30"/>
      <c r="N1856" s="30"/>
      <c r="O1856" s="30"/>
      <c r="P1856" s="30"/>
      <c r="Q1856" s="30"/>
      <c r="R1856" s="30"/>
      <c r="S1856" s="30"/>
      <c r="T1856" s="30"/>
      <c r="U1856" s="30"/>
      <c r="V1856" s="30"/>
      <c r="W1856" s="30"/>
      <c r="X1856" s="30"/>
      <c r="Y1856" s="30"/>
      <c r="Z1856" s="30"/>
    </row>
    <row r="1857">
      <c r="A1857" s="29"/>
      <c r="B1857" s="29"/>
      <c r="C1857" s="30"/>
      <c r="D1857" s="30"/>
      <c r="E1857" s="30"/>
      <c r="F1857" s="30"/>
      <c r="G1857" s="30"/>
      <c r="H1857" s="30"/>
      <c r="I1857" s="30"/>
      <c r="J1857" s="30"/>
      <c r="K1857" s="30"/>
      <c r="L1857" s="30"/>
      <c r="M1857" s="30"/>
      <c r="N1857" s="30"/>
      <c r="O1857" s="30"/>
      <c r="P1857" s="30"/>
      <c r="Q1857" s="30"/>
      <c r="R1857" s="30"/>
      <c r="S1857" s="30"/>
      <c r="T1857" s="30"/>
      <c r="U1857" s="30"/>
      <c r="V1857" s="30"/>
      <c r="W1857" s="30"/>
      <c r="X1857" s="30"/>
      <c r="Y1857" s="30"/>
      <c r="Z1857" s="30"/>
    </row>
    <row r="1858">
      <c r="A1858" s="29"/>
      <c r="B1858" s="29"/>
      <c r="C1858" s="30"/>
      <c r="D1858" s="30"/>
      <c r="E1858" s="30"/>
      <c r="F1858" s="30"/>
      <c r="G1858" s="30"/>
      <c r="H1858" s="30"/>
      <c r="I1858" s="30"/>
      <c r="J1858" s="30"/>
      <c r="K1858" s="30"/>
      <c r="L1858" s="30"/>
      <c r="M1858" s="30"/>
      <c r="N1858" s="30"/>
      <c r="O1858" s="30"/>
      <c r="P1858" s="30"/>
      <c r="Q1858" s="30"/>
      <c r="R1858" s="30"/>
      <c r="S1858" s="30"/>
      <c r="T1858" s="30"/>
      <c r="U1858" s="30"/>
      <c r="V1858" s="30"/>
      <c r="W1858" s="30"/>
      <c r="X1858" s="30"/>
      <c r="Y1858" s="30"/>
      <c r="Z1858" s="30"/>
    </row>
    <row r="1859">
      <c r="A1859" s="29"/>
      <c r="B1859" s="29"/>
      <c r="C1859" s="30"/>
      <c r="D1859" s="30"/>
      <c r="E1859" s="30"/>
      <c r="F1859" s="30"/>
      <c r="G1859" s="30"/>
      <c r="H1859" s="30"/>
      <c r="I1859" s="30"/>
      <c r="J1859" s="30"/>
      <c r="K1859" s="30"/>
      <c r="L1859" s="30"/>
      <c r="M1859" s="30"/>
      <c r="N1859" s="30"/>
      <c r="O1859" s="30"/>
      <c r="P1859" s="30"/>
      <c r="Q1859" s="30"/>
      <c r="R1859" s="30"/>
      <c r="S1859" s="30"/>
      <c r="T1859" s="30"/>
      <c r="U1859" s="30"/>
      <c r="V1859" s="30"/>
      <c r="W1859" s="30"/>
      <c r="X1859" s="30"/>
      <c r="Y1859" s="30"/>
      <c r="Z1859" s="30"/>
    </row>
    <row r="1860">
      <c r="A1860" s="29"/>
      <c r="B1860" s="29"/>
      <c r="C1860" s="30"/>
      <c r="D1860" s="30"/>
      <c r="E1860" s="30"/>
      <c r="F1860" s="30"/>
      <c r="G1860" s="30"/>
      <c r="H1860" s="30"/>
      <c r="I1860" s="30"/>
      <c r="J1860" s="30"/>
      <c r="K1860" s="30"/>
      <c r="L1860" s="30"/>
      <c r="M1860" s="30"/>
      <c r="N1860" s="30"/>
      <c r="O1860" s="30"/>
      <c r="P1860" s="30"/>
      <c r="Q1860" s="30"/>
      <c r="R1860" s="30"/>
      <c r="S1860" s="30"/>
      <c r="T1860" s="30"/>
      <c r="U1860" s="30"/>
      <c r="V1860" s="30"/>
      <c r="W1860" s="30"/>
      <c r="X1860" s="30"/>
      <c r="Y1860" s="30"/>
      <c r="Z1860" s="30"/>
    </row>
    <row r="1861">
      <c r="A1861" s="29"/>
      <c r="B1861" s="29"/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0"/>
      <c r="N1861" s="30"/>
      <c r="O1861" s="30"/>
      <c r="P1861" s="30"/>
      <c r="Q1861" s="30"/>
      <c r="R1861" s="30"/>
      <c r="S1861" s="30"/>
      <c r="T1861" s="30"/>
      <c r="U1861" s="30"/>
      <c r="V1861" s="30"/>
      <c r="W1861" s="30"/>
      <c r="X1861" s="30"/>
      <c r="Y1861" s="30"/>
      <c r="Z1861" s="30"/>
    </row>
    <row r="1862">
      <c r="A1862" s="29"/>
      <c r="B1862" s="29"/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30"/>
      <c r="N1862" s="30"/>
      <c r="O1862" s="30"/>
      <c r="P1862" s="30"/>
      <c r="Q1862" s="30"/>
      <c r="R1862" s="30"/>
      <c r="S1862" s="30"/>
      <c r="T1862" s="30"/>
      <c r="U1862" s="30"/>
      <c r="V1862" s="30"/>
      <c r="W1862" s="30"/>
      <c r="X1862" s="30"/>
      <c r="Y1862" s="30"/>
      <c r="Z1862" s="30"/>
    </row>
    <row r="1863">
      <c r="A1863" s="29"/>
      <c r="B1863" s="29"/>
      <c r="C1863" s="30"/>
      <c r="D1863" s="30"/>
      <c r="E1863" s="30"/>
      <c r="F1863" s="30"/>
      <c r="G1863" s="30"/>
      <c r="H1863" s="30"/>
      <c r="I1863" s="30"/>
      <c r="J1863" s="30"/>
      <c r="K1863" s="30"/>
      <c r="L1863" s="30"/>
      <c r="M1863" s="30"/>
      <c r="N1863" s="30"/>
      <c r="O1863" s="30"/>
      <c r="P1863" s="30"/>
      <c r="Q1863" s="30"/>
      <c r="R1863" s="30"/>
      <c r="S1863" s="30"/>
      <c r="T1863" s="30"/>
      <c r="U1863" s="30"/>
      <c r="V1863" s="30"/>
      <c r="W1863" s="30"/>
      <c r="X1863" s="30"/>
      <c r="Y1863" s="30"/>
      <c r="Z1863" s="30"/>
    </row>
    <row r="1864">
      <c r="A1864" s="29"/>
      <c r="B1864" s="29"/>
      <c r="C1864" s="30"/>
      <c r="D1864" s="30"/>
      <c r="E1864" s="30"/>
      <c r="F1864" s="30"/>
      <c r="G1864" s="30"/>
      <c r="H1864" s="30"/>
      <c r="I1864" s="30"/>
      <c r="J1864" s="30"/>
      <c r="K1864" s="30"/>
      <c r="L1864" s="30"/>
      <c r="M1864" s="30"/>
      <c r="N1864" s="30"/>
      <c r="O1864" s="30"/>
      <c r="P1864" s="30"/>
      <c r="Q1864" s="30"/>
      <c r="R1864" s="30"/>
      <c r="S1864" s="30"/>
      <c r="T1864" s="30"/>
      <c r="U1864" s="30"/>
      <c r="V1864" s="30"/>
      <c r="W1864" s="30"/>
      <c r="X1864" s="30"/>
      <c r="Y1864" s="30"/>
      <c r="Z1864" s="30"/>
    </row>
    <row r="1865">
      <c r="A1865" s="29"/>
      <c r="B1865" s="29"/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0"/>
      <c r="N1865" s="30"/>
      <c r="O1865" s="30"/>
      <c r="P1865" s="30"/>
      <c r="Q1865" s="30"/>
      <c r="R1865" s="30"/>
      <c r="S1865" s="30"/>
      <c r="T1865" s="30"/>
      <c r="U1865" s="30"/>
      <c r="V1865" s="30"/>
      <c r="W1865" s="30"/>
      <c r="X1865" s="30"/>
      <c r="Y1865" s="30"/>
      <c r="Z1865" s="30"/>
    </row>
    <row r="1866">
      <c r="A1866" s="29"/>
      <c r="B1866" s="29"/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30"/>
      <c r="N1866" s="30"/>
      <c r="O1866" s="30"/>
      <c r="P1866" s="30"/>
      <c r="Q1866" s="30"/>
      <c r="R1866" s="30"/>
      <c r="S1866" s="30"/>
      <c r="T1866" s="30"/>
      <c r="U1866" s="30"/>
      <c r="V1866" s="30"/>
      <c r="W1866" s="30"/>
      <c r="X1866" s="30"/>
      <c r="Y1866" s="30"/>
      <c r="Z1866" s="30"/>
    </row>
    <row r="1867">
      <c r="A1867" s="29"/>
      <c r="B1867" s="29"/>
      <c r="C1867" s="30"/>
      <c r="D1867" s="30"/>
      <c r="E1867" s="30"/>
      <c r="F1867" s="30"/>
      <c r="G1867" s="30"/>
      <c r="H1867" s="30"/>
      <c r="I1867" s="30"/>
      <c r="J1867" s="30"/>
      <c r="K1867" s="30"/>
      <c r="L1867" s="30"/>
      <c r="M1867" s="30"/>
      <c r="N1867" s="30"/>
      <c r="O1867" s="30"/>
      <c r="P1867" s="30"/>
      <c r="Q1867" s="30"/>
      <c r="R1867" s="30"/>
      <c r="S1867" s="30"/>
      <c r="T1867" s="30"/>
      <c r="U1867" s="30"/>
      <c r="V1867" s="30"/>
      <c r="W1867" s="30"/>
      <c r="X1867" s="30"/>
      <c r="Y1867" s="30"/>
      <c r="Z1867" s="30"/>
    </row>
    <row r="1868">
      <c r="A1868" s="29"/>
      <c r="B1868" s="29"/>
      <c r="C1868" s="30"/>
      <c r="D1868" s="30"/>
      <c r="E1868" s="30"/>
      <c r="F1868" s="30"/>
      <c r="G1868" s="30"/>
      <c r="H1868" s="30"/>
      <c r="I1868" s="30"/>
      <c r="J1868" s="30"/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0"/>
      <c r="X1868" s="30"/>
      <c r="Y1868" s="30"/>
      <c r="Z1868" s="30"/>
    </row>
    <row r="1869">
      <c r="A1869" s="29"/>
      <c r="B1869" s="29"/>
      <c r="C1869" s="30"/>
      <c r="D1869" s="30"/>
      <c r="E1869" s="30"/>
      <c r="F1869" s="30"/>
      <c r="G1869" s="30"/>
      <c r="H1869" s="30"/>
      <c r="I1869" s="30"/>
      <c r="J1869" s="30"/>
      <c r="K1869" s="30"/>
      <c r="L1869" s="30"/>
      <c r="M1869" s="30"/>
      <c r="N1869" s="30"/>
      <c r="O1869" s="30"/>
      <c r="P1869" s="30"/>
      <c r="Q1869" s="30"/>
      <c r="R1869" s="30"/>
      <c r="S1869" s="30"/>
      <c r="T1869" s="30"/>
      <c r="U1869" s="30"/>
      <c r="V1869" s="30"/>
      <c r="W1869" s="30"/>
      <c r="X1869" s="30"/>
      <c r="Y1869" s="30"/>
      <c r="Z1869" s="30"/>
    </row>
    <row r="1870">
      <c r="A1870" s="29"/>
      <c r="B1870" s="29"/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0"/>
      <c r="N1870" s="30"/>
      <c r="O1870" s="30"/>
      <c r="P1870" s="30"/>
      <c r="Q1870" s="30"/>
      <c r="R1870" s="30"/>
      <c r="S1870" s="30"/>
      <c r="T1870" s="30"/>
      <c r="U1870" s="30"/>
      <c r="V1870" s="30"/>
      <c r="W1870" s="30"/>
      <c r="X1870" s="30"/>
      <c r="Y1870" s="30"/>
      <c r="Z1870" s="30"/>
    </row>
    <row r="1871">
      <c r="A1871" s="29"/>
      <c r="B1871" s="29"/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0"/>
      <c r="X1871" s="30"/>
      <c r="Y1871" s="30"/>
      <c r="Z1871" s="30"/>
    </row>
    <row r="1872">
      <c r="A1872" s="29"/>
      <c r="B1872" s="29"/>
      <c r="C1872" s="30"/>
      <c r="D1872" s="30"/>
      <c r="E1872" s="30"/>
      <c r="F1872" s="30"/>
      <c r="G1872" s="30"/>
      <c r="H1872" s="30"/>
      <c r="I1872" s="30"/>
      <c r="J1872" s="30"/>
      <c r="K1872" s="30"/>
      <c r="L1872" s="30"/>
      <c r="M1872" s="30"/>
      <c r="N1872" s="30"/>
      <c r="O1872" s="30"/>
      <c r="P1872" s="30"/>
      <c r="Q1872" s="30"/>
      <c r="R1872" s="30"/>
      <c r="S1872" s="30"/>
      <c r="T1872" s="30"/>
      <c r="U1872" s="30"/>
      <c r="V1872" s="30"/>
      <c r="W1872" s="30"/>
      <c r="X1872" s="30"/>
      <c r="Y1872" s="30"/>
      <c r="Z1872" s="30"/>
    </row>
    <row r="1873">
      <c r="A1873" s="29"/>
      <c r="B1873" s="29"/>
      <c r="C1873" s="30"/>
      <c r="D1873" s="30"/>
      <c r="E1873" s="30"/>
      <c r="F1873" s="30"/>
      <c r="G1873" s="30"/>
      <c r="H1873" s="30"/>
      <c r="I1873" s="30"/>
      <c r="J1873" s="30"/>
      <c r="K1873" s="30"/>
      <c r="L1873" s="30"/>
      <c r="M1873" s="30"/>
      <c r="N1873" s="30"/>
      <c r="O1873" s="30"/>
      <c r="P1873" s="30"/>
      <c r="Q1873" s="30"/>
      <c r="R1873" s="30"/>
      <c r="S1873" s="30"/>
      <c r="T1873" s="30"/>
      <c r="U1873" s="30"/>
      <c r="V1873" s="30"/>
      <c r="W1873" s="30"/>
      <c r="X1873" s="30"/>
      <c r="Y1873" s="30"/>
      <c r="Z1873" s="30"/>
    </row>
    <row r="1874">
      <c r="A1874" s="29"/>
      <c r="B1874" s="29"/>
      <c r="C1874" s="30"/>
      <c r="D1874" s="30"/>
      <c r="E1874" s="30"/>
      <c r="F1874" s="30"/>
      <c r="G1874" s="30"/>
      <c r="H1874" s="30"/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0"/>
      <c r="T1874" s="30"/>
      <c r="U1874" s="30"/>
      <c r="V1874" s="30"/>
      <c r="W1874" s="30"/>
      <c r="X1874" s="30"/>
      <c r="Y1874" s="30"/>
      <c r="Z1874" s="30"/>
    </row>
    <row r="1875">
      <c r="A1875" s="29"/>
      <c r="B1875" s="29"/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30"/>
      <c r="N1875" s="30"/>
      <c r="O1875" s="30"/>
      <c r="P1875" s="30"/>
      <c r="Q1875" s="30"/>
      <c r="R1875" s="30"/>
      <c r="S1875" s="30"/>
      <c r="T1875" s="30"/>
      <c r="U1875" s="30"/>
      <c r="V1875" s="30"/>
      <c r="W1875" s="30"/>
      <c r="X1875" s="30"/>
      <c r="Y1875" s="30"/>
      <c r="Z1875" s="30"/>
    </row>
    <row r="1876">
      <c r="A1876" s="29"/>
      <c r="B1876" s="29"/>
      <c r="C1876" s="30"/>
      <c r="D1876" s="30"/>
      <c r="E1876" s="30"/>
      <c r="F1876" s="30"/>
      <c r="G1876" s="30"/>
      <c r="H1876" s="30"/>
      <c r="I1876" s="30"/>
      <c r="J1876" s="30"/>
      <c r="K1876" s="30"/>
      <c r="L1876" s="30"/>
      <c r="M1876" s="30"/>
      <c r="N1876" s="30"/>
      <c r="O1876" s="30"/>
      <c r="P1876" s="30"/>
      <c r="Q1876" s="30"/>
      <c r="R1876" s="30"/>
      <c r="S1876" s="30"/>
      <c r="T1876" s="30"/>
      <c r="U1876" s="30"/>
      <c r="V1876" s="30"/>
      <c r="W1876" s="30"/>
      <c r="X1876" s="30"/>
      <c r="Y1876" s="30"/>
      <c r="Z1876" s="30"/>
    </row>
    <row r="1877">
      <c r="A1877" s="29"/>
      <c r="B1877" s="29"/>
      <c r="C1877" s="30"/>
      <c r="D1877" s="30"/>
      <c r="E1877" s="30"/>
      <c r="F1877" s="30"/>
      <c r="G1877" s="30"/>
      <c r="H1877" s="30"/>
      <c r="I1877" s="30"/>
      <c r="J1877" s="30"/>
      <c r="K1877" s="30"/>
      <c r="L1877" s="30"/>
      <c r="M1877" s="30"/>
      <c r="N1877" s="30"/>
      <c r="O1877" s="30"/>
      <c r="P1877" s="30"/>
      <c r="Q1877" s="30"/>
      <c r="R1877" s="30"/>
      <c r="S1877" s="30"/>
      <c r="T1877" s="30"/>
      <c r="U1877" s="30"/>
      <c r="V1877" s="30"/>
      <c r="W1877" s="30"/>
      <c r="X1877" s="30"/>
      <c r="Y1877" s="30"/>
      <c r="Z1877" s="30"/>
    </row>
    <row r="1878">
      <c r="A1878" s="29"/>
      <c r="B1878" s="29"/>
      <c r="C1878" s="30"/>
      <c r="D1878" s="30"/>
      <c r="E1878" s="30"/>
      <c r="F1878" s="30"/>
      <c r="G1878" s="30"/>
      <c r="H1878" s="30"/>
      <c r="I1878" s="30"/>
      <c r="J1878" s="30"/>
      <c r="K1878" s="30"/>
      <c r="L1878" s="30"/>
      <c r="M1878" s="30"/>
      <c r="N1878" s="30"/>
      <c r="O1878" s="30"/>
      <c r="P1878" s="30"/>
      <c r="Q1878" s="30"/>
      <c r="R1878" s="30"/>
      <c r="S1878" s="30"/>
      <c r="T1878" s="30"/>
      <c r="U1878" s="30"/>
      <c r="V1878" s="30"/>
      <c r="W1878" s="30"/>
      <c r="X1878" s="30"/>
      <c r="Y1878" s="30"/>
      <c r="Z1878" s="30"/>
    </row>
    <row r="1879">
      <c r="A1879" s="29"/>
      <c r="B1879" s="29"/>
      <c r="C1879" s="30"/>
      <c r="D1879" s="30"/>
      <c r="E1879" s="30"/>
      <c r="F1879" s="30"/>
      <c r="G1879" s="30"/>
      <c r="H1879" s="30"/>
      <c r="I1879" s="30"/>
      <c r="J1879" s="30"/>
      <c r="K1879" s="30"/>
      <c r="L1879" s="30"/>
      <c r="M1879" s="30"/>
      <c r="N1879" s="30"/>
      <c r="O1879" s="30"/>
      <c r="P1879" s="30"/>
      <c r="Q1879" s="30"/>
      <c r="R1879" s="30"/>
      <c r="S1879" s="30"/>
      <c r="T1879" s="30"/>
      <c r="U1879" s="30"/>
      <c r="V1879" s="30"/>
      <c r="W1879" s="30"/>
      <c r="X1879" s="30"/>
      <c r="Y1879" s="30"/>
      <c r="Z1879" s="30"/>
    </row>
    <row r="1880">
      <c r="A1880" s="29"/>
      <c r="B1880" s="29"/>
      <c r="C1880" s="30"/>
      <c r="D1880" s="30"/>
      <c r="E1880" s="30"/>
      <c r="F1880" s="30"/>
      <c r="G1880" s="30"/>
      <c r="H1880" s="30"/>
      <c r="I1880" s="30"/>
      <c r="J1880" s="30"/>
      <c r="K1880" s="30"/>
      <c r="L1880" s="30"/>
      <c r="M1880" s="30"/>
      <c r="N1880" s="30"/>
      <c r="O1880" s="30"/>
      <c r="P1880" s="30"/>
      <c r="Q1880" s="30"/>
      <c r="R1880" s="30"/>
      <c r="S1880" s="30"/>
      <c r="T1880" s="30"/>
      <c r="U1880" s="30"/>
      <c r="V1880" s="30"/>
      <c r="W1880" s="30"/>
      <c r="X1880" s="30"/>
      <c r="Y1880" s="30"/>
      <c r="Z1880" s="30"/>
    </row>
    <row r="1881">
      <c r="A1881" s="29"/>
      <c r="B1881" s="29"/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0"/>
      <c r="N1881" s="30"/>
      <c r="O1881" s="30"/>
      <c r="P1881" s="30"/>
      <c r="Q1881" s="30"/>
      <c r="R1881" s="30"/>
      <c r="S1881" s="30"/>
      <c r="T1881" s="30"/>
      <c r="U1881" s="30"/>
      <c r="V1881" s="30"/>
      <c r="W1881" s="30"/>
      <c r="X1881" s="30"/>
      <c r="Y1881" s="30"/>
      <c r="Z1881" s="30"/>
    </row>
    <row r="1882">
      <c r="A1882" s="29"/>
      <c r="B1882" s="29"/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/>
      <c r="U1882" s="30"/>
      <c r="V1882" s="30"/>
      <c r="W1882" s="30"/>
      <c r="X1882" s="30"/>
      <c r="Y1882" s="30"/>
      <c r="Z1882" s="30"/>
    </row>
    <row r="1883">
      <c r="A1883" s="29"/>
      <c r="B1883" s="29"/>
      <c r="C1883" s="30"/>
      <c r="D1883" s="30"/>
      <c r="E1883" s="30"/>
      <c r="F1883" s="30"/>
      <c r="G1883" s="30"/>
      <c r="H1883" s="30"/>
      <c r="I1883" s="30"/>
      <c r="J1883" s="30"/>
      <c r="K1883" s="30"/>
      <c r="L1883" s="30"/>
      <c r="M1883" s="30"/>
      <c r="N1883" s="30"/>
      <c r="O1883" s="30"/>
      <c r="P1883" s="30"/>
      <c r="Q1883" s="30"/>
      <c r="R1883" s="30"/>
      <c r="S1883" s="30"/>
      <c r="T1883" s="30"/>
      <c r="U1883" s="30"/>
      <c r="V1883" s="30"/>
      <c r="W1883" s="30"/>
      <c r="X1883" s="30"/>
      <c r="Y1883" s="30"/>
      <c r="Z1883" s="30"/>
    </row>
    <row r="1884">
      <c r="A1884" s="29"/>
      <c r="B1884" s="29"/>
      <c r="C1884" s="30"/>
      <c r="D1884" s="30"/>
      <c r="E1884" s="30"/>
      <c r="F1884" s="30"/>
      <c r="G1884" s="30"/>
      <c r="H1884" s="30"/>
      <c r="I1884" s="30"/>
      <c r="J1884" s="30"/>
      <c r="K1884" s="30"/>
      <c r="L1884" s="30"/>
      <c r="M1884" s="30"/>
      <c r="N1884" s="30"/>
      <c r="O1884" s="30"/>
      <c r="P1884" s="30"/>
      <c r="Q1884" s="30"/>
      <c r="R1884" s="30"/>
      <c r="S1884" s="30"/>
      <c r="T1884" s="30"/>
      <c r="U1884" s="30"/>
      <c r="V1884" s="30"/>
      <c r="W1884" s="30"/>
      <c r="X1884" s="30"/>
      <c r="Y1884" s="30"/>
      <c r="Z1884" s="30"/>
    </row>
    <row r="1885">
      <c r="A1885" s="29"/>
      <c r="B1885" s="29"/>
      <c r="C1885" s="30"/>
      <c r="D1885" s="30"/>
      <c r="E1885" s="30"/>
      <c r="F1885" s="30"/>
      <c r="G1885" s="30"/>
      <c r="H1885" s="30"/>
      <c r="I1885" s="30"/>
      <c r="J1885" s="30"/>
      <c r="K1885" s="30"/>
      <c r="L1885" s="30"/>
      <c r="M1885" s="30"/>
      <c r="N1885" s="30"/>
      <c r="O1885" s="30"/>
      <c r="P1885" s="30"/>
      <c r="Q1885" s="30"/>
      <c r="R1885" s="30"/>
      <c r="S1885" s="30"/>
      <c r="T1885" s="30"/>
      <c r="U1885" s="30"/>
      <c r="V1885" s="30"/>
      <c r="W1885" s="30"/>
      <c r="X1885" s="30"/>
      <c r="Y1885" s="30"/>
      <c r="Z1885" s="30"/>
    </row>
    <row r="1886">
      <c r="A1886" s="29"/>
      <c r="B1886" s="29"/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30"/>
      <c r="N1886" s="30"/>
      <c r="O1886" s="30"/>
      <c r="P1886" s="30"/>
      <c r="Q1886" s="30"/>
      <c r="R1886" s="30"/>
      <c r="S1886" s="30"/>
      <c r="T1886" s="30"/>
      <c r="U1886" s="30"/>
      <c r="V1886" s="30"/>
      <c r="W1886" s="30"/>
      <c r="X1886" s="30"/>
      <c r="Y1886" s="30"/>
      <c r="Z1886" s="30"/>
    </row>
    <row r="1887">
      <c r="A1887" s="29"/>
      <c r="B1887" s="29"/>
      <c r="C1887" s="30"/>
      <c r="D1887" s="30"/>
      <c r="E1887" s="30"/>
      <c r="F1887" s="30"/>
      <c r="G1887" s="30"/>
      <c r="H1887" s="30"/>
      <c r="I1887" s="30"/>
      <c r="J1887" s="30"/>
      <c r="K1887" s="30"/>
      <c r="L1887" s="30"/>
      <c r="M1887" s="30"/>
      <c r="N1887" s="30"/>
      <c r="O1887" s="30"/>
      <c r="P1887" s="30"/>
      <c r="Q1887" s="30"/>
      <c r="R1887" s="30"/>
      <c r="S1887" s="30"/>
      <c r="T1887" s="30"/>
      <c r="U1887" s="30"/>
      <c r="V1887" s="30"/>
      <c r="W1887" s="30"/>
      <c r="X1887" s="30"/>
      <c r="Y1887" s="30"/>
      <c r="Z1887" s="30"/>
    </row>
    <row r="1888">
      <c r="A1888" s="29"/>
      <c r="B1888" s="29"/>
      <c r="C1888" s="30"/>
      <c r="D1888" s="30"/>
      <c r="E1888" s="30"/>
      <c r="F1888" s="30"/>
      <c r="G1888" s="30"/>
      <c r="H1888" s="30"/>
      <c r="I1888" s="30"/>
      <c r="J1888" s="30"/>
      <c r="K1888" s="30"/>
      <c r="L1888" s="30"/>
      <c r="M1888" s="30"/>
      <c r="N1888" s="30"/>
      <c r="O1888" s="30"/>
      <c r="P1888" s="30"/>
      <c r="Q1888" s="30"/>
      <c r="R1888" s="30"/>
      <c r="S1888" s="30"/>
      <c r="T1888" s="30"/>
      <c r="U1888" s="30"/>
      <c r="V1888" s="30"/>
      <c r="W1888" s="30"/>
      <c r="X1888" s="30"/>
      <c r="Y1888" s="30"/>
      <c r="Z1888" s="30"/>
    </row>
    <row r="1889">
      <c r="A1889" s="29"/>
      <c r="B1889" s="29"/>
      <c r="C1889" s="30"/>
      <c r="D1889" s="30"/>
      <c r="E1889" s="30"/>
      <c r="F1889" s="30"/>
      <c r="G1889" s="30"/>
      <c r="H1889" s="30"/>
      <c r="I1889" s="30"/>
      <c r="J1889" s="30"/>
      <c r="K1889" s="30"/>
      <c r="L1889" s="30"/>
      <c r="M1889" s="30"/>
      <c r="N1889" s="30"/>
      <c r="O1889" s="30"/>
      <c r="P1889" s="30"/>
      <c r="Q1889" s="30"/>
      <c r="R1889" s="30"/>
      <c r="S1889" s="30"/>
      <c r="T1889" s="30"/>
      <c r="U1889" s="30"/>
      <c r="V1889" s="30"/>
      <c r="W1889" s="30"/>
      <c r="X1889" s="30"/>
      <c r="Y1889" s="30"/>
      <c r="Z1889" s="30"/>
    </row>
    <row r="1890">
      <c r="A1890" s="29"/>
      <c r="B1890" s="29"/>
      <c r="C1890" s="30"/>
      <c r="D1890" s="30"/>
      <c r="E1890" s="30"/>
      <c r="F1890" s="30"/>
      <c r="G1890" s="30"/>
      <c r="H1890" s="30"/>
      <c r="I1890" s="30"/>
      <c r="J1890" s="30"/>
      <c r="K1890" s="30"/>
      <c r="L1890" s="30"/>
      <c r="M1890" s="30"/>
      <c r="N1890" s="30"/>
      <c r="O1890" s="30"/>
      <c r="P1890" s="30"/>
      <c r="Q1890" s="30"/>
      <c r="R1890" s="30"/>
      <c r="S1890" s="30"/>
      <c r="T1890" s="30"/>
      <c r="U1890" s="30"/>
      <c r="V1890" s="30"/>
      <c r="W1890" s="30"/>
      <c r="X1890" s="30"/>
      <c r="Y1890" s="30"/>
      <c r="Z1890" s="30"/>
    </row>
    <row r="1891">
      <c r="A1891" s="29"/>
      <c r="B1891" s="29"/>
      <c r="C1891" s="30"/>
      <c r="D1891" s="30"/>
      <c r="E1891" s="30"/>
      <c r="F1891" s="30"/>
      <c r="G1891" s="30"/>
      <c r="H1891" s="30"/>
      <c r="I1891" s="30"/>
      <c r="J1891" s="30"/>
      <c r="K1891" s="30"/>
      <c r="L1891" s="30"/>
      <c r="M1891" s="30"/>
      <c r="N1891" s="30"/>
      <c r="O1891" s="30"/>
      <c r="P1891" s="30"/>
      <c r="Q1891" s="30"/>
      <c r="R1891" s="30"/>
      <c r="S1891" s="30"/>
      <c r="T1891" s="30"/>
      <c r="U1891" s="30"/>
      <c r="V1891" s="30"/>
      <c r="W1891" s="30"/>
      <c r="X1891" s="30"/>
      <c r="Y1891" s="30"/>
      <c r="Z1891" s="30"/>
    </row>
    <row r="1892">
      <c r="A1892" s="29"/>
      <c r="B1892" s="29"/>
      <c r="C1892" s="30"/>
      <c r="D1892" s="30"/>
      <c r="E1892" s="30"/>
      <c r="F1892" s="30"/>
      <c r="G1892" s="30"/>
      <c r="H1892" s="30"/>
      <c r="I1892" s="30"/>
      <c r="J1892" s="30"/>
      <c r="K1892" s="30"/>
      <c r="L1892" s="30"/>
      <c r="M1892" s="30"/>
      <c r="N1892" s="30"/>
      <c r="O1892" s="30"/>
      <c r="P1892" s="30"/>
      <c r="Q1892" s="30"/>
      <c r="R1892" s="30"/>
      <c r="S1892" s="30"/>
      <c r="T1892" s="30"/>
      <c r="U1892" s="30"/>
      <c r="V1892" s="30"/>
      <c r="W1892" s="30"/>
      <c r="X1892" s="30"/>
      <c r="Y1892" s="30"/>
      <c r="Z1892" s="30"/>
    </row>
    <row r="1893">
      <c r="A1893" s="29"/>
      <c r="B1893" s="29"/>
      <c r="C1893" s="30"/>
      <c r="D1893" s="30"/>
      <c r="E1893" s="30"/>
      <c r="F1893" s="30"/>
      <c r="G1893" s="30"/>
      <c r="H1893" s="30"/>
      <c r="I1893" s="30"/>
      <c r="J1893" s="30"/>
      <c r="K1893" s="30"/>
      <c r="L1893" s="30"/>
      <c r="M1893" s="30"/>
      <c r="N1893" s="30"/>
      <c r="O1893" s="30"/>
      <c r="P1893" s="30"/>
      <c r="Q1893" s="30"/>
      <c r="R1893" s="30"/>
      <c r="S1893" s="30"/>
      <c r="T1893" s="30"/>
      <c r="U1893" s="30"/>
      <c r="V1893" s="30"/>
      <c r="W1893" s="30"/>
      <c r="X1893" s="30"/>
      <c r="Y1893" s="30"/>
      <c r="Z1893" s="30"/>
    </row>
    <row r="1894">
      <c r="A1894" s="29"/>
      <c r="B1894" s="29"/>
      <c r="C1894" s="30"/>
      <c r="D1894" s="30"/>
      <c r="E1894" s="30"/>
      <c r="F1894" s="30"/>
      <c r="G1894" s="30"/>
      <c r="H1894" s="30"/>
      <c r="I1894" s="30"/>
      <c r="J1894" s="30"/>
      <c r="K1894" s="30"/>
      <c r="L1894" s="30"/>
      <c r="M1894" s="30"/>
      <c r="N1894" s="30"/>
      <c r="O1894" s="30"/>
      <c r="P1894" s="30"/>
      <c r="Q1894" s="30"/>
      <c r="R1894" s="30"/>
      <c r="S1894" s="30"/>
      <c r="T1894" s="30"/>
      <c r="U1894" s="30"/>
      <c r="V1894" s="30"/>
      <c r="W1894" s="30"/>
      <c r="X1894" s="30"/>
      <c r="Y1894" s="30"/>
      <c r="Z1894" s="30"/>
    </row>
    <row r="1895">
      <c r="A1895" s="29"/>
      <c r="B1895" s="29"/>
      <c r="C1895" s="30"/>
      <c r="D1895" s="30"/>
      <c r="E1895" s="30"/>
      <c r="F1895" s="30"/>
      <c r="G1895" s="30"/>
      <c r="H1895" s="30"/>
      <c r="I1895" s="30"/>
      <c r="J1895" s="30"/>
      <c r="K1895" s="30"/>
      <c r="L1895" s="30"/>
      <c r="M1895" s="30"/>
      <c r="N1895" s="30"/>
      <c r="O1895" s="30"/>
      <c r="P1895" s="30"/>
      <c r="Q1895" s="30"/>
      <c r="R1895" s="30"/>
      <c r="S1895" s="30"/>
      <c r="T1895" s="30"/>
      <c r="U1895" s="30"/>
      <c r="V1895" s="30"/>
      <c r="W1895" s="30"/>
      <c r="X1895" s="30"/>
      <c r="Y1895" s="30"/>
      <c r="Z1895" s="30"/>
    </row>
    <row r="1896">
      <c r="A1896" s="29"/>
      <c r="B1896" s="29"/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30"/>
      <c r="N1896" s="30"/>
      <c r="O1896" s="30"/>
      <c r="P1896" s="30"/>
      <c r="Q1896" s="30"/>
      <c r="R1896" s="30"/>
      <c r="S1896" s="30"/>
      <c r="T1896" s="30"/>
      <c r="U1896" s="30"/>
      <c r="V1896" s="30"/>
      <c r="W1896" s="30"/>
      <c r="X1896" s="30"/>
      <c r="Y1896" s="30"/>
      <c r="Z1896" s="30"/>
    </row>
    <row r="1897">
      <c r="A1897" s="29"/>
      <c r="B1897" s="29"/>
      <c r="C1897" s="30"/>
      <c r="D1897" s="30"/>
      <c r="E1897" s="30"/>
      <c r="F1897" s="30"/>
      <c r="G1897" s="30"/>
      <c r="H1897" s="30"/>
      <c r="I1897" s="30"/>
      <c r="J1897" s="30"/>
      <c r="K1897" s="30"/>
      <c r="L1897" s="30"/>
      <c r="M1897" s="30"/>
      <c r="N1897" s="30"/>
      <c r="O1897" s="30"/>
      <c r="P1897" s="30"/>
      <c r="Q1897" s="30"/>
      <c r="R1897" s="30"/>
      <c r="S1897" s="30"/>
      <c r="T1897" s="30"/>
      <c r="U1897" s="30"/>
      <c r="V1897" s="30"/>
      <c r="W1897" s="30"/>
      <c r="X1897" s="30"/>
      <c r="Y1897" s="30"/>
      <c r="Z1897" s="30"/>
    </row>
    <row r="1898">
      <c r="A1898" s="29"/>
      <c r="B1898" s="29"/>
      <c r="C1898" s="30"/>
      <c r="D1898" s="30"/>
      <c r="E1898" s="30"/>
      <c r="F1898" s="30"/>
      <c r="G1898" s="30"/>
      <c r="H1898" s="30"/>
      <c r="I1898" s="30"/>
      <c r="J1898" s="30"/>
      <c r="K1898" s="30"/>
      <c r="L1898" s="30"/>
      <c r="M1898" s="30"/>
      <c r="N1898" s="30"/>
      <c r="O1898" s="30"/>
      <c r="P1898" s="30"/>
      <c r="Q1898" s="30"/>
      <c r="R1898" s="30"/>
      <c r="S1898" s="30"/>
      <c r="T1898" s="30"/>
      <c r="U1898" s="30"/>
      <c r="V1898" s="30"/>
      <c r="W1898" s="30"/>
      <c r="X1898" s="30"/>
      <c r="Y1898" s="30"/>
      <c r="Z1898" s="30"/>
    </row>
    <row r="1899">
      <c r="A1899" s="29"/>
      <c r="B1899" s="29"/>
      <c r="C1899" s="30"/>
      <c r="D1899" s="30"/>
      <c r="E1899" s="30"/>
      <c r="F1899" s="30"/>
      <c r="G1899" s="30"/>
      <c r="H1899" s="30"/>
      <c r="I1899" s="30"/>
      <c r="J1899" s="30"/>
      <c r="K1899" s="30"/>
      <c r="L1899" s="30"/>
      <c r="M1899" s="30"/>
      <c r="N1899" s="30"/>
      <c r="O1899" s="30"/>
      <c r="P1899" s="30"/>
      <c r="Q1899" s="30"/>
      <c r="R1899" s="30"/>
      <c r="S1899" s="30"/>
      <c r="T1899" s="30"/>
      <c r="U1899" s="30"/>
      <c r="V1899" s="30"/>
      <c r="W1899" s="30"/>
      <c r="X1899" s="30"/>
      <c r="Y1899" s="30"/>
      <c r="Z1899" s="30"/>
    </row>
    <row r="1900">
      <c r="A1900" s="29"/>
      <c r="B1900" s="29"/>
      <c r="C1900" s="30"/>
      <c r="D1900" s="30"/>
      <c r="E1900" s="30"/>
      <c r="F1900" s="30"/>
      <c r="G1900" s="30"/>
      <c r="H1900" s="30"/>
      <c r="I1900" s="30"/>
      <c r="J1900" s="30"/>
      <c r="K1900" s="30"/>
      <c r="L1900" s="30"/>
      <c r="M1900" s="30"/>
      <c r="N1900" s="30"/>
      <c r="O1900" s="30"/>
      <c r="P1900" s="30"/>
      <c r="Q1900" s="30"/>
      <c r="R1900" s="30"/>
      <c r="S1900" s="30"/>
      <c r="T1900" s="30"/>
      <c r="U1900" s="30"/>
      <c r="V1900" s="30"/>
      <c r="W1900" s="30"/>
      <c r="X1900" s="30"/>
      <c r="Y1900" s="30"/>
      <c r="Z1900" s="30"/>
    </row>
    <row r="1901">
      <c r="A1901" s="29"/>
      <c r="B1901" s="29"/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30"/>
      <c r="N1901" s="30"/>
      <c r="O1901" s="30"/>
      <c r="P1901" s="30"/>
      <c r="Q1901" s="30"/>
      <c r="R1901" s="30"/>
      <c r="S1901" s="30"/>
      <c r="T1901" s="30"/>
      <c r="U1901" s="30"/>
      <c r="V1901" s="30"/>
      <c r="W1901" s="30"/>
      <c r="X1901" s="30"/>
      <c r="Y1901" s="30"/>
      <c r="Z1901" s="30"/>
    </row>
    <row r="1902">
      <c r="A1902" s="29"/>
      <c r="B1902" s="29"/>
      <c r="C1902" s="30"/>
      <c r="D1902" s="30"/>
      <c r="E1902" s="30"/>
      <c r="F1902" s="30"/>
      <c r="G1902" s="30"/>
      <c r="H1902" s="30"/>
      <c r="I1902" s="30"/>
      <c r="J1902" s="30"/>
      <c r="K1902" s="30"/>
      <c r="L1902" s="30"/>
      <c r="M1902" s="30"/>
      <c r="N1902" s="30"/>
      <c r="O1902" s="30"/>
      <c r="P1902" s="30"/>
      <c r="Q1902" s="30"/>
      <c r="R1902" s="30"/>
      <c r="S1902" s="30"/>
      <c r="T1902" s="30"/>
      <c r="U1902" s="30"/>
      <c r="V1902" s="30"/>
      <c r="W1902" s="30"/>
      <c r="X1902" s="30"/>
      <c r="Y1902" s="30"/>
      <c r="Z1902" s="30"/>
    </row>
    <row r="1903">
      <c r="A1903" s="29"/>
      <c r="B1903" s="29"/>
      <c r="C1903" s="30"/>
      <c r="D1903" s="30"/>
      <c r="E1903" s="30"/>
      <c r="F1903" s="30"/>
      <c r="G1903" s="30"/>
      <c r="H1903" s="30"/>
      <c r="I1903" s="30"/>
      <c r="J1903" s="30"/>
      <c r="K1903" s="30"/>
      <c r="L1903" s="30"/>
      <c r="M1903" s="30"/>
      <c r="N1903" s="30"/>
      <c r="O1903" s="30"/>
      <c r="P1903" s="30"/>
      <c r="Q1903" s="30"/>
      <c r="R1903" s="30"/>
      <c r="S1903" s="30"/>
      <c r="T1903" s="30"/>
      <c r="U1903" s="30"/>
      <c r="V1903" s="30"/>
      <c r="W1903" s="30"/>
      <c r="X1903" s="30"/>
      <c r="Y1903" s="30"/>
      <c r="Z1903" s="30"/>
    </row>
    <row r="1904">
      <c r="A1904" s="29"/>
      <c r="B1904" s="29"/>
      <c r="C1904" s="30"/>
      <c r="D1904" s="30"/>
      <c r="E1904" s="30"/>
      <c r="F1904" s="30"/>
      <c r="G1904" s="30"/>
      <c r="H1904" s="30"/>
      <c r="I1904" s="30"/>
      <c r="J1904" s="30"/>
      <c r="K1904" s="30"/>
      <c r="L1904" s="30"/>
      <c r="M1904" s="30"/>
      <c r="N1904" s="30"/>
      <c r="O1904" s="30"/>
      <c r="P1904" s="30"/>
      <c r="Q1904" s="30"/>
      <c r="R1904" s="30"/>
      <c r="S1904" s="30"/>
      <c r="T1904" s="30"/>
      <c r="U1904" s="30"/>
      <c r="V1904" s="30"/>
      <c r="W1904" s="30"/>
      <c r="X1904" s="30"/>
      <c r="Y1904" s="30"/>
      <c r="Z1904" s="30"/>
    </row>
    <row r="1905">
      <c r="A1905" s="29"/>
      <c r="B1905" s="29"/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30"/>
      <c r="N1905" s="30"/>
      <c r="O1905" s="30"/>
      <c r="P1905" s="30"/>
      <c r="Q1905" s="30"/>
      <c r="R1905" s="30"/>
      <c r="S1905" s="30"/>
      <c r="T1905" s="30"/>
      <c r="U1905" s="30"/>
      <c r="V1905" s="30"/>
      <c r="W1905" s="30"/>
      <c r="X1905" s="30"/>
      <c r="Y1905" s="30"/>
      <c r="Z1905" s="30"/>
    </row>
    <row r="1906">
      <c r="A1906" s="29"/>
      <c r="B1906" s="29"/>
      <c r="C1906" s="30"/>
      <c r="D1906" s="30"/>
      <c r="E1906" s="30"/>
      <c r="F1906" s="30"/>
      <c r="G1906" s="30"/>
      <c r="H1906" s="30"/>
      <c r="I1906" s="30"/>
      <c r="J1906" s="30"/>
      <c r="K1906" s="30"/>
      <c r="L1906" s="30"/>
      <c r="M1906" s="30"/>
      <c r="N1906" s="30"/>
      <c r="O1906" s="30"/>
      <c r="P1906" s="30"/>
      <c r="Q1906" s="30"/>
      <c r="R1906" s="30"/>
      <c r="S1906" s="30"/>
      <c r="T1906" s="30"/>
      <c r="U1906" s="30"/>
      <c r="V1906" s="30"/>
      <c r="W1906" s="30"/>
      <c r="X1906" s="30"/>
      <c r="Y1906" s="30"/>
      <c r="Z1906" s="30"/>
    </row>
    <row r="1907">
      <c r="A1907" s="29"/>
      <c r="B1907" s="29"/>
      <c r="C1907" s="30"/>
      <c r="D1907" s="30"/>
      <c r="E1907" s="30"/>
      <c r="F1907" s="30"/>
      <c r="G1907" s="30"/>
      <c r="H1907" s="30"/>
      <c r="I1907" s="30"/>
      <c r="J1907" s="30"/>
      <c r="K1907" s="30"/>
      <c r="L1907" s="30"/>
      <c r="M1907" s="30"/>
      <c r="N1907" s="30"/>
      <c r="O1907" s="30"/>
      <c r="P1907" s="30"/>
      <c r="Q1907" s="30"/>
      <c r="R1907" s="30"/>
      <c r="S1907" s="30"/>
      <c r="T1907" s="30"/>
      <c r="U1907" s="30"/>
      <c r="V1907" s="30"/>
      <c r="W1907" s="30"/>
      <c r="X1907" s="30"/>
      <c r="Y1907" s="30"/>
      <c r="Z1907" s="30"/>
    </row>
    <row r="1908">
      <c r="A1908" s="29"/>
      <c r="B1908" s="29"/>
      <c r="C1908" s="30"/>
      <c r="D1908" s="30"/>
      <c r="E1908" s="30"/>
      <c r="F1908" s="30"/>
      <c r="G1908" s="30"/>
      <c r="H1908" s="30"/>
      <c r="I1908" s="30"/>
      <c r="J1908" s="30"/>
      <c r="K1908" s="30"/>
      <c r="L1908" s="30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0"/>
      <c r="X1908" s="30"/>
      <c r="Y1908" s="30"/>
      <c r="Z1908" s="30"/>
    </row>
    <row r="1909">
      <c r="A1909" s="29"/>
      <c r="B1909" s="29"/>
      <c r="C1909" s="30"/>
      <c r="D1909" s="30"/>
      <c r="E1909" s="30"/>
      <c r="F1909" s="30"/>
      <c r="G1909" s="30"/>
      <c r="H1909" s="30"/>
      <c r="I1909" s="30"/>
      <c r="J1909" s="30"/>
      <c r="K1909" s="30"/>
      <c r="L1909" s="30"/>
      <c r="M1909" s="30"/>
      <c r="N1909" s="30"/>
      <c r="O1909" s="30"/>
      <c r="P1909" s="30"/>
      <c r="Q1909" s="30"/>
      <c r="R1909" s="30"/>
      <c r="S1909" s="30"/>
      <c r="T1909" s="30"/>
      <c r="U1909" s="30"/>
      <c r="V1909" s="30"/>
      <c r="W1909" s="30"/>
      <c r="X1909" s="30"/>
      <c r="Y1909" s="30"/>
      <c r="Z1909" s="30"/>
    </row>
    <row r="1910">
      <c r="A1910" s="29"/>
      <c r="B1910" s="29"/>
      <c r="C1910" s="30"/>
      <c r="D1910" s="30"/>
      <c r="E1910" s="30"/>
      <c r="F1910" s="30"/>
      <c r="G1910" s="30"/>
      <c r="H1910" s="30"/>
      <c r="I1910" s="30"/>
      <c r="J1910" s="30"/>
      <c r="K1910" s="30"/>
      <c r="L1910" s="30"/>
      <c r="M1910" s="30"/>
      <c r="N1910" s="30"/>
      <c r="O1910" s="30"/>
      <c r="P1910" s="30"/>
      <c r="Q1910" s="30"/>
      <c r="R1910" s="30"/>
      <c r="S1910" s="30"/>
      <c r="T1910" s="30"/>
      <c r="U1910" s="30"/>
      <c r="V1910" s="30"/>
      <c r="W1910" s="30"/>
      <c r="X1910" s="30"/>
      <c r="Y1910" s="30"/>
      <c r="Z1910" s="30"/>
    </row>
    <row r="1911">
      <c r="A1911" s="29"/>
      <c r="B1911" s="29"/>
      <c r="C1911" s="30"/>
      <c r="D1911" s="30"/>
      <c r="E1911" s="30"/>
      <c r="F1911" s="30"/>
      <c r="G1911" s="30"/>
      <c r="H1911" s="30"/>
      <c r="I1911" s="30"/>
      <c r="J1911" s="30"/>
      <c r="K1911" s="30"/>
      <c r="L1911" s="30"/>
      <c r="M1911" s="30"/>
      <c r="N1911" s="30"/>
      <c r="O1911" s="30"/>
      <c r="P1911" s="30"/>
      <c r="Q1911" s="30"/>
      <c r="R1911" s="30"/>
      <c r="S1911" s="30"/>
      <c r="T1911" s="30"/>
      <c r="U1911" s="30"/>
      <c r="V1911" s="30"/>
      <c r="W1911" s="30"/>
      <c r="X1911" s="30"/>
      <c r="Y1911" s="30"/>
      <c r="Z1911" s="30"/>
    </row>
    <row r="1912">
      <c r="A1912" s="29"/>
      <c r="B1912" s="29"/>
      <c r="C1912" s="30"/>
      <c r="D1912" s="30"/>
      <c r="E1912" s="30"/>
      <c r="F1912" s="30"/>
      <c r="G1912" s="30"/>
      <c r="H1912" s="30"/>
      <c r="I1912" s="30"/>
      <c r="J1912" s="30"/>
      <c r="K1912" s="30"/>
      <c r="L1912" s="30"/>
      <c r="M1912" s="30"/>
      <c r="N1912" s="30"/>
      <c r="O1912" s="30"/>
      <c r="P1912" s="30"/>
      <c r="Q1912" s="30"/>
      <c r="R1912" s="30"/>
      <c r="S1912" s="30"/>
      <c r="T1912" s="30"/>
      <c r="U1912" s="30"/>
      <c r="V1912" s="30"/>
      <c r="W1912" s="30"/>
      <c r="X1912" s="30"/>
      <c r="Y1912" s="30"/>
      <c r="Z1912" s="30"/>
    </row>
    <row r="1913">
      <c r="A1913" s="29"/>
      <c r="B1913" s="29"/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  <c r="M1913" s="30"/>
      <c r="N1913" s="30"/>
      <c r="O1913" s="30"/>
      <c r="P1913" s="30"/>
      <c r="Q1913" s="30"/>
      <c r="R1913" s="30"/>
      <c r="S1913" s="30"/>
      <c r="T1913" s="30"/>
      <c r="U1913" s="30"/>
      <c r="V1913" s="30"/>
      <c r="W1913" s="30"/>
      <c r="X1913" s="30"/>
      <c r="Y1913" s="30"/>
      <c r="Z1913" s="30"/>
    </row>
    <row r="1914">
      <c r="A1914" s="29"/>
      <c r="B1914" s="29"/>
      <c r="C1914" s="30"/>
      <c r="D1914" s="30"/>
      <c r="E1914" s="30"/>
      <c r="F1914" s="30"/>
      <c r="G1914" s="30"/>
      <c r="H1914" s="30"/>
      <c r="I1914" s="30"/>
      <c r="J1914" s="30"/>
      <c r="K1914" s="30"/>
      <c r="L1914" s="30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0"/>
      <c r="X1914" s="30"/>
      <c r="Y1914" s="30"/>
      <c r="Z1914" s="30"/>
    </row>
    <row r="1915">
      <c r="A1915" s="29"/>
      <c r="B1915" s="29"/>
      <c r="C1915" s="30"/>
      <c r="D1915" s="30"/>
      <c r="E1915" s="30"/>
      <c r="F1915" s="30"/>
      <c r="G1915" s="30"/>
      <c r="H1915" s="30"/>
      <c r="I1915" s="30"/>
      <c r="J1915" s="30"/>
      <c r="K1915" s="30"/>
      <c r="L1915" s="30"/>
      <c r="M1915" s="30"/>
      <c r="N1915" s="30"/>
      <c r="O1915" s="30"/>
      <c r="P1915" s="30"/>
      <c r="Q1915" s="30"/>
      <c r="R1915" s="30"/>
      <c r="S1915" s="30"/>
      <c r="T1915" s="30"/>
      <c r="U1915" s="30"/>
      <c r="V1915" s="30"/>
      <c r="W1915" s="30"/>
      <c r="X1915" s="30"/>
      <c r="Y1915" s="30"/>
      <c r="Z1915" s="30"/>
    </row>
    <row r="1916">
      <c r="A1916" s="29"/>
      <c r="B1916" s="29"/>
      <c r="C1916" s="30"/>
      <c r="D1916" s="30"/>
      <c r="E1916" s="30"/>
      <c r="F1916" s="30"/>
      <c r="G1916" s="30"/>
      <c r="H1916" s="30"/>
      <c r="I1916" s="30"/>
      <c r="J1916" s="30"/>
      <c r="K1916" s="30"/>
      <c r="L1916" s="30"/>
      <c r="M1916" s="30"/>
      <c r="N1916" s="30"/>
      <c r="O1916" s="30"/>
      <c r="P1916" s="30"/>
      <c r="Q1916" s="30"/>
      <c r="R1916" s="30"/>
      <c r="S1916" s="30"/>
      <c r="T1916" s="30"/>
      <c r="U1916" s="30"/>
      <c r="V1916" s="30"/>
      <c r="W1916" s="30"/>
      <c r="X1916" s="30"/>
      <c r="Y1916" s="30"/>
      <c r="Z1916" s="30"/>
    </row>
    <row r="1917">
      <c r="A1917" s="29"/>
      <c r="B1917" s="29"/>
      <c r="C1917" s="30"/>
      <c r="D1917" s="30"/>
      <c r="E1917" s="30"/>
      <c r="F1917" s="30"/>
      <c r="G1917" s="30"/>
      <c r="H1917" s="30"/>
      <c r="I1917" s="30"/>
      <c r="J1917" s="30"/>
      <c r="K1917" s="30"/>
      <c r="L1917" s="30"/>
      <c r="M1917" s="30"/>
      <c r="N1917" s="30"/>
      <c r="O1917" s="30"/>
      <c r="P1917" s="30"/>
      <c r="Q1917" s="30"/>
      <c r="R1917" s="30"/>
      <c r="S1917" s="30"/>
      <c r="T1917" s="30"/>
      <c r="U1917" s="30"/>
      <c r="V1917" s="30"/>
      <c r="W1917" s="30"/>
      <c r="X1917" s="30"/>
      <c r="Y1917" s="30"/>
      <c r="Z1917" s="30"/>
    </row>
    <row r="1918">
      <c r="A1918" s="29"/>
      <c r="B1918" s="29"/>
      <c r="C1918" s="30"/>
      <c r="D1918" s="30"/>
      <c r="E1918" s="30"/>
      <c r="F1918" s="30"/>
      <c r="G1918" s="30"/>
      <c r="H1918" s="30"/>
      <c r="I1918" s="30"/>
      <c r="J1918" s="30"/>
      <c r="K1918" s="30"/>
      <c r="L1918" s="30"/>
      <c r="M1918" s="30"/>
      <c r="N1918" s="30"/>
      <c r="O1918" s="30"/>
      <c r="P1918" s="30"/>
      <c r="Q1918" s="30"/>
      <c r="R1918" s="30"/>
      <c r="S1918" s="30"/>
      <c r="T1918" s="30"/>
      <c r="U1918" s="30"/>
      <c r="V1918" s="30"/>
      <c r="W1918" s="30"/>
      <c r="X1918" s="30"/>
      <c r="Y1918" s="30"/>
      <c r="Z1918" s="30"/>
    </row>
    <row r="1919">
      <c r="A1919" s="29"/>
      <c r="B1919" s="29"/>
      <c r="C1919" s="30"/>
      <c r="D1919" s="30"/>
      <c r="E1919" s="30"/>
      <c r="F1919" s="30"/>
      <c r="G1919" s="30"/>
      <c r="H1919" s="30"/>
      <c r="I1919" s="30"/>
      <c r="J1919" s="30"/>
      <c r="K1919" s="30"/>
      <c r="L1919" s="30"/>
      <c r="M1919" s="30"/>
      <c r="N1919" s="30"/>
      <c r="O1919" s="30"/>
      <c r="P1919" s="30"/>
      <c r="Q1919" s="30"/>
      <c r="R1919" s="30"/>
      <c r="S1919" s="30"/>
      <c r="T1919" s="30"/>
      <c r="U1919" s="30"/>
      <c r="V1919" s="30"/>
      <c r="W1919" s="30"/>
      <c r="X1919" s="30"/>
      <c r="Y1919" s="30"/>
      <c r="Z1919" s="30"/>
    </row>
    <row r="1920">
      <c r="A1920" s="29"/>
      <c r="B1920" s="29"/>
      <c r="C1920" s="30"/>
      <c r="D1920" s="30"/>
      <c r="E1920" s="30"/>
      <c r="F1920" s="30"/>
      <c r="G1920" s="30"/>
      <c r="H1920" s="30"/>
      <c r="I1920" s="30"/>
      <c r="J1920" s="30"/>
      <c r="K1920" s="30"/>
      <c r="L1920" s="30"/>
      <c r="M1920" s="30"/>
      <c r="N1920" s="30"/>
      <c r="O1920" s="30"/>
      <c r="P1920" s="30"/>
      <c r="Q1920" s="30"/>
      <c r="R1920" s="30"/>
      <c r="S1920" s="30"/>
      <c r="T1920" s="30"/>
      <c r="U1920" s="30"/>
      <c r="V1920" s="30"/>
      <c r="W1920" s="30"/>
      <c r="X1920" s="30"/>
      <c r="Y1920" s="30"/>
      <c r="Z1920" s="30"/>
    </row>
    <row r="1921">
      <c r="A1921" s="29"/>
      <c r="B1921" s="29"/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0"/>
      <c r="N1921" s="30"/>
      <c r="O1921" s="30"/>
      <c r="P1921" s="30"/>
      <c r="Q1921" s="30"/>
      <c r="R1921" s="30"/>
      <c r="S1921" s="30"/>
      <c r="T1921" s="30"/>
      <c r="U1921" s="30"/>
      <c r="V1921" s="30"/>
      <c r="W1921" s="30"/>
      <c r="X1921" s="30"/>
      <c r="Y1921" s="30"/>
      <c r="Z1921" s="30"/>
    </row>
    <row r="1922">
      <c r="A1922" s="29"/>
      <c r="B1922" s="29"/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30"/>
      <c r="N1922" s="30"/>
      <c r="O1922" s="30"/>
      <c r="P1922" s="30"/>
      <c r="Q1922" s="30"/>
      <c r="R1922" s="30"/>
      <c r="S1922" s="30"/>
      <c r="T1922" s="30"/>
      <c r="U1922" s="30"/>
      <c r="V1922" s="30"/>
      <c r="W1922" s="30"/>
      <c r="X1922" s="30"/>
      <c r="Y1922" s="30"/>
      <c r="Z1922" s="30"/>
    </row>
    <row r="1923">
      <c r="A1923" s="29"/>
      <c r="B1923" s="29"/>
      <c r="C1923" s="30"/>
      <c r="D1923" s="30"/>
      <c r="E1923" s="30"/>
      <c r="F1923" s="30"/>
      <c r="G1923" s="30"/>
      <c r="H1923" s="30"/>
      <c r="I1923" s="30"/>
      <c r="J1923" s="30"/>
      <c r="K1923" s="30"/>
      <c r="L1923" s="30"/>
      <c r="M1923" s="30"/>
      <c r="N1923" s="30"/>
      <c r="O1923" s="30"/>
      <c r="P1923" s="30"/>
      <c r="Q1923" s="30"/>
      <c r="R1923" s="30"/>
      <c r="S1923" s="30"/>
      <c r="T1923" s="30"/>
      <c r="U1923" s="30"/>
      <c r="V1923" s="30"/>
      <c r="W1923" s="30"/>
      <c r="X1923" s="30"/>
      <c r="Y1923" s="30"/>
      <c r="Z1923" s="30"/>
    </row>
    <row r="1924">
      <c r="A1924" s="29"/>
      <c r="B1924" s="29"/>
      <c r="C1924" s="30"/>
      <c r="D1924" s="30"/>
      <c r="E1924" s="30"/>
      <c r="F1924" s="30"/>
      <c r="G1924" s="30"/>
      <c r="H1924" s="30"/>
      <c r="I1924" s="30"/>
      <c r="J1924" s="30"/>
      <c r="K1924" s="30"/>
      <c r="L1924" s="30"/>
      <c r="M1924" s="30"/>
      <c r="N1924" s="30"/>
      <c r="O1924" s="30"/>
      <c r="P1924" s="30"/>
      <c r="Q1924" s="30"/>
      <c r="R1924" s="30"/>
      <c r="S1924" s="30"/>
      <c r="T1924" s="30"/>
      <c r="U1924" s="30"/>
      <c r="V1924" s="30"/>
      <c r="W1924" s="30"/>
      <c r="X1924" s="30"/>
      <c r="Y1924" s="30"/>
      <c r="Z1924" s="30"/>
    </row>
    <row r="1925">
      <c r="A1925" s="29"/>
      <c r="B1925" s="29"/>
      <c r="C1925" s="30"/>
      <c r="D1925" s="30"/>
      <c r="E1925" s="30"/>
      <c r="F1925" s="30"/>
      <c r="G1925" s="30"/>
      <c r="H1925" s="30"/>
      <c r="I1925" s="30"/>
      <c r="J1925" s="30"/>
      <c r="K1925" s="30"/>
      <c r="L1925" s="30"/>
      <c r="M1925" s="30"/>
      <c r="N1925" s="30"/>
      <c r="O1925" s="30"/>
      <c r="P1925" s="30"/>
      <c r="Q1925" s="30"/>
      <c r="R1925" s="30"/>
      <c r="S1925" s="30"/>
      <c r="T1925" s="30"/>
      <c r="U1925" s="30"/>
      <c r="V1925" s="30"/>
      <c r="W1925" s="30"/>
      <c r="X1925" s="30"/>
      <c r="Y1925" s="30"/>
      <c r="Z1925" s="30"/>
    </row>
    <row r="1926">
      <c r="A1926" s="29"/>
      <c r="B1926" s="29"/>
      <c r="C1926" s="30"/>
      <c r="D1926" s="30"/>
      <c r="E1926" s="30"/>
      <c r="F1926" s="30"/>
      <c r="G1926" s="30"/>
      <c r="H1926" s="30"/>
      <c r="I1926" s="30"/>
      <c r="J1926" s="30"/>
      <c r="K1926" s="30"/>
      <c r="L1926" s="30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0"/>
      <c r="X1926" s="30"/>
      <c r="Y1926" s="30"/>
      <c r="Z1926" s="30"/>
    </row>
    <row r="1927">
      <c r="A1927" s="29"/>
      <c r="B1927" s="29"/>
      <c r="C1927" s="30"/>
      <c r="D1927" s="30"/>
      <c r="E1927" s="30"/>
      <c r="F1927" s="30"/>
      <c r="G1927" s="30"/>
      <c r="H1927" s="30"/>
      <c r="I1927" s="30"/>
      <c r="J1927" s="30"/>
      <c r="K1927" s="30"/>
      <c r="L1927" s="30"/>
      <c r="M1927" s="30"/>
      <c r="N1927" s="30"/>
      <c r="O1927" s="30"/>
      <c r="P1927" s="30"/>
      <c r="Q1927" s="30"/>
      <c r="R1927" s="30"/>
      <c r="S1927" s="30"/>
      <c r="T1927" s="30"/>
      <c r="U1927" s="30"/>
      <c r="V1927" s="30"/>
      <c r="W1927" s="30"/>
      <c r="X1927" s="30"/>
      <c r="Y1927" s="30"/>
      <c r="Z1927" s="30"/>
    </row>
    <row r="1928">
      <c r="A1928" s="29"/>
      <c r="B1928" s="29"/>
      <c r="C1928" s="30"/>
      <c r="D1928" s="30"/>
      <c r="E1928" s="30"/>
      <c r="F1928" s="30"/>
      <c r="G1928" s="30"/>
      <c r="H1928" s="30"/>
      <c r="I1928" s="30"/>
      <c r="J1928" s="30"/>
      <c r="K1928" s="30"/>
      <c r="L1928" s="30"/>
      <c r="M1928" s="30"/>
      <c r="N1928" s="30"/>
      <c r="O1928" s="30"/>
      <c r="P1928" s="30"/>
      <c r="Q1928" s="30"/>
      <c r="R1928" s="30"/>
      <c r="S1928" s="30"/>
      <c r="T1928" s="30"/>
      <c r="U1928" s="30"/>
      <c r="V1928" s="30"/>
      <c r="W1928" s="30"/>
      <c r="X1928" s="30"/>
      <c r="Y1928" s="30"/>
      <c r="Z1928" s="30"/>
    </row>
    <row r="1929">
      <c r="A1929" s="29"/>
      <c r="B1929" s="29"/>
      <c r="C1929" s="30"/>
      <c r="D1929" s="30"/>
      <c r="E1929" s="30"/>
      <c r="F1929" s="30"/>
      <c r="G1929" s="30"/>
      <c r="H1929" s="30"/>
      <c r="I1929" s="30"/>
      <c r="J1929" s="30"/>
      <c r="K1929" s="30"/>
      <c r="L1929" s="30"/>
      <c r="M1929" s="30"/>
      <c r="N1929" s="30"/>
      <c r="O1929" s="30"/>
      <c r="P1929" s="30"/>
      <c r="Q1929" s="30"/>
      <c r="R1929" s="30"/>
      <c r="S1929" s="30"/>
      <c r="T1929" s="30"/>
      <c r="U1929" s="30"/>
      <c r="V1929" s="30"/>
      <c r="W1929" s="30"/>
      <c r="X1929" s="30"/>
      <c r="Y1929" s="30"/>
      <c r="Z1929" s="30"/>
    </row>
    <row r="1930">
      <c r="A1930" s="29"/>
      <c r="B1930" s="29"/>
      <c r="C1930" s="30"/>
      <c r="D1930" s="30"/>
      <c r="E1930" s="30"/>
      <c r="F1930" s="30"/>
      <c r="G1930" s="30"/>
      <c r="H1930" s="30"/>
      <c r="I1930" s="30"/>
      <c r="J1930" s="30"/>
      <c r="K1930" s="30"/>
      <c r="L1930" s="30"/>
      <c r="M1930" s="30"/>
      <c r="N1930" s="30"/>
      <c r="O1930" s="30"/>
      <c r="P1930" s="30"/>
      <c r="Q1930" s="30"/>
      <c r="R1930" s="30"/>
      <c r="S1930" s="30"/>
      <c r="T1930" s="30"/>
      <c r="U1930" s="30"/>
      <c r="V1930" s="30"/>
      <c r="W1930" s="30"/>
      <c r="X1930" s="30"/>
      <c r="Y1930" s="30"/>
      <c r="Z1930" s="30"/>
    </row>
    <row r="1931">
      <c r="A1931" s="29"/>
      <c r="B1931" s="29"/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0"/>
      <c r="N1931" s="30"/>
      <c r="O1931" s="30"/>
      <c r="P1931" s="30"/>
      <c r="Q1931" s="30"/>
      <c r="R1931" s="30"/>
      <c r="S1931" s="30"/>
      <c r="T1931" s="30"/>
      <c r="U1931" s="30"/>
      <c r="V1931" s="30"/>
      <c r="W1931" s="30"/>
      <c r="X1931" s="30"/>
      <c r="Y1931" s="30"/>
      <c r="Z1931" s="30"/>
    </row>
    <row r="1932">
      <c r="A1932" s="29"/>
      <c r="B1932" s="29"/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/>
      <c r="U1932" s="30"/>
      <c r="V1932" s="30"/>
      <c r="W1932" s="30"/>
      <c r="X1932" s="30"/>
      <c r="Y1932" s="30"/>
      <c r="Z1932" s="30"/>
    </row>
    <row r="1933">
      <c r="A1933" s="29"/>
      <c r="B1933" s="29"/>
      <c r="C1933" s="30"/>
      <c r="D1933" s="30"/>
      <c r="E1933" s="30"/>
      <c r="F1933" s="30"/>
      <c r="G1933" s="30"/>
      <c r="H1933" s="30"/>
      <c r="I1933" s="30"/>
      <c r="J1933" s="30"/>
      <c r="K1933" s="30"/>
      <c r="L1933" s="30"/>
      <c r="M1933" s="30"/>
      <c r="N1933" s="30"/>
      <c r="O1933" s="30"/>
      <c r="P1933" s="30"/>
      <c r="Q1933" s="30"/>
      <c r="R1933" s="30"/>
      <c r="S1933" s="30"/>
      <c r="T1933" s="30"/>
      <c r="U1933" s="30"/>
      <c r="V1933" s="30"/>
      <c r="W1933" s="30"/>
      <c r="X1933" s="30"/>
      <c r="Y1933" s="30"/>
      <c r="Z1933" s="30"/>
    </row>
    <row r="1934">
      <c r="A1934" s="29"/>
      <c r="B1934" s="29"/>
      <c r="C1934" s="30"/>
      <c r="D1934" s="30"/>
      <c r="E1934" s="30"/>
      <c r="F1934" s="30"/>
      <c r="G1934" s="30"/>
      <c r="H1934" s="30"/>
      <c r="I1934" s="30"/>
      <c r="J1934" s="30"/>
      <c r="K1934" s="30"/>
      <c r="L1934" s="30"/>
      <c r="M1934" s="30"/>
      <c r="N1934" s="30"/>
      <c r="O1934" s="30"/>
      <c r="P1934" s="30"/>
      <c r="Q1934" s="30"/>
      <c r="R1934" s="30"/>
      <c r="S1934" s="30"/>
      <c r="T1934" s="30"/>
      <c r="U1934" s="30"/>
      <c r="V1934" s="30"/>
      <c r="W1934" s="30"/>
      <c r="X1934" s="30"/>
      <c r="Y1934" s="30"/>
      <c r="Z1934" s="30"/>
    </row>
    <row r="1935">
      <c r="A1935" s="29"/>
      <c r="B1935" s="29"/>
      <c r="C1935" s="30"/>
      <c r="D1935" s="30"/>
      <c r="E1935" s="30"/>
      <c r="F1935" s="30"/>
      <c r="G1935" s="30"/>
      <c r="H1935" s="30"/>
      <c r="I1935" s="30"/>
      <c r="J1935" s="30"/>
      <c r="K1935" s="30"/>
      <c r="L1935" s="30"/>
      <c r="M1935" s="30"/>
      <c r="N1935" s="30"/>
      <c r="O1935" s="30"/>
      <c r="P1935" s="30"/>
      <c r="Q1935" s="30"/>
      <c r="R1935" s="30"/>
      <c r="S1935" s="30"/>
      <c r="T1935" s="30"/>
      <c r="U1935" s="30"/>
      <c r="V1935" s="30"/>
      <c r="W1935" s="30"/>
      <c r="X1935" s="30"/>
      <c r="Y1935" s="30"/>
      <c r="Z1935" s="30"/>
    </row>
    <row r="1936">
      <c r="A1936" s="29"/>
      <c r="B1936" s="29"/>
      <c r="C1936" s="30"/>
      <c r="D1936" s="30"/>
      <c r="E1936" s="30"/>
      <c r="F1936" s="30"/>
      <c r="G1936" s="30"/>
      <c r="H1936" s="30"/>
      <c r="I1936" s="30"/>
      <c r="J1936" s="30"/>
      <c r="K1936" s="30"/>
      <c r="L1936" s="30"/>
      <c r="M1936" s="30"/>
      <c r="N1936" s="30"/>
      <c r="O1936" s="30"/>
      <c r="P1936" s="30"/>
      <c r="Q1936" s="30"/>
      <c r="R1936" s="30"/>
      <c r="S1936" s="30"/>
      <c r="T1936" s="30"/>
      <c r="U1936" s="30"/>
      <c r="V1936" s="30"/>
      <c r="W1936" s="30"/>
      <c r="X1936" s="30"/>
      <c r="Y1936" s="30"/>
      <c r="Z1936" s="30"/>
    </row>
    <row r="1937">
      <c r="A1937" s="29"/>
      <c r="B1937" s="29"/>
      <c r="C1937" s="30"/>
      <c r="D1937" s="30"/>
      <c r="E1937" s="30"/>
      <c r="F1937" s="30"/>
      <c r="G1937" s="30"/>
      <c r="H1937" s="30"/>
      <c r="I1937" s="30"/>
      <c r="J1937" s="30"/>
      <c r="K1937" s="30"/>
      <c r="L1937" s="30"/>
      <c r="M1937" s="30"/>
      <c r="N1937" s="30"/>
      <c r="O1937" s="30"/>
      <c r="P1937" s="30"/>
      <c r="Q1937" s="30"/>
      <c r="R1937" s="30"/>
      <c r="S1937" s="30"/>
      <c r="T1937" s="30"/>
      <c r="U1937" s="30"/>
      <c r="V1937" s="30"/>
      <c r="W1937" s="30"/>
      <c r="X1937" s="30"/>
      <c r="Y1937" s="30"/>
      <c r="Z1937" s="30"/>
    </row>
    <row r="1938">
      <c r="A1938" s="29"/>
      <c r="B1938" s="29"/>
      <c r="C1938" s="30"/>
      <c r="D1938" s="30"/>
      <c r="E1938" s="30"/>
      <c r="F1938" s="30"/>
      <c r="G1938" s="30"/>
      <c r="H1938" s="30"/>
      <c r="I1938" s="30"/>
      <c r="J1938" s="30"/>
      <c r="K1938" s="30"/>
      <c r="L1938" s="30"/>
      <c r="M1938" s="30"/>
      <c r="N1938" s="30"/>
      <c r="O1938" s="30"/>
      <c r="P1938" s="30"/>
      <c r="Q1938" s="30"/>
      <c r="R1938" s="30"/>
      <c r="S1938" s="30"/>
      <c r="T1938" s="30"/>
      <c r="U1938" s="30"/>
      <c r="V1938" s="30"/>
      <c r="W1938" s="30"/>
      <c r="X1938" s="30"/>
      <c r="Y1938" s="30"/>
      <c r="Z1938" s="30"/>
    </row>
    <row r="1939">
      <c r="A1939" s="29"/>
      <c r="B1939" s="29"/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0"/>
      <c r="N1939" s="30"/>
      <c r="O1939" s="30"/>
      <c r="P1939" s="30"/>
      <c r="Q1939" s="30"/>
      <c r="R1939" s="30"/>
      <c r="S1939" s="30"/>
      <c r="T1939" s="30"/>
      <c r="U1939" s="30"/>
      <c r="V1939" s="30"/>
      <c r="W1939" s="30"/>
      <c r="X1939" s="30"/>
      <c r="Y1939" s="30"/>
      <c r="Z1939" s="30"/>
    </row>
    <row r="1940">
      <c r="A1940" s="29"/>
      <c r="B1940" s="29"/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  <c r="O1940" s="30"/>
      <c r="P1940" s="30"/>
      <c r="Q1940" s="30"/>
      <c r="R1940" s="30"/>
      <c r="S1940" s="30"/>
      <c r="T1940" s="30"/>
      <c r="U1940" s="30"/>
      <c r="V1940" s="30"/>
      <c r="W1940" s="30"/>
      <c r="X1940" s="30"/>
      <c r="Y1940" s="30"/>
      <c r="Z1940" s="30"/>
    </row>
    <row r="1941">
      <c r="A1941" s="29"/>
      <c r="B1941" s="29"/>
      <c r="C1941" s="30"/>
      <c r="D1941" s="30"/>
      <c r="E1941" s="30"/>
      <c r="F1941" s="30"/>
      <c r="G1941" s="30"/>
      <c r="H1941" s="30"/>
      <c r="I1941" s="30"/>
      <c r="J1941" s="30"/>
      <c r="K1941" s="30"/>
      <c r="L1941" s="30"/>
      <c r="M1941" s="30"/>
      <c r="N1941" s="30"/>
      <c r="O1941" s="30"/>
      <c r="P1941" s="30"/>
      <c r="Q1941" s="30"/>
      <c r="R1941" s="30"/>
      <c r="S1941" s="30"/>
      <c r="T1941" s="30"/>
      <c r="U1941" s="30"/>
      <c r="V1941" s="30"/>
      <c r="W1941" s="30"/>
      <c r="X1941" s="30"/>
      <c r="Y1941" s="30"/>
      <c r="Z1941" s="30"/>
    </row>
    <row r="1942">
      <c r="A1942" s="29"/>
      <c r="B1942" s="29"/>
      <c r="C1942" s="30"/>
      <c r="D1942" s="30"/>
      <c r="E1942" s="30"/>
      <c r="F1942" s="30"/>
      <c r="G1942" s="30"/>
      <c r="H1942" s="30"/>
      <c r="I1942" s="30"/>
      <c r="J1942" s="30"/>
      <c r="K1942" s="30"/>
      <c r="L1942" s="30"/>
      <c r="M1942" s="30"/>
      <c r="N1942" s="30"/>
      <c r="O1942" s="30"/>
      <c r="P1942" s="30"/>
      <c r="Q1942" s="30"/>
      <c r="R1942" s="30"/>
      <c r="S1942" s="30"/>
      <c r="T1942" s="30"/>
      <c r="U1942" s="30"/>
      <c r="V1942" s="30"/>
      <c r="W1942" s="30"/>
      <c r="X1942" s="30"/>
      <c r="Y1942" s="30"/>
      <c r="Z1942" s="30"/>
    </row>
    <row r="1943">
      <c r="A1943" s="29"/>
      <c r="B1943" s="29"/>
      <c r="C1943" s="30"/>
      <c r="D1943" s="30"/>
      <c r="E1943" s="30"/>
      <c r="F1943" s="30"/>
      <c r="G1943" s="30"/>
      <c r="H1943" s="30"/>
      <c r="I1943" s="30"/>
      <c r="J1943" s="30"/>
      <c r="K1943" s="30"/>
      <c r="L1943" s="30"/>
      <c r="M1943" s="30"/>
      <c r="N1943" s="30"/>
      <c r="O1943" s="30"/>
      <c r="P1943" s="30"/>
      <c r="Q1943" s="30"/>
      <c r="R1943" s="30"/>
      <c r="S1943" s="30"/>
      <c r="T1943" s="30"/>
      <c r="U1943" s="30"/>
      <c r="V1943" s="30"/>
      <c r="W1943" s="30"/>
      <c r="X1943" s="30"/>
      <c r="Y1943" s="30"/>
      <c r="Z1943" s="30"/>
    </row>
    <row r="1944">
      <c r="A1944" s="29"/>
      <c r="B1944" s="29"/>
      <c r="C1944" s="30"/>
      <c r="D1944" s="30"/>
      <c r="E1944" s="30"/>
      <c r="F1944" s="30"/>
      <c r="G1944" s="30"/>
      <c r="H1944" s="30"/>
      <c r="I1944" s="30"/>
      <c r="J1944" s="30"/>
      <c r="K1944" s="30"/>
      <c r="L1944" s="30"/>
      <c r="M1944" s="30"/>
      <c r="N1944" s="30"/>
      <c r="O1944" s="30"/>
      <c r="P1944" s="30"/>
      <c r="Q1944" s="30"/>
      <c r="R1944" s="30"/>
      <c r="S1944" s="30"/>
      <c r="T1944" s="30"/>
      <c r="U1944" s="30"/>
      <c r="V1944" s="30"/>
      <c r="W1944" s="30"/>
      <c r="X1944" s="30"/>
      <c r="Y1944" s="30"/>
      <c r="Z1944" s="30"/>
    </row>
    <row r="1945">
      <c r="A1945" s="29"/>
      <c r="B1945" s="29"/>
      <c r="C1945" s="30"/>
      <c r="D1945" s="30"/>
      <c r="E1945" s="30"/>
      <c r="F1945" s="30"/>
      <c r="G1945" s="30"/>
      <c r="H1945" s="30"/>
      <c r="I1945" s="30"/>
      <c r="J1945" s="30"/>
      <c r="K1945" s="30"/>
      <c r="L1945" s="30"/>
      <c r="M1945" s="30"/>
      <c r="N1945" s="30"/>
      <c r="O1945" s="30"/>
      <c r="P1945" s="30"/>
      <c r="Q1945" s="30"/>
      <c r="R1945" s="30"/>
      <c r="S1945" s="30"/>
      <c r="T1945" s="30"/>
      <c r="U1945" s="30"/>
      <c r="V1945" s="30"/>
      <c r="W1945" s="30"/>
      <c r="X1945" s="30"/>
      <c r="Y1945" s="30"/>
      <c r="Z1945" s="30"/>
    </row>
    <row r="1946">
      <c r="A1946" s="29"/>
      <c r="B1946" s="29"/>
      <c r="C1946" s="30"/>
      <c r="D1946" s="30"/>
      <c r="E1946" s="30"/>
      <c r="F1946" s="30"/>
      <c r="G1946" s="30"/>
      <c r="H1946" s="30"/>
      <c r="I1946" s="30"/>
      <c r="J1946" s="30"/>
      <c r="K1946" s="30"/>
      <c r="L1946" s="30"/>
      <c r="M1946" s="30"/>
      <c r="N1946" s="30"/>
      <c r="O1946" s="30"/>
      <c r="P1946" s="30"/>
      <c r="Q1946" s="30"/>
      <c r="R1946" s="30"/>
      <c r="S1946" s="30"/>
      <c r="T1946" s="30"/>
      <c r="U1946" s="30"/>
      <c r="V1946" s="30"/>
      <c r="W1946" s="30"/>
      <c r="X1946" s="30"/>
      <c r="Y1946" s="30"/>
      <c r="Z1946" s="30"/>
    </row>
    <row r="1947">
      <c r="A1947" s="29"/>
      <c r="B1947" s="29"/>
      <c r="C1947" s="30"/>
      <c r="D1947" s="30"/>
      <c r="E1947" s="30"/>
      <c r="F1947" s="30"/>
      <c r="G1947" s="30"/>
      <c r="H1947" s="30"/>
      <c r="I1947" s="30"/>
      <c r="J1947" s="30"/>
      <c r="K1947" s="30"/>
      <c r="L1947" s="30"/>
      <c r="M1947" s="30"/>
      <c r="N1947" s="30"/>
      <c r="O1947" s="30"/>
      <c r="P1947" s="30"/>
      <c r="Q1947" s="30"/>
      <c r="R1947" s="30"/>
      <c r="S1947" s="30"/>
      <c r="T1947" s="30"/>
      <c r="U1947" s="30"/>
      <c r="V1947" s="30"/>
      <c r="W1947" s="30"/>
      <c r="X1947" s="30"/>
      <c r="Y1947" s="30"/>
      <c r="Z1947" s="30"/>
    </row>
    <row r="1948">
      <c r="A1948" s="29"/>
      <c r="B1948" s="29"/>
      <c r="C1948" s="30"/>
      <c r="D1948" s="30"/>
      <c r="E1948" s="30"/>
      <c r="F1948" s="30"/>
      <c r="G1948" s="30"/>
      <c r="H1948" s="30"/>
      <c r="I1948" s="30"/>
      <c r="J1948" s="30"/>
      <c r="K1948" s="30"/>
      <c r="L1948" s="30"/>
      <c r="M1948" s="30"/>
      <c r="N1948" s="30"/>
      <c r="O1948" s="30"/>
      <c r="P1948" s="30"/>
      <c r="Q1948" s="30"/>
      <c r="R1948" s="30"/>
      <c r="S1948" s="30"/>
      <c r="T1948" s="30"/>
      <c r="U1948" s="30"/>
      <c r="V1948" s="30"/>
      <c r="W1948" s="30"/>
      <c r="X1948" s="30"/>
      <c r="Y1948" s="30"/>
      <c r="Z1948" s="30"/>
    </row>
    <row r="1949">
      <c r="A1949" s="29"/>
      <c r="B1949" s="29"/>
      <c r="C1949" s="30"/>
      <c r="D1949" s="30"/>
      <c r="E1949" s="30"/>
      <c r="F1949" s="30"/>
      <c r="G1949" s="30"/>
      <c r="H1949" s="30"/>
      <c r="I1949" s="30"/>
      <c r="J1949" s="30"/>
      <c r="K1949" s="30"/>
      <c r="L1949" s="30"/>
      <c r="M1949" s="30"/>
      <c r="N1949" s="30"/>
      <c r="O1949" s="30"/>
      <c r="P1949" s="30"/>
      <c r="Q1949" s="30"/>
      <c r="R1949" s="30"/>
      <c r="S1949" s="30"/>
      <c r="T1949" s="30"/>
      <c r="U1949" s="30"/>
      <c r="V1949" s="30"/>
      <c r="W1949" s="30"/>
      <c r="X1949" s="30"/>
      <c r="Y1949" s="30"/>
      <c r="Z1949" s="30"/>
    </row>
    <row r="1950">
      <c r="A1950" s="29"/>
      <c r="B1950" s="29"/>
      <c r="C1950" s="30"/>
      <c r="D1950" s="30"/>
      <c r="E1950" s="30"/>
      <c r="F1950" s="30"/>
      <c r="G1950" s="30"/>
      <c r="H1950" s="30"/>
      <c r="I1950" s="30"/>
      <c r="J1950" s="30"/>
      <c r="K1950" s="30"/>
      <c r="L1950" s="30"/>
      <c r="M1950" s="30"/>
      <c r="N1950" s="30"/>
      <c r="O1950" s="30"/>
      <c r="P1950" s="30"/>
      <c r="Q1950" s="30"/>
      <c r="R1950" s="30"/>
      <c r="S1950" s="30"/>
      <c r="T1950" s="30"/>
      <c r="U1950" s="30"/>
      <c r="V1950" s="30"/>
      <c r="W1950" s="30"/>
      <c r="X1950" s="30"/>
      <c r="Y1950" s="30"/>
      <c r="Z1950" s="30"/>
    </row>
    <row r="1951">
      <c r="A1951" s="29"/>
      <c r="B1951" s="29"/>
      <c r="C1951" s="30"/>
      <c r="D1951" s="30"/>
      <c r="E1951" s="30"/>
      <c r="F1951" s="30"/>
      <c r="G1951" s="30"/>
      <c r="H1951" s="30"/>
      <c r="I1951" s="30"/>
      <c r="J1951" s="30"/>
      <c r="K1951" s="30"/>
      <c r="L1951" s="30"/>
      <c r="M1951" s="30"/>
      <c r="N1951" s="30"/>
      <c r="O1951" s="30"/>
      <c r="P1951" s="30"/>
      <c r="Q1951" s="30"/>
      <c r="R1951" s="30"/>
      <c r="S1951" s="30"/>
      <c r="T1951" s="30"/>
      <c r="U1951" s="30"/>
      <c r="V1951" s="30"/>
      <c r="W1951" s="30"/>
      <c r="X1951" s="30"/>
      <c r="Y1951" s="30"/>
      <c r="Z1951" s="30"/>
    </row>
    <row r="1952">
      <c r="A1952" s="29"/>
      <c r="B1952" s="29"/>
      <c r="C1952" s="30"/>
      <c r="D1952" s="30"/>
      <c r="E1952" s="30"/>
      <c r="F1952" s="30"/>
      <c r="G1952" s="30"/>
      <c r="H1952" s="30"/>
      <c r="I1952" s="30"/>
      <c r="J1952" s="30"/>
      <c r="K1952" s="30"/>
      <c r="L1952" s="30"/>
      <c r="M1952" s="30"/>
      <c r="N1952" s="30"/>
      <c r="O1952" s="30"/>
      <c r="P1952" s="30"/>
      <c r="Q1952" s="30"/>
      <c r="R1952" s="30"/>
      <c r="S1952" s="30"/>
      <c r="T1952" s="30"/>
      <c r="U1952" s="30"/>
      <c r="V1952" s="30"/>
      <c r="W1952" s="30"/>
      <c r="X1952" s="30"/>
      <c r="Y1952" s="30"/>
      <c r="Z1952" s="30"/>
    </row>
    <row r="1953">
      <c r="A1953" s="29"/>
      <c r="B1953" s="29"/>
      <c r="C1953" s="30"/>
      <c r="D1953" s="30"/>
      <c r="E1953" s="30"/>
      <c r="F1953" s="30"/>
      <c r="G1953" s="30"/>
      <c r="H1953" s="30"/>
      <c r="I1953" s="30"/>
      <c r="J1953" s="30"/>
      <c r="K1953" s="30"/>
      <c r="L1953" s="30"/>
      <c r="M1953" s="30"/>
      <c r="N1953" s="30"/>
      <c r="O1953" s="30"/>
      <c r="P1953" s="30"/>
      <c r="Q1953" s="30"/>
      <c r="R1953" s="30"/>
      <c r="S1953" s="30"/>
      <c r="T1953" s="30"/>
      <c r="U1953" s="30"/>
      <c r="V1953" s="30"/>
      <c r="W1953" s="30"/>
      <c r="X1953" s="30"/>
      <c r="Y1953" s="30"/>
      <c r="Z1953" s="30"/>
    </row>
    <row r="1954">
      <c r="A1954" s="29"/>
      <c r="B1954" s="29"/>
      <c r="C1954" s="30"/>
      <c r="D1954" s="30"/>
      <c r="E1954" s="30"/>
      <c r="F1954" s="30"/>
      <c r="G1954" s="30"/>
      <c r="H1954" s="30"/>
      <c r="I1954" s="30"/>
      <c r="J1954" s="30"/>
      <c r="K1954" s="30"/>
      <c r="L1954" s="30"/>
      <c r="M1954" s="30"/>
      <c r="N1954" s="30"/>
      <c r="O1954" s="30"/>
      <c r="P1954" s="30"/>
      <c r="Q1954" s="30"/>
      <c r="R1954" s="30"/>
      <c r="S1954" s="30"/>
      <c r="T1954" s="30"/>
      <c r="U1954" s="30"/>
      <c r="V1954" s="30"/>
      <c r="W1954" s="30"/>
      <c r="X1954" s="30"/>
      <c r="Y1954" s="30"/>
      <c r="Z1954" s="30"/>
    </row>
    <row r="1955">
      <c r="A1955" s="29"/>
      <c r="B1955" s="29"/>
      <c r="C1955" s="30"/>
      <c r="D1955" s="30"/>
      <c r="E1955" s="30"/>
      <c r="F1955" s="30"/>
      <c r="G1955" s="30"/>
      <c r="H1955" s="30"/>
      <c r="I1955" s="30"/>
      <c r="J1955" s="30"/>
      <c r="K1955" s="30"/>
      <c r="L1955" s="30"/>
      <c r="M1955" s="30"/>
      <c r="N1955" s="30"/>
      <c r="O1955" s="30"/>
      <c r="P1955" s="30"/>
      <c r="Q1955" s="30"/>
      <c r="R1955" s="30"/>
      <c r="S1955" s="30"/>
      <c r="T1955" s="30"/>
      <c r="U1955" s="30"/>
      <c r="V1955" s="30"/>
      <c r="W1955" s="30"/>
      <c r="X1955" s="30"/>
      <c r="Y1955" s="30"/>
      <c r="Z1955" s="30"/>
    </row>
    <row r="1956">
      <c r="A1956" s="29"/>
      <c r="B1956" s="29"/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0"/>
      <c r="N1956" s="30"/>
      <c r="O1956" s="30"/>
      <c r="P1956" s="30"/>
      <c r="Q1956" s="30"/>
      <c r="R1956" s="30"/>
      <c r="S1956" s="30"/>
      <c r="T1956" s="30"/>
      <c r="U1956" s="30"/>
      <c r="V1956" s="30"/>
      <c r="W1956" s="30"/>
      <c r="X1956" s="30"/>
      <c r="Y1956" s="30"/>
      <c r="Z1956" s="30"/>
    </row>
    <row r="1957">
      <c r="A1957" s="29"/>
      <c r="B1957" s="29"/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30"/>
      <c r="N1957" s="30"/>
      <c r="O1957" s="30"/>
      <c r="P1957" s="30"/>
      <c r="Q1957" s="30"/>
      <c r="R1957" s="30"/>
      <c r="S1957" s="30"/>
      <c r="T1957" s="30"/>
      <c r="U1957" s="30"/>
      <c r="V1957" s="30"/>
      <c r="W1957" s="30"/>
      <c r="X1957" s="30"/>
      <c r="Y1957" s="30"/>
      <c r="Z1957" s="30"/>
    </row>
    <row r="1958">
      <c r="A1958" s="29"/>
      <c r="B1958" s="29"/>
      <c r="C1958" s="30"/>
      <c r="D1958" s="30"/>
      <c r="E1958" s="30"/>
      <c r="F1958" s="30"/>
      <c r="G1958" s="30"/>
      <c r="H1958" s="30"/>
      <c r="I1958" s="30"/>
      <c r="J1958" s="30"/>
      <c r="K1958" s="30"/>
      <c r="L1958" s="30"/>
      <c r="M1958" s="30"/>
      <c r="N1958" s="30"/>
      <c r="O1958" s="30"/>
      <c r="P1958" s="30"/>
      <c r="Q1958" s="30"/>
      <c r="R1958" s="30"/>
      <c r="S1958" s="30"/>
      <c r="T1958" s="30"/>
      <c r="U1958" s="30"/>
      <c r="V1958" s="30"/>
      <c r="W1958" s="30"/>
      <c r="X1958" s="30"/>
      <c r="Y1958" s="30"/>
      <c r="Z1958" s="30"/>
    </row>
    <row r="1959">
      <c r="A1959" s="29"/>
      <c r="B1959" s="29"/>
      <c r="C1959" s="30"/>
      <c r="D1959" s="30"/>
      <c r="E1959" s="30"/>
      <c r="F1959" s="30"/>
      <c r="G1959" s="30"/>
      <c r="H1959" s="30"/>
      <c r="I1959" s="30"/>
      <c r="J1959" s="30"/>
      <c r="K1959" s="30"/>
      <c r="L1959" s="30"/>
      <c r="M1959" s="30"/>
      <c r="N1959" s="30"/>
      <c r="O1959" s="30"/>
      <c r="P1959" s="30"/>
      <c r="Q1959" s="30"/>
      <c r="R1959" s="30"/>
      <c r="S1959" s="30"/>
      <c r="T1959" s="30"/>
      <c r="U1959" s="30"/>
      <c r="V1959" s="30"/>
      <c r="W1959" s="30"/>
      <c r="X1959" s="30"/>
      <c r="Y1959" s="30"/>
      <c r="Z1959" s="30"/>
    </row>
    <row r="1960">
      <c r="A1960" s="29"/>
      <c r="B1960" s="29"/>
      <c r="C1960" s="30"/>
      <c r="D1960" s="30"/>
      <c r="E1960" s="30"/>
      <c r="F1960" s="30"/>
      <c r="G1960" s="30"/>
      <c r="H1960" s="30"/>
      <c r="I1960" s="30"/>
      <c r="J1960" s="30"/>
      <c r="K1960" s="30"/>
      <c r="L1960" s="30"/>
      <c r="M1960" s="30"/>
      <c r="N1960" s="30"/>
      <c r="O1960" s="30"/>
      <c r="P1960" s="30"/>
      <c r="Q1960" s="30"/>
      <c r="R1960" s="30"/>
      <c r="S1960" s="30"/>
      <c r="T1960" s="30"/>
      <c r="U1960" s="30"/>
      <c r="V1960" s="30"/>
      <c r="W1960" s="30"/>
      <c r="X1960" s="30"/>
      <c r="Y1960" s="30"/>
      <c r="Z1960" s="30"/>
    </row>
    <row r="1961">
      <c r="A1961" s="29"/>
      <c r="B1961" s="29"/>
      <c r="C1961" s="30"/>
      <c r="D1961" s="30"/>
      <c r="E1961" s="30"/>
      <c r="F1961" s="30"/>
      <c r="G1961" s="30"/>
      <c r="H1961" s="30"/>
      <c r="I1961" s="30"/>
      <c r="J1961" s="30"/>
      <c r="K1961" s="30"/>
      <c r="L1961" s="30"/>
      <c r="M1961" s="30"/>
      <c r="N1961" s="30"/>
      <c r="O1961" s="30"/>
      <c r="P1961" s="30"/>
      <c r="Q1961" s="30"/>
      <c r="R1961" s="30"/>
      <c r="S1961" s="30"/>
      <c r="T1961" s="30"/>
      <c r="U1961" s="30"/>
      <c r="V1961" s="30"/>
      <c r="W1961" s="30"/>
      <c r="X1961" s="30"/>
      <c r="Y1961" s="30"/>
      <c r="Z1961" s="30"/>
    </row>
    <row r="1962">
      <c r="A1962" s="29"/>
      <c r="B1962" s="29"/>
      <c r="C1962" s="30"/>
      <c r="D1962" s="30"/>
      <c r="E1962" s="30"/>
      <c r="F1962" s="30"/>
      <c r="G1962" s="30"/>
      <c r="H1962" s="30"/>
      <c r="I1962" s="30"/>
      <c r="J1962" s="30"/>
      <c r="K1962" s="30"/>
      <c r="L1962" s="30"/>
      <c r="M1962" s="30"/>
      <c r="N1962" s="30"/>
      <c r="O1962" s="30"/>
      <c r="P1962" s="30"/>
      <c r="Q1962" s="30"/>
      <c r="R1962" s="30"/>
      <c r="S1962" s="30"/>
      <c r="T1962" s="30"/>
      <c r="U1962" s="30"/>
      <c r="V1962" s="30"/>
      <c r="W1962" s="30"/>
      <c r="X1962" s="30"/>
      <c r="Y1962" s="30"/>
      <c r="Z1962" s="30"/>
    </row>
    <row r="1963">
      <c r="A1963" s="29"/>
      <c r="B1963" s="29"/>
      <c r="C1963" s="30"/>
      <c r="D1963" s="30"/>
      <c r="E1963" s="30"/>
      <c r="F1963" s="30"/>
      <c r="G1963" s="30"/>
      <c r="H1963" s="30"/>
      <c r="I1963" s="30"/>
      <c r="J1963" s="30"/>
      <c r="K1963" s="30"/>
      <c r="L1963" s="30"/>
      <c r="M1963" s="30"/>
      <c r="N1963" s="30"/>
      <c r="O1963" s="30"/>
      <c r="P1963" s="30"/>
      <c r="Q1963" s="30"/>
      <c r="R1963" s="30"/>
      <c r="S1963" s="30"/>
      <c r="T1963" s="30"/>
      <c r="U1963" s="30"/>
      <c r="V1963" s="30"/>
      <c r="W1963" s="30"/>
      <c r="X1963" s="30"/>
      <c r="Y1963" s="30"/>
      <c r="Z1963" s="30"/>
    </row>
    <row r="1964">
      <c r="A1964" s="29"/>
      <c r="B1964" s="29"/>
      <c r="C1964" s="30"/>
      <c r="D1964" s="30"/>
      <c r="E1964" s="30"/>
      <c r="F1964" s="30"/>
      <c r="G1964" s="30"/>
      <c r="H1964" s="30"/>
      <c r="I1964" s="30"/>
      <c r="J1964" s="30"/>
      <c r="K1964" s="30"/>
      <c r="L1964" s="30"/>
      <c r="M1964" s="30"/>
      <c r="N1964" s="30"/>
      <c r="O1964" s="30"/>
      <c r="P1964" s="30"/>
      <c r="Q1964" s="30"/>
      <c r="R1964" s="30"/>
      <c r="S1964" s="30"/>
      <c r="T1964" s="30"/>
      <c r="U1964" s="30"/>
      <c r="V1964" s="30"/>
      <c r="W1964" s="30"/>
      <c r="X1964" s="30"/>
      <c r="Y1964" s="30"/>
      <c r="Z1964" s="30"/>
    </row>
    <row r="1965">
      <c r="A1965" s="29"/>
      <c r="B1965" s="29"/>
      <c r="C1965" s="30"/>
      <c r="D1965" s="30"/>
      <c r="E1965" s="30"/>
      <c r="F1965" s="30"/>
      <c r="G1965" s="30"/>
      <c r="H1965" s="30"/>
      <c r="I1965" s="30"/>
      <c r="J1965" s="30"/>
      <c r="K1965" s="30"/>
      <c r="L1965" s="30"/>
      <c r="M1965" s="30"/>
      <c r="N1965" s="30"/>
      <c r="O1965" s="30"/>
      <c r="P1965" s="30"/>
      <c r="Q1965" s="30"/>
      <c r="R1965" s="30"/>
      <c r="S1965" s="30"/>
      <c r="T1965" s="30"/>
      <c r="U1965" s="30"/>
      <c r="V1965" s="30"/>
      <c r="W1965" s="30"/>
      <c r="X1965" s="30"/>
      <c r="Y1965" s="30"/>
      <c r="Z1965" s="30"/>
    </row>
    <row r="1966">
      <c r="A1966" s="29"/>
      <c r="B1966" s="29"/>
      <c r="C1966" s="30"/>
      <c r="D1966" s="30"/>
      <c r="E1966" s="30"/>
      <c r="F1966" s="30"/>
      <c r="G1966" s="30"/>
      <c r="H1966" s="30"/>
      <c r="I1966" s="30"/>
      <c r="J1966" s="30"/>
      <c r="K1966" s="30"/>
      <c r="L1966" s="30"/>
      <c r="M1966" s="30"/>
      <c r="N1966" s="30"/>
      <c r="O1966" s="30"/>
      <c r="P1966" s="30"/>
      <c r="Q1966" s="30"/>
      <c r="R1966" s="30"/>
      <c r="S1966" s="30"/>
      <c r="T1966" s="30"/>
      <c r="U1966" s="30"/>
      <c r="V1966" s="30"/>
      <c r="W1966" s="30"/>
      <c r="X1966" s="30"/>
      <c r="Y1966" s="30"/>
      <c r="Z1966" s="30"/>
    </row>
    <row r="1967">
      <c r="A1967" s="29"/>
      <c r="B1967" s="29"/>
      <c r="C1967" s="30"/>
      <c r="D1967" s="30"/>
      <c r="E1967" s="30"/>
      <c r="F1967" s="30"/>
      <c r="G1967" s="30"/>
      <c r="H1967" s="30"/>
      <c r="I1967" s="30"/>
      <c r="J1967" s="30"/>
      <c r="K1967" s="30"/>
      <c r="L1967" s="30"/>
      <c r="M1967" s="30"/>
      <c r="N1967" s="30"/>
      <c r="O1967" s="30"/>
      <c r="P1967" s="30"/>
      <c r="Q1967" s="30"/>
      <c r="R1967" s="30"/>
      <c r="S1967" s="30"/>
      <c r="T1967" s="30"/>
      <c r="U1967" s="30"/>
      <c r="V1967" s="30"/>
      <c r="W1967" s="30"/>
      <c r="X1967" s="30"/>
      <c r="Y1967" s="30"/>
      <c r="Z1967" s="30"/>
    </row>
    <row r="1968">
      <c r="A1968" s="29"/>
      <c r="B1968" s="29"/>
      <c r="C1968" s="30"/>
      <c r="D1968" s="30"/>
      <c r="E1968" s="30"/>
      <c r="F1968" s="30"/>
      <c r="G1968" s="30"/>
      <c r="H1968" s="30"/>
      <c r="I1968" s="30"/>
      <c r="J1968" s="30"/>
      <c r="K1968" s="30"/>
      <c r="L1968" s="30"/>
      <c r="M1968" s="30"/>
      <c r="N1968" s="30"/>
      <c r="O1968" s="30"/>
      <c r="P1968" s="30"/>
      <c r="Q1968" s="30"/>
      <c r="R1968" s="30"/>
      <c r="S1968" s="30"/>
      <c r="T1968" s="30"/>
      <c r="U1968" s="30"/>
      <c r="V1968" s="30"/>
      <c r="W1968" s="30"/>
      <c r="X1968" s="30"/>
      <c r="Y1968" s="30"/>
      <c r="Z1968" s="30"/>
    </row>
    <row r="1969">
      <c r="A1969" s="29"/>
      <c r="B1969" s="29"/>
      <c r="C1969" s="30"/>
      <c r="D1969" s="30"/>
      <c r="E1969" s="30"/>
      <c r="F1969" s="30"/>
      <c r="G1969" s="30"/>
      <c r="H1969" s="30"/>
      <c r="I1969" s="30"/>
      <c r="J1969" s="30"/>
      <c r="K1969" s="30"/>
      <c r="L1969" s="30"/>
      <c r="M1969" s="30"/>
      <c r="N1969" s="30"/>
      <c r="O1969" s="30"/>
      <c r="P1969" s="30"/>
      <c r="Q1969" s="30"/>
      <c r="R1969" s="30"/>
      <c r="S1969" s="30"/>
      <c r="T1969" s="30"/>
      <c r="U1969" s="30"/>
      <c r="V1969" s="30"/>
      <c r="W1969" s="30"/>
      <c r="X1969" s="30"/>
      <c r="Y1969" s="30"/>
      <c r="Z1969" s="30"/>
    </row>
    <row r="1970">
      <c r="A1970" s="29"/>
      <c r="B1970" s="29"/>
      <c r="C1970" s="30"/>
      <c r="D1970" s="30"/>
      <c r="E1970" s="30"/>
      <c r="F1970" s="30"/>
      <c r="G1970" s="30"/>
      <c r="H1970" s="30"/>
      <c r="I1970" s="30"/>
      <c r="J1970" s="30"/>
      <c r="K1970" s="30"/>
      <c r="L1970" s="30"/>
      <c r="M1970" s="30"/>
      <c r="N1970" s="30"/>
      <c r="O1970" s="30"/>
      <c r="P1970" s="30"/>
      <c r="Q1970" s="30"/>
      <c r="R1970" s="30"/>
      <c r="S1970" s="30"/>
      <c r="T1970" s="30"/>
      <c r="U1970" s="30"/>
      <c r="V1970" s="30"/>
      <c r="W1970" s="30"/>
      <c r="X1970" s="30"/>
      <c r="Y1970" s="30"/>
      <c r="Z1970" s="30"/>
    </row>
    <row r="1971">
      <c r="A1971" s="29"/>
      <c r="B1971" s="29"/>
      <c r="C1971" s="30"/>
      <c r="D1971" s="30"/>
      <c r="E1971" s="30"/>
      <c r="F1971" s="30"/>
      <c r="G1971" s="30"/>
      <c r="H1971" s="30"/>
      <c r="I1971" s="30"/>
      <c r="J1971" s="30"/>
      <c r="K1971" s="30"/>
      <c r="L1971" s="30"/>
      <c r="M1971" s="30"/>
      <c r="N1971" s="30"/>
      <c r="O1971" s="30"/>
      <c r="P1971" s="30"/>
      <c r="Q1971" s="30"/>
      <c r="R1971" s="30"/>
      <c r="S1971" s="30"/>
      <c r="T1971" s="30"/>
      <c r="U1971" s="30"/>
      <c r="V1971" s="30"/>
      <c r="W1971" s="30"/>
      <c r="X1971" s="30"/>
      <c r="Y1971" s="30"/>
      <c r="Z1971" s="30"/>
    </row>
    <row r="1972">
      <c r="A1972" s="29"/>
      <c r="B1972" s="29"/>
      <c r="C1972" s="30"/>
      <c r="D1972" s="30"/>
      <c r="E1972" s="30"/>
      <c r="F1972" s="30"/>
      <c r="G1972" s="30"/>
      <c r="H1972" s="30"/>
      <c r="I1972" s="30"/>
      <c r="J1972" s="30"/>
      <c r="K1972" s="30"/>
      <c r="L1972" s="30"/>
      <c r="M1972" s="30"/>
      <c r="N1972" s="30"/>
      <c r="O1972" s="30"/>
      <c r="P1972" s="30"/>
      <c r="Q1972" s="30"/>
      <c r="R1972" s="30"/>
      <c r="S1972" s="30"/>
      <c r="T1972" s="30"/>
      <c r="U1972" s="30"/>
      <c r="V1972" s="30"/>
      <c r="W1972" s="30"/>
      <c r="X1972" s="30"/>
      <c r="Y1972" s="30"/>
      <c r="Z1972" s="30"/>
    </row>
    <row r="1973">
      <c r="A1973" s="29"/>
      <c r="B1973" s="29"/>
      <c r="C1973" s="30"/>
      <c r="D1973" s="30"/>
      <c r="E1973" s="30"/>
      <c r="F1973" s="30"/>
      <c r="G1973" s="30"/>
      <c r="H1973" s="30"/>
      <c r="I1973" s="30"/>
      <c r="J1973" s="30"/>
      <c r="K1973" s="30"/>
      <c r="L1973" s="30"/>
      <c r="M1973" s="30"/>
      <c r="N1973" s="30"/>
      <c r="O1973" s="30"/>
      <c r="P1973" s="30"/>
      <c r="Q1973" s="30"/>
      <c r="R1973" s="30"/>
      <c r="S1973" s="30"/>
      <c r="T1973" s="30"/>
      <c r="U1973" s="30"/>
      <c r="V1973" s="30"/>
      <c r="W1973" s="30"/>
      <c r="X1973" s="30"/>
      <c r="Y1973" s="30"/>
      <c r="Z1973" s="30"/>
    </row>
    <row r="1974">
      <c r="A1974" s="29"/>
      <c r="B1974" s="29"/>
      <c r="C1974" s="30"/>
      <c r="D1974" s="30"/>
      <c r="E1974" s="30"/>
      <c r="F1974" s="30"/>
      <c r="G1974" s="30"/>
      <c r="H1974" s="30"/>
      <c r="I1974" s="30"/>
      <c r="J1974" s="30"/>
      <c r="K1974" s="30"/>
      <c r="L1974" s="30"/>
      <c r="M1974" s="30"/>
      <c r="N1974" s="30"/>
      <c r="O1974" s="30"/>
      <c r="P1974" s="30"/>
      <c r="Q1974" s="30"/>
      <c r="R1974" s="30"/>
      <c r="S1974" s="30"/>
      <c r="T1974" s="30"/>
      <c r="U1974" s="30"/>
      <c r="V1974" s="30"/>
      <c r="W1974" s="30"/>
      <c r="X1974" s="30"/>
      <c r="Y1974" s="30"/>
      <c r="Z1974" s="30"/>
    </row>
    <row r="1975">
      <c r="A1975" s="29"/>
      <c r="B1975" s="29"/>
      <c r="C1975" s="30"/>
      <c r="D1975" s="30"/>
      <c r="E1975" s="30"/>
      <c r="F1975" s="30"/>
      <c r="G1975" s="30"/>
      <c r="H1975" s="30"/>
      <c r="I1975" s="30"/>
      <c r="J1975" s="30"/>
      <c r="K1975" s="30"/>
      <c r="L1975" s="30"/>
      <c r="M1975" s="30"/>
      <c r="N1975" s="30"/>
      <c r="O1975" s="30"/>
      <c r="P1975" s="30"/>
      <c r="Q1975" s="30"/>
      <c r="R1975" s="30"/>
      <c r="S1975" s="30"/>
      <c r="T1975" s="30"/>
      <c r="U1975" s="30"/>
      <c r="V1975" s="30"/>
      <c r="W1975" s="30"/>
      <c r="X1975" s="30"/>
      <c r="Y1975" s="30"/>
      <c r="Z1975" s="30"/>
    </row>
    <row r="1976">
      <c r="A1976" s="29"/>
      <c r="B1976" s="29"/>
      <c r="C1976" s="30"/>
      <c r="D1976" s="30"/>
      <c r="E1976" s="30"/>
      <c r="F1976" s="30"/>
      <c r="G1976" s="30"/>
      <c r="H1976" s="30"/>
      <c r="I1976" s="30"/>
      <c r="J1976" s="30"/>
      <c r="K1976" s="30"/>
      <c r="L1976" s="30"/>
      <c r="M1976" s="30"/>
      <c r="N1976" s="30"/>
      <c r="O1976" s="30"/>
      <c r="P1976" s="30"/>
      <c r="Q1976" s="30"/>
      <c r="R1976" s="30"/>
      <c r="S1976" s="30"/>
      <c r="T1976" s="30"/>
      <c r="U1976" s="30"/>
      <c r="V1976" s="30"/>
      <c r="W1976" s="30"/>
      <c r="X1976" s="30"/>
      <c r="Y1976" s="30"/>
      <c r="Z1976" s="30"/>
    </row>
    <row r="1977">
      <c r="A1977" s="29"/>
      <c r="B1977" s="29"/>
      <c r="C1977" s="30"/>
      <c r="D1977" s="30"/>
      <c r="E1977" s="30"/>
      <c r="F1977" s="30"/>
      <c r="G1977" s="30"/>
      <c r="H1977" s="30"/>
      <c r="I1977" s="30"/>
      <c r="J1977" s="30"/>
      <c r="K1977" s="30"/>
      <c r="L1977" s="30"/>
      <c r="M1977" s="30"/>
      <c r="N1977" s="30"/>
      <c r="O1977" s="30"/>
      <c r="P1977" s="30"/>
      <c r="Q1977" s="30"/>
      <c r="R1977" s="30"/>
      <c r="S1977" s="30"/>
      <c r="T1977" s="30"/>
      <c r="U1977" s="30"/>
      <c r="V1977" s="30"/>
      <c r="W1977" s="30"/>
      <c r="X1977" s="30"/>
      <c r="Y1977" s="30"/>
      <c r="Z1977" s="30"/>
    </row>
    <row r="1978">
      <c r="A1978" s="29"/>
      <c r="B1978" s="29"/>
      <c r="C1978" s="30"/>
      <c r="D1978" s="30"/>
      <c r="E1978" s="30"/>
      <c r="F1978" s="30"/>
      <c r="G1978" s="30"/>
      <c r="H1978" s="30"/>
      <c r="I1978" s="30"/>
      <c r="J1978" s="30"/>
      <c r="K1978" s="30"/>
      <c r="L1978" s="30"/>
      <c r="M1978" s="30"/>
      <c r="N1978" s="30"/>
      <c r="O1978" s="30"/>
      <c r="P1978" s="30"/>
      <c r="Q1978" s="30"/>
      <c r="R1978" s="30"/>
      <c r="S1978" s="30"/>
      <c r="T1978" s="30"/>
      <c r="U1978" s="30"/>
      <c r="V1978" s="30"/>
      <c r="W1978" s="30"/>
      <c r="X1978" s="30"/>
      <c r="Y1978" s="30"/>
      <c r="Z1978" s="30"/>
    </row>
    <row r="1979">
      <c r="A1979" s="29"/>
      <c r="B1979" s="29"/>
      <c r="C1979" s="30"/>
      <c r="D1979" s="30"/>
      <c r="E1979" s="30"/>
      <c r="F1979" s="30"/>
      <c r="G1979" s="30"/>
      <c r="H1979" s="30"/>
      <c r="I1979" s="30"/>
      <c r="J1979" s="30"/>
      <c r="K1979" s="30"/>
      <c r="L1979" s="30"/>
      <c r="M1979" s="30"/>
      <c r="N1979" s="30"/>
      <c r="O1979" s="30"/>
      <c r="P1979" s="30"/>
      <c r="Q1979" s="30"/>
      <c r="R1979" s="30"/>
      <c r="S1979" s="30"/>
      <c r="T1979" s="30"/>
      <c r="U1979" s="30"/>
      <c r="V1979" s="30"/>
      <c r="W1979" s="30"/>
      <c r="X1979" s="30"/>
      <c r="Y1979" s="30"/>
      <c r="Z1979" s="30"/>
    </row>
    <row r="1980">
      <c r="A1980" s="29"/>
      <c r="B1980" s="29"/>
      <c r="C1980" s="30"/>
      <c r="D1980" s="30"/>
      <c r="E1980" s="30"/>
      <c r="F1980" s="30"/>
      <c r="G1980" s="30"/>
      <c r="H1980" s="30"/>
      <c r="I1980" s="30"/>
      <c r="J1980" s="30"/>
      <c r="K1980" s="30"/>
      <c r="L1980" s="30"/>
      <c r="M1980" s="30"/>
      <c r="N1980" s="30"/>
      <c r="O1980" s="30"/>
      <c r="P1980" s="30"/>
      <c r="Q1980" s="30"/>
      <c r="R1980" s="30"/>
      <c r="S1980" s="30"/>
      <c r="T1980" s="30"/>
      <c r="U1980" s="30"/>
      <c r="V1980" s="30"/>
      <c r="W1980" s="30"/>
      <c r="X1980" s="30"/>
      <c r="Y1980" s="30"/>
      <c r="Z1980" s="30"/>
    </row>
    <row r="1981">
      <c r="A1981" s="29"/>
      <c r="B1981" s="29"/>
      <c r="C1981" s="30"/>
      <c r="D1981" s="30"/>
      <c r="E1981" s="30"/>
      <c r="F1981" s="30"/>
      <c r="G1981" s="30"/>
      <c r="H1981" s="30"/>
      <c r="I1981" s="30"/>
      <c r="J1981" s="30"/>
      <c r="K1981" s="30"/>
      <c r="L1981" s="30"/>
      <c r="M1981" s="30"/>
      <c r="N1981" s="30"/>
      <c r="O1981" s="30"/>
      <c r="P1981" s="30"/>
      <c r="Q1981" s="30"/>
      <c r="R1981" s="30"/>
      <c r="S1981" s="30"/>
      <c r="T1981" s="30"/>
      <c r="U1981" s="30"/>
      <c r="V1981" s="30"/>
      <c r="W1981" s="30"/>
      <c r="X1981" s="30"/>
      <c r="Y1981" s="30"/>
      <c r="Z1981" s="30"/>
    </row>
    <row r="1982">
      <c r="A1982" s="29"/>
      <c r="B1982" s="29"/>
      <c r="C1982" s="30"/>
      <c r="D1982" s="30"/>
      <c r="E1982" s="30"/>
      <c r="F1982" s="30"/>
      <c r="G1982" s="30"/>
      <c r="H1982" s="30"/>
      <c r="I1982" s="30"/>
      <c r="J1982" s="30"/>
      <c r="K1982" s="30"/>
      <c r="L1982" s="30"/>
      <c r="M1982" s="30"/>
      <c r="N1982" s="30"/>
      <c r="O1982" s="30"/>
      <c r="P1982" s="30"/>
      <c r="Q1982" s="30"/>
      <c r="R1982" s="30"/>
      <c r="S1982" s="30"/>
      <c r="T1982" s="30"/>
      <c r="U1982" s="30"/>
      <c r="V1982" s="30"/>
      <c r="W1982" s="30"/>
      <c r="X1982" s="30"/>
      <c r="Y1982" s="30"/>
      <c r="Z1982" s="30"/>
    </row>
    <row r="1983">
      <c r="A1983" s="29"/>
      <c r="B1983" s="29"/>
      <c r="C1983" s="30"/>
      <c r="D1983" s="30"/>
      <c r="E1983" s="30"/>
      <c r="F1983" s="30"/>
      <c r="G1983" s="30"/>
      <c r="H1983" s="30"/>
      <c r="I1983" s="30"/>
      <c r="J1983" s="30"/>
      <c r="K1983" s="30"/>
      <c r="L1983" s="30"/>
      <c r="M1983" s="30"/>
      <c r="N1983" s="30"/>
      <c r="O1983" s="30"/>
      <c r="P1983" s="30"/>
      <c r="Q1983" s="30"/>
      <c r="R1983" s="30"/>
      <c r="S1983" s="30"/>
      <c r="T1983" s="30"/>
      <c r="U1983" s="30"/>
      <c r="V1983" s="30"/>
      <c r="W1983" s="30"/>
      <c r="X1983" s="30"/>
      <c r="Y1983" s="30"/>
      <c r="Z1983" s="30"/>
    </row>
    <row r="1984">
      <c r="A1984" s="29"/>
      <c r="B1984" s="29"/>
      <c r="C1984" s="30"/>
      <c r="D1984" s="30"/>
      <c r="E1984" s="30"/>
      <c r="F1984" s="30"/>
      <c r="G1984" s="30"/>
      <c r="H1984" s="30"/>
      <c r="I1984" s="30"/>
      <c r="J1984" s="30"/>
      <c r="K1984" s="30"/>
      <c r="L1984" s="30"/>
      <c r="M1984" s="30"/>
      <c r="N1984" s="30"/>
      <c r="O1984" s="30"/>
      <c r="P1984" s="30"/>
      <c r="Q1984" s="30"/>
      <c r="R1984" s="30"/>
      <c r="S1984" s="30"/>
      <c r="T1984" s="30"/>
      <c r="U1984" s="30"/>
      <c r="V1984" s="30"/>
      <c r="W1984" s="30"/>
      <c r="X1984" s="30"/>
      <c r="Y1984" s="30"/>
      <c r="Z1984" s="30"/>
    </row>
    <row r="1985">
      <c r="A1985" s="29"/>
      <c r="B1985" s="29"/>
      <c r="C1985" s="30"/>
      <c r="D1985" s="30"/>
      <c r="E1985" s="30"/>
      <c r="F1985" s="30"/>
      <c r="G1985" s="30"/>
      <c r="H1985" s="30"/>
      <c r="I1985" s="30"/>
      <c r="J1985" s="30"/>
      <c r="K1985" s="30"/>
      <c r="L1985" s="30"/>
      <c r="M1985" s="30"/>
      <c r="N1985" s="30"/>
      <c r="O1985" s="30"/>
      <c r="P1985" s="30"/>
      <c r="Q1985" s="30"/>
      <c r="R1985" s="30"/>
      <c r="S1985" s="30"/>
      <c r="T1985" s="30"/>
      <c r="U1985" s="30"/>
      <c r="V1985" s="30"/>
      <c r="W1985" s="30"/>
      <c r="X1985" s="30"/>
      <c r="Y1985" s="30"/>
      <c r="Z1985" s="30"/>
    </row>
    <row r="1986">
      <c r="A1986" s="29"/>
      <c r="B1986" s="29"/>
      <c r="C1986" s="30"/>
      <c r="D1986" s="30"/>
      <c r="E1986" s="30"/>
      <c r="F1986" s="30"/>
      <c r="G1986" s="30"/>
      <c r="H1986" s="30"/>
      <c r="I1986" s="30"/>
      <c r="J1986" s="30"/>
      <c r="K1986" s="30"/>
      <c r="L1986" s="30"/>
      <c r="M1986" s="30"/>
      <c r="N1986" s="30"/>
      <c r="O1986" s="30"/>
      <c r="P1986" s="30"/>
      <c r="Q1986" s="30"/>
      <c r="R1986" s="30"/>
      <c r="S1986" s="30"/>
      <c r="T1986" s="30"/>
      <c r="U1986" s="30"/>
      <c r="V1986" s="30"/>
      <c r="W1986" s="30"/>
      <c r="X1986" s="30"/>
      <c r="Y1986" s="30"/>
      <c r="Z1986" s="30"/>
    </row>
    <row r="1987">
      <c r="A1987" s="29"/>
      <c r="B1987" s="29"/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0"/>
      <c r="N1987" s="30"/>
      <c r="O1987" s="30"/>
      <c r="P1987" s="30"/>
      <c r="Q1987" s="30"/>
      <c r="R1987" s="30"/>
      <c r="S1987" s="30"/>
      <c r="T1987" s="30"/>
      <c r="U1987" s="30"/>
      <c r="V1987" s="30"/>
      <c r="W1987" s="30"/>
      <c r="X1987" s="30"/>
      <c r="Y1987" s="30"/>
      <c r="Z1987" s="30"/>
    </row>
    <row r="1988">
      <c r="A1988" s="29"/>
      <c r="B1988" s="29"/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30"/>
      <c r="N1988" s="30"/>
      <c r="O1988" s="30"/>
      <c r="P1988" s="30"/>
      <c r="Q1988" s="30"/>
      <c r="R1988" s="30"/>
      <c r="S1988" s="30"/>
      <c r="T1988" s="30"/>
      <c r="U1988" s="30"/>
      <c r="V1988" s="30"/>
      <c r="W1988" s="30"/>
      <c r="X1988" s="30"/>
      <c r="Y1988" s="30"/>
      <c r="Z1988" s="30"/>
    </row>
    <row r="1989">
      <c r="A1989" s="29"/>
      <c r="B1989" s="29"/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0"/>
      <c r="N1989" s="30"/>
      <c r="O1989" s="30"/>
      <c r="P1989" s="30"/>
      <c r="Q1989" s="30"/>
      <c r="R1989" s="30"/>
      <c r="S1989" s="30"/>
      <c r="T1989" s="30"/>
      <c r="U1989" s="30"/>
      <c r="V1989" s="30"/>
      <c r="W1989" s="30"/>
      <c r="X1989" s="30"/>
      <c r="Y1989" s="30"/>
      <c r="Z1989" s="30"/>
    </row>
    <row r="1990">
      <c r="A1990" s="29"/>
      <c r="B1990" s="29"/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0"/>
      <c r="N1990" s="30"/>
      <c r="O1990" s="30"/>
      <c r="P1990" s="30"/>
      <c r="Q1990" s="30"/>
      <c r="R1990" s="30"/>
      <c r="S1990" s="30"/>
      <c r="T1990" s="30"/>
      <c r="U1990" s="30"/>
      <c r="V1990" s="30"/>
      <c r="W1990" s="30"/>
      <c r="X1990" s="30"/>
      <c r="Y1990" s="30"/>
      <c r="Z1990" s="30"/>
    </row>
    <row r="1991">
      <c r="A1991" s="29"/>
      <c r="B1991" s="29"/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30"/>
      <c r="N1991" s="30"/>
      <c r="O1991" s="30"/>
      <c r="P1991" s="30"/>
      <c r="Q1991" s="30"/>
      <c r="R1991" s="30"/>
      <c r="S1991" s="30"/>
      <c r="T1991" s="30"/>
      <c r="U1991" s="30"/>
      <c r="V1991" s="30"/>
      <c r="W1991" s="30"/>
      <c r="X1991" s="30"/>
      <c r="Y1991" s="30"/>
      <c r="Z1991" s="30"/>
    </row>
    <row r="1992">
      <c r="A1992" s="29"/>
      <c r="B1992" s="29"/>
      <c r="C1992" s="30"/>
      <c r="D1992" s="30"/>
      <c r="E1992" s="30"/>
      <c r="F1992" s="30"/>
      <c r="G1992" s="30"/>
      <c r="H1992" s="30"/>
      <c r="I1992" s="30"/>
      <c r="J1992" s="30"/>
      <c r="K1992" s="30"/>
      <c r="L1992" s="30"/>
      <c r="M1992" s="30"/>
      <c r="N1992" s="30"/>
      <c r="O1992" s="30"/>
      <c r="P1992" s="30"/>
      <c r="Q1992" s="30"/>
      <c r="R1992" s="30"/>
      <c r="S1992" s="30"/>
      <c r="T1992" s="30"/>
      <c r="U1992" s="30"/>
      <c r="V1992" s="30"/>
      <c r="W1992" s="30"/>
      <c r="X1992" s="30"/>
      <c r="Y1992" s="30"/>
      <c r="Z1992" s="30"/>
    </row>
    <row r="1993">
      <c r="A1993" s="29"/>
      <c r="B1993" s="29"/>
      <c r="C1993" s="30"/>
      <c r="D1993" s="30"/>
      <c r="E1993" s="30"/>
      <c r="F1993" s="30"/>
      <c r="G1993" s="30"/>
      <c r="H1993" s="30"/>
      <c r="I1993" s="30"/>
      <c r="J1993" s="30"/>
      <c r="K1993" s="30"/>
      <c r="L1993" s="30"/>
      <c r="M1993" s="30"/>
      <c r="N1993" s="30"/>
      <c r="O1993" s="30"/>
      <c r="P1993" s="30"/>
      <c r="Q1993" s="30"/>
      <c r="R1993" s="30"/>
      <c r="S1993" s="30"/>
      <c r="T1993" s="30"/>
      <c r="U1993" s="30"/>
      <c r="V1993" s="30"/>
      <c r="W1993" s="30"/>
      <c r="X1993" s="30"/>
      <c r="Y1993" s="30"/>
      <c r="Z1993" s="30"/>
    </row>
    <row r="1994">
      <c r="A1994" s="29"/>
      <c r="B1994" s="29"/>
      <c r="C1994" s="30"/>
      <c r="D1994" s="30"/>
      <c r="E1994" s="30"/>
      <c r="F1994" s="30"/>
      <c r="G1994" s="30"/>
      <c r="H1994" s="30"/>
      <c r="I1994" s="30"/>
      <c r="J1994" s="30"/>
      <c r="K1994" s="30"/>
      <c r="L1994" s="30"/>
      <c r="M1994" s="30"/>
      <c r="N1994" s="30"/>
      <c r="O1994" s="30"/>
      <c r="P1994" s="30"/>
      <c r="Q1994" s="30"/>
      <c r="R1994" s="30"/>
      <c r="S1994" s="30"/>
      <c r="T1994" s="30"/>
      <c r="U1994" s="30"/>
      <c r="V1994" s="30"/>
      <c r="W1994" s="30"/>
      <c r="X1994" s="30"/>
      <c r="Y1994" s="30"/>
      <c r="Z1994" s="30"/>
    </row>
    <row r="1995">
      <c r="A1995" s="29"/>
      <c r="B1995" s="29"/>
      <c r="C1995" s="30"/>
      <c r="D1995" s="30"/>
      <c r="E1995" s="30"/>
      <c r="F1995" s="30"/>
      <c r="G1995" s="30"/>
      <c r="H1995" s="30"/>
      <c r="I1995" s="30"/>
      <c r="J1995" s="30"/>
      <c r="K1995" s="30"/>
      <c r="L1995" s="30"/>
      <c r="M1995" s="30"/>
      <c r="N1995" s="30"/>
      <c r="O1995" s="30"/>
      <c r="P1995" s="30"/>
      <c r="Q1995" s="30"/>
      <c r="R1995" s="30"/>
      <c r="S1995" s="30"/>
      <c r="T1995" s="30"/>
      <c r="U1995" s="30"/>
      <c r="V1995" s="30"/>
      <c r="W1995" s="30"/>
      <c r="X1995" s="30"/>
      <c r="Y1995" s="30"/>
      <c r="Z1995" s="30"/>
    </row>
    <row r="1996">
      <c r="A1996" s="29"/>
      <c r="B1996" s="29"/>
      <c r="C1996" s="30"/>
      <c r="D1996" s="30"/>
      <c r="E1996" s="30"/>
      <c r="F1996" s="30"/>
      <c r="G1996" s="30"/>
      <c r="H1996" s="30"/>
      <c r="I1996" s="30"/>
      <c r="J1996" s="30"/>
      <c r="K1996" s="30"/>
      <c r="L1996" s="30"/>
      <c r="M1996" s="30"/>
      <c r="N1996" s="30"/>
      <c r="O1996" s="30"/>
      <c r="P1996" s="30"/>
      <c r="Q1996" s="30"/>
      <c r="R1996" s="30"/>
      <c r="S1996" s="30"/>
      <c r="T1996" s="30"/>
      <c r="U1996" s="30"/>
      <c r="V1996" s="30"/>
      <c r="W1996" s="30"/>
      <c r="X1996" s="30"/>
      <c r="Y1996" s="30"/>
      <c r="Z1996" s="30"/>
    </row>
    <row r="1997">
      <c r="A1997" s="29"/>
      <c r="B1997" s="29"/>
      <c r="C1997" s="30"/>
      <c r="D1997" s="30"/>
      <c r="E1997" s="30"/>
      <c r="F1997" s="30"/>
      <c r="G1997" s="30"/>
      <c r="H1997" s="30"/>
      <c r="I1997" s="30"/>
      <c r="J1997" s="30"/>
      <c r="K1997" s="30"/>
      <c r="L1997" s="30"/>
      <c r="M1997" s="30"/>
      <c r="N1997" s="30"/>
      <c r="O1997" s="30"/>
      <c r="P1997" s="30"/>
      <c r="Q1997" s="30"/>
      <c r="R1997" s="30"/>
      <c r="S1997" s="30"/>
      <c r="T1997" s="30"/>
      <c r="U1997" s="30"/>
      <c r="V1997" s="30"/>
      <c r="W1997" s="30"/>
      <c r="X1997" s="30"/>
      <c r="Y1997" s="30"/>
      <c r="Z1997" s="30"/>
    </row>
    <row r="1998">
      <c r="A1998" s="29"/>
      <c r="B1998" s="29"/>
      <c r="C1998" s="30"/>
      <c r="D1998" s="30"/>
      <c r="E1998" s="30"/>
      <c r="F1998" s="30"/>
      <c r="G1998" s="30"/>
      <c r="H1998" s="30"/>
      <c r="I1998" s="30"/>
      <c r="J1998" s="30"/>
      <c r="K1998" s="30"/>
      <c r="L1998" s="30"/>
      <c r="M1998" s="30"/>
      <c r="N1998" s="30"/>
      <c r="O1998" s="30"/>
      <c r="P1998" s="30"/>
      <c r="Q1998" s="30"/>
      <c r="R1998" s="30"/>
      <c r="S1998" s="30"/>
      <c r="T1998" s="30"/>
      <c r="U1998" s="30"/>
      <c r="V1998" s="30"/>
      <c r="W1998" s="30"/>
      <c r="X1998" s="30"/>
      <c r="Y1998" s="30"/>
      <c r="Z1998" s="30"/>
    </row>
    <row r="1999">
      <c r="A1999" s="29"/>
      <c r="B1999" s="29"/>
      <c r="C1999" s="30"/>
      <c r="D1999" s="30"/>
      <c r="E1999" s="30"/>
      <c r="F1999" s="30"/>
      <c r="G1999" s="30"/>
      <c r="H1999" s="30"/>
      <c r="I1999" s="30"/>
      <c r="J1999" s="30"/>
      <c r="K1999" s="30"/>
      <c r="L1999" s="30"/>
      <c r="M1999" s="30"/>
      <c r="N1999" s="30"/>
      <c r="O1999" s="30"/>
      <c r="P1999" s="30"/>
      <c r="Q1999" s="30"/>
      <c r="R1999" s="30"/>
      <c r="S1999" s="30"/>
      <c r="T1999" s="30"/>
      <c r="U1999" s="30"/>
      <c r="V1999" s="30"/>
      <c r="W1999" s="30"/>
      <c r="X1999" s="30"/>
      <c r="Y1999" s="30"/>
      <c r="Z1999" s="30"/>
    </row>
    <row r="2000">
      <c r="A2000" s="29"/>
      <c r="B2000" s="29"/>
      <c r="C2000" s="30"/>
      <c r="D2000" s="30"/>
      <c r="E2000" s="30"/>
      <c r="F2000" s="30"/>
      <c r="G2000" s="30"/>
      <c r="H2000" s="30"/>
      <c r="I2000" s="30"/>
      <c r="J2000" s="30"/>
      <c r="K2000" s="30"/>
      <c r="L2000" s="30"/>
      <c r="M2000" s="30"/>
      <c r="N2000" s="30"/>
      <c r="O2000" s="30"/>
      <c r="P2000" s="30"/>
      <c r="Q2000" s="30"/>
      <c r="R2000" s="30"/>
      <c r="S2000" s="30"/>
      <c r="T2000" s="30"/>
      <c r="U2000" s="30"/>
      <c r="V2000" s="30"/>
      <c r="W2000" s="30"/>
      <c r="X2000" s="30"/>
      <c r="Y2000" s="30"/>
      <c r="Z2000" s="30"/>
    </row>
    <row r="2001">
      <c r="A2001" s="29"/>
      <c r="B2001" s="29"/>
      <c r="C2001" s="30"/>
      <c r="D2001" s="30"/>
      <c r="E2001" s="30"/>
      <c r="F2001" s="30"/>
      <c r="G2001" s="30"/>
      <c r="H2001" s="30"/>
      <c r="I2001" s="30"/>
      <c r="J2001" s="30"/>
      <c r="K2001" s="30"/>
      <c r="L2001" s="30"/>
      <c r="M2001" s="30"/>
      <c r="N2001" s="30"/>
      <c r="O2001" s="30"/>
      <c r="P2001" s="30"/>
      <c r="Q2001" s="30"/>
      <c r="R2001" s="30"/>
      <c r="S2001" s="30"/>
      <c r="T2001" s="30"/>
      <c r="U2001" s="30"/>
      <c r="V2001" s="30"/>
      <c r="W2001" s="30"/>
      <c r="X2001" s="30"/>
      <c r="Y2001" s="30"/>
      <c r="Z2001" s="30"/>
    </row>
    <row r="2002">
      <c r="A2002" s="29"/>
      <c r="B2002" s="29"/>
      <c r="C2002" s="30"/>
      <c r="D2002" s="30"/>
      <c r="E2002" s="30"/>
      <c r="F2002" s="30"/>
      <c r="G2002" s="30"/>
      <c r="H2002" s="30"/>
      <c r="I2002" s="30"/>
      <c r="J2002" s="30"/>
      <c r="K2002" s="30"/>
      <c r="L2002" s="30"/>
      <c r="M2002" s="30"/>
      <c r="N2002" s="30"/>
      <c r="O2002" s="30"/>
      <c r="P2002" s="30"/>
      <c r="Q2002" s="30"/>
      <c r="R2002" s="30"/>
      <c r="S2002" s="30"/>
      <c r="T2002" s="30"/>
      <c r="U2002" s="30"/>
      <c r="V2002" s="30"/>
      <c r="W2002" s="30"/>
      <c r="X2002" s="30"/>
      <c r="Y2002" s="30"/>
      <c r="Z2002" s="30"/>
    </row>
    <row r="2003">
      <c r="A2003" s="29"/>
      <c r="B2003" s="29"/>
      <c r="C2003" s="30"/>
      <c r="D2003" s="30"/>
      <c r="E2003" s="30"/>
      <c r="F2003" s="30"/>
      <c r="G2003" s="30"/>
      <c r="H2003" s="30"/>
      <c r="I2003" s="30"/>
      <c r="J2003" s="30"/>
      <c r="K2003" s="30"/>
      <c r="L2003" s="30"/>
      <c r="M2003" s="30"/>
      <c r="N2003" s="30"/>
      <c r="O2003" s="30"/>
      <c r="P2003" s="30"/>
      <c r="Q2003" s="30"/>
      <c r="R2003" s="30"/>
      <c r="S2003" s="30"/>
      <c r="T2003" s="30"/>
      <c r="U2003" s="30"/>
      <c r="V2003" s="30"/>
      <c r="W2003" s="30"/>
      <c r="X2003" s="30"/>
      <c r="Y2003" s="30"/>
      <c r="Z2003" s="30"/>
    </row>
    <row r="2004">
      <c r="A2004" s="29"/>
      <c r="B2004" s="29"/>
      <c r="C2004" s="30"/>
      <c r="D2004" s="30"/>
      <c r="E2004" s="30"/>
      <c r="F2004" s="30"/>
      <c r="G2004" s="30"/>
      <c r="H2004" s="30"/>
      <c r="I2004" s="30"/>
      <c r="J2004" s="30"/>
      <c r="K2004" s="30"/>
      <c r="L2004" s="30"/>
      <c r="M2004" s="30"/>
      <c r="N2004" s="30"/>
      <c r="O2004" s="30"/>
      <c r="P2004" s="30"/>
      <c r="Q2004" s="30"/>
      <c r="R2004" s="30"/>
      <c r="S2004" s="30"/>
      <c r="T2004" s="30"/>
      <c r="U2004" s="30"/>
      <c r="V2004" s="30"/>
      <c r="W2004" s="30"/>
      <c r="X2004" s="30"/>
      <c r="Y2004" s="30"/>
      <c r="Z2004" s="30"/>
    </row>
    <row r="2005">
      <c r="A2005" s="29"/>
      <c r="B2005" s="29"/>
      <c r="C2005" s="30"/>
      <c r="D2005" s="30"/>
      <c r="E2005" s="30"/>
      <c r="F2005" s="30"/>
      <c r="G2005" s="30"/>
      <c r="H2005" s="30"/>
      <c r="I2005" s="30"/>
      <c r="J2005" s="30"/>
      <c r="K2005" s="30"/>
      <c r="L2005" s="30"/>
      <c r="M2005" s="30"/>
      <c r="N2005" s="30"/>
      <c r="O2005" s="30"/>
      <c r="P2005" s="30"/>
      <c r="Q2005" s="30"/>
      <c r="R2005" s="30"/>
      <c r="S2005" s="30"/>
      <c r="T2005" s="30"/>
      <c r="U2005" s="30"/>
      <c r="V2005" s="30"/>
      <c r="W2005" s="30"/>
      <c r="X2005" s="30"/>
      <c r="Y2005" s="30"/>
      <c r="Z2005" s="30"/>
    </row>
    <row r="2006">
      <c r="A2006" s="29"/>
      <c r="B2006" s="29"/>
      <c r="C2006" s="30"/>
      <c r="D2006" s="30"/>
      <c r="E2006" s="30"/>
      <c r="F2006" s="30"/>
      <c r="G2006" s="30"/>
      <c r="H2006" s="30"/>
      <c r="I2006" s="30"/>
      <c r="J2006" s="30"/>
      <c r="K2006" s="30"/>
      <c r="L2006" s="30"/>
      <c r="M2006" s="30"/>
      <c r="N2006" s="30"/>
      <c r="O2006" s="30"/>
      <c r="P2006" s="30"/>
      <c r="Q2006" s="30"/>
      <c r="R2006" s="30"/>
      <c r="S2006" s="30"/>
      <c r="T2006" s="30"/>
      <c r="U2006" s="30"/>
      <c r="V2006" s="30"/>
      <c r="W2006" s="30"/>
      <c r="X2006" s="30"/>
      <c r="Y2006" s="30"/>
      <c r="Z2006" s="30"/>
    </row>
    <row r="2007">
      <c r="A2007" s="29"/>
      <c r="B2007" s="29"/>
      <c r="C2007" s="30"/>
      <c r="D2007" s="30"/>
      <c r="E2007" s="30"/>
      <c r="F2007" s="30"/>
      <c r="G2007" s="30"/>
      <c r="H2007" s="30"/>
      <c r="I2007" s="30"/>
      <c r="J2007" s="30"/>
      <c r="K2007" s="30"/>
      <c r="L2007" s="30"/>
      <c r="M2007" s="30"/>
      <c r="N2007" s="30"/>
      <c r="O2007" s="30"/>
      <c r="P2007" s="30"/>
      <c r="Q2007" s="30"/>
      <c r="R2007" s="30"/>
      <c r="S2007" s="30"/>
      <c r="T2007" s="30"/>
      <c r="U2007" s="30"/>
      <c r="V2007" s="30"/>
      <c r="W2007" s="30"/>
      <c r="X2007" s="30"/>
      <c r="Y2007" s="30"/>
      <c r="Z2007" s="30"/>
    </row>
    <row r="2008">
      <c r="A2008" s="29"/>
      <c r="B2008" s="29"/>
      <c r="C2008" s="30"/>
      <c r="D2008" s="30"/>
      <c r="E2008" s="30"/>
      <c r="F2008" s="30"/>
      <c r="G2008" s="30"/>
      <c r="H2008" s="30"/>
      <c r="I2008" s="30"/>
      <c r="J2008" s="30"/>
      <c r="K2008" s="30"/>
      <c r="L2008" s="30"/>
      <c r="M2008" s="30"/>
      <c r="N2008" s="30"/>
      <c r="O2008" s="30"/>
      <c r="P2008" s="30"/>
      <c r="Q2008" s="30"/>
      <c r="R2008" s="30"/>
      <c r="S2008" s="30"/>
      <c r="T2008" s="30"/>
      <c r="U2008" s="30"/>
      <c r="V2008" s="30"/>
      <c r="W2008" s="30"/>
      <c r="X2008" s="30"/>
      <c r="Y2008" s="30"/>
      <c r="Z2008" s="30"/>
    </row>
    <row r="2009">
      <c r="A2009" s="29"/>
      <c r="B2009" s="29"/>
      <c r="C2009" s="30"/>
      <c r="D2009" s="30"/>
      <c r="E2009" s="30"/>
      <c r="F2009" s="30"/>
      <c r="G2009" s="30"/>
      <c r="H2009" s="30"/>
      <c r="I2009" s="30"/>
      <c r="J2009" s="30"/>
      <c r="K2009" s="30"/>
      <c r="L2009" s="30"/>
      <c r="M2009" s="30"/>
      <c r="N2009" s="30"/>
      <c r="O2009" s="30"/>
      <c r="P2009" s="30"/>
      <c r="Q2009" s="30"/>
      <c r="R2009" s="30"/>
      <c r="S2009" s="30"/>
      <c r="T2009" s="30"/>
      <c r="U2009" s="30"/>
      <c r="V2009" s="30"/>
      <c r="W2009" s="30"/>
      <c r="X2009" s="30"/>
      <c r="Y2009" s="30"/>
      <c r="Z2009" s="30"/>
    </row>
    <row r="2010">
      <c r="A2010" s="29"/>
      <c r="B2010" s="29"/>
      <c r="C2010" s="30"/>
      <c r="D2010" s="30"/>
      <c r="E2010" s="30"/>
      <c r="F2010" s="30"/>
      <c r="G2010" s="30"/>
      <c r="H2010" s="30"/>
      <c r="I2010" s="30"/>
      <c r="J2010" s="30"/>
      <c r="K2010" s="30"/>
      <c r="L2010" s="30"/>
      <c r="M2010" s="30"/>
      <c r="N2010" s="30"/>
      <c r="O2010" s="30"/>
      <c r="P2010" s="30"/>
      <c r="Q2010" s="30"/>
      <c r="R2010" s="30"/>
      <c r="S2010" s="30"/>
      <c r="T2010" s="30"/>
      <c r="U2010" s="30"/>
      <c r="V2010" s="30"/>
      <c r="W2010" s="30"/>
      <c r="X2010" s="30"/>
      <c r="Y2010" s="30"/>
      <c r="Z2010" s="30"/>
    </row>
    <row r="2011">
      <c r="A2011" s="29"/>
      <c r="B2011" s="29"/>
      <c r="C2011" s="30"/>
      <c r="D2011" s="30"/>
      <c r="E2011" s="30"/>
      <c r="F2011" s="30"/>
      <c r="G2011" s="30"/>
      <c r="H2011" s="30"/>
      <c r="I2011" s="30"/>
      <c r="J2011" s="30"/>
      <c r="K2011" s="30"/>
      <c r="L2011" s="30"/>
      <c r="M2011" s="30"/>
      <c r="N2011" s="30"/>
      <c r="O2011" s="30"/>
      <c r="P2011" s="30"/>
      <c r="Q2011" s="30"/>
      <c r="R2011" s="30"/>
      <c r="S2011" s="30"/>
      <c r="T2011" s="30"/>
      <c r="U2011" s="30"/>
      <c r="V2011" s="30"/>
      <c r="W2011" s="30"/>
      <c r="X2011" s="30"/>
      <c r="Y2011" s="30"/>
      <c r="Z2011" s="30"/>
    </row>
    <row r="2012">
      <c r="A2012" s="29"/>
      <c r="B2012" s="29"/>
      <c r="C2012" s="30"/>
      <c r="D2012" s="30"/>
      <c r="E2012" s="30"/>
      <c r="F2012" s="30"/>
      <c r="G2012" s="30"/>
      <c r="H2012" s="30"/>
      <c r="I2012" s="30"/>
      <c r="J2012" s="30"/>
      <c r="K2012" s="30"/>
      <c r="L2012" s="30"/>
      <c r="M2012" s="30"/>
      <c r="N2012" s="30"/>
      <c r="O2012" s="30"/>
      <c r="P2012" s="30"/>
      <c r="Q2012" s="30"/>
      <c r="R2012" s="30"/>
      <c r="S2012" s="30"/>
      <c r="T2012" s="30"/>
      <c r="U2012" s="30"/>
      <c r="V2012" s="30"/>
      <c r="W2012" s="30"/>
      <c r="X2012" s="30"/>
      <c r="Y2012" s="30"/>
      <c r="Z2012" s="30"/>
    </row>
    <row r="2013">
      <c r="A2013" s="29"/>
      <c r="B2013" s="29"/>
      <c r="C2013" s="30"/>
      <c r="D2013" s="30"/>
      <c r="E2013" s="30"/>
      <c r="F2013" s="30"/>
      <c r="G2013" s="30"/>
      <c r="H2013" s="30"/>
      <c r="I2013" s="30"/>
      <c r="J2013" s="30"/>
      <c r="K2013" s="30"/>
      <c r="L2013" s="30"/>
      <c r="M2013" s="30"/>
      <c r="N2013" s="30"/>
      <c r="O2013" s="30"/>
      <c r="P2013" s="30"/>
      <c r="Q2013" s="30"/>
      <c r="R2013" s="30"/>
      <c r="S2013" s="30"/>
      <c r="T2013" s="30"/>
      <c r="U2013" s="30"/>
      <c r="V2013" s="30"/>
      <c r="W2013" s="30"/>
      <c r="X2013" s="30"/>
      <c r="Y2013" s="30"/>
      <c r="Z2013" s="30"/>
    </row>
    <row r="2014">
      <c r="A2014" s="29"/>
      <c r="B2014" s="29"/>
      <c r="C2014" s="30"/>
      <c r="D2014" s="30"/>
      <c r="E2014" s="30"/>
      <c r="F2014" s="30"/>
      <c r="G2014" s="30"/>
      <c r="H2014" s="30"/>
      <c r="I2014" s="30"/>
      <c r="J2014" s="30"/>
      <c r="K2014" s="30"/>
      <c r="L2014" s="30"/>
      <c r="M2014" s="30"/>
      <c r="N2014" s="30"/>
      <c r="O2014" s="30"/>
      <c r="P2014" s="30"/>
      <c r="Q2014" s="30"/>
      <c r="R2014" s="30"/>
      <c r="S2014" s="30"/>
      <c r="T2014" s="30"/>
      <c r="U2014" s="30"/>
      <c r="V2014" s="30"/>
      <c r="W2014" s="30"/>
      <c r="X2014" s="30"/>
      <c r="Y2014" s="30"/>
      <c r="Z2014" s="30"/>
    </row>
    <row r="2015">
      <c r="A2015" s="29"/>
      <c r="B2015" s="29"/>
      <c r="C2015" s="30"/>
      <c r="D2015" s="30"/>
      <c r="E2015" s="30"/>
      <c r="F2015" s="30"/>
      <c r="G2015" s="30"/>
      <c r="H2015" s="30"/>
      <c r="I2015" s="30"/>
      <c r="J2015" s="30"/>
      <c r="K2015" s="30"/>
      <c r="L2015" s="30"/>
      <c r="M2015" s="30"/>
      <c r="N2015" s="30"/>
      <c r="O2015" s="30"/>
      <c r="P2015" s="30"/>
      <c r="Q2015" s="30"/>
      <c r="R2015" s="30"/>
      <c r="S2015" s="30"/>
      <c r="T2015" s="30"/>
      <c r="U2015" s="30"/>
      <c r="V2015" s="30"/>
      <c r="W2015" s="30"/>
      <c r="X2015" s="30"/>
      <c r="Y2015" s="30"/>
      <c r="Z2015" s="30"/>
    </row>
    <row r="2016">
      <c r="A2016" s="29"/>
      <c r="B2016" s="29"/>
      <c r="C2016" s="30"/>
      <c r="D2016" s="30"/>
      <c r="E2016" s="30"/>
      <c r="F2016" s="30"/>
      <c r="G2016" s="30"/>
      <c r="H2016" s="30"/>
      <c r="I2016" s="30"/>
      <c r="J2016" s="30"/>
      <c r="K2016" s="30"/>
      <c r="L2016" s="30"/>
      <c r="M2016" s="30"/>
      <c r="N2016" s="30"/>
      <c r="O2016" s="30"/>
      <c r="P2016" s="30"/>
      <c r="Q2016" s="30"/>
      <c r="R2016" s="30"/>
      <c r="S2016" s="30"/>
      <c r="T2016" s="30"/>
      <c r="U2016" s="30"/>
      <c r="V2016" s="30"/>
      <c r="W2016" s="30"/>
      <c r="X2016" s="30"/>
      <c r="Y2016" s="30"/>
      <c r="Z2016" s="30"/>
    </row>
    <row r="2017">
      <c r="A2017" s="29"/>
      <c r="B2017" s="29"/>
      <c r="C2017" s="30"/>
      <c r="D2017" s="30"/>
      <c r="E2017" s="30"/>
      <c r="F2017" s="30"/>
      <c r="G2017" s="30"/>
      <c r="H2017" s="30"/>
      <c r="I2017" s="30"/>
      <c r="J2017" s="30"/>
      <c r="K2017" s="30"/>
      <c r="L2017" s="30"/>
      <c r="M2017" s="30"/>
      <c r="N2017" s="30"/>
      <c r="O2017" s="30"/>
      <c r="P2017" s="30"/>
      <c r="Q2017" s="30"/>
      <c r="R2017" s="30"/>
      <c r="S2017" s="30"/>
      <c r="T2017" s="30"/>
      <c r="U2017" s="30"/>
      <c r="V2017" s="30"/>
      <c r="W2017" s="30"/>
      <c r="X2017" s="30"/>
      <c r="Y2017" s="30"/>
      <c r="Z2017" s="30"/>
    </row>
    <row r="2018">
      <c r="A2018" s="29"/>
      <c r="B2018" s="29"/>
      <c r="C2018" s="30"/>
      <c r="D2018" s="30"/>
      <c r="E2018" s="30"/>
      <c r="F2018" s="30"/>
      <c r="G2018" s="30"/>
      <c r="H2018" s="30"/>
      <c r="I2018" s="30"/>
      <c r="J2018" s="30"/>
      <c r="K2018" s="30"/>
      <c r="L2018" s="30"/>
      <c r="M2018" s="30"/>
      <c r="N2018" s="30"/>
      <c r="O2018" s="30"/>
      <c r="P2018" s="30"/>
      <c r="Q2018" s="30"/>
      <c r="R2018" s="30"/>
      <c r="S2018" s="30"/>
      <c r="T2018" s="30"/>
      <c r="U2018" s="30"/>
      <c r="V2018" s="30"/>
      <c r="W2018" s="30"/>
      <c r="X2018" s="30"/>
      <c r="Y2018" s="30"/>
      <c r="Z2018" s="30"/>
    </row>
    <row r="2019">
      <c r="A2019" s="29"/>
      <c r="B2019" s="29"/>
      <c r="C2019" s="30"/>
      <c r="D2019" s="30"/>
      <c r="E2019" s="30"/>
      <c r="F2019" s="30"/>
      <c r="G2019" s="30"/>
      <c r="H2019" s="30"/>
      <c r="I2019" s="30"/>
      <c r="J2019" s="30"/>
      <c r="K2019" s="30"/>
      <c r="L2019" s="30"/>
      <c r="M2019" s="30"/>
      <c r="N2019" s="30"/>
      <c r="O2019" s="30"/>
      <c r="P2019" s="30"/>
      <c r="Q2019" s="30"/>
      <c r="R2019" s="30"/>
      <c r="S2019" s="30"/>
      <c r="T2019" s="30"/>
      <c r="U2019" s="30"/>
      <c r="V2019" s="30"/>
      <c r="W2019" s="30"/>
      <c r="X2019" s="30"/>
      <c r="Y2019" s="30"/>
      <c r="Z2019" s="30"/>
    </row>
    <row r="2020">
      <c r="A2020" s="29"/>
      <c r="B2020" s="29"/>
      <c r="C2020" s="30"/>
      <c r="D2020" s="30"/>
      <c r="E2020" s="30"/>
      <c r="F2020" s="30"/>
      <c r="G2020" s="30"/>
      <c r="H2020" s="30"/>
      <c r="I2020" s="30"/>
      <c r="J2020" s="30"/>
      <c r="K2020" s="30"/>
      <c r="L2020" s="30"/>
      <c r="M2020" s="30"/>
      <c r="N2020" s="30"/>
      <c r="O2020" s="30"/>
      <c r="P2020" s="30"/>
      <c r="Q2020" s="30"/>
      <c r="R2020" s="30"/>
      <c r="S2020" s="30"/>
      <c r="T2020" s="30"/>
      <c r="U2020" s="30"/>
      <c r="V2020" s="30"/>
      <c r="W2020" s="30"/>
      <c r="X2020" s="30"/>
      <c r="Y2020" s="30"/>
      <c r="Z2020" s="30"/>
    </row>
    <row r="2021">
      <c r="A2021" s="29"/>
      <c r="B2021" s="29"/>
      <c r="C2021" s="30"/>
      <c r="D2021" s="30"/>
      <c r="E2021" s="30"/>
      <c r="F2021" s="30"/>
      <c r="G2021" s="30"/>
      <c r="H2021" s="30"/>
      <c r="I2021" s="30"/>
      <c r="J2021" s="30"/>
      <c r="K2021" s="30"/>
      <c r="L2021" s="30"/>
      <c r="M2021" s="30"/>
      <c r="N2021" s="30"/>
      <c r="O2021" s="30"/>
      <c r="P2021" s="30"/>
      <c r="Q2021" s="30"/>
      <c r="R2021" s="30"/>
      <c r="S2021" s="30"/>
      <c r="T2021" s="30"/>
      <c r="U2021" s="30"/>
      <c r="V2021" s="30"/>
      <c r="W2021" s="30"/>
      <c r="X2021" s="30"/>
      <c r="Y2021" s="30"/>
      <c r="Z2021" s="30"/>
    </row>
    <row r="2022">
      <c r="A2022" s="29"/>
      <c r="B2022" s="29"/>
      <c r="C2022" s="30"/>
      <c r="D2022" s="30"/>
      <c r="E2022" s="30"/>
      <c r="F2022" s="30"/>
      <c r="G2022" s="30"/>
      <c r="H2022" s="30"/>
      <c r="I2022" s="30"/>
      <c r="J2022" s="30"/>
      <c r="K2022" s="30"/>
      <c r="L2022" s="30"/>
      <c r="M2022" s="30"/>
      <c r="N2022" s="30"/>
      <c r="O2022" s="30"/>
      <c r="P2022" s="30"/>
      <c r="Q2022" s="30"/>
      <c r="R2022" s="30"/>
      <c r="S2022" s="30"/>
      <c r="T2022" s="30"/>
      <c r="U2022" s="30"/>
      <c r="V2022" s="30"/>
      <c r="W2022" s="30"/>
      <c r="X2022" s="30"/>
      <c r="Y2022" s="30"/>
      <c r="Z2022" s="30"/>
    </row>
    <row r="2023">
      <c r="A2023" s="29"/>
      <c r="B2023" s="29"/>
      <c r="C2023" s="30"/>
      <c r="D2023" s="30"/>
      <c r="E2023" s="30"/>
      <c r="F2023" s="30"/>
      <c r="G2023" s="30"/>
      <c r="H2023" s="30"/>
      <c r="I2023" s="30"/>
      <c r="J2023" s="30"/>
      <c r="K2023" s="30"/>
      <c r="L2023" s="30"/>
      <c r="M2023" s="30"/>
      <c r="N2023" s="30"/>
      <c r="O2023" s="30"/>
      <c r="P2023" s="30"/>
      <c r="Q2023" s="30"/>
      <c r="R2023" s="30"/>
      <c r="S2023" s="30"/>
      <c r="T2023" s="30"/>
      <c r="U2023" s="30"/>
      <c r="V2023" s="30"/>
      <c r="W2023" s="30"/>
      <c r="X2023" s="30"/>
      <c r="Y2023" s="30"/>
      <c r="Z2023" s="30"/>
    </row>
    <row r="2024">
      <c r="A2024" s="29"/>
      <c r="B2024" s="29"/>
      <c r="C2024" s="30"/>
      <c r="D2024" s="30"/>
      <c r="E2024" s="30"/>
      <c r="F2024" s="30"/>
      <c r="G2024" s="30"/>
      <c r="H2024" s="30"/>
      <c r="I2024" s="30"/>
      <c r="J2024" s="30"/>
      <c r="K2024" s="30"/>
      <c r="L2024" s="30"/>
      <c r="M2024" s="30"/>
      <c r="N2024" s="30"/>
      <c r="O2024" s="30"/>
      <c r="P2024" s="30"/>
      <c r="Q2024" s="30"/>
      <c r="R2024" s="30"/>
      <c r="S2024" s="30"/>
      <c r="T2024" s="30"/>
      <c r="U2024" s="30"/>
      <c r="V2024" s="30"/>
      <c r="W2024" s="30"/>
      <c r="X2024" s="30"/>
      <c r="Y2024" s="30"/>
      <c r="Z2024" s="30"/>
    </row>
    <row r="2025">
      <c r="A2025" s="29"/>
      <c r="B2025" s="29"/>
      <c r="C2025" s="30"/>
      <c r="D2025" s="30"/>
      <c r="E2025" s="30"/>
      <c r="F2025" s="30"/>
      <c r="G2025" s="30"/>
      <c r="H2025" s="30"/>
      <c r="I2025" s="30"/>
      <c r="J2025" s="30"/>
      <c r="K2025" s="30"/>
      <c r="L2025" s="30"/>
      <c r="M2025" s="30"/>
      <c r="N2025" s="30"/>
      <c r="O2025" s="30"/>
      <c r="P2025" s="30"/>
      <c r="Q2025" s="30"/>
      <c r="R2025" s="30"/>
      <c r="S2025" s="30"/>
      <c r="T2025" s="30"/>
      <c r="U2025" s="30"/>
      <c r="V2025" s="30"/>
      <c r="W2025" s="30"/>
      <c r="X2025" s="30"/>
      <c r="Y2025" s="30"/>
      <c r="Z2025" s="30"/>
    </row>
    <row r="2026">
      <c r="A2026" s="29"/>
      <c r="B2026" s="29"/>
      <c r="C2026" s="30"/>
      <c r="D2026" s="30"/>
      <c r="E2026" s="30"/>
      <c r="F2026" s="30"/>
      <c r="G2026" s="30"/>
      <c r="H2026" s="30"/>
      <c r="I2026" s="30"/>
      <c r="J2026" s="30"/>
      <c r="K2026" s="30"/>
      <c r="L2026" s="30"/>
      <c r="M2026" s="30"/>
      <c r="N2026" s="30"/>
      <c r="O2026" s="30"/>
      <c r="P2026" s="30"/>
      <c r="Q2026" s="30"/>
      <c r="R2026" s="30"/>
      <c r="S2026" s="30"/>
      <c r="T2026" s="30"/>
      <c r="U2026" s="30"/>
      <c r="V2026" s="30"/>
      <c r="W2026" s="30"/>
      <c r="X2026" s="30"/>
      <c r="Y2026" s="30"/>
      <c r="Z2026" s="30"/>
    </row>
    <row r="2027">
      <c r="A2027" s="29"/>
      <c r="B2027" s="29"/>
      <c r="C2027" s="30"/>
      <c r="D2027" s="30"/>
      <c r="E2027" s="30"/>
      <c r="F2027" s="30"/>
      <c r="G2027" s="30"/>
      <c r="H2027" s="30"/>
      <c r="I2027" s="30"/>
      <c r="J2027" s="30"/>
      <c r="K2027" s="30"/>
      <c r="L2027" s="30"/>
      <c r="M2027" s="30"/>
      <c r="N2027" s="30"/>
      <c r="O2027" s="30"/>
      <c r="P2027" s="30"/>
      <c r="Q2027" s="30"/>
      <c r="R2027" s="30"/>
      <c r="S2027" s="30"/>
      <c r="T2027" s="30"/>
      <c r="U2027" s="30"/>
      <c r="V2027" s="30"/>
      <c r="W2027" s="30"/>
      <c r="X2027" s="30"/>
      <c r="Y2027" s="30"/>
      <c r="Z2027" s="30"/>
    </row>
    <row r="2028">
      <c r="A2028" s="29"/>
      <c r="B2028" s="29"/>
      <c r="C2028" s="30"/>
      <c r="D2028" s="30"/>
      <c r="E2028" s="30"/>
      <c r="F2028" s="30"/>
      <c r="G2028" s="30"/>
      <c r="H2028" s="30"/>
      <c r="I2028" s="30"/>
      <c r="J2028" s="30"/>
      <c r="K2028" s="30"/>
      <c r="L2028" s="30"/>
      <c r="M2028" s="30"/>
      <c r="N2028" s="30"/>
      <c r="O2028" s="30"/>
      <c r="P2028" s="30"/>
      <c r="Q2028" s="30"/>
      <c r="R2028" s="30"/>
      <c r="S2028" s="30"/>
      <c r="T2028" s="30"/>
      <c r="U2028" s="30"/>
      <c r="V2028" s="30"/>
      <c r="W2028" s="30"/>
      <c r="X2028" s="30"/>
      <c r="Y2028" s="30"/>
      <c r="Z2028" s="30"/>
    </row>
    <row r="2029">
      <c r="A2029" s="29"/>
      <c r="B2029" s="29"/>
      <c r="C2029" s="30"/>
      <c r="D2029" s="30"/>
      <c r="E2029" s="30"/>
      <c r="F2029" s="30"/>
      <c r="G2029" s="30"/>
      <c r="H2029" s="30"/>
      <c r="I2029" s="30"/>
      <c r="J2029" s="30"/>
      <c r="K2029" s="30"/>
      <c r="L2029" s="30"/>
      <c r="M2029" s="30"/>
      <c r="N2029" s="30"/>
      <c r="O2029" s="30"/>
      <c r="P2029" s="30"/>
      <c r="Q2029" s="30"/>
      <c r="R2029" s="30"/>
      <c r="S2029" s="30"/>
      <c r="T2029" s="30"/>
      <c r="U2029" s="30"/>
      <c r="V2029" s="30"/>
      <c r="W2029" s="30"/>
      <c r="X2029" s="30"/>
      <c r="Y2029" s="30"/>
      <c r="Z2029" s="30"/>
    </row>
    <row r="2030">
      <c r="A2030" s="29"/>
      <c r="B2030" s="29"/>
      <c r="C2030" s="30"/>
      <c r="D2030" s="30"/>
      <c r="E2030" s="30"/>
      <c r="F2030" s="30"/>
      <c r="G2030" s="30"/>
      <c r="H2030" s="30"/>
      <c r="I2030" s="30"/>
      <c r="J2030" s="30"/>
      <c r="K2030" s="30"/>
      <c r="L2030" s="30"/>
      <c r="M2030" s="30"/>
      <c r="N2030" s="30"/>
      <c r="O2030" s="30"/>
      <c r="P2030" s="30"/>
      <c r="Q2030" s="30"/>
      <c r="R2030" s="30"/>
      <c r="S2030" s="30"/>
      <c r="T2030" s="30"/>
      <c r="U2030" s="30"/>
      <c r="V2030" s="30"/>
      <c r="W2030" s="30"/>
      <c r="X2030" s="30"/>
      <c r="Y2030" s="30"/>
      <c r="Z2030" s="30"/>
    </row>
    <row r="2031">
      <c r="A2031" s="29"/>
      <c r="B2031" s="29"/>
      <c r="C2031" s="30"/>
      <c r="D2031" s="30"/>
      <c r="E2031" s="30"/>
      <c r="F2031" s="30"/>
      <c r="G2031" s="30"/>
      <c r="H2031" s="30"/>
      <c r="I2031" s="30"/>
      <c r="J2031" s="30"/>
      <c r="K2031" s="30"/>
      <c r="L2031" s="30"/>
      <c r="M2031" s="30"/>
      <c r="N2031" s="30"/>
      <c r="O2031" s="30"/>
      <c r="P2031" s="30"/>
      <c r="Q2031" s="30"/>
      <c r="R2031" s="30"/>
      <c r="S2031" s="30"/>
      <c r="T2031" s="30"/>
      <c r="U2031" s="30"/>
      <c r="V2031" s="30"/>
      <c r="W2031" s="30"/>
      <c r="X2031" s="30"/>
      <c r="Y2031" s="30"/>
      <c r="Z2031" s="30"/>
    </row>
    <row r="2032">
      <c r="A2032" s="29"/>
      <c r="B2032" s="29"/>
      <c r="C2032" s="30"/>
      <c r="D2032" s="30"/>
      <c r="E2032" s="30"/>
      <c r="F2032" s="30"/>
      <c r="G2032" s="30"/>
      <c r="H2032" s="30"/>
      <c r="I2032" s="30"/>
      <c r="J2032" s="30"/>
      <c r="K2032" s="30"/>
      <c r="L2032" s="30"/>
      <c r="M2032" s="30"/>
      <c r="N2032" s="30"/>
      <c r="O2032" s="30"/>
      <c r="P2032" s="30"/>
      <c r="Q2032" s="30"/>
      <c r="R2032" s="30"/>
      <c r="S2032" s="30"/>
      <c r="T2032" s="30"/>
      <c r="U2032" s="30"/>
      <c r="V2032" s="30"/>
      <c r="W2032" s="30"/>
      <c r="X2032" s="30"/>
      <c r="Y2032" s="30"/>
      <c r="Z2032" s="30"/>
    </row>
    <row r="2033">
      <c r="A2033" s="29"/>
      <c r="B2033" s="29"/>
      <c r="C2033" s="30"/>
      <c r="D2033" s="30"/>
      <c r="E2033" s="30"/>
      <c r="F2033" s="30"/>
      <c r="G2033" s="30"/>
      <c r="H2033" s="30"/>
      <c r="I2033" s="30"/>
      <c r="J2033" s="30"/>
      <c r="K2033" s="30"/>
      <c r="L2033" s="30"/>
      <c r="M2033" s="30"/>
      <c r="N2033" s="30"/>
      <c r="O2033" s="30"/>
      <c r="P2033" s="30"/>
      <c r="Q2033" s="30"/>
      <c r="R2033" s="30"/>
      <c r="S2033" s="30"/>
      <c r="T2033" s="30"/>
      <c r="U2033" s="30"/>
      <c r="V2033" s="30"/>
      <c r="W2033" s="30"/>
      <c r="X2033" s="30"/>
      <c r="Y2033" s="30"/>
      <c r="Z2033" s="30"/>
    </row>
    <row r="2034">
      <c r="A2034" s="29"/>
      <c r="B2034" s="29"/>
      <c r="C2034" s="30"/>
      <c r="D2034" s="30"/>
      <c r="E2034" s="30"/>
      <c r="F2034" s="30"/>
      <c r="G2034" s="30"/>
      <c r="H2034" s="30"/>
      <c r="I2034" s="30"/>
      <c r="J2034" s="30"/>
      <c r="K2034" s="30"/>
      <c r="L2034" s="30"/>
      <c r="M2034" s="30"/>
      <c r="N2034" s="30"/>
      <c r="O2034" s="30"/>
      <c r="P2034" s="30"/>
      <c r="Q2034" s="30"/>
      <c r="R2034" s="30"/>
      <c r="S2034" s="30"/>
      <c r="T2034" s="30"/>
      <c r="U2034" s="30"/>
      <c r="V2034" s="30"/>
      <c r="W2034" s="30"/>
      <c r="X2034" s="30"/>
      <c r="Y2034" s="30"/>
      <c r="Z2034" s="30"/>
    </row>
    <row r="2035">
      <c r="A2035" s="29"/>
      <c r="B2035" s="29"/>
      <c r="C2035" s="30"/>
      <c r="D2035" s="30"/>
      <c r="E2035" s="30"/>
      <c r="F2035" s="30"/>
      <c r="G2035" s="30"/>
      <c r="H2035" s="30"/>
      <c r="I2035" s="30"/>
      <c r="J2035" s="30"/>
      <c r="K2035" s="30"/>
      <c r="L2035" s="30"/>
      <c r="M2035" s="30"/>
      <c r="N2035" s="30"/>
      <c r="O2035" s="30"/>
      <c r="P2035" s="30"/>
      <c r="Q2035" s="30"/>
      <c r="R2035" s="30"/>
      <c r="S2035" s="30"/>
      <c r="T2035" s="30"/>
      <c r="U2035" s="30"/>
      <c r="V2035" s="30"/>
      <c r="W2035" s="30"/>
      <c r="X2035" s="30"/>
      <c r="Y2035" s="30"/>
      <c r="Z2035" s="30"/>
    </row>
    <row r="2036">
      <c r="A2036" s="29"/>
      <c r="B2036" s="29"/>
      <c r="C2036" s="30"/>
      <c r="D2036" s="30"/>
      <c r="E2036" s="30"/>
      <c r="F2036" s="30"/>
      <c r="G2036" s="30"/>
      <c r="H2036" s="30"/>
      <c r="I2036" s="30"/>
      <c r="J2036" s="30"/>
      <c r="K2036" s="30"/>
      <c r="L2036" s="30"/>
      <c r="M2036" s="30"/>
      <c r="N2036" s="30"/>
      <c r="O2036" s="30"/>
      <c r="P2036" s="30"/>
      <c r="Q2036" s="30"/>
      <c r="R2036" s="30"/>
      <c r="S2036" s="30"/>
      <c r="T2036" s="30"/>
      <c r="U2036" s="30"/>
      <c r="V2036" s="30"/>
      <c r="W2036" s="30"/>
      <c r="X2036" s="30"/>
      <c r="Y2036" s="30"/>
      <c r="Z2036" s="30"/>
    </row>
    <row r="2037">
      <c r="A2037" s="29"/>
      <c r="B2037" s="29"/>
      <c r="C2037" s="30"/>
      <c r="D2037" s="30"/>
      <c r="E2037" s="30"/>
      <c r="F2037" s="30"/>
      <c r="G2037" s="30"/>
      <c r="H2037" s="30"/>
      <c r="I2037" s="30"/>
      <c r="J2037" s="30"/>
      <c r="K2037" s="30"/>
      <c r="L2037" s="30"/>
      <c r="M2037" s="30"/>
      <c r="N2037" s="30"/>
      <c r="O2037" s="30"/>
      <c r="P2037" s="30"/>
      <c r="Q2037" s="30"/>
      <c r="R2037" s="30"/>
      <c r="S2037" s="30"/>
      <c r="T2037" s="30"/>
      <c r="U2037" s="30"/>
      <c r="V2037" s="30"/>
      <c r="W2037" s="30"/>
      <c r="X2037" s="30"/>
      <c r="Y2037" s="30"/>
      <c r="Z2037" s="30"/>
    </row>
    <row r="2038">
      <c r="A2038" s="29"/>
      <c r="B2038" s="29"/>
      <c r="C2038" s="30"/>
      <c r="D2038" s="30"/>
      <c r="E2038" s="30"/>
      <c r="F2038" s="30"/>
      <c r="G2038" s="30"/>
      <c r="H2038" s="30"/>
      <c r="I2038" s="30"/>
      <c r="J2038" s="30"/>
      <c r="K2038" s="30"/>
      <c r="L2038" s="30"/>
      <c r="M2038" s="30"/>
      <c r="N2038" s="30"/>
      <c r="O2038" s="30"/>
      <c r="P2038" s="30"/>
      <c r="Q2038" s="30"/>
      <c r="R2038" s="30"/>
      <c r="S2038" s="30"/>
      <c r="T2038" s="30"/>
      <c r="U2038" s="30"/>
      <c r="V2038" s="30"/>
      <c r="W2038" s="30"/>
      <c r="X2038" s="30"/>
      <c r="Y2038" s="30"/>
      <c r="Z2038" s="30"/>
    </row>
    <row r="2039">
      <c r="A2039" s="29"/>
      <c r="B2039" s="29"/>
      <c r="C2039" s="30"/>
      <c r="D2039" s="30"/>
      <c r="E2039" s="30"/>
      <c r="F2039" s="30"/>
      <c r="G2039" s="30"/>
      <c r="H2039" s="30"/>
      <c r="I2039" s="30"/>
      <c r="J2039" s="30"/>
      <c r="K2039" s="30"/>
      <c r="L2039" s="30"/>
      <c r="M2039" s="30"/>
      <c r="N2039" s="30"/>
      <c r="O2039" s="30"/>
      <c r="P2039" s="30"/>
      <c r="Q2039" s="30"/>
      <c r="R2039" s="30"/>
      <c r="S2039" s="30"/>
      <c r="T2039" s="30"/>
      <c r="U2039" s="30"/>
      <c r="V2039" s="30"/>
      <c r="W2039" s="30"/>
      <c r="X2039" s="30"/>
      <c r="Y2039" s="30"/>
      <c r="Z2039" s="30"/>
    </row>
    <row r="2040">
      <c r="A2040" s="29"/>
      <c r="B2040" s="29"/>
      <c r="C2040" s="30"/>
      <c r="D2040" s="30"/>
      <c r="E2040" s="30"/>
      <c r="F2040" s="30"/>
      <c r="G2040" s="30"/>
      <c r="H2040" s="30"/>
      <c r="I2040" s="30"/>
      <c r="J2040" s="30"/>
      <c r="K2040" s="30"/>
      <c r="L2040" s="30"/>
      <c r="M2040" s="30"/>
      <c r="N2040" s="30"/>
      <c r="O2040" s="30"/>
      <c r="P2040" s="30"/>
      <c r="Q2040" s="30"/>
      <c r="R2040" s="30"/>
      <c r="S2040" s="30"/>
      <c r="T2040" s="30"/>
      <c r="U2040" s="30"/>
      <c r="V2040" s="30"/>
      <c r="W2040" s="30"/>
      <c r="X2040" s="30"/>
      <c r="Y2040" s="30"/>
      <c r="Z2040" s="30"/>
    </row>
    <row r="2041">
      <c r="A2041" s="29"/>
      <c r="B2041" s="29"/>
      <c r="C2041" s="30"/>
      <c r="D2041" s="30"/>
      <c r="E2041" s="30"/>
      <c r="F2041" s="30"/>
      <c r="G2041" s="30"/>
      <c r="H2041" s="30"/>
      <c r="I2041" s="30"/>
      <c r="J2041" s="30"/>
      <c r="K2041" s="30"/>
      <c r="L2041" s="30"/>
      <c r="M2041" s="30"/>
      <c r="N2041" s="30"/>
      <c r="O2041" s="30"/>
      <c r="P2041" s="30"/>
      <c r="Q2041" s="30"/>
      <c r="R2041" s="30"/>
      <c r="S2041" s="30"/>
      <c r="T2041" s="30"/>
      <c r="U2041" s="30"/>
      <c r="V2041" s="30"/>
      <c r="W2041" s="30"/>
      <c r="X2041" s="30"/>
      <c r="Y2041" s="30"/>
      <c r="Z2041" s="30"/>
    </row>
    <row r="2042">
      <c r="A2042" s="29"/>
      <c r="B2042" s="29"/>
      <c r="C2042" s="30"/>
      <c r="D2042" s="30"/>
      <c r="E2042" s="30"/>
      <c r="F2042" s="30"/>
      <c r="G2042" s="30"/>
      <c r="H2042" s="30"/>
      <c r="I2042" s="30"/>
      <c r="J2042" s="30"/>
      <c r="K2042" s="30"/>
      <c r="L2042" s="30"/>
      <c r="M2042" s="30"/>
      <c r="N2042" s="30"/>
      <c r="O2042" s="30"/>
      <c r="P2042" s="30"/>
      <c r="Q2042" s="30"/>
      <c r="R2042" s="30"/>
      <c r="S2042" s="30"/>
      <c r="T2042" s="30"/>
      <c r="U2042" s="30"/>
      <c r="V2042" s="30"/>
      <c r="W2042" s="30"/>
      <c r="X2042" s="30"/>
      <c r="Y2042" s="30"/>
      <c r="Z2042" s="30"/>
    </row>
    <row r="2043">
      <c r="A2043" s="29"/>
      <c r="B2043" s="29"/>
      <c r="C2043" s="30"/>
      <c r="D2043" s="30"/>
      <c r="E2043" s="30"/>
      <c r="F2043" s="30"/>
      <c r="G2043" s="30"/>
      <c r="H2043" s="30"/>
      <c r="I2043" s="30"/>
      <c r="J2043" s="30"/>
      <c r="K2043" s="30"/>
      <c r="L2043" s="30"/>
      <c r="M2043" s="30"/>
      <c r="N2043" s="30"/>
      <c r="O2043" s="30"/>
      <c r="P2043" s="30"/>
      <c r="Q2043" s="30"/>
      <c r="R2043" s="30"/>
      <c r="S2043" s="30"/>
      <c r="T2043" s="30"/>
      <c r="U2043" s="30"/>
      <c r="V2043" s="30"/>
      <c r="W2043" s="30"/>
      <c r="X2043" s="30"/>
      <c r="Y2043" s="30"/>
      <c r="Z2043" s="30"/>
    </row>
    <row r="2044">
      <c r="A2044" s="29"/>
      <c r="B2044" s="29"/>
      <c r="C2044" s="30"/>
      <c r="D2044" s="30"/>
      <c r="E2044" s="30"/>
      <c r="F2044" s="30"/>
      <c r="G2044" s="30"/>
      <c r="H2044" s="30"/>
      <c r="I2044" s="30"/>
      <c r="J2044" s="30"/>
      <c r="K2044" s="30"/>
      <c r="L2044" s="30"/>
      <c r="M2044" s="30"/>
      <c r="N2044" s="30"/>
      <c r="O2044" s="30"/>
      <c r="P2044" s="30"/>
      <c r="Q2044" s="30"/>
      <c r="R2044" s="30"/>
      <c r="S2044" s="30"/>
      <c r="T2044" s="30"/>
      <c r="U2044" s="30"/>
      <c r="V2044" s="30"/>
      <c r="W2044" s="30"/>
      <c r="X2044" s="30"/>
      <c r="Y2044" s="30"/>
      <c r="Z2044" s="30"/>
    </row>
    <row r="2045">
      <c r="A2045" s="29"/>
      <c r="B2045" s="29"/>
      <c r="C2045" s="30"/>
      <c r="D2045" s="30"/>
      <c r="E2045" s="30"/>
      <c r="F2045" s="30"/>
      <c r="G2045" s="30"/>
      <c r="H2045" s="30"/>
      <c r="I2045" s="30"/>
      <c r="J2045" s="30"/>
      <c r="K2045" s="30"/>
      <c r="L2045" s="30"/>
      <c r="M2045" s="30"/>
      <c r="N2045" s="30"/>
      <c r="O2045" s="30"/>
      <c r="P2045" s="30"/>
      <c r="Q2045" s="30"/>
      <c r="R2045" s="30"/>
      <c r="S2045" s="30"/>
      <c r="T2045" s="30"/>
      <c r="U2045" s="30"/>
      <c r="V2045" s="30"/>
      <c r="W2045" s="30"/>
      <c r="X2045" s="30"/>
      <c r="Y2045" s="30"/>
      <c r="Z2045" s="30"/>
    </row>
    <row r="2046">
      <c r="A2046" s="29"/>
      <c r="B2046" s="29"/>
      <c r="C2046" s="30"/>
      <c r="D2046" s="30"/>
      <c r="E2046" s="30"/>
      <c r="F2046" s="30"/>
      <c r="G2046" s="30"/>
      <c r="H2046" s="30"/>
      <c r="I2046" s="30"/>
      <c r="J2046" s="30"/>
      <c r="K2046" s="30"/>
      <c r="L2046" s="30"/>
      <c r="M2046" s="30"/>
      <c r="N2046" s="30"/>
      <c r="O2046" s="30"/>
      <c r="P2046" s="30"/>
      <c r="Q2046" s="30"/>
      <c r="R2046" s="30"/>
      <c r="S2046" s="30"/>
      <c r="T2046" s="30"/>
      <c r="U2046" s="30"/>
      <c r="V2046" s="30"/>
      <c r="W2046" s="30"/>
      <c r="X2046" s="30"/>
      <c r="Y2046" s="30"/>
      <c r="Z2046" s="30"/>
    </row>
    <row r="2047">
      <c r="A2047" s="29"/>
      <c r="B2047" s="29"/>
      <c r="C2047" s="30"/>
      <c r="D2047" s="30"/>
      <c r="E2047" s="30"/>
      <c r="F2047" s="30"/>
      <c r="G2047" s="30"/>
      <c r="H2047" s="30"/>
      <c r="I2047" s="30"/>
      <c r="J2047" s="30"/>
      <c r="K2047" s="30"/>
      <c r="L2047" s="30"/>
      <c r="M2047" s="30"/>
      <c r="N2047" s="30"/>
      <c r="O2047" s="30"/>
      <c r="P2047" s="30"/>
      <c r="Q2047" s="30"/>
      <c r="R2047" s="30"/>
      <c r="S2047" s="30"/>
      <c r="T2047" s="30"/>
      <c r="U2047" s="30"/>
      <c r="V2047" s="30"/>
      <c r="W2047" s="30"/>
      <c r="X2047" s="30"/>
      <c r="Y2047" s="30"/>
      <c r="Z2047" s="30"/>
    </row>
    <row r="2048">
      <c r="A2048" s="29"/>
      <c r="B2048" s="29"/>
      <c r="C2048" s="30"/>
      <c r="D2048" s="30"/>
      <c r="E2048" s="30"/>
      <c r="F2048" s="30"/>
      <c r="G2048" s="30"/>
      <c r="H2048" s="30"/>
      <c r="I2048" s="30"/>
      <c r="J2048" s="30"/>
      <c r="K2048" s="30"/>
      <c r="L2048" s="30"/>
      <c r="M2048" s="30"/>
      <c r="N2048" s="30"/>
      <c r="O2048" s="30"/>
      <c r="P2048" s="30"/>
      <c r="Q2048" s="30"/>
      <c r="R2048" s="30"/>
      <c r="S2048" s="30"/>
      <c r="T2048" s="30"/>
      <c r="U2048" s="30"/>
      <c r="V2048" s="30"/>
      <c r="W2048" s="30"/>
      <c r="X2048" s="30"/>
      <c r="Y2048" s="30"/>
      <c r="Z2048" s="30"/>
    </row>
    <row r="2049">
      <c r="A2049" s="29"/>
      <c r="B2049" s="29"/>
      <c r="C2049" s="30"/>
      <c r="D2049" s="30"/>
      <c r="E2049" s="30"/>
      <c r="F2049" s="30"/>
      <c r="G2049" s="30"/>
      <c r="H2049" s="30"/>
      <c r="I2049" s="30"/>
      <c r="J2049" s="30"/>
      <c r="K2049" s="30"/>
      <c r="L2049" s="30"/>
      <c r="M2049" s="30"/>
      <c r="N2049" s="30"/>
      <c r="O2049" s="30"/>
      <c r="P2049" s="30"/>
      <c r="Q2049" s="30"/>
      <c r="R2049" s="30"/>
      <c r="S2049" s="30"/>
      <c r="T2049" s="30"/>
      <c r="U2049" s="30"/>
      <c r="V2049" s="30"/>
      <c r="W2049" s="30"/>
      <c r="X2049" s="30"/>
      <c r="Y2049" s="30"/>
      <c r="Z2049" s="30"/>
    </row>
    <row r="2050">
      <c r="A2050" s="29"/>
      <c r="B2050" s="29"/>
      <c r="C2050" s="30"/>
      <c r="D2050" s="30"/>
      <c r="E2050" s="30"/>
      <c r="F2050" s="30"/>
      <c r="G2050" s="30"/>
      <c r="H2050" s="30"/>
      <c r="I2050" s="30"/>
      <c r="J2050" s="30"/>
      <c r="K2050" s="30"/>
      <c r="L2050" s="30"/>
      <c r="M2050" s="30"/>
      <c r="N2050" s="30"/>
      <c r="O2050" s="30"/>
      <c r="P2050" s="30"/>
      <c r="Q2050" s="30"/>
      <c r="R2050" s="30"/>
      <c r="S2050" s="30"/>
      <c r="T2050" s="30"/>
      <c r="U2050" s="30"/>
      <c r="V2050" s="30"/>
      <c r="W2050" s="30"/>
      <c r="X2050" s="30"/>
      <c r="Y2050" s="30"/>
      <c r="Z2050" s="30"/>
    </row>
    <row r="2051">
      <c r="A2051" s="29"/>
      <c r="B2051" s="29"/>
      <c r="C2051" s="30"/>
      <c r="D2051" s="30"/>
      <c r="E2051" s="30"/>
      <c r="F2051" s="30"/>
      <c r="G2051" s="30"/>
      <c r="H2051" s="30"/>
      <c r="I2051" s="30"/>
      <c r="J2051" s="30"/>
      <c r="K2051" s="30"/>
      <c r="L2051" s="30"/>
      <c r="M2051" s="30"/>
      <c r="N2051" s="30"/>
      <c r="O2051" s="30"/>
      <c r="P2051" s="30"/>
      <c r="Q2051" s="30"/>
      <c r="R2051" s="30"/>
      <c r="S2051" s="30"/>
      <c r="T2051" s="30"/>
      <c r="U2051" s="30"/>
      <c r="V2051" s="30"/>
      <c r="W2051" s="30"/>
      <c r="X2051" s="30"/>
      <c r="Y2051" s="30"/>
      <c r="Z2051" s="30"/>
    </row>
    <row r="2052">
      <c r="A2052" s="29"/>
      <c r="B2052" s="29"/>
      <c r="C2052" s="30"/>
      <c r="D2052" s="30"/>
      <c r="E2052" s="30"/>
      <c r="F2052" s="30"/>
      <c r="G2052" s="30"/>
      <c r="H2052" s="30"/>
      <c r="I2052" s="30"/>
      <c r="J2052" s="30"/>
      <c r="K2052" s="30"/>
      <c r="L2052" s="30"/>
      <c r="M2052" s="30"/>
      <c r="N2052" s="30"/>
      <c r="O2052" s="30"/>
      <c r="P2052" s="30"/>
      <c r="Q2052" s="30"/>
      <c r="R2052" s="30"/>
      <c r="S2052" s="30"/>
      <c r="T2052" s="30"/>
      <c r="U2052" s="30"/>
      <c r="V2052" s="30"/>
      <c r="W2052" s="30"/>
      <c r="X2052" s="30"/>
      <c r="Y2052" s="30"/>
      <c r="Z2052" s="30"/>
    </row>
    <row r="2053">
      <c r="A2053" s="29"/>
      <c r="B2053" s="29"/>
      <c r="C2053" s="30"/>
      <c r="D2053" s="30"/>
      <c r="E2053" s="30"/>
      <c r="F2053" s="30"/>
      <c r="G2053" s="30"/>
      <c r="H2053" s="30"/>
      <c r="I2053" s="30"/>
      <c r="J2053" s="30"/>
      <c r="K2053" s="30"/>
      <c r="L2053" s="30"/>
      <c r="M2053" s="30"/>
      <c r="N2053" s="30"/>
      <c r="O2053" s="30"/>
      <c r="P2053" s="30"/>
      <c r="Q2053" s="30"/>
      <c r="R2053" s="30"/>
      <c r="S2053" s="30"/>
      <c r="T2053" s="30"/>
      <c r="U2053" s="30"/>
      <c r="V2053" s="30"/>
      <c r="W2053" s="30"/>
      <c r="X2053" s="30"/>
      <c r="Y2053" s="30"/>
      <c r="Z2053" s="30"/>
    </row>
    <row r="2054">
      <c r="A2054" s="29"/>
      <c r="B2054" s="29"/>
      <c r="C2054" s="30"/>
      <c r="D2054" s="30"/>
      <c r="E2054" s="30"/>
      <c r="F2054" s="30"/>
      <c r="G2054" s="30"/>
      <c r="H2054" s="30"/>
      <c r="I2054" s="30"/>
      <c r="J2054" s="30"/>
      <c r="K2054" s="30"/>
      <c r="L2054" s="30"/>
      <c r="M2054" s="30"/>
      <c r="N2054" s="30"/>
      <c r="O2054" s="30"/>
      <c r="P2054" s="30"/>
      <c r="Q2054" s="30"/>
      <c r="R2054" s="30"/>
      <c r="S2054" s="30"/>
      <c r="T2054" s="30"/>
      <c r="U2054" s="30"/>
      <c r="V2054" s="30"/>
      <c r="W2054" s="30"/>
      <c r="X2054" s="30"/>
      <c r="Y2054" s="30"/>
      <c r="Z2054" s="30"/>
    </row>
    <row r="2055">
      <c r="A2055" s="29"/>
      <c r="B2055" s="29"/>
      <c r="C2055" s="30"/>
      <c r="D2055" s="30"/>
      <c r="E2055" s="30"/>
      <c r="F2055" s="30"/>
      <c r="G2055" s="30"/>
      <c r="H2055" s="30"/>
      <c r="I2055" s="30"/>
      <c r="J2055" s="30"/>
      <c r="K2055" s="30"/>
      <c r="L2055" s="30"/>
      <c r="M2055" s="30"/>
      <c r="N2055" s="30"/>
      <c r="O2055" s="30"/>
      <c r="P2055" s="30"/>
      <c r="Q2055" s="30"/>
      <c r="R2055" s="30"/>
      <c r="S2055" s="30"/>
      <c r="T2055" s="30"/>
      <c r="U2055" s="30"/>
      <c r="V2055" s="30"/>
      <c r="W2055" s="30"/>
      <c r="X2055" s="30"/>
      <c r="Y2055" s="30"/>
      <c r="Z2055" s="30"/>
    </row>
    <row r="2056">
      <c r="A2056" s="29"/>
      <c r="B2056" s="29"/>
      <c r="C2056" s="30"/>
      <c r="D2056" s="30"/>
      <c r="E2056" s="30"/>
      <c r="F2056" s="30"/>
      <c r="G2056" s="30"/>
      <c r="H2056" s="30"/>
      <c r="I2056" s="30"/>
      <c r="J2056" s="30"/>
      <c r="K2056" s="30"/>
      <c r="L2056" s="30"/>
      <c r="M2056" s="30"/>
      <c r="N2056" s="30"/>
      <c r="O2056" s="30"/>
      <c r="P2056" s="30"/>
      <c r="Q2056" s="30"/>
      <c r="R2056" s="30"/>
      <c r="S2056" s="30"/>
      <c r="T2056" s="30"/>
      <c r="U2056" s="30"/>
      <c r="V2056" s="30"/>
      <c r="W2056" s="30"/>
      <c r="X2056" s="30"/>
      <c r="Y2056" s="30"/>
      <c r="Z2056" s="30"/>
    </row>
    <row r="2057">
      <c r="A2057" s="29"/>
      <c r="B2057" s="29"/>
      <c r="C2057" s="30"/>
      <c r="D2057" s="30"/>
      <c r="E2057" s="30"/>
      <c r="F2057" s="30"/>
      <c r="G2057" s="30"/>
      <c r="H2057" s="30"/>
      <c r="I2057" s="30"/>
      <c r="J2057" s="30"/>
      <c r="K2057" s="30"/>
      <c r="L2057" s="30"/>
      <c r="M2057" s="30"/>
      <c r="N2057" s="30"/>
      <c r="O2057" s="30"/>
      <c r="P2057" s="30"/>
      <c r="Q2057" s="30"/>
      <c r="R2057" s="30"/>
      <c r="S2057" s="30"/>
      <c r="T2057" s="30"/>
      <c r="U2057" s="30"/>
      <c r="V2057" s="30"/>
      <c r="W2057" s="30"/>
      <c r="X2057" s="30"/>
      <c r="Y2057" s="30"/>
      <c r="Z2057" s="30"/>
    </row>
    <row r="2058">
      <c r="A2058" s="29"/>
      <c r="B2058" s="29"/>
      <c r="C2058" s="30"/>
      <c r="D2058" s="30"/>
      <c r="E2058" s="30"/>
      <c r="F2058" s="30"/>
      <c r="G2058" s="30"/>
      <c r="H2058" s="30"/>
      <c r="I2058" s="30"/>
      <c r="J2058" s="30"/>
      <c r="K2058" s="30"/>
      <c r="L2058" s="30"/>
      <c r="M2058" s="30"/>
      <c r="N2058" s="30"/>
      <c r="O2058" s="30"/>
      <c r="P2058" s="30"/>
      <c r="Q2058" s="30"/>
      <c r="R2058" s="30"/>
      <c r="S2058" s="30"/>
      <c r="T2058" s="30"/>
      <c r="U2058" s="30"/>
      <c r="V2058" s="30"/>
      <c r="W2058" s="30"/>
      <c r="X2058" s="30"/>
      <c r="Y2058" s="30"/>
      <c r="Z2058" s="30"/>
    </row>
    <row r="2059">
      <c r="A2059" s="29"/>
      <c r="B2059" s="29"/>
      <c r="C2059" s="30"/>
      <c r="D2059" s="30"/>
      <c r="E2059" s="30"/>
      <c r="F2059" s="30"/>
      <c r="G2059" s="30"/>
      <c r="H2059" s="30"/>
      <c r="I2059" s="30"/>
      <c r="J2059" s="30"/>
      <c r="K2059" s="30"/>
      <c r="L2059" s="30"/>
      <c r="M2059" s="30"/>
      <c r="N2059" s="30"/>
      <c r="O2059" s="30"/>
      <c r="P2059" s="30"/>
      <c r="Q2059" s="30"/>
      <c r="R2059" s="30"/>
      <c r="S2059" s="30"/>
      <c r="T2059" s="30"/>
      <c r="U2059" s="30"/>
      <c r="V2059" s="30"/>
      <c r="W2059" s="30"/>
      <c r="X2059" s="30"/>
      <c r="Y2059" s="30"/>
      <c r="Z2059" s="30"/>
    </row>
    <row r="2060">
      <c r="A2060" s="29"/>
      <c r="B2060" s="29"/>
      <c r="C2060" s="30"/>
      <c r="D2060" s="30"/>
      <c r="E2060" s="30"/>
      <c r="F2060" s="30"/>
      <c r="G2060" s="30"/>
      <c r="H2060" s="30"/>
      <c r="I2060" s="30"/>
      <c r="J2060" s="30"/>
      <c r="K2060" s="30"/>
      <c r="L2060" s="30"/>
      <c r="M2060" s="30"/>
      <c r="N2060" s="30"/>
      <c r="O2060" s="30"/>
      <c r="P2060" s="30"/>
      <c r="Q2060" s="30"/>
      <c r="R2060" s="30"/>
      <c r="S2060" s="30"/>
      <c r="T2060" s="30"/>
      <c r="U2060" s="30"/>
      <c r="V2060" s="30"/>
      <c r="W2060" s="30"/>
      <c r="X2060" s="30"/>
      <c r="Y2060" s="30"/>
      <c r="Z2060" s="30"/>
    </row>
    <row r="2061">
      <c r="A2061" s="29"/>
      <c r="B2061" s="29"/>
      <c r="C2061" s="30"/>
      <c r="D2061" s="30"/>
      <c r="E2061" s="30"/>
      <c r="F2061" s="30"/>
      <c r="G2061" s="30"/>
      <c r="H2061" s="30"/>
      <c r="I2061" s="30"/>
      <c r="J2061" s="30"/>
      <c r="K2061" s="30"/>
      <c r="L2061" s="30"/>
      <c r="M2061" s="30"/>
      <c r="N2061" s="30"/>
      <c r="O2061" s="30"/>
      <c r="P2061" s="30"/>
      <c r="Q2061" s="30"/>
      <c r="R2061" s="30"/>
      <c r="S2061" s="30"/>
      <c r="T2061" s="30"/>
      <c r="U2061" s="30"/>
      <c r="V2061" s="30"/>
      <c r="W2061" s="30"/>
      <c r="X2061" s="30"/>
      <c r="Y2061" s="30"/>
      <c r="Z2061" s="30"/>
    </row>
    <row r="2062">
      <c r="A2062" s="29"/>
      <c r="B2062" s="29"/>
      <c r="C2062" s="30"/>
      <c r="D2062" s="30"/>
      <c r="E2062" s="30"/>
      <c r="F2062" s="30"/>
      <c r="G2062" s="30"/>
      <c r="H2062" s="30"/>
      <c r="I2062" s="30"/>
      <c r="J2062" s="30"/>
      <c r="K2062" s="30"/>
      <c r="L2062" s="30"/>
      <c r="M2062" s="30"/>
      <c r="N2062" s="30"/>
      <c r="O2062" s="30"/>
      <c r="P2062" s="30"/>
      <c r="Q2062" s="30"/>
      <c r="R2062" s="30"/>
      <c r="S2062" s="30"/>
      <c r="T2062" s="30"/>
      <c r="U2062" s="30"/>
      <c r="V2062" s="30"/>
      <c r="W2062" s="30"/>
      <c r="X2062" s="30"/>
      <c r="Y2062" s="30"/>
      <c r="Z2062" s="30"/>
    </row>
    <row r="2063">
      <c r="A2063" s="29"/>
      <c r="B2063" s="29"/>
      <c r="C2063" s="30"/>
      <c r="D2063" s="30"/>
      <c r="E2063" s="30"/>
      <c r="F2063" s="30"/>
      <c r="G2063" s="30"/>
      <c r="H2063" s="30"/>
      <c r="I2063" s="30"/>
      <c r="J2063" s="30"/>
      <c r="K2063" s="30"/>
      <c r="L2063" s="30"/>
      <c r="M2063" s="30"/>
      <c r="N2063" s="30"/>
      <c r="O2063" s="30"/>
      <c r="P2063" s="30"/>
      <c r="Q2063" s="30"/>
      <c r="R2063" s="30"/>
      <c r="S2063" s="30"/>
      <c r="T2063" s="30"/>
      <c r="U2063" s="30"/>
      <c r="V2063" s="30"/>
      <c r="W2063" s="30"/>
      <c r="X2063" s="30"/>
      <c r="Y2063" s="30"/>
      <c r="Z2063" s="30"/>
    </row>
    <row r="2064">
      <c r="A2064" s="29"/>
      <c r="B2064" s="29"/>
      <c r="C2064" s="30"/>
      <c r="D2064" s="30"/>
      <c r="E2064" s="30"/>
      <c r="F2064" s="30"/>
      <c r="G2064" s="30"/>
      <c r="H2064" s="30"/>
      <c r="I2064" s="30"/>
      <c r="J2064" s="30"/>
      <c r="K2064" s="30"/>
      <c r="L2064" s="30"/>
      <c r="M2064" s="30"/>
      <c r="N2064" s="30"/>
      <c r="O2064" s="30"/>
      <c r="P2064" s="30"/>
      <c r="Q2064" s="30"/>
      <c r="R2064" s="30"/>
      <c r="S2064" s="30"/>
      <c r="T2064" s="30"/>
      <c r="U2064" s="30"/>
      <c r="V2064" s="30"/>
      <c r="W2064" s="30"/>
      <c r="X2064" s="30"/>
      <c r="Y2064" s="30"/>
      <c r="Z2064" s="30"/>
    </row>
    <row r="2065">
      <c r="A2065" s="29"/>
      <c r="B2065" s="29"/>
      <c r="C2065" s="30"/>
      <c r="D2065" s="30"/>
      <c r="E2065" s="30"/>
      <c r="F2065" s="30"/>
      <c r="G2065" s="30"/>
      <c r="H2065" s="30"/>
      <c r="I2065" s="30"/>
      <c r="J2065" s="30"/>
      <c r="K2065" s="30"/>
      <c r="L2065" s="30"/>
      <c r="M2065" s="30"/>
      <c r="N2065" s="30"/>
      <c r="O2065" s="30"/>
      <c r="P2065" s="30"/>
      <c r="Q2065" s="30"/>
      <c r="R2065" s="30"/>
      <c r="S2065" s="30"/>
      <c r="T2065" s="30"/>
      <c r="U2065" s="30"/>
      <c r="V2065" s="30"/>
      <c r="W2065" s="30"/>
      <c r="X2065" s="30"/>
      <c r="Y2065" s="30"/>
      <c r="Z2065" s="30"/>
    </row>
    <row r="2066">
      <c r="A2066" s="29"/>
      <c r="B2066" s="29"/>
      <c r="C2066" s="30"/>
      <c r="D2066" s="30"/>
      <c r="E2066" s="30"/>
      <c r="F2066" s="30"/>
      <c r="G2066" s="30"/>
      <c r="H2066" s="30"/>
      <c r="I2066" s="30"/>
      <c r="J2066" s="30"/>
      <c r="K2066" s="30"/>
      <c r="L2066" s="30"/>
      <c r="M2066" s="30"/>
      <c r="N2066" s="30"/>
      <c r="O2066" s="30"/>
      <c r="P2066" s="30"/>
      <c r="Q2066" s="30"/>
      <c r="R2066" s="30"/>
      <c r="S2066" s="30"/>
      <c r="T2066" s="30"/>
      <c r="U2066" s="30"/>
      <c r="V2066" s="30"/>
      <c r="W2066" s="30"/>
      <c r="X2066" s="30"/>
      <c r="Y2066" s="30"/>
      <c r="Z2066" s="30"/>
    </row>
    <row r="2067">
      <c r="A2067" s="29"/>
      <c r="B2067" s="29"/>
      <c r="C2067" s="30"/>
      <c r="D2067" s="30"/>
      <c r="E2067" s="30"/>
      <c r="F2067" s="30"/>
      <c r="G2067" s="30"/>
      <c r="H2067" s="30"/>
      <c r="I2067" s="30"/>
      <c r="J2067" s="30"/>
      <c r="K2067" s="30"/>
      <c r="L2067" s="30"/>
      <c r="M2067" s="30"/>
      <c r="N2067" s="30"/>
      <c r="O2067" s="30"/>
      <c r="P2067" s="30"/>
      <c r="Q2067" s="30"/>
      <c r="R2067" s="30"/>
      <c r="S2067" s="30"/>
      <c r="T2067" s="30"/>
      <c r="U2067" s="30"/>
      <c r="V2067" s="30"/>
      <c r="W2067" s="30"/>
      <c r="X2067" s="30"/>
      <c r="Y2067" s="30"/>
      <c r="Z2067" s="30"/>
    </row>
    <row r="2068">
      <c r="A2068" s="29"/>
      <c r="B2068" s="29"/>
      <c r="C2068" s="30"/>
      <c r="D2068" s="30"/>
      <c r="E2068" s="30"/>
      <c r="F2068" s="30"/>
      <c r="G2068" s="30"/>
      <c r="H2068" s="30"/>
      <c r="I2068" s="30"/>
      <c r="J2068" s="30"/>
      <c r="K2068" s="30"/>
      <c r="L2068" s="30"/>
      <c r="M2068" s="30"/>
      <c r="N2068" s="30"/>
      <c r="O2068" s="30"/>
      <c r="P2068" s="30"/>
      <c r="Q2068" s="30"/>
      <c r="R2068" s="30"/>
      <c r="S2068" s="30"/>
      <c r="T2068" s="30"/>
      <c r="U2068" s="30"/>
      <c r="V2068" s="30"/>
      <c r="W2068" s="30"/>
      <c r="X2068" s="30"/>
      <c r="Y2068" s="30"/>
      <c r="Z2068" s="30"/>
    </row>
    <row r="2069">
      <c r="A2069" s="29"/>
      <c r="B2069" s="29"/>
      <c r="C2069" s="30"/>
      <c r="D2069" s="30"/>
      <c r="E2069" s="30"/>
      <c r="F2069" s="30"/>
      <c r="G2069" s="30"/>
      <c r="H2069" s="30"/>
      <c r="I2069" s="30"/>
      <c r="J2069" s="30"/>
      <c r="K2069" s="30"/>
      <c r="L2069" s="30"/>
      <c r="M2069" s="30"/>
      <c r="N2069" s="30"/>
      <c r="O2069" s="30"/>
      <c r="P2069" s="30"/>
      <c r="Q2069" s="30"/>
      <c r="R2069" s="30"/>
      <c r="S2069" s="30"/>
      <c r="T2069" s="30"/>
      <c r="U2069" s="30"/>
      <c r="V2069" s="30"/>
      <c r="W2069" s="30"/>
      <c r="X2069" s="30"/>
      <c r="Y2069" s="30"/>
      <c r="Z2069" s="30"/>
    </row>
    <row r="2070">
      <c r="A2070" s="29"/>
      <c r="B2070" s="29"/>
      <c r="C2070" s="30"/>
      <c r="D2070" s="30"/>
      <c r="E2070" s="30"/>
      <c r="F2070" s="30"/>
      <c r="G2070" s="30"/>
      <c r="H2070" s="30"/>
      <c r="I2070" s="30"/>
      <c r="J2070" s="30"/>
      <c r="K2070" s="30"/>
      <c r="L2070" s="30"/>
      <c r="M2070" s="30"/>
      <c r="N2070" s="30"/>
      <c r="O2070" s="30"/>
      <c r="P2070" s="30"/>
      <c r="Q2070" s="30"/>
      <c r="R2070" s="30"/>
      <c r="S2070" s="30"/>
      <c r="T2070" s="30"/>
      <c r="U2070" s="30"/>
      <c r="V2070" s="30"/>
      <c r="W2070" s="30"/>
      <c r="X2070" s="30"/>
      <c r="Y2070" s="30"/>
      <c r="Z2070" s="30"/>
    </row>
    <row r="2071">
      <c r="A2071" s="29"/>
      <c r="B2071" s="29"/>
      <c r="C2071" s="30"/>
      <c r="D2071" s="30"/>
      <c r="E2071" s="30"/>
      <c r="F2071" s="30"/>
      <c r="G2071" s="30"/>
      <c r="H2071" s="30"/>
      <c r="I2071" s="30"/>
      <c r="J2071" s="30"/>
      <c r="K2071" s="30"/>
      <c r="L2071" s="30"/>
      <c r="M2071" s="30"/>
      <c r="N2071" s="30"/>
      <c r="O2071" s="30"/>
      <c r="P2071" s="30"/>
      <c r="Q2071" s="30"/>
      <c r="R2071" s="30"/>
      <c r="S2071" s="30"/>
      <c r="T2071" s="30"/>
      <c r="U2071" s="30"/>
      <c r="V2071" s="30"/>
      <c r="W2071" s="30"/>
      <c r="X2071" s="30"/>
      <c r="Y2071" s="30"/>
      <c r="Z2071" s="30"/>
    </row>
    <row r="2072">
      <c r="A2072" s="29"/>
      <c r="B2072" s="29"/>
      <c r="C2072" s="30"/>
      <c r="D2072" s="30"/>
      <c r="E2072" s="30"/>
      <c r="F2072" s="30"/>
      <c r="G2072" s="30"/>
      <c r="H2072" s="30"/>
      <c r="I2072" s="30"/>
      <c r="J2072" s="30"/>
      <c r="K2072" s="30"/>
      <c r="L2072" s="30"/>
      <c r="M2072" s="30"/>
      <c r="N2072" s="30"/>
      <c r="O2072" s="30"/>
      <c r="P2072" s="30"/>
      <c r="Q2072" s="30"/>
      <c r="R2072" s="30"/>
      <c r="S2072" s="30"/>
      <c r="T2072" s="30"/>
      <c r="U2072" s="30"/>
      <c r="V2072" s="30"/>
      <c r="W2072" s="30"/>
      <c r="X2072" s="30"/>
      <c r="Y2072" s="30"/>
      <c r="Z2072" s="30"/>
    </row>
    <row r="2073">
      <c r="A2073" s="29"/>
      <c r="B2073" s="29"/>
      <c r="C2073" s="30"/>
      <c r="D2073" s="30"/>
      <c r="E2073" s="30"/>
      <c r="F2073" s="30"/>
      <c r="G2073" s="30"/>
      <c r="H2073" s="30"/>
      <c r="I2073" s="30"/>
      <c r="J2073" s="30"/>
      <c r="K2073" s="30"/>
      <c r="L2073" s="30"/>
      <c r="M2073" s="30"/>
      <c r="N2073" s="30"/>
      <c r="O2073" s="30"/>
      <c r="P2073" s="30"/>
      <c r="Q2073" s="30"/>
      <c r="R2073" s="30"/>
      <c r="S2073" s="30"/>
      <c r="T2073" s="30"/>
      <c r="U2073" s="30"/>
      <c r="V2073" s="30"/>
      <c r="W2073" s="30"/>
      <c r="X2073" s="30"/>
      <c r="Y2073" s="30"/>
      <c r="Z2073" s="30"/>
    </row>
    <row r="2074">
      <c r="A2074" s="29"/>
      <c r="B2074" s="29"/>
      <c r="C2074" s="30"/>
      <c r="D2074" s="30"/>
      <c r="E2074" s="30"/>
      <c r="F2074" s="30"/>
      <c r="G2074" s="30"/>
      <c r="H2074" s="30"/>
      <c r="I2074" s="30"/>
      <c r="J2074" s="30"/>
      <c r="K2074" s="30"/>
      <c r="L2074" s="30"/>
      <c r="M2074" s="30"/>
      <c r="N2074" s="30"/>
      <c r="O2074" s="30"/>
      <c r="P2074" s="30"/>
      <c r="Q2074" s="30"/>
      <c r="R2074" s="30"/>
      <c r="S2074" s="30"/>
      <c r="T2074" s="30"/>
      <c r="U2074" s="30"/>
      <c r="V2074" s="30"/>
      <c r="W2074" s="30"/>
      <c r="X2074" s="30"/>
      <c r="Y2074" s="30"/>
      <c r="Z2074" s="30"/>
    </row>
    <row r="2075">
      <c r="A2075" s="29"/>
      <c r="B2075" s="29"/>
      <c r="C2075" s="30"/>
      <c r="D2075" s="30"/>
      <c r="E2075" s="30"/>
      <c r="F2075" s="30"/>
      <c r="G2075" s="30"/>
      <c r="H2075" s="30"/>
      <c r="I2075" s="30"/>
      <c r="J2075" s="30"/>
      <c r="K2075" s="30"/>
      <c r="L2075" s="30"/>
      <c r="M2075" s="30"/>
      <c r="N2075" s="30"/>
      <c r="O2075" s="30"/>
      <c r="P2075" s="30"/>
      <c r="Q2075" s="30"/>
      <c r="R2075" s="30"/>
      <c r="S2075" s="30"/>
      <c r="T2075" s="30"/>
      <c r="U2075" s="30"/>
      <c r="V2075" s="30"/>
      <c r="W2075" s="30"/>
      <c r="X2075" s="30"/>
      <c r="Y2075" s="30"/>
      <c r="Z2075" s="30"/>
    </row>
    <row r="2076">
      <c r="A2076" s="29"/>
      <c r="B2076" s="29"/>
      <c r="C2076" s="30"/>
      <c r="D2076" s="30"/>
      <c r="E2076" s="30"/>
      <c r="F2076" s="30"/>
      <c r="G2076" s="30"/>
      <c r="H2076" s="30"/>
      <c r="I2076" s="30"/>
      <c r="J2076" s="30"/>
      <c r="K2076" s="30"/>
      <c r="L2076" s="30"/>
      <c r="M2076" s="30"/>
      <c r="N2076" s="30"/>
      <c r="O2076" s="30"/>
      <c r="P2076" s="30"/>
      <c r="Q2076" s="30"/>
      <c r="R2076" s="30"/>
      <c r="S2076" s="30"/>
      <c r="T2076" s="30"/>
      <c r="U2076" s="30"/>
      <c r="V2076" s="30"/>
      <c r="W2076" s="30"/>
      <c r="X2076" s="30"/>
      <c r="Y2076" s="30"/>
      <c r="Z2076" s="30"/>
    </row>
    <row r="2077">
      <c r="A2077" s="29"/>
      <c r="B2077" s="29"/>
      <c r="C2077" s="30"/>
      <c r="D2077" s="30"/>
      <c r="E2077" s="30"/>
      <c r="F2077" s="30"/>
      <c r="G2077" s="30"/>
      <c r="H2077" s="30"/>
      <c r="I2077" s="30"/>
      <c r="J2077" s="30"/>
      <c r="K2077" s="30"/>
      <c r="L2077" s="30"/>
      <c r="M2077" s="30"/>
      <c r="N2077" s="30"/>
      <c r="O2077" s="30"/>
      <c r="P2077" s="30"/>
      <c r="Q2077" s="30"/>
      <c r="R2077" s="30"/>
      <c r="S2077" s="30"/>
      <c r="T2077" s="30"/>
      <c r="U2077" s="30"/>
      <c r="V2077" s="30"/>
      <c r="W2077" s="30"/>
      <c r="X2077" s="30"/>
      <c r="Y2077" s="30"/>
      <c r="Z2077" s="30"/>
    </row>
    <row r="2078">
      <c r="A2078" s="29"/>
      <c r="B2078" s="29"/>
      <c r="C2078" s="30"/>
      <c r="D2078" s="30"/>
      <c r="E2078" s="30"/>
      <c r="F2078" s="30"/>
      <c r="G2078" s="30"/>
      <c r="H2078" s="30"/>
      <c r="I2078" s="30"/>
      <c r="J2078" s="30"/>
      <c r="K2078" s="30"/>
      <c r="L2078" s="30"/>
      <c r="M2078" s="30"/>
      <c r="N2078" s="30"/>
      <c r="O2078" s="30"/>
      <c r="P2078" s="30"/>
      <c r="Q2078" s="30"/>
      <c r="R2078" s="30"/>
      <c r="S2078" s="30"/>
      <c r="T2078" s="30"/>
      <c r="U2078" s="30"/>
      <c r="V2078" s="30"/>
      <c r="W2078" s="30"/>
      <c r="X2078" s="30"/>
      <c r="Y2078" s="30"/>
      <c r="Z2078" s="30"/>
    </row>
    <row r="2079">
      <c r="A2079" s="29"/>
      <c r="B2079" s="29"/>
      <c r="C2079" s="30"/>
      <c r="D2079" s="30"/>
      <c r="E2079" s="30"/>
      <c r="F2079" s="30"/>
      <c r="G2079" s="30"/>
      <c r="H2079" s="30"/>
      <c r="I2079" s="30"/>
      <c r="J2079" s="30"/>
      <c r="K2079" s="30"/>
      <c r="L2079" s="30"/>
      <c r="M2079" s="30"/>
      <c r="N2079" s="30"/>
      <c r="O2079" s="30"/>
      <c r="P2079" s="30"/>
      <c r="Q2079" s="30"/>
      <c r="R2079" s="30"/>
      <c r="S2079" s="30"/>
      <c r="T2079" s="30"/>
      <c r="U2079" s="30"/>
      <c r="V2079" s="30"/>
      <c r="W2079" s="30"/>
      <c r="X2079" s="30"/>
      <c r="Y2079" s="30"/>
      <c r="Z2079" s="30"/>
    </row>
    <row r="2080">
      <c r="A2080" s="29"/>
      <c r="B2080" s="29"/>
      <c r="C2080" s="30"/>
      <c r="D2080" s="30"/>
      <c r="E2080" s="30"/>
      <c r="F2080" s="30"/>
      <c r="G2080" s="30"/>
      <c r="H2080" s="30"/>
      <c r="I2080" s="30"/>
      <c r="J2080" s="30"/>
      <c r="K2080" s="30"/>
      <c r="L2080" s="30"/>
      <c r="M2080" s="30"/>
      <c r="N2080" s="30"/>
      <c r="O2080" s="30"/>
      <c r="P2080" s="30"/>
      <c r="Q2080" s="30"/>
      <c r="R2080" s="30"/>
      <c r="S2080" s="30"/>
      <c r="T2080" s="30"/>
      <c r="U2080" s="30"/>
      <c r="V2080" s="30"/>
      <c r="W2080" s="30"/>
      <c r="X2080" s="30"/>
      <c r="Y2080" s="30"/>
      <c r="Z2080" s="30"/>
    </row>
    <row r="2081">
      <c r="A2081" s="29"/>
      <c r="B2081" s="29"/>
      <c r="C2081" s="30"/>
      <c r="D2081" s="30"/>
      <c r="E2081" s="30"/>
      <c r="F2081" s="30"/>
      <c r="G2081" s="30"/>
      <c r="H2081" s="30"/>
      <c r="I2081" s="30"/>
      <c r="J2081" s="30"/>
      <c r="K2081" s="30"/>
      <c r="L2081" s="30"/>
      <c r="M2081" s="30"/>
      <c r="N2081" s="30"/>
      <c r="O2081" s="30"/>
      <c r="P2081" s="30"/>
      <c r="Q2081" s="30"/>
      <c r="R2081" s="30"/>
      <c r="S2081" s="30"/>
      <c r="T2081" s="30"/>
      <c r="U2081" s="30"/>
      <c r="V2081" s="30"/>
      <c r="W2081" s="30"/>
      <c r="X2081" s="30"/>
      <c r="Y2081" s="30"/>
      <c r="Z2081" s="30"/>
    </row>
    <row r="2082">
      <c r="A2082" s="29"/>
      <c r="B2082" s="29"/>
      <c r="C2082" s="30"/>
      <c r="D2082" s="30"/>
      <c r="E2082" s="30"/>
      <c r="F2082" s="30"/>
      <c r="G2082" s="30"/>
      <c r="H2082" s="30"/>
      <c r="I2082" s="30"/>
      <c r="J2082" s="30"/>
      <c r="K2082" s="30"/>
      <c r="L2082" s="30"/>
      <c r="M2082" s="30"/>
      <c r="N2082" s="30"/>
      <c r="O2082" s="30"/>
      <c r="P2082" s="30"/>
      <c r="Q2082" s="30"/>
      <c r="R2082" s="30"/>
      <c r="S2082" s="30"/>
      <c r="T2082" s="30"/>
      <c r="U2082" s="30"/>
      <c r="V2082" s="30"/>
      <c r="W2082" s="30"/>
      <c r="X2082" s="30"/>
      <c r="Y2082" s="30"/>
      <c r="Z2082" s="30"/>
    </row>
    <row r="2083">
      <c r="A2083" s="29"/>
      <c r="B2083" s="29"/>
      <c r="C2083" s="30"/>
      <c r="D2083" s="30"/>
      <c r="E2083" s="30"/>
      <c r="F2083" s="30"/>
      <c r="G2083" s="30"/>
      <c r="H2083" s="30"/>
      <c r="I2083" s="30"/>
      <c r="J2083" s="30"/>
      <c r="K2083" s="30"/>
      <c r="L2083" s="30"/>
      <c r="M2083" s="30"/>
      <c r="N2083" s="30"/>
      <c r="O2083" s="30"/>
      <c r="P2083" s="30"/>
      <c r="Q2083" s="30"/>
      <c r="R2083" s="30"/>
      <c r="S2083" s="30"/>
      <c r="T2083" s="30"/>
      <c r="U2083" s="30"/>
      <c r="V2083" s="30"/>
      <c r="W2083" s="30"/>
      <c r="X2083" s="30"/>
      <c r="Y2083" s="30"/>
      <c r="Z2083" s="30"/>
    </row>
    <row r="2084">
      <c r="A2084" s="29"/>
      <c r="B2084" s="29"/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30"/>
      <c r="N2084" s="30"/>
      <c r="O2084" s="30"/>
      <c r="P2084" s="30"/>
      <c r="Q2084" s="30"/>
      <c r="R2084" s="30"/>
      <c r="S2084" s="30"/>
      <c r="T2084" s="30"/>
      <c r="U2084" s="30"/>
      <c r="V2084" s="30"/>
      <c r="W2084" s="30"/>
      <c r="X2084" s="30"/>
      <c r="Y2084" s="30"/>
      <c r="Z2084" s="30"/>
    </row>
    <row r="2085">
      <c r="A2085" s="29"/>
      <c r="B2085" s="29"/>
      <c r="C2085" s="30"/>
      <c r="D2085" s="30"/>
      <c r="E2085" s="30"/>
      <c r="F2085" s="30"/>
      <c r="G2085" s="30"/>
      <c r="H2085" s="30"/>
      <c r="I2085" s="30"/>
      <c r="J2085" s="30"/>
      <c r="K2085" s="30"/>
      <c r="L2085" s="30"/>
      <c r="M2085" s="30"/>
      <c r="N2085" s="30"/>
      <c r="O2085" s="30"/>
      <c r="P2085" s="30"/>
      <c r="Q2085" s="30"/>
      <c r="R2085" s="30"/>
      <c r="S2085" s="30"/>
      <c r="T2085" s="30"/>
      <c r="U2085" s="30"/>
      <c r="V2085" s="30"/>
      <c r="W2085" s="30"/>
      <c r="X2085" s="30"/>
      <c r="Y2085" s="30"/>
      <c r="Z2085" s="30"/>
    </row>
    <row r="2086">
      <c r="A2086" s="29"/>
      <c r="B2086" s="29"/>
      <c r="C2086" s="30"/>
      <c r="D2086" s="30"/>
      <c r="E2086" s="30"/>
      <c r="F2086" s="30"/>
      <c r="G2086" s="30"/>
      <c r="H2086" s="30"/>
      <c r="I2086" s="30"/>
      <c r="J2086" s="30"/>
      <c r="K2086" s="30"/>
      <c r="L2086" s="30"/>
      <c r="M2086" s="30"/>
      <c r="N2086" s="30"/>
      <c r="O2086" s="30"/>
      <c r="P2086" s="30"/>
      <c r="Q2086" s="30"/>
      <c r="R2086" s="30"/>
      <c r="S2086" s="30"/>
      <c r="T2086" s="30"/>
      <c r="U2086" s="30"/>
      <c r="V2086" s="30"/>
      <c r="W2086" s="30"/>
      <c r="X2086" s="30"/>
      <c r="Y2086" s="30"/>
      <c r="Z2086" s="30"/>
    </row>
    <row r="2087">
      <c r="A2087" s="29"/>
      <c r="B2087" s="29"/>
      <c r="C2087" s="30"/>
      <c r="D2087" s="30"/>
      <c r="E2087" s="30"/>
      <c r="F2087" s="30"/>
      <c r="G2087" s="30"/>
      <c r="H2087" s="30"/>
      <c r="I2087" s="30"/>
      <c r="J2087" s="30"/>
      <c r="K2087" s="30"/>
      <c r="L2087" s="30"/>
      <c r="M2087" s="30"/>
      <c r="N2087" s="30"/>
      <c r="O2087" s="30"/>
      <c r="P2087" s="30"/>
      <c r="Q2087" s="30"/>
      <c r="R2087" s="30"/>
      <c r="S2087" s="30"/>
      <c r="T2087" s="30"/>
      <c r="U2087" s="30"/>
      <c r="V2087" s="30"/>
      <c r="W2087" s="30"/>
      <c r="X2087" s="30"/>
      <c r="Y2087" s="30"/>
      <c r="Z2087" s="30"/>
    </row>
    <row r="2088">
      <c r="A2088" s="29"/>
      <c r="B2088" s="29"/>
      <c r="C2088" s="30"/>
      <c r="D2088" s="30"/>
      <c r="E2088" s="30"/>
      <c r="F2088" s="30"/>
      <c r="G2088" s="30"/>
      <c r="H2088" s="30"/>
      <c r="I2088" s="30"/>
      <c r="J2088" s="30"/>
      <c r="K2088" s="30"/>
      <c r="L2088" s="30"/>
      <c r="M2088" s="30"/>
      <c r="N2088" s="30"/>
      <c r="O2088" s="30"/>
      <c r="P2088" s="30"/>
      <c r="Q2088" s="30"/>
      <c r="R2088" s="30"/>
      <c r="S2088" s="30"/>
      <c r="T2088" s="30"/>
      <c r="U2088" s="30"/>
      <c r="V2088" s="30"/>
      <c r="W2088" s="30"/>
      <c r="X2088" s="30"/>
      <c r="Y2088" s="30"/>
      <c r="Z2088" s="30"/>
    </row>
    <row r="2089">
      <c r="A2089" s="29"/>
      <c r="B2089" s="29"/>
      <c r="C2089" s="30"/>
      <c r="D2089" s="30"/>
      <c r="E2089" s="30"/>
      <c r="F2089" s="30"/>
      <c r="G2089" s="30"/>
      <c r="H2089" s="30"/>
      <c r="I2089" s="30"/>
      <c r="J2089" s="30"/>
      <c r="K2089" s="30"/>
      <c r="L2089" s="30"/>
      <c r="M2089" s="30"/>
      <c r="N2089" s="30"/>
      <c r="O2089" s="30"/>
      <c r="P2089" s="30"/>
      <c r="Q2089" s="30"/>
      <c r="R2089" s="30"/>
      <c r="S2089" s="30"/>
      <c r="T2089" s="30"/>
      <c r="U2089" s="30"/>
      <c r="V2089" s="30"/>
      <c r="W2089" s="30"/>
      <c r="X2089" s="30"/>
      <c r="Y2089" s="30"/>
      <c r="Z2089" s="30"/>
    </row>
    <row r="2090">
      <c r="A2090" s="29"/>
      <c r="B2090" s="29"/>
      <c r="C2090" s="30"/>
      <c r="D2090" s="30"/>
      <c r="E2090" s="30"/>
      <c r="F2090" s="30"/>
      <c r="G2090" s="30"/>
      <c r="H2090" s="30"/>
      <c r="I2090" s="30"/>
      <c r="J2090" s="30"/>
      <c r="K2090" s="30"/>
      <c r="L2090" s="30"/>
      <c r="M2090" s="30"/>
      <c r="N2090" s="30"/>
      <c r="O2090" s="30"/>
      <c r="P2090" s="30"/>
      <c r="Q2090" s="30"/>
      <c r="R2090" s="30"/>
      <c r="S2090" s="30"/>
      <c r="T2090" s="30"/>
      <c r="U2090" s="30"/>
      <c r="V2090" s="30"/>
      <c r="W2090" s="30"/>
      <c r="X2090" s="30"/>
      <c r="Y2090" s="30"/>
      <c r="Z2090" s="30"/>
    </row>
    <row r="2091">
      <c r="A2091" s="29"/>
      <c r="B2091" s="29"/>
      <c r="C2091" s="30"/>
      <c r="D2091" s="30"/>
      <c r="E2091" s="30"/>
      <c r="F2091" s="30"/>
      <c r="G2091" s="30"/>
      <c r="H2091" s="30"/>
      <c r="I2091" s="30"/>
      <c r="J2091" s="30"/>
      <c r="K2091" s="30"/>
      <c r="L2091" s="30"/>
      <c r="M2091" s="30"/>
      <c r="N2091" s="30"/>
      <c r="O2091" s="30"/>
      <c r="P2091" s="30"/>
      <c r="Q2091" s="30"/>
      <c r="R2091" s="30"/>
      <c r="S2091" s="30"/>
      <c r="T2091" s="30"/>
      <c r="U2091" s="30"/>
      <c r="V2091" s="30"/>
      <c r="W2091" s="30"/>
      <c r="X2091" s="30"/>
      <c r="Y2091" s="30"/>
      <c r="Z2091" s="30"/>
    </row>
    <row r="2092">
      <c r="A2092" s="29"/>
      <c r="B2092" s="29"/>
      <c r="C2092" s="30"/>
      <c r="D2092" s="30"/>
      <c r="E2092" s="30"/>
      <c r="F2092" s="30"/>
      <c r="G2092" s="30"/>
      <c r="H2092" s="30"/>
      <c r="I2092" s="30"/>
      <c r="J2092" s="30"/>
      <c r="K2092" s="30"/>
      <c r="L2092" s="30"/>
      <c r="M2092" s="30"/>
      <c r="N2092" s="30"/>
      <c r="O2092" s="30"/>
      <c r="P2092" s="30"/>
      <c r="Q2092" s="30"/>
      <c r="R2092" s="30"/>
      <c r="S2092" s="30"/>
      <c r="T2092" s="30"/>
      <c r="U2092" s="30"/>
      <c r="V2092" s="30"/>
      <c r="W2092" s="30"/>
      <c r="X2092" s="30"/>
      <c r="Y2092" s="30"/>
      <c r="Z2092" s="30"/>
    </row>
    <row r="2093">
      <c r="A2093" s="29"/>
      <c r="B2093" s="29"/>
      <c r="C2093" s="30"/>
      <c r="D2093" s="30"/>
      <c r="E2093" s="30"/>
      <c r="F2093" s="30"/>
      <c r="G2093" s="30"/>
      <c r="H2093" s="30"/>
      <c r="I2093" s="30"/>
      <c r="J2093" s="30"/>
      <c r="K2093" s="30"/>
      <c r="L2093" s="30"/>
      <c r="M2093" s="30"/>
      <c r="N2093" s="30"/>
      <c r="O2093" s="30"/>
      <c r="P2093" s="30"/>
      <c r="Q2093" s="30"/>
      <c r="R2093" s="30"/>
      <c r="S2093" s="30"/>
      <c r="T2093" s="30"/>
      <c r="U2093" s="30"/>
      <c r="V2093" s="30"/>
      <c r="W2093" s="30"/>
      <c r="X2093" s="30"/>
      <c r="Y2093" s="30"/>
      <c r="Z2093" s="30"/>
    </row>
    <row r="2094">
      <c r="A2094" s="29"/>
      <c r="B2094" s="29"/>
      <c r="C2094" s="30"/>
      <c r="D2094" s="30"/>
      <c r="E2094" s="30"/>
      <c r="F2094" s="30"/>
      <c r="G2094" s="30"/>
      <c r="H2094" s="30"/>
      <c r="I2094" s="30"/>
      <c r="J2094" s="30"/>
      <c r="K2094" s="30"/>
      <c r="L2094" s="30"/>
      <c r="M2094" s="30"/>
      <c r="N2094" s="30"/>
      <c r="O2094" s="30"/>
      <c r="P2094" s="30"/>
      <c r="Q2094" s="30"/>
      <c r="R2094" s="30"/>
      <c r="S2094" s="30"/>
      <c r="T2094" s="30"/>
      <c r="U2094" s="30"/>
      <c r="V2094" s="30"/>
      <c r="W2094" s="30"/>
      <c r="X2094" s="30"/>
      <c r="Y2094" s="30"/>
      <c r="Z2094" s="30"/>
    </row>
    <row r="2095">
      <c r="A2095" s="29"/>
      <c r="B2095" s="29"/>
      <c r="C2095" s="30"/>
      <c r="D2095" s="30"/>
      <c r="E2095" s="30"/>
      <c r="F2095" s="30"/>
      <c r="G2095" s="30"/>
      <c r="H2095" s="30"/>
      <c r="I2095" s="30"/>
      <c r="J2095" s="30"/>
      <c r="K2095" s="30"/>
      <c r="L2095" s="30"/>
      <c r="M2095" s="30"/>
      <c r="N2095" s="30"/>
      <c r="O2095" s="30"/>
      <c r="P2095" s="30"/>
      <c r="Q2095" s="30"/>
      <c r="R2095" s="30"/>
      <c r="S2095" s="30"/>
      <c r="T2095" s="30"/>
      <c r="U2095" s="30"/>
      <c r="V2095" s="30"/>
      <c r="W2095" s="30"/>
      <c r="X2095" s="30"/>
      <c r="Y2095" s="30"/>
      <c r="Z2095" s="30"/>
    </row>
    <row r="2096">
      <c r="A2096" s="29"/>
      <c r="B2096" s="29"/>
      <c r="C2096" s="30"/>
      <c r="D2096" s="30"/>
      <c r="E2096" s="30"/>
      <c r="F2096" s="30"/>
      <c r="G2096" s="30"/>
      <c r="H2096" s="30"/>
      <c r="I2096" s="30"/>
      <c r="J2096" s="30"/>
      <c r="K2096" s="30"/>
      <c r="L2096" s="30"/>
      <c r="M2096" s="30"/>
      <c r="N2096" s="30"/>
      <c r="O2096" s="30"/>
      <c r="P2096" s="30"/>
      <c r="Q2096" s="30"/>
      <c r="R2096" s="30"/>
      <c r="S2096" s="30"/>
      <c r="T2096" s="30"/>
      <c r="U2096" s="30"/>
      <c r="V2096" s="30"/>
      <c r="W2096" s="30"/>
      <c r="X2096" s="30"/>
      <c r="Y2096" s="30"/>
      <c r="Z2096" s="30"/>
    </row>
    <row r="2097">
      <c r="A2097" s="29"/>
      <c r="B2097" s="29"/>
      <c r="C2097" s="30"/>
      <c r="D2097" s="30"/>
      <c r="E2097" s="30"/>
      <c r="F2097" s="30"/>
      <c r="G2097" s="30"/>
      <c r="H2097" s="30"/>
      <c r="I2097" s="30"/>
      <c r="J2097" s="30"/>
      <c r="K2097" s="30"/>
      <c r="L2097" s="30"/>
      <c r="M2097" s="30"/>
      <c r="N2097" s="30"/>
      <c r="O2097" s="30"/>
      <c r="P2097" s="30"/>
      <c r="Q2097" s="30"/>
      <c r="R2097" s="30"/>
      <c r="S2097" s="30"/>
      <c r="T2097" s="30"/>
      <c r="U2097" s="30"/>
      <c r="V2097" s="30"/>
      <c r="W2097" s="30"/>
      <c r="X2097" s="30"/>
      <c r="Y2097" s="30"/>
      <c r="Z2097" s="30"/>
    </row>
    <row r="2098">
      <c r="A2098" s="29"/>
      <c r="B2098" s="29"/>
      <c r="C2098" s="30"/>
      <c r="D2098" s="30"/>
      <c r="E2098" s="30"/>
      <c r="F2098" s="30"/>
      <c r="G2098" s="30"/>
      <c r="H2098" s="30"/>
      <c r="I2098" s="30"/>
      <c r="J2098" s="30"/>
      <c r="K2098" s="30"/>
      <c r="L2098" s="30"/>
      <c r="M2098" s="30"/>
      <c r="N2098" s="30"/>
      <c r="O2098" s="30"/>
      <c r="P2098" s="30"/>
      <c r="Q2098" s="30"/>
      <c r="R2098" s="30"/>
      <c r="S2098" s="30"/>
      <c r="T2098" s="30"/>
      <c r="U2098" s="30"/>
      <c r="V2098" s="30"/>
      <c r="W2098" s="30"/>
      <c r="X2098" s="30"/>
      <c r="Y2098" s="30"/>
      <c r="Z2098" s="30"/>
    </row>
    <row r="2099">
      <c r="A2099" s="29"/>
      <c r="B2099" s="29"/>
      <c r="C2099" s="30"/>
      <c r="D2099" s="30"/>
      <c r="E2099" s="30"/>
      <c r="F2099" s="30"/>
      <c r="G2099" s="30"/>
      <c r="H2099" s="30"/>
      <c r="I2099" s="30"/>
      <c r="J2099" s="30"/>
      <c r="K2099" s="30"/>
      <c r="L2099" s="30"/>
      <c r="M2099" s="30"/>
      <c r="N2099" s="30"/>
      <c r="O2099" s="30"/>
      <c r="P2099" s="30"/>
      <c r="Q2099" s="30"/>
      <c r="R2099" s="30"/>
      <c r="S2099" s="30"/>
      <c r="T2099" s="30"/>
      <c r="U2099" s="30"/>
      <c r="V2099" s="30"/>
      <c r="W2099" s="30"/>
      <c r="X2099" s="30"/>
      <c r="Y2099" s="30"/>
      <c r="Z2099" s="30"/>
    </row>
    <row r="2100">
      <c r="A2100" s="29"/>
      <c r="B2100" s="29"/>
      <c r="C2100" s="30"/>
      <c r="D2100" s="30"/>
      <c r="E2100" s="30"/>
      <c r="F2100" s="30"/>
      <c r="G2100" s="30"/>
      <c r="H2100" s="30"/>
      <c r="I2100" s="30"/>
      <c r="J2100" s="30"/>
      <c r="K2100" s="30"/>
      <c r="L2100" s="30"/>
      <c r="M2100" s="30"/>
      <c r="N2100" s="30"/>
      <c r="O2100" s="30"/>
      <c r="P2100" s="30"/>
      <c r="Q2100" s="30"/>
      <c r="R2100" s="30"/>
      <c r="S2100" s="30"/>
      <c r="T2100" s="30"/>
      <c r="U2100" s="30"/>
      <c r="V2100" s="30"/>
      <c r="W2100" s="30"/>
      <c r="X2100" s="30"/>
      <c r="Y2100" s="30"/>
      <c r="Z2100" s="30"/>
    </row>
    <row r="2101">
      <c r="A2101" s="29"/>
      <c r="B2101" s="29"/>
      <c r="C2101" s="30"/>
      <c r="D2101" s="30"/>
      <c r="E2101" s="30"/>
      <c r="F2101" s="30"/>
      <c r="G2101" s="30"/>
      <c r="H2101" s="30"/>
      <c r="I2101" s="30"/>
      <c r="J2101" s="30"/>
      <c r="K2101" s="30"/>
      <c r="L2101" s="30"/>
      <c r="M2101" s="30"/>
      <c r="N2101" s="30"/>
      <c r="O2101" s="30"/>
      <c r="P2101" s="30"/>
      <c r="Q2101" s="30"/>
      <c r="R2101" s="30"/>
      <c r="S2101" s="30"/>
      <c r="T2101" s="30"/>
      <c r="U2101" s="30"/>
      <c r="V2101" s="30"/>
      <c r="W2101" s="30"/>
      <c r="X2101" s="30"/>
      <c r="Y2101" s="30"/>
      <c r="Z2101" s="30"/>
    </row>
    <row r="2102">
      <c r="A2102" s="29"/>
      <c r="B2102" s="29"/>
      <c r="C2102" s="30"/>
      <c r="D2102" s="30"/>
      <c r="E2102" s="30"/>
      <c r="F2102" s="30"/>
      <c r="G2102" s="30"/>
      <c r="H2102" s="30"/>
      <c r="I2102" s="30"/>
      <c r="J2102" s="30"/>
      <c r="K2102" s="30"/>
      <c r="L2102" s="30"/>
      <c r="M2102" s="30"/>
      <c r="N2102" s="30"/>
      <c r="O2102" s="30"/>
      <c r="P2102" s="30"/>
      <c r="Q2102" s="30"/>
      <c r="R2102" s="30"/>
      <c r="S2102" s="30"/>
      <c r="T2102" s="30"/>
      <c r="U2102" s="30"/>
      <c r="V2102" s="30"/>
      <c r="W2102" s="30"/>
      <c r="X2102" s="30"/>
      <c r="Y2102" s="30"/>
      <c r="Z2102" s="30"/>
    </row>
    <row r="2103">
      <c r="A2103" s="29"/>
      <c r="B2103" s="29"/>
      <c r="C2103" s="30"/>
      <c r="D2103" s="30"/>
      <c r="E2103" s="30"/>
      <c r="F2103" s="30"/>
      <c r="G2103" s="30"/>
      <c r="H2103" s="30"/>
      <c r="I2103" s="30"/>
      <c r="J2103" s="30"/>
      <c r="K2103" s="30"/>
      <c r="L2103" s="30"/>
      <c r="M2103" s="30"/>
      <c r="N2103" s="30"/>
      <c r="O2103" s="30"/>
      <c r="P2103" s="30"/>
      <c r="Q2103" s="30"/>
      <c r="R2103" s="30"/>
      <c r="S2103" s="30"/>
      <c r="T2103" s="30"/>
      <c r="U2103" s="30"/>
      <c r="V2103" s="30"/>
      <c r="W2103" s="30"/>
      <c r="X2103" s="30"/>
      <c r="Y2103" s="30"/>
      <c r="Z2103" s="30"/>
    </row>
    <row r="2104">
      <c r="A2104" s="29"/>
      <c r="B2104" s="29"/>
      <c r="C2104" s="30"/>
      <c r="D2104" s="30"/>
      <c r="E2104" s="30"/>
      <c r="F2104" s="30"/>
      <c r="G2104" s="30"/>
      <c r="H2104" s="30"/>
      <c r="I2104" s="30"/>
      <c r="J2104" s="30"/>
      <c r="K2104" s="30"/>
      <c r="L2104" s="30"/>
      <c r="M2104" s="30"/>
      <c r="N2104" s="30"/>
      <c r="O2104" s="30"/>
      <c r="P2104" s="30"/>
      <c r="Q2104" s="30"/>
      <c r="R2104" s="30"/>
      <c r="S2104" s="30"/>
      <c r="T2104" s="30"/>
      <c r="U2104" s="30"/>
      <c r="V2104" s="30"/>
      <c r="W2104" s="30"/>
      <c r="X2104" s="30"/>
      <c r="Y2104" s="30"/>
      <c r="Z2104" s="30"/>
    </row>
    <row r="2105">
      <c r="A2105" s="29"/>
      <c r="B2105" s="29"/>
      <c r="C2105" s="30"/>
      <c r="D2105" s="30"/>
      <c r="E2105" s="30"/>
      <c r="F2105" s="30"/>
      <c r="G2105" s="30"/>
      <c r="H2105" s="30"/>
      <c r="I2105" s="30"/>
      <c r="J2105" s="30"/>
      <c r="K2105" s="30"/>
      <c r="L2105" s="30"/>
      <c r="M2105" s="30"/>
      <c r="N2105" s="30"/>
      <c r="O2105" s="30"/>
      <c r="P2105" s="30"/>
      <c r="Q2105" s="30"/>
      <c r="R2105" s="30"/>
      <c r="S2105" s="30"/>
      <c r="T2105" s="30"/>
      <c r="U2105" s="30"/>
      <c r="V2105" s="30"/>
      <c r="W2105" s="30"/>
      <c r="X2105" s="30"/>
      <c r="Y2105" s="30"/>
      <c r="Z2105" s="30"/>
    </row>
    <row r="2106">
      <c r="A2106" s="29"/>
      <c r="B2106" s="29"/>
      <c r="C2106" s="30"/>
      <c r="D2106" s="30"/>
      <c r="E2106" s="30"/>
      <c r="F2106" s="30"/>
      <c r="G2106" s="30"/>
      <c r="H2106" s="30"/>
      <c r="I2106" s="30"/>
      <c r="J2106" s="30"/>
      <c r="K2106" s="30"/>
      <c r="L2106" s="30"/>
      <c r="M2106" s="30"/>
      <c r="N2106" s="30"/>
      <c r="O2106" s="30"/>
      <c r="P2106" s="30"/>
      <c r="Q2106" s="30"/>
      <c r="R2106" s="30"/>
      <c r="S2106" s="30"/>
      <c r="T2106" s="30"/>
      <c r="U2106" s="30"/>
      <c r="V2106" s="30"/>
      <c r="W2106" s="30"/>
      <c r="X2106" s="30"/>
      <c r="Y2106" s="30"/>
      <c r="Z2106" s="30"/>
    </row>
    <row r="2107">
      <c r="A2107" s="29"/>
      <c r="B2107" s="29"/>
      <c r="C2107" s="30"/>
      <c r="D2107" s="30"/>
      <c r="E2107" s="30"/>
      <c r="F2107" s="30"/>
      <c r="G2107" s="30"/>
      <c r="H2107" s="30"/>
      <c r="I2107" s="30"/>
      <c r="J2107" s="30"/>
      <c r="K2107" s="30"/>
      <c r="L2107" s="30"/>
      <c r="M2107" s="30"/>
      <c r="N2107" s="30"/>
      <c r="O2107" s="30"/>
      <c r="P2107" s="30"/>
      <c r="Q2107" s="30"/>
      <c r="R2107" s="30"/>
      <c r="S2107" s="30"/>
      <c r="T2107" s="30"/>
      <c r="U2107" s="30"/>
      <c r="V2107" s="30"/>
      <c r="W2107" s="30"/>
      <c r="X2107" s="30"/>
      <c r="Y2107" s="30"/>
      <c r="Z2107" s="30"/>
    </row>
    <row r="2108">
      <c r="A2108" s="29"/>
      <c r="B2108" s="29"/>
      <c r="C2108" s="30"/>
      <c r="D2108" s="30"/>
      <c r="E2108" s="30"/>
      <c r="F2108" s="30"/>
      <c r="G2108" s="30"/>
      <c r="H2108" s="30"/>
      <c r="I2108" s="30"/>
      <c r="J2108" s="30"/>
      <c r="K2108" s="30"/>
      <c r="L2108" s="30"/>
      <c r="M2108" s="30"/>
      <c r="N2108" s="30"/>
      <c r="O2108" s="30"/>
      <c r="P2108" s="30"/>
      <c r="Q2108" s="30"/>
      <c r="R2108" s="30"/>
      <c r="S2108" s="30"/>
      <c r="T2108" s="30"/>
      <c r="U2108" s="30"/>
      <c r="V2108" s="30"/>
      <c r="W2108" s="30"/>
      <c r="X2108" s="30"/>
      <c r="Y2108" s="30"/>
      <c r="Z2108" s="30"/>
    </row>
    <row r="2109">
      <c r="A2109" s="29"/>
      <c r="B2109" s="29"/>
      <c r="C2109" s="30"/>
      <c r="D2109" s="30"/>
      <c r="E2109" s="30"/>
      <c r="F2109" s="30"/>
      <c r="G2109" s="30"/>
      <c r="H2109" s="30"/>
      <c r="I2109" s="30"/>
      <c r="J2109" s="30"/>
      <c r="K2109" s="30"/>
      <c r="L2109" s="30"/>
      <c r="M2109" s="30"/>
      <c r="N2109" s="30"/>
      <c r="O2109" s="30"/>
      <c r="P2109" s="30"/>
      <c r="Q2109" s="30"/>
      <c r="R2109" s="30"/>
      <c r="S2109" s="30"/>
      <c r="T2109" s="30"/>
      <c r="U2109" s="30"/>
      <c r="V2109" s="30"/>
      <c r="W2109" s="30"/>
      <c r="X2109" s="30"/>
      <c r="Y2109" s="30"/>
      <c r="Z2109" s="30"/>
    </row>
    <row r="2110">
      <c r="A2110" s="29"/>
      <c r="B2110" s="29"/>
      <c r="C2110" s="30"/>
      <c r="D2110" s="30"/>
      <c r="E2110" s="30"/>
      <c r="F2110" s="30"/>
      <c r="G2110" s="30"/>
      <c r="H2110" s="30"/>
      <c r="I2110" s="30"/>
      <c r="J2110" s="30"/>
      <c r="K2110" s="30"/>
      <c r="L2110" s="30"/>
      <c r="M2110" s="30"/>
      <c r="N2110" s="30"/>
      <c r="O2110" s="30"/>
      <c r="P2110" s="30"/>
      <c r="Q2110" s="30"/>
      <c r="R2110" s="30"/>
      <c r="S2110" s="30"/>
      <c r="T2110" s="30"/>
      <c r="U2110" s="30"/>
      <c r="V2110" s="30"/>
      <c r="W2110" s="30"/>
      <c r="X2110" s="30"/>
      <c r="Y2110" s="30"/>
      <c r="Z2110" s="30"/>
    </row>
    <row r="2111">
      <c r="A2111" s="29"/>
      <c r="B2111" s="29"/>
      <c r="C2111" s="30"/>
      <c r="D2111" s="30"/>
      <c r="E2111" s="30"/>
      <c r="F2111" s="30"/>
      <c r="G2111" s="30"/>
      <c r="H2111" s="30"/>
      <c r="I2111" s="30"/>
      <c r="J2111" s="30"/>
      <c r="K2111" s="30"/>
      <c r="L2111" s="30"/>
      <c r="M2111" s="30"/>
      <c r="N2111" s="30"/>
      <c r="O2111" s="30"/>
      <c r="P2111" s="30"/>
      <c r="Q2111" s="30"/>
      <c r="R2111" s="30"/>
      <c r="S2111" s="30"/>
      <c r="T2111" s="30"/>
      <c r="U2111" s="30"/>
      <c r="V2111" s="30"/>
      <c r="W2111" s="30"/>
      <c r="X2111" s="30"/>
      <c r="Y2111" s="30"/>
      <c r="Z2111" s="30"/>
    </row>
    <row r="2112">
      <c r="A2112" s="29"/>
      <c r="B2112" s="29"/>
      <c r="C2112" s="30"/>
      <c r="D2112" s="30"/>
      <c r="E2112" s="30"/>
      <c r="F2112" s="30"/>
      <c r="G2112" s="30"/>
      <c r="H2112" s="30"/>
      <c r="I2112" s="30"/>
      <c r="J2112" s="30"/>
      <c r="K2112" s="30"/>
      <c r="L2112" s="30"/>
      <c r="M2112" s="30"/>
      <c r="N2112" s="30"/>
      <c r="O2112" s="30"/>
      <c r="P2112" s="30"/>
      <c r="Q2112" s="30"/>
      <c r="R2112" s="30"/>
      <c r="S2112" s="30"/>
      <c r="T2112" s="30"/>
      <c r="U2112" s="30"/>
      <c r="V2112" s="30"/>
      <c r="W2112" s="30"/>
      <c r="X2112" s="30"/>
      <c r="Y2112" s="30"/>
      <c r="Z2112" s="30"/>
    </row>
    <row r="2113">
      <c r="A2113" s="29"/>
      <c r="B2113" s="29"/>
      <c r="C2113" s="30"/>
      <c r="D2113" s="30"/>
      <c r="E2113" s="30"/>
      <c r="F2113" s="30"/>
      <c r="G2113" s="30"/>
      <c r="H2113" s="30"/>
      <c r="I2113" s="30"/>
      <c r="J2113" s="30"/>
      <c r="K2113" s="30"/>
      <c r="L2113" s="30"/>
      <c r="M2113" s="30"/>
      <c r="N2113" s="30"/>
      <c r="O2113" s="30"/>
      <c r="P2113" s="30"/>
      <c r="Q2113" s="30"/>
      <c r="R2113" s="30"/>
      <c r="S2113" s="30"/>
      <c r="T2113" s="30"/>
      <c r="U2113" s="30"/>
      <c r="V2113" s="30"/>
      <c r="W2113" s="30"/>
      <c r="X2113" s="30"/>
      <c r="Y2113" s="30"/>
      <c r="Z2113" s="30"/>
    </row>
    <row r="2114">
      <c r="A2114" s="29"/>
      <c r="B2114" s="29"/>
      <c r="C2114" s="30"/>
      <c r="D2114" s="30"/>
      <c r="E2114" s="30"/>
      <c r="F2114" s="30"/>
      <c r="G2114" s="30"/>
      <c r="H2114" s="30"/>
      <c r="I2114" s="30"/>
      <c r="J2114" s="30"/>
      <c r="K2114" s="30"/>
      <c r="L2114" s="30"/>
      <c r="M2114" s="30"/>
      <c r="N2114" s="30"/>
      <c r="O2114" s="30"/>
      <c r="P2114" s="30"/>
      <c r="Q2114" s="30"/>
      <c r="R2114" s="30"/>
      <c r="S2114" s="30"/>
      <c r="T2114" s="30"/>
      <c r="U2114" s="30"/>
      <c r="V2114" s="30"/>
      <c r="W2114" s="30"/>
      <c r="X2114" s="30"/>
      <c r="Y2114" s="30"/>
      <c r="Z2114" s="30"/>
    </row>
    <row r="2115">
      <c r="A2115" s="29"/>
      <c r="B2115" s="29"/>
      <c r="C2115" s="30"/>
      <c r="D2115" s="30"/>
      <c r="E2115" s="30"/>
      <c r="F2115" s="30"/>
      <c r="G2115" s="30"/>
      <c r="H2115" s="30"/>
      <c r="I2115" s="30"/>
      <c r="J2115" s="30"/>
      <c r="K2115" s="30"/>
      <c r="L2115" s="30"/>
      <c r="M2115" s="30"/>
      <c r="N2115" s="30"/>
      <c r="O2115" s="30"/>
      <c r="P2115" s="30"/>
      <c r="Q2115" s="30"/>
      <c r="R2115" s="30"/>
      <c r="S2115" s="30"/>
      <c r="T2115" s="30"/>
      <c r="U2115" s="30"/>
      <c r="V2115" s="30"/>
      <c r="W2115" s="30"/>
      <c r="X2115" s="30"/>
      <c r="Y2115" s="30"/>
      <c r="Z2115" s="30"/>
    </row>
    <row r="2116">
      <c r="A2116" s="29"/>
      <c r="B2116" s="29"/>
      <c r="C2116" s="30"/>
      <c r="D2116" s="30"/>
      <c r="E2116" s="30"/>
      <c r="F2116" s="30"/>
      <c r="G2116" s="30"/>
      <c r="H2116" s="30"/>
      <c r="I2116" s="30"/>
      <c r="J2116" s="30"/>
      <c r="K2116" s="30"/>
      <c r="L2116" s="30"/>
      <c r="M2116" s="30"/>
      <c r="N2116" s="30"/>
      <c r="O2116" s="30"/>
      <c r="P2116" s="30"/>
      <c r="Q2116" s="30"/>
      <c r="R2116" s="30"/>
      <c r="S2116" s="30"/>
      <c r="T2116" s="30"/>
      <c r="U2116" s="30"/>
      <c r="V2116" s="30"/>
      <c r="W2116" s="30"/>
      <c r="X2116" s="30"/>
      <c r="Y2116" s="30"/>
      <c r="Z2116" s="30"/>
    </row>
    <row r="2117">
      <c r="A2117" s="29"/>
      <c r="B2117" s="29"/>
      <c r="C2117" s="30"/>
      <c r="D2117" s="30"/>
      <c r="E2117" s="30"/>
      <c r="F2117" s="30"/>
      <c r="G2117" s="30"/>
      <c r="H2117" s="30"/>
      <c r="I2117" s="30"/>
      <c r="J2117" s="30"/>
      <c r="K2117" s="30"/>
      <c r="L2117" s="30"/>
      <c r="M2117" s="30"/>
      <c r="N2117" s="30"/>
      <c r="O2117" s="30"/>
      <c r="P2117" s="30"/>
      <c r="Q2117" s="30"/>
      <c r="R2117" s="30"/>
      <c r="S2117" s="30"/>
      <c r="T2117" s="30"/>
      <c r="U2117" s="30"/>
      <c r="V2117" s="30"/>
      <c r="W2117" s="30"/>
      <c r="X2117" s="30"/>
      <c r="Y2117" s="30"/>
      <c r="Z2117" s="30"/>
    </row>
    <row r="2118">
      <c r="A2118" s="29"/>
      <c r="B2118" s="29"/>
      <c r="C2118" s="30"/>
      <c r="D2118" s="30"/>
      <c r="E2118" s="30"/>
      <c r="F2118" s="30"/>
      <c r="G2118" s="30"/>
      <c r="H2118" s="30"/>
      <c r="I2118" s="30"/>
      <c r="J2118" s="30"/>
      <c r="K2118" s="30"/>
      <c r="L2118" s="30"/>
      <c r="M2118" s="30"/>
      <c r="N2118" s="30"/>
      <c r="O2118" s="30"/>
      <c r="P2118" s="30"/>
      <c r="Q2118" s="30"/>
      <c r="R2118" s="30"/>
      <c r="S2118" s="30"/>
      <c r="T2118" s="30"/>
      <c r="U2118" s="30"/>
      <c r="V2118" s="30"/>
      <c r="W2118" s="30"/>
      <c r="X2118" s="30"/>
      <c r="Y2118" s="30"/>
      <c r="Z2118" s="30"/>
    </row>
    <row r="2119">
      <c r="A2119" s="29"/>
      <c r="B2119" s="29"/>
      <c r="C2119" s="30"/>
      <c r="D2119" s="30"/>
      <c r="E2119" s="30"/>
      <c r="F2119" s="30"/>
      <c r="G2119" s="30"/>
      <c r="H2119" s="30"/>
      <c r="I2119" s="30"/>
      <c r="J2119" s="30"/>
      <c r="K2119" s="30"/>
      <c r="L2119" s="30"/>
      <c r="M2119" s="30"/>
      <c r="N2119" s="30"/>
      <c r="O2119" s="30"/>
      <c r="P2119" s="30"/>
      <c r="Q2119" s="30"/>
      <c r="R2119" s="30"/>
      <c r="S2119" s="30"/>
      <c r="T2119" s="30"/>
      <c r="U2119" s="30"/>
      <c r="V2119" s="30"/>
      <c r="W2119" s="30"/>
      <c r="X2119" s="30"/>
      <c r="Y2119" s="30"/>
      <c r="Z2119" s="30"/>
    </row>
    <row r="2120">
      <c r="A2120" s="29"/>
      <c r="B2120" s="29"/>
      <c r="C2120" s="30"/>
      <c r="D2120" s="30"/>
      <c r="E2120" s="30"/>
      <c r="F2120" s="30"/>
      <c r="G2120" s="30"/>
      <c r="H2120" s="30"/>
      <c r="I2120" s="30"/>
      <c r="J2120" s="30"/>
      <c r="K2120" s="30"/>
      <c r="L2120" s="30"/>
      <c r="M2120" s="30"/>
      <c r="N2120" s="30"/>
      <c r="O2120" s="30"/>
      <c r="P2120" s="30"/>
      <c r="Q2120" s="30"/>
      <c r="R2120" s="30"/>
      <c r="S2120" s="30"/>
      <c r="T2120" s="30"/>
      <c r="U2120" s="30"/>
      <c r="V2120" s="30"/>
      <c r="W2120" s="30"/>
      <c r="X2120" s="30"/>
      <c r="Y2120" s="30"/>
      <c r="Z2120" s="30"/>
    </row>
    <row r="2121">
      <c r="A2121" s="29"/>
      <c r="B2121" s="29"/>
      <c r="C2121" s="30"/>
      <c r="D2121" s="30"/>
      <c r="E2121" s="30"/>
      <c r="F2121" s="30"/>
      <c r="G2121" s="30"/>
      <c r="H2121" s="30"/>
      <c r="I2121" s="30"/>
      <c r="J2121" s="30"/>
      <c r="K2121" s="30"/>
      <c r="L2121" s="30"/>
      <c r="M2121" s="30"/>
      <c r="N2121" s="30"/>
      <c r="O2121" s="30"/>
      <c r="P2121" s="30"/>
      <c r="Q2121" s="30"/>
      <c r="R2121" s="30"/>
      <c r="S2121" s="30"/>
      <c r="T2121" s="30"/>
      <c r="U2121" s="30"/>
      <c r="V2121" s="30"/>
      <c r="W2121" s="30"/>
      <c r="X2121" s="30"/>
      <c r="Y2121" s="30"/>
      <c r="Z2121" s="30"/>
    </row>
    <row r="2122">
      <c r="A2122" s="29"/>
      <c r="B2122" s="29"/>
      <c r="C2122" s="30"/>
      <c r="D2122" s="30"/>
      <c r="E2122" s="30"/>
      <c r="F2122" s="30"/>
      <c r="G2122" s="30"/>
      <c r="H2122" s="30"/>
      <c r="I2122" s="30"/>
      <c r="J2122" s="30"/>
      <c r="K2122" s="30"/>
      <c r="L2122" s="30"/>
      <c r="M2122" s="30"/>
      <c r="N2122" s="30"/>
      <c r="O2122" s="30"/>
      <c r="P2122" s="30"/>
      <c r="Q2122" s="30"/>
      <c r="R2122" s="30"/>
      <c r="S2122" s="30"/>
      <c r="T2122" s="30"/>
      <c r="U2122" s="30"/>
      <c r="V2122" s="30"/>
      <c r="W2122" s="30"/>
      <c r="X2122" s="30"/>
      <c r="Y2122" s="30"/>
      <c r="Z2122" s="30"/>
    </row>
    <row r="2123">
      <c r="A2123" s="29"/>
      <c r="B2123" s="29"/>
      <c r="C2123" s="30"/>
      <c r="D2123" s="30"/>
      <c r="E2123" s="30"/>
      <c r="F2123" s="30"/>
      <c r="G2123" s="30"/>
      <c r="H2123" s="30"/>
      <c r="I2123" s="30"/>
      <c r="J2123" s="30"/>
      <c r="K2123" s="30"/>
      <c r="L2123" s="30"/>
      <c r="M2123" s="30"/>
      <c r="N2123" s="30"/>
      <c r="O2123" s="30"/>
      <c r="P2123" s="30"/>
      <c r="Q2123" s="30"/>
      <c r="R2123" s="30"/>
      <c r="S2123" s="30"/>
      <c r="T2123" s="30"/>
      <c r="U2123" s="30"/>
      <c r="V2123" s="30"/>
      <c r="W2123" s="30"/>
      <c r="X2123" s="30"/>
      <c r="Y2123" s="30"/>
      <c r="Z2123" s="30"/>
    </row>
    <row r="2124">
      <c r="A2124" s="29"/>
      <c r="B2124" s="29"/>
      <c r="C2124" s="30"/>
      <c r="D2124" s="30"/>
      <c r="E2124" s="30"/>
      <c r="F2124" s="30"/>
      <c r="G2124" s="30"/>
      <c r="H2124" s="30"/>
      <c r="I2124" s="30"/>
      <c r="J2124" s="30"/>
      <c r="K2124" s="30"/>
      <c r="L2124" s="30"/>
      <c r="M2124" s="30"/>
      <c r="N2124" s="30"/>
      <c r="O2124" s="30"/>
      <c r="P2124" s="30"/>
      <c r="Q2124" s="30"/>
      <c r="R2124" s="30"/>
      <c r="S2124" s="30"/>
      <c r="T2124" s="30"/>
      <c r="U2124" s="30"/>
      <c r="V2124" s="30"/>
      <c r="W2124" s="30"/>
      <c r="X2124" s="30"/>
      <c r="Y2124" s="30"/>
      <c r="Z2124" s="30"/>
    </row>
    <row r="2125">
      <c r="A2125" s="29"/>
      <c r="B2125" s="29"/>
      <c r="C2125" s="30"/>
      <c r="D2125" s="30"/>
      <c r="E2125" s="30"/>
      <c r="F2125" s="30"/>
      <c r="G2125" s="30"/>
      <c r="H2125" s="30"/>
      <c r="I2125" s="30"/>
      <c r="J2125" s="30"/>
      <c r="K2125" s="30"/>
      <c r="L2125" s="30"/>
      <c r="M2125" s="30"/>
      <c r="N2125" s="30"/>
      <c r="O2125" s="30"/>
      <c r="P2125" s="30"/>
      <c r="Q2125" s="30"/>
      <c r="R2125" s="30"/>
      <c r="S2125" s="30"/>
      <c r="T2125" s="30"/>
      <c r="U2125" s="30"/>
      <c r="V2125" s="30"/>
      <c r="W2125" s="30"/>
      <c r="X2125" s="30"/>
      <c r="Y2125" s="30"/>
      <c r="Z2125" s="30"/>
    </row>
    <row r="2126">
      <c r="A2126" s="29"/>
      <c r="B2126" s="29"/>
      <c r="C2126" s="30"/>
      <c r="D2126" s="30"/>
      <c r="E2126" s="30"/>
      <c r="F2126" s="30"/>
      <c r="G2126" s="30"/>
      <c r="H2126" s="30"/>
      <c r="I2126" s="30"/>
      <c r="J2126" s="30"/>
      <c r="K2126" s="30"/>
      <c r="L2126" s="30"/>
      <c r="M2126" s="30"/>
      <c r="N2126" s="30"/>
      <c r="O2126" s="30"/>
      <c r="P2126" s="30"/>
      <c r="Q2126" s="30"/>
      <c r="R2126" s="30"/>
      <c r="S2126" s="30"/>
      <c r="T2126" s="30"/>
      <c r="U2126" s="30"/>
      <c r="V2126" s="30"/>
      <c r="W2126" s="30"/>
      <c r="X2126" s="30"/>
      <c r="Y2126" s="30"/>
      <c r="Z2126" s="30"/>
    </row>
    <row r="2127">
      <c r="A2127" s="29"/>
      <c r="B2127" s="29"/>
      <c r="C2127" s="30"/>
      <c r="D2127" s="30"/>
      <c r="E2127" s="30"/>
      <c r="F2127" s="30"/>
      <c r="G2127" s="30"/>
      <c r="H2127" s="30"/>
      <c r="I2127" s="30"/>
      <c r="J2127" s="30"/>
      <c r="K2127" s="30"/>
      <c r="L2127" s="30"/>
      <c r="M2127" s="30"/>
      <c r="N2127" s="30"/>
      <c r="O2127" s="30"/>
      <c r="P2127" s="30"/>
      <c r="Q2127" s="30"/>
      <c r="R2127" s="30"/>
      <c r="S2127" s="30"/>
      <c r="T2127" s="30"/>
      <c r="U2127" s="30"/>
      <c r="V2127" s="30"/>
      <c r="W2127" s="30"/>
      <c r="X2127" s="30"/>
      <c r="Y2127" s="30"/>
      <c r="Z2127" s="30"/>
    </row>
    <row r="2128">
      <c r="A2128" s="29"/>
      <c r="B2128" s="29"/>
      <c r="C2128" s="30"/>
      <c r="D2128" s="30"/>
      <c r="E2128" s="30"/>
      <c r="F2128" s="30"/>
      <c r="G2128" s="30"/>
      <c r="H2128" s="30"/>
      <c r="I2128" s="30"/>
      <c r="J2128" s="30"/>
      <c r="K2128" s="30"/>
      <c r="L2128" s="30"/>
      <c r="M2128" s="30"/>
      <c r="N2128" s="30"/>
      <c r="O2128" s="30"/>
      <c r="P2128" s="30"/>
      <c r="Q2128" s="30"/>
      <c r="R2128" s="30"/>
      <c r="S2128" s="30"/>
      <c r="T2128" s="30"/>
      <c r="U2128" s="30"/>
      <c r="V2128" s="30"/>
      <c r="W2128" s="30"/>
      <c r="X2128" s="30"/>
      <c r="Y2128" s="30"/>
      <c r="Z2128" s="30"/>
    </row>
    <row r="2129">
      <c r="A2129" s="29"/>
      <c r="B2129" s="29"/>
      <c r="C2129" s="30"/>
      <c r="D2129" s="30"/>
      <c r="E2129" s="30"/>
      <c r="F2129" s="30"/>
      <c r="G2129" s="30"/>
      <c r="H2129" s="30"/>
      <c r="I2129" s="30"/>
      <c r="J2129" s="30"/>
      <c r="K2129" s="30"/>
      <c r="L2129" s="30"/>
      <c r="M2129" s="30"/>
      <c r="N2129" s="30"/>
      <c r="O2129" s="30"/>
      <c r="P2129" s="30"/>
      <c r="Q2129" s="30"/>
      <c r="R2129" s="30"/>
      <c r="S2129" s="30"/>
      <c r="T2129" s="30"/>
      <c r="U2129" s="30"/>
      <c r="V2129" s="30"/>
      <c r="W2129" s="30"/>
      <c r="X2129" s="30"/>
      <c r="Y2129" s="30"/>
      <c r="Z2129" s="30"/>
    </row>
    <row r="2130">
      <c r="A2130" s="29"/>
      <c r="B2130" s="29"/>
      <c r="C2130" s="30"/>
      <c r="D2130" s="30"/>
      <c r="E2130" s="30"/>
      <c r="F2130" s="30"/>
      <c r="G2130" s="30"/>
      <c r="H2130" s="30"/>
      <c r="I2130" s="30"/>
      <c r="J2130" s="30"/>
      <c r="K2130" s="30"/>
      <c r="L2130" s="30"/>
      <c r="M2130" s="30"/>
      <c r="N2130" s="30"/>
      <c r="O2130" s="30"/>
      <c r="P2130" s="30"/>
      <c r="Q2130" s="30"/>
      <c r="R2130" s="30"/>
      <c r="S2130" s="30"/>
      <c r="T2130" s="30"/>
      <c r="U2130" s="30"/>
      <c r="V2130" s="30"/>
      <c r="W2130" s="30"/>
      <c r="X2130" s="30"/>
      <c r="Y2130" s="30"/>
      <c r="Z2130" s="30"/>
    </row>
    <row r="2131">
      <c r="A2131" s="29"/>
      <c r="B2131" s="29"/>
      <c r="C2131" s="30"/>
      <c r="D2131" s="30"/>
      <c r="E2131" s="30"/>
      <c r="F2131" s="30"/>
      <c r="G2131" s="30"/>
      <c r="H2131" s="30"/>
      <c r="I2131" s="30"/>
      <c r="J2131" s="30"/>
      <c r="K2131" s="30"/>
      <c r="L2131" s="30"/>
      <c r="M2131" s="30"/>
      <c r="N2131" s="30"/>
      <c r="O2131" s="30"/>
      <c r="P2131" s="30"/>
      <c r="Q2131" s="30"/>
      <c r="R2131" s="30"/>
      <c r="S2131" s="30"/>
      <c r="T2131" s="30"/>
      <c r="U2131" s="30"/>
      <c r="V2131" s="30"/>
      <c r="W2131" s="30"/>
      <c r="X2131" s="30"/>
      <c r="Y2131" s="30"/>
      <c r="Z2131" s="30"/>
    </row>
    <row r="2132">
      <c r="A2132" s="29"/>
      <c r="B2132" s="29"/>
      <c r="C2132" s="30"/>
      <c r="D2132" s="30"/>
      <c r="E2132" s="30"/>
      <c r="F2132" s="30"/>
      <c r="G2132" s="30"/>
      <c r="H2132" s="30"/>
      <c r="I2132" s="30"/>
      <c r="J2132" s="30"/>
      <c r="K2132" s="30"/>
      <c r="L2132" s="30"/>
      <c r="M2132" s="30"/>
      <c r="N2132" s="30"/>
      <c r="O2132" s="30"/>
      <c r="P2132" s="30"/>
      <c r="Q2132" s="30"/>
      <c r="R2132" s="30"/>
      <c r="S2132" s="30"/>
      <c r="T2132" s="30"/>
      <c r="U2132" s="30"/>
      <c r="V2132" s="30"/>
      <c r="W2132" s="30"/>
      <c r="X2132" s="30"/>
      <c r="Y2132" s="30"/>
      <c r="Z2132" s="30"/>
    </row>
    <row r="2133">
      <c r="A2133" s="29"/>
      <c r="B2133" s="29"/>
      <c r="C2133" s="30"/>
      <c r="D2133" s="30"/>
      <c r="E2133" s="30"/>
      <c r="F2133" s="30"/>
      <c r="G2133" s="30"/>
      <c r="H2133" s="30"/>
      <c r="I2133" s="30"/>
      <c r="J2133" s="30"/>
      <c r="K2133" s="30"/>
      <c r="L2133" s="30"/>
      <c r="M2133" s="30"/>
      <c r="N2133" s="30"/>
      <c r="O2133" s="30"/>
      <c r="P2133" s="30"/>
      <c r="Q2133" s="30"/>
      <c r="R2133" s="30"/>
      <c r="S2133" s="30"/>
      <c r="T2133" s="30"/>
      <c r="U2133" s="30"/>
      <c r="V2133" s="30"/>
      <c r="W2133" s="30"/>
      <c r="X2133" s="30"/>
      <c r="Y2133" s="30"/>
      <c r="Z2133" s="30"/>
    </row>
    <row r="2134">
      <c r="A2134" s="29"/>
      <c r="B2134" s="29"/>
      <c r="C2134" s="30"/>
      <c r="D2134" s="30"/>
      <c r="E2134" s="30"/>
      <c r="F2134" s="30"/>
      <c r="G2134" s="30"/>
      <c r="H2134" s="30"/>
      <c r="I2134" s="30"/>
      <c r="J2134" s="30"/>
      <c r="K2134" s="30"/>
      <c r="L2134" s="30"/>
      <c r="M2134" s="30"/>
      <c r="N2134" s="30"/>
      <c r="O2134" s="30"/>
      <c r="P2134" s="30"/>
      <c r="Q2134" s="30"/>
      <c r="R2134" s="30"/>
      <c r="S2134" s="30"/>
      <c r="T2134" s="30"/>
      <c r="U2134" s="30"/>
      <c r="V2134" s="30"/>
      <c r="W2134" s="30"/>
      <c r="X2134" s="30"/>
      <c r="Y2134" s="30"/>
      <c r="Z2134" s="30"/>
    </row>
    <row r="2135">
      <c r="A2135" s="29"/>
      <c r="B2135" s="29"/>
      <c r="C2135" s="30"/>
      <c r="D2135" s="30"/>
      <c r="E2135" s="30"/>
      <c r="F2135" s="30"/>
      <c r="G2135" s="30"/>
      <c r="H2135" s="30"/>
      <c r="I2135" s="30"/>
      <c r="J2135" s="30"/>
      <c r="K2135" s="30"/>
      <c r="L2135" s="30"/>
      <c r="M2135" s="30"/>
      <c r="N2135" s="30"/>
      <c r="O2135" s="30"/>
      <c r="P2135" s="30"/>
      <c r="Q2135" s="30"/>
      <c r="R2135" s="30"/>
      <c r="S2135" s="30"/>
      <c r="T2135" s="30"/>
      <c r="U2135" s="30"/>
      <c r="V2135" s="30"/>
      <c r="W2135" s="30"/>
      <c r="X2135" s="30"/>
      <c r="Y2135" s="30"/>
      <c r="Z2135" s="30"/>
    </row>
    <row r="2136">
      <c r="A2136" s="29"/>
      <c r="B2136" s="29"/>
      <c r="C2136" s="30"/>
      <c r="D2136" s="30"/>
      <c r="E2136" s="30"/>
      <c r="F2136" s="30"/>
      <c r="G2136" s="30"/>
      <c r="H2136" s="30"/>
      <c r="I2136" s="30"/>
      <c r="J2136" s="30"/>
      <c r="K2136" s="30"/>
      <c r="L2136" s="30"/>
      <c r="M2136" s="30"/>
      <c r="N2136" s="30"/>
      <c r="O2136" s="30"/>
      <c r="P2136" s="30"/>
      <c r="Q2136" s="30"/>
      <c r="R2136" s="30"/>
      <c r="S2136" s="30"/>
      <c r="T2136" s="30"/>
      <c r="U2136" s="30"/>
      <c r="V2136" s="30"/>
      <c r="W2136" s="30"/>
      <c r="X2136" s="30"/>
      <c r="Y2136" s="30"/>
      <c r="Z2136" s="30"/>
    </row>
    <row r="2137">
      <c r="A2137" s="29"/>
      <c r="B2137" s="29"/>
      <c r="C2137" s="30"/>
      <c r="D2137" s="30"/>
      <c r="E2137" s="30"/>
      <c r="F2137" s="30"/>
      <c r="G2137" s="30"/>
      <c r="H2137" s="30"/>
      <c r="I2137" s="30"/>
      <c r="J2137" s="30"/>
      <c r="K2137" s="30"/>
      <c r="L2137" s="30"/>
      <c r="M2137" s="30"/>
      <c r="N2137" s="30"/>
      <c r="O2137" s="30"/>
      <c r="P2137" s="30"/>
      <c r="Q2137" s="30"/>
      <c r="R2137" s="30"/>
      <c r="S2137" s="30"/>
      <c r="T2137" s="30"/>
      <c r="U2137" s="30"/>
      <c r="V2137" s="30"/>
      <c r="W2137" s="30"/>
      <c r="X2137" s="30"/>
      <c r="Y2137" s="30"/>
      <c r="Z2137" s="30"/>
    </row>
    <row r="2138">
      <c r="A2138" s="29"/>
      <c r="B2138" s="29"/>
      <c r="C2138" s="30"/>
      <c r="D2138" s="30"/>
      <c r="E2138" s="30"/>
      <c r="F2138" s="30"/>
      <c r="G2138" s="30"/>
      <c r="H2138" s="30"/>
      <c r="I2138" s="30"/>
      <c r="J2138" s="30"/>
      <c r="K2138" s="30"/>
      <c r="L2138" s="30"/>
      <c r="M2138" s="30"/>
      <c r="N2138" s="30"/>
      <c r="O2138" s="30"/>
      <c r="P2138" s="30"/>
      <c r="Q2138" s="30"/>
      <c r="R2138" s="30"/>
      <c r="S2138" s="30"/>
      <c r="T2138" s="30"/>
      <c r="U2138" s="30"/>
      <c r="V2138" s="30"/>
      <c r="W2138" s="30"/>
      <c r="X2138" s="30"/>
      <c r="Y2138" s="30"/>
      <c r="Z2138" s="30"/>
    </row>
    <row r="2139">
      <c r="A2139" s="29"/>
      <c r="B2139" s="29"/>
      <c r="C2139" s="30"/>
      <c r="D2139" s="30"/>
      <c r="E2139" s="30"/>
      <c r="F2139" s="30"/>
      <c r="G2139" s="30"/>
      <c r="H2139" s="30"/>
      <c r="I2139" s="30"/>
      <c r="J2139" s="30"/>
      <c r="K2139" s="30"/>
      <c r="L2139" s="30"/>
      <c r="M2139" s="30"/>
      <c r="N2139" s="30"/>
      <c r="O2139" s="30"/>
      <c r="P2139" s="30"/>
      <c r="Q2139" s="30"/>
      <c r="R2139" s="30"/>
      <c r="S2139" s="30"/>
      <c r="T2139" s="30"/>
      <c r="U2139" s="30"/>
      <c r="V2139" s="30"/>
      <c r="W2139" s="30"/>
      <c r="X2139" s="30"/>
      <c r="Y2139" s="30"/>
      <c r="Z2139" s="30"/>
    </row>
    <row r="2140">
      <c r="A2140" s="29"/>
      <c r="B2140" s="29"/>
      <c r="C2140" s="30"/>
      <c r="D2140" s="30"/>
      <c r="E2140" s="30"/>
      <c r="F2140" s="30"/>
      <c r="G2140" s="30"/>
      <c r="H2140" s="30"/>
      <c r="I2140" s="30"/>
      <c r="J2140" s="30"/>
      <c r="K2140" s="30"/>
      <c r="L2140" s="30"/>
      <c r="M2140" s="30"/>
      <c r="N2140" s="30"/>
      <c r="O2140" s="30"/>
      <c r="P2140" s="30"/>
      <c r="Q2140" s="30"/>
      <c r="R2140" s="30"/>
      <c r="S2140" s="30"/>
      <c r="T2140" s="30"/>
      <c r="U2140" s="30"/>
      <c r="V2140" s="30"/>
      <c r="W2140" s="30"/>
      <c r="X2140" s="30"/>
      <c r="Y2140" s="30"/>
      <c r="Z2140" s="30"/>
    </row>
    <row r="2141">
      <c r="A2141" s="29"/>
      <c r="B2141" s="29"/>
      <c r="C2141" s="30"/>
      <c r="D2141" s="30"/>
      <c r="E2141" s="30"/>
      <c r="F2141" s="30"/>
      <c r="G2141" s="30"/>
      <c r="H2141" s="30"/>
      <c r="I2141" s="30"/>
      <c r="J2141" s="30"/>
      <c r="K2141" s="30"/>
      <c r="L2141" s="30"/>
      <c r="M2141" s="30"/>
      <c r="N2141" s="30"/>
      <c r="O2141" s="30"/>
      <c r="P2141" s="30"/>
      <c r="Q2141" s="30"/>
      <c r="R2141" s="30"/>
      <c r="S2141" s="30"/>
      <c r="T2141" s="30"/>
      <c r="U2141" s="30"/>
      <c r="V2141" s="30"/>
      <c r="W2141" s="30"/>
      <c r="X2141" s="30"/>
      <c r="Y2141" s="30"/>
      <c r="Z2141" s="30"/>
    </row>
    <row r="2142">
      <c r="A2142" s="29"/>
      <c r="B2142" s="29"/>
      <c r="C2142" s="30"/>
      <c r="D2142" s="30"/>
      <c r="E2142" s="30"/>
      <c r="F2142" s="30"/>
      <c r="G2142" s="30"/>
      <c r="H2142" s="30"/>
      <c r="I2142" s="30"/>
      <c r="J2142" s="30"/>
      <c r="K2142" s="30"/>
      <c r="L2142" s="30"/>
      <c r="M2142" s="30"/>
      <c r="N2142" s="30"/>
      <c r="O2142" s="30"/>
      <c r="P2142" s="30"/>
      <c r="Q2142" s="30"/>
      <c r="R2142" s="30"/>
      <c r="S2142" s="30"/>
      <c r="T2142" s="30"/>
      <c r="U2142" s="30"/>
      <c r="V2142" s="30"/>
      <c r="W2142" s="30"/>
      <c r="X2142" s="30"/>
      <c r="Y2142" s="30"/>
      <c r="Z2142" s="30"/>
    </row>
    <row r="2143">
      <c r="A2143" s="29"/>
      <c r="B2143" s="29"/>
      <c r="C2143" s="30"/>
      <c r="D2143" s="30"/>
      <c r="E2143" s="30"/>
      <c r="F2143" s="30"/>
      <c r="G2143" s="30"/>
      <c r="H2143" s="30"/>
      <c r="I2143" s="30"/>
      <c r="J2143" s="30"/>
      <c r="K2143" s="30"/>
      <c r="L2143" s="30"/>
      <c r="M2143" s="30"/>
      <c r="N2143" s="30"/>
      <c r="O2143" s="30"/>
      <c r="P2143" s="30"/>
      <c r="Q2143" s="30"/>
      <c r="R2143" s="30"/>
      <c r="S2143" s="30"/>
      <c r="T2143" s="30"/>
      <c r="U2143" s="30"/>
      <c r="V2143" s="30"/>
      <c r="W2143" s="30"/>
      <c r="X2143" s="30"/>
      <c r="Y2143" s="30"/>
      <c r="Z2143" s="30"/>
    </row>
    <row r="2144">
      <c r="A2144" s="29"/>
      <c r="B2144" s="29"/>
      <c r="C2144" s="30"/>
      <c r="D2144" s="30"/>
      <c r="E2144" s="30"/>
      <c r="F2144" s="30"/>
      <c r="G2144" s="30"/>
      <c r="H2144" s="30"/>
      <c r="I2144" s="30"/>
      <c r="J2144" s="30"/>
      <c r="K2144" s="30"/>
      <c r="L2144" s="30"/>
      <c r="M2144" s="30"/>
      <c r="N2144" s="30"/>
      <c r="O2144" s="30"/>
      <c r="P2144" s="30"/>
      <c r="Q2144" s="30"/>
      <c r="R2144" s="30"/>
      <c r="S2144" s="30"/>
      <c r="T2144" s="30"/>
      <c r="U2144" s="30"/>
      <c r="V2144" s="30"/>
      <c r="W2144" s="30"/>
      <c r="X2144" s="30"/>
      <c r="Y2144" s="30"/>
      <c r="Z2144" s="30"/>
    </row>
    <row r="2145">
      <c r="A2145" s="29"/>
      <c r="B2145" s="29"/>
      <c r="C2145" s="30"/>
      <c r="D2145" s="30"/>
      <c r="E2145" s="30"/>
      <c r="F2145" s="30"/>
      <c r="G2145" s="30"/>
      <c r="H2145" s="30"/>
      <c r="I2145" s="30"/>
      <c r="J2145" s="30"/>
      <c r="K2145" s="30"/>
      <c r="L2145" s="30"/>
      <c r="M2145" s="30"/>
      <c r="N2145" s="30"/>
      <c r="O2145" s="30"/>
      <c r="P2145" s="30"/>
      <c r="Q2145" s="30"/>
      <c r="R2145" s="30"/>
      <c r="S2145" s="30"/>
      <c r="T2145" s="30"/>
      <c r="U2145" s="30"/>
      <c r="V2145" s="30"/>
      <c r="W2145" s="30"/>
      <c r="X2145" s="30"/>
      <c r="Y2145" s="30"/>
      <c r="Z2145" s="30"/>
    </row>
    <row r="2146">
      <c r="A2146" s="29"/>
      <c r="B2146" s="29"/>
      <c r="C2146" s="30"/>
      <c r="D2146" s="30"/>
      <c r="E2146" s="30"/>
      <c r="F2146" s="30"/>
      <c r="G2146" s="30"/>
      <c r="H2146" s="30"/>
      <c r="I2146" s="30"/>
      <c r="J2146" s="30"/>
      <c r="K2146" s="30"/>
      <c r="L2146" s="30"/>
      <c r="M2146" s="30"/>
      <c r="N2146" s="30"/>
      <c r="O2146" s="30"/>
      <c r="P2146" s="30"/>
      <c r="Q2146" s="30"/>
      <c r="R2146" s="30"/>
      <c r="S2146" s="30"/>
      <c r="T2146" s="30"/>
      <c r="U2146" s="30"/>
      <c r="V2146" s="30"/>
      <c r="W2146" s="30"/>
      <c r="X2146" s="30"/>
      <c r="Y2146" s="30"/>
      <c r="Z2146" s="30"/>
    </row>
    <row r="2147">
      <c r="A2147" s="29"/>
      <c r="B2147" s="29"/>
      <c r="C2147" s="30"/>
      <c r="D2147" s="30"/>
      <c r="E2147" s="30"/>
      <c r="F2147" s="30"/>
      <c r="G2147" s="30"/>
      <c r="H2147" s="30"/>
      <c r="I2147" s="30"/>
      <c r="J2147" s="30"/>
      <c r="K2147" s="30"/>
      <c r="L2147" s="30"/>
      <c r="M2147" s="30"/>
      <c r="N2147" s="30"/>
      <c r="O2147" s="30"/>
      <c r="P2147" s="30"/>
      <c r="Q2147" s="30"/>
      <c r="R2147" s="30"/>
      <c r="S2147" s="30"/>
      <c r="T2147" s="30"/>
      <c r="U2147" s="30"/>
      <c r="V2147" s="30"/>
      <c r="W2147" s="30"/>
      <c r="X2147" s="30"/>
      <c r="Y2147" s="30"/>
      <c r="Z2147" s="30"/>
    </row>
    <row r="2148">
      <c r="A2148" s="29"/>
      <c r="B2148" s="29"/>
      <c r="C2148" s="30"/>
      <c r="D2148" s="30"/>
      <c r="E2148" s="30"/>
      <c r="F2148" s="30"/>
      <c r="G2148" s="30"/>
      <c r="H2148" s="30"/>
      <c r="I2148" s="30"/>
      <c r="J2148" s="30"/>
      <c r="K2148" s="30"/>
      <c r="L2148" s="30"/>
      <c r="M2148" s="30"/>
      <c r="N2148" s="30"/>
      <c r="O2148" s="30"/>
      <c r="P2148" s="30"/>
      <c r="Q2148" s="30"/>
      <c r="R2148" s="30"/>
      <c r="S2148" s="30"/>
      <c r="T2148" s="30"/>
      <c r="U2148" s="30"/>
      <c r="V2148" s="30"/>
      <c r="W2148" s="30"/>
      <c r="X2148" s="30"/>
      <c r="Y2148" s="30"/>
      <c r="Z2148" s="30"/>
    </row>
    <row r="2149">
      <c r="A2149" s="29"/>
      <c r="B2149" s="29"/>
      <c r="C2149" s="30"/>
      <c r="D2149" s="30"/>
      <c r="E2149" s="30"/>
      <c r="F2149" s="30"/>
      <c r="G2149" s="30"/>
      <c r="H2149" s="30"/>
      <c r="I2149" s="30"/>
      <c r="J2149" s="30"/>
      <c r="K2149" s="30"/>
      <c r="L2149" s="30"/>
      <c r="M2149" s="30"/>
      <c r="N2149" s="30"/>
      <c r="O2149" s="30"/>
      <c r="P2149" s="30"/>
      <c r="Q2149" s="30"/>
      <c r="R2149" s="30"/>
      <c r="S2149" s="30"/>
      <c r="T2149" s="30"/>
      <c r="U2149" s="30"/>
      <c r="V2149" s="30"/>
      <c r="W2149" s="30"/>
      <c r="X2149" s="30"/>
      <c r="Y2149" s="30"/>
      <c r="Z2149" s="30"/>
    </row>
    <row r="2150">
      <c r="A2150" s="29"/>
      <c r="B2150" s="29"/>
      <c r="C2150" s="30"/>
      <c r="D2150" s="30"/>
      <c r="E2150" s="30"/>
      <c r="F2150" s="30"/>
      <c r="G2150" s="30"/>
      <c r="H2150" s="30"/>
      <c r="I2150" s="30"/>
      <c r="J2150" s="30"/>
      <c r="K2150" s="30"/>
      <c r="L2150" s="30"/>
      <c r="M2150" s="30"/>
      <c r="N2150" s="30"/>
      <c r="O2150" s="30"/>
      <c r="P2150" s="30"/>
      <c r="Q2150" s="30"/>
      <c r="R2150" s="30"/>
      <c r="S2150" s="30"/>
      <c r="T2150" s="30"/>
      <c r="U2150" s="30"/>
      <c r="V2150" s="30"/>
      <c r="W2150" s="30"/>
      <c r="X2150" s="30"/>
      <c r="Y2150" s="30"/>
      <c r="Z2150" s="30"/>
    </row>
    <row r="2151">
      <c r="A2151" s="29"/>
      <c r="B2151" s="29"/>
      <c r="C2151" s="30"/>
      <c r="D2151" s="30"/>
      <c r="E2151" s="30"/>
      <c r="F2151" s="30"/>
      <c r="G2151" s="30"/>
      <c r="H2151" s="30"/>
      <c r="I2151" s="30"/>
      <c r="J2151" s="30"/>
      <c r="K2151" s="30"/>
      <c r="L2151" s="30"/>
      <c r="M2151" s="30"/>
      <c r="N2151" s="30"/>
      <c r="O2151" s="30"/>
      <c r="P2151" s="30"/>
      <c r="Q2151" s="30"/>
      <c r="R2151" s="30"/>
      <c r="S2151" s="30"/>
      <c r="T2151" s="30"/>
      <c r="U2151" s="30"/>
      <c r="V2151" s="30"/>
      <c r="W2151" s="30"/>
      <c r="X2151" s="30"/>
      <c r="Y2151" s="30"/>
      <c r="Z2151" s="30"/>
    </row>
    <row r="2152">
      <c r="A2152" s="29"/>
      <c r="B2152" s="29"/>
      <c r="C2152" s="30"/>
      <c r="D2152" s="30"/>
      <c r="E2152" s="30"/>
      <c r="F2152" s="30"/>
      <c r="G2152" s="30"/>
      <c r="H2152" s="30"/>
      <c r="I2152" s="30"/>
      <c r="J2152" s="30"/>
      <c r="K2152" s="30"/>
      <c r="L2152" s="30"/>
      <c r="M2152" s="30"/>
      <c r="N2152" s="30"/>
      <c r="O2152" s="30"/>
      <c r="P2152" s="30"/>
      <c r="Q2152" s="30"/>
      <c r="R2152" s="30"/>
      <c r="S2152" s="30"/>
      <c r="T2152" s="30"/>
      <c r="U2152" s="30"/>
      <c r="V2152" s="30"/>
      <c r="W2152" s="30"/>
      <c r="X2152" s="30"/>
      <c r="Y2152" s="30"/>
      <c r="Z2152" s="30"/>
    </row>
    <row r="2153">
      <c r="A2153" s="29"/>
      <c r="B2153" s="29"/>
      <c r="C2153" s="30"/>
      <c r="D2153" s="30"/>
      <c r="E2153" s="30"/>
      <c r="F2153" s="30"/>
      <c r="G2153" s="30"/>
      <c r="H2153" s="30"/>
      <c r="I2153" s="30"/>
      <c r="J2153" s="30"/>
      <c r="K2153" s="30"/>
      <c r="L2153" s="30"/>
      <c r="M2153" s="30"/>
      <c r="N2153" s="30"/>
      <c r="O2153" s="30"/>
      <c r="P2153" s="30"/>
      <c r="Q2153" s="30"/>
      <c r="R2153" s="30"/>
      <c r="S2153" s="30"/>
      <c r="T2153" s="30"/>
      <c r="U2153" s="30"/>
      <c r="V2153" s="30"/>
      <c r="W2153" s="30"/>
      <c r="X2153" s="30"/>
      <c r="Y2153" s="30"/>
      <c r="Z2153" s="30"/>
    </row>
    <row r="2154">
      <c r="A2154" s="29"/>
      <c r="B2154" s="29"/>
      <c r="C2154" s="30"/>
      <c r="D2154" s="30"/>
      <c r="E2154" s="30"/>
      <c r="F2154" s="30"/>
      <c r="G2154" s="30"/>
      <c r="H2154" s="30"/>
      <c r="I2154" s="30"/>
      <c r="J2154" s="30"/>
      <c r="K2154" s="30"/>
      <c r="L2154" s="30"/>
      <c r="M2154" s="30"/>
      <c r="N2154" s="30"/>
      <c r="O2154" s="30"/>
      <c r="P2154" s="30"/>
      <c r="Q2154" s="30"/>
      <c r="R2154" s="30"/>
      <c r="S2154" s="30"/>
      <c r="T2154" s="30"/>
      <c r="U2154" s="30"/>
      <c r="V2154" s="30"/>
      <c r="W2154" s="30"/>
      <c r="X2154" s="30"/>
      <c r="Y2154" s="30"/>
      <c r="Z2154" s="30"/>
    </row>
    <row r="2155">
      <c r="A2155" s="29"/>
      <c r="B2155" s="29"/>
      <c r="C2155" s="30"/>
      <c r="D2155" s="30"/>
      <c r="E2155" s="30"/>
      <c r="F2155" s="30"/>
      <c r="G2155" s="30"/>
      <c r="H2155" s="30"/>
      <c r="I2155" s="30"/>
      <c r="J2155" s="30"/>
      <c r="K2155" s="30"/>
      <c r="L2155" s="30"/>
      <c r="M2155" s="30"/>
      <c r="N2155" s="30"/>
      <c r="O2155" s="30"/>
      <c r="P2155" s="30"/>
      <c r="Q2155" s="30"/>
      <c r="R2155" s="30"/>
      <c r="S2155" s="30"/>
      <c r="T2155" s="30"/>
      <c r="U2155" s="30"/>
      <c r="V2155" s="30"/>
      <c r="W2155" s="30"/>
      <c r="X2155" s="30"/>
      <c r="Y2155" s="30"/>
      <c r="Z2155" s="30"/>
    </row>
    <row r="2156">
      <c r="A2156" s="29"/>
      <c r="B2156" s="29"/>
      <c r="C2156" s="30"/>
      <c r="D2156" s="30"/>
      <c r="E2156" s="30"/>
      <c r="F2156" s="30"/>
      <c r="G2156" s="30"/>
      <c r="H2156" s="30"/>
      <c r="I2156" s="30"/>
      <c r="J2156" s="30"/>
      <c r="K2156" s="30"/>
      <c r="L2156" s="30"/>
      <c r="M2156" s="30"/>
      <c r="N2156" s="30"/>
      <c r="O2156" s="30"/>
      <c r="P2156" s="30"/>
      <c r="Q2156" s="30"/>
      <c r="R2156" s="30"/>
      <c r="S2156" s="30"/>
      <c r="T2156" s="30"/>
      <c r="U2156" s="30"/>
      <c r="V2156" s="30"/>
      <c r="W2156" s="30"/>
      <c r="X2156" s="30"/>
      <c r="Y2156" s="30"/>
      <c r="Z2156" s="30"/>
    </row>
    <row r="2157">
      <c r="A2157" s="29"/>
      <c r="B2157" s="29"/>
      <c r="C2157" s="30"/>
      <c r="D2157" s="30"/>
      <c r="E2157" s="30"/>
      <c r="F2157" s="30"/>
      <c r="G2157" s="30"/>
      <c r="H2157" s="30"/>
      <c r="I2157" s="30"/>
      <c r="J2157" s="30"/>
      <c r="K2157" s="30"/>
      <c r="L2157" s="30"/>
      <c r="M2157" s="30"/>
      <c r="N2157" s="30"/>
      <c r="O2157" s="30"/>
      <c r="P2157" s="30"/>
      <c r="Q2157" s="30"/>
      <c r="R2157" s="30"/>
      <c r="S2157" s="30"/>
      <c r="T2157" s="30"/>
      <c r="U2157" s="30"/>
      <c r="V2157" s="30"/>
      <c r="W2157" s="30"/>
      <c r="X2157" s="30"/>
      <c r="Y2157" s="30"/>
      <c r="Z2157" s="30"/>
    </row>
    <row r="2158">
      <c r="A2158" s="29"/>
      <c r="B2158" s="29"/>
      <c r="C2158" s="30"/>
      <c r="D2158" s="30"/>
      <c r="E2158" s="30"/>
      <c r="F2158" s="30"/>
      <c r="G2158" s="30"/>
      <c r="H2158" s="30"/>
      <c r="I2158" s="30"/>
      <c r="J2158" s="30"/>
      <c r="K2158" s="30"/>
      <c r="L2158" s="30"/>
      <c r="M2158" s="30"/>
      <c r="N2158" s="30"/>
      <c r="O2158" s="30"/>
      <c r="P2158" s="30"/>
      <c r="Q2158" s="30"/>
      <c r="R2158" s="30"/>
      <c r="S2158" s="30"/>
      <c r="T2158" s="30"/>
      <c r="U2158" s="30"/>
      <c r="V2158" s="30"/>
      <c r="W2158" s="30"/>
      <c r="X2158" s="30"/>
      <c r="Y2158" s="30"/>
      <c r="Z2158" s="30"/>
    </row>
    <row r="2159">
      <c r="A2159" s="29"/>
      <c r="B2159" s="29"/>
      <c r="C2159" s="30"/>
      <c r="D2159" s="30"/>
      <c r="E2159" s="30"/>
      <c r="F2159" s="30"/>
      <c r="G2159" s="30"/>
      <c r="H2159" s="30"/>
      <c r="I2159" s="30"/>
      <c r="J2159" s="30"/>
      <c r="K2159" s="30"/>
      <c r="L2159" s="30"/>
      <c r="M2159" s="30"/>
      <c r="N2159" s="30"/>
      <c r="O2159" s="30"/>
      <c r="P2159" s="30"/>
      <c r="Q2159" s="30"/>
      <c r="R2159" s="30"/>
      <c r="S2159" s="30"/>
      <c r="T2159" s="30"/>
      <c r="U2159" s="30"/>
      <c r="V2159" s="30"/>
      <c r="W2159" s="30"/>
      <c r="X2159" s="30"/>
      <c r="Y2159" s="30"/>
      <c r="Z2159" s="30"/>
    </row>
    <row r="2160">
      <c r="A2160" s="29"/>
      <c r="B2160" s="29"/>
      <c r="C2160" s="30"/>
      <c r="D2160" s="30"/>
      <c r="E2160" s="30"/>
      <c r="F2160" s="30"/>
      <c r="G2160" s="30"/>
      <c r="H2160" s="30"/>
      <c r="I2160" s="30"/>
      <c r="J2160" s="30"/>
      <c r="K2160" s="30"/>
      <c r="L2160" s="30"/>
      <c r="M2160" s="30"/>
      <c r="N2160" s="30"/>
      <c r="O2160" s="30"/>
      <c r="P2160" s="30"/>
      <c r="Q2160" s="30"/>
      <c r="R2160" s="30"/>
      <c r="S2160" s="30"/>
      <c r="T2160" s="30"/>
      <c r="U2160" s="30"/>
      <c r="V2160" s="30"/>
      <c r="W2160" s="30"/>
      <c r="X2160" s="30"/>
      <c r="Y2160" s="30"/>
      <c r="Z2160" s="30"/>
    </row>
    <row r="2161">
      <c r="A2161" s="29"/>
      <c r="B2161" s="29"/>
      <c r="C2161" s="30"/>
      <c r="D2161" s="30"/>
      <c r="E2161" s="30"/>
      <c r="F2161" s="30"/>
      <c r="G2161" s="30"/>
      <c r="H2161" s="30"/>
      <c r="I2161" s="30"/>
      <c r="J2161" s="30"/>
      <c r="K2161" s="30"/>
      <c r="L2161" s="30"/>
      <c r="M2161" s="30"/>
      <c r="N2161" s="30"/>
      <c r="O2161" s="30"/>
      <c r="P2161" s="30"/>
      <c r="Q2161" s="30"/>
      <c r="R2161" s="30"/>
      <c r="S2161" s="30"/>
      <c r="T2161" s="30"/>
      <c r="U2161" s="30"/>
      <c r="V2161" s="30"/>
      <c r="W2161" s="30"/>
      <c r="X2161" s="30"/>
      <c r="Y2161" s="30"/>
      <c r="Z2161" s="30"/>
    </row>
    <row r="2162">
      <c r="A2162" s="29"/>
      <c r="B2162" s="29"/>
      <c r="C2162" s="30"/>
      <c r="D2162" s="30"/>
      <c r="E2162" s="30"/>
      <c r="F2162" s="30"/>
      <c r="G2162" s="30"/>
      <c r="H2162" s="30"/>
      <c r="I2162" s="30"/>
      <c r="J2162" s="30"/>
      <c r="K2162" s="30"/>
      <c r="L2162" s="30"/>
      <c r="M2162" s="30"/>
      <c r="N2162" s="30"/>
      <c r="O2162" s="30"/>
      <c r="P2162" s="30"/>
      <c r="Q2162" s="30"/>
      <c r="R2162" s="30"/>
      <c r="S2162" s="30"/>
      <c r="T2162" s="30"/>
      <c r="U2162" s="30"/>
      <c r="V2162" s="30"/>
      <c r="W2162" s="30"/>
      <c r="X2162" s="30"/>
      <c r="Y2162" s="30"/>
      <c r="Z2162" s="30"/>
    </row>
    <row r="2163">
      <c r="A2163" s="29"/>
      <c r="B2163" s="29"/>
      <c r="C2163" s="30"/>
      <c r="D2163" s="30"/>
      <c r="E2163" s="30"/>
      <c r="F2163" s="30"/>
      <c r="G2163" s="30"/>
      <c r="H2163" s="30"/>
      <c r="I2163" s="30"/>
      <c r="J2163" s="30"/>
      <c r="K2163" s="30"/>
      <c r="L2163" s="30"/>
      <c r="M2163" s="30"/>
      <c r="N2163" s="30"/>
      <c r="O2163" s="30"/>
      <c r="P2163" s="30"/>
      <c r="Q2163" s="30"/>
      <c r="R2163" s="30"/>
      <c r="S2163" s="30"/>
      <c r="T2163" s="30"/>
      <c r="U2163" s="30"/>
      <c r="V2163" s="30"/>
      <c r="W2163" s="30"/>
      <c r="X2163" s="30"/>
      <c r="Y2163" s="30"/>
      <c r="Z2163" s="30"/>
    </row>
    <row r="2164">
      <c r="A2164" s="29"/>
      <c r="B2164" s="29"/>
      <c r="C2164" s="30"/>
      <c r="D2164" s="30"/>
      <c r="E2164" s="30"/>
      <c r="F2164" s="30"/>
      <c r="G2164" s="30"/>
      <c r="H2164" s="30"/>
      <c r="I2164" s="30"/>
      <c r="J2164" s="30"/>
      <c r="K2164" s="30"/>
      <c r="L2164" s="30"/>
      <c r="M2164" s="30"/>
      <c r="N2164" s="30"/>
      <c r="O2164" s="30"/>
      <c r="P2164" s="30"/>
      <c r="Q2164" s="30"/>
      <c r="R2164" s="30"/>
      <c r="S2164" s="30"/>
      <c r="T2164" s="30"/>
      <c r="U2164" s="30"/>
      <c r="V2164" s="30"/>
      <c r="W2164" s="30"/>
      <c r="X2164" s="30"/>
      <c r="Y2164" s="30"/>
      <c r="Z2164" s="30"/>
    </row>
    <row r="2165">
      <c r="A2165" s="29"/>
      <c r="B2165" s="29"/>
      <c r="C2165" s="30"/>
      <c r="D2165" s="30"/>
      <c r="E2165" s="30"/>
      <c r="F2165" s="30"/>
      <c r="G2165" s="30"/>
      <c r="H2165" s="30"/>
      <c r="I2165" s="30"/>
      <c r="J2165" s="30"/>
      <c r="K2165" s="30"/>
      <c r="L2165" s="30"/>
      <c r="M2165" s="30"/>
      <c r="N2165" s="30"/>
      <c r="O2165" s="30"/>
      <c r="P2165" s="30"/>
      <c r="Q2165" s="30"/>
      <c r="R2165" s="30"/>
      <c r="S2165" s="30"/>
      <c r="T2165" s="30"/>
      <c r="U2165" s="30"/>
      <c r="V2165" s="30"/>
      <c r="W2165" s="30"/>
      <c r="X2165" s="30"/>
      <c r="Y2165" s="30"/>
      <c r="Z2165" s="30"/>
    </row>
    <row r="2166">
      <c r="A2166" s="29"/>
      <c r="B2166" s="29"/>
      <c r="C2166" s="30"/>
      <c r="D2166" s="30"/>
      <c r="E2166" s="30"/>
      <c r="F2166" s="30"/>
      <c r="G2166" s="30"/>
      <c r="H2166" s="30"/>
      <c r="I2166" s="30"/>
      <c r="J2166" s="30"/>
      <c r="K2166" s="30"/>
      <c r="L2166" s="30"/>
      <c r="M2166" s="30"/>
      <c r="N2166" s="30"/>
      <c r="O2166" s="30"/>
      <c r="P2166" s="30"/>
      <c r="Q2166" s="30"/>
      <c r="R2166" s="30"/>
      <c r="S2166" s="30"/>
      <c r="T2166" s="30"/>
      <c r="U2166" s="30"/>
      <c r="V2166" s="30"/>
      <c r="W2166" s="30"/>
      <c r="X2166" s="30"/>
      <c r="Y2166" s="30"/>
      <c r="Z2166" s="30"/>
    </row>
    <row r="2167">
      <c r="A2167" s="29"/>
      <c r="B2167" s="29"/>
      <c r="C2167" s="30"/>
      <c r="D2167" s="30"/>
      <c r="E2167" s="30"/>
      <c r="F2167" s="30"/>
      <c r="G2167" s="30"/>
      <c r="H2167" s="30"/>
      <c r="I2167" s="30"/>
      <c r="J2167" s="30"/>
      <c r="K2167" s="30"/>
      <c r="L2167" s="30"/>
      <c r="M2167" s="30"/>
      <c r="N2167" s="30"/>
      <c r="O2167" s="30"/>
      <c r="P2167" s="30"/>
      <c r="Q2167" s="30"/>
      <c r="R2167" s="30"/>
      <c r="S2167" s="30"/>
      <c r="T2167" s="30"/>
      <c r="U2167" s="30"/>
      <c r="V2167" s="30"/>
      <c r="W2167" s="30"/>
      <c r="X2167" s="30"/>
      <c r="Y2167" s="30"/>
      <c r="Z2167" s="30"/>
    </row>
    <row r="2168">
      <c r="A2168" s="29"/>
      <c r="B2168" s="29"/>
      <c r="C2168" s="30"/>
      <c r="D2168" s="30"/>
      <c r="E2168" s="30"/>
      <c r="F2168" s="30"/>
      <c r="G2168" s="30"/>
      <c r="H2168" s="30"/>
      <c r="I2168" s="30"/>
      <c r="J2168" s="30"/>
      <c r="K2168" s="30"/>
      <c r="L2168" s="30"/>
      <c r="M2168" s="30"/>
      <c r="N2168" s="30"/>
      <c r="O2168" s="30"/>
      <c r="P2168" s="30"/>
      <c r="Q2168" s="30"/>
      <c r="R2168" s="30"/>
      <c r="S2168" s="30"/>
      <c r="T2168" s="30"/>
      <c r="U2168" s="30"/>
      <c r="V2168" s="30"/>
      <c r="W2168" s="30"/>
      <c r="X2168" s="30"/>
      <c r="Y2168" s="30"/>
      <c r="Z2168" s="30"/>
    </row>
    <row r="2169">
      <c r="A2169" s="29"/>
      <c r="B2169" s="29"/>
      <c r="C2169" s="30"/>
      <c r="D2169" s="30"/>
      <c r="E2169" s="30"/>
      <c r="F2169" s="30"/>
      <c r="G2169" s="30"/>
      <c r="H2169" s="30"/>
      <c r="I2169" s="30"/>
      <c r="J2169" s="30"/>
      <c r="K2169" s="30"/>
      <c r="L2169" s="30"/>
      <c r="M2169" s="30"/>
      <c r="N2169" s="30"/>
      <c r="O2169" s="30"/>
      <c r="P2169" s="30"/>
      <c r="Q2169" s="30"/>
      <c r="R2169" s="30"/>
      <c r="S2169" s="30"/>
      <c r="T2169" s="30"/>
      <c r="U2169" s="30"/>
      <c r="V2169" s="30"/>
      <c r="W2169" s="30"/>
      <c r="X2169" s="30"/>
      <c r="Y2169" s="30"/>
      <c r="Z2169" s="30"/>
    </row>
    <row r="2170">
      <c r="A2170" s="29"/>
      <c r="B2170" s="29"/>
      <c r="C2170" s="30"/>
      <c r="D2170" s="30"/>
      <c r="E2170" s="30"/>
      <c r="F2170" s="30"/>
      <c r="G2170" s="30"/>
      <c r="H2170" s="30"/>
      <c r="I2170" s="30"/>
      <c r="J2170" s="30"/>
      <c r="K2170" s="30"/>
      <c r="L2170" s="30"/>
      <c r="M2170" s="30"/>
      <c r="N2170" s="30"/>
      <c r="O2170" s="30"/>
      <c r="P2170" s="30"/>
      <c r="Q2170" s="30"/>
      <c r="R2170" s="30"/>
      <c r="S2170" s="30"/>
      <c r="T2170" s="30"/>
      <c r="U2170" s="30"/>
      <c r="V2170" s="30"/>
      <c r="W2170" s="30"/>
      <c r="X2170" s="30"/>
      <c r="Y2170" s="30"/>
      <c r="Z2170" s="30"/>
    </row>
    <row r="2171">
      <c r="A2171" s="29"/>
      <c r="B2171" s="29"/>
      <c r="C2171" s="30"/>
      <c r="D2171" s="30"/>
      <c r="E2171" s="30"/>
      <c r="F2171" s="30"/>
      <c r="G2171" s="30"/>
      <c r="H2171" s="30"/>
      <c r="I2171" s="30"/>
      <c r="J2171" s="30"/>
      <c r="K2171" s="30"/>
      <c r="L2171" s="30"/>
      <c r="M2171" s="30"/>
      <c r="N2171" s="30"/>
      <c r="O2171" s="30"/>
      <c r="P2171" s="30"/>
      <c r="Q2171" s="30"/>
      <c r="R2171" s="30"/>
      <c r="S2171" s="30"/>
      <c r="T2171" s="30"/>
      <c r="U2171" s="30"/>
      <c r="V2171" s="30"/>
      <c r="W2171" s="30"/>
      <c r="X2171" s="30"/>
      <c r="Y2171" s="30"/>
      <c r="Z2171" s="30"/>
    </row>
    <row r="2172">
      <c r="A2172" s="29"/>
      <c r="B2172" s="29"/>
      <c r="C2172" s="30"/>
      <c r="D2172" s="30"/>
      <c r="E2172" s="30"/>
      <c r="F2172" s="30"/>
      <c r="G2172" s="30"/>
      <c r="H2172" s="30"/>
      <c r="I2172" s="30"/>
      <c r="J2172" s="30"/>
      <c r="K2172" s="30"/>
      <c r="L2172" s="30"/>
      <c r="M2172" s="30"/>
      <c r="N2172" s="30"/>
      <c r="O2172" s="30"/>
      <c r="P2172" s="30"/>
      <c r="Q2172" s="30"/>
      <c r="R2172" s="30"/>
      <c r="S2172" s="30"/>
      <c r="T2172" s="30"/>
      <c r="U2172" s="30"/>
      <c r="V2172" s="30"/>
      <c r="W2172" s="30"/>
      <c r="X2172" s="30"/>
      <c r="Y2172" s="30"/>
      <c r="Z2172" s="30"/>
    </row>
    <row r="2173">
      <c r="A2173" s="29"/>
      <c r="B2173" s="29"/>
      <c r="C2173" s="30"/>
      <c r="D2173" s="30"/>
      <c r="E2173" s="30"/>
      <c r="F2173" s="30"/>
      <c r="G2173" s="30"/>
      <c r="H2173" s="30"/>
      <c r="I2173" s="30"/>
      <c r="J2173" s="30"/>
      <c r="K2173" s="30"/>
      <c r="L2173" s="30"/>
      <c r="M2173" s="30"/>
      <c r="N2173" s="30"/>
      <c r="O2173" s="30"/>
      <c r="P2173" s="30"/>
      <c r="Q2173" s="30"/>
      <c r="R2173" s="30"/>
      <c r="S2173" s="30"/>
      <c r="T2173" s="30"/>
      <c r="U2173" s="30"/>
      <c r="V2173" s="30"/>
      <c r="W2173" s="30"/>
      <c r="X2173" s="30"/>
      <c r="Y2173" s="30"/>
      <c r="Z2173" s="30"/>
    </row>
    <row r="2174">
      <c r="A2174" s="29"/>
      <c r="B2174" s="29"/>
      <c r="C2174" s="30"/>
      <c r="D2174" s="30"/>
      <c r="E2174" s="30"/>
      <c r="F2174" s="30"/>
      <c r="G2174" s="30"/>
      <c r="H2174" s="30"/>
      <c r="I2174" s="30"/>
      <c r="J2174" s="30"/>
      <c r="K2174" s="30"/>
      <c r="L2174" s="30"/>
      <c r="M2174" s="30"/>
      <c r="N2174" s="30"/>
      <c r="O2174" s="30"/>
      <c r="P2174" s="30"/>
      <c r="Q2174" s="30"/>
      <c r="R2174" s="30"/>
      <c r="S2174" s="30"/>
      <c r="T2174" s="30"/>
      <c r="U2174" s="30"/>
      <c r="V2174" s="30"/>
      <c r="W2174" s="30"/>
      <c r="X2174" s="30"/>
      <c r="Y2174" s="30"/>
      <c r="Z2174" s="30"/>
    </row>
    <row r="2175">
      <c r="A2175" s="29"/>
      <c r="B2175" s="29"/>
      <c r="C2175" s="30"/>
      <c r="D2175" s="30"/>
      <c r="E2175" s="30"/>
      <c r="F2175" s="30"/>
      <c r="G2175" s="30"/>
      <c r="H2175" s="30"/>
      <c r="I2175" s="30"/>
      <c r="J2175" s="30"/>
      <c r="K2175" s="30"/>
      <c r="L2175" s="30"/>
      <c r="M2175" s="30"/>
      <c r="N2175" s="30"/>
      <c r="O2175" s="30"/>
      <c r="P2175" s="30"/>
      <c r="Q2175" s="30"/>
      <c r="R2175" s="30"/>
      <c r="S2175" s="30"/>
      <c r="T2175" s="30"/>
      <c r="U2175" s="30"/>
      <c r="V2175" s="30"/>
      <c r="W2175" s="30"/>
      <c r="X2175" s="30"/>
      <c r="Y2175" s="30"/>
      <c r="Z2175" s="30"/>
    </row>
    <row r="2176">
      <c r="A2176" s="29"/>
      <c r="B2176" s="29"/>
      <c r="C2176" s="30"/>
      <c r="D2176" s="30"/>
      <c r="E2176" s="30"/>
      <c r="F2176" s="30"/>
      <c r="G2176" s="30"/>
      <c r="H2176" s="30"/>
      <c r="I2176" s="30"/>
      <c r="J2176" s="30"/>
      <c r="K2176" s="30"/>
      <c r="L2176" s="30"/>
      <c r="M2176" s="30"/>
      <c r="N2176" s="30"/>
      <c r="O2176" s="30"/>
      <c r="P2176" s="30"/>
      <c r="Q2176" s="30"/>
      <c r="R2176" s="30"/>
      <c r="S2176" s="30"/>
      <c r="T2176" s="30"/>
      <c r="U2176" s="30"/>
      <c r="V2176" s="30"/>
      <c r="W2176" s="30"/>
      <c r="X2176" s="30"/>
      <c r="Y2176" s="30"/>
      <c r="Z2176" s="30"/>
    </row>
    <row r="2177">
      <c r="A2177" s="29"/>
      <c r="B2177" s="29"/>
      <c r="C2177" s="30"/>
      <c r="D2177" s="30"/>
      <c r="E2177" s="30"/>
      <c r="F2177" s="30"/>
      <c r="G2177" s="30"/>
      <c r="H2177" s="30"/>
      <c r="I2177" s="30"/>
      <c r="J2177" s="30"/>
      <c r="K2177" s="30"/>
      <c r="L2177" s="30"/>
      <c r="M2177" s="30"/>
      <c r="N2177" s="30"/>
      <c r="O2177" s="30"/>
      <c r="P2177" s="30"/>
      <c r="Q2177" s="30"/>
      <c r="R2177" s="30"/>
      <c r="S2177" s="30"/>
      <c r="T2177" s="30"/>
      <c r="U2177" s="30"/>
      <c r="V2177" s="30"/>
      <c r="W2177" s="30"/>
      <c r="X2177" s="30"/>
      <c r="Y2177" s="30"/>
      <c r="Z2177" s="30"/>
    </row>
    <row r="2178">
      <c r="A2178" s="29"/>
      <c r="B2178" s="29"/>
      <c r="C2178" s="30"/>
      <c r="D2178" s="30"/>
      <c r="E2178" s="30"/>
      <c r="F2178" s="30"/>
      <c r="G2178" s="30"/>
      <c r="H2178" s="30"/>
      <c r="I2178" s="30"/>
      <c r="J2178" s="30"/>
      <c r="K2178" s="30"/>
      <c r="L2178" s="30"/>
      <c r="M2178" s="30"/>
      <c r="N2178" s="30"/>
      <c r="O2178" s="30"/>
      <c r="P2178" s="30"/>
      <c r="Q2178" s="30"/>
      <c r="R2178" s="30"/>
      <c r="S2178" s="30"/>
      <c r="T2178" s="30"/>
      <c r="U2178" s="30"/>
      <c r="V2178" s="30"/>
      <c r="W2178" s="30"/>
      <c r="X2178" s="30"/>
      <c r="Y2178" s="30"/>
      <c r="Z2178" s="30"/>
    </row>
    <row r="2179">
      <c r="A2179" s="29"/>
      <c r="B2179" s="29"/>
      <c r="C2179" s="30"/>
      <c r="D2179" s="30"/>
      <c r="E2179" s="30"/>
      <c r="F2179" s="30"/>
      <c r="G2179" s="30"/>
      <c r="H2179" s="30"/>
      <c r="I2179" s="30"/>
      <c r="J2179" s="30"/>
      <c r="K2179" s="30"/>
      <c r="L2179" s="30"/>
      <c r="M2179" s="30"/>
      <c r="N2179" s="30"/>
      <c r="O2179" s="30"/>
      <c r="P2179" s="30"/>
      <c r="Q2179" s="30"/>
      <c r="R2179" s="30"/>
      <c r="S2179" s="30"/>
      <c r="T2179" s="30"/>
      <c r="U2179" s="30"/>
      <c r="V2179" s="30"/>
      <c r="W2179" s="30"/>
      <c r="X2179" s="30"/>
      <c r="Y2179" s="30"/>
      <c r="Z2179" s="30"/>
    </row>
    <row r="2180">
      <c r="A2180" s="29"/>
      <c r="B2180" s="29"/>
      <c r="C2180" s="30"/>
      <c r="D2180" s="30"/>
      <c r="E2180" s="30"/>
      <c r="F2180" s="30"/>
      <c r="G2180" s="30"/>
      <c r="H2180" s="30"/>
      <c r="I2180" s="30"/>
      <c r="J2180" s="30"/>
      <c r="K2180" s="30"/>
      <c r="L2180" s="30"/>
      <c r="M2180" s="30"/>
      <c r="N2180" s="30"/>
      <c r="O2180" s="30"/>
      <c r="P2180" s="30"/>
      <c r="Q2180" s="30"/>
      <c r="R2180" s="30"/>
      <c r="S2180" s="30"/>
      <c r="T2180" s="30"/>
      <c r="U2180" s="30"/>
      <c r="V2180" s="30"/>
      <c r="W2180" s="30"/>
      <c r="X2180" s="30"/>
      <c r="Y2180" s="30"/>
      <c r="Z2180" s="30"/>
    </row>
    <row r="2181">
      <c r="A2181" s="29"/>
      <c r="B2181" s="29"/>
      <c r="C2181" s="30"/>
      <c r="D2181" s="30"/>
      <c r="E2181" s="30"/>
      <c r="F2181" s="30"/>
      <c r="G2181" s="30"/>
      <c r="H2181" s="30"/>
      <c r="I2181" s="30"/>
      <c r="J2181" s="30"/>
      <c r="K2181" s="30"/>
      <c r="L2181" s="30"/>
      <c r="M2181" s="30"/>
      <c r="N2181" s="30"/>
      <c r="O2181" s="30"/>
      <c r="P2181" s="30"/>
      <c r="Q2181" s="30"/>
      <c r="R2181" s="30"/>
      <c r="S2181" s="30"/>
      <c r="T2181" s="30"/>
      <c r="U2181" s="30"/>
      <c r="V2181" s="30"/>
      <c r="W2181" s="30"/>
      <c r="X2181" s="30"/>
      <c r="Y2181" s="30"/>
      <c r="Z2181" s="30"/>
    </row>
    <row r="2182">
      <c r="A2182" s="29"/>
      <c r="B2182" s="29"/>
      <c r="C2182" s="30"/>
      <c r="D2182" s="30"/>
      <c r="E2182" s="30"/>
      <c r="F2182" s="30"/>
      <c r="G2182" s="30"/>
      <c r="H2182" s="30"/>
      <c r="I2182" s="30"/>
      <c r="J2182" s="30"/>
      <c r="K2182" s="30"/>
      <c r="L2182" s="30"/>
      <c r="M2182" s="30"/>
      <c r="N2182" s="30"/>
      <c r="O2182" s="30"/>
      <c r="P2182" s="30"/>
      <c r="Q2182" s="30"/>
      <c r="R2182" s="30"/>
      <c r="S2182" s="30"/>
      <c r="T2182" s="30"/>
      <c r="U2182" s="30"/>
      <c r="V2182" s="30"/>
      <c r="W2182" s="30"/>
      <c r="X2182" s="30"/>
      <c r="Y2182" s="30"/>
      <c r="Z2182" s="30"/>
    </row>
    <row r="2183">
      <c r="A2183" s="29"/>
      <c r="B2183" s="29"/>
      <c r="C2183" s="30"/>
      <c r="D2183" s="30"/>
      <c r="E2183" s="30"/>
      <c r="F2183" s="30"/>
      <c r="G2183" s="30"/>
      <c r="H2183" s="30"/>
      <c r="I2183" s="30"/>
      <c r="J2183" s="30"/>
      <c r="K2183" s="30"/>
      <c r="L2183" s="30"/>
      <c r="M2183" s="30"/>
      <c r="N2183" s="30"/>
      <c r="O2183" s="30"/>
      <c r="P2183" s="30"/>
      <c r="Q2183" s="30"/>
      <c r="R2183" s="30"/>
      <c r="S2183" s="30"/>
      <c r="T2183" s="30"/>
      <c r="U2183" s="30"/>
      <c r="V2183" s="30"/>
      <c r="W2183" s="30"/>
      <c r="X2183" s="30"/>
      <c r="Y2183" s="30"/>
      <c r="Z2183" s="30"/>
    </row>
    <row r="2184">
      <c r="A2184" s="29"/>
      <c r="B2184" s="29"/>
      <c r="C2184" s="30"/>
      <c r="D2184" s="30"/>
      <c r="E2184" s="30"/>
      <c r="F2184" s="30"/>
      <c r="G2184" s="30"/>
      <c r="H2184" s="30"/>
      <c r="I2184" s="30"/>
      <c r="J2184" s="30"/>
      <c r="K2184" s="30"/>
      <c r="L2184" s="30"/>
      <c r="M2184" s="30"/>
      <c r="N2184" s="30"/>
      <c r="O2184" s="30"/>
      <c r="P2184" s="30"/>
      <c r="Q2184" s="30"/>
      <c r="R2184" s="30"/>
      <c r="S2184" s="30"/>
      <c r="T2184" s="30"/>
      <c r="U2184" s="30"/>
      <c r="V2184" s="30"/>
      <c r="W2184" s="30"/>
      <c r="X2184" s="30"/>
      <c r="Y2184" s="30"/>
      <c r="Z2184" s="30"/>
    </row>
    <row r="2185">
      <c r="A2185" s="29"/>
      <c r="B2185" s="29"/>
      <c r="C2185" s="30"/>
      <c r="D2185" s="30"/>
      <c r="E2185" s="30"/>
      <c r="F2185" s="30"/>
      <c r="G2185" s="30"/>
      <c r="H2185" s="30"/>
      <c r="I2185" s="30"/>
      <c r="J2185" s="30"/>
      <c r="K2185" s="30"/>
      <c r="L2185" s="30"/>
      <c r="M2185" s="30"/>
      <c r="N2185" s="30"/>
      <c r="O2185" s="30"/>
      <c r="P2185" s="30"/>
      <c r="Q2185" s="30"/>
      <c r="R2185" s="30"/>
      <c r="S2185" s="30"/>
      <c r="T2185" s="30"/>
      <c r="U2185" s="30"/>
      <c r="V2185" s="30"/>
      <c r="W2185" s="30"/>
      <c r="X2185" s="30"/>
      <c r="Y2185" s="30"/>
      <c r="Z2185" s="30"/>
    </row>
    <row r="2186">
      <c r="A2186" s="29"/>
      <c r="B2186" s="29"/>
      <c r="C2186" s="30"/>
      <c r="D2186" s="30"/>
      <c r="E2186" s="30"/>
      <c r="F2186" s="30"/>
      <c r="G2186" s="30"/>
      <c r="H2186" s="30"/>
      <c r="I2186" s="30"/>
      <c r="J2186" s="30"/>
      <c r="K2186" s="30"/>
      <c r="L2186" s="30"/>
      <c r="M2186" s="30"/>
      <c r="N2186" s="30"/>
      <c r="O2186" s="30"/>
      <c r="P2186" s="30"/>
      <c r="Q2186" s="30"/>
      <c r="R2186" s="30"/>
      <c r="S2186" s="30"/>
      <c r="T2186" s="30"/>
      <c r="U2186" s="30"/>
      <c r="V2186" s="30"/>
      <c r="W2186" s="30"/>
      <c r="X2186" s="30"/>
      <c r="Y2186" s="30"/>
      <c r="Z2186" s="30"/>
    </row>
    <row r="2187">
      <c r="A2187" s="29"/>
      <c r="B2187" s="29"/>
      <c r="C2187" s="30"/>
      <c r="D2187" s="30"/>
      <c r="E2187" s="30"/>
      <c r="F2187" s="30"/>
      <c r="G2187" s="30"/>
      <c r="H2187" s="30"/>
      <c r="I2187" s="30"/>
      <c r="J2187" s="30"/>
      <c r="K2187" s="30"/>
      <c r="L2187" s="30"/>
      <c r="M2187" s="30"/>
      <c r="N2187" s="30"/>
      <c r="O2187" s="30"/>
      <c r="P2187" s="30"/>
      <c r="Q2187" s="30"/>
      <c r="R2187" s="30"/>
      <c r="S2187" s="30"/>
      <c r="T2187" s="30"/>
      <c r="U2187" s="30"/>
      <c r="V2187" s="30"/>
      <c r="W2187" s="30"/>
      <c r="X2187" s="30"/>
      <c r="Y2187" s="30"/>
      <c r="Z2187" s="30"/>
    </row>
    <row r="2188">
      <c r="A2188" s="29"/>
      <c r="B2188" s="29"/>
      <c r="C2188" s="30"/>
      <c r="D2188" s="30"/>
      <c r="E2188" s="30"/>
      <c r="F2188" s="30"/>
      <c r="G2188" s="30"/>
      <c r="H2188" s="30"/>
      <c r="I2188" s="30"/>
      <c r="J2188" s="30"/>
      <c r="K2188" s="30"/>
      <c r="L2188" s="30"/>
      <c r="M2188" s="30"/>
      <c r="N2188" s="30"/>
      <c r="O2188" s="30"/>
      <c r="P2188" s="30"/>
      <c r="Q2188" s="30"/>
      <c r="R2188" s="30"/>
      <c r="S2188" s="30"/>
      <c r="T2188" s="30"/>
      <c r="U2188" s="30"/>
      <c r="V2188" s="30"/>
      <c r="W2188" s="30"/>
      <c r="X2188" s="30"/>
      <c r="Y2188" s="30"/>
      <c r="Z2188" s="30"/>
    </row>
    <row r="2189">
      <c r="A2189" s="29"/>
      <c r="B2189" s="29"/>
      <c r="C2189" s="30"/>
      <c r="D2189" s="30"/>
      <c r="E2189" s="30"/>
      <c r="F2189" s="30"/>
      <c r="G2189" s="30"/>
      <c r="H2189" s="30"/>
      <c r="I2189" s="30"/>
      <c r="J2189" s="30"/>
      <c r="K2189" s="30"/>
      <c r="L2189" s="30"/>
      <c r="M2189" s="30"/>
      <c r="N2189" s="30"/>
      <c r="O2189" s="30"/>
      <c r="P2189" s="30"/>
      <c r="Q2189" s="30"/>
      <c r="R2189" s="30"/>
      <c r="S2189" s="30"/>
      <c r="T2189" s="30"/>
      <c r="U2189" s="30"/>
      <c r="V2189" s="30"/>
      <c r="W2189" s="30"/>
      <c r="X2189" s="30"/>
      <c r="Y2189" s="30"/>
      <c r="Z2189" s="30"/>
    </row>
    <row r="2190">
      <c r="A2190" s="29"/>
      <c r="B2190" s="29"/>
      <c r="C2190" s="30"/>
      <c r="D2190" s="30"/>
      <c r="E2190" s="30"/>
      <c r="F2190" s="30"/>
      <c r="G2190" s="30"/>
      <c r="H2190" s="30"/>
      <c r="I2190" s="30"/>
      <c r="J2190" s="30"/>
      <c r="K2190" s="30"/>
      <c r="L2190" s="30"/>
      <c r="M2190" s="30"/>
      <c r="N2190" s="30"/>
      <c r="O2190" s="30"/>
      <c r="P2190" s="30"/>
      <c r="Q2190" s="30"/>
      <c r="R2190" s="30"/>
      <c r="S2190" s="30"/>
      <c r="T2190" s="30"/>
      <c r="U2190" s="30"/>
      <c r="V2190" s="30"/>
      <c r="W2190" s="30"/>
      <c r="X2190" s="30"/>
      <c r="Y2190" s="30"/>
      <c r="Z2190" s="30"/>
    </row>
    <row r="2191">
      <c r="A2191" s="29"/>
      <c r="B2191" s="29"/>
      <c r="C2191" s="30"/>
      <c r="D2191" s="30"/>
      <c r="E2191" s="30"/>
      <c r="F2191" s="30"/>
      <c r="G2191" s="30"/>
      <c r="H2191" s="30"/>
      <c r="I2191" s="30"/>
      <c r="J2191" s="30"/>
      <c r="K2191" s="30"/>
      <c r="L2191" s="30"/>
      <c r="M2191" s="30"/>
      <c r="N2191" s="30"/>
      <c r="O2191" s="30"/>
      <c r="P2191" s="30"/>
      <c r="Q2191" s="30"/>
      <c r="R2191" s="30"/>
      <c r="S2191" s="30"/>
      <c r="T2191" s="30"/>
      <c r="U2191" s="30"/>
      <c r="V2191" s="30"/>
      <c r="W2191" s="30"/>
      <c r="X2191" s="30"/>
      <c r="Y2191" s="30"/>
      <c r="Z2191" s="30"/>
    </row>
    <row r="2192">
      <c r="A2192" s="29"/>
      <c r="B2192" s="29"/>
      <c r="C2192" s="30"/>
      <c r="D2192" s="30"/>
      <c r="E2192" s="30"/>
      <c r="F2192" s="30"/>
      <c r="G2192" s="30"/>
      <c r="H2192" s="30"/>
      <c r="I2192" s="30"/>
      <c r="J2192" s="30"/>
      <c r="K2192" s="30"/>
      <c r="L2192" s="30"/>
      <c r="M2192" s="30"/>
      <c r="N2192" s="30"/>
      <c r="O2192" s="30"/>
      <c r="P2192" s="30"/>
      <c r="Q2192" s="30"/>
      <c r="R2192" s="30"/>
      <c r="S2192" s="30"/>
      <c r="T2192" s="30"/>
      <c r="U2192" s="30"/>
      <c r="V2192" s="30"/>
      <c r="W2192" s="30"/>
      <c r="X2192" s="30"/>
      <c r="Y2192" s="30"/>
      <c r="Z2192" s="30"/>
    </row>
    <row r="2193">
      <c r="A2193" s="29"/>
      <c r="B2193" s="29"/>
      <c r="C2193" s="30"/>
      <c r="D2193" s="30"/>
      <c r="E2193" s="30"/>
      <c r="F2193" s="30"/>
      <c r="G2193" s="30"/>
      <c r="H2193" s="30"/>
      <c r="I2193" s="30"/>
      <c r="J2193" s="30"/>
      <c r="K2193" s="30"/>
      <c r="L2193" s="30"/>
      <c r="M2193" s="30"/>
      <c r="N2193" s="30"/>
      <c r="O2193" s="30"/>
      <c r="P2193" s="30"/>
      <c r="Q2193" s="30"/>
      <c r="R2193" s="30"/>
      <c r="S2193" s="30"/>
      <c r="T2193" s="30"/>
      <c r="U2193" s="30"/>
      <c r="V2193" s="30"/>
      <c r="W2193" s="30"/>
      <c r="X2193" s="30"/>
      <c r="Y2193" s="30"/>
      <c r="Z2193" s="30"/>
    </row>
    <row r="2194">
      <c r="A2194" s="29"/>
      <c r="B2194" s="29"/>
      <c r="C2194" s="30"/>
      <c r="D2194" s="30"/>
      <c r="E2194" s="30"/>
      <c r="F2194" s="30"/>
      <c r="G2194" s="30"/>
      <c r="H2194" s="30"/>
      <c r="I2194" s="30"/>
      <c r="J2194" s="30"/>
      <c r="K2194" s="30"/>
      <c r="L2194" s="30"/>
      <c r="M2194" s="30"/>
      <c r="N2194" s="30"/>
      <c r="O2194" s="30"/>
      <c r="P2194" s="30"/>
      <c r="Q2194" s="30"/>
      <c r="R2194" s="30"/>
      <c r="S2194" s="30"/>
      <c r="T2194" s="30"/>
      <c r="U2194" s="30"/>
      <c r="V2194" s="30"/>
      <c r="W2194" s="30"/>
      <c r="X2194" s="30"/>
      <c r="Y2194" s="30"/>
      <c r="Z2194" s="30"/>
    </row>
    <row r="2195">
      <c r="A2195" s="29"/>
      <c r="B2195" s="29"/>
      <c r="C2195" s="30"/>
      <c r="D2195" s="30"/>
      <c r="E2195" s="30"/>
      <c r="F2195" s="30"/>
      <c r="G2195" s="30"/>
      <c r="H2195" s="30"/>
      <c r="I2195" s="30"/>
      <c r="J2195" s="30"/>
      <c r="K2195" s="30"/>
      <c r="L2195" s="30"/>
      <c r="M2195" s="30"/>
      <c r="N2195" s="30"/>
      <c r="O2195" s="30"/>
      <c r="P2195" s="30"/>
      <c r="Q2195" s="30"/>
      <c r="R2195" s="30"/>
      <c r="S2195" s="30"/>
      <c r="T2195" s="30"/>
      <c r="U2195" s="30"/>
      <c r="V2195" s="30"/>
      <c r="W2195" s="30"/>
      <c r="X2195" s="30"/>
      <c r="Y2195" s="30"/>
      <c r="Z2195" s="30"/>
    </row>
    <row r="2196">
      <c r="A2196" s="29"/>
      <c r="B2196" s="29"/>
      <c r="C2196" s="30"/>
      <c r="D2196" s="30"/>
      <c r="E2196" s="30"/>
      <c r="F2196" s="30"/>
      <c r="G2196" s="30"/>
      <c r="H2196" s="30"/>
      <c r="I2196" s="30"/>
      <c r="J2196" s="30"/>
      <c r="K2196" s="30"/>
      <c r="L2196" s="30"/>
      <c r="M2196" s="30"/>
      <c r="N2196" s="30"/>
      <c r="O2196" s="30"/>
      <c r="P2196" s="30"/>
      <c r="Q2196" s="30"/>
      <c r="R2196" s="30"/>
      <c r="S2196" s="30"/>
      <c r="T2196" s="30"/>
      <c r="U2196" s="30"/>
      <c r="V2196" s="30"/>
      <c r="W2196" s="30"/>
      <c r="X2196" s="30"/>
      <c r="Y2196" s="30"/>
      <c r="Z2196" s="30"/>
    </row>
    <row r="2197">
      <c r="A2197" s="29"/>
      <c r="B2197" s="29"/>
      <c r="C2197" s="30"/>
      <c r="D2197" s="30"/>
      <c r="E2197" s="30"/>
      <c r="F2197" s="30"/>
      <c r="G2197" s="30"/>
      <c r="H2197" s="30"/>
      <c r="I2197" s="30"/>
      <c r="J2197" s="30"/>
      <c r="K2197" s="30"/>
      <c r="L2197" s="30"/>
      <c r="M2197" s="30"/>
      <c r="N2197" s="30"/>
      <c r="O2197" s="30"/>
      <c r="P2197" s="30"/>
      <c r="Q2197" s="30"/>
      <c r="R2197" s="30"/>
      <c r="S2197" s="30"/>
      <c r="T2197" s="30"/>
      <c r="U2197" s="30"/>
      <c r="V2197" s="30"/>
      <c r="W2197" s="30"/>
      <c r="X2197" s="30"/>
      <c r="Y2197" s="30"/>
      <c r="Z2197" s="30"/>
    </row>
    <row r="2198">
      <c r="A2198" s="29"/>
      <c r="B2198" s="29"/>
      <c r="C2198" s="30"/>
      <c r="D2198" s="30"/>
      <c r="E2198" s="30"/>
      <c r="F2198" s="30"/>
      <c r="G2198" s="30"/>
      <c r="H2198" s="30"/>
      <c r="I2198" s="30"/>
      <c r="J2198" s="30"/>
      <c r="K2198" s="30"/>
      <c r="L2198" s="30"/>
      <c r="M2198" s="30"/>
      <c r="N2198" s="30"/>
      <c r="O2198" s="30"/>
      <c r="P2198" s="30"/>
      <c r="Q2198" s="30"/>
      <c r="R2198" s="30"/>
      <c r="S2198" s="30"/>
      <c r="T2198" s="30"/>
      <c r="U2198" s="30"/>
      <c r="V2198" s="30"/>
      <c r="W2198" s="30"/>
      <c r="X2198" s="30"/>
      <c r="Y2198" s="30"/>
      <c r="Z2198" s="30"/>
    </row>
    <row r="2199">
      <c r="A2199" s="29"/>
      <c r="B2199" s="29"/>
      <c r="C2199" s="30"/>
      <c r="D2199" s="30"/>
      <c r="E2199" s="30"/>
      <c r="F2199" s="30"/>
      <c r="G2199" s="30"/>
      <c r="H2199" s="30"/>
      <c r="I2199" s="30"/>
      <c r="J2199" s="30"/>
      <c r="K2199" s="30"/>
      <c r="L2199" s="30"/>
      <c r="M2199" s="30"/>
      <c r="N2199" s="30"/>
      <c r="O2199" s="30"/>
      <c r="P2199" s="30"/>
      <c r="Q2199" s="30"/>
      <c r="R2199" s="30"/>
      <c r="S2199" s="30"/>
      <c r="T2199" s="30"/>
      <c r="U2199" s="30"/>
      <c r="V2199" s="30"/>
      <c r="W2199" s="30"/>
      <c r="X2199" s="30"/>
      <c r="Y2199" s="30"/>
      <c r="Z2199" s="30"/>
    </row>
    <row r="2200">
      <c r="A2200" s="29"/>
      <c r="B2200" s="29"/>
      <c r="C2200" s="30"/>
      <c r="D2200" s="30"/>
      <c r="E2200" s="30"/>
      <c r="F2200" s="30"/>
      <c r="G2200" s="30"/>
      <c r="H2200" s="30"/>
      <c r="I2200" s="30"/>
      <c r="J2200" s="30"/>
      <c r="K2200" s="30"/>
      <c r="L2200" s="30"/>
      <c r="M2200" s="30"/>
      <c r="N2200" s="30"/>
      <c r="O2200" s="30"/>
      <c r="P2200" s="30"/>
      <c r="Q2200" s="30"/>
      <c r="R2200" s="30"/>
      <c r="S2200" s="30"/>
      <c r="T2200" s="30"/>
      <c r="U2200" s="30"/>
      <c r="V2200" s="30"/>
      <c r="W2200" s="30"/>
      <c r="X2200" s="30"/>
      <c r="Y2200" s="30"/>
      <c r="Z2200" s="30"/>
    </row>
    <row r="2201">
      <c r="A2201" s="29"/>
      <c r="B2201" s="29"/>
      <c r="C2201" s="30"/>
      <c r="D2201" s="30"/>
      <c r="E2201" s="30"/>
      <c r="F2201" s="30"/>
      <c r="G2201" s="30"/>
      <c r="H2201" s="30"/>
      <c r="I2201" s="30"/>
      <c r="J2201" s="30"/>
      <c r="K2201" s="30"/>
      <c r="L2201" s="30"/>
      <c r="M2201" s="30"/>
      <c r="N2201" s="30"/>
      <c r="O2201" s="30"/>
      <c r="P2201" s="30"/>
      <c r="Q2201" s="30"/>
      <c r="R2201" s="30"/>
      <c r="S2201" s="30"/>
      <c r="T2201" s="30"/>
      <c r="U2201" s="30"/>
      <c r="V2201" s="30"/>
      <c r="W2201" s="30"/>
      <c r="X2201" s="30"/>
      <c r="Y2201" s="30"/>
      <c r="Z2201" s="30"/>
    </row>
    <row r="2202">
      <c r="A2202" s="29"/>
      <c r="B2202" s="29"/>
      <c r="C2202" s="30"/>
      <c r="D2202" s="30"/>
      <c r="E2202" s="30"/>
      <c r="F2202" s="30"/>
      <c r="G2202" s="30"/>
      <c r="H2202" s="30"/>
      <c r="I2202" s="30"/>
      <c r="J2202" s="30"/>
      <c r="K2202" s="30"/>
      <c r="L2202" s="30"/>
      <c r="M2202" s="30"/>
      <c r="N2202" s="30"/>
      <c r="O2202" s="30"/>
      <c r="P2202" s="30"/>
      <c r="Q2202" s="30"/>
      <c r="R2202" s="30"/>
      <c r="S2202" s="30"/>
      <c r="T2202" s="30"/>
      <c r="U2202" s="30"/>
      <c r="V2202" s="30"/>
      <c r="W2202" s="30"/>
      <c r="X2202" s="30"/>
      <c r="Y2202" s="30"/>
      <c r="Z2202" s="30"/>
    </row>
    <row r="2203">
      <c r="A2203" s="29"/>
      <c r="B2203" s="29"/>
      <c r="C2203" s="30"/>
      <c r="D2203" s="30"/>
      <c r="E2203" s="30"/>
      <c r="F2203" s="30"/>
      <c r="G2203" s="30"/>
      <c r="H2203" s="30"/>
      <c r="I2203" s="30"/>
      <c r="J2203" s="30"/>
      <c r="K2203" s="30"/>
      <c r="L2203" s="30"/>
      <c r="M2203" s="30"/>
      <c r="N2203" s="30"/>
      <c r="O2203" s="30"/>
      <c r="P2203" s="30"/>
      <c r="Q2203" s="30"/>
      <c r="R2203" s="30"/>
      <c r="S2203" s="30"/>
      <c r="T2203" s="30"/>
      <c r="U2203" s="30"/>
      <c r="V2203" s="30"/>
      <c r="W2203" s="30"/>
      <c r="X2203" s="30"/>
      <c r="Y2203" s="30"/>
      <c r="Z2203" s="30"/>
    </row>
    <row r="2204">
      <c r="A2204" s="29"/>
      <c r="B2204" s="29"/>
      <c r="C2204" s="30"/>
      <c r="D2204" s="30"/>
      <c r="E2204" s="30"/>
      <c r="F2204" s="30"/>
      <c r="G2204" s="30"/>
      <c r="H2204" s="30"/>
      <c r="I2204" s="30"/>
      <c r="J2204" s="30"/>
      <c r="K2204" s="30"/>
      <c r="L2204" s="30"/>
      <c r="M2204" s="30"/>
      <c r="N2204" s="30"/>
      <c r="O2204" s="30"/>
      <c r="P2204" s="30"/>
      <c r="Q2204" s="30"/>
      <c r="R2204" s="30"/>
      <c r="S2204" s="30"/>
      <c r="T2204" s="30"/>
      <c r="U2204" s="30"/>
      <c r="V2204" s="30"/>
      <c r="W2204" s="30"/>
      <c r="X2204" s="30"/>
      <c r="Y2204" s="30"/>
      <c r="Z2204" s="30"/>
    </row>
    <row r="2205">
      <c r="A2205" s="29"/>
      <c r="B2205" s="29"/>
      <c r="C2205" s="30"/>
      <c r="D2205" s="30"/>
      <c r="E2205" s="30"/>
      <c r="F2205" s="30"/>
      <c r="G2205" s="30"/>
      <c r="H2205" s="30"/>
      <c r="I2205" s="30"/>
      <c r="J2205" s="30"/>
      <c r="K2205" s="30"/>
      <c r="L2205" s="30"/>
      <c r="M2205" s="30"/>
      <c r="N2205" s="30"/>
      <c r="O2205" s="30"/>
      <c r="P2205" s="30"/>
      <c r="Q2205" s="30"/>
      <c r="R2205" s="30"/>
      <c r="S2205" s="30"/>
      <c r="T2205" s="30"/>
      <c r="U2205" s="30"/>
      <c r="V2205" s="30"/>
      <c r="W2205" s="30"/>
      <c r="X2205" s="30"/>
      <c r="Y2205" s="30"/>
      <c r="Z2205" s="30"/>
    </row>
    <row r="2206">
      <c r="A2206" s="29"/>
      <c r="B2206" s="29"/>
      <c r="C2206" s="30"/>
      <c r="D2206" s="30"/>
      <c r="E2206" s="30"/>
      <c r="F2206" s="30"/>
      <c r="G2206" s="30"/>
      <c r="H2206" s="30"/>
      <c r="I2206" s="30"/>
      <c r="J2206" s="30"/>
      <c r="K2206" s="30"/>
      <c r="L2206" s="30"/>
      <c r="M2206" s="30"/>
      <c r="N2206" s="30"/>
      <c r="O2206" s="30"/>
      <c r="P2206" s="30"/>
      <c r="Q2206" s="30"/>
      <c r="R2206" s="30"/>
      <c r="S2206" s="30"/>
      <c r="T2206" s="30"/>
      <c r="U2206" s="30"/>
      <c r="V2206" s="30"/>
      <c r="W2206" s="30"/>
      <c r="X2206" s="30"/>
      <c r="Y2206" s="30"/>
      <c r="Z2206" s="30"/>
    </row>
    <row r="2207">
      <c r="A2207" s="29"/>
      <c r="B2207" s="29"/>
      <c r="C2207" s="30"/>
      <c r="D2207" s="30"/>
      <c r="E2207" s="30"/>
      <c r="F2207" s="30"/>
      <c r="G2207" s="30"/>
      <c r="H2207" s="30"/>
      <c r="I2207" s="30"/>
      <c r="J2207" s="30"/>
      <c r="K2207" s="30"/>
      <c r="L2207" s="30"/>
      <c r="M2207" s="30"/>
      <c r="N2207" s="30"/>
      <c r="O2207" s="30"/>
      <c r="P2207" s="30"/>
      <c r="Q2207" s="30"/>
      <c r="R2207" s="30"/>
      <c r="S2207" s="30"/>
      <c r="T2207" s="30"/>
      <c r="U2207" s="30"/>
      <c r="V2207" s="30"/>
      <c r="W2207" s="30"/>
      <c r="X2207" s="30"/>
      <c r="Y2207" s="30"/>
      <c r="Z2207" s="30"/>
    </row>
    <row r="2208">
      <c r="A2208" s="29"/>
      <c r="B2208" s="29"/>
      <c r="C2208" s="30"/>
      <c r="D2208" s="30"/>
      <c r="E2208" s="30"/>
      <c r="F2208" s="30"/>
      <c r="G2208" s="30"/>
      <c r="H2208" s="30"/>
      <c r="I2208" s="30"/>
      <c r="J2208" s="30"/>
      <c r="K2208" s="30"/>
      <c r="L2208" s="30"/>
      <c r="M2208" s="30"/>
      <c r="N2208" s="30"/>
      <c r="O2208" s="30"/>
      <c r="P2208" s="30"/>
      <c r="Q2208" s="30"/>
      <c r="R2208" s="30"/>
      <c r="S2208" s="30"/>
      <c r="T2208" s="30"/>
      <c r="U2208" s="30"/>
      <c r="V2208" s="30"/>
      <c r="W2208" s="30"/>
      <c r="X2208" s="30"/>
      <c r="Y2208" s="30"/>
      <c r="Z2208" s="30"/>
    </row>
    <row r="2209">
      <c r="A2209" s="29"/>
      <c r="B2209" s="29"/>
      <c r="C2209" s="30"/>
      <c r="D2209" s="30"/>
      <c r="E2209" s="30"/>
      <c r="F2209" s="30"/>
      <c r="G2209" s="30"/>
      <c r="H2209" s="30"/>
      <c r="I2209" s="30"/>
      <c r="J2209" s="30"/>
      <c r="K2209" s="30"/>
      <c r="L2209" s="30"/>
      <c r="M2209" s="30"/>
      <c r="N2209" s="30"/>
      <c r="O2209" s="30"/>
      <c r="P2209" s="30"/>
      <c r="Q2209" s="30"/>
      <c r="R2209" s="30"/>
      <c r="S2209" s="30"/>
      <c r="T2209" s="30"/>
      <c r="U2209" s="30"/>
      <c r="V2209" s="30"/>
      <c r="W2209" s="30"/>
      <c r="X2209" s="30"/>
      <c r="Y2209" s="30"/>
      <c r="Z2209" s="30"/>
    </row>
    <row r="2210">
      <c r="A2210" s="29"/>
      <c r="B2210" s="29"/>
      <c r="C2210" s="30"/>
      <c r="D2210" s="30"/>
      <c r="E2210" s="30"/>
      <c r="F2210" s="30"/>
      <c r="G2210" s="30"/>
      <c r="H2210" s="30"/>
      <c r="I2210" s="30"/>
      <c r="J2210" s="30"/>
      <c r="K2210" s="30"/>
      <c r="L2210" s="30"/>
      <c r="M2210" s="30"/>
      <c r="N2210" s="30"/>
      <c r="O2210" s="30"/>
      <c r="P2210" s="30"/>
      <c r="Q2210" s="30"/>
      <c r="R2210" s="30"/>
      <c r="S2210" s="30"/>
      <c r="T2210" s="30"/>
      <c r="U2210" s="30"/>
      <c r="V2210" s="30"/>
      <c r="W2210" s="30"/>
      <c r="X2210" s="30"/>
      <c r="Y2210" s="30"/>
      <c r="Z2210" s="30"/>
    </row>
    <row r="2211">
      <c r="A2211" s="29"/>
      <c r="B2211" s="29"/>
      <c r="C2211" s="30"/>
      <c r="D2211" s="30"/>
      <c r="E2211" s="30"/>
      <c r="F2211" s="30"/>
      <c r="G2211" s="30"/>
      <c r="H2211" s="30"/>
      <c r="I2211" s="30"/>
      <c r="J2211" s="30"/>
      <c r="K2211" s="30"/>
      <c r="L2211" s="30"/>
      <c r="M2211" s="30"/>
      <c r="N2211" s="30"/>
      <c r="O2211" s="30"/>
      <c r="P2211" s="30"/>
      <c r="Q2211" s="30"/>
      <c r="R2211" s="30"/>
      <c r="S2211" s="30"/>
      <c r="T2211" s="30"/>
      <c r="U2211" s="30"/>
      <c r="V2211" s="30"/>
      <c r="W2211" s="30"/>
      <c r="X2211" s="30"/>
      <c r="Y2211" s="30"/>
      <c r="Z2211" s="30"/>
    </row>
    <row r="2212">
      <c r="A2212" s="29"/>
      <c r="B2212" s="29"/>
      <c r="C2212" s="30"/>
      <c r="D2212" s="30"/>
      <c r="E2212" s="30"/>
      <c r="F2212" s="30"/>
      <c r="G2212" s="30"/>
      <c r="H2212" s="30"/>
      <c r="I2212" s="30"/>
      <c r="J2212" s="30"/>
      <c r="K2212" s="30"/>
      <c r="L2212" s="30"/>
      <c r="M2212" s="30"/>
      <c r="N2212" s="30"/>
      <c r="O2212" s="30"/>
      <c r="P2212" s="30"/>
      <c r="Q2212" s="30"/>
      <c r="R2212" s="30"/>
      <c r="S2212" s="30"/>
      <c r="T2212" s="30"/>
      <c r="U2212" s="30"/>
      <c r="V2212" s="30"/>
      <c r="W2212" s="30"/>
      <c r="X2212" s="30"/>
      <c r="Y2212" s="30"/>
      <c r="Z2212" s="30"/>
    </row>
    <row r="2213">
      <c r="A2213" s="29"/>
      <c r="B2213" s="29"/>
      <c r="C2213" s="30"/>
      <c r="D2213" s="30"/>
      <c r="E2213" s="30"/>
      <c r="F2213" s="30"/>
      <c r="G2213" s="30"/>
      <c r="H2213" s="30"/>
      <c r="I2213" s="30"/>
      <c r="J2213" s="30"/>
      <c r="K2213" s="30"/>
      <c r="L2213" s="30"/>
      <c r="M2213" s="30"/>
      <c r="N2213" s="30"/>
      <c r="O2213" s="30"/>
      <c r="P2213" s="30"/>
      <c r="Q2213" s="30"/>
      <c r="R2213" s="30"/>
      <c r="S2213" s="30"/>
      <c r="T2213" s="30"/>
      <c r="U2213" s="30"/>
      <c r="V2213" s="30"/>
      <c r="W2213" s="30"/>
      <c r="X2213" s="30"/>
      <c r="Y2213" s="30"/>
      <c r="Z2213" s="30"/>
    </row>
    <row r="2214">
      <c r="A2214" s="29"/>
      <c r="B2214" s="29"/>
      <c r="C2214" s="30"/>
      <c r="D2214" s="30"/>
      <c r="E2214" s="30"/>
      <c r="F2214" s="30"/>
      <c r="G2214" s="30"/>
      <c r="H2214" s="30"/>
      <c r="I2214" s="30"/>
      <c r="J2214" s="30"/>
      <c r="K2214" s="30"/>
      <c r="L2214" s="30"/>
      <c r="M2214" s="30"/>
      <c r="N2214" s="30"/>
      <c r="O2214" s="30"/>
      <c r="P2214" s="30"/>
      <c r="Q2214" s="30"/>
      <c r="R2214" s="30"/>
      <c r="S2214" s="30"/>
      <c r="T2214" s="30"/>
      <c r="U2214" s="30"/>
      <c r="V2214" s="30"/>
      <c r="W2214" s="30"/>
      <c r="X2214" s="30"/>
      <c r="Y2214" s="30"/>
      <c r="Z2214" s="30"/>
    </row>
    <row r="2215">
      <c r="A2215" s="29"/>
      <c r="B2215" s="29"/>
      <c r="C2215" s="30"/>
      <c r="D2215" s="30"/>
      <c r="E2215" s="30"/>
      <c r="F2215" s="30"/>
      <c r="G2215" s="30"/>
      <c r="H2215" s="30"/>
      <c r="I2215" s="30"/>
      <c r="J2215" s="30"/>
      <c r="K2215" s="30"/>
      <c r="L2215" s="30"/>
      <c r="M2215" s="30"/>
      <c r="N2215" s="30"/>
      <c r="O2215" s="30"/>
      <c r="P2215" s="30"/>
      <c r="Q2215" s="30"/>
      <c r="R2215" s="30"/>
      <c r="S2215" s="30"/>
      <c r="T2215" s="30"/>
      <c r="U2215" s="30"/>
      <c r="V2215" s="30"/>
      <c r="W2215" s="30"/>
      <c r="X2215" s="30"/>
      <c r="Y2215" s="30"/>
      <c r="Z2215" s="30"/>
    </row>
    <row r="2216">
      <c r="A2216" s="29"/>
      <c r="B2216" s="29"/>
      <c r="C2216" s="30"/>
      <c r="D2216" s="30"/>
      <c r="E2216" s="30"/>
      <c r="F2216" s="30"/>
      <c r="G2216" s="30"/>
      <c r="H2216" s="30"/>
      <c r="I2216" s="30"/>
      <c r="J2216" s="30"/>
      <c r="K2216" s="30"/>
      <c r="L2216" s="30"/>
      <c r="M2216" s="30"/>
      <c r="N2216" s="30"/>
      <c r="O2216" s="30"/>
      <c r="P2216" s="30"/>
      <c r="Q2216" s="30"/>
      <c r="R2216" s="30"/>
      <c r="S2216" s="30"/>
      <c r="T2216" s="30"/>
      <c r="U2216" s="30"/>
      <c r="V2216" s="30"/>
      <c r="W2216" s="30"/>
      <c r="X2216" s="30"/>
      <c r="Y2216" s="30"/>
      <c r="Z2216" s="30"/>
    </row>
    <row r="2217">
      <c r="A2217" s="29"/>
      <c r="B2217" s="29"/>
      <c r="C2217" s="30"/>
      <c r="D2217" s="30"/>
      <c r="E2217" s="30"/>
      <c r="F2217" s="30"/>
      <c r="G2217" s="30"/>
      <c r="H2217" s="30"/>
      <c r="I2217" s="30"/>
      <c r="J2217" s="30"/>
      <c r="K2217" s="30"/>
      <c r="L2217" s="30"/>
      <c r="M2217" s="30"/>
      <c r="N2217" s="30"/>
      <c r="O2217" s="30"/>
      <c r="P2217" s="30"/>
      <c r="Q2217" s="30"/>
      <c r="R2217" s="30"/>
      <c r="S2217" s="30"/>
      <c r="T2217" s="30"/>
      <c r="U2217" s="30"/>
      <c r="V2217" s="30"/>
      <c r="W2217" s="30"/>
      <c r="X2217" s="30"/>
      <c r="Y2217" s="30"/>
      <c r="Z2217" s="30"/>
    </row>
    <row r="2218">
      <c r="A2218" s="29"/>
      <c r="B2218" s="29"/>
      <c r="C2218" s="30"/>
      <c r="D2218" s="30"/>
      <c r="E2218" s="30"/>
      <c r="F2218" s="30"/>
      <c r="G2218" s="30"/>
      <c r="H2218" s="30"/>
      <c r="I2218" s="30"/>
      <c r="J2218" s="30"/>
      <c r="K2218" s="30"/>
      <c r="L2218" s="30"/>
      <c r="M2218" s="30"/>
      <c r="N2218" s="30"/>
      <c r="O2218" s="30"/>
      <c r="P2218" s="30"/>
      <c r="Q2218" s="30"/>
      <c r="R2218" s="30"/>
      <c r="S2218" s="30"/>
      <c r="T2218" s="30"/>
      <c r="U2218" s="30"/>
      <c r="V2218" s="30"/>
      <c r="W2218" s="30"/>
      <c r="X2218" s="30"/>
      <c r="Y2218" s="30"/>
      <c r="Z2218" s="30"/>
    </row>
    <row r="2219">
      <c r="A2219" s="29"/>
      <c r="B2219" s="29"/>
      <c r="C2219" s="30"/>
      <c r="D2219" s="30"/>
      <c r="E2219" s="30"/>
      <c r="F2219" s="30"/>
      <c r="G2219" s="30"/>
      <c r="H2219" s="30"/>
      <c r="I2219" s="30"/>
      <c r="J2219" s="30"/>
      <c r="K2219" s="30"/>
      <c r="L2219" s="30"/>
      <c r="M2219" s="30"/>
      <c r="N2219" s="30"/>
      <c r="O2219" s="30"/>
      <c r="P2219" s="30"/>
      <c r="Q2219" s="30"/>
      <c r="R2219" s="30"/>
      <c r="S2219" s="30"/>
      <c r="T2219" s="30"/>
      <c r="U2219" s="30"/>
      <c r="V2219" s="30"/>
      <c r="W2219" s="30"/>
      <c r="X2219" s="30"/>
      <c r="Y2219" s="30"/>
      <c r="Z2219" s="30"/>
    </row>
    <row r="2220">
      <c r="A2220" s="29"/>
      <c r="B2220" s="29"/>
      <c r="C2220" s="30"/>
      <c r="D2220" s="30"/>
      <c r="E2220" s="30"/>
      <c r="F2220" s="30"/>
      <c r="G2220" s="30"/>
      <c r="H2220" s="30"/>
      <c r="I2220" s="30"/>
      <c r="J2220" s="30"/>
      <c r="K2220" s="30"/>
      <c r="L2220" s="30"/>
      <c r="M2220" s="30"/>
      <c r="N2220" s="30"/>
      <c r="O2220" s="30"/>
      <c r="P2220" s="30"/>
      <c r="Q2220" s="30"/>
      <c r="R2220" s="30"/>
      <c r="S2220" s="30"/>
      <c r="T2220" s="30"/>
      <c r="U2220" s="30"/>
      <c r="V2220" s="30"/>
      <c r="W2220" s="30"/>
      <c r="X2220" s="30"/>
      <c r="Y2220" s="30"/>
      <c r="Z2220" s="30"/>
    </row>
    <row r="2221">
      <c r="A2221" s="29"/>
      <c r="B2221" s="29"/>
      <c r="C2221" s="30"/>
      <c r="D2221" s="30"/>
      <c r="E2221" s="30"/>
      <c r="F2221" s="30"/>
      <c r="G2221" s="30"/>
      <c r="H2221" s="30"/>
      <c r="I2221" s="30"/>
      <c r="J2221" s="30"/>
      <c r="K2221" s="30"/>
      <c r="L2221" s="30"/>
      <c r="M2221" s="30"/>
      <c r="N2221" s="30"/>
      <c r="O2221" s="30"/>
      <c r="P2221" s="30"/>
      <c r="Q2221" s="30"/>
      <c r="R2221" s="30"/>
      <c r="S2221" s="30"/>
      <c r="T2221" s="30"/>
      <c r="U2221" s="30"/>
      <c r="V2221" s="30"/>
      <c r="W2221" s="30"/>
      <c r="X2221" s="30"/>
      <c r="Y2221" s="30"/>
      <c r="Z2221" s="30"/>
    </row>
    <row r="2222">
      <c r="A2222" s="29"/>
      <c r="B2222" s="29"/>
      <c r="C2222" s="30"/>
      <c r="D2222" s="30"/>
      <c r="E2222" s="30"/>
      <c r="F2222" s="30"/>
      <c r="G2222" s="30"/>
      <c r="H2222" s="30"/>
      <c r="I2222" s="30"/>
      <c r="J2222" s="30"/>
      <c r="K2222" s="30"/>
      <c r="L2222" s="30"/>
      <c r="M2222" s="30"/>
      <c r="N2222" s="30"/>
      <c r="O2222" s="30"/>
      <c r="P2222" s="30"/>
      <c r="Q2222" s="30"/>
      <c r="R2222" s="30"/>
      <c r="S2222" s="30"/>
      <c r="T2222" s="30"/>
      <c r="U2222" s="30"/>
      <c r="V2222" s="30"/>
      <c r="W2222" s="30"/>
      <c r="X2222" s="30"/>
      <c r="Y2222" s="30"/>
      <c r="Z2222" s="30"/>
    </row>
    <row r="2223">
      <c r="A2223" s="29"/>
      <c r="B2223" s="29"/>
      <c r="C2223" s="30"/>
      <c r="D2223" s="30"/>
      <c r="E2223" s="30"/>
      <c r="F2223" s="30"/>
      <c r="G2223" s="30"/>
      <c r="H2223" s="30"/>
      <c r="I2223" s="30"/>
      <c r="J2223" s="30"/>
      <c r="K2223" s="30"/>
      <c r="L2223" s="30"/>
      <c r="M2223" s="30"/>
      <c r="N2223" s="30"/>
      <c r="O2223" s="30"/>
      <c r="P2223" s="30"/>
      <c r="Q2223" s="30"/>
      <c r="R2223" s="30"/>
      <c r="S2223" s="30"/>
      <c r="T2223" s="30"/>
      <c r="U2223" s="30"/>
      <c r="V2223" s="30"/>
      <c r="W2223" s="30"/>
      <c r="X2223" s="30"/>
      <c r="Y2223" s="30"/>
      <c r="Z2223" s="30"/>
    </row>
    <row r="2224">
      <c r="A2224" s="29"/>
      <c r="B2224" s="29"/>
      <c r="C2224" s="30"/>
      <c r="D2224" s="30"/>
      <c r="E2224" s="30"/>
      <c r="F2224" s="30"/>
      <c r="G2224" s="30"/>
      <c r="H2224" s="30"/>
      <c r="I2224" s="30"/>
      <c r="J2224" s="30"/>
      <c r="K2224" s="30"/>
      <c r="L2224" s="30"/>
      <c r="M2224" s="30"/>
      <c r="N2224" s="30"/>
      <c r="O2224" s="30"/>
      <c r="P2224" s="30"/>
      <c r="Q2224" s="30"/>
      <c r="R2224" s="30"/>
      <c r="S2224" s="30"/>
      <c r="T2224" s="30"/>
      <c r="U2224" s="30"/>
      <c r="V2224" s="30"/>
      <c r="W2224" s="30"/>
      <c r="X2224" s="30"/>
      <c r="Y2224" s="30"/>
      <c r="Z2224" s="30"/>
    </row>
    <row r="2225">
      <c r="A2225" s="29"/>
      <c r="B2225" s="29"/>
      <c r="C2225" s="30"/>
      <c r="D2225" s="30"/>
      <c r="E2225" s="30"/>
      <c r="F2225" s="30"/>
      <c r="G2225" s="30"/>
      <c r="H2225" s="30"/>
      <c r="I2225" s="30"/>
      <c r="J2225" s="30"/>
      <c r="K2225" s="30"/>
      <c r="L2225" s="30"/>
      <c r="M2225" s="30"/>
      <c r="N2225" s="30"/>
      <c r="O2225" s="30"/>
      <c r="P2225" s="30"/>
      <c r="Q2225" s="30"/>
      <c r="R2225" s="30"/>
      <c r="S2225" s="30"/>
      <c r="T2225" s="30"/>
      <c r="U2225" s="30"/>
      <c r="V2225" s="30"/>
      <c r="W2225" s="30"/>
      <c r="X2225" s="30"/>
      <c r="Y2225" s="30"/>
      <c r="Z2225" s="30"/>
    </row>
    <row r="2226">
      <c r="A2226" s="29"/>
      <c r="B2226" s="29"/>
      <c r="C2226" s="30"/>
      <c r="D2226" s="30"/>
      <c r="E2226" s="30"/>
      <c r="F2226" s="30"/>
      <c r="G2226" s="30"/>
      <c r="H2226" s="30"/>
      <c r="I2226" s="30"/>
      <c r="J2226" s="30"/>
      <c r="K2226" s="30"/>
      <c r="L2226" s="30"/>
      <c r="M2226" s="30"/>
      <c r="N2226" s="30"/>
      <c r="O2226" s="30"/>
      <c r="P2226" s="30"/>
      <c r="Q2226" s="30"/>
      <c r="R2226" s="30"/>
      <c r="S2226" s="30"/>
      <c r="T2226" s="30"/>
      <c r="U2226" s="30"/>
      <c r="V2226" s="30"/>
      <c r="W2226" s="30"/>
      <c r="X2226" s="30"/>
      <c r="Y2226" s="30"/>
      <c r="Z2226" s="30"/>
    </row>
    <row r="2227">
      <c r="A2227" s="29"/>
      <c r="B2227" s="29"/>
      <c r="C2227" s="30"/>
      <c r="D2227" s="30"/>
      <c r="E2227" s="30"/>
      <c r="F2227" s="30"/>
      <c r="G2227" s="30"/>
      <c r="H2227" s="30"/>
      <c r="I2227" s="30"/>
      <c r="J2227" s="30"/>
      <c r="K2227" s="30"/>
      <c r="L2227" s="30"/>
      <c r="M2227" s="30"/>
      <c r="N2227" s="30"/>
      <c r="O2227" s="30"/>
      <c r="P2227" s="30"/>
      <c r="Q2227" s="30"/>
      <c r="R2227" s="30"/>
      <c r="S2227" s="30"/>
      <c r="T2227" s="30"/>
      <c r="U2227" s="30"/>
      <c r="V2227" s="30"/>
      <c r="W2227" s="30"/>
      <c r="X2227" s="30"/>
      <c r="Y2227" s="30"/>
      <c r="Z2227" s="30"/>
    </row>
    <row r="2228">
      <c r="A2228" s="29"/>
      <c r="B2228" s="29"/>
      <c r="C2228" s="30"/>
      <c r="D2228" s="30"/>
      <c r="E2228" s="30"/>
      <c r="F2228" s="30"/>
      <c r="G2228" s="30"/>
      <c r="H2228" s="30"/>
      <c r="I2228" s="30"/>
      <c r="J2228" s="30"/>
      <c r="K2228" s="30"/>
      <c r="L2228" s="30"/>
      <c r="M2228" s="30"/>
      <c r="N2228" s="30"/>
      <c r="O2228" s="30"/>
      <c r="P2228" s="30"/>
      <c r="Q2228" s="30"/>
      <c r="R2228" s="30"/>
      <c r="S2228" s="30"/>
      <c r="T2228" s="30"/>
      <c r="U2228" s="30"/>
      <c r="V2228" s="30"/>
      <c r="W2228" s="30"/>
      <c r="X2228" s="30"/>
      <c r="Y2228" s="30"/>
      <c r="Z2228" s="30"/>
    </row>
    <row r="2229">
      <c r="A2229" s="29"/>
      <c r="B2229" s="29"/>
      <c r="C2229" s="30"/>
      <c r="D2229" s="30"/>
      <c r="E2229" s="30"/>
      <c r="F2229" s="30"/>
      <c r="G2229" s="30"/>
      <c r="H2229" s="30"/>
      <c r="I2229" s="30"/>
      <c r="J2229" s="30"/>
      <c r="K2229" s="30"/>
      <c r="L2229" s="30"/>
      <c r="M2229" s="30"/>
      <c r="N2229" s="30"/>
      <c r="O2229" s="30"/>
      <c r="P2229" s="30"/>
      <c r="Q2229" s="30"/>
      <c r="R2229" s="30"/>
      <c r="S2229" s="30"/>
      <c r="T2229" s="30"/>
      <c r="U2229" s="30"/>
      <c r="V2229" s="30"/>
      <c r="W2229" s="30"/>
      <c r="X2229" s="30"/>
      <c r="Y2229" s="30"/>
      <c r="Z2229" s="30"/>
    </row>
    <row r="2230">
      <c r="A2230" s="29"/>
      <c r="B2230" s="29"/>
      <c r="C2230" s="30"/>
      <c r="D2230" s="30"/>
      <c r="E2230" s="30"/>
      <c r="F2230" s="30"/>
      <c r="G2230" s="30"/>
      <c r="H2230" s="30"/>
      <c r="I2230" s="30"/>
      <c r="J2230" s="30"/>
      <c r="K2230" s="30"/>
      <c r="L2230" s="30"/>
      <c r="M2230" s="30"/>
      <c r="N2230" s="30"/>
      <c r="O2230" s="30"/>
      <c r="P2230" s="30"/>
      <c r="Q2230" s="30"/>
      <c r="R2230" s="30"/>
      <c r="S2230" s="30"/>
      <c r="T2230" s="30"/>
      <c r="U2230" s="30"/>
      <c r="V2230" s="30"/>
      <c r="W2230" s="30"/>
      <c r="X2230" s="30"/>
      <c r="Y2230" s="30"/>
      <c r="Z2230" s="30"/>
    </row>
    <row r="2231">
      <c r="A2231" s="29"/>
      <c r="B2231" s="29"/>
      <c r="C2231" s="30"/>
      <c r="D2231" s="30"/>
      <c r="E2231" s="30"/>
      <c r="F2231" s="30"/>
      <c r="G2231" s="30"/>
      <c r="H2231" s="30"/>
      <c r="I2231" s="30"/>
      <c r="J2231" s="30"/>
      <c r="K2231" s="30"/>
      <c r="L2231" s="30"/>
      <c r="M2231" s="30"/>
      <c r="N2231" s="30"/>
      <c r="O2231" s="30"/>
      <c r="P2231" s="30"/>
      <c r="Q2231" s="30"/>
      <c r="R2231" s="30"/>
      <c r="S2231" s="30"/>
      <c r="T2231" s="30"/>
      <c r="U2231" s="30"/>
      <c r="V2231" s="30"/>
      <c r="W2231" s="30"/>
      <c r="X2231" s="30"/>
      <c r="Y2231" s="30"/>
      <c r="Z2231" s="30"/>
    </row>
    <row r="2232">
      <c r="A2232" s="29"/>
      <c r="B2232" s="29"/>
      <c r="C2232" s="30"/>
      <c r="D2232" s="30"/>
      <c r="E2232" s="30"/>
      <c r="F2232" s="30"/>
      <c r="G2232" s="30"/>
      <c r="H2232" s="30"/>
      <c r="I2232" s="30"/>
      <c r="J2232" s="30"/>
      <c r="K2232" s="30"/>
      <c r="L2232" s="30"/>
      <c r="M2232" s="30"/>
      <c r="N2232" s="30"/>
      <c r="O2232" s="30"/>
      <c r="P2232" s="30"/>
      <c r="Q2232" s="30"/>
      <c r="R2232" s="30"/>
      <c r="S2232" s="30"/>
      <c r="T2232" s="30"/>
      <c r="U2232" s="30"/>
      <c r="V2232" s="30"/>
      <c r="W2232" s="30"/>
      <c r="X2232" s="30"/>
      <c r="Y2232" s="30"/>
      <c r="Z2232" s="30"/>
    </row>
    <row r="2233">
      <c r="A2233" s="29"/>
      <c r="B2233" s="29"/>
      <c r="C2233" s="30"/>
      <c r="D2233" s="30"/>
      <c r="E2233" s="30"/>
      <c r="F2233" s="30"/>
      <c r="G2233" s="30"/>
      <c r="H2233" s="30"/>
      <c r="I2233" s="30"/>
      <c r="J2233" s="30"/>
      <c r="K2233" s="30"/>
      <c r="L2233" s="30"/>
      <c r="M2233" s="30"/>
      <c r="N2233" s="30"/>
      <c r="O2233" s="30"/>
      <c r="P2233" s="30"/>
      <c r="Q2233" s="30"/>
      <c r="R2233" s="30"/>
      <c r="S2233" s="30"/>
      <c r="T2233" s="30"/>
      <c r="U2233" s="30"/>
      <c r="V2233" s="30"/>
      <c r="W2233" s="30"/>
      <c r="X2233" s="30"/>
      <c r="Y2233" s="30"/>
      <c r="Z2233" s="30"/>
    </row>
    <row r="2234">
      <c r="A2234" s="29"/>
      <c r="B2234" s="29"/>
      <c r="C2234" s="30"/>
      <c r="D2234" s="30"/>
      <c r="E2234" s="30"/>
      <c r="F2234" s="30"/>
      <c r="G2234" s="30"/>
      <c r="H2234" s="30"/>
      <c r="I2234" s="30"/>
      <c r="J2234" s="30"/>
      <c r="K2234" s="30"/>
      <c r="L2234" s="30"/>
      <c r="M2234" s="30"/>
      <c r="N2234" s="30"/>
      <c r="O2234" s="30"/>
      <c r="P2234" s="30"/>
      <c r="Q2234" s="30"/>
      <c r="R2234" s="30"/>
      <c r="S2234" s="30"/>
      <c r="T2234" s="30"/>
      <c r="U2234" s="30"/>
      <c r="V2234" s="30"/>
      <c r="W2234" s="30"/>
      <c r="X2234" s="30"/>
      <c r="Y2234" s="30"/>
      <c r="Z2234" s="30"/>
    </row>
    <row r="2235">
      <c r="A2235" s="29"/>
      <c r="B2235" s="29"/>
      <c r="C2235" s="30"/>
      <c r="D2235" s="30"/>
      <c r="E2235" s="30"/>
      <c r="F2235" s="30"/>
      <c r="G2235" s="30"/>
      <c r="H2235" s="30"/>
      <c r="I2235" s="30"/>
      <c r="J2235" s="30"/>
      <c r="K2235" s="30"/>
      <c r="L2235" s="30"/>
      <c r="M2235" s="30"/>
      <c r="N2235" s="30"/>
      <c r="O2235" s="30"/>
      <c r="P2235" s="30"/>
      <c r="Q2235" s="30"/>
      <c r="R2235" s="30"/>
      <c r="S2235" s="30"/>
      <c r="T2235" s="30"/>
      <c r="U2235" s="30"/>
      <c r="V2235" s="30"/>
      <c r="W2235" s="30"/>
      <c r="X2235" s="30"/>
      <c r="Y2235" s="30"/>
      <c r="Z2235" s="30"/>
    </row>
    <row r="2236">
      <c r="A2236" s="29"/>
      <c r="B2236" s="29"/>
      <c r="C2236" s="30"/>
      <c r="D2236" s="30"/>
      <c r="E2236" s="30"/>
      <c r="F2236" s="30"/>
      <c r="G2236" s="30"/>
      <c r="H2236" s="30"/>
      <c r="I2236" s="30"/>
      <c r="J2236" s="30"/>
      <c r="K2236" s="30"/>
      <c r="L2236" s="30"/>
      <c r="M2236" s="30"/>
      <c r="N2236" s="30"/>
      <c r="O2236" s="30"/>
      <c r="P2236" s="30"/>
      <c r="Q2236" s="30"/>
      <c r="R2236" s="30"/>
      <c r="S2236" s="30"/>
      <c r="T2236" s="30"/>
      <c r="U2236" s="30"/>
      <c r="V2236" s="30"/>
      <c r="W2236" s="30"/>
      <c r="X2236" s="30"/>
      <c r="Y2236" s="30"/>
      <c r="Z2236" s="30"/>
    </row>
    <row r="2237">
      <c r="A2237" s="29"/>
      <c r="B2237" s="29"/>
      <c r="C2237" s="30"/>
      <c r="D2237" s="30"/>
      <c r="E2237" s="30"/>
      <c r="F2237" s="30"/>
      <c r="G2237" s="30"/>
      <c r="H2237" s="30"/>
      <c r="I2237" s="30"/>
      <c r="J2237" s="30"/>
      <c r="K2237" s="30"/>
      <c r="L2237" s="30"/>
      <c r="M2237" s="30"/>
      <c r="N2237" s="30"/>
      <c r="O2237" s="30"/>
      <c r="P2237" s="30"/>
      <c r="Q2237" s="30"/>
      <c r="R2237" s="30"/>
      <c r="S2237" s="30"/>
      <c r="T2237" s="30"/>
      <c r="U2237" s="30"/>
      <c r="V2237" s="30"/>
      <c r="W2237" s="30"/>
      <c r="X2237" s="30"/>
      <c r="Y2237" s="30"/>
      <c r="Z2237" s="30"/>
    </row>
    <row r="2238">
      <c r="A2238" s="29"/>
      <c r="B2238" s="29"/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30"/>
      <c r="N2238" s="30"/>
      <c r="O2238" s="30"/>
      <c r="P2238" s="30"/>
      <c r="Q2238" s="30"/>
      <c r="R2238" s="30"/>
      <c r="S2238" s="30"/>
      <c r="T2238" s="30"/>
      <c r="U2238" s="30"/>
      <c r="V2238" s="30"/>
      <c r="W2238" s="30"/>
      <c r="X2238" s="30"/>
      <c r="Y2238" s="30"/>
      <c r="Z2238" s="30"/>
    </row>
    <row r="2239">
      <c r="A2239" s="29"/>
      <c r="B2239" s="29"/>
      <c r="C2239" s="30"/>
      <c r="D2239" s="30"/>
      <c r="E2239" s="30"/>
      <c r="F2239" s="30"/>
      <c r="G2239" s="30"/>
      <c r="H2239" s="30"/>
      <c r="I2239" s="30"/>
      <c r="J2239" s="30"/>
      <c r="K2239" s="30"/>
      <c r="L2239" s="30"/>
      <c r="M2239" s="30"/>
      <c r="N2239" s="30"/>
      <c r="O2239" s="30"/>
      <c r="P2239" s="30"/>
      <c r="Q2239" s="30"/>
      <c r="R2239" s="30"/>
      <c r="S2239" s="30"/>
      <c r="T2239" s="30"/>
      <c r="U2239" s="30"/>
      <c r="V2239" s="30"/>
      <c r="W2239" s="30"/>
      <c r="X2239" s="30"/>
      <c r="Y2239" s="30"/>
      <c r="Z2239" s="30"/>
    </row>
    <row r="2240">
      <c r="A2240" s="29"/>
      <c r="B2240" s="29"/>
      <c r="C2240" s="30"/>
      <c r="D2240" s="30"/>
      <c r="E2240" s="30"/>
      <c r="F2240" s="30"/>
      <c r="G2240" s="30"/>
      <c r="H2240" s="30"/>
      <c r="I2240" s="30"/>
      <c r="J2240" s="30"/>
      <c r="K2240" s="30"/>
      <c r="L2240" s="30"/>
      <c r="M2240" s="30"/>
      <c r="N2240" s="30"/>
      <c r="O2240" s="30"/>
      <c r="P2240" s="30"/>
      <c r="Q2240" s="30"/>
      <c r="R2240" s="30"/>
      <c r="S2240" s="30"/>
      <c r="T2240" s="30"/>
      <c r="U2240" s="30"/>
      <c r="V2240" s="30"/>
      <c r="W2240" s="30"/>
      <c r="X2240" s="30"/>
      <c r="Y2240" s="30"/>
      <c r="Z2240" s="30"/>
    </row>
    <row r="2241">
      <c r="A2241" s="29"/>
      <c r="B2241" s="29"/>
      <c r="C2241" s="30"/>
      <c r="D2241" s="30"/>
      <c r="E2241" s="30"/>
      <c r="F2241" s="30"/>
      <c r="G2241" s="30"/>
      <c r="H2241" s="30"/>
      <c r="I2241" s="30"/>
      <c r="J2241" s="30"/>
      <c r="K2241" s="30"/>
      <c r="L2241" s="30"/>
      <c r="M2241" s="30"/>
      <c r="N2241" s="30"/>
      <c r="O2241" s="30"/>
      <c r="P2241" s="30"/>
      <c r="Q2241" s="30"/>
      <c r="R2241" s="30"/>
      <c r="S2241" s="30"/>
      <c r="T2241" s="30"/>
      <c r="U2241" s="30"/>
      <c r="V2241" s="30"/>
      <c r="W2241" s="30"/>
      <c r="X2241" s="30"/>
      <c r="Y2241" s="30"/>
      <c r="Z2241" s="30"/>
    </row>
    <row r="2242">
      <c r="A2242" s="29"/>
      <c r="B2242" s="29"/>
      <c r="C2242" s="30"/>
      <c r="D2242" s="30"/>
      <c r="E2242" s="30"/>
      <c r="F2242" s="30"/>
      <c r="G2242" s="30"/>
      <c r="H2242" s="30"/>
      <c r="I2242" s="30"/>
      <c r="J2242" s="30"/>
      <c r="K2242" s="30"/>
      <c r="L2242" s="30"/>
      <c r="M2242" s="30"/>
      <c r="N2242" s="30"/>
      <c r="O2242" s="30"/>
      <c r="P2242" s="30"/>
      <c r="Q2242" s="30"/>
      <c r="R2242" s="30"/>
      <c r="S2242" s="30"/>
      <c r="T2242" s="30"/>
      <c r="U2242" s="30"/>
      <c r="V2242" s="30"/>
      <c r="W2242" s="30"/>
      <c r="X2242" s="30"/>
      <c r="Y2242" s="30"/>
      <c r="Z2242" s="30"/>
    </row>
    <row r="2243">
      <c r="A2243" s="29"/>
      <c r="B2243" s="29"/>
      <c r="C2243" s="30"/>
      <c r="D2243" s="30"/>
      <c r="E2243" s="30"/>
      <c r="F2243" s="30"/>
      <c r="G2243" s="30"/>
      <c r="H2243" s="30"/>
      <c r="I2243" s="30"/>
      <c r="J2243" s="30"/>
      <c r="K2243" s="30"/>
      <c r="L2243" s="30"/>
      <c r="M2243" s="30"/>
      <c r="N2243" s="30"/>
      <c r="O2243" s="30"/>
      <c r="P2243" s="30"/>
      <c r="Q2243" s="30"/>
      <c r="R2243" s="30"/>
      <c r="S2243" s="30"/>
      <c r="T2243" s="30"/>
      <c r="U2243" s="30"/>
      <c r="V2243" s="30"/>
      <c r="W2243" s="30"/>
      <c r="X2243" s="30"/>
      <c r="Y2243" s="30"/>
      <c r="Z2243" s="30"/>
    </row>
    <row r="2244">
      <c r="A2244" s="29"/>
      <c r="B2244" s="29"/>
      <c r="C2244" s="30"/>
      <c r="D2244" s="30"/>
      <c r="E2244" s="30"/>
      <c r="F2244" s="30"/>
      <c r="G2244" s="30"/>
      <c r="H2244" s="30"/>
      <c r="I2244" s="30"/>
      <c r="J2244" s="30"/>
      <c r="K2244" s="30"/>
      <c r="L2244" s="30"/>
      <c r="M2244" s="30"/>
      <c r="N2244" s="30"/>
      <c r="O2244" s="30"/>
      <c r="P2244" s="30"/>
      <c r="Q2244" s="30"/>
      <c r="R2244" s="30"/>
      <c r="S2244" s="30"/>
      <c r="T2244" s="30"/>
      <c r="U2244" s="30"/>
      <c r="V2244" s="30"/>
      <c r="W2244" s="30"/>
      <c r="X2244" s="30"/>
      <c r="Y2244" s="30"/>
      <c r="Z2244" s="30"/>
    </row>
    <row r="2245">
      <c r="A2245" s="29"/>
      <c r="B2245" s="29"/>
      <c r="C2245" s="30"/>
      <c r="D2245" s="30"/>
      <c r="E2245" s="30"/>
      <c r="F2245" s="30"/>
      <c r="G2245" s="30"/>
      <c r="H2245" s="30"/>
      <c r="I2245" s="30"/>
      <c r="J2245" s="30"/>
      <c r="K2245" s="30"/>
      <c r="L2245" s="30"/>
      <c r="M2245" s="30"/>
      <c r="N2245" s="30"/>
      <c r="O2245" s="30"/>
      <c r="P2245" s="30"/>
      <c r="Q2245" s="30"/>
      <c r="R2245" s="30"/>
      <c r="S2245" s="30"/>
      <c r="T2245" s="30"/>
      <c r="U2245" s="30"/>
      <c r="V2245" s="30"/>
      <c r="W2245" s="30"/>
      <c r="X2245" s="30"/>
      <c r="Y2245" s="30"/>
      <c r="Z2245" s="30"/>
    </row>
    <row r="2246">
      <c r="A2246" s="29"/>
      <c r="B2246" s="29"/>
      <c r="C2246" s="30"/>
      <c r="D2246" s="30"/>
      <c r="E2246" s="30"/>
      <c r="F2246" s="30"/>
      <c r="G2246" s="30"/>
      <c r="H2246" s="30"/>
      <c r="I2246" s="30"/>
      <c r="J2246" s="30"/>
      <c r="K2246" s="30"/>
      <c r="L2246" s="30"/>
      <c r="M2246" s="30"/>
      <c r="N2246" s="30"/>
      <c r="O2246" s="30"/>
      <c r="P2246" s="30"/>
      <c r="Q2246" s="30"/>
      <c r="R2246" s="30"/>
      <c r="S2246" s="30"/>
      <c r="T2246" s="30"/>
      <c r="U2246" s="30"/>
      <c r="V2246" s="30"/>
      <c r="W2246" s="30"/>
      <c r="X2246" s="30"/>
      <c r="Y2246" s="30"/>
      <c r="Z2246" s="30"/>
    </row>
    <row r="2247">
      <c r="A2247" s="29"/>
      <c r="B2247" s="29"/>
      <c r="C2247" s="30"/>
      <c r="D2247" s="30"/>
      <c r="E2247" s="30"/>
      <c r="F2247" s="30"/>
      <c r="G2247" s="30"/>
      <c r="H2247" s="30"/>
      <c r="I2247" s="30"/>
      <c r="J2247" s="30"/>
      <c r="K2247" s="30"/>
      <c r="L2247" s="30"/>
      <c r="M2247" s="30"/>
      <c r="N2247" s="30"/>
      <c r="O2247" s="30"/>
      <c r="P2247" s="30"/>
      <c r="Q2247" s="30"/>
      <c r="R2247" s="30"/>
      <c r="S2247" s="30"/>
      <c r="T2247" s="30"/>
      <c r="U2247" s="30"/>
      <c r="V2247" s="30"/>
      <c r="W2247" s="30"/>
      <c r="X2247" s="30"/>
      <c r="Y2247" s="30"/>
      <c r="Z2247" s="30"/>
    </row>
    <row r="2248">
      <c r="A2248" s="29"/>
      <c r="B2248" s="29"/>
      <c r="C2248" s="30"/>
      <c r="D2248" s="30"/>
      <c r="E2248" s="30"/>
      <c r="F2248" s="30"/>
      <c r="G2248" s="30"/>
      <c r="H2248" s="30"/>
      <c r="I2248" s="30"/>
      <c r="J2248" s="30"/>
      <c r="K2248" s="30"/>
      <c r="L2248" s="30"/>
      <c r="M2248" s="30"/>
      <c r="N2248" s="30"/>
      <c r="O2248" s="30"/>
      <c r="P2248" s="30"/>
      <c r="Q2248" s="30"/>
      <c r="R2248" s="30"/>
      <c r="S2248" s="30"/>
      <c r="T2248" s="30"/>
      <c r="U2248" s="30"/>
      <c r="V2248" s="30"/>
      <c r="W2248" s="30"/>
      <c r="X2248" s="30"/>
      <c r="Y2248" s="30"/>
      <c r="Z2248" s="30"/>
    </row>
    <row r="2249">
      <c r="A2249" s="29"/>
      <c r="B2249" s="29"/>
      <c r="C2249" s="30"/>
      <c r="D2249" s="30"/>
      <c r="E2249" s="30"/>
      <c r="F2249" s="30"/>
      <c r="G2249" s="30"/>
      <c r="H2249" s="30"/>
      <c r="I2249" s="30"/>
      <c r="J2249" s="30"/>
      <c r="K2249" s="30"/>
      <c r="L2249" s="30"/>
      <c r="M2249" s="30"/>
      <c r="N2249" s="30"/>
      <c r="O2249" s="30"/>
      <c r="P2249" s="30"/>
      <c r="Q2249" s="30"/>
      <c r="R2249" s="30"/>
      <c r="S2249" s="30"/>
      <c r="T2249" s="30"/>
      <c r="U2249" s="30"/>
      <c r="V2249" s="30"/>
      <c r="W2249" s="30"/>
      <c r="X2249" s="30"/>
      <c r="Y2249" s="30"/>
      <c r="Z2249" s="30"/>
    </row>
    <row r="2250">
      <c r="A2250" s="29"/>
      <c r="B2250" s="29"/>
      <c r="C2250" s="30"/>
      <c r="D2250" s="30"/>
      <c r="E2250" s="30"/>
      <c r="F2250" s="30"/>
      <c r="G2250" s="30"/>
      <c r="H2250" s="30"/>
      <c r="I2250" s="30"/>
      <c r="J2250" s="30"/>
      <c r="K2250" s="30"/>
      <c r="L2250" s="30"/>
      <c r="M2250" s="30"/>
      <c r="N2250" s="30"/>
      <c r="O2250" s="30"/>
      <c r="P2250" s="30"/>
      <c r="Q2250" s="30"/>
      <c r="R2250" s="30"/>
      <c r="S2250" s="30"/>
      <c r="T2250" s="30"/>
      <c r="U2250" s="30"/>
      <c r="V2250" s="30"/>
      <c r="W2250" s="30"/>
      <c r="X2250" s="30"/>
      <c r="Y2250" s="30"/>
      <c r="Z2250" s="30"/>
    </row>
    <row r="2251">
      <c r="A2251" s="29"/>
      <c r="B2251" s="29"/>
      <c r="C2251" s="30"/>
      <c r="D2251" s="30"/>
      <c r="E2251" s="30"/>
      <c r="F2251" s="30"/>
      <c r="G2251" s="30"/>
      <c r="H2251" s="30"/>
      <c r="I2251" s="30"/>
      <c r="J2251" s="30"/>
      <c r="K2251" s="30"/>
      <c r="L2251" s="30"/>
      <c r="M2251" s="30"/>
      <c r="N2251" s="30"/>
      <c r="O2251" s="30"/>
      <c r="P2251" s="30"/>
      <c r="Q2251" s="30"/>
      <c r="R2251" s="30"/>
      <c r="S2251" s="30"/>
      <c r="T2251" s="30"/>
      <c r="U2251" s="30"/>
      <c r="V2251" s="30"/>
      <c r="W2251" s="30"/>
      <c r="X2251" s="30"/>
      <c r="Y2251" s="30"/>
      <c r="Z2251" s="30"/>
    </row>
    <row r="2252">
      <c r="A2252" s="29"/>
      <c r="B2252" s="29"/>
      <c r="C2252" s="30"/>
      <c r="D2252" s="30"/>
      <c r="E2252" s="30"/>
      <c r="F2252" s="30"/>
      <c r="G2252" s="30"/>
      <c r="H2252" s="30"/>
      <c r="I2252" s="30"/>
      <c r="J2252" s="30"/>
      <c r="K2252" s="30"/>
      <c r="L2252" s="30"/>
      <c r="M2252" s="30"/>
      <c r="N2252" s="30"/>
      <c r="O2252" s="30"/>
      <c r="P2252" s="30"/>
      <c r="Q2252" s="30"/>
      <c r="R2252" s="30"/>
      <c r="S2252" s="30"/>
      <c r="T2252" s="30"/>
      <c r="U2252" s="30"/>
      <c r="V2252" s="30"/>
      <c r="W2252" s="30"/>
      <c r="X2252" s="30"/>
      <c r="Y2252" s="30"/>
      <c r="Z2252" s="30"/>
    </row>
    <row r="2253">
      <c r="A2253" s="29"/>
      <c r="B2253" s="29"/>
      <c r="C2253" s="30"/>
      <c r="D2253" s="30"/>
      <c r="E2253" s="30"/>
      <c r="F2253" s="30"/>
      <c r="G2253" s="30"/>
      <c r="H2253" s="30"/>
      <c r="I2253" s="30"/>
      <c r="J2253" s="30"/>
      <c r="K2253" s="30"/>
      <c r="L2253" s="30"/>
      <c r="M2253" s="30"/>
      <c r="N2253" s="30"/>
      <c r="O2253" s="30"/>
      <c r="P2253" s="30"/>
      <c r="Q2253" s="30"/>
      <c r="R2253" s="30"/>
      <c r="S2253" s="30"/>
      <c r="T2253" s="30"/>
      <c r="U2253" s="30"/>
      <c r="V2253" s="30"/>
      <c r="W2253" s="30"/>
      <c r="X2253" s="30"/>
      <c r="Y2253" s="30"/>
      <c r="Z2253" s="30"/>
    </row>
    <row r="2254">
      <c r="A2254" s="29"/>
      <c r="B2254" s="29"/>
      <c r="C2254" s="30"/>
      <c r="D2254" s="30"/>
      <c r="E2254" s="30"/>
      <c r="F2254" s="30"/>
      <c r="G2254" s="30"/>
      <c r="H2254" s="30"/>
      <c r="I2254" s="30"/>
      <c r="J2254" s="30"/>
      <c r="K2254" s="30"/>
      <c r="L2254" s="30"/>
      <c r="M2254" s="30"/>
      <c r="N2254" s="30"/>
      <c r="O2254" s="30"/>
      <c r="P2254" s="30"/>
      <c r="Q2254" s="30"/>
      <c r="R2254" s="30"/>
      <c r="S2254" s="30"/>
      <c r="T2254" s="30"/>
      <c r="U2254" s="30"/>
      <c r="V2254" s="30"/>
      <c r="W2254" s="30"/>
      <c r="X2254" s="30"/>
      <c r="Y2254" s="30"/>
      <c r="Z2254" s="30"/>
    </row>
    <row r="2255">
      <c r="A2255" s="29"/>
      <c r="B2255" s="29"/>
      <c r="C2255" s="30"/>
      <c r="D2255" s="30"/>
      <c r="E2255" s="30"/>
      <c r="F2255" s="30"/>
      <c r="G2255" s="30"/>
      <c r="H2255" s="30"/>
      <c r="I2255" s="30"/>
      <c r="J2255" s="30"/>
      <c r="K2255" s="30"/>
      <c r="L2255" s="30"/>
      <c r="M2255" s="30"/>
      <c r="N2255" s="30"/>
      <c r="O2255" s="30"/>
      <c r="P2255" s="30"/>
      <c r="Q2255" s="30"/>
      <c r="R2255" s="30"/>
      <c r="S2255" s="30"/>
      <c r="T2255" s="30"/>
      <c r="U2255" s="30"/>
      <c r="V2255" s="30"/>
      <c r="W2255" s="30"/>
      <c r="X2255" s="30"/>
      <c r="Y2255" s="30"/>
      <c r="Z2255" s="30"/>
    </row>
    <row r="2256">
      <c r="A2256" s="29"/>
      <c r="B2256" s="29"/>
      <c r="C2256" s="30"/>
      <c r="D2256" s="30"/>
      <c r="E2256" s="30"/>
      <c r="F2256" s="30"/>
      <c r="G2256" s="30"/>
      <c r="H2256" s="30"/>
      <c r="I2256" s="30"/>
      <c r="J2256" s="30"/>
      <c r="K2256" s="30"/>
      <c r="L2256" s="30"/>
      <c r="M2256" s="30"/>
      <c r="N2256" s="30"/>
      <c r="O2256" s="30"/>
      <c r="P2256" s="30"/>
      <c r="Q2256" s="30"/>
      <c r="R2256" s="30"/>
      <c r="S2256" s="30"/>
      <c r="T2256" s="30"/>
      <c r="U2256" s="30"/>
      <c r="V2256" s="30"/>
      <c r="W2256" s="30"/>
      <c r="X2256" s="30"/>
      <c r="Y2256" s="30"/>
      <c r="Z2256" s="30"/>
    </row>
    <row r="2257">
      <c r="A2257" s="29"/>
      <c r="B2257" s="29"/>
      <c r="C2257" s="30"/>
      <c r="D2257" s="30"/>
      <c r="E2257" s="30"/>
      <c r="F2257" s="30"/>
      <c r="G2257" s="30"/>
      <c r="H2257" s="30"/>
      <c r="I2257" s="30"/>
      <c r="J2257" s="30"/>
      <c r="K2257" s="30"/>
      <c r="L2257" s="30"/>
      <c r="M2257" s="30"/>
      <c r="N2257" s="30"/>
      <c r="O2257" s="30"/>
      <c r="P2257" s="30"/>
      <c r="Q2257" s="30"/>
      <c r="R2257" s="30"/>
      <c r="S2257" s="30"/>
      <c r="T2257" s="30"/>
      <c r="U2257" s="30"/>
      <c r="V2257" s="30"/>
      <c r="W2257" s="30"/>
      <c r="X2257" s="30"/>
      <c r="Y2257" s="30"/>
      <c r="Z2257" s="30"/>
    </row>
    <row r="2258">
      <c r="A2258" s="29"/>
      <c r="B2258" s="29"/>
      <c r="C2258" s="30"/>
      <c r="D2258" s="30"/>
      <c r="E2258" s="30"/>
      <c r="F2258" s="30"/>
      <c r="G2258" s="30"/>
      <c r="H2258" s="30"/>
      <c r="I2258" s="30"/>
      <c r="J2258" s="30"/>
      <c r="K2258" s="30"/>
      <c r="L2258" s="30"/>
      <c r="M2258" s="30"/>
      <c r="N2258" s="30"/>
      <c r="O2258" s="30"/>
      <c r="P2258" s="30"/>
      <c r="Q2258" s="30"/>
      <c r="R2258" s="30"/>
      <c r="S2258" s="30"/>
      <c r="T2258" s="30"/>
      <c r="U2258" s="30"/>
      <c r="V2258" s="30"/>
      <c r="W2258" s="30"/>
      <c r="X2258" s="30"/>
      <c r="Y2258" s="30"/>
      <c r="Z2258" s="30"/>
    </row>
    <row r="2259">
      <c r="A2259" s="29"/>
      <c r="B2259" s="29"/>
      <c r="C2259" s="30"/>
      <c r="D2259" s="30"/>
      <c r="E2259" s="30"/>
      <c r="F2259" s="30"/>
      <c r="G2259" s="30"/>
      <c r="H2259" s="30"/>
      <c r="I2259" s="30"/>
      <c r="J2259" s="30"/>
      <c r="K2259" s="30"/>
      <c r="L2259" s="30"/>
      <c r="M2259" s="30"/>
      <c r="N2259" s="30"/>
      <c r="O2259" s="30"/>
      <c r="P2259" s="30"/>
      <c r="Q2259" s="30"/>
      <c r="R2259" s="30"/>
      <c r="S2259" s="30"/>
      <c r="T2259" s="30"/>
      <c r="U2259" s="30"/>
      <c r="V2259" s="30"/>
      <c r="W2259" s="30"/>
      <c r="X2259" s="30"/>
      <c r="Y2259" s="30"/>
      <c r="Z2259" s="30"/>
    </row>
    <row r="2260">
      <c r="A2260" s="29"/>
      <c r="B2260" s="29"/>
      <c r="C2260" s="30"/>
      <c r="D2260" s="30"/>
      <c r="E2260" s="30"/>
      <c r="F2260" s="30"/>
      <c r="G2260" s="30"/>
      <c r="H2260" s="30"/>
      <c r="I2260" s="30"/>
      <c r="J2260" s="30"/>
      <c r="K2260" s="30"/>
      <c r="L2260" s="30"/>
      <c r="M2260" s="30"/>
      <c r="N2260" s="30"/>
      <c r="O2260" s="30"/>
      <c r="P2260" s="30"/>
      <c r="Q2260" s="30"/>
      <c r="R2260" s="30"/>
      <c r="S2260" s="30"/>
      <c r="T2260" s="30"/>
      <c r="U2260" s="30"/>
      <c r="V2260" s="30"/>
      <c r="W2260" s="30"/>
      <c r="X2260" s="30"/>
      <c r="Y2260" s="30"/>
      <c r="Z2260" s="30"/>
    </row>
    <row r="2261">
      <c r="A2261" s="29"/>
      <c r="B2261" s="29"/>
      <c r="C2261" s="30"/>
      <c r="D2261" s="30"/>
      <c r="E2261" s="30"/>
      <c r="F2261" s="30"/>
      <c r="G2261" s="30"/>
      <c r="H2261" s="30"/>
      <c r="I2261" s="30"/>
      <c r="J2261" s="30"/>
      <c r="K2261" s="30"/>
      <c r="L2261" s="30"/>
      <c r="M2261" s="30"/>
      <c r="N2261" s="30"/>
      <c r="O2261" s="30"/>
      <c r="P2261" s="30"/>
      <c r="Q2261" s="30"/>
      <c r="R2261" s="30"/>
      <c r="S2261" s="30"/>
      <c r="T2261" s="30"/>
      <c r="U2261" s="30"/>
      <c r="V2261" s="30"/>
      <c r="W2261" s="30"/>
      <c r="X2261" s="30"/>
      <c r="Y2261" s="30"/>
      <c r="Z2261" s="30"/>
    </row>
    <row r="2262">
      <c r="A2262" s="29"/>
      <c r="B2262" s="29"/>
      <c r="C2262" s="30"/>
      <c r="D2262" s="30"/>
      <c r="E2262" s="30"/>
      <c r="F2262" s="30"/>
      <c r="G2262" s="30"/>
      <c r="H2262" s="30"/>
      <c r="I2262" s="30"/>
      <c r="J2262" s="30"/>
      <c r="K2262" s="30"/>
      <c r="L2262" s="30"/>
      <c r="M2262" s="30"/>
      <c r="N2262" s="30"/>
      <c r="O2262" s="30"/>
      <c r="P2262" s="30"/>
      <c r="Q2262" s="30"/>
      <c r="R2262" s="30"/>
      <c r="S2262" s="30"/>
      <c r="T2262" s="30"/>
      <c r="U2262" s="30"/>
      <c r="V2262" s="30"/>
      <c r="W2262" s="30"/>
      <c r="X2262" s="30"/>
      <c r="Y2262" s="30"/>
      <c r="Z2262" s="30"/>
    </row>
    <row r="2263">
      <c r="A2263" s="29"/>
      <c r="B2263" s="29"/>
      <c r="C2263" s="30"/>
      <c r="D2263" s="30"/>
      <c r="E2263" s="30"/>
      <c r="F2263" s="30"/>
      <c r="G2263" s="30"/>
      <c r="H2263" s="30"/>
      <c r="I2263" s="30"/>
      <c r="J2263" s="30"/>
      <c r="K2263" s="30"/>
      <c r="L2263" s="30"/>
      <c r="M2263" s="30"/>
      <c r="N2263" s="30"/>
      <c r="O2263" s="30"/>
      <c r="P2263" s="30"/>
      <c r="Q2263" s="30"/>
      <c r="R2263" s="30"/>
      <c r="S2263" s="30"/>
      <c r="T2263" s="30"/>
      <c r="U2263" s="30"/>
      <c r="V2263" s="30"/>
      <c r="W2263" s="30"/>
      <c r="X2263" s="30"/>
      <c r="Y2263" s="30"/>
      <c r="Z2263" s="30"/>
    </row>
    <row r="2264">
      <c r="A2264" s="29"/>
      <c r="B2264" s="29"/>
      <c r="C2264" s="30"/>
      <c r="D2264" s="30"/>
      <c r="E2264" s="30"/>
      <c r="F2264" s="30"/>
      <c r="G2264" s="30"/>
      <c r="H2264" s="30"/>
      <c r="I2264" s="30"/>
      <c r="J2264" s="30"/>
      <c r="K2264" s="30"/>
      <c r="L2264" s="30"/>
      <c r="M2264" s="30"/>
      <c r="N2264" s="30"/>
      <c r="O2264" s="30"/>
      <c r="P2264" s="30"/>
      <c r="Q2264" s="30"/>
      <c r="R2264" s="30"/>
      <c r="S2264" s="30"/>
      <c r="T2264" s="30"/>
      <c r="U2264" s="30"/>
      <c r="V2264" s="30"/>
      <c r="W2264" s="30"/>
      <c r="X2264" s="30"/>
      <c r="Y2264" s="30"/>
      <c r="Z2264" s="30"/>
    </row>
    <row r="2265">
      <c r="A2265" s="29"/>
      <c r="B2265" s="29"/>
      <c r="C2265" s="30"/>
      <c r="D2265" s="30"/>
      <c r="E2265" s="30"/>
      <c r="F2265" s="30"/>
      <c r="G2265" s="30"/>
      <c r="H2265" s="30"/>
      <c r="I2265" s="30"/>
      <c r="J2265" s="30"/>
      <c r="K2265" s="30"/>
      <c r="L2265" s="30"/>
      <c r="M2265" s="30"/>
      <c r="N2265" s="30"/>
      <c r="O2265" s="30"/>
      <c r="P2265" s="30"/>
      <c r="Q2265" s="30"/>
      <c r="R2265" s="30"/>
      <c r="S2265" s="30"/>
      <c r="T2265" s="30"/>
      <c r="U2265" s="30"/>
      <c r="V2265" s="30"/>
      <c r="W2265" s="30"/>
      <c r="X2265" s="30"/>
      <c r="Y2265" s="30"/>
      <c r="Z2265" s="30"/>
    </row>
    <row r="2266">
      <c r="A2266" s="29"/>
      <c r="B2266" s="29"/>
      <c r="C2266" s="30"/>
      <c r="D2266" s="30"/>
      <c r="E2266" s="30"/>
      <c r="F2266" s="30"/>
      <c r="G2266" s="30"/>
      <c r="H2266" s="30"/>
      <c r="I2266" s="30"/>
      <c r="J2266" s="30"/>
      <c r="K2266" s="30"/>
      <c r="L2266" s="30"/>
      <c r="M2266" s="30"/>
      <c r="N2266" s="30"/>
      <c r="O2266" s="30"/>
      <c r="P2266" s="30"/>
      <c r="Q2266" s="30"/>
      <c r="R2266" s="30"/>
      <c r="S2266" s="30"/>
      <c r="T2266" s="30"/>
      <c r="U2266" s="30"/>
      <c r="V2266" s="30"/>
      <c r="W2266" s="30"/>
      <c r="X2266" s="30"/>
      <c r="Y2266" s="30"/>
      <c r="Z2266" s="30"/>
    </row>
    <row r="2267">
      <c r="A2267" s="29"/>
      <c r="B2267" s="29"/>
      <c r="C2267" s="30"/>
      <c r="D2267" s="30"/>
      <c r="E2267" s="30"/>
      <c r="F2267" s="30"/>
      <c r="G2267" s="30"/>
      <c r="H2267" s="30"/>
      <c r="I2267" s="30"/>
      <c r="J2267" s="30"/>
      <c r="K2267" s="30"/>
      <c r="L2267" s="30"/>
      <c r="M2267" s="30"/>
      <c r="N2267" s="30"/>
      <c r="O2267" s="30"/>
      <c r="P2267" s="30"/>
      <c r="Q2267" s="30"/>
      <c r="R2267" s="30"/>
      <c r="S2267" s="30"/>
      <c r="T2267" s="30"/>
      <c r="U2267" s="30"/>
      <c r="V2267" s="30"/>
      <c r="W2267" s="30"/>
      <c r="X2267" s="30"/>
      <c r="Y2267" s="30"/>
      <c r="Z2267" s="30"/>
    </row>
    <row r="2268">
      <c r="A2268" s="29"/>
      <c r="B2268" s="29"/>
      <c r="C2268" s="30"/>
      <c r="D2268" s="30"/>
      <c r="E2268" s="30"/>
      <c r="F2268" s="30"/>
      <c r="G2268" s="30"/>
      <c r="H2268" s="30"/>
      <c r="I2268" s="30"/>
      <c r="J2268" s="30"/>
      <c r="K2268" s="30"/>
      <c r="L2268" s="30"/>
      <c r="M2268" s="30"/>
      <c r="N2268" s="30"/>
      <c r="O2268" s="30"/>
      <c r="P2268" s="30"/>
      <c r="Q2268" s="30"/>
      <c r="R2268" s="30"/>
      <c r="S2268" s="30"/>
      <c r="T2268" s="30"/>
      <c r="U2268" s="30"/>
      <c r="V2268" s="30"/>
      <c r="W2268" s="30"/>
      <c r="X2268" s="30"/>
      <c r="Y2268" s="30"/>
      <c r="Z2268" s="30"/>
    </row>
    <row r="2269">
      <c r="A2269" s="29"/>
      <c r="B2269" s="29"/>
      <c r="C2269" s="30"/>
      <c r="D2269" s="30"/>
      <c r="E2269" s="30"/>
      <c r="F2269" s="30"/>
      <c r="G2269" s="30"/>
      <c r="H2269" s="30"/>
      <c r="I2269" s="30"/>
      <c r="J2269" s="30"/>
      <c r="K2269" s="30"/>
      <c r="L2269" s="30"/>
      <c r="M2269" s="30"/>
      <c r="N2269" s="30"/>
      <c r="O2269" s="30"/>
      <c r="P2269" s="30"/>
      <c r="Q2269" s="30"/>
      <c r="R2269" s="30"/>
      <c r="S2269" s="30"/>
      <c r="T2269" s="30"/>
      <c r="U2269" s="30"/>
      <c r="V2269" s="30"/>
      <c r="W2269" s="30"/>
      <c r="X2269" s="30"/>
      <c r="Y2269" s="30"/>
      <c r="Z2269" s="30"/>
    </row>
    <row r="2270">
      <c r="A2270" s="29"/>
      <c r="B2270" s="29"/>
      <c r="C2270" s="30"/>
      <c r="D2270" s="30"/>
      <c r="E2270" s="30"/>
      <c r="F2270" s="30"/>
      <c r="G2270" s="30"/>
      <c r="H2270" s="30"/>
      <c r="I2270" s="30"/>
      <c r="J2270" s="30"/>
      <c r="K2270" s="30"/>
      <c r="L2270" s="30"/>
      <c r="M2270" s="30"/>
      <c r="N2270" s="30"/>
      <c r="O2270" s="30"/>
      <c r="P2270" s="30"/>
      <c r="Q2270" s="30"/>
      <c r="R2270" s="30"/>
      <c r="S2270" s="30"/>
      <c r="T2270" s="30"/>
      <c r="U2270" s="30"/>
      <c r="V2270" s="30"/>
      <c r="W2270" s="30"/>
      <c r="X2270" s="30"/>
      <c r="Y2270" s="30"/>
      <c r="Z2270" s="30"/>
    </row>
    <row r="2271">
      <c r="A2271" s="29"/>
      <c r="B2271" s="29"/>
      <c r="C2271" s="30"/>
      <c r="D2271" s="30"/>
      <c r="E2271" s="30"/>
      <c r="F2271" s="30"/>
      <c r="G2271" s="30"/>
      <c r="H2271" s="30"/>
      <c r="I2271" s="30"/>
      <c r="J2271" s="30"/>
      <c r="K2271" s="30"/>
      <c r="L2271" s="30"/>
      <c r="M2271" s="30"/>
      <c r="N2271" s="30"/>
      <c r="O2271" s="30"/>
      <c r="P2271" s="30"/>
      <c r="Q2271" s="30"/>
      <c r="R2271" s="30"/>
      <c r="S2271" s="30"/>
      <c r="T2271" s="30"/>
      <c r="U2271" s="30"/>
      <c r="V2271" s="30"/>
      <c r="W2271" s="30"/>
      <c r="X2271" s="30"/>
      <c r="Y2271" s="30"/>
      <c r="Z2271" s="30"/>
    </row>
    <row r="2272">
      <c r="A2272" s="29"/>
      <c r="B2272" s="29"/>
      <c r="C2272" s="30"/>
      <c r="D2272" s="30"/>
      <c r="E2272" s="30"/>
      <c r="F2272" s="30"/>
      <c r="G2272" s="30"/>
      <c r="H2272" s="30"/>
      <c r="I2272" s="30"/>
      <c r="J2272" s="30"/>
      <c r="K2272" s="30"/>
      <c r="L2272" s="30"/>
      <c r="M2272" s="30"/>
      <c r="N2272" s="30"/>
      <c r="O2272" s="30"/>
      <c r="P2272" s="30"/>
      <c r="Q2272" s="30"/>
      <c r="R2272" s="30"/>
      <c r="S2272" s="30"/>
      <c r="T2272" s="30"/>
      <c r="U2272" s="30"/>
      <c r="V2272" s="30"/>
      <c r="W2272" s="30"/>
      <c r="X2272" s="30"/>
      <c r="Y2272" s="30"/>
      <c r="Z2272" s="30"/>
    </row>
    <row r="2273">
      <c r="A2273" s="29"/>
      <c r="B2273" s="29"/>
      <c r="C2273" s="30"/>
      <c r="D2273" s="30"/>
      <c r="E2273" s="30"/>
      <c r="F2273" s="30"/>
      <c r="G2273" s="30"/>
      <c r="H2273" s="30"/>
      <c r="I2273" s="30"/>
      <c r="J2273" s="30"/>
      <c r="K2273" s="30"/>
      <c r="L2273" s="30"/>
      <c r="M2273" s="30"/>
      <c r="N2273" s="30"/>
      <c r="O2273" s="30"/>
      <c r="P2273" s="30"/>
      <c r="Q2273" s="30"/>
      <c r="R2273" s="30"/>
      <c r="S2273" s="30"/>
      <c r="T2273" s="30"/>
      <c r="U2273" s="30"/>
      <c r="V2273" s="30"/>
      <c r="W2273" s="30"/>
      <c r="X2273" s="30"/>
      <c r="Y2273" s="30"/>
      <c r="Z2273" s="30"/>
    </row>
    <row r="2274">
      <c r="A2274" s="29"/>
      <c r="B2274" s="29"/>
      <c r="C2274" s="30"/>
      <c r="D2274" s="30"/>
      <c r="E2274" s="30"/>
      <c r="F2274" s="30"/>
      <c r="G2274" s="30"/>
      <c r="H2274" s="30"/>
      <c r="I2274" s="30"/>
      <c r="J2274" s="30"/>
      <c r="K2274" s="30"/>
      <c r="L2274" s="30"/>
      <c r="M2274" s="30"/>
      <c r="N2274" s="30"/>
      <c r="O2274" s="30"/>
      <c r="P2274" s="30"/>
      <c r="Q2274" s="30"/>
      <c r="R2274" s="30"/>
      <c r="S2274" s="30"/>
      <c r="T2274" s="30"/>
      <c r="U2274" s="30"/>
      <c r="V2274" s="30"/>
      <c r="W2274" s="30"/>
      <c r="X2274" s="30"/>
      <c r="Y2274" s="30"/>
      <c r="Z2274" s="30"/>
    </row>
    <row r="2275">
      <c r="A2275" s="29"/>
      <c r="B2275" s="29"/>
      <c r="C2275" s="30"/>
      <c r="D2275" s="30"/>
      <c r="E2275" s="30"/>
      <c r="F2275" s="30"/>
      <c r="G2275" s="30"/>
      <c r="H2275" s="30"/>
      <c r="I2275" s="30"/>
      <c r="J2275" s="30"/>
      <c r="K2275" s="30"/>
      <c r="L2275" s="30"/>
      <c r="M2275" s="30"/>
      <c r="N2275" s="30"/>
      <c r="O2275" s="30"/>
      <c r="P2275" s="30"/>
      <c r="Q2275" s="30"/>
      <c r="R2275" s="30"/>
      <c r="S2275" s="30"/>
      <c r="T2275" s="30"/>
      <c r="U2275" s="30"/>
      <c r="V2275" s="30"/>
      <c r="W2275" s="30"/>
      <c r="X2275" s="30"/>
      <c r="Y2275" s="30"/>
      <c r="Z2275" s="30"/>
    </row>
    <row r="2276">
      <c r="A2276" s="29"/>
      <c r="B2276" s="29"/>
      <c r="C2276" s="30"/>
      <c r="D2276" s="30"/>
      <c r="E2276" s="30"/>
      <c r="F2276" s="30"/>
      <c r="G2276" s="30"/>
      <c r="H2276" s="30"/>
      <c r="I2276" s="30"/>
      <c r="J2276" s="30"/>
      <c r="K2276" s="30"/>
      <c r="L2276" s="30"/>
      <c r="M2276" s="30"/>
      <c r="N2276" s="30"/>
      <c r="O2276" s="30"/>
      <c r="P2276" s="30"/>
      <c r="Q2276" s="30"/>
      <c r="R2276" s="30"/>
      <c r="S2276" s="30"/>
      <c r="T2276" s="30"/>
      <c r="U2276" s="30"/>
      <c r="V2276" s="30"/>
      <c r="W2276" s="30"/>
      <c r="X2276" s="30"/>
      <c r="Y2276" s="30"/>
      <c r="Z2276" s="30"/>
    </row>
    <row r="2277">
      <c r="A2277" s="29"/>
      <c r="B2277" s="29"/>
      <c r="C2277" s="30"/>
      <c r="D2277" s="30"/>
      <c r="E2277" s="30"/>
      <c r="F2277" s="30"/>
      <c r="G2277" s="30"/>
      <c r="H2277" s="30"/>
      <c r="I2277" s="30"/>
      <c r="J2277" s="30"/>
      <c r="K2277" s="30"/>
      <c r="L2277" s="30"/>
      <c r="M2277" s="30"/>
      <c r="N2277" s="30"/>
      <c r="O2277" s="30"/>
      <c r="P2277" s="30"/>
      <c r="Q2277" s="30"/>
      <c r="R2277" s="30"/>
      <c r="S2277" s="30"/>
      <c r="T2277" s="30"/>
      <c r="U2277" s="30"/>
      <c r="V2277" s="30"/>
      <c r="W2277" s="30"/>
      <c r="X2277" s="30"/>
      <c r="Y2277" s="30"/>
      <c r="Z2277" s="30"/>
    </row>
    <row r="2278">
      <c r="A2278" s="29"/>
      <c r="B2278" s="29"/>
      <c r="C2278" s="30"/>
      <c r="D2278" s="30"/>
      <c r="E2278" s="30"/>
      <c r="F2278" s="30"/>
      <c r="G2278" s="30"/>
      <c r="H2278" s="30"/>
      <c r="I2278" s="30"/>
      <c r="J2278" s="30"/>
      <c r="K2278" s="30"/>
      <c r="L2278" s="30"/>
      <c r="M2278" s="30"/>
      <c r="N2278" s="30"/>
      <c r="O2278" s="30"/>
      <c r="P2278" s="30"/>
      <c r="Q2278" s="30"/>
      <c r="R2278" s="30"/>
      <c r="S2278" s="30"/>
      <c r="T2278" s="30"/>
      <c r="U2278" s="30"/>
      <c r="V2278" s="30"/>
      <c r="W2278" s="30"/>
      <c r="X2278" s="30"/>
      <c r="Y2278" s="30"/>
      <c r="Z2278" s="30"/>
    </row>
    <row r="2279">
      <c r="A2279" s="29"/>
      <c r="B2279" s="29"/>
      <c r="C2279" s="30"/>
      <c r="D2279" s="30"/>
      <c r="E2279" s="30"/>
      <c r="F2279" s="30"/>
      <c r="G2279" s="30"/>
      <c r="H2279" s="30"/>
      <c r="I2279" s="30"/>
      <c r="J2279" s="30"/>
      <c r="K2279" s="30"/>
      <c r="L2279" s="30"/>
      <c r="M2279" s="30"/>
      <c r="N2279" s="30"/>
      <c r="O2279" s="30"/>
      <c r="P2279" s="30"/>
      <c r="Q2279" s="30"/>
      <c r="R2279" s="30"/>
      <c r="S2279" s="30"/>
      <c r="T2279" s="30"/>
      <c r="U2279" s="30"/>
      <c r="V2279" s="30"/>
      <c r="W2279" s="30"/>
      <c r="X2279" s="30"/>
      <c r="Y2279" s="30"/>
      <c r="Z2279" s="30"/>
    </row>
    <row r="2280">
      <c r="A2280" s="29"/>
      <c r="B2280" s="29"/>
      <c r="C2280" s="30"/>
      <c r="D2280" s="30"/>
      <c r="E2280" s="30"/>
      <c r="F2280" s="30"/>
      <c r="G2280" s="30"/>
      <c r="H2280" s="30"/>
      <c r="I2280" s="30"/>
      <c r="J2280" s="30"/>
      <c r="K2280" s="30"/>
      <c r="L2280" s="30"/>
      <c r="M2280" s="30"/>
      <c r="N2280" s="30"/>
      <c r="O2280" s="30"/>
      <c r="P2280" s="30"/>
      <c r="Q2280" s="30"/>
      <c r="R2280" s="30"/>
      <c r="S2280" s="30"/>
      <c r="T2280" s="30"/>
      <c r="U2280" s="30"/>
      <c r="V2280" s="30"/>
      <c r="W2280" s="30"/>
      <c r="X2280" s="30"/>
      <c r="Y2280" s="30"/>
      <c r="Z2280" s="30"/>
    </row>
    <row r="2281">
      <c r="A2281" s="29"/>
      <c r="B2281" s="29"/>
      <c r="C2281" s="30"/>
      <c r="D2281" s="30"/>
      <c r="E2281" s="30"/>
      <c r="F2281" s="30"/>
      <c r="G2281" s="30"/>
      <c r="H2281" s="30"/>
      <c r="I2281" s="30"/>
      <c r="J2281" s="30"/>
      <c r="K2281" s="30"/>
      <c r="L2281" s="30"/>
      <c r="M2281" s="30"/>
      <c r="N2281" s="30"/>
      <c r="O2281" s="30"/>
      <c r="P2281" s="30"/>
      <c r="Q2281" s="30"/>
      <c r="R2281" s="30"/>
      <c r="S2281" s="30"/>
      <c r="T2281" s="30"/>
      <c r="U2281" s="30"/>
      <c r="V2281" s="30"/>
      <c r="W2281" s="30"/>
      <c r="X2281" s="30"/>
      <c r="Y2281" s="30"/>
      <c r="Z2281" s="30"/>
    </row>
    <row r="2282">
      <c r="A2282" s="29"/>
      <c r="B2282" s="29"/>
      <c r="C2282" s="30"/>
      <c r="D2282" s="30"/>
      <c r="E2282" s="30"/>
      <c r="F2282" s="30"/>
      <c r="G2282" s="30"/>
      <c r="H2282" s="30"/>
      <c r="I2282" s="30"/>
      <c r="J2282" s="30"/>
      <c r="K2282" s="30"/>
      <c r="L2282" s="30"/>
      <c r="M2282" s="30"/>
      <c r="N2282" s="30"/>
      <c r="O2282" s="30"/>
      <c r="P2282" s="30"/>
      <c r="Q2282" s="30"/>
      <c r="R2282" s="30"/>
      <c r="S2282" s="30"/>
      <c r="T2282" s="30"/>
      <c r="U2282" s="30"/>
      <c r="V2282" s="30"/>
      <c r="W2282" s="30"/>
      <c r="X2282" s="30"/>
      <c r="Y2282" s="30"/>
      <c r="Z2282" s="30"/>
    </row>
    <row r="2283">
      <c r="A2283" s="29"/>
      <c r="B2283" s="29"/>
      <c r="C2283" s="30"/>
      <c r="D2283" s="30"/>
      <c r="E2283" s="30"/>
      <c r="F2283" s="30"/>
      <c r="G2283" s="30"/>
      <c r="H2283" s="30"/>
      <c r="I2283" s="30"/>
      <c r="J2283" s="30"/>
      <c r="K2283" s="30"/>
      <c r="L2283" s="30"/>
      <c r="M2283" s="30"/>
      <c r="N2283" s="30"/>
      <c r="O2283" s="30"/>
      <c r="P2283" s="30"/>
      <c r="Q2283" s="30"/>
      <c r="R2283" s="30"/>
      <c r="S2283" s="30"/>
      <c r="T2283" s="30"/>
      <c r="U2283" s="30"/>
      <c r="V2283" s="30"/>
      <c r="W2283" s="30"/>
      <c r="X2283" s="30"/>
      <c r="Y2283" s="30"/>
      <c r="Z2283" s="30"/>
    </row>
    <row r="2284">
      <c r="A2284" s="29"/>
      <c r="B2284" s="29"/>
      <c r="C2284" s="30"/>
      <c r="D2284" s="30"/>
      <c r="E2284" s="30"/>
      <c r="F2284" s="30"/>
      <c r="G2284" s="30"/>
      <c r="H2284" s="30"/>
      <c r="I2284" s="30"/>
      <c r="J2284" s="30"/>
      <c r="K2284" s="30"/>
      <c r="L2284" s="30"/>
      <c r="M2284" s="30"/>
      <c r="N2284" s="30"/>
      <c r="O2284" s="30"/>
      <c r="P2284" s="30"/>
      <c r="Q2284" s="30"/>
      <c r="R2284" s="30"/>
      <c r="S2284" s="30"/>
      <c r="T2284" s="30"/>
      <c r="U2284" s="30"/>
      <c r="V2284" s="30"/>
      <c r="W2284" s="30"/>
      <c r="X2284" s="30"/>
      <c r="Y2284" s="30"/>
      <c r="Z2284" s="30"/>
    </row>
    <row r="2285">
      <c r="A2285" s="29"/>
      <c r="B2285" s="29"/>
      <c r="C2285" s="30"/>
      <c r="D2285" s="30"/>
      <c r="E2285" s="30"/>
      <c r="F2285" s="30"/>
      <c r="G2285" s="30"/>
      <c r="H2285" s="30"/>
      <c r="I2285" s="30"/>
      <c r="J2285" s="30"/>
      <c r="K2285" s="30"/>
      <c r="L2285" s="30"/>
      <c r="M2285" s="30"/>
      <c r="N2285" s="30"/>
      <c r="O2285" s="30"/>
      <c r="P2285" s="30"/>
      <c r="Q2285" s="30"/>
      <c r="R2285" s="30"/>
      <c r="S2285" s="30"/>
      <c r="T2285" s="30"/>
      <c r="U2285" s="30"/>
      <c r="V2285" s="30"/>
      <c r="W2285" s="30"/>
      <c r="X2285" s="30"/>
      <c r="Y2285" s="30"/>
      <c r="Z2285" s="30"/>
    </row>
    <row r="2286">
      <c r="A2286" s="29"/>
      <c r="B2286" s="29"/>
      <c r="C2286" s="30"/>
      <c r="D2286" s="30"/>
      <c r="E2286" s="30"/>
      <c r="F2286" s="30"/>
      <c r="G2286" s="30"/>
      <c r="H2286" s="30"/>
      <c r="I2286" s="30"/>
      <c r="J2286" s="30"/>
      <c r="K2286" s="30"/>
      <c r="L2286" s="30"/>
      <c r="M2286" s="30"/>
      <c r="N2286" s="30"/>
      <c r="O2286" s="30"/>
      <c r="P2286" s="30"/>
      <c r="Q2286" s="30"/>
      <c r="R2286" s="30"/>
      <c r="S2286" s="30"/>
      <c r="T2286" s="30"/>
      <c r="U2286" s="30"/>
      <c r="V2286" s="30"/>
      <c r="W2286" s="30"/>
      <c r="X2286" s="30"/>
      <c r="Y2286" s="30"/>
      <c r="Z2286" s="30"/>
    </row>
    <row r="2287">
      <c r="A2287" s="29"/>
      <c r="B2287" s="29"/>
      <c r="C2287" s="30"/>
      <c r="D2287" s="30"/>
      <c r="E2287" s="30"/>
      <c r="F2287" s="30"/>
      <c r="G2287" s="30"/>
      <c r="H2287" s="30"/>
      <c r="I2287" s="30"/>
      <c r="J2287" s="30"/>
      <c r="K2287" s="30"/>
      <c r="L2287" s="30"/>
      <c r="M2287" s="30"/>
      <c r="N2287" s="30"/>
      <c r="O2287" s="30"/>
      <c r="P2287" s="30"/>
      <c r="Q2287" s="30"/>
      <c r="R2287" s="30"/>
      <c r="S2287" s="30"/>
      <c r="T2287" s="30"/>
      <c r="U2287" s="30"/>
      <c r="V2287" s="30"/>
      <c r="W2287" s="30"/>
      <c r="X2287" s="30"/>
      <c r="Y2287" s="30"/>
      <c r="Z2287" s="30"/>
    </row>
    <row r="2288">
      <c r="A2288" s="29"/>
      <c r="B2288" s="29"/>
      <c r="C2288" s="30"/>
      <c r="D2288" s="30"/>
      <c r="E2288" s="30"/>
      <c r="F2288" s="30"/>
      <c r="G2288" s="30"/>
      <c r="H2288" s="30"/>
      <c r="I2288" s="30"/>
      <c r="J2288" s="30"/>
      <c r="K2288" s="30"/>
      <c r="L2288" s="30"/>
      <c r="M2288" s="30"/>
      <c r="N2288" s="30"/>
      <c r="O2288" s="30"/>
      <c r="P2288" s="30"/>
      <c r="Q2288" s="30"/>
      <c r="R2288" s="30"/>
      <c r="S2288" s="30"/>
      <c r="T2288" s="30"/>
      <c r="U2288" s="30"/>
      <c r="V2288" s="30"/>
      <c r="W2288" s="30"/>
      <c r="X2288" s="30"/>
      <c r="Y2288" s="30"/>
      <c r="Z2288" s="30"/>
    </row>
    <row r="2289">
      <c r="A2289" s="29"/>
      <c r="B2289" s="29"/>
      <c r="C2289" s="30"/>
      <c r="D2289" s="30"/>
      <c r="E2289" s="30"/>
      <c r="F2289" s="30"/>
      <c r="G2289" s="30"/>
      <c r="H2289" s="30"/>
      <c r="I2289" s="30"/>
      <c r="J2289" s="30"/>
      <c r="K2289" s="30"/>
      <c r="L2289" s="30"/>
      <c r="M2289" s="30"/>
      <c r="N2289" s="30"/>
      <c r="O2289" s="30"/>
      <c r="P2289" s="30"/>
      <c r="Q2289" s="30"/>
      <c r="R2289" s="30"/>
      <c r="S2289" s="30"/>
      <c r="T2289" s="30"/>
      <c r="U2289" s="30"/>
      <c r="V2289" s="30"/>
      <c r="W2289" s="30"/>
      <c r="X2289" s="30"/>
      <c r="Y2289" s="30"/>
      <c r="Z2289" s="30"/>
    </row>
    <row r="2290">
      <c r="A2290" s="29"/>
      <c r="B2290" s="29"/>
      <c r="C2290" s="30"/>
      <c r="D2290" s="30"/>
      <c r="E2290" s="30"/>
      <c r="F2290" s="30"/>
      <c r="G2290" s="30"/>
      <c r="H2290" s="30"/>
      <c r="I2290" s="30"/>
      <c r="J2290" s="30"/>
      <c r="K2290" s="30"/>
      <c r="L2290" s="30"/>
      <c r="M2290" s="30"/>
      <c r="N2290" s="30"/>
      <c r="O2290" s="30"/>
      <c r="P2290" s="30"/>
      <c r="Q2290" s="30"/>
      <c r="R2290" s="30"/>
      <c r="S2290" s="30"/>
      <c r="T2290" s="30"/>
      <c r="U2290" s="30"/>
      <c r="V2290" s="30"/>
      <c r="W2290" s="30"/>
      <c r="X2290" s="30"/>
      <c r="Y2290" s="30"/>
      <c r="Z2290" s="30"/>
    </row>
    <row r="2291">
      <c r="A2291" s="29"/>
      <c r="B2291" s="29"/>
      <c r="C2291" s="30"/>
      <c r="D2291" s="30"/>
      <c r="E2291" s="30"/>
      <c r="F2291" s="30"/>
      <c r="G2291" s="30"/>
      <c r="H2291" s="30"/>
      <c r="I2291" s="30"/>
      <c r="J2291" s="30"/>
      <c r="K2291" s="30"/>
      <c r="L2291" s="30"/>
      <c r="M2291" s="30"/>
      <c r="N2291" s="30"/>
      <c r="O2291" s="30"/>
      <c r="P2291" s="30"/>
      <c r="Q2291" s="30"/>
      <c r="R2291" s="30"/>
      <c r="S2291" s="30"/>
      <c r="T2291" s="30"/>
      <c r="U2291" s="30"/>
      <c r="V2291" s="30"/>
      <c r="W2291" s="30"/>
      <c r="X2291" s="30"/>
      <c r="Y2291" s="30"/>
      <c r="Z2291" s="30"/>
    </row>
    <row r="2292">
      <c r="A2292" s="29"/>
      <c r="B2292" s="29"/>
      <c r="C2292" s="30"/>
      <c r="D2292" s="30"/>
      <c r="E2292" s="30"/>
      <c r="F2292" s="30"/>
      <c r="G2292" s="30"/>
      <c r="H2292" s="30"/>
      <c r="I2292" s="30"/>
      <c r="J2292" s="30"/>
      <c r="K2292" s="30"/>
      <c r="L2292" s="30"/>
      <c r="M2292" s="30"/>
      <c r="N2292" s="30"/>
      <c r="O2292" s="30"/>
      <c r="P2292" s="30"/>
      <c r="Q2292" s="30"/>
      <c r="R2292" s="30"/>
      <c r="S2292" s="30"/>
      <c r="T2292" s="30"/>
      <c r="U2292" s="30"/>
      <c r="V2292" s="30"/>
      <c r="W2292" s="30"/>
      <c r="X2292" s="30"/>
      <c r="Y2292" s="30"/>
      <c r="Z2292" s="30"/>
    </row>
    <row r="2293">
      <c r="A2293" s="29"/>
      <c r="B2293" s="29"/>
      <c r="C2293" s="30"/>
      <c r="D2293" s="30"/>
      <c r="E2293" s="30"/>
      <c r="F2293" s="30"/>
      <c r="G2293" s="30"/>
      <c r="H2293" s="30"/>
      <c r="I2293" s="30"/>
      <c r="J2293" s="30"/>
      <c r="K2293" s="30"/>
      <c r="L2293" s="30"/>
      <c r="M2293" s="30"/>
      <c r="N2293" s="30"/>
      <c r="O2293" s="30"/>
      <c r="P2293" s="30"/>
      <c r="Q2293" s="30"/>
      <c r="R2293" s="30"/>
      <c r="S2293" s="30"/>
      <c r="T2293" s="30"/>
      <c r="U2293" s="30"/>
      <c r="V2293" s="30"/>
      <c r="W2293" s="30"/>
      <c r="X2293" s="30"/>
      <c r="Y2293" s="30"/>
      <c r="Z2293" s="30"/>
    </row>
    <row r="2294">
      <c r="A2294" s="29"/>
      <c r="B2294" s="29"/>
      <c r="C2294" s="30"/>
      <c r="D2294" s="30"/>
      <c r="E2294" s="30"/>
      <c r="F2294" s="30"/>
      <c r="G2294" s="30"/>
      <c r="H2294" s="30"/>
      <c r="I2294" s="30"/>
      <c r="J2294" s="30"/>
      <c r="K2294" s="30"/>
      <c r="L2294" s="30"/>
      <c r="M2294" s="30"/>
      <c r="N2294" s="30"/>
      <c r="O2294" s="30"/>
      <c r="P2294" s="30"/>
      <c r="Q2294" s="30"/>
      <c r="R2294" s="30"/>
      <c r="S2294" s="30"/>
      <c r="T2294" s="30"/>
      <c r="U2294" s="30"/>
      <c r="V2294" s="30"/>
      <c r="W2294" s="30"/>
      <c r="X2294" s="30"/>
      <c r="Y2294" s="30"/>
      <c r="Z2294" s="30"/>
    </row>
    <row r="2295">
      <c r="A2295" s="29"/>
      <c r="B2295" s="29"/>
      <c r="C2295" s="30"/>
      <c r="D2295" s="30"/>
      <c r="E2295" s="30"/>
      <c r="F2295" s="30"/>
      <c r="G2295" s="30"/>
      <c r="H2295" s="30"/>
      <c r="I2295" s="30"/>
      <c r="J2295" s="30"/>
      <c r="K2295" s="30"/>
      <c r="L2295" s="30"/>
      <c r="M2295" s="30"/>
      <c r="N2295" s="30"/>
      <c r="O2295" s="30"/>
      <c r="P2295" s="30"/>
      <c r="Q2295" s="30"/>
      <c r="R2295" s="30"/>
      <c r="S2295" s="30"/>
      <c r="T2295" s="30"/>
      <c r="U2295" s="30"/>
      <c r="V2295" s="30"/>
      <c r="W2295" s="30"/>
      <c r="X2295" s="30"/>
      <c r="Y2295" s="30"/>
      <c r="Z2295" s="30"/>
    </row>
    <row r="2296">
      <c r="A2296" s="29"/>
      <c r="B2296" s="29"/>
      <c r="C2296" s="30"/>
      <c r="D2296" s="30"/>
      <c r="E2296" s="30"/>
      <c r="F2296" s="30"/>
      <c r="G2296" s="30"/>
      <c r="H2296" s="30"/>
      <c r="I2296" s="30"/>
      <c r="J2296" s="30"/>
      <c r="K2296" s="30"/>
      <c r="L2296" s="30"/>
      <c r="M2296" s="30"/>
      <c r="N2296" s="30"/>
      <c r="O2296" s="30"/>
      <c r="P2296" s="30"/>
      <c r="Q2296" s="30"/>
      <c r="R2296" s="30"/>
      <c r="S2296" s="30"/>
      <c r="T2296" s="30"/>
      <c r="U2296" s="30"/>
      <c r="V2296" s="30"/>
      <c r="W2296" s="30"/>
      <c r="X2296" s="30"/>
      <c r="Y2296" s="30"/>
      <c r="Z2296" s="30"/>
    </row>
    <row r="2297">
      <c r="A2297" s="29"/>
      <c r="B2297" s="29"/>
      <c r="C2297" s="30"/>
      <c r="D2297" s="30"/>
      <c r="E2297" s="30"/>
      <c r="F2297" s="30"/>
      <c r="G2297" s="30"/>
      <c r="H2297" s="30"/>
      <c r="I2297" s="30"/>
      <c r="J2297" s="30"/>
      <c r="K2297" s="30"/>
      <c r="L2297" s="30"/>
      <c r="M2297" s="30"/>
      <c r="N2297" s="30"/>
      <c r="O2297" s="30"/>
      <c r="P2297" s="30"/>
      <c r="Q2297" s="30"/>
      <c r="R2297" s="30"/>
      <c r="S2297" s="30"/>
      <c r="T2297" s="30"/>
      <c r="U2297" s="30"/>
      <c r="V2297" s="30"/>
      <c r="W2297" s="30"/>
      <c r="X2297" s="30"/>
      <c r="Y2297" s="30"/>
      <c r="Z2297" s="30"/>
    </row>
    <row r="2298">
      <c r="A2298" s="29"/>
      <c r="B2298" s="29"/>
      <c r="C2298" s="30"/>
      <c r="D2298" s="30"/>
      <c r="E2298" s="30"/>
      <c r="F2298" s="30"/>
      <c r="G2298" s="30"/>
      <c r="H2298" s="30"/>
      <c r="I2298" s="30"/>
      <c r="J2298" s="30"/>
      <c r="K2298" s="30"/>
      <c r="L2298" s="30"/>
      <c r="M2298" s="30"/>
      <c r="N2298" s="30"/>
      <c r="O2298" s="30"/>
      <c r="P2298" s="30"/>
      <c r="Q2298" s="30"/>
      <c r="R2298" s="30"/>
      <c r="S2298" s="30"/>
      <c r="T2298" s="30"/>
      <c r="U2298" s="30"/>
      <c r="V2298" s="30"/>
      <c r="W2298" s="30"/>
      <c r="X2298" s="30"/>
      <c r="Y2298" s="30"/>
      <c r="Z2298" s="30"/>
    </row>
    <row r="2299">
      <c r="A2299" s="29"/>
      <c r="B2299" s="29"/>
      <c r="C2299" s="30"/>
      <c r="D2299" s="30"/>
      <c r="E2299" s="30"/>
      <c r="F2299" s="30"/>
      <c r="G2299" s="30"/>
      <c r="H2299" s="30"/>
      <c r="I2299" s="30"/>
      <c r="J2299" s="30"/>
      <c r="K2299" s="30"/>
      <c r="L2299" s="30"/>
      <c r="M2299" s="30"/>
      <c r="N2299" s="30"/>
      <c r="O2299" s="30"/>
      <c r="P2299" s="30"/>
      <c r="Q2299" s="30"/>
      <c r="R2299" s="30"/>
      <c r="S2299" s="30"/>
      <c r="T2299" s="30"/>
      <c r="U2299" s="30"/>
      <c r="V2299" s="30"/>
      <c r="W2299" s="30"/>
      <c r="X2299" s="30"/>
      <c r="Y2299" s="30"/>
      <c r="Z2299" s="30"/>
    </row>
    <row r="2300">
      <c r="A2300" s="29"/>
      <c r="B2300" s="29"/>
      <c r="C2300" s="30"/>
      <c r="D2300" s="30"/>
      <c r="E2300" s="30"/>
      <c r="F2300" s="30"/>
      <c r="G2300" s="30"/>
      <c r="H2300" s="30"/>
      <c r="I2300" s="30"/>
      <c r="J2300" s="30"/>
      <c r="K2300" s="30"/>
      <c r="L2300" s="30"/>
      <c r="M2300" s="30"/>
      <c r="N2300" s="30"/>
      <c r="O2300" s="30"/>
      <c r="P2300" s="30"/>
      <c r="Q2300" s="30"/>
      <c r="R2300" s="30"/>
      <c r="S2300" s="30"/>
      <c r="T2300" s="30"/>
      <c r="U2300" s="30"/>
      <c r="V2300" s="30"/>
      <c r="W2300" s="30"/>
      <c r="X2300" s="30"/>
      <c r="Y2300" s="30"/>
      <c r="Z2300" s="30"/>
    </row>
    <row r="2301">
      <c r="A2301" s="29"/>
      <c r="B2301" s="29"/>
      <c r="C2301" s="30"/>
      <c r="D2301" s="30"/>
      <c r="E2301" s="30"/>
      <c r="F2301" s="30"/>
      <c r="G2301" s="30"/>
      <c r="H2301" s="30"/>
      <c r="I2301" s="30"/>
      <c r="J2301" s="30"/>
      <c r="K2301" s="30"/>
      <c r="L2301" s="30"/>
      <c r="M2301" s="30"/>
      <c r="N2301" s="30"/>
      <c r="O2301" s="30"/>
      <c r="P2301" s="30"/>
      <c r="Q2301" s="30"/>
      <c r="R2301" s="30"/>
      <c r="S2301" s="30"/>
      <c r="T2301" s="30"/>
      <c r="U2301" s="30"/>
      <c r="V2301" s="30"/>
      <c r="W2301" s="30"/>
      <c r="X2301" s="30"/>
      <c r="Y2301" s="30"/>
      <c r="Z2301" s="30"/>
    </row>
    <row r="2302">
      <c r="A2302" s="29"/>
      <c r="B2302" s="29"/>
      <c r="C2302" s="30"/>
      <c r="D2302" s="30"/>
      <c r="E2302" s="30"/>
      <c r="F2302" s="30"/>
      <c r="G2302" s="30"/>
      <c r="H2302" s="30"/>
      <c r="I2302" s="30"/>
      <c r="J2302" s="30"/>
      <c r="K2302" s="30"/>
      <c r="L2302" s="30"/>
      <c r="M2302" s="30"/>
      <c r="N2302" s="30"/>
      <c r="O2302" s="30"/>
      <c r="P2302" s="30"/>
      <c r="Q2302" s="30"/>
      <c r="R2302" s="30"/>
      <c r="S2302" s="30"/>
      <c r="T2302" s="30"/>
      <c r="U2302" s="30"/>
      <c r="V2302" s="30"/>
      <c r="W2302" s="30"/>
      <c r="X2302" s="30"/>
      <c r="Y2302" s="30"/>
      <c r="Z2302" s="30"/>
    </row>
    <row r="2303">
      <c r="A2303" s="29"/>
      <c r="B2303" s="29"/>
      <c r="C2303" s="30"/>
      <c r="D2303" s="30"/>
      <c r="E2303" s="30"/>
      <c r="F2303" s="30"/>
      <c r="G2303" s="30"/>
      <c r="H2303" s="30"/>
      <c r="I2303" s="30"/>
      <c r="J2303" s="30"/>
      <c r="K2303" s="30"/>
      <c r="L2303" s="30"/>
      <c r="M2303" s="30"/>
      <c r="N2303" s="30"/>
      <c r="O2303" s="30"/>
      <c r="P2303" s="30"/>
      <c r="Q2303" s="30"/>
      <c r="R2303" s="30"/>
      <c r="S2303" s="30"/>
      <c r="T2303" s="30"/>
      <c r="U2303" s="30"/>
      <c r="V2303" s="30"/>
      <c r="W2303" s="30"/>
      <c r="X2303" s="30"/>
      <c r="Y2303" s="30"/>
      <c r="Z2303" s="30"/>
    </row>
    <row r="2304">
      <c r="A2304" s="29"/>
      <c r="B2304" s="29"/>
      <c r="C2304" s="30"/>
      <c r="D2304" s="30"/>
      <c r="E2304" s="30"/>
      <c r="F2304" s="30"/>
      <c r="G2304" s="30"/>
      <c r="H2304" s="30"/>
      <c r="I2304" s="30"/>
      <c r="J2304" s="30"/>
      <c r="K2304" s="30"/>
      <c r="L2304" s="30"/>
      <c r="M2304" s="30"/>
      <c r="N2304" s="30"/>
      <c r="O2304" s="30"/>
      <c r="P2304" s="30"/>
      <c r="Q2304" s="30"/>
      <c r="R2304" s="30"/>
      <c r="S2304" s="30"/>
      <c r="T2304" s="30"/>
      <c r="U2304" s="30"/>
      <c r="V2304" s="30"/>
      <c r="W2304" s="30"/>
      <c r="X2304" s="30"/>
      <c r="Y2304" s="30"/>
      <c r="Z2304" s="30"/>
    </row>
    <row r="2305">
      <c r="A2305" s="29"/>
      <c r="B2305" s="29"/>
      <c r="C2305" s="30"/>
      <c r="D2305" s="30"/>
      <c r="E2305" s="30"/>
      <c r="F2305" s="30"/>
      <c r="G2305" s="30"/>
      <c r="H2305" s="30"/>
      <c r="I2305" s="30"/>
      <c r="J2305" s="30"/>
      <c r="K2305" s="30"/>
      <c r="L2305" s="30"/>
      <c r="M2305" s="30"/>
      <c r="N2305" s="30"/>
      <c r="O2305" s="30"/>
      <c r="P2305" s="30"/>
      <c r="Q2305" s="30"/>
      <c r="R2305" s="30"/>
      <c r="S2305" s="30"/>
      <c r="T2305" s="30"/>
      <c r="U2305" s="30"/>
      <c r="V2305" s="30"/>
      <c r="W2305" s="30"/>
      <c r="X2305" s="30"/>
      <c r="Y2305" s="30"/>
      <c r="Z2305" s="30"/>
    </row>
    <row r="2306">
      <c r="A2306" s="29"/>
      <c r="B2306" s="29"/>
      <c r="C2306" s="30"/>
      <c r="D2306" s="30"/>
      <c r="E2306" s="30"/>
      <c r="F2306" s="30"/>
      <c r="G2306" s="30"/>
      <c r="H2306" s="30"/>
      <c r="I2306" s="30"/>
      <c r="J2306" s="30"/>
      <c r="K2306" s="30"/>
      <c r="L2306" s="30"/>
      <c r="M2306" s="30"/>
      <c r="N2306" s="30"/>
      <c r="O2306" s="30"/>
      <c r="P2306" s="30"/>
      <c r="Q2306" s="30"/>
      <c r="R2306" s="30"/>
      <c r="S2306" s="30"/>
      <c r="T2306" s="30"/>
      <c r="U2306" s="30"/>
      <c r="V2306" s="30"/>
      <c r="W2306" s="30"/>
      <c r="X2306" s="30"/>
      <c r="Y2306" s="30"/>
      <c r="Z2306" s="30"/>
    </row>
    <row r="2307">
      <c r="A2307" s="29"/>
      <c r="B2307" s="29"/>
      <c r="C2307" s="30"/>
      <c r="D2307" s="30"/>
      <c r="E2307" s="30"/>
      <c r="F2307" s="30"/>
      <c r="G2307" s="30"/>
      <c r="H2307" s="30"/>
      <c r="I2307" s="30"/>
      <c r="J2307" s="30"/>
      <c r="K2307" s="30"/>
      <c r="L2307" s="30"/>
      <c r="M2307" s="30"/>
      <c r="N2307" s="30"/>
      <c r="O2307" s="30"/>
      <c r="P2307" s="30"/>
      <c r="Q2307" s="30"/>
      <c r="R2307" s="30"/>
      <c r="S2307" s="30"/>
      <c r="T2307" s="30"/>
      <c r="U2307" s="30"/>
      <c r="V2307" s="30"/>
      <c r="W2307" s="30"/>
      <c r="X2307" s="30"/>
      <c r="Y2307" s="30"/>
      <c r="Z2307" s="30"/>
    </row>
    <row r="2308">
      <c r="A2308" s="29"/>
      <c r="B2308" s="29"/>
      <c r="C2308" s="30"/>
      <c r="D2308" s="30"/>
      <c r="E2308" s="30"/>
      <c r="F2308" s="30"/>
      <c r="G2308" s="30"/>
      <c r="H2308" s="30"/>
      <c r="I2308" s="30"/>
      <c r="J2308" s="30"/>
      <c r="K2308" s="30"/>
      <c r="L2308" s="30"/>
      <c r="M2308" s="30"/>
      <c r="N2308" s="30"/>
      <c r="O2308" s="30"/>
      <c r="P2308" s="30"/>
      <c r="Q2308" s="30"/>
      <c r="R2308" s="30"/>
      <c r="S2308" s="30"/>
      <c r="T2308" s="30"/>
      <c r="U2308" s="30"/>
      <c r="V2308" s="30"/>
      <c r="W2308" s="30"/>
      <c r="X2308" s="30"/>
      <c r="Y2308" s="30"/>
      <c r="Z2308" s="30"/>
    </row>
    <row r="2309">
      <c r="A2309" s="29"/>
      <c r="B2309" s="29"/>
      <c r="C2309" s="30"/>
      <c r="D2309" s="30"/>
      <c r="E2309" s="30"/>
      <c r="F2309" s="30"/>
      <c r="G2309" s="30"/>
      <c r="H2309" s="30"/>
      <c r="I2309" s="30"/>
      <c r="J2309" s="30"/>
      <c r="K2309" s="30"/>
      <c r="L2309" s="30"/>
      <c r="M2309" s="30"/>
      <c r="N2309" s="30"/>
      <c r="O2309" s="30"/>
      <c r="P2309" s="30"/>
      <c r="Q2309" s="30"/>
      <c r="R2309" s="30"/>
      <c r="S2309" s="30"/>
      <c r="T2309" s="30"/>
      <c r="U2309" s="30"/>
      <c r="V2309" s="30"/>
      <c r="W2309" s="30"/>
      <c r="X2309" s="30"/>
      <c r="Y2309" s="30"/>
      <c r="Z2309" s="30"/>
    </row>
    <row r="2310">
      <c r="A2310" s="29"/>
      <c r="B2310" s="29"/>
      <c r="C2310" s="30"/>
      <c r="D2310" s="30"/>
      <c r="E2310" s="30"/>
      <c r="F2310" s="30"/>
      <c r="G2310" s="30"/>
      <c r="H2310" s="30"/>
      <c r="I2310" s="30"/>
      <c r="J2310" s="30"/>
      <c r="K2310" s="30"/>
      <c r="L2310" s="30"/>
      <c r="M2310" s="30"/>
      <c r="N2310" s="30"/>
      <c r="O2310" s="30"/>
      <c r="P2310" s="30"/>
      <c r="Q2310" s="30"/>
      <c r="R2310" s="30"/>
      <c r="S2310" s="30"/>
      <c r="T2310" s="30"/>
      <c r="U2310" s="30"/>
      <c r="V2310" s="30"/>
      <c r="W2310" s="30"/>
      <c r="X2310" s="30"/>
      <c r="Y2310" s="30"/>
      <c r="Z2310" s="30"/>
    </row>
    <row r="2311">
      <c r="A2311" s="29"/>
      <c r="B2311" s="29"/>
      <c r="C2311" s="30"/>
      <c r="D2311" s="30"/>
      <c r="E2311" s="30"/>
      <c r="F2311" s="30"/>
      <c r="G2311" s="30"/>
      <c r="H2311" s="30"/>
      <c r="I2311" s="30"/>
      <c r="J2311" s="30"/>
      <c r="K2311" s="30"/>
      <c r="L2311" s="30"/>
      <c r="M2311" s="30"/>
      <c r="N2311" s="30"/>
      <c r="O2311" s="30"/>
      <c r="P2311" s="30"/>
      <c r="Q2311" s="30"/>
      <c r="R2311" s="30"/>
      <c r="S2311" s="30"/>
      <c r="T2311" s="30"/>
      <c r="U2311" s="30"/>
      <c r="V2311" s="30"/>
      <c r="W2311" s="30"/>
      <c r="X2311" s="30"/>
      <c r="Y2311" s="30"/>
      <c r="Z2311" s="30"/>
    </row>
    <row r="2312">
      <c r="A2312" s="29"/>
      <c r="B2312" s="29"/>
      <c r="C2312" s="30"/>
      <c r="D2312" s="30"/>
      <c r="E2312" s="30"/>
      <c r="F2312" s="30"/>
      <c r="G2312" s="30"/>
      <c r="H2312" s="30"/>
      <c r="I2312" s="30"/>
      <c r="J2312" s="30"/>
      <c r="K2312" s="30"/>
      <c r="L2312" s="30"/>
      <c r="M2312" s="30"/>
      <c r="N2312" s="30"/>
      <c r="O2312" s="30"/>
      <c r="P2312" s="30"/>
      <c r="Q2312" s="30"/>
      <c r="R2312" s="30"/>
      <c r="S2312" s="30"/>
      <c r="T2312" s="30"/>
      <c r="U2312" s="30"/>
      <c r="V2312" s="30"/>
      <c r="W2312" s="30"/>
      <c r="X2312" s="30"/>
      <c r="Y2312" s="30"/>
      <c r="Z2312" s="30"/>
    </row>
    <row r="2313">
      <c r="A2313" s="29"/>
      <c r="B2313" s="29"/>
      <c r="C2313" s="30"/>
      <c r="D2313" s="30"/>
      <c r="E2313" s="30"/>
      <c r="F2313" s="30"/>
      <c r="G2313" s="30"/>
      <c r="H2313" s="30"/>
      <c r="I2313" s="30"/>
      <c r="J2313" s="30"/>
      <c r="K2313" s="30"/>
      <c r="L2313" s="30"/>
      <c r="M2313" s="30"/>
      <c r="N2313" s="30"/>
      <c r="O2313" s="30"/>
      <c r="P2313" s="30"/>
      <c r="Q2313" s="30"/>
      <c r="R2313" s="30"/>
      <c r="S2313" s="30"/>
      <c r="T2313" s="30"/>
      <c r="U2313" s="30"/>
      <c r="V2313" s="30"/>
      <c r="W2313" s="30"/>
      <c r="X2313" s="30"/>
      <c r="Y2313" s="30"/>
      <c r="Z2313" s="30"/>
    </row>
    <row r="2314">
      <c r="A2314" s="29"/>
      <c r="B2314" s="29"/>
      <c r="C2314" s="30"/>
      <c r="D2314" s="30"/>
      <c r="E2314" s="30"/>
      <c r="F2314" s="30"/>
      <c r="G2314" s="30"/>
      <c r="H2314" s="30"/>
      <c r="I2314" s="30"/>
      <c r="J2314" s="30"/>
      <c r="K2314" s="30"/>
      <c r="L2314" s="30"/>
      <c r="M2314" s="30"/>
      <c r="N2314" s="30"/>
      <c r="O2314" s="30"/>
      <c r="P2314" s="30"/>
      <c r="Q2314" s="30"/>
      <c r="R2314" s="30"/>
      <c r="S2314" s="30"/>
      <c r="T2314" s="30"/>
      <c r="U2314" s="30"/>
      <c r="V2314" s="30"/>
      <c r="W2314" s="30"/>
      <c r="X2314" s="30"/>
      <c r="Y2314" s="30"/>
      <c r="Z2314" s="30"/>
    </row>
    <row r="2315">
      <c r="A2315" s="29"/>
      <c r="B2315" s="29"/>
      <c r="C2315" s="30"/>
      <c r="D2315" s="30"/>
      <c r="E2315" s="30"/>
      <c r="F2315" s="30"/>
      <c r="G2315" s="30"/>
      <c r="H2315" s="30"/>
      <c r="I2315" s="30"/>
      <c r="J2315" s="30"/>
      <c r="K2315" s="30"/>
      <c r="L2315" s="30"/>
      <c r="M2315" s="30"/>
      <c r="N2315" s="30"/>
      <c r="O2315" s="30"/>
      <c r="P2315" s="30"/>
      <c r="Q2315" s="30"/>
      <c r="R2315" s="30"/>
      <c r="S2315" s="30"/>
      <c r="T2315" s="30"/>
      <c r="U2315" s="30"/>
      <c r="V2315" s="30"/>
      <c r="W2315" s="30"/>
      <c r="X2315" s="30"/>
      <c r="Y2315" s="30"/>
      <c r="Z2315" s="30"/>
    </row>
    <row r="2316">
      <c r="A2316" s="29"/>
      <c r="B2316" s="29"/>
      <c r="C2316" s="30"/>
      <c r="D2316" s="30"/>
      <c r="E2316" s="30"/>
      <c r="F2316" s="30"/>
      <c r="G2316" s="30"/>
      <c r="H2316" s="30"/>
      <c r="I2316" s="30"/>
      <c r="J2316" s="30"/>
      <c r="K2316" s="30"/>
      <c r="L2316" s="30"/>
      <c r="M2316" s="30"/>
      <c r="N2316" s="30"/>
      <c r="O2316" s="30"/>
      <c r="P2316" s="30"/>
      <c r="Q2316" s="30"/>
      <c r="R2316" s="30"/>
      <c r="S2316" s="30"/>
      <c r="T2316" s="30"/>
      <c r="U2316" s="30"/>
      <c r="V2316" s="30"/>
      <c r="W2316" s="30"/>
      <c r="X2316" s="30"/>
      <c r="Y2316" s="30"/>
      <c r="Z2316" s="30"/>
    </row>
    <row r="2317">
      <c r="A2317" s="29"/>
      <c r="B2317" s="29"/>
      <c r="C2317" s="30"/>
      <c r="D2317" s="30"/>
      <c r="E2317" s="30"/>
      <c r="F2317" s="30"/>
      <c r="G2317" s="30"/>
      <c r="H2317" s="30"/>
      <c r="I2317" s="30"/>
      <c r="J2317" s="30"/>
      <c r="K2317" s="30"/>
      <c r="L2317" s="30"/>
      <c r="M2317" s="30"/>
      <c r="N2317" s="30"/>
      <c r="O2317" s="30"/>
      <c r="P2317" s="30"/>
      <c r="Q2317" s="30"/>
      <c r="R2317" s="30"/>
      <c r="S2317" s="30"/>
      <c r="T2317" s="30"/>
      <c r="U2317" s="30"/>
      <c r="V2317" s="30"/>
      <c r="W2317" s="30"/>
      <c r="X2317" s="30"/>
      <c r="Y2317" s="30"/>
      <c r="Z2317" s="30"/>
    </row>
    <row r="2318">
      <c r="A2318" s="29"/>
      <c r="B2318" s="29"/>
      <c r="C2318" s="30"/>
      <c r="D2318" s="30"/>
      <c r="E2318" s="30"/>
      <c r="F2318" s="30"/>
      <c r="G2318" s="30"/>
      <c r="H2318" s="30"/>
      <c r="I2318" s="30"/>
      <c r="J2318" s="30"/>
      <c r="K2318" s="30"/>
      <c r="L2318" s="30"/>
      <c r="M2318" s="30"/>
      <c r="N2318" s="30"/>
      <c r="O2318" s="30"/>
      <c r="P2318" s="30"/>
      <c r="Q2318" s="30"/>
      <c r="R2318" s="30"/>
      <c r="S2318" s="30"/>
      <c r="T2318" s="30"/>
      <c r="U2318" s="30"/>
      <c r="V2318" s="30"/>
      <c r="W2318" s="30"/>
      <c r="X2318" s="30"/>
      <c r="Y2318" s="30"/>
      <c r="Z2318" s="30"/>
    </row>
    <row r="2319">
      <c r="A2319" s="29"/>
      <c r="B2319" s="29"/>
      <c r="C2319" s="30"/>
      <c r="D2319" s="30"/>
      <c r="E2319" s="30"/>
      <c r="F2319" s="30"/>
      <c r="G2319" s="30"/>
      <c r="H2319" s="30"/>
      <c r="I2319" s="30"/>
      <c r="J2319" s="30"/>
      <c r="K2319" s="30"/>
      <c r="L2319" s="30"/>
      <c r="M2319" s="30"/>
      <c r="N2319" s="30"/>
      <c r="O2319" s="30"/>
      <c r="P2319" s="30"/>
      <c r="Q2319" s="30"/>
      <c r="R2319" s="30"/>
      <c r="S2319" s="30"/>
      <c r="T2319" s="30"/>
      <c r="U2319" s="30"/>
      <c r="V2319" s="30"/>
      <c r="W2319" s="30"/>
      <c r="X2319" s="30"/>
      <c r="Y2319" s="30"/>
      <c r="Z2319" s="30"/>
    </row>
    <row r="2320">
      <c r="A2320" s="29"/>
      <c r="B2320" s="29"/>
      <c r="C2320" s="30"/>
      <c r="D2320" s="30"/>
      <c r="E2320" s="30"/>
      <c r="F2320" s="30"/>
      <c r="G2320" s="30"/>
      <c r="H2320" s="30"/>
      <c r="I2320" s="30"/>
      <c r="J2320" s="30"/>
      <c r="K2320" s="30"/>
      <c r="L2320" s="30"/>
      <c r="M2320" s="30"/>
      <c r="N2320" s="30"/>
      <c r="O2320" s="30"/>
      <c r="P2320" s="30"/>
      <c r="Q2320" s="30"/>
      <c r="R2320" s="30"/>
      <c r="S2320" s="30"/>
      <c r="T2320" s="30"/>
      <c r="U2320" s="30"/>
      <c r="V2320" s="30"/>
      <c r="W2320" s="30"/>
      <c r="X2320" s="30"/>
      <c r="Y2320" s="30"/>
      <c r="Z2320" s="30"/>
    </row>
    <row r="2321">
      <c r="A2321" s="29"/>
      <c r="B2321" s="29"/>
      <c r="C2321" s="30"/>
      <c r="D2321" s="30"/>
      <c r="E2321" s="30"/>
      <c r="F2321" s="30"/>
      <c r="G2321" s="30"/>
      <c r="H2321" s="30"/>
      <c r="I2321" s="30"/>
      <c r="J2321" s="30"/>
      <c r="K2321" s="30"/>
      <c r="L2321" s="30"/>
      <c r="M2321" s="30"/>
      <c r="N2321" s="30"/>
      <c r="O2321" s="30"/>
      <c r="P2321" s="30"/>
      <c r="Q2321" s="30"/>
      <c r="R2321" s="30"/>
      <c r="S2321" s="30"/>
      <c r="T2321" s="30"/>
      <c r="U2321" s="30"/>
      <c r="V2321" s="30"/>
      <c r="W2321" s="30"/>
      <c r="X2321" s="30"/>
      <c r="Y2321" s="30"/>
      <c r="Z2321" s="30"/>
    </row>
    <row r="2322">
      <c r="A2322" s="29"/>
      <c r="B2322" s="29"/>
      <c r="C2322" s="30"/>
      <c r="D2322" s="30"/>
      <c r="E2322" s="30"/>
      <c r="F2322" s="30"/>
      <c r="G2322" s="30"/>
      <c r="H2322" s="30"/>
      <c r="I2322" s="30"/>
      <c r="J2322" s="30"/>
      <c r="K2322" s="30"/>
      <c r="L2322" s="30"/>
      <c r="M2322" s="30"/>
      <c r="N2322" s="30"/>
      <c r="O2322" s="30"/>
      <c r="P2322" s="30"/>
      <c r="Q2322" s="30"/>
      <c r="R2322" s="30"/>
      <c r="S2322" s="30"/>
      <c r="T2322" s="30"/>
      <c r="U2322" s="30"/>
      <c r="V2322" s="30"/>
      <c r="W2322" s="30"/>
      <c r="X2322" s="30"/>
      <c r="Y2322" s="30"/>
      <c r="Z2322" s="30"/>
    </row>
    <row r="2323">
      <c r="A2323" s="29"/>
      <c r="B2323" s="29"/>
      <c r="C2323" s="30"/>
      <c r="D2323" s="30"/>
      <c r="E2323" s="30"/>
      <c r="F2323" s="30"/>
      <c r="G2323" s="30"/>
      <c r="H2323" s="30"/>
      <c r="I2323" s="30"/>
      <c r="J2323" s="30"/>
      <c r="K2323" s="30"/>
      <c r="L2323" s="30"/>
      <c r="M2323" s="30"/>
      <c r="N2323" s="30"/>
      <c r="O2323" s="30"/>
      <c r="P2323" s="30"/>
      <c r="Q2323" s="30"/>
      <c r="R2323" s="30"/>
      <c r="S2323" s="30"/>
      <c r="T2323" s="30"/>
      <c r="U2323" s="30"/>
      <c r="V2323" s="30"/>
      <c r="W2323" s="30"/>
      <c r="X2323" s="30"/>
      <c r="Y2323" s="30"/>
      <c r="Z2323" s="30"/>
    </row>
    <row r="2324">
      <c r="A2324" s="29"/>
      <c r="B2324" s="29"/>
      <c r="C2324" s="30"/>
      <c r="D2324" s="30"/>
      <c r="E2324" s="30"/>
      <c r="F2324" s="30"/>
      <c r="G2324" s="30"/>
      <c r="H2324" s="30"/>
      <c r="I2324" s="30"/>
      <c r="J2324" s="30"/>
      <c r="K2324" s="30"/>
      <c r="L2324" s="30"/>
      <c r="M2324" s="30"/>
      <c r="N2324" s="30"/>
      <c r="O2324" s="30"/>
      <c r="P2324" s="30"/>
      <c r="Q2324" s="30"/>
      <c r="R2324" s="30"/>
      <c r="S2324" s="30"/>
      <c r="T2324" s="30"/>
      <c r="U2324" s="30"/>
      <c r="V2324" s="30"/>
      <c r="W2324" s="30"/>
      <c r="X2324" s="30"/>
      <c r="Y2324" s="30"/>
      <c r="Z2324" s="30"/>
    </row>
    <row r="2325">
      <c r="A2325" s="29"/>
      <c r="B2325" s="29"/>
      <c r="C2325" s="30"/>
      <c r="D2325" s="30"/>
      <c r="E2325" s="30"/>
      <c r="F2325" s="30"/>
      <c r="G2325" s="30"/>
      <c r="H2325" s="30"/>
      <c r="I2325" s="30"/>
      <c r="J2325" s="30"/>
      <c r="K2325" s="30"/>
      <c r="L2325" s="30"/>
      <c r="M2325" s="30"/>
      <c r="N2325" s="30"/>
      <c r="O2325" s="30"/>
      <c r="P2325" s="30"/>
      <c r="Q2325" s="30"/>
      <c r="R2325" s="30"/>
      <c r="S2325" s="30"/>
      <c r="T2325" s="30"/>
      <c r="U2325" s="30"/>
      <c r="V2325" s="30"/>
      <c r="W2325" s="30"/>
      <c r="X2325" s="30"/>
      <c r="Y2325" s="30"/>
      <c r="Z2325" s="30"/>
    </row>
    <row r="2326">
      <c r="A2326" s="29"/>
      <c r="B2326" s="29"/>
      <c r="C2326" s="30"/>
      <c r="D2326" s="30"/>
      <c r="E2326" s="30"/>
      <c r="F2326" s="30"/>
      <c r="G2326" s="30"/>
      <c r="H2326" s="30"/>
      <c r="I2326" s="30"/>
      <c r="J2326" s="30"/>
      <c r="K2326" s="30"/>
      <c r="L2326" s="30"/>
      <c r="M2326" s="30"/>
      <c r="N2326" s="30"/>
      <c r="O2326" s="30"/>
      <c r="P2326" s="30"/>
      <c r="Q2326" s="30"/>
      <c r="R2326" s="30"/>
      <c r="S2326" s="30"/>
      <c r="T2326" s="30"/>
      <c r="U2326" s="30"/>
      <c r="V2326" s="30"/>
      <c r="W2326" s="30"/>
      <c r="X2326" s="30"/>
      <c r="Y2326" s="30"/>
      <c r="Z2326" s="30"/>
    </row>
    <row r="2327">
      <c r="A2327" s="29"/>
      <c r="B2327" s="29"/>
      <c r="C2327" s="30"/>
      <c r="D2327" s="30"/>
      <c r="E2327" s="30"/>
      <c r="F2327" s="30"/>
      <c r="G2327" s="30"/>
      <c r="H2327" s="30"/>
      <c r="I2327" s="30"/>
      <c r="J2327" s="30"/>
      <c r="K2327" s="30"/>
      <c r="L2327" s="30"/>
      <c r="M2327" s="30"/>
      <c r="N2327" s="30"/>
      <c r="O2327" s="30"/>
      <c r="P2327" s="30"/>
      <c r="Q2327" s="30"/>
      <c r="R2327" s="30"/>
      <c r="S2327" s="30"/>
      <c r="T2327" s="30"/>
      <c r="U2327" s="30"/>
      <c r="V2327" s="30"/>
      <c r="W2327" s="30"/>
      <c r="X2327" s="30"/>
      <c r="Y2327" s="30"/>
      <c r="Z2327" s="30"/>
    </row>
    <row r="2328">
      <c r="A2328" s="29"/>
      <c r="B2328" s="29"/>
      <c r="C2328" s="30"/>
      <c r="D2328" s="30"/>
      <c r="E2328" s="30"/>
      <c r="F2328" s="30"/>
      <c r="G2328" s="30"/>
      <c r="H2328" s="30"/>
      <c r="I2328" s="30"/>
      <c r="J2328" s="30"/>
      <c r="K2328" s="30"/>
      <c r="L2328" s="30"/>
      <c r="M2328" s="30"/>
      <c r="N2328" s="30"/>
      <c r="O2328" s="30"/>
      <c r="P2328" s="30"/>
      <c r="Q2328" s="30"/>
      <c r="R2328" s="30"/>
      <c r="S2328" s="30"/>
      <c r="T2328" s="30"/>
      <c r="U2328" s="30"/>
      <c r="V2328" s="30"/>
      <c r="W2328" s="30"/>
      <c r="X2328" s="30"/>
      <c r="Y2328" s="30"/>
      <c r="Z2328" s="30"/>
    </row>
    <row r="2329">
      <c r="A2329" s="29"/>
      <c r="B2329" s="29"/>
      <c r="C2329" s="30"/>
      <c r="D2329" s="30"/>
      <c r="E2329" s="30"/>
      <c r="F2329" s="30"/>
      <c r="G2329" s="30"/>
      <c r="H2329" s="30"/>
      <c r="I2329" s="30"/>
      <c r="J2329" s="30"/>
      <c r="K2329" s="30"/>
      <c r="L2329" s="30"/>
      <c r="M2329" s="30"/>
      <c r="N2329" s="30"/>
      <c r="O2329" s="30"/>
      <c r="P2329" s="30"/>
      <c r="Q2329" s="30"/>
      <c r="R2329" s="30"/>
      <c r="S2329" s="30"/>
      <c r="T2329" s="30"/>
      <c r="U2329" s="30"/>
      <c r="V2329" s="30"/>
      <c r="W2329" s="30"/>
      <c r="X2329" s="30"/>
      <c r="Y2329" s="30"/>
      <c r="Z2329" s="30"/>
    </row>
    <row r="2330">
      <c r="A2330" s="29"/>
      <c r="B2330" s="29"/>
      <c r="C2330" s="30"/>
      <c r="D2330" s="30"/>
      <c r="E2330" s="30"/>
      <c r="F2330" s="30"/>
      <c r="G2330" s="30"/>
      <c r="H2330" s="30"/>
      <c r="I2330" s="30"/>
      <c r="J2330" s="30"/>
      <c r="K2330" s="30"/>
      <c r="L2330" s="30"/>
      <c r="M2330" s="30"/>
      <c r="N2330" s="30"/>
      <c r="O2330" s="30"/>
      <c r="P2330" s="30"/>
      <c r="Q2330" s="30"/>
      <c r="R2330" s="30"/>
      <c r="S2330" s="30"/>
      <c r="T2330" s="30"/>
      <c r="U2330" s="30"/>
      <c r="V2330" s="30"/>
      <c r="W2330" s="30"/>
      <c r="X2330" s="30"/>
      <c r="Y2330" s="30"/>
      <c r="Z2330" s="30"/>
    </row>
    <row r="2331">
      <c r="A2331" s="29"/>
      <c r="B2331" s="29"/>
      <c r="C2331" s="30"/>
      <c r="D2331" s="30"/>
      <c r="E2331" s="30"/>
      <c r="F2331" s="30"/>
      <c r="G2331" s="30"/>
      <c r="H2331" s="30"/>
      <c r="I2331" s="30"/>
      <c r="J2331" s="30"/>
      <c r="K2331" s="30"/>
      <c r="L2331" s="30"/>
      <c r="M2331" s="30"/>
      <c r="N2331" s="30"/>
      <c r="O2331" s="30"/>
      <c r="P2331" s="30"/>
      <c r="Q2331" s="30"/>
      <c r="R2331" s="30"/>
      <c r="S2331" s="30"/>
      <c r="T2331" s="30"/>
      <c r="U2331" s="30"/>
      <c r="V2331" s="30"/>
      <c r="W2331" s="30"/>
      <c r="X2331" s="30"/>
      <c r="Y2331" s="30"/>
      <c r="Z2331" s="30"/>
    </row>
    <row r="2332">
      <c r="A2332" s="29"/>
      <c r="B2332" s="29"/>
      <c r="C2332" s="30"/>
      <c r="D2332" s="30"/>
      <c r="E2332" s="30"/>
      <c r="F2332" s="30"/>
      <c r="G2332" s="30"/>
      <c r="H2332" s="30"/>
      <c r="I2332" s="30"/>
      <c r="J2332" s="30"/>
      <c r="K2332" s="30"/>
      <c r="L2332" s="30"/>
      <c r="M2332" s="30"/>
      <c r="N2332" s="30"/>
      <c r="O2332" s="30"/>
      <c r="P2332" s="30"/>
      <c r="Q2332" s="30"/>
      <c r="R2332" s="30"/>
      <c r="S2332" s="30"/>
      <c r="T2332" s="30"/>
      <c r="U2332" s="30"/>
      <c r="V2332" s="30"/>
      <c r="W2332" s="30"/>
      <c r="X2332" s="30"/>
      <c r="Y2332" s="30"/>
      <c r="Z2332" s="30"/>
    </row>
    <row r="2333">
      <c r="A2333" s="29"/>
      <c r="B2333" s="29"/>
      <c r="C2333" s="30"/>
      <c r="D2333" s="30"/>
      <c r="E2333" s="30"/>
      <c r="F2333" s="30"/>
      <c r="G2333" s="30"/>
      <c r="H2333" s="30"/>
      <c r="I2333" s="30"/>
      <c r="J2333" s="30"/>
      <c r="K2333" s="30"/>
      <c r="L2333" s="30"/>
      <c r="M2333" s="30"/>
      <c r="N2333" s="30"/>
      <c r="O2333" s="30"/>
      <c r="P2333" s="30"/>
      <c r="Q2333" s="30"/>
      <c r="R2333" s="30"/>
      <c r="S2333" s="30"/>
      <c r="T2333" s="30"/>
      <c r="U2333" s="30"/>
      <c r="V2333" s="30"/>
      <c r="W2333" s="30"/>
      <c r="X2333" s="30"/>
      <c r="Y2333" s="30"/>
      <c r="Z2333" s="30"/>
    </row>
    <row r="2334">
      <c r="A2334" s="29"/>
      <c r="B2334" s="29"/>
      <c r="C2334" s="30"/>
      <c r="D2334" s="30"/>
      <c r="E2334" s="30"/>
      <c r="F2334" s="30"/>
      <c r="G2334" s="30"/>
      <c r="H2334" s="30"/>
      <c r="I2334" s="30"/>
      <c r="J2334" s="30"/>
      <c r="K2334" s="30"/>
      <c r="L2334" s="30"/>
      <c r="M2334" s="30"/>
      <c r="N2334" s="30"/>
      <c r="O2334" s="30"/>
      <c r="P2334" s="30"/>
      <c r="Q2334" s="30"/>
      <c r="R2334" s="30"/>
      <c r="S2334" s="30"/>
      <c r="T2334" s="30"/>
      <c r="U2334" s="30"/>
      <c r="V2334" s="30"/>
      <c r="W2334" s="30"/>
      <c r="X2334" s="30"/>
      <c r="Y2334" s="30"/>
      <c r="Z2334" s="30"/>
    </row>
    <row r="2335">
      <c r="A2335" s="29"/>
      <c r="B2335" s="29"/>
      <c r="C2335" s="30"/>
      <c r="D2335" s="30"/>
      <c r="E2335" s="30"/>
      <c r="F2335" s="30"/>
      <c r="G2335" s="30"/>
      <c r="H2335" s="30"/>
      <c r="I2335" s="30"/>
      <c r="J2335" s="30"/>
      <c r="K2335" s="30"/>
      <c r="L2335" s="30"/>
      <c r="M2335" s="30"/>
      <c r="N2335" s="30"/>
      <c r="O2335" s="30"/>
      <c r="P2335" s="30"/>
      <c r="Q2335" s="30"/>
      <c r="R2335" s="30"/>
      <c r="S2335" s="30"/>
      <c r="T2335" s="30"/>
      <c r="U2335" s="30"/>
      <c r="V2335" s="30"/>
      <c r="W2335" s="30"/>
      <c r="X2335" s="30"/>
      <c r="Y2335" s="30"/>
      <c r="Z2335" s="30"/>
    </row>
    <row r="2336">
      <c r="A2336" s="29"/>
      <c r="B2336" s="29"/>
      <c r="C2336" s="30"/>
      <c r="D2336" s="30"/>
      <c r="E2336" s="30"/>
      <c r="F2336" s="30"/>
      <c r="G2336" s="30"/>
      <c r="H2336" s="30"/>
      <c r="I2336" s="30"/>
      <c r="J2336" s="30"/>
      <c r="K2336" s="30"/>
      <c r="L2336" s="30"/>
      <c r="M2336" s="30"/>
      <c r="N2336" s="30"/>
      <c r="O2336" s="30"/>
      <c r="P2336" s="30"/>
      <c r="Q2336" s="30"/>
      <c r="R2336" s="30"/>
      <c r="S2336" s="30"/>
      <c r="T2336" s="30"/>
      <c r="U2336" s="30"/>
      <c r="V2336" s="30"/>
      <c r="W2336" s="30"/>
      <c r="X2336" s="30"/>
      <c r="Y2336" s="30"/>
      <c r="Z2336" s="30"/>
    </row>
    <row r="2337">
      <c r="A2337" s="29"/>
      <c r="B2337" s="29"/>
      <c r="C2337" s="30"/>
      <c r="D2337" s="30"/>
      <c r="E2337" s="30"/>
      <c r="F2337" s="30"/>
      <c r="G2337" s="30"/>
      <c r="H2337" s="30"/>
      <c r="I2337" s="30"/>
      <c r="J2337" s="30"/>
      <c r="K2337" s="30"/>
      <c r="L2337" s="30"/>
      <c r="M2337" s="30"/>
      <c r="N2337" s="30"/>
      <c r="O2337" s="30"/>
      <c r="P2337" s="30"/>
      <c r="Q2337" s="30"/>
      <c r="R2337" s="30"/>
      <c r="S2337" s="30"/>
      <c r="T2337" s="30"/>
      <c r="U2337" s="30"/>
      <c r="V2337" s="30"/>
      <c r="W2337" s="30"/>
      <c r="X2337" s="30"/>
      <c r="Y2337" s="30"/>
      <c r="Z2337" s="30"/>
    </row>
    <row r="2338">
      <c r="A2338" s="29"/>
      <c r="B2338" s="29"/>
      <c r="C2338" s="30"/>
      <c r="D2338" s="30"/>
      <c r="E2338" s="30"/>
      <c r="F2338" s="30"/>
      <c r="G2338" s="30"/>
      <c r="H2338" s="30"/>
      <c r="I2338" s="30"/>
      <c r="J2338" s="30"/>
      <c r="K2338" s="30"/>
      <c r="L2338" s="30"/>
      <c r="M2338" s="30"/>
      <c r="N2338" s="30"/>
      <c r="O2338" s="30"/>
      <c r="P2338" s="30"/>
      <c r="Q2338" s="30"/>
      <c r="R2338" s="30"/>
      <c r="S2338" s="30"/>
      <c r="T2338" s="30"/>
      <c r="U2338" s="30"/>
      <c r="V2338" s="30"/>
      <c r="W2338" s="30"/>
      <c r="X2338" s="30"/>
      <c r="Y2338" s="30"/>
      <c r="Z2338" s="30"/>
    </row>
    <row r="2339">
      <c r="A2339" s="29"/>
      <c r="B2339" s="29"/>
      <c r="C2339" s="30"/>
      <c r="D2339" s="30"/>
      <c r="E2339" s="30"/>
      <c r="F2339" s="30"/>
      <c r="G2339" s="30"/>
      <c r="H2339" s="30"/>
      <c r="I2339" s="30"/>
      <c r="J2339" s="30"/>
      <c r="K2339" s="30"/>
      <c r="L2339" s="30"/>
      <c r="M2339" s="30"/>
      <c r="N2339" s="30"/>
      <c r="O2339" s="30"/>
      <c r="P2339" s="30"/>
      <c r="Q2339" s="30"/>
      <c r="R2339" s="30"/>
      <c r="S2339" s="30"/>
      <c r="T2339" s="30"/>
      <c r="U2339" s="30"/>
      <c r="V2339" s="30"/>
      <c r="W2339" s="30"/>
      <c r="X2339" s="30"/>
      <c r="Y2339" s="30"/>
      <c r="Z2339" s="30"/>
    </row>
    <row r="2340">
      <c r="A2340" s="29"/>
      <c r="B2340" s="29"/>
      <c r="C2340" s="30"/>
      <c r="D2340" s="30"/>
      <c r="E2340" s="30"/>
      <c r="F2340" s="30"/>
      <c r="G2340" s="30"/>
      <c r="H2340" s="30"/>
      <c r="I2340" s="30"/>
      <c r="J2340" s="30"/>
      <c r="K2340" s="30"/>
      <c r="L2340" s="30"/>
      <c r="M2340" s="30"/>
      <c r="N2340" s="30"/>
      <c r="O2340" s="30"/>
      <c r="P2340" s="30"/>
      <c r="Q2340" s="30"/>
      <c r="R2340" s="30"/>
      <c r="S2340" s="30"/>
      <c r="T2340" s="30"/>
      <c r="U2340" s="30"/>
      <c r="V2340" s="30"/>
      <c r="W2340" s="30"/>
      <c r="X2340" s="30"/>
      <c r="Y2340" s="30"/>
      <c r="Z2340" s="30"/>
    </row>
    <row r="2341">
      <c r="A2341" s="29"/>
      <c r="B2341" s="29"/>
      <c r="C2341" s="30"/>
      <c r="D2341" s="30"/>
      <c r="E2341" s="30"/>
      <c r="F2341" s="30"/>
      <c r="G2341" s="30"/>
      <c r="H2341" s="30"/>
      <c r="I2341" s="30"/>
      <c r="J2341" s="30"/>
      <c r="K2341" s="30"/>
      <c r="L2341" s="30"/>
      <c r="M2341" s="30"/>
      <c r="N2341" s="30"/>
      <c r="O2341" s="30"/>
      <c r="P2341" s="30"/>
      <c r="Q2341" s="30"/>
      <c r="R2341" s="30"/>
      <c r="S2341" s="30"/>
      <c r="T2341" s="30"/>
      <c r="U2341" s="30"/>
      <c r="V2341" s="30"/>
      <c r="W2341" s="30"/>
      <c r="X2341" s="30"/>
      <c r="Y2341" s="30"/>
      <c r="Z2341" s="30"/>
    </row>
    <row r="2342">
      <c r="A2342" s="29"/>
      <c r="B2342" s="29"/>
      <c r="C2342" s="30"/>
      <c r="D2342" s="30"/>
      <c r="E2342" s="30"/>
      <c r="F2342" s="30"/>
      <c r="G2342" s="30"/>
      <c r="H2342" s="30"/>
      <c r="I2342" s="30"/>
      <c r="J2342" s="30"/>
      <c r="K2342" s="30"/>
      <c r="L2342" s="30"/>
      <c r="M2342" s="30"/>
      <c r="N2342" s="30"/>
      <c r="O2342" s="30"/>
      <c r="P2342" s="30"/>
      <c r="Q2342" s="30"/>
      <c r="R2342" s="30"/>
      <c r="S2342" s="30"/>
      <c r="T2342" s="30"/>
      <c r="U2342" s="30"/>
      <c r="V2342" s="30"/>
      <c r="W2342" s="30"/>
      <c r="X2342" s="30"/>
      <c r="Y2342" s="30"/>
      <c r="Z2342" s="30"/>
    </row>
    <row r="2343">
      <c r="A2343" s="29"/>
      <c r="B2343" s="29"/>
      <c r="C2343" s="30"/>
      <c r="D2343" s="30"/>
      <c r="E2343" s="30"/>
      <c r="F2343" s="30"/>
      <c r="G2343" s="30"/>
      <c r="H2343" s="30"/>
      <c r="I2343" s="30"/>
      <c r="J2343" s="30"/>
      <c r="K2343" s="30"/>
      <c r="L2343" s="30"/>
      <c r="M2343" s="30"/>
      <c r="N2343" s="30"/>
      <c r="O2343" s="30"/>
      <c r="P2343" s="30"/>
      <c r="Q2343" s="30"/>
      <c r="R2343" s="30"/>
      <c r="S2343" s="30"/>
      <c r="T2343" s="30"/>
      <c r="U2343" s="30"/>
      <c r="V2343" s="30"/>
      <c r="W2343" s="30"/>
      <c r="X2343" s="30"/>
      <c r="Y2343" s="30"/>
      <c r="Z2343" s="30"/>
    </row>
    <row r="2344">
      <c r="A2344" s="29"/>
      <c r="B2344" s="29"/>
      <c r="C2344" s="30"/>
      <c r="D2344" s="30"/>
      <c r="E2344" s="30"/>
      <c r="F2344" s="30"/>
      <c r="G2344" s="30"/>
      <c r="H2344" s="30"/>
      <c r="I2344" s="30"/>
      <c r="J2344" s="30"/>
      <c r="K2344" s="30"/>
      <c r="L2344" s="30"/>
      <c r="M2344" s="30"/>
      <c r="N2344" s="30"/>
      <c r="O2344" s="30"/>
      <c r="P2344" s="30"/>
      <c r="Q2344" s="30"/>
      <c r="R2344" s="30"/>
      <c r="S2344" s="30"/>
      <c r="T2344" s="30"/>
      <c r="U2344" s="30"/>
      <c r="V2344" s="30"/>
      <c r="W2344" s="30"/>
      <c r="X2344" s="30"/>
      <c r="Y2344" s="30"/>
      <c r="Z2344" s="30"/>
    </row>
    <row r="2345">
      <c r="A2345" s="29"/>
      <c r="B2345" s="29"/>
      <c r="C2345" s="30"/>
      <c r="D2345" s="30"/>
      <c r="E2345" s="30"/>
      <c r="F2345" s="30"/>
      <c r="G2345" s="30"/>
      <c r="H2345" s="30"/>
      <c r="I2345" s="30"/>
      <c r="J2345" s="30"/>
      <c r="K2345" s="30"/>
      <c r="L2345" s="30"/>
      <c r="M2345" s="30"/>
      <c r="N2345" s="30"/>
      <c r="O2345" s="30"/>
      <c r="P2345" s="30"/>
      <c r="Q2345" s="30"/>
      <c r="R2345" s="30"/>
      <c r="S2345" s="30"/>
      <c r="T2345" s="30"/>
      <c r="U2345" s="30"/>
      <c r="V2345" s="30"/>
      <c r="W2345" s="30"/>
      <c r="X2345" s="30"/>
      <c r="Y2345" s="30"/>
      <c r="Z2345" s="30"/>
    </row>
    <row r="2346">
      <c r="A2346" s="29"/>
      <c r="B2346" s="29"/>
      <c r="C2346" s="30"/>
      <c r="D2346" s="30"/>
      <c r="E2346" s="30"/>
      <c r="F2346" s="30"/>
      <c r="G2346" s="30"/>
      <c r="H2346" s="30"/>
      <c r="I2346" s="30"/>
      <c r="J2346" s="30"/>
      <c r="K2346" s="30"/>
      <c r="L2346" s="30"/>
      <c r="M2346" s="30"/>
      <c r="N2346" s="30"/>
      <c r="O2346" s="30"/>
      <c r="P2346" s="30"/>
      <c r="Q2346" s="30"/>
      <c r="R2346" s="30"/>
      <c r="S2346" s="30"/>
      <c r="T2346" s="30"/>
      <c r="U2346" s="30"/>
      <c r="V2346" s="30"/>
      <c r="W2346" s="30"/>
      <c r="X2346" s="30"/>
      <c r="Y2346" s="30"/>
      <c r="Z2346" s="30"/>
    </row>
    <row r="2347">
      <c r="A2347" s="29"/>
      <c r="B2347" s="29"/>
      <c r="C2347" s="30"/>
      <c r="D2347" s="30"/>
      <c r="E2347" s="30"/>
      <c r="F2347" s="30"/>
      <c r="G2347" s="30"/>
      <c r="H2347" s="30"/>
      <c r="I2347" s="30"/>
      <c r="J2347" s="30"/>
      <c r="K2347" s="30"/>
      <c r="L2347" s="30"/>
      <c r="M2347" s="30"/>
      <c r="N2347" s="30"/>
      <c r="O2347" s="30"/>
      <c r="P2347" s="30"/>
      <c r="Q2347" s="30"/>
      <c r="R2347" s="30"/>
      <c r="S2347" s="30"/>
      <c r="T2347" s="30"/>
      <c r="U2347" s="30"/>
      <c r="V2347" s="30"/>
      <c r="W2347" s="30"/>
      <c r="X2347" s="30"/>
      <c r="Y2347" s="30"/>
      <c r="Z2347" s="30"/>
    </row>
    <row r="2348">
      <c r="A2348" s="29"/>
      <c r="B2348" s="29"/>
      <c r="C2348" s="30"/>
      <c r="D2348" s="30"/>
      <c r="E2348" s="30"/>
      <c r="F2348" s="30"/>
      <c r="G2348" s="30"/>
      <c r="H2348" s="30"/>
      <c r="I2348" s="30"/>
      <c r="J2348" s="30"/>
      <c r="K2348" s="30"/>
      <c r="L2348" s="30"/>
      <c r="M2348" s="30"/>
      <c r="N2348" s="30"/>
      <c r="O2348" s="30"/>
      <c r="P2348" s="30"/>
      <c r="Q2348" s="30"/>
      <c r="R2348" s="30"/>
      <c r="S2348" s="30"/>
      <c r="T2348" s="30"/>
      <c r="U2348" s="30"/>
      <c r="V2348" s="30"/>
      <c r="W2348" s="30"/>
      <c r="X2348" s="30"/>
      <c r="Y2348" s="30"/>
      <c r="Z2348" s="30"/>
    </row>
    <row r="2349">
      <c r="A2349" s="29"/>
      <c r="B2349" s="29"/>
      <c r="C2349" s="30"/>
      <c r="D2349" s="30"/>
      <c r="E2349" s="30"/>
      <c r="F2349" s="30"/>
      <c r="G2349" s="30"/>
      <c r="H2349" s="30"/>
      <c r="I2349" s="30"/>
      <c r="J2349" s="30"/>
      <c r="K2349" s="30"/>
      <c r="L2349" s="30"/>
      <c r="M2349" s="30"/>
      <c r="N2349" s="30"/>
      <c r="O2349" s="30"/>
      <c r="P2349" s="30"/>
      <c r="Q2349" s="30"/>
      <c r="R2349" s="30"/>
      <c r="S2349" s="30"/>
      <c r="T2349" s="30"/>
      <c r="U2349" s="30"/>
      <c r="V2349" s="30"/>
      <c r="W2349" s="30"/>
      <c r="X2349" s="30"/>
      <c r="Y2349" s="30"/>
      <c r="Z2349" s="30"/>
    </row>
    <row r="2350">
      <c r="A2350" s="29"/>
      <c r="B2350" s="29"/>
      <c r="C2350" s="30"/>
      <c r="D2350" s="30"/>
      <c r="E2350" s="30"/>
      <c r="F2350" s="30"/>
      <c r="G2350" s="30"/>
      <c r="H2350" s="30"/>
      <c r="I2350" s="30"/>
      <c r="J2350" s="30"/>
      <c r="K2350" s="30"/>
      <c r="L2350" s="30"/>
      <c r="M2350" s="30"/>
      <c r="N2350" s="30"/>
      <c r="O2350" s="30"/>
      <c r="P2350" s="30"/>
      <c r="Q2350" s="30"/>
      <c r="R2350" s="30"/>
      <c r="S2350" s="30"/>
      <c r="T2350" s="30"/>
      <c r="U2350" s="30"/>
      <c r="V2350" s="30"/>
      <c r="W2350" s="30"/>
      <c r="X2350" s="30"/>
      <c r="Y2350" s="30"/>
      <c r="Z2350" s="30"/>
    </row>
    <row r="2351">
      <c r="A2351" s="29"/>
      <c r="B2351" s="29"/>
      <c r="C2351" s="30"/>
      <c r="D2351" s="30"/>
      <c r="E2351" s="30"/>
      <c r="F2351" s="30"/>
      <c r="G2351" s="30"/>
      <c r="H2351" s="30"/>
      <c r="I2351" s="30"/>
      <c r="J2351" s="30"/>
      <c r="K2351" s="30"/>
      <c r="L2351" s="30"/>
      <c r="M2351" s="30"/>
      <c r="N2351" s="30"/>
      <c r="O2351" s="30"/>
      <c r="P2351" s="30"/>
      <c r="Q2351" s="30"/>
      <c r="R2351" s="30"/>
      <c r="S2351" s="30"/>
      <c r="T2351" s="30"/>
      <c r="U2351" s="30"/>
      <c r="V2351" s="30"/>
      <c r="W2351" s="30"/>
      <c r="X2351" s="30"/>
      <c r="Y2351" s="30"/>
      <c r="Z2351" s="30"/>
    </row>
    <row r="2352">
      <c r="A2352" s="29"/>
      <c r="B2352" s="29"/>
      <c r="C2352" s="30"/>
      <c r="D2352" s="30"/>
      <c r="E2352" s="30"/>
      <c r="F2352" s="30"/>
      <c r="G2352" s="30"/>
      <c r="H2352" s="30"/>
      <c r="I2352" s="30"/>
      <c r="J2352" s="30"/>
      <c r="K2352" s="30"/>
      <c r="L2352" s="30"/>
      <c r="M2352" s="30"/>
      <c r="N2352" s="30"/>
      <c r="O2352" s="30"/>
      <c r="P2352" s="30"/>
      <c r="Q2352" s="30"/>
      <c r="R2352" s="30"/>
      <c r="S2352" s="30"/>
      <c r="T2352" s="30"/>
      <c r="U2352" s="30"/>
      <c r="V2352" s="30"/>
      <c r="W2352" s="30"/>
      <c r="X2352" s="30"/>
      <c r="Y2352" s="30"/>
      <c r="Z2352" s="30"/>
    </row>
    <row r="2353">
      <c r="A2353" s="29"/>
      <c r="B2353" s="29"/>
      <c r="C2353" s="30"/>
      <c r="D2353" s="30"/>
      <c r="E2353" s="30"/>
      <c r="F2353" s="30"/>
      <c r="G2353" s="30"/>
      <c r="H2353" s="30"/>
      <c r="I2353" s="30"/>
      <c r="J2353" s="30"/>
      <c r="K2353" s="30"/>
      <c r="L2353" s="30"/>
      <c r="M2353" s="30"/>
      <c r="N2353" s="30"/>
      <c r="O2353" s="30"/>
      <c r="P2353" s="30"/>
      <c r="Q2353" s="30"/>
      <c r="R2353" s="30"/>
      <c r="S2353" s="30"/>
      <c r="T2353" s="30"/>
      <c r="U2353" s="30"/>
      <c r="V2353" s="30"/>
      <c r="W2353" s="30"/>
      <c r="X2353" s="30"/>
      <c r="Y2353" s="30"/>
      <c r="Z2353" s="30"/>
    </row>
    <row r="2354">
      <c r="A2354" s="29"/>
      <c r="B2354" s="29"/>
      <c r="C2354" s="30"/>
      <c r="D2354" s="30"/>
      <c r="E2354" s="30"/>
      <c r="F2354" s="30"/>
      <c r="G2354" s="30"/>
      <c r="H2354" s="30"/>
      <c r="I2354" s="30"/>
      <c r="J2354" s="30"/>
      <c r="K2354" s="30"/>
      <c r="L2354" s="30"/>
      <c r="M2354" s="30"/>
      <c r="N2354" s="30"/>
      <c r="O2354" s="30"/>
      <c r="P2354" s="30"/>
      <c r="Q2354" s="30"/>
      <c r="R2354" s="30"/>
      <c r="S2354" s="30"/>
      <c r="T2354" s="30"/>
      <c r="U2354" s="30"/>
      <c r="V2354" s="30"/>
      <c r="W2354" s="30"/>
      <c r="X2354" s="30"/>
      <c r="Y2354" s="30"/>
      <c r="Z2354" s="30"/>
    </row>
    <row r="2355">
      <c r="A2355" s="29"/>
      <c r="B2355" s="29"/>
      <c r="C2355" s="30"/>
      <c r="D2355" s="30"/>
      <c r="E2355" s="30"/>
      <c r="F2355" s="30"/>
      <c r="G2355" s="30"/>
      <c r="H2355" s="30"/>
      <c r="I2355" s="30"/>
      <c r="J2355" s="30"/>
      <c r="K2355" s="30"/>
      <c r="L2355" s="30"/>
      <c r="M2355" s="30"/>
      <c r="N2355" s="30"/>
      <c r="O2355" s="30"/>
      <c r="P2355" s="30"/>
      <c r="Q2355" s="30"/>
      <c r="R2355" s="30"/>
      <c r="S2355" s="30"/>
      <c r="T2355" s="30"/>
      <c r="U2355" s="30"/>
      <c r="V2355" s="30"/>
      <c r="W2355" s="30"/>
      <c r="X2355" s="30"/>
      <c r="Y2355" s="30"/>
      <c r="Z2355" s="30"/>
    </row>
    <row r="2356">
      <c r="A2356" s="29"/>
      <c r="B2356" s="29"/>
      <c r="C2356" s="30"/>
      <c r="D2356" s="30"/>
      <c r="E2356" s="30"/>
      <c r="F2356" s="30"/>
      <c r="G2356" s="30"/>
      <c r="H2356" s="30"/>
      <c r="I2356" s="30"/>
      <c r="J2356" s="30"/>
      <c r="K2356" s="30"/>
      <c r="L2356" s="30"/>
      <c r="M2356" s="30"/>
      <c r="N2356" s="30"/>
      <c r="O2356" s="30"/>
      <c r="P2356" s="30"/>
      <c r="Q2356" s="30"/>
      <c r="R2356" s="30"/>
      <c r="S2356" s="30"/>
      <c r="T2356" s="30"/>
      <c r="U2356" s="30"/>
      <c r="V2356" s="30"/>
      <c r="W2356" s="30"/>
      <c r="X2356" s="30"/>
      <c r="Y2356" s="30"/>
      <c r="Z2356" s="30"/>
    </row>
    <row r="2357">
      <c r="A2357" s="29"/>
      <c r="B2357" s="29"/>
      <c r="C2357" s="30"/>
      <c r="D2357" s="30"/>
      <c r="E2357" s="30"/>
      <c r="F2357" s="30"/>
      <c r="G2357" s="30"/>
      <c r="H2357" s="30"/>
      <c r="I2357" s="30"/>
      <c r="J2357" s="30"/>
      <c r="K2357" s="30"/>
      <c r="L2357" s="30"/>
      <c r="M2357" s="30"/>
      <c r="N2357" s="30"/>
      <c r="O2357" s="30"/>
      <c r="P2357" s="30"/>
      <c r="Q2357" s="30"/>
      <c r="R2357" s="30"/>
      <c r="S2357" s="30"/>
      <c r="T2357" s="30"/>
      <c r="U2357" s="30"/>
      <c r="V2357" s="30"/>
      <c r="W2357" s="30"/>
      <c r="X2357" s="30"/>
      <c r="Y2357" s="30"/>
      <c r="Z2357" s="30"/>
    </row>
    <row r="2358">
      <c r="A2358" s="29"/>
      <c r="B2358" s="29"/>
      <c r="C2358" s="30"/>
      <c r="D2358" s="30"/>
      <c r="E2358" s="30"/>
      <c r="F2358" s="30"/>
      <c r="G2358" s="30"/>
      <c r="H2358" s="30"/>
      <c r="I2358" s="30"/>
      <c r="J2358" s="30"/>
      <c r="K2358" s="30"/>
      <c r="L2358" s="30"/>
      <c r="M2358" s="30"/>
      <c r="N2358" s="30"/>
      <c r="O2358" s="30"/>
      <c r="P2358" s="30"/>
      <c r="Q2358" s="30"/>
      <c r="R2358" s="30"/>
      <c r="S2358" s="30"/>
      <c r="T2358" s="30"/>
      <c r="U2358" s="30"/>
      <c r="V2358" s="30"/>
      <c r="W2358" s="30"/>
      <c r="X2358" s="30"/>
      <c r="Y2358" s="30"/>
      <c r="Z2358" s="30"/>
    </row>
    <row r="2359">
      <c r="A2359" s="29"/>
      <c r="B2359" s="29"/>
      <c r="C2359" s="30"/>
      <c r="D2359" s="30"/>
      <c r="E2359" s="30"/>
      <c r="F2359" s="30"/>
      <c r="G2359" s="30"/>
      <c r="H2359" s="30"/>
      <c r="I2359" s="30"/>
      <c r="J2359" s="30"/>
      <c r="K2359" s="30"/>
      <c r="L2359" s="30"/>
      <c r="M2359" s="30"/>
      <c r="N2359" s="30"/>
      <c r="O2359" s="30"/>
      <c r="P2359" s="30"/>
      <c r="Q2359" s="30"/>
      <c r="R2359" s="30"/>
      <c r="S2359" s="30"/>
      <c r="T2359" s="30"/>
      <c r="U2359" s="30"/>
      <c r="V2359" s="30"/>
      <c r="W2359" s="30"/>
      <c r="X2359" s="30"/>
      <c r="Y2359" s="30"/>
      <c r="Z2359" s="30"/>
    </row>
    <row r="2360">
      <c r="A2360" s="29"/>
      <c r="B2360" s="29"/>
      <c r="C2360" s="30"/>
      <c r="D2360" s="30"/>
      <c r="E2360" s="30"/>
      <c r="F2360" s="30"/>
      <c r="G2360" s="30"/>
      <c r="H2360" s="30"/>
      <c r="I2360" s="30"/>
      <c r="J2360" s="30"/>
      <c r="K2360" s="30"/>
      <c r="L2360" s="30"/>
      <c r="M2360" s="30"/>
      <c r="N2360" s="30"/>
      <c r="O2360" s="30"/>
      <c r="P2360" s="30"/>
      <c r="Q2360" s="30"/>
      <c r="R2360" s="30"/>
      <c r="S2360" s="30"/>
      <c r="T2360" s="30"/>
      <c r="U2360" s="30"/>
      <c r="V2360" s="30"/>
      <c r="W2360" s="30"/>
      <c r="X2360" s="30"/>
      <c r="Y2360" s="30"/>
      <c r="Z2360" s="30"/>
    </row>
    <row r="2361">
      <c r="A2361" s="29"/>
      <c r="B2361" s="29"/>
      <c r="C2361" s="30"/>
      <c r="D2361" s="30"/>
      <c r="E2361" s="30"/>
      <c r="F2361" s="30"/>
      <c r="G2361" s="30"/>
      <c r="H2361" s="30"/>
      <c r="I2361" s="30"/>
      <c r="J2361" s="30"/>
      <c r="K2361" s="30"/>
      <c r="L2361" s="30"/>
      <c r="M2361" s="30"/>
      <c r="N2361" s="30"/>
      <c r="O2361" s="30"/>
      <c r="P2361" s="30"/>
      <c r="Q2361" s="30"/>
      <c r="R2361" s="30"/>
      <c r="S2361" s="30"/>
      <c r="T2361" s="30"/>
      <c r="U2361" s="30"/>
      <c r="V2361" s="30"/>
      <c r="W2361" s="30"/>
      <c r="X2361" s="30"/>
      <c r="Y2361" s="30"/>
      <c r="Z2361" s="30"/>
    </row>
    <row r="2362">
      <c r="A2362" s="29"/>
      <c r="B2362" s="29"/>
      <c r="C2362" s="30"/>
      <c r="D2362" s="30"/>
      <c r="E2362" s="30"/>
      <c r="F2362" s="30"/>
      <c r="G2362" s="30"/>
      <c r="H2362" s="30"/>
      <c r="I2362" s="30"/>
      <c r="J2362" s="30"/>
      <c r="K2362" s="30"/>
      <c r="L2362" s="30"/>
      <c r="M2362" s="30"/>
      <c r="N2362" s="30"/>
      <c r="O2362" s="30"/>
      <c r="P2362" s="30"/>
      <c r="Q2362" s="30"/>
      <c r="R2362" s="30"/>
      <c r="S2362" s="30"/>
      <c r="T2362" s="30"/>
      <c r="U2362" s="30"/>
      <c r="V2362" s="30"/>
      <c r="W2362" s="30"/>
      <c r="X2362" s="30"/>
      <c r="Y2362" s="30"/>
      <c r="Z2362" s="30"/>
    </row>
    <row r="2363">
      <c r="A2363" s="29"/>
      <c r="B2363" s="29"/>
      <c r="C2363" s="30"/>
      <c r="D2363" s="30"/>
      <c r="E2363" s="30"/>
      <c r="F2363" s="30"/>
      <c r="G2363" s="30"/>
      <c r="H2363" s="30"/>
      <c r="I2363" s="30"/>
      <c r="J2363" s="30"/>
      <c r="K2363" s="30"/>
      <c r="L2363" s="30"/>
      <c r="M2363" s="30"/>
      <c r="N2363" s="30"/>
      <c r="O2363" s="30"/>
      <c r="P2363" s="30"/>
      <c r="Q2363" s="30"/>
      <c r="R2363" s="30"/>
      <c r="S2363" s="30"/>
      <c r="T2363" s="30"/>
      <c r="U2363" s="30"/>
      <c r="V2363" s="30"/>
      <c r="W2363" s="30"/>
      <c r="X2363" s="30"/>
      <c r="Y2363" s="30"/>
      <c r="Z2363" s="30"/>
    </row>
    <row r="2364">
      <c r="A2364" s="29"/>
      <c r="B2364" s="29"/>
      <c r="C2364" s="30"/>
      <c r="D2364" s="30"/>
      <c r="E2364" s="30"/>
      <c r="F2364" s="30"/>
      <c r="G2364" s="30"/>
      <c r="H2364" s="30"/>
      <c r="I2364" s="30"/>
      <c r="J2364" s="30"/>
      <c r="K2364" s="30"/>
      <c r="L2364" s="30"/>
      <c r="M2364" s="30"/>
      <c r="N2364" s="30"/>
      <c r="O2364" s="30"/>
      <c r="P2364" s="30"/>
      <c r="Q2364" s="30"/>
      <c r="R2364" s="30"/>
      <c r="S2364" s="30"/>
      <c r="T2364" s="30"/>
      <c r="U2364" s="30"/>
      <c r="V2364" s="30"/>
      <c r="W2364" s="30"/>
      <c r="X2364" s="30"/>
      <c r="Y2364" s="30"/>
      <c r="Z2364" s="30"/>
    </row>
    <row r="2365">
      <c r="A2365" s="29"/>
      <c r="B2365" s="29"/>
      <c r="C2365" s="30"/>
      <c r="D2365" s="30"/>
      <c r="E2365" s="30"/>
      <c r="F2365" s="30"/>
      <c r="G2365" s="30"/>
      <c r="H2365" s="30"/>
      <c r="I2365" s="30"/>
      <c r="J2365" s="30"/>
      <c r="K2365" s="30"/>
      <c r="L2365" s="30"/>
      <c r="M2365" s="30"/>
      <c r="N2365" s="30"/>
      <c r="O2365" s="30"/>
      <c r="P2365" s="30"/>
      <c r="Q2365" s="30"/>
      <c r="R2365" s="30"/>
      <c r="S2365" s="30"/>
      <c r="T2365" s="30"/>
      <c r="U2365" s="30"/>
      <c r="V2365" s="30"/>
      <c r="W2365" s="30"/>
      <c r="X2365" s="30"/>
      <c r="Y2365" s="30"/>
      <c r="Z2365" s="30"/>
    </row>
    <row r="2366">
      <c r="A2366" s="29"/>
      <c r="B2366" s="29"/>
      <c r="C2366" s="30"/>
      <c r="D2366" s="30"/>
      <c r="E2366" s="30"/>
      <c r="F2366" s="30"/>
      <c r="G2366" s="30"/>
      <c r="H2366" s="30"/>
      <c r="I2366" s="30"/>
      <c r="J2366" s="30"/>
      <c r="K2366" s="30"/>
      <c r="L2366" s="30"/>
      <c r="M2366" s="30"/>
      <c r="N2366" s="30"/>
      <c r="O2366" s="30"/>
      <c r="P2366" s="30"/>
      <c r="Q2366" s="30"/>
      <c r="R2366" s="30"/>
      <c r="S2366" s="30"/>
      <c r="T2366" s="30"/>
      <c r="U2366" s="30"/>
      <c r="V2366" s="30"/>
      <c r="W2366" s="30"/>
      <c r="X2366" s="30"/>
      <c r="Y2366" s="30"/>
      <c r="Z2366" s="30"/>
    </row>
    <row r="2367">
      <c r="A2367" s="29"/>
      <c r="B2367" s="29"/>
      <c r="C2367" s="30"/>
      <c r="D2367" s="30"/>
      <c r="E2367" s="30"/>
      <c r="F2367" s="30"/>
      <c r="G2367" s="30"/>
      <c r="H2367" s="30"/>
      <c r="I2367" s="30"/>
      <c r="J2367" s="30"/>
      <c r="K2367" s="30"/>
      <c r="L2367" s="30"/>
      <c r="M2367" s="30"/>
      <c r="N2367" s="30"/>
      <c r="O2367" s="30"/>
      <c r="P2367" s="30"/>
      <c r="Q2367" s="30"/>
      <c r="R2367" s="30"/>
      <c r="S2367" s="30"/>
      <c r="T2367" s="30"/>
      <c r="U2367" s="30"/>
      <c r="V2367" s="30"/>
      <c r="W2367" s="30"/>
      <c r="X2367" s="30"/>
      <c r="Y2367" s="30"/>
      <c r="Z2367" s="30"/>
    </row>
    <row r="2368">
      <c r="A2368" s="29"/>
      <c r="B2368" s="29"/>
      <c r="C2368" s="30"/>
      <c r="D2368" s="30"/>
      <c r="E2368" s="30"/>
      <c r="F2368" s="30"/>
      <c r="G2368" s="30"/>
      <c r="H2368" s="30"/>
      <c r="I2368" s="30"/>
      <c r="J2368" s="30"/>
      <c r="K2368" s="30"/>
      <c r="L2368" s="30"/>
      <c r="M2368" s="30"/>
      <c r="N2368" s="30"/>
      <c r="O2368" s="30"/>
      <c r="P2368" s="30"/>
      <c r="Q2368" s="30"/>
      <c r="R2368" s="30"/>
      <c r="S2368" s="30"/>
      <c r="T2368" s="30"/>
      <c r="U2368" s="30"/>
      <c r="V2368" s="30"/>
      <c r="W2368" s="30"/>
      <c r="X2368" s="30"/>
      <c r="Y2368" s="30"/>
      <c r="Z2368" s="30"/>
    </row>
    <row r="2369">
      <c r="A2369" s="29"/>
      <c r="B2369" s="29"/>
      <c r="C2369" s="30"/>
      <c r="D2369" s="30"/>
      <c r="E2369" s="30"/>
      <c r="F2369" s="30"/>
      <c r="G2369" s="30"/>
      <c r="H2369" s="30"/>
      <c r="I2369" s="30"/>
      <c r="J2369" s="30"/>
      <c r="K2369" s="30"/>
      <c r="L2369" s="30"/>
      <c r="M2369" s="30"/>
      <c r="N2369" s="30"/>
      <c r="O2369" s="30"/>
      <c r="P2369" s="30"/>
      <c r="Q2369" s="30"/>
      <c r="R2369" s="30"/>
      <c r="S2369" s="30"/>
      <c r="T2369" s="30"/>
      <c r="U2369" s="30"/>
      <c r="V2369" s="30"/>
      <c r="W2369" s="30"/>
      <c r="X2369" s="30"/>
      <c r="Y2369" s="30"/>
      <c r="Z2369" s="30"/>
    </row>
    <row r="2370">
      <c r="A2370" s="29"/>
      <c r="B2370" s="29"/>
      <c r="C2370" s="30"/>
      <c r="D2370" s="30"/>
      <c r="E2370" s="30"/>
      <c r="F2370" s="30"/>
      <c r="G2370" s="30"/>
      <c r="H2370" s="30"/>
      <c r="I2370" s="30"/>
      <c r="J2370" s="30"/>
      <c r="K2370" s="30"/>
      <c r="L2370" s="30"/>
      <c r="M2370" s="30"/>
      <c r="N2370" s="30"/>
      <c r="O2370" s="30"/>
      <c r="P2370" s="30"/>
      <c r="Q2370" s="30"/>
      <c r="R2370" s="30"/>
      <c r="S2370" s="30"/>
      <c r="T2370" s="30"/>
      <c r="U2370" s="30"/>
      <c r="V2370" s="30"/>
      <c r="W2370" s="30"/>
      <c r="X2370" s="30"/>
      <c r="Y2370" s="30"/>
      <c r="Z2370" s="30"/>
    </row>
    <row r="2371">
      <c r="A2371" s="29"/>
      <c r="B2371" s="29"/>
      <c r="C2371" s="30"/>
      <c r="D2371" s="30"/>
      <c r="E2371" s="30"/>
      <c r="F2371" s="30"/>
      <c r="G2371" s="30"/>
      <c r="H2371" s="30"/>
      <c r="I2371" s="30"/>
      <c r="J2371" s="30"/>
      <c r="K2371" s="30"/>
      <c r="L2371" s="30"/>
      <c r="M2371" s="30"/>
      <c r="N2371" s="30"/>
      <c r="O2371" s="30"/>
      <c r="P2371" s="30"/>
      <c r="Q2371" s="30"/>
      <c r="R2371" s="30"/>
      <c r="S2371" s="30"/>
      <c r="T2371" s="30"/>
      <c r="U2371" s="30"/>
      <c r="V2371" s="30"/>
      <c r="W2371" s="30"/>
      <c r="X2371" s="30"/>
      <c r="Y2371" s="30"/>
      <c r="Z2371" s="30"/>
    </row>
    <row r="2372">
      <c r="A2372" s="29"/>
      <c r="B2372" s="29"/>
      <c r="C2372" s="30"/>
      <c r="D2372" s="30"/>
      <c r="E2372" s="30"/>
      <c r="F2372" s="30"/>
      <c r="G2372" s="30"/>
      <c r="H2372" s="30"/>
      <c r="I2372" s="30"/>
      <c r="J2372" s="30"/>
      <c r="K2372" s="30"/>
      <c r="L2372" s="30"/>
      <c r="M2372" s="30"/>
      <c r="N2372" s="30"/>
      <c r="O2372" s="30"/>
      <c r="P2372" s="30"/>
      <c r="Q2372" s="30"/>
      <c r="R2372" s="30"/>
      <c r="S2372" s="30"/>
      <c r="T2372" s="30"/>
      <c r="U2372" s="30"/>
      <c r="V2372" s="30"/>
      <c r="W2372" s="30"/>
      <c r="X2372" s="30"/>
      <c r="Y2372" s="30"/>
      <c r="Z2372" s="30"/>
    </row>
    <row r="2373">
      <c r="A2373" s="29"/>
      <c r="B2373" s="29"/>
      <c r="C2373" s="30"/>
      <c r="D2373" s="30"/>
      <c r="E2373" s="30"/>
      <c r="F2373" s="30"/>
      <c r="G2373" s="30"/>
      <c r="H2373" s="30"/>
      <c r="I2373" s="30"/>
      <c r="J2373" s="30"/>
      <c r="K2373" s="30"/>
      <c r="L2373" s="30"/>
      <c r="M2373" s="30"/>
      <c r="N2373" s="30"/>
      <c r="O2373" s="30"/>
      <c r="P2373" s="30"/>
      <c r="Q2373" s="30"/>
      <c r="R2373" s="30"/>
      <c r="S2373" s="30"/>
      <c r="T2373" s="30"/>
      <c r="U2373" s="30"/>
      <c r="V2373" s="30"/>
      <c r="W2373" s="30"/>
      <c r="X2373" s="30"/>
      <c r="Y2373" s="30"/>
      <c r="Z2373" s="30"/>
    </row>
    <row r="2374">
      <c r="A2374" s="29"/>
      <c r="B2374" s="29"/>
      <c r="C2374" s="30"/>
      <c r="D2374" s="30"/>
      <c r="E2374" s="30"/>
      <c r="F2374" s="30"/>
      <c r="G2374" s="30"/>
      <c r="H2374" s="30"/>
      <c r="I2374" s="30"/>
      <c r="J2374" s="30"/>
      <c r="K2374" s="30"/>
      <c r="L2374" s="30"/>
      <c r="M2374" s="30"/>
      <c r="N2374" s="30"/>
      <c r="O2374" s="30"/>
      <c r="P2374" s="30"/>
      <c r="Q2374" s="30"/>
      <c r="R2374" s="30"/>
      <c r="S2374" s="30"/>
      <c r="T2374" s="30"/>
      <c r="U2374" s="30"/>
      <c r="V2374" s="30"/>
      <c r="W2374" s="30"/>
      <c r="X2374" s="30"/>
      <c r="Y2374" s="30"/>
      <c r="Z2374" s="30"/>
    </row>
    <row r="2375">
      <c r="A2375" s="29"/>
      <c r="B2375" s="29"/>
      <c r="C2375" s="30"/>
      <c r="D2375" s="30"/>
      <c r="E2375" s="30"/>
      <c r="F2375" s="30"/>
      <c r="G2375" s="30"/>
      <c r="H2375" s="30"/>
      <c r="I2375" s="30"/>
      <c r="J2375" s="30"/>
      <c r="K2375" s="30"/>
      <c r="L2375" s="30"/>
      <c r="M2375" s="30"/>
      <c r="N2375" s="30"/>
      <c r="O2375" s="30"/>
      <c r="P2375" s="30"/>
      <c r="Q2375" s="30"/>
      <c r="R2375" s="30"/>
      <c r="S2375" s="30"/>
      <c r="T2375" s="30"/>
      <c r="U2375" s="30"/>
      <c r="V2375" s="30"/>
      <c r="W2375" s="30"/>
      <c r="X2375" s="30"/>
      <c r="Y2375" s="30"/>
      <c r="Z2375" s="30"/>
    </row>
    <row r="2376">
      <c r="A2376" s="29"/>
      <c r="B2376" s="29"/>
      <c r="C2376" s="30"/>
      <c r="D2376" s="30"/>
      <c r="E2376" s="30"/>
      <c r="F2376" s="30"/>
      <c r="G2376" s="30"/>
      <c r="H2376" s="30"/>
      <c r="I2376" s="30"/>
      <c r="J2376" s="30"/>
      <c r="K2376" s="30"/>
      <c r="L2376" s="30"/>
      <c r="M2376" s="30"/>
      <c r="N2376" s="30"/>
      <c r="O2376" s="30"/>
      <c r="P2376" s="30"/>
      <c r="Q2376" s="30"/>
      <c r="R2376" s="30"/>
      <c r="S2376" s="30"/>
      <c r="T2376" s="30"/>
      <c r="U2376" s="30"/>
      <c r="V2376" s="30"/>
      <c r="W2376" s="30"/>
      <c r="X2376" s="30"/>
      <c r="Y2376" s="30"/>
      <c r="Z2376" s="30"/>
    </row>
    <row r="2377">
      <c r="A2377" s="29"/>
      <c r="B2377" s="29"/>
      <c r="C2377" s="30"/>
      <c r="D2377" s="30"/>
      <c r="E2377" s="30"/>
      <c r="F2377" s="30"/>
      <c r="G2377" s="30"/>
      <c r="H2377" s="30"/>
      <c r="I2377" s="30"/>
      <c r="J2377" s="30"/>
      <c r="K2377" s="30"/>
      <c r="L2377" s="30"/>
      <c r="M2377" s="30"/>
      <c r="N2377" s="30"/>
      <c r="O2377" s="30"/>
      <c r="P2377" s="30"/>
      <c r="Q2377" s="30"/>
      <c r="R2377" s="30"/>
      <c r="S2377" s="30"/>
      <c r="T2377" s="30"/>
      <c r="U2377" s="30"/>
      <c r="V2377" s="30"/>
      <c r="W2377" s="30"/>
      <c r="X2377" s="30"/>
      <c r="Y2377" s="30"/>
      <c r="Z2377" s="30"/>
    </row>
    <row r="2378">
      <c r="A2378" s="29"/>
      <c r="B2378" s="29"/>
      <c r="C2378" s="30"/>
      <c r="D2378" s="30"/>
      <c r="E2378" s="30"/>
      <c r="F2378" s="30"/>
      <c r="G2378" s="30"/>
      <c r="H2378" s="30"/>
      <c r="I2378" s="30"/>
      <c r="J2378" s="30"/>
      <c r="K2378" s="30"/>
      <c r="L2378" s="30"/>
      <c r="M2378" s="30"/>
      <c r="N2378" s="30"/>
      <c r="O2378" s="30"/>
      <c r="P2378" s="30"/>
      <c r="Q2378" s="30"/>
      <c r="R2378" s="30"/>
      <c r="S2378" s="30"/>
      <c r="T2378" s="30"/>
      <c r="U2378" s="30"/>
      <c r="V2378" s="30"/>
      <c r="W2378" s="30"/>
      <c r="X2378" s="30"/>
      <c r="Y2378" s="30"/>
      <c r="Z2378" s="30"/>
    </row>
    <row r="2379">
      <c r="A2379" s="29"/>
      <c r="B2379" s="29"/>
      <c r="C2379" s="30"/>
      <c r="D2379" s="30"/>
      <c r="E2379" s="30"/>
      <c r="F2379" s="30"/>
      <c r="G2379" s="30"/>
      <c r="H2379" s="30"/>
      <c r="I2379" s="30"/>
      <c r="J2379" s="30"/>
      <c r="K2379" s="30"/>
      <c r="L2379" s="30"/>
      <c r="M2379" s="30"/>
      <c r="N2379" s="30"/>
      <c r="O2379" s="30"/>
      <c r="P2379" s="30"/>
      <c r="Q2379" s="30"/>
      <c r="R2379" s="30"/>
      <c r="S2379" s="30"/>
      <c r="T2379" s="30"/>
      <c r="U2379" s="30"/>
      <c r="V2379" s="30"/>
      <c r="W2379" s="30"/>
      <c r="X2379" s="30"/>
      <c r="Y2379" s="30"/>
      <c r="Z2379" s="30"/>
    </row>
    <row r="2380">
      <c r="A2380" s="29"/>
      <c r="B2380" s="29"/>
      <c r="C2380" s="30"/>
      <c r="D2380" s="30"/>
      <c r="E2380" s="30"/>
      <c r="F2380" s="30"/>
      <c r="G2380" s="30"/>
      <c r="H2380" s="30"/>
      <c r="I2380" s="30"/>
      <c r="J2380" s="30"/>
      <c r="K2380" s="30"/>
      <c r="L2380" s="30"/>
      <c r="M2380" s="30"/>
      <c r="N2380" s="30"/>
      <c r="O2380" s="30"/>
      <c r="P2380" s="30"/>
      <c r="Q2380" s="30"/>
      <c r="R2380" s="30"/>
      <c r="S2380" s="30"/>
      <c r="T2380" s="30"/>
      <c r="U2380" s="30"/>
      <c r="V2380" s="30"/>
      <c r="W2380" s="30"/>
      <c r="X2380" s="30"/>
      <c r="Y2380" s="30"/>
      <c r="Z2380" s="30"/>
    </row>
    <row r="2381">
      <c r="A2381" s="29"/>
      <c r="B2381" s="29"/>
      <c r="C2381" s="30"/>
      <c r="D2381" s="30"/>
      <c r="E2381" s="30"/>
      <c r="F2381" s="30"/>
      <c r="G2381" s="30"/>
      <c r="H2381" s="30"/>
      <c r="I2381" s="30"/>
      <c r="J2381" s="30"/>
      <c r="K2381" s="30"/>
      <c r="L2381" s="30"/>
      <c r="M2381" s="30"/>
      <c r="N2381" s="30"/>
      <c r="O2381" s="30"/>
      <c r="P2381" s="30"/>
      <c r="Q2381" s="30"/>
      <c r="R2381" s="30"/>
      <c r="S2381" s="30"/>
      <c r="T2381" s="30"/>
      <c r="U2381" s="30"/>
      <c r="V2381" s="30"/>
      <c r="W2381" s="30"/>
      <c r="X2381" s="30"/>
      <c r="Y2381" s="30"/>
      <c r="Z2381" s="30"/>
    </row>
    <row r="2382">
      <c r="A2382" s="29"/>
      <c r="B2382" s="29"/>
      <c r="C2382" s="30"/>
      <c r="D2382" s="30"/>
      <c r="E2382" s="30"/>
      <c r="F2382" s="30"/>
      <c r="G2382" s="30"/>
      <c r="H2382" s="30"/>
      <c r="I2382" s="30"/>
      <c r="J2382" s="30"/>
      <c r="K2382" s="30"/>
      <c r="L2382" s="30"/>
      <c r="M2382" s="30"/>
      <c r="N2382" s="30"/>
      <c r="O2382" s="30"/>
      <c r="P2382" s="30"/>
      <c r="Q2382" s="30"/>
      <c r="R2382" s="30"/>
      <c r="S2382" s="30"/>
      <c r="T2382" s="30"/>
      <c r="U2382" s="30"/>
      <c r="V2382" s="30"/>
      <c r="W2382" s="30"/>
      <c r="X2382" s="30"/>
      <c r="Y2382" s="30"/>
      <c r="Z2382" s="30"/>
    </row>
    <row r="2383">
      <c r="A2383" s="29"/>
      <c r="B2383" s="29"/>
      <c r="C2383" s="30"/>
      <c r="D2383" s="30"/>
      <c r="E2383" s="30"/>
      <c r="F2383" s="30"/>
      <c r="G2383" s="30"/>
      <c r="H2383" s="30"/>
      <c r="I2383" s="30"/>
      <c r="J2383" s="30"/>
      <c r="K2383" s="30"/>
      <c r="L2383" s="30"/>
      <c r="M2383" s="30"/>
      <c r="N2383" s="30"/>
      <c r="O2383" s="30"/>
      <c r="P2383" s="30"/>
      <c r="Q2383" s="30"/>
      <c r="R2383" s="30"/>
      <c r="S2383" s="30"/>
      <c r="T2383" s="30"/>
      <c r="U2383" s="30"/>
      <c r="V2383" s="30"/>
      <c r="W2383" s="30"/>
      <c r="X2383" s="30"/>
      <c r="Y2383" s="30"/>
      <c r="Z2383" s="30"/>
    </row>
    <row r="2384">
      <c r="A2384" s="29"/>
      <c r="B2384" s="29"/>
      <c r="C2384" s="30"/>
      <c r="D2384" s="30"/>
      <c r="E2384" s="30"/>
      <c r="F2384" s="30"/>
      <c r="G2384" s="30"/>
      <c r="H2384" s="30"/>
      <c r="I2384" s="30"/>
      <c r="J2384" s="30"/>
      <c r="K2384" s="30"/>
      <c r="L2384" s="30"/>
      <c r="M2384" s="30"/>
      <c r="N2384" s="30"/>
      <c r="O2384" s="30"/>
      <c r="P2384" s="30"/>
      <c r="Q2384" s="30"/>
      <c r="R2384" s="30"/>
      <c r="S2384" s="30"/>
      <c r="T2384" s="30"/>
      <c r="U2384" s="30"/>
      <c r="V2384" s="30"/>
      <c r="W2384" s="30"/>
      <c r="X2384" s="30"/>
      <c r="Y2384" s="30"/>
      <c r="Z2384" s="30"/>
    </row>
    <row r="2385">
      <c r="A2385" s="29"/>
      <c r="B2385" s="29"/>
      <c r="C2385" s="30"/>
      <c r="D2385" s="30"/>
      <c r="E2385" s="30"/>
      <c r="F2385" s="30"/>
      <c r="G2385" s="30"/>
      <c r="H2385" s="30"/>
      <c r="I2385" s="30"/>
      <c r="J2385" s="30"/>
      <c r="K2385" s="30"/>
      <c r="L2385" s="30"/>
      <c r="M2385" s="30"/>
      <c r="N2385" s="30"/>
      <c r="O2385" s="30"/>
      <c r="P2385" s="30"/>
      <c r="Q2385" s="30"/>
      <c r="R2385" s="30"/>
      <c r="S2385" s="30"/>
      <c r="T2385" s="30"/>
      <c r="U2385" s="30"/>
      <c r="V2385" s="30"/>
      <c r="W2385" s="30"/>
      <c r="X2385" s="30"/>
      <c r="Y2385" s="30"/>
      <c r="Z2385" s="30"/>
    </row>
    <row r="2386">
      <c r="A2386" s="29"/>
      <c r="B2386" s="29"/>
      <c r="C2386" s="30"/>
      <c r="D2386" s="30"/>
      <c r="E2386" s="30"/>
      <c r="F2386" s="30"/>
      <c r="G2386" s="30"/>
      <c r="H2386" s="30"/>
      <c r="I2386" s="30"/>
      <c r="J2386" s="30"/>
      <c r="K2386" s="30"/>
      <c r="L2386" s="30"/>
      <c r="M2386" s="30"/>
      <c r="N2386" s="30"/>
      <c r="O2386" s="30"/>
      <c r="P2386" s="30"/>
      <c r="Q2386" s="30"/>
      <c r="R2386" s="30"/>
      <c r="S2386" s="30"/>
      <c r="T2386" s="30"/>
      <c r="U2386" s="30"/>
      <c r="V2386" s="30"/>
      <c r="W2386" s="30"/>
      <c r="X2386" s="30"/>
      <c r="Y2386" s="30"/>
      <c r="Z2386" s="30"/>
    </row>
    <row r="2387">
      <c r="A2387" s="29"/>
      <c r="B2387" s="29"/>
      <c r="C2387" s="30"/>
      <c r="D2387" s="30"/>
      <c r="E2387" s="30"/>
      <c r="F2387" s="30"/>
      <c r="G2387" s="30"/>
      <c r="H2387" s="30"/>
      <c r="I2387" s="30"/>
      <c r="J2387" s="30"/>
      <c r="K2387" s="30"/>
      <c r="L2387" s="30"/>
      <c r="M2387" s="30"/>
      <c r="N2387" s="30"/>
      <c r="O2387" s="30"/>
      <c r="P2387" s="30"/>
      <c r="Q2387" s="30"/>
      <c r="R2387" s="30"/>
      <c r="S2387" s="30"/>
      <c r="T2387" s="30"/>
      <c r="U2387" s="30"/>
      <c r="V2387" s="30"/>
      <c r="W2387" s="30"/>
      <c r="X2387" s="30"/>
      <c r="Y2387" s="30"/>
      <c r="Z2387" s="30"/>
    </row>
    <row r="2388">
      <c r="A2388" s="29"/>
      <c r="B2388" s="29"/>
      <c r="C2388" s="30"/>
      <c r="D2388" s="30"/>
      <c r="E2388" s="30"/>
      <c r="F2388" s="30"/>
      <c r="G2388" s="30"/>
      <c r="H2388" s="30"/>
      <c r="I2388" s="30"/>
      <c r="J2388" s="30"/>
      <c r="K2388" s="30"/>
      <c r="L2388" s="30"/>
      <c r="M2388" s="30"/>
      <c r="N2388" s="30"/>
      <c r="O2388" s="30"/>
      <c r="P2388" s="30"/>
      <c r="Q2388" s="30"/>
      <c r="R2388" s="30"/>
      <c r="S2388" s="30"/>
      <c r="T2388" s="30"/>
      <c r="U2388" s="30"/>
      <c r="V2388" s="30"/>
      <c r="W2388" s="30"/>
      <c r="X2388" s="30"/>
      <c r="Y2388" s="30"/>
      <c r="Z2388" s="30"/>
    </row>
    <row r="2389">
      <c r="A2389" s="29"/>
      <c r="B2389" s="29"/>
      <c r="C2389" s="30"/>
      <c r="D2389" s="30"/>
      <c r="E2389" s="30"/>
      <c r="F2389" s="30"/>
      <c r="G2389" s="30"/>
      <c r="H2389" s="30"/>
      <c r="I2389" s="30"/>
      <c r="J2389" s="30"/>
      <c r="K2389" s="30"/>
      <c r="L2389" s="30"/>
      <c r="M2389" s="30"/>
      <c r="N2389" s="30"/>
      <c r="O2389" s="30"/>
      <c r="P2389" s="30"/>
      <c r="Q2389" s="30"/>
      <c r="R2389" s="30"/>
      <c r="S2389" s="30"/>
      <c r="T2389" s="30"/>
      <c r="U2389" s="30"/>
      <c r="V2389" s="30"/>
      <c r="W2389" s="30"/>
      <c r="X2389" s="30"/>
      <c r="Y2389" s="30"/>
      <c r="Z2389" s="30"/>
    </row>
    <row r="2390">
      <c r="A2390" s="29"/>
      <c r="B2390" s="29"/>
      <c r="C2390" s="30"/>
      <c r="D2390" s="30"/>
      <c r="E2390" s="30"/>
      <c r="F2390" s="30"/>
      <c r="G2390" s="30"/>
      <c r="H2390" s="30"/>
      <c r="I2390" s="30"/>
      <c r="J2390" s="30"/>
      <c r="K2390" s="30"/>
      <c r="L2390" s="30"/>
      <c r="M2390" s="30"/>
      <c r="N2390" s="30"/>
      <c r="O2390" s="30"/>
      <c r="P2390" s="30"/>
      <c r="Q2390" s="30"/>
      <c r="R2390" s="30"/>
      <c r="S2390" s="30"/>
      <c r="T2390" s="30"/>
      <c r="U2390" s="30"/>
      <c r="V2390" s="30"/>
      <c r="W2390" s="30"/>
      <c r="X2390" s="30"/>
      <c r="Y2390" s="30"/>
      <c r="Z2390" s="30"/>
    </row>
    <row r="2391">
      <c r="A2391" s="29"/>
      <c r="B2391" s="29"/>
      <c r="C2391" s="30"/>
      <c r="D2391" s="30"/>
      <c r="E2391" s="30"/>
      <c r="F2391" s="30"/>
      <c r="G2391" s="30"/>
      <c r="H2391" s="30"/>
      <c r="I2391" s="30"/>
      <c r="J2391" s="30"/>
      <c r="K2391" s="30"/>
      <c r="L2391" s="30"/>
      <c r="M2391" s="30"/>
      <c r="N2391" s="30"/>
      <c r="O2391" s="30"/>
      <c r="P2391" s="30"/>
      <c r="Q2391" s="30"/>
      <c r="R2391" s="30"/>
      <c r="S2391" s="30"/>
      <c r="T2391" s="30"/>
      <c r="U2391" s="30"/>
      <c r="V2391" s="30"/>
      <c r="W2391" s="30"/>
      <c r="X2391" s="30"/>
      <c r="Y2391" s="30"/>
      <c r="Z2391" s="30"/>
    </row>
    <row r="2392">
      <c r="A2392" s="29"/>
      <c r="B2392" s="29"/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30"/>
      <c r="N2392" s="30"/>
      <c r="O2392" s="30"/>
      <c r="P2392" s="30"/>
      <c r="Q2392" s="30"/>
      <c r="R2392" s="30"/>
      <c r="S2392" s="30"/>
      <c r="T2392" s="30"/>
      <c r="U2392" s="30"/>
      <c r="V2392" s="30"/>
      <c r="W2392" s="30"/>
      <c r="X2392" s="30"/>
      <c r="Y2392" s="30"/>
      <c r="Z2392" s="30"/>
    </row>
    <row r="2393">
      <c r="A2393" s="29"/>
      <c r="B2393" s="29"/>
      <c r="C2393" s="30"/>
      <c r="D2393" s="30"/>
      <c r="E2393" s="30"/>
      <c r="F2393" s="30"/>
      <c r="G2393" s="30"/>
      <c r="H2393" s="30"/>
      <c r="I2393" s="30"/>
      <c r="J2393" s="30"/>
      <c r="K2393" s="30"/>
      <c r="L2393" s="30"/>
      <c r="M2393" s="30"/>
      <c r="N2393" s="30"/>
      <c r="O2393" s="30"/>
      <c r="P2393" s="30"/>
      <c r="Q2393" s="30"/>
      <c r="R2393" s="30"/>
      <c r="S2393" s="30"/>
      <c r="T2393" s="30"/>
      <c r="U2393" s="30"/>
      <c r="V2393" s="30"/>
      <c r="W2393" s="30"/>
      <c r="X2393" s="30"/>
      <c r="Y2393" s="30"/>
      <c r="Z2393" s="30"/>
    </row>
    <row r="2394">
      <c r="A2394" s="29"/>
      <c r="B2394" s="29"/>
      <c r="C2394" s="30"/>
      <c r="D2394" s="30"/>
      <c r="E2394" s="30"/>
      <c r="F2394" s="30"/>
      <c r="G2394" s="30"/>
      <c r="H2394" s="30"/>
      <c r="I2394" s="30"/>
      <c r="J2394" s="30"/>
      <c r="K2394" s="30"/>
      <c r="L2394" s="30"/>
      <c r="M2394" s="30"/>
      <c r="N2394" s="30"/>
      <c r="O2394" s="30"/>
      <c r="P2394" s="30"/>
      <c r="Q2394" s="30"/>
      <c r="R2394" s="30"/>
      <c r="S2394" s="30"/>
      <c r="T2394" s="30"/>
      <c r="U2394" s="30"/>
      <c r="V2394" s="30"/>
      <c r="W2394" s="30"/>
      <c r="X2394" s="30"/>
      <c r="Y2394" s="30"/>
      <c r="Z2394" s="30"/>
    </row>
    <row r="2395">
      <c r="A2395" s="29"/>
      <c r="B2395" s="29"/>
      <c r="C2395" s="30"/>
      <c r="D2395" s="30"/>
      <c r="E2395" s="30"/>
      <c r="F2395" s="30"/>
      <c r="G2395" s="30"/>
      <c r="H2395" s="30"/>
      <c r="I2395" s="30"/>
      <c r="J2395" s="30"/>
      <c r="K2395" s="30"/>
      <c r="L2395" s="30"/>
      <c r="M2395" s="30"/>
      <c r="N2395" s="30"/>
      <c r="O2395" s="30"/>
      <c r="P2395" s="30"/>
      <c r="Q2395" s="30"/>
      <c r="R2395" s="30"/>
      <c r="S2395" s="30"/>
      <c r="T2395" s="30"/>
      <c r="U2395" s="30"/>
      <c r="V2395" s="30"/>
      <c r="W2395" s="30"/>
      <c r="X2395" s="30"/>
      <c r="Y2395" s="30"/>
      <c r="Z2395" s="30"/>
    </row>
    <row r="2396">
      <c r="A2396" s="29"/>
      <c r="B2396" s="29"/>
      <c r="C2396" s="30"/>
      <c r="D2396" s="30"/>
      <c r="E2396" s="30"/>
      <c r="F2396" s="30"/>
      <c r="G2396" s="30"/>
      <c r="H2396" s="30"/>
      <c r="I2396" s="30"/>
      <c r="J2396" s="30"/>
      <c r="K2396" s="30"/>
      <c r="L2396" s="30"/>
      <c r="M2396" s="30"/>
      <c r="N2396" s="30"/>
      <c r="O2396" s="30"/>
      <c r="P2396" s="30"/>
      <c r="Q2396" s="30"/>
      <c r="R2396" s="30"/>
      <c r="S2396" s="30"/>
      <c r="T2396" s="30"/>
      <c r="U2396" s="30"/>
      <c r="V2396" s="30"/>
      <c r="W2396" s="30"/>
      <c r="X2396" s="30"/>
      <c r="Y2396" s="30"/>
      <c r="Z2396" s="30"/>
    </row>
    <row r="2397">
      <c r="A2397" s="29"/>
      <c r="B2397" s="29"/>
      <c r="C2397" s="30"/>
      <c r="D2397" s="30"/>
      <c r="E2397" s="30"/>
      <c r="F2397" s="30"/>
      <c r="G2397" s="30"/>
      <c r="H2397" s="30"/>
      <c r="I2397" s="30"/>
      <c r="J2397" s="30"/>
      <c r="K2397" s="30"/>
      <c r="L2397" s="30"/>
      <c r="M2397" s="30"/>
      <c r="N2397" s="30"/>
      <c r="O2397" s="30"/>
      <c r="P2397" s="30"/>
      <c r="Q2397" s="30"/>
      <c r="R2397" s="30"/>
      <c r="S2397" s="30"/>
      <c r="T2397" s="30"/>
      <c r="U2397" s="30"/>
      <c r="V2397" s="30"/>
      <c r="W2397" s="30"/>
      <c r="X2397" s="30"/>
      <c r="Y2397" s="30"/>
      <c r="Z2397" s="30"/>
    </row>
    <row r="2398">
      <c r="A2398" s="29"/>
      <c r="B2398" s="29"/>
      <c r="C2398" s="30"/>
      <c r="D2398" s="30"/>
      <c r="E2398" s="30"/>
      <c r="F2398" s="30"/>
      <c r="G2398" s="30"/>
      <c r="H2398" s="30"/>
      <c r="I2398" s="30"/>
      <c r="J2398" s="30"/>
      <c r="K2398" s="30"/>
      <c r="L2398" s="30"/>
      <c r="M2398" s="30"/>
      <c r="N2398" s="30"/>
      <c r="O2398" s="30"/>
      <c r="P2398" s="30"/>
      <c r="Q2398" s="30"/>
      <c r="R2398" s="30"/>
      <c r="S2398" s="30"/>
      <c r="T2398" s="30"/>
      <c r="U2398" s="30"/>
      <c r="V2398" s="30"/>
      <c r="W2398" s="30"/>
      <c r="X2398" s="30"/>
      <c r="Y2398" s="30"/>
      <c r="Z2398" s="30"/>
    </row>
    <row r="2399">
      <c r="A2399" s="29"/>
      <c r="B2399" s="29"/>
      <c r="C2399" s="30"/>
      <c r="D2399" s="30"/>
      <c r="E2399" s="30"/>
      <c r="F2399" s="30"/>
      <c r="G2399" s="30"/>
      <c r="H2399" s="30"/>
      <c r="I2399" s="30"/>
      <c r="J2399" s="30"/>
      <c r="K2399" s="30"/>
      <c r="L2399" s="30"/>
      <c r="M2399" s="30"/>
      <c r="N2399" s="30"/>
      <c r="O2399" s="30"/>
      <c r="P2399" s="30"/>
      <c r="Q2399" s="30"/>
      <c r="R2399" s="30"/>
      <c r="S2399" s="30"/>
      <c r="T2399" s="30"/>
      <c r="U2399" s="30"/>
      <c r="V2399" s="30"/>
      <c r="W2399" s="30"/>
      <c r="X2399" s="30"/>
      <c r="Y2399" s="30"/>
      <c r="Z2399" s="30"/>
    </row>
    <row r="2400">
      <c r="A2400" s="29"/>
      <c r="B2400" s="29"/>
      <c r="C2400" s="30"/>
      <c r="D2400" s="30"/>
      <c r="E2400" s="30"/>
      <c r="F2400" s="30"/>
      <c r="G2400" s="30"/>
      <c r="H2400" s="30"/>
      <c r="I2400" s="30"/>
      <c r="J2400" s="30"/>
      <c r="K2400" s="30"/>
      <c r="L2400" s="30"/>
      <c r="M2400" s="30"/>
      <c r="N2400" s="30"/>
      <c r="O2400" s="30"/>
      <c r="P2400" s="30"/>
      <c r="Q2400" s="30"/>
      <c r="R2400" s="30"/>
      <c r="S2400" s="30"/>
      <c r="T2400" s="30"/>
      <c r="U2400" s="30"/>
      <c r="V2400" s="30"/>
      <c r="W2400" s="30"/>
      <c r="X2400" s="30"/>
      <c r="Y2400" s="30"/>
      <c r="Z2400" s="30"/>
    </row>
    <row r="2401">
      <c r="A2401" s="29"/>
      <c r="B2401" s="29"/>
      <c r="C2401" s="30"/>
      <c r="D2401" s="30"/>
      <c r="E2401" s="30"/>
      <c r="F2401" s="30"/>
      <c r="G2401" s="30"/>
      <c r="H2401" s="30"/>
      <c r="I2401" s="30"/>
      <c r="J2401" s="30"/>
      <c r="K2401" s="30"/>
      <c r="L2401" s="30"/>
      <c r="M2401" s="30"/>
      <c r="N2401" s="30"/>
      <c r="O2401" s="30"/>
      <c r="P2401" s="30"/>
      <c r="Q2401" s="30"/>
      <c r="R2401" s="30"/>
      <c r="S2401" s="30"/>
      <c r="T2401" s="30"/>
      <c r="U2401" s="30"/>
      <c r="V2401" s="30"/>
      <c r="W2401" s="30"/>
      <c r="X2401" s="30"/>
      <c r="Y2401" s="30"/>
      <c r="Z2401" s="30"/>
    </row>
    <row r="2402">
      <c r="A2402" s="29"/>
      <c r="B2402" s="29"/>
      <c r="C2402" s="30"/>
      <c r="D2402" s="30"/>
      <c r="E2402" s="30"/>
      <c r="F2402" s="30"/>
      <c r="G2402" s="30"/>
      <c r="H2402" s="30"/>
      <c r="I2402" s="30"/>
      <c r="J2402" s="30"/>
      <c r="K2402" s="30"/>
      <c r="L2402" s="30"/>
      <c r="M2402" s="30"/>
      <c r="N2402" s="30"/>
      <c r="O2402" s="30"/>
      <c r="P2402" s="30"/>
      <c r="Q2402" s="30"/>
      <c r="R2402" s="30"/>
      <c r="S2402" s="30"/>
      <c r="T2402" s="30"/>
      <c r="U2402" s="30"/>
      <c r="V2402" s="30"/>
      <c r="W2402" s="30"/>
      <c r="X2402" s="30"/>
      <c r="Y2402" s="30"/>
      <c r="Z2402" s="30"/>
    </row>
    <row r="2403">
      <c r="A2403" s="29"/>
      <c r="B2403" s="29"/>
      <c r="C2403" s="30"/>
      <c r="D2403" s="30"/>
      <c r="E2403" s="30"/>
      <c r="F2403" s="30"/>
      <c r="G2403" s="30"/>
      <c r="H2403" s="30"/>
      <c r="I2403" s="30"/>
      <c r="J2403" s="30"/>
      <c r="K2403" s="30"/>
      <c r="L2403" s="30"/>
      <c r="M2403" s="30"/>
      <c r="N2403" s="30"/>
      <c r="O2403" s="30"/>
      <c r="P2403" s="30"/>
      <c r="Q2403" s="30"/>
      <c r="R2403" s="30"/>
      <c r="S2403" s="30"/>
      <c r="T2403" s="30"/>
      <c r="U2403" s="30"/>
      <c r="V2403" s="30"/>
      <c r="W2403" s="30"/>
      <c r="X2403" s="30"/>
      <c r="Y2403" s="30"/>
      <c r="Z2403" s="30"/>
    </row>
    <row r="2404">
      <c r="A2404" s="29"/>
      <c r="B2404" s="29"/>
      <c r="C2404" s="30"/>
      <c r="D2404" s="30"/>
      <c r="E2404" s="30"/>
      <c r="F2404" s="30"/>
      <c r="G2404" s="30"/>
      <c r="H2404" s="30"/>
      <c r="I2404" s="30"/>
      <c r="J2404" s="30"/>
      <c r="K2404" s="30"/>
      <c r="L2404" s="30"/>
      <c r="M2404" s="30"/>
      <c r="N2404" s="30"/>
      <c r="O2404" s="30"/>
      <c r="P2404" s="30"/>
      <c r="Q2404" s="30"/>
      <c r="R2404" s="30"/>
      <c r="S2404" s="30"/>
      <c r="T2404" s="30"/>
      <c r="U2404" s="30"/>
      <c r="V2404" s="30"/>
      <c r="W2404" s="30"/>
      <c r="X2404" s="30"/>
      <c r="Y2404" s="30"/>
      <c r="Z2404" s="30"/>
    </row>
    <row r="2405">
      <c r="A2405" s="29"/>
      <c r="B2405" s="29"/>
      <c r="C2405" s="30"/>
      <c r="D2405" s="30"/>
      <c r="E2405" s="30"/>
      <c r="F2405" s="30"/>
      <c r="G2405" s="30"/>
      <c r="H2405" s="30"/>
      <c r="I2405" s="30"/>
      <c r="J2405" s="30"/>
      <c r="K2405" s="30"/>
      <c r="L2405" s="30"/>
      <c r="M2405" s="30"/>
      <c r="N2405" s="30"/>
      <c r="O2405" s="30"/>
      <c r="P2405" s="30"/>
      <c r="Q2405" s="30"/>
      <c r="R2405" s="30"/>
      <c r="S2405" s="30"/>
      <c r="T2405" s="30"/>
      <c r="U2405" s="30"/>
      <c r="V2405" s="30"/>
      <c r="W2405" s="30"/>
      <c r="X2405" s="30"/>
      <c r="Y2405" s="30"/>
      <c r="Z2405" s="30"/>
    </row>
    <row r="2406">
      <c r="A2406" s="29"/>
      <c r="B2406" s="29"/>
      <c r="C2406" s="30"/>
      <c r="D2406" s="30"/>
      <c r="E2406" s="30"/>
      <c r="F2406" s="30"/>
      <c r="G2406" s="30"/>
      <c r="H2406" s="30"/>
      <c r="I2406" s="30"/>
      <c r="J2406" s="30"/>
      <c r="K2406" s="30"/>
      <c r="L2406" s="30"/>
      <c r="M2406" s="30"/>
      <c r="N2406" s="30"/>
      <c r="O2406" s="30"/>
      <c r="P2406" s="30"/>
      <c r="Q2406" s="30"/>
      <c r="R2406" s="30"/>
      <c r="S2406" s="30"/>
      <c r="T2406" s="30"/>
      <c r="U2406" s="30"/>
      <c r="V2406" s="30"/>
      <c r="W2406" s="30"/>
      <c r="X2406" s="30"/>
      <c r="Y2406" s="30"/>
      <c r="Z2406" s="30"/>
    </row>
    <row r="2407">
      <c r="A2407" s="29"/>
      <c r="B2407" s="29"/>
      <c r="C2407" s="30"/>
      <c r="D2407" s="30"/>
      <c r="E2407" s="30"/>
      <c r="F2407" s="30"/>
      <c r="G2407" s="30"/>
      <c r="H2407" s="30"/>
      <c r="I2407" s="30"/>
      <c r="J2407" s="30"/>
      <c r="K2407" s="30"/>
      <c r="L2407" s="30"/>
      <c r="M2407" s="30"/>
      <c r="N2407" s="30"/>
      <c r="O2407" s="30"/>
      <c r="P2407" s="30"/>
      <c r="Q2407" s="30"/>
      <c r="R2407" s="30"/>
      <c r="S2407" s="30"/>
      <c r="T2407" s="30"/>
      <c r="U2407" s="30"/>
      <c r="V2407" s="30"/>
      <c r="W2407" s="30"/>
      <c r="X2407" s="30"/>
      <c r="Y2407" s="30"/>
      <c r="Z2407" s="30"/>
    </row>
    <row r="2408">
      <c r="A2408" s="29"/>
      <c r="B2408" s="29"/>
      <c r="C2408" s="30"/>
      <c r="D2408" s="30"/>
      <c r="E2408" s="30"/>
      <c r="F2408" s="30"/>
      <c r="G2408" s="30"/>
      <c r="H2408" s="30"/>
      <c r="I2408" s="30"/>
      <c r="J2408" s="30"/>
      <c r="K2408" s="30"/>
      <c r="L2408" s="30"/>
      <c r="M2408" s="30"/>
      <c r="N2408" s="30"/>
      <c r="O2408" s="30"/>
      <c r="P2408" s="30"/>
      <c r="Q2408" s="30"/>
      <c r="R2408" s="30"/>
      <c r="S2408" s="30"/>
      <c r="T2408" s="30"/>
      <c r="U2408" s="30"/>
      <c r="V2408" s="30"/>
      <c r="W2408" s="30"/>
      <c r="X2408" s="30"/>
      <c r="Y2408" s="30"/>
      <c r="Z2408" s="30"/>
    </row>
    <row r="2409">
      <c r="A2409" s="29"/>
      <c r="B2409" s="29"/>
      <c r="C2409" s="30"/>
      <c r="D2409" s="30"/>
      <c r="E2409" s="30"/>
      <c r="F2409" s="30"/>
      <c r="G2409" s="30"/>
      <c r="H2409" s="30"/>
      <c r="I2409" s="30"/>
      <c r="J2409" s="30"/>
      <c r="K2409" s="30"/>
      <c r="L2409" s="30"/>
      <c r="M2409" s="30"/>
      <c r="N2409" s="30"/>
      <c r="O2409" s="30"/>
      <c r="P2409" s="30"/>
      <c r="Q2409" s="30"/>
      <c r="R2409" s="30"/>
      <c r="S2409" s="30"/>
      <c r="T2409" s="30"/>
      <c r="U2409" s="30"/>
      <c r="V2409" s="30"/>
      <c r="W2409" s="30"/>
      <c r="X2409" s="30"/>
      <c r="Y2409" s="30"/>
      <c r="Z2409" s="30"/>
    </row>
    <row r="2410">
      <c r="A2410" s="29"/>
      <c r="B2410" s="29"/>
      <c r="C2410" s="30"/>
      <c r="D2410" s="30"/>
      <c r="E2410" s="30"/>
      <c r="F2410" s="30"/>
      <c r="G2410" s="30"/>
      <c r="H2410" s="30"/>
      <c r="I2410" s="30"/>
      <c r="J2410" s="30"/>
      <c r="K2410" s="30"/>
      <c r="L2410" s="30"/>
      <c r="M2410" s="30"/>
      <c r="N2410" s="30"/>
      <c r="O2410" s="30"/>
      <c r="P2410" s="30"/>
      <c r="Q2410" s="30"/>
      <c r="R2410" s="30"/>
      <c r="S2410" s="30"/>
      <c r="T2410" s="30"/>
      <c r="U2410" s="30"/>
      <c r="V2410" s="30"/>
      <c r="W2410" s="30"/>
      <c r="X2410" s="30"/>
      <c r="Y2410" s="30"/>
      <c r="Z2410" s="30"/>
    </row>
    <row r="2411">
      <c r="A2411" s="29"/>
      <c r="B2411" s="29"/>
      <c r="C2411" s="30"/>
      <c r="D2411" s="30"/>
      <c r="E2411" s="30"/>
      <c r="F2411" s="30"/>
      <c r="G2411" s="30"/>
      <c r="H2411" s="30"/>
      <c r="I2411" s="30"/>
      <c r="J2411" s="30"/>
      <c r="K2411" s="30"/>
      <c r="L2411" s="30"/>
      <c r="M2411" s="30"/>
      <c r="N2411" s="30"/>
      <c r="O2411" s="30"/>
      <c r="P2411" s="30"/>
      <c r="Q2411" s="30"/>
      <c r="R2411" s="30"/>
      <c r="S2411" s="30"/>
      <c r="T2411" s="30"/>
      <c r="U2411" s="30"/>
      <c r="V2411" s="30"/>
      <c r="W2411" s="30"/>
      <c r="X2411" s="30"/>
      <c r="Y2411" s="30"/>
      <c r="Z2411" s="30"/>
    </row>
    <row r="2412">
      <c r="A2412" s="29"/>
      <c r="B2412" s="29"/>
      <c r="C2412" s="30"/>
      <c r="D2412" s="30"/>
      <c r="E2412" s="30"/>
      <c r="F2412" s="30"/>
      <c r="G2412" s="30"/>
      <c r="H2412" s="30"/>
      <c r="I2412" s="30"/>
      <c r="J2412" s="30"/>
      <c r="K2412" s="30"/>
      <c r="L2412" s="30"/>
      <c r="M2412" s="30"/>
      <c r="N2412" s="30"/>
      <c r="O2412" s="30"/>
      <c r="P2412" s="30"/>
      <c r="Q2412" s="30"/>
      <c r="R2412" s="30"/>
      <c r="S2412" s="30"/>
      <c r="T2412" s="30"/>
      <c r="U2412" s="30"/>
      <c r="V2412" s="30"/>
      <c r="W2412" s="30"/>
      <c r="X2412" s="30"/>
      <c r="Y2412" s="30"/>
      <c r="Z2412" s="30"/>
    </row>
    <row r="2413">
      <c r="A2413" s="29"/>
      <c r="B2413" s="29"/>
      <c r="C2413" s="30"/>
      <c r="D2413" s="30"/>
      <c r="E2413" s="30"/>
      <c r="F2413" s="30"/>
      <c r="G2413" s="30"/>
      <c r="H2413" s="30"/>
      <c r="I2413" s="30"/>
      <c r="J2413" s="30"/>
      <c r="K2413" s="30"/>
      <c r="L2413" s="30"/>
      <c r="M2413" s="30"/>
      <c r="N2413" s="30"/>
      <c r="O2413" s="30"/>
      <c r="P2413" s="30"/>
      <c r="Q2413" s="30"/>
      <c r="R2413" s="30"/>
      <c r="S2413" s="30"/>
      <c r="T2413" s="30"/>
      <c r="U2413" s="30"/>
      <c r="V2413" s="30"/>
      <c r="W2413" s="30"/>
      <c r="X2413" s="30"/>
      <c r="Y2413" s="30"/>
      <c r="Z2413" s="30"/>
    </row>
    <row r="2414">
      <c r="A2414" s="29"/>
      <c r="B2414" s="29"/>
      <c r="C2414" s="30"/>
      <c r="D2414" s="30"/>
      <c r="E2414" s="30"/>
      <c r="F2414" s="30"/>
      <c r="G2414" s="30"/>
      <c r="H2414" s="30"/>
      <c r="I2414" s="30"/>
      <c r="J2414" s="30"/>
      <c r="K2414" s="30"/>
      <c r="L2414" s="30"/>
      <c r="M2414" s="30"/>
      <c r="N2414" s="30"/>
      <c r="O2414" s="30"/>
      <c r="P2414" s="30"/>
      <c r="Q2414" s="30"/>
      <c r="R2414" s="30"/>
      <c r="S2414" s="30"/>
      <c r="T2414" s="30"/>
      <c r="U2414" s="30"/>
      <c r="V2414" s="30"/>
      <c r="W2414" s="30"/>
      <c r="X2414" s="30"/>
      <c r="Y2414" s="30"/>
      <c r="Z2414" s="30"/>
    </row>
    <row r="2415">
      <c r="A2415" s="29"/>
      <c r="B2415" s="29"/>
      <c r="C2415" s="30"/>
      <c r="D2415" s="30"/>
      <c r="E2415" s="30"/>
      <c r="F2415" s="30"/>
      <c r="G2415" s="30"/>
      <c r="H2415" s="30"/>
      <c r="I2415" s="30"/>
      <c r="J2415" s="30"/>
      <c r="K2415" s="30"/>
      <c r="L2415" s="30"/>
      <c r="M2415" s="30"/>
      <c r="N2415" s="30"/>
      <c r="O2415" s="30"/>
      <c r="P2415" s="30"/>
      <c r="Q2415" s="30"/>
      <c r="R2415" s="30"/>
      <c r="S2415" s="30"/>
      <c r="T2415" s="30"/>
      <c r="U2415" s="30"/>
      <c r="V2415" s="30"/>
      <c r="W2415" s="30"/>
      <c r="X2415" s="30"/>
      <c r="Y2415" s="30"/>
      <c r="Z2415" s="30"/>
    </row>
    <row r="2416">
      <c r="A2416" s="29"/>
      <c r="B2416" s="29"/>
      <c r="C2416" s="30"/>
      <c r="D2416" s="30"/>
      <c r="E2416" s="30"/>
      <c r="F2416" s="30"/>
      <c r="G2416" s="30"/>
      <c r="H2416" s="30"/>
      <c r="I2416" s="30"/>
      <c r="J2416" s="30"/>
      <c r="K2416" s="30"/>
      <c r="L2416" s="30"/>
      <c r="M2416" s="30"/>
      <c r="N2416" s="30"/>
      <c r="O2416" s="30"/>
      <c r="P2416" s="30"/>
      <c r="Q2416" s="30"/>
      <c r="R2416" s="30"/>
      <c r="S2416" s="30"/>
      <c r="T2416" s="30"/>
      <c r="U2416" s="30"/>
      <c r="V2416" s="30"/>
      <c r="W2416" s="30"/>
      <c r="X2416" s="30"/>
      <c r="Y2416" s="30"/>
      <c r="Z2416" s="30"/>
    </row>
    <row r="2417">
      <c r="A2417" s="29"/>
      <c r="B2417" s="29"/>
      <c r="C2417" s="30"/>
      <c r="D2417" s="30"/>
      <c r="E2417" s="30"/>
      <c r="F2417" s="30"/>
      <c r="G2417" s="30"/>
      <c r="H2417" s="30"/>
      <c r="I2417" s="30"/>
      <c r="J2417" s="30"/>
      <c r="K2417" s="30"/>
      <c r="L2417" s="30"/>
      <c r="M2417" s="30"/>
      <c r="N2417" s="30"/>
      <c r="O2417" s="30"/>
      <c r="P2417" s="30"/>
      <c r="Q2417" s="30"/>
      <c r="R2417" s="30"/>
      <c r="S2417" s="30"/>
      <c r="T2417" s="30"/>
      <c r="U2417" s="30"/>
      <c r="V2417" s="30"/>
      <c r="W2417" s="30"/>
      <c r="X2417" s="30"/>
      <c r="Y2417" s="30"/>
      <c r="Z2417" s="30"/>
    </row>
    <row r="2418">
      <c r="A2418" s="29"/>
      <c r="B2418" s="29"/>
      <c r="C2418" s="30"/>
      <c r="D2418" s="30"/>
      <c r="E2418" s="30"/>
      <c r="F2418" s="30"/>
      <c r="G2418" s="30"/>
      <c r="H2418" s="30"/>
      <c r="I2418" s="30"/>
      <c r="J2418" s="30"/>
      <c r="K2418" s="30"/>
      <c r="L2418" s="30"/>
      <c r="M2418" s="30"/>
      <c r="N2418" s="30"/>
      <c r="O2418" s="30"/>
      <c r="P2418" s="30"/>
      <c r="Q2418" s="30"/>
      <c r="R2418" s="30"/>
      <c r="S2418" s="30"/>
      <c r="T2418" s="30"/>
      <c r="U2418" s="30"/>
      <c r="V2418" s="30"/>
      <c r="W2418" s="30"/>
      <c r="X2418" s="30"/>
      <c r="Y2418" s="30"/>
      <c r="Z2418" s="30"/>
    </row>
    <row r="2419">
      <c r="A2419" s="29"/>
      <c r="B2419" s="29"/>
      <c r="C2419" s="30"/>
      <c r="D2419" s="30"/>
      <c r="E2419" s="30"/>
      <c r="F2419" s="30"/>
      <c r="G2419" s="30"/>
      <c r="H2419" s="30"/>
      <c r="I2419" s="30"/>
      <c r="J2419" s="30"/>
      <c r="K2419" s="30"/>
      <c r="L2419" s="30"/>
      <c r="M2419" s="30"/>
      <c r="N2419" s="30"/>
      <c r="O2419" s="30"/>
      <c r="P2419" s="30"/>
      <c r="Q2419" s="30"/>
      <c r="R2419" s="30"/>
      <c r="S2419" s="30"/>
      <c r="T2419" s="30"/>
      <c r="U2419" s="30"/>
      <c r="V2419" s="30"/>
      <c r="W2419" s="30"/>
      <c r="X2419" s="30"/>
      <c r="Y2419" s="30"/>
      <c r="Z2419" s="30"/>
    </row>
    <row r="2420">
      <c r="A2420" s="29"/>
      <c r="B2420" s="29"/>
      <c r="C2420" s="30"/>
      <c r="D2420" s="30"/>
      <c r="E2420" s="30"/>
      <c r="F2420" s="30"/>
      <c r="G2420" s="30"/>
      <c r="H2420" s="30"/>
      <c r="I2420" s="30"/>
      <c r="J2420" s="30"/>
      <c r="K2420" s="30"/>
      <c r="L2420" s="30"/>
      <c r="M2420" s="30"/>
      <c r="N2420" s="30"/>
      <c r="O2420" s="30"/>
      <c r="P2420" s="30"/>
      <c r="Q2420" s="30"/>
      <c r="R2420" s="30"/>
      <c r="S2420" s="30"/>
      <c r="T2420" s="30"/>
      <c r="U2420" s="30"/>
      <c r="V2420" s="30"/>
      <c r="W2420" s="30"/>
      <c r="X2420" s="30"/>
      <c r="Y2420" s="30"/>
      <c r="Z2420" s="30"/>
    </row>
    <row r="2421">
      <c r="A2421" s="29"/>
      <c r="B2421" s="29"/>
      <c r="C2421" s="30"/>
      <c r="D2421" s="30"/>
      <c r="E2421" s="30"/>
      <c r="F2421" s="30"/>
      <c r="G2421" s="30"/>
      <c r="H2421" s="30"/>
      <c r="I2421" s="30"/>
      <c r="J2421" s="30"/>
      <c r="K2421" s="30"/>
      <c r="L2421" s="30"/>
      <c r="M2421" s="30"/>
      <c r="N2421" s="30"/>
      <c r="O2421" s="30"/>
      <c r="P2421" s="30"/>
      <c r="Q2421" s="30"/>
      <c r="R2421" s="30"/>
      <c r="S2421" s="30"/>
      <c r="T2421" s="30"/>
      <c r="U2421" s="30"/>
      <c r="V2421" s="30"/>
      <c r="W2421" s="30"/>
      <c r="X2421" s="30"/>
      <c r="Y2421" s="30"/>
      <c r="Z2421" s="30"/>
    </row>
    <row r="2422">
      <c r="A2422" s="29"/>
      <c r="B2422" s="29"/>
      <c r="C2422" s="30"/>
      <c r="D2422" s="30"/>
      <c r="E2422" s="30"/>
      <c r="F2422" s="30"/>
      <c r="G2422" s="30"/>
      <c r="H2422" s="30"/>
      <c r="I2422" s="30"/>
      <c r="J2422" s="30"/>
      <c r="K2422" s="30"/>
      <c r="L2422" s="30"/>
      <c r="M2422" s="30"/>
      <c r="N2422" s="30"/>
      <c r="O2422" s="30"/>
      <c r="P2422" s="30"/>
      <c r="Q2422" s="30"/>
      <c r="R2422" s="30"/>
      <c r="S2422" s="30"/>
      <c r="T2422" s="30"/>
      <c r="U2422" s="30"/>
      <c r="V2422" s="30"/>
      <c r="W2422" s="30"/>
      <c r="X2422" s="30"/>
      <c r="Y2422" s="30"/>
      <c r="Z2422" s="30"/>
    </row>
    <row r="2423">
      <c r="A2423" s="29"/>
      <c r="B2423" s="29"/>
      <c r="C2423" s="30"/>
      <c r="D2423" s="30"/>
      <c r="E2423" s="30"/>
      <c r="F2423" s="30"/>
      <c r="G2423" s="30"/>
      <c r="H2423" s="30"/>
      <c r="I2423" s="30"/>
      <c r="J2423" s="30"/>
      <c r="K2423" s="30"/>
      <c r="L2423" s="30"/>
      <c r="M2423" s="30"/>
      <c r="N2423" s="30"/>
      <c r="O2423" s="30"/>
      <c r="P2423" s="30"/>
      <c r="Q2423" s="30"/>
      <c r="R2423" s="30"/>
      <c r="S2423" s="30"/>
      <c r="T2423" s="30"/>
      <c r="U2423" s="30"/>
      <c r="V2423" s="30"/>
      <c r="W2423" s="30"/>
      <c r="X2423" s="30"/>
      <c r="Y2423" s="30"/>
      <c r="Z2423" s="30"/>
    </row>
    <row r="2424">
      <c r="A2424" s="29"/>
      <c r="B2424" s="29"/>
      <c r="C2424" s="30"/>
      <c r="D2424" s="30"/>
      <c r="E2424" s="30"/>
      <c r="F2424" s="30"/>
      <c r="G2424" s="30"/>
      <c r="H2424" s="30"/>
      <c r="I2424" s="30"/>
      <c r="J2424" s="30"/>
      <c r="K2424" s="30"/>
      <c r="L2424" s="30"/>
      <c r="M2424" s="30"/>
      <c r="N2424" s="30"/>
      <c r="O2424" s="30"/>
      <c r="P2424" s="30"/>
      <c r="Q2424" s="30"/>
      <c r="R2424" s="30"/>
      <c r="S2424" s="30"/>
      <c r="T2424" s="30"/>
      <c r="U2424" s="30"/>
      <c r="V2424" s="30"/>
      <c r="W2424" s="30"/>
      <c r="X2424" s="30"/>
      <c r="Y2424" s="30"/>
      <c r="Z2424" s="30"/>
    </row>
    <row r="2425">
      <c r="A2425" s="29"/>
      <c r="B2425" s="29"/>
      <c r="C2425" s="30"/>
      <c r="D2425" s="30"/>
      <c r="E2425" s="30"/>
      <c r="F2425" s="30"/>
      <c r="G2425" s="30"/>
      <c r="H2425" s="30"/>
      <c r="I2425" s="30"/>
      <c r="J2425" s="30"/>
      <c r="K2425" s="30"/>
      <c r="L2425" s="30"/>
      <c r="M2425" s="30"/>
      <c r="N2425" s="30"/>
      <c r="O2425" s="30"/>
      <c r="P2425" s="30"/>
      <c r="Q2425" s="30"/>
      <c r="R2425" s="30"/>
      <c r="S2425" s="30"/>
      <c r="T2425" s="30"/>
      <c r="U2425" s="30"/>
      <c r="V2425" s="30"/>
      <c r="W2425" s="30"/>
      <c r="X2425" s="30"/>
      <c r="Y2425" s="30"/>
      <c r="Z2425" s="30"/>
    </row>
    <row r="2426">
      <c r="A2426" s="29"/>
      <c r="B2426" s="29"/>
      <c r="C2426" s="30"/>
      <c r="D2426" s="30"/>
      <c r="E2426" s="30"/>
      <c r="F2426" s="30"/>
      <c r="G2426" s="30"/>
      <c r="H2426" s="30"/>
      <c r="I2426" s="30"/>
      <c r="J2426" s="30"/>
      <c r="K2426" s="30"/>
      <c r="L2426" s="30"/>
      <c r="M2426" s="30"/>
      <c r="N2426" s="30"/>
      <c r="O2426" s="30"/>
      <c r="P2426" s="30"/>
      <c r="Q2426" s="30"/>
      <c r="R2426" s="30"/>
      <c r="S2426" s="30"/>
      <c r="T2426" s="30"/>
      <c r="U2426" s="30"/>
      <c r="V2426" s="30"/>
      <c r="W2426" s="30"/>
      <c r="X2426" s="30"/>
      <c r="Y2426" s="30"/>
      <c r="Z2426" s="30"/>
    </row>
    <row r="2427">
      <c r="A2427" s="29"/>
      <c r="B2427" s="29"/>
      <c r="C2427" s="30"/>
      <c r="D2427" s="30"/>
      <c r="E2427" s="30"/>
      <c r="F2427" s="30"/>
      <c r="G2427" s="30"/>
      <c r="H2427" s="30"/>
      <c r="I2427" s="30"/>
      <c r="J2427" s="30"/>
      <c r="K2427" s="30"/>
      <c r="L2427" s="30"/>
      <c r="M2427" s="30"/>
      <c r="N2427" s="30"/>
      <c r="O2427" s="30"/>
      <c r="P2427" s="30"/>
      <c r="Q2427" s="30"/>
      <c r="R2427" s="30"/>
      <c r="S2427" s="30"/>
      <c r="T2427" s="30"/>
      <c r="U2427" s="30"/>
      <c r="V2427" s="30"/>
      <c r="W2427" s="30"/>
      <c r="X2427" s="30"/>
      <c r="Y2427" s="30"/>
      <c r="Z2427" s="30"/>
    </row>
    <row r="2428">
      <c r="A2428" s="29"/>
      <c r="B2428" s="29"/>
      <c r="C2428" s="30"/>
      <c r="D2428" s="30"/>
      <c r="E2428" s="30"/>
      <c r="F2428" s="30"/>
      <c r="G2428" s="30"/>
      <c r="H2428" s="30"/>
      <c r="I2428" s="30"/>
      <c r="J2428" s="30"/>
      <c r="K2428" s="30"/>
      <c r="L2428" s="30"/>
      <c r="M2428" s="30"/>
      <c r="N2428" s="30"/>
      <c r="O2428" s="30"/>
      <c r="P2428" s="30"/>
      <c r="Q2428" s="30"/>
      <c r="R2428" s="30"/>
      <c r="S2428" s="30"/>
      <c r="T2428" s="30"/>
      <c r="U2428" s="30"/>
      <c r="V2428" s="30"/>
      <c r="W2428" s="30"/>
      <c r="X2428" s="30"/>
      <c r="Y2428" s="30"/>
      <c r="Z2428" s="30"/>
    </row>
    <row r="2429">
      <c r="A2429" s="29"/>
      <c r="B2429" s="29"/>
      <c r="C2429" s="30"/>
      <c r="D2429" s="30"/>
      <c r="E2429" s="30"/>
      <c r="F2429" s="30"/>
      <c r="G2429" s="30"/>
      <c r="H2429" s="30"/>
      <c r="I2429" s="30"/>
      <c r="J2429" s="30"/>
      <c r="K2429" s="30"/>
      <c r="L2429" s="30"/>
      <c r="M2429" s="30"/>
      <c r="N2429" s="30"/>
      <c r="O2429" s="30"/>
      <c r="P2429" s="30"/>
      <c r="Q2429" s="30"/>
      <c r="R2429" s="30"/>
      <c r="S2429" s="30"/>
      <c r="T2429" s="30"/>
      <c r="U2429" s="30"/>
      <c r="V2429" s="30"/>
      <c r="W2429" s="30"/>
      <c r="X2429" s="30"/>
      <c r="Y2429" s="30"/>
      <c r="Z2429" s="30"/>
    </row>
    <row r="2430">
      <c r="A2430" s="29"/>
      <c r="B2430" s="29"/>
      <c r="C2430" s="30"/>
      <c r="D2430" s="30"/>
      <c r="E2430" s="30"/>
      <c r="F2430" s="30"/>
      <c r="G2430" s="30"/>
      <c r="H2430" s="30"/>
      <c r="I2430" s="30"/>
      <c r="J2430" s="30"/>
      <c r="K2430" s="30"/>
      <c r="L2430" s="30"/>
      <c r="M2430" s="30"/>
      <c r="N2430" s="30"/>
      <c r="O2430" s="30"/>
      <c r="P2430" s="30"/>
      <c r="Q2430" s="30"/>
      <c r="R2430" s="30"/>
      <c r="S2430" s="30"/>
      <c r="T2430" s="30"/>
      <c r="U2430" s="30"/>
      <c r="V2430" s="30"/>
      <c r="W2430" s="30"/>
      <c r="X2430" s="30"/>
      <c r="Y2430" s="30"/>
      <c r="Z2430" s="30"/>
    </row>
    <row r="2431">
      <c r="A2431" s="29"/>
      <c r="B2431" s="29"/>
      <c r="C2431" s="30"/>
      <c r="D2431" s="30"/>
      <c r="E2431" s="30"/>
      <c r="F2431" s="30"/>
      <c r="G2431" s="30"/>
      <c r="H2431" s="30"/>
      <c r="I2431" s="30"/>
      <c r="J2431" s="30"/>
      <c r="K2431" s="30"/>
      <c r="L2431" s="30"/>
      <c r="M2431" s="30"/>
      <c r="N2431" s="30"/>
      <c r="O2431" s="30"/>
      <c r="P2431" s="30"/>
      <c r="Q2431" s="30"/>
      <c r="R2431" s="30"/>
      <c r="S2431" s="30"/>
      <c r="T2431" s="30"/>
      <c r="U2431" s="30"/>
      <c r="V2431" s="30"/>
      <c r="W2431" s="30"/>
      <c r="X2431" s="30"/>
      <c r="Y2431" s="30"/>
      <c r="Z2431" s="30"/>
    </row>
    <row r="2432">
      <c r="A2432" s="29"/>
      <c r="B2432" s="29"/>
      <c r="C2432" s="30"/>
      <c r="D2432" s="30"/>
      <c r="E2432" s="30"/>
      <c r="F2432" s="30"/>
      <c r="G2432" s="30"/>
      <c r="H2432" s="30"/>
      <c r="I2432" s="30"/>
      <c r="J2432" s="30"/>
      <c r="K2432" s="30"/>
      <c r="L2432" s="30"/>
      <c r="M2432" s="30"/>
      <c r="N2432" s="30"/>
      <c r="O2432" s="30"/>
      <c r="P2432" s="30"/>
      <c r="Q2432" s="30"/>
      <c r="R2432" s="30"/>
      <c r="S2432" s="30"/>
      <c r="T2432" s="30"/>
      <c r="U2432" s="30"/>
      <c r="V2432" s="30"/>
      <c r="W2432" s="30"/>
      <c r="X2432" s="30"/>
      <c r="Y2432" s="30"/>
      <c r="Z2432" s="30"/>
    </row>
    <row r="2433">
      <c r="A2433" s="29"/>
      <c r="B2433" s="29"/>
      <c r="C2433" s="30"/>
      <c r="D2433" s="30"/>
      <c r="E2433" s="30"/>
      <c r="F2433" s="30"/>
      <c r="G2433" s="30"/>
      <c r="H2433" s="30"/>
      <c r="I2433" s="30"/>
      <c r="J2433" s="30"/>
      <c r="K2433" s="30"/>
      <c r="L2433" s="30"/>
      <c r="M2433" s="30"/>
      <c r="N2433" s="30"/>
      <c r="O2433" s="30"/>
      <c r="P2433" s="30"/>
      <c r="Q2433" s="30"/>
      <c r="R2433" s="30"/>
      <c r="S2433" s="30"/>
      <c r="T2433" s="30"/>
      <c r="U2433" s="30"/>
      <c r="V2433" s="30"/>
      <c r="W2433" s="30"/>
      <c r="X2433" s="30"/>
      <c r="Y2433" s="30"/>
      <c r="Z2433" s="30"/>
    </row>
    <row r="2434">
      <c r="A2434" s="29"/>
      <c r="B2434" s="29"/>
      <c r="C2434" s="30"/>
      <c r="D2434" s="30"/>
      <c r="E2434" s="30"/>
      <c r="F2434" s="30"/>
      <c r="G2434" s="30"/>
      <c r="H2434" s="30"/>
      <c r="I2434" s="30"/>
      <c r="J2434" s="30"/>
      <c r="K2434" s="30"/>
      <c r="L2434" s="30"/>
      <c r="M2434" s="30"/>
      <c r="N2434" s="30"/>
      <c r="O2434" s="30"/>
      <c r="P2434" s="30"/>
      <c r="Q2434" s="30"/>
      <c r="R2434" s="30"/>
      <c r="S2434" s="30"/>
      <c r="T2434" s="30"/>
      <c r="U2434" s="30"/>
      <c r="V2434" s="30"/>
      <c r="W2434" s="30"/>
      <c r="X2434" s="30"/>
      <c r="Y2434" s="30"/>
      <c r="Z2434" s="30"/>
    </row>
    <row r="2435">
      <c r="A2435" s="29"/>
      <c r="B2435" s="29"/>
      <c r="C2435" s="30"/>
      <c r="D2435" s="30"/>
      <c r="E2435" s="30"/>
      <c r="F2435" s="30"/>
      <c r="G2435" s="30"/>
      <c r="H2435" s="30"/>
      <c r="I2435" s="30"/>
      <c r="J2435" s="30"/>
      <c r="K2435" s="30"/>
      <c r="L2435" s="30"/>
      <c r="M2435" s="30"/>
      <c r="N2435" s="30"/>
      <c r="O2435" s="30"/>
      <c r="P2435" s="30"/>
      <c r="Q2435" s="30"/>
      <c r="R2435" s="30"/>
      <c r="S2435" s="30"/>
      <c r="T2435" s="30"/>
      <c r="U2435" s="30"/>
      <c r="V2435" s="30"/>
      <c r="W2435" s="30"/>
      <c r="X2435" s="30"/>
      <c r="Y2435" s="30"/>
      <c r="Z2435" s="30"/>
    </row>
    <row r="2436">
      <c r="A2436" s="29"/>
      <c r="B2436" s="29"/>
      <c r="C2436" s="30"/>
      <c r="D2436" s="30"/>
      <c r="E2436" s="30"/>
      <c r="F2436" s="30"/>
      <c r="G2436" s="30"/>
      <c r="H2436" s="30"/>
      <c r="I2436" s="30"/>
      <c r="J2436" s="30"/>
      <c r="K2436" s="30"/>
      <c r="L2436" s="30"/>
      <c r="M2436" s="30"/>
      <c r="N2436" s="30"/>
      <c r="O2436" s="30"/>
      <c r="P2436" s="30"/>
      <c r="Q2436" s="30"/>
      <c r="R2436" s="30"/>
      <c r="S2436" s="30"/>
      <c r="T2436" s="30"/>
      <c r="U2436" s="30"/>
      <c r="V2436" s="30"/>
      <c r="W2436" s="30"/>
      <c r="X2436" s="30"/>
      <c r="Y2436" s="30"/>
      <c r="Z2436" s="30"/>
    </row>
    <row r="2437">
      <c r="A2437" s="29"/>
      <c r="B2437" s="29"/>
      <c r="C2437" s="30"/>
      <c r="D2437" s="30"/>
      <c r="E2437" s="30"/>
      <c r="F2437" s="30"/>
      <c r="G2437" s="30"/>
      <c r="H2437" s="30"/>
      <c r="I2437" s="30"/>
      <c r="J2437" s="30"/>
      <c r="K2437" s="30"/>
      <c r="L2437" s="30"/>
      <c r="M2437" s="30"/>
      <c r="N2437" s="30"/>
      <c r="O2437" s="30"/>
      <c r="P2437" s="30"/>
      <c r="Q2437" s="30"/>
      <c r="R2437" s="30"/>
      <c r="S2437" s="30"/>
      <c r="T2437" s="30"/>
      <c r="U2437" s="30"/>
      <c r="V2437" s="30"/>
      <c r="W2437" s="30"/>
      <c r="X2437" s="30"/>
      <c r="Y2437" s="30"/>
      <c r="Z2437" s="30"/>
    </row>
    <row r="2438">
      <c r="A2438" s="29"/>
      <c r="B2438" s="29"/>
      <c r="C2438" s="30"/>
      <c r="D2438" s="30"/>
      <c r="E2438" s="30"/>
      <c r="F2438" s="30"/>
      <c r="G2438" s="30"/>
      <c r="H2438" s="30"/>
      <c r="I2438" s="30"/>
      <c r="J2438" s="30"/>
      <c r="K2438" s="30"/>
      <c r="L2438" s="30"/>
      <c r="M2438" s="30"/>
      <c r="N2438" s="30"/>
      <c r="O2438" s="30"/>
      <c r="P2438" s="30"/>
      <c r="Q2438" s="30"/>
      <c r="R2438" s="30"/>
      <c r="S2438" s="30"/>
      <c r="T2438" s="30"/>
      <c r="U2438" s="30"/>
      <c r="V2438" s="30"/>
      <c r="W2438" s="30"/>
      <c r="X2438" s="30"/>
      <c r="Y2438" s="30"/>
      <c r="Z2438" s="30"/>
    </row>
    <row r="2439">
      <c r="A2439" s="29"/>
      <c r="B2439" s="29"/>
      <c r="C2439" s="30"/>
      <c r="D2439" s="30"/>
      <c r="E2439" s="30"/>
      <c r="F2439" s="30"/>
      <c r="G2439" s="30"/>
      <c r="H2439" s="30"/>
      <c r="I2439" s="30"/>
      <c r="J2439" s="30"/>
      <c r="K2439" s="30"/>
      <c r="L2439" s="30"/>
      <c r="M2439" s="30"/>
      <c r="N2439" s="30"/>
      <c r="O2439" s="30"/>
      <c r="P2439" s="30"/>
      <c r="Q2439" s="30"/>
      <c r="R2439" s="30"/>
      <c r="S2439" s="30"/>
      <c r="T2439" s="30"/>
      <c r="U2439" s="30"/>
      <c r="V2439" s="30"/>
      <c r="W2439" s="30"/>
      <c r="X2439" s="30"/>
      <c r="Y2439" s="30"/>
      <c r="Z2439" s="30"/>
    </row>
    <row r="2440">
      <c r="A2440" s="29"/>
      <c r="B2440" s="29"/>
      <c r="C2440" s="30"/>
      <c r="D2440" s="30"/>
      <c r="E2440" s="30"/>
      <c r="F2440" s="30"/>
      <c r="G2440" s="30"/>
      <c r="H2440" s="30"/>
      <c r="I2440" s="30"/>
      <c r="J2440" s="30"/>
      <c r="K2440" s="30"/>
      <c r="L2440" s="30"/>
      <c r="M2440" s="30"/>
      <c r="N2440" s="30"/>
      <c r="O2440" s="30"/>
      <c r="P2440" s="30"/>
      <c r="Q2440" s="30"/>
      <c r="R2440" s="30"/>
      <c r="S2440" s="30"/>
      <c r="T2440" s="30"/>
      <c r="U2440" s="30"/>
      <c r="V2440" s="30"/>
      <c r="W2440" s="30"/>
      <c r="X2440" s="30"/>
      <c r="Y2440" s="30"/>
      <c r="Z2440" s="30"/>
    </row>
    <row r="2441">
      <c r="A2441" s="29"/>
      <c r="B2441" s="29"/>
      <c r="C2441" s="30"/>
      <c r="D2441" s="30"/>
      <c r="E2441" s="30"/>
      <c r="F2441" s="30"/>
      <c r="G2441" s="30"/>
      <c r="H2441" s="30"/>
      <c r="I2441" s="30"/>
      <c r="J2441" s="30"/>
      <c r="K2441" s="30"/>
      <c r="L2441" s="30"/>
      <c r="M2441" s="30"/>
      <c r="N2441" s="30"/>
      <c r="O2441" s="30"/>
      <c r="P2441" s="30"/>
      <c r="Q2441" s="30"/>
      <c r="R2441" s="30"/>
      <c r="S2441" s="30"/>
      <c r="T2441" s="30"/>
      <c r="U2441" s="30"/>
      <c r="V2441" s="30"/>
      <c r="W2441" s="30"/>
      <c r="X2441" s="30"/>
      <c r="Y2441" s="30"/>
      <c r="Z2441" s="30"/>
    </row>
    <row r="2442">
      <c r="A2442" s="29"/>
      <c r="B2442" s="29"/>
      <c r="C2442" s="30"/>
      <c r="D2442" s="30"/>
      <c r="E2442" s="30"/>
      <c r="F2442" s="30"/>
      <c r="G2442" s="30"/>
      <c r="H2442" s="30"/>
      <c r="I2442" s="30"/>
      <c r="J2442" s="30"/>
      <c r="K2442" s="30"/>
      <c r="L2442" s="30"/>
      <c r="M2442" s="30"/>
      <c r="N2442" s="30"/>
      <c r="O2442" s="30"/>
      <c r="P2442" s="30"/>
      <c r="Q2442" s="30"/>
      <c r="R2442" s="30"/>
      <c r="S2442" s="30"/>
      <c r="T2442" s="30"/>
      <c r="U2442" s="30"/>
      <c r="V2442" s="30"/>
      <c r="W2442" s="30"/>
      <c r="X2442" s="30"/>
      <c r="Y2442" s="30"/>
      <c r="Z2442" s="30"/>
    </row>
    <row r="2443">
      <c r="A2443" s="29"/>
      <c r="B2443" s="29"/>
      <c r="C2443" s="30"/>
      <c r="D2443" s="30"/>
      <c r="E2443" s="30"/>
      <c r="F2443" s="30"/>
      <c r="G2443" s="30"/>
      <c r="H2443" s="30"/>
      <c r="I2443" s="30"/>
      <c r="J2443" s="30"/>
      <c r="K2443" s="30"/>
      <c r="L2443" s="30"/>
      <c r="M2443" s="30"/>
      <c r="N2443" s="30"/>
      <c r="O2443" s="30"/>
      <c r="P2443" s="30"/>
      <c r="Q2443" s="30"/>
      <c r="R2443" s="30"/>
      <c r="S2443" s="30"/>
      <c r="T2443" s="30"/>
      <c r="U2443" s="30"/>
      <c r="V2443" s="30"/>
      <c r="W2443" s="30"/>
      <c r="X2443" s="30"/>
      <c r="Y2443" s="30"/>
      <c r="Z2443" s="30"/>
    </row>
    <row r="2444">
      <c r="A2444" s="29"/>
      <c r="B2444" s="29"/>
      <c r="C2444" s="30"/>
      <c r="D2444" s="30"/>
      <c r="E2444" s="30"/>
      <c r="F2444" s="30"/>
      <c r="G2444" s="30"/>
      <c r="H2444" s="30"/>
      <c r="I2444" s="30"/>
      <c r="J2444" s="30"/>
      <c r="K2444" s="30"/>
      <c r="L2444" s="30"/>
      <c r="M2444" s="30"/>
      <c r="N2444" s="30"/>
      <c r="O2444" s="30"/>
      <c r="P2444" s="30"/>
      <c r="Q2444" s="30"/>
      <c r="R2444" s="30"/>
      <c r="S2444" s="30"/>
      <c r="T2444" s="30"/>
      <c r="U2444" s="30"/>
      <c r="V2444" s="30"/>
      <c r="W2444" s="30"/>
      <c r="X2444" s="30"/>
      <c r="Y2444" s="30"/>
      <c r="Z2444" s="30"/>
    </row>
    <row r="2445">
      <c r="A2445" s="29"/>
      <c r="B2445" s="29"/>
      <c r="C2445" s="30"/>
      <c r="D2445" s="30"/>
      <c r="E2445" s="30"/>
      <c r="F2445" s="30"/>
      <c r="G2445" s="30"/>
      <c r="H2445" s="30"/>
      <c r="I2445" s="30"/>
      <c r="J2445" s="30"/>
      <c r="K2445" s="30"/>
      <c r="L2445" s="30"/>
      <c r="M2445" s="30"/>
      <c r="N2445" s="30"/>
      <c r="O2445" s="30"/>
      <c r="P2445" s="30"/>
      <c r="Q2445" s="30"/>
      <c r="R2445" s="30"/>
      <c r="S2445" s="30"/>
      <c r="T2445" s="30"/>
      <c r="U2445" s="30"/>
      <c r="V2445" s="30"/>
      <c r="W2445" s="30"/>
      <c r="X2445" s="30"/>
      <c r="Y2445" s="30"/>
      <c r="Z2445" s="30"/>
    </row>
    <row r="2446">
      <c r="A2446" s="29"/>
      <c r="B2446" s="29"/>
      <c r="C2446" s="30"/>
      <c r="D2446" s="30"/>
      <c r="E2446" s="30"/>
      <c r="F2446" s="30"/>
      <c r="G2446" s="30"/>
      <c r="H2446" s="30"/>
      <c r="I2446" s="30"/>
      <c r="J2446" s="30"/>
      <c r="K2446" s="30"/>
      <c r="L2446" s="30"/>
      <c r="M2446" s="30"/>
      <c r="N2446" s="30"/>
      <c r="O2446" s="30"/>
      <c r="P2446" s="30"/>
      <c r="Q2446" s="30"/>
      <c r="R2446" s="30"/>
      <c r="S2446" s="30"/>
      <c r="T2446" s="30"/>
      <c r="U2446" s="30"/>
      <c r="V2446" s="30"/>
      <c r="W2446" s="30"/>
      <c r="X2446" s="30"/>
      <c r="Y2446" s="30"/>
      <c r="Z2446" s="30"/>
    </row>
    <row r="2447">
      <c r="A2447" s="29"/>
      <c r="B2447" s="29"/>
      <c r="C2447" s="30"/>
      <c r="D2447" s="30"/>
      <c r="E2447" s="30"/>
      <c r="F2447" s="30"/>
      <c r="G2447" s="30"/>
      <c r="H2447" s="30"/>
      <c r="I2447" s="30"/>
      <c r="J2447" s="30"/>
      <c r="K2447" s="30"/>
      <c r="L2447" s="30"/>
      <c r="M2447" s="30"/>
      <c r="N2447" s="30"/>
      <c r="O2447" s="30"/>
      <c r="P2447" s="30"/>
      <c r="Q2447" s="30"/>
      <c r="R2447" s="30"/>
      <c r="S2447" s="30"/>
      <c r="T2447" s="30"/>
      <c r="U2447" s="30"/>
      <c r="V2447" s="30"/>
      <c r="W2447" s="30"/>
      <c r="X2447" s="30"/>
      <c r="Y2447" s="30"/>
      <c r="Z2447" s="30"/>
    </row>
    <row r="2448">
      <c r="A2448" s="29"/>
      <c r="B2448" s="29"/>
      <c r="C2448" s="30"/>
      <c r="D2448" s="30"/>
      <c r="E2448" s="30"/>
      <c r="F2448" s="30"/>
      <c r="G2448" s="30"/>
      <c r="H2448" s="30"/>
      <c r="I2448" s="30"/>
      <c r="J2448" s="30"/>
      <c r="K2448" s="30"/>
      <c r="L2448" s="30"/>
      <c r="M2448" s="30"/>
      <c r="N2448" s="30"/>
      <c r="O2448" s="30"/>
      <c r="P2448" s="30"/>
      <c r="Q2448" s="30"/>
      <c r="R2448" s="30"/>
      <c r="S2448" s="30"/>
      <c r="T2448" s="30"/>
      <c r="U2448" s="30"/>
      <c r="V2448" s="30"/>
      <c r="W2448" s="30"/>
      <c r="X2448" s="30"/>
      <c r="Y2448" s="30"/>
      <c r="Z2448" s="30"/>
    </row>
    <row r="2449">
      <c r="A2449" s="29"/>
      <c r="B2449" s="29"/>
      <c r="C2449" s="30"/>
      <c r="D2449" s="30"/>
      <c r="E2449" s="30"/>
      <c r="F2449" s="30"/>
      <c r="G2449" s="30"/>
      <c r="H2449" s="30"/>
      <c r="I2449" s="30"/>
      <c r="J2449" s="30"/>
      <c r="K2449" s="30"/>
      <c r="L2449" s="30"/>
      <c r="M2449" s="30"/>
      <c r="N2449" s="30"/>
      <c r="O2449" s="30"/>
      <c r="P2449" s="30"/>
      <c r="Q2449" s="30"/>
      <c r="R2449" s="30"/>
      <c r="S2449" s="30"/>
      <c r="T2449" s="30"/>
      <c r="U2449" s="30"/>
      <c r="V2449" s="30"/>
      <c r="W2449" s="30"/>
      <c r="X2449" s="30"/>
      <c r="Y2449" s="30"/>
      <c r="Z2449" s="30"/>
    </row>
    <row r="2450">
      <c r="A2450" s="29"/>
      <c r="B2450" s="29"/>
      <c r="C2450" s="30"/>
      <c r="D2450" s="30"/>
      <c r="E2450" s="30"/>
      <c r="F2450" s="30"/>
      <c r="G2450" s="30"/>
      <c r="H2450" s="30"/>
      <c r="I2450" s="30"/>
      <c r="J2450" s="30"/>
      <c r="K2450" s="30"/>
      <c r="L2450" s="30"/>
      <c r="M2450" s="30"/>
      <c r="N2450" s="30"/>
      <c r="O2450" s="30"/>
      <c r="P2450" s="30"/>
      <c r="Q2450" s="30"/>
      <c r="R2450" s="30"/>
      <c r="S2450" s="30"/>
      <c r="T2450" s="30"/>
      <c r="U2450" s="30"/>
      <c r="V2450" s="30"/>
      <c r="W2450" s="30"/>
      <c r="X2450" s="30"/>
      <c r="Y2450" s="30"/>
      <c r="Z2450" s="30"/>
    </row>
    <row r="2451">
      <c r="A2451" s="29"/>
      <c r="B2451" s="29"/>
      <c r="C2451" s="30"/>
      <c r="D2451" s="30"/>
      <c r="E2451" s="30"/>
      <c r="F2451" s="30"/>
      <c r="G2451" s="30"/>
      <c r="H2451" s="30"/>
      <c r="I2451" s="30"/>
      <c r="J2451" s="30"/>
      <c r="K2451" s="30"/>
      <c r="L2451" s="30"/>
      <c r="M2451" s="30"/>
      <c r="N2451" s="30"/>
      <c r="O2451" s="30"/>
      <c r="P2451" s="30"/>
      <c r="Q2451" s="30"/>
      <c r="R2451" s="30"/>
      <c r="S2451" s="30"/>
      <c r="T2451" s="30"/>
      <c r="U2451" s="30"/>
      <c r="V2451" s="30"/>
      <c r="W2451" s="30"/>
      <c r="X2451" s="30"/>
      <c r="Y2451" s="30"/>
      <c r="Z2451" s="30"/>
    </row>
    <row r="2452">
      <c r="A2452" s="29"/>
      <c r="B2452" s="29"/>
      <c r="C2452" s="30"/>
      <c r="D2452" s="30"/>
      <c r="E2452" s="30"/>
      <c r="F2452" s="30"/>
      <c r="G2452" s="30"/>
      <c r="H2452" s="30"/>
      <c r="I2452" s="30"/>
      <c r="J2452" s="30"/>
      <c r="K2452" s="30"/>
      <c r="L2452" s="30"/>
      <c r="M2452" s="30"/>
      <c r="N2452" s="30"/>
      <c r="O2452" s="30"/>
      <c r="P2452" s="30"/>
      <c r="Q2452" s="30"/>
      <c r="R2452" s="30"/>
      <c r="S2452" s="30"/>
      <c r="T2452" s="30"/>
      <c r="U2452" s="30"/>
      <c r="V2452" s="30"/>
      <c r="W2452" s="30"/>
      <c r="X2452" s="30"/>
      <c r="Y2452" s="30"/>
      <c r="Z2452" s="30"/>
    </row>
    <row r="2453">
      <c r="A2453" s="29"/>
      <c r="B2453" s="29"/>
      <c r="C2453" s="30"/>
      <c r="D2453" s="30"/>
      <c r="E2453" s="30"/>
      <c r="F2453" s="30"/>
      <c r="G2453" s="30"/>
      <c r="H2453" s="30"/>
      <c r="I2453" s="30"/>
      <c r="J2453" s="30"/>
      <c r="K2453" s="30"/>
      <c r="L2453" s="30"/>
      <c r="M2453" s="30"/>
      <c r="N2453" s="30"/>
      <c r="O2453" s="30"/>
      <c r="P2453" s="30"/>
      <c r="Q2453" s="30"/>
      <c r="R2453" s="30"/>
      <c r="S2453" s="30"/>
      <c r="T2453" s="30"/>
      <c r="U2453" s="30"/>
      <c r="V2453" s="30"/>
      <c r="W2453" s="30"/>
      <c r="X2453" s="30"/>
      <c r="Y2453" s="30"/>
      <c r="Z2453" s="30"/>
    </row>
    <row r="2454">
      <c r="A2454" s="29"/>
      <c r="B2454" s="29"/>
      <c r="C2454" s="30"/>
      <c r="D2454" s="30"/>
      <c r="E2454" s="30"/>
      <c r="F2454" s="30"/>
      <c r="G2454" s="30"/>
      <c r="H2454" s="30"/>
      <c r="I2454" s="30"/>
      <c r="J2454" s="30"/>
      <c r="K2454" s="30"/>
      <c r="L2454" s="30"/>
      <c r="M2454" s="30"/>
      <c r="N2454" s="30"/>
      <c r="O2454" s="30"/>
      <c r="P2454" s="30"/>
      <c r="Q2454" s="30"/>
      <c r="R2454" s="30"/>
      <c r="S2454" s="30"/>
      <c r="T2454" s="30"/>
      <c r="U2454" s="30"/>
      <c r="V2454" s="30"/>
      <c r="W2454" s="30"/>
      <c r="X2454" s="30"/>
      <c r="Y2454" s="30"/>
      <c r="Z2454" s="30"/>
    </row>
    <row r="2455">
      <c r="A2455" s="29"/>
      <c r="B2455" s="29"/>
      <c r="C2455" s="30"/>
      <c r="D2455" s="30"/>
      <c r="E2455" s="30"/>
      <c r="F2455" s="30"/>
      <c r="G2455" s="30"/>
      <c r="H2455" s="30"/>
      <c r="I2455" s="30"/>
      <c r="J2455" s="30"/>
      <c r="K2455" s="30"/>
      <c r="L2455" s="30"/>
      <c r="M2455" s="30"/>
      <c r="N2455" s="30"/>
      <c r="O2455" s="30"/>
      <c r="P2455" s="30"/>
      <c r="Q2455" s="30"/>
      <c r="R2455" s="30"/>
      <c r="S2455" s="30"/>
      <c r="T2455" s="30"/>
      <c r="U2455" s="30"/>
      <c r="V2455" s="30"/>
      <c r="W2455" s="30"/>
      <c r="X2455" s="30"/>
      <c r="Y2455" s="30"/>
      <c r="Z2455" s="30"/>
    </row>
    <row r="2456">
      <c r="A2456" s="29"/>
      <c r="B2456" s="29"/>
      <c r="C2456" s="30"/>
      <c r="D2456" s="30"/>
      <c r="E2456" s="30"/>
      <c r="F2456" s="30"/>
      <c r="G2456" s="30"/>
      <c r="H2456" s="30"/>
      <c r="I2456" s="30"/>
      <c r="J2456" s="30"/>
      <c r="K2456" s="30"/>
      <c r="L2456" s="30"/>
      <c r="M2456" s="30"/>
      <c r="N2456" s="30"/>
      <c r="O2456" s="30"/>
      <c r="P2456" s="30"/>
      <c r="Q2456" s="30"/>
      <c r="R2456" s="30"/>
      <c r="S2456" s="30"/>
      <c r="T2456" s="30"/>
      <c r="U2456" s="30"/>
      <c r="V2456" s="30"/>
      <c r="W2456" s="30"/>
      <c r="X2456" s="30"/>
      <c r="Y2456" s="30"/>
      <c r="Z2456" s="30"/>
    </row>
    <row r="2457">
      <c r="A2457" s="29"/>
      <c r="B2457" s="29"/>
      <c r="C2457" s="30"/>
      <c r="D2457" s="30"/>
      <c r="E2457" s="30"/>
      <c r="F2457" s="30"/>
      <c r="G2457" s="30"/>
      <c r="H2457" s="30"/>
      <c r="I2457" s="30"/>
      <c r="J2457" s="30"/>
      <c r="K2457" s="30"/>
      <c r="L2457" s="30"/>
      <c r="M2457" s="30"/>
      <c r="N2457" s="30"/>
      <c r="O2457" s="30"/>
      <c r="P2457" s="30"/>
      <c r="Q2457" s="30"/>
      <c r="R2457" s="30"/>
      <c r="S2457" s="30"/>
      <c r="T2457" s="30"/>
      <c r="U2457" s="30"/>
      <c r="V2457" s="30"/>
      <c r="W2457" s="30"/>
      <c r="X2457" s="30"/>
      <c r="Y2457" s="30"/>
      <c r="Z2457" s="30"/>
    </row>
    <row r="2458">
      <c r="A2458" s="29"/>
      <c r="B2458" s="29"/>
      <c r="C2458" s="30"/>
      <c r="D2458" s="30"/>
      <c r="E2458" s="30"/>
      <c r="F2458" s="30"/>
      <c r="G2458" s="30"/>
      <c r="H2458" s="30"/>
      <c r="I2458" s="30"/>
      <c r="J2458" s="30"/>
      <c r="K2458" s="30"/>
      <c r="L2458" s="30"/>
      <c r="M2458" s="30"/>
      <c r="N2458" s="30"/>
      <c r="O2458" s="30"/>
      <c r="P2458" s="30"/>
      <c r="Q2458" s="30"/>
      <c r="R2458" s="30"/>
      <c r="S2458" s="30"/>
      <c r="T2458" s="30"/>
      <c r="U2458" s="30"/>
      <c r="V2458" s="30"/>
      <c r="W2458" s="30"/>
      <c r="X2458" s="30"/>
      <c r="Y2458" s="30"/>
      <c r="Z2458" s="30"/>
    </row>
    <row r="2459">
      <c r="A2459" s="29"/>
      <c r="B2459" s="29"/>
      <c r="C2459" s="30"/>
      <c r="D2459" s="30"/>
      <c r="E2459" s="30"/>
      <c r="F2459" s="30"/>
      <c r="G2459" s="30"/>
      <c r="H2459" s="30"/>
      <c r="I2459" s="30"/>
      <c r="J2459" s="30"/>
      <c r="K2459" s="30"/>
      <c r="L2459" s="30"/>
      <c r="M2459" s="30"/>
      <c r="N2459" s="30"/>
      <c r="O2459" s="30"/>
      <c r="P2459" s="30"/>
      <c r="Q2459" s="30"/>
      <c r="R2459" s="30"/>
      <c r="S2459" s="30"/>
      <c r="T2459" s="30"/>
      <c r="U2459" s="30"/>
      <c r="V2459" s="30"/>
      <c r="W2459" s="30"/>
      <c r="X2459" s="30"/>
      <c r="Y2459" s="30"/>
      <c r="Z2459" s="30"/>
    </row>
    <row r="2460">
      <c r="A2460" s="29"/>
      <c r="B2460" s="29"/>
      <c r="C2460" s="30"/>
      <c r="D2460" s="30"/>
      <c r="E2460" s="30"/>
      <c r="F2460" s="30"/>
      <c r="G2460" s="30"/>
      <c r="H2460" s="30"/>
      <c r="I2460" s="30"/>
      <c r="J2460" s="30"/>
      <c r="K2460" s="30"/>
      <c r="L2460" s="30"/>
      <c r="M2460" s="30"/>
      <c r="N2460" s="30"/>
      <c r="O2460" s="30"/>
      <c r="P2460" s="30"/>
      <c r="Q2460" s="30"/>
      <c r="R2460" s="30"/>
      <c r="S2460" s="30"/>
      <c r="T2460" s="30"/>
      <c r="U2460" s="30"/>
      <c r="V2460" s="30"/>
      <c r="W2460" s="30"/>
      <c r="X2460" s="30"/>
      <c r="Y2460" s="30"/>
      <c r="Z2460" s="30"/>
    </row>
    <row r="2461">
      <c r="A2461" s="29"/>
      <c r="B2461" s="29"/>
      <c r="C2461" s="30"/>
      <c r="D2461" s="30"/>
      <c r="E2461" s="30"/>
      <c r="F2461" s="30"/>
      <c r="G2461" s="30"/>
      <c r="H2461" s="30"/>
      <c r="I2461" s="30"/>
      <c r="J2461" s="30"/>
      <c r="K2461" s="30"/>
      <c r="L2461" s="30"/>
      <c r="M2461" s="30"/>
      <c r="N2461" s="30"/>
      <c r="O2461" s="30"/>
      <c r="P2461" s="30"/>
      <c r="Q2461" s="30"/>
      <c r="R2461" s="30"/>
      <c r="S2461" s="30"/>
      <c r="T2461" s="30"/>
      <c r="U2461" s="30"/>
      <c r="V2461" s="30"/>
      <c r="W2461" s="30"/>
      <c r="X2461" s="30"/>
      <c r="Y2461" s="30"/>
      <c r="Z2461" s="30"/>
    </row>
    <row r="2462">
      <c r="A2462" s="29"/>
      <c r="B2462" s="29"/>
      <c r="C2462" s="30"/>
      <c r="D2462" s="30"/>
      <c r="E2462" s="30"/>
      <c r="F2462" s="30"/>
      <c r="G2462" s="30"/>
      <c r="H2462" s="30"/>
      <c r="I2462" s="30"/>
      <c r="J2462" s="30"/>
      <c r="K2462" s="30"/>
      <c r="L2462" s="30"/>
      <c r="M2462" s="30"/>
      <c r="N2462" s="30"/>
      <c r="O2462" s="30"/>
      <c r="P2462" s="30"/>
      <c r="Q2462" s="30"/>
      <c r="R2462" s="30"/>
      <c r="S2462" s="30"/>
      <c r="T2462" s="30"/>
      <c r="U2462" s="30"/>
      <c r="V2462" s="30"/>
      <c r="W2462" s="30"/>
      <c r="X2462" s="30"/>
      <c r="Y2462" s="30"/>
      <c r="Z2462" s="30"/>
    </row>
    <row r="2463">
      <c r="A2463" s="29"/>
      <c r="B2463" s="29"/>
      <c r="C2463" s="30"/>
      <c r="D2463" s="30"/>
      <c r="E2463" s="30"/>
      <c r="F2463" s="30"/>
      <c r="G2463" s="30"/>
      <c r="H2463" s="30"/>
      <c r="I2463" s="30"/>
      <c r="J2463" s="30"/>
      <c r="K2463" s="30"/>
      <c r="L2463" s="30"/>
      <c r="M2463" s="30"/>
      <c r="N2463" s="30"/>
      <c r="O2463" s="30"/>
      <c r="P2463" s="30"/>
      <c r="Q2463" s="30"/>
      <c r="R2463" s="30"/>
      <c r="S2463" s="30"/>
      <c r="T2463" s="30"/>
      <c r="U2463" s="30"/>
      <c r="V2463" s="30"/>
      <c r="W2463" s="30"/>
      <c r="X2463" s="30"/>
      <c r="Y2463" s="30"/>
      <c r="Z2463" s="30"/>
    </row>
    <row r="2464">
      <c r="A2464" s="29"/>
      <c r="B2464" s="29"/>
      <c r="C2464" s="30"/>
      <c r="D2464" s="30"/>
      <c r="E2464" s="30"/>
      <c r="F2464" s="30"/>
      <c r="G2464" s="30"/>
      <c r="H2464" s="30"/>
      <c r="I2464" s="30"/>
      <c r="J2464" s="30"/>
      <c r="K2464" s="30"/>
      <c r="L2464" s="30"/>
      <c r="M2464" s="30"/>
      <c r="N2464" s="30"/>
      <c r="O2464" s="30"/>
      <c r="P2464" s="30"/>
      <c r="Q2464" s="30"/>
      <c r="R2464" s="30"/>
      <c r="S2464" s="30"/>
      <c r="T2464" s="30"/>
      <c r="U2464" s="30"/>
      <c r="V2464" s="30"/>
      <c r="W2464" s="30"/>
      <c r="X2464" s="30"/>
      <c r="Y2464" s="30"/>
      <c r="Z2464" s="30"/>
    </row>
    <row r="2465">
      <c r="A2465" s="29"/>
      <c r="B2465" s="29"/>
      <c r="C2465" s="30"/>
      <c r="D2465" s="30"/>
      <c r="E2465" s="30"/>
      <c r="F2465" s="30"/>
      <c r="G2465" s="30"/>
      <c r="H2465" s="30"/>
      <c r="I2465" s="30"/>
      <c r="J2465" s="30"/>
      <c r="K2465" s="30"/>
      <c r="L2465" s="30"/>
      <c r="M2465" s="30"/>
      <c r="N2465" s="30"/>
      <c r="O2465" s="30"/>
      <c r="P2465" s="30"/>
      <c r="Q2465" s="30"/>
      <c r="R2465" s="30"/>
      <c r="S2465" s="30"/>
      <c r="T2465" s="30"/>
      <c r="U2465" s="30"/>
      <c r="V2465" s="30"/>
      <c r="W2465" s="30"/>
      <c r="X2465" s="30"/>
      <c r="Y2465" s="30"/>
      <c r="Z2465" s="30"/>
    </row>
    <row r="2466">
      <c r="A2466" s="29"/>
      <c r="B2466" s="29"/>
      <c r="C2466" s="30"/>
      <c r="D2466" s="30"/>
      <c r="E2466" s="30"/>
      <c r="F2466" s="30"/>
      <c r="G2466" s="30"/>
      <c r="H2466" s="30"/>
      <c r="I2466" s="30"/>
      <c r="J2466" s="30"/>
      <c r="K2466" s="30"/>
      <c r="L2466" s="30"/>
      <c r="M2466" s="30"/>
      <c r="N2466" s="30"/>
      <c r="O2466" s="30"/>
      <c r="P2466" s="30"/>
      <c r="Q2466" s="30"/>
      <c r="R2466" s="30"/>
      <c r="S2466" s="30"/>
      <c r="T2466" s="30"/>
      <c r="U2466" s="30"/>
      <c r="V2466" s="30"/>
      <c r="W2466" s="30"/>
      <c r="X2466" s="30"/>
      <c r="Y2466" s="30"/>
      <c r="Z2466" s="30"/>
    </row>
    <row r="2467">
      <c r="A2467" s="29"/>
      <c r="B2467" s="29"/>
      <c r="C2467" s="30"/>
      <c r="D2467" s="30"/>
      <c r="E2467" s="30"/>
      <c r="F2467" s="30"/>
      <c r="G2467" s="30"/>
      <c r="H2467" s="30"/>
      <c r="I2467" s="30"/>
      <c r="J2467" s="30"/>
      <c r="K2467" s="30"/>
      <c r="L2467" s="30"/>
      <c r="M2467" s="30"/>
      <c r="N2467" s="30"/>
      <c r="O2467" s="30"/>
      <c r="P2467" s="30"/>
      <c r="Q2467" s="30"/>
      <c r="R2467" s="30"/>
      <c r="S2467" s="30"/>
      <c r="T2467" s="30"/>
      <c r="U2467" s="30"/>
      <c r="V2467" s="30"/>
      <c r="W2467" s="30"/>
      <c r="X2467" s="30"/>
      <c r="Y2467" s="30"/>
      <c r="Z2467" s="30"/>
    </row>
    <row r="2468">
      <c r="A2468" s="29"/>
      <c r="B2468" s="29"/>
      <c r="C2468" s="30"/>
      <c r="D2468" s="30"/>
      <c r="E2468" s="30"/>
      <c r="F2468" s="30"/>
      <c r="G2468" s="30"/>
      <c r="H2468" s="30"/>
      <c r="I2468" s="30"/>
      <c r="J2468" s="30"/>
      <c r="K2468" s="30"/>
      <c r="L2468" s="30"/>
      <c r="M2468" s="30"/>
      <c r="N2468" s="30"/>
      <c r="O2468" s="30"/>
      <c r="P2468" s="30"/>
      <c r="Q2468" s="30"/>
      <c r="R2468" s="30"/>
      <c r="S2468" s="30"/>
      <c r="T2468" s="30"/>
      <c r="U2468" s="30"/>
      <c r="V2468" s="30"/>
      <c r="W2468" s="30"/>
      <c r="X2468" s="30"/>
      <c r="Y2468" s="30"/>
      <c r="Z2468" s="30"/>
    </row>
    <row r="2469">
      <c r="A2469" s="29"/>
      <c r="B2469" s="29"/>
      <c r="C2469" s="30"/>
      <c r="D2469" s="30"/>
      <c r="E2469" s="30"/>
      <c r="F2469" s="30"/>
      <c r="G2469" s="30"/>
      <c r="H2469" s="30"/>
      <c r="I2469" s="30"/>
      <c r="J2469" s="30"/>
      <c r="K2469" s="30"/>
      <c r="L2469" s="30"/>
      <c r="M2469" s="30"/>
      <c r="N2469" s="30"/>
      <c r="O2469" s="30"/>
      <c r="P2469" s="30"/>
      <c r="Q2469" s="30"/>
      <c r="R2469" s="30"/>
      <c r="S2469" s="30"/>
      <c r="T2469" s="30"/>
      <c r="U2469" s="30"/>
      <c r="V2469" s="30"/>
      <c r="W2469" s="30"/>
      <c r="X2469" s="30"/>
      <c r="Y2469" s="30"/>
      <c r="Z2469" s="30"/>
    </row>
    <row r="2470">
      <c r="A2470" s="29"/>
      <c r="B2470" s="29"/>
      <c r="C2470" s="30"/>
      <c r="D2470" s="30"/>
      <c r="E2470" s="30"/>
      <c r="F2470" s="30"/>
      <c r="G2470" s="30"/>
      <c r="H2470" s="30"/>
      <c r="I2470" s="30"/>
      <c r="J2470" s="30"/>
      <c r="K2470" s="30"/>
      <c r="L2470" s="30"/>
      <c r="M2470" s="30"/>
      <c r="N2470" s="30"/>
      <c r="O2470" s="30"/>
      <c r="P2470" s="30"/>
      <c r="Q2470" s="30"/>
      <c r="R2470" s="30"/>
      <c r="S2470" s="30"/>
      <c r="T2470" s="30"/>
      <c r="U2470" s="30"/>
      <c r="V2470" s="30"/>
      <c r="W2470" s="30"/>
      <c r="X2470" s="30"/>
      <c r="Y2470" s="30"/>
      <c r="Z2470" s="30"/>
    </row>
    <row r="2471">
      <c r="A2471" s="29"/>
      <c r="B2471" s="29"/>
      <c r="C2471" s="30"/>
      <c r="D2471" s="30"/>
      <c r="E2471" s="30"/>
      <c r="F2471" s="30"/>
      <c r="G2471" s="30"/>
      <c r="H2471" s="30"/>
      <c r="I2471" s="30"/>
      <c r="J2471" s="30"/>
      <c r="K2471" s="30"/>
      <c r="L2471" s="30"/>
      <c r="M2471" s="30"/>
      <c r="N2471" s="30"/>
      <c r="O2471" s="30"/>
      <c r="P2471" s="30"/>
      <c r="Q2471" s="30"/>
      <c r="R2471" s="30"/>
      <c r="S2471" s="30"/>
      <c r="T2471" s="30"/>
      <c r="U2471" s="30"/>
      <c r="V2471" s="30"/>
      <c r="W2471" s="30"/>
      <c r="X2471" s="30"/>
      <c r="Y2471" s="30"/>
      <c r="Z2471" s="30"/>
    </row>
    <row r="2472">
      <c r="A2472" s="29"/>
      <c r="B2472" s="29"/>
      <c r="C2472" s="30"/>
      <c r="D2472" s="30"/>
      <c r="E2472" s="30"/>
      <c r="F2472" s="30"/>
      <c r="G2472" s="30"/>
      <c r="H2472" s="30"/>
      <c r="I2472" s="30"/>
      <c r="J2472" s="30"/>
      <c r="K2472" s="30"/>
      <c r="L2472" s="30"/>
      <c r="M2472" s="30"/>
      <c r="N2472" s="30"/>
      <c r="O2472" s="30"/>
      <c r="P2472" s="30"/>
      <c r="Q2472" s="30"/>
      <c r="R2472" s="30"/>
      <c r="S2472" s="30"/>
      <c r="T2472" s="30"/>
      <c r="U2472" s="30"/>
      <c r="V2472" s="30"/>
      <c r="W2472" s="30"/>
      <c r="X2472" s="30"/>
      <c r="Y2472" s="30"/>
      <c r="Z2472" s="30"/>
    </row>
    <row r="2473">
      <c r="A2473" s="29"/>
      <c r="B2473" s="29"/>
      <c r="C2473" s="30"/>
      <c r="D2473" s="30"/>
      <c r="E2473" s="30"/>
      <c r="F2473" s="30"/>
      <c r="G2473" s="30"/>
      <c r="H2473" s="30"/>
      <c r="I2473" s="30"/>
      <c r="J2473" s="30"/>
      <c r="K2473" s="30"/>
      <c r="L2473" s="30"/>
      <c r="M2473" s="30"/>
      <c r="N2473" s="30"/>
      <c r="O2473" s="30"/>
      <c r="P2473" s="30"/>
      <c r="Q2473" s="30"/>
      <c r="R2473" s="30"/>
      <c r="S2473" s="30"/>
      <c r="T2473" s="30"/>
      <c r="U2473" s="30"/>
      <c r="V2473" s="30"/>
      <c r="W2473" s="30"/>
      <c r="X2473" s="30"/>
      <c r="Y2473" s="30"/>
      <c r="Z2473" s="30"/>
    </row>
    <row r="2474">
      <c r="A2474" s="29"/>
      <c r="B2474" s="29"/>
      <c r="C2474" s="30"/>
      <c r="D2474" s="30"/>
      <c r="E2474" s="30"/>
      <c r="F2474" s="30"/>
      <c r="G2474" s="30"/>
      <c r="H2474" s="30"/>
      <c r="I2474" s="30"/>
      <c r="J2474" s="30"/>
      <c r="K2474" s="30"/>
      <c r="L2474" s="30"/>
      <c r="M2474" s="30"/>
      <c r="N2474" s="30"/>
      <c r="O2474" s="30"/>
      <c r="P2474" s="30"/>
      <c r="Q2474" s="30"/>
      <c r="R2474" s="30"/>
      <c r="S2474" s="30"/>
      <c r="T2474" s="30"/>
      <c r="U2474" s="30"/>
      <c r="V2474" s="30"/>
      <c r="W2474" s="30"/>
      <c r="X2474" s="30"/>
      <c r="Y2474" s="30"/>
      <c r="Z2474" s="30"/>
    </row>
    <row r="2475">
      <c r="A2475" s="29"/>
      <c r="B2475" s="29"/>
      <c r="C2475" s="30"/>
      <c r="D2475" s="30"/>
      <c r="E2475" s="30"/>
      <c r="F2475" s="30"/>
      <c r="G2475" s="30"/>
      <c r="H2475" s="30"/>
      <c r="I2475" s="30"/>
      <c r="J2475" s="30"/>
      <c r="K2475" s="30"/>
      <c r="L2475" s="30"/>
      <c r="M2475" s="30"/>
      <c r="N2475" s="30"/>
      <c r="O2475" s="30"/>
      <c r="P2475" s="30"/>
      <c r="Q2475" s="30"/>
      <c r="R2475" s="30"/>
      <c r="S2475" s="30"/>
      <c r="T2475" s="30"/>
      <c r="U2475" s="30"/>
      <c r="V2475" s="30"/>
      <c r="W2475" s="30"/>
      <c r="X2475" s="30"/>
      <c r="Y2475" s="30"/>
      <c r="Z2475" s="30"/>
    </row>
    <row r="2476">
      <c r="A2476" s="29"/>
      <c r="B2476" s="29"/>
      <c r="C2476" s="30"/>
      <c r="D2476" s="30"/>
      <c r="E2476" s="30"/>
      <c r="F2476" s="30"/>
      <c r="G2476" s="30"/>
      <c r="H2476" s="30"/>
      <c r="I2476" s="30"/>
      <c r="J2476" s="30"/>
      <c r="K2476" s="30"/>
      <c r="L2476" s="30"/>
      <c r="M2476" s="30"/>
      <c r="N2476" s="30"/>
      <c r="O2476" s="30"/>
      <c r="P2476" s="30"/>
      <c r="Q2476" s="30"/>
      <c r="R2476" s="30"/>
      <c r="S2476" s="30"/>
      <c r="T2476" s="30"/>
      <c r="U2476" s="30"/>
      <c r="V2476" s="30"/>
      <c r="W2476" s="30"/>
      <c r="X2476" s="30"/>
      <c r="Y2476" s="30"/>
      <c r="Z2476" s="30"/>
    </row>
    <row r="2477">
      <c r="A2477" s="29"/>
      <c r="B2477" s="29"/>
      <c r="C2477" s="30"/>
      <c r="D2477" s="30"/>
      <c r="E2477" s="30"/>
      <c r="F2477" s="30"/>
      <c r="G2477" s="30"/>
      <c r="H2477" s="30"/>
      <c r="I2477" s="30"/>
      <c r="J2477" s="30"/>
      <c r="K2477" s="30"/>
      <c r="L2477" s="30"/>
      <c r="M2477" s="30"/>
      <c r="N2477" s="30"/>
      <c r="O2477" s="30"/>
      <c r="P2477" s="30"/>
      <c r="Q2477" s="30"/>
      <c r="R2477" s="30"/>
      <c r="S2477" s="30"/>
      <c r="T2477" s="30"/>
      <c r="U2477" s="30"/>
      <c r="V2477" s="30"/>
      <c r="W2477" s="30"/>
      <c r="X2477" s="30"/>
      <c r="Y2477" s="30"/>
      <c r="Z2477" s="30"/>
    </row>
    <row r="2478">
      <c r="A2478" s="29"/>
      <c r="B2478" s="29"/>
      <c r="C2478" s="30"/>
      <c r="D2478" s="30"/>
      <c r="E2478" s="30"/>
      <c r="F2478" s="30"/>
      <c r="G2478" s="30"/>
      <c r="H2478" s="30"/>
      <c r="I2478" s="30"/>
      <c r="J2478" s="30"/>
      <c r="K2478" s="30"/>
      <c r="L2478" s="30"/>
      <c r="M2478" s="30"/>
      <c r="N2478" s="30"/>
      <c r="O2478" s="30"/>
      <c r="P2478" s="30"/>
      <c r="Q2478" s="30"/>
      <c r="R2478" s="30"/>
      <c r="S2478" s="30"/>
      <c r="T2478" s="30"/>
      <c r="U2478" s="30"/>
      <c r="V2478" s="30"/>
      <c r="W2478" s="30"/>
      <c r="X2478" s="30"/>
      <c r="Y2478" s="30"/>
      <c r="Z2478" s="30"/>
    </row>
    <row r="2479">
      <c r="A2479" s="29"/>
      <c r="B2479" s="29"/>
      <c r="C2479" s="30"/>
      <c r="D2479" s="30"/>
      <c r="E2479" s="30"/>
      <c r="F2479" s="30"/>
      <c r="G2479" s="30"/>
      <c r="H2479" s="30"/>
      <c r="I2479" s="30"/>
      <c r="J2479" s="30"/>
      <c r="K2479" s="30"/>
      <c r="L2479" s="30"/>
      <c r="M2479" s="30"/>
      <c r="N2479" s="30"/>
      <c r="O2479" s="30"/>
      <c r="P2479" s="30"/>
      <c r="Q2479" s="30"/>
      <c r="R2479" s="30"/>
      <c r="S2479" s="30"/>
      <c r="T2479" s="30"/>
      <c r="U2479" s="30"/>
      <c r="V2479" s="30"/>
      <c r="W2479" s="30"/>
      <c r="X2479" s="30"/>
      <c r="Y2479" s="30"/>
      <c r="Z2479" s="30"/>
    </row>
    <row r="2480">
      <c r="A2480" s="29"/>
      <c r="B2480" s="29"/>
      <c r="C2480" s="30"/>
      <c r="D2480" s="30"/>
      <c r="E2480" s="30"/>
      <c r="F2480" s="30"/>
      <c r="G2480" s="30"/>
      <c r="H2480" s="30"/>
      <c r="I2480" s="30"/>
      <c r="J2480" s="30"/>
      <c r="K2480" s="30"/>
      <c r="L2480" s="30"/>
      <c r="M2480" s="30"/>
      <c r="N2480" s="30"/>
      <c r="O2480" s="30"/>
      <c r="P2480" s="30"/>
      <c r="Q2480" s="30"/>
      <c r="R2480" s="30"/>
      <c r="S2480" s="30"/>
      <c r="T2480" s="30"/>
      <c r="U2480" s="30"/>
      <c r="V2480" s="30"/>
      <c r="W2480" s="30"/>
      <c r="X2480" s="30"/>
      <c r="Y2480" s="30"/>
      <c r="Z2480" s="30"/>
    </row>
    <row r="2481">
      <c r="A2481" s="29"/>
      <c r="B2481" s="29"/>
      <c r="C2481" s="30"/>
      <c r="D2481" s="30"/>
      <c r="E2481" s="30"/>
      <c r="F2481" s="30"/>
      <c r="G2481" s="30"/>
      <c r="H2481" s="30"/>
      <c r="I2481" s="30"/>
      <c r="J2481" s="30"/>
      <c r="K2481" s="30"/>
      <c r="L2481" s="30"/>
      <c r="M2481" s="30"/>
      <c r="N2481" s="30"/>
      <c r="O2481" s="30"/>
      <c r="P2481" s="30"/>
      <c r="Q2481" s="30"/>
      <c r="R2481" s="30"/>
      <c r="S2481" s="30"/>
      <c r="T2481" s="30"/>
      <c r="U2481" s="30"/>
      <c r="V2481" s="30"/>
      <c r="W2481" s="30"/>
      <c r="X2481" s="30"/>
      <c r="Y2481" s="30"/>
      <c r="Z2481" s="30"/>
    </row>
    <row r="2482">
      <c r="A2482" s="29"/>
      <c r="B2482" s="29"/>
      <c r="C2482" s="30"/>
      <c r="D2482" s="30"/>
      <c r="E2482" s="30"/>
      <c r="F2482" s="30"/>
      <c r="G2482" s="30"/>
      <c r="H2482" s="30"/>
      <c r="I2482" s="30"/>
      <c r="J2482" s="30"/>
      <c r="K2482" s="30"/>
      <c r="L2482" s="30"/>
      <c r="M2482" s="30"/>
      <c r="N2482" s="30"/>
      <c r="O2482" s="30"/>
      <c r="P2482" s="30"/>
      <c r="Q2482" s="30"/>
      <c r="R2482" s="30"/>
      <c r="S2482" s="30"/>
      <c r="T2482" s="30"/>
      <c r="U2482" s="30"/>
      <c r="V2482" s="30"/>
      <c r="W2482" s="30"/>
      <c r="X2482" s="30"/>
      <c r="Y2482" s="30"/>
      <c r="Z2482" s="30"/>
    </row>
    <row r="2483">
      <c r="A2483" s="29"/>
      <c r="B2483" s="29"/>
      <c r="C2483" s="30"/>
      <c r="D2483" s="30"/>
      <c r="E2483" s="30"/>
      <c r="F2483" s="30"/>
      <c r="G2483" s="30"/>
      <c r="H2483" s="30"/>
      <c r="I2483" s="30"/>
      <c r="J2483" s="30"/>
      <c r="K2483" s="30"/>
      <c r="L2483" s="30"/>
      <c r="M2483" s="30"/>
      <c r="N2483" s="30"/>
      <c r="O2483" s="30"/>
      <c r="P2483" s="30"/>
      <c r="Q2483" s="30"/>
      <c r="R2483" s="30"/>
      <c r="S2483" s="30"/>
      <c r="T2483" s="30"/>
      <c r="U2483" s="30"/>
      <c r="V2483" s="30"/>
      <c r="W2483" s="30"/>
      <c r="X2483" s="30"/>
      <c r="Y2483" s="30"/>
      <c r="Z2483" s="30"/>
    </row>
    <row r="2484">
      <c r="A2484" s="29"/>
      <c r="B2484" s="29"/>
      <c r="C2484" s="30"/>
      <c r="D2484" s="30"/>
      <c r="E2484" s="30"/>
      <c r="F2484" s="30"/>
      <c r="G2484" s="30"/>
      <c r="H2484" s="30"/>
      <c r="I2484" s="30"/>
      <c r="J2484" s="30"/>
      <c r="K2484" s="30"/>
      <c r="L2484" s="30"/>
      <c r="M2484" s="30"/>
      <c r="N2484" s="30"/>
      <c r="O2484" s="30"/>
      <c r="P2484" s="30"/>
      <c r="Q2484" s="30"/>
      <c r="R2484" s="30"/>
      <c r="S2484" s="30"/>
      <c r="T2484" s="30"/>
      <c r="U2484" s="30"/>
      <c r="V2484" s="30"/>
      <c r="W2484" s="30"/>
      <c r="X2484" s="30"/>
      <c r="Y2484" s="30"/>
      <c r="Z2484" s="30"/>
    </row>
    <row r="2485">
      <c r="A2485" s="29"/>
      <c r="B2485" s="29"/>
      <c r="C2485" s="30"/>
      <c r="D2485" s="30"/>
      <c r="E2485" s="30"/>
      <c r="F2485" s="30"/>
      <c r="G2485" s="30"/>
      <c r="H2485" s="30"/>
      <c r="I2485" s="30"/>
      <c r="J2485" s="30"/>
      <c r="K2485" s="30"/>
      <c r="L2485" s="30"/>
      <c r="M2485" s="30"/>
      <c r="N2485" s="30"/>
      <c r="O2485" s="30"/>
      <c r="P2485" s="30"/>
      <c r="Q2485" s="30"/>
      <c r="R2485" s="30"/>
      <c r="S2485" s="30"/>
      <c r="T2485" s="30"/>
      <c r="U2485" s="30"/>
      <c r="V2485" s="30"/>
      <c r="W2485" s="30"/>
      <c r="X2485" s="30"/>
      <c r="Y2485" s="30"/>
      <c r="Z2485" s="30"/>
    </row>
    <row r="2486">
      <c r="A2486" s="29"/>
      <c r="B2486" s="29"/>
      <c r="C2486" s="30"/>
      <c r="D2486" s="30"/>
      <c r="E2486" s="30"/>
      <c r="F2486" s="30"/>
      <c r="G2486" s="30"/>
      <c r="H2486" s="30"/>
      <c r="I2486" s="30"/>
      <c r="J2486" s="30"/>
      <c r="K2486" s="30"/>
      <c r="L2486" s="30"/>
      <c r="M2486" s="30"/>
      <c r="N2486" s="30"/>
      <c r="O2486" s="30"/>
      <c r="P2486" s="30"/>
      <c r="Q2486" s="30"/>
      <c r="R2486" s="30"/>
      <c r="S2486" s="30"/>
      <c r="T2486" s="30"/>
      <c r="U2486" s="30"/>
      <c r="V2486" s="30"/>
      <c r="W2486" s="30"/>
      <c r="X2486" s="30"/>
      <c r="Y2486" s="30"/>
      <c r="Z2486" s="30"/>
    </row>
    <row r="2487">
      <c r="A2487" s="29"/>
      <c r="B2487" s="29"/>
      <c r="C2487" s="30"/>
      <c r="D2487" s="30"/>
      <c r="E2487" s="30"/>
      <c r="F2487" s="30"/>
      <c r="G2487" s="30"/>
      <c r="H2487" s="30"/>
      <c r="I2487" s="30"/>
      <c r="J2487" s="30"/>
      <c r="K2487" s="30"/>
      <c r="L2487" s="30"/>
      <c r="M2487" s="30"/>
      <c r="N2487" s="30"/>
      <c r="O2487" s="30"/>
      <c r="P2487" s="30"/>
      <c r="Q2487" s="30"/>
      <c r="R2487" s="30"/>
      <c r="S2487" s="30"/>
      <c r="T2487" s="30"/>
      <c r="U2487" s="30"/>
      <c r="V2487" s="30"/>
      <c r="W2487" s="30"/>
      <c r="X2487" s="30"/>
      <c r="Y2487" s="30"/>
      <c r="Z2487" s="30"/>
    </row>
    <row r="2488">
      <c r="A2488" s="29"/>
      <c r="B2488" s="29"/>
      <c r="C2488" s="30"/>
      <c r="D2488" s="30"/>
      <c r="E2488" s="30"/>
      <c r="F2488" s="30"/>
      <c r="G2488" s="30"/>
      <c r="H2488" s="30"/>
      <c r="I2488" s="30"/>
      <c r="J2488" s="30"/>
      <c r="K2488" s="30"/>
      <c r="L2488" s="30"/>
      <c r="M2488" s="30"/>
      <c r="N2488" s="30"/>
      <c r="O2488" s="30"/>
      <c r="P2488" s="30"/>
      <c r="Q2488" s="30"/>
      <c r="R2488" s="30"/>
      <c r="S2488" s="30"/>
      <c r="T2488" s="30"/>
      <c r="U2488" s="30"/>
      <c r="V2488" s="30"/>
      <c r="W2488" s="30"/>
      <c r="X2488" s="30"/>
      <c r="Y2488" s="30"/>
      <c r="Z2488" s="30"/>
    </row>
    <row r="2489">
      <c r="A2489" s="29"/>
      <c r="B2489" s="29"/>
      <c r="C2489" s="30"/>
      <c r="D2489" s="30"/>
      <c r="E2489" s="30"/>
      <c r="F2489" s="30"/>
      <c r="G2489" s="30"/>
      <c r="H2489" s="30"/>
      <c r="I2489" s="30"/>
      <c r="J2489" s="30"/>
      <c r="K2489" s="30"/>
      <c r="L2489" s="30"/>
      <c r="M2489" s="30"/>
      <c r="N2489" s="30"/>
      <c r="O2489" s="30"/>
      <c r="P2489" s="30"/>
      <c r="Q2489" s="30"/>
      <c r="R2489" s="30"/>
      <c r="S2489" s="30"/>
      <c r="T2489" s="30"/>
      <c r="U2489" s="30"/>
      <c r="V2489" s="30"/>
      <c r="W2489" s="30"/>
      <c r="X2489" s="30"/>
      <c r="Y2489" s="30"/>
      <c r="Z2489" s="30"/>
    </row>
    <row r="2490">
      <c r="A2490" s="29"/>
      <c r="B2490" s="29"/>
      <c r="C2490" s="30"/>
      <c r="D2490" s="30"/>
      <c r="E2490" s="30"/>
      <c r="F2490" s="30"/>
      <c r="G2490" s="30"/>
      <c r="H2490" s="30"/>
      <c r="I2490" s="30"/>
      <c r="J2490" s="30"/>
      <c r="K2490" s="30"/>
      <c r="L2490" s="30"/>
      <c r="M2490" s="30"/>
      <c r="N2490" s="30"/>
      <c r="O2490" s="30"/>
      <c r="P2490" s="30"/>
      <c r="Q2490" s="30"/>
      <c r="R2490" s="30"/>
      <c r="S2490" s="30"/>
      <c r="T2490" s="30"/>
      <c r="U2490" s="30"/>
      <c r="V2490" s="30"/>
      <c r="W2490" s="30"/>
      <c r="X2490" s="30"/>
      <c r="Y2490" s="30"/>
      <c r="Z2490" s="30"/>
    </row>
    <row r="2491">
      <c r="A2491" s="29"/>
      <c r="B2491" s="29"/>
      <c r="C2491" s="30"/>
      <c r="D2491" s="30"/>
      <c r="E2491" s="30"/>
      <c r="F2491" s="30"/>
      <c r="G2491" s="30"/>
      <c r="H2491" s="30"/>
      <c r="I2491" s="30"/>
      <c r="J2491" s="30"/>
      <c r="K2491" s="30"/>
      <c r="L2491" s="30"/>
      <c r="M2491" s="30"/>
      <c r="N2491" s="30"/>
      <c r="O2491" s="30"/>
      <c r="P2491" s="30"/>
      <c r="Q2491" s="30"/>
      <c r="R2491" s="30"/>
      <c r="S2491" s="30"/>
      <c r="T2491" s="30"/>
      <c r="U2491" s="30"/>
      <c r="V2491" s="30"/>
      <c r="W2491" s="30"/>
      <c r="X2491" s="30"/>
      <c r="Y2491" s="30"/>
      <c r="Z2491" s="30"/>
    </row>
    <row r="2492">
      <c r="A2492" s="29"/>
      <c r="B2492" s="29"/>
      <c r="C2492" s="30"/>
      <c r="D2492" s="30"/>
      <c r="E2492" s="30"/>
      <c r="F2492" s="30"/>
      <c r="G2492" s="30"/>
      <c r="H2492" s="30"/>
      <c r="I2492" s="30"/>
      <c r="J2492" s="30"/>
      <c r="K2492" s="30"/>
      <c r="L2492" s="30"/>
      <c r="M2492" s="30"/>
      <c r="N2492" s="30"/>
      <c r="O2492" s="30"/>
      <c r="P2492" s="30"/>
      <c r="Q2492" s="30"/>
      <c r="R2492" s="30"/>
      <c r="S2492" s="30"/>
      <c r="T2492" s="30"/>
      <c r="U2492" s="30"/>
      <c r="V2492" s="30"/>
      <c r="W2492" s="30"/>
      <c r="X2492" s="30"/>
      <c r="Y2492" s="30"/>
      <c r="Z2492" s="30"/>
    </row>
    <row r="2493">
      <c r="A2493" s="29"/>
      <c r="B2493" s="29"/>
      <c r="C2493" s="30"/>
      <c r="D2493" s="30"/>
      <c r="E2493" s="30"/>
      <c r="F2493" s="30"/>
      <c r="G2493" s="30"/>
      <c r="H2493" s="30"/>
      <c r="I2493" s="30"/>
      <c r="J2493" s="30"/>
      <c r="K2493" s="30"/>
      <c r="L2493" s="30"/>
      <c r="M2493" s="30"/>
      <c r="N2493" s="30"/>
      <c r="O2493" s="30"/>
      <c r="P2493" s="30"/>
      <c r="Q2493" s="30"/>
      <c r="R2493" s="30"/>
      <c r="S2493" s="30"/>
      <c r="T2493" s="30"/>
      <c r="U2493" s="30"/>
      <c r="V2493" s="30"/>
      <c r="W2493" s="30"/>
      <c r="X2493" s="30"/>
      <c r="Y2493" s="30"/>
      <c r="Z2493" s="30"/>
    </row>
    <row r="2494">
      <c r="A2494" s="29"/>
      <c r="B2494" s="29"/>
      <c r="C2494" s="30"/>
      <c r="D2494" s="30"/>
      <c r="E2494" s="30"/>
      <c r="F2494" s="30"/>
      <c r="G2494" s="30"/>
      <c r="H2494" s="30"/>
      <c r="I2494" s="30"/>
      <c r="J2494" s="30"/>
      <c r="K2494" s="30"/>
      <c r="L2494" s="30"/>
      <c r="M2494" s="30"/>
      <c r="N2494" s="30"/>
      <c r="O2494" s="30"/>
      <c r="P2494" s="30"/>
      <c r="Q2494" s="30"/>
      <c r="R2494" s="30"/>
      <c r="S2494" s="30"/>
      <c r="T2494" s="30"/>
      <c r="U2494" s="30"/>
      <c r="V2494" s="30"/>
      <c r="W2494" s="30"/>
      <c r="X2494" s="30"/>
      <c r="Y2494" s="30"/>
      <c r="Z2494" s="30"/>
    </row>
    <row r="2495">
      <c r="A2495" s="29"/>
      <c r="B2495" s="29"/>
      <c r="C2495" s="30"/>
      <c r="D2495" s="30"/>
      <c r="E2495" s="30"/>
      <c r="F2495" s="30"/>
      <c r="G2495" s="30"/>
      <c r="H2495" s="30"/>
      <c r="I2495" s="30"/>
      <c r="J2495" s="30"/>
      <c r="K2495" s="30"/>
      <c r="L2495" s="30"/>
      <c r="M2495" s="30"/>
      <c r="N2495" s="30"/>
      <c r="O2495" s="30"/>
      <c r="P2495" s="30"/>
      <c r="Q2495" s="30"/>
      <c r="R2495" s="30"/>
      <c r="S2495" s="30"/>
      <c r="T2495" s="30"/>
      <c r="U2495" s="30"/>
      <c r="V2495" s="30"/>
      <c r="W2495" s="30"/>
      <c r="X2495" s="30"/>
      <c r="Y2495" s="30"/>
      <c r="Z2495" s="30"/>
    </row>
    <row r="2496">
      <c r="A2496" s="29"/>
      <c r="B2496" s="29"/>
      <c r="C2496" s="30"/>
      <c r="D2496" s="30"/>
      <c r="E2496" s="30"/>
      <c r="F2496" s="30"/>
      <c r="G2496" s="30"/>
      <c r="H2496" s="30"/>
      <c r="I2496" s="30"/>
      <c r="J2496" s="30"/>
      <c r="K2496" s="30"/>
      <c r="L2496" s="30"/>
      <c r="M2496" s="30"/>
      <c r="N2496" s="30"/>
      <c r="O2496" s="30"/>
      <c r="P2496" s="30"/>
      <c r="Q2496" s="30"/>
      <c r="R2496" s="30"/>
      <c r="S2496" s="30"/>
      <c r="T2496" s="30"/>
      <c r="U2496" s="30"/>
      <c r="V2496" s="30"/>
      <c r="W2496" s="30"/>
      <c r="X2496" s="30"/>
      <c r="Y2496" s="30"/>
      <c r="Z2496" s="30"/>
    </row>
    <row r="2497">
      <c r="A2497" s="29"/>
      <c r="B2497" s="29"/>
      <c r="C2497" s="30"/>
      <c r="D2497" s="30"/>
      <c r="E2497" s="30"/>
      <c r="F2497" s="30"/>
      <c r="G2497" s="30"/>
      <c r="H2497" s="30"/>
      <c r="I2497" s="30"/>
      <c r="J2497" s="30"/>
      <c r="K2497" s="30"/>
      <c r="L2497" s="30"/>
      <c r="M2497" s="30"/>
      <c r="N2497" s="30"/>
      <c r="O2497" s="30"/>
      <c r="P2497" s="30"/>
      <c r="Q2497" s="30"/>
      <c r="R2497" s="30"/>
      <c r="S2497" s="30"/>
      <c r="T2497" s="30"/>
      <c r="U2497" s="30"/>
      <c r="V2497" s="30"/>
      <c r="W2497" s="30"/>
      <c r="X2497" s="30"/>
      <c r="Y2497" s="30"/>
      <c r="Z2497" s="30"/>
    </row>
    <row r="2498">
      <c r="A2498" s="29"/>
      <c r="B2498" s="29"/>
      <c r="C2498" s="30"/>
      <c r="D2498" s="30"/>
      <c r="E2498" s="30"/>
      <c r="F2498" s="30"/>
      <c r="G2498" s="30"/>
      <c r="H2498" s="30"/>
      <c r="I2498" s="30"/>
      <c r="J2498" s="30"/>
      <c r="K2498" s="30"/>
      <c r="L2498" s="30"/>
      <c r="M2498" s="30"/>
      <c r="N2498" s="30"/>
      <c r="O2498" s="30"/>
      <c r="P2498" s="30"/>
      <c r="Q2498" s="30"/>
      <c r="R2498" s="30"/>
      <c r="S2498" s="30"/>
      <c r="T2498" s="30"/>
      <c r="U2498" s="30"/>
      <c r="V2498" s="30"/>
      <c r="W2498" s="30"/>
      <c r="X2498" s="30"/>
      <c r="Y2498" s="30"/>
      <c r="Z2498" s="30"/>
    </row>
    <row r="2499">
      <c r="A2499" s="29"/>
      <c r="B2499" s="29"/>
      <c r="C2499" s="30"/>
      <c r="D2499" s="30"/>
      <c r="E2499" s="30"/>
      <c r="F2499" s="30"/>
      <c r="G2499" s="30"/>
      <c r="H2499" s="30"/>
      <c r="I2499" s="30"/>
      <c r="J2499" s="30"/>
      <c r="K2499" s="30"/>
      <c r="L2499" s="30"/>
      <c r="M2499" s="30"/>
      <c r="N2499" s="30"/>
      <c r="O2499" s="30"/>
      <c r="P2499" s="30"/>
      <c r="Q2499" s="30"/>
      <c r="R2499" s="30"/>
      <c r="S2499" s="30"/>
      <c r="T2499" s="30"/>
      <c r="U2499" s="30"/>
      <c r="V2499" s="30"/>
      <c r="W2499" s="30"/>
      <c r="X2499" s="30"/>
      <c r="Y2499" s="30"/>
      <c r="Z2499" s="30"/>
    </row>
    <row r="2500">
      <c r="A2500" s="29"/>
      <c r="B2500" s="29"/>
      <c r="C2500" s="30"/>
      <c r="D2500" s="30"/>
      <c r="E2500" s="30"/>
      <c r="F2500" s="30"/>
      <c r="G2500" s="30"/>
      <c r="H2500" s="30"/>
      <c r="I2500" s="30"/>
      <c r="J2500" s="30"/>
      <c r="K2500" s="30"/>
      <c r="L2500" s="30"/>
      <c r="M2500" s="30"/>
      <c r="N2500" s="30"/>
      <c r="O2500" s="30"/>
      <c r="P2500" s="30"/>
      <c r="Q2500" s="30"/>
      <c r="R2500" s="30"/>
      <c r="S2500" s="30"/>
      <c r="T2500" s="30"/>
      <c r="U2500" s="30"/>
      <c r="V2500" s="30"/>
      <c r="W2500" s="30"/>
      <c r="X2500" s="30"/>
      <c r="Y2500" s="30"/>
      <c r="Z2500" s="30"/>
    </row>
    <row r="2501">
      <c r="A2501" s="29"/>
      <c r="B2501" s="29"/>
      <c r="C2501" s="30"/>
      <c r="D2501" s="30"/>
      <c r="E2501" s="30"/>
      <c r="F2501" s="30"/>
      <c r="G2501" s="30"/>
      <c r="H2501" s="30"/>
      <c r="I2501" s="30"/>
      <c r="J2501" s="30"/>
      <c r="K2501" s="30"/>
      <c r="L2501" s="30"/>
      <c r="M2501" s="30"/>
      <c r="N2501" s="30"/>
      <c r="O2501" s="30"/>
      <c r="P2501" s="30"/>
      <c r="Q2501" s="30"/>
      <c r="R2501" s="30"/>
      <c r="S2501" s="30"/>
      <c r="T2501" s="30"/>
      <c r="U2501" s="30"/>
      <c r="V2501" s="30"/>
      <c r="W2501" s="30"/>
      <c r="X2501" s="30"/>
      <c r="Y2501" s="30"/>
      <c r="Z2501" s="30"/>
    </row>
    <row r="2502">
      <c r="A2502" s="29"/>
      <c r="B2502" s="29"/>
      <c r="C2502" s="30"/>
      <c r="D2502" s="30"/>
      <c r="E2502" s="30"/>
      <c r="F2502" s="30"/>
      <c r="G2502" s="30"/>
      <c r="H2502" s="30"/>
      <c r="I2502" s="30"/>
      <c r="J2502" s="30"/>
      <c r="K2502" s="30"/>
      <c r="L2502" s="30"/>
      <c r="M2502" s="30"/>
      <c r="N2502" s="30"/>
      <c r="O2502" s="30"/>
      <c r="P2502" s="30"/>
      <c r="Q2502" s="30"/>
      <c r="R2502" s="30"/>
      <c r="S2502" s="30"/>
      <c r="T2502" s="30"/>
      <c r="U2502" s="30"/>
      <c r="V2502" s="30"/>
      <c r="W2502" s="30"/>
      <c r="X2502" s="30"/>
      <c r="Y2502" s="30"/>
      <c r="Z2502" s="30"/>
    </row>
    <row r="2503">
      <c r="A2503" s="29"/>
      <c r="B2503" s="29"/>
      <c r="C2503" s="30"/>
      <c r="D2503" s="30"/>
      <c r="E2503" s="30"/>
      <c r="F2503" s="30"/>
      <c r="G2503" s="30"/>
      <c r="H2503" s="30"/>
      <c r="I2503" s="30"/>
      <c r="J2503" s="30"/>
      <c r="K2503" s="30"/>
      <c r="L2503" s="30"/>
      <c r="M2503" s="30"/>
      <c r="N2503" s="30"/>
      <c r="O2503" s="30"/>
      <c r="P2503" s="30"/>
      <c r="Q2503" s="30"/>
      <c r="R2503" s="30"/>
      <c r="S2503" s="30"/>
      <c r="T2503" s="30"/>
      <c r="U2503" s="30"/>
      <c r="V2503" s="30"/>
      <c r="W2503" s="30"/>
      <c r="X2503" s="30"/>
      <c r="Y2503" s="30"/>
      <c r="Z2503" s="30"/>
    </row>
    <row r="2504">
      <c r="A2504" s="29"/>
      <c r="B2504" s="29"/>
      <c r="C2504" s="30"/>
      <c r="D2504" s="30"/>
      <c r="E2504" s="30"/>
      <c r="F2504" s="30"/>
      <c r="G2504" s="30"/>
      <c r="H2504" s="30"/>
      <c r="I2504" s="30"/>
      <c r="J2504" s="30"/>
      <c r="K2504" s="30"/>
      <c r="L2504" s="30"/>
      <c r="M2504" s="30"/>
      <c r="N2504" s="30"/>
      <c r="O2504" s="30"/>
      <c r="P2504" s="30"/>
      <c r="Q2504" s="30"/>
      <c r="R2504" s="30"/>
      <c r="S2504" s="30"/>
      <c r="T2504" s="30"/>
      <c r="U2504" s="30"/>
      <c r="V2504" s="30"/>
      <c r="W2504" s="30"/>
      <c r="X2504" s="30"/>
      <c r="Y2504" s="30"/>
      <c r="Z2504" s="30"/>
    </row>
    <row r="2505">
      <c r="A2505" s="29"/>
      <c r="B2505" s="29"/>
      <c r="C2505" s="30"/>
      <c r="D2505" s="30"/>
      <c r="E2505" s="30"/>
      <c r="F2505" s="30"/>
      <c r="G2505" s="30"/>
      <c r="H2505" s="30"/>
      <c r="I2505" s="30"/>
      <c r="J2505" s="30"/>
      <c r="K2505" s="30"/>
      <c r="L2505" s="30"/>
      <c r="M2505" s="30"/>
      <c r="N2505" s="30"/>
      <c r="O2505" s="30"/>
      <c r="P2505" s="30"/>
      <c r="Q2505" s="30"/>
      <c r="R2505" s="30"/>
      <c r="S2505" s="30"/>
      <c r="T2505" s="30"/>
      <c r="U2505" s="30"/>
      <c r="V2505" s="30"/>
      <c r="W2505" s="30"/>
      <c r="X2505" s="30"/>
      <c r="Y2505" s="30"/>
      <c r="Z2505" s="30"/>
    </row>
    <row r="2506">
      <c r="A2506" s="29"/>
      <c r="B2506" s="29"/>
      <c r="C2506" s="30"/>
      <c r="D2506" s="30"/>
      <c r="E2506" s="30"/>
      <c r="F2506" s="30"/>
      <c r="G2506" s="30"/>
      <c r="H2506" s="30"/>
      <c r="I2506" s="30"/>
      <c r="J2506" s="30"/>
      <c r="K2506" s="30"/>
      <c r="L2506" s="30"/>
      <c r="M2506" s="30"/>
      <c r="N2506" s="30"/>
      <c r="O2506" s="30"/>
      <c r="P2506" s="30"/>
      <c r="Q2506" s="30"/>
      <c r="R2506" s="30"/>
      <c r="S2506" s="30"/>
      <c r="T2506" s="30"/>
      <c r="U2506" s="30"/>
      <c r="V2506" s="30"/>
      <c r="W2506" s="30"/>
      <c r="X2506" s="30"/>
      <c r="Y2506" s="30"/>
      <c r="Z2506" s="30"/>
    </row>
    <row r="2507">
      <c r="A2507" s="29"/>
      <c r="B2507" s="29"/>
      <c r="C2507" s="30"/>
      <c r="D2507" s="30"/>
      <c r="E2507" s="30"/>
      <c r="F2507" s="30"/>
      <c r="G2507" s="30"/>
      <c r="H2507" s="30"/>
      <c r="I2507" s="30"/>
      <c r="J2507" s="30"/>
      <c r="K2507" s="30"/>
      <c r="L2507" s="30"/>
      <c r="M2507" s="30"/>
      <c r="N2507" s="30"/>
      <c r="O2507" s="30"/>
      <c r="P2507" s="30"/>
      <c r="Q2507" s="30"/>
      <c r="R2507" s="30"/>
      <c r="S2507" s="30"/>
      <c r="T2507" s="30"/>
      <c r="U2507" s="30"/>
      <c r="V2507" s="30"/>
      <c r="W2507" s="30"/>
      <c r="X2507" s="30"/>
      <c r="Y2507" s="30"/>
      <c r="Z2507" s="30"/>
    </row>
    <row r="2508">
      <c r="A2508" s="29"/>
      <c r="B2508" s="29"/>
      <c r="C2508" s="30"/>
      <c r="D2508" s="30"/>
      <c r="E2508" s="30"/>
      <c r="F2508" s="30"/>
      <c r="G2508" s="30"/>
      <c r="H2508" s="30"/>
      <c r="I2508" s="30"/>
      <c r="J2508" s="30"/>
      <c r="K2508" s="30"/>
      <c r="L2508" s="30"/>
      <c r="M2508" s="30"/>
      <c r="N2508" s="30"/>
      <c r="O2508" s="30"/>
      <c r="P2508" s="30"/>
      <c r="Q2508" s="30"/>
      <c r="R2508" s="30"/>
      <c r="S2508" s="30"/>
      <c r="T2508" s="30"/>
      <c r="U2508" s="30"/>
      <c r="V2508" s="30"/>
      <c r="W2508" s="30"/>
      <c r="X2508" s="30"/>
      <c r="Y2508" s="30"/>
      <c r="Z2508" s="30"/>
    </row>
    <row r="2509">
      <c r="A2509" s="29"/>
      <c r="B2509" s="29"/>
      <c r="C2509" s="30"/>
      <c r="D2509" s="30"/>
      <c r="E2509" s="30"/>
      <c r="F2509" s="30"/>
      <c r="G2509" s="30"/>
      <c r="H2509" s="30"/>
      <c r="I2509" s="30"/>
      <c r="J2509" s="30"/>
      <c r="K2509" s="30"/>
      <c r="L2509" s="30"/>
      <c r="M2509" s="30"/>
      <c r="N2509" s="30"/>
      <c r="O2509" s="30"/>
      <c r="P2509" s="30"/>
      <c r="Q2509" s="30"/>
      <c r="R2509" s="30"/>
      <c r="S2509" s="30"/>
      <c r="T2509" s="30"/>
      <c r="U2509" s="30"/>
      <c r="V2509" s="30"/>
      <c r="W2509" s="30"/>
      <c r="X2509" s="30"/>
      <c r="Y2509" s="30"/>
      <c r="Z2509" s="30"/>
    </row>
    <row r="2510">
      <c r="A2510" s="29"/>
      <c r="B2510" s="29"/>
      <c r="C2510" s="30"/>
      <c r="D2510" s="30"/>
      <c r="E2510" s="30"/>
      <c r="F2510" s="30"/>
      <c r="G2510" s="30"/>
      <c r="H2510" s="30"/>
      <c r="I2510" s="30"/>
      <c r="J2510" s="30"/>
      <c r="K2510" s="30"/>
      <c r="L2510" s="30"/>
      <c r="M2510" s="30"/>
      <c r="N2510" s="30"/>
      <c r="O2510" s="30"/>
      <c r="P2510" s="30"/>
      <c r="Q2510" s="30"/>
      <c r="R2510" s="30"/>
      <c r="S2510" s="30"/>
      <c r="T2510" s="30"/>
      <c r="U2510" s="30"/>
      <c r="V2510" s="30"/>
      <c r="W2510" s="30"/>
      <c r="X2510" s="30"/>
      <c r="Y2510" s="30"/>
      <c r="Z2510" s="30"/>
    </row>
    <row r="2511">
      <c r="A2511" s="29"/>
      <c r="B2511" s="29"/>
      <c r="C2511" s="30"/>
      <c r="D2511" s="30"/>
      <c r="E2511" s="30"/>
      <c r="F2511" s="30"/>
      <c r="G2511" s="30"/>
      <c r="H2511" s="30"/>
      <c r="I2511" s="30"/>
      <c r="J2511" s="30"/>
      <c r="K2511" s="30"/>
      <c r="L2511" s="30"/>
      <c r="M2511" s="30"/>
      <c r="N2511" s="30"/>
      <c r="O2511" s="30"/>
      <c r="P2511" s="30"/>
      <c r="Q2511" s="30"/>
      <c r="R2511" s="30"/>
      <c r="S2511" s="30"/>
      <c r="T2511" s="30"/>
      <c r="U2511" s="30"/>
      <c r="V2511" s="30"/>
      <c r="W2511" s="30"/>
      <c r="X2511" s="30"/>
      <c r="Y2511" s="30"/>
      <c r="Z2511" s="30"/>
    </row>
    <row r="2512">
      <c r="A2512" s="29"/>
      <c r="B2512" s="29"/>
      <c r="C2512" s="30"/>
      <c r="D2512" s="30"/>
      <c r="E2512" s="30"/>
      <c r="F2512" s="30"/>
      <c r="G2512" s="30"/>
      <c r="H2512" s="30"/>
      <c r="I2512" s="30"/>
      <c r="J2512" s="30"/>
      <c r="K2512" s="30"/>
      <c r="L2512" s="30"/>
      <c r="M2512" s="30"/>
      <c r="N2512" s="30"/>
      <c r="O2512" s="30"/>
      <c r="P2512" s="30"/>
      <c r="Q2512" s="30"/>
      <c r="R2512" s="30"/>
      <c r="S2512" s="30"/>
      <c r="T2512" s="30"/>
      <c r="U2512" s="30"/>
      <c r="V2512" s="30"/>
      <c r="W2512" s="30"/>
      <c r="X2512" s="30"/>
      <c r="Y2512" s="30"/>
      <c r="Z2512" s="30"/>
    </row>
    <row r="2513">
      <c r="A2513" s="29"/>
      <c r="B2513" s="29"/>
      <c r="C2513" s="30"/>
      <c r="D2513" s="30"/>
      <c r="E2513" s="30"/>
      <c r="F2513" s="30"/>
      <c r="G2513" s="30"/>
      <c r="H2513" s="30"/>
      <c r="I2513" s="30"/>
      <c r="J2513" s="30"/>
      <c r="K2513" s="30"/>
      <c r="L2513" s="30"/>
      <c r="M2513" s="30"/>
      <c r="N2513" s="30"/>
      <c r="O2513" s="30"/>
      <c r="P2513" s="30"/>
      <c r="Q2513" s="30"/>
      <c r="R2513" s="30"/>
      <c r="S2513" s="30"/>
      <c r="T2513" s="30"/>
      <c r="U2513" s="30"/>
      <c r="V2513" s="30"/>
      <c r="W2513" s="30"/>
      <c r="X2513" s="30"/>
      <c r="Y2513" s="30"/>
      <c r="Z2513" s="30"/>
    </row>
    <row r="2514">
      <c r="A2514" s="29"/>
      <c r="B2514" s="29"/>
      <c r="C2514" s="30"/>
      <c r="D2514" s="30"/>
      <c r="E2514" s="30"/>
      <c r="F2514" s="30"/>
      <c r="G2514" s="30"/>
      <c r="H2514" s="30"/>
      <c r="I2514" s="30"/>
      <c r="J2514" s="30"/>
      <c r="K2514" s="30"/>
      <c r="L2514" s="30"/>
      <c r="M2514" s="30"/>
      <c r="N2514" s="30"/>
      <c r="O2514" s="30"/>
      <c r="P2514" s="30"/>
      <c r="Q2514" s="30"/>
      <c r="R2514" s="30"/>
      <c r="S2514" s="30"/>
      <c r="T2514" s="30"/>
      <c r="U2514" s="30"/>
      <c r="V2514" s="30"/>
      <c r="W2514" s="30"/>
      <c r="X2514" s="30"/>
      <c r="Y2514" s="30"/>
      <c r="Z2514" s="30"/>
    </row>
    <row r="2515">
      <c r="A2515" s="29"/>
      <c r="B2515" s="29"/>
      <c r="C2515" s="30"/>
      <c r="D2515" s="30"/>
      <c r="E2515" s="30"/>
      <c r="F2515" s="30"/>
      <c r="G2515" s="30"/>
      <c r="H2515" s="30"/>
      <c r="I2515" s="30"/>
      <c r="J2515" s="30"/>
      <c r="K2515" s="30"/>
      <c r="L2515" s="30"/>
      <c r="M2515" s="30"/>
      <c r="N2515" s="30"/>
      <c r="O2515" s="30"/>
      <c r="P2515" s="30"/>
      <c r="Q2515" s="30"/>
      <c r="R2515" s="30"/>
      <c r="S2515" s="30"/>
      <c r="T2515" s="30"/>
      <c r="U2515" s="30"/>
      <c r="V2515" s="30"/>
      <c r="W2515" s="30"/>
      <c r="X2515" s="30"/>
      <c r="Y2515" s="30"/>
      <c r="Z2515" s="30"/>
    </row>
    <row r="2516">
      <c r="A2516" s="29"/>
      <c r="B2516" s="29"/>
      <c r="C2516" s="30"/>
      <c r="D2516" s="30"/>
      <c r="E2516" s="30"/>
      <c r="F2516" s="30"/>
      <c r="G2516" s="30"/>
      <c r="H2516" s="30"/>
      <c r="I2516" s="30"/>
      <c r="J2516" s="30"/>
      <c r="K2516" s="30"/>
      <c r="L2516" s="30"/>
      <c r="M2516" s="30"/>
      <c r="N2516" s="30"/>
      <c r="O2516" s="30"/>
      <c r="P2516" s="30"/>
      <c r="Q2516" s="30"/>
      <c r="R2516" s="30"/>
      <c r="S2516" s="30"/>
      <c r="T2516" s="30"/>
      <c r="U2516" s="30"/>
      <c r="V2516" s="30"/>
      <c r="W2516" s="30"/>
      <c r="X2516" s="30"/>
      <c r="Y2516" s="30"/>
      <c r="Z2516" s="30"/>
    </row>
    <row r="2517">
      <c r="A2517" s="29"/>
      <c r="B2517" s="29"/>
      <c r="C2517" s="30"/>
      <c r="D2517" s="30"/>
      <c r="E2517" s="30"/>
      <c r="F2517" s="30"/>
      <c r="G2517" s="30"/>
      <c r="H2517" s="30"/>
      <c r="I2517" s="30"/>
      <c r="J2517" s="30"/>
      <c r="K2517" s="30"/>
      <c r="L2517" s="30"/>
      <c r="M2517" s="30"/>
      <c r="N2517" s="30"/>
      <c r="O2517" s="30"/>
      <c r="P2517" s="30"/>
      <c r="Q2517" s="30"/>
      <c r="R2517" s="30"/>
      <c r="S2517" s="30"/>
      <c r="T2517" s="30"/>
      <c r="U2517" s="30"/>
      <c r="V2517" s="30"/>
      <c r="W2517" s="30"/>
      <c r="X2517" s="30"/>
      <c r="Y2517" s="30"/>
      <c r="Z2517" s="30"/>
    </row>
    <row r="2518">
      <c r="A2518" s="29"/>
      <c r="B2518" s="29"/>
      <c r="C2518" s="30"/>
      <c r="D2518" s="30"/>
      <c r="E2518" s="30"/>
      <c r="F2518" s="30"/>
      <c r="G2518" s="30"/>
      <c r="H2518" s="30"/>
      <c r="I2518" s="30"/>
      <c r="J2518" s="30"/>
      <c r="K2518" s="30"/>
      <c r="L2518" s="30"/>
      <c r="M2518" s="30"/>
      <c r="N2518" s="30"/>
      <c r="O2518" s="30"/>
      <c r="P2518" s="30"/>
      <c r="Q2518" s="30"/>
      <c r="R2518" s="30"/>
      <c r="S2518" s="30"/>
      <c r="T2518" s="30"/>
      <c r="U2518" s="30"/>
      <c r="V2518" s="30"/>
      <c r="W2518" s="30"/>
      <c r="X2518" s="30"/>
      <c r="Y2518" s="30"/>
      <c r="Z2518" s="30"/>
    </row>
    <row r="2519">
      <c r="A2519" s="29"/>
      <c r="B2519" s="29"/>
      <c r="C2519" s="30"/>
      <c r="D2519" s="30"/>
      <c r="E2519" s="30"/>
      <c r="F2519" s="30"/>
      <c r="G2519" s="30"/>
      <c r="H2519" s="30"/>
      <c r="I2519" s="30"/>
      <c r="J2519" s="30"/>
      <c r="K2519" s="30"/>
      <c r="L2519" s="30"/>
      <c r="M2519" s="30"/>
      <c r="N2519" s="30"/>
      <c r="O2519" s="30"/>
      <c r="P2519" s="30"/>
      <c r="Q2519" s="30"/>
      <c r="R2519" s="30"/>
      <c r="S2519" s="30"/>
      <c r="T2519" s="30"/>
      <c r="U2519" s="30"/>
      <c r="V2519" s="30"/>
      <c r="W2519" s="30"/>
      <c r="X2519" s="30"/>
      <c r="Y2519" s="30"/>
      <c r="Z2519" s="30"/>
    </row>
    <row r="2520">
      <c r="A2520" s="29"/>
      <c r="B2520" s="29"/>
      <c r="C2520" s="30"/>
      <c r="D2520" s="30"/>
      <c r="E2520" s="30"/>
      <c r="F2520" s="30"/>
      <c r="G2520" s="30"/>
      <c r="H2520" s="30"/>
      <c r="I2520" s="30"/>
      <c r="J2520" s="30"/>
      <c r="K2520" s="30"/>
      <c r="L2520" s="30"/>
      <c r="M2520" s="30"/>
      <c r="N2520" s="30"/>
      <c r="O2520" s="30"/>
      <c r="P2520" s="30"/>
      <c r="Q2520" s="30"/>
      <c r="R2520" s="30"/>
      <c r="S2520" s="30"/>
      <c r="T2520" s="30"/>
      <c r="U2520" s="30"/>
      <c r="V2520" s="30"/>
      <c r="W2520" s="30"/>
      <c r="X2520" s="30"/>
      <c r="Y2520" s="30"/>
      <c r="Z2520" s="30"/>
    </row>
    <row r="2521">
      <c r="A2521" s="29"/>
      <c r="B2521" s="29"/>
      <c r="C2521" s="30"/>
      <c r="D2521" s="30"/>
      <c r="E2521" s="30"/>
      <c r="F2521" s="30"/>
      <c r="G2521" s="30"/>
      <c r="H2521" s="30"/>
      <c r="I2521" s="30"/>
      <c r="J2521" s="30"/>
      <c r="K2521" s="30"/>
      <c r="L2521" s="30"/>
      <c r="M2521" s="30"/>
      <c r="N2521" s="30"/>
      <c r="O2521" s="30"/>
      <c r="P2521" s="30"/>
      <c r="Q2521" s="30"/>
      <c r="R2521" s="30"/>
      <c r="S2521" s="30"/>
      <c r="T2521" s="30"/>
      <c r="U2521" s="30"/>
      <c r="V2521" s="30"/>
      <c r="W2521" s="30"/>
      <c r="X2521" s="30"/>
      <c r="Y2521" s="30"/>
      <c r="Z2521" s="30"/>
    </row>
    <row r="2522">
      <c r="A2522" s="29"/>
      <c r="B2522" s="29"/>
      <c r="C2522" s="30"/>
      <c r="D2522" s="30"/>
      <c r="E2522" s="30"/>
      <c r="F2522" s="30"/>
      <c r="G2522" s="30"/>
      <c r="H2522" s="30"/>
      <c r="I2522" s="30"/>
      <c r="J2522" s="30"/>
      <c r="K2522" s="30"/>
      <c r="L2522" s="30"/>
      <c r="M2522" s="30"/>
      <c r="N2522" s="30"/>
      <c r="O2522" s="30"/>
      <c r="P2522" s="30"/>
      <c r="Q2522" s="30"/>
      <c r="R2522" s="30"/>
      <c r="S2522" s="30"/>
      <c r="T2522" s="30"/>
      <c r="U2522" s="30"/>
      <c r="V2522" s="30"/>
      <c r="W2522" s="30"/>
      <c r="X2522" s="30"/>
      <c r="Y2522" s="30"/>
      <c r="Z2522" s="30"/>
    </row>
    <row r="2523">
      <c r="A2523" s="29"/>
      <c r="B2523" s="29"/>
      <c r="C2523" s="30"/>
      <c r="D2523" s="30"/>
      <c r="E2523" s="30"/>
      <c r="F2523" s="30"/>
      <c r="G2523" s="30"/>
      <c r="H2523" s="30"/>
      <c r="I2523" s="30"/>
      <c r="J2523" s="30"/>
      <c r="K2523" s="30"/>
      <c r="L2523" s="30"/>
      <c r="M2523" s="30"/>
      <c r="N2523" s="30"/>
      <c r="O2523" s="30"/>
      <c r="P2523" s="30"/>
      <c r="Q2523" s="30"/>
      <c r="R2523" s="30"/>
      <c r="S2523" s="30"/>
      <c r="T2523" s="30"/>
      <c r="U2523" s="30"/>
      <c r="V2523" s="30"/>
      <c r="W2523" s="30"/>
      <c r="X2523" s="30"/>
      <c r="Y2523" s="30"/>
      <c r="Z2523" s="30"/>
    </row>
    <row r="2524">
      <c r="A2524" s="29"/>
      <c r="B2524" s="29"/>
      <c r="C2524" s="30"/>
      <c r="D2524" s="30"/>
      <c r="E2524" s="30"/>
      <c r="F2524" s="30"/>
      <c r="G2524" s="30"/>
      <c r="H2524" s="30"/>
      <c r="I2524" s="30"/>
      <c r="J2524" s="30"/>
      <c r="K2524" s="30"/>
      <c r="L2524" s="30"/>
      <c r="M2524" s="30"/>
      <c r="N2524" s="30"/>
      <c r="O2524" s="30"/>
      <c r="P2524" s="30"/>
      <c r="Q2524" s="30"/>
      <c r="R2524" s="30"/>
      <c r="S2524" s="30"/>
      <c r="T2524" s="30"/>
      <c r="U2524" s="30"/>
      <c r="V2524" s="30"/>
      <c r="W2524" s="30"/>
      <c r="X2524" s="30"/>
      <c r="Y2524" s="30"/>
      <c r="Z2524" s="30"/>
    </row>
    <row r="2525">
      <c r="A2525" s="29"/>
      <c r="B2525" s="29"/>
      <c r="C2525" s="30"/>
      <c r="D2525" s="30"/>
      <c r="E2525" s="30"/>
      <c r="F2525" s="30"/>
      <c r="G2525" s="30"/>
      <c r="H2525" s="30"/>
      <c r="I2525" s="30"/>
      <c r="J2525" s="30"/>
      <c r="K2525" s="30"/>
      <c r="L2525" s="30"/>
      <c r="M2525" s="30"/>
      <c r="N2525" s="30"/>
      <c r="O2525" s="30"/>
      <c r="P2525" s="30"/>
      <c r="Q2525" s="30"/>
      <c r="R2525" s="30"/>
      <c r="S2525" s="30"/>
      <c r="T2525" s="30"/>
      <c r="U2525" s="30"/>
      <c r="V2525" s="30"/>
      <c r="W2525" s="30"/>
      <c r="X2525" s="30"/>
      <c r="Y2525" s="30"/>
      <c r="Z2525" s="30"/>
    </row>
    <row r="2526">
      <c r="A2526" s="29"/>
      <c r="B2526" s="29"/>
      <c r="C2526" s="30"/>
      <c r="D2526" s="30"/>
      <c r="E2526" s="30"/>
      <c r="F2526" s="30"/>
      <c r="G2526" s="30"/>
      <c r="H2526" s="30"/>
      <c r="I2526" s="30"/>
      <c r="J2526" s="30"/>
      <c r="K2526" s="30"/>
      <c r="L2526" s="30"/>
      <c r="M2526" s="30"/>
      <c r="N2526" s="30"/>
      <c r="O2526" s="30"/>
      <c r="P2526" s="30"/>
      <c r="Q2526" s="30"/>
      <c r="R2526" s="30"/>
      <c r="S2526" s="30"/>
      <c r="T2526" s="30"/>
      <c r="U2526" s="30"/>
      <c r="V2526" s="30"/>
      <c r="W2526" s="30"/>
      <c r="X2526" s="30"/>
      <c r="Y2526" s="30"/>
      <c r="Z2526" s="30"/>
    </row>
    <row r="2527">
      <c r="A2527" s="29"/>
      <c r="B2527" s="29"/>
      <c r="C2527" s="30"/>
      <c r="D2527" s="30"/>
      <c r="E2527" s="30"/>
      <c r="F2527" s="30"/>
      <c r="G2527" s="30"/>
      <c r="H2527" s="30"/>
      <c r="I2527" s="30"/>
      <c r="J2527" s="30"/>
      <c r="K2527" s="30"/>
      <c r="L2527" s="30"/>
      <c r="M2527" s="30"/>
      <c r="N2527" s="30"/>
      <c r="O2527" s="30"/>
      <c r="P2527" s="30"/>
      <c r="Q2527" s="30"/>
      <c r="R2527" s="30"/>
      <c r="S2527" s="30"/>
      <c r="T2527" s="30"/>
      <c r="U2527" s="30"/>
      <c r="V2527" s="30"/>
      <c r="W2527" s="30"/>
      <c r="X2527" s="30"/>
      <c r="Y2527" s="30"/>
      <c r="Z2527" s="30"/>
    </row>
    <row r="2528">
      <c r="A2528" s="29"/>
      <c r="B2528" s="29"/>
      <c r="C2528" s="30"/>
      <c r="D2528" s="30"/>
      <c r="E2528" s="30"/>
      <c r="F2528" s="30"/>
      <c r="G2528" s="30"/>
      <c r="H2528" s="30"/>
      <c r="I2528" s="30"/>
      <c r="J2528" s="30"/>
      <c r="K2528" s="30"/>
      <c r="L2528" s="30"/>
      <c r="M2528" s="30"/>
      <c r="N2528" s="30"/>
      <c r="O2528" s="30"/>
      <c r="P2528" s="30"/>
      <c r="Q2528" s="30"/>
      <c r="R2528" s="30"/>
      <c r="S2528" s="30"/>
      <c r="T2528" s="30"/>
      <c r="U2528" s="30"/>
      <c r="V2528" s="30"/>
      <c r="W2528" s="30"/>
      <c r="X2528" s="30"/>
      <c r="Y2528" s="30"/>
      <c r="Z2528" s="30"/>
    </row>
    <row r="2529">
      <c r="A2529" s="29"/>
      <c r="B2529" s="29"/>
      <c r="C2529" s="30"/>
      <c r="D2529" s="30"/>
      <c r="E2529" s="30"/>
      <c r="F2529" s="30"/>
      <c r="G2529" s="30"/>
      <c r="H2529" s="30"/>
      <c r="I2529" s="30"/>
      <c r="J2529" s="30"/>
      <c r="K2529" s="30"/>
      <c r="L2529" s="30"/>
      <c r="M2529" s="30"/>
      <c r="N2529" s="30"/>
      <c r="O2529" s="30"/>
      <c r="P2529" s="30"/>
      <c r="Q2529" s="30"/>
      <c r="R2529" s="30"/>
      <c r="S2529" s="30"/>
      <c r="T2529" s="30"/>
      <c r="U2529" s="30"/>
      <c r="V2529" s="30"/>
      <c r="W2529" s="30"/>
      <c r="X2529" s="30"/>
      <c r="Y2529" s="30"/>
      <c r="Z2529" s="30"/>
    </row>
    <row r="2530">
      <c r="A2530" s="29"/>
      <c r="B2530" s="29"/>
      <c r="C2530" s="30"/>
      <c r="D2530" s="30"/>
      <c r="E2530" s="30"/>
      <c r="F2530" s="30"/>
      <c r="G2530" s="30"/>
      <c r="H2530" s="30"/>
      <c r="I2530" s="30"/>
      <c r="J2530" s="30"/>
      <c r="K2530" s="30"/>
      <c r="L2530" s="30"/>
      <c r="M2530" s="30"/>
      <c r="N2530" s="30"/>
      <c r="O2530" s="30"/>
      <c r="P2530" s="30"/>
      <c r="Q2530" s="30"/>
      <c r="R2530" s="30"/>
      <c r="S2530" s="30"/>
      <c r="T2530" s="30"/>
      <c r="U2530" s="30"/>
      <c r="V2530" s="30"/>
      <c r="W2530" s="30"/>
      <c r="X2530" s="30"/>
      <c r="Y2530" s="30"/>
      <c r="Z2530" s="30"/>
    </row>
    <row r="2531">
      <c r="A2531" s="29"/>
      <c r="B2531" s="29"/>
      <c r="C2531" s="30"/>
      <c r="D2531" s="30"/>
      <c r="E2531" s="30"/>
      <c r="F2531" s="30"/>
      <c r="G2531" s="30"/>
      <c r="H2531" s="30"/>
      <c r="I2531" s="30"/>
      <c r="J2531" s="30"/>
      <c r="K2531" s="30"/>
      <c r="L2531" s="30"/>
      <c r="M2531" s="30"/>
      <c r="N2531" s="30"/>
      <c r="O2531" s="30"/>
      <c r="P2531" s="30"/>
      <c r="Q2531" s="30"/>
      <c r="R2531" s="30"/>
      <c r="S2531" s="30"/>
      <c r="T2531" s="30"/>
      <c r="U2531" s="30"/>
      <c r="V2531" s="30"/>
      <c r="W2531" s="30"/>
      <c r="X2531" s="30"/>
      <c r="Y2531" s="30"/>
      <c r="Z2531" s="30"/>
    </row>
    <row r="2532">
      <c r="A2532" s="29"/>
      <c r="B2532" s="29"/>
      <c r="C2532" s="30"/>
      <c r="D2532" s="30"/>
      <c r="E2532" s="30"/>
      <c r="F2532" s="30"/>
      <c r="G2532" s="30"/>
      <c r="H2532" s="30"/>
      <c r="I2532" s="30"/>
      <c r="J2532" s="30"/>
      <c r="K2532" s="30"/>
      <c r="L2532" s="30"/>
      <c r="M2532" s="30"/>
      <c r="N2532" s="30"/>
      <c r="O2532" s="30"/>
      <c r="P2532" s="30"/>
      <c r="Q2532" s="30"/>
      <c r="R2532" s="30"/>
      <c r="S2532" s="30"/>
      <c r="T2532" s="30"/>
      <c r="U2532" s="30"/>
      <c r="V2532" s="30"/>
      <c r="W2532" s="30"/>
      <c r="X2532" s="30"/>
      <c r="Y2532" s="30"/>
      <c r="Z2532" s="30"/>
    </row>
    <row r="2533">
      <c r="A2533" s="29"/>
      <c r="B2533" s="29"/>
      <c r="C2533" s="30"/>
      <c r="D2533" s="30"/>
      <c r="E2533" s="30"/>
      <c r="F2533" s="30"/>
      <c r="G2533" s="30"/>
      <c r="H2533" s="30"/>
      <c r="I2533" s="30"/>
      <c r="J2533" s="30"/>
      <c r="K2533" s="30"/>
      <c r="L2533" s="30"/>
      <c r="M2533" s="30"/>
      <c r="N2533" s="30"/>
      <c r="O2533" s="30"/>
      <c r="P2533" s="30"/>
      <c r="Q2533" s="30"/>
      <c r="R2533" s="30"/>
      <c r="S2533" s="30"/>
      <c r="T2533" s="30"/>
      <c r="U2533" s="30"/>
      <c r="V2533" s="30"/>
      <c r="W2533" s="30"/>
      <c r="X2533" s="30"/>
      <c r="Y2533" s="30"/>
      <c r="Z2533" s="30"/>
    </row>
    <row r="2534">
      <c r="A2534" s="29"/>
      <c r="B2534" s="29"/>
      <c r="C2534" s="30"/>
      <c r="D2534" s="30"/>
      <c r="E2534" s="30"/>
      <c r="F2534" s="30"/>
      <c r="G2534" s="30"/>
      <c r="H2534" s="30"/>
      <c r="I2534" s="30"/>
      <c r="J2534" s="30"/>
      <c r="K2534" s="30"/>
      <c r="L2534" s="30"/>
      <c r="M2534" s="30"/>
      <c r="N2534" s="30"/>
      <c r="O2534" s="30"/>
      <c r="P2534" s="30"/>
      <c r="Q2534" s="30"/>
      <c r="R2534" s="30"/>
      <c r="S2534" s="30"/>
      <c r="T2534" s="30"/>
      <c r="U2534" s="30"/>
      <c r="V2534" s="30"/>
      <c r="W2534" s="30"/>
      <c r="X2534" s="30"/>
      <c r="Y2534" s="30"/>
      <c r="Z2534" s="30"/>
    </row>
    <row r="2535">
      <c r="A2535" s="29"/>
      <c r="B2535" s="29"/>
      <c r="C2535" s="30"/>
      <c r="D2535" s="30"/>
      <c r="E2535" s="30"/>
      <c r="F2535" s="30"/>
      <c r="G2535" s="30"/>
      <c r="H2535" s="30"/>
      <c r="I2535" s="30"/>
      <c r="J2535" s="30"/>
      <c r="K2535" s="30"/>
      <c r="L2535" s="30"/>
      <c r="M2535" s="30"/>
      <c r="N2535" s="30"/>
      <c r="O2535" s="30"/>
      <c r="P2535" s="30"/>
      <c r="Q2535" s="30"/>
      <c r="R2535" s="30"/>
      <c r="S2535" s="30"/>
      <c r="T2535" s="30"/>
      <c r="U2535" s="30"/>
      <c r="V2535" s="30"/>
      <c r="W2535" s="30"/>
      <c r="X2535" s="30"/>
      <c r="Y2535" s="30"/>
      <c r="Z2535" s="30"/>
    </row>
    <row r="2536">
      <c r="A2536" s="29"/>
      <c r="B2536" s="29"/>
      <c r="C2536" s="30"/>
      <c r="D2536" s="30"/>
      <c r="E2536" s="30"/>
      <c r="F2536" s="30"/>
      <c r="G2536" s="30"/>
      <c r="H2536" s="30"/>
      <c r="I2536" s="30"/>
      <c r="J2536" s="30"/>
      <c r="K2536" s="30"/>
      <c r="L2536" s="30"/>
      <c r="M2536" s="30"/>
      <c r="N2536" s="30"/>
      <c r="O2536" s="30"/>
      <c r="P2536" s="30"/>
      <c r="Q2536" s="30"/>
      <c r="R2536" s="30"/>
      <c r="S2536" s="30"/>
      <c r="T2536" s="30"/>
      <c r="U2536" s="30"/>
      <c r="V2536" s="30"/>
      <c r="W2536" s="30"/>
      <c r="X2536" s="30"/>
      <c r="Y2536" s="30"/>
      <c r="Z2536" s="30"/>
    </row>
    <row r="2537">
      <c r="A2537" s="29"/>
      <c r="B2537" s="29"/>
      <c r="C2537" s="30"/>
      <c r="D2537" s="30"/>
      <c r="E2537" s="30"/>
      <c r="F2537" s="30"/>
      <c r="G2537" s="30"/>
      <c r="H2537" s="30"/>
      <c r="I2537" s="30"/>
      <c r="J2537" s="30"/>
      <c r="K2537" s="30"/>
      <c r="L2537" s="30"/>
      <c r="M2537" s="30"/>
      <c r="N2537" s="30"/>
      <c r="O2537" s="30"/>
      <c r="P2537" s="30"/>
      <c r="Q2537" s="30"/>
      <c r="R2537" s="30"/>
      <c r="S2537" s="30"/>
      <c r="T2537" s="30"/>
      <c r="U2537" s="30"/>
      <c r="V2537" s="30"/>
      <c r="W2537" s="30"/>
      <c r="X2537" s="30"/>
      <c r="Y2537" s="30"/>
      <c r="Z2537" s="30"/>
    </row>
    <row r="2538">
      <c r="A2538" s="29"/>
      <c r="B2538" s="29"/>
      <c r="C2538" s="30"/>
      <c r="D2538" s="30"/>
      <c r="E2538" s="30"/>
      <c r="F2538" s="30"/>
      <c r="G2538" s="30"/>
      <c r="H2538" s="30"/>
      <c r="I2538" s="30"/>
      <c r="J2538" s="30"/>
      <c r="K2538" s="30"/>
      <c r="L2538" s="30"/>
      <c r="M2538" s="30"/>
      <c r="N2538" s="30"/>
      <c r="O2538" s="30"/>
      <c r="P2538" s="30"/>
      <c r="Q2538" s="30"/>
      <c r="R2538" s="30"/>
      <c r="S2538" s="30"/>
      <c r="T2538" s="30"/>
      <c r="U2538" s="30"/>
      <c r="V2538" s="30"/>
      <c r="W2538" s="30"/>
      <c r="X2538" s="30"/>
      <c r="Y2538" s="30"/>
      <c r="Z2538" s="30"/>
    </row>
    <row r="2539">
      <c r="A2539" s="29"/>
      <c r="B2539" s="29"/>
      <c r="C2539" s="30"/>
      <c r="D2539" s="30"/>
      <c r="E2539" s="30"/>
      <c r="F2539" s="30"/>
      <c r="G2539" s="30"/>
      <c r="H2539" s="30"/>
      <c r="I2539" s="30"/>
      <c r="J2539" s="30"/>
      <c r="K2539" s="30"/>
      <c r="L2539" s="30"/>
      <c r="M2539" s="30"/>
      <c r="N2539" s="30"/>
      <c r="O2539" s="30"/>
      <c r="P2539" s="30"/>
      <c r="Q2539" s="30"/>
      <c r="R2539" s="30"/>
      <c r="S2539" s="30"/>
      <c r="T2539" s="30"/>
      <c r="U2539" s="30"/>
      <c r="V2539" s="30"/>
      <c r="W2539" s="30"/>
      <c r="X2539" s="30"/>
      <c r="Y2539" s="30"/>
      <c r="Z2539" s="30"/>
    </row>
    <row r="2540">
      <c r="A2540" s="29"/>
      <c r="B2540" s="29"/>
      <c r="C2540" s="30"/>
      <c r="D2540" s="30"/>
      <c r="E2540" s="30"/>
      <c r="F2540" s="30"/>
      <c r="G2540" s="30"/>
      <c r="H2540" s="30"/>
      <c r="I2540" s="30"/>
      <c r="J2540" s="30"/>
      <c r="K2540" s="30"/>
      <c r="L2540" s="30"/>
      <c r="M2540" s="30"/>
      <c r="N2540" s="30"/>
      <c r="O2540" s="30"/>
      <c r="P2540" s="30"/>
      <c r="Q2540" s="30"/>
      <c r="R2540" s="30"/>
      <c r="S2540" s="30"/>
      <c r="T2540" s="30"/>
      <c r="U2540" s="30"/>
      <c r="V2540" s="30"/>
      <c r="W2540" s="30"/>
      <c r="X2540" s="30"/>
      <c r="Y2540" s="30"/>
      <c r="Z2540" s="30"/>
    </row>
    <row r="2541">
      <c r="A2541" s="29"/>
      <c r="B2541" s="29"/>
      <c r="C2541" s="30"/>
      <c r="D2541" s="30"/>
      <c r="E2541" s="30"/>
      <c r="F2541" s="30"/>
      <c r="G2541" s="30"/>
      <c r="H2541" s="30"/>
      <c r="I2541" s="30"/>
      <c r="J2541" s="30"/>
      <c r="K2541" s="30"/>
      <c r="L2541" s="30"/>
      <c r="M2541" s="30"/>
      <c r="N2541" s="30"/>
      <c r="O2541" s="30"/>
      <c r="P2541" s="30"/>
      <c r="Q2541" s="30"/>
      <c r="R2541" s="30"/>
      <c r="S2541" s="30"/>
      <c r="T2541" s="30"/>
      <c r="U2541" s="30"/>
      <c r="V2541" s="30"/>
      <c r="W2541" s="30"/>
      <c r="X2541" s="30"/>
      <c r="Y2541" s="30"/>
      <c r="Z2541" s="30"/>
    </row>
    <row r="2542">
      <c r="A2542" s="29"/>
      <c r="B2542" s="29"/>
      <c r="C2542" s="30"/>
      <c r="D2542" s="30"/>
      <c r="E2542" s="30"/>
      <c r="F2542" s="30"/>
      <c r="G2542" s="30"/>
      <c r="H2542" s="30"/>
      <c r="I2542" s="30"/>
      <c r="J2542" s="30"/>
      <c r="K2542" s="30"/>
      <c r="L2542" s="30"/>
      <c r="M2542" s="30"/>
      <c r="N2542" s="30"/>
      <c r="O2542" s="30"/>
      <c r="P2542" s="30"/>
      <c r="Q2542" s="30"/>
      <c r="R2542" s="30"/>
      <c r="S2542" s="30"/>
      <c r="T2542" s="30"/>
      <c r="U2542" s="30"/>
      <c r="V2542" s="30"/>
      <c r="W2542" s="30"/>
      <c r="X2542" s="30"/>
      <c r="Y2542" s="30"/>
      <c r="Z2542" s="30"/>
    </row>
    <row r="2543">
      <c r="A2543" s="29"/>
      <c r="B2543" s="29"/>
      <c r="C2543" s="30"/>
      <c r="D2543" s="30"/>
      <c r="E2543" s="30"/>
      <c r="F2543" s="30"/>
      <c r="G2543" s="30"/>
      <c r="H2543" s="30"/>
      <c r="I2543" s="30"/>
      <c r="J2543" s="30"/>
      <c r="K2543" s="30"/>
      <c r="L2543" s="30"/>
      <c r="M2543" s="30"/>
      <c r="N2543" s="30"/>
      <c r="O2543" s="30"/>
      <c r="P2543" s="30"/>
      <c r="Q2543" s="30"/>
      <c r="R2543" s="30"/>
      <c r="S2543" s="30"/>
      <c r="T2543" s="30"/>
      <c r="U2543" s="30"/>
      <c r="V2543" s="30"/>
      <c r="W2543" s="30"/>
      <c r="X2543" s="30"/>
      <c r="Y2543" s="30"/>
      <c r="Z2543" s="30"/>
    </row>
    <row r="2544">
      <c r="A2544" s="29"/>
      <c r="B2544" s="29"/>
      <c r="C2544" s="30"/>
      <c r="D2544" s="30"/>
      <c r="E2544" s="30"/>
      <c r="F2544" s="30"/>
      <c r="G2544" s="30"/>
      <c r="H2544" s="30"/>
      <c r="I2544" s="30"/>
      <c r="J2544" s="30"/>
      <c r="K2544" s="30"/>
      <c r="L2544" s="30"/>
      <c r="M2544" s="30"/>
      <c r="N2544" s="30"/>
      <c r="O2544" s="30"/>
      <c r="P2544" s="30"/>
      <c r="Q2544" s="30"/>
      <c r="R2544" s="30"/>
      <c r="S2544" s="30"/>
      <c r="T2544" s="30"/>
      <c r="U2544" s="30"/>
      <c r="V2544" s="30"/>
      <c r="W2544" s="30"/>
      <c r="X2544" s="30"/>
      <c r="Y2544" s="30"/>
      <c r="Z2544" s="30"/>
    </row>
    <row r="2545">
      <c r="A2545" s="29"/>
      <c r="B2545" s="29"/>
      <c r="C2545" s="30"/>
      <c r="D2545" s="30"/>
      <c r="E2545" s="30"/>
      <c r="F2545" s="30"/>
      <c r="G2545" s="30"/>
      <c r="H2545" s="30"/>
      <c r="I2545" s="30"/>
      <c r="J2545" s="30"/>
      <c r="K2545" s="30"/>
      <c r="L2545" s="30"/>
      <c r="M2545" s="30"/>
      <c r="N2545" s="30"/>
      <c r="O2545" s="30"/>
      <c r="P2545" s="30"/>
      <c r="Q2545" s="30"/>
      <c r="R2545" s="30"/>
      <c r="S2545" s="30"/>
      <c r="T2545" s="30"/>
      <c r="U2545" s="30"/>
      <c r="V2545" s="30"/>
      <c r="W2545" s="30"/>
      <c r="X2545" s="30"/>
      <c r="Y2545" s="30"/>
      <c r="Z2545" s="30"/>
    </row>
    <row r="2546">
      <c r="A2546" s="29"/>
      <c r="B2546" s="29"/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30"/>
      <c r="N2546" s="30"/>
      <c r="O2546" s="30"/>
      <c r="P2546" s="30"/>
      <c r="Q2546" s="30"/>
      <c r="R2546" s="30"/>
      <c r="S2546" s="30"/>
      <c r="T2546" s="30"/>
      <c r="U2546" s="30"/>
      <c r="V2546" s="30"/>
      <c r="W2546" s="30"/>
      <c r="X2546" s="30"/>
      <c r="Y2546" s="30"/>
      <c r="Z2546" s="30"/>
    </row>
    <row r="2547">
      <c r="A2547" s="29"/>
      <c r="B2547" s="29"/>
      <c r="C2547" s="30"/>
      <c r="D2547" s="30"/>
      <c r="E2547" s="30"/>
      <c r="F2547" s="30"/>
      <c r="G2547" s="30"/>
      <c r="H2547" s="30"/>
      <c r="I2547" s="30"/>
      <c r="J2547" s="30"/>
      <c r="K2547" s="30"/>
      <c r="L2547" s="30"/>
      <c r="M2547" s="30"/>
      <c r="N2547" s="30"/>
      <c r="O2547" s="30"/>
      <c r="P2547" s="30"/>
      <c r="Q2547" s="30"/>
      <c r="R2547" s="30"/>
      <c r="S2547" s="30"/>
      <c r="T2547" s="30"/>
      <c r="U2547" s="30"/>
      <c r="V2547" s="30"/>
      <c r="W2547" s="30"/>
      <c r="X2547" s="30"/>
      <c r="Y2547" s="30"/>
      <c r="Z2547" s="30"/>
    </row>
    <row r="2548">
      <c r="A2548" s="29"/>
      <c r="B2548" s="29"/>
      <c r="C2548" s="30"/>
      <c r="D2548" s="30"/>
      <c r="E2548" s="30"/>
      <c r="F2548" s="30"/>
      <c r="G2548" s="30"/>
      <c r="H2548" s="30"/>
      <c r="I2548" s="30"/>
      <c r="J2548" s="30"/>
      <c r="K2548" s="30"/>
      <c r="L2548" s="30"/>
      <c r="M2548" s="30"/>
      <c r="N2548" s="30"/>
      <c r="O2548" s="30"/>
      <c r="P2548" s="30"/>
      <c r="Q2548" s="30"/>
      <c r="R2548" s="30"/>
      <c r="S2548" s="30"/>
      <c r="T2548" s="30"/>
      <c r="U2548" s="30"/>
      <c r="V2548" s="30"/>
      <c r="W2548" s="30"/>
      <c r="X2548" s="30"/>
      <c r="Y2548" s="30"/>
      <c r="Z2548" s="30"/>
    </row>
    <row r="2549">
      <c r="A2549" s="29"/>
      <c r="B2549" s="29"/>
      <c r="C2549" s="30"/>
      <c r="D2549" s="30"/>
      <c r="E2549" s="30"/>
      <c r="F2549" s="30"/>
      <c r="G2549" s="30"/>
      <c r="H2549" s="30"/>
      <c r="I2549" s="30"/>
      <c r="J2549" s="30"/>
      <c r="K2549" s="30"/>
      <c r="L2549" s="30"/>
      <c r="M2549" s="30"/>
      <c r="N2549" s="30"/>
      <c r="O2549" s="30"/>
      <c r="P2549" s="30"/>
      <c r="Q2549" s="30"/>
      <c r="R2549" s="30"/>
      <c r="S2549" s="30"/>
      <c r="T2549" s="30"/>
      <c r="U2549" s="30"/>
      <c r="V2549" s="30"/>
      <c r="W2549" s="30"/>
      <c r="X2549" s="30"/>
      <c r="Y2549" s="30"/>
      <c r="Z2549" s="30"/>
    </row>
    <row r="2550">
      <c r="A2550" s="29"/>
      <c r="B2550" s="29"/>
      <c r="C2550" s="30"/>
      <c r="D2550" s="30"/>
      <c r="E2550" s="30"/>
      <c r="F2550" s="30"/>
      <c r="G2550" s="30"/>
      <c r="H2550" s="30"/>
      <c r="I2550" s="30"/>
      <c r="J2550" s="30"/>
      <c r="K2550" s="30"/>
      <c r="L2550" s="30"/>
      <c r="M2550" s="30"/>
      <c r="N2550" s="30"/>
      <c r="O2550" s="30"/>
      <c r="P2550" s="30"/>
      <c r="Q2550" s="30"/>
      <c r="R2550" s="30"/>
      <c r="S2550" s="30"/>
      <c r="T2550" s="30"/>
      <c r="U2550" s="30"/>
      <c r="V2550" s="30"/>
      <c r="W2550" s="30"/>
      <c r="X2550" s="30"/>
      <c r="Y2550" s="30"/>
      <c r="Z2550" s="30"/>
    </row>
    <row r="2551">
      <c r="A2551" s="29"/>
      <c r="B2551" s="29"/>
      <c r="C2551" s="30"/>
      <c r="D2551" s="30"/>
      <c r="E2551" s="30"/>
      <c r="F2551" s="30"/>
      <c r="G2551" s="30"/>
      <c r="H2551" s="30"/>
      <c r="I2551" s="30"/>
      <c r="J2551" s="30"/>
      <c r="K2551" s="30"/>
      <c r="L2551" s="30"/>
      <c r="M2551" s="30"/>
      <c r="N2551" s="30"/>
      <c r="O2551" s="30"/>
      <c r="P2551" s="30"/>
      <c r="Q2551" s="30"/>
      <c r="R2551" s="30"/>
      <c r="S2551" s="30"/>
      <c r="T2551" s="30"/>
      <c r="U2551" s="30"/>
      <c r="V2551" s="30"/>
      <c r="W2551" s="30"/>
      <c r="X2551" s="30"/>
      <c r="Y2551" s="30"/>
      <c r="Z2551" s="30"/>
    </row>
    <row r="2552">
      <c r="A2552" s="29"/>
      <c r="B2552" s="29"/>
      <c r="C2552" s="30"/>
      <c r="D2552" s="30"/>
      <c r="E2552" s="30"/>
      <c r="F2552" s="30"/>
      <c r="G2552" s="30"/>
      <c r="H2552" s="30"/>
      <c r="I2552" s="30"/>
      <c r="J2552" s="30"/>
      <c r="K2552" s="30"/>
      <c r="L2552" s="30"/>
      <c r="M2552" s="30"/>
      <c r="N2552" s="30"/>
      <c r="O2552" s="30"/>
      <c r="P2552" s="30"/>
      <c r="Q2552" s="30"/>
      <c r="R2552" s="30"/>
      <c r="S2552" s="30"/>
      <c r="T2552" s="30"/>
      <c r="U2552" s="30"/>
      <c r="V2552" s="30"/>
      <c r="W2552" s="30"/>
      <c r="X2552" s="30"/>
      <c r="Y2552" s="30"/>
      <c r="Z2552" s="30"/>
    </row>
    <row r="2553">
      <c r="A2553" s="29"/>
      <c r="B2553" s="29"/>
      <c r="C2553" s="30"/>
      <c r="D2553" s="30"/>
      <c r="E2553" s="30"/>
      <c r="F2553" s="30"/>
      <c r="G2553" s="30"/>
      <c r="H2553" s="30"/>
      <c r="I2553" s="30"/>
      <c r="J2553" s="30"/>
      <c r="K2553" s="30"/>
      <c r="L2553" s="30"/>
      <c r="M2553" s="30"/>
      <c r="N2553" s="30"/>
      <c r="O2553" s="30"/>
      <c r="P2553" s="30"/>
      <c r="Q2553" s="30"/>
      <c r="R2553" s="30"/>
      <c r="S2553" s="30"/>
      <c r="T2553" s="30"/>
      <c r="U2553" s="30"/>
      <c r="V2553" s="30"/>
      <c r="W2553" s="30"/>
      <c r="X2553" s="30"/>
      <c r="Y2553" s="30"/>
      <c r="Z2553" s="30"/>
    </row>
    <row r="2554">
      <c r="A2554" s="29"/>
      <c r="B2554" s="29"/>
      <c r="C2554" s="30"/>
      <c r="D2554" s="30"/>
      <c r="E2554" s="30"/>
      <c r="F2554" s="30"/>
      <c r="G2554" s="30"/>
      <c r="H2554" s="30"/>
      <c r="I2554" s="30"/>
      <c r="J2554" s="30"/>
      <c r="K2554" s="30"/>
      <c r="L2554" s="30"/>
      <c r="M2554" s="30"/>
      <c r="N2554" s="30"/>
      <c r="O2554" s="30"/>
      <c r="P2554" s="30"/>
      <c r="Q2554" s="30"/>
      <c r="R2554" s="30"/>
      <c r="S2554" s="30"/>
      <c r="T2554" s="30"/>
      <c r="U2554" s="30"/>
      <c r="V2554" s="30"/>
      <c r="W2554" s="30"/>
      <c r="X2554" s="30"/>
      <c r="Y2554" s="30"/>
      <c r="Z2554" s="30"/>
    </row>
    <row r="2555">
      <c r="A2555" s="29"/>
      <c r="B2555" s="29"/>
      <c r="C2555" s="30"/>
      <c r="D2555" s="30"/>
      <c r="E2555" s="30"/>
      <c r="F2555" s="30"/>
      <c r="G2555" s="30"/>
      <c r="H2555" s="30"/>
      <c r="I2555" s="30"/>
      <c r="J2555" s="30"/>
      <c r="K2555" s="30"/>
      <c r="L2555" s="30"/>
      <c r="M2555" s="30"/>
      <c r="N2555" s="30"/>
      <c r="O2555" s="30"/>
      <c r="P2555" s="30"/>
      <c r="Q2555" s="30"/>
      <c r="R2555" s="30"/>
      <c r="S2555" s="30"/>
      <c r="T2555" s="30"/>
      <c r="U2555" s="30"/>
      <c r="V2555" s="30"/>
      <c r="W2555" s="30"/>
      <c r="X2555" s="30"/>
      <c r="Y2555" s="30"/>
      <c r="Z2555" s="30"/>
    </row>
    <row r="2556">
      <c r="A2556" s="29"/>
      <c r="B2556" s="29"/>
      <c r="C2556" s="30"/>
      <c r="D2556" s="30"/>
      <c r="E2556" s="30"/>
      <c r="F2556" s="30"/>
      <c r="G2556" s="30"/>
      <c r="H2556" s="30"/>
      <c r="I2556" s="30"/>
      <c r="J2556" s="30"/>
      <c r="K2556" s="30"/>
      <c r="L2556" s="30"/>
      <c r="M2556" s="30"/>
      <c r="N2556" s="30"/>
      <c r="O2556" s="30"/>
      <c r="P2556" s="30"/>
      <c r="Q2556" s="30"/>
      <c r="R2556" s="30"/>
      <c r="S2556" s="30"/>
      <c r="T2556" s="30"/>
      <c r="U2556" s="30"/>
      <c r="V2556" s="30"/>
      <c r="W2556" s="30"/>
      <c r="X2556" s="30"/>
      <c r="Y2556" s="30"/>
      <c r="Z2556" s="30"/>
    </row>
    <row r="2557">
      <c r="A2557" s="29"/>
      <c r="B2557" s="29"/>
      <c r="C2557" s="30"/>
      <c r="D2557" s="30"/>
      <c r="E2557" s="30"/>
      <c r="F2557" s="30"/>
      <c r="G2557" s="30"/>
      <c r="H2557" s="30"/>
      <c r="I2557" s="30"/>
      <c r="J2557" s="30"/>
      <c r="K2557" s="30"/>
      <c r="L2557" s="30"/>
      <c r="M2557" s="30"/>
      <c r="N2557" s="30"/>
      <c r="O2557" s="30"/>
      <c r="P2557" s="30"/>
      <c r="Q2557" s="30"/>
      <c r="R2557" s="30"/>
      <c r="S2557" s="30"/>
      <c r="T2557" s="30"/>
      <c r="U2557" s="30"/>
      <c r="V2557" s="30"/>
      <c r="W2557" s="30"/>
      <c r="X2557" s="30"/>
      <c r="Y2557" s="30"/>
      <c r="Z2557" s="30"/>
    </row>
    <row r="2558">
      <c r="A2558" s="29"/>
      <c r="B2558" s="29"/>
      <c r="C2558" s="30"/>
      <c r="D2558" s="30"/>
      <c r="E2558" s="30"/>
      <c r="F2558" s="30"/>
      <c r="G2558" s="30"/>
      <c r="H2558" s="30"/>
      <c r="I2558" s="30"/>
      <c r="J2558" s="30"/>
      <c r="K2558" s="30"/>
      <c r="L2558" s="30"/>
      <c r="M2558" s="30"/>
      <c r="N2558" s="30"/>
      <c r="O2558" s="30"/>
      <c r="P2558" s="30"/>
      <c r="Q2558" s="30"/>
      <c r="R2558" s="30"/>
      <c r="S2558" s="30"/>
      <c r="T2558" s="30"/>
      <c r="U2558" s="30"/>
      <c r="V2558" s="30"/>
      <c r="W2558" s="30"/>
      <c r="X2558" s="30"/>
      <c r="Y2558" s="30"/>
      <c r="Z2558" s="30"/>
    </row>
    <row r="2559">
      <c r="A2559" s="29"/>
      <c r="B2559" s="29"/>
      <c r="C2559" s="30"/>
      <c r="D2559" s="30"/>
      <c r="E2559" s="30"/>
      <c r="F2559" s="30"/>
      <c r="G2559" s="30"/>
      <c r="H2559" s="30"/>
      <c r="I2559" s="30"/>
      <c r="J2559" s="30"/>
      <c r="K2559" s="30"/>
      <c r="L2559" s="30"/>
      <c r="M2559" s="30"/>
      <c r="N2559" s="30"/>
      <c r="O2559" s="30"/>
      <c r="P2559" s="30"/>
      <c r="Q2559" s="30"/>
      <c r="R2559" s="30"/>
      <c r="S2559" s="30"/>
      <c r="T2559" s="30"/>
      <c r="U2559" s="30"/>
      <c r="V2559" s="30"/>
      <c r="W2559" s="30"/>
      <c r="X2559" s="30"/>
      <c r="Y2559" s="30"/>
      <c r="Z2559" s="30"/>
    </row>
    <row r="2560">
      <c r="A2560" s="29"/>
      <c r="B2560" s="29"/>
      <c r="C2560" s="30"/>
      <c r="D2560" s="30"/>
      <c r="E2560" s="30"/>
      <c r="F2560" s="30"/>
      <c r="G2560" s="30"/>
      <c r="H2560" s="30"/>
      <c r="I2560" s="30"/>
      <c r="J2560" s="30"/>
      <c r="K2560" s="30"/>
      <c r="L2560" s="30"/>
      <c r="M2560" s="30"/>
      <c r="N2560" s="30"/>
      <c r="O2560" s="30"/>
      <c r="P2560" s="30"/>
      <c r="Q2560" s="30"/>
      <c r="R2560" s="30"/>
      <c r="S2560" s="30"/>
      <c r="T2560" s="30"/>
      <c r="U2560" s="30"/>
      <c r="V2560" s="30"/>
      <c r="W2560" s="30"/>
      <c r="X2560" s="30"/>
      <c r="Y2560" s="30"/>
      <c r="Z2560" s="30"/>
    </row>
    <row r="2561">
      <c r="A2561" s="29"/>
      <c r="B2561" s="29"/>
      <c r="C2561" s="30"/>
      <c r="D2561" s="30"/>
      <c r="E2561" s="30"/>
      <c r="F2561" s="30"/>
      <c r="G2561" s="30"/>
      <c r="H2561" s="30"/>
      <c r="I2561" s="30"/>
      <c r="J2561" s="30"/>
      <c r="K2561" s="30"/>
      <c r="L2561" s="30"/>
      <c r="M2561" s="30"/>
      <c r="N2561" s="30"/>
      <c r="O2561" s="30"/>
      <c r="P2561" s="30"/>
      <c r="Q2561" s="30"/>
      <c r="R2561" s="30"/>
      <c r="S2561" s="30"/>
      <c r="T2561" s="30"/>
      <c r="U2561" s="30"/>
      <c r="V2561" s="30"/>
      <c r="W2561" s="30"/>
      <c r="X2561" s="30"/>
      <c r="Y2561" s="30"/>
      <c r="Z2561" s="30"/>
    </row>
    <row r="2562">
      <c r="A2562" s="29"/>
      <c r="B2562" s="29"/>
      <c r="C2562" s="30"/>
      <c r="D2562" s="30"/>
      <c r="E2562" s="30"/>
      <c r="F2562" s="30"/>
      <c r="G2562" s="30"/>
      <c r="H2562" s="30"/>
      <c r="I2562" s="30"/>
      <c r="J2562" s="30"/>
      <c r="K2562" s="30"/>
      <c r="L2562" s="30"/>
      <c r="M2562" s="30"/>
      <c r="N2562" s="30"/>
      <c r="O2562" s="30"/>
      <c r="P2562" s="30"/>
      <c r="Q2562" s="30"/>
      <c r="R2562" s="30"/>
      <c r="S2562" s="30"/>
      <c r="T2562" s="30"/>
      <c r="U2562" s="30"/>
      <c r="V2562" s="30"/>
      <c r="W2562" s="30"/>
      <c r="X2562" s="30"/>
      <c r="Y2562" s="30"/>
      <c r="Z2562" s="30"/>
    </row>
    <row r="2563">
      <c r="A2563" s="29"/>
      <c r="B2563" s="29"/>
      <c r="C2563" s="30"/>
      <c r="D2563" s="30"/>
      <c r="E2563" s="30"/>
      <c r="F2563" s="30"/>
      <c r="G2563" s="30"/>
      <c r="H2563" s="30"/>
      <c r="I2563" s="30"/>
      <c r="J2563" s="30"/>
      <c r="K2563" s="30"/>
      <c r="L2563" s="30"/>
      <c r="M2563" s="30"/>
      <c r="N2563" s="30"/>
      <c r="O2563" s="30"/>
      <c r="P2563" s="30"/>
      <c r="Q2563" s="30"/>
      <c r="R2563" s="30"/>
      <c r="S2563" s="30"/>
      <c r="T2563" s="30"/>
      <c r="U2563" s="30"/>
      <c r="V2563" s="30"/>
      <c r="W2563" s="30"/>
      <c r="X2563" s="30"/>
      <c r="Y2563" s="30"/>
      <c r="Z2563" s="30"/>
    </row>
    <row r="2564">
      <c r="A2564" s="29"/>
      <c r="B2564" s="29"/>
      <c r="C2564" s="30"/>
      <c r="D2564" s="30"/>
      <c r="E2564" s="30"/>
      <c r="F2564" s="30"/>
      <c r="G2564" s="30"/>
      <c r="H2564" s="30"/>
      <c r="I2564" s="30"/>
      <c r="J2564" s="30"/>
      <c r="K2564" s="30"/>
      <c r="L2564" s="30"/>
      <c r="M2564" s="30"/>
      <c r="N2564" s="30"/>
      <c r="O2564" s="30"/>
      <c r="P2564" s="30"/>
      <c r="Q2564" s="30"/>
      <c r="R2564" s="30"/>
      <c r="S2564" s="30"/>
      <c r="T2564" s="30"/>
      <c r="U2564" s="30"/>
      <c r="V2564" s="30"/>
      <c r="W2564" s="30"/>
      <c r="X2564" s="30"/>
      <c r="Y2564" s="30"/>
      <c r="Z2564" s="30"/>
    </row>
    <row r="2565">
      <c r="A2565" s="29"/>
      <c r="B2565" s="29"/>
      <c r="C2565" s="30"/>
      <c r="D2565" s="30"/>
      <c r="E2565" s="30"/>
      <c r="F2565" s="30"/>
      <c r="G2565" s="30"/>
      <c r="H2565" s="30"/>
      <c r="I2565" s="30"/>
      <c r="J2565" s="30"/>
      <c r="K2565" s="30"/>
      <c r="L2565" s="30"/>
      <c r="M2565" s="30"/>
      <c r="N2565" s="30"/>
      <c r="O2565" s="30"/>
      <c r="P2565" s="30"/>
      <c r="Q2565" s="30"/>
      <c r="R2565" s="30"/>
      <c r="S2565" s="30"/>
      <c r="T2565" s="30"/>
      <c r="U2565" s="30"/>
      <c r="V2565" s="30"/>
      <c r="W2565" s="30"/>
      <c r="X2565" s="30"/>
      <c r="Y2565" s="30"/>
      <c r="Z2565" s="30"/>
    </row>
    <row r="2566">
      <c r="A2566" s="29"/>
      <c r="B2566" s="29"/>
      <c r="C2566" s="30"/>
      <c r="D2566" s="30"/>
      <c r="E2566" s="30"/>
      <c r="F2566" s="30"/>
      <c r="G2566" s="30"/>
      <c r="H2566" s="30"/>
      <c r="I2566" s="30"/>
      <c r="J2566" s="30"/>
      <c r="K2566" s="30"/>
      <c r="L2566" s="30"/>
      <c r="M2566" s="30"/>
      <c r="N2566" s="30"/>
      <c r="O2566" s="30"/>
      <c r="P2566" s="30"/>
      <c r="Q2566" s="30"/>
      <c r="R2566" s="30"/>
      <c r="S2566" s="30"/>
      <c r="T2566" s="30"/>
      <c r="U2566" s="30"/>
      <c r="V2566" s="30"/>
      <c r="W2566" s="30"/>
      <c r="X2566" s="30"/>
      <c r="Y2566" s="30"/>
      <c r="Z2566" s="30"/>
    </row>
    <row r="2567">
      <c r="A2567" s="29"/>
      <c r="B2567" s="29"/>
      <c r="C2567" s="30"/>
      <c r="D2567" s="30"/>
      <c r="E2567" s="30"/>
      <c r="F2567" s="30"/>
      <c r="G2567" s="30"/>
      <c r="H2567" s="30"/>
      <c r="I2567" s="30"/>
      <c r="J2567" s="30"/>
      <c r="K2567" s="30"/>
      <c r="L2567" s="30"/>
      <c r="M2567" s="30"/>
      <c r="N2567" s="30"/>
      <c r="O2567" s="30"/>
      <c r="P2567" s="30"/>
      <c r="Q2567" s="30"/>
      <c r="R2567" s="30"/>
      <c r="S2567" s="30"/>
      <c r="T2567" s="30"/>
      <c r="U2567" s="30"/>
      <c r="V2567" s="30"/>
      <c r="W2567" s="30"/>
      <c r="X2567" s="30"/>
      <c r="Y2567" s="30"/>
      <c r="Z2567" s="30"/>
    </row>
    <row r="2568">
      <c r="A2568" s="29"/>
      <c r="B2568" s="29"/>
      <c r="C2568" s="30"/>
      <c r="D2568" s="30"/>
      <c r="E2568" s="30"/>
      <c r="F2568" s="30"/>
      <c r="G2568" s="30"/>
      <c r="H2568" s="30"/>
      <c r="I2568" s="30"/>
      <c r="J2568" s="30"/>
      <c r="K2568" s="30"/>
      <c r="L2568" s="30"/>
      <c r="M2568" s="30"/>
      <c r="N2568" s="30"/>
      <c r="O2568" s="30"/>
      <c r="P2568" s="30"/>
      <c r="Q2568" s="30"/>
      <c r="R2568" s="30"/>
      <c r="S2568" s="30"/>
      <c r="T2568" s="30"/>
      <c r="U2568" s="30"/>
      <c r="V2568" s="30"/>
      <c r="W2568" s="30"/>
      <c r="X2568" s="30"/>
      <c r="Y2568" s="30"/>
      <c r="Z2568" s="30"/>
    </row>
    <row r="2569">
      <c r="A2569" s="29"/>
      <c r="B2569" s="29"/>
      <c r="C2569" s="30"/>
      <c r="D2569" s="30"/>
      <c r="E2569" s="30"/>
      <c r="F2569" s="30"/>
      <c r="G2569" s="30"/>
      <c r="H2569" s="30"/>
      <c r="I2569" s="30"/>
      <c r="J2569" s="30"/>
      <c r="K2569" s="30"/>
      <c r="L2569" s="30"/>
      <c r="M2569" s="30"/>
      <c r="N2569" s="30"/>
      <c r="O2569" s="30"/>
      <c r="P2569" s="30"/>
      <c r="Q2569" s="30"/>
      <c r="R2569" s="30"/>
      <c r="S2569" s="30"/>
      <c r="T2569" s="30"/>
      <c r="U2569" s="30"/>
      <c r="V2569" s="30"/>
      <c r="W2569" s="30"/>
      <c r="X2569" s="30"/>
      <c r="Y2569" s="30"/>
      <c r="Z2569" s="30"/>
    </row>
    <row r="2570">
      <c r="A2570" s="29"/>
      <c r="B2570" s="29"/>
      <c r="C2570" s="30"/>
      <c r="D2570" s="30"/>
      <c r="E2570" s="30"/>
      <c r="F2570" s="30"/>
      <c r="G2570" s="30"/>
      <c r="H2570" s="30"/>
      <c r="I2570" s="30"/>
      <c r="J2570" s="30"/>
      <c r="K2570" s="30"/>
      <c r="L2570" s="30"/>
      <c r="M2570" s="30"/>
      <c r="N2570" s="30"/>
      <c r="O2570" s="30"/>
      <c r="P2570" s="30"/>
      <c r="Q2570" s="30"/>
      <c r="R2570" s="30"/>
      <c r="S2570" s="30"/>
      <c r="T2570" s="30"/>
      <c r="U2570" s="30"/>
      <c r="V2570" s="30"/>
      <c r="W2570" s="30"/>
      <c r="X2570" s="30"/>
      <c r="Y2570" s="30"/>
      <c r="Z2570" s="30"/>
    </row>
    <row r="2571">
      <c r="A2571" s="29"/>
      <c r="B2571" s="29"/>
      <c r="C2571" s="30"/>
      <c r="D2571" s="30"/>
      <c r="E2571" s="30"/>
      <c r="F2571" s="30"/>
      <c r="G2571" s="30"/>
      <c r="H2571" s="30"/>
      <c r="I2571" s="30"/>
      <c r="J2571" s="30"/>
      <c r="K2571" s="30"/>
      <c r="L2571" s="30"/>
      <c r="M2571" s="30"/>
      <c r="N2571" s="30"/>
      <c r="O2571" s="30"/>
      <c r="P2571" s="30"/>
      <c r="Q2571" s="30"/>
      <c r="R2571" s="30"/>
      <c r="S2571" s="30"/>
      <c r="T2571" s="30"/>
      <c r="U2571" s="30"/>
      <c r="V2571" s="30"/>
      <c r="W2571" s="30"/>
      <c r="X2571" s="30"/>
      <c r="Y2571" s="30"/>
      <c r="Z2571" s="30"/>
    </row>
    <row r="2572">
      <c r="A2572" s="29"/>
      <c r="B2572" s="29"/>
      <c r="C2572" s="30"/>
      <c r="D2572" s="30"/>
      <c r="E2572" s="30"/>
      <c r="F2572" s="30"/>
      <c r="G2572" s="30"/>
      <c r="H2572" s="30"/>
      <c r="I2572" s="30"/>
      <c r="J2572" s="30"/>
      <c r="K2572" s="30"/>
      <c r="L2572" s="30"/>
      <c r="M2572" s="30"/>
      <c r="N2572" s="30"/>
      <c r="O2572" s="30"/>
      <c r="P2572" s="30"/>
      <c r="Q2572" s="30"/>
      <c r="R2572" s="30"/>
      <c r="S2572" s="30"/>
      <c r="T2572" s="30"/>
      <c r="U2572" s="30"/>
      <c r="V2572" s="30"/>
      <c r="W2572" s="30"/>
      <c r="X2572" s="30"/>
      <c r="Y2572" s="30"/>
      <c r="Z2572" s="30"/>
    </row>
    <row r="2573">
      <c r="A2573" s="29"/>
      <c r="B2573" s="29"/>
      <c r="C2573" s="30"/>
      <c r="D2573" s="30"/>
      <c r="E2573" s="30"/>
      <c r="F2573" s="30"/>
      <c r="G2573" s="30"/>
      <c r="H2573" s="30"/>
      <c r="I2573" s="30"/>
      <c r="J2573" s="30"/>
      <c r="K2573" s="30"/>
      <c r="L2573" s="30"/>
      <c r="M2573" s="30"/>
      <c r="N2573" s="30"/>
      <c r="O2573" s="30"/>
      <c r="P2573" s="30"/>
      <c r="Q2573" s="30"/>
      <c r="R2573" s="30"/>
      <c r="S2573" s="30"/>
      <c r="T2573" s="30"/>
      <c r="U2573" s="30"/>
      <c r="V2573" s="30"/>
      <c r="W2573" s="30"/>
      <c r="X2573" s="30"/>
      <c r="Y2573" s="30"/>
      <c r="Z2573" s="30"/>
    </row>
    <row r="2574">
      <c r="A2574" s="29"/>
      <c r="B2574" s="29"/>
      <c r="C2574" s="30"/>
      <c r="D2574" s="30"/>
      <c r="E2574" s="30"/>
      <c r="F2574" s="30"/>
      <c r="G2574" s="30"/>
      <c r="H2574" s="30"/>
      <c r="I2574" s="30"/>
      <c r="J2574" s="30"/>
      <c r="K2574" s="30"/>
      <c r="L2574" s="30"/>
      <c r="M2574" s="30"/>
      <c r="N2574" s="30"/>
      <c r="O2574" s="30"/>
      <c r="P2574" s="30"/>
      <c r="Q2574" s="30"/>
      <c r="R2574" s="30"/>
      <c r="S2574" s="30"/>
      <c r="T2574" s="30"/>
      <c r="U2574" s="30"/>
      <c r="V2574" s="30"/>
      <c r="W2574" s="30"/>
      <c r="X2574" s="30"/>
      <c r="Y2574" s="30"/>
      <c r="Z2574" s="30"/>
    </row>
    <row r="2575">
      <c r="A2575" s="29"/>
      <c r="B2575" s="29"/>
      <c r="C2575" s="30"/>
      <c r="D2575" s="30"/>
      <c r="E2575" s="30"/>
      <c r="F2575" s="30"/>
      <c r="G2575" s="30"/>
      <c r="H2575" s="30"/>
      <c r="I2575" s="30"/>
      <c r="J2575" s="30"/>
      <c r="K2575" s="30"/>
      <c r="L2575" s="30"/>
      <c r="M2575" s="30"/>
      <c r="N2575" s="30"/>
      <c r="O2575" s="30"/>
      <c r="P2575" s="30"/>
      <c r="Q2575" s="30"/>
      <c r="R2575" s="30"/>
      <c r="S2575" s="30"/>
      <c r="T2575" s="30"/>
      <c r="U2575" s="30"/>
      <c r="V2575" s="30"/>
      <c r="W2575" s="30"/>
      <c r="X2575" s="30"/>
      <c r="Y2575" s="30"/>
      <c r="Z2575" s="30"/>
    </row>
    <row r="2576">
      <c r="A2576" s="29"/>
      <c r="B2576" s="29"/>
      <c r="C2576" s="30"/>
      <c r="D2576" s="30"/>
      <c r="E2576" s="30"/>
      <c r="F2576" s="30"/>
      <c r="G2576" s="30"/>
      <c r="H2576" s="30"/>
      <c r="I2576" s="30"/>
      <c r="J2576" s="30"/>
      <c r="K2576" s="30"/>
      <c r="L2576" s="30"/>
      <c r="M2576" s="30"/>
      <c r="N2576" s="30"/>
      <c r="O2576" s="30"/>
      <c r="P2576" s="30"/>
      <c r="Q2576" s="30"/>
      <c r="R2576" s="30"/>
      <c r="S2576" s="30"/>
      <c r="T2576" s="30"/>
      <c r="U2576" s="30"/>
      <c r="V2576" s="30"/>
      <c r="W2576" s="30"/>
      <c r="X2576" s="30"/>
      <c r="Y2576" s="30"/>
      <c r="Z2576" s="30"/>
    </row>
    <row r="2577">
      <c r="A2577" s="29"/>
      <c r="B2577" s="29"/>
      <c r="C2577" s="30"/>
      <c r="D2577" s="30"/>
      <c r="E2577" s="30"/>
      <c r="F2577" s="30"/>
      <c r="G2577" s="30"/>
      <c r="H2577" s="30"/>
      <c r="I2577" s="30"/>
      <c r="J2577" s="30"/>
      <c r="K2577" s="30"/>
      <c r="L2577" s="30"/>
      <c r="M2577" s="30"/>
      <c r="N2577" s="30"/>
      <c r="O2577" s="30"/>
      <c r="P2577" s="30"/>
      <c r="Q2577" s="30"/>
      <c r="R2577" s="30"/>
      <c r="S2577" s="30"/>
      <c r="T2577" s="30"/>
      <c r="U2577" s="30"/>
      <c r="V2577" s="30"/>
      <c r="W2577" s="30"/>
      <c r="X2577" s="30"/>
      <c r="Y2577" s="30"/>
      <c r="Z2577" s="30"/>
    </row>
    <row r="2578">
      <c r="A2578" s="29"/>
      <c r="B2578" s="29"/>
      <c r="C2578" s="30"/>
      <c r="D2578" s="30"/>
      <c r="E2578" s="30"/>
      <c r="F2578" s="30"/>
      <c r="G2578" s="30"/>
      <c r="H2578" s="30"/>
      <c r="I2578" s="30"/>
      <c r="J2578" s="30"/>
      <c r="K2578" s="30"/>
      <c r="L2578" s="30"/>
      <c r="M2578" s="30"/>
      <c r="N2578" s="30"/>
      <c r="O2578" s="30"/>
      <c r="P2578" s="30"/>
      <c r="Q2578" s="30"/>
      <c r="R2578" s="30"/>
      <c r="S2578" s="30"/>
      <c r="T2578" s="30"/>
      <c r="U2578" s="30"/>
      <c r="V2578" s="30"/>
      <c r="W2578" s="30"/>
      <c r="X2578" s="30"/>
      <c r="Y2578" s="30"/>
      <c r="Z2578" s="30"/>
    </row>
    <row r="2579">
      <c r="A2579" s="29"/>
      <c r="B2579" s="29"/>
      <c r="C2579" s="30"/>
      <c r="D2579" s="30"/>
      <c r="E2579" s="30"/>
      <c r="F2579" s="30"/>
      <c r="G2579" s="30"/>
      <c r="H2579" s="30"/>
      <c r="I2579" s="30"/>
      <c r="J2579" s="30"/>
      <c r="K2579" s="30"/>
      <c r="L2579" s="30"/>
      <c r="M2579" s="30"/>
      <c r="N2579" s="30"/>
      <c r="O2579" s="30"/>
      <c r="P2579" s="30"/>
      <c r="Q2579" s="30"/>
      <c r="R2579" s="30"/>
      <c r="S2579" s="30"/>
      <c r="T2579" s="30"/>
      <c r="U2579" s="30"/>
      <c r="V2579" s="30"/>
      <c r="W2579" s="30"/>
      <c r="X2579" s="30"/>
      <c r="Y2579" s="30"/>
      <c r="Z2579" s="30"/>
    </row>
    <row r="2580">
      <c r="A2580" s="29"/>
      <c r="B2580" s="29"/>
      <c r="C2580" s="30"/>
      <c r="D2580" s="30"/>
      <c r="E2580" s="30"/>
      <c r="F2580" s="30"/>
      <c r="G2580" s="30"/>
      <c r="H2580" s="30"/>
      <c r="I2580" s="30"/>
      <c r="J2580" s="30"/>
      <c r="K2580" s="30"/>
      <c r="L2580" s="30"/>
      <c r="M2580" s="30"/>
      <c r="N2580" s="30"/>
      <c r="O2580" s="30"/>
      <c r="P2580" s="30"/>
      <c r="Q2580" s="30"/>
      <c r="R2580" s="30"/>
      <c r="S2580" s="30"/>
      <c r="T2580" s="30"/>
      <c r="U2580" s="30"/>
      <c r="V2580" s="30"/>
      <c r="W2580" s="30"/>
      <c r="X2580" s="30"/>
      <c r="Y2580" s="30"/>
      <c r="Z2580" s="30"/>
    </row>
    <row r="2581">
      <c r="A2581" s="29"/>
      <c r="B2581" s="29"/>
      <c r="C2581" s="30"/>
      <c r="D2581" s="30"/>
      <c r="E2581" s="30"/>
      <c r="F2581" s="30"/>
      <c r="G2581" s="30"/>
      <c r="H2581" s="30"/>
      <c r="I2581" s="30"/>
      <c r="J2581" s="30"/>
      <c r="K2581" s="30"/>
      <c r="L2581" s="30"/>
      <c r="M2581" s="30"/>
      <c r="N2581" s="30"/>
      <c r="O2581" s="30"/>
      <c r="P2581" s="30"/>
      <c r="Q2581" s="30"/>
      <c r="R2581" s="30"/>
      <c r="S2581" s="30"/>
      <c r="T2581" s="30"/>
      <c r="U2581" s="30"/>
      <c r="V2581" s="30"/>
      <c r="W2581" s="30"/>
      <c r="X2581" s="30"/>
      <c r="Y2581" s="30"/>
      <c r="Z2581" s="30"/>
    </row>
    <row r="2582">
      <c r="A2582" s="29"/>
      <c r="B2582" s="29"/>
      <c r="C2582" s="30"/>
      <c r="D2582" s="30"/>
      <c r="E2582" s="30"/>
      <c r="F2582" s="30"/>
      <c r="G2582" s="30"/>
      <c r="H2582" s="30"/>
      <c r="I2582" s="30"/>
      <c r="J2582" s="30"/>
      <c r="K2582" s="30"/>
      <c r="L2582" s="30"/>
      <c r="M2582" s="30"/>
      <c r="N2582" s="30"/>
      <c r="O2582" s="30"/>
      <c r="P2582" s="30"/>
      <c r="Q2582" s="30"/>
      <c r="R2582" s="30"/>
      <c r="S2582" s="30"/>
      <c r="T2582" s="30"/>
      <c r="U2582" s="30"/>
      <c r="V2582" s="30"/>
      <c r="W2582" s="30"/>
      <c r="X2582" s="30"/>
      <c r="Y2582" s="30"/>
      <c r="Z2582" s="30"/>
    </row>
    <row r="2583">
      <c r="A2583" s="29"/>
      <c r="B2583" s="29"/>
      <c r="C2583" s="30"/>
      <c r="D2583" s="30"/>
      <c r="E2583" s="30"/>
      <c r="F2583" s="30"/>
      <c r="G2583" s="30"/>
      <c r="H2583" s="30"/>
      <c r="I2583" s="30"/>
      <c r="J2583" s="30"/>
      <c r="K2583" s="30"/>
      <c r="L2583" s="30"/>
      <c r="M2583" s="30"/>
      <c r="N2583" s="30"/>
      <c r="O2583" s="30"/>
      <c r="P2583" s="30"/>
      <c r="Q2583" s="30"/>
      <c r="R2583" s="30"/>
      <c r="S2583" s="30"/>
      <c r="T2583" s="30"/>
      <c r="U2583" s="30"/>
      <c r="V2583" s="30"/>
      <c r="W2583" s="30"/>
      <c r="X2583" s="30"/>
      <c r="Y2583" s="30"/>
      <c r="Z2583" s="30"/>
    </row>
    <row r="2584">
      <c r="A2584" s="29"/>
      <c r="B2584" s="29"/>
      <c r="C2584" s="30"/>
      <c r="D2584" s="30"/>
      <c r="E2584" s="30"/>
      <c r="F2584" s="30"/>
      <c r="G2584" s="30"/>
      <c r="H2584" s="30"/>
      <c r="I2584" s="30"/>
      <c r="J2584" s="30"/>
      <c r="K2584" s="30"/>
      <c r="L2584" s="30"/>
      <c r="M2584" s="30"/>
      <c r="N2584" s="30"/>
      <c r="O2584" s="30"/>
      <c r="P2584" s="30"/>
      <c r="Q2584" s="30"/>
      <c r="R2584" s="30"/>
      <c r="S2584" s="30"/>
      <c r="T2584" s="30"/>
      <c r="U2584" s="30"/>
      <c r="V2584" s="30"/>
      <c r="W2584" s="30"/>
      <c r="X2584" s="30"/>
      <c r="Y2584" s="30"/>
      <c r="Z2584" s="30"/>
    </row>
    <row r="2585">
      <c r="A2585" s="29"/>
      <c r="B2585" s="29"/>
      <c r="C2585" s="30"/>
      <c r="D2585" s="30"/>
      <c r="E2585" s="30"/>
      <c r="F2585" s="30"/>
      <c r="G2585" s="30"/>
      <c r="H2585" s="30"/>
      <c r="I2585" s="30"/>
      <c r="J2585" s="30"/>
      <c r="K2585" s="30"/>
      <c r="L2585" s="30"/>
      <c r="M2585" s="30"/>
      <c r="N2585" s="30"/>
      <c r="O2585" s="30"/>
      <c r="P2585" s="30"/>
      <c r="Q2585" s="30"/>
      <c r="R2585" s="30"/>
      <c r="S2585" s="30"/>
      <c r="T2585" s="30"/>
      <c r="U2585" s="30"/>
      <c r="V2585" s="30"/>
      <c r="W2585" s="30"/>
      <c r="X2585" s="30"/>
      <c r="Y2585" s="30"/>
      <c r="Z2585" s="30"/>
    </row>
    <row r="2586">
      <c r="A2586" s="29"/>
      <c r="B2586" s="29"/>
      <c r="C2586" s="30"/>
      <c r="D2586" s="30"/>
      <c r="E2586" s="30"/>
      <c r="F2586" s="30"/>
      <c r="G2586" s="30"/>
      <c r="H2586" s="30"/>
      <c r="I2586" s="30"/>
      <c r="J2586" s="30"/>
      <c r="K2586" s="30"/>
      <c r="L2586" s="30"/>
      <c r="M2586" s="30"/>
      <c r="N2586" s="30"/>
      <c r="O2586" s="30"/>
      <c r="P2586" s="30"/>
      <c r="Q2586" s="30"/>
      <c r="R2586" s="30"/>
      <c r="S2586" s="30"/>
      <c r="T2586" s="30"/>
      <c r="U2586" s="30"/>
      <c r="V2586" s="30"/>
      <c r="W2586" s="30"/>
      <c r="X2586" s="30"/>
      <c r="Y2586" s="30"/>
      <c r="Z2586" s="30"/>
    </row>
    <row r="2587">
      <c r="A2587" s="29"/>
      <c r="B2587" s="29"/>
      <c r="C2587" s="30"/>
      <c r="D2587" s="30"/>
      <c r="E2587" s="30"/>
      <c r="F2587" s="30"/>
      <c r="G2587" s="30"/>
      <c r="H2587" s="30"/>
      <c r="I2587" s="30"/>
      <c r="J2587" s="30"/>
      <c r="K2587" s="30"/>
      <c r="L2587" s="30"/>
      <c r="M2587" s="30"/>
      <c r="N2587" s="30"/>
      <c r="O2587" s="30"/>
      <c r="P2587" s="30"/>
      <c r="Q2587" s="30"/>
      <c r="R2587" s="30"/>
      <c r="S2587" s="30"/>
      <c r="T2587" s="30"/>
      <c r="U2587" s="30"/>
      <c r="V2587" s="30"/>
      <c r="W2587" s="30"/>
      <c r="X2587" s="30"/>
      <c r="Y2587" s="30"/>
      <c r="Z2587" s="30"/>
    </row>
    <row r="2588">
      <c r="A2588" s="29"/>
      <c r="B2588" s="29"/>
      <c r="C2588" s="30"/>
      <c r="D2588" s="30"/>
      <c r="E2588" s="30"/>
      <c r="F2588" s="30"/>
      <c r="G2588" s="30"/>
      <c r="H2588" s="30"/>
      <c r="I2588" s="30"/>
      <c r="J2588" s="30"/>
      <c r="K2588" s="30"/>
      <c r="L2588" s="30"/>
      <c r="M2588" s="30"/>
      <c r="N2588" s="30"/>
      <c r="O2588" s="30"/>
      <c r="P2588" s="30"/>
      <c r="Q2588" s="30"/>
      <c r="R2588" s="30"/>
      <c r="S2588" s="30"/>
      <c r="T2588" s="30"/>
      <c r="U2588" s="30"/>
      <c r="V2588" s="30"/>
      <c r="W2588" s="30"/>
      <c r="X2588" s="30"/>
      <c r="Y2588" s="30"/>
      <c r="Z2588" s="30"/>
    </row>
    <row r="2589">
      <c r="A2589" s="29"/>
      <c r="B2589" s="29"/>
      <c r="C2589" s="30"/>
      <c r="D2589" s="30"/>
      <c r="E2589" s="30"/>
      <c r="F2589" s="30"/>
      <c r="G2589" s="30"/>
      <c r="H2589" s="30"/>
      <c r="I2589" s="30"/>
      <c r="J2589" s="30"/>
      <c r="K2589" s="30"/>
      <c r="L2589" s="30"/>
      <c r="M2589" s="30"/>
      <c r="N2589" s="30"/>
      <c r="O2589" s="30"/>
      <c r="P2589" s="30"/>
      <c r="Q2589" s="30"/>
      <c r="R2589" s="30"/>
      <c r="S2589" s="30"/>
      <c r="T2589" s="30"/>
      <c r="U2589" s="30"/>
      <c r="V2589" s="30"/>
      <c r="W2589" s="30"/>
      <c r="X2589" s="30"/>
      <c r="Y2589" s="30"/>
      <c r="Z2589" s="30"/>
    </row>
    <row r="2590">
      <c r="A2590" s="29"/>
      <c r="B2590" s="29"/>
      <c r="C2590" s="30"/>
      <c r="D2590" s="30"/>
      <c r="E2590" s="30"/>
      <c r="F2590" s="30"/>
      <c r="G2590" s="30"/>
      <c r="H2590" s="30"/>
      <c r="I2590" s="30"/>
      <c r="J2590" s="30"/>
      <c r="K2590" s="30"/>
      <c r="L2590" s="30"/>
      <c r="M2590" s="30"/>
      <c r="N2590" s="30"/>
      <c r="O2590" s="30"/>
      <c r="P2590" s="30"/>
      <c r="Q2590" s="30"/>
      <c r="R2590" s="30"/>
      <c r="S2590" s="30"/>
      <c r="T2590" s="30"/>
      <c r="U2590" s="30"/>
      <c r="V2590" s="30"/>
      <c r="W2590" s="30"/>
      <c r="X2590" s="30"/>
      <c r="Y2590" s="30"/>
      <c r="Z2590" s="30"/>
    </row>
    <row r="2591">
      <c r="A2591" s="29"/>
      <c r="B2591" s="29"/>
      <c r="C2591" s="30"/>
      <c r="D2591" s="30"/>
      <c r="E2591" s="30"/>
      <c r="F2591" s="30"/>
      <c r="G2591" s="30"/>
      <c r="H2591" s="30"/>
      <c r="I2591" s="30"/>
      <c r="J2591" s="30"/>
      <c r="K2591" s="30"/>
      <c r="L2591" s="30"/>
      <c r="M2591" s="30"/>
      <c r="N2591" s="30"/>
      <c r="O2591" s="30"/>
      <c r="P2591" s="30"/>
      <c r="Q2591" s="30"/>
      <c r="R2591" s="30"/>
      <c r="S2591" s="30"/>
      <c r="T2591" s="30"/>
      <c r="U2591" s="30"/>
      <c r="V2591" s="30"/>
      <c r="W2591" s="30"/>
      <c r="X2591" s="30"/>
      <c r="Y2591" s="30"/>
      <c r="Z2591" s="30"/>
    </row>
    <row r="2592">
      <c r="A2592" s="29"/>
      <c r="B2592" s="29"/>
      <c r="C2592" s="30"/>
      <c r="D2592" s="30"/>
      <c r="E2592" s="30"/>
      <c r="F2592" s="30"/>
      <c r="G2592" s="30"/>
      <c r="H2592" s="30"/>
      <c r="I2592" s="30"/>
      <c r="J2592" s="30"/>
      <c r="K2592" s="30"/>
      <c r="L2592" s="30"/>
      <c r="M2592" s="30"/>
      <c r="N2592" s="30"/>
      <c r="O2592" s="30"/>
      <c r="P2592" s="30"/>
      <c r="Q2592" s="30"/>
      <c r="R2592" s="30"/>
      <c r="S2592" s="30"/>
      <c r="T2592" s="30"/>
      <c r="U2592" s="30"/>
      <c r="V2592" s="30"/>
      <c r="W2592" s="30"/>
      <c r="X2592" s="30"/>
      <c r="Y2592" s="30"/>
      <c r="Z2592" s="30"/>
    </row>
    <row r="2593">
      <c r="A2593" s="29"/>
      <c r="B2593" s="29"/>
      <c r="C2593" s="30"/>
      <c r="D2593" s="30"/>
      <c r="E2593" s="30"/>
      <c r="F2593" s="30"/>
      <c r="G2593" s="30"/>
      <c r="H2593" s="30"/>
      <c r="I2593" s="30"/>
      <c r="J2593" s="30"/>
      <c r="K2593" s="30"/>
      <c r="L2593" s="30"/>
      <c r="M2593" s="30"/>
      <c r="N2593" s="30"/>
      <c r="O2593" s="30"/>
      <c r="P2593" s="30"/>
      <c r="Q2593" s="30"/>
      <c r="R2593" s="30"/>
      <c r="S2593" s="30"/>
      <c r="T2593" s="30"/>
      <c r="U2593" s="30"/>
      <c r="V2593" s="30"/>
      <c r="W2593" s="30"/>
      <c r="X2593" s="30"/>
      <c r="Y2593" s="30"/>
      <c r="Z2593" s="30"/>
    </row>
    <row r="2594">
      <c r="A2594" s="29"/>
      <c r="B2594" s="29"/>
      <c r="C2594" s="30"/>
      <c r="D2594" s="30"/>
      <c r="E2594" s="30"/>
      <c r="F2594" s="30"/>
      <c r="G2594" s="30"/>
      <c r="H2594" s="30"/>
      <c r="I2594" s="30"/>
      <c r="J2594" s="30"/>
      <c r="K2594" s="30"/>
      <c r="L2594" s="30"/>
      <c r="M2594" s="30"/>
      <c r="N2594" s="30"/>
      <c r="O2594" s="30"/>
      <c r="P2594" s="30"/>
      <c r="Q2594" s="30"/>
      <c r="R2594" s="30"/>
      <c r="S2594" s="30"/>
      <c r="T2594" s="30"/>
      <c r="U2594" s="30"/>
      <c r="V2594" s="30"/>
      <c r="W2594" s="30"/>
      <c r="X2594" s="30"/>
      <c r="Y2594" s="30"/>
      <c r="Z2594" s="30"/>
    </row>
    <row r="2595">
      <c r="A2595" s="29"/>
      <c r="B2595" s="29"/>
      <c r="C2595" s="30"/>
      <c r="D2595" s="30"/>
      <c r="E2595" s="30"/>
      <c r="F2595" s="30"/>
      <c r="G2595" s="30"/>
      <c r="H2595" s="30"/>
      <c r="I2595" s="30"/>
      <c r="J2595" s="30"/>
      <c r="K2595" s="30"/>
      <c r="L2595" s="30"/>
      <c r="M2595" s="30"/>
      <c r="N2595" s="30"/>
      <c r="O2595" s="30"/>
      <c r="P2595" s="30"/>
      <c r="Q2595" s="30"/>
      <c r="R2595" s="30"/>
      <c r="S2595" s="30"/>
      <c r="T2595" s="30"/>
      <c r="U2595" s="30"/>
      <c r="V2595" s="30"/>
      <c r="W2595" s="30"/>
      <c r="X2595" s="30"/>
      <c r="Y2595" s="30"/>
      <c r="Z2595" s="30"/>
    </row>
    <row r="2596">
      <c r="A2596" s="29"/>
      <c r="B2596" s="29"/>
      <c r="C2596" s="30"/>
      <c r="D2596" s="30"/>
      <c r="E2596" s="30"/>
      <c r="F2596" s="30"/>
      <c r="G2596" s="30"/>
      <c r="H2596" s="30"/>
      <c r="I2596" s="30"/>
      <c r="J2596" s="30"/>
      <c r="K2596" s="30"/>
      <c r="L2596" s="30"/>
      <c r="M2596" s="30"/>
      <c r="N2596" s="30"/>
      <c r="O2596" s="30"/>
      <c r="P2596" s="30"/>
      <c r="Q2596" s="30"/>
      <c r="R2596" s="30"/>
      <c r="S2596" s="30"/>
      <c r="T2596" s="30"/>
      <c r="U2596" s="30"/>
      <c r="V2596" s="30"/>
      <c r="W2596" s="30"/>
      <c r="X2596" s="30"/>
      <c r="Y2596" s="30"/>
      <c r="Z2596" s="30"/>
    </row>
    <row r="2597">
      <c r="A2597" s="29"/>
      <c r="B2597" s="29"/>
      <c r="C2597" s="30"/>
      <c r="D2597" s="30"/>
      <c r="E2597" s="30"/>
      <c r="F2597" s="30"/>
      <c r="G2597" s="30"/>
      <c r="H2597" s="30"/>
      <c r="I2597" s="30"/>
      <c r="J2597" s="30"/>
      <c r="K2597" s="30"/>
      <c r="L2597" s="30"/>
      <c r="M2597" s="30"/>
      <c r="N2597" s="30"/>
      <c r="O2597" s="30"/>
      <c r="P2597" s="30"/>
      <c r="Q2597" s="30"/>
      <c r="R2597" s="30"/>
      <c r="S2597" s="30"/>
      <c r="T2597" s="30"/>
      <c r="U2597" s="30"/>
      <c r="V2597" s="30"/>
      <c r="W2597" s="30"/>
      <c r="X2597" s="30"/>
      <c r="Y2597" s="30"/>
      <c r="Z2597" s="30"/>
    </row>
    <row r="2598">
      <c r="A2598" s="29"/>
      <c r="B2598" s="29"/>
      <c r="C2598" s="30"/>
      <c r="D2598" s="30"/>
      <c r="E2598" s="30"/>
      <c r="F2598" s="30"/>
      <c r="G2598" s="30"/>
      <c r="H2598" s="30"/>
      <c r="I2598" s="30"/>
      <c r="J2598" s="30"/>
      <c r="K2598" s="30"/>
      <c r="L2598" s="30"/>
      <c r="M2598" s="30"/>
      <c r="N2598" s="30"/>
      <c r="O2598" s="30"/>
      <c r="P2598" s="30"/>
      <c r="Q2598" s="30"/>
      <c r="R2598" s="30"/>
      <c r="S2598" s="30"/>
      <c r="T2598" s="30"/>
      <c r="U2598" s="30"/>
      <c r="V2598" s="30"/>
      <c r="W2598" s="30"/>
      <c r="X2598" s="30"/>
      <c r="Y2598" s="30"/>
      <c r="Z2598" s="30"/>
    </row>
    <row r="2599">
      <c r="A2599" s="29"/>
      <c r="B2599" s="29"/>
      <c r="C2599" s="30"/>
      <c r="D2599" s="30"/>
      <c r="E2599" s="30"/>
      <c r="F2599" s="30"/>
      <c r="G2599" s="30"/>
      <c r="H2599" s="30"/>
      <c r="I2599" s="30"/>
      <c r="J2599" s="30"/>
      <c r="K2599" s="30"/>
      <c r="L2599" s="30"/>
      <c r="M2599" s="30"/>
      <c r="N2599" s="30"/>
      <c r="O2599" s="30"/>
      <c r="P2599" s="30"/>
      <c r="Q2599" s="30"/>
      <c r="R2599" s="30"/>
      <c r="S2599" s="30"/>
      <c r="T2599" s="30"/>
      <c r="U2599" s="30"/>
      <c r="V2599" s="30"/>
      <c r="W2599" s="30"/>
      <c r="X2599" s="30"/>
      <c r="Y2599" s="30"/>
      <c r="Z2599" s="30"/>
    </row>
    <row r="2600">
      <c r="A2600" s="29"/>
      <c r="B2600" s="29"/>
      <c r="C2600" s="30"/>
      <c r="D2600" s="30"/>
      <c r="E2600" s="30"/>
      <c r="F2600" s="30"/>
      <c r="G2600" s="30"/>
      <c r="H2600" s="30"/>
      <c r="I2600" s="30"/>
      <c r="J2600" s="30"/>
      <c r="K2600" s="30"/>
      <c r="L2600" s="30"/>
      <c r="M2600" s="30"/>
      <c r="N2600" s="30"/>
      <c r="O2600" s="30"/>
      <c r="P2600" s="30"/>
      <c r="Q2600" s="30"/>
      <c r="R2600" s="30"/>
      <c r="S2600" s="30"/>
      <c r="T2600" s="30"/>
      <c r="U2600" s="30"/>
      <c r="V2600" s="30"/>
      <c r="W2600" s="30"/>
      <c r="X2600" s="30"/>
      <c r="Y2600" s="30"/>
      <c r="Z2600" s="30"/>
    </row>
    <row r="2601">
      <c r="A2601" s="29"/>
      <c r="B2601" s="29"/>
      <c r="C2601" s="30"/>
      <c r="D2601" s="30"/>
      <c r="E2601" s="30"/>
      <c r="F2601" s="30"/>
      <c r="G2601" s="30"/>
      <c r="H2601" s="30"/>
      <c r="I2601" s="30"/>
      <c r="J2601" s="30"/>
      <c r="K2601" s="30"/>
      <c r="L2601" s="30"/>
      <c r="M2601" s="30"/>
      <c r="N2601" s="30"/>
      <c r="O2601" s="30"/>
      <c r="P2601" s="30"/>
      <c r="Q2601" s="30"/>
      <c r="R2601" s="30"/>
      <c r="S2601" s="30"/>
      <c r="T2601" s="30"/>
      <c r="U2601" s="30"/>
      <c r="V2601" s="30"/>
      <c r="W2601" s="30"/>
      <c r="X2601" s="30"/>
      <c r="Y2601" s="30"/>
      <c r="Z2601" s="30"/>
    </row>
    <row r="2602">
      <c r="A2602" s="29"/>
      <c r="B2602" s="29"/>
      <c r="C2602" s="30"/>
      <c r="D2602" s="30"/>
      <c r="E2602" s="30"/>
      <c r="F2602" s="30"/>
      <c r="G2602" s="30"/>
      <c r="H2602" s="30"/>
      <c r="I2602" s="30"/>
      <c r="J2602" s="30"/>
      <c r="K2602" s="30"/>
      <c r="L2602" s="30"/>
      <c r="M2602" s="30"/>
      <c r="N2602" s="30"/>
      <c r="O2602" s="30"/>
      <c r="P2602" s="30"/>
      <c r="Q2602" s="30"/>
      <c r="R2602" s="30"/>
      <c r="S2602" s="30"/>
      <c r="T2602" s="30"/>
      <c r="U2602" s="30"/>
      <c r="V2602" s="30"/>
      <c r="W2602" s="30"/>
      <c r="X2602" s="30"/>
      <c r="Y2602" s="30"/>
      <c r="Z2602" s="30"/>
    </row>
    <row r="2603">
      <c r="A2603" s="29"/>
      <c r="B2603" s="29"/>
      <c r="C2603" s="30"/>
      <c r="D2603" s="30"/>
      <c r="E2603" s="30"/>
      <c r="F2603" s="30"/>
      <c r="G2603" s="30"/>
      <c r="H2603" s="30"/>
      <c r="I2603" s="30"/>
      <c r="J2603" s="30"/>
      <c r="K2603" s="30"/>
      <c r="L2603" s="30"/>
      <c r="M2603" s="30"/>
      <c r="N2603" s="30"/>
      <c r="O2603" s="30"/>
      <c r="P2603" s="30"/>
      <c r="Q2603" s="30"/>
      <c r="R2603" s="30"/>
      <c r="S2603" s="30"/>
      <c r="T2603" s="30"/>
      <c r="U2603" s="30"/>
      <c r="V2603" s="30"/>
      <c r="W2603" s="30"/>
      <c r="X2603" s="30"/>
      <c r="Y2603" s="30"/>
      <c r="Z2603" s="30"/>
    </row>
    <row r="2604">
      <c r="A2604" s="29"/>
      <c r="B2604" s="29"/>
      <c r="C2604" s="30"/>
      <c r="D2604" s="30"/>
      <c r="E2604" s="30"/>
      <c r="F2604" s="30"/>
      <c r="G2604" s="30"/>
      <c r="H2604" s="30"/>
      <c r="I2604" s="30"/>
      <c r="J2604" s="30"/>
      <c r="K2604" s="30"/>
      <c r="L2604" s="30"/>
      <c r="M2604" s="30"/>
      <c r="N2604" s="30"/>
      <c r="O2604" s="30"/>
      <c r="P2604" s="30"/>
      <c r="Q2604" s="30"/>
      <c r="R2604" s="30"/>
      <c r="S2604" s="30"/>
      <c r="T2604" s="30"/>
      <c r="U2604" s="30"/>
      <c r="V2604" s="30"/>
      <c r="W2604" s="30"/>
      <c r="X2604" s="30"/>
      <c r="Y2604" s="30"/>
      <c r="Z2604" s="30"/>
    </row>
    <row r="2605">
      <c r="A2605" s="29"/>
      <c r="B2605" s="29"/>
      <c r="C2605" s="30"/>
      <c r="D2605" s="30"/>
      <c r="E2605" s="30"/>
      <c r="F2605" s="30"/>
      <c r="G2605" s="30"/>
      <c r="H2605" s="30"/>
      <c r="I2605" s="30"/>
      <c r="J2605" s="30"/>
      <c r="K2605" s="30"/>
      <c r="L2605" s="30"/>
      <c r="M2605" s="30"/>
      <c r="N2605" s="30"/>
      <c r="O2605" s="30"/>
      <c r="P2605" s="30"/>
      <c r="Q2605" s="30"/>
      <c r="R2605" s="30"/>
      <c r="S2605" s="30"/>
      <c r="T2605" s="30"/>
      <c r="U2605" s="30"/>
      <c r="V2605" s="30"/>
      <c r="W2605" s="30"/>
      <c r="X2605" s="30"/>
      <c r="Y2605" s="30"/>
      <c r="Z2605" s="30"/>
    </row>
    <row r="2606">
      <c r="A2606" s="29"/>
      <c r="B2606" s="29"/>
      <c r="C2606" s="30"/>
      <c r="D2606" s="30"/>
      <c r="E2606" s="30"/>
      <c r="F2606" s="30"/>
      <c r="G2606" s="30"/>
      <c r="H2606" s="30"/>
      <c r="I2606" s="30"/>
      <c r="J2606" s="30"/>
      <c r="K2606" s="30"/>
      <c r="L2606" s="30"/>
      <c r="M2606" s="30"/>
      <c r="N2606" s="30"/>
      <c r="O2606" s="30"/>
      <c r="P2606" s="30"/>
      <c r="Q2606" s="30"/>
      <c r="R2606" s="30"/>
      <c r="S2606" s="30"/>
      <c r="T2606" s="30"/>
      <c r="U2606" s="30"/>
      <c r="V2606" s="30"/>
      <c r="W2606" s="30"/>
      <c r="X2606" s="30"/>
      <c r="Y2606" s="30"/>
      <c r="Z2606" s="30"/>
    </row>
    <row r="2607">
      <c r="A2607" s="29"/>
      <c r="B2607" s="29"/>
      <c r="C2607" s="30"/>
      <c r="D2607" s="30"/>
      <c r="E2607" s="30"/>
      <c r="F2607" s="30"/>
      <c r="G2607" s="30"/>
      <c r="H2607" s="30"/>
      <c r="I2607" s="30"/>
      <c r="J2607" s="30"/>
      <c r="K2607" s="30"/>
      <c r="L2607" s="30"/>
      <c r="M2607" s="30"/>
      <c r="N2607" s="30"/>
      <c r="O2607" s="30"/>
      <c r="P2607" s="30"/>
      <c r="Q2607" s="30"/>
      <c r="R2607" s="30"/>
      <c r="S2607" s="30"/>
      <c r="T2607" s="30"/>
      <c r="U2607" s="30"/>
      <c r="V2607" s="30"/>
      <c r="W2607" s="30"/>
      <c r="X2607" s="30"/>
      <c r="Y2607" s="30"/>
      <c r="Z2607" s="30"/>
    </row>
    <row r="2608">
      <c r="A2608" s="29"/>
      <c r="B2608" s="29"/>
      <c r="C2608" s="30"/>
      <c r="D2608" s="30"/>
      <c r="E2608" s="30"/>
      <c r="F2608" s="30"/>
      <c r="G2608" s="30"/>
      <c r="H2608" s="30"/>
      <c r="I2608" s="30"/>
      <c r="J2608" s="30"/>
      <c r="K2608" s="30"/>
      <c r="L2608" s="30"/>
      <c r="M2608" s="30"/>
      <c r="N2608" s="30"/>
      <c r="O2608" s="30"/>
      <c r="P2608" s="30"/>
      <c r="Q2608" s="30"/>
      <c r="R2608" s="30"/>
      <c r="S2608" s="30"/>
      <c r="T2608" s="30"/>
      <c r="U2608" s="30"/>
      <c r="V2608" s="30"/>
      <c r="W2608" s="30"/>
      <c r="X2608" s="30"/>
      <c r="Y2608" s="30"/>
      <c r="Z2608" s="30"/>
    </row>
    <row r="2609">
      <c r="A2609" s="29"/>
      <c r="B2609" s="29"/>
      <c r="C2609" s="30"/>
      <c r="D2609" s="30"/>
      <c r="E2609" s="30"/>
      <c r="F2609" s="30"/>
      <c r="G2609" s="30"/>
      <c r="H2609" s="30"/>
      <c r="I2609" s="30"/>
      <c r="J2609" s="30"/>
      <c r="K2609" s="30"/>
      <c r="L2609" s="30"/>
      <c r="M2609" s="30"/>
      <c r="N2609" s="30"/>
      <c r="O2609" s="30"/>
      <c r="P2609" s="30"/>
      <c r="Q2609" s="30"/>
      <c r="R2609" s="30"/>
      <c r="S2609" s="30"/>
      <c r="T2609" s="30"/>
      <c r="U2609" s="30"/>
      <c r="V2609" s="30"/>
      <c r="W2609" s="30"/>
      <c r="X2609" s="30"/>
      <c r="Y2609" s="30"/>
      <c r="Z2609" s="30"/>
    </row>
    <row r="2610">
      <c r="A2610" s="29"/>
      <c r="B2610" s="29"/>
      <c r="C2610" s="30"/>
      <c r="D2610" s="30"/>
      <c r="E2610" s="30"/>
      <c r="F2610" s="30"/>
      <c r="G2610" s="30"/>
      <c r="H2610" s="30"/>
      <c r="I2610" s="30"/>
      <c r="J2610" s="30"/>
      <c r="K2610" s="30"/>
      <c r="L2610" s="30"/>
      <c r="M2610" s="30"/>
      <c r="N2610" s="30"/>
      <c r="O2610" s="30"/>
      <c r="P2610" s="30"/>
      <c r="Q2610" s="30"/>
      <c r="R2610" s="30"/>
      <c r="S2610" s="30"/>
      <c r="T2610" s="30"/>
      <c r="U2610" s="30"/>
      <c r="V2610" s="30"/>
      <c r="W2610" s="30"/>
      <c r="X2610" s="30"/>
      <c r="Y2610" s="30"/>
      <c r="Z2610" s="30"/>
    </row>
    <row r="2611">
      <c r="A2611" s="29"/>
      <c r="B2611" s="29"/>
      <c r="C2611" s="30"/>
      <c r="D2611" s="30"/>
      <c r="E2611" s="30"/>
      <c r="F2611" s="30"/>
      <c r="G2611" s="30"/>
      <c r="H2611" s="30"/>
      <c r="I2611" s="30"/>
      <c r="J2611" s="30"/>
      <c r="K2611" s="30"/>
      <c r="L2611" s="30"/>
      <c r="M2611" s="30"/>
      <c r="N2611" s="30"/>
      <c r="O2611" s="30"/>
      <c r="P2611" s="30"/>
      <c r="Q2611" s="30"/>
      <c r="R2611" s="30"/>
      <c r="S2611" s="30"/>
      <c r="T2611" s="30"/>
      <c r="U2611" s="30"/>
      <c r="V2611" s="30"/>
      <c r="W2611" s="30"/>
      <c r="X2611" s="30"/>
      <c r="Y2611" s="30"/>
      <c r="Z2611" s="30"/>
    </row>
    <row r="2612">
      <c r="A2612" s="29"/>
      <c r="B2612" s="29"/>
      <c r="C2612" s="30"/>
      <c r="D2612" s="30"/>
      <c r="E2612" s="30"/>
      <c r="F2612" s="30"/>
      <c r="G2612" s="30"/>
      <c r="H2612" s="30"/>
      <c r="I2612" s="30"/>
      <c r="J2612" s="30"/>
      <c r="K2612" s="30"/>
      <c r="L2612" s="30"/>
      <c r="M2612" s="30"/>
      <c r="N2612" s="30"/>
      <c r="O2612" s="30"/>
      <c r="P2612" s="30"/>
      <c r="Q2612" s="30"/>
      <c r="R2612" s="30"/>
      <c r="S2612" s="30"/>
      <c r="T2612" s="30"/>
      <c r="U2612" s="30"/>
      <c r="V2612" s="30"/>
      <c r="W2612" s="30"/>
      <c r="X2612" s="30"/>
      <c r="Y2612" s="30"/>
      <c r="Z2612" s="30"/>
    </row>
    <row r="2613">
      <c r="A2613" s="29"/>
      <c r="B2613" s="29"/>
      <c r="C2613" s="30"/>
      <c r="D2613" s="30"/>
      <c r="E2613" s="30"/>
      <c r="F2613" s="30"/>
      <c r="G2613" s="30"/>
      <c r="H2613" s="30"/>
      <c r="I2613" s="30"/>
      <c r="J2613" s="30"/>
      <c r="K2613" s="30"/>
      <c r="L2613" s="30"/>
      <c r="M2613" s="30"/>
      <c r="N2613" s="30"/>
      <c r="O2613" s="30"/>
      <c r="P2613" s="30"/>
      <c r="Q2613" s="30"/>
      <c r="R2613" s="30"/>
      <c r="S2613" s="30"/>
      <c r="T2613" s="30"/>
      <c r="U2613" s="30"/>
      <c r="V2613" s="30"/>
      <c r="W2613" s="30"/>
      <c r="X2613" s="30"/>
      <c r="Y2613" s="30"/>
      <c r="Z2613" s="30"/>
    </row>
    <row r="2614">
      <c r="A2614" s="29"/>
      <c r="B2614" s="29"/>
      <c r="C2614" s="30"/>
      <c r="D2614" s="30"/>
      <c r="E2614" s="30"/>
      <c r="F2614" s="30"/>
      <c r="G2614" s="30"/>
      <c r="H2614" s="30"/>
      <c r="I2614" s="30"/>
      <c r="J2614" s="30"/>
      <c r="K2614" s="30"/>
      <c r="L2614" s="30"/>
      <c r="M2614" s="30"/>
      <c r="N2614" s="30"/>
      <c r="O2614" s="30"/>
      <c r="P2614" s="30"/>
      <c r="Q2614" s="30"/>
      <c r="R2614" s="30"/>
      <c r="S2614" s="30"/>
      <c r="T2614" s="30"/>
      <c r="U2614" s="30"/>
      <c r="V2614" s="30"/>
      <c r="W2614" s="30"/>
      <c r="X2614" s="30"/>
      <c r="Y2614" s="30"/>
      <c r="Z2614" s="30"/>
    </row>
    <row r="2615">
      <c r="A2615" s="29"/>
      <c r="B2615" s="29"/>
      <c r="C2615" s="30"/>
      <c r="D2615" s="30"/>
      <c r="E2615" s="30"/>
      <c r="F2615" s="30"/>
      <c r="G2615" s="30"/>
      <c r="H2615" s="30"/>
      <c r="I2615" s="30"/>
      <c r="J2615" s="30"/>
      <c r="K2615" s="30"/>
      <c r="L2615" s="30"/>
      <c r="M2615" s="30"/>
      <c r="N2615" s="30"/>
      <c r="O2615" s="30"/>
      <c r="P2615" s="30"/>
      <c r="Q2615" s="30"/>
      <c r="R2615" s="30"/>
      <c r="S2615" s="30"/>
      <c r="T2615" s="30"/>
      <c r="U2615" s="30"/>
      <c r="V2615" s="30"/>
      <c r="W2615" s="30"/>
      <c r="X2615" s="30"/>
      <c r="Y2615" s="30"/>
      <c r="Z2615" s="30"/>
    </row>
    <row r="2616">
      <c r="A2616" s="29"/>
      <c r="B2616" s="29"/>
      <c r="C2616" s="30"/>
      <c r="D2616" s="30"/>
      <c r="E2616" s="30"/>
      <c r="F2616" s="30"/>
      <c r="G2616" s="30"/>
      <c r="H2616" s="30"/>
      <c r="I2616" s="30"/>
      <c r="J2616" s="30"/>
      <c r="K2616" s="30"/>
      <c r="L2616" s="30"/>
      <c r="M2616" s="30"/>
      <c r="N2616" s="30"/>
      <c r="O2616" s="30"/>
      <c r="P2616" s="30"/>
      <c r="Q2616" s="30"/>
      <c r="R2616" s="30"/>
      <c r="S2616" s="30"/>
      <c r="T2616" s="30"/>
      <c r="U2616" s="30"/>
      <c r="V2616" s="30"/>
      <c r="W2616" s="30"/>
      <c r="X2616" s="30"/>
      <c r="Y2616" s="30"/>
      <c r="Z2616" s="30"/>
    </row>
    <row r="2617">
      <c r="A2617" s="29"/>
      <c r="B2617" s="29"/>
      <c r="C2617" s="30"/>
      <c r="D2617" s="30"/>
      <c r="E2617" s="30"/>
      <c r="F2617" s="30"/>
      <c r="G2617" s="30"/>
      <c r="H2617" s="30"/>
      <c r="I2617" s="30"/>
      <c r="J2617" s="30"/>
      <c r="K2617" s="30"/>
      <c r="L2617" s="30"/>
      <c r="M2617" s="30"/>
      <c r="N2617" s="30"/>
      <c r="O2617" s="30"/>
      <c r="P2617" s="30"/>
      <c r="Q2617" s="30"/>
      <c r="R2617" s="30"/>
      <c r="S2617" s="30"/>
      <c r="T2617" s="30"/>
      <c r="U2617" s="30"/>
      <c r="V2617" s="30"/>
      <c r="W2617" s="30"/>
      <c r="X2617" s="30"/>
      <c r="Y2617" s="30"/>
      <c r="Z2617" s="30"/>
    </row>
    <row r="2618">
      <c r="A2618" s="29"/>
      <c r="B2618" s="29"/>
      <c r="C2618" s="30"/>
      <c r="D2618" s="30"/>
      <c r="E2618" s="30"/>
      <c r="F2618" s="30"/>
      <c r="G2618" s="30"/>
      <c r="H2618" s="30"/>
      <c r="I2618" s="30"/>
      <c r="J2618" s="30"/>
      <c r="K2618" s="30"/>
      <c r="L2618" s="30"/>
      <c r="M2618" s="30"/>
      <c r="N2618" s="30"/>
      <c r="O2618" s="30"/>
      <c r="P2618" s="30"/>
      <c r="Q2618" s="30"/>
      <c r="R2618" s="30"/>
      <c r="S2618" s="30"/>
      <c r="T2618" s="30"/>
      <c r="U2618" s="30"/>
      <c r="V2618" s="30"/>
      <c r="W2618" s="30"/>
      <c r="X2618" s="30"/>
      <c r="Y2618" s="30"/>
      <c r="Z2618" s="30"/>
    </row>
    <row r="2619">
      <c r="A2619" s="29"/>
      <c r="B2619" s="29"/>
      <c r="C2619" s="30"/>
      <c r="D2619" s="30"/>
      <c r="E2619" s="30"/>
      <c r="F2619" s="30"/>
      <c r="G2619" s="30"/>
      <c r="H2619" s="30"/>
      <c r="I2619" s="30"/>
      <c r="J2619" s="30"/>
      <c r="K2619" s="30"/>
      <c r="L2619" s="30"/>
      <c r="M2619" s="30"/>
      <c r="N2619" s="30"/>
      <c r="O2619" s="30"/>
      <c r="P2619" s="30"/>
      <c r="Q2619" s="30"/>
      <c r="R2619" s="30"/>
      <c r="S2619" s="30"/>
      <c r="T2619" s="30"/>
      <c r="U2619" s="30"/>
      <c r="V2619" s="30"/>
      <c r="W2619" s="30"/>
      <c r="X2619" s="30"/>
      <c r="Y2619" s="30"/>
      <c r="Z2619" s="30"/>
    </row>
    <row r="2620">
      <c r="A2620" s="29"/>
      <c r="B2620" s="29"/>
      <c r="C2620" s="30"/>
      <c r="D2620" s="30"/>
      <c r="E2620" s="30"/>
      <c r="F2620" s="30"/>
      <c r="G2620" s="30"/>
      <c r="H2620" s="30"/>
      <c r="I2620" s="30"/>
      <c r="J2620" s="30"/>
      <c r="K2620" s="30"/>
      <c r="L2620" s="30"/>
      <c r="M2620" s="30"/>
      <c r="N2620" s="30"/>
      <c r="O2620" s="30"/>
      <c r="P2620" s="30"/>
      <c r="Q2620" s="30"/>
      <c r="R2620" s="30"/>
      <c r="S2620" s="30"/>
      <c r="T2620" s="30"/>
      <c r="U2620" s="30"/>
      <c r="V2620" s="30"/>
      <c r="W2620" s="30"/>
      <c r="X2620" s="30"/>
      <c r="Y2620" s="30"/>
      <c r="Z2620" s="30"/>
    </row>
    <row r="2621">
      <c r="A2621" s="29"/>
      <c r="B2621" s="29"/>
      <c r="C2621" s="30"/>
      <c r="D2621" s="30"/>
      <c r="E2621" s="30"/>
      <c r="F2621" s="30"/>
      <c r="G2621" s="30"/>
      <c r="H2621" s="30"/>
      <c r="I2621" s="30"/>
      <c r="J2621" s="30"/>
      <c r="K2621" s="30"/>
      <c r="L2621" s="30"/>
      <c r="M2621" s="30"/>
      <c r="N2621" s="30"/>
      <c r="O2621" s="30"/>
      <c r="P2621" s="30"/>
      <c r="Q2621" s="30"/>
      <c r="R2621" s="30"/>
      <c r="S2621" s="30"/>
      <c r="T2621" s="30"/>
      <c r="U2621" s="30"/>
      <c r="V2621" s="30"/>
      <c r="W2621" s="30"/>
      <c r="X2621" s="30"/>
      <c r="Y2621" s="30"/>
      <c r="Z2621" s="30"/>
    </row>
    <row r="2622">
      <c r="A2622" s="29"/>
      <c r="B2622" s="29"/>
      <c r="C2622" s="30"/>
      <c r="D2622" s="30"/>
      <c r="E2622" s="30"/>
      <c r="F2622" s="30"/>
      <c r="G2622" s="30"/>
      <c r="H2622" s="30"/>
      <c r="I2622" s="30"/>
      <c r="J2622" s="30"/>
      <c r="K2622" s="30"/>
      <c r="L2622" s="30"/>
      <c r="M2622" s="30"/>
      <c r="N2622" s="30"/>
      <c r="O2622" s="30"/>
      <c r="P2622" s="30"/>
      <c r="Q2622" s="30"/>
      <c r="R2622" s="30"/>
      <c r="S2622" s="30"/>
      <c r="T2622" s="30"/>
      <c r="U2622" s="30"/>
      <c r="V2622" s="30"/>
      <c r="W2622" s="30"/>
      <c r="X2622" s="30"/>
      <c r="Y2622" s="30"/>
      <c r="Z2622" s="30"/>
    </row>
    <row r="2623">
      <c r="A2623" s="29"/>
      <c r="B2623" s="29"/>
      <c r="C2623" s="30"/>
      <c r="D2623" s="30"/>
      <c r="E2623" s="30"/>
      <c r="F2623" s="30"/>
      <c r="G2623" s="30"/>
      <c r="H2623" s="30"/>
      <c r="I2623" s="30"/>
      <c r="J2623" s="30"/>
      <c r="K2623" s="30"/>
      <c r="L2623" s="30"/>
      <c r="M2623" s="30"/>
      <c r="N2623" s="30"/>
      <c r="O2623" s="30"/>
      <c r="P2623" s="30"/>
      <c r="Q2623" s="30"/>
      <c r="R2623" s="30"/>
      <c r="S2623" s="30"/>
      <c r="T2623" s="30"/>
      <c r="U2623" s="30"/>
      <c r="V2623" s="30"/>
      <c r="W2623" s="30"/>
      <c r="X2623" s="30"/>
      <c r="Y2623" s="30"/>
      <c r="Z2623" s="30"/>
    </row>
    <row r="2624">
      <c r="A2624" s="29"/>
      <c r="B2624" s="29"/>
      <c r="C2624" s="30"/>
      <c r="D2624" s="30"/>
      <c r="E2624" s="30"/>
      <c r="F2624" s="30"/>
      <c r="G2624" s="30"/>
      <c r="H2624" s="30"/>
      <c r="I2624" s="30"/>
      <c r="J2624" s="30"/>
      <c r="K2624" s="30"/>
      <c r="L2624" s="30"/>
      <c r="M2624" s="30"/>
      <c r="N2624" s="30"/>
      <c r="O2624" s="30"/>
      <c r="P2624" s="30"/>
      <c r="Q2624" s="30"/>
      <c r="R2624" s="30"/>
      <c r="S2624" s="30"/>
      <c r="T2624" s="30"/>
      <c r="U2624" s="30"/>
      <c r="V2624" s="30"/>
      <c r="W2624" s="30"/>
      <c r="X2624" s="30"/>
      <c r="Y2624" s="30"/>
      <c r="Z2624" s="30"/>
    </row>
    <row r="2625">
      <c r="A2625" s="29"/>
      <c r="B2625" s="29"/>
      <c r="C2625" s="30"/>
      <c r="D2625" s="30"/>
      <c r="E2625" s="30"/>
      <c r="F2625" s="30"/>
      <c r="G2625" s="30"/>
      <c r="H2625" s="30"/>
      <c r="I2625" s="30"/>
      <c r="J2625" s="30"/>
      <c r="K2625" s="30"/>
      <c r="L2625" s="30"/>
      <c r="M2625" s="30"/>
      <c r="N2625" s="30"/>
      <c r="O2625" s="30"/>
      <c r="P2625" s="30"/>
      <c r="Q2625" s="30"/>
      <c r="R2625" s="30"/>
      <c r="S2625" s="30"/>
      <c r="T2625" s="30"/>
      <c r="U2625" s="30"/>
      <c r="V2625" s="30"/>
      <c r="W2625" s="30"/>
      <c r="X2625" s="30"/>
      <c r="Y2625" s="30"/>
      <c r="Z2625" s="30"/>
    </row>
    <row r="2626">
      <c r="A2626" s="29"/>
      <c r="B2626" s="29"/>
      <c r="C2626" s="30"/>
      <c r="D2626" s="30"/>
      <c r="E2626" s="30"/>
      <c r="F2626" s="30"/>
      <c r="G2626" s="30"/>
      <c r="H2626" s="30"/>
      <c r="I2626" s="30"/>
      <c r="J2626" s="30"/>
      <c r="K2626" s="30"/>
      <c r="L2626" s="30"/>
      <c r="M2626" s="30"/>
      <c r="N2626" s="30"/>
      <c r="O2626" s="30"/>
      <c r="P2626" s="30"/>
      <c r="Q2626" s="30"/>
      <c r="R2626" s="30"/>
      <c r="S2626" s="30"/>
      <c r="T2626" s="30"/>
      <c r="U2626" s="30"/>
      <c r="V2626" s="30"/>
      <c r="W2626" s="30"/>
      <c r="X2626" s="30"/>
      <c r="Y2626" s="30"/>
      <c r="Z2626" s="30"/>
    </row>
    <row r="2627">
      <c r="A2627" s="29"/>
      <c r="B2627" s="29"/>
      <c r="C2627" s="30"/>
      <c r="D2627" s="30"/>
      <c r="E2627" s="30"/>
      <c r="F2627" s="30"/>
      <c r="G2627" s="30"/>
      <c r="H2627" s="30"/>
      <c r="I2627" s="30"/>
      <c r="J2627" s="30"/>
      <c r="K2627" s="30"/>
      <c r="L2627" s="30"/>
      <c r="M2627" s="30"/>
      <c r="N2627" s="30"/>
      <c r="O2627" s="30"/>
      <c r="P2627" s="30"/>
      <c r="Q2627" s="30"/>
      <c r="R2627" s="30"/>
      <c r="S2627" s="30"/>
      <c r="T2627" s="30"/>
      <c r="U2627" s="30"/>
      <c r="V2627" s="30"/>
      <c r="W2627" s="30"/>
      <c r="X2627" s="30"/>
      <c r="Y2627" s="30"/>
      <c r="Z2627" s="30"/>
    </row>
    <row r="2628">
      <c r="A2628" s="29"/>
      <c r="B2628" s="29"/>
      <c r="C2628" s="30"/>
      <c r="D2628" s="30"/>
      <c r="E2628" s="30"/>
      <c r="F2628" s="30"/>
      <c r="G2628" s="30"/>
      <c r="H2628" s="30"/>
      <c r="I2628" s="30"/>
      <c r="J2628" s="30"/>
      <c r="K2628" s="30"/>
      <c r="L2628" s="30"/>
      <c r="M2628" s="30"/>
      <c r="N2628" s="30"/>
      <c r="O2628" s="30"/>
      <c r="P2628" s="30"/>
      <c r="Q2628" s="30"/>
      <c r="R2628" s="30"/>
      <c r="S2628" s="30"/>
      <c r="T2628" s="30"/>
      <c r="U2628" s="30"/>
      <c r="V2628" s="30"/>
      <c r="W2628" s="30"/>
      <c r="X2628" s="30"/>
      <c r="Y2628" s="30"/>
      <c r="Z2628" s="30"/>
    </row>
    <row r="2629">
      <c r="A2629" s="29"/>
      <c r="B2629" s="29"/>
      <c r="C2629" s="30"/>
      <c r="D2629" s="30"/>
      <c r="E2629" s="30"/>
      <c r="F2629" s="30"/>
      <c r="G2629" s="30"/>
      <c r="H2629" s="30"/>
      <c r="I2629" s="30"/>
      <c r="J2629" s="30"/>
      <c r="K2629" s="30"/>
      <c r="L2629" s="30"/>
      <c r="M2629" s="30"/>
      <c r="N2629" s="30"/>
      <c r="O2629" s="30"/>
      <c r="P2629" s="30"/>
      <c r="Q2629" s="30"/>
      <c r="R2629" s="30"/>
      <c r="S2629" s="30"/>
      <c r="T2629" s="30"/>
      <c r="U2629" s="30"/>
      <c r="V2629" s="30"/>
      <c r="W2629" s="30"/>
      <c r="X2629" s="30"/>
      <c r="Y2629" s="30"/>
      <c r="Z2629" s="30"/>
    </row>
    <row r="2630">
      <c r="A2630" s="29"/>
      <c r="B2630" s="29"/>
      <c r="C2630" s="30"/>
      <c r="D2630" s="30"/>
      <c r="E2630" s="30"/>
      <c r="F2630" s="30"/>
      <c r="G2630" s="30"/>
      <c r="H2630" s="30"/>
      <c r="I2630" s="30"/>
      <c r="J2630" s="30"/>
      <c r="K2630" s="30"/>
      <c r="L2630" s="30"/>
      <c r="M2630" s="30"/>
      <c r="N2630" s="30"/>
      <c r="O2630" s="30"/>
      <c r="P2630" s="30"/>
      <c r="Q2630" s="30"/>
      <c r="R2630" s="30"/>
      <c r="S2630" s="30"/>
      <c r="T2630" s="30"/>
      <c r="U2630" s="30"/>
      <c r="V2630" s="30"/>
      <c r="W2630" s="30"/>
      <c r="X2630" s="30"/>
      <c r="Y2630" s="30"/>
      <c r="Z2630" s="30"/>
    </row>
    <row r="2631">
      <c r="A2631" s="29"/>
      <c r="B2631" s="29"/>
      <c r="C2631" s="30"/>
      <c r="D2631" s="30"/>
      <c r="E2631" s="30"/>
      <c r="F2631" s="30"/>
      <c r="G2631" s="30"/>
      <c r="H2631" s="30"/>
      <c r="I2631" s="30"/>
      <c r="J2631" s="30"/>
      <c r="K2631" s="30"/>
      <c r="L2631" s="30"/>
      <c r="M2631" s="30"/>
      <c r="N2631" s="30"/>
      <c r="O2631" s="30"/>
      <c r="P2631" s="30"/>
      <c r="Q2631" s="30"/>
      <c r="R2631" s="30"/>
      <c r="S2631" s="30"/>
      <c r="T2631" s="30"/>
      <c r="U2631" s="30"/>
      <c r="V2631" s="30"/>
      <c r="W2631" s="30"/>
      <c r="X2631" s="30"/>
      <c r="Y2631" s="30"/>
      <c r="Z2631" s="30"/>
    </row>
    <row r="2632">
      <c r="A2632" s="29"/>
      <c r="B2632" s="29"/>
      <c r="C2632" s="30"/>
      <c r="D2632" s="30"/>
      <c r="E2632" s="30"/>
      <c r="F2632" s="30"/>
      <c r="G2632" s="30"/>
      <c r="H2632" s="30"/>
      <c r="I2632" s="30"/>
      <c r="J2632" s="30"/>
      <c r="K2632" s="30"/>
      <c r="L2632" s="30"/>
      <c r="M2632" s="30"/>
      <c r="N2632" s="30"/>
      <c r="O2632" s="30"/>
      <c r="P2632" s="30"/>
      <c r="Q2632" s="30"/>
      <c r="R2632" s="30"/>
      <c r="S2632" s="30"/>
      <c r="T2632" s="30"/>
      <c r="U2632" s="30"/>
      <c r="V2632" s="30"/>
      <c r="W2632" s="30"/>
      <c r="X2632" s="30"/>
      <c r="Y2632" s="30"/>
      <c r="Z2632" s="30"/>
    </row>
    <row r="2633">
      <c r="A2633" s="29"/>
      <c r="B2633" s="29"/>
      <c r="C2633" s="30"/>
      <c r="D2633" s="30"/>
      <c r="E2633" s="30"/>
      <c r="F2633" s="30"/>
      <c r="G2633" s="30"/>
      <c r="H2633" s="30"/>
      <c r="I2633" s="30"/>
      <c r="J2633" s="30"/>
      <c r="K2633" s="30"/>
      <c r="L2633" s="30"/>
      <c r="M2633" s="30"/>
      <c r="N2633" s="30"/>
      <c r="O2633" s="30"/>
      <c r="P2633" s="30"/>
      <c r="Q2633" s="30"/>
      <c r="R2633" s="30"/>
      <c r="S2633" s="30"/>
      <c r="T2633" s="30"/>
      <c r="U2633" s="30"/>
      <c r="V2633" s="30"/>
      <c r="W2633" s="30"/>
      <c r="X2633" s="30"/>
      <c r="Y2633" s="30"/>
      <c r="Z2633" s="30"/>
    </row>
    <row r="2634">
      <c r="A2634" s="29"/>
      <c r="B2634" s="29"/>
      <c r="C2634" s="30"/>
      <c r="D2634" s="30"/>
      <c r="E2634" s="30"/>
      <c r="F2634" s="30"/>
      <c r="G2634" s="30"/>
      <c r="H2634" s="30"/>
      <c r="I2634" s="30"/>
      <c r="J2634" s="30"/>
      <c r="K2634" s="30"/>
      <c r="L2634" s="30"/>
      <c r="M2634" s="30"/>
      <c r="N2634" s="30"/>
      <c r="O2634" s="30"/>
      <c r="P2634" s="30"/>
      <c r="Q2634" s="30"/>
      <c r="R2634" s="30"/>
      <c r="S2634" s="30"/>
      <c r="T2634" s="30"/>
      <c r="U2634" s="30"/>
      <c r="V2634" s="30"/>
      <c r="W2634" s="30"/>
      <c r="X2634" s="30"/>
      <c r="Y2634" s="30"/>
      <c r="Z2634" s="30"/>
    </row>
    <row r="2635">
      <c r="A2635" s="29"/>
      <c r="B2635" s="29"/>
      <c r="C2635" s="30"/>
      <c r="D2635" s="30"/>
      <c r="E2635" s="30"/>
      <c r="F2635" s="30"/>
      <c r="G2635" s="30"/>
      <c r="H2635" s="30"/>
      <c r="I2635" s="30"/>
      <c r="J2635" s="30"/>
      <c r="K2635" s="30"/>
      <c r="L2635" s="30"/>
      <c r="M2635" s="30"/>
      <c r="N2635" s="30"/>
      <c r="O2635" s="30"/>
      <c r="P2635" s="30"/>
      <c r="Q2635" s="30"/>
      <c r="R2635" s="30"/>
      <c r="S2635" s="30"/>
      <c r="T2635" s="30"/>
      <c r="U2635" s="30"/>
      <c r="V2635" s="30"/>
      <c r="W2635" s="30"/>
      <c r="X2635" s="30"/>
      <c r="Y2635" s="30"/>
      <c r="Z2635" s="30"/>
    </row>
    <row r="2636">
      <c r="A2636" s="29"/>
      <c r="B2636" s="29"/>
      <c r="C2636" s="30"/>
      <c r="D2636" s="30"/>
      <c r="E2636" s="30"/>
      <c r="F2636" s="30"/>
      <c r="G2636" s="30"/>
      <c r="H2636" s="30"/>
      <c r="I2636" s="30"/>
      <c r="J2636" s="30"/>
      <c r="K2636" s="30"/>
      <c r="L2636" s="30"/>
      <c r="M2636" s="30"/>
      <c r="N2636" s="30"/>
      <c r="O2636" s="30"/>
      <c r="P2636" s="30"/>
      <c r="Q2636" s="30"/>
      <c r="R2636" s="30"/>
      <c r="S2636" s="30"/>
      <c r="T2636" s="30"/>
      <c r="U2636" s="30"/>
      <c r="V2636" s="30"/>
      <c r="W2636" s="30"/>
      <c r="X2636" s="30"/>
      <c r="Y2636" s="30"/>
      <c r="Z2636" s="30"/>
    </row>
    <row r="2637">
      <c r="A2637" s="29"/>
      <c r="B2637" s="29"/>
      <c r="C2637" s="30"/>
      <c r="D2637" s="30"/>
      <c r="E2637" s="30"/>
      <c r="F2637" s="30"/>
      <c r="G2637" s="30"/>
      <c r="H2637" s="30"/>
      <c r="I2637" s="30"/>
      <c r="J2637" s="30"/>
      <c r="K2637" s="30"/>
      <c r="L2637" s="30"/>
      <c r="M2637" s="30"/>
      <c r="N2637" s="30"/>
      <c r="O2637" s="30"/>
      <c r="P2637" s="30"/>
      <c r="Q2637" s="30"/>
      <c r="R2637" s="30"/>
      <c r="S2637" s="30"/>
      <c r="T2637" s="30"/>
      <c r="U2637" s="30"/>
      <c r="V2637" s="30"/>
      <c r="W2637" s="30"/>
      <c r="X2637" s="30"/>
      <c r="Y2637" s="30"/>
      <c r="Z2637" s="30"/>
    </row>
    <row r="2638">
      <c r="A2638" s="29"/>
      <c r="B2638" s="29"/>
      <c r="C2638" s="30"/>
      <c r="D2638" s="30"/>
      <c r="E2638" s="30"/>
      <c r="F2638" s="30"/>
      <c r="G2638" s="30"/>
      <c r="H2638" s="30"/>
      <c r="I2638" s="30"/>
      <c r="J2638" s="30"/>
      <c r="K2638" s="30"/>
      <c r="L2638" s="30"/>
      <c r="M2638" s="30"/>
      <c r="N2638" s="30"/>
      <c r="O2638" s="30"/>
      <c r="P2638" s="30"/>
      <c r="Q2638" s="30"/>
      <c r="R2638" s="30"/>
      <c r="S2638" s="30"/>
      <c r="T2638" s="30"/>
      <c r="U2638" s="30"/>
      <c r="V2638" s="30"/>
      <c r="W2638" s="30"/>
      <c r="X2638" s="30"/>
      <c r="Y2638" s="30"/>
      <c r="Z2638" s="30"/>
    </row>
    <row r="2639">
      <c r="A2639" s="29"/>
      <c r="B2639" s="29"/>
      <c r="C2639" s="30"/>
      <c r="D2639" s="30"/>
      <c r="E2639" s="30"/>
      <c r="F2639" s="30"/>
      <c r="G2639" s="30"/>
      <c r="H2639" s="30"/>
      <c r="I2639" s="30"/>
      <c r="J2639" s="30"/>
      <c r="K2639" s="30"/>
      <c r="L2639" s="30"/>
      <c r="M2639" s="30"/>
      <c r="N2639" s="30"/>
      <c r="O2639" s="30"/>
      <c r="P2639" s="30"/>
      <c r="Q2639" s="30"/>
      <c r="R2639" s="30"/>
      <c r="S2639" s="30"/>
      <c r="T2639" s="30"/>
      <c r="U2639" s="30"/>
      <c r="V2639" s="30"/>
      <c r="W2639" s="30"/>
      <c r="X2639" s="30"/>
      <c r="Y2639" s="30"/>
      <c r="Z2639" s="30"/>
    </row>
    <row r="2640">
      <c r="A2640" s="29"/>
      <c r="B2640" s="29"/>
      <c r="C2640" s="30"/>
      <c r="D2640" s="30"/>
      <c r="E2640" s="30"/>
      <c r="F2640" s="30"/>
      <c r="G2640" s="30"/>
      <c r="H2640" s="30"/>
      <c r="I2640" s="30"/>
      <c r="J2640" s="30"/>
      <c r="K2640" s="30"/>
      <c r="L2640" s="30"/>
      <c r="M2640" s="30"/>
      <c r="N2640" s="30"/>
      <c r="O2640" s="30"/>
      <c r="P2640" s="30"/>
      <c r="Q2640" s="30"/>
      <c r="R2640" s="30"/>
      <c r="S2640" s="30"/>
      <c r="T2640" s="30"/>
      <c r="U2640" s="30"/>
      <c r="V2640" s="30"/>
      <c r="W2640" s="30"/>
      <c r="X2640" s="30"/>
      <c r="Y2640" s="30"/>
      <c r="Z2640" s="30"/>
    </row>
    <row r="2641">
      <c r="A2641" s="29"/>
      <c r="B2641" s="29"/>
      <c r="C2641" s="30"/>
      <c r="D2641" s="30"/>
      <c r="E2641" s="30"/>
      <c r="F2641" s="30"/>
      <c r="G2641" s="30"/>
      <c r="H2641" s="30"/>
      <c r="I2641" s="30"/>
      <c r="J2641" s="30"/>
      <c r="K2641" s="30"/>
      <c r="L2641" s="30"/>
      <c r="M2641" s="30"/>
      <c r="N2641" s="30"/>
      <c r="O2641" s="30"/>
      <c r="P2641" s="30"/>
      <c r="Q2641" s="30"/>
      <c r="R2641" s="30"/>
      <c r="S2641" s="30"/>
      <c r="T2641" s="30"/>
      <c r="U2641" s="30"/>
      <c r="V2641" s="30"/>
      <c r="W2641" s="30"/>
      <c r="X2641" s="30"/>
      <c r="Y2641" s="30"/>
      <c r="Z2641" s="30"/>
    </row>
    <row r="2642">
      <c r="A2642" s="29"/>
      <c r="B2642" s="29"/>
      <c r="C2642" s="30"/>
      <c r="D2642" s="30"/>
      <c r="E2642" s="30"/>
      <c r="F2642" s="30"/>
      <c r="G2642" s="30"/>
      <c r="H2642" s="30"/>
      <c r="I2642" s="30"/>
      <c r="J2642" s="30"/>
      <c r="K2642" s="30"/>
      <c r="L2642" s="30"/>
      <c r="M2642" s="30"/>
      <c r="N2642" s="30"/>
      <c r="O2642" s="30"/>
      <c r="P2642" s="30"/>
      <c r="Q2642" s="30"/>
      <c r="R2642" s="30"/>
      <c r="S2642" s="30"/>
      <c r="T2642" s="30"/>
      <c r="U2642" s="30"/>
      <c r="V2642" s="30"/>
      <c r="W2642" s="30"/>
      <c r="X2642" s="30"/>
      <c r="Y2642" s="30"/>
      <c r="Z2642" s="30"/>
    </row>
    <row r="2643">
      <c r="A2643" s="29"/>
      <c r="B2643" s="29"/>
      <c r="C2643" s="30"/>
      <c r="D2643" s="30"/>
      <c r="E2643" s="30"/>
      <c r="F2643" s="30"/>
      <c r="G2643" s="30"/>
      <c r="H2643" s="30"/>
      <c r="I2643" s="30"/>
      <c r="J2643" s="30"/>
      <c r="K2643" s="30"/>
      <c r="L2643" s="30"/>
      <c r="M2643" s="30"/>
      <c r="N2643" s="30"/>
      <c r="O2643" s="30"/>
      <c r="P2643" s="30"/>
      <c r="Q2643" s="30"/>
      <c r="R2643" s="30"/>
      <c r="S2643" s="30"/>
      <c r="T2643" s="30"/>
      <c r="U2643" s="30"/>
      <c r="V2643" s="30"/>
      <c r="W2643" s="30"/>
      <c r="X2643" s="30"/>
      <c r="Y2643" s="30"/>
      <c r="Z2643" s="30"/>
    </row>
    <row r="2644">
      <c r="A2644" s="29"/>
      <c r="B2644" s="29"/>
      <c r="C2644" s="30"/>
      <c r="D2644" s="30"/>
      <c r="E2644" s="30"/>
      <c r="F2644" s="30"/>
      <c r="G2644" s="30"/>
      <c r="H2644" s="30"/>
      <c r="I2644" s="30"/>
      <c r="J2644" s="30"/>
      <c r="K2644" s="30"/>
      <c r="L2644" s="30"/>
      <c r="M2644" s="30"/>
      <c r="N2644" s="30"/>
      <c r="O2644" s="30"/>
      <c r="P2644" s="30"/>
      <c r="Q2644" s="30"/>
      <c r="R2644" s="30"/>
      <c r="S2644" s="30"/>
      <c r="T2644" s="30"/>
      <c r="U2644" s="30"/>
      <c r="V2644" s="30"/>
      <c r="W2644" s="30"/>
      <c r="X2644" s="30"/>
      <c r="Y2644" s="30"/>
      <c r="Z2644" s="30"/>
    </row>
    <row r="2645">
      <c r="A2645" s="29"/>
      <c r="B2645" s="29"/>
      <c r="C2645" s="30"/>
      <c r="D2645" s="30"/>
      <c r="E2645" s="30"/>
      <c r="F2645" s="30"/>
      <c r="G2645" s="30"/>
      <c r="H2645" s="30"/>
      <c r="I2645" s="30"/>
      <c r="J2645" s="30"/>
      <c r="K2645" s="30"/>
      <c r="L2645" s="30"/>
      <c r="M2645" s="30"/>
      <c r="N2645" s="30"/>
      <c r="O2645" s="30"/>
      <c r="P2645" s="30"/>
      <c r="Q2645" s="30"/>
      <c r="R2645" s="30"/>
      <c r="S2645" s="30"/>
      <c r="T2645" s="30"/>
      <c r="U2645" s="30"/>
      <c r="V2645" s="30"/>
      <c r="W2645" s="30"/>
      <c r="X2645" s="30"/>
      <c r="Y2645" s="30"/>
      <c r="Z2645" s="30"/>
    </row>
    <row r="2646">
      <c r="A2646" s="29"/>
      <c r="B2646" s="29"/>
      <c r="C2646" s="30"/>
      <c r="D2646" s="30"/>
      <c r="E2646" s="30"/>
      <c r="F2646" s="30"/>
      <c r="G2646" s="30"/>
      <c r="H2646" s="30"/>
      <c r="I2646" s="30"/>
      <c r="J2646" s="30"/>
      <c r="K2646" s="30"/>
      <c r="L2646" s="30"/>
      <c r="M2646" s="30"/>
      <c r="N2646" s="30"/>
      <c r="O2646" s="30"/>
      <c r="P2646" s="30"/>
      <c r="Q2646" s="30"/>
      <c r="R2646" s="30"/>
      <c r="S2646" s="30"/>
      <c r="T2646" s="30"/>
      <c r="U2646" s="30"/>
      <c r="V2646" s="30"/>
      <c r="W2646" s="30"/>
      <c r="X2646" s="30"/>
      <c r="Y2646" s="30"/>
      <c r="Z2646" s="30"/>
    </row>
    <row r="2647">
      <c r="A2647" s="29"/>
      <c r="B2647" s="29"/>
      <c r="C2647" s="30"/>
      <c r="D2647" s="30"/>
      <c r="E2647" s="30"/>
      <c r="F2647" s="30"/>
      <c r="G2647" s="30"/>
      <c r="H2647" s="30"/>
      <c r="I2647" s="30"/>
      <c r="J2647" s="30"/>
      <c r="K2647" s="30"/>
      <c r="L2647" s="30"/>
      <c r="M2647" s="30"/>
      <c r="N2647" s="30"/>
      <c r="O2647" s="30"/>
      <c r="P2647" s="30"/>
      <c r="Q2647" s="30"/>
      <c r="R2647" s="30"/>
      <c r="S2647" s="30"/>
      <c r="T2647" s="30"/>
      <c r="U2647" s="30"/>
      <c r="V2647" s="30"/>
      <c r="W2647" s="30"/>
      <c r="X2647" s="30"/>
      <c r="Y2647" s="30"/>
      <c r="Z2647" s="30"/>
    </row>
    <row r="2648">
      <c r="A2648" s="29"/>
      <c r="B2648" s="29"/>
      <c r="C2648" s="30"/>
      <c r="D2648" s="30"/>
      <c r="E2648" s="30"/>
      <c r="F2648" s="30"/>
      <c r="G2648" s="30"/>
      <c r="H2648" s="30"/>
      <c r="I2648" s="30"/>
      <c r="J2648" s="30"/>
      <c r="K2648" s="30"/>
      <c r="L2648" s="30"/>
      <c r="M2648" s="30"/>
      <c r="N2648" s="30"/>
      <c r="O2648" s="30"/>
      <c r="P2648" s="30"/>
      <c r="Q2648" s="30"/>
      <c r="R2648" s="30"/>
      <c r="S2648" s="30"/>
      <c r="T2648" s="30"/>
      <c r="U2648" s="30"/>
      <c r="V2648" s="30"/>
      <c r="W2648" s="30"/>
      <c r="X2648" s="30"/>
      <c r="Y2648" s="30"/>
      <c r="Z2648" s="30"/>
    </row>
    <row r="2649">
      <c r="A2649" s="29"/>
      <c r="B2649" s="29"/>
      <c r="C2649" s="30"/>
      <c r="D2649" s="30"/>
      <c r="E2649" s="30"/>
      <c r="F2649" s="30"/>
      <c r="G2649" s="30"/>
      <c r="H2649" s="30"/>
      <c r="I2649" s="30"/>
      <c r="J2649" s="30"/>
      <c r="K2649" s="30"/>
      <c r="L2649" s="30"/>
      <c r="M2649" s="30"/>
      <c r="N2649" s="30"/>
      <c r="O2649" s="30"/>
      <c r="P2649" s="30"/>
      <c r="Q2649" s="30"/>
      <c r="R2649" s="30"/>
      <c r="S2649" s="30"/>
      <c r="T2649" s="30"/>
      <c r="U2649" s="30"/>
      <c r="V2649" s="30"/>
      <c r="W2649" s="30"/>
      <c r="X2649" s="30"/>
      <c r="Y2649" s="30"/>
      <c r="Z2649" s="30"/>
    </row>
    <row r="2650">
      <c r="A2650" s="29"/>
      <c r="B2650" s="29"/>
      <c r="C2650" s="30"/>
      <c r="D2650" s="30"/>
      <c r="E2650" s="30"/>
      <c r="F2650" s="30"/>
      <c r="G2650" s="30"/>
      <c r="H2650" s="30"/>
      <c r="I2650" s="30"/>
      <c r="J2650" s="30"/>
      <c r="K2650" s="30"/>
      <c r="L2650" s="30"/>
      <c r="M2650" s="30"/>
      <c r="N2650" s="30"/>
      <c r="O2650" s="30"/>
      <c r="P2650" s="30"/>
      <c r="Q2650" s="30"/>
      <c r="R2650" s="30"/>
      <c r="S2650" s="30"/>
      <c r="T2650" s="30"/>
      <c r="U2650" s="30"/>
      <c r="V2650" s="30"/>
      <c r="W2650" s="30"/>
      <c r="X2650" s="30"/>
      <c r="Y2650" s="30"/>
      <c r="Z2650" s="30"/>
    </row>
    <row r="2651">
      <c r="A2651" s="29"/>
      <c r="B2651" s="29"/>
      <c r="C2651" s="30"/>
      <c r="D2651" s="30"/>
      <c r="E2651" s="30"/>
      <c r="F2651" s="30"/>
      <c r="G2651" s="30"/>
      <c r="H2651" s="30"/>
      <c r="I2651" s="30"/>
      <c r="J2651" s="30"/>
      <c r="K2651" s="30"/>
      <c r="L2651" s="30"/>
      <c r="M2651" s="30"/>
      <c r="N2651" s="30"/>
      <c r="O2651" s="30"/>
      <c r="P2651" s="30"/>
      <c r="Q2651" s="30"/>
      <c r="R2651" s="30"/>
      <c r="S2651" s="30"/>
      <c r="T2651" s="30"/>
      <c r="U2651" s="30"/>
      <c r="V2651" s="30"/>
      <c r="W2651" s="30"/>
      <c r="X2651" s="30"/>
      <c r="Y2651" s="30"/>
      <c r="Z2651" s="30"/>
    </row>
    <row r="2652">
      <c r="A2652" s="29"/>
      <c r="B2652" s="29"/>
      <c r="C2652" s="30"/>
      <c r="D2652" s="30"/>
      <c r="E2652" s="30"/>
      <c r="F2652" s="30"/>
      <c r="G2652" s="30"/>
      <c r="H2652" s="30"/>
      <c r="I2652" s="30"/>
      <c r="J2652" s="30"/>
      <c r="K2652" s="30"/>
      <c r="L2652" s="30"/>
      <c r="M2652" s="30"/>
      <c r="N2652" s="30"/>
      <c r="O2652" s="30"/>
      <c r="P2652" s="30"/>
      <c r="Q2652" s="30"/>
      <c r="R2652" s="30"/>
      <c r="S2652" s="30"/>
      <c r="T2652" s="30"/>
      <c r="U2652" s="30"/>
      <c r="V2652" s="30"/>
      <c r="W2652" s="30"/>
      <c r="X2652" s="30"/>
      <c r="Y2652" s="30"/>
      <c r="Z2652" s="30"/>
    </row>
    <row r="2653">
      <c r="A2653" s="29"/>
      <c r="B2653" s="29"/>
      <c r="C2653" s="30"/>
      <c r="D2653" s="30"/>
      <c r="E2653" s="30"/>
      <c r="F2653" s="30"/>
      <c r="G2653" s="30"/>
      <c r="H2653" s="30"/>
      <c r="I2653" s="30"/>
      <c r="J2653" s="30"/>
      <c r="K2653" s="30"/>
      <c r="L2653" s="30"/>
      <c r="M2653" s="30"/>
      <c r="N2653" s="30"/>
      <c r="O2653" s="30"/>
      <c r="P2653" s="30"/>
      <c r="Q2653" s="30"/>
      <c r="R2653" s="30"/>
      <c r="S2653" s="30"/>
      <c r="T2653" s="30"/>
      <c r="U2653" s="30"/>
      <c r="V2653" s="30"/>
      <c r="W2653" s="30"/>
      <c r="X2653" s="30"/>
      <c r="Y2653" s="30"/>
      <c r="Z2653" s="30"/>
    </row>
    <row r="2654">
      <c r="A2654" s="29"/>
      <c r="B2654" s="29"/>
      <c r="C2654" s="30"/>
      <c r="D2654" s="30"/>
      <c r="E2654" s="30"/>
      <c r="F2654" s="30"/>
      <c r="G2654" s="30"/>
      <c r="H2654" s="30"/>
      <c r="I2654" s="30"/>
      <c r="J2654" s="30"/>
      <c r="K2654" s="30"/>
      <c r="L2654" s="30"/>
      <c r="M2654" s="30"/>
      <c r="N2654" s="30"/>
      <c r="O2654" s="30"/>
      <c r="P2654" s="30"/>
      <c r="Q2654" s="30"/>
      <c r="R2654" s="30"/>
      <c r="S2654" s="30"/>
      <c r="T2654" s="30"/>
      <c r="U2654" s="30"/>
      <c r="V2654" s="30"/>
      <c r="W2654" s="30"/>
      <c r="X2654" s="30"/>
      <c r="Y2654" s="30"/>
      <c r="Z2654" s="30"/>
    </row>
    <row r="2655">
      <c r="A2655" s="29"/>
      <c r="B2655" s="29"/>
      <c r="C2655" s="30"/>
      <c r="D2655" s="30"/>
      <c r="E2655" s="30"/>
      <c r="F2655" s="30"/>
      <c r="G2655" s="30"/>
      <c r="H2655" s="30"/>
      <c r="I2655" s="30"/>
      <c r="J2655" s="30"/>
      <c r="K2655" s="30"/>
      <c r="L2655" s="30"/>
      <c r="M2655" s="30"/>
      <c r="N2655" s="30"/>
      <c r="O2655" s="30"/>
      <c r="P2655" s="30"/>
      <c r="Q2655" s="30"/>
      <c r="R2655" s="30"/>
      <c r="S2655" s="30"/>
      <c r="T2655" s="30"/>
      <c r="U2655" s="30"/>
      <c r="V2655" s="30"/>
      <c r="W2655" s="30"/>
      <c r="X2655" s="30"/>
      <c r="Y2655" s="30"/>
      <c r="Z2655" s="30"/>
    </row>
    <row r="2656">
      <c r="A2656" s="29"/>
      <c r="B2656" s="29"/>
      <c r="C2656" s="30"/>
      <c r="D2656" s="30"/>
      <c r="E2656" s="30"/>
      <c r="F2656" s="30"/>
      <c r="G2656" s="30"/>
      <c r="H2656" s="30"/>
      <c r="I2656" s="30"/>
      <c r="J2656" s="30"/>
      <c r="K2656" s="30"/>
      <c r="L2656" s="30"/>
      <c r="M2656" s="30"/>
      <c r="N2656" s="30"/>
      <c r="O2656" s="30"/>
      <c r="P2656" s="30"/>
      <c r="Q2656" s="30"/>
      <c r="R2656" s="30"/>
      <c r="S2656" s="30"/>
      <c r="T2656" s="30"/>
      <c r="U2656" s="30"/>
      <c r="V2656" s="30"/>
      <c r="W2656" s="30"/>
      <c r="X2656" s="30"/>
      <c r="Y2656" s="30"/>
      <c r="Z2656" s="30"/>
    </row>
    <row r="2657">
      <c r="A2657" s="29"/>
      <c r="B2657" s="29"/>
      <c r="C2657" s="30"/>
      <c r="D2657" s="30"/>
      <c r="E2657" s="30"/>
      <c r="F2657" s="30"/>
      <c r="G2657" s="30"/>
      <c r="H2657" s="30"/>
      <c r="I2657" s="30"/>
      <c r="J2657" s="30"/>
      <c r="K2657" s="30"/>
      <c r="L2657" s="30"/>
      <c r="M2657" s="30"/>
      <c r="N2657" s="30"/>
      <c r="O2657" s="30"/>
      <c r="P2657" s="30"/>
      <c r="Q2657" s="30"/>
      <c r="R2657" s="30"/>
      <c r="S2657" s="30"/>
      <c r="T2657" s="30"/>
      <c r="U2657" s="30"/>
      <c r="V2657" s="30"/>
      <c r="W2657" s="30"/>
      <c r="X2657" s="30"/>
      <c r="Y2657" s="30"/>
      <c r="Z2657" s="30"/>
    </row>
    <row r="2658">
      <c r="A2658" s="29"/>
      <c r="B2658" s="29"/>
      <c r="C2658" s="30"/>
      <c r="D2658" s="30"/>
      <c r="E2658" s="30"/>
      <c r="F2658" s="30"/>
      <c r="G2658" s="30"/>
      <c r="H2658" s="30"/>
      <c r="I2658" s="30"/>
      <c r="J2658" s="30"/>
      <c r="K2658" s="30"/>
      <c r="L2658" s="30"/>
      <c r="M2658" s="30"/>
      <c r="N2658" s="30"/>
      <c r="O2658" s="30"/>
      <c r="P2658" s="30"/>
      <c r="Q2658" s="30"/>
      <c r="R2658" s="30"/>
      <c r="S2658" s="30"/>
      <c r="T2658" s="30"/>
      <c r="U2658" s="30"/>
      <c r="V2658" s="30"/>
      <c r="W2658" s="30"/>
      <c r="X2658" s="30"/>
      <c r="Y2658" s="30"/>
      <c r="Z2658" s="30"/>
    </row>
    <row r="2659">
      <c r="A2659" s="29"/>
      <c r="B2659" s="29"/>
      <c r="C2659" s="30"/>
      <c r="D2659" s="30"/>
      <c r="E2659" s="30"/>
      <c r="F2659" s="30"/>
      <c r="G2659" s="30"/>
      <c r="H2659" s="30"/>
      <c r="I2659" s="30"/>
      <c r="J2659" s="30"/>
      <c r="K2659" s="30"/>
      <c r="L2659" s="30"/>
      <c r="M2659" s="30"/>
      <c r="N2659" s="30"/>
      <c r="O2659" s="30"/>
      <c r="P2659" s="30"/>
      <c r="Q2659" s="30"/>
      <c r="R2659" s="30"/>
      <c r="S2659" s="30"/>
      <c r="T2659" s="30"/>
      <c r="U2659" s="30"/>
      <c r="V2659" s="30"/>
      <c r="W2659" s="30"/>
      <c r="X2659" s="30"/>
      <c r="Y2659" s="30"/>
      <c r="Z2659" s="30"/>
    </row>
    <row r="2660">
      <c r="A2660" s="29"/>
      <c r="B2660" s="29"/>
      <c r="C2660" s="30"/>
      <c r="D2660" s="30"/>
      <c r="E2660" s="30"/>
      <c r="F2660" s="30"/>
      <c r="G2660" s="30"/>
      <c r="H2660" s="30"/>
      <c r="I2660" s="30"/>
      <c r="J2660" s="30"/>
      <c r="K2660" s="30"/>
      <c r="L2660" s="30"/>
      <c r="M2660" s="30"/>
      <c r="N2660" s="30"/>
      <c r="O2660" s="30"/>
      <c r="P2660" s="30"/>
      <c r="Q2660" s="30"/>
      <c r="R2660" s="30"/>
      <c r="S2660" s="30"/>
      <c r="T2660" s="30"/>
      <c r="U2660" s="30"/>
      <c r="V2660" s="30"/>
      <c r="W2660" s="30"/>
      <c r="X2660" s="30"/>
      <c r="Y2660" s="30"/>
      <c r="Z2660" s="30"/>
    </row>
    <row r="2661">
      <c r="A2661" s="29"/>
      <c r="B2661" s="29"/>
      <c r="C2661" s="30"/>
      <c r="D2661" s="30"/>
      <c r="E2661" s="30"/>
      <c r="F2661" s="30"/>
      <c r="G2661" s="30"/>
      <c r="H2661" s="30"/>
      <c r="I2661" s="30"/>
      <c r="J2661" s="30"/>
      <c r="K2661" s="30"/>
      <c r="L2661" s="30"/>
      <c r="M2661" s="30"/>
      <c r="N2661" s="30"/>
      <c r="O2661" s="30"/>
      <c r="P2661" s="30"/>
      <c r="Q2661" s="30"/>
      <c r="R2661" s="30"/>
      <c r="S2661" s="30"/>
      <c r="T2661" s="30"/>
      <c r="U2661" s="30"/>
      <c r="V2661" s="30"/>
      <c r="W2661" s="30"/>
      <c r="X2661" s="30"/>
      <c r="Y2661" s="30"/>
      <c r="Z2661" s="30"/>
    </row>
    <row r="2662">
      <c r="A2662" s="29"/>
      <c r="B2662" s="29"/>
      <c r="C2662" s="30"/>
      <c r="D2662" s="30"/>
      <c r="E2662" s="30"/>
      <c r="F2662" s="30"/>
      <c r="G2662" s="30"/>
      <c r="H2662" s="30"/>
      <c r="I2662" s="30"/>
      <c r="J2662" s="30"/>
      <c r="K2662" s="30"/>
      <c r="L2662" s="30"/>
      <c r="M2662" s="30"/>
      <c r="N2662" s="30"/>
      <c r="O2662" s="30"/>
      <c r="P2662" s="30"/>
      <c r="Q2662" s="30"/>
      <c r="R2662" s="30"/>
      <c r="S2662" s="30"/>
      <c r="T2662" s="30"/>
      <c r="U2662" s="30"/>
      <c r="V2662" s="30"/>
      <c r="W2662" s="30"/>
      <c r="X2662" s="30"/>
      <c r="Y2662" s="30"/>
      <c r="Z2662" s="30"/>
    </row>
    <row r="2663">
      <c r="A2663" s="29"/>
      <c r="B2663" s="29"/>
      <c r="C2663" s="30"/>
      <c r="D2663" s="30"/>
      <c r="E2663" s="30"/>
      <c r="F2663" s="30"/>
      <c r="G2663" s="30"/>
      <c r="H2663" s="30"/>
      <c r="I2663" s="30"/>
      <c r="J2663" s="30"/>
      <c r="K2663" s="30"/>
      <c r="L2663" s="30"/>
      <c r="M2663" s="30"/>
      <c r="N2663" s="30"/>
      <c r="O2663" s="30"/>
      <c r="P2663" s="30"/>
      <c r="Q2663" s="30"/>
      <c r="R2663" s="30"/>
      <c r="S2663" s="30"/>
      <c r="T2663" s="30"/>
      <c r="U2663" s="30"/>
      <c r="V2663" s="30"/>
      <c r="W2663" s="30"/>
      <c r="X2663" s="30"/>
      <c r="Y2663" s="30"/>
      <c r="Z2663" s="30"/>
    </row>
    <row r="2664">
      <c r="A2664" s="29"/>
      <c r="B2664" s="29"/>
      <c r="C2664" s="30"/>
      <c r="D2664" s="30"/>
      <c r="E2664" s="30"/>
      <c r="F2664" s="30"/>
      <c r="G2664" s="30"/>
      <c r="H2664" s="30"/>
      <c r="I2664" s="30"/>
      <c r="J2664" s="30"/>
      <c r="K2664" s="30"/>
      <c r="L2664" s="30"/>
      <c r="M2664" s="30"/>
      <c r="N2664" s="30"/>
      <c r="O2664" s="30"/>
      <c r="P2664" s="30"/>
      <c r="Q2664" s="30"/>
      <c r="R2664" s="30"/>
      <c r="S2664" s="30"/>
      <c r="T2664" s="30"/>
      <c r="U2664" s="30"/>
      <c r="V2664" s="30"/>
      <c r="W2664" s="30"/>
      <c r="X2664" s="30"/>
      <c r="Y2664" s="30"/>
      <c r="Z2664" s="30"/>
    </row>
    <row r="2665">
      <c r="A2665" s="29"/>
      <c r="B2665" s="29"/>
      <c r="C2665" s="30"/>
      <c r="D2665" s="30"/>
      <c r="E2665" s="30"/>
      <c r="F2665" s="30"/>
      <c r="G2665" s="30"/>
      <c r="H2665" s="30"/>
      <c r="I2665" s="30"/>
      <c r="J2665" s="30"/>
      <c r="K2665" s="30"/>
      <c r="L2665" s="30"/>
      <c r="M2665" s="30"/>
      <c r="N2665" s="30"/>
      <c r="O2665" s="30"/>
      <c r="P2665" s="30"/>
      <c r="Q2665" s="30"/>
      <c r="R2665" s="30"/>
      <c r="S2665" s="30"/>
      <c r="T2665" s="30"/>
      <c r="U2665" s="30"/>
      <c r="V2665" s="30"/>
      <c r="W2665" s="30"/>
      <c r="X2665" s="30"/>
      <c r="Y2665" s="30"/>
      <c r="Z2665" s="30"/>
    </row>
    <row r="2666">
      <c r="A2666" s="29"/>
      <c r="B2666" s="29"/>
      <c r="C2666" s="30"/>
      <c r="D2666" s="30"/>
      <c r="E2666" s="30"/>
      <c r="F2666" s="30"/>
      <c r="G2666" s="30"/>
      <c r="H2666" s="30"/>
      <c r="I2666" s="30"/>
      <c r="J2666" s="30"/>
      <c r="K2666" s="30"/>
      <c r="L2666" s="30"/>
      <c r="M2666" s="30"/>
      <c r="N2666" s="30"/>
      <c r="O2666" s="30"/>
      <c r="P2666" s="30"/>
      <c r="Q2666" s="30"/>
      <c r="R2666" s="30"/>
      <c r="S2666" s="30"/>
      <c r="T2666" s="30"/>
      <c r="U2666" s="30"/>
      <c r="V2666" s="30"/>
      <c r="W2666" s="30"/>
      <c r="X2666" s="30"/>
      <c r="Y2666" s="30"/>
      <c r="Z2666" s="30"/>
    </row>
    <row r="2667">
      <c r="A2667" s="29"/>
      <c r="B2667" s="29"/>
      <c r="C2667" s="30"/>
      <c r="D2667" s="30"/>
      <c r="E2667" s="30"/>
      <c r="F2667" s="30"/>
      <c r="G2667" s="30"/>
      <c r="H2667" s="30"/>
      <c r="I2667" s="30"/>
      <c r="J2667" s="30"/>
      <c r="K2667" s="30"/>
      <c r="L2667" s="30"/>
      <c r="M2667" s="30"/>
      <c r="N2667" s="30"/>
      <c r="O2667" s="30"/>
      <c r="P2667" s="30"/>
      <c r="Q2667" s="30"/>
      <c r="R2667" s="30"/>
      <c r="S2667" s="30"/>
      <c r="T2667" s="30"/>
      <c r="U2667" s="30"/>
      <c r="V2667" s="30"/>
      <c r="W2667" s="30"/>
      <c r="X2667" s="30"/>
      <c r="Y2667" s="30"/>
      <c r="Z2667" s="30"/>
    </row>
    <row r="2668">
      <c r="A2668" s="29"/>
      <c r="B2668" s="29"/>
      <c r="C2668" s="30"/>
      <c r="D2668" s="30"/>
      <c r="E2668" s="30"/>
      <c r="F2668" s="30"/>
      <c r="G2668" s="30"/>
      <c r="H2668" s="30"/>
      <c r="I2668" s="30"/>
      <c r="J2668" s="30"/>
      <c r="K2668" s="30"/>
      <c r="L2668" s="30"/>
      <c r="M2668" s="30"/>
      <c r="N2668" s="30"/>
      <c r="O2668" s="30"/>
      <c r="P2668" s="30"/>
      <c r="Q2668" s="30"/>
      <c r="R2668" s="30"/>
      <c r="S2668" s="30"/>
      <c r="T2668" s="30"/>
      <c r="U2668" s="30"/>
      <c r="V2668" s="30"/>
      <c r="W2668" s="30"/>
      <c r="X2668" s="30"/>
      <c r="Y2668" s="30"/>
      <c r="Z2668" s="30"/>
    </row>
    <row r="2669">
      <c r="A2669" s="29"/>
      <c r="B2669" s="29"/>
      <c r="C2669" s="30"/>
      <c r="D2669" s="30"/>
      <c r="E2669" s="30"/>
      <c r="F2669" s="30"/>
      <c r="G2669" s="30"/>
      <c r="H2669" s="30"/>
      <c r="I2669" s="30"/>
      <c r="J2669" s="30"/>
      <c r="K2669" s="30"/>
      <c r="L2669" s="30"/>
      <c r="M2669" s="30"/>
      <c r="N2669" s="30"/>
      <c r="O2669" s="30"/>
      <c r="P2669" s="30"/>
      <c r="Q2669" s="30"/>
      <c r="R2669" s="30"/>
      <c r="S2669" s="30"/>
      <c r="T2669" s="30"/>
      <c r="U2669" s="30"/>
      <c r="V2669" s="30"/>
      <c r="W2669" s="30"/>
      <c r="X2669" s="30"/>
      <c r="Y2669" s="30"/>
      <c r="Z2669" s="30"/>
    </row>
    <row r="2670">
      <c r="A2670" s="29"/>
      <c r="B2670" s="29"/>
      <c r="C2670" s="30"/>
      <c r="D2670" s="30"/>
      <c r="E2670" s="30"/>
      <c r="F2670" s="30"/>
      <c r="G2670" s="30"/>
      <c r="H2670" s="30"/>
      <c r="I2670" s="30"/>
      <c r="J2670" s="30"/>
      <c r="K2670" s="30"/>
      <c r="L2670" s="30"/>
      <c r="M2670" s="30"/>
      <c r="N2670" s="30"/>
      <c r="O2670" s="30"/>
      <c r="P2670" s="30"/>
      <c r="Q2670" s="30"/>
      <c r="R2670" s="30"/>
      <c r="S2670" s="30"/>
      <c r="T2670" s="30"/>
      <c r="U2670" s="30"/>
      <c r="V2670" s="30"/>
      <c r="W2670" s="30"/>
      <c r="X2670" s="30"/>
      <c r="Y2670" s="30"/>
      <c r="Z2670" s="30"/>
    </row>
    <row r="2671">
      <c r="A2671" s="29"/>
      <c r="B2671" s="29"/>
      <c r="C2671" s="30"/>
      <c r="D2671" s="30"/>
      <c r="E2671" s="30"/>
      <c r="F2671" s="30"/>
      <c r="G2671" s="30"/>
      <c r="H2671" s="30"/>
      <c r="I2671" s="30"/>
      <c r="J2671" s="30"/>
      <c r="K2671" s="30"/>
      <c r="L2671" s="30"/>
      <c r="M2671" s="30"/>
      <c r="N2671" s="30"/>
      <c r="O2671" s="30"/>
      <c r="P2671" s="30"/>
      <c r="Q2671" s="30"/>
      <c r="R2671" s="30"/>
      <c r="S2671" s="30"/>
      <c r="T2671" s="30"/>
      <c r="U2671" s="30"/>
      <c r="V2671" s="30"/>
      <c r="W2671" s="30"/>
      <c r="X2671" s="30"/>
      <c r="Y2671" s="30"/>
      <c r="Z2671" s="30"/>
    </row>
    <row r="2672">
      <c r="A2672" s="29"/>
      <c r="B2672" s="29"/>
      <c r="C2672" s="30"/>
      <c r="D2672" s="30"/>
      <c r="E2672" s="30"/>
      <c r="F2672" s="30"/>
      <c r="G2672" s="30"/>
      <c r="H2672" s="30"/>
      <c r="I2672" s="30"/>
      <c r="J2672" s="30"/>
      <c r="K2672" s="30"/>
      <c r="L2672" s="30"/>
      <c r="M2672" s="30"/>
      <c r="N2672" s="30"/>
      <c r="O2672" s="30"/>
      <c r="P2672" s="30"/>
      <c r="Q2672" s="30"/>
      <c r="R2672" s="30"/>
      <c r="S2672" s="30"/>
      <c r="T2672" s="30"/>
      <c r="U2672" s="30"/>
      <c r="V2672" s="30"/>
      <c r="W2672" s="30"/>
      <c r="X2672" s="30"/>
      <c r="Y2672" s="30"/>
      <c r="Z2672" s="30"/>
    </row>
    <row r="2673">
      <c r="A2673" s="29"/>
      <c r="B2673" s="29"/>
      <c r="C2673" s="30"/>
      <c r="D2673" s="30"/>
      <c r="E2673" s="30"/>
      <c r="F2673" s="30"/>
      <c r="G2673" s="30"/>
      <c r="H2673" s="30"/>
      <c r="I2673" s="30"/>
      <c r="J2673" s="30"/>
      <c r="K2673" s="30"/>
      <c r="L2673" s="30"/>
      <c r="M2673" s="30"/>
      <c r="N2673" s="30"/>
      <c r="O2673" s="30"/>
      <c r="P2673" s="30"/>
      <c r="Q2673" s="30"/>
      <c r="R2673" s="30"/>
      <c r="S2673" s="30"/>
      <c r="T2673" s="30"/>
      <c r="U2673" s="30"/>
      <c r="V2673" s="30"/>
      <c r="W2673" s="30"/>
      <c r="X2673" s="30"/>
      <c r="Y2673" s="30"/>
      <c r="Z2673" s="30"/>
    </row>
    <row r="2674">
      <c r="A2674" s="29"/>
      <c r="B2674" s="29"/>
      <c r="C2674" s="30"/>
      <c r="D2674" s="30"/>
      <c r="E2674" s="30"/>
      <c r="F2674" s="30"/>
      <c r="G2674" s="30"/>
      <c r="H2674" s="30"/>
      <c r="I2674" s="30"/>
      <c r="J2674" s="30"/>
      <c r="K2674" s="30"/>
      <c r="L2674" s="30"/>
      <c r="M2674" s="30"/>
      <c r="N2674" s="30"/>
      <c r="O2674" s="30"/>
      <c r="P2674" s="30"/>
      <c r="Q2674" s="30"/>
      <c r="R2674" s="30"/>
      <c r="S2674" s="30"/>
      <c r="T2674" s="30"/>
      <c r="U2674" s="30"/>
      <c r="V2674" s="30"/>
      <c r="W2674" s="30"/>
      <c r="X2674" s="30"/>
      <c r="Y2674" s="30"/>
      <c r="Z2674" s="30"/>
    </row>
    <row r="2675">
      <c r="A2675" s="29"/>
      <c r="B2675" s="29"/>
      <c r="C2675" s="30"/>
      <c r="D2675" s="30"/>
      <c r="E2675" s="30"/>
      <c r="F2675" s="30"/>
      <c r="G2675" s="30"/>
      <c r="H2675" s="30"/>
      <c r="I2675" s="30"/>
      <c r="J2675" s="30"/>
      <c r="K2675" s="30"/>
      <c r="L2675" s="30"/>
      <c r="M2675" s="30"/>
      <c r="N2675" s="30"/>
      <c r="O2675" s="30"/>
      <c r="P2675" s="30"/>
      <c r="Q2675" s="30"/>
      <c r="R2675" s="30"/>
      <c r="S2675" s="30"/>
      <c r="T2675" s="30"/>
      <c r="U2675" s="30"/>
      <c r="V2675" s="30"/>
      <c r="W2675" s="30"/>
      <c r="X2675" s="30"/>
      <c r="Y2675" s="30"/>
      <c r="Z2675" s="30"/>
    </row>
    <row r="2676">
      <c r="A2676" s="29"/>
      <c r="B2676" s="29"/>
      <c r="C2676" s="30"/>
      <c r="D2676" s="30"/>
      <c r="E2676" s="30"/>
      <c r="F2676" s="30"/>
      <c r="G2676" s="30"/>
      <c r="H2676" s="30"/>
      <c r="I2676" s="30"/>
      <c r="J2676" s="30"/>
      <c r="K2676" s="30"/>
      <c r="L2676" s="30"/>
      <c r="M2676" s="30"/>
      <c r="N2676" s="30"/>
      <c r="O2676" s="30"/>
      <c r="P2676" s="30"/>
      <c r="Q2676" s="30"/>
      <c r="R2676" s="30"/>
      <c r="S2676" s="30"/>
      <c r="T2676" s="30"/>
      <c r="U2676" s="30"/>
      <c r="V2676" s="30"/>
      <c r="W2676" s="30"/>
      <c r="X2676" s="30"/>
      <c r="Y2676" s="30"/>
      <c r="Z2676" s="30"/>
    </row>
    <row r="2677">
      <c r="A2677" s="29"/>
      <c r="B2677" s="29"/>
      <c r="C2677" s="30"/>
      <c r="D2677" s="30"/>
      <c r="E2677" s="30"/>
      <c r="F2677" s="30"/>
      <c r="G2677" s="30"/>
      <c r="H2677" s="30"/>
      <c r="I2677" s="30"/>
      <c r="J2677" s="30"/>
      <c r="K2677" s="30"/>
      <c r="L2677" s="30"/>
      <c r="M2677" s="30"/>
      <c r="N2677" s="30"/>
      <c r="O2677" s="30"/>
      <c r="P2677" s="30"/>
      <c r="Q2677" s="30"/>
      <c r="R2677" s="30"/>
      <c r="S2677" s="30"/>
      <c r="T2677" s="30"/>
      <c r="U2677" s="30"/>
      <c r="V2677" s="30"/>
      <c r="W2677" s="30"/>
      <c r="X2677" s="30"/>
      <c r="Y2677" s="30"/>
      <c r="Z2677" s="30"/>
    </row>
    <row r="2678">
      <c r="A2678" s="29"/>
      <c r="B2678" s="29"/>
      <c r="C2678" s="30"/>
      <c r="D2678" s="30"/>
      <c r="E2678" s="30"/>
      <c r="F2678" s="30"/>
      <c r="G2678" s="30"/>
      <c r="H2678" s="30"/>
      <c r="I2678" s="30"/>
      <c r="J2678" s="30"/>
      <c r="K2678" s="30"/>
      <c r="L2678" s="30"/>
      <c r="M2678" s="30"/>
      <c r="N2678" s="30"/>
      <c r="O2678" s="30"/>
      <c r="P2678" s="30"/>
      <c r="Q2678" s="30"/>
      <c r="R2678" s="30"/>
      <c r="S2678" s="30"/>
      <c r="T2678" s="30"/>
      <c r="U2678" s="30"/>
      <c r="V2678" s="30"/>
      <c r="W2678" s="30"/>
      <c r="X2678" s="30"/>
      <c r="Y2678" s="30"/>
      <c r="Z2678" s="30"/>
    </row>
    <row r="2679">
      <c r="A2679" s="29"/>
      <c r="B2679" s="29"/>
      <c r="C2679" s="30"/>
      <c r="D2679" s="30"/>
      <c r="E2679" s="30"/>
      <c r="F2679" s="30"/>
      <c r="G2679" s="30"/>
      <c r="H2679" s="30"/>
      <c r="I2679" s="30"/>
      <c r="J2679" s="30"/>
      <c r="K2679" s="30"/>
      <c r="L2679" s="30"/>
      <c r="M2679" s="30"/>
      <c r="N2679" s="30"/>
      <c r="O2679" s="30"/>
      <c r="P2679" s="30"/>
      <c r="Q2679" s="30"/>
      <c r="R2679" s="30"/>
      <c r="S2679" s="30"/>
      <c r="T2679" s="30"/>
      <c r="U2679" s="30"/>
      <c r="V2679" s="30"/>
      <c r="W2679" s="30"/>
      <c r="X2679" s="30"/>
      <c r="Y2679" s="30"/>
      <c r="Z2679" s="30"/>
    </row>
    <row r="2680">
      <c r="A2680" s="29"/>
      <c r="B2680" s="29"/>
      <c r="C2680" s="30"/>
      <c r="D2680" s="30"/>
      <c r="E2680" s="30"/>
      <c r="F2680" s="30"/>
      <c r="G2680" s="30"/>
      <c r="H2680" s="30"/>
      <c r="I2680" s="30"/>
      <c r="J2680" s="30"/>
      <c r="K2680" s="30"/>
      <c r="L2680" s="30"/>
      <c r="M2680" s="30"/>
      <c r="N2680" s="30"/>
      <c r="O2680" s="30"/>
      <c r="P2680" s="30"/>
      <c r="Q2680" s="30"/>
      <c r="R2680" s="30"/>
      <c r="S2680" s="30"/>
      <c r="T2680" s="30"/>
      <c r="U2680" s="30"/>
      <c r="V2680" s="30"/>
      <c r="W2680" s="30"/>
      <c r="X2680" s="30"/>
      <c r="Y2680" s="30"/>
      <c r="Z2680" s="30"/>
    </row>
    <row r="2681">
      <c r="A2681" s="29"/>
      <c r="B2681" s="29"/>
      <c r="C2681" s="30"/>
      <c r="D2681" s="30"/>
      <c r="E2681" s="30"/>
      <c r="F2681" s="30"/>
      <c r="G2681" s="30"/>
      <c r="H2681" s="30"/>
      <c r="I2681" s="30"/>
      <c r="J2681" s="30"/>
      <c r="K2681" s="30"/>
      <c r="L2681" s="30"/>
      <c r="M2681" s="30"/>
      <c r="N2681" s="30"/>
      <c r="O2681" s="30"/>
      <c r="P2681" s="30"/>
      <c r="Q2681" s="30"/>
      <c r="R2681" s="30"/>
      <c r="S2681" s="30"/>
      <c r="T2681" s="30"/>
      <c r="U2681" s="30"/>
      <c r="V2681" s="30"/>
      <c r="W2681" s="30"/>
      <c r="X2681" s="30"/>
      <c r="Y2681" s="30"/>
      <c r="Z2681" s="30"/>
    </row>
    <row r="2682">
      <c r="A2682" s="29"/>
      <c r="B2682" s="29"/>
      <c r="C2682" s="30"/>
      <c r="D2682" s="30"/>
      <c r="E2682" s="30"/>
      <c r="F2682" s="30"/>
      <c r="G2682" s="30"/>
      <c r="H2682" s="30"/>
      <c r="I2682" s="30"/>
      <c r="J2682" s="30"/>
      <c r="K2682" s="30"/>
      <c r="L2682" s="30"/>
      <c r="M2682" s="30"/>
      <c r="N2682" s="30"/>
      <c r="O2682" s="30"/>
      <c r="P2682" s="30"/>
      <c r="Q2682" s="30"/>
      <c r="R2682" s="30"/>
      <c r="S2682" s="30"/>
      <c r="T2682" s="30"/>
      <c r="U2682" s="30"/>
      <c r="V2682" s="30"/>
      <c r="W2682" s="30"/>
      <c r="X2682" s="30"/>
      <c r="Y2682" s="30"/>
      <c r="Z2682" s="30"/>
    </row>
    <row r="2683">
      <c r="A2683" s="29"/>
      <c r="B2683" s="29"/>
      <c r="C2683" s="30"/>
      <c r="D2683" s="30"/>
      <c r="E2683" s="30"/>
      <c r="F2683" s="30"/>
      <c r="G2683" s="30"/>
      <c r="H2683" s="30"/>
      <c r="I2683" s="30"/>
      <c r="J2683" s="30"/>
      <c r="K2683" s="30"/>
      <c r="L2683" s="30"/>
      <c r="M2683" s="30"/>
      <c r="N2683" s="30"/>
      <c r="O2683" s="30"/>
      <c r="P2683" s="30"/>
      <c r="Q2683" s="30"/>
      <c r="R2683" s="30"/>
      <c r="S2683" s="30"/>
      <c r="T2683" s="30"/>
      <c r="U2683" s="30"/>
      <c r="V2683" s="30"/>
      <c r="W2683" s="30"/>
      <c r="X2683" s="30"/>
      <c r="Y2683" s="30"/>
      <c r="Z2683" s="30"/>
    </row>
    <row r="2684">
      <c r="A2684" s="29"/>
      <c r="B2684" s="29"/>
      <c r="C2684" s="30"/>
      <c r="D2684" s="30"/>
      <c r="E2684" s="30"/>
      <c r="F2684" s="30"/>
      <c r="G2684" s="30"/>
      <c r="H2684" s="30"/>
      <c r="I2684" s="30"/>
      <c r="J2684" s="30"/>
      <c r="K2684" s="30"/>
      <c r="L2684" s="30"/>
      <c r="M2684" s="30"/>
      <c r="N2684" s="30"/>
      <c r="O2684" s="30"/>
      <c r="P2684" s="30"/>
      <c r="Q2684" s="30"/>
      <c r="R2684" s="30"/>
      <c r="S2684" s="30"/>
      <c r="T2684" s="30"/>
      <c r="U2684" s="30"/>
      <c r="V2684" s="30"/>
      <c r="W2684" s="30"/>
      <c r="X2684" s="30"/>
      <c r="Y2684" s="30"/>
      <c r="Z2684" s="30"/>
    </row>
    <row r="2685">
      <c r="A2685" s="29"/>
      <c r="B2685" s="29"/>
      <c r="C2685" s="30"/>
      <c r="D2685" s="30"/>
      <c r="E2685" s="30"/>
      <c r="F2685" s="30"/>
      <c r="G2685" s="30"/>
      <c r="H2685" s="30"/>
      <c r="I2685" s="30"/>
      <c r="J2685" s="30"/>
      <c r="K2685" s="30"/>
      <c r="L2685" s="30"/>
      <c r="M2685" s="30"/>
      <c r="N2685" s="30"/>
      <c r="O2685" s="30"/>
      <c r="P2685" s="30"/>
      <c r="Q2685" s="30"/>
      <c r="R2685" s="30"/>
      <c r="S2685" s="30"/>
      <c r="T2685" s="30"/>
      <c r="U2685" s="30"/>
      <c r="V2685" s="30"/>
      <c r="W2685" s="30"/>
      <c r="X2685" s="30"/>
      <c r="Y2685" s="30"/>
      <c r="Z2685" s="30"/>
    </row>
    <row r="2686">
      <c r="A2686" s="29"/>
      <c r="B2686" s="29"/>
      <c r="C2686" s="30"/>
      <c r="D2686" s="30"/>
      <c r="E2686" s="30"/>
      <c r="F2686" s="30"/>
      <c r="G2686" s="30"/>
      <c r="H2686" s="30"/>
      <c r="I2686" s="30"/>
      <c r="J2686" s="30"/>
      <c r="K2686" s="30"/>
      <c r="L2686" s="30"/>
      <c r="M2686" s="30"/>
      <c r="N2686" s="30"/>
      <c r="O2686" s="30"/>
      <c r="P2686" s="30"/>
      <c r="Q2686" s="30"/>
      <c r="R2686" s="30"/>
      <c r="S2686" s="30"/>
      <c r="T2686" s="30"/>
      <c r="U2686" s="30"/>
      <c r="V2686" s="30"/>
      <c r="W2686" s="30"/>
      <c r="X2686" s="30"/>
      <c r="Y2686" s="30"/>
      <c r="Z2686" s="30"/>
    </row>
    <row r="2687">
      <c r="A2687" s="29"/>
      <c r="B2687" s="29"/>
      <c r="C2687" s="30"/>
      <c r="D2687" s="30"/>
      <c r="E2687" s="30"/>
      <c r="F2687" s="30"/>
      <c r="G2687" s="30"/>
      <c r="H2687" s="30"/>
      <c r="I2687" s="30"/>
      <c r="J2687" s="30"/>
      <c r="K2687" s="30"/>
      <c r="L2687" s="30"/>
      <c r="M2687" s="30"/>
      <c r="N2687" s="30"/>
      <c r="O2687" s="30"/>
      <c r="P2687" s="30"/>
      <c r="Q2687" s="30"/>
      <c r="R2687" s="30"/>
      <c r="S2687" s="30"/>
      <c r="T2687" s="30"/>
      <c r="U2687" s="30"/>
      <c r="V2687" s="30"/>
      <c r="W2687" s="30"/>
      <c r="X2687" s="30"/>
      <c r="Y2687" s="30"/>
      <c r="Z2687" s="30"/>
    </row>
    <row r="2688">
      <c r="A2688" s="29"/>
      <c r="B2688" s="29"/>
      <c r="C2688" s="30"/>
      <c r="D2688" s="30"/>
      <c r="E2688" s="30"/>
      <c r="F2688" s="30"/>
      <c r="G2688" s="30"/>
      <c r="H2688" s="30"/>
      <c r="I2688" s="30"/>
      <c r="J2688" s="30"/>
      <c r="K2688" s="30"/>
      <c r="L2688" s="30"/>
      <c r="M2688" s="30"/>
      <c r="N2688" s="30"/>
      <c r="O2688" s="30"/>
      <c r="P2688" s="30"/>
      <c r="Q2688" s="30"/>
      <c r="R2688" s="30"/>
      <c r="S2688" s="30"/>
      <c r="T2688" s="30"/>
      <c r="U2688" s="30"/>
      <c r="V2688" s="30"/>
      <c r="W2688" s="30"/>
      <c r="X2688" s="30"/>
      <c r="Y2688" s="30"/>
      <c r="Z2688" s="30"/>
    </row>
    <row r="2689">
      <c r="A2689" s="29"/>
      <c r="B2689" s="29"/>
      <c r="C2689" s="30"/>
      <c r="D2689" s="30"/>
      <c r="E2689" s="30"/>
      <c r="F2689" s="30"/>
      <c r="G2689" s="30"/>
      <c r="H2689" s="30"/>
      <c r="I2689" s="30"/>
      <c r="J2689" s="30"/>
      <c r="K2689" s="30"/>
      <c r="L2689" s="30"/>
      <c r="M2689" s="30"/>
      <c r="N2689" s="30"/>
      <c r="O2689" s="30"/>
      <c r="P2689" s="30"/>
      <c r="Q2689" s="30"/>
      <c r="R2689" s="30"/>
      <c r="S2689" s="30"/>
      <c r="T2689" s="30"/>
      <c r="U2689" s="30"/>
      <c r="V2689" s="30"/>
      <c r="W2689" s="30"/>
      <c r="X2689" s="30"/>
      <c r="Y2689" s="30"/>
      <c r="Z2689" s="30"/>
    </row>
    <row r="2690">
      <c r="A2690" s="29"/>
      <c r="B2690" s="29"/>
      <c r="C2690" s="30"/>
      <c r="D2690" s="30"/>
      <c r="E2690" s="30"/>
      <c r="F2690" s="30"/>
      <c r="G2690" s="30"/>
      <c r="H2690" s="30"/>
      <c r="I2690" s="30"/>
      <c r="J2690" s="30"/>
      <c r="K2690" s="30"/>
      <c r="L2690" s="30"/>
      <c r="M2690" s="30"/>
      <c r="N2690" s="30"/>
      <c r="O2690" s="30"/>
      <c r="P2690" s="30"/>
      <c r="Q2690" s="30"/>
      <c r="R2690" s="30"/>
      <c r="S2690" s="30"/>
      <c r="T2690" s="30"/>
      <c r="U2690" s="30"/>
      <c r="V2690" s="30"/>
      <c r="W2690" s="30"/>
      <c r="X2690" s="30"/>
      <c r="Y2690" s="30"/>
      <c r="Z2690" s="30"/>
    </row>
    <row r="2691">
      <c r="A2691" s="29"/>
      <c r="B2691" s="29"/>
      <c r="C2691" s="30"/>
      <c r="D2691" s="30"/>
      <c r="E2691" s="30"/>
      <c r="F2691" s="30"/>
      <c r="G2691" s="30"/>
      <c r="H2691" s="30"/>
      <c r="I2691" s="30"/>
      <c r="J2691" s="30"/>
      <c r="K2691" s="30"/>
      <c r="L2691" s="30"/>
      <c r="M2691" s="30"/>
      <c r="N2691" s="30"/>
      <c r="O2691" s="30"/>
      <c r="P2691" s="30"/>
      <c r="Q2691" s="30"/>
      <c r="R2691" s="30"/>
      <c r="S2691" s="30"/>
      <c r="T2691" s="30"/>
      <c r="U2691" s="30"/>
      <c r="V2691" s="30"/>
      <c r="W2691" s="30"/>
      <c r="X2691" s="30"/>
      <c r="Y2691" s="30"/>
      <c r="Z2691" s="30"/>
    </row>
    <row r="2692">
      <c r="A2692" s="29"/>
      <c r="B2692" s="29"/>
      <c r="C2692" s="30"/>
      <c r="D2692" s="30"/>
      <c r="E2692" s="30"/>
      <c r="F2692" s="30"/>
      <c r="G2692" s="30"/>
      <c r="H2692" s="30"/>
      <c r="I2692" s="30"/>
      <c r="J2692" s="30"/>
      <c r="K2692" s="30"/>
      <c r="L2692" s="30"/>
      <c r="M2692" s="30"/>
      <c r="N2692" s="30"/>
      <c r="O2692" s="30"/>
      <c r="P2692" s="30"/>
      <c r="Q2692" s="30"/>
      <c r="R2692" s="30"/>
      <c r="S2692" s="30"/>
      <c r="T2692" s="30"/>
      <c r="U2692" s="30"/>
      <c r="V2692" s="30"/>
      <c r="W2692" s="30"/>
      <c r="X2692" s="30"/>
      <c r="Y2692" s="30"/>
      <c r="Z2692" s="30"/>
    </row>
    <row r="2693">
      <c r="A2693" s="29"/>
      <c r="B2693" s="29"/>
      <c r="C2693" s="30"/>
      <c r="D2693" s="30"/>
      <c r="E2693" s="30"/>
      <c r="F2693" s="30"/>
      <c r="G2693" s="30"/>
      <c r="H2693" s="30"/>
      <c r="I2693" s="30"/>
      <c r="J2693" s="30"/>
      <c r="K2693" s="30"/>
      <c r="L2693" s="30"/>
      <c r="M2693" s="30"/>
      <c r="N2693" s="30"/>
      <c r="O2693" s="30"/>
      <c r="P2693" s="30"/>
      <c r="Q2693" s="30"/>
      <c r="R2693" s="30"/>
      <c r="S2693" s="30"/>
      <c r="T2693" s="30"/>
      <c r="U2693" s="30"/>
      <c r="V2693" s="30"/>
      <c r="W2693" s="30"/>
      <c r="X2693" s="30"/>
      <c r="Y2693" s="30"/>
      <c r="Z2693" s="30"/>
    </row>
    <row r="2694">
      <c r="A2694" s="29"/>
      <c r="B2694" s="29"/>
      <c r="C2694" s="30"/>
      <c r="D2694" s="30"/>
      <c r="E2694" s="30"/>
      <c r="F2694" s="30"/>
      <c r="G2694" s="30"/>
      <c r="H2694" s="30"/>
      <c r="I2694" s="30"/>
      <c r="J2694" s="30"/>
      <c r="K2694" s="30"/>
      <c r="L2694" s="30"/>
      <c r="M2694" s="30"/>
      <c r="N2694" s="30"/>
      <c r="O2694" s="30"/>
      <c r="P2694" s="30"/>
      <c r="Q2694" s="30"/>
      <c r="R2694" s="30"/>
      <c r="S2694" s="30"/>
      <c r="T2694" s="30"/>
      <c r="U2694" s="30"/>
      <c r="V2694" s="30"/>
      <c r="W2694" s="30"/>
      <c r="X2694" s="30"/>
      <c r="Y2694" s="30"/>
      <c r="Z2694" s="30"/>
    </row>
    <row r="2695">
      <c r="A2695" s="29"/>
      <c r="B2695" s="29"/>
      <c r="C2695" s="30"/>
      <c r="D2695" s="30"/>
      <c r="E2695" s="30"/>
      <c r="F2695" s="30"/>
      <c r="G2695" s="30"/>
      <c r="H2695" s="30"/>
      <c r="I2695" s="30"/>
      <c r="J2695" s="30"/>
      <c r="K2695" s="30"/>
      <c r="L2695" s="30"/>
      <c r="M2695" s="30"/>
      <c r="N2695" s="30"/>
      <c r="O2695" s="30"/>
      <c r="P2695" s="30"/>
      <c r="Q2695" s="30"/>
      <c r="R2695" s="30"/>
      <c r="S2695" s="30"/>
      <c r="T2695" s="30"/>
      <c r="U2695" s="30"/>
      <c r="V2695" s="30"/>
      <c r="W2695" s="30"/>
      <c r="X2695" s="30"/>
      <c r="Y2695" s="30"/>
      <c r="Z2695" s="30"/>
    </row>
    <row r="2696">
      <c r="A2696" s="29"/>
      <c r="B2696" s="29"/>
      <c r="C2696" s="30"/>
      <c r="D2696" s="30"/>
      <c r="E2696" s="30"/>
      <c r="F2696" s="30"/>
      <c r="G2696" s="30"/>
      <c r="H2696" s="30"/>
      <c r="I2696" s="30"/>
      <c r="J2696" s="30"/>
      <c r="K2696" s="30"/>
      <c r="L2696" s="30"/>
      <c r="M2696" s="30"/>
      <c r="N2696" s="30"/>
      <c r="O2696" s="30"/>
      <c r="P2696" s="30"/>
      <c r="Q2696" s="30"/>
      <c r="R2696" s="30"/>
      <c r="S2696" s="30"/>
      <c r="T2696" s="30"/>
      <c r="U2696" s="30"/>
      <c r="V2696" s="30"/>
      <c r="W2696" s="30"/>
      <c r="X2696" s="30"/>
      <c r="Y2696" s="30"/>
      <c r="Z2696" s="30"/>
    </row>
    <row r="2697">
      <c r="A2697" s="29"/>
      <c r="B2697" s="29"/>
      <c r="C2697" s="30"/>
      <c r="D2697" s="30"/>
      <c r="E2697" s="30"/>
      <c r="F2697" s="30"/>
      <c r="G2697" s="30"/>
      <c r="H2697" s="30"/>
      <c r="I2697" s="30"/>
      <c r="J2697" s="30"/>
      <c r="K2697" s="30"/>
      <c r="L2697" s="30"/>
      <c r="M2697" s="30"/>
      <c r="N2697" s="30"/>
      <c r="O2697" s="30"/>
      <c r="P2697" s="30"/>
      <c r="Q2697" s="30"/>
      <c r="R2697" s="30"/>
      <c r="S2697" s="30"/>
      <c r="T2697" s="30"/>
      <c r="U2697" s="30"/>
      <c r="V2697" s="30"/>
      <c r="W2697" s="30"/>
      <c r="X2697" s="30"/>
      <c r="Y2697" s="30"/>
      <c r="Z2697" s="30"/>
    </row>
    <row r="2698">
      <c r="A2698" s="29"/>
      <c r="B2698" s="29"/>
      <c r="C2698" s="30"/>
      <c r="D2698" s="30"/>
      <c r="E2698" s="30"/>
      <c r="F2698" s="30"/>
      <c r="G2698" s="30"/>
      <c r="H2698" s="30"/>
      <c r="I2698" s="30"/>
      <c r="J2698" s="30"/>
      <c r="K2698" s="30"/>
      <c r="L2698" s="30"/>
      <c r="M2698" s="30"/>
      <c r="N2698" s="30"/>
      <c r="O2698" s="30"/>
      <c r="P2698" s="30"/>
      <c r="Q2698" s="30"/>
      <c r="R2698" s="30"/>
      <c r="S2698" s="30"/>
      <c r="T2698" s="30"/>
      <c r="U2698" s="30"/>
      <c r="V2698" s="30"/>
      <c r="W2698" s="30"/>
      <c r="X2698" s="30"/>
      <c r="Y2698" s="30"/>
      <c r="Z2698" s="30"/>
    </row>
    <row r="2699">
      <c r="A2699" s="29"/>
      <c r="B2699" s="29"/>
      <c r="C2699" s="30"/>
      <c r="D2699" s="30"/>
      <c r="E2699" s="30"/>
      <c r="F2699" s="30"/>
      <c r="G2699" s="30"/>
      <c r="H2699" s="30"/>
      <c r="I2699" s="30"/>
      <c r="J2699" s="30"/>
      <c r="K2699" s="30"/>
      <c r="L2699" s="30"/>
      <c r="M2699" s="30"/>
      <c r="N2699" s="30"/>
      <c r="O2699" s="30"/>
      <c r="P2699" s="30"/>
      <c r="Q2699" s="30"/>
      <c r="R2699" s="30"/>
      <c r="S2699" s="30"/>
      <c r="T2699" s="30"/>
      <c r="U2699" s="30"/>
      <c r="V2699" s="30"/>
      <c r="W2699" s="30"/>
      <c r="X2699" s="30"/>
      <c r="Y2699" s="30"/>
      <c r="Z2699" s="30"/>
    </row>
    <row r="2700">
      <c r="A2700" s="29"/>
      <c r="B2700" s="29"/>
      <c r="C2700" s="30"/>
      <c r="D2700" s="30"/>
      <c r="E2700" s="30"/>
      <c r="F2700" s="30"/>
      <c r="G2700" s="30"/>
      <c r="H2700" s="30"/>
      <c r="I2700" s="30"/>
      <c r="J2700" s="30"/>
      <c r="K2700" s="30"/>
      <c r="L2700" s="30"/>
      <c r="M2700" s="30"/>
      <c r="N2700" s="30"/>
      <c r="O2700" s="30"/>
      <c r="P2700" s="30"/>
      <c r="Q2700" s="30"/>
      <c r="R2700" s="30"/>
      <c r="S2700" s="30"/>
      <c r="T2700" s="30"/>
      <c r="U2700" s="30"/>
      <c r="V2700" s="30"/>
      <c r="W2700" s="30"/>
      <c r="X2700" s="30"/>
      <c r="Y2700" s="30"/>
      <c r="Z2700" s="30"/>
    </row>
    <row r="2701">
      <c r="A2701" s="29"/>
      <c r="B2701" s="29"/>
      <c r="C2701" s="30"/>
      <c r="D2701" s="30"/>
      <c r="E2701" s="30"/>
      <c r="F2701" s="30"/>
      <c r="G2701" s="30"/>
      <c r="H2701" s="30"/>
      <c r="I2701" s="30"/>
      <c r="J2701" s="30"/>
      <c r="K2701" s="30"/>
      <c r="L2701" s="30"/>
      <c r="M2701" s="30"/>
      <c r="N2701" s="30"/>
      <c r="O2701" s="30"/>
      <c r="P2701" s="30"/>
      <c r="Q2701" s="30"/>
      <c r="R2701" s="30"/>
      <c r="S2701" s="30"/>
      <c r="T2701" s="30"/>
      <c r="U2701" s="30"/>
      <c r="V2701" s="30"/>
      <c r="W2701" s="30"/>
      <c r="X2701" s="30"/>
      <c r="Y2701" s="30"/>
      <c r="Z2701" s="30"/>
    </row>
    <row r="2702">
      <c r="A2702" s="29"/>
      <c r="B2702" s="29"/>
      <c r="C2702" s="30"/>
      <c r="D2702" s="30"/>
      <c r="E2702" s="30"/>
      <c r="F2702" s="30"/>
      <c r="G2702" s="30"/>
      <c r="H2702" s="30"/>
      <c r="I2702" s="30"/>
      <c r="J2702" s="30"/>
      <c r="K2702" s="30"/>
      <c r="L2702" s="30"/>
      <c r="M2702" s="30"/>
      <c r="N2702" s="30"/>
      <c r="O2702" s="30"/>
      <c r="P2702" s="30"/>
      <c r="Q2702" s="30"/>
      <c r="R2702" s="30"/>
      <c r="S2702" s="30"/>
      <c r="T2702" s="30"/>
      <c r="U2702" s="30"/>
      <c r="V2702" s="30"/>
      <c r="W2702" s="30"/>
      <c r="X2702" s="30"/>
      <c r="Y2702" s="30"/>
      <c r="Z2702" s="30"/>
    </row>
    <row r="2703">
      <c r="A2703" s="29"/>
      <c r="B2703" s="29"/>
      <c r="C2703" s="30"/>
      <c r="D2703" s="30"/>
      <c r="E2703" s="30"/>
      <c r="F2703" s="30"/>
      <c r="G2703" s="30"/>
      <c r="H2703" s="30"/>
      <c r="I2703" s="30"/>
      <c r="J2703" s="30"/>
      <c r="K2703" s="30"/>
      <c r="L2703" s="30"/>
      <c r="M2703" s="30"/>
      <c r="N2703" s="30"/>
      <c r="O2703" s="30"/>
      <c r="P2703" s="30"/>
      <c r="Q2703" s="30"/>
      <c r="R2703" s="30"/>
      <c r="S2703" s="30"/>
      <c r="T2703" s="30"/>
      <c r="U2703" s="30"/>
      <c r="V2703" s="30"/>
      <c r="W2703" s="30"/>
      <c r="X2703" s="30"/>
      <c r="Y2703" s="30"/>
      <c r="Z2703" s="30"/>
    </row>
    <row r="2704">
      <c r="A2704" s="29"/>
      <c r="B2704" s="29"/>
      <c r="C2704" s="30"/>
      <c r="D2704" s="30"/>
      <c r="E2704" s="30"/>
      <c r="F2704" s="30"/>
      <c r="G2704" s="30"/>
      <c r="H2704" s="30"/>
      <c r="I2704" s="30"/>
      <c r="J2704" s="30"/>
      <c r="K2704" s="30"/>
      <c r="L2704" s="30"/>
      <c r="M2704" s="30"/>
      <c r="N2704" s="30"/>
      <c r="O2704" s="30"/>
      <c r="P2704" s="30"/>
      <c r="Q2704" s="30"/>
      <c r="R2704" s="30"/>
      <c r="S2704" s="30"/>
      <c r="T2704" s="30"/>
      <c r="U2704" s="30"/>
      <c r="V2704" s="30"/>
      <c r="W2704" s="30"/>
      <c r="X2704" s="30"/>
      <c r="Y2704" s="30"/>
      <c r="Z2704" s="30"/>
    </row>
    <row r="2705">
      <c r="A2705" s="29"/>
      <c r="B2705" s="29"/>
      <c r="C2705" s="30"/>
      <c r="D2705" s="30"/>
      <c r="E2705" s="30"/>
      <c r="F2705" s="30"/>
      <c r="G2705" s="30"/>
      <c r="H2705" s="30"/>
      <c r="I2705" s="30"/>
      <c r="J2705" s="30"/>
      <c r="K2705" s="30"/>
      <c r="L2705" s="30"/>
      <c r="M2705" s="30"/>
      <c r="N2705" s="30"/>
      <c r="O2705" s="30"/>
      <c r="P2705" s="30"/>
      <c r="Q2705" s="30"/>
      <c r="R2705" s="30"/>
      <c r="S2705" s="30"/>
      <c r="T2705" s="30"/>
      <c r="U2705" s="30"/>
      <c r="V2705" s="30"/>
      <c r="W2705" s="30"/>
      <c r="X2705" s="30"/>
      <c r="Y2705" s="30"/>
      <c r="Z2705" s="30"/>
    </row>
    <row r="2706">
      <c r="A2706" s="29"/>
      <c r="B2706" s="29"/>
      <c r="C2706" s="30"/>
      <c r="D2706" s="30"/>
      <c r="E2706" s="30"/>
      <c r="F2706" s="30"/>
      <c r="G2706" s="30"/>
      <c r="H2706" s="30"/>
      <c r="I2706" s="30"/>
      <c r="J2706" s="30"/>
      <c r="K2706" s="30"/>
      <c r="L2706" s="30"/>
      <c r="M2706" s="30"/>
      <c r="N2706" s="30"/>
      <c r="O2706" s="30"/>
      <c r="P2706" s="30"/>
      <c r="Q2706" s="30"/>
      <c r="R2706" s="30"/>
      <c r="S2706" s="30"/>
      <c r="T2706" s="30"/>
      <c r="U2706" s="30"/>
      <c r="V2706" s="30"/>
      <c r="W2706" s="30"/>
      <c r="X2706" s="30"/>
      <c r="Y2706" s="30"/>
      <c r="Z2706" s="30"/>
    </row>
    <row r="2707">
      <c r="A2707" s="29"/>
      <c r="B2707" s="29"/>
      <c r="C2707" s="30"/>
      <c r="D2707" s="30"/>
      <c r="E2707" s="30"/>
      <c r="F2707" s="30"/>
      <c r="G2707" s="30"/>
      <c r="H2707" s="30"/>
      <c r="I2707" s="30"/>
      <c r="J2707" s="30"/>
      <c r="K2707" s="30"/>
      <c r="L2707" s="30"/>
      <c r="M2707" s="30"/>
      <c r="N2707" s="30"/>
      <c r="O2707" s="30"/>
      <c r="P2707" s="30"/>
      <c r="Q2707" s="30"/>
      <c r="R2707" s="30"/>
      <c r="S2707" s="30"/>
      <c r="T2707" s="30"/>
      <c r="U2707" s="30"/>
      <c r="V2707" s="30"/>
      <c r="W2707" s="30"/>
      <c r="X2707" s="30"/>
      <c r="Y2707" s="30"/>
      <c r="Z2707" s="30"/>
    </row>
    <row r="2708">
      <c r="A2708" s="29"/>
      <c r="B2708" s="29"/>
      <c r="C2708" s="30"/>
      <c r="D2708" s="30"/>
      <c r="E2708" s="30"/>
      <c r="F2708" s="30"/>
      <c r="G2708" s="30"/>
      <c r="H2708" s="30"/>
      <c r="I2708" s="30"/>
      <c r="J2708" s="30"/>
      <c r="K2708" s="30"/>
      <c r="L2708" s="30"/>
      <c r="M2708" s="30"/>
      <c r="N2708" s="30"/>
      <c r="O2708" s="30"/>
      <c r="P2708" s="30"/>
      <c r="Q2708" s="30"/>
      <c r="R2708" s="30"/>
      <c r="S2708" s="30"/>
      <c r="T2708" s="30"/>
      <c r="U2708" s="30"/>
      <c r="V2708" s="30"/>
      <c r="W2708" s="30"/>
      <c r="X2708" s="30"/>
      <c r="Y2708" s="30"/>
      <c r="Z2708" s="30"/>
    </row>
    <row r="2709">
      <c r="A2709" s="29"/>
      <c r="B2709" s="29"/>
      <c r="C2709" s="30"/>
      <c r="D2709" s="30"/>
      <c r="E2709" s="30"/>
      <c r="F2709" s="30"/>
      <c r="G2709" s="30"/>
      <c r="H2709" s="30"/>
      <c r="I2709" s="30"/>
      <c r="J2709" s="30"/>
      <c r="K2709" s="30"/>
      <c r="L2709" s="30"/>
      <c r="M2709" s="30"/>
      <c r="N2709" s="30"/>
      <c r="O2709" s="30"/>
      <c r="P2709" s="30"/>
      <c r="Q2709" s="30"/>
      <c r="R2709" s="30"/>
      <c r="S2709" s="30"/>
      <c r="T2709" s="30"/>
      <c r="U2709" s="30"/>
      <c r="V2709" s="30"/>
      <c r="W2709" s="30"/>
      <c r="X2709" s="30"/>
      <c r="Y2709" s="30"/>
      <c r="Z2709" s="30"/>
    </row>
    <row r="2710">
      <c r="A2710" s="29"/>
      <c r="B2710" s="29"/>
      <c r="C2710" s="30"/>
      <c r="D2710" s="30"/>
      <c r="E2710" s="30"/>
      <c r="F2710" s="30"/>
      <c r="G2710" s="30"/>
      <c r="H2710" s="30"/>
      <c r="I2710" s="30"/>
      <c r="J2710" s="30"/>
      <c r="K2710" s="30"/>
      <c r="L2710" s="30"/>
      <c r="M2710" s="30"/>
      <c r="N2710" s="30"/>
      <c r="O2710" s="30"/>
      <c r="P2710" s="30"/>
      <c r="Q2710" s="30"/>
      <c r="R2710" s="30"/>
      <c r="S2710" s="30"/>
      <c r="T2710" s="30"/>
      <c r="U2710" s="30"/>
      <c r="V2710" s="30"/>
      <c r="W2710" s="30"/>
      <c r="X2710" s="30"/>
      <c r="Y2710" s="30"/>
      <c r="Z2710" s="30"/>
    </row>
    <row r="2711">
      <c r="A2711" s="29"/>
      <c r="B2711" s="29"/>
      <c r="C2711" s="30"/>
      <c r="D2711" s="30"/>
      <c r="E2711" s="30"/>
      <c r="F2711" s="30"/>
      <c r="G2711" s="30"/>
      <c r="H2711" s="30"/>
      <c r="I2711" s="30"/>
      <c r="J2711" s="30"/>
      <c r="K2711" s="30"/>
      <c r="L2711" s="30"/>
      <c r="M2711" s="30"/>
      <c r="N2711" s="30"/>
      <c r="O2711" s="30"/>
      <c r="P2711" s="30"/>
      <c r="Q2711" s="30"/>
      <c r="R2711" s="30"/>
      <c r="S2711" s="30"/>
      <c r="T2711" s="30"/>
      <c r="U2711" s="30"/>
      <c r="V2711" s="30"/>
      <c r="W2711" s="30"/>
      <c r="X2711" s="30"/>
      <c r="Y2711" s="30"/>
      <c r="Z2711" s="30"/>
    </row>
    <row r="2712">
      <c r="A2712" s="29"/>
      <c r="B2712" s="29"/>
      <c r="C2712" s="30"/>
      <c r="D2712" s="30"/>
      <c r="E2712" s="30"/>
      <c r="F2712" s="30"/>
      <c r="G2712" s="30"/>
      <c r="H2712" s="30"/>
      <c r="I2712" s="30"/>
      <c r="J2712" s="30"/>
      <c r="K2712" s="30"/>
      <c r="L2712" s="30"/>
      <c r="M2712" s="30"/>
      <c r="N2712" s="30"/>
      <c r="O2712" s="30"/>
      <c r="P2712" s="30"/>
      <c r="Q2712" s="30"/>
      <c r="R2712" s="30"/>
      <c r="S2712" s="30"/>
      <c r="T2712" s="30"/>
      <c r="U2712" s="30"/>
      <c r="V2712" s="30"/>
      <c r="W2712" s="30"/>
      <c r="X2712" s="30"/>
      <c r="Y2712" s="30"/>
      <c r="Z2712" s="30"/>
    </row>
    <row r="2713">
      <c r="A2713" s="29"/>
      <c r="B2713" s="29"/>
      <c r="C2713" s="30"/>
      <c r="D2713" s="30"/>
      <c r="E2713" s="30"/>
      <c r="F2713" s="30"/>
      <c r="G2713" s="30"/>
      <c r="H2713" s="30"/>
      <c r="I2713" s="30"/>
      <c r="J2713" s="30"/>
      <c r="K2713" s="30"/>
      <c r="L2713" s="30"/>
      <c r="M2713" s="30"/>
      <c r="N2713" s="30"/>
      <c r="O2713" s="30"/>
      <c r="P2713" s="30"/>
      <c r="Q2713" s="30"/>
      <c r="R2713" s="30"/>
      <c r="S2713" s="30"/>
      <c r="T2713" s="30"/>
      <c r="U2713" s="30"/>
      <c r="V2713" s="30"/>
      <c r="W2713" s="30"/>
      <c r="X2713" s="30"/>
      <c r="Y2713" s="30"/>
      <c r="Z2713" s="30"/>
    </row>
    <row r="2714">
      <c r="A2714" s="29"/>
      <c r="B2714" s="29"/>
      <c r="C2714" s="30"/>
      <c r="D2714" s="30"/>
      <c r="E2714" s="30"/>
      <c r="F2714" s="30"/>
      <c r="G2714" s="30"/>
      <c r="H2714" s="30"/>
      <c r="I2714" s="30"/>
      <c r="J2714" s="30"/>
      <c r="K2714" s="30"/>
      <c r="L2714" s="30"/>
      <c r="M2714" s="30"/>
      <c r="N2714" s="30"/>
      <c r="O2714" s="30"/>
      <c r="P2714" s="30"/>
      <c r="Q2714" s="30"/>
      <c r="R2714" s="30"/>
      <c r="S2714" s="30"/>
      <c r="T2714" s="30"/>
      <c r="U2714" s="30"/>
      <c r="V2714" s="30"/>
      <c r="W2714" s="30"/>
      <c r="X2714" s="30"/>
      <c r="Y2714" s="30"/>
      <c r="Z2714" s="30"/>
    </row>
    <row r="2715">
      <c r="A2715" s="29"/>
      <c r="B2715" s="29"/>
      <c r="C2715" s="30"/>
      <c r="D2715" s="30"/>
      <c r="E2715" s="30"/>
      <c r="F2715" s="30"/>
      <c r="G2715" s="30"/>
      <c r="H2715" s="30"/>
      <c r="I2715" s="30"/>
      <c r="J2715" s="30"/>
      <c r="K2715" s="30"/>
      <c r="L2715" s="30"/>
      <c r="M2715" s="30"/>
      <c r="N2715" s="30"/>
      <c r="O2715" s="30"/>
      <c r="P2715" s="30"/>
      <c r="Q2715" s="30"/>
      <c r="R2715" s="30"/>
      <c r="S2715" s="30"/>
      <c r="T2715" s="30"/>
      <c r="U2715" s="30"/>
      <c r="V2715" s="30"/>
      <c r="W2715" s="30"/>
      <c r="X2715" s="30"/>
      <c r="Y2715" s="30"/>
      <c r="Z2715" s="30"/>
    </row>
    <row r="2716">
      <c r="A2716" s="29"/>
      <c r="B2716" s="29"/>
      <c r="C2716" s="30"/>
      <c r="D2716" s="30"/>
      <c r="E2716" s="30"/>
      <c r="F2716" s="30"/>
      <c r="G2716" s="30"/>
      <c r="H2716" s="30"/>
      <c r="I2716" s="30"/>
      <c r="J2716" s="30"/>
      <c r="K2716" s="30"/>
      <c r="L2716" s="30"/>
      <c r="M2716" s="30"/>
      <c r="N2716" s="30"/>
      <c r="O2716" s="30"/>
      <c r="P2716" s="30"/>
      <c r="Q2716" s="30"/>
      <c r="R2716" s="30"/>
      <c r="S2716" s="30"/>
      <c r="T2716" s="30"/>
      <c r="U2716" s="30"/>
      <c r="V2716" s="30"/>
      <c r="W2716" s="30"/>
      <c r="X2716" s="30"/>
      <c r="Y2716" s="30"/>
      <c r="Z2716" s="30"/>
    </row>
    <row r="2717">
      <c r="A2717" s="29"/>
      <c r="B2717" s="29"/>
      <c r="C2717" s="30"/>
      <c r="D2717" s="30"/>
      <c r="E2717" s="30"/>
      <c r="F2717" s="30"/>
      <c r="G2717" s="30"/>
      <c r="H2717" s="30"/>
      <c r="I2717" s="30"/>
      <c r="J2717" s="30"/>
      <c r="K2717" s="30"/>
      <c r="L2717" s="30"/>
      <c r="M2717" s="30"/>
      <c r="N2717" s="30"/>
      <c r="O2717" s="30"/>
      <c r="P2717" s="30"/>
      <c r="Q2717" s="30"/>
      <c r="R2717" s="30"/>
      <c r="S2717" s="30"/>
      <c r="T2717" s="30"/>
      <c r="U2717" s="30"/>
      <c r="V2717" s="30"/>
      <c r="W2717" s="30"/>
      <c r="X2717" s="30"/>
      <c r="Y2717" s="30"/>
      <c r="Z2717" s="30"/>
    </row>
    <row r="2718">
      <c r="A2718" s="29"/>
      <c r="B2718" s="29"/>
      <c r="C2718" s="30"/>
      <c r="D2718" s="30"/>
      <c r="E2718" s="30"/>
      <c r="F2718" s="30"/>
      <c r="G2718" s="30"/>
      <c r="H2718" s="30"/>
      <c r="I2718" s="30"/>
      <c r="J2718" s="30"/>
      <c r="K2718" s="30"/>
      <c r="L2718" s="30"/>
      <c r="M2718" s="30"/>
      <c r="N2718" s="30"/>
      <c r="O2718" s="30"/>
      <c r="P2718" s="30"/>
      <c r="Q2718" s="30"/>
      <c r="R2718" s="30"/>
      <c r="S2718" s="30"/>
      <c r="T2718" s="30"/>
      <c r="U2718" s="30"/>
      <c r="V2718" s="30"/>
      <c r="W2718" s="30"/>
      <c r="X2718" s="30"/>
      <c r="Y2718" s="30"/>
      <c r="Z2718" s="30"/>
    </row>
    <row r="2719">
      <c r="A2719" s="29"/>
      <c r="B2719" s="29"/>
      <c r="C2719" s="30"/>
      <c r="D2719" s="30"/>
      <c r="E2719" s="30"/>
      <c r="F2719" s="30"/>
      <c r="G2719" s="30"/>
      <c r="H2719" s="30"/>
      <c r="I2719" s="30"/>
      <c r="J2719" s="30"/>
      <c r="K2719" s="30"/>
      <c r="L2719" s="30"/>
      <c r="M2719" s="30"/>
      <c r="N2719" s="30"/>
      <c r="O2719" s="30"/>
      <c r="P2719" s="30"/>
      <c r="Q2719" s="30"/>
      <c r="R2719" s="30"/>
      <c r="S2719" s="30"/>
      <c r="T2719" s="30"/>
      <c r="U2719" s="30"/>
      <c r="V2719" s="30"/>
      <c r="W2719" s="30"/>
      <c r="X2719" s="30"/>
      <c r="Y2719" s="30"/>
      <c r="Z2719" s="30"/>
    </row>
    <row r="2720">
      <c r="A2720" s="29"/>
      <c r="B2720" s="29"/>
      <c r="C2720" s="30"/>
      <c r="D2720" s="30"/>
      <c r="E2720" s="30"/>
      <c r="F2720" s="30"/>
      <c r="G2720" s="30"/>
      <c r="H2720" s="30"/>
      <c r="I2720" s="30"/>
      <c r="J2720" s="30"/>
      <c r="K2720" s="30"/>
      <c r="L2720" s="30"/>
      <c r="M2720" s="30"/>
      <c r="N2720" s="30"/>
      <c r="O2720" s="30"/>
      <c r="P2720" s="30"/>
      <c r="Q2720" s="30"/>
      <c r="R2720" s="30"/>
      <c r="S2720" s="30"/>
      <c r="T2720" s="30"/>
      <c r="U2720" s="30"/>
      <c r="V2720" s="30"/>
      <c r="W2720" s="30"/>
      <c r="X2720" s="30"/>
      <c r="Y2720" s="30"/>
      <c r="Z2720" s="30"/>
    </row>
    <row r="2721">
      <c r="A2721" s="29"/>
      <c r="B2721" s="29"/>
      <c r="C2721" s="30"/>
      <c r="D2721" s="30"/>
      <c r="E2721" s="30"/>
      <c r="F2721" s="30"/>
      <c r="G2721" s="30"/>
      <c r="H2721" s="30"/>
      <c r="I2721" s="30"/>
      <c r="J2721" s="30"/>
      <c r="K2721" s="30"/>
      <c r="L2721" s="30"/>
      <c r="M2721" s="30"/>
      <c r="N2721" s="30"/>
      <c r="O2721" s="30"/>
      <c r="P2721" s="30"/>
      <c r="Q2721" s="30"/>
      <c r="R2721" s="30"/>
      <c r="S2721" s="30"/>
      <c r="T2721" s="30"/>
      <c r="U2721" s="30"/>
      <c r="V2721" s="30"/>
      <c r="W2721" s="30"/>
      <c r="X2721" s="30"/>
      <c r="Y2721" s="30"/>
      <c r="Z2721" s="30"/>
    </row>
    <row r="2722">
      <c r="A2722" s="29"/>
      <c r="B2722" s="29"/>
      <c r="C2722" s="30"/>
      <c r="D2722" s="30"/>
      <c r="E2722" s="30"/>
      <c r="F2722" s="30"/>
      <c r="G2722" s="30"/>
      <c r="H2722" s="30"/>
      <c r="I2722" s="30"/>
      <c r="J2722" s="30"/>
      <c r="K2722" s="30"/>
      <c r="L2722" s="30"/>
      <c r="M2722" s="30"/>
      <c r="N2722" s="30"/>
      <c r="O2722" s="30"/>
      <c r="P2722" s="30"/>
      <c r="Q2722" s="30"/>
      <c r="R2722" s="30"/>
      <c r="S2722" s="30"/>
      <c r="T2722" s="30"/>
      <c r="U2722" s="30"/>
      <c r="V2722" s="30"/>
      <c r="W2722" s="30"/>
      <c r="X2722" s="30"/>
      <c r="Y2722" s="30"/>
      <c r="Z2722" s="30"/>
    </row>
    <row r="2723">
      <c r="A2723" s="29"/>
      <c r="B2723" s="29"/>
      <c r="C2723" s="30"/>
      <c r="D2723" s="30"/>
      <c r="E2723" s="30"/>
      <c r="F2723" s="30"/>
      <c r="G2723" s="30"/>
      <c r="H2723" s="30"/>
      <c r="I2723" s="30"/>
      <c r="J2723" s="30"/>
      <c r="K2723" s="30"/>
      <c r="L2723" s="30"/>
      <c r="M2723" s="30"/>
      <c r="N2723" s="30"/>
      <c r="O2723" s="30"/>
      <c r="P2723" s="30"/>
      <c r="Q2723" s="30"/>
      <c r="R2723" s="30"/>
      <c r="S2723" s="30"/>
      <c r="T2723" s="30"/>
      <c r="U2723" s="30"/>
      <c r="V2723" s="30"/>
      <c r="W2723" s="30"/>
      <c r="X2723" s="30"/>
      <c r="Y2723" s="30"/>
      <c r="Z2723" s="30"/>
    </row>
    <row r="2724">
      <c r="A2724" s="29"/>
      <c r="B2724" s="29"/>
      <c r="C2724" s="30"/>
      <c r="D2724" s="30"/>
      <c r="E2724" s="30"/>
      <c r="F2724" s="30"/>
      <c r="G2724" s="30"/>
      <c r="H2724" s="30"/>
      <c r="I2724" s="30"/>
      <c r="J2724" s="30"/>
      <c r="K2724" s="30"/>
      <c r="L2724" s="30"/>
      <c r="M2724" s="30"/>
      <c r="N2724" s="30"/>
      <c r="O2724" s="30"/>
      <c r="P2724" s="30"/>
      <c r="Q2724" s="30"/>
      <c r="R2724" s="30"/>
      <c r="S2724" s="30"/>
      <c r="T2724" s="30"/>
      <c r="U2724" s="30"/>
      <c r="V2724" s="30"/>
      <c r="W2724" s="30"/>
      <c r="X2724" s="30"/>
      <c r="Y2724" s="30"/>
      <c r="Z2724" s="30"/>
    </row>
    <row r="2725">
      <c r="A2725" s="29"/>
      <c r="B2725" s="29"/>
      <c r="C2725" s="30"/>
      <c r="D2725" s="30"/>
      <c r="E2725" s="30"/>
      <c r="F2725" s="30"/>
      <c r="G2725" s="30"/>
      <c r="H2725" s="30"/>
      <c r="I2725" s="30"/>
      <c r="J2725" s="30"/>
      <c r="K2725" s="30"/>
      <c r="L2725" s="30"/>
      <c r="M2725" s="30"/>
      <c r="N2725" s="30"/>
      <c r="O2725" s="30"/>
      <c r="P2725" s="30"/>
      <c r="Q2725" s="30"/>
      <c r="R2725" s="30"/>
      <c r="S2725" s="30"/>
      <c r="T2725" s="30"/>
      <c r="U2725" s="30"/>
      <c r="V2725" s="30"/>
      <c r="W2725" s="30"/>
      <c r="X2725" s="30"/>
      <c r="Y2725" s="30"/>
      <c r="Z2725" s="30"/>
    </row>
    <row r="2726">
      <c r="A2726" s="29"/>
      <c r="B2726" s="29"/>
      <c r="C2726" s="30"/>
      <c r="D2726" s="30"/>
      <c r="E2726" s="30"/>
      <c r="F2726" s="30"/>
      <c r="G2726" s="30"/>
      <c r="H2726" s="30"/>
      <c r="I2726" s="30"/>
      <c r="J2726" s="30"/>
      <c r="K2726" s="30"/>
      <c r="L2726" s="30"/>
      <c r="M2726" s="30"/>
      <c r="N2726" s="30"/>
      <c r="O2726" s="30"/>
      <c r="P2726" s="30"/>
      <c r="Q2726" s="30"/>
      <c r="R2726" s="30"/>
      <c r="S2726" s="30"/>
      <c r="T2726" s="30"/>
      <c r="U2726" s="30"/>
      <c r="V2726" s="30"/>
      <c r="W2726" s="30"/>
      <c r="X2726" s="30"/>
      <c r="Y2726" s="30"/>
      <c r="Z2726" s="30"/>
    </row>
    <row r="2727">
      <c r="A2727" s="29"/>
      <c r="B2727" s="29"/>
      <c r="C2727" s="30"/>
      <c r="D2727" s="30"/>
      <c r="E2727" s="30"/>
      <c r="F2727" s="30"/>
      <c r="G2727" s="30"/>
      <c r="H2727" s="30"/>
      <c r="I2727" s="30"/>
      <c r="J2727" s="30"/>
      <c r="K2727" s="30"/>
      <c r="L2727" s="30"/>
      <c r="M2727" s="30"/>
      <c r="N2727" s="30"/>
      <c r="O2727" s="30"/>
      <c r="P2727" s="30"/>
      <c r="Q2727" s="30"/>
      <c r="R2727" s="30"/>
      <c r="S2727" s="30"/>
      <c r="T2727" s="30"/>
      <c r="U2727" s="30"/>
      <c r="V2727" s="30"/>
      <c r="W2727" s="30"/>
      <c r="X2727" s="30"/>
      <c r="Y2727" s="30"/>
      <c r="Z2727" s="30"/>
    </row>
    <row r="2728">
      <c r="A2728" s="29"/>
      <c r="B2728" s="29"/>
      <c r="C2728" s="30"/>
      <c r="D2728" s="30"/>
      <c r="E2728" s="30"/>
      <c r="F2728" s="30"/>
      <c r="G2728" s="30"/>
      <c r="H2728" s="30"/>
      <c r="I2728" s="30"/>
      <c r="J2728" s="30"/>
      <c r="K2728" s="30"/>
      <c r="L2728" s="30"/>
      <c r="M2728" s="30"/>
      <c r="N2728" s="30"/>
      <c r="O2728" s="30"/>
      <c r="P2728" s="30"/>
      <c r="Q2728" s="30"/>
      <c r="R2728" s="30"/>
      <c r="S2728" s="30"/>
      <c r="T2728" s="30"/>
      <c r="U2728" s="30"/>
      <c r="V2728" s="30"/>
      <c r="W2728" s="30"/>
      <c r="X2728" s="30"/>
      <c r="Y2728" s="30"/>
      <c r="Z2728" s="30"/>
    </row>
    <row r="2729">
      <c r="A2729" s="29"/>
      <c r="B2729" s="29"/>
      <c r="C2729" s="30"/>
      <c r="D2729" s="30"/>
      <c r="E2729" s="30"/>
      <c r="F2729" s="30"/>
      <c r="G2729" s="30"/>
      <c r="H2729" s="30"/>
      <c r="I2729" s="30"/>
      <c r="J2729" s="30"/>
      <c r="K2729" s="30"/>
      <c r="L2729" s="30"/>
      <c r="M2729" s="30"/>
      <c r="N2729" s="30"/>
      <c r="O2729" s="30"/>
      <c r="P2729" s="30"/>
      <c r="Q2729" s="30"/>
      <c r="R2729" s="30"/>
      <c r="S2729" s="30"/>
      <c r="T2729" s="30"/>
      <c r="U2729" s="30"/>
      <c r="V2729" s="30"/>
      <c r="W2729" s="30"/>
      <c r="X2729" s="30"/>
      <c r="Y2729" s="30"/>
      <c r="Z2729" s="30"/>
    </row>
    <row r="2730">
      <c r="A2730" s="29"/>
      <c r="B2730" s="29"/>
      <c r="C2730" s="30"/>
      <c r="D2730" s="30"/>
      <c r="E2730" s="30"/>
      <c r="F2730" s="30"/>
      <c r="G2730" s="30"/>
      <c r="H2730" s="30"/>
      <c r="I2730" s="30"/>
      <c r="J2730" s="30"/>
      <c r="K2730" s="30"/>
      <c r="L2730" s="30"/>
      <c r="M2730" s="30"/>
      <c r="N2730" s="30"/>
      <c r="O2730" s="30"/>
      <c r="P2730" s="30"/>
      <c r="Q2730" s="30"/>
      <c r="R2730" s="30"/>
      <c r="S2730" s="30"/>
      <c r="T2730" s="30"/>
      <c r="U2730" s="30"/>
      <c r="V2730" s="30"/>
      <c r="W2730" s="30"/>
      <c r="X2730" s="30"/>
      <c r="Y2730" s="30"/>
      <c r="Z2730" s="30"/>
    </row>
    <row r="2731">
      <c r="A2731" s="29"/>
      <c r="B2731" s="29"/>
      <c r="C2731" s="30"/>
      <c r="D2731" s="30"/>
      <c r="E2731" s="30"/>
      <c r="F2731" s="30"/>
      <c r="G2731" s="30"/>
      <c r="H2731" s="30"/>
      <c r="I2731" s="30"/>
      <c r="J2731" s="30"/>
      <c r="K2731" s="30"/>
      <c r="L2731" s="30"/>
      <c r="M2731" s="30"/>
      <c r="N2731" s="30"/>
      <c r="O2731" s="30"/>
      <c r="P2731" s="30"/>
      <c r="Q2731" s="30"/>
      <c r="R2731" s="30"/>
      <c r="S2731" s="30"/>
      <c r="T2731" s="30"/>
      <c r="U2731" s="30"/>
      <c r="V2731" s="30"/>
      <c r="W2731" s="30"/>
      <c r="X2731" s="30"/>
      <c r="Y2731" s="30"/>
      <c r="Z2731" s="30"/>
    </row>
    <row r="2732">
      <c r="A2732" s="29"/>
      <c r="B2732" s="29"/>
      <c r="C2732" s="30"/>
      <c r="D2732" s="30"/>
      <c r="E2732" s="30"/>
      <c r="F2732" s="30"/>
      <c r="G2732" s="30"/>
      <c r="H2732" s="30"/>
      <c r="I2732" s="30"/>
      <c r="J2732" s="30"/>
      <c r="K2732" s="30"/>
      <c r="L2732" s="30"/>
      <c r="M2732" s="30"/>
      <c r="N2732" s="30"/>
      <c r="O2732" s="30"/>
      <c r="P2732" s="30"/>
      <c r="Q2732" s="30"/>
      <c r="R2732" s="30"/>
      <c r="S2732" s="30"/>
      <c r="T2732" s="30"/>
      <c r="U2732" s="30"/>
      <c r="V2732" s="30"/>
      <c r="W2732" s="30"/>
      <c r="X2732" s="30"/>
      <c r="Y2732" s="30"/>
      <c r="Z2732" s="30"/>
    </row>
    <row r="2733">
      <c r="A2733" s="29"/>
      <c r="B2733" s="29"/>
      <c r="C2733" s="30"/>
      <c r="D2733" s="30"/>
      <c r="E2733" s="30"/>
      <c r="F2733" s="30"/>
      <c r="G2733" s="30"/>
      <c r="H2733" s="30"/>
      <c r="I2733" s="30"/>
      <c r="J2733" s="30"/>
      <c r="K2733" s="30"/>
      <c r="L2733" s="30"/>
      <c r="M2733" s="30"/>
      <c r="N2733" s="30"/>
      <c r="O2733" s="30"/>
      <c r="P2733" s="30"/>
      <c r="Q2733" s="30"/>
      <c r="R2733" s="30"/>
      <c r="S2733" s="30"/>
      <c r="T2733" s="30"/>
      <c r="U2733" s="30"/>
      <c r="V2733" s="30"/>
      <c r="W2733" s="30"/>
      <c r="X2733" s="30"/>
      <c r="Y2733" s="30"/>
      <c r="Z2733" s="30"/>
    </row>
    <row r="2734">
      <c r="A2734" s="29"/>
      <c r="B2734" s="29"/>
      <c r="C2734" s="30"/>
      <c r="D2734" s="30"/>
      <c r="E2734" s="30"/>
      <c r="F2734" s="30"/>
      <c r="G2734" s="30"/>
      <c r="H2734" s="30"/>
      <c r="I2734" s="30"/>
      <c r="J2734" s="30"/>
      <c r="K2734" s="30"/>
      <c r="L2734" s="30"/>
      <c r="M2734" s="30"/>
      <c r="N2734" s="30"/>
      <c r="O2734" s="30"/>
      <c r="P2734" s="30"/>
      <c r="Q2734" s="30"/>
      <c r="R2734" s="30"/>
      <c r="S2734" s="30"/>
      <c r="T2734" s="30"/>
      <c r="U2734" s="30"/>
      <c r="V2734" s="30"/>
      <c r="W2734" s="30"/>
      <c r="X2734" s="30"/>
      <c r="Y2734" s="30"/>
      <c r="Z2734" s="30"/>
    </row>
    <row r="2735">
      <c r="A2735" s="29"/>
      <c r="B2735" s="29"/>
      <c r="C2735" s="30"/>
      <c r="D2735" s="30"/>
      <c r="E2735" s="30"/>
      <c r="F2735" s="30"/>
      <c r="G2735" s="30"/>
      <c r="H2735" s="30"/>
      <c r="I2735" s="30"/>
      <c r="J2735" s="30"/>
      <c r="K2735" s="30"/>
      <c r="L2735" s="30"/>
      <c r="M2735" s="30"/>
      <c r="N2735" s="30"/>
      <c r="O2735" s="30"/>
      <c r="P2735" s="30"/>
      <c r="Q2735" s="30"/>
      <c r="R2735" s="30"/>
      <c r="S2735" s="30"/>
      <c r="T2735" s="30"/>
      <c r="U2735" s="30"/>
      <c r="V2735" s="30"/>
      <c r="W2735" s="30"/>
      <c r="X2735" s="30"/>
      <c r="Y2735" s="30"/>
      <c r="Z2735" s="30"/>
    </row>
    <row r="2736">
      <c r="A2736" s="29"/>
      <c r="B2736" s="29"/>
      <c r="C2736" s="30"/>
      <c r="D2736" s="30"/>
      <c r="E2736" s="30"/>
      <c r="F2736" s="30"/>
      <c r="G2736" s="30"/>
      <c r="H2736" s="30"/>
      <c r="I2736" s="30"/>
      <c r="J2736" s="30"/>
      <c r="K2736" s="30"/>
      <c r="L2736" s="30"/>
      <c r="M2736" s="30"/>
      <c r="N2736" s="30"/>
      <c r="O2736" s="30"/>
      <c r="P2736" s="30"/>
      <c r="Q2736" s="30"/>
      <c r="R2736" s="30"/>
      <c r="S2736" s="30"/>
      <c r="T2736" s="30"/>
      <c r="U2736" s="30"/>
      <c r="V2736" s="30"/>
      <c r="W2736" s="30"/>
      <c r="X2736" s="30"/>
      <c r="Y2736" s="30"/>
      <c r="Z2736" s="30"/>
    </row>
    <row r="2737">
      <c r="A2737" s="29"/>
      <c r="B2737" s="29"/>
      <c r="C2737" s="30"/>
      <c r="D2737" s="30"/>
      <c r="E2737" s="30"/>
      <c r="F2737" s="30"/>
      <c r="G2737" s="30"/>
      <c r="H2737" s="30"/>
      <c r="I2737" s="30"/>
      <c r="J2737" s="30"/>
      <c r="K2737" s="30"/>
      <c r="L2737" s="30"/>
      <c r="M2737" s="30"/>
      <c r="N2737" s="30"/>
      <c r="O2737" s="30"/>
      <c r="P2737" s="30"/>
      <c r="Q2737" s="30"/>
      <c r="R2737" s="30"/>
      <c r="S2737" s="30"/>
      <c r="T2737" s="30"/>
      <c r="U2737" s="30"/>
      <c r="V2737" s="30"/>
      <c r="W2737" s="30"/>
      <c r="X2737" s="30"/>
      <c r="Y2737" s="30"/>
      <c r="Z2737" s="30"/>
    </row>
    <row r="2738">
      <c r="A2738" s="29"/>
      <c r="B2738" s="29"/>
      <c r="C2738" s="30"/>
      <c r="D2738" s="30"/>
      <c r="E2738" s="30"/>
      <c r="F2738" s="30"/>
      <c r="G2738" s="30"/>
      <c r="H2738" s="30"/>
      <c r="I2738" s="30"/>
      <c r="J2738" s="30"/>
      <c r="K2738" s="30"/>
      <c r="L2738" s="30"/>
      <c r="M2738" s="30"/>
      <c r="N2738" s="30"/>
      <c r="O2738" s="30"/>
      <c r="P2738" s="30"/>
      <c r="Q2738" s="30"/>
      <c r="R2738" s="30"/>
      <c r="S2738" s="30"/>
      <c r="T2738" s="30"/>
      <c r="U2738" s="30"/>
      <c r="V2738" s="30"/>
      <c r="W2738" s="30"/>
      <c r="X2738" s="30"/>
      <c r="Y2738" s="30"/>
      <c r="Z2738" s="30"/>
    </row>
    <row r="2739">
      <c r="A2739" s="29"/>
      <c r="B2739" s="29"/>
      <c r="C2739" s="30"/>
      <c r="D2739" s="30"/>
      <c r="E2739" s="30"/>
      <c r="F2739" s="30"/>
      <c r="G2739" s="30"/>
      <c r="H2739" s="30"/>
      <c r="I2739" s="30"/>
      <c r="J2739" s="30"/>
      <c r="K2739" s="30"/>
      <c r="L2739" s="30"/>
      <c r="M2739" s="30"/>
      <c r="N2739" s="30"/>
      <c r="O2739" s="30"/>
      <c r="P2739" s="30"/>
      <c r="Q2739" s="30"/>
      <c r="R2739" s="30"/>
      <c r="S2739" s="30"/>
      <c r="T2739" s="30"/>
      <c r="U2739" s="30"/>
      <c r="V2739" s="30"/>
      <c r="W2739" s="30"/>
      <c r="X2739" s="30"/>
      <c r="Y2739" s="30"/>
      <c r="Z2739" s="30"/>
    </row>
    <row r="2740">
      <c r="A2740" s="29"/>
      <c r="B2740" s="29"/>
      <c r="C2740" s="30"/>
      <c r="D2740" s="30"/>
      <c r="E2740" s="30"/>
      <c r="F2740" s="30"/>
      <c r="G2740" s="30"/>
      <c r="H2740" s="30"/>
      <c r="I2740" s="30"/>
      <c r="J2740" s="30"/>
      <c r="K2740" s="30"/>
      <c r="L2740" s="30"/>
      <c r="M2740" s="30"/>
      <c r="N2740" s="30"/>
      <c r="O2740" s="30"/>
      <c r="P2740" s="30"/>
      <c r="Q2740" s="30"/>
      <c r="R2740" s="30"/>
      <c r="S2740" s="30"/>
      <c r="T2740" s="30"/>
      <c r="U2740" s="30"/>
      <c r="V2740" s="30"/>
      <c r="W2740" s="30"/>
      <c r="X2740" s="30"/>
      <c r="Y2740" s="30"/>
      <c r="Z2740" s="30"/>
    </row>
    <row r="2741">
      <c r="A2741" s="29"/>
      <c r="B2741" s="29"/>
      <c r="C2741" s="30"/>
      <c r="D2741" s="30"/>
      <c r="E2741" s="30"/>
      <c r="F2741" s="30"/>
      <c r="G2741" s="30"/>
      <c r="H2741" s="30"/>
      <c r="I2741" s="30"/>
      <c r="J2741" s="30"/>
      <c r="K2741" s="30"/>
      <c r="L2741" s="30"/>
      <c r="M2741" s="30"/>
      <c r="N2741" s="30"/>
      <c r="O2741" s="30"/>
      <c r="P2741" s="30"/>
      <c r="Q2741" s="30"/>
      <c r="R2741" s="30"/>
      <c r="S2741" s="30"/>
      <c r="T2741" s="30"/>
      <c r="U2741" s="30"/>
      <c r="V2741" s="30"/>
      <c r="W2741" s="30"/>
      <c r="X2741" s="30"/>
      <c r="Y2741" s="30"/>
      <c r="Z2741" s="30"/>
    </row>
    <row r="2742">
      <c r="A2742" s="29"/>
      <c r="B2742" s="29"/>
      <c r="C2742" s="30"/>
      <c r="D2742" s="30"/>
      <c r="E2742" s="30"/>
      <c r="F2742" s="30"/>
      <c r="G2742" s="30"/>
      <c r="H2742" s="30"/>
      <c r="I2742" s="30"/>
      <c r="J2742" s="30"/>
      <c r="K2742" s="30"/>
      <c r="L2742" s="30"/>
      <c r="M2742" s="30"/>
      <c r="N2742" s="30"/>
      <c r="O2742" s="30"/>
      <c r="P2742" s="30"/>
      <c r="Q2742" s="30"/>
      <c r="R2742" s="30"/>
      <c r="S2742" s="30"/>
      <c r="T2742" s="30"/>
      <c r="U2742" s="30"/>
      <c r="V2742" s="30"/>
      <c r="W2742" s="30"/>
      <c r="X2742" s="30"/>
      <c r="Y2742" s="30"/>
      <c r="Z2742" s="30"/>
    </row>
    <row r="2743">
      <c r="A2743" s="29"/>
      <c r="B2743" s="29"/>
      <c r="C2743" s="30"/>
      <c r="D2743" s="30"/>
      <c r="E2743" s="30"/>
      <c r="F2743" s="30"/>
      <c r="G2743" s="30"/>
      <c r="H2743" s="30"/>
      <c r="I2743" s="30"/>
      <c r="J2743" s="30"/>
      <c r="K2743" s="30"/>
      <c r="L2743" s="30"/>
      <c r="M2743" s="30"/>
      <c r="N2743" s="30"/>
      <c r="O2743" s="30"/>
      <c r="P2743" s="30"/>
      <c r="Q2743" s="30"/>
      <c r="R2743" s="30"/>
      <c r="S2743" s="30"/>
      <c r="T2743" s="30"/>
      <c r="U2743" s="30"/>
      <c r="V2743" s="30"/>
      <c r="W2743" s="30"/>
      <c r="X2743" s="30"/>
      <c r="Y2743" s="30"/>
      <c r="Z2743" s="30"/>
    </row>
    <row r="2744">
      <c r="A2744" s="29"/>
      <c r="B2744" s="29"/>
      <c r="C2744" s="30"/>
      <c r="D2744" s="30"/>
      <c r="E2744" s="30"/>
      <c r="F2744" s="30"/>
      <c r="G2744" s="30"/>
      <c r="H2744" s="30"/>
      <c r="I2744" s="30"/>
      <c r="J2744" s="30"/>
      <c r="K2744" s="30"/>
      <c r="L2744" s="30"/>
      <c r="M2744" s="30"/>
      <c r="N2744" s="30"/>
      <c r="O2744" s="30"/>
      <c r="P2744" s="30"/>
      <c r="Q2744" s="30"/>
      <c r="R2744" s="30"/>
      <c r="S2744" s="30"/>
      <c r="T2744" s="30"/>
      <c r="U2744" s="30"/>
      <c r="V2744" s="30"/>
      <c r="W2744" s="30"/>
      <c r="X2744" s="30"/>
      <c r="Y2744" s="30"/>
      <c r="Z2744" s="30"/>
    </row>
    <row r="2745">
      <c r="A2745" s="29"/>
      <c r="B2745" s="29"/>
      <c r="C2745" s="30"/>
      <c r="D2745" s="30"/>
      <c r="E2745" s="30"/>
      <c r="F2745" s="30"/>
      <c r="G2745" s="30"/>
      <c r="H2745" s="30"/>
      <c r="I2745" s="30"/>
      <c r="J2745" s="30"/>
      <c r="K2745" s="30"/>
      <c r="L2745" s="30"/>
      <c r="M2745" s="30"/>
      <c r="N2745" s="30"/>
      <c r="O2745" s="30"/>
      <c r="P2745" s="30"/>
      <c r="Q2745" s="30"/>
      <c r="R2745" s="30"/>
      <c r="S2745" s="30"/>
      <c r="T2745" s="30"/>
      <c r="U2745" s="30"/>
      <c r="V2745" s="30"/>
      <c r="W2745" s="30"/>
      <c r="X2745" s="30"/>
      <c r="Y2745" s="30"/>
      <c r="Z2745" s="3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7.57"/>
  </cols>
  <sheetData>
    <row r="1">
      <c r="A1" s="3" t="s">
        <v>1529</v>
      </c>
      <c r="B1" s="15" t="s">
        <v>1530</v>
      </c>
      <c r="C1" s="15" t="s">
        <v>1531</v>
      </c>
      <c r="D1" s="15" t="s">
        <v>1532</v>
      </c>
      <c r="E1" s="15" t="s">
        <v>1533</v>
      </c>
      <c r="F1" s="15" t="s">
        <v>1534</v>
      </c>
      <c r="G1" s="7" t="s">
        <v>1535</v>
      </c>
      <c r="H1" s="15" t="s">
        <v>1537</v>
      </c>
      <c r="I1" s="15" t="s">
        <v>1539</v>
      </c>
      <c r="J1" s="15" t="s">
        <v>1540</v>
      </c>
      <c r="K1" s="15" t="s">
        <v>1541</v>
      </c>
      <c r="L1" s="15" t="s">
        <v>1542</v>
      </c>
      <c r="M1" s="15" t="s">
        <v>1543</v>
      </c>
      <c r="N1" s="15" t="s">
        <v>1544</v>
      </c>
      <c r="O1" s="15" t="s">
        <v>1545</v>
      </c>
      <c r="Q1" s="7"/>
    </row>
    <row r="2">
      <c r="A2" s="39" t="s">
        <v>1546</v>
      </c>
      <c r="B2" s="15">
        <v>32625.0</v>
      </c>
      <c r="C2" s="15" t="s">
        <v>1547</v>
      </c>
      <c r="D2" s="15">
        <v>14676.0</v>
      </c>
      <c r="E2" s="15" t="s">
        <v>1548</v>
      </c>
      <c r="F2" s="15" t="s">
        <v>1550</v>
      </c>
      <c r="G2" s="7">
        <v>4.01</v>
      </c>
      <c r="H2" s="15" t="s">
        <v>1551</v>
      </c>
      <c r="I2" s="15" t="s">
        <v>1552</v>
      </c>
      <c r="J2" s="15" t="s">
        <v>1553</v>
      </c>
      <c r="K2" s="15">
        <v>4.0</v>
      </c>
      <c r="L2" s="15">
        <v>4.0</v>
      </c>
      <c r="M2" s="40">
        <v>34615.0</v>
      </c>
      <c r="N2" s="40">
        <v>41311.0</v>
      </c>
      <c r="O2" s="15" t="s">
        <v>1554</v>
      </c>
      <c r="Q2" s="7"/>
    </row>
    <row r="3">
      <c r="A3" s="39" t="s">
        <v>1555</v>
      </c>
      <c r="B3" s="15">
        <v>342409.0</v>
      </c>
      <c r="C3" s="15" t="s">
        <v>1556</v>
      </c>
      <c r="D3" s="15">
        <v>14616.0</v>
      </c>
      <c r="E3" s="15" t="s">
        <v>1557</v>
      </c>
      <c r="F3" s="15" t="s">
        <v>1558</v>
      </c>
      <c r="G3" s="7">
        <v>309.29</v>
      </c>
      <c r="H3" s="15" t="s">
        <v>1559</v>
      </c>
      <c r="I3" s="15" t="s">
        <v>1560</v>
      </c>
      <c r="J3" s="15" t="s">
        <v>1561</v>
      </c>
      <c r="K3" s="15">
        <v>177.0</v>
      </c>
      <c r="L3" s="15">
        <v>177.0</v>
      </c>
      <c r="M3" s="41">
        <v>37215.0</v>
      </c>
      <c r="N3" s="40">
        <v>42379.0</v>
      </c>
      <c r="O3" s="15" t="s">
        <v>1554</v>
      </c>
      <c r="Q3" s="7"/>
    </row>
    <row r="4">
      <c r="A4" s="39" t="s">
        <v>1563</v>
      </c>
      <c r="B4" s="15">
        <v>12461.0</v>
      </c>
      <c r="C4" s="15" t="s">
        <v>1564</v>
      </c>
      <c r="D4" s="15">
        <v>15435.0</v>
      </c>
      <c r="E4" s="15" t="s">
        <v>1548</v>
      </c>
      <c r="F4" s="15" t="s">
        <v>1565</v>
      </c>
      <c r="G4" s="7">
        <v>7.176</v>
      </c>
      <c r="H4" s="15" t="s">
        <v>1566</v>
      </c>
      <c r="I4" s="15" t="s">
        <v>1567</v>
      </c>
      <c r="J4" s="15" t="s">
        <v>1568</v>
      </c>
      <c r="K4" s="15">
        <v>3.0</v>
      </c>
      <c r="L4" s="15">
        <v>3.0</v>
      </c>
      <c r="M4" s="40">
        <v>34183.0</v>
      </c>
      <c r="N4" s="40">
        <v>42045.0</v>
      </c>
      <c r="O4" s="15" t="s">
        <v>1554</v>
      </c>
      <c r="Q4" s="7"/>
    </row>
    <row r="5">
      <c r="A5" s="39" t="s">
        <v>1569</v>
      </c>
      <c r="B5" s="15">
        <v>239720.0</v>
      </c>
      <c r="C5" s="15" t="s">
        <v>1570</v>
      </c>
      <c r="D5" s="15">
        <v>15425.0</v>
      </c>
      <c r="E5" s="15" t="s">
        <v>1548</v>
      </c>
      <c r="F5" s="15" t="s">
        <v>1571</v>
      </c>
      <c r="G5" s="7">
        <v>8.587</v>
      </c>
      <c r="H5" s="15" t="s">
        <v>1572</v>
      </c>
      <c r="I5" s="15" t="s">
        <v>1573</v>
      </c>
      <c r="J5" s="15" t="s">
        <v>1574</v>
      </c>
      <c r="K5" s="15">
        <v>1.0</v>
      </c>
      <c r="L5" s="15">
        <v>1.0</v>
      </c>
      <c r="M5" s="40">
        <v>37825.0</v>
      </c>
      <c r="N5" s="40">
        <v>39645.0</v>
      </c>
      <c r="O5" s="15" t="s">
        <v>1554</v>
      </c>
      <c r="Q5" s="7"/>
    </row>
    <row r="6">
      <c r="A6" s="39" t="s">
        <v>1576</v>
      </c>
      <c r="B6" s="15">
        <v>1930510.0</v>
      </c>
      <c r="D6" s="15">
        <v>0.0</v>
      </c>
      <c r="E6" s="15" t="s">
        <v>1577</v>
      </c>
      <c r="F6" s="15" t="s">
        <v>1578</v>
      </c>
      <c r="G6" s="7">
        <v>9.57</v>
      </c>
      <c r="H6" s="15" t="s">
        <v>1579</v>
      </c>
      <c r="I6" s="15" t="s">
        <v>1580</v>
      </c>
      <c r="J6" s="15" t="s">
        <v>1581</v>
      </c>
      <c r="K6" s="15">
        <v>1.0</v>
      </c>
      <c r="L6" s="15">
        <v>1.0</v>
      </c>
      <c r="M6" s="41">
        <v>42731.0</v>
      </c>
      <c r="N6" s="41">
        <v>42733.0</v>
      </c>
      <c r="O6" s="15" t="s">
        <v>1554</v>
      </c>
      <c r="Q6" s="7"/>
    </row>
    <row r="7">
      <c r="A7" s="39" t="s">
        <v>1582</v>
      </c>
      <c r="B7" s="15">
        <v>46014.0</v>
      </c>
      <c r="C7" s="15" t="s">
        <v>1583</v>
      </c>
      <c r="D7" s="15">
        <v>14066.0</v>
      </c>
      <c r="E7" s="15" t="s">
        <v>1557</v>
      </c>
      <c r="F7" s="15" t="s">
        <v>1585</v>
      </c>
      <c r="G7" s="7">
        <v>11.965</v>
      </c>
      <c r="H7" s="15">
        <v>32.0</v>
      </c>
      <c r="I7" s="15" t="s">
        <v>1586</v>
      </c>
      <c r="J7" s="15" t="s">
        <v>1587</v>
      </c>
      <c r="K7" s="15">
        <v>14.0</v>
      </c>
      <c r="L7" s="15">
        <v>14.0</v>
      </c>
      <c r="M7" s="40">
        <v>34131.0</v>
      </c>
      <c r="N7" s="40">
        <v>42045.0</v>
      </c>
      <c r="O7" s="15" t="s">
        <v>1554</v>
      </c>
      <c r="Q7" s="7"/>
    </row>
    <row r="8">
      <c r="A8" s="39" t="s">
        <v>1588</v>
      </c>
      <c r="B8" s="15">
        <v>10661.0</v>
      </c>
      <c r="C8" s="15" t="s">
        <v>1589</v>
      </c>
      <c r="D8" s="15">
        <v>14237.0</v>
      </c>
      <c r="E8" s="15" t="s">
        <v>1557</v>
      </c>
      <c r="F8" s="15" t="s">
        <v>1590</v>
      </c>
      <c r="G8" s="7">
        <v>10.079</v>
      </c>
      <c r="H8" s="15" t="s">
        <v>1591</v>
      </c>
      <c r="I8" s="15" t="s">
        <v>1586</v>
      </c>
      <c r="J8" s="15" t="s">
        <v>1592</v>
      </c>
      <c r="K8" s="15">
        <v>22.0</v>
      </c>
      <c r="L8" s="15">
        <v>22.0</v>
      </c>
      <c r="M8" s="40">
        <v>36354.0</v>
      </c>
      <c r="N8" s="40">
        <v>40263.0</v>
      </c>
      <c r="O8" s="15" t="s">
        <v>1554</v>
      </c>
      <c r="Q8" s="7"/>
    </row>
    <row r="9">
      <c r="A9" s="39" t="s">
        <v>1594</v>
      </c>
      <c r="B9" s="15">
        <v>129395.0</v>
      </c>
      <c r="C9" s="15" t="s">
        <v>1595</v>
      </c>
      <c r="D9" s="15">
        <v>14707.0</v>
      </c>
      <c r="E9" s="15" t="s">
        <v>1548</v>
      </c>
      <c r="F9" s="15" t="s">
        <v>1596</v>
      </c>
      <c r="G9" s="7">
        <v>6.827</v>
      </c>
      <c r="H9" s="15" t="s">
        <v>1597</v>
      </c>
      <c r="I9" s="15" t="s">
        <v>1552</v>
      </c>
      <c r="J9" s="15" t="s">
        <v>1598</v>
      </c>
      <c r="K9" s="15">
        <v>2.0</v>
      </c>
      <c r="L9" s="15">
        <v>2.0</v>
      </c>
      <c r="M9" s="41">
        <v>36813.0</v>
      </c>
      <c r="N9" s="41">
        <v>40147.0</v>
      </c>
      <c r="O9" s="15" t="s">
        <v>1554</v>
      </c>
      <c r="Q9" s="7"/>
    </row>
    <row r="10">
      <c r="A10" s="39" t="s">
        <v>1599</v>
      </c>
      <c r="B10" s="15">
        <v>573993.0</v>
      </c>
      <c r="C10" s="15" t="s">
        <v>1600</v>
      </c>
      <c r="D10" s="15">
        <v>34845.0</v>
      </c>
      <c r="E10" s="15" t="s">
        <v>1548</v>
      </c>
      <c r="F10" s="15" t="s">
        <v>1578</v>
      </c>
      <c r="G10" s="7">
        <v>9.467</v>
      </c>
      <c r="H10" s="15" t="s">
        <v>1602</v>
      </c>
      <c r="I10" s="15" t="s">
        <v>1573</v>
      </c>
      <c r="J10" s="15" t="s">
        <v>1603</v>
      </c>
      <c r="K10" s="15">
        <v>2.0</v>
      </c>
      <c r="L10" s="15">
        <v>2.0</v>
      </c>
      <c r="M10" s="40">
        <v>39855.0</v>
      </c>
      <c r="N10" s="40">
        <v>40064.0</v>
      </c>
      <c r="O10" s="15" t="s">
        <v>1554</v>
      </c>
      <c r="Q10" s="7"/>
    </row>
    <row r="11">
      <c r="A11" s="39" t="s">
        <v>1604</v>
      </c>
      <c r="B11" s="15">
        <v>261939.0</v>
      </c>
      <c r="C11" s="15" t="s">
        <v>1605</v>
      </c>
      <c r="D11" s="15">
        <v>14552.0</v>
      </c>
      <c r="E11" s="15" t="s">
        <v>1557</v>
      </c>
      <c r="F11" s="15" t="s">
        <v>1606</v>
      </c>
      <c r="G11" s="7">
        <v>207.439</v>
      </c>
      <c r="H11" s="15" t="s">
        <v>1607</v>
      </c>
      <c r="I11" s="15" t="s">
        <v>1560</v>
      </c>
      <c r="J11" s="15" t="s">
        <v>1608</v>
      </c>
      <c r="K11" s="15">
        <v>127.0</v>
      </c>
      <c r="L11" s="15">
        <v>127.0</v>
      </c>
      <c r="M11" s="40">
        <v>38019.0</v>
      </c>
      <c r="N11" s="40">
        <v>41515.0</v>
      </c>
      <c r="O11" s="15" t="s">
        <v>1554</v>
      </c>
      <c r="Q11" s="7"/>
    </row>
    <row r="12">
      <c r="A12" s="39" t="s">
        <v>1609</v>
      </c>
      <c r="B12" s="15">
        <v>67571.0</v>
      </c>
      <c r="C12" s="15" t="s">
        <v>1610</v>
      </c>
      <c r="D12" s="15">
        <v>14047.0</v>
      </c>
      <c r="E12" s="15" t="s">
        <v>1557</v>
      </c>
      <c r="F12" s="15" t="s">
        <v>1611</v>
      </c>
      <c r="G12" s="7">
        <v>36.524</v>
      </c>
      <c r="H12" s="15" t="s">
        <v>1613</v>
      </c>
      <c r="I12" s="15" t="s">
        <v>1586</v>
      </c>
      <c r="J12" s="15" t="s">
        <v>1614</v>
      </c>
      <c r="K12" s="15">
        <v>54.0</v>
      </c>
      <c r="L12" s="15">
        <v>54.0</v>
      </c>
      <c r="M12" s="41">
        <v>36459.0</v>
      </c>
      <c r="N12" s="40">
        <v>42045.0</v>
      </c>
      <c r="O12" s="15" t="s">
        <v>1554</v>
      </c>
      <c r="Q12" s="7"/>
    </row>
    <row r="13">
      <c r="A13" s="39" t="s">
        <v>1615</v>
      </c>
      <c r="B13" s="15">
        <v>33771.0</v>
      </c>
      <c r="C13" s="15" t="s">
        <v>1616</v>
      </c>
      <c r="D13" s="15">
        <v>14147.0</v>
      </c>
      <c r="E13" s="15" t="s">
        <v>1557</v>
      </c>
      <c r="F13" s="15" t="s">
        <v>1578</v>
      </c>
      <c r="G13" s="7">
        <v>77.67</v>
      </c>
      <c r="H13" s="15" t="s">
        <v>1617</v>
      </c>
      <c r="I13" s="15" t="s">
        <v>1618</v>
      </c>
      <c r="J13" s="15" t="s">
        <v>1619</v>
      </c>
      <c r="K13" s="15">
        <v>119.0</v>
      </c>
      <c r="L13" s="15">
        <v>114.0</v>
      </c>
      <c r="M13" s="41">
        <v>37256.0</v>
      </c>
      <c r="N13" s="41">
        <v>40140.0</v>
      </c>
      <c r="O13" s="15" t="s">
        <v>1554</v>
      </c>
      <c r="Q13" s="7"/>
    </row>
    <row r="14">
      <c r="A14" s="39" t="s">
        <v>1620</v>
      </c>
      <c r="B14" s="15">
        <v>222645.0</v>
      </c>
      <c r="C14" s="15" t="s">
        <v>1621</v>
      </c>
      <c r="D14" s="15">
        <v>14294.0</v>
      </c>
      <c r="E14" s="15" t="s">
        <v>1557</v>
      </c>
      <c r="F14" s="15" t="s">
        <v>1578</v>
      </c>
      <c r="G14" s="7">
        <v>75.898</v>
      </c>
      <c r="H14" s="15" t="s">
        <v>1617</v>
      </c>
      <c r="I14" s="15" t="s">
        <v>1618</v>
      </c>
      <c r="J14" s="15" t="s">
        <v>1622</v>
      </c>
      <c r="K14" s="15">
        <v>106.0</v>
      </c>
      <c r="L14" s="15">
        <v>102.0</v>
      </c>
      <c r="M14" s="40">
        <v>37802.0</v>
      </c>
      <c r="N14" s="40">
        <v>39514.0</v>
      </c>
      <c r="O14" s="15" t="s">
        <v>1554</v>
      </c>
      <c r="Q14" s="7"/>
    </row>
    <row r="15">
      <c r="A15" s="39" t="s">
        <v>1624</v>
      </c>
      <c r="B15" s="15">
        <v>167161.0</v>
      </c>
      <c r="C15" s="15" t="s">
        <v>1625</v>
      </c>
      <c r="D15" s="15">
        <v>14740.0</v>
      </c>
      <c r="E15" s="15" t="s">
        <v>1548</v>
      </c>
      <c r="F15" s="15" t="s">
        <v>1626</v>
      </c>
      <c r="G15" s="7">
        <v>12.655</v>
      </c>
      <c r="H15" s="15" t="s">
        <v>1627</v>
      </c>
      <c r="I15" s="15" t="s">
        <v>1628</v>
      </c>
      <c r="J15" s="15" t="s">
        <v>1629</v>
      </c>
      <c r="K15" s="15">
        <v>2.0</v>
      </c>
      <c r="L15" s="15">
        <v>2.0</v>
      </c>
      <c r="M15" s="40">
        <v>37264.0</v>
      </c>
      <c r="N15" s="40">
        <v>42072.0</v>
      </c>
      <c r="O15" s="15" t="s">
        <v>1554</v>
      </c>
      <c r="Q15" s="7"/>
    </row>
    <row r="16">
      <c r="A16" s="39" t="s">
        <v>1631</v>
      </c>
      <c r="B16" s="15">
        <v>174142.0</v>
      </c>
      <c r="C16" s="15" t="s">
        <v>1632</v>
      </c>
      <c r="D16" s="15">
        <v>14947.0</v>
      </c>
      <c r="E16" s="15" t="s">
        <v>1548</v>
      </c>
      <c r="F16" s="15" t="s">
        <v>1633</v>
      </c>
      <c r="G16" s="7">
        <v>6.966</v>
      </c>
      <c r="H16" s="15" t="s">
        <v>1634</v>
      </c>
      <c r="I16" s="15" t="s">
        <v>1628</v>
      </c>
      <c r="J16" s="15" t="s">
        <v>1635</v>
      </c>
      <c r="K16" s="15">
        <v>5.0</v>
      </c>
      <c r="L16" s="15">
        <v>5.0</v>
      </c>
      <c r="M16" s="40">
        <v>37895.0</v>
      </c>
      <c r="N16" s="40">
        <v>40148.0</v>
      </c>
      <c r="O16" s="15" t="s">
        <v>1554</v>
      </c>
      <c r="Q16" s="7"/>
    </row>
    <row r="17">
      <c r="A17" s="39" t="s">
        <v>1636</v>
      </c>
      <c r="B17" s="15">
        <v>267285.0</v>
      </c>
      <c r="C17" s="15" t="s">
        <v>1637</v>
      </c>
      <c r="D17" s="15">
        <v>15126.0</v>
      </c>
      <c r="E17" s="15" t="s">
        <v>1638</v>
      </c>
      <c r="F17" s="15" t="s">
        <v>1639</v>
      </c>
      <c r="G17" s="7">
        <v>5.31</v>
      </c>
      <c r="H17" s="15" t="s">
        <v>1640</v>
      </c>
      <c r="I17" s="15" t="s">
        <v>1552</v>
      </c>
      <c r="J17" s="15" t="s">
        <v>1641</v>
      </c>
      <c r="K17" s="15">
        <v>2.0</v>
      </c>
      <c r="L17" s="15">
        <v>2.0</v>
      </c>
      <c r="M17" s="40">
        <v>38069.0</v>
      </c>
      <c r="N17" s="40">
        <v>40357.0</v>
      </c>
      <c r="O17" s="15" t="s">
        <v>1554</v>
      </c>
      <c r="Q17" s="7"/>
    </row>
    <row r="18">
      <c r="A18" s="39" t="s">
        <v>1643</v>
      </c>
      <c r="B18" s="15">
        <v>28351.0</v>
      </c>
      <c r="C18" s="15" t="s">
        <v>1644</v>
      </c>
      <c r="D18" s="15">
        <v>15167.0</v>
      </c>
      <c r="E18" s="15" t="s">
        <v>1548</v>
      </c>
      <c r="F18" s="15" t="s">
        <v>1626</v>
      </c>
      <c r="G18" s="7">
        <v>11.338</v>
      </c>
      <c r="H18" s="15" t="s">
        <v>1645</v>
      </c>
      <c r="I18" s="15" t="s">
        <v>1628</v>
      </c>
      <c r="J18" s="15" t="s">
        <v>1646</v>
      </c>
      <c r="K18" s="15">
        <v>2.0</v>
      </c>
      <c r="L18" s="15">
        <v>2.0</v>
      </c>
      <c r="M18" s="40">
        <v>38381.0</v>
      </c>
      <c r="N18" s="41">
        <v>42297.0</v>
      </c>
      <c r="O18" s="15" t="s">
        <v>1554</v>
      </c>
      <c r="Q18" s="7"/>
    </row>
    <row r="19">
      <c r="A19" s="39" t="s">
        <v>1647</v>
      </c>
      <c r="B19" s="15">
        <v>145856.0</v>
      </c>
      <c r="C19" s="15" t="s">
        <v>1648</v>
      </c>
      <c r="D19" s="15">
        <v>15248.0</v>
      </c>
      <c r="E19" s="15" t="s">
        <v>1638</v>
      </c>
      <c r="F19" s="15" t="s">
        <v>1649</v>
      </c>
      <c r="G19" s="7">
        <v>4.27</v>
      </c>
      <c r="H19" s="15" t="s">
        <v>1650</v>
      </c>
      <c r="I19" s="15" t="s">
        <v>1567</v>
      </c>
      <c r="J19" s="15" t="s">
        <v>1651</v>
      </c>
      <c r="K19" s="15">
        <v>3.0</v>
      </c>
      <c r="L19" s="15">
        <v>3.0</v>
      </c>
      <c r="M19" s="40">
        <v>38479.0</v>
      </c>
      <c r="N19" s="41">
        <v>42297.0</v>
      </c>
      <c r="O19" s="15" t="s">
        <v>1554</v>
      </c>
      <c r="Q19" s="7"/>
    </row>
    <row r="20">
      <c r="A20" s="39" t="s">
        <v>1653</v>
      </c>
      <c r="B20" s="15">
        <v>47416.0</v>
      </c>
      <c r="C20" s="15" t="s">
        <v>1654</v>
      </c>
      <c r="D20" s="15">
        <v>15409.0</v>
      </c>
      <c r="E20" s="15" t="s">
        <v>1548</v>
      </c>
      <c r="F20" s="15" t="s">
        <v>1626</v>
      </c>
      <c r="G20" s="7">
        <v>12.138</v>
      </c>
      <c r="H20" s="15" t="s">
        <v>1655</v>
      </c>
      <c r="I20" s="15" t="s">
        <v>1628</v>
      </c>
      <c r="J20" s="15" t="s">
        <v>1656</v>
      </c>
      <c r="K20" s="15">
        <v>2.0</v>
      </c>
      <c r="L20" s="15">
        <v>2.0</v>
      </c>
      <c r="M20" s="40">
        <v>36256.0</v>
      </c>
      <c r="N20" s="40">
        <v>42045.0</v>
      </c>
      <c r="O20" s="15" t="s">
        <v>1554</v>
      </c>
      <c r="Q20" s="7"/>
    </row>
    <row r="21">
      <c r="A21" s="39" t="s">
        <v>1657</v>
      </c>
      <c r="B21" s="15">
        <v>674980.0</v>
      </c>
      <c r="C21" s="15" t="s">
        <v>1658</v>
      </c>
      <c r="D21" s="15">
        <v>15497.0</v>
      </c>
      <c r="E21" s="15" t="s">
        <v>1659</v>
      </c>
      <c r="F21" s="15" t="s">
        <v>1578</v>
      </c>
      <c r="G21" s="7">
        <v>6.0</v>
      </c>
      <c r="H21" s="15" t="s">
        <v>1551</v>
      </c>
      <c r="I21" s="15" t="s">
        <v>1573</v>
      </c>
      <c r="J21" s="15" t="s">
        <v>1661</v>
      </c>
      <c r="K21" s="15">
        <v>6.0</v>
      </c>
      <c r="L21" s="15">
        <v>6.0</v>
      </c>
      <c r="M21" s="40">
        <v>38541.0</v>
      </c>
      <c r="N21" s="40">
        <v>40406.0</v>
      </c>
      <c r="O21" s="15" t="s">
        <v>1554</v>
      </c>
      <c r="Q21" s="7"/>
    </row>
    <row r="22">
      <c r="A22" s="39" t="s">
        <v>1662</v>
      </c>
      <c r="B22" s="15">
        <v>326574.0</v>
      </c>
      <c r="C22" s="15" t="s">
        <v>1663</v>
      </c>
      <c r="D22" s="15">
        <v>15535.0</v>
      </c>
      <c r="E22" s="15" t="s">
        <v>1664</v>
      </c>
      <c r="F22" s="15" t="s">
        <v>1665</v>
      </c>
      <c r="G22" s="7">
        <v>30.889</v>
      </c>
      <c r="H22" s="15" t="s">
        <v>1666</v>
      </c>
      <c r="I22" s="15" t="s">
        <v>1618</v>
      </c>
      <c r="J22" s="15" t="s">
        <v>1667</v>
      </c>
      <c r="K22" s="15">
        <v>56.0</v>
      </c>
      <c r="L22" s="15">
        <v>56.0</v>
      </c>
      <c r="M22" s="40">
        <v>38538.0</v>
      </c>
      <c r="N22" s="40">
        <v>39514.0</v>
      </c>
      <c r="O22" s="15" t="s">
        <v>1554</v>
      </c>
      <c r="Q22" s="7"/>
    </row>
    <row r="23">
      <c r="A23" s="39" t="s">
        <v>1668</v>
      </c>
      <c r="B23" s="15">
        <v>674971.0</v>
      </c>
      <c r="C23" s="15" t="s">
        <v>1669</v>
      </c>
      <c r="D23" s="15">
        <v>16134.0</v>
      </c>
      <c r="E23" s="15" t="s">
        <v>1548</v>
      </c>
      <c r="F23" s="15" t="s">
        <v>1578</v>
      </c>
      <c r="G23" s="7">
        <v>9.035</v>
      </c>
      <c r="H23" s="15" t="s">
        <v>1670</v>
      </c>
      <c r="I23" s="15" t="s">
        <v>1573</v>
      </c>
      <c r="J23" s="15" t="s">
        <v>1671</v>
      </c>
      <c r="K23" s="15">
        <v>2.0</v>
      </c>
      <c r="L23" s="15">
        <v>2.0</v>
      </c>
      <c r="M23" s="41">
        <v>38654.0</v>
      </c>
      <c r="N23" s="40">
        <v>42045.0</v>
      </c>
      <c r="O23" s="15" t="s">
        <v>1554</v>
      </c>
      <c r="Q23" s="7"/>
    </row>
    <row r="24">
      <c r="A24" s="39" t="s">
        <v>1673</v>
      </c>
      <c r="B24" s="15">
        <v>367301.0</v>
      </c>
      <c r="C24" s="15" t="s">
        <v>1674</v>
      </c>
      <c r="D24" s="15">
        <v>17093.0</v>
      </c>
      <c r="E24" s="15" t="s">
        <v>1548</v>
      </c>
      <c r="F24" s="15" t="s">
        <v>1626</v>
      </c>
      <c r="G24" s="7">
        <v>13.945</v>
      </c>
      <c r="H24" s="15" t="s">
        <v>1675</v>
      </c>
      <c r="I24" s="15" t="s">
        <v>1628</v>
      </c>
      <c r="J24" s="15" t="s">
        <v>1676</v>
      </c>
      <c r="K24" s="15">
        <v>2.0</v>
      </c>
      <c r="L24" s="15">
        <v>2.0</v>
      </c>
      <c r="M24" s="40">
        <v>38862.0</v>
      </c>
      <c r="N24" s="41">
        <v>42297.0</v>
      </c>
      <c r="O24" s="15" t="s">
        <v>1554</v>
      </c>
      <c r="Q24" s="7"/>
    </row>
    <row r="25">
      <c r="A25" s="39" t="s">
        <v>1677</v>
      </c>
      <c r="B25" s="15">
        <v>347219.0</v>
      </c>
      <c r="C25" s="15" t="s">
        <v>1678</v>
      </c>
      <c r="D25" s="15">
        <v>17095.0</v>
      </c>
      <c r="E25" s="15" t="s">
        <v>1548</v>
      </c>
      <c r="F25" s="15" t="s">
        <v>1578</v>
      </c>
      <c r="G25" s="7">
        <v>13.731</v>
      </c>
      <c r="H25" s="15" t="s">
        <v>1679</v>
      </c>
      <c r="I25" s="15" t="s">
        <v>1628</v>
      </c>
      <c r="J25" s="15" t="s">
        <v>1680</v>
      </c>
      <c r="K25" s="15">
        <v>6.0</v>
      </c>
      <c r="L25" s="15">
        <v>6.0</v>
      </c>
      <c r="M25" s="40">
        <v>38831.0</v>
      </c>
      <c r="N25" s="41">
        <v>42297.0</v>
      </c>
      <c r="O25" s="15" t="s">
        <v>1554</v>
      </c>
      <c r="Q25" s="7"/>
    </row>
    <row r="26">
      <c r="A26" s="39" t="s">
        <v>1681</v>
      </c>
      <c r="B26" s="15">
        <v>405554.0</v>
      </c>
      <c r="C26" s="15" t="s">
        <v>1682</v>
      </c>
      <c r="D26" s="15">
        <v>18013.0</v>
      </c>
      <c r="E26" s="15" t="s">
        <v>1548</v>
      </c>
      <c r="F26" s="15" t="s">
        <v>1684</v>
      </c>
      <c r="G26" s="7">
        <v>26.66</v>
      </c>
      <c r="H26" s="15" t="s">
        <v>1685</v>
      </c>
      <c r="I26" s="15" t="s">
        <v>1686</v>
      </c>
      <c r="J26" s="15" t="s">
        <v>1687</v>
      </c>
      <c r="K26" s="15">
        <v>5.0</v>
      </c>
      <c r="L26" s="15">
        <v>5.0</v>
      </c>
      <c r="M26" s="40">
        <v>38997.0</v>
      </c>
      <c r="N26" s="40">
        <v>39211.0</v>
      </c>
      <c r="O26" s="15" t="s">
        <v>1554</v>
      </c>
      <c r="Q26" s="7"/>
    </row>
    <row r="27">
      <c r="A27" s="39" t="s">
        <v>1688</v>
      </c>
      <c r="B27" s="15">
        <v>370833.0</v>
      </c>
      <c r="C27" s="15" t="s">
        <v>1689</v>
      </c>
      <c r="D27" s="15">
        <v>18831.0</v>
      </c>
      <c r="E27" s="15" t="s">
        <v>1548</v>
      </c>
      <c r="F27" s="15" t="s">
        <v>1626</v>
      </c>
      <c r="G27" s="7">
        <v>13.211</v>
      </c>
      <c r="H27" s="15" t="s">
        <v>1690</v>
      </c>
      <c r="I27" s="15" t="s">
        <v>1628</v>
      </c>
      <c r="J27" s="15" t="s">
        <v>1691</v>
      </c>
      <c r="K27" s="15">
        <v>3.0</v>
      </c>
      <c r="L27" s="15">
        <v>3.0</v>
      </c>
      <c r="M27" s="41">
        <v>39082.0</v>
      </c>
      <c r="N27" s="41">
        <v>42297.0</v>
      </c>
      <c r="O27" s="15" t="s">
        <v>1554</v>
      </c>
      <c r="Q27" s="7"/>
    </row>
    <row r="28">
      <c r="A28" s="39" t="s">
        <v>1692</v>
      </c>
      <c r="B28" s="15">
        <v>437444.0</v>
      </c>
      <c r="C28" s="15" t="s">
        <v>1693</v>
      </c>
      <c r="D28" s="15">
        <v>19605.0</v>
      </c>
      <c r="E28" s="15" t="s">
        <v>1557</v>
      </c>
      <c r="F28" s="15" t="s">
        <v>1695</v>
      </c>
      <c r="G28" s="7">
        <v>23.814</v>
      </c>
      <c r="H28" s="15" t="s">
        <v>1696</v>
      </c>
      <c r="I28" s="15" t="s">
        <v>1618</v>
      </c>
      <c r="J28" s="15" t="s">
        <v>1697</v>
      </c>
      <c r="K28" s="15">
        <v>57.0</v>
      </c>
      <c r="L28" s="15">
        <v>57.0</v>
      </c>
      <c r="M28" s="40">
        <v>39197.0</v>
      </c>
      <c r="N28" s="40">
        <v>39514.0</v>
      </c>
      <c r="O28" s="15" t="s">
        <v>1554</v>
      </c>
      <c r="Q28" s="7"/>
    </row>
    <row r="29">
      <c r="A29" s="39" t="s">
        <v>1698</v>
      </c>
      <c r="B29" s="15">
        <v>425386.0</v>
      </c>
      <c r="C29" s="15" t="s">
        <v>1699</v>
      </c>
      <c r="D29" s="15">
        <v>19929.0</v>
      </c>
      <c r="E29" s="15" t="s">
        <v>1557</v>
      </c>
      <c r="F29" s="15" t="s">
        <v>1578</v>
      </c>
      <c r="G29" s="7">
        <v>18.098</v>
      </c>
      <c r="H29" s="15" t="s">
        <v>1700</v>
      </c>
      <c r="I29" s="15" t="s">
        <v>1618</v>
      </c>
      <c r="J29" s="15" t="s">
        <v>1701</v>
      </c>
      <c r="K29" s="15">
        <v>25.0</v>
      </c>
      <c r="L29" s="15">
        <v>25.0</v>
      </c>
      <c r="M29" s="40">
        <v>39242.0</v>
      </c>
      <c r="N29" s="40">
        <v>39514.0</v>
      </c>
      <c r="O29" s="15" t="s">
        <v>1554</v>
      </c>
      <c r="Q29" s="7"/>
    </row>
    <row r="30">
      <c r="A30" s="39" t="s">
        <v>1702</v>
      </c>
      <c r="B30" s="15">
        <v>439014.0</v>
      </c>
      <c r="C30" s="15" t="s">
        <v>1703</v>
      </c>
      <c r="D30" s="15">
        <v>20647.0</v>
      </c>
      <c r="E30" s="15" t="s">
        <v>1548</v>
      </c>
      <c r="F30" s="15" t="s">
        <v>1578</v>
      </c>
      <c r="G30" s="7">
        <v>4.449</v>
      </c>
      <c r="H30" s="15" t="s">
        <v>1705</v>
      </c>
      <c r="I30" s="15" t="s">
        <v>1706</v>
      </c>
      <c r="J30" s="15" t="s">
        <v>1707</v>
      </c>
      <c r="K30" s="15">
        <v>3.0</v>
      </c>
      <c r="L30" s="15">
        <v>3.0</v>
      </c>
      <c r="M30" s="40">
        <v>39278.0</v>
      </c>
      <c r="N30" s="40">
        <v>40744.0</v>
      </c>
      <c r="O30" s="15" t="s">
        <v>1554</v>
      </c>
      <c r="Q30" s="7"/>
    </row>
    <row r="31">
      <c r="A31" s="39" t="s">
        <v>1708</v>
      </c>
      <c r="B31" s="15">
        <v>439015.0</v>
      </c>
      <c r="C31" s="15" t="s">
        <v>1709</v>
      </c>
      <c r="D31" s="15">
        <v>20649.0</v>
      </c>
      <c r="E31" s="15" t="s">
        <v>1548</v>
      </c>
      <c r="F31" s="15" t="s">
        <v>1578</v>
      </c>
      <c r="G31" s="7">
        <v>9.236</v>
      </c>
      <c r="H31" s="15" t="s">
        <v>1710</v>
      </c>
      <c r="I31" s="15" t="s">
        <v>1706</v>
      </c>
      <c r="J31" s="15" t="s">
        <v>1711</v>
      </c>
      <c r="K31" s="15">
        <v>2.0</v>
      </c>
      <c r="L31" s="15">
        <v>2.0</v>
      </c>
      <c r="M31" s="40">
        <v>39278.0</v>
      </c>
      <c r="N31" s="40">
        <v>40744.0</v>
      </c>
      <c r="O31" s="15" t="s">
        <v>1554</v>
      </c>
      <c r="Q31" s="7"/>
    </row>
    <row r="32">
      <c r="A32" s="39" t="s">
        <v>1712</v>
      </c>
      <c r="B32" s="15">
        <v>439016.0</v>
      </c>
      <c r="C32" s="15" t="s">
        <v>1713</v>
      </c>
      <c r="D32" s="15">
        <v>20651.0</v>
      </c>
      <c r="E32" s="15" t="s">
        <v>1548</v>
      </c>
      <c r="F32" s="15" t="s">
        <v>1578</v>
      </c>
      <c r="G32" s="7">
        <v>8.926</v>
      </c>
      <c r="H32" s="15" t="s">
        <v>1714</v>
      </c>
      <c r="I32" s="15" t="s">
        <v>1706</v>
      </c>
      <c r="J32" s="15" t="s">
        <v>1715</v>
      </c>
      <c r="K32" s="15">
        <v>2.0</v>
      </c>
      <c r="L32" s="15">
        <v>2.0</v>
      </c>
      <c r="M32" s="40">
        <v>39278.0</v>
      </c>
      <c r="N32" s="40">
        <v>40744.0</v>
      </c>
      <c r="O32" s="15" t="s">
        <v>1554</v>
      </c>
      <c r="Q32" s="7"/>
    </row>
    <row r="33">
      <c r="A33" s="39" t="s">
        <v>1717</v>
      </c>
      <c r="B33" s="15">
        <v>96491.0</v>
      </c>
      <c r="C33" s="15" t="s">
        <v>1718</v>
      </c>
      <c r="D33" s="15">
        <v>28679.0</v>
      </c>
      <c r="E33" s="15" t="s">
        <v>1548</v>
      </c>
      <c r="F33" s="15" t="s">
        <v>1719</v>
      </c>
      <c r="G33" s="7">
        <v>26.253</v>
      </c>
      <c r="H33" s="15" t="s">
        <v>1720</v>
      </c>
      <c r="I33" s="15" t="s">
        <v>1560</v>
      </c>
      <c r="J33" s="15" t="s">
        <v>1721</v>
      </c>
      <c r="K33" s="15" t="s">
        <v>1722</v>
      </c>
      <c r="L33" s="15">
        <v>5.0</v>
      </c>
      <c r="M33" s="40">
        <v>36720.0</v>
      </c>
      <c r="N33" s="40">
        <v>40248.0</v>
      </c>
      <c r="O33" s="15" t="s">
        <v>1554</v>
      </c>
      <c r="Q33" s="7"/>
    </row>
    <row r="34">
      <c r="A34" s="39" t="s">
        <v>1724</v>
      </c>
      <c r="B34" s="15">
        <v>470166.0</v>
      </c>
      <c r="C34" s="15" t="s">
        <v>1725</v>
      </c>
      <c r="D34" s="15">
        <v>30365.0</v>
      </c>
      <c r="E34" s="15" t="s">
        <v>1548</v>
      </c>
      <c r="F34" s="15" t="s">
        <v>1626</v>
      </c>
      <c r="G34" s="7">
        <v>12.135</v>
      </c>
      <c r="H34" s="15" t="s">
        <v>1726</v>
      </c>
      <c r="I34" s="15" t="s">
        <v>1628</v>
      </c>
      <c r="J34" s="15" t="s">
        <v>1727</v>
      </c>
      <c r="K34" s="15">
        <v>3.0</v>
      </c>
      <c r="L34" s="15">
        <v>3.0</v>
      </c>
      <c r="M34" s="41">
        <v>39430.0</v>
      </c>
      <c r="N34" s="40">
        <v>42901.0</v>
      </c>
      <c r="O34" s="15" t="s">
        <v>1554</v>
      </c>
      <c r="Q34" s="7"/>
    </row>
    <row r="35">
      <c r="A35" s="39" t="s">
        <v>1728</v>
      </c>
      <c r="B35" s="15">
        <v>186786.0</v>
      </c>
      <c r="C35" s="15" t="s">
        <v>1729</v>
      </c>
      <c r="D35" s="15">
        <v>30737.0</v>
      </c>
      <c r="E35" s="15" t="s">
        <v>1548</v>
      </c>
      <c r="F35" s="15" t="s">
        <v>1578</v>
      </c>
      <c r="G35" s="7">
        <v>4.852</v>
      </c>
      <c r="H35" s="15" t="s">
        <v>1730</v>
      </c>
      <c r="I35" s="15" t="s">
        <v>1628</v>
      </c>
      <c r="J35" s="15" t="s">
        <v>1731</v>
      </c>
      <c r="K35" s="15">
        <v>3.0</v>
      </c>
      <c r="L35" s="15">
        <v>3.0</v>
      </c>
      <c r="M35" s="40">
        <v>39634.0</v>
      </c>
      <c r="N35" s="41">
        <v>42297.0</v>
      </c>
      <c r="O35" s="15" t="s">
        <v>1554</v>
      </c>
      <c r="Q35" s="7"/>
    </row>
    <row r="36">
      <c r="A36" s="39" t="s">
        <v>1733</v>
      </c>
      <c r="B36" s="15">
        <v>544686.0</v>
      </c>
      <c r="C36" s="15" t="s">
        <v>1734</v>
      </c>
      <c r="D36" s="15">
        <v>30739.0</v>
      </c>
      <c r="E36" s="15" t="s">
        <v>1548</v>
      </c>
      <c r="F36" s="15" t="s">
        <v>1578</v>
      </c>
      <c r="G36" s="7">
        <v>4.757</v>
      </c>
      <c r="H36" s="15" t="s">
        <v>1735</v>
      </c>
      <c r="I36" s="15" t="s">
        <v>1628</v>
      </c>
      <c r="J36" s="15" t="s">
        <v>1736</v>
      </c>
      <c r="K36" s="15">
        <v>3.0</v>
      </c>
      <c r="L36" s="15">
        <v>3.0</v>
      </c>
      <c r="M36" s="40">
        <v>39634.0</v>
      </c>
      <c r="N36" s="41">
        <v>42297.0</v>
      </c>
      <c r="O36" s="15" t="s">
        <v>1554</v>
      </c>
      <c r="Q36" s="7"/>
    </row>
    <row r="37">
      <c r="A37" s="39" t="s">
        <v>1737</v>
      </c>
      <c r="B37" s="15">
        <v>543939.0</v>
      </c>
      <c r="C37" s="15" t="s">
        <v>1738</v>
      </c>
      <c r="D37" s="15">
        <v>30929.0</v>
      </c>
      <c r="E37" s="15" t="s">
        <v>1664</v>
      </c>
      <c r="F37" s="15" t="s">
        <v>1739</v>
      </c>
      <c r="G37" s="7">
        <v>18.343</v>
      </c>
      <c r="H37" s="15">
        <v>27.0</v>
      </c>
      <c r="I37" s="15" t="s">
        <v>1740</v>
      </c>
      <c r="J37" s="15" t="s">
        <v>1741</v>
      </c>
      <c r="K37" s="15">
        <v>21.0</v>
      </c>
      <c r="L37" s="15">
        <v>21.0</v>
      </c>
      <c r="M37" s="40">
        <v>39666.0</v>
      </c>
      <c r="N37" s="40">
        <v>39702.0</v>
      </c>
      <c r="O37" s="15" t="s">
        <v>1554</v>
      </c>
      <c r="Q37" s="7"/>
    </row>
    <row r="38">
      <c r="A38" s="39" t="s">
        <v>1742</v>
      </c>
      <c r="B38" s="15">
        <v>305785.0</v>
      </c>
      <c r="C38" s="15" t="s">
        <v>1744</v>
      </c>
      <c r="D38" s="15">
        <v>32691.0</v>
      </c>
      <c r="E38" s="15" t="s">
        <v>1548</v>
      </c>
      <c r="F38" s="15" t="s">
        <v>1578</v>
      </c>
      <c r="G38" s="7">
        <v>4.652</v>
      </c>
      <c r="H38" s="15" t="s">
        <v>1745</v>
      </c>
      <c r="I38" s="15" t="s">
        <v>1628</v>
      </c>
      <c r="J38" s="15" t="s">
        <v>1746</v>
      </c>
      <c r="K38" s="15">
        <v>4.0</v>
      </c>
      <c r="L38" s="15">
        <v>4.0</v>
      </c>
      <c r="M38" s="41">
        <v>38335.0</v>
      </c>
      <c r="N38" s="41">
        <v>39765.0</v>
      </c>
      <c r="O38" s="15" t="s">
        <v>1554</v>
      </c>
      <c r="Q38" s="7"/>
    </row>
    <row r="39">
      <c r="A39" s="39" t="s">
        <v>1747</v>
      </c>
      <c r="B39" s="15">
        <v>644609.0</v>
      </c>
      <c r="C39" s="15" t="s">
        <v>1748</v>
      </c>
      <c r="D39" s="15">
        <v>38097.0</v>
      </c>
      <c r="E39" s="15" t="s">
        <v>1548</v>
      </c>
      <c r="F39" s="15" t="s">
        <v>1749</v>
      </c>
      <c r="G39" s="7">
        <v>11.752</v>
      </c>
      <c r="H39" s="15" t="s">
        <v>1750</v>
      </c>
      <c r="I39" s="15" t="s">
        <v>1751</v>
      </c>
      <c r="J39" s="15" t="s">
        <v>1752</v>
      </c>
      <c r="K39" s="15">
        <v>6.0</v>
      </c>
      <c r="L39" s="15">
        <v>6.0</v>
      </c>
      <c r="M39" s="40">
        <v>39951.0</v>
      </c>
      <c r="N39" s="40">
        <v>39953.0</v>
      </c>
      <c r="O39" s="15" t="s">
        <v>1554</v>
      </c>
      <c r="Q39" s="7"/>
    </row>
    <row r="40">
      <c r="A40" s="39" t="s">
        <v>1753</v>
      </c>
      <c r="B40" s="15">
        <v>644610.0</v>
      </c>
      <c r="C40" s="15" t="s">
        <v>1754</v>
      </c>
      <c r="D40" s="15">
        <v>38109.0</v>
      </c>
      <c r="E40" s="15" t="s">
        <v>1548</v>
      </c>
      <c r="F40" s="15" t="s">
        <v>1749</v>
      </c>
      <c r="G40" s="7">
        <v>11.631</v>
      </c>
      <c r="H40" s="15" t="s">
        <v>1756</v>
      </c>
      <c r="I40" s="15" t="s">
        <v>1751</v>
      </c>
      <c r="J40" s="15" t="s">
        <v>1757</v>
      </c>
      <c r="K40" s="15">
        <v>6.0</v>
      </c>
      <c r="L40" s="15">
        <v>6.0</v>
      </c>
      <c r="M40" s="40">
        <v>39951.0</v>
      </c>
      <c r="N40" s="40">
        <v>39953.0</v>
      </c>
      <c r="O40" s="15" t="s">
        <v>1554</v>
      </c>
      <c r="Q40" s="7"/>
    </row>
    <row r="41">
      <c r="A41" s="39" t="s">
        <v>1758</v>
      </c>
      <c r="B41" s="15">
        <v>573171.0</v>
      </c>
      <c r="C41" s="15" t="s">
        <v>1759</v>
      </c>
      <c r="D41" s="15">
        <v>39215.0</v>
      </c>
      <c r="E41" s="15" t="s">
        <v>1557</v>
      </c>
      <c r="F41" s="15" t="s">
        <v>1578</v>
      </c>
      <c r="G41" s="7">
        <v>57.611</v>
      </c>
      <c r="H41" s="15">
        <v>39.0</v>
      </c>
      <c r="I41" s="15" t="s">
        <v>1586</v>
      </c>
      <c r="J41" s="15" t="s">
        <v>1760</v>
      </c>
      <c r="K41" s="15">
        <v>75.0</v>
      </c>
      <c r="L41" s="15">
        <v>75.0</v>
      </c>
      <c r="M41" s="40">
        <v>41344.0</v>
      </c>
      <c r="N41" s="40">
        <v>41383.0</v>
      </c>
      <c r="O41" s="15" t="s">
        <v>1554</v>
      </c>
      <c r="Q41" s="7"/>
    </row>
    <row r="42">
      <c r="A42" s="39" t="s">
        <v>1761</v>
      </c>
      <c r="B42" s="15">
        <v>573173.0</v>
      </c>
      <c r="C42" s="15" t="s">
        <v>1762</v>
      </c>
      <c r="D42" s="15">
        <v>39217.0</v>
      </c>
      <c r="E42" s="15" t="s">
        <v>1557</v>
      </c>
      <c r="F42" s="15" t="s">
        <v>1578</v>
      </c>
      <c r="G42" s="7">
        <v>135.982</v>
      </c>
      <c r="H42" s="15" t="s">
        <v>1714</v>
      </c>
      <c r="I42" s="15" t="s">
        <v>1586</v>
      </c>
      <c r="J42" s="15" t="s">
        <v>1764</v>
      </c>
      <c r="K42" s="15">
        <v>265.0</v>
      </c>
      <c r="L42" s="15">
        <v>263.0</v>
      </c>
      <c r="M42" s="40">
        <v>41344.0</v>
      </c>
      <c r="N42" s="40">
        <v>41383.0</v>
      </c>
      <c r="O42" s="15" t="s">
        <v>1554</v>
      </c>
      <c r="Q42" s="7"/>
    </row>
    <row r="43">
      <c r="A43" s="39" t="s">
        <v>1765</v>
      </c>
      <c r="B43" s="15">
        <v>573175.0</v>
      </c>
      <c r="C43" s="15" t="s">
        <v>1766</v>
      </c>
      <c r="D43" s="15">
        <v>39219.0</v>
      </c>
      <c r="E43" s="15" t="s">
        <v>1557</v>
      </c>
      <c r="F43" s="15" t="s">
        <v>1767</v>
      </c>
      <c r="G43" s="7">
        <v>33.277</v>
      </c>
      <c r="H43" s="15" t="s">
        <v>1745</v>
      </c>
      <c r="I43" s="15" t="s">
        <v>1586</v>
      </c>
      <c r="J43" s="15" t="s">
        <v>1768</v>
      </c>
      <c r="K43" s="15">
        <v>51.0</v>
      </c>
      <c r="L43" s="15">
        <v>51.0</v>
      </c>
      <c r="M43" s="40">
        <v>41344.0</v>
      </c>
      <c r="N43" s="40">
        <v>41383.0</v>
      </c>
      <c r="O43" s="15" t="s">
        <v>1554</v>
      </c>
      <c r="Q43" s="7"/>
    </row>
    <row r="44">
      <c r="A44" s="39" t="s">
        <v>1769</v>
      </c>
      <c r="B44" s="15">
        <v>572239.0</v>
      </c>
      <c r="C44" s="15" t="s">
        <v>1770</v>
      </c>
      <c r="D44" s="15">
        <v>39307.0</v>
      </c>
      <c r="E44" s="15" t="s">
        <v>1548</v>
      </c>
      <c r="F44" s="15" t="s">
        <v>1771</v>
      </c>
      <c r="G44" s="7">
        <v>5.673</v>
      </c>
      <c r="H44" s="15" t="s">
        <v>1772</v>
      </c>
      <c r="I44" s="15" t="s">
        <v>1628</v>
      </c>
      <c r="J44" s="15" t="s">
        <v>1773</v>
      </c>
      <c r="K44" s="15">
        <v>7.0</v>
      </c>
      <c r="L44" s="15">
        <v>7.0</v>
      </c>
      <c r="M44" s="40">
        <v>40001.0</v>
      </c>
      <c r="N44" s="40">
        <v>42575.0</v>
      </c>
      <c r="O44" s="15" t="s">
        <v>1554</v>
      </c>
      <c r="Q44" s="7"/>
    </row>
    <row r="45">
      <c r="A45" s="39" t="s">
        <v>1774</v>
      </c>
      <c r="B45" s="15">
        <v>651733.0</v>
      </c>
      <c r="C45" s="15" t="s">
        <v>1775</v>
      </c>
      <c r="D45" s="15">
        <v>39349.0</v>
      </c>
      <c r="E45" s="15" t="s">
        <v>1548</v>
      </c>
      <c r="F45" s="15" t="s">
        <v>1776</v>
      </c>
      <c r="G45" s="7">
        <v>7.982</v>
      </c>
      <c r="H45" s="15" t="s">
        <v>1778</v>
      </c>
      <c r="I45" s="15" t="s">
        <v>1567</v>
      </c>
      <c r="J45" s="15" t="s">
        <v>1779</v>
      </c>
      <c r="K45" s="15">
        <v>1.0</v>
      </c>
      <c r="L45" s="15">
        <v>1.0</v>
      </c>
      <c r="M45" s="40">
        <v>39981.0</v>
      </c>
      <c r="N45" s="40">
        <v>40825.0</v>
      </c>
      <c r="O45" s="15" t="s">
        <v>1554</v>
      </c>
      <c r="Q45" s="7"/>
    </row>
    <row r="46">
      <c r="A46" s="39" t="s">
        <v>1780</v>
      </c>
      <c r="B46" s="15">
        <v>595895.0</v>
      </c>
      <c r="C46" s="15" t="s">
        <v>1781</v>
      </c>
      <c r="D46" s="15">
        <v>39351.0</v>
      </c>
      <c r="E46" s="15" t="s">
        <v>1548</v>
      </c>
      <c r="F46" s="15" t="s">
        <v>1578</v>
      </c>
      <c r="G46" s="7">
        <v>4.806</v>
      </c>
      <c r="H46" s="15" t="s">
        <v>1782</v>
      </c>
      <c r="I46" s="15" t="s">
        <v>1560</v>
      </c>
      <c r="J46" s="15" t="s">
        <v>1783</v>
      </c>
      <c r="K46" s="15">
        <v>2.0</v>
      </c>
      <c r="L46" s="15">
        <v>2.0</v>
      </c>
      <c r="M46" s="40">
        <v>40003.0</v>
      </c>
      <c r="N46" s="40">
        <v>41149.0</v>
      </c>
      <c r="O46" s="15" t="s">
        <v>1554</v>
      </c>
      <c r="Q46" s="7"/>
    </row>
    <row r="47">
      <c r="A47" s="39" t="s">
        <v>1784</v>
      </c>
      <c r="B47" s="15">
        <v>132477.0</v>
      </c>
      <c r="C47" s="15" t="s">
        <v>1785</v>
      </c>
      <c r="D47" s="15">
        <v>39583.0</v>
      </c>
      <c r="E47" s="15" t="s">
        <v>1548</v>
      </c>
      <c r="F47" s="15" t="s">
        <v>1786</v>
      </c>
      <c r="G47" s="7">
        <v>8.517</v>
      </c>
      <c r="H47" s="15">
        <v>46.0</v>
      </c>
      <c r="I47" s="15" t="s">
        <v>1628</v>
      </c>
      <c r="J47" s="15" t="s">
        <v>1787</v>
      </c>
      <c r="K47" s="15">
        <v>7.0</v>
      </c>
      <c r="L47" s="15">
        <v>7.0</v>
      </c>
      <c r="M47" s="40">
        <v>40006.0</v>
      </c>
      <c r="N47" s="40">
        <v>40185.0</v>
      </c>
      <c r="O47" s="15" t="s">
        <v>1554</v>
      </c>
      <c r="Q47" s="7"/>
    </row>
    <row r="48">
      <c r="A48" s="39" t="s">
        <v>1788</v>
      </c>
      <c r="B48" s="15">
        <v>656190.0</v>
      </c>
      <c r="C48" s="15" t="s">
        <v>1789</v>
      </c>
      <c r="D48" s="15">
        <v>39585.0</v>
      </c>
      <c r="E48" s="15" t="s">
        <v>1548</v>
      </c>
      <c r="F48" s="15" t="s">
        <v>1790</v>
      </c>
      <c r="G48" s="7">
        <v>16.354</v>
      </c>
      <c r="H48" s="15" t="s">
        <v>1792</v>
      </c>
      <c r="I48" s="15" t="s">
        <v>1628</v>
      </c>
      <c r="J48" s="15" t="s">
        <v>1793</v>
      </c>
      <c r="K48" s="15">
        <v>10.0</v>
      </c>
      <c r="L48" s="15">
        <v>10.0</v>
      </c>
      <c r="M48" s="40">
        <v>40005.0</v>
      </c>
      <c r="N48" s="41">
        <v>41240.0</v>
      </c>
      <c r="O48" s="15" t="s">
        <v>1554</v>
      </c>
      <c r="Q48" s="7"/>
    </row>
    <row r="49">
      <c r="A49" s="39" t="s">
        <v>1794</v>
      </c>
      <c r="B49" s="15">
        <v>659497.0</v>
      </c>
      <c r="C49" s="15" t="s">
        <v>1795</v>
      </c>
      <c r="D49" s="15">
        <v>39595.0</v>
      </c>
      <c r="E49" s="15" t="s">
        <v>1638</v>
      </c>
      <c r="F49" s="15" t="s">
        <v>1796</v>
      </c>
      <c r="G49" s="7">
        <v>3.726</v>
      </c>
      <c r="H49" s="15" t="s">
        <v>1797</v>
      </c>
      <c r="I49" s="15" t="s">
        <v>1628</v>
      </c>
      <c r="J49" s="15" t="s">
        <v>1798</v>
      </c>
      <c r="K49" s="15">
        <v>2.0</v>
      </c>
      <c r="L49" s="15">
        <v>2.0</v>
      </c>
      <c r="M49" s="40">
        <v>40015.0</v>
      </c>
      <c r="N49" s="41">
        <v>42297.0</v>
      </c>
      <c r="O49" s="15" t="s">
        <v>1554</v>
      </c>
      <c r="Q49" s="7"/>
    </row>
    <row r="50">
      <c r="A50" s="39" t="s">
        <v>1799</v>
      </c>
      <c r="B50" s="15">
        <v>390845.0</v>
      </c>
      <c r="C50" s="15" t="s">
        <v>1800</v>
      </c>
      <c r="D50" s="15">
        <v>39601.0</v>
      </c>
      <c r="E50" s="15" t="s">
        <v>1548</v>
      </c>
      <c r="F50" s="15" t="s">
        <v>1801</v>
      </c>
      <c r="G50" s="7">
        <v>11.064</v>
      </c>
      <c r="H50" s="15" t="s">
        <v>1802</v>
      </c>
      <c r="I50" s="15" t="s">
        <v>1803</v>
      </c>
      <c r="J50" s="15" t="s">
        <v>1804</v>
      </c>
      <c r="K50" s="15">
        <v>1.0</v>
      </c>
      <c r="L50" s="15">
        <v>2.0</v>
      </c>
      <c r="M50" s="40">
        <v>40002.0</v>
      </c>
      <c r="N50" s="40">
        <v>42642.0</v>
      </c>
      <c r="O50" s="15" t="s">
        <v>1554</v>
      </c>
      <c r="Q50" s="7"/>
    </row>
    <row r="51">
      <c r="A51" s="39" t="s">
        <v>1806</v>
      </c>
      <c r="B51" s="15">
        <v>627503.0</v>
      </c>
      <c r="C51" s="15" t="s">
        <v>1807</v>
      </c>
      <c r="D51" s="15">
        <v>39605.0</v>
      </c>
      <c r="E51" s="15" t="s">
        <v>1808</v>
      </c>
      <c r="F51" s="15" t="s">
        <v>1809</v>
      </c>
      <c r="G51" s="7">
        <v>2.386</v>
      </c>
      <c r="H51" s="15" t="s">
        <v>1685</v>
      </c>
      <c r="I51" s="15" t="s">
        <v>1628</v>
      </c>
      <c r="J51" s="15" t="s">
        <v>1810</v>
      </c>
      <c r="K51" s="15">
        <v>6.0</v>
      </c>
      <c r="L51" s="15">
        <v>6.0</v>
      </c>
      <c r="M51" s="40">
        <v>39966.0</v>
      </c>
      <c r="N51" s="40">
        <v>42045.0</v>
      </c>
      <c r="O51" s="15" t="s">
        <v>1554</v>
      </c>
      <c r="Q51" s="7"/>
    </row>
    <row r="52">
      <c r="A52" s="39" t="s">
        <v>1811</v>
      </c>
      <c r="B52" s="15">
        <v>579113.0</v>
      </c>
      <c r="C52" s="15" t="s">
        <v>1812</v>
      </c>
      <c r="D52" s="15">
        <v>39609.0</v>
      </c>
      <c r="E52" s="15" t="s">
        <v>1808</v>
      </c>
      <c r="F52" s="15" t="s">
        <v>1809</v>
      </c>
      <c r="G52" s="7">
        <v>2.774</v>
      </c>
      <c r="H52" s="15" t="s">
        <v>1813</v>
      </c>
      <c r="I52" s="15" t="s">
        <v>1628</v>
      </c>
      <c r="J52" s="15" t="s">
        <v>1814</v>
      </c>
      <c r="K52" s="15">
        <v>6.0</v>
      </c>
      <c r="L52" s="15">
        <v>2.0</v>
      </c>
      <c r="M52" s="40">
        <v>39853.0</v>
      </c>
      <c r="N52" s="40">
        <v>42045.0</v>
      </c>
      <c r="O52" s="15" t="s">
        <v>1554</v>
      </c>
      <c r="Q52" s="7"/>
    </row>
    <row r="53">
      <c r="A53" s="39" t="s">
        <v>1815</v>
      </c>
      <c r="B53" s="15">
        <v>653358.0</v>
      </c>
      <c r="C53" s="15" t="s">
        <v>1817</v>
      </c>
      <c r="D53" s="15">
        <v>39615.0</v>
      </c>
      <c r="E53" s="15" t="s">
        <v>1808</v>
      </c>
      <c r="F53" s="15" t="s">
        <v>1809</v>
      </c>
      <c r="G53" s="7">
        <v>2.791</v>
      </c>
      <c r="H53" s="15" t="s">
        <v>1818</v>
      </c>
      <c r="I53" s="15" t="s">
        <v>1628</v>
      </c>
      <c r="J53" s="15" t="s">
        <v>1819</v>
      </c>
      <c r="K53" s="15">
        <v>6.0</v>
      </c>
      <c r="L53" s="15">
        <v>6.0</v>
      </c>
      <c r="M53" s="40">
        <v>39977.0</v>
      </c>
      <c r="N53" s="40">
        <v>40520.0</v>
      </c>
      <c r="O53" s="15" t="s">
        <v>1554</v>
      </c>
      <c r="Q53" s="7"/>
    </row>
    <row r="54">
      <c r="A54" s="39" t="s">
        <v>1820</v>
      </c>
      <c r="B54" s="15">
        <v>915428.0</v>
      </c>
      <c r="C54" s="15" t="s">
        <v>1821</v>
      </c>
      <c r="D54" s="15">
        <v>39691.0</v>
      </c>
      <c r="E54" s="15" t="s">
        <v>1557</v>
      </c>
      <c r="F54" s="15" t="s">
        <v>1822</v>
      </c>
      <c r="G54" s="7">
        <v>7.184</v>
      </c>
      <c r="H54" s="15" t="s">
        <v>1823</v>
      </c>
      <c r="I54" s="15" t="s">
        <v>1686</v>
      </c>
      <c r="J54" s="15" t="s">
        <v>1824</v>
      </c>
      <c r="K54" s="15">
        <v>7.0</v>
      </c>
      <c r="L54" s="15">
        <v>7.0</v>
      </c>
      <c r="M54" s="40">
        <v>40022.0</v>
      </c>
      <c r="N54" s="41">
        <v>40535.0</v>
      </c>
      <c r="O54" s="15" t="s">
        <v>1554</v>
      </c>
      <c r="Q54" s="7"/>
    </row>
    <row r="55">
      <c r="A55" s="39" t="s">
        <v>1825</v>
      </c>
      <c r="B55" s="15">
        <v>104388.0</v>
      </c>
      <c r="C55" s="15" t="s">
        <v>1826</v>
      </c>
      <c r="D55" s="15">
        <v>39725.0</v>
      </c>
      <c r="E55" s="15" t="s">
        <v>1557</v>
      </c>
      <c r="F55" s="15" t="s">
        <v>1827</v>
      </c>
      <c r="G55" s="7">
        <v>158.091</v>
      </c>
      <c r="H55" s="15" t="s">
        <v>1828</v>
      </c>
      <c r="I55" s="15" t="s">
        <v>1686</v>
      </c>
      <c r="J55" s="15" t="s">
        <v>1829</v>
      </c>
      <c r="K55" s="15">
        <v>77.0</v>
      </c>
      <c r="L55" s="15">
        <v>77.0</v>
      </c>
      <c r="M55" s="40">
        <v>39677.0</v>
      </c>
      <c r="N55" s="41">
        <v>40498.0</v>
      </c>
      <c r="O55" s="15" t="s">
        <v>1554</v>
      </c>
      <c r="Q55" s="7"/>
    </row>
    <row r="56">
      <c r="A56" s="39" t="s">
        <v>1831</v>
      </c>
      <c r="B56" s="15">
        <v>335797.0</v>
      </c>
      <c r="C56" s="15" t="s">
        <v>1832</v>
      </c>
      <c r="D56" s="15">
        <v>39771.0</v>
      </c>
      <c r="E56" s="15" t="s">
        <v>1557</v>
      </c>
      <c r="F56" s="15" t="s">
        <v>1833</v>
      </c>
      <c r="G56" s="7">
        <v>39.896</v>
      </c>
      <c r="H56" s="15" t="s">
        <v>1834</v>
      </c>
      <c r="I56" s="15" t="s">
        <v>1586</v>
      </c>
      <c r="J56" s="15" t="s">
        <v>1835</v>
      </c>
      <c r="K56" s="15">
        <v>50.0</v>
      </c>
      <c r="L56" s="15">
        <v>50.0</v>
      </c>
      <c r="M56" s="40">
        <v>40028.0</v>
      </c>
      <c r="N56" s="40">
        <v>41029.0</v>
      </c>
      <c r="O56" s="15" t="s">
        <v>1554</v>
      </c>
      <c r="Q56" s="7"/>
    </row>
    <row r="57">
      <c r="A57" s="39" t="s">
        <v>1836</v>
      </c>
      <c r="B57" s="15">
        <v>573900.0</v>
      </c>
      <c r="C57" s="15" t="s">
        <v>1837</v>
      </c>
      <c r="D57" s="15">
        <v>39791.0</v>
      </c>
      <c r="E57" s="15" t="s">
        <v>1548</v>
      </c>
      <c r="F57" s="15" t="s">
        <v>1838</v>
      </c>
      <c r="G57" s="7">
        <v>10.59</v>
      </c>
      <c r="H57" s="15" t="s">
        <v>1839</v>
      </c>
      <c r="I57" s="15" t="s">
        <v>1567</v>
      </c>
      <c r="J57" s="15" t="s">
        <v>1840</v>
      </c>
      <c r="K57" s="15">
        <v>4.0</v>
      </c>
      <c r="L57" s="15">
        <v>4.0</v>
      </c>
      <c r="M57" s="40">
        <v>40025.0</v>
      </c>
      <c r="N57" s="40">
        <v>40150.0</v>
      </c>
      <c r="O57" s="15" t="s">
        <v>1554</v>
      </c>
      <c r="Q57" s="7"/>
    </row>
    <row r="58">
      <c r="A58" s="39" t="s">
        <v>1842</v>
      </c>
      <c r="B58" s="15">
        <v>590739.0</v>
      </c>
      <c r="C58" s="15" t="s">
        <v>1843</v>
      </c>
      <c r="D58" s="15">
        <v>39795.0</v>
      </c>
      <c r="E58" s="15" t="s">
        <v>1557</v>
      </c>
      <c r="F58" s="15" t="s">
        <v>1611</v>
      </c>
      <c r="G58" s="7">
        <v>40.975</v>
      </c>
      <c r="H58" s="15" t="s">
        <v>1844</v>
      </c>
      <c r="I58" s="15" t="s">
        <v>1586</v>
      </c>
      <c r="J58" s="15" t="s">
        <v>1845</v>
      </c>
      <c r="K58" s="15">
        <v>68.0</v>
      </c>
      <c r="L58" s="15">
        <v>68.0</v>
      </c>
      <c r="M58" s="40">
        <v>40026.0</v>
      </c>
      <c r="N58" s="40">
        <v>40599.0</v>
      </c>
      <c r="O58" s="15" t="s">
        <v>1554</v>
      </c>
      <c r="Q58" s="7"/>
    </row>
    <row r="59">
      <c r="A59" s="39" t="s">
        <v>1846</v>
      </c>
      <c r="B59" s="15">
        <v>645687.0</v>
      </c>
      <c r="C59" s="15" t="s">
        <v>1847</v>
      </c>
      <c r="D59" s="15">
        <v>39811.0</v>
      </c>
      <c r="E59" s="15" t="s">
        <v>1548</v>
      </c>
      <c r="F59" s="15" t="s">
        <v>1848</v>
      </c>
      <c r="G59" s="7">
        <v>6.586</v>
      </c>
      <c r="H59" s="15" t="s">
        <v>1849</v>
      </c>
      <c r="I59" s="15" t="s">
        <v>1686</v>
      </c>
      <c r="J59" s="15" t="s">
        <v>1850</v>
      </c>
      <c r="K59" s="15">
        <v>3.0</v>
      </c>
      <c r="L59" s="15">
        <v>3.0</v>
      </c>
      <c r="M59" s="40">
        <v>40029.0</v>
      </c>
      <c r="N59" s="40">
        <v>42457.0</v>
      </c>
      <c r="O59" s="15" t="s">
        <v>1554</v>
      </c>
      <c r="Q59" s="7"/>
    </row>
    <row r="60">
      <c r="A60" s="39" t="s">
        <v>1851</v>
      </c>
      <c r="B60" s="15">
        <v>283824.0</v>
      </c>
      <c r="C60" s="15" t="s">
        <v>1853</v>
      </c>
      <c r="D60" s="15">
        <v>39929.0</v>
      </c>
      <c r="E60" s="15" t="s">
        <v>1808</v>
      </c>
      <c r="F60" s="15" t="s">
        <v>1854</v>
      </c>
      <c r="G60" s="7">
        <v>7.907</v>
      </c>
      <c r="H60" s="15" t="s">
        <v>1855</v>
      </c>
      <c r="I60" s="15" t="s">
        <v>1628</v>
      </c>
      <c r="J60" s="15" t="s">
        <v>1856</v>
      </c>
      <c r="K60" s="15">
        <v>8.0</v>
      </c>
      <c r="L60" s="15">
        <v>8.0</v>
      </c>
      <c r="M60" s="40">
        <v>40033.0</v>
      </c>
      <c r="N60" s="40">
        <v>40081.0</v>
      </c>
      <c r="O60" s="15" t="s">
        <v>1554</v>
      </c>
      <c r="Q60" s="7"/>
    </row>
    <row r="61">
      <c r="A61" s="39" t="s">
        <v>1857</v>
      </c>
      <c r="B61" s="15">
        <v>664980.0</v>
      </c>
      <c r="C61" s="15" t="s">
        <v>1858</v>
      </c>
      <c r="D61" s="15">
        <v>39931.0</v>
      </c>
      <c r="E61" s="15" t="s">
        <v>1808</v>
      </c>
      <c r="F61" s="15" t="s">
        <v>1809</v>
      </c>
      <c r="G61" s="7">
        <v>2.748</v>
      </c>
      <c r="H61" s="15" t="s">
        <v>1859</v>
      </c>
      <c r="I61" s="15" t="s">
        <v>1628</v>
      </c>
      <c r="J61" s="15" t="s">
        <v>1860</v>
      </c>
      <c r="K61" s="15">
        <v>6.0</v>
      </c>
      <c r="L61" s="15">
        <v>6.0</v>
      </c>
      <c r="M61" s="40">
        <v>40035.0</v>
      </c>
      <c r="N61" s="41">
        <v>40500.0</v>
      </c>
      <c r="O61" s="15" t="s">
        <v>1554</v>
      </c>
      <c r="Q61" s="7"/>
    </row>
    <row r="62">
      <c r="A62" s="39" t="s">
        <v>1861</v>
      </c>
      <c r="B62" s="15">
        <v>559180.0</v>
      </c>
      <c r="C62" s="15" t="s">
        <v>1862</v>
      </c>
      <c r="D62" s="15">
        <v>39971.0</v>
      </c>
      <c r="E62" s="15" t="s">
        <v>1638</v>
      </c>
      <c r="F62" s="15" t="s">
        <v>1863</v>
      </c>
      <c r="G62" s="7">
        <v>6.725</v>
      </c>
      <c r="H62" s="15" t="s">
        <v>1864</v>
      </c>
      <c r="I62" s="15" t="s">
        <v>1751</v>
      </c>
      <c r="J62" s="15" t="s">
        <v>1865</v>
      </c>
      <c r="K62" s="15">
        <v>2.0</v>
      </c>
      <c r="L62" s="15">
        <v>2.0</v>
      </c>
      <c r="M62" s="40">
        <v>39959.0</v>
      </c>
      <c r="N62" s="41">
        <v>40499.0</v>
      </c>
      <c r="O62" s="15" t="s">
        <v>1554</v>
      </c>
      <c r="Q62" s="7"/>
    </row>
    <row r="63">
      <c r="A63" s="39" t="s">
        <v>1867</v>
      </c>
      <c r="B63" s="15">
        <v>479713.0</v>
      </c>
      <c r="C63" s="15" t="s">
        <v>1868</v>
      </c>
      <c r="D63" s="15">
        <v>39975.0</v>
      </c>
      <c r="E63" s="15" t="s">
        <v>1638</v>
      </c>
      <c r="F63" s="15" t="s">
        <v>1796</v>
      </c>
      <c r="G63" s="7">
        <v>4.734</v>
      </c>
      <c r="H63" s="15" t="s">
        <v>1869</v>
      </c>
      <c r="I63" s="15" t="s">
        <v>1628</v>
      </c>
      <c r="J63" s="15" t="s">
        <v>1870</v>
      </c>
      <c r="K63" s="15">
        <v>2.0</v>
      </c>
      <c r="L63" s="15">
        <v>2.0</v>
      </c>
      <c r="M63" s="40">
        <v>39390.0</v>
      </c>
      <c r="N63" s="40">
        <v>40049.0</v>
      </c>
      <c r="O63" s="15" t="s">
        <v>1554</v>
      </c>
      <c r="Q63" s="7"/>
    </row>
    <row r="64">
      <c r="A64" s="39" t="s">
        <v>1871</v>
      </c>
      <c r="B64" s="15">
        <v>561576.0</v>
      </c>
      <c r="C64" s="15" t="s">
        <v>1872</v>
      </c>
      <c r="D64" s="15">
        <v>39977.0</v>
      </c>
      <c r="E64" s="15" t="s">
        <v>1548</v>
      </c>
      <c r="F64" s="15" t="s">
        <v>1578</v>
      </c>
      <c r="G64" s="7">
        <v>4.835</v>
      </c>
      <c r="H64" s="15" t="s">
        <v>1873</v>
      </c>
      <c r="I64" s="15" t="s">
        <v>1628</v>
      </c>
      <c r="J64" s="15" t="s">
        <v>1874</v>
      </c>
      <c r="K64" s="15">
        <v>3.0</v>
      </c>
      <c r="L64" s="15">
        <v>3.0</v>
      </c>
      <c r="M64" s="40">
        <v>39715.0</v>
      </c>
      <c r="N64" s="41">
        <v>42297.0</v>
      </c>
      <c r="O64" s="15" t="s">
        <v>1554</v>
      </c>
      <c r="Q64" s="7"/>
    </row>
    <row r="65">
      <c r="A65" s="39" t="s">
        <v>1875</v>
      </c>
      <c r="B65" s="15">
        <v>664785.0</v>
      </c>
      <c r="C65" s="15" t="s">
        <v>1877</v>
      </c>
      <c r="D65" s="15">
        <v>39985.0</v>
      </c>
      <c r="E65" s="15" t="s">
        <v>1808</v>
      </c>
      <c r="F65" s="15" t="s">
        <v>1578</v>
      </c>
      <c r="G65" s="7">
        <v>2.166</v>
      </c>
      <c r="H65" s="15" t="s">
        <v>1700</v>
      </c>
      <c r="I65" s="15" t="s">
        <v>1552</v>
      </c>
      <c r="J65" s="15" t="s">
        <v>1878</v>
      </c>
      <c r="K65" s="15">
        <v>2.0</v>
      </c>
      <c r="L65" s="15">
        <v>2.0</v>
      </c>
      <c r="M65" s="40">
        <v>40042.0</v>
      </c>
      <c r="N65" s="40">
        <v>40318.0</v>
      </c>
      <c r="O65" s="15" t="s">
        <v>1554</v>
      </c>
      <c r="Q65" s="7"/>
    </row>
    <row r="66">
      <c r="A66" s="39" t="s">
        <v>1879</v>
      </c>
      <c r="B66" s="15">
        <v>485362.0</v>
      </c>
      <c r="C66" s="15" t="s">
        <v>1880</v>
      </c>
      <c r="D66" s="15">
        <v>39987.0</v>
      </c>
      <c r="E66" s="15" t="s">
        <v>1557</v>
      </c>
      <c r="F66" s="15" t="s">
        <v>1822</v>
      </c>
      <c r="G66" s="7">
        <v>7.498</v>
      </c>
      <c r="H66" s="15" t="s">
        <v>1881</v>
      </c>
      <c r="I66" s="15" t="s">
        <v>1686</v>
      </c>
      <c r="J66" s="15" t="s">
        <v>1882</v>
      </c>
      <c r="K66" s="15">
        <v>8.0</v>
      </c>
      <c r="L66" s="15">
        <v>8.0</v>
      </c>
      <c r="M66" s="40">
        <v>40042.0</v>
      </c>
      <c r="N66" s="40">
        <v>40263.0</v>
      </c>
      <c r="O66" s="15" t="s">
        <v>1554</v>
      </c>
      <c r="Q66" s="7"/>
    </row>
    <row r="67">
      <c r="A67" s="39" t="s">
        <v>1883</v>
      </c>
      <c r="B67" s="15">
        <v>659660.0</v>
      </c>
      <c r="C67" s="15" t="s">
        <v>1884</v>
      </c>
      <c r="D67" s="15">
        <v>40117.0</v>
      </c>
      <c r="E67" s="15" t="s">
        <v>1638</v>
      </c>
      <c r="F67" s="15" t="s">
        <v>1578</v>
      </c>
      <c r="G67" s="7">
        <v>9.235</v>
      </c>
      <c r="H67" s="15" t="s">
        <v>1885</v>
      </c>
      <c r="I67" s="15" t="s">
        <v>1628</v>
      </c>
      <c r="J67" s="15" t="s">
        <v>1886</v>
      </c>
      <c r="K67" s="15">
        <v>5.0</v>
      </c>
      <c r="L67" s="15">
        <v>5.0</v>
      </c>
      <c r="M67" s="40">
        <v>40045.0</v>
      </c>
      <c r="N67" s="41">
        <v>42297.0</v>
      </c>
      <c r="O67" s="15" t="s">
        <v>1554</v>
      </c>
      <c r="Q67" s="7"/>
    </row>
    <row r="68">
      <c r="A68" s="39" t="s">
        <v>1888</v>
      </c>
      <c r="B68" s="15">
        <v>666363.0</v>
      </c>
      <c r="C68" s="15" t="s">
        <v>1889</v>
      </c>
      <c r="D68" s="15">
        <v>40127.0</v>
      </c>
      <c r="E68" s="15" t="s">
        <v>1548</v>
      </c>
      <c r="F68" s="15" t="s">
        <v>1890</v>
      </c>
      <c r="G68" s="7">
        <v>12.39</v>
      </c>
      <c r="H68" s="15" t="s">
        <v>1792</v>
      </c>
      <c r="I68" s="15" t="s">
        <v>1560</v>
      </c>
      <c r="J68" s="15" t="s">
        <v>1891</v>
      </c>
      <c r="K68" s="15">
        <v>16.0</v>
      </c>
      <c r="L68" s="15">
        <v>6.0</v>
      </c>
      <c r="M68" s="40">
        <v>39342.0</v>
      </c>
      <c r="N68" s="40">
        <v>41410.0</v>
      </c>
      <c r="O68" s="15" t="s">
        <v>1554</v>
      </c>
      <c r="Q68" s="7"/>
    </row>
    <row r="69">
      <c r="A69" s="39" t="s">
        <v>1892</v>
      </c>
      <c r="B69" s="15">
        <v>668618.0</v>
      </c>
      <c r="C69" s="15" t="s">
        <v>1893</v>
      </c>
      <c r="D69" s="15">
        <v>40231.0</v>
      </c>
      <c r="E69" s="15" t="s">
        <v>1557</v>
      </c>
      <c r="F69" s="15" t="s">
        <v>1833</v>
      </c>
      <c r="G69" s="7">
        <v>40.761</v>
      </c>
      <c r="H69" s="15">
        <v>34.0</v>
      </c>
      <c r="I69" s="15" t="s">
        <v>1586</v>
      </c>
      <c r="J69" s="15" t="s">
        <v>1894</v>
      </c>
      <c r="K69" s="15">
        <v>69.0</v>
      </c>
      <c r="L69" s="15">
        <v>69.0</v>
      </c>
      <c r="M69" s="40">
        <v>40057.0</v>
      </c>
      <c r="N69" s="40">
        <v>41029.0</v>
      </c>
      <c r="O69" s="15" t="s">
        <v>1554</v>
      </c>
      <c r="Q69" s="7"/>
    </row>
    <row r="70">
      <c r="A70" s="39" t="s">
        <v>1895</v>
      </c>
      <c r="B70" s="15">
        <v>392504.0</v>
      </c>
      <c r="C70" s="15" t="s">
        <v>1897</v>
      </c>
      <c r="D70" s="15">
        <v>40327.0</v>
      </c>
      <c r="E70" s="15" t="s">
        <v>1548</v>
      </c>
      <c r="F70" s="15" t="s">
        <v>1626</v>
      </c>
      <c r="G70" s="7">
        <v>10.067</v>
      </c>
      <c r="H70" s="15" t="s">
        <v>1898</v>
      </c>
      <c r="I70" s="15" t="s">
        <v>1628</v>
      </c>
      <c r="J70" s="15" t="s">
        <v>1899</v>
      </c>
      <c r="K70" s="15">
        <v>2.0</v>
      </c>
      <c r="L70" s="15">
        <v>2.0</v>
      </c>
      <c r="M70" s="40">
        <v>40063.0</v>
      </c>
      <c r="N70" s="40">
        <v>40818.0</v>
      </c>
      <c r="O70" s="15" t="s">
        <v>1554</v>
      </c>
      <c r="Q70" s="7"/>
    </row>
    <row r="71">
      <c r="A71" s="39" t="s">
        <v>1900</v>
      </c>
      <c r="B71" s="15">
        <v>1513269.0</v>
      </c>
      <c r="C71" s="15" t="s">
        <v>1901</v>
      </c>
      <c r="D71" s="15">
        <v>40369.0</v>
      </c>
      <c r="E71" s="15" t="s">
        <v>1557</v>
      </c>
      <c r="F71" s="15" t="s">
        <v>1822</v>
      </c>
      <c r="G71" s="7">
        <v>8.242</v>
      </c>
      <c r="H71" s="15" t="s">
        <v>1902</v>
      </c>
      <c r="I71" s="15" t="s">
        <v>1686</v>
      </c>
      <c r="J71" s="15" t="s">
        <v>1903</v>
      </c>
      <c r="K71" s="15">
        <v>7.0</v>
      </c>
      <c r="L71" s="15">
        <v>7.0</v>
      </c>
      <c r="M71" s="40">
        <v>40070.0</v>
      </c>
      <c r="N71" s="40">
        <v>42576.0</v>
      </c>
      <c r="O71" s="15" t="s">
        <v>1554</v>
      </c>
      <c r="Q71" s="7"/>
    </row>
    <row r="72">
      <c r="A72" s="39" t="s">
        <v>1904</v>
      </c>
      <c r="B72" s="15">
        <v>52135.0</v>
      </c>
      <c r="C72" s="15" t="s">
        <v>1905</v>
      </c>
      <c r="D72" s="15">
        <v>40419.0</v>
      </c>
      <c r="E72" s="15" t="s">
        <v>1548</v>
      </c>
      <c r="F72" s="15" t="s">
        <v>1790</v>
      </c>
      <c r="G72" s="7">
        <v>16.184</v>
      </c>
      <c r="H72" s="15" t="s">
        <v>1906</v>
      </c>
      <c r="I72" s="15" t="s">
        <v>1628</v>
      </c>
      <c r="J72" s="15" t="s">
        <v>1908</v>
      </c>
      <c r="K72" s="15">
        <v>11.0</v>
      </c>
      <c r="L72" s="15">
        <v>11.0</v>
      </c>
      <c r="M72" s="40">
        <v>40025.0</v>
      </c>
      <c r="N72" s="40">
        <v>40366.0</v>
      </c>
      <c r="O72" s="15" t="s">
        <v>1554</v>
      </c>
      <c r="Q72" s="7"/>
    </row>
    <row r="73">
      <c r="A73" s="39" t="s">
        <v>1909</v>
      </c>
      <c r="B73" s="15">
        <v>433462.0</v>
      </c>
      <c r="C73" s="15" t="s">
        <v>1910</v>
      </c>
      <c r="D73" s="15">
        <v>40629.0</v>
      </c>
      <c r="E73" s="15" t="s">
        <v>1548</v>
      </c>
      <c r="F73" s="15" t="s">
        <v>1911</v>
      </c>
      <c r="G73" s="7">
        <v>9.502</v>
      </c>
      <c r="H73" s="15" t="s">
        <v>1912</v>
      </c>
      <c r="I73" s="15" t="s">
        <v>1628</v>
      </c>
      <c r="J73" s="15" t="s">
        <v>1913</v>
      </c>
      <c r="K73" s="15">
        <v>2.0</v>
      </c>
      <c r="L73" s="15">
        <v>2.0</v>
      </c>
      <c r="M73" s="40">
        <v>40078.0</v>
      </c>
      <c r="N73" s="40">
        <v>42045.0</v>
      </c>
      <c r="O73" s="15" t="s">
        <v>1554</v>
      </c>
      <c r="Q73" s="7"/>
    </row>
    <row r="74">
      <c r="A74" s="39" t="s">
        <v>1914</v>
      </c>
      <c r="B74" s="15">
        <v>671126.0</v>
      </c>
      <c r="C74" s="15" t="s">
        <v>1915</v>
      </c>
      <c r="D74" s="15">
        <v>40631.0</v>
      </c>
      <c r="E74" s="15" t="s">
        <v>1916</v>
      </c>
      <c r="F74" s="15" t="s">
        <v>1917</v>
      </c>
      <c r="G74" s="7">
        <v>7.586</v>
      </c>
      <c r="H74" s="15" t="s">
        <v>1918</v>
      </c>
      <c r="I74" s="15" t="s">
        <v>1628</v>
      </c>
      <c r="J74" s="15" t="s">
        <v>1919</v>
      </c>
      <c r="K74" s="15">
        <v>3.0</v>
      </c>
      <c r="L74" s="15">
        <v>3.0</v>
      </c>
      <c r="M74" s="40">
        <v>40076.0</v>
      </c>
      <c r="N74" s="41">
        <v>41240.0</v>
      </c>
      <c r="O74" s="15" t="s">
        <v>1554</v>
      </c>
      <c r="Q74" s="7"/>
    </row>
    <row r="75">
      <c r="A75" s="39" t="s">
        <v>1920</v>
      </c>
      <c r="B75" s="15">
        <v>573174.0</v>
      </c>
      <c r="C75" s="15" t="s">
        <v>1921</v>
      </c>
      <c r="D75" s="15">
        <v>40641.0</v>
      </c>
      <c r="E75" s="15" t="s">
        <v>1557</v>
      </c>
      <c r="F75" s="15" t="s">
        <v>1578</v>
      </c>
      <c r="G75" s="7">
        <v>107.218</v>
      </c>
      <c r="H75" s="15">
        <v>41.0</v>
      </c>
      <c r="I75" s="15" t="s">
        <v>1586</v>
      </c>
      <c r="J75" s="15" t="s">
        <v>1922</v>
      </c>
      <c r="K75" s="15">
        <v>156.0</v>
      </c>
      <c r="L75" s="15">
        <v>154.0</v>
      </c>
      <c r="M75" s="40">
        <v>41344.0</v>
      </c>
      <c r="N75" s="40">
        <v>41383.0</v>
      </c>
      <c r="O75" s="15" t="s">
        <v>1554</v>
      </c>
      <c r="Q75" s="7"/>
    </row>
    <row r="76">
      <c r="A76" s="39" t="s">
        <v>1924</v>
      </c>
      <c r="B76" s="15">
        <v>545259.0</v>
      </c>
      <c r="C76" s="15" t="s">
        <v>1925</v>
      </c>
      <c r="D76" s="15">
        <v>40661.0</v>
      </c>
      <c r="E76" s="15" t="s">
        <v>1548</v>
      </c>
      <c r="F76" s="15" t="s">
        <v>1926</v>
      </c>
      <c r="G76" s="7">
        <v>8.535</v>
      </c>
      <c r="H76" s="15" t="s">
        <v>1927</v>
      </c>
      <c r="I76" s="15" t="s">
        <v>1628</v>
      </c>
      <c r="J76" s="15" t="s">
        <v>1928</v>
      </c>
      <c r="K76" s="15">
        <v>4.0</v>
      </c>
      <c r="L76" s="15">
        <v>4.0</v>
      </c>
      <c r="M76" s="40">
        <v>40082.0</v>
      </c>
      <c r="N76" s="41">
        <v>42297.0</v>
      </c>
      <c r="O76" s="15" t="s">
        <v>1554</v>
      </c>
      <c r="Q76" s="7"/>
    </row>
    <row r="77">
      <c r="A77" s="39" t="s">
        <v>1929</v>
      </c>
      <c r="B77" s="15">
        <v>449133.0</v>
      </c>
      <c r="C77" s="15" t="s">
        <v>1930</v>
      </c>
      <c r="D77" s="15">
        <v>41081.0</v>
      </c>
      <c r="E77" s="15" t="s">
        <v>1638</v>
      </c>
      <c r="F77" s="15" t="s">
        <v>1863</v>
      </c>
      <c r="G77" s="7">
        <v>19.405</v>
      </c>
      <c r="H77" s="15" t="s">
        <v>1931</v>
      </c>
      <c r="I77" s="15" t="s">
        <v>1751</v>
      </c>
      <c r="J77" s="15" t="s">
        <v>1932</v>
      </c>
      <c r="K77" s="15">
        <v>10.0</v>
      </c>
      <c r="L77" s="15">
        <v>10.0</v>
      </c>
      <c r="M77" s="40">
        <v>40085.0</v>
      </c>
      <c r="N77" s="40">
        <v>42080.0</v>
      </c>
      <c r="O77" s="15" t="s">
        <v>1554</v>
      </c>
      <c r="Q77" s="7"/>
    </row>
    <row r="78">
      <c r="A78" s="39" t="s">
        <v>1933</v>
      </c>
      <c r="B78" s="15">
        <v>634441.0</v>
      </c>
      <c r="C78" s="15" t="s">
        <v>1934</v>
      </c>
      <c r="D78" s="15">
        <v>41173.0</v>
      </c>
      <c r="E78" s="15" t="s">
        <v>1808</v>
      </c>
      <c r="F78" s="15" t="s">
        <v>1809</v>
      </c>
      <c r="G78" s="7">
        <v>2.751</v>
      </c>
      <c r="H78" s="15" t="s">
        <v>1710</v>
      </c>
      <c r="I78" s="15" t="s">
        <v>1628</v>
      </c>
      <c r="J78" s="15" t="s">
        <v>1935</v>
      </c>
      <c r="K78" s="15">
        <v>6.0</v>
      </c>
      <c r="L78" s="15">
        <v>6.0</v>
      </c>
      <c r="M78" s="40">
        <v>40086.0</v>
      </c>
      <c r="N78" s="40">
        <v>40445.0</v>
      </c>
      <c r="O78" s="15" t="s">
        <v>1554</v>
      </c>
      <c r="Q78" s="7"/>
    </row>
    <row r="79">
      <c r="A79" s="39" t="s">
        <v>1937</v>
      </c>
      <c r="B79" s="15">
        <v>667119.0</v>
      </c>
      <c r="C79" s="15" t="s">
        <v>1938</v>
      </c>
      <c r="D79" s="15">
        <v>41175.0</v>
      </c>
      <c r="E79" s="15" t="s">
        <v>1808</v>
      </c>
      <c r="F79" s="15" t="s">
        <v>1809</v>
      </c>
      <c r="G79" s="7">
        <v>5.39</v>
      </c>
      <c r="H79" s="15" t="s">
        <v>1939</v>
      </c>
      <c r="I79" s="15" t="s">
        <v>1628</v>
      </c>
      <c r="J79" s="15" t="s">
        <v>1940</v>
      </c>
      <c r="K79" s="15">
        <v>9.0</v>
      </c>
      <c r="L79" s="15">
        <v>9.0</v>
      </c>
      <c r="M79" s="40">
        <v>40092.0</v>
      </c>
      <c r="N79" s="40">
        <v>42376.0</v>
      </c>
      <c r="O79" s="15" t="s">
        <v>1554</v>
      </c>
      <c r="Q79" s="7"/>
    </row>
    <row r="80">
      <c r="A80" s="39" t="s">
        <v>1941</v>
      </c>
      <c r="B80" s="15">
        <v>682382.0</v>
      </c>
      <c r="C80" s="15" t="s">
        <v>1942</v>
      </c>
      <c r="D80" s="15">
        <v>41413.0</v>
      </c>
      <c r="E80" s="15" t="s">
        <v>1548</v>
      </c>
      <c r="F80" s="15" t="s">
        <v>1848</v>
      </c>
      <c r="G80" s="7">
        <v>6.534</v>
      </c>
      <c r="H80" s="15" t="s">
        <v>1943</v>
      </c>
      <c r="I80" s="15" t="s">
        <v>1686</v>
      </c>
      <c r="J80" s="15" t="s">
        <v>1944</v>
      </c>
      <c r="K80" s="15">
        <v>3.0</v>
      </c>
      <c r="L80" s="15">
        <v>3.0</v>
      </c>
      <c r="M80" s="41">
        <v>40110.0</v>
      </c>
      <c r="N80" s="40">
        <v>42457.0</v>
      </c>
      <c r="O80" s="15" t="s">
        <v>1554</v>
      </c>
      <c r="Q80" s="7"/>
    </row>
    <row r="81">
      <c r="A81" s="39" t="s">
        <v>1945</v>
      </c>
      <c r="B81" s="15">
        <v>43761.0</v>
      </c>
      <c r="C81" s="15" t="s">
        <v>1946</v>
      </c>
      <c r="D81" s="15">
        <v>41605.0</v>
      </c>
      <c r="E81" s="15" t="s">
        <v>1548</v>
      </c>
      <c r="F81" s="15" t="s">
        <v>1948</v>
      </c>
      <c r="G81" s="7">
        <v>4.534</v>
      </c>
      <c r="H81" s="15" t="s">
        <v>1949</v>
      </c>
      <c r="I81" s="15" t="s">
        <v>1686</v>
      </c>
      <c r="J81" s="15" t="s">
        <v>1950</v>
      </c>
      <c r="K81" s="15">
        <v>3.0</v>
      </c>
      <c r="L81" s="15">
        <v>3.0</v>
      </c>
      <c r="M81" s="40">
        <v>40118.0</v>
      </c>
      <c r="N81" s="40">
        <v>40126.0</v>
      </c>
      <c r="O81" s="15" t="s">
        <v>1554</v>
      </c>
      <c r="Q81" s="7"/>
    </row>
    <row r="82">
      <c r="A82" s="39" t="s">
        <v>1951</v>
      </c>
      <c r="B82" s="15">
        <v>43764.0</v>
      </c>
      <c r="C82" s="15" t="s">
        <v>1952</v>
      </c>
      <c r="D82" s="15">
        <v>41607.0</v>
      </c>
      <c r="E82" s="15" t="s">
        <v>1548</v>
      </c>
      <c r="F82" s="15" t="s">
        <v>1948</v>
      </c>
      <c r="G82" s="7">
        <v>4.534</v>
      </c>
      <c r="H82" s="15" t="s">
        <v>1953</v>
      </c>
      <c r="I82" s="15" t="s">
        <v>1686</v>
      </c>
      <c r="J82" s="15" t="s">
        <v>1954</v>
      </c>
      <c r="K82" s="15">
        <v>3.0</v>
      </c>
      <c r="L82" s="15">
        <v>3.0</v>
      </c>
      <c r="M82" s="40">
        <v>40118.0</v>
      </c>
      <c r="N82" s="41">
        <v>41236.0</v>
      </c>
      <c r="O82" s="15" t="s">
        <v>1554</v>
      </c>
      <c r="Q82" s="7"/>
    </row>
    <row r="83">
      <c r="A83" s="39" t="s">
        <v>1955</v>
      </c>
      <c r="B83" s="15">
        <v>683179.0</v>
      </c>
      <c r="C83" s="15" t="s">
        <v>1956</v>
      </c>
      <c r="D83" s="15">
        <v>41611.0</v>
      </c>
      <c r="E83" s="15" t="s">
        <v>1808</v>
      </c>
      <c r="F83" s="15" t="s">
        <v>1809</v>
      </c>
      <c r="G83" s="7">
        <v>2.744</v>
      </c>
      <c r="H83" s="15" t="s">
        <v>1957</v>
      </c>
      <c r="I83" s="15" t="s">
        <v>1628</v>
      </c>
      <c r="J83" s="15" t="s">
        <v>1958</v>
      </c>
      <c r="K83" s="15">
        <v>3.0</v>
      </c>
      <c r="L83" s="15">
        <v>3.0</v>
      </c>
      <c r="M83" s="41">
        <v>40117.0</v>
      </c>
      <c r="N83" s="41">
        <v>41240.0</v>
      </c>
      <c r="O83" s="15" t="s">
        <v>1554</v>
      </c>
      <c r="Q83" s="7"/>
    </row>
    <row r="84">
      <c r="A84" s="39" t="s">
        <v>1959</v>
      </c>
      <c r="B84" s="15">
        <v>652718.0</v>
      </c>
      <c r="C84" s="15" t="s">
        <v>1961</v>
      </c>
      <c r="D84" s="15">
        <v>41623.0</v>
      </c>
      <c r="E84" s="15" t="s">
        <v>1808</v>
      </c>
      <c r="F84" s="15" t="s">
        <v>1809</v>
      </c>
      <c r="G84" s="7">
        <v>2.807</v>
      </c>
      <c r="H84" s="15" t="s">
        <v>1962</v>
      </c>
      <c r="I84" s="15" t="s">
        <v>1628</v>
      </c>
      <c r="J84" s="15" t="s">
        <v>1963</v>
      </c>
      <c r="K84" s="15">
        <v>6.0</v>
      </c>
      <c r="L84" s="15">
        <v>6.0</v>
      </c>
      <c r="M84" s="40">
        <v>39981.0</v>
      </c>
      <c r="N84" s="40">
        <v>40520.0</v>
      </c>
      <c r="O84" s="15" t="s">
        <v>1554</v>
      </c>
      <c r="Q84" s="7"/>
    </row>
    <row r="85">
      <c r="A85" s="39" t="s">
        <v>1964</v>
      </c>
      <c r="B85" s="15">
        <v>665032.0</v>
      </c>
      <c r="C85" s="15" t="s">
        <v>1965</v>
      </c>
      <c r="D85" s="15">
        <v>42945.0</v>
      </c>
      <c r="E85" s="15" t="s">
        <v>1557</v>
      </c>
      <c r="F85" s="15" t="s">
        <v>1767</v>
      </c>
      <c r="G85" s="7">
        <v>157.486</v>
      </c>
      <c r="H85" s="15" t="s">
        <v>1966</v>
      </c>
      <c r="I85" s="15" t="s">
        <v>1586</v>
      </c>
      <c r="J85" s="15" t="s">
        <v>1967</v>
      </c>
      <c r="K85" s="15">
        <v>238.0</v>
      </c>
      <c r="L85" s="15">
        <v>236.0</v>
      </c>
      <c r="M85" s="40">
        <v>40065.0</v>
      </c>
      <c r="N85" s="40">
        <v>40186.0</v>
      </c>
      <c r="O85" s="15" t="s">
        <v>1554</v>
      </c>
      <c r="Q85" s="7"/>
    </row>
    <row r="86">
      <c r="A86" s="39" t="s">
        <v>1968</v>
      </c>
      <c r="B86" s="15">
        <v>686439.0</v>
      </c>
      <c r="C86" s="15" t="s">
        <v>1969</v>
      </c>
      <c r="D86" s="15">
        <v>42947.0</v>
      </c>
      <c r="E86" s="15" t="s">
        <v>1557</v>
      </c>
      <c r="F86" s="15" t="s">
        <v>1833</v>
      </c>
      <c r="G86" s="7">
        <v>58.652</v>
      </c>
      <c r="H86" s="15">
        <v>57.0</v>
      </c>
      <c r="I86" s="15" t="s">
        <v>1586</v>
      </c>
      <c r="J86" s="15" t="s">
        <v>1971</v>
      </c>
      <c r="K86" s="15">
        <v>74.0</v>
      </c>
      <c r="L86" s="15">
        <v>74.0</v>
      </c>
      <c r="M86" s="40">
        <v>40120.0</v>
      </c>
      <c r="N86" s="40">
        <v>40520.0</v>
      </c>
      <c r="O86" s="15" t="s">
        <v>1554</v>
      </c>
      <c r="Q86" s="7"/>
    </row>
    <row r="87">
      <c r="A87" s="39" t="s">
        <v>1972</v>
      </c>
      <c r="B87" s="15">
        <v>655098.0</v>
      </c>
      <c r="C87" s="15" t="s">
        <v>1973</v>
      </c>
      <c r="D87" s="15">
        <v>42949.0</v>
      </c>
      <c r="E87" s="15" t="s">
        <v>1557</v>
      </c>
      <c r="F87" s="15" t="s">
        <v>1611</v>
      </c>
      <c r="G87" s="7">
        <v>72.544</v>
      </c>
      <c r="H87" s="15">
        <v>55.0</v>
      </c>
      <c r="I87" s="15" t="s">
        <v>1586</v>
      </c>
      <c r="J87" s="15" t="s">
        <v>1974</v>
      </c>
      <c r="K87" s="15">
        <v>90.0</v>
      </c>
      <c r="L87" s="15">
        <v>90.0</v>
      </c>
      <c r="M87" s="40">
        <v>40078.0</v>
      </c>
      <c r="N87" s="40">
        <v>40568.0</v>
      </c>
      <c r="O87" s="15" t="s">
        <v>1554</v>
      </c>
      <c r="Q87" s="7"/>
    </row>
    <row r="88">
      <c r="A88" s="39" t="s">
        <v>1975</v>
      </c>
      <c r="B88" s="15">
        <v>655097.0</v>
      </c>
      <c r="C88" s="15" t="s">
        <v>1976</v>
      </c>
      <c r="D88" s="15">
        <v>42951.0</v>
      </c>
      <c r="E88" s="15" t="s">
        <v>1557</v>
      </c>
      <c r="F88" s="15" t="s">
        <v>1611</v>
      </c>
      <c r="G88" s="7">
        <v>74.901</v>
      </c>
      <c r="H88" s="15" t="s">
        <v>1977</v>
      </c>
      <c r="I88" s="15" t="s">
        <v>1586</v>
      </c>
      <c r="J88" s="15" t="s">
        <v>1978</v>
      </c>
      <c r="K88" s="15">
        <v>115.0</v>
      </c>
      <c r="L88" s="15">
        <v>115.0</v>
      </c>
      <c r="M88" s="40">
        <v>40078.0</v>
      </c>
      <c r="N88" s="40">
        <v>40568.0</v>
      </c>
      <c r="O88" s="15" t="s">
        <v>1554</v>
      </c>
      <c r="Q88" s="7"/>
    </row>
    <row r="89">
      <c r="A89" s="39" t="s">
        <v>1980</v>
      </c>
      <c r="B89" s="15">
        <v>694581.0</v>
      </c>
      <c r="C89" s="15" t="s">
        <v>1981</v>
      </c>
      <c r="D89" s="15">
        <v>43573.0</v>
      </c>
      <c r="E89" s="15" t="s">
        <v>1557</v>
      </c>
      <c r="F89" s="15" t="s">
        <v>1982</v>
      </c>
      <c r="G89" s="7">
        <v>368.454</v>
      </c>
      <c r="H89" s="15" t="s">
        <v>1983</v>
      </c>
      <c r="I89" s="15" t="s">
        <v>1740</v>
      </c>
      <c r="J89" s="15" t="s">
        <v>1984</v>
      </c>
      <c r="K89" s="15">
        <v>457.0</v>
      </c>
      <c r="L89" s="15">
        <v>428.0</v>
      </c>
      <c r="M89" s="40">
        <v>40187.0</v>
      </c>
      <c r="N89" s="40">
        <v>41810.0</v>
      </c>
      <c r="O89" s="15" t="s">
        <v>1554</v>
      </c>
      <c r="Q89" s="7"/>
    </row>
    <row r="90">
      <c r="A90" s="39" t="s">
        <v>1985</v>
      </c>
      <c r="B90" s="15">
        <v>710112.0</v>
      </c>
      <c r="C90" s="15" t="s">
        <v>1986</v>
      </c>
      <c r="D90" s="15">
        <v>43589.0</v>
      </c>
      <c r="E90" s="15" t="s">
        <v>1664</v>
      </c>
      <c r="F90" s="15" t="s">
        <v>1987</v>
      </c>
      <c r="G90" s="7">
        <v>8.082</v>
      </c>
      <c r="H90" s="15" t="s">
        <v>1617</v>
      </c>
      <c r="I90" s="15" t="s">
        <v>1618</v>
      </c>
      <c r="J90" s="15" t="s">
        <v>1988</v>
      </c>
      <c r="K90" s="15">
        <v>8.0</v>
      </c>
      <c r="L90" s="15">
        <v>8.0</v>
      </c>
      <c r="M90" s="40">
        <v>40203.0</v>
      </c>
      <c r="N90" s="40">
        <v>40205.0</v>
      </c>
      <c r="O90" s="15" t="s">
        <v>1554</v>
      </c>
      <c r="Q90" s="7"/>
    </row>
    <row r="91">
      <c r="A91" s="39" t="s">
        <v>1990</v>
      </c>
      <c r="B91" s="15">
        <v>36355.0</v>
      </c>
      <c r="C91" s="15" t="s">
        <v>1991</v>
      </c>
      <c r="D91" s="15">
        <v>43731.0</v>
      </c>
      <c r="E91" s="15" t="s">
        <v>1557</v>
      </c>
      <c r="F91" s="15" t="s">
        <v>1992</v>
      </c>
      <c r="G91" s="7">
        <v>176.677</v>
      </c>
      <c r="H91" s="15" t="s">
        <v>1994</v>
      </c>
      <c r="I91" s="15" t="s">
        <v>1560</v>
      </c>
      <c r="J91" s="15" t="s">
        <v>1995</v>
      </c>
      <c r="K91" s="15">
        <v>183.0</v>
      </c>
      <c r="L91" s="15">
        <v>183.0</v>
      </c>
      <c r="M91" s="41">
        <v>39752.0</v>
      </c>
      <c r="N91" s="40">
        <v>40210.0</v>
      </c>
      <c r="O91" s="15" t="s">
        <v>1554</v>
      </c>
      <c r="Q91" s="7"/>
    </row>
    <row r="92">
      <c r="A92" s="39" t="s">
        <v>1996</v>
      </c>
      <c r="B92" s="15">
        <v>720569.0</v>
      </c>
      <c r="C92" s="15" t="s">
        <v>1997</v>
      </c>
      <c r="D92" s="15">
        <v>45807.0</v>
      </c>
      <c r="E92" s="15" t="s">
        <v>1808</v>
      </c>
      <c r="F92" s="15" t="s">
        <v>1998</v>
      </c>
      <c r="G92" s="7">
        <v>1.767</v>
      </c>
      <c r="H92" s="15" t="s">
        <v>2000</v>
      </c>
      <c r="I92" s="15" t="s">
        <v>1686</v>
      </c>
      <c r="J92" s="15" t="s">
        <v>2001</v>
      </c>
      <c r="K92" s="15">
        <v>2.0</v>
      </c>
      <c r="L92" s="15">
        <v>2.0</v>
      </c>
      <c r="M92" s="41">
        <v>40178.0</v>
      </c>
      <c r="N92" s="40">
        <v>40577.0</v>
      </c>
      <c r="O92" s="15" t="s">
        <v>1554</v>
      </c>
      <c r="Q92" s="7"/>
    </row>
    <row r="93">
      <c r="A93" s="39" t="s">
        <v>2002</v>
      </c>
      <c r="B93" s="15">
        <v>715223.0</v>
      </c>
      <c r="C93" s="15" t="s">
        <v>2003</v>
      </c>
      <c r="D93" s="15">
        <v>45909.0</v>
      </c>
      <c r="E93" s="15" t="s">
        <v>1557</v>
      </c>
      <c r="F93" s="15" t="s">
        <v>2004</v>
      </c>
      <c r="G93" s="7">
        <v>5.112</v>
      </c>
      <c r="H93" s="15" t="s">
        <v>2005</v>
      </c>
      <c r="I93" s="15" t="s">
        <v>1686</v>
      </c>
      <c r="J93" s="15" t="s">
        <v>2006</v>
      </c>
      <c r="K93" s="15">
        <v>6.0</v>
      </c>
      <c r="L93" s="15">
        <v>6.0</v>
      </c>
      <c r="M93" s="40">
        <v>40216.0</v>
      </c>
      <c r="N93" s="40">
        <v>41373.0</v>
      </c>
      <c r="O93" s="15" t="s">
        <v>1554</v>
      </c>
      <c r="Q93" s="7"/>
    </row>
    <row r="94">
      <c r="A94" s="39" t="s">
        <v>2007</v>
      </c>
      <c r="B94" s="15">
        <v>252584.0</v>
      </c>
      <c r="C94" s="15" t="s">
        <v>2008</v>
      </c>
      <c r="D94" s="15">
        <v>45911.0</v>
      </c>
      <c r="E94" s="15" t="s">
        <v>1557</v>
      </c>
      <c r="F94" s="15" t="s">
        <v>1992</v>
      </c>
      <c r="G94" s="7">
        <v>108.592</v>
      </c>
      <c r="H94" s="15" t="s">
        <v>2009</v>
      </c>
      <c r="I94" s="15" t="s">
        <v>1560</v>
      </c>
      <c r="J94" s="15" t="s">
        <v>2010</v>
      </c>
      <c r="K94" s="15">
        <v>120.0</v>
      </c>
      <c r="L94" s="15">
        <v>120.0</v>
      </c>
      <c r="M94" s="41">
        <v>40178.0</v>
      </c>
      <c r="N94" s="40">
        <v>41135.0</v>
      </c>
      <c r="O94" s="15" t="s">
        <v>1554</v>
      </c>
      <c r="Q94" s="7"/>
    </row>
    <row r="95">
      <c r="A95" s="39" t="s">
        <v>2011</v>
      </c>
      <c r="B95" s="15">
        <v>713089.0</v>
      </c>
      <c r="C95" s="15" t="s">
        <v>2013</v>
      </c>
      <c r="D95" s="15">
        <v>45931.0</v>
      </c>
      <c r="E95" s="15" t="s">
        <v>2014</v>
      </c>
      <c r="F95" s="15" t="s">
        <v>1578</v>
      </c>
      <c r="G95" s="7">
        <v>1.347</v>
      </c>
      <c r="H95" s="15">
        <v>40.0</v>
      </c>
      <c r="I95" s="15" t="s">
        <v>1628</v>
      </c>
      <c r="J95" s="15" t="s">
        <v>2015</v>
      </c>
      <c r="K95" s="15">
        <v>1.0</v>
      </c>
      <c r="L95" s="15">
        <v>1.0</v>
      </c>
      <c r="M95" s="40">
        <v>40217.0</v>
      </c>
      <c r="N95" s="40">
        <v>41110.0</v>
      </c>
      <c r="O95" s="15" t="s">
        <v>1554</v>
      </c>
      <c r="Q95" s="7"/>
    </row>
    <row r="96">
      <c r="A96" s="39" t="s">
        <v>2016</v>
      </c>
      <c r="B96" s="15">
        <v>713092.0</v>
      </c>
      <c r="C96" s="15" t="s">
        <v>2017</v>
      </c>
      <c r="D96" s="15">
        <v>45933.0</v>
      </c>
      <c r="E96" s="15" t="s">
        <v>2014</v>
      </c>
      <c r="F96" s="15" t="s">
        <v>2018</v>
      </c>
      <c r="G96" s="7">
        <v>1.354</v>
      </c>
      <c r="H96" s="15" t="s">
        <v>2019</v>
      </c>
      <c r="I96" s="15" t="s">
        <v>1628</v>
      </c>
      <c r="J96" s="15" t="s">
        <v>2020</v>
      </c>
      <c r="K96" s="15">
        <v>1.0</v>
      </c>
      <c r="L96" s="15">
        <v>1.0</v>
      </c>
      <c r="M96" s="40">
        <v>40217.0</v>
      </c>
      <c r="N96" s="40">
        <v>41110.0</v>
      </c>
      <c r="O96" s="15" t="s">
        <v>1554</v>
      </c>
      <c r="Q96" s="7"/>
    </row>
    <row r="97">
      <c r="A97" s="39" t="s">
        <v>2021</v>
      </c>
      <c r="B97" s="15">
        <v>713091.0</v>
      </c>
      <c r="C97" s="15" t="s">
        <v>2022</v>
      </c>
      <c r="D97" s="15">
        <v>45935.0</v>
      </c>
      <c r="E97" s="15" t="s">
        <v>2014</v>
      </c>
      <c r="F97" s="15" t="s">
        <v>1578</v>
      </c>
      <c r="G97" s="7">
        <v>1.366</v>
      </c>
      <c r="H97" s="15" t="s">
        <v>2023</v>
      </c>
      <c r="I97" s="15" t="s">
        <v>1628</v>
      </c>
      <c r="J97" s="15" t="s">
        <v>2024</v>
      </c>
      <c r="K97" s="15">
        <v>1.0</v>
      </c>
      <c r="L97" s="15">
        <v>1.0</v>
      </c>
      <c r="M97" s="40">
        <v>40217.0</v>
      </c>
      <c r="N97" s="40">
        <v>41110.0</v>
      </c>
      <c r="O97" s="15" t="s">
        <v>1554</v>
      </c>
      <c r="Q97" s="7"/>
    </row>
    <row r="98">
      <c r="A98" s="39" t="s">
        <v>2026</v>
      </c>
      <c r="B98" s="15">
        <v>129726.0</v>
      </c>
      <c r="C98" s="15" t="s">
        <v>2027</v>
      </c>
      <c r="D98" s="15">
        <v>45973.0</v>
      </c>
      <c r="E98" s="15" t="s">
        <v>1557</v>
      </c>
      <c r="F98" s="15" t="s">
        <v>2028</v>
      </c>
      <c r="G98" s="7">
        <v>145.289</v>
      </c>
      <c r="H98" s="15">
        <v>65.0</v>
      </c>
      <c r="I98" s="15" t="s">
        <v>1686</v>
      </c>
      <c r="J98" s="15" t="s">
        <v>2029</v>
      </c>
      <c r="K98" s="15">
        <v>134.0</v>
      </c>
      <c r="L98" s="15">
        <v>134.0</v>
      </c>
      <c r="M98" s="40">
        <v>40225.0</v>
      </c>
      <c r="N98" s="40">
        <v>40611.0</v>
      </c>
      <c r="O98" s="15" t="s">
        <v>1554</v>
      </c>
      <c r="Q98" s="7"/>
    </row>
    <row r="99">
      <c r="A99" s="39" t="s">
        <v>2030</v>
      </c>
      <c r="B99" s="15">
        <v>626962.0</v>
      </c>
      <c r="C99" s="15" t="s">
        <v>2031</v>
      </c>
      <c r="D99" s="15">
        <v>46223.0</v>
      </c>
      <c r="E99" s="15" t="s">
        <v>1548</v>
      </c>
      <c r="F99" s="15" t="s">
        <v>2032</v>
      </c>
      <c r="G99" s="7">
        <v>7.148</v>
      </c>
      <c r="H99" s="15" t="s">
        <v>2033</v>
      </c>
      <c r="I99" s="15" t="s">
        <v>2034</v>
      </c>
      <c r="J99" s="15" t="s">
        <v>2035</v>
      </c>
      <c r="K99" s="15">
        <v>4.0</v>
      </c>
      <c r="L99" s="15">
        <v>4.0</v>
      </c>
      <c r="M99" s="40">
        <v>39965.0</v>
      </c>
      <c r="N99" s="40">
        <v>40400.0</v>
      </c>
      <c r="O99" s="15" t="s">
        <v>1554</v>
      </c>
      <c r="Q99" s="7"/>
    </row>
    <row r="100">
      <c r="A100" s="39" t="s">
        <v>2036</v>
      </c>
      <c r="B100" s="15">
        <v>685506.0</v>
      </c>
      <c r="C100" s="15" t="s">
        <v>2037</v>
      </c>
      <c r="D100" s="15">
        <v>46607.0</v>
      </c>
      <c r="E100" s="15" t="s">
        <v>1557</v>
      </c>
      <c r="F100" s="15" t="s">
        <v>1833</v>
      </c>
      <c r="G100" s="7">
        <v>52.141</v>
      </c>
      <c r="H100" s="15" t="s">
        <v>2038</v>
      </c>
      <c r="I100" s="15" t="s">
        <v>1586</v>
      </c>
      <c r="J100" s="15" t="s">
        <v>2039</v>
      </c>
      <c r="K100" s="15">
        <v>87.0</v>
      </c>
      <c r="L100" s="15">
        <v>87.0</v>
      </c>
      <c r="M100" s="40">
        <v>40251.0</v>
      </c>
      <c r="N100" s="40">
        <v>40253.0</v>
      </c>
      <c r="O100" s="15" t="s">
        <v>1554</v>
      </c>
      <c r="Q100" s="7"/>
    </row>
    <row r="101">
      <c r="A101" s="39" t="s">
        <v>2041</v>
      </c>
      <c r="B101" s="15">
        <v>745177.0</v>
      </c>
      <c r="C101" s="15" t="s">
        <v>2042</v>
      </c>
      <c r="D101" s="15">
        <v>46671.0</v>
      </c>
      <c r="E101" s="15" t="s">
        <v>1557</v>
      </c>
      <c r="F101" s="15" t="s">
        <v>1992</v>
      </c>
      <c r="G101" s="7">
        <v>156.344</v>
      </c>
      <c r="H101" s="15" t="s">
        <v>1957</v>
      </c>
      <c r="I101" s="15" t="s">
        <v>1560</v>
      </c>
      <c r="J101" s="15" t="s">
        <v>2043</v>
      </c>
      <c r="K101" s="15">
        <v>157.0</v>
      </c>
      <c r="L101" s="15">
        <v>157.0</v>
      </c>
      <c r="M101" s="40">
        <v>40257.0</v>
      </c>
      <c r="N101" s="40">
        <v>40266.0</v>
      </c>
      <c r="O101" s="15" t="s">
        <v>1554</v>
      </c>
      <c r="Q101" s="7"/>
    </row>
    <row r="102">
      <c r="A102" s="39" t="s">
        <v>2044</v>
      </c>
      <c r="B102" s="15">
        <v>349681.0</v>
      </c>
      <c r="C102" s="15" t="s">
        <v>2045</v>
      </c>
      <c r="D102" s="15">
        <v>46855.0</v>
      </c>
      <c r="E102" s="15" t="s">
        <v>1638</v>
      </c>
      <c r="F102" s="15" t="s">
        <v>1639</v>
      </c>
      <c r="G102" s="7">
        <v>11.563</v>
      </c>
      <c r="H102" s="15">
        <v>57.0</v>
      </c>
      <c r="I102" s="15" t="s">
        <v>1740</v>
      </c>
      <c r="J102" s="15" t="s">
        <v>2046</v>
      </c>
      <c r="K102" s="15">
        <v>1.0</v>
      </c>
      <c r="L102" s="15">
        <v>2.0</v>
      </c>
      <c r="M102" s="41">
        <v>39366.0</v>
      </c>
      <c r="N102" s="41">
        <v>40842.0</v>
      </c>
      <c r="O102" s="15" t="s">
        <v>1554</v>
      </c>
      <c r="Q102" s="7"/>
    </row>
    <row r="103">
      <c r="A103" s="39" t="s">
        <v>2047</v>
      </c>
      <c r="B103" s="15">
        <v>707757.0</v>
      </c>
      <c r="C103" s="15" t="s">
        <v>2048</v>
      </c>
      <c r="D103" s="15">
        <v>47333.0</v>
      </c>
      <c r="E103" s="15" t="s">
        <v>1557</v>
      </c>
      <c r="F103" s="15" t="s">
        <v>1767</v>
      </c>
      <c r="G103" s="7">
        <v>174.436</v>
      </c>
      <c r="H103" s="15" t="s">
        <v>2049</v>
      </c>
      <c r="I103" s="15" t="s">
        <v>1586</v>
      </c>
      <c r="J103" s="15" t="s">
        <v>2050</v>
      </c>
      <c r="K103" s="15">
        <v>257.0</v>
      </c>
      <c r="L103" s="15">
        <v>258.0</v>
      </c>
      <c r="M103" s="40">
        <v>40273.0</v>
      </c>
      <c r="N103" s="40">
        <v>42640.0</v>
      </c>
      <c r="O103" s="15" t="s">
        <v>1554</v>
      </c>
      <c r="Q103" s="7"/>
    </row>
    <row r="104">
      <c r="A104" s="39" t="s">
        <v>2051</v>
      </c>
      <c r="B104" s="15">
        <v>754043.0</v>
      </c>
      <c r="C104" s="15" t="s">
        <v>2052</v>
      </c>
      <c r="D104" s="15">
        <v>47511.0</v>
      </c>
      <c r="E104" s="15" t="s">
        <v>1557</v>
      </c>
      <c r="F104" s="15" t="s">
        <v>1578</v>
      </c>
      <c r="G104" s="7">
        <v>40.931</v>
      </c>
      <c r="H104" s="15">
        <v>59.0</v>
      </c>
      <c r="I104" s="15" t="s">
        <v>1586</v>
      </c>
      <c r="J104" s="15" t="s">
        <v>2054</v>
      </c>
      <c r="K104" s="15">
        <v>73.0</v>
      </c>
      <c r="L104" s="15">
        <v>73.0</v>
      </c>
      <c r="M104" s="40">
        <v>41349.0</v>
      </c>
      <c r="N104" s="40">
        <v>41828.0</v>
      </c>
      <c r="O104" s="15" t="s">
        <v>1554</v>
      </c>
      <c r="Q104" s="7"/>
    </row>
    <row r="105">
      <c r="A105" s="39" t="s">
        <v>2055</v>
      </c>
      <c r="B105" s="15">
        <v>754045.0</v>
      </c>
      <c r="C105" s="15" t="s">
        <v>2056</v>
      </c>
      <c r="D105" s="15">
        <v>47513.0</v>
      </c>
      <c r="E105" s="15" t="s">
        <v>1557</v>
      </c>
      <c r="F105" s="15" t="s">
        <v>1578</v>
      </c>
      <c r="G105" s="7">
        <v>40.929</v>
      </c>
      <c r="H105" s="15" t="s">
        <v>2057</v>
      </c>
      <c r="I105" s="15" t="s">
        <v>1586</v>
      </c>
      <c r="J105" s="15" t="s">
        <v>2058</v>
      </c>
      <c r="K105" s="15">
        <v>72.0</v>
      </c>
      <c r="L105" s="15">
        <v>72.0</v>
      </c>
      <c r="M105" s="40">
        <v>41357.0</v>
      </c>
      <c r="N105" s="40">
        <v>41828.0</v>
      </c>
      <c r="O105" s="15" t="s">
        <v>1554</v>
      </c>
      <c r="Q105" s="7"/>
    </row>
    <row r="106">
      <c r="A106" s="39" t="s">
        <v>2059</v>
      </c>
      <c r="B106" s="15">
        <v>754046.0</v>
      </c>
      <c r="C106" s="15" t="s">
        <v>2060</v>
      </c>
      <c r="D106" s="15">
        <v>47515.0</v>
      </c>
      <c r="E106" s="15" t="s">
        <v>1557</v>
      </c>
      <c r="F106" s="15" t="s">
        <v>1611</v>
      </c>
      <c r="G106" s="7">
        <v>74.485</v>
      </c>
      <c r="H106" s="15">
        <v>43.0</v>
      </c>
      <c r="I106" s="15" t="s">
        <v>1586</v>
      </c>
      <c r="J106" s="15" t="s">
        <v>2061</v>
      </c>
      <c r="K106" s="15">
        <v>92.0</v>
      </c>
      <c r="L106" s="15">
        <v>75.0</v>
      </c>
      <c r="M106" s="40">
        <v>41350.0</v>
      </c>
      <c r="N106" s="40">
        <v>41857.0</v>
      </c>
      <c r="O106" s="15" t="s">
        <v>1554</v>
      </c>
      <c r="Q106" s="7"/>
    </row>
    <row r="107">
      <c r="A107" s="39" t="s">
        <v>2062</v>
      </c>
      <c r="B107" s="15">
        <v>754048.0</v>
      </c>
      <c r="C107" s="15" t="s">
        <v>2063</v>
      </c>
      <c r="D107" s="15">
        <v>47519.0</v>
      </c>
      <c r="E107" s="15" t="s">
        <v>1557</v>
      </c>
      <c r="F107" s="15" t="s">
        <v>1767</v>
      </c>
      <c r="G107" s="7">
        <v>40.803</v>
      </c>
      <c r="H107" s="15" t="s">
        <v>2064</v>
      </c>
      <c r="I107" s="15" t="s">
        <v>1586</v>
      </c>
      <c r="J107" s="15" t="s">
        <v>2065</v>
      </c>
      <c r="K107" s="15">
        <v>71.0</v>
      </c>
      <c r="L107" s="15">
        <v>71.0</v>
      </c>
      <c r="M107" s="40">
        <v>41358.0</v>
      </c>
      <c r="N107" s="40">
        <v>41363.0</v>
      </c>
      <c r="O107" s="15" t="s">
        <v>1554</v>
      </c>
      <c r="Q107" s="7"/>
    </row>
    <row r="108">
      <c r="A108" s="39" t="s">
        <v>2067</v>
      </c>
      <c r="B108" s="15">
        <v>754044.0</v>
      </c>
      <c r="C108" s="15" t="s">
        <v>2068</v>
      </c>
      <c r="D108" s="15">
        <v>47541.0</v>
      </c>
      <c r="E108" s="15" t="s">
        <v>1557</v>
      </c>
      <c r="F108" s="15" t="s">
        <v>1578</v>
      </c>
      <c r="G108" s="7">
        <v>56.958</v>
      </c>
      <c r="H108" s="15">
        <v>55.0</v>
      </c>
      <c r="I108" s="15" t="s">
        <v>1586</v>
      </c>
      <c r="J108" s="15" t="s">
        <v>2069</v>
      </c>
      <c r="K108" s="15">
        <v>77.0</v>
      </c>
      <c r="L108" s="15">
        <v>76.0</v>
      </c>
      <c r="M108" s="40">
        <v>41357.0</v>
      </c>
      <c r="N108" s="40">
        <v>41363.0</v>
      </c>
      <c r="O108" s="15" t="s">
        <v>1554</v>
      </c>
      <c r="Q108" s="7"/>
    </row>
    <row r="109">
      <c r="A109" s="39" t="s">
        <v>2070</v>
      </c>
      <c r="B109" s="15">
        <v>754049.0</v>
      </c>
      <c r="C109" s="15" t="s">
        <v>2071</v>
      </c>
      <c r="D109" s="15">
        <v>47543.0</v>
      </c>
      <c r="E109" s="15" t="s">
        <v>1557</v>
      </c>
      <c r="F109" s="15" t="s">
        <v>1833</v>
      </c>
      <c r="G109" s="7">
        <v>46.917</v>
      </c>
      <c r="H109" s="15" t="s">
        <v>1613</v>
      </c>
      <c r="I109" s="15" t="s">
        <v>1586</v>
      </c>
      <c r="J109" s="15" t="s">
        <v>2072</v>
      </c>
      <c r="K109" s="15">
        <v>75.0</v>
      </c>
      <c r="L109" s="15">
        <v>74.0</v>
      </c>
      <c r="M109" s="40">
        <v>41352.0</v>
      </c>
      <c r="N109" s="40">
        <v>41363.0</v>
      </c>
      <c r="O109" s="15" t="s">
        <v>1554</v>
      </c>
      <c r="Q109" s="7"/>
    </row>
    <row r="110">
      <c r="A110" s="39" t="s">
        <v>2074</v>
      </c>
      <c r="B110" s="15">
        <v>754050.0</v>
      </c>
      <c r="D110" s="15">
        <v>0.0</v>
      </c>
      <c r="E110" s="15" t="s">
        <v>1557</v>
      </c>
      <c r="F110" s="15" t="s">
        <v>1833</v>
      </c>
      <c r="G110" s="7">
        <v>47.624</v>
      </c>
      <c r="H110" s="15" t="s">
        <v>2075</v>
      </c>
      <c r="I110" s="15" t="s">
        <v>1586</v>
      </c>
      <c r="J110" s="15" t="s">
        <v>2076</v>
      </c>
      <c r="K110" s="15">
        <v>80.0</v>
      </c>
      <c r="L110" s="15">
        <v>78.0</v>
      </c>
      <c r="M110" s="40">
        <v>41435.0</v>
      </c>
      <c r="N110" s="40">
        <v>41435.0</v>
      </c>
      <c r="O110" s="15" t="s">
        <v>1554</v>
      </c>
      <c r="Q110" s="7"/>
    </row>
    <row r="111">
      <c r="A111" s="39" t="s">
        <v>2077</v>
      </c>
      <c r="B111" s="15">
        <v>754051.0</v>
      </c>
      <c r="C111" s="15" t="s">
        <v>2078</v>
      </c>
      <c r="D111" s="15">
        <v>47547.0</v>
      </c>
      <c r="E111" s="15" t="s">
        <v>1557</v>
      </c>
      <c r="F111" s="15" t="s">
        <v>1578</v>
      </c>
      <c r="G111" s="7">
        <v>47.552</v>
      </c>
      <c r="H111" s="15" t="s">
        <v>2075</v>
      </c>
      <c r="I111" s="15" t="s">
        <v>1586</v>
      </c>
      <c r="J111" s="15" t="s">
        <v>2079</v>
      </c>
      <c r="K111" s="15">
        <v>80.0</v>
      </c>
      <c r="L111" s="15">
        <v>77.0</v>
      </c>
      <c r="M111" s="40">
        <v>41435.0</v>
      </c>
      <c r="N111" s="40">
        <v>41462.0</v>
      </c>
      <c r="O111" s="15" t="s">
        <v>1554</v>
      </c>
      <c r="Q111" s="7"/>
    </row>
    <row r="112">
      <c r="A112" s="39" t="s">
        <v>2080</v>
      </c>
      <c r="B112" s="15">
        <v>754052.0</v>
      </c>
      <c r="C112" s="15" t="s">
        <v>2081</v>
      </c>
      <c r="D112" s="15">
        <v>47549.0</v>
      </c>
      <c r="E112" s="15" t="s">
        <v>1557</v>
      </c>
      <c r="F112" s="15" t="s">
        <v>1611</v>
      </c>
      <c r="G112" s="7">
        <v>76.802</v>
      </c>
      <c r="H112" s="15" t="s">
        <v>1607</v>
      </c>
      <c r="I112" s="15" t="s">
        <v>1586</v>
      </c>
      <c r="J112" s="15" t="s">
        <v>2083</v>
      </c>
      <c r="K112" s="15">
        <v>101.0</v>
      </c>
      <c r="L112" s="15">
        <v>99.0</v>
      </c>
      <c r="M112" s="40">
        <v>41358.0</v>
      </c>
      <c r="N112" s="40">
        <v>41363.0</v>
      </c>
      <c r="O112" s="15" t="s">
        <v>1554</v>
      </c>
      <c r="Q112" s="7"/>
    </row>
    <row r="113">
      <c r="A113" s="39" t="s">
        <v>2084</v>
      </c>
      <c r="B113" s="15">
        <v>754053.0</v>
      </c>
      <c r="C113" s="15" t="s">
        <v>2085</v>
      </c>
      <c r="D113" s="15">
        <v>47551.0</v>
      </c>
      <c r="E113" s="15" t="s">
        <v>1557</v>
      </c>
      <c r="F113" s="15" t="s">
        <v>1833</v>
      </c>
      <c r="G113" s="7">
        <v>37.644</v>
      </c>
      <c r="H113" s="15" t="s">
        <v>1859</v>
      </c>
      <c r="I113" s="15" t="s">
        <v>1586</v>
      </c>
      <c r="J113" s="15" t="s">
        <v>2086</v>
      </c>
      <c r="K113" s="15">
        <v>70.0</v>
      </c>
      <c r="L113" s="15">
        <v>67.0</v>
      </c>
      <c r="M113" s="40">
        <v>41435.0</v>
      </c>
      <c r="N113" s="40">
        <v>41462.0</v>
      </c>
      <c r="O113" s="15" t="s">
        <v>1554</v>
      </c>
      <c r="Q113" s="7"/>
    </row>
    <row r="114">
      <c r="A114" s="39" t="s">
        <v>2087</v>
      </c>
      <c r="B114" s="15">
        <v>929833.0</v>
      </c>
      <c r="C114" s="15" t="s">
        <v>2088</v>
      </c>
      <c r="D114" s="15">
        <v>47553.0</v>
      </c>
      <c r="E114" s="15" t="s">
        <v>1557</v>
      </c>
      <c r="F114" s="15" t="s">
        <v>1767</v>
      </c>
      <c r="G114" s="7">
        <v>53.102</v>
      </c>
      <c r="H114" s="15" t="s">
        <v>2089</v>
      </c>
      <c r="I114" s="15" t="s">
        <v>1586</v>
      </c>
      <c r="J114" s="15" t="s">
        <v>2090</v>
      </c>
      <c r="K114" s="15">
        <v>69.0</v>
      </c>
      <c r="L114" s="15">
        <v>68.0</v>
      </c>
      <c r="M114" s="40">
        <v>41435.0</v>
      </c>
      <c r="N114" s="40">
        <v>41469.0</v>
      </c>
      <c r="O114" s="15" t="s">
        <v>1554</v>
      </c>
      <c r="Q114" s="7"/>
    </row>
    <row r="115">
      <c r="A115" s="39" t="s">
        <v>2092</v>
      </c>
      <c r="B115" s="15">
        <v>754055.0</v>
      </c>
      <c r="C115" s="15" t="s">
        <v>2093</v>
      </c>
      <c r="D115" s="15">
        <v>47555.0</v>
      </c>
      <c r="E115" s="15" t="s">
        <v>1557</v>
      </c>
      <c r="F115" s="15" t="s">
        <v>1833</v>
      </c>
      <c r="G115" s="7">
        <v>39.573</v>
      </c>
      <c r="H115" s="15" t="s">
        <v>2094</v>
      </c>
      <c r="I115" s="15" t="s">
        <v>1586</v>
      </c>
      <c r="J115" s="15" t="s">
        <v>2095</v>
      </c>
      <c r="K115" s="15">
        <v>56.0</v>
      </c>
      <c r="L115" s="15">
        <v>56.0</v>
      </c>
      <c r="M115" s="40">
        <v>41358.0</v>
      </c>
      <c r="N115" s="40">
        <v>41363.0</v>
      </c>
      <c r="O115" s="15" t="s">
        <v>1554</v>
      </c>
      <c r="Q115" s="7"/>
    </row>
    <row r="116">
      <c r="A116" s="39" t="s">
        <v>2096</v>
      </c>
      <c r="B116" s="15">
        <v>754056.0</v>
      </c>
      <c r="C116" s="15" t="s">
        <v>2097</v>
      </c>
      <c r="D116" s="15">
        <v>47557.0</v>
      </c>
      <c r="E116" s="15" t="s">
        <v>1557</v>
      </c>
      <c r="F116" s="15" t="s">
        <v>1833</v>
      </c>
      <c r="G116" s="7">
        <v>40.231</v>
      </c>
      <c r="H116" s="15" t="s">
        <v>2098</v>
      </c>
      <c r="I116" s="15" t="s">
        <v>1586</v>
      </c>
      <c r="J116" s="15" t="s">
        <v>2099</v>
      </c>
      <c r="K116" s="15">
        <v>57.0</v>
      </c>
      <c r="L116" s="15">
        <v>56.0</v>
      </c>
      <c r="M116" s="40">
        <v>41358.0</v>
      </c>
      <c r="N116" s="40">
        <v>41363.0</v>
      </c>
      <c r="O116" s="15" t="s">
        <v>1554</v>
      </c>
      <c r="Q116" s="7"/>
    </row>
    <row r="117">
      <c r="A117" s="39" t="s">
        <v>2100</v>
      </c>
      <c r="B117" s="15">
        <v>754058.0</v>
      </c>
      <c r="C117" s="15" t="s">
        <v>2102</v>
      </c>
      <c r="D117" s="15">
        <v>47561.0</v>
      </c>
      <c r="E117" s="15" t="s">
        <v>1557</v>
      </c>
      <c r="F117" s="15" t="s">
        <v>1578</v>
      </c>
      <c r="G117" s="7">
        <v>129.155</v>
      </c>
      <c r="H117" s="15" t="s">
        <v>2103</v>
      </c>
      <c r="I117" s="15" t="s">
        <v>1586</v>
      </c>
      <c r="J117" s="15" t="s">
        <v>2104</v>
      </c>
      <c r="K117" s="15">
        <v>210.0</v>
      </c>
      <c r="L117" s="15">
        <v>209.0</v>
      </c>
      <c r="M117" s="40">
        <v>41357.0</v>
      </c>
      <c r="N117" s="40">
        <v>41363.0</v>
      </c>
      <c r="O117" s="15" t="s">
        <v>1554</v>
      </c>
      <c r="Q117" s="7"/>
    </row>
    <row r="118">
      <c r="A118" s="39" t="s">
        <v>2105</v>
      </c>
      <c r="B118" s="15">
        <v>754059.0</v>
      </c>
      <c r="C118" s="15" t="s">
        <v>2106</v>
      </c>
      <c r="D118" s="15">
        <v>266792.0</v>
      </c>
      <c r="E118" s="15" t="s">
        <v>1557</v>
      </c>
      <c r="F118" s="15" t="s">
        <v>1611</v>
      </c>
      <c r="G118" s="7">
        <v>44.147</v>
      </c>
      <c r="H118" s="15" t="s">
        <v>2107</v>
      </c>
      <c r="I118" s="15" t="s">
        <v>1586</v>
      </c>
      <c r="J118" s="15" t="s">
        <v>2108</v>
      </c>
      <c r="K118" s="15">
        <v>49.0</v>
      </c>
      <c r="L118" s="15">
        <v>46.0</v>
      </c>
      <c r="M118" s="41">
        <v>41936.0</v>
      </c>
      <c r="N118" s="40">
        <v>42341.0</v>
      </c>
      <c r="O118" s="15" t="s">
        <v>1554</v>
      </c>
      <c r="Q118" s="7"/>
    </row>
    <row r="119">
      <c r="A119" s="39" t="s">
        <v>2109</v>
      </c>
      <c r="B119" s="15">
        <v>461711.0</v>
      </c>
      <c r="C119" s="15" t="s">
        <v>2110</v>
      </c>
      <c r="D119" s="15">
        <v>307875.0</v>
      </c>
      <c r="E119" s="15" t="s">
        <v>1557</v>
      </c>
      <c r="F119" s="15" t="s">
        <v>1611</v>
      </c>
      <c r="G119" s="7">
        <v>45.218</v>
      </c>
      <c r="H119" s="15" t="s">
        <v>1634</v>
      </c>
      <c r="I119" s="15" t="s">
        <v>1586</v>
      </c>
      <c r="J119" s="15" t="s">
        <v>2112</v>
      </c>
      <c r="K119" s="15">
        <v>57.0</v>
      </c>
      <c r="L119" s="15">
        <v>51.0</v>
      </c>
      <c r="M119" s="41">
        <v>41936.0</v>
      </c>
      <c r="N119" s="40">
        <v>42374.0</v>
      </c>
      <c r="O119" s="15" t="s">
        <v>1554</v>
      </c>
      <c r="Q119" s="7"/>
    </row>
    <row r="120">
      <c r="A120" s="39" t="s">
        <v>2113</v>
      </c>
      <c r="B120" s="15">
        <v>755272.0</v>
      </c>
      <c r="C120" s="15" t="s">
        <v>2114</v>
      </c>
      <c r="D120" s="15">
        <v>47583.0</v>
      </c>
      <c r="E120" s="15" t="s">
        <v>1557</v>
      </c>
      <c r="F120" s="15" t="s">
        <v>1578</v>
      </c>
      <c r="G120" s="7">
        <v>205.622</v>
      </c>
      <c r="H120" s="15" t="s">
        <v>1994</v>
      </c>
      <c r="I120" s="15" t="s">
        <v>1573</v>
      </c>
      <c r="J120" s="15" t="s">
        <v>2115</v>
      </c>
      <c r="K120" s="15">
        <v>265.0</v>
      </c>
      <c r="L120" s="15">
        <v>253.0</v>
      </c>
      <c r="M120" s="40">
        <v>41357.0</v>
      </c>
      <c r="N120" s="40">
        <v>41363.0</v>
      </c>
      <c r="O120" s="15" t="s">
        <v>1554</v>
      </c>
      <c r="Q120" s="7"/>
    </row>
    <row r="121">
      <c r="A121" s="39" t="s">
        <v>2116</v>
      </c>
      <c r="B121" s="15">
        <v>754064.0</v>
      </c>
      <c r="C121" s="15" t="s">
        <v>2117</v>
      </c>
      <c r="D121" s="15">
        <v>47611.0</v>
      </c>
      <c r="E121" s="15" t="s">
        <v>1557</v>
      </c>
      <c r="F121" s="15" t="s">
        <v>1578</v>
      </c>
      <c r="G121" s="7">
        <v>186.468</v>
      </c>
      <c r="H121" s="15" t="s">
        <v>2118</v>
      </c>
      <c r="I121" s="15" t="s">
        <v>1573</v>
      </c>
      <c r="J121" s="15" t="s">
        <v>2119</v>
      </c>
      <c r="K121" s="15">
        <v>263.0</v>
      </c>
      <c r="L121" s="15">
        <v>251.0</v>
      </c>
      <c r="M121" s="40">
        <v>41357.0</v>
      </c>
      <c r="N121" s="40">
        <v>41363.0</v>
      </c>
      <c r="O121" s="15" t="s">
        <v>1554</v>
      </c>
      <c r="Q121" s="7"/>
    </row>
    <row r="122">
      <c r="A122" s="39" t="s">
        <v>2121</v>
      </c>
      <c r="B122" s="15">
        <v>754037.0</v>
      </c>
      <c r="C122" s="15" t="s">
        <v>2122</v>
      </c>
      <c r="D122" s="15">
        <v>47615.0</v>
      </c>
      <c r="E122" s="15" t="s">
        <v>1557</v>
      </c>
      <c r="F122" s="15" t="s">
        <v>1767</v>
      </c>
      <c r="G122" s="7">
        <v>198.013</v>
      </c>
      <c r="H122" s="15">
        <v>43.0</v>
      </c>
      <c r="I122" s="15" t="s">
        <v>1586</v>
      </c>
      <c r="J122" s="15" t="s">
        <v>2123</v>
      </c>
      <c r="K122" s="15">
        <v>241.0</v>
      </c>
      <c r="L122" s="15">
        <v>231.0</v>
      </c>
      <c r="M122" s="40">
        <v>41356.0</v>
      </c>
      <c r="N122" s="40">
        <v>41363.0</v>
      </c>
      <c r="O122" s="15" t="s">
        <v>1554</v>
      </c>
      <c r="Q122" s="7"/>
    </row>
    <row r="123">
      <c r="A123" s="39" t="s">
        <v>2124</v>
      </c>
      <c r="B123" s="15">
        <v>754066.0</v>
      </c>
      <c r="C123" s="15" t="s">
        <v>2125</v>
      </c>
      <c r="D123" s="15">
        <v>47629.0</v>
      </c>
      <c r="E123" s="15" t="s">
        <v>1557</v>
      </c>
      <c r="F123" s="15" t="s">
        <v>1578</v>
      </c>
      <c r="G123" s="7">
        <v>39.784</v>
      </c>
      <c r="H123" s="15" t="s">
        <v>2126</v>
      </c>
      <c r="I123" s="15" t="s">
        <v>1586</v>
      </c>
      <c r="J123" s="15" t="s">
        <v>2127</v>
      </c>
      <c r="K123" s="15">
        <v>55.0</v>
      </c>
      <c r="L123" s="15">
        <v>55.0</v>
      </c>
      <c r="M123" s="40">
        <v>41435.0</v>
      </c>
      <c r="N123" s="40">
        <v>41462.0</v>
      </c>
      <c r="O123" s="15" t="s">
        <v>1554</v>
      </c>
      <c r="Q123" s="7"/>
    </row>
    <row r="124">
      <c r="A124" s="39" t="s">
        <v>2128</v>
      </c>
      <c r="B124" s="15">
        <v>754067.0</v>
      </c>
      <c r="C124" s="15" t="s">
        <v>2129</v>
      </c>
      <c r="D124" s="15">
        <v>47631.0</v>
      </c>
      <c r="E124" s="15" t="s">
        <v>1557</v>
      </c>
      <c r="F124" s="15" t="s">
        <v>1578</v>
      </c>
      <c r="G124" s="7">
        <v>40.695</v>
      </c>
      <c r="H124" s="15" t="s">
        <v>2131</v>
      </c>
      <c r="I124" s="15" t="s">
        <v>1586</v>
      </c>
      <c r="J124" s="15" t="s">
        <v>2132</v>
      </c>
      <c r="K124" s="15">
        <v>64.0</v>
      </c>
      <c r="L124" s="15">
        <v>64.0</v>
      </c>
      <c r="M124" s="40">
        <v>41357.0</v>
      </c>
      <c r="N124" s="40">
        <v>41363.0</v>
      </c>
      <c r="O124" s="15" t="s">
        <v>1554</v>
      </c>
      <c r="Q124" s="7"/>
    </row>
    <row r="125">
      <c r="A125" s="39" t="s">
        <v>2133</v>
      </c>
      <c r="B125" s="15">
        <v>754040.0</v>
      </c>
      <c r="C125" s="15" t="s">
        <v>2134</v>
      </c>
      <c r="D125" s="15">
        <v>47635.0</v>
      </c>
      <c r="E125" s="15" t="s">
        <v>1557</v>
      </c>
      <c r="F125" s="15" t="s">
        <v>1611</v>
      </c>
      <c r="G125" s="7">
        <v>45.728</v>
      </c>
      <c r="H125" s="15" t="s">
        <v>2075</v>
      </c>
      <c r="I125" s="15" t="s">
        <v>1586</v>
      </c>
      <c r="J125" s="15" t="s">
        <v>2135</v>
      </c>
      <c r="K125" s="15">
        <v>57.0</v>
      </c>
      <c r="L125" s="15">
        <v>54.0</v>
      </c>
      <c r="M125" s="40">
        <v>41349.0</v>
      </c>
      <c r="N125" s="40">
        <v>41363.0</v>
      </c>
      <c r="O125" s="15" t="s">
        <v>1554</v>
      </c>
      <c r="Q125" s="7"/>
    </row>
    <row r="126">
      <c r="A126" s="39" t="s">
        <v>2136</v>
      </c>
      <c r="B126" s="15">
        <v>754041.0</v>
      </c>
      <c r="C126" s="15" t="s">
        <v>2137</v>
      </c>
      <c r="D126" s="15">
        <v>47637.0</v>
      </c>
      <c r="E126" s="15" t="s">
        <v>1557</v>
      </c>
      <c r="F126" s="15" t="s">
        <v>1611</v>
      </c>
      <c r="G126" s="7">
        <v>44.892</v>
      </c>
      <c r="H126" s="15" t="s">
        <v>1813</v>
      </c>
      <c r="I126" s="15" t="s">
        <v>1586</v>
      </c>
      <c r="J126" s="15" t="s">
        <v>2138</v>
      </c>
      <c r="K126" s="15">
        <v>61.0</v>
      </c>
      <c r="L126" s="15">
        <v>55.0</v>
      </c>
      <c r="M126" s="40">
        <v>41349.0</v>
      </c>
      <c r="N126" s="40">
        <v>41363.0</v>
      </c>
      <c r="O126" s="15" t="s">
        <v>1554</v>
      </c>
      <c r="Q126" s="7"/>
    </row>
    <row r="127">
      <c r="A127" s="39" t="s">
        <v>2139</v>
      </c>
      <c r="B127" s="15">
        <v>754039.0</v>
      </c>
      <c r="C127" s="15" t="s">
        <v>2140</v>
      </c>
      <c r="D127" s="15">
        <v>47645.0</v>
      </c>
      <c r="E127" s="15" t="s">
        <v>1557</v>
      </c>
      <c r="F127" s="15" t="s">
        <v>1767</v>
      </c>
      <c r="G127" s="7">
        <v>171.797</v>
      </c>
      <c r="H127" s="15" t="s">
        <v>2141</v>
      </c>
      <c r="I127" s="15" t="s">
        <v>1586</v>
      </c>
      <c r="J127" s="15" t="s">
        <v>2142</v>
      </c>
      <c r="K127" s="15">
        <v>219.0</v>
      </c>
      <c r="L127" s="15">
        <v>209.0</v>
      </c>
      <c r="M127" s="40">
        <v>41435.0</v>
      </c>
      <c r="N127" s="40">
        <v>41462.0</v>
      </c>
      <c r="O127" s="15" t="s">
        <v>1554</v>
      </c>
      <c r="Q127" s="7"/>
    </row>
    <row r="128">
      <c r="A128" s="39" t="s">
        <v>2144</v>
      </c>
      <c r="B128" s="15">
        <v>754042.0</v>
      </c>
      <c r="C128" s="15" t="s">
        <v>2145</v>
      </c>
      <c r="D128" s="15">
        <v>47647.0</v>
      </c>
      <c r="E128" s="15" t="s">
        <v>1557</v>
      </c>
      <c r="F128" s="15" t="s">
        <v>1833</v>
      </c>
      <c r="G128" s="7">
        <v>208.007</v>
      </c>
      <c r="H128" s="15">
        <v>36.0</v>
      </c>
      <c r="I128" s="15" t="s">
        <v>1586</v>
      </c>
      <c r="J128" s="15" t="s">
        <v>2146</v>
      </c>
      <c r="K128" s="15">
        <v>302.0</v>
      </c>
      <c r="L128" s="15">
        <v>281.0</v>
      </c>
      <c r="M128" s="40">
        <v>41357.0</v>
      </c>
      <c r="N128" s="40">
        <v>41363.0</v>
      </c>
      <c r="O128" s="15" t="s">
        <v>1554</v>
      </c>
      <c r="Q128" s="7"/>
    </row>
    <row r="129">
      <c r="A129" s="39" t="s">
        <v>2147</v>
      </c>
      <c r="B129" s="15">
        <v>754069.0</v>
      </c>
      <c r="C129" s="15" t="s">
        <v>2148</v>
      </c>
      <c r="D129" s="15">
        <v>47665.0</v>
      </c>
      <c r="E129" s="15" t="s">
        <v>1557</v>
      </c>
      <c r="F129" s="15" t="s">
        <v>1578</v>
      </c>
      <c r="G129" s="7">
        <v>37.328</v>
      </c>
      <c r="H129" s="15" t="s">
        <v>2149</v>
      </c>
      <c r="I129" s="15" t="s">
        <v>1573</v>
      </c>
      <c r="J129" s="15" t="s">
        <v>2150</v>
      </c>
      <c r="K129" s="15">
        <v>51.0</v>
      </c>
      <c r="L129" s="15">
        <v>51.0</v>
      </c>
      <c r="M129" s="40">
        <v>41352.0</v>
      </c>
      <c r="N129" s="40">
        <v>41726.0</v>
      </c>
      <c r="O129" s="15" t="s">
        <v>1554</v>
      </c>
      <c r="Q129" s="7"/>
    </row>
    <row r="130">
      <c r="A130" s="39" t="s">
        <v>2151</v>
      </c>
      <c r="B130" s="15">
        <v>754070.0</v>
      </c>
      <c r="C130" s="15" t="s">
        <v>2152</v>
      </c>
      <c r="D130" s="15">
        <v>47667.0</v>
      </c>
      <c r="E130" s="15" t="s">
        <v>1557</v>
      </c>
      <c r="F130" s="15" t="s">
        <v>1578</v>
      </c>
      <c r="G130" s="7">
        <v>38.987</v>
      </c>
      <c r="H130" s="15" t="s">
        <v>2154</v>
      </c>
      <c r="I130" s="15" t="s">
        <v>1573</v>
      </c>
      <c r="J130" s="15" t="s">
        <v>2155</v>
      </c>
      <c r="K130" s="15">
        <v>55.0</v>
      </c>
      <c r="L130" s="15">
        <v>55.0</v>
      </c>
      <c r="M130" s="40">
        <v>41357.0</v>
      </c>
      <c r="N130" s="40">
        <v>42457.0</v>
      </c>
      <c r="O130" s="15" t="s">
        <v>1554</v>
      </c>
      <c r="Q130" s="7"/>
    </row>
    <row r="131">
      <c r="A131" s="39" t="s">
        <v>2156</v>
      </c>
      <c r="B131" s="15">
        <v>536453.0</v>
      </c>
      <c r="C131" s="15" t="s">
        <v>2157</v>
      </c>
      <c r="D131" s="15">
        <v>47671.0</v>
      </c>
      <c r="E131" s="15" t="s">
        <v>1557</v>
      </c>
      <c r="F131" s="15" t="s">
        <v>1767</v>
      </c>
      <c r="G131" s="7">
        <v>179.063</v>
      </c>
      <c r="H131" s="15" t="s">
        <v>2158</v>
      </c>
      <c r="I131" s="15" t="s">
        <v>1586</v>
      </c>
      <c r="J131" s="15" t="s">
        <v>2160</v>
      </c>
      <c r="K131" s="15">
        <v>223.0</v>
      </c>
      <c r="L131" s="15">
        <v>214.0</v>
      </c>
      <c r="M131" s="40">
        <v>41430.0</v>
      </c>
      <c r="N131" s="40">
        <v>41446.0</v>
      </c>
      <c r="O131" s="15" t="s">
        <v>1554</v>
      </c>
      <c r="Q131" s="7"/>
    </row>
    <row r="132">
      <c r="A132" s="39" t="s">
        <v>2161</v>
      </c>
      <c r="B132" s="15">
        <v>754072.0</v>
      </c>
      <c r="C132" s="15" t="s">
        <v>2162</v>
      </c>
      <c r="D132" s="15">
        <v>47675.0</v>
      </c>
      <c r="E132" s="15" t="s">
        <v>1557</v>
      </c>
      <c r="F132" s="15" t="s">
        <v>1611</v>
      </c>
      <c r="G132" s="7">
        <v>76.718</v>
      </c>
      <c r="H132" s="15" t="s">
        <v>2163</v>
      </c>
      <c r="I132" s="15" t="s">
        <v>1586</v>
      </c>
      <c r="J132" s="15" t="s">
        <v>2164</v>
      </c>
      <c r="K132" s="15">
        <v>117.0</v>
      </c>
      <c r="L132" s="15">
        <v>115.0</v>
      </c>
      <c r="M132" s="40">
        <v>41358.0</v>
      </c>
      <c r="N132" s="40">
        <v>41363.0</v>
      </c>
      <c r="O132" s="15" t="s">
        <v>1554</v>
      </c>
      <c r="Q132" s="7"/>
    </row>
    <row r="133">
      <c r="A133" s="39" t="s">
        <v>2165</v>
      </c>
      <c r="B133" s="15">
        <v>754073.0</v>
      </c>
      <c r="C133" s="15" t="s">
        <v>2166</v>
      </c>
      <c r="D133" s="15">
        <v>47677.0</v>
      </c>
      <c r="E133" s="15" t="s">
        <v>1557</v>
      </c>
      <c r="F133" s="15" t="s">
        <v>1611</v>
      </c>
      <c r="G133" s="7">
        <v>76.705</v>
      </c>
      <c r="H133" s="15" t="s">
        <v>2163</v>
      </c>
      <c r="I133" s="15" t="s">
        <v>1586</v>
      </c>
      <c r="J133" s="15" t="s">
        <v>2168</v>
      </c>
      <c r="K133" s="15">
        <v>117.0</v>
      </c>
      <c r="L133" s="15">
        <v>115.0</v>
      </c>
      <c r="M133" s="40">
        <v>41358.0</v>
      </c>
      <c r="N133" s="40">
        <v>41363.0</v>
      </c>
      <c r="O133" s="15" t="s">
        <v>1554</v>
      </c>
      <c r="Q133" s="7"/>
    </row>
    <row r="134">
      <c r="A134" s="39" t="s">
        <v>2169</v>
      </c>
      <c r="B134" s="15">
        <v>754074.0</v>
      </c>
      <c r="C134" s="15" t="s">
        <v>2170</v>
      </c>
      <c r="D134" s="15">
        <v>47679.0</v>
      </c>
      <c r="E134" s="15" t="s">
        <v>1557</v>
      </c>
      <c r="F134" s="15" t="s">
        <v>1578</v>
      </c>
      <c r="G134" s="7">
        <v>38.374</v>
      </c>
      <c r="H134" s="15" t="s">
        <v>2023</v>
      </c>
      <c r="I134" s="15" t="s">
        <v>1586</v>
      </c>
      <c r="J134" s="15" t="s">
        <v>2171</v>
      </c>
      <c r="K134" s="15">
        <v>56.0</v>
      </c>
      <c r="L134" s="15">
        <v>56.0</v>
      </c>
      <c r="M134" s="40">
        <v>41350.0</v>
      </c>
      <c r="N134" s="40">
        <v>41363.0</v>
      </c>
      <c r="O134" s="15" t="s">
        <v>1554</v>
      </c>
      <c r="Q134" s="7"/>
    </row>
    <row r="135">
      <c r="A135" s="39" t="s">
        <v>2172</v>
      </c>
      <c r="B135" s="15">
        <v>754075.0</v>
      </c>
      <c r="C135" s="15" t="s">
        <v>2173</v>
      </c>
      <c r="D135" s="15">
        <v>47681.0</v>
      </c>
      <c r="E135" s="15" t="s">
        <v>1557</v>
      </c>
      <c r="F135" s="15" t="s">
        <v>1767</v>
      </c>
      <c r="G135" s="7">
        <v>126.434</v>
      </c>
      <c r="H135" s="15" t="s">
        <v>2103</v>
      </c>
      <c r="I135" s="15" t="s">
        <v>1586</v>
      </c>
      <c r="J135" s="15" t="s">
        <v>2174</v>
      </c>
      <c r="K135" s="15">
        <v>199.0</v>
      </c>
      <c r="L135" s="15">
        <v>196.0</v>
      </c>
      <c r="M135" s="40">
        <v>41357.0</v>
      </c>
      <c r="N135" s="40">
        <v>41363.0</v>
      </c>
      <c r="O135" s="15" t="s">
        <v>1554</v>
      </c>
      <c r="Q135" s="7"/>
    </row>
    <row r="136">
      <c r="A136" s="39" t="s">
        <v>2176</v>
      </c>
      <c r="B136" s="15">
        <v>53954.0</v>
      </c>
      <c r="C136" s="15" t="s">
        <v>2177</v>
      </c>
      <c r="D136" s="15">
        <v>47861.0</v>
      </c>
      <c r="E136" s="15" t="s">
        <v>1548</v>
      </c>
      <c r="F136" s="15" t="s">
        <v>1911</v>
      </c>
      <c r="G136" s="7">
        <v>9.782</v>
      </c>
      <c r="H136" s="15" t="s">
        <v>2178</v>
      </c>
      <c r="I136" s="15" t="s">
        <v>1628</v>
      </c>
      <c r="J136" s="15" t="s">
        <v>2179</v>
      </c>
      <c r="K136" s="15">
        <v>2.0</v>
      </c>
      <c r="L136" s="15">
        <v>2.0</v>
      </c>
      <c r="M136" s="40">
        <v>40277.0</v>
      </c>
      <c r="N136" s="40">
        <v>42045.0</v>
      </c>
      <c r="O136" s="15" t="s">
        <v>1554</v>
      </c>
      <c r="Q136" s="7"/>
    </row>
    <row r="137">
      <c r="A137" s="39" t="s">
        <v>2180</v>
      </c>
      <c r="B137" s="15">
        <v>756276.0</v>
      </c>
      <c r="C137" s="15" t="s">
        <v>2181</v>
      </c>
      <c r="D137" s="15">
        <v>266791.0</v>
      </c>
      <c r="E137" s="15" t="s">
        <v>1557</v>
      </c>
      <c r="F137" s="15" t="s">
        <v>1578</v>
      </c>
      <c r="G137" s="7">
        <v>45.871</v>
      </c>
      <c r="H137" s="15" t="s">
        <v>1572</v>
      </c>
      <c r="I137" s="15" t="s">
        <v>1586</v>
      </c>
      <c r="J137" s="15" t="s">
        <v>2182</v>
      </c>
      <c r="K137" s="15">
        <v>55.0</v>
      </c>
      <c r="L137" s="15">
        <v>53.0</v>
      </c>
      <c r="M137" s="41">
        <v>41936.0</v>
      </c>
      <c r="N137" s="40">
        <v>42341.0</v>
      </c>
      <c r="O137" s="15" t="s">
        <v>1554</v>
      </c>
      <c r="Q137" s="7"/>
    </row>
    <row r="138">
      <c r="A138" s="39" t="s">
        <v>2183</v>
      </c>
      <c r="B138" s="15">
        <v>756277.0</v>
      </c>
      <c r="C138" s="15" t="s">
        <v>2184</v>
      </c>
      <c r="D138" s="15">
        <v>266790.0</v>
      </c>
      <c r="E138" s="15" t="s">
        <v>1557</v>
      </c>
      <c r="F138" s="15" t="s">
        <v>1578</v>
      </c>
      <c r="G138" s="7">
        <v>46.237</v>
      </c>
      <c r="H138" s="15">
        <v>55.0</v>
      </c>
      <c r="I138" s="15" t="s">
        <v>1586</v>
      </c>
      <c r="J138" s="15" t="s">
        <v>2186</v>
      </c>
      <c r="K138" s="15">
        <v>53.0</v>
      </c>
      <c r="L138" s="15">
        <v>53.0</v>
      </c>
      <c r="M138" s="41">
        <v>41936.0</v>
      </c>
      <c r="N138" s="40">
        <v>42341.0</v>
      </c>
      <c r="O138" s="15" t="s">
        <v>1554</v>
      </c>
      <c r="Q138" s="7"/>
    </row>
    <row r="139">
      <c r="A139" s="39" t="s">
        <v>2187</v>
      </c>
      <c r="B139" s="15">
        <v>756275.0</v>
      </c>
      <c r="C139" s="15" t="s">
        <v>2188</v>
      </c>
      <c r="D139" s="15">
        <v>82651.0</v>
      </c>
      <c r="E139" s="15" t="s">
        <v>1557</v>
      </c>
      <c r="F139" s="15" t="s">
        <v>1833</v>
      </c>
      <c r="G139" s="7">
        <v>69.42</v>
      </c>
      <c r="H139" s="15" t="s">
        <v>2189</v>
      </c>
      <c r="I139" s="15" t="s">
        <v>1586</v>
      </c>
      <c r="J139" s="15" t="s">
        <v>2190</v>
      </c>
      <c r="K139" s="15">
        <v>105.0</v>
      </c>
      <c r="L139" s="15">
        <v>105.0</v>
      </c>
      <c r="M139" s="40">
        <v>40923.0</v>
      </c>
      <c r="N139" s="40">
        <v>40948.0</v>
      </c>
      <c r="O139" s="15" t="s">
        <v>1554</v>
      </c>
      <c r="Q139" s="7"/>
    </row>
    <row r="140">
      <c r="A140" s="39" t="s">
        <v>2191</v>
      </c>
      <c r="B140" s="15">
        <v>382273.0</v>
      </c>
      <c r="C140" s="15" t="s">
        <v>2192</v>
      </c>
      <c r="D140" s="15">
        <v>47875.0</v>
      </c>
      <c r="E140" s="15" t="s">
        <v>1557</v>
      </c>
      <c r="F140" s="15" t="s">
        <v>1578</v>
      </c>
      <c r="G140" s="7">
        <v>46.198</v>
      </c>
      <c r="H140" s="15" t="s">
        <v>2193</v>
      </c>
      <c r="I140" s="15" t="s">
        <v>1586</v>
      </c>
      <c r="J140" s="15" t="s">
        <v>2194</v>
      </c>
      <c r="K140" s="15">
        <v>56.0</v>
      </c>
      <c r="L140" s="15">
        <v>53.0</v>
      </c>
      <c r="M140" s="40">
        <v>41343.0</v>
      </c>
      <c r="N140" s="40">
        <v>41363.0</v>
      </c>
      <c r="O140" s="15" t="s">
        <v>1554</v>
      </c>
      <c r="Q140" s="7"/>
    </row>
    <row r="141">
      <c r="A141" s="39" t="s">
        <v>2196</v>
      </c>
      <c r="B141" s="15">
        <v>382275.0</v>
      </c>
      <c r="D141" s="15">
        <v>0.0</v>
      </c>
      <c r="E141" s="15" t="s">
        <v>1557</v>
      </c>
      <c r="F141" s="15" t="s">
        <v>1611</v>
      </c>
      <c r="G141" s="7">
        <v>47.039</v>
      </c>
      <c r="H141" s="15" t="s">
        <v>2197</v>
      </c>
      <c r="I141" s="15" t="s">
        <v>1586</v>
      </c>
      <c r="J141" s="15" t="s">
        <v>2198</v>
      </c>
      <c r="K141" s="15">
        <v>54.0</v>
      </c>
      <c r="L141" s="15">
        <v>48.0</v>
      </c>
      <c r="M141" s="40">
        <v>41331.0</v>
      </c>
      <c r="N141" s="40">
        <v>41331.0</v>
      </c>
      <c r="O141" s="15" t="s">
        <v>1554</v>
      </c>
      <c r="Q141" s="7"/>
    </row>
    <row r="142">
      <c r="A142" s="39" t="s">
        <v>2199</v>
      </c>
      <c r="B142" s="15">
        <v>382262.0</v>
      </c>
      <c r="C142" s="15" t="s">
        <v>2200</v>
      </c>
      <c r="D142" s="15">
        <v>47879.0</v>
      </c>
      <c r="E142" s="15" t="s">
        <v>1557</v>
      </c>
      <c r="F142" s="15" t="s">
        <v>1578</v>
      </c>
      <c r="G142" s="7">
        <v>44.945</v>
      </c>
      <c r="H142" s="15" t="s">
        <v>1602</v>
      </c>
      <c r="I142" s="15" t="s">
        <v>1586</v>
      </c>
      <c r="J142" s="15" t="s">
        <v>2201</v>
      </c>
      <c r="K142" s="15">
        <v>53.0</v>
      </c>
      <c r="L142" s="15">
        <v>49.0</v>
      </c>
      <c r="M142" s="40">
        <v>41343.0</v>
      </c>
      <c r="N142" s="40">
        <v>41363.0</v>
      </c>
      <c r="O142" s="15" t="s">
        <v>1554</v>
      </c>
      <c r="Q142" s="7"/>
    </row>
    <row r="143">
      <c r="A143" s="39" t="s">
        <v>2202</v>
      </c>
      <c r="B143" s="15">
        <v>756285.0</v>
      </c>
      <c r="C143" s="15" t="s">
        <v>2203</v>
      </c>
      <c r="D143" s="15">
        <v>47887.0</v>
      </c>
      <c r="E143" s="15" t="s">
        <v>1557</v>
      </c>
      <c r="F143" s="15" t="s">
        <v>1578</v>
      </c>
      <c r="G143" s="7">
        <v>26.407</v>
      </c>
      <c r="H143" s="15">
        <v>54.0</v>
      </c>
      <c r="I143" s="15" t="s">
        <v>1586</v>
      </c>
      <c r="J143" s="15" t="s">
        <v>2204</v>
      </c>
      <c r="K143" s="15">
        <v>24.0</v>
      </c>
      <c r="L143" s="15">
        <v>24.0</v>
      </c>
      <c r="M143" s="40">
        <v>41357.0</v>
      </c>
      <c r="N143" s="40">
        <v>41363.0</v>
      </c>
      <c r="O143" s="15" t="s">
        <v>1554</v>
      </c>
      <c r="Q143" s="7"/>
    </row>
    <row r="144">
      <c r="A144" s="39" t="s">
        <v>2206</v>
      </c>
      <c r="B144" s="15">
        <v>756279.0</v>
      </c>
      <c r="D144" s="15">
        <v>0.0</v>
      </c>
      <c r="E144" s="15" t="s">
        <v>1557</v>
      </c>
      <c r="F144" s="15" t="s">
        <v>1767</v>
      </c>
      <c r="G144" s="7">
        <v>54.427</v>
      </c>
      <c r="H144" s="15" t="s">
        <v>2207</v>
      </c>
      <c r="I144" s="15" t="s">
        <v>1586</v>
      </c>
      <c r="J144" s="15" t="s">
        <v>2208</v>
      </c>
      <c r="K144" s="15">
        <v>81.0</v>
      </c>
      <c r="L144" s="15">
        <v>81.0</v>
      </c>
      <c r="M144" s="40">
        <v>41454.0</v>
      </c>
      <c r="N144" s="41">
        <v>42369.0</v>
      </c>
      <c r="O144" s="15" t="s">
        <v>1554</v>
      </c>
      <c r="Q144" s="7"/>
    </row>
    <row r="145">
      <c r="A145" s="39" t="s">
        <v>2209</v>
      </c>
      <c r="B145" s="15">
        <v>756280.0</v>
      </c>
      <c r="C145" s="15" t="s">
        <v>2210</v>
      </c>
      <c r="D145" s="15">
        <v>47891.0</v>
      </c>
      <c r="E145" s="15" t="s">
        <v>1557</v>
      </c>
      <c r="F145" s="15" t="s">
        <v>1767</v>
      </c>
      <c r="G145" s="7">
        <v>44.557</v>
      </c>
      <c r="H145" s="15" t="s">
        <v>2211</v>
      </c>
      <c r="I145" s="15" t="s">
        <v>1586</v>
      </c>
      <c r="J145" s="15" t="s">
        <v>2212</v>
      </c>
      <c r="K145" s="15">
        <v>59.0</v>
      </c>
      <c r="L145" s="15">
        <v>59.0</v>
      </c>
      <c r="M145" s="40">
        <v>41350.0</v>
      </c>
      <c r="N145" s="40">
        <v>41363.0</v>
      </c>
      <c r="O145" s="15" t="s">
        <v>1554</v>
      </c>
      <c r="Q145" s="7"/>
    </row>
    <row r="146">
      <c r="A146" s="39" t="s">
        <v>2213</v>
      </c>
      <c r="B146" s="15">
        <v>756282.0</v>
      </c>
      <c r="C146" s="15" t="s">
        <v>2214</v>
      </c>
      <c r="D146" s="15">
        <v>47893.0</v>
      </c>
      <c r="E146" s="15" t="s">
        <v>1557</v>
      </c>
      <c r="F146" s="15" t="s">
        <v>1833</v>
      </c>
      <c r="G146" s="7">
        <v>79.114</v>
      </c>
      <c r="H146" s="15" t="s">
        <v>2215</v>
      </c>
      <c r="I146" s="15" t="s">
        <v>1586</v>
      </c>
      <c r="J146" s="15" t="s">
        <v>2216</v>
      </c>
      <c r="K146" s="15">
        <v>105.0</v>
      </c>
      <c r="L146" s="15">
        <v>104.0</v>
      </c>
      <c r="M146" s="40">
        <v>41358.0</v>
      </c>
      <c r="N146" s="40">
        <v>41363.0</v>
      </c>
      <c r="O146" s="15" t="s">
        <v>1554</v>
      </c>
      <c r="Q146" s="7"/>
    </row>
    <row r="147">
      <c r="A147" s="39" t="s">
        <v>2218</v>
      </c>
      <c r="B147" s="15">
        <v>756281.0</v>
      </c>
      <c r="D147" s="15">
        <v>0.0</v>
      </c>
      <c r="E147" s="15" t="s">
        <v>1557</v>
      </c>
      <c r="F147" s="15" t="s">
        <v>1767</v>
      </c>
      <c r="G147" s="7">
        <v>54.016</v>
      </c>
      <c r="H147" s="15" t="s">
        <v>2219</v>
      </c>
      <c r="I147" s="15" t="s">
        <v>1586</v>
      </c>
      <c r="J147" s="15" t="s">
        <v>2220</v>
      </c>
      <c r="K147" s="15">
        <v>80.0</v>
      </c>
      <c r="L147" s="15">
        <v>80.0</v>
      </c>
      <c r="M147" s="40">
        <v>41454.0</v>
      </c>
      <c r="N147" s="41">
        <v>42369.0</v>
      </c>
      <c r="O147" s="15" t="s">
        <v>1554</v>
      </c>
      <c r="Q147" s="7"/>
    </row>
    <row r="148">
      <c r="A148" s="39" t="s">
        <v>2221</v>
      </c>
      <c r="B148" s="15">
        <v>129732.0</v>
      </c>
      <c r="C148" s="15" t="s">
        <v>2222</v>
      </c>
      <c r="D148" s="15">
        <v>47931.0</v>
      </c>
      <c r="E148" s="15" t="s">
        <v>1548</v>
      </c>
      <c r="F148" s="15" t="s">
        <v>1911</v>
      </c>
      <c r="G148" s="7">
        <v>9.965</v>
      </c>
      <c r="H148" s="15" t="s">
        <v>2223</v>
      </c>
      <c r="I148" s="15" t="s">
        <v>1628</v>
      </c>
      <c r="J148" s="15" t="s">
        <v>2224</v>
      </c>
      <c r="K148" s="15">
        <v>2.0</v>
      </c>
      <c r="L148" s="15">
        <v>2.0</v>
      </c>
      <c r="M148" s="40">
        <v>40288.0</v>
      </c>
      <c r="N148" s="40">
        <v>42045.0</v>
      </c>
      <c r="O148" s="15" t="s">
        <v>1554</v>
      </c>
      <c r="Q148" s="7"/>
    </row>
    <row r="149">
      <c r="A149" s="39" t="s">
        <v>2225</v>
      </c>
      <c r="B149" s="15">
        <v>327280.0</v>
      </c>
      <c r="C149" s="15" t="s">
        <v>2226</v>
      </c>
      <c r="D149" s="15">
        <v>48103.0</v>
      </c>
      <c r="E149" s="15" t="s">
        <v>1808</v>
      </c>
      <c r="F149" s="15" t="s">
        <v>1809</v>
      </c>
      <c r="G149" s="7">
        <v>5.194</v>
      </c>
      <c r="H149" s="15" t="s">
        <v>2227</v>
      </c>
      <c r="I149" s="15" t="s">
        <v>1628</v>
      </c>
      <c r="J149" s="15" t="s">
        <v>2228</v>
      </c>
      <c r="K149" s="15">
        <v>7.0</v>
      </c>
      <c r="L149" s="15">
        <v>7.0</v>
      </c>
      <c r="M149" s="40">
        <v>38482.0</v>
      </c>
      <c r="N149" s="40">
        <v>40310.0</v>
      </c>
      <c r="O149" s="15" t="s">
        <v>1554</v>
      </c>
      <c r="Q149" s="7"/>
    </row>
    <row r="150">
      <c r="A150" s="39" t="s">
        <v>2229</v>
      </c>
      <c r="B150" s="15">
        <v>687376.0</v>
      </c>
      <c r="C150" s="15" t="s">
        <v>2231</v>
      </c>
      <c r="D150" s="15">
        <v>48135.0</v>
      </c>
      <c r="E150" s="15" t="s">
        <v>1808</v>
      </c>
      <c r="F150" s="15" t="s">
        <v>2232</v>
      </c>
      <c r="G150" s="7">
        <v>2.91</v>
      </c>
      <c r="H150" s="15" t="s">
        <v>2233</v>
      </c>
      <c r="I150" s="15" t="s">
        <v>1567</v>
      </c>
      <c r="J150" s="15" t="s">
        <v>2234</v>
      </c>
      <c r="K150" s="15">
        <v>2.0</v>
      </c>
      <c r="L150" s="15">
        <v>2.0</v>
      </c>
      <c r="M150" s="40">
        <v>37169.0</v>
      </c>
      <c r="N150" s="40">
        <v>40297.0</v>
      </c>
      <c r="O150" s="15" t="s">
        <v>1554</v>
      </c>
      <c r="Q150" s="7"/>
    </row>
    <row r="151">
      <c r="A151" s="39" t="s">
        <v>2235</v>
      </c>
      <c r="B151" s="15">
        <v>687343.0</v>
      </c>
      <c r="C151" s="15" t="s">
        <v>2236</v>
      </c>
      <c r="D151" s="15">
        <v>48137.0</v>
      </c>
      <c r="E151" s="15" t="s">
        <v>1808</v>
      </c>
      <c r="F151" s="15" t="s">
        <v>2232</v>
      </c>
      <c r="G151" s="7">
        <v>3.69</v>
      </c>
      <c r="H151" s="15" t="s">
        <v>2237</v>
      </c>
      <c r="I151" s="15" t="s">
        <v>1567</v>
      </c>
      <c r="J151" s="15" t="s">
        <v>2238</v>
      </c>
      <c r="K151" s="15">
        <v>2.0</v>
      </c>
      <c r="L151" s="15">
        <v>2.0</v>
      </c>
      <c r="M151" s="41">
        <v>36874.0</v>
      </c>
      <c r="N151" s="40">
        <v>40297.0</v>
      </c>
      <c r="O151" s="15" t="s">
        <v>1554</v>
      </c>
      <c r="Q151" s="7"/>
    </row>
    <row r="152">
      <c r="A152" s="39" t="s">
        <v>2239</v>
      </c>
      <c r="B152" s="15">
        <v>687386.0</v>
      </c>
      <c r="C152" s="15" t="s">
        <v>2240</v>
      </c>
      <c r="D152" s="15">
        <v>48139.0</v>
      </c>
      <c r="E152" s="15" t="s">
        <v>1808</v>
      </c>
      <c r="F152" s="15" t="s">
        <v>2232</v>
      </c>
      <c r="G152" s="7">
        <v>2.878</v>
      </c>
      <c r="H152" s="15" t="s">
        <v>2241</v>
      </c>
      <c r="I152" s="15" t="s">
        <v>1567</v>
      </c>
      <c r="J152" s="15" t="s">
        <v>2242</v>
      </c>
      <c r="K152" s="15">
        <v>3.0</v>
      </c>
      <c r="L152" s="15">
        <v>3.0</v>
      </c>
      <c r="M152" s="40">
        <v>37364.0</v>
      </c>
      <c r="N152" s="40">
        <v>42136.0</v>
      </c>
      <c r="O152" s="15" t="s">
        <v>1554</v>
      </c>
      <c r="Q152" s="7"/>
    </row>
    <row r="153">
      <c r="A153" s="39" t="s">
        <v>2244</v>
      </c>
      <c r="B153" s="15">
        <v>687385.0</v>
      </c>
      <c r="C153" s="15" t="s">
        <v>2245</v>
      </c>
      <c r="D153" s="15">
        <v>48141.0</v>
      </c>
      <c r="E153" s="15" t="s">
        <v>1808</v>
      </c>
      <c r="F153" s="15" t="s">
        <v>2232</v>
      </c>
      <c r="G153" s="7">
        <v>2.797</v>
      </c>
      <c r="H153" s="15" t="s">
        <v>1634</v>
      </c>
      <c r="I153" s="15" t="s">
        <v>1567</v>
      </c>
      <c r="J153" s="15" t="s">
        <v>2246</v>
      </c>
      <c r="K153" s="15">
        <v>3.0</v>
      </c>
      <c r="L153" s="15">
        <v>3.0</v>
      </c>
      <c r="M153" s="40">
        <v>37364.0</v>
      </c>
      <c r="N153" s="40">
        <v>40297.0</v>
      </c>
      <c r="O153" s="15" t="s">
        <v>1554</v>
      </c>
      <c r="Q153" s="7"/>
    </row>
    <row r="154">
      <c r="A154" s="39" t="s">
        <v>2247</v>
      </c>
      <c r="B154" s="15">
        <v>687384.0</v>
      </c>
      <c r="C154" s="15" t="s">
        <v>2248</v>
      </c>
      <c r="D154" s="15">
        <v>48143.0</v>
      </c>
      <c r="E154" s="15" t="s">
        <v>1808</v>
      </c>
      <c r="F154" s="15" t="s">
        <v>2232</v>
      </c>
      <c r="G154" s="7">
        <v>2.064</v>
      </c>
      <c r="H154" s="15">
        <v>54.0</v>
      </c>
      <c r="I154" s="15" t="s">
        <v>1567</v>
      </c>
      <c r="J154" s="15" t="s">
        <v>2249</v>
      </c>
      <c r="K154" s="15">
        <v>3.0</v>
      </c>
      <c r="L154" s="15">
        <v>3.0</v>
      </c>
      <c r="M154" s="40">
        <v>37364.0</v>
      </c>
      <c r="N154" s="40">
        <v>42583.0</v>
      </c>
      <c r="O154" s="15" t="s">
        <v>1554</v>
      </c>
      <c r="Q154" s="7"/>
    </row>
    <row r="155">
      <c r="A155" s="39" t="s">
        <v>2250</v>
      </c>
      <c r="B155" s="15">
        <v>687367.0</v>
      </c>
      <c r="C155" s="15" t="s">
        <v>2251</v>
      </c>
      <c r="D155" s="15">
        <v>48145.0</v>
      </c>
      <c r="E155" s="15" t="s">
        <v>1808</v>
      </c>
      <c r="F155" s="15" t="s">
        <v>2232</v>
      </c>
      <c r="G155" s="7">
        <v>3.629</v>
      </c>
      <c r="H155" s="15" t="s">
        <v>1705</v>
      </c>
      <c r="I155" s="15" t="s">
        <v>1567</v>
      </c>
      <c r="J155" s="15" t="s">
        <v>2253</v>
      </c>
      <c r="K155" s="15">
        <v>4.0</v>
      </c>
      <c r="L155" s="15">
        <v>4.0</v>
      </c>
      <c r="M155" s="41">
        <v>37240.0</v>
      </c>
      <c r="N155" s="40">
        <v>40297.0</v>
      </c>
      <c r="O155" s="15" t="s">
        <v>1554</v>
      </c>
      <c r="Q155" s="7"/>
    </row>
    <row r="156">
      <c r="A156" s="39" t="s">
        <v>2254</v>
      </c>
      <c r="B156" s="15">
        <v>687366.0</v>
      </c>
      <c r="C156" s="15" t="s">
        <v>2255</v>
      </c>
      <c r="D156" s="15">
        <v>48147.0</v>
      </c>
      <c r="E156" s="15" t="s">
        <v>1808</v>
      </c>
      <c r="F156" s="15" t="s">
        <v>2232</v>
      </c>
      <c r="G156" s="7">
        <v>3.729</v>
      </c>
      <c r="H156" s="15" t="s">
        <v>1597</v>
      </c>
      <c r="I156" s="15" t="s">
        <v>1567</v>
      </c>
      <c r="J156" s="15" t="s">
        <v>2256</v>
      </c>
      <c r="K156" s="15">
        <v>4.0</v>
      </c>
      <c r="L156" s="15">
        <v>4.0</v>
      </c>
      <c r="M156" s="41">
        <v>37240.0</v>
      </c>
      <c r="N156" s="40">
        <v>40297.0</v>
      </c>
      <c r="O156" s="15" t="s">
        <v>1554</v>
      </c>
      <c r="Q156" s="7"/>
    </row>
    <row r="157">
      <c r="A157" s="39" t="s">
        <v>2257</v>
      </c>
      <c r="B157" s="15">
        <v>687351.0</v>
      </c>
      <c r="C157" s="15" t="s">
        <v>2258</v>
      </c>
      <c r="D157" s="15">
        <v>48149.0</v>
      </c>
      <c r="E157" s="15" t="s">
        <v>1808</v>
      </c>
      <c r="F157" s="15" t="s">
        <v>2232</v>
      </c>
      <c r="G157" s="7">
        <v>3.759</v>
      </c>
      <c r="H157" s="15" t="s">
        <v>2189</v>
      </c>
      <c r="I157" s="15" t="s">
        <v>1567</v>
      </c>
      <c r="J157" s="15" t="s">
        <v>2259</v>
      </c>
      <c r="K157" s="15">
        <v>4.0</v>
      </c>
      <c r="L157" s="15">
        <v>4.0</v>
      </c>
      <c r="M157" s="41">
        <v>37240.0</v>
      </c>
      <c r="N157" s="40">
        <v>40297.0</v>
      </c>
      <c r="O157" s="15" t="s">
        <v>1554</v>
      </c>
      <c r="Q157" s="7"/>
    </row>
    <row r="158">
      <c r="A158" s="39" t="s">
        <v>2261</v>
      </c>
      <c r="B158" s="15">
        <v>687349.0</v>
      </c>
      <c r="C158" s="15" t="s">
        <v>2262</v>
      </c>
      <c r="D158" s="15">
        <v>48151.0</v>
      </c>
      <c r="E158" s="15" t="s">
        <v>1808</v>
      </c>
      <c r="F158" s="15" t="s">
        <v>2232</v>
      </c>
      <c r="G158" s="7">
        <v>3.77</v>
      </c>
      <c r="H158" s="15" t="s">
        <v>2263</v>
      </c>
      <c r="I158" s="15" t="s">
        <v>1567</v>
      </c>
      <c r="J158" s="15" t="s">
        <v>2264</v>
      </c>
      <c r="K158" s="15">
        <v>4.0</v>
      </c>
      <c r="L158" s="15">
        <v>4.0</v>
      </c>
      <c r="M158" s="41">
        <v>37240.0</v>
      </c>
      <c r="N158" s="40">
        <v>40297.0</v>
      </c>
      <c r="O158" s="15" t="s">
        <v>1554</v>
      </c>
      <c r="Q158" s="7"/>
    </row>
    <row r="159">
      <c r="A159" s="39" t="s">
        <v>2265</v>
      </c>
      <c r="B159" s="15">
        <v>687353.0</v>
      </c>
      <c r="C159" s="15" t="s">
        <v>2266</v>
      </c>
      <c r="D159" s="15">
        <v>48153.0</v>
      </c>
      <c r="E159" s="15" t="s">
        <v>1808</v>
      </c>
      <c r="F159" s="15" t="s">
        <v>2232</v>
      </c>
      <c r="G159" s="7">
        <v>3.899</v>
      </c>
      <c r="H159" s="15" t="s">
        <v>2033</v>
      </c>
      <c r="I159" s="15" t="s">
        <v>1567</v>
      </c>
      <c r="J159" s="15" t="s">
        <v>2267</v>
      </c>
      <c r="K159" s="15">
        <v>2.0</v>
      </c>
      <c r="L159" s="15">
        <v>2.0</v>
      </c>
      <c r="M159" s="40">
        <v>36866.0</v>
      </c>
      <c r="N159" s="40">
        <v>40297.0</v>
      </c>
      <c r="O159" s="15" t="s">
        <v>1554</v>
      </c>
      <c r="Q159" s="7"/>
    </row>
    <row r="160">
      <c r="A160" s="39" t="s">
        <v>2268</v>
      </c>
      <c r="B160" s="15">
        <v>687358.0</v>
      </c>
      <c r="C160" s="15" t="s">
        <v>2270</v>
      </c>
      <c r="D160" s="15">
        <v>48155.0</v>
      </c>
      <c r="E160" s="15" t="s">
        <v>1808</v>
      </c>
      <c r="F160" s="15" t="s">
        <v>2232</v>
      </c>
      <c r="G160" s="7">
        <v>3.808</v>
      </c>
      <c r="H160" s="15" t="s">
        <v>2271</v>
      </c>
      <c r="I160" s="15" t="s">
        <v>1567</v>
      </c>
      <c r="J160" s="15" t="s">
        <v>2272</v>
      </c>
      <c r="K160" s="15">
        <v>2.0</v>
      </c>
      <c r="L160" s="15">
        <v>2.0</v>
      </c>
      <c r="M160" s="40">
        <v>36344.0</v>
      </c>
      <c r="N160" s="40">
        <v>40297.0</v>
      </c>
      <c r="O160" s="15" t="s">
        <v>1554</v>
      </c>
      <c r="Q160" s="7"/>
    </row>
    <row r="161">
      <c r="A161" s="39" t="s">
        <v>2273</v>
      </c>
      <c r="B161" s="15">
        <v>687365.0</v>
      </c>
      <c r="C161" s="15" t="s">
        <v>2274</v>
      </c>
      <c r="D161" s="15">
        <v>48157.0</v>
      </c>
      <c r="E161" s="15" t="s">
        <v>1808</v>
      </c>
      <c r="F161" s="15" t="s">
        <v>2232</v>
      </c>
      <c r="G161" s="7">
        <v>3.798</v>
      </c>
      <c r="H161" s="15" t="s">
        <v>2275</v>
      </c>
      <c r="I161" s="15" t="s">
        <v>1567</v>
      </c>
      <c r="J161" s="15" t="s">
        <v>2276</v>
      </c>
      <c r="K161" s="15">
        <v>3.0</v>
      </c>
      <c r="L161" s="15">
        <v>3.0</v>
      </c>
      <c r="M161" s="41">
        <v>36874.0</v>
      </c>
      <c r="N161" s="40">
        <v>40297.0</v>
      </c>
      <c r="O161" s="15" t="s">
        <v>1554</v>
      </c>
      <c r="Q161" s="7"/>
    </row>
    <row r="162">
      <c r="A162" s="39" t="s">
        <v>2277</v>
      </c>
      <c r="B162" s="15">
        <v>687346.0</v>
      </c>
      <c r="C162" s="15" t="s">
        <v>2278</v>
      </c>
      <c r="D162" s="15">
        <v>48159.0</v>
      </c>
      <c r="E162" s="15" t="s">
        <v>1808</v>
      </c>
      <c r="F162" s="15" t="s">
        <v>2232</v>
      </c>
      <c r="G162" s="7">
        <v>3.736</v>
      </c>
      <c r="H162" s="15" t="s">
        <v>2279</v>
      </c>
      <c r="I162" s="15" t="s">
        <v>1567</v>
      </c>
      <c r="J162" s="15" t="s">
        <v>2280</v>
      </c>
      <c r="K162" s="15">
        <v>3.0</v>
      </c>
      <c r="L162" s="15">
        <v>3.0</v>
      </c>
      <c r="M162" s="40">
        <v>36719.0</v>
      </c>
      <c r="N162" s="40">
        <v>40297.0</v>
      </c>
      <c r="O162" s="15" t="s">
        <v>1554</v>
      </c>
      <c r="Q162" s="7"/>
    </row>
    <row r="163">
      <c r="A163" s="39" t="s">
        <v>2282</v>
      </c>
      <c r="B163" s="15">
        <v>687342.0</v>
      </c>
      <c r="C163" s="15" t="s">
        <v>2283</v>
      </c>
      <c r="D163" s="15">
        <v>48161.0</v>
      </c>
      <c r="E163" s="15" t="s">
        <v>1808</v>
      </c>
      <c r="F163" s="15" t="s">
        <v>2232</v>
      </c>
      <c r="G163" s="7">
        <v>3.748</v>
      </c>
      <c r="H163" s="15" t="s">
        <v>2284</v>
      </c>
      <c r="I163" s="15" t="s">
        <v>1567</v>
      </c>
      <c r="J163" s="15" t="s">
        <v>2285</v>
      </c>
      <c r="K163" s="15">
        <v>6.0</v>
      </c>
      <c r="L163" s="15">
        <v>6.0</v>
      </c>
      <c r="M163" s="40">
        <v>38224.0</v>
      </c>
      <c r="N163" s="40">
        <v>40297.0</v>
      </c>
      <c r="O163" s="15" t="s">
        <v>1554</v>
      </c>
      <c r="Q163" s="7"/>
    </row>
    <row r="164">
      <c r="A164" s="39" t="s">
        <v>2286</v>
      </c>
      <c r="B164" s="15">
        <v>687375.0</v>
      </c>
      <c r="C164" s="15" t="s">
        <v>2287</v>
      </c>
      <c r="D164" s="15">
        <v>48163.0</v>
      </c>
      <c r="E164" s="15" t="s">
        <v>1808</v>
      </c>
      <c r="F164" s="15" t="s">
        <v>2232</v>
      </c>
      <c r="G164" s="7">
        <v>2.952</v>
      </c>
      <c r="H164" s="15" t="s">
        <v>2288</v>
      </c>
      <c r="I164" s="15" t="s">
        <v>1567</v>
      </c>
      <c r="J164" s="15" t="s">
        <v>2289</v>
      </c>
      <c r="K164" s="15">
        <v>2.0</v>
      </c>
      <c r="L164" s="15">
        <v>2.0</v>
      </c>
      <c r="M164" s="40">
        <v>36620.0</v>
      </c>
      <c r="N164" s="40">
        <v>40297.0</v>
      </c>
      <c r="O164" s="15" t="s">
        <v>1554</v>
      </c>
      <c r="Q164" s="7"/>
    </row>
    <row r="165">
      <c r="A165" s="39" t="s">
        <v>2290</v>
      </c>
      <c r="B165" s="15">
        <v>687364.0</v>
      </c>
      <c r="C165" s="15" t="s">
        <v>2291</v>
      </c>
      <c r="D165" s="15">
        <v>48165.0</v>
      </c>
      <c r="E165" s="15" t="s">
        <v>1808</v>
      </c>
      <c r="F165" s="15" t="s">
        <v>2232</v>
      </c>
      <c r="G165" s="7">
        <v>3.763</v>
      </c>
      <c r="H165" s="15" t="s">
        <v>2271</v>
      </c>
      <c r="I165" s="15" t="s">
        <v>1567</v>
      </c>
      <c r="J165" s="15" t="s">
        <v>2292</v>
      </c>
      <c r="K165" s="15">
        <v>3.0</v>
      </c>
      <c r="L165" s="15">
        <v>3.0</v>
      </c>
      <c r="M165" s="41">
        <v>36874.0</v>
      </c>
      <c r="N165" s="40">
        <v>40297.0</v>
      </c>
      <c r="O165" s="15" t="s">
        <v>1554</v>
      </c>
      <c r="Q165" s="7"/>
    </row>
    <row r="166">
      <c r="A166" s="39" t="s">
        <v>2293</v>
      </c>
      <c r="B166" s="15">
        <v>687347.0</v>
      </c>
      <c r="C166" s="15" t="s">
        <v>2295</v>
      </c>
      <c r="D166" s="15">
        <v>48167.0</v>
      </c>
      <c r="E166" s="15" t="s">
        <v>1808</v>
      </c>
      <c r="F166" s="15" t="s">
        <v>2232</v>
      </c>
      <c r="G166" s="7">
        <v>3.79</v>
      </c>
      <c r="H166" s="15" t="s">
        <v>2296</v>
      </c>
      <c r="I166" s="15" t="s">
        <v>1567</v>
      </c>
      <c r="J166" s="15" t="s">
        <v>2297</v>
      </c>
      <c r="K166" s="15">
        <v>4.0</v>
      </c>
      <c r="L166" s="15">
        <v>4.0</v>
      </c>
      <c r="M166" s="40">
        <v>37075.0</v>
      </c>
      <c r="N166" s="40">
        <v>40297.0</v>
      </c>
      <c r="O166" s="15" t="s">
        <v>1554</v>
      </c>
      <c r="Q166" s="7"/>
    </row>
    <row r="167">
      <c r="A167" s="39" t="s">
        <v>2298</v>
      </c>
      <c r="B167" s="15">
        <v>687382.0</v>
      </c>
      <c r="C167" s="15" t="s">
        <v>2299</v>
      </c>
      <c r="D167" s="15">
        <v>48169.0</v>
      </c>
      <c r="E167" s="15" t="s">
        <v>1808</v>
      </c>
      <c r="F167" s="15" t="s">
        <v>2232</v>
      </c>
      <c r="G167" s="7">
        <v>3.371</v>
      </c>
      <c r="H167" s="15" t="s">
        <v>2300</v>
      </c>
      <c r="I167" s="15" t="s">
        <v>1567</v>
      </c>
      <c r="J167" s="15" t="s">
        <v>2301</v>
      </c>
      <c r="K167" s="15">
        <v>4.0</v>
      </c>
      <c r="L167" s="15">
        <v>4.0</v>
      </c>
      <c r="M167" s="41">
        <v>36874.0</v>
      </c>
      <c r="N167" s="40">
        <v>40297.0</v>
      </c>
      <c r="O167" s="15" t="s">
        <v>1554</v>
      </c>
      <c r="Q167" s="7"/>
    </row>
    <row r="168">
      <c r="A168" s="39" t="s">
        <v>2302</v>
      </c>
      <c r="B168" s="15">
        <v>687370.0</v>
      </c>
      <c r="C168" s="15" t="s">
        <v>2303</v>
      </c>
      <c r="D168" s="15">
        <v>48171.0</v>
      </c>
      <c r="E168" s="15" t="s">
        <v>1808</v>
      </c>
      <c r="F168" s="15" t="s">
        <v>2232</v>
      </c>
      <c r="G168" s="7">
        <v>2.765</v>
      </c>
      <c r="H168" s="15" t="s">
        <v>2304</v>
      </c>
      <c r="I168" s="15" t="s">
        <v>1567</v>
      </c>
      <c r="J168" s="15" t="s">
        <v>2306</v>
      </c>
      <c r="K168" s="15">
        <v>3.0</v>
      </c>
      <c r="L168" s="15">
        <v>3.0</v>
      </c>
      <c r="M168" s="40">
        <v>36620.0</v>
      </c>
      <c r="N168" s="40">
        <v>40297.0</v>
      </c>
      <c r="O168" s="15" t="s">
        <v>1554</v>
      </c>
      <c r="Q168" s="7"/>
    </row>
    <row r="169">
      <c r="A169" s="39" t="s">
        <v>2307</v>
      </c>
      <c r="B169" s="15">
        <v>687383.0</v>
      </c>
      <c r="C169" s="15" t="s">
        <v>2308</v>
      </c>
      <c r="D169" s="15">
        <v>48173.0</v>
      </c>
      <c r="E169" s="15" t="s">
        <v>1808</v>
      </c>
      <c r="F169" s="15" t="s">
        <v>2232</v>
      </c>
      <c r="G169" s="7">
        <v>3.718</v>
      </c>
      <c r="H169" s="15" t="s">
        <v>2309</v>
      </c>
      <c r="I169" s="15" t="s">
        <v>1567</v>
      </c>
      <c r="J169" s="15" t="s">
        <v>2310</v>
      </c>
      <c r="K169" s="15">
        <v>3.0</v>
      </c>
      <c r="L169" s="15">
        <v>3.0</v>
      </c>
      <c r="M169" s="41">
        <v>36874.0</v>
      </c>
      <c r="N169" s="40">
        <v>40297.0</v>
      </c>
      <c r="O169" s="15" t="s">
        <v>1554</v>
      </c>
      <c r="Q169" s="7"/>
    </row>
    <row r="170">
      <c r="A170" s="39" t="s">
        <v>2311</v>
      </c>
      <c r="B170" s="15">
        <v>687371.0</v>
      </c>
      <c r="C170" s="15" t="s">
        <v>2312</v>
      </c>
      <c r="D170" s="15">
        <v>48175.0</v>
      </c>
      <c r="E170" s="15" t="s">
        <v>1808</v>
      </c>
      <c r="F170" s="15" t="s">
        <v>2232</v>
      </c>
      <c r="G170" s="7">
        <v>2.897</v>
      </c>
      <c r="H170" s="15">
        <v>38.0</v>
      </c>
      <c r="I170" s="15" t="s">
        <v>1567</v>
      </c>
      <c r="J170" s="15" t="s">
        <v>2313</v>
      </c>
      <c r="K170" s="15">
        <v>3.0</v>
      </c>
      <c r="L170" s="15">
        <v>3.0</v>
      </c>
      <c r="M170" s="40">
        <v>36620.0</v>
      </c>
      <c r="N170" s="40">
        <v>40298.0</v>
      </c>
      <c r="O170" s="15" t="s">
        <v>1554</v>
      </c>
      <c r="Q170" s="7"/>
    </row>
    <row r="171">
      <c r="A171" s="39" t="s">
        <v>2314</v>
      </c>
      <c r="B171" s="15">
        <v>687373.0</v>
      </c>
      <c r="C171" s="15" t="s">
        <v>2315</v>
      </c>
      <c r="D171" s="15">
        <v>48177.0</v>
      </c>
      <c r="E171" s="15" t="s">
        <v>1808</v>
      </c>
      <c r="F171" s="15" t="s">
        <v>2232</v>
      </c>
      <c r="G171" s="7">
        <v>2.908</v>
      </c>
      <c r="H171" s="15" t="s">
        <v>2316</v>
      </c>
      <c r="I171" s="15" t="s">
        <v>1567</v>
      </c>
      <c r="J171" s="15" t="s">
        <v>2317</v>
      </c>
      <c r="K171" s="15">
        <v>3.0</v>
      </c>
      <c r="L171" s="15">
        <v>3.0</v>
      </c>
      <c r="M171" s="41">
        <v>36874.0</v>
      </c>
      <c r="N171" s="40">
        <v>40298.0</v>
      </c>
      <c r="O171" s="15" t="s">
        <v>1554</v>
      </c>
      <c r="Q171" s="7"/>
    </row>
    <row r="172">
      <c r="A172" s="39" t="s">
        <v>2318</v>
      </c>
      <c r="B172" s="15">
        <v>687372.0</v>
      </c>
      <c r="C172" s="15" t="s">
        <v>2319</v>
      </c>
      <c r="D172" s="15">
        <v>48179.0</v>
      </c>
      <c r="E172" s="15" t="s">
        <v>1808</v>
      </c>
      <c r="F172" s="15" t="s">
        <v>2232</v>
      </c>
      <c r="G172" s="7">
        <v>2.785</v>
      </c>
      <c r="H172" s="15" t="s">
        <v>2320</v>
      </c>
      <c r="I172" s="15" t="s">
        <v>1567</v>
      </c>
      <c r="J172" s="15" t="s">
        <v>2321</v>
      </c>
      <c r="K172" s="15">
        <v>2.0</v>
      </c>
      <c r="L172" s="15">
        <v>2.0</v>
      </c>
      <c r="M172" s="41">
        <v>36874.0</v>
      </c>
      <c r="N172" s="40">
        <v>40298.0</v>
      </c>
      <c r="O172" s="15" t="s">
        <v>1554</v>
      </c>
      <c r="Q172" s="7"/>
    </row>
    <row r="173">
      <c r="A173" s="39" t="s">
        <v>2322</v>
      </c>
      <c r="B173" s="15">
        <v>687355.0</v>
      </c>
      <c r="C173" s="15" t="s">
        <v>2323</v>
      </c>
      <c r="D173" s="15">
        <v>48181.0</v>
      </c>
      <c r="E173" s="15" t="s">
        <v>1808</v>
      </c>
      <c r="F173" s="15" t="s">
        <v>2232</v>
      </c>
      <c r="G173" s="7">
        <v>3.818</v>
      </c>
      <c r="H173" s="15" t="s">
        <v>2324</v>
      </c>
      <c r="I173" s="15" t="s">
        <v>1567</v>
      </c>
      <c r="J173" s="15" t="s">
        <v>2325</v>
      </c>
      <c r="K173" s="15">
        <v>2.0</v>
      </c>
      <c r="L173" s="15">
        <v>2.0</v>
      </c>
      <c r="M173" s="40">
        <v>36355.0</v>
      </c>
      <c r="N173" s="40">
        <v>40298.0</v>
      </c>
      <c r="O173" s="15" t="s">
        <v>1554</v>
      </c>
      <c r="Q173" s="7"/>
    </row>
    <row r="174">
      <c r="A174" s="39" t="s">
        <v>2326</v>
      </c>
      <c r="B174" s="15">
        <v>687380.0</v>
      </c>
      <c r="C174" s="15" t="s">
        <v>2327</v>
      </c>
      <c r="D174" s="15">
        <v>48185.0</v>
      </c>
      <c r="E174" s="15" t="s">
        <v>1808</v>
      </c>
      <c r="F174" s="15" t="s">
        <v>2232</v>
      </c>
      <c r="G174" s="7">
        <v>3.253</v>
      </c>
      <c r="H174" s="15" t="s">
        <v>1813</v>
      </c>
      <c r="I174" s="15" t="s">
        <v>1567</v>
      </c>
      <c r="J174" s="15" t="s">
        <v>2328</v>
      </c>
      <c r="K174" s="15">
        <v>4.0</v>
      </c>
      <c r="L174" s="15">
        <v>4.0</v>
      </c>
      <c r="M174" s="40">
        <v>39164.0</v>
      </c>
      <c r="N174" s="40">
        <v>40298.0</v>
      </c>
      <c r="O174" s="15" t="s">
        <v>1554</v>
      </c>
      <c r="Q174" s="7"/>
    </row>
    <row r="175">
      <c r="A175" s="39" t="s">
        <v>2329</v>
      </c>
      <c r="B175" s="15">
        <v>687345.0</v>
      </c>
      <c r="C175" s="15" t="s">
        <v>2330</v>
      </c>
      <c r="D175" s="15">
        <v>48187.0</v>
      </c>
      <c r="E175" s="15" t="s">
        <v>1808</v>
      </c>
      <c r="F175" s="15" t="s">
        <v>2232</v>
      </c>
      <c r="G175" s="7">
        <v>3.705</v>
      </c>
      <c r="H175" s="15">
        <v>50.0</v>
      </c>
      <c r="I175" s="15" t="s">
        <v>1567</v>
      </c>
      <c r="J175" s="15" t="s">
        <v>2331</v>
      </c>
      <c r="K175" s="15">
        <v>4.0</v>
      </c>
      <c r="L175" s="15">
        <v>4.0</v>
      </c>
      <c r="M175" s="40">
        <v>37202.0</v>
      </c>
      <c r="N175" s="40">
        <v>40298.0</v>
      </c>
      <c r="O175" s="15" t="s">
        <v>1554</v>
      </c>
      <c r="Q175" s="7"/>
    </row>
    <row r="176">
      <c r="A176" s="39" t="s">
        <v>2332</v>
      </c>
      <c r="B176" s="15">
        <v>687374.0</v>
      </c>
      <c r="C176" s="15" t="s">
        <v>2333</v>
      </c>
      <c r="D176" s="15">
        <v>48189.0</v>
      </c>
      <c r="E176" s="15" t="s">
        <v>1808</v>
      </c>
      <c r="F176" s="15" t="s">
        <v>2232</v>
      </c>
      <c r="G176" s="7">
        <v>2.897</v>
      </c>
      <c r="H176" s="15" t="s">
        <v>2334</v>
      </c>
      <c r="I176" s="15" t="s">
        <v>1567</v>
      </c>
      <c r="J176" s="15" t="s">
        <v>2335</v>
      </c>
      <c r="K176" s="15">
        <v>3.0</v>
      </c>
      <c r="L176" s="15">
        <v>3.0</v>
      </c>
      <c r="M176" s="41">
        <v>36487.0</v>
      </c>
      <c r="N176" s="40">
        <v>40298.0</v>
      </c>
      <c r="O176" s="15" t="s">
        <v>1554</v>
      </c>
      <c r="Q176" s="7"/>
    </row>
    <row r="177">
      <c r="A177" s="39" t="s">
        <v>2336</v>
      </c>
      <c r="B177" s="15">
        <v>687354.0</v>
      </c>
      <c r="C177" s="15" t="s">
        <v>2337</v>
      </c>
      <c r="D177" s="15">
        <v>48191.0</v>
      </c>
      <c r="E177" s="15" t="s">
        <v>1808</v>
      </c>
      <c r="F177" s="15" t="s">
        <v>2232</v>
      </c>
      <c r="G177" s="7">
        <v>3.787</v>
      </c>
      <c r="H177" s="15" t="s">
        <v>2324</v>
      </c>
      <c r="I177" s="15" t="s">
        <v>1567</v>
      </c>
      <c r="J177" s="15" t="s">
        <v>2339</v>
      </c>
      <c r="K177" s="15">
        <v>2.0</v>
      </c>
      <c r="L177" s="15">
        <v>2.0</v>
      </c>
      <c r="M177" s="40">
        <v>36643.0</v>
      </c>
      <c r="N177" s="40">
        <v>40298.0</v>
      </c>
      <c r="O177" s="15" t="s">
        <v>1554</v>
      </c>
      <c r="Q177" s="7"/>
    </row>
    <row r="178">
      <c r="A178" s="39" t="s">
        <v>2340</v>
      </c>
      <c r="B178" s="15">
        <v>687369.0</v>
      </c>
      <c r="C178" s="15" t="s">
        <v>2341</v>
      </c>
      <c r="D178" s="15">
        <v>48193.0</v>
      </c>
      <c r="E178" s="15" t="s">
        <v>1808</v>
      </c>
      <c r="F178" s="15" t="s">
        <v>2232</v>
      </c>
      <c r="G178" s="7">
        <v>2.856</v>
      </c>
      <c r="H178" s="15" t="s">
        <v>2342</v>
      </c>
      <c r="I178" s="15" t="s">
        <v>1567</v>
      </c>
      <c r="J178" s="15" t="s">
        <v>2343</v>
      </c>
      <c r="K178" s="15">
        <v>3.0</v>
      </c>
      <c r="L178" s="15">
        <v>3.0</v>
      </c>
      <c r="M178" s="41">
        <v>36487.0</v>
      </c>
      <c r="N178" s="40">
        <v>40298.0</v>
      </c>
      <c r="O178" s="15" t="s">
        <v>1554</v>
      </c>
      <c r="Q178" s="7"/>
    </row>
    <row r="179">
      <c r="A179" s="39" t="s">
        <v>2344</v>
      </c>
      <c r="B179" s="15">
        <v>754004.0</v>
      </c>
      <c r="C179" s="15" t="s">
        <v>2345</v>
      </c>
      <c r="D179" s="15">
        <v>48299.0</v>
      </c>
      <c r="E179" s="15" t="s">
        <v>1557</v>
      </c>
      <c r="F179" s="15" t="s">
        <v>2346</v>
      </c>
      <c r="G179" s="7">
        <v>16.622</v>
      </c>
      <c r="H179" s="15" t="s">
        <v>2158</v>
      </c>
      <c r="I179" s="15" t="s">
        <v>1618</v>
      </c>
      <c r="J179" s="15" t="s">
        <v>2347</v>
      </c>
      <c r="K179" s="15">
        <v>34.0</v>
      </c>
      <c r="L179" s="15">
        <v>34.0</v>
      </c>
      <c r="M179" s="40">
        <v>40286.0</v>
      </c>
      <c r="N179" s="40">
        <v>40298.0</v>
      </c>
      <c r="O179" s="15" t="s">
        <v>1554</v>
      </c>
      <c r="Q179" s="7"/>
    </row>
    <row r="180">
      <c r="A180" s="39" t="s">
        <v>2349</v>
      </c>
      <c r="B180" s="15">
        <v>687387.0</v>
      </c>
      <c r="C180" s="15" t="s">
        <v>2350</v>
      </c>
      <c r="D180" s="15">
        <v>283618.0</v>
      </c>
      <c r="E180" s="15" t="s">
        <v>1808</v>
      </c>
      <c r="F180" s="15" t="s">
        <v>2232</v>
      </c>
      <c r="G180" s="7">
        <v>2.872</v>
      </c>
      <c r="H180" s="15" t="s">
        <v>2351</v>
      </c>
      <c r="I180" s="15" t="s">
        <v>1567</v>
      </c>
      <c r="J180" s="15" t="s">
        <v>2352</v>
      </c>
      <c r="K180" s="15">
        <v>3.0</v>
      </c>
      <c r="L180" s="15">
        <v>3.0</v>
      </c>
      <c r="M180" s="40">
        <v>38392.0</v>
      </c>
      <c r="N180" s="40">
        <v>42138.0</v>
      </c>
      <c r="O180" s="15" t="s">
        <v>2353</v>
      </c>
      <c r="Q180" s="7"/>
    </row>
    <row r="181">
      <c r="A181" s="39" t="s">
        <v>2354</v>
      </c>
      <c r="B181" s="15">
        <v>421012.0</v>
      </c>
      <c r="C181" s="15" t="s">
        <v>2355</v>
      </c>
      <c r="D181" s="15">
        <v>48387.0</v>
      </c>
      <c r="E181" s="15" t="s">
        <v>1548</v>
      </c>
      <c r="F181" s="15" t="s">
        <v>1911</v>
      </c>
      <c r="G181" s="7">
        <v>9.489</v>
      </c>
      <c r="H181" s="15" t="s">
        <v>1813</v>
      </c>
      <c r="I181" s="15" t="s">
        <v>1628</v>
      </c>
      <c r="J181" s="15" t="s">
        <v>2356</v>
      </c>
      <c r="K181" s="15">
        <v>2.0</v>
      </c>
      <c r="L181" s="15">
        <v>2.0</v>
      </c>
      <c r="M181" s="40">
        <v>40185.0</v>
      </c>
      <c r="N181" s="40">
        <v>42045.0</v>
      </c>
      <c r="O181" s="15" t="s">
        <v>1554</v>
      </c>
      <c r="Q181" s="7"/>
    </row>
    <row r="182">
      <c r="A182" s="39" t="s">
        <v>2358</v>
      </c>
      <c r="B182" s="15">
        <v>213633.0</v>
      </c>
      <c r="C182" s="15" t="s">
        <v>2359</v>
      </c>
      <c r="D182" s="15">
        <v>48417.0</v>
      </c>
      <c r="E182" s="15" t="s">
        <v>1548</v>
      </c>
      <c r="F182" s="15" t="s">
        <v>2360</v>
      </c>
      <c r="G182" s="7">
        <v>6.155</v>
      </c>
      <c r="H182" s="15" t="s">
        <v>2361</v>
      </c>
      <c r="I182" s="15" t="s">
        <v>1560</v>
      </c>
      <c r="J182" s="15" t="s">
        <v>2362</v>
      </c>
      <c r="K182" s="15">
        <v>5.0</v>
      </c>
      <c r="L182" s="15">
        <v>4.0</v>
      </c>
      <c r="M182" s="40">
        <v>40302.0</v>
      </c>
      <c r="N182" s="41">
        <v>40470.0</v>
      </c>
      <c r="O182" s="15" t="s">
        <v>1554</v>
      </c>
      <c r="Q182" s="7"/>
    </row>
    <row r="183">
      <c r="A183" s="39" t="s">
        <v>2363</v>
      </c>
      <c r="B183" s="15">
        <v>688701.0</v>
      </c>
      <c r="C183" s="15" t="s">
        <v>2364</v>
      </c>
      <c r="D183" s="15">
        <v>48419.0</v>
      </c>
      <c r="E183" s="15" t="s">
        <v>1548</v>
      </c>
      <c r="F183" s="15" t="s">
        <v>2032</v>
      </c>
      <c r="G183" s="7">
        <v>6.517</v>
      </c>
      <c r="H183" s="15" t="s">
        <v>2365</v>
      </c>
      <c r="I183" s="15" t="s">
        <v>2034</v>
      </c>
      <c r="J183" s="15" t="s">
        <v>2366</v>
      </c>
      <c r="K183" s="15">
        <v>3.0</v>
      </c>
      <c r="L183" s="15">
        <v>3.0</v>
      </c>
      <c r="M183" s="40">
        <v>40301.0</v>
      </c>
      <c r="N183" s="40">
        <v>40579.0</v>
      </c>
      <c r="O183" s="15" t="s">
        <v>1554</v>
      </c>
      <c r="Q183" s="7"/>
    </row>
    <row r="184">
      <c r="A184" s="39" t="s">
        <v>2367</v>
      </c>
      <c r="B184" s="15">
        <v>759390.0</v>
      </c>
      <c r="C184" s="15" t="s">
        <v>2368</v>
      </c>
      <c r="D184" s="15">
        <v>48421.0</v>
      </c>
      <c r="E184" s="15" t="s">
        <v>1808</v>
      </c>
      <c r="F184" s="15" t="s">
        <v>1809</v>
      </c>
      <c r="G184" s="7">
        <v>5.184</v>
      </c>
      <c r="H184" s="15" t="s">
        <v>2370</v>
      </c>
      <c r="I184" s="15" t="s">
        <v>1628</v>
      </c>
      <c r="J184" s="15" t="s">
        <v>2371</v>
      </c>
      <c r="K184" s="15">
        <v>7.0</v>
      </c>
      <c r="L184" s="15">
        <v>7.0</v>
      </c>
      <c r="M184" s="40">
        <v>40300.0</v>
      </c>
      <c r="N184" s="41">
        <v>42297.0</v>
      </c>
      <c r="O184" s="15" t="s">
        <v>1554</v>
      </c>
      <c r="Q184" s="7"/>
    </row>
    <row r="185">
      <c r="A185" s="39" t="s">
        <v>2372</v>
      </c>
      <c r="B185" s="15">
        <v>458132.0</v>
      </c>
      <c r="C185" s="15" t="s">
        <v>2373</v>
      </c>
      <c r="D185" s="15">
        <v>48587.0</v>
      </c>
      <c r="E185" s="15" t="s">
        <v>1548</v>
      </c>
      <c r="F185" s="15" t="s">
        <v>2374</v>
      </c>
      <c r="G185" s="7">
        <v>9.505</v>
      </c>
      <c r="H185" s="15" t="s">
        <v>2375</v>
      </c>
      <c r="I185" s="15" t="s">
        <v>1560</v>
      </c>
      <c r="J185" s="15" t="s">
        <v>2376</v>
      </c>
      <c r="K185" s="15">
        <v>1.0</v>
      </c>
      <c r="L185" s="15">
        <v>1.0</v>
      </c>
      <c r="M185" s="40">
        <v>39302.0</v>
      </c>
      <c r="N185" s="40">
        <v>40441.0</v>
      </c>
      <c r="O185" s="15" t="s">
        <v>1554</v>
      </c>
      <c r="Q185" s="7"/>
    </row>
    <row r="186">
      <c r="A186" s="39" t="s">
        <v>2377</v>
      </c>
      <c r="B186" s="15">
        <v>665102.0</v>
      </c>
      <c r="C186" s="15" t="s">
        <v>2378</v>
      </c>
      <c r="D186" s="15">
        <v>48591.0</v>
      </c>
      <c r="E186" s="15" t="s">
        <v>1808</v>
      </c>
      <c r="F186" s="15" t="s">
        <v>1809</v>
      </c>
      <c r="G186" s="7">
        <v>5.271</v>
      </c>
      <c r="H186" s="15" t="s">
        <v>2379</v>
      </c>
      <c r="I186" s="15" t="s">
        <v>1628</v>
      </c>
      <c r="J186" s="15" t="s">
        <v>2380</v>
      </c>
      <c r="K186" s="15">
        <v>7.0</v>
      </c>
      <c r="L186" s="15">
        <v>7.0</v>
      </c>
      <c r="M186" s="40">
        <v>40307.0</v>
      </c>
      <c r="N186" s="40">
        <v>42080.0</v>
      </c>
      <c r="O186" s="15" t="s">
        <v>1554</v>
      </c>
      <c r="Q186" s="7"/>
    </row>
    <row r="187">
      <c r="A187" s="39" t="s">
        <v>2381</v>
      </c>
      <c r="B187" s="15">
        <v>761701.0</v>
      </c>
      <c r="C187" s="15" t="s">
        <v>2382</v>
      </c>
      <c r="D187" s="15">
        <v>48593.0</v>
      </c>
      <c r="E187" s="15" t="s">
        <v>1808</v>
      </c>
      <c r="F187" s="15" t="s">
        <v>1809</v>
      </c>
      <c r="G187" s="7">
        <v>2.768</v>
      </c>
      <c r="H187" s="15" t="s">
        <v>1983</v>
      </c>
      <c r="I187" s="15" t="s">
        <v>1628</v>
      </c>
      <c r="J187" s="15" t="s">
        <v>2384</v>
      </c>
      <c r="K187" s="15">
        <v>6.0</v>
      </c>
      <c r="L187" s="15">
        <v>6.0</v>
      </c>
      <c r="M187" s="40">
        <v>40308.0</v>
      </c>
      <c r="N187" s="40">
        <v>40311.0</v>
      </c>
      <c r="O187" s="15" t="s">
        <v>1554</v>
      </c>
      <c r="Q187" s="7"/>
    </row>
    <row r="188">
      <c r="A188" s="39" t="s">
        <v>2385</v>
      </c>
      <c r="B188" s="15">
        <v>761702.0</v>
      </c>
      <c r="C188" s="15" t="s">
        <v>2386</v>
      </c>
      <c r="D188" s="15">
        <v>48595.0</v>
      </c>
      <c r="E188" s="15" t="s">
        <v>1808</v>
      </c>
      <c r="F188" s="15" t="s">
        <v>1809</v>
      </c>
      <c r="G188" s="7">
        <v>5.355</v>
      </c>
      <c r="H188" s="15" t="s">
        <v>2387</v>
      </c>
      <c r="I188" s="15" t="s">
        <v>1628</v>
      </c>
      <c r="J188" s="15" t="s">
        <v>2388</v>
      </c>
      <c r="K188" s="15">
        <v>9.0</v>
      </c>
      <c r="L188" s="15">
        <v>9.0</v>
      </c>
      <c r="M188" s="40">
        <v>40308.0</v>
      </c>
      <c r="N188" s="40">
        <v>40311.0</v>
      </c>
      <c r="O188" s="15" t="s">
        <v>1554</v>
      </c>
      <c r="Q188" s="7"/>
    </row>
    <row r="189">
      <c r="A189" s="39" t="s">
        <v>2389</v>
      </c>
      <c r="B189" s="15">
        <v>759701.0</v>
      </c>
      <c r="C189" s="15" t="s">
        <v>2390</v>
      </c>
      <c r="D189" s="15">
        <v>48601.0</v>
      </c>
      <c r="E189" s="15" t="s">
        <v>1557</v>
      </c>
      <c r="F189" s="15" t="s">
        <v>1822</v>
      </c>
      <c r="G189" s="7">
        <v>7.737</v>
      </c>
      <c r="H189" s="15" t="s">
        <v>2392</v>
      </c>
      <c r="I189" s="15" t="s">
        <v>1686</v>
      </c>
      <c r="J189" s="15" t="s">
        <v>2393</v>
      </c>
      <c r="K189" s="15">
        <v>7.0</v>
      </c>
      <c r="L189" s="15">
        <v>7.0</v>
      </c>
      <c r="M189" s="40">
        <v>40306.0</v>
      </c>
      <c r="N189" s="40">
        <v>42577.0</v>
      </c>
      <c r="O189" s="15" t="s">
        <v>1554</v>
      </c>
      <c r="Q189" s="7"/>
    </row>
    <row r="190">
      <c r="A190" s="39" t="s">
        <v>2394</v>
      </c>
      <c r="B190" s="15">
        <v>915429.0</v>
      </c>
      <c r="C190" s="15" t="s">
        <v>2395</v>
      </c>
      <c r="D190" s="15">
        <v>49377.0</v>
      </c>
      <c r="E190" s="15" t="s">
        <v>1557</v>
      </c>
      <c r="F190" s="15" t="s">
        <v>1822</v>
      </c>
      <c r="G190" s="7">
        <v>7.342</v>
      </c>
      <c r="H190" s="15" t="s">
        <v>2396</v>
      </c>
      <c r="I190" s="15" t="s">
        <v>1686</v>
      </c>
      <c r="J190" s="15" t="s">
        <v>2397</v>
      </c>
      <c r="K190" s="15">
        <v>7.0</v>
      </c>
      <c r="L190" s="15">
        <v>7.0</v>
      </c>
      <c r="M190" s="40">
        <v>40324.0</v>
      </c>
      <c r="N190" s="40">
        <v>42577.0</v>
      </c>
      <c r="O190" s="15" t="s">
        <v>1554</v>
      </c>
      <c r="Q190" s="7"/>
    </row>
    <row r="191">
      <c r="A191" s="39" t="s">
        <v>2398</v>
      </c>
      <c r="B191" s="15">
        <v>747763.0</v>
      </c>
      <c r="C191" s="15" t="s">
        <v>2399</v>
      </c>
      <c r="D191" s="15">
        <v>49613.0</v>
      </c>
      <c r="E191" s="15" t="s">
        <v>1557</v>
      </c>
      <c r="F191" s="15" t="s">
        <v>1833</v>
      </c>
      <c r="G191" s="7">
        <v>37.068</v>
      </c>
      <c r="H191" s="15" t="s">
        <v>2400</v>
      </c>
      <c r="I191" s="15" t="s">
        <v>1586</v>
      </c>
      <c r="J191" s="15" t="s">
        <v>2402</v>
      </c>
      <c r="K191" s="15">
        <v>43.0</v>
      </c>
      <c r="L191" s="15">
        <v>43.0</v>
      </c>
      <c r="M191" s="40">
        <v>40337.0</v>
      </c>
      <c r="N191" s="40">
        <v>40338.0</v>
      </c>
      <c r="O191" s="15" t="s">
        <v>1554</v>
      </c>
      <c r="Q191" s="7"/>
    </row>
    <row r="192">
      <c r="A192" s="39" t="s">
        <v>2403</v>
      </c>
      <c r="B192" s="15">
        <v>667093.0</v>
      </c>
      <c r="C192" s="15" t="s">
        <v>2404</v>
      </c>
      <c r="D192" s="15">
        <v>49651.0</v>
      </c>
      <c r="E192" s="15" t="s">
        <v>1638</v>
      </c>
      <c r="F192" s="15" t="s">
        <v>1863</v>
      </c>
      <c r="G192" s="7">
        <v>22.727</v>
      </c>
      <c r="H192" s="15" t="s">
        <v>2405</v>
      </c>
      <c r="I192" s="15" t="s">
        <v>1686</v>
      </c>
      <c r="J192" s="15" t="s">
        <v>2406</v>
      </c>
      <c r="K192" s="15">
        <v>11.0</v>
      </c>
      <c r="L192" s="15">
        <v>11.0</v>
      </c>
      <c r="M192" s="40">
        <v>40315.0</v>
      </c>
      <c r="N192" s="40">
        <v>40340.0</v>
      </c>
      <c r="O192" s="15" t="s">
        <v>1554</v>
      </c>
      <c r="Q192" s="7"/>
    </row>
    <row r="193">
      <c r="A193" s="39" t="s">
        <v>2407</v>
      </c>
      <c r="B193" s="15">
        <v>796352.0</v>
      </c>
      <c r="C193" s="15" t="s">
        <v>2408</v>
      </c>
      <c r="D193" s="15">
        <v>49715.0</v>
      </c>
      <c r="E193" s="15" t="s">
        <v>1548</v>
      </c>
      <c r="F193" s="15" t="s">
        <v>1911</v>
      </c>
      <c r="G193" s="7">
        <v>9.75</v>
      </c>
      <c r="H193" s="15" t="s">
        <v>1902</v>
      </c>
      <c r="I193" s="15" t="s">
        <v>1628</v>
      </c>
      <c r="J193" s="15" t="s">
        <v>2409</v>
      </c>
      <c r="K193" s="15">
        <v>2.0</v>
      </c>
      <c r="L193" s="15">
        <v>2.0</v>
      </c>
      <c r="M193" s="40">
        <v>40344.0</v>
      </c>
      <c r="N193" s="40">
        <v>42045.0</v>
      </c>
      <c r="O193" s="15" t="s">
        <v>1554</v>
      </c>
      <c r="Q193" s="7"/>
    </row>
    <row r="194">
      <c r="A194" s="39" t="s">
        <v>2410</v>
      </c>
      <c r="B194" s="15">
        <v>697227.0</v>
      </c>
      <c r="C194" s="15" t="s">
        <v>2411</v>
      </c>
      <c r="D194" s="15">
        <v>50177.0</v>
      </c>
      <c r="E194" s="15" t="s">
        <v>1557</v>
      </c>
      <c r="F194" s="15" t="s">
        <v>1767</v>
      </c>
      <c r="G194" s="7">
        <v>172.253</v>
      </c>
      <c r="H194" s="15" t="s">
        <v>1602</v>
      </c>
      <c r="I194" s="15" t="s">
        <v>1586</v>
      </c>
      <c r="J194" s="15" t="s">
        <v>2413</v>
      </c>
      <c r="K194" s="15">
        <v>255.0</v>
      </c>
      <c r="L194" s="15">
        <v>253.0</v>
      </c>
      <c r="M194" s="40">
        <v>40344.0</v>
      </c>
      <c r="N194" s="41">
        <v>40892.0</v>
      </c>
      <c r="O194" s="15" t="s">
        <v>1554</v>
      </c>
      <c r="Q194" s="7"/>
    </row>
    <row r="195">
      <c r="A195" s="39" t="s">
        <v>2414</v>
      </c>
      <c r="B195" s="15">
        <v>762906.0</v>
      </c>
      <c r="C195" s="15" t="s">
        <v>2415</v>
      </c>
      <c r="D195" s="15">
        <v>50361.0</v>
      </c>
      <c r="E195" s="15" t="s">
        <v>2416</v>
      </c>
      <c r="F195" s="15" t="s">
        <v>1578</v>
      </c>
      <c r="G195" s="7">
        <v>17.666</v>
      </c>
      <c r="H195" s="15" t="s">
        <v>2417</v>
      </c>
      <c r="I195" s="15" t="s">
        <v>1618</v>
      </c>
      <c r="J195" s="15" t="s">
        <v>2418</v>
      </c>
      <c r="K195" s="15">
        <v>15.0</v>
      </c>
      <c r="L195" s="15">
        <v>15.0</v>
      </c>
      <c r="M195" s="40">
        <v>40363.0</v>
      </c>
      <c r="N195" s="41">
        <v>40501.0</v>
      </c>
      <c r="O195" s="15" t="s">
        <v>1554</v>
      </c>
      <c r="Q195" s="7"/>
    </row>
    <row r="196">
      <c r="A196" s="39" t="s">
        <v>2419</v>
      </c>
      <c r="B196" s="15">
        <v>762905.0</v>
      </c>
      <c r="C196" s="15" t="s">
        <v>2420</v>
      </c>
      <c r="D196" s="15">
        <v>50363.0</v>
      </c>
      <c r="E196" s="15" t="s">
        <v>1557</v>
      </c>
      <c r="F196" s="15" t="s">
        <v>1578</v>
      </c>
      <c r="G196" s="7">
        <v>22.743</v>
      </c>
      <c r="H196" s="15" t="s">
        <v>1720</v>
      </c>
      <c r="I196" s="15" t="s">
        <v>1618</v>
      </c>
      <c r="J196" s="15" t="s">
        <v>2421</v>
      </c>
      <c r="K196" s="15">
        <v>40.0</v>
      </c>
      <c r="L196" s="15">
        <v>40.0</v>
      </c>
      <c r="M196" s="40">
        <v>40363.0</v>
      </c>
      <c r="N196" s="41">
        <v>40501.0</v>
      </c>
      <c r="O196" s="15" t="s">
        <v>1554</v>
      </c>
      <c r="Q196" s="7"/>
    </row>
    <row r="197">
      <c r="A197" s="39" t="s">
        <v>2422</v>
      </c>
      <c r="B197" s="15">
        <v>859650.0</v>
      </c>
      <c r="C197" s="15" t="s">
        <v>2423</v>
      </c>
      <c r="D197" s="15">
        <v>50429.0</v>
      </c>
      <c r="E197" s="15" t="s">
        <v>1808</v>
      </c>
      <c r="F197" s="15" t="s">
        <v>1809</v>
      </c>
      <c r="G197" s="7">
        <v>2.981</v>
      </c>
      <c r="H197" s="15">
        <v>42.0</v>
      </c>
      <c r="I197" s="15" t="s">
        <v>1628</v>
      </c>
      <c r="J197" s="15" t="s">
        <v>2424</v>
      </c>
      <c r="K197" s="15">
        <v>6.0</v>
      </c>
      <c r="L197" s="15">
        <v>6.0</v>
      </c>
      <c r="M197" s="40">
        <v>40365.0</v>
      </c>
      <c r="N197" s="40">
        <v>40429.0</v>
      </c>
      <c r="O197" s="15" t="s">
        <v>1554</v>
      </c>
      <c r="Q197" s="7"/>
    </row>
    <row r="198">
      <c r="A198" s="39" t="s">
        <v>2426</v>
      </c>
      <c r="B198" s="15">
        <v>433357.0</v>
      </c>
      <c r="C198" s="15" t="s">
        <v>2427</v>
      </c>
      <c r="D198" s="15">
        <v>50559.0</v>
      </c>
      <c r="E198" s="15" t="s">
        <v>1548</v>
      </c>
      <c r="F198" s="15" t="s">
        <v>1911</v>
      </c>
      <c r="G198" s="7">
        <v>9.741</v>
      </c>
      <c r="H198" s="15" t="s">
        <v>2428</v>
      </c>
      <c r="I198" s="15" t="s">
        <v>1628</v>
      </c>
      <c r="J198" s="15" t="s">
        <v>2429</v>
      </c>
      <c r="K198" s="15">
        <v>2.0</v>
      </c>
      <c r="L198" s="15">
        <v>2.0</v>
      </c>
      <c r="M198" s="40">
        <v>37657.0</v>
      </c>
      <c r="N198" s="40">
        <v>42045.0</v>
      </c>
      <c r="O198" s="15" t="s">
        <v>1554</v>
      </c>
      <c r="Q198" s="7"/>
    </row>
    <row r="199">
      <c r="A199" s="39" t="s">
        <v>2430</v>
      </c>
      <c r="B199" s="15">
        <v>160358.0</v>
      </c>
      <c r="C199" s="15" t="s">
        <v>2431</v>
      </c>
      <c r="D199" s="15">
        <v>50567.0</v>
      </c>
      <c r="E199" s="15" t="s">
        <v>1548</v>
      </c>
      <c r="F199" s="15" t="s">
        <v>1911</v>
      </c>
      <c r="G199" s="7">
        <v>9.745</v>
      </c>
      <c r="H199" s="15" t="s">
        <v>1859</v>
      </c>
      <c r="I199" s="15" t="s">
        <v>1628</v>
      </c>
      <c r="J199" s="15" t="s">
        <v>2432</v>
      </c>
      <c r="K199" s="15">
        <v>1.0</v>
      </c>
      <c r="L199" s="15">
        <v>1.0</v>
      </c>
      <c r="M199" s="40">
        <v>40372.0</v>
      </c>
      <c r="N199" s="40">
        <v>41496.0</v>
      </c>
      <c r="O199" s="15" t="s">
        <v>1554</v>
      </c>
      <c r="Q199" s="7"/>
    </row>
    <row r="200">
      <c r="A200" s="39" t="s">
        <v>2433</v>
      </c>
      <c r="B200" s="15">
        <v>797418.0</v>
      </c>
      <c r="C200" s="15" t="s">
        <v>2434</v>
      </c>
      <c r="D200" s="15">
        <v>51177.0</v>
      </c>
      <c r="E200" s="15" t="s">
        <v>1808</v>
      </c>
      <c r="F200" s="15" t="s">
        <v>2436</v>
      </c>
      <c r="G200" s="7">
        <v>6.085</v>
      </c>
      <c r="H200" s="15" t="s">
        <v>2304</v>
      </c>
      <c r="I200" s="15" t="s">
        <v>1560</v>
      </c>
      <c r="J200" s="15" t="s">
        <v>2437</v>
      </c>
      <c r="K200" s="15">
        <v>3.0</v>
      </c>
      <c r="L200" s="15">
        <v>3.0</v>
      </c>
      <c r="M200" s="40">
        <v>40387.0</v>
      </c>
      <c r="N200" s="40">
        <v>40395.0</v>
      </c>
      <c r="O200" s="15" t="s">
        <v>1554</v>
      </c>
      <c r="Q200" s="7"/>
    </row>
    <row r="201">
      <c r="A201" s="39" t="s">
        <v>2438</v>
      </c>
      <c r="B201" s="15">
        <v>864686.0</v>
      </c>
      <c r="C201" s="15" t="s">
        <v>2439</v>
      </c>
      <c r="D201" s="15">
        <v>51179.0</v>
      </c>
      <c r="E201" s="15" t="s">
        <v>1808</v>
      </c>
      <c r="F201" s="15" t="s">
        <v>2436</v>
      </c>
      <c r="G201" s="7">
        <v>4.944</v>
      </c>
      <c r="H201" s="15" t="s">
        <v>2440</v>
      </c>
      <c r="I201" s="15" t="s">
        <v>1686</v>
      </c>
      <c r="J201" s="15" t="s">
        <v>2441</v>
      </c>
      <c r="K201" s="15">
        <v>4.0</v>
      </c>
      <c r="L201" s="15">
        <v>4.0</v>
      </c>
      <c r="M201" s="40">
        <v>40380.0</v>
      </c>
      <c r="N201" s="40">
        <v>40409.0</v>
      </c>
      <c r="O201" s="15" t="s">
        <v>1554</v>
      </c>
      <c r="Q201" s="7"/>
    </row>
    <row r="202">
      <c r="A202" s="39" t="s">
        <v>2442</v>
      </c>
      <c r="B202" s="15">
        <v>862943.0</v>
      </c>
      <c r="C202" s="15" t="s">
        <v>2443</v>
      </c>
      <c r="D202" s="15">
        <v>51181.0</v>
      </c>
      <c r="E202" s="15" t="s">
        <v>1638</v>
      </c>
      <c r="F202" s="15" t="s">
        <v>1578</v>
      </c>
      <c r="G202" s="7">
        <v>7.951</v>
      </c>
      <c r="H202" s="15">
        <v>59.0</v>
      </c>
      <c r="I202" s="15" t="s">
        <v>1560</v>
      </c>
      <c r="J202" s="15" t="s">
        <v>2444</v>
      </c>
      <c r="K202" s="15">
        <v>2.0</v>
      </c>
      <c r="L202" s="15">
        <v>2.0</v>
      </c>
      <c r="M202" s="40">
        <v>40376.0</v>
      </c>
      <c r="N202" s="40">
        <v>42577.0</v>
      </c>
      <c r="O202" s="15" t="s">
        <v>1554</v>
      </c>
      <c r="Q202" s="7"/>
    </row>
    <row r="203">
      <c r="A203" s="39" t="s">
        <v>2446</v>
      </c>
      <c r="B203" s="15">
        <v>862944.0</v>
      </c>
      <c r="C203" s="15" t="s">
        <v>2447</v>
      </c>
      <c r="D203" s="15">
        <v>51183.0</v>
      </c>
      <c r="E203" s="15" t="s">
        <v>1638</v>
      </c>
      <c r="F203" s="15" t="s">
        <v>1578</v>
      </c>
      <c r="G203" s="7">
        <v>8.086</v>
      </c>
      <c r="H203" s="15" t="s">
        <v>2089</v>
      </c>
      <c r="I203" s="15" t="s">
        <v>1560</v>
      </c>
      <c r="J203" s="15" t="s">
        <v>2448</v>
      </c>
      <c r="K203" s="15">
        <v>2.0</v>
      </c>
      <c r="L203" s="15">
        <v>2.0</v>
      </c>
      <c r="M203" s="40">
        <v>40376.0</v>
      </c>
      <c r="N203" s="40">
        <v>42577.0</v>
      </c>
      <c r="O203" s="15" t="s">
        <v>1554</v>
      </c>
      <c r="Q203" s="7"/>
    </row>
    <row r="204">
      <c r="A204" s="39" t="s">
        <v>2449</v>
      </c>
      <c r="B204" s="15">
        <v>862909.0</v>
      </c>
      <c r="C204" s="15" t="s">
        <v>2450</v>
      </c>
      <c r="D204" s="15">
        <v>51185.0</v>
      </c>
      <c r="E204" s="15" t="s">
        <v>1557</v>
      </c>
      <c r="F204" s="15" t="s">
        <v>2004</v>
      </c>
      <c r="G204" s="7">
        <v>5.232</v>
      </c>
      <c r="H204" s="15" t="s">
        <v>2451</v>
      </c>
      <c r="I204" s="15" t="s">
        <v>1686</v>
      </c>
      <c r="J204" s="15" t="s">
        <v>2452</v>
      </c>
      <c r="K204" s="15">
        <v>4.0</v>
      </c>
      <c r="L204" s="15">
        <v>5.0</v>
      </c>
      <c r="M204" s="40">
        <v>40388.0</v>
      </c>
      <c r="N204" s="40">
        <v>40395.0</v>
      </c>
      <c r="O204" s="15" t="s">
        <v>1554</v>
      </c>
      <c r="Q204" s="7"/>
    </row>
    <row r="205">
      <c r="A205" s="39" t="s">
        <v>2453</v>
      </c>
      <c r="B205" s="15">
        <v>565995.0</v>
      </c>
      <c r="C205" s="15" t="s">
        <v>2454</v>
      </c>
      <c r="D205" s="15">
        <v>51245.0</v>
      </c>
      <c r="E205" s="15" t="s">
        <v>1548</v>
      </c>
      <c r="F205" s="15" t="s">
        <v>2456</v>
      </c>
      <c r="G205" s="7">
        <v>18.94</v>
      </c>
      <c r="H205" s="15">
        <v>42.0</v>
      </c>
      <c r="I205" s="15" t="s">
        <v>1567</v>
      </c>
      <c r="J205" s="15" t="s">
        <v>2457</v>
      </c>
      <c r="K205" s="15">
        <v>7.0</v>
      </c>
      <c r="L205" s="15">
        <v>9.0</v>
      </c>
      <c r="M205" s="41">
        <v>39773.0</v>
      </c>
      <c r="N205" s="40">
        <v>42480.0</v>
      </c>
      <c r="O205" s="15" t="s">
        <v>1554</v>
      </c>
      <c r="Q205" s="7"/>
    </row>
    <row r="206">
      <c r="A206" s="39" t="s">
        <v>2458</v>
      </c>
      <c r="B206" s="15">
        <v>186541.0</v>
      </c>
      <c r="C206" s="15" t="s">
        <v>2459</v>
      </c>
      <c r="D206" s="15">
        <v>51257.0</v>
      </c>
      <c r="E206" s="15" t="s">
        <v>1548</v>
      </c>
      <c r="F206" s="15" t="s">
        <v>2456</v>
      </c>
      <c r="G206" s="7">
        <v>18.935</v>
      </c>
      <c r="H206" s="15" t="s">
        <v>2023</v>
      </c>
      <c r="I206" s="15" t="s">
        <v>1567</v>
      </c>
      <c r="J206" s="15" t="s">
        <v>2460</v>
      </c>
      <c r="K206" s="15">
        <v>7.0</v>
      </c>
      <c r="L206" s="15">
        <v>9.0</v>
      </c>
      <c r="M206" s="41">
        <v>39773.0</v>
      </c>
      <c r="N206" s="40">
        <v>42480.0</v>
      </c>
      <c r="O206" s="15" t="s">
        <v>1554</v>
      </c>
      <c r="Q206" s="7"/>
    </row>
    <row r="207">
      <c r="A207" s="39" t="s">
        <v>2461</v>
      </c>
      <c r="B207" s="15">
        <v>870465.0</v>
      </c>
      <c r="C207" s="15" t="s">
        <v>2462</v>
      </c>
      <c r="D207" s="15">
        <v>51413.0</v>
      </c>
      <c r="E207" s="15" t="s">
        <v>2014</v>
      </c>
      <c r="F207" s="15" t="s">
        <v>1578</v>
      </c>
      <c r="G207" s="7">
        <v>1.334</v>
      </c>
      <c r="H207" s="15" t="s">
        <v>2163</v>
      </c>
      <c r="I207" s="15" t="s">
        <v>1628</v>
      </c>
      <c r="J207" s="15" t="s">
        <v>2463</v>
      </c>
      <c r="K207" s="15">
        <v>2.0</v>
      </c>
      <c r="L207" s="15">
        <v>2.0</v>
      </c>
      <c r="M207" s="40">
        <v>40399.0</v>
      </c>
      <c r="N207" s="41">
        <v>40533.0</v>
      </c>
      <c r="O207" s="15" t="s">
        <v>1554</v>
      </c>
      <c r="Q207" s="7"/>
    </row>
    <row r="208">
      <c r="A208" s="39" t="s">
        <v>2464</v>
      </c>
      <c r="B208" s="15">
        <v>180399.0</v>
      </c>
      <c r="C208" s="15" t="s">
        <v>2465</v>
      </c>
      <c r="D208" s="15">
        <v>51415.0</v>
      </c>
      <c r="E208" s="15" t="s">
        <v>1808</v>
      </c>
      <c r="F208" s="15" t="s">
        <v>1809</v>
      </c>
      <c r="G208" s="7">
        <v>5.235</v>
      </c>
      <c r="H208" s="15" t="s">
        <v>2466</v>
      </c>
      <c r="I208" s="15" t="s">
        <v>1628</v>
      </c>
      <c r="J208" s="15" t="s">
        <v>2467</v>
      </c>
      <c r="K208" s="15">
        <v>7.0</v>
      </c>
      <c r="L208" s="15">
        <v>7.0</v>
      </c>
      <c r="M208" s="40">
        <v>40399.0</v>
      </c>
      <c r="N208" s="41">
        <v>42297.0</v>
      </c>
      <c r="O208" s="15" t="s">
        <v>1554</v>
      </c>
      <c r="Q208" s="7"/>
    </row>
    <row r="209">
      <c r="A209" s="39" t="s">
        <v>2468</v>
      </c>
      <c r="B209" s="15">
        <v>746831.0</v>
      </c>
      <c r="C209" s="15" t="s">
        <v>2469</v>
      </c>
      <c r="D209" s="15">
        <v>51557.0</v>
      </c>
      <c r="E209" s="15" t="s">
        <v>1557</v>
      </c>
      <c r="F209" s="15" t="s">
        <v>2004</v>
      </c>
      <c r="G209" s="7">
        <v>4.952</v>
      </c>
      <c r="H209" s="15" t="s">
        <v>1813</v>
      </c>
      <c r="I209" s="15" t="s">
        <v>1686</v>
      </c>
      <c r="J209" s="15" t="s">
        <v>2471</v>
      </c>
      <c r="K209" s="15">
        <v>5.0</v>
      </c>
      <c r="L209" s="15">
        <v>5.0</v>
      </c>
      <c r="M209" s="40">
        <v>40305.0</v>
      </c>
      <c r="N209" s="40">
        <v>42027.0</v>
      </c>
      <c r="O209" s="15" t="s">
        <v>1554</v>
      </c>
      <c r="Q209" s="7"/>
    </row>
    <row r="210">
      <c r="A210" s="39" t="s">
        <v>2472</v>
      </c>
      <c r="B210" s="15">
        <v>746830.0</v>
      </c>
      <c r="C210" s="15" t="s">
        <v>2473</v>
      </c>
      <c r="D210" s="15">
        <v>51559.0</v>
      </c>
      <c r="E210" s="15" t="s">
        <v>1557</v>
      </c>
      <c r="F210" s="15" t="s">
        <v>2004</v>
      </c>
      <c r="G210" s="7">
        <v>4.926</v>
      </c>
      <c r="H210" s="15" t="s">
        <v>2005</v>
      </c>
      <c r="I210" s="15" t="s">
        <v>1686</v>
      </c>
      <c r="J210" s="15" t="s">
        <v>2474</v>
      </c>
      <c r="K210" s="15">
        <v>5.0</v>
      </c>
      <c r="L210" s="15">
        <v>5.0</v>
      </c>
      <c r="M210" s="40">
        <v>40305.0</v>
      </c>
      <c r="N210" s="40">
        <v>42027.0</v>
      </c>
      <c r="O210" s="15" t="s">
        <v>1554</v>
      </c>
      <c r="Q210" s="7"/>
    </row>
    <row r="211">
      <c r="A211" s="39" t="s">
        <v>2475</v>
      </c>
      <c r="B211" s="15">
        <v>871699.0</v>
      </c>
      <c r="C211" s="15" t="s">
        <v>2476</v>
      </c>
      <c r="D211" s="15">
        <v>51587.0</v>
      </c>
      <c r="E211" s="15" t="s">
        <v>1548</v>
      </c>
      <c r="F211" s="15" t="s">
        <v>1776</v>
      </c>
      <c r="G211" s="7">
        <v>8.035</v>
      </c>
      <c r="H211" s="15" t="s">
        <v>1566</v>
      </c>
      <c r="I211" s="15" t="s">
        <v>1686</v>
      </c>
      <c r="J211" s="15" t="s">
        <v>2477</v>
      </c>
      <c r="K211" s="15">
        <v>1.0</v>
      </c>
      <c r="L211" s="15">
        <v>1.0</v>
      </c>
      <c r="M211" s="40">
        <v>40405.0</v>
      </c>
      <c r="N211" s="40">
        <v>40442.0</v>
      </c>
      <c r="O211" s="15" t="s">
        <v>1554</v>
      </c>
      <c r="Q211" s="7"/>
    </row>
    <row r="212">
      <c r="A212" s="39" t="s">
        <v>2478</v>
      </c>
      <c r="B212" s="15">
        <v>871700.0</v>
      </c>
      <c r="C212" s="15" t="s">
        <v>2479</v>
      </c>
      <c r="D212" s="15">
        <v>51589.0</v>
      </c>
      <c r="E212" s="15" t="s">
        <v>1548</v>
      </c>
      <c r="F212" s="15" t="s">
        <v>1776</v>
      </c>
      <c r="G212" s="7">
        <v>7.641</v>
      </c>
      <c r="H212" s="15" t="s">
        <v>1572</v>
      </c>
      <c r="I212" s="15" t="s">
        <v>1686</v>
      </c>
      <c r="J212" s="15" t="s">
        <v>2481</v>
      </c>
      <c r="K212" s="15">
        <v>1.0</v>
      </c>
      <c r="L212" s="15">
        <v>1.0</v>
      </c>
      <c r="M212" s="40">
        <v>40405.0</v>
      </c>
      <c r="N212" s="40">
        <v>40442.0</v>
      </c>
      <c r="O212" s="15" t="s">
        <v>1554</v>
      </c>
      <c r="Q212" s="7"/>
    </row>
    <row r="213">
      <c r="A213" s="39" t="s">
        <v>2482</v>
      </c>
      <c r="B213" s="15">
        <v>871701.0</v>
      </c>
      <c r="C213" s="15" t="s">
        <v>2483</v>
      </c>
      <c r="D213" s="15">
        <v>51591.0</v>
      </c>
      <c r="E213" s="15" t="s">
        <v>1548</v>
      </c>
      <c r="F213" s="15" t="s">
        <v>1776</v>
      </c>
      <c r="G213" s="7">
        <v>7.678</v>
      </c>
      <c r="H213" s="15" t="s">
        <v>2484</v>
      </c>
      <c r="I213" s="15" t="s">
        <v>1686</v>
      </c>
      <c r="J213" s="15" t="s">
        <v>2485</v>
      </c>
      <c r="K213" s="15">
        <v>1.0</v>
      </c>
      <c r="L213" s="15">
        <v>1.0</v>
      </c>
      <c r="M213" s="40">
        <v>40405.0</v>
      </c>
      <c r="N213" s="40">
        <v>40442.0</v>
      </c>
      <c r="O213" s="15" t="s">
        <v>1554</v>
      </c>
      <c r="Q213" s="7"/>
    </row>
    <row r="214">
      <c r="A214" s="39" t="s">
        <v>2486</v>
      </c>
      <c r="B214" s="15">
        <v>871584.0</v>
      </c>
      <c r="C214" s="15" t="s">
        <v>2487</v>
      </c>
      <c r="D214" s="15">
        <v>51665.0</v>
      </c>
      <c r="E214" s="15" t="s">
        <v>1557</v>
      </c>
      <c r="F214" s="15" t="s">
        <v>1833</v>
      </c>
      <c r="G214" s="7">
        <v>59.199</v>
      </c>
      <c r="H214" s="42">
        <v>43190.0</v>
      </c>
      <c r="I214" s="15" t="s">
        <v>1586</v>
      </c>
      <c r="J214" s="15" t="s">
        <v>2489</v>
      </c>
      <c r="K214" s="15">
        <v>86.0</v>
      </c>
      <c r="L214" s="15">
        <v>86.0</v>
      </c>
      <c r="M214" s="40">
        <v>40405.0</v>
      </c>
      <c r="N214" s="40">
        <v>40410.0</v>
      </c>
      <c r="O214" s="15" t="s">
        <v>1554</v>
      </c>
      <c r="Q214" s="7"/>
    </row>
    <row r="215">
      <c r="A215" s="39" t="s">
        <v>2490</v>
      </c>
      <c r="B215" s="15">
        <v>861044.0</v>
      </c>
      <c r="C215" s="15" t="s">
        <v>2491</v>
      </c>
      <c r="D215" s="15">
        <v>51667.0</v>
      </c>
      <c r="E215" s="15" t="s">
        <v>1557</v>
      </c>
      <c r="F215" s="15" t="s">
        <v>1833</v>
      </c>
      <c r="G215" s="7">
        <v>59.598</v>
      </c>
      <c r="H215" s="15" t="s">
        <v>2492</v>
      </c>
      <c r="I215" s="15" t="s">
        <v>1586</v>
      </c>
      <c r="J215" s="15" t="s">
        <v>2493</v>
      </c>
      <c r="K215" s="15">
        <v>95.0</v>
      </c>
      <c r="L215" s="15">
        <v>94.0</v>
      </c>
      <c r="M215" s="40">
        <v>40408.0</v>
      </c>
      <c r="N215" s="40">
        <v>40766.0</v>
      </c>
      <c r="O215" s="15" t="s">
        <v>1554</v>
      </c>
      <c r="Q215" s="7"/>
    </row>
    <row r="216">
      <c r="A216" s="39" t="s">
        <v>2494</v>
      </c>
      <c r="B216" s="15">
        <v>861045.0</v>
      </c>
      <c r="C216" s="15" t="s">
        <v>2495</v>
      </c>
      <c r="D216" s="15">
        <v>51669.0</v>
      </c>
      <c r="E216" s="15" t="s">
        <v>1557</v>
      </c>
      <c r="F216" s="15" t="s">
        <v>1833</v>
      </c>
      <c r="G216" s="7">
        <v>59.798</v>
      </c>
      <c r="H216" s="15" t="s">
        <v>2497</v>
      </c>
      <c r="I216" s="15" t="s">
        <v>1586</v>
      </c>
      <c r="J216" s="15" t="s">
        <v>2498</v>
      </c>
      <c r="K216" s="15">
        <v>96.0</v>
      </c>
      <c r="L216" s="15">
        <v>95.0</v>
      </c>
      <c r="M216" s="40">
        <v>40408.0</v>
      </c>
      <c r="N216" s="40">
        <v>40766.0</v>
      </c>
      <c r="O216" s="15" t="s">
        <v>1554</v>
      </c>
      <c r="Q216" s="7"/>
    </row>
    <row r="217">
      <c r="A217" s="39" t="s">
        <v>2499</v>
      </c>
      <c r="B217" s="15">
        <v>872294.0</v>
      </c>
      <c r="C217" s="15" t="s">
        <v>2500</v>
      </c>
      <c r="D217" s="15">
        <v>51671.0</v>
      </c>
      <c r="E217" s="15" t="s">
        <v>1557</v>
      </c>
      <c r="F217" s="15" t="s">
        <v>1833</v>
      </c>
      <c r="G217" s="7">
        <v>41.207</v>
      </c>
      <c r="H217" s="15">
        <v>34.0</v>
      </c>
      <c r="I217" s="15" t="s">
        <v>1586</v>
      </c>
      <c r="J217" s="15" t="s">
        <v>2501</v>
      </c>
      <c r="K217" s="15">
        <v>63.0</v>
      </c>
      <c r="L217" s="15">
        <v>63.0</v>
      </c>
      <c r="M217" s="40">
        <v>40408.0</v>
      </c>
      <c r="N217" s="40">
        <v>40415.0</v>
      </c>
      <c r="O217" s="15" t="s">
        <v>1554</v>
      </c>
      <c r="Q217" s="7"/>
    </row>
    <row r="218">
      <c r="A218" s="39" t="s">
        <v>2502</v>
      </c>
      <c r="B218" s="15">
        <v>861047.0</v>
      </c>
      <c r="C218" s="15" t="s">
        <v>2503</v>
      </c>
      <c r="D218" s="15">
        <v>51673.0</v>
      </c>
      <c r="E218" s="15" t="s">
        <v>1557</v>
      </c>
      <c r="F218" s="15" t="s">
        <v>1833</v>
      </c>
      <c r="G218" s="7">
        <v>73.453</v>
      </c>
      <c r="H218" s="15" t="s">
        <v>2057</v>
      </c>
      <c r="I218" s="15" t="s">
        <v>1586</v>
      </c>
      <c r="J218" s="15" t="s">
        <v>2504</v>
      </c>
      <c r="K218" s="15">
        <v>132.0</v>
      </c>
      <c r="L218" s="15">
        <v>123.0</v>
      </c>
      <c r="M218" s="40">
        <v>40408.0</v>
      </c>
      <c r="N218" s="40">
        <v>43003.0</v>
      </c>
      <c r="O218" s="15" t="s">
        <v>1554</v>
      </c>
      <c r="Q218" s="7"/>
    </row>
    <row r="219">
      <c r="A219" s="39" t="s">
        <v>2506</v>
      </c>
      <c r="B219" s="15">
        <v>764348.0</v>
      </c>
      <c r="C219" s="15" t="s">
        <v>2507</v>
      </c>
      <c r="D219" s="15">
        <v>51685.0</v>
      </c>
      <c r="E219" s="15" t="s">
        <v>1638</v>
      </c>
      <c r="F219" s="15" t="s">
        <v>2508</v>
      </c>
      <c r="G219" s="7">
        <v>12.921</v>
      </c>
      <c r="H219" s="15" t="s">
        <v>2509</v>
      </c>
      <c r="I219" s="15" t="s">
        <v>1552</v>
      </c>
      <c r="J219" s="15" t="s">
        <v>2510</v>
      </c>
      <c r="K219" s="15">
        <v>4.0</v>
      </c>
      <c r="L219" s="15">
        <v>4.0</v>
      </c>
      <c r="M219" s="40">
        <v>40411.0</v>
      </c>
      <c r="N219" s="41">
        <v>40502.0</v>
      </c>
      <c r="O219" s="15" t="s">
        <v>1554</v>
      </c>
      <c r="Q219" s="7"/>
    </row>
    <row r="220">
      <c r="A220" s="39" t="s">
        <v>2511</v>
      </c>
      <c r="B220" s="15">
        <v>329381.0</v>
      </c>
      <c r="C220" s="15" t="s">
        <v>2512</v>
      </c>
      <c r="D220" s="15">
        <v>51699.0</v>
      </c>
      <c r="E220" s="15" t="s">
        <v>1557</v>
      </c>
      <c r="F220" s="15" t="s">
        <v>1767</v>
      </c>
      <c r="G220" s="7">
        <v>176.788</v>
      </c>
      <c r="H220" s="15" t="s">
        <v>1943</v>
      </c>
      <c r="I220" s="15" t="s">
        <v>1586</v>
      </c>
      <c r="J220" s="15" t="s">
        <v>2513</v>
      </c>
      <c r="K220" s="15">
        <v>272.0</v>
      </c>
      <c r="L220" s="15">
        <v>270.0</v>
      </c>
      <c r="M220" s="40">
        <v>40364.0</v>
      </c>
      <c r="N220" s="41">
        <v>40497.0</v>
      </c>
      <c r="O220" s="15" t="s">
        <v>1554</v>
      </c>
      <c r="Q220" s="7"/>
    </row>
    <row r="221">
      <c r="A221" s="39" t="s">
        <v>2514</v>
      </c>
      <c r="B221" s="15">
        <v>727962.0</v>
      </c>
      <c r="C221" s="15" t="s">
        <v>2515</v>
      </c>
      <c r="D221" s="15">
        <v>51735.0</v>
      </c>
      <c r="E221" s="15" t="s">
        <v>1808</v>
      </c>
      <c r="F221" s="15" t="s">
        <v>2436</v>
      </c>
      <c r="G221" s="7">
        <v>4.286</v>
      </c>
      <c r="H221" s="15" t="s">
        <v>2517</v>
      </c>
      <c r="I221" s="15" t="s">
        <v>1686</v>
      </c>
      <c r="J221" s="15" t="s">
        <v>2518</v>
      </c>
      <c r="K221" s="15">
        <v>2.0</v>
      </c>
      <c r="L221" s="15">
        <v>2.0</v>
      </c>
      <c r="M221" s="40">
        <v>40413.0</v>
      </c>
      <c r="N221" s="40">
        <v>40441.0</v>
      </c>
      <c r="O221" s="15" t="s">
        <v>1554</v>
      </c>
      <c r="Q221" s="7"/>
    </row>
    <row r="222">
      <c r="A222" s="39" t="s">
        <v>2519</v>
      </c>
      <c r="B222" s="15">
        <v>746832.0</v>
      </c>
      <c r="C222" s="15" t="s">
        <v>2520</v>
      </c>
      <c r="D222" s="15">
        <v>51741.0</v>
      </c>
      <c r="E222" s="15" t="s">
        <v>1557</v>
      </c>
      <c r="F222" s="15" t="s">
        <v>1822</v>
      </c>
      <c r="G222" s="7">
        <v>7.181</v>
      </c>
      <c r="H222" s="15">
        <v>37.0</v>
      </c>
      <c r="I222" s="15" t="s">
        <v>1686</v>
      </c>
      <c r="J222" s="15" t="s">
        <v>2521</v>
      </c>
      <c r="K222" s="15">
        <v>7.0</v>
      </c>
      <c r="L222" s="15">
        <v>7.0</v>
      </c>
      <c r="M222" s="40">
        <v>40414.0</v>
      </c>
      <c r="N222" s="40">
        <v>40415.0</v>
      </c>
      <c r="O222" s="15" t="s">
        <v>1554</v>
      </c>
      <c r="Q222" s="7"/>
    </row>
    <row r="223">
      <c r="A223" s="39" t="s">
        <v>2522</v>
      </c>
      <c r="B223" s="15">
        <v>864596.0</v>
      </c>
      <c r="C223" s="15" t="s">
        <v>2523</v>
      </c>
      <c r="D223" s="15">
        <v>51751.0</v>
      </c>
      <c r="E223" s="15" t="s">
        <v>1548</v>
      </c>
      <c r="F223" s="15" t="s">
        <v>1684</v>
      </c>
      <c r="G223" s="7">
        <v>29.276</v>
      </c>
      <c r="H223" s="15" t="s">
        <v>2524</v>
      </c>
      <c r="I223" s="15" t="s">
        <v>1686</v>
      </c>
      <c r="J223" s="15" t="s">
        <v>2525</v>
      </c>
      <c r="K223" s="15">
        <v>9.0</v>
      </c>
      <c r="L223" s="15">
        <v>9.0</v>
      </c>
      <c r="M223" s="40">
        <v>40415.0</v>
      </c>
      <c r="N223" s="40">
        <v>40459.0</v>
      </c>
      <c r="O223" s="15" t="s">
        <v>1554</v>
      </c>
      <c r="Q223" s="7"/>
    </row>
    <row r="224">
      <c r="A224" s="39" t="s">
        <v>2526</v>
      </c>
      <c r="B224" s="15">
        <v>671095.0</v>
      </c>
      <c r="C224" s="15" t="s">
        <v>2527</v>
      </c>
      <c r="D224" s="15">
        <v>51789.0</v>
      </c>
      <c r="E224" s="15" t="s">
        <v>1808</v>
      </c>
      <c r="F224" s="15" t="s">
        <v>1809</v>
      </c>
      <c r="G224" s="7">
        <v>2.744</v>
      </c>
      <c r="H224" s="15" t="s">
        <v>1591</v>
      </c>
      <c r="I224" s="15" t="s">
        <v>1628</v>
      </c>
      <c r="J224" s="15" t="s">
        <v>2529</v>
      </c>
      <c r="K224" s="15">
        <v>6.0</v>
      </c>
      <c r="L224" s="15">
        <v>6.0</v>
      </c>
      <c r="M224" s="40">
        <v>40416.0</v>
      </c>
      <c r="N224" s="40">
        <v>40695.0</v>
      </c>
      <c r="O224" s="15" t="s">
        <v>1554</v>
      </c>
      <c r="Q224" s="7"/>
    </row>
    <row r="225">
      <c r="A225" s="39" t="s">
        <v>2530</v>
      </c>
      <c r="B225" s="15">
        <v>723802.0</v>
      </c>
      <c r="C225" s="15" t="s">
        <v>2531</v>
      </c>
      <c r="D225" s="15">
        <v>51791.0</v>
      </c>
      <c r="E225" s="15" t="s">
        <v>1916</v>
      </c>
      <c r="F225" s="15" t="s">
        <v>2532</v>
      </c>
      <c r="G225" s="7">
        <v>8.126</v>
      </c>
      <c r="H225" s="15" t="s">
        <v>1685</v>
      </c>
      <c r="I225" s="15" t="s">
        <v>1686</v>
      </c>
      <c r="J225" s="15" t="s">
        <v>2533</v>
      </c>
      <c r="K225" s="15">
        <v>4.0</v>
      </c>
      <c r="L225" s="15">
        <v>4.0</v>
      </c>
      <c r="M225" s="40">
        <v>40413.0</v>
      </c>
      <c r="N225" s="40">
        <v>42577.0</v>
      </c>
      <c r="O225" s="15" t="s">
        <v>1554</v>
      </c>
      <c r="Q225" s="7"/>
    </row>
    <row r="226">
      <c r="A226" s="39" t="s">
        <v>2534</v>
      </c>
      <c r="B226" s="15">
        <v>687341.0</v>
      </c>
      <c r="C226" s="15" t="s">
        <v>2535</v>
      </c>
      <c r="D226" s="15">
        <v>51893.0</v>
      </c>
      <c r="E226" s="15" t="s">
        <v>1808</v>
      </c>
      <c r="F226" s="15" t="s">
        <v>2232</v>
      </c>
      <c r="G226" s="7">
        <v>3.322</v>
      </c>
      <c r="H226" s="15" t="s">
        <v>2300</v>
      </c>
      <c r="I226" s="15" t="s">
        <v>1567</v>
      </c>
      <c r="J226" s="15" t="s">
        <v>2536</v>
      </c>
      <c r="K226" s="15">
        <v>2.0</v>
      </c>
      <c r="L226" s="15">
        <v>2.0</v>
      </c>
      <c r="M226" s="40">
        <v>36901.0</v>
      </c>
      <c r="N226" s="40">
        <v>42045.0</v>
      </c>
      <c r="O226" s="15" t="s">
        <v>1554</v>
      </c>
      <c r="Q226" s="7"/>
    </row>
    <row r="227">
      <c r="A227" s="39" t="s">
        <v>2537</v>
      </c>
      <c r="B227" s="15">
        <v>878260.0</v>
      </c>
      <c r="C227" s="15" t="s">
        <v>2538</v>
      </c>
      <c r="D227" s="15">
        <v>51905.0</v>
      </c>
      <c r="E227" s="15" t="s">
        <v>1638</v>
      </c>
      <c r="F227" s="15" t="s">
        <v>2539</v>
      </c>
      <c r="G227" s="7">
        <v>3.427</v>
      </c>
      <c r="H227" s="15" t="s">
        <v>2540</v>
      </c>
      <c r="I227" s="15" t="s">
        <v>1628</v>
      </c>
      <c r="J227" s="15" t="s">
        <v>2541</v>
      </c>
      <c r="K227" s="15">
        <v>2.0</v>
      </c>
      <c r="L227" s="15">
        <v>2.0</v>
      </c>
      <c r="M227" s="40">
        <v>40421.0</v>
      </c>
      <c r="N227" s="41">
        <v>40497.0</v>
      </c>
      <c r="O227" s="15" t="s">
        <v>1554</v>
      </c>
      <c r="Q227" s="7"/>
    </row>
    <row r="228">
      <c r="A228" s="39" t="s">
        <v>2543</v>
      </c>
      <c r="B228" s="15">
        <v>67762.0</v>
      </c>
      <c r="C228" s="15" t="s">
        <v>2544</v>
      </c>
      <c r="D228" s="15">
        <v>319880.0</v>
      </c>
      <c r="E228" s="15" t="s">
        <v>1808</v>
      </c>
      <c r="F228" s="15" t="s">
        <v>1809</v>
      </c>
      <c r="G228" s="7">
        <v>2.762</v>
      </c>
      <c r="H228" s="15" t="s">
        <v>1613</v>
      </c>
      <c r="I228" s="15" t="s">
        <v>1628</v>
      </c>
      <c r="J228" s="15" t="s">
        <v>2545</v>
      </c>
      <c r="K228" s="15">
        <v>6.0</v>
      </c>
      <c r="L228" s="15">
        <v>6.0</v>
      </c>
      <c r="M228" s="40">
        <v>42480.0</v>
      </c>
      <c r="N228" s="40">
        <v>42489.0</v>
      </c>
      <c r="O228" s="15" t="s">
        <v>1554</v>
      </c>
      <c r="Q228" s="7"/>
    </row>
    <row r="229">
      <c r="A229" s="39" t="s">
        <v>2546</v>
      </c>
      <c r="B229" s="15">
        <v>12473.0</v>
      </c>
      <c r="C229" s="15" t="s">
        <v>2547</v>
      </c>
      <c r="D229" s="15">
        <v>52631.0</v>
      </c>
      <c r="E229" s="15" t="s">
        <v>1548</v>
      </c>
      <c r="F229" s="15" t="s">
        <v>1578</v>
      </c>
      <c r="G229" s="7">
        <v>4.247</v>
      </c>
      <c r="H229" s="15" t="s">
        <v>2548</v>
      </c>
      <c r="I229" s="15" t="s">
        <v>1628</v>
      </c>
      <c r="J229" s="15" t="s">
        <v>2549</v>
      </c>
      <c r="K229" s="15">
        <v>5.0</v>
      </c>
      <c r="L229" s="15">
        <v>5.0</v>
      </c>
      <c r="M229" s="40">
        <v>40441.0</v>
      </c>
      <c r="N229" s="40">
        <v>42045.0</v>
      </c>
      <c r="O229" s="15" t="s">
        <v>1554</v>
      </c>
      <c r="Q229" s="7"/>
    </row>
    <row r="230">
      <c r="A230" s="39" t="s">
        <v>2550</v>
      </c>
      <c r="B230" s="15">
        <v>681518.0</v>
      </c>
      <c r="C230" s="15" t="s">
        <v>2551</v>
      </c>
      <c r="D230" s="15">
        <v>52633.0</v>
      </c>
      <c r="E230" s="15" t="s">
        <v>1808</v>
      </c>
      <c r="F230" s="15" t="s">
        <v>1809</v>
      </c>
      <c r="G230" s="7">
        <v>2.591</v>
      </c>
      <c r="H230" s="15" t="s">
        <v>2552</v>
      </c>
      <c r="I230" s="15" t="s">
        <v>1628</v>
      </c>
      <c r="J230" s="15" t="s">
        <v>2553</v>
      </c>
      <c r="K230" s="15">
        <v>5.0</v>
      </c>
      <c r="L230" s="15">
        <v>5.0</v>
      </c>
      <c r="M230" s="40">
        <v>40438.0</v>
      </c>
      <c r="N230" s="40">
        <v>40625.0</v>
      </c>
      <c r="O230" s="15" t="s">
        <v>1554</v>
      </c>
      <c r="Q230" s="7"/>
    </row>
    <row r="231">
      <c r="A231" s="39" t="s">
        <v>2555</v>
      </c>
      <c r="B231" s="15">
        <v>884200.0</v>
      </c>
      <c r="C231" s="15" t="s">
        <v>2556</v>
      </c>
      <c r="D231" s="15">
        <v>52635.0</v>
      </c>
      <c r="E231" s="15" t="s">
        <v>1638</v>
      </c>
      <c r="F231" s="15" t="s">
        <v>1863</v>
      </c>
      <c r="G231" s="7">
        <v>43238.0</v>
      </c>
      <c r="H231" s="15" t="s">
        <v>2557</v>
      </c>
      <c r="I231" s="15" t="s">
        <v>1686</v>
      </c>
      <c r="J231" s="15" t="s">
        <v>2558</v>
      </c>
      <c r="K231" s="15">
        <v>12.0</v>
      </c>
      <c r="L231" s="15">
        <v>12.0</v>
      </c>
      <c r="M231" s="40">
        <v>40439.0</v>
      </c>
      <c r="N231" s="40">
        <v>40442.0</v>
      </c>
      <c r="O231" s="15" t="s">
        <v>1554</v>
      </c>
      <c r="Q231" s="7"/>
    </row>
    <row r="232">
      <c r="A232" s="39" t="s">
        <v>2559</v>
      </c>
      <c r="B232" s="15">
        <v>204269.0</v>
      </c>
      <c r="C232" s="15" t="s">
        <v>2560</v>
      </c>
      <c r="D232" s="15">
        <v>52641.0</v>
      </c>
      <c r="E232" s="15" t="s">
        <v>1638</v>
      </c>
      <c r="F232" s="15" t="s">
        <v>1863</v>
      </c>
      <c r="G232" s="7">
        <v>17.858</v>
      </c>
      <c r="H232" s="15" t="s">
        <v>2561</v>
      </c>
      <c r="I232" s="15" t="s">
        <v>1803</v>
      </c>
      <c r="J232" s="15" t="s">
        <v>2562</v>
      </c>
      <c r="K232" s="15">
        <v>11.0</v>
      </c>
      <c r="L232" s="15">
        <v>11.0</v>
      </c>
      <c r="M232" s="40">
        <v>40434.0</v>
      </c>
      <c r="N232" s="41">
        <v>40500.0</v>
      </c>
      <c r="O232" s="15" t="s">
        <v>1554</v>
      </c>
      <c r="Q232" s="7"/>
    </row>
    <row r="233">
      <c r="A233" s="39" t="s">
        <v>2563</v>
      </c>
      <c r="B233" s="15">
        <v>487155.0</v>
      </c>
      <c r="C233" s="15" t="s">
        <v>2564</v>
      </c>
      <c r="D233" s="15">
        <v>52813.0</v>
      </c>
      <c r="E233" s="15" t="s">
        <v>1548</v>
      </c>
      <c r="F233" s="15" t="s">
        <v>1911</v>
      </c>
      <c r="G233" s="7">
        <v>9.87</v>
      </c>
      <c r="H233" s="15" t="s">
        <v>1994</v>
      </c>
      <c r="I233" s="15" t="s">
        <v>1628</v>
      </c>
      <c r="J233" s="15" t="s">
        <v>2565</v>
      </c>
      <c r="K233" s="15">
        <v>2.0</v>
      </c>
      <c r="L233" s="15">
        <v>2.0</v>
      </c>
      <c r="M233" s="40">
        <v>40443.0</v>
      </c>
      <c r="N233" s="40">
        <v>42045.0</v>
      </c>
      <c r="O233" s="15" t="s">
        <v>1554</v>
      </c>
      <c r="Q233" s="7"/>
    </row>
    <row r="234">
      <c r="A234" s="39" t="s">
        <v>2567</v>
      </c>
      <c r="B234" s="15">
        <v>713949.0</v>
      </c>
      <c r="C234" s="15" t="s">
        <v>2568</v>
      </c>
      <c r="D234" s="15">
        <v>52947.0</v>
      </c>
      <c r="E234" s="15" t="s">
        <v>1808</v>
      </c>
      <c r="F234" s="15" t="s">
        <v>1809</v>
      </c>
      <c r="G234" s="7">
        <v>2.763</v>
      </c>
      <c r="H234" s="15" t="s">
        <v>2005</v>
      </c>
      <c r="I234" s="15" t="s">
        <v>1628</v>
      </c>
      <c r="J234" s="15" t="s">
        <v>2569</v>
      </c>
      <c r="K234" s="15">
        <v>6.0</v>
      </c>
      <c r="L234" s="15">
        <v>6.0</v>
      </c>
      <c r="M234" s="40">
        <v>40445.0</v>
      </c>
      <c r="N234" s="40">
        <v>40611.0</v>
      </c>
      <c r="O234" s="15" t="s">
        <v>1554</v>
      </c>
      <c r="Q234" s="7"/>
    </row>
    <row r="235">
      <c r="A235" s="39" t="s">
        <v>2570</v>
      </c>
      <c r="B235" s="15">
        <v>889950.0</v>
      </c>
      <c r="D235" s="15">
        <v>0.0</v>
      </c>
      <c r="E235" s="15" t="s">
        <v>1557</v>
      </c>
      <c r="F235" s="15" t="s">
        <v>1767</v>
      </c>
      <c r="G235" s="7">
        <v>171.744</v>
      </c>
      <c r="H235" s="15" t="s">
        <v>2141</v>
      </c>
      <c r="I235" s="15" t="s">
        <v>1586</v>
      </c>
      <c r="J235" s="15" t="s">
        <v>2571</v>
      </c>
      <c r="K235" s="15">
        <v>221.0</v>
      </c>
      <c r="L235" s="15">
        <v>213.0</v>
      </c>
      <c r="M235" s="40">
        <v>41358.0</v>
      </c>
      <c r="N235" s="40">
        <v>41358.0</v>
      </c>
      <c r="O235" s="15" t="s">
        <v>1554</v>
      </c>
      <c r="Q235" s="7"/>
    </row>
    <row r="236">
      <c r="A236" s="39" t="s">
        <v>2572</v>
      </c>
      <c r="B236" s="15">
        <v>889951.0</v>
      </c>
      <c r="C236" s="15" t="s">
        <v>2573</v>
      </c>
      <c r="D236" s="15">
        <v>53283.0</v>
      </c>
      <c r="E236" s="15" t="s">
        <v>1557</v>
      </c>
      <c r="F236" s="15" t="s">
        <v>1578</v>
      </c>
      <c r="G236" s="7">
        <v>45.73</v>
      </c>
      <c r="H236" s="15" t="s">
        <v>1844</v>
      </c>
      <c r="I236" s="15" t="s">
        <v>1586</v>
      </c>
      <c r="J236" s="15" t="s">
        <v>2574</v>
      </c>
      <c r="K236" s="15">
        <v>58.0</v>
      </c>
      <c r="L236" s="15">
        <v>57.0</v>
      </c>
      <c r="M236" s="40">
        <v>41358.0</v>
      </c>
      <c r="N236" s="40">
        <v>41363.0</v>
      </c>
      <c r="O236" s="15" t="s">
        <v>1554</v>
      </c>
      <c r="Q236" s="7"/>
    </row>
    <row r="237">
      <c r="A237" s="39" t="s">
        <v>2575</v>
      </c>
      <c r="B237" s="15">
        <v>889953.0</v>
      </c>
      <c r="C237" s="15" t="s">
        <v>2576</v>
      </c>
      <c r="D237" s="15">
        <v>53287.0</v>
      </c>
      <c r="E237" s="15" t="s">
        <v>1557</v>
      </c>
      <c r="F237" s="15" t="s">
        <v>1578</v>
      </c>
      <c r="G237" s="7">
        <v>40.658</v>
      </c>
      <c r="H237" s="15" t="s">
        <v>2000</v>
      </c>
      <c r="I237" s="15" t="s">
        <v>1586</v>
      </c>
      <c r="J237" s="15" t="s">
        <v>2577</v>
      </c>
      <c r="K237" s="15">
        <v>64.0</v>
      </c>
      <c r="L237" s="15">
        <v>64.0</v>
      </c>
      <c r="M237" s="40">
        <v>41358.0</v>
      </c>
      <c r="N237" s="40">
        <v>41516.0</v>
      </c>
      <c r="O237" s="15" t="s">
        <v>1554</v>
      </c>
      <c r="Q237" s="7"/>
    </row>
    <row r="238">
      <c r="A238" s="39" t="s">
        <v>2578</v>
      </c>
      <c r="B238" s="15">
        <v>889954.0</v>
      </c>
      <c r="C238" s="15" t="s">
        <v>2579</v>
      </c>
      <c r="D238" s="15">
        <v>53289.0</v>
      </c>
      <c r="E238" s="15" t="s">
        <v>1557</v>
      </c>
      <c r="F238" s="15" t="s">
        <v>1578</v>
      </c>
      <c r="G238" s="7">
        <v>38.834</v>
      </c>
      <c r="H238" s="15" t="s">
        <v>2580</v>
      </c>
      <c r="I238" s="15" t="s">
        <v>1586</v>
      </c>
      <c r="J238" s="15" t="s">
        <v>2581</v>
      </c>
      <c r="K238" s="15">
        <v>63.0</v>
      </c>
      <c r="L238" s="15">
        <v>63.0</v>
      </c>
      <c r="M238" s="40">
        <v>41352.0</v>
      </c>
      <c r="N238" s="40">
        <v>41363.0</v>
      </c>
      <c r="O238" s="15" t="s">
        <v>1554</v>
      </c>
      <c r="Q238" s="7"/>
    </row>
    <row r="239">
      <c r="A239" s="39" t="s">
        <v>2582</v>
      </c>
      <c r="B239" s="15">
        <v>889955.0</v>
      </c>
      <c r="C239" s="15" t="s">
        <v>2583</v>
      </c>
      <c r="D239" s="15">
        <v>53293.0</v>
      </c>
      <c r="E239" s="15" t="s">
        <v>1557</v>
      </c>
      <c r="F239" s="15" t="s">
        <v>1767</v>
      </c>
      <c r="G239" s="7">
        <v>38.327</v>
      </c>
      <c r="H239" s="15" t="s">
        <v>2580</v>
      </c>
      <c r="I239" s="15" t="s">
        <v>1586</v>
      </c>
      <c r="J239" s="15" t="s">
        <v>2585</v>
      </c>
      <c r="K239" s="15">
        <v>60.0</v>
      </c>
      <c r="L239" s="15">
        <v>59.0</v>
      </c>
      <c r="M239" s="40">
        <v>41356.0</v>
      </c>
      <c r="N239" s="40">
        <v>41363.0</v>
      </c>
      <c r="O239" s="15" t="s">
        <v>1554</v>
      </c>
      <c r="Q239" s="7"/>
    </row>
    <row r="240">
      <c r="A240" s="39" t="s">
        <v>2586</v>
      </c>
      <c r="B240" s="15">
        <v>889956.0</v>
      </c>
      <c r="C240" s="15" t="s">
        <v>2587</v>
      </c>
      <c r="D240" s="15">
        <v>53295.0</v>
      </c>
      <c r="E240" s="15" t="s">
        <v>1557</v>
      </c>
      <c r="F240" s="15" t="s">
        <v>1767</v>
      </c>
      <c r="G240" s="7">
        <v>180.977</v>
      </c>
      <c r="H240" s="15" t="s">
        <v>2233</v>
      </c>
      <c r="I240" s="15" t="s">
        <v>1586</v>
      </c>
      <c r="J240" s="15" t="s">
        <v>2588</v>
      </c>
      <c r="K240" s="15">
        <v>218.0</v>
      </c>
      <c r="L240" s="15">
        <v>216.0</v>
      </c>
      <c r="M240" s="40">
        <v>41356.0</v>
      </c>
      <c r="N240" s="40">
        <v>41363.0</v>
      </c>
      <c r="O240" s="15" t="s">
        <v>1554</v>
      </c>
      <c r="Q240" s="7"/>
    </row>
    <row r="241">
      <c r="A241" s="39" t="s">
        <v>2589</v>
      </c>
      <c r="B241" s="15">
        <v>536444.0</v>
      </c>
      <c r="C241" s="15" t="s">
        <v>2590</v>
      </c>
      <c r="D241" s="15">
        <v>53297.0</v>
      </c>
      <c r="E241" s="15" t="s">
        <v>1557</v>
      </c>
      <c r="F241" s="15" t="s">
        <v>1767</v>
      </c>
      <c r="G241" s="7">
        <v>177.211</v>
      </c>
      <c r="H241" s="15" t="s">
        <v>1902</v>
      </c>
      <c r="I241" s="15" t="s">
        <v>1586</v>
      </c>
      <c r="J241" s="15" t="s">
        <v>2591</v>
      </c>
      <c r="K241" s="15">
        <v>215.0</v>
      </c>
      <c r="L241" s="15">
        <v>212.0</v>
      </c>
      <c r="M241" s="40">
        <v>41356.0</v>
      </c>
      <c r="N241" s="40">
        <v>41383.0</v>
      </c>
      <c r="O241" s="15" t="s">
        <v>1554</v>
      </c>
      <c r="Q241" s="7"/>
    </row>
    <row r="242">
      <c r="A242" s="39" t="s">
        <v>2592</v>
      </c>
      <c r="B242" s="15">
        <v>536446.0</v>
      </c>
      <c r="D242" s="15">
        <v>0.0</v>
      </c>
      <c r="E242" s="15" t="s">
        <v>1557</v>
      </c>
      <c r="F242" s="15" t="s">
        <v>1767</v>
      </c>
      <c r="G242" s="7">
        <v>178.75</v>
      </c>
      <c r="H242" s="15" t="s">
        <v>2158</v>
      </c>
      <c r="I242" s="15" t="s">
        <v>1586</v>
      </c>
      <c r="J242" s="15" t="s">
        <v>2594</v>
      </c>
      <c r="K242" s="15">
        <v>211.0</v>
      </c>
      <c r="L242" s="15">
        <v>208.0</v>
      </c>
      <c r="M242" s="40">
        <v>41356.0</v>
      </c>
      <c r="N242" s="40">
        <v>41356.0</v>
      </c>
      <c r="O242" s="15" t="s">
        <v>1554</v>
      </c>
      <c r="Q242" s="7"/>
    </row>
    <row r="243">
      <c r="A243" s="39" t="s">
        <v>2595</v>
      </c>
      <c r="B243" s="15">
        <v>929832.0</v>
      </c>
      <c r="C243" s="15" t="s">
        <v>2596</v>
      </c>
      <c r="D243" s="15">
        <v>53303.0</v>
      </c>
      <c r="E243" s="15" t="s">
        <v>1557</v>
      </c>
      <c r="F243" s="15" t="s">
        <v>1767</v>
      </c>
      <c r="G243" s="7">
        <v>192.497</v>
      </c>
      <c r="H243" s="15" t="s">
        <v>2597</v>
      </c>
      <c r="I243" s="15" t="s">
        <v>1586</v>
      </c>
      <c r="J243" s="15" t="s">
        <v>2598</v>
      </c>
      <c r="K243" s="15">
        <v>224.0</v>
      </c>
      <c r="L243" s="15">
        <v>221.0</v>
      </c>
      <c r="M243" s="40">
        <v>41358.0</v>
      </c>
      <c r="N243" s="40">
        <v>41363.0</v>
      </c>
      <c r="O243" s="15" t="s">
        <v>1554</v>
      </c>
      <c r="Q243" s="7"/>
    </row>
    <row r="244">
      <c r="A244" s="39" t="s">
        <v>2599</v>
      </c>
      <c r="B244" s="15">
        <v>536474.0</v>
      </c>
      <c r="C244" s="15" t="s">
        <v>2600</v>
      </c>
      <c r="D244" s="15">
        <v>53305.0</v>
      </c>
      <c r="E244" s="15" t="s">
        <v>1557</v>
      </c>
      <c r="F244" s="15" t="s">
        <v>1578</v>
      </c>
      <c r="G244" s="7">
        <v>178.807</v>
      </c>
      <c r="H244" s="15" t="s">
        <v>2320</v>
      </c>
      <c r="I244" s="15" t="s">
        <v>1586</v>
      </c>
      <c r="J244" s="15" t="s">
        <v>2601</v>
      </c>
      <c r="K244" s="15">
        <v>216.0</v>
      </c>
      <c r="L244" s="15">
        <v>209.0</v>
      </c>
      <c r="M244" s="40">
        <v>41358.0</v>
      </c>
      <c r="N244" s="40">
        <v>41383.0</v>
      </c>
      <c r="O244" s="15" t="s">
        <v>1554</v>
      </c>
      <c r="Q244" s="7"/>
    </row>
    <row r="245">
      <c r="A245" s="39" t="s">
        <v>2602</v>
      </c>
      <c r="B245" s="15">
        <v>536473.0</v>
      </c>
      <c r="D245" s="15">
        <v>0.0</v>
      </c>
      <c r="E245" s="15" t="s">
        <v>1557</v>
      </c>
      <c r="F245" s="15" t="s">
        <v>1767</v>
      </c>
      <c r="G245" s="7">
        <v>175.596</v>
      </c>
      <c r="H245" s="15" t="s">
        <v>1710</v>
      </c>
      <c r="I245" s="15" t="s">
        <v>1586</v>
      </c>
      <c r="J245" s="15" t="s">
        <v>2604</v>
      </c>
      <c r="K245" s="15">
        <v>209.0</v>
      </c>
      <c r="L245" s="15">
        <v>201.0</v>
      </c>
      <c r="M245" s="40">
        <v>41358.0</v>
      </c>
      <c r="N245" s="40">
        <v>41358.0</v>
      </c>
      <c r="O245" s="15" t="s">
        <v>1554</v>
      </c>
      <c r="Q245" s="7"/>
    </row>
    <row r="246">
      <c r="A246" s="39" t="s">
        <v>2605</v>
      </c>
      <c r="B246" s="15">
        <v>536472.0</v>
      </c>
      <c r="D246" s="15">
        <v>0.0</v>
      </c>
      <c r="E246" s="15" t="s">
        <v>1557</v>
      </c>
      <c r="F246" s="15" t="s">
        <v>1767</v>
      </c>
      <c r="G246" s="7">
        <v>177.103</v>
      </c>
      <c r="H246" s="15" t="s">
        <v>2141</v>
      </c>
      <c r="I246" s="15" t="s">
        <v>1586</v>
      </c>
      <c r="J246" s="15" t="s">
        <v>2606</v>
      </c>
      <c r="K246" s="15">
        <v>216.0</v>
      </c>
      <c r="L246" s="15">
        <v>205.0</v>
      </c>
      <c r="M246" s="40">
        <v>41358.0</v>
      </c>
      <c r="N246" s="40">
        <v>41358.0</v>
      </c>
      <c r="O246" s="15" t="s">
        <v>1554</v>
      </c>
      <c r="Q246" s="7"/>
    </row>
    <row r="247">
      <c r="A247" s="39" t="s">
        <v>2607</v>
      </c>
      <c r="B247" s="15">
        <v>536464.0</v>
      </c>
      <c r="D247" s="15">
        <v>0.0</v>
      </c>
      <c r="E247" s="15" t="s">
        <v>1557</v>
      </c>
      <c r="F247" s="15" t="s">
        <v>1767</v>
      </c>
      <c r="G247" s="7">
        <v>179.98</v>
      </c>
      <c r="H247" s="15" t="s">
        <v>2440</v>
      </c>
      <c r="I247" s="15" t="s">
        <v>1586</v>
      </c>
      <c r="J247" s="15" t="s">
        <v>2608</v>
      </c>
      <c r="K247" s="15">
        <v>208.0</v>
      </c>
      <c r="L247" s="15">
        <v>207.0</v>
      </c>
      <c r="M247" s="40">
        <v>41358.0</v>
      </c>
      <c r="N247" s="40">
        <v>41358.0</v>
      </c>
      <c r="O247" s="15" t="s">
        <v>1554</v>
      </c>
      <c r="Q247" s="7"/>
    </row>
    <row r="248">
      <c r="A248" s="39" t="s">
        <v>2609</v>
      </c>
      <c r="B248" s="15">
        <v>312295.0</v>
      </c>
      <c r="C248" s="15" t="s">
        <v>2610</v>
      </c>
      <c r="D248" s="15">
        <v>53497.0</v>
      </c>
      <c r="E248" s="15" t="s">
        <v>1548</v>
      </c>
      <c r="F248" s="15" t="s">
        <v>1771</v>
      </c>
      <c r="G248" s="7">
        <v>5.866</v>
      </c>
      <c r="H248" s="15" t="s">
        <v>1802</v>
      </c>
      <c r="I248" s="15" t="s">
        <v>1628</v>
      </c>
      <c r="J248" s="15" t="s">
        <v>2612</v>
      </c>
      <c r="K248" s="15">
        <v>7.0</v>
      </c>
      <c r="L248" s="15">
        <v>7.0</v>
      </c>
      <c r="M248" s="40">
        <v>40452.0</v>
      </c>
      <c r="N248" s="41">
        <v>42348.0</v>
      </c>
      <c r="O248" s="15" t="s">
        <v>1554</v>
      </c>
      <c r="Q248" s="7"/>
    </row>
    <row r="249">
      <c r="A249" s="39" t="s">
        <v>2613</v>
      </c>
      <c r="B249" s="15">
        <v>99585.0</v>
      </c>
      <c r="C249" s="15" t="s">
        <v>2614</v>
      </c>
      <c r="D249" s="15">
        <v>53499.0</v>
      </c>
      <c r="E249" s="15" t="s">
        <v>1548</v>
      </c>
      <c r="F249" s="15" t="s">
        <v>2615</v>
      </c>
      <c r="G249" s="7">
        <v>6.643</v>
      </c>
      <c r="H249" s="15" t="s">
        <v>2597</v>
      </c>
      <c r="I249" s="15" t="s">
        <v>1628</v>
      </c>
      <c r="J249" s="15" t="s">
        <v>2616</v>
      </c>
      <c r="K249" s="15">
        <v>4.0</v>
      </c>
      <c r="L249" s="15">
        <v>4.0</v>
      </c>
      <c r="M249" s="40">
        <v>40454.0</v>
      </c>
      <c r="N249" s="40">
        <v>40455.0</v>
      </c>
      <c r="O249" s="15" t="s">
        <v>1554</v>
      </c>
      <c r="Q249" s="7"/>
    </row>
    <row r="250">
      <c r="A250" s="39" t="s">
        <v>2617</v>
      </c>
      <c r="B250" s="15">
        <v>889510.0</v>
      </c>
      <c r="C250" s="15" t="s">
        <v>2618</v>
      </c>
      <c r="D250" s="15">
        <v>53503.0</v>
      </c>
      <c r="E250" s="15" t="s">
        <v>1808</v>
      </c>
      <c r="F250" s="15" t="s">
        <v>1809</v>
      </c>
      <c r="G250" s="7">
        <v>2.762</v>
      </c>
      <c r="H250" s="15" t="s">
        <v>2279</v>
      </c>
      <c r="I250" s="15" t="s">
        <v>1628</v>
      </c>
      <c r="J250" s="15" t="s">
        <v>2619</v>
      </c>
      <c r="K250" s="15">
        <v>4.0</v>
      </c>
      <c r="L250" s="15">
        <v>4.0</v>
      </c>
      <c r="M250" s="40">
        <v>40454.0</v>
      </c>
      <c r="N250" s="40">
        <v>40455.0</v>
      </c>
      <c r="O250" s="15" t="s">
        <v>1554</v>
      </c>
      <c r="Q250" s="7"/>
    </row>
    <row r="251">
      <c r="A251" s="39" t="s">
        <v>2620</v>
      </c>
      <c r="B251" s="15">
        <v>573176.0</v>
      </c>
      <c r="D251" s="15">
        <v>0.0</v>
      </c>
      <c r="E251" s="15" t="s">
        <v>1557</v>
      </c>
      <c r="F251" s="15" t="s">
        <v>1833</v>
      </c>
      <c r="G251" s="7">
        <v>40.557</v>
      </c>
      <c r="H251" s="15" t="s">
        <v>2023</v>
      </c>
      <c r="I251" s="15" t="s">
        <v>1586</v>
      </c>
      <c r="J251" s="15" t="s">
        <v>2621</v>
      </c>
      <c r="K251" s="15">
        <v>75.0</v>
      </c>
      <c r="L251" s="15">
        <v>75.0</v>
      </c>
      <c r="M251" s="40">
        <v>41436.0</v>
      </c>
      <c r="N251" s="40">
        <v>41436.0</v>
      </c>
      <c r="O251" s="15" t="s">
        <v>1554</v>
      </c>
      <c r="Q251" s="7"/>
    </row>
    <row r="252">
      <c r="A252" s="39" t="s">
        <v>2623</v>
      </c>
      <c r="B252" s="15">
        <v>573172.0</v>
      </c>
      <c r="C252" s="15" t="s">
        <v>2624</v>
      </c>
      <c r="D252" s="15">
        <v>53547.0</v>
      </c>
      <c r="E252" s="15" t="s">
        <v>1557</v>
      </c>
      <c r="F252" s="15" t="s">
        <v>1578</v>
      </c>
      <c r="G252" s="7">
        <v>138.234</v>
      </c>
      <c r="H252" s="15">
        <v>38.0</v>
      </c>
      <c r="I252" s="15" t="s">
        <v>1586</v>
      </c>
      <c r="J252" s="15" t="s">
        <v>2625</v>
      </c>
      <c r="K252" s="15">
        <v>253.0</v>
      </c>
      <c r="L252" s="15">
        <v>251.0</v>
      </c>
      <c r="M252" s="40">
        <v>41436.0</v>
      </c>
      <c r="N252" s="40">
        <v>42405.0</v>
      </c>
      <c r="O252" s="15" t="s">
        <v>1554</v>
      </c>
      <c r="Q252" s="7"/>
    </row>
    <row r="253">
      <c r="A253" s="39" t="s">
        <v>2626</v>
      </c>
      <c r="B253" s="15">
        <v>878329.0</v>
      </c>
      <c r="C253" s="15" t="s">
        <v>2627</v>
      </c>
      <c r="D253" s="15">
        <v>53557.0</v>
      </c>
      <c r="E253" s="15" t="s">
        <v>1557</v>
      </c>
      <c r="F253" s="15" t="s">
        <v>2628</v>
      </c>
      <c r="G253" s="7">
        <v>45.413</v>
      </c>
      <c r="H253" s="15" t="s">
        <v>2497</v>
      </c>
      <c r="I253" s="15" t="s">
        <v>1686</v>
      </c>
      <c r="J253" s="15" t="s">
        <v>2629</v>
      </c>
      <c r="K253" s="15">
        <v>37.0</v>
      </c>
      <c r="L253" s="15">
        <v>37.0</v>
      </c>
      <c r="M253" s="40">
        <v>40427.0</v>
      </c>
      <c r="N253" s="40">
        <v>40963.0</v>
      </c>
      <c r="O253" s="15" t="s">
        <v>1554</v>
      </c>
      <c r="Q253" s="7"/>
    </row>
    <row r="254">
      <c r="A254" s="39" t="s">
        <v>2630</v>
      </c>
      <c r="B254" s="15">
        <v>10353.0</v>
      </c>
      <c r="C254" s="15" t="s">
        <v>2631</v>
      </c>
      <c r="D254" s="15">
        <v>54017.0</v>
      </c>
      <c r="E254" s="15" t="s">
        <v>1557</v>
      </c>
      <c r="F254" s="15" t="s">
        <v>1827</v>
      </c>
      <c r="G254" s="7">
        <v>156.742</v>
      </c>
      <c r="H254" s="15" t="s">
        <v>2632</v>
      </c>
      <c r="I254" s="15" t="s">
        <v>1686</v>
      </c>
      <c r="J254" s="15" t="s">
        <v>2633</v>
      </c>
      <c r="K254" s="15">
        <v>70.0</v>
      </c>
      <c r="L254" s="15">
        <v>70.0</v>
      </c>
      <c r="M254" s="40">
        <v>40460.0</v>
      </c>
      <c r="N254" s="40">
        <v>40589.0</v>
      </c>
      <c r="O254" s="15" t="s">
        <v>1554</v>
      </c>
      <c r="Q254" s="7"/>
    </row>
    <row r="255">
      <c r="A255" s="39" t="s">
        <v>2634</v>
      </c>
      <c r="B255" s="15">
        <v>430710.0</v>
      </c>
      <c r="C255" s="15" t="s">
        <v>2635</v>
      </c>
      <c r="D255" s="15">
        <v>56015.0</v>
      </c>
      <c r="E255" s="15" t="s">
        <v>1638</v>
      </c>
      <c r="F255" s="15" t="s">
        <v>2539</v>
      </c>
      <c r="G255" s="7">
        <v>3.431</v>
      </c>
      <c r="H255" s="15">
        <v>47.0</v>
      </c>
      <c r="I255" s="15" t="s">
        <v>1628</v>
      </c>
      <c r="J255" s="15" t="s">
        <v>2636</v>
      </c>
      <c r="K255" s="15">
        <v>2.0</v>
      </c>
      <c r="L255" s="15">
        <v>2.0</v>
      </c>
      <c r="M255" s="40">
        <v>40460.0</v>
      </c>
      <c r="N255" s="41">
        <v>40466.0</v>
      </c>
      <c r="O255" s="15" t="s">
        <v>1554</v>
      </c>
      <c r="Q255" s="7"/>
    </row>
    <row r="256">
      <c r="A256" s="39" t="s">
        <v>2638</v>
      </c>
      <c r="B256" s="15">
        <v>885379.0</v>
      </c>
      <c r="C256" s="15" t="s">
        <v>2639</v>
      </c>
      <c r="D256" s="15">
        <v>56017.0</v>
      </c>
      <c r="E256" s="15" t="s">
        <v>2014</v>
      </c>
      <c r="F256" s="15" t="s">
        <v>2018</v>
      </c>
      <c r="G256" s="7">
        <v>1.371</v>
      </c>
      <c r="H256" s="15" t="s">
        <v>2640</v>
      </c>
      <c r="I256" s="15" t="s">
        <v>1628</v>
      </c>
      <c r="J256" s="15" t="s">
        <v>2641</v>
      </c>
      <c r="K256" s="15">
        <v>1.0</v>
      </c>
      <c r="L256" s="15">
        <v>1.0</v>
      </c>
      <c r="M256" s="41">
        <v>40463.0</v>
      </c>
      <c r="N256" s="40">
        <v>40794.0</v>
      </c>
      <c r="O256" s="15" t="s">
        <v>1554</v>
      </c>
      <c r="Q256" s="7"/>
    </row>
    <row r="257">
      <c r="A257" s="39" t="s">
        <v>2642</v>
      </c>
      <c r="B257" s="15">
        <v>645664.0</v>
      </c>
      <c r="C257" s="15" t="s">
        <v>2643</v>
      </c>
      <c r="D257" s="15">
        <v>56019.0</v>
      </c>
      <c r="E257" s="15" t="s">
        <v>1557</v>
      </c>
      <c r="F257" s="15" t="s">
        <v>1767</v>
      </c>
      <c r="G257" s="7">
        <v>170.605</v>
      </c>
      <c r="H257" s="15" t="s">
        <v>2524</v>
      </c>
      <c r="I257" s="15" t="s">
        <v>1586</v>
      </c>
      <c r="J257" s="15" t="s">
        <v>2644</v>
      </c>
      <c r="K257" s="15">
        <v>289.0</v>
      </c>
      <c r="L257" s="15">
        <v>284.0</v>
      </c>
      <c r="M257" s="41">
        <v>40463.0</v>
      </c>
      <c r="N257" s="41">
        <v>40466.0</v>
      </c>
      <c r="O257" s="15" t="s">
        <v>1554</v>
      </c>
      <c r="Q257" s="7"/>
    </row>
    <row r="258">
      <c r="A258" s="39" t="s">
        <v>2645</v>
      </c>
      <c r="B258" s="15">
        <v>905054.0</v>
      </c>
      <c r="C258" s="15" t="s">
        <v>2647</v>
      </c>
      <c r="D258" s="15">
        <v>56021.0</v>
      </c>
      <c r="E258" s="15" t="s">
        <v>1808</v>
      </c>
      <c r="F258" s="15" t="s">
        <v>1809</v>
      </c>
      <c r="G258" s="7">
        <v>2.707</v>
      </c>
      <c r="H258" s="15" t="s">
        <v>2648</v>
      </c>
      <c r="I258" s="15" t="s">
        <v>1628</v>
      </c>
      <c r="J258" s="15" t="s">
        <v>2649</v>
      </c>
      <c r="K258" s="15">
        <v>6.0</v>
      </c>
      <c r="L258" s="15">
        <v>6.0</v>
      </c>
      <c r="M258" s="41">
        <v>40463.0</v>
      </c>
      <c r="N258" s="41">
        <v>40842.0</v>
      </c>
      <c r="O258" s="15" t="s">
        <v>1554</v>
      </c>
      <c r="Q258" s="7"/>
    </row>
    <row r="259">
      <c r="A259" s="39" t="s">
        <v>2650</v>
      </c>
      <c r="B259" s="15">
        <v>905055.0</v>
      </c>
      <c r="C259" s="15" t="s">
        <v>2651</v>
      </c>
      <c r="D259" s="15">
        <v>56023.0</v>
      </c>
      <c r="E259" s="15" t="s">
        <v>2014</v>
      </c>
      <c r="F259" s="15" t="s">
        <v>1578</v>
      </c>
      <c r="G259" s="7">
        <v>1.379</v>
      </c>
      <c r="H259" s="15">
        <v>41.0</v>
      </c>
      <c r="I259" s="15" t="s">
        <v>1628</v>
      </c>
      <c r="J259" s="15" t="s">
        <v>2652</v>
      </c>
      <c r="K259" s="15">
        <v>1.0</v>
      </c>
      <c r="L259" s="15">
        <v>1.0</v>
      </c>
      <c r="M259" s="41">
        <v>40463.0</v>
      </c>
      <c r="N259" s="41">
        <v>40842.0</v>
      </c>
      <c r="O259" s="15" t="s">
        <v>1554</v>
      </c>
      <c r="Q259" s="7"/>
    </row>
    <row r="260">
      <c r="A260" s="39" t="s">
        <v>2653</v>
      </c>
      <c r="B260" s="15">
        <v>907191.0</v>
      </c>
      <c r="C260" s="15" t="s">
        <v>2654</v>
      </c>
      <c r="D260" s="15">
        <v>56055.0</v>
      </c>
      <c r="E260" s="15" t="s">
        <v>1638</v>
      </c>
      <c r="F260" s="15" t="s">
        <v>1863</v>
      </c>
      <c r="G260" s="7">
        <v>26.128</v>
      </c>
      <c r="H260" s="15" t="s">
        <v>2655</v>
      </c>
      <c r="I260" s="15" t="s">
        <v>1628</v>
      </c>
      <c r="J260" s="15" t="s">
        <v>2656</v>
      </c>
      <c r="K260" s="15">
        <v>12.0</v>
      </c>
      <c r="L260" s="15">
        <v>12.0</v>
      </c>
      <c r="M260" s="41">
        <v>40468.0</v>
      </c>
      <c r="N260" s="41">
        <v>42306.0</v>
      </c>
      <c r="O260" s="15" t="s">
        <v>1554</v>
      </c>
      <c r="Q260" s="7"/>
    </row>
    <row r="261">
      <c r="A261" s="39" t="s">
        <v>2658</v>
      </c>
      <c r="B261" s="15">
        <v>556524.0</v>
      </c>
      <c r="C261" s="15" t="s">
        <v>2659</v>
      </c>
      <c r="D261" s="15">
        <v>56065.0</v>
      </c>
      <c r="E261" s="15" t="s">
        <v>1638</v>
      </c>
      <c r="F261" s="15" t="s">
        <v>1639</v>
      </c>
      <c r="G261" s="7">
        <v>7.51</v>
      </c>
      <c r="H261" s="15" t="s">
        <v>2660</v>
      </c>
      <c r="I261" s="15" t="s">
        <v>1560</v>
      </c>
      <c r="J261" s="15" t="s">
        <v>2661</v>
      </c>
      <c r="K261" s="15">
        <v>2.0</v>
      </c>
      <c r="L261" s="15">
        <v>2.0</v>
      </c>
      <c r="M261" s="41">
        <v>40178.0</v>
      </c>
      <c r="N261" s="41">
        <v>40470.0</v>
      </c>
      <c r="O261" s="15" t="s">
        <v>1554</v>
      </c>
      <c r="Q261" s="7"/>
    </row>
    <row r="262">
      <c r="A262" s="39" t="s">
        <v>2662</v>
      </c>
      <c r="B262" s="15">
        <v>666147.0</v>
      </c>
      <c r="C262" s="15" t="s">
        <v>2663</v>
      </c>
      <c r="D262" s="15">
        <v>59505.0</v>
      </c>
      <c r="E262" s="15" t="s">
        <v>2014</v>
      </c>
      <c r="F262" s="15" t="s">
        <v>1578</v>
      </c>
      <c r="G262" s="7">
        <v>1.331</v>
      </c>
      <c r="H262" s="15" t="s">
        <v>2552</v>
      </c>
      <c r="I262" s="15" t="s">
        <v>1628</v>
      </c>
      <c r="J262" s="15" t="s">
        <v>2664</v>
      </c>
      <c r="K262" s="15">
        <v>1.0</v>
      </c>
      <c r="L262" s="15">
        <v>1.0</v>
      </c>
      <c r="M262" s="40">
        <v>40338.0</v>
      </c>
      <c r="N262" s="41">
        <v>42718.0</v>
      </c>
      <c r="O262" s="15" t="s">
        <v>1554</v>
      </c>
      <c r="Q262" s="7"/>
    </row>
    <row r="263">
      <c r="A263" s="39" t="s">
        <v>2666</v>
      </c>
      <c r="B263" s="15">
        <v>873160.0</v>
      </c>
      <c r="C263" s="15" t="s">
        <v>2667</v>
      </c>
      <c r="D263" s="15">
        <v>59507.0</v>
      </c>
      <c r="E263" s="15" t="s">
        <v>1808</v>
      </c>
      <c r="F263" s="15" t="s">
        <v>1809</v>
      </c>
      <c r="G263" s="7">
        <v>3.065</v>
      </c>
      <c r="H263" s="15" t="s">
        <v>2668</v>
      </c>
      <c r="I263" s="15" t="s">
        <v>1628</v>
      </c>
      <c r="J263" s="15" t="s">
        <v>2669</v>
      </c>
      <c r="K263" s="15">
        <v>6.0</v>
      </c>
      <c r="L263" s="15">
        <v>6.0</v>
      </c>
      <c r="M263" s="40">
        <v>40428.0</v>
      </c>
      <c r="N263" s="41">
        <v>40476.0</v>
      </c>
      <c r="O263" s="15" t="s">
        <v>1554</v>
      </c>
      <c r="Q263" s="7"/>
    </row>
    <row r="264">
      <c r="A264" s="39" t="s">
        <v>2670</v>
      </c>
      <c r="B264" s="15">
        <v>879628.0</v>
      </c>
      <c r="C264" s="15" t="s">
        <v>2671</v>
      </c>
      <c r="D264" s="15">
        <v>59727.0</v>
      </c>
      <c r="E264" s="15" t="s">
        <v>1557</v>
      </c>
      <c r="F264" s="15" t="s">
        <v>1767</v>
      </c>
      <c r="G264" s="7">
        <v>163.875</v>
      </c>
      <c r="H264" s="15" t="s">
        <v>1710</v>
      </c>
      <c r="I264" s="15" t="s">
        <v>1586</v>
      </c>
      <c r="J264" s="15" t="s">
        <v>2672</v>
      </c>
      <c r="K264" s="15">
        <v>271.0</v>
      </c>
      <c r="L264" s="15">
        <v>271.0</v>
      </c>
      <c r="M264" s="40">
        <v>40429.0</v>
      </c>
      <c r="N264" s="40">
        <v>40962.0</v>
      </c>
      <c r="O264" s="15" t="s">
        <v>1554</v>
      </c>
      <c r="Q264" s="7"/>
    </row>
    <row r="265">
      <c r="A265" s="39" t="s">
        <v>2673</v>
      </c>
      <c r="B265" s="15">
        <v>879630.0</v>
      </c>
      <c r="C265" s="15" t="s">
        <v>2674</v>
      </c>
      <c r="D265" s="15">
        <v>59729.0</v>
      </c>
      <c r="E265" s="15" t="s">
        <v>1557</v>
      </c>
      <c r="F265" s="15" t="s">
        <v>1767</v>
      </c>
      <c r="G265" s="7">
        <v>225.268</v>
      </c>
      <c r="H265" s="15">
        <v>43.0</v>
      </c>
      <c r="I265" s="15" t="s">
        <v>1586</v>
      </c>
      <c r="J265" s="15" t="s">
        <v>2676</v>
      </c>
      <c r="K265" s="15">
        <v>343.0</v>
      </c>
      <c r="L265" s="15">
        <v>343.0</v>
      </c>
      <c r="M265" s="40">
        <v>40429.0</v>
      </c>
      <c r="N265" s="40">
        <v>41024.0</v>
      </c>
      <c r="O265" s="15" t="s">
        <v>1554</v>
      </c>
      <c r="Q265" s="7"/>
    </row>
    <row r="266">
      <c r="A266" s="39" t="s">
        <v>2677</v>
      </c>
      <c r="B266" s="15">
        <v>693272.0</v>
      </c>
      <c r="C266" s="15" t="s">
        <v>2678</v>
      </c>
      <c r="D266" s="15">
        <v>59783.0</v>
      </c>
      <c r="E266" s="15" t="s">
        <v>1557</v>
      </c>
      <c r="F266" s="15" t="s">
        <v>2679</v>
      </c>
      <c r="G266" s="7">
        <v>617.453</v>
      </c>
      <c r="H266" s="42">
        <v>43182.0</v>
      </c>
      <c r="I266" s="15" t="s">
        <v>1740</v>
      </c>
      <c r="J266" s="15" t="s">
        <v>2680</v>
      </c>
      <c r="K266" s="15">
        <v>544.0</v>
      </c>
      <c r="L266" s="15">
        <v>544.0</v>
      </c>
      <c r="M266" s="41">
        <v>40477.0</v>
      </c>
      <c r="N266" s="41">
        <v>40492.0</v>
      </c>
      <c r="O266" s="15" t="s">
        <v>1554</v>
      </c>
      <c r="Q266" s="7"/>
    </row>
    <row r="267">
      <c r="A267" s="39" t="s">
        <v>2681</v>
      </c>
      <c r="B267" s="15">
        <v>912033.0</v>
      </c>
      <c r="C267" s="15" t="s">
        <v>2682</v>
      </c>
      <c r="D267" s="15">
        <v>60043.0</v>
      </c>
      <c r="E267" s="15" t="s">
        <v>1808</v>
      </c>
      <c r="F267" s="15" t="s">
        <v>1809</v>
      </c>
      <c r="G267" s="7">
        <v>2.792</v>
      </c>
      <c r="H267" s="15" t="s">
        <v>1591</v>
      </c>
      <c r="I267" s="15" t="s">
        <v>1628</v>
      </c>
      <c r="J267" s="15" t="s">
        <v>2683</v>
      </c>
      <c r="K267" s="15">
        <v>6.0</v>
      </c>
      <c r="L267" s="15">
        <v>6.0</v>
      </c>
      <c r="M267" s="40">
        <v>40484.0</v>
      </c>
      <c r="N267" s="40">
        <v>41110.0</v>
      </c>
      <c r="O267" s="15" t="s">
        <v>1554</v>
      </c>
      <c r="Q267" s="7"/>
    </row>
    <row r="268">
      <c r="A268" s="39" t="s">
        <v>2684</v>
      </c>
      <c r="B268" s="15">
        <v>666146.0</v>
      </c>
      <c r="C268" s="15" t="s">
        <v>2685</v>
      </c>
      <c r="D268" s="15">
        <v>60045.0</v>
      </c>
      <c r="E268" s="15" t="s">
        <v>2014</v>
      </c>
      <c r="F268" s="15" t="s">
        <v>1578</v>
      </c>
      <c r="G268" s="7">
        <v>1.351</v>
      </c>
      <c r="H268" s="15" t="s">
        <v>2686</v>
      </c>
      <c r="I268" s="15" t="s">
        <v>1628</v>
      </c>
      <c r="J268" s="15" t="s">
        <v>2688</v>
      </c>
      <c r="K268" s="15">
        <v>1.0</v>
      </c>
      <c r="L268" s="15">
        <v>1.0</v>
      </c>
      <c r="M268" s="40">
        <v>40338.0</v>
      </c>
      <c r="N268" s="40">
        <v>40579.0</v>
      </c>
      <c r="O268" s="15" t="s">
        <v>1554</v>
      </c>
      <c r="Q268" s="7"/>
    </row>
    <row r="269">
      <c r="A269" s="39" t="s">
        <v>2689</v>
      </c>
      <c r="B269" s="15">
        <v>911574.0</v>
      </c>
      <c r="C269" s="15" t="s">
        <v>2690</v>
      </c>
      <c r="D269" s="15">
        <v>60047.0</v>
      </c>
      <c r="E269" s="15" t="s">
        <v>1808</v>
      </c>
      <c r="F269" s="15" t="s">
        <v>1809</v>
      </c>
      <c r="G269" s="7">
        <v>2.754</v>
      </c>
      <c r="H269" s="15" t="s">
        <v>1943</v>
      </c>
      <c r="I269" s="15" t="s">
        <v>1628</v>
      </c>
      <c r="J269" s="15" t="s">
        <v>2691</v>
      </c>
      <c r="K269" s="15">
        <v>6.0</v>
      </c>
      <c r="L269" s="15">
        <v>6.0</v>
      </c>
      <c r="M269" s="41">
        <v>40482.0</v>
      </c>
      <c r="N269" s="41">
        <v>40492.0</v>
      </c>
      <c r="O269" s="15" t="s">
        <v>1554</v>
      </c>
      <c r="Q269" s="7"/>
    </row>
    <row r="270">
      <c r="A270" s="39" t="s">
        <v>2692</v>
      </c>
      <c r="B270" s="15">
        <v>212035.0</v>
      </c>
      <c r="C270" s="15" t="s">
        <v>2693</v>
      </c>
      <c r="D270" s="15">
        <v>60053.0</v>
      </c>
      <c r="E270" s="15" t="s">
        <v>1557</v>
      </c>
      <c r="F270" s="15" t="s">
        <v>2679</v>
      </c>
      <c r="G270" s="7">
        <v>1181.55</v>
      </c>
      <c r="H270" s="15">
        <v>28.0</v>
      </c>
      <c r="I270" s="15" t="s">
        <v>2694</v>
      </c>
      <c r="J270" s="15" t="s">
        <v>2695</v>
      </c>
      <c r="K270" s="15">
        <v>1018.0</v>
      </c>
      <c r="L270" s="15">
        <v>979.0</v>
      </c>
      <c r="M270" s="41">
        <v>40463.0</v>
      </c>
      <c r="N270" s="40">
        <v>40633.0</v>
      </c>
      <c r="O270" s="15" t="s">
        <v>1554</v>
      </c>
      <c r="Q270" s="7"/>
    </row>
    <row r="271">
      <c r="A271" s="39" t="s">
        <v>2696</v>
      </c>
      <c r="B271" s="15">
        <v>762660.0</v>
      </c>
      <c r="C271" s="15" t="s">
        <v>2697</v>
      </c>
      <c r="D271" s="15">
        <v>60115.0</v>
      </c>
      <c r="E271" s="15" t="s">
        <v>1557</v>
      </c>
      <c r="F271" s="15" t="s">
        <v>1767</v>
      </c>
      <c r="G271" s="7">
        <v>167.716</v>
      </c>
      <c r="H271" s="15" t="s">
        <v>2699</v>
      </c>
      <c r="I271" s="15" t="s">
        <v>1586</v>
      </c>
      <c r="J271" s="15" t="s">
        <v>2700</v>
      </c>
      <c r="K271" s="15">
        <v>263.0</v>
      </c>
      <c r="L271" s="15">
        <v>255.0</v>
      </c>
      <c r="M271" s="41">
        <v>40492.0</v>
      </c>
      <c r="N271" s="41">
        <v>40494.0</v>
      </c>
      <c r="O271" s="15" t="s">
        <v>1554</v>
      </c>
      <c r="Q271" s="7"/>
    </row>
    <row r="272">
      <c r="A272" s="39" t="s">
        <v>2701</v>
      </c>
      <c r="B272" s="15">
        <v>760732.0</v>
      </c>
      <c r="C272" s="15" t="s">
        <v>2702</v>
      </c>
      <c r="D272" s="15">
        <v>60117.0</v>
      </c>
      <c r="E272" s="15" t="s">
        <v>1557</v>
      </c>
      <c r="F272" s="15" t="s">
        <v>1767</v>
      </c>
      <c r="G272" s="7">
        <v>164.093</v>
      </c>
      <c r="H272" s="15">
        <v>39.0</v>
      </c>
      <c r="I272" s="15" t="s">
        <v>1586</v>
      </c>
      <c r="J272" s="15" t="s">
        <v>2703</v>
      </c>
      <c r="K272" s="15">
        <v>254.0</v>
      </c>
      <c r="L272" s="15">
        <v>241.0</v>
      </c>
      <c r="M272" s="41">
        <v>40492.0</v>
      </c>
      <c r="N272" s="41">
        <v>40494.0</v>
      </c>
      <c r="O272" s="15" t="s">
        <v>1554</v>
      </c>
      <c r="Q272" s="7"/>
    </row>
    <row r="273">
      <c r="A273" s="39" t="s">
        <v>2704</v>
      </c>
      <c r="B273" s="15">
        <v>709484.0</v>
      </c>
      <c r="C273" s="15" t="s">
        <v>2705</v>
      </c>
      <c r="D273" s="15">
        <v>60119.0</v>
      </c>
      <c r="E273" s="15" t="s">
        <v>1557</v>
      </c>
      <c r="F273" s="15" t="s">
        <v>1767</v>
      </c>
      <c r="G273" s="7">
        <v>165.54</v>
      </c>
      <c r="H273" s="15" t="s">
        <v>2320</v>
      </c>
      <c r="I273" s="15" t="s">
        <v>1586</v>
      </c>
      <c r="J273" s="15" t="s">
        <v>2706</v>
      </c>
      <c r="K273" s="15">
        <v>287.0</v>
      </c>
      <c r="L273" s="15">
        <v>279.0</v>
      </c>
      <c r="M273" s="41">
        <v>40492.0</v>
      </c>
      <c r="N273" s="41">
        <v>40494.0</v>
      </c>
      <c r="O273" s="15" t="s">
        <v>1554</v>
      </c>
      <c r="Q273" s="7"/>
    </row>
    <row r="274">
      <c r="A274" s="39" t="s">
        <v>2708</v>
      </c>
      <c r="B274" s="15">
        <v>760939.0</v>
      </c>
      <c r="C274" s="15" t="s">
        <v>2709</v>
      </c>
      <c r="D274" s="15">
        <v>60121.0</v>
      </c>
      <c r="E274" s="15" t="s">
        <v>1557</v>
      </c>
      <c r="F274" s="15" t="s">
        <v>1767</v>
      </c>
      <c r="G274" s="7">
        <v>169.947</v>
      </c>
      <c r="H274" s="15">
        <v>40.0</v>
      </c>
      <c r="I274" s="15" t="s">
        <v>1586</v>
      </c>
      <c r="J274" s="15" t="s">
        <v>2710</v>
      </c>
      <c r="K274" s="15">
        <v>272.0</v>
      </c>
      <c r="L274" s="15">
        <v>253.0</v>
      </c>
      <c r="M274" s="41">
        <v>40492.0</v>
      </c>
      <c r="N274" s="41">
        <v>40494.0</v>
      </c>
      <c r="O274" s="15" t="s">
        <v>1554</v>
      </c>
      <c r="Q274" s="7"/>
    </row>
    <row r="275">
      <c r="A275" s="39" t="s">
        <v>2711</v>
      </c>
      <c r="B275" s="15">
        <v>707546.0</v>
      </c>
      <c r="C275" s="15" t="s">
        <v>2712</v>
      </c>
      <c r="D275" s="15">
        <v>60137.0</v>
      </c>
      <c r="E275" s="15" t="s">
        <v>1808</v>
      </c>
      <c r="F275" s="15" t="s">
        <v>2436</v>
      </c>
      <c r="G275" s="7">
        <v>5.905</v>
      </c>
      <c r="H275" s="15" t="s">
        <v>2163</v>
      </c>
      <c r="I275" s="15" t="s">
        <v>1686</v>
      </c>
      <c r="J275" s="15" t="s">
        <v>2713</v>
      </c>
      <c r="K275" s="15">
        <v>3.0</v>
      </c>
      <c r="L275" s="15">
        <v>3.0</v>
      </c>
      <c r="M275" s="40">
        <v>40190.0</v>
      </c>
      <c r="N275" s="40">
        <v>42045.0</v>
      </c>
      <c r="O275" s="15" t="s">
        <v>1554</v>
      </c>
      <c r="Q275" s="7"/>
    </row>
    <row r="276">
      <c r="A276" s="39" t="s">
        <v>2714</v>
      </c>
      <c r="B276" s="15">
        <v>913600.0</v>
      </c>
      <c r="C276" s="15" t="s">
        <v>2715</v>
      </c>
      <c r="D276" s="15">
        <v>60361.0</v>
      </c>
      <c r="E276" s="15" t="s">
        <v>1808</v>
      </c>
      <c r="F276" s="15" t="s">
        <v>1809</v>
      </c>
      <c r="G276" s="7">
        <v>2.736</v>
      </c>
      <c r="H276" s="15" t="s">
        <v>2064</v>
      </c>
      <c r="I276" s="15" t="s">
        <v>1628</v>
      </c>
      <c r="J276" s="15" t="s">
        <v>2717</v>
      </c>
      <c r="K276" s="15">
        <v>7.0</v>
      </c>
      <c r="L276" s="15">
        <v>7.0</v>
      </c>
      <c r="M276" s="41">
        <v>40499.0</v>
      </c>
      <c r="N276" s="40">
        <v>41093.0</v>
      </c>
      <c r="O276" s="15" t="s">
        <v>1554</v>
      </c>
      <c r="Q276" s="7"/>
    </row>
    <row r="277">
      <c r="A277" s="39" t="s">
        <v>2718</v>
      </c>
      <c r="B277" s="15">
        <v>519497.0</v>
      </c>
      <c r="C277" s="15" t="s">
        <v>2719</v>
      </c>
      <c r="D277" s="15">
        <v>60383.0</v>
      </c>
      <c r="E277" s="15" t="s">
        <v>1638</v>
      </c>
      <c r="F277" s="15" t="s">
        <v>1863</v>
      </c>
      <c r="G277" s="7">
        <v>29.124</v>
      </c>
      <c r="H277" s="15" t="s">
        <v>2720</v>
      </c>
      <c r="I277" s="15" t="s">
        <v>2034</v>
      </c>
      <c r="J277" s="15" t="s">
        <v>2721</v>
      </c>
      <c r="K277" s="15">
        <v>13.0</v>
      </c>
      <c r="L277" s="15">
        <v>13.0</v>
      </c>
      <c r="M277" s="40">
        <v>39559.0</v>
      </c>
      <c r="N277" s="41">
        <v>42297.0</v>
      </c>
      <c r="O277" s="15" t="s">
        <v>1554</v>
      </c>
      <c r="Q277" s="7"/>
    </row>
    <row r="278">
      <c r="A278" s="39" t="s">
        <v>2722</v>
      </c>
      <c r="B278" s="15">
        <v>67761.0</v>
      </c>
      <c r="C278" s="15" t="s">
        <v>2723</v>
      </c>
      <c r="D278" s="15">
        <v>60623.0</v>
      </c>
      <c r="E278" s="15" t="s">
        <v>1548</v>
      </c>
      <c r="F278" s="15" t="s">
        <v>1786</v>
      </c>
      <c r="G278" s="7">
        <v>8.127</v>
      </c>
      <c r="H278" s="15" t="s">
        <v>2440</v>
      </c>
      <c r="I278" s="15" t="s">
        <v>1628</v>
      </c>
      <c r="J278" s="15" t="s">
        <v>2725</v>
      </c>
      <c r="K278" s="15">
        <v>6.0</v>
      </c>
      <c r="L278" s="15">
        <v>6.0</v>
      </c>
      <c r="M278" s="41">
        <v>40505.0</v>
      </c>
      <c r="N278" s="40">
        <v>40513.0</v>
      </c>
      <c r="O278" s="15" t="s">
        <v>1554</v>
      </c>
      <c r="Q278" s="7"/>
    </row>
    <row r="279">
      <c r="A279" s="39" t="s">
        <v>2726</v>
      </c>
      <c r="B279" s="15">
        <v>887827.0</v>
      </c>
      <c r="C279" s="15" t="s">
        <v>2727</v>
      </c>
      <c r="D279" s="15">
        <v>60625.0</v>
      </c>
      <c r="E279" s="15" t="s">
        <v>1808</v>
      </c>
      <c r="F279" s="15" t="s">
        <v>1809</v>
      </c>
      <c r="G279" s="7">
        <v>2.605</v>
      </c>
      <c r="H279" s="15" t="s">
        <v>2178</v>
      </c>
      <c r="I279" s="15" t="s">
        <v>1628</v>
      </c>
      <c r="J279" s="15" t="s">
        <v>2728</v>
      </c>
      <c r="K279" s="15">
        <v>4.0</v>
      </c>
      <c r="L279" s="15">
        <v>4.0</v>
      </c>
      <c r="M279" s="41">
        <v>40504.0</v>
      </c>
      <c r="N279" s="40">
        <v>40513.0</v>
      </c>
      <c r="O279" s="15" t="s">
        <v>1554</v>
      </c>
      <c r="Q279" s="7"/>
    </row>
    <row r="280">
      <c r="A280" s="39" t="s">
        <v>2729</v>
      </c>
      <c r="B280" s="15">
        <v>887825.0</v>
      </c>
      <c r="C280" s="15" t="s">
        <v>2730</v>
      </c>
      <c r="D280" s="15">
        <v>60627.0</v>
      </c>
      <c r="E280" s="15" t="s">
        <v>1808</v>
      </c>
      <c r="F280" s="15" t="s">
        <v>1809</v>
      </c>
      <c r="G280" s="7">
        <v>2.582</v>
      </c>
      <c r="H280" s="15" t="s">
        <v>1943</v>
      </c>
      <c r="I280" s="15" t="s">
        <v>1628</v>
      </c>
      <c r="J280" s="15" t="s">
        <v>2731</v>
      </c>
      <c r="K280" s="15">
        <v>4.0</v>
      </c>
      <c r="L280" s="15">
        <v>4.0</v>
      </c>
      <c r="M280" s="41">
        <v>40504.0</v>
      </c>
      <c r="N280" s="40">
        <v>40513.0</v>
      </c>
      <c r="O280" s="15" t="s">
        <v>1554</v>
      </c>
      <c r="Q280" s="7"/>
    </row>
    <row r="281">
      <c r="A281" s="39" t="s">
        <v>2732</v>
      </c>
      <c r="B281" s="15">
        <v>929051.0</v>
      </c>
      <c r="C281" s="15" t="s">
        <v>2733</v>
      </c>
      <c r="D281" s="15">
        <v>60629.0</v>
      </c>
      <c r="E281" s="15" t="s">
        <v>2014</v>
      </c>
      <c r="F281" s="15" t="s">
        <v>2018</v>
      </c>
      <c r="G281" s="7">
        <v>1.388</v>
      </c>
      <c r="H281" s="15" t="s">
        <v>2233</v>
      </c>
      <c r="I281" s="15" t="s">
        <v>1628</v>
      </c>
      <c r="J281" s="15" t="s">
        <v>2735</v>
      </c>
      <c r="K281" s="15">
        <v>1.0</v>
      </c>
      <c r="L281" s="15">
        <v>1.0</v>
      </c>
      <c r="M281" s="41">
        <v>40511.0</v>
      </c>
      <c r="N281" s="40">
        <v>40963.0</v>
      </c>
      <c r="O281" s="15" t="s">
        <v>1554</v>
      </c>
      <c r="Q281" s="7"/>
    </row>
    <row r="282">
      <c r="A282" s="39" t="s">
        <v>2736</v>
      </c>
      <c r="B282" s="15">
        <v>930881.0</v>
      </c>
      <c r="C282" s="15" t="s">
        <v>2737</v>
      </c>
      <c r="D282" s="15">
        <v>60649.0</v>
      </c>
      <c r="E282" s="15" t="s">
        <v>1548</v>
      </c>
      <c r="F282" s="15" t="s">
        <v>1911</v>
      </c>
      <c r="G282" s="7">
        <v>10.82</v>
      </c>
      <c r="H282" s="15" t="s">
        <v>1813</v>
      </c>
      <c r="I282" s="15" t="s">
        <v>1628</v>
      </c>
      <c r="J282" s="15" t="s">
        <v>2738</v>
      </c>
      <c r="K282" s="15">
        <v>2.0</v>
      </c>
      <c r="L282" s="15">
        <v>2.0</v>
      </c>
      <c r="M282" s="41">
        <v>40510.0</v>
      </c>
      <c r="N282" s="40">
        <v>42045.0</v>
      </c>
      <c r="O282" s="15" t="s">
        <v>1554</v>
      </c>
      <c r="Q282" s="7"/>
    </row>
    <row r="283">
      <c r="A283" s="39" t="s">
        <v>2739</v>
      </c>
      <c r="B283" s="15">
        <v>305677.0</v>
      </c>
      <c r="C283" s="15" t="s">
        <v>2740</v>
      </c>
      <c r="D283" s="15">
        <v>60731.0</v>
      </c>
      <c r="E283" s="15" t="s">
        <v>1557</v>
      </c>
      <c r="F283" s="15" t="s">
        <v>2004</v>
      </c>
      <c r="G283" s="7">
        <v>5.086</v>
      </c>
      <c r="H283" s="15" t="s">
        <v>2342</v>
      </c>
      <c r="I283" s="15" t="s">
        <v>1686</v>
      </c>
      <c r="J283" s="15" t="s">
        <v>2741</v>
      </c>
      <c r="K283" s="15">
        <v>5.0</v>
      </c>
      <c r="L283" s="15">
        <v>5.0</v>
      </c>
      <c r="M283" s="40">
        <v>40513.0</v>
      </c>
      <c r="N283" s="40">
        <v>40515.0</v>
      </c>
      <c r="O283" s="15" t="s">
        <v>1554</v>
      </c>
      <c r="Q283" s="7"/>
    </row>
    <row r="284">
      <c r="A284" s="39" t="s">
        <v>2743</v>
      </c>
      <c r="B284" s="15">
        <v>743035.0</v>
      </c>
      <c r="C284" s="15" t="s">
        <v>2744</v>
      </c>
      <c r="D284" s="15">
        <v>60733.0</v>
      </c>
      <c r="E284" s="15" t="s">
        <v>2014</v>
      </c>
      <c r="F284" s="15" t="s">
        <v>1578</v>
      </c>
      <c r="G284" s="7">
        <v>1.383</v>
      </c>
      <c r="H284" s="15" t="s">
        <v>2580</v>
      </c>
      <c r="I284" s="15" t="s">
        <v>1628</v>
      </c>
      <c r="J284" s="15" t="s">
        <v>2745</v>
      </c>
      <c r="K284" s="15">
        <v>3.0</v>
      </c>
      <c r="L284" s="15">
        <v>3.0</v>
      </c>
      <c r="M284" s="40">
        <v>40513.0</v>
      </c>
      <c r="N284" s="40">
        <v>41110.0</v>
      </c>
      <c r="O284" s="15" t="s">
        <v>1554</v>
      </c>
      <c r="Q284" s="7"/>
    </row>
    <row r="285">
      <c r="A285" s="39" t="s">
        <v>2746</v>
      </c>
      <c r="B285" s="15">
        <v>912034.0</v>
      </c>
      <c r="C285" s="15" t="s">
        <v>2747</v>
      </c>
      <c r="D285" s="15">
        <v>60747.0</v>
      </c>
      <c r="E285" s="15" t="s">
        <v>1808</v>
      </c>
      <c r="F285" s="15" t="s">
        <v>1809</v>
      </c>
      <c r="G285" s="7">
        <v>2.764</v>
      </c>
      <c r="H285" s="15" t="s">
        <v>1943</v>
      </c>
      <c r="I285" s="15" t="s">
        <v>1628</v>
      </c>
      <c r="J285" s="15" t="s">
        <v>2748</v>
      </c>
      <c r="K285" s="15">
        <v>6.0</v>
      </c>
      <c r="L285" s="15">
        <v>6.0</v>
      </c>
      <c r="M285" s="40">
        <v>40513.0</v>
      </c>
      <c r="N285" s="40">
        <v>40515.0</v>
      </c>
      <c r="O285" s="15" t="s">
        <v>1554</v>
      </c>
      <c r="Q285" s="7"/>
    </row>
    <row r="286">
      <c r="A286" s="39" t="s">
        <v>2749</v>
      </c>
      <c r="B286" s="15">
        <v>912035.0</v>
      </c>
      <c r="C286" s="15" t="s">
        <v>2750</v>
      </c>
      <c r="D286" s="15">
        <v>60749.0</v>
      </c>
      <c r="E286" s="15" t="s">
        <v>2014</v>
      </c>
      <c r="F286" s="15" t="s">
        <v>2018</v>
      </c>
      <c r="G286" s="7">
        <v>1.259</v>
      </c>
      <c r="H286" s="15" t="s">
        <v>2752</v>
      </c>
      <c r="I286" s="15" t="s">
        <v>1628</v>
      </c>
      <c r="J286" s="15" t="s">
        <v>2753</v>
      </c>
      <c r="K286" s="15">
        <v>1.0</v>
      </c>
      <c r="L286" s="15">
        <v>1.0</v>
      </c>
      <c r="M286" s="40">
        <v>40513.0</v>
      </c>
      <c r="N286" s="40">
        <v>41110.0</v>
      </c>
      <c r="O286" s="15" t="s">
        <v>1554</v>
      </c>
      <c r="Q286" s="7"/>
    </row>
    <row r="287">
      <c r="A287" s="39" t="s">
        <v>2754</v>
      </c>
      <c r="B287" s="15">
        <v>743040.0</v>
      </c>
      <c r="C287" s="15" t="s">
        <v>2755</v>
      </c>
      <c r="D287" s="15">
        <v>60751.0</v>
      </c>
      <c r="E287" s="15" t="s">
        <v>2014</v>
      </c>
      <c r="F287" s="15" t="s">
        <v>1578</v>
      </c>
      <c r="G287" s="7">
        <v>1.392</v>
      </c>
      <c r="H287" s="15" t="s">
        <v>1902</v>
      </c>
      <c r="I287" s="15" t="s">
        <v>1628</v>
      </c>
      <c r="J287" s="15" t="s">
        <v>2756</v>
      </c>
      <c r="K287" s="15">
        <v>1.0</v>
      </c>
      <c r="L287" s="15">
        <v>1.0</v>
      </c>
      <c r="M287" s="40">
        <v>40513.0</v>
      </c>
      <c r="N287" s="40">
        <v>41110.0</v>
      </c>
      <c r="O287" s="15" t="s">
        <v>1554</v>
      </c>
      <c r="Q287" s="7"/>
    </row>
    <row r="288">
      <c r="A288" s="39" t="s">
        <v>2757</v>
      </c>
      <c r="B288" s="15">
        <v>915486.0</v>
      </c>
      <c r="C288" s="15" t="s">
        <v>2758</v>
      </c>
      <c r="D288" s="15">
        <v>60753.0</v>
      </c>
      <c r="E288" s="15" t="s">
        <v>1659</v>
      </c>
      <c r="F288" s="15" t="s">
        <v>1578</v>
      </c>
      <c r="G288" s="7">
        <v>5.639</v>
      </c>
      <c r="H288" s="15" t="s">
        <v>1792</v>
      </c>
      <c r="I288" s="15" t="s">
        <v>1573</v>
      </c>
      <c r="J288" s="15" t="s">
        <v>2760</v>
      </c>
      <c r="K288" s="15">
        <v>3.0</v>
      </c>
      <c r="L288" s="15">
        <v>3.0</v>
      </c>
      <c r="M288" s="40">
        <v>40514.0</v>
      </c>
      <c r="N288" s="40">
        <v>41648.0</v>
      </c>
      <c r="O288" s="15" t="s">
        <v>1554</v>
      </c>
      <c r="Q288" s="7"/>
    </row>
    <row r="289">
      <c r="A289" s="39" t="s">
        <v>2761</v>
      </c>
      <c r="B289" s="15">
        <v>880159.0</v>
      </c>
      <c r="C289" s="15" t="s">
        <v>2762</v>
      </c>
      <c r="D289" s="15">
        <v>61009.0</v>
      </c>
      <c r="E289" s="15" t="s">
        <v>1557</v>
      </c>
      <c r="F289" s="15" t="s">
        <v>2763</v>
      </c>
      <c r="G289" s="7">
        <v>198.519</v>
      </c>
      <c r="H289" s="15" t="s">
        <v>2580</v>
      </c>
      <c r="I289" s="15" t="s">
        <v>1573</v>
      </c>
      <c r="J289" s="15" t="s">
        <v>2764</v>
      </c>
      <c r="K289" s="15">
        <v>203.0</v>
      </c>
      <c r="L289" s="15">
        <v>203.0</v>
      </c>
      <c r="M289" s="41">
        <v>40511.0</v>
      </c>
      <c r="N289" s="40">
        <v>40521.0</v>
      </c>
      <c r="O289" s="15" t="s">
        <v>1554</v>
      </c>
      <c r="Q289" s="7"/>
    </row>
    <row r="290">
      <c r="A290" s="39" t="s">
        <v>2765</v>
      </c>
      <c r="B290" s="15">
        <v>880162.0</v>
      </c>
      <c r="C290" s="15" t="s">
        <v>2766</v>
      </c>
      <c r="D290" s="15">
        <v>61011.0</v>
      </c>
      <c r="E290" s="15" t="s">
        <v>1557</v>
      </c>
      <c r="F290" s="15" t="s">
        <v>2763</v>
      </c>
      <c r="G290" s="7">
        <v>194.022</v>
      </c>
      <c r="H290" s="15" t="s">
        <v>1559</v>
      </c>
      <c r="I290" s="15" t="s">
        <v>1573</v>
      </c>
      <c r="J290" s="15" t="s">
        <v>2767</v>
      </c>
      <c r="K290" s="15">
        <v>255.0</v>
      </c>
      <c r="L290" s="15">
        <v>250.0</v>
      </c>
      <c r="M290" s="41">
        <v>40511.0</v>
      </c>
      <c r="N290" s="41">
        <v>40523.0</v>
      </c>
      <c r="O290" s="15" t="s">
        <v>1554</v>
      </c>
      <c r="Q290" s="7"/>
    </row>
    <row r="291">
      <c r="A291" s="39" t="s">
        <v>2769</v>
      </c>
      <c r="B291" s="15">
        <v>880161.0</v>
      </c>
      <c r="C291" s="15" t="s">
        <v>2770</v>
      </c>
      <c r="D291" s="15">
        <v>61013.0</v>
      </c>
      <c r="E291" s="15" t="s">
        <v>1557</v>
      </c>
      <c r="F291" s="15" t="s">
        <v>2763</v>
      </c>
      <c r="G291" s="7">
        <v>184.095</v>
      </c>
      <c r="H291" s="15" t="s">
        <v>1559</v>
      </c>
      <c r="I291" s="15" t="s">
        <v>1573</v>
      </c>
      <c r="J291" s="15" t="s">
        <v>2771</v>
      </c>
      <c r="K291" s="15">
        <v>244.0</v>
      </c>
      <c r="L291" s="15">
        <v>244.0</v>
      </c>
      <c r="M291" s="41">
        <v>40511.0</v>
      </c>
      <c r="N291" s="40">
        <v>40521.0</v>
      </c>
      <c r="O291" s="15" t="s">
        <v>1554</v>
      </c>
      <c r="Q291" s="7"/>
    </row>
    <row r="292">
      <c r="A292" s="39" t="s">
        <v>2772</v>
      </c>
      <c r="B292" s="15">
        <v>696472.0</v>
      </c>
      <c r="C292" s="15" t="s">
        <v>2773</v>
      </c>
      <c r="D292" s="15">
        <v>61087.0</v>
      </c>
      <c r="E292" s="15" t="s">
        <v>1557</v>
      </c>
      <c r="F292" s="15" t="s">
        <v>2763</v>
      </c>
      <c r="G292" s="7">
        <v>184.409</v>
      </c>
      <c r="H292" s="15" t="s">
        <v>2118</v>
      </c>
      <c r="I292" s="15" t="s">
        <v>1573</v>
      </c>
      <c r="J292" s="15" t="s">
        <v>2774</v>
      </c>
      <c r="K292" s="15">
        <v>237.0</v>
      </c>
      <c r="L292" s="15">
        <v>237.0</v>
      </c>
      <c r="M292" s="40">
        <v>40517.0</v>
      </c>
      <c r="N292" s="40">
        <v>42577.0</v>
      </c>
      <c r="O292" s="15" t="s">
        <v>1554</v>
      </c>
      <c r="Q292" s="7"/>
    </row>
    <row r="293">
      <c r="A293" s="39" t="s">
        <v>2775</v>
      </c>
      <c r="B293" s="15">
        <v>31732.0</v>
      </c>
      <c r="C293" s="15" t="s">
        <v>2776</v>
      </c>
      <c r="D293" s="15">
        <v>61089.0</v>
      </c>
      <c r="E293" s="15" t="s">
        <v>1548</v>
      </c>
      <c r="F293" s="15" t="s">
        <v>1911</v>
      </c>
      <c r="G293" s="7">
        <v>9.682</v>
      </c>
      <c r="H293" s="15" t="s">
        <v>2777</v>
      </c>
      <c r="I293" s="15" t="s">
        <v>1628</v>
      </c>
      <c r="J293" s="15" t="s">
        <v>2778</v>
      </c>
      <c r="K293" s="15">
        <v>1.0</v>
      </c>
      <c r="L293" s="15">
        <v>1.0</v>
      </c>
      <c r="M293" s="40">
        <v>40516.0</v>
      </c>
      <c r="N293" s="40">
        <v>41310.0</v>
      </c>
      <c r="O293" s="15" t="s">
        <v>1554</v>
      </c>
      <c r="Q293" s="7"/>
    </row>
    <row r="294">
      <c r="A294" s="39" t="s">
        <v>2780</v>
      </c>
      <c r="B294" s="15">
        <v>946046.0</v>
      </c>
      <c r="C294" s="15" t="s">
        <v>2781</v>
      </c>
      <c r="D294" s="15">
        <v>61097.0</v>
      </c>
      <c r="E294" s="15" t="s">
        <v>1548</v>
      </c>
      <c r="F294" s="15" t="s">
        <v>1911</v>
      </c>
      <c r="G294" s="7">
        <v>43290.0</v>
      </c>
      <c r="H294" s="15" t="s">
        <v>1607</v>
      </c>
      <c r="I294" s="15" t="s">
        <v>1628</v>
      </c>
      <c r="J294" s="15" t="s">
        <v>2782</v>
      </c>
      <c r="K294" s="15">
        <v>2.0</v>
      </c>
      <c r="L294" s="15">
        <v>2.0</v>
      </c>
      <c r="M294" s="40">
        <v>40519.0</v>
      </c>
      <c r="N294" s="40">
        <v>42045.0</v>
      </c>
      <c r="O294" s="15" t="s">
        <v>1554</v>
      </c>
      <c r="Q294" s="7"/>
    </row>
    <row r="295">
      <c r="A295" s="39" t="s">
        <v>2783</v>
      </c>
      <c r="B295" s="15">
        <v>700939.0</v>
      </c>
      <c r="C295" s="15" t="s">
        <v>2784</v>
      </c>
      <c r="D295" s="15">
        <v>61099.0</v>
      </c>
      <c r="E295" s="15" t="s">
        <v>1557</v>
      </c>
      <c r="F295" s="15" t="s">
        <v>1767</v>
      </c>
      <c r="G295" s="7">
        <v>169.285</v>
      </c>
      <c r="H295" s="15" t="s">
        <v>2640</v>
      </c>
      <c r="I295" s="15" t="s">
        <v>1586</v>
      </c>
      <c r="J295" s="15" t="s">
        <v>2785</v>
      </c>
      <c r="K295" s="15">
        <v>294.0</v>
      </c>
      <c r="L295" s="15">
        <v>293.0</v>
      </c>
      <c r="M295" s="40">
        <v>40519.0</v>
      </c>
      <c r="N295" s="40">
        <v>42081.0</v>
      </c>
      <c r="O295" s="15" t="s">
        <v>1554</v>
      </c>
      <c r="Q295" s="7"/>
    </row>
    <row r="296">
      <c r="A296" s="39" t="s">
        <v>2786</v>
      </c>
      <c r="B296" s="15">
        <v>932662.0</v>
      </c>
      <c r="C296" s="15" t="s">
        <v>2787</v>
      </c>
      <c r="D296" s="15">
        <v>61121.0</v>
      </c>
      <c r="E296" s="15" t="s">
        <v>1548</v>
      </c>
      <c r="F296" s="15" t="s">
        <v>2788</v>
      </c>
      <c r="G296" s="7">
        <v>10.436</v>
      </c>
      <c r="H296" s="15" t="s">
        <v>2223</v>
      </c>
      <c r="I296" s="15" t="s">
        <v>1560</v>
      </c>
      <c r="J296" s="15" t="s">
        <v>2789</v>
      </c>
      <c r="K296" s="15">
        <v>2.0</v>
      </c>
      <c r="L296" s="15">
        <v>2.0</v>
      </c>
      <c r="M296" s="41">
        <v>40524.0</v>
      </c>
      <c r="N296" s="40">
        <v>42045.0</v>
      </c>
      <c r="O296" s="15" t="s">
        <v>1554</v>
      </c>
      <c r="Q296" s="7"/>
    </row>
    <row r="297">
      <c r="A297" s="39" t="s">
        <v>2790</v>
      </c>
      <c r="B297" s="15">
        <v>929769.0</v>
      </c>
      <c r="C297" s="15" t="s">
        <v>2792</v>
      </c>
      <c r="D297" s="15">
        <v>61135.0</v>
      </c>
      <c r="E297" s="15" t="s">
        <v>1808</v>
      </c>
      <c r="F297" s="15" t="s">
        <v>1809</v>
      </c>
      <c r="G297" s="7">
        <v>5.199</v>
      </c>
      <c r="H297" s="15" t="s">
        <v>2793</v>
      </c>
      <c r="I297" s="15" t="s">
        <v>1628</v>
      </c>
      <c r="J297" s="15" t="s">
        <v>2794</v>
      </c>
      <c r="K297" s="15">
        <v>5.0</v>
      </c>
      <c r="L297" s="15">
        <v>5.0</v>
      </c>
      <c r="M297" s="41">
        <v>40525.0</v>
      </c>
      <c r="N297" s="41">
        <v>42297.0</v>
      </c>
      <c r="O297" s="15" t="s">
        <v>1554</v>
      </c>
      <c r="Q297" s="7"/>
    </row>
    <row r="298">
      <c r="A298" s="39" t="s">
        <v>2795</v>
      </c>
      <c r="B298" s="15">
        <v>75387.0</v>
      </c>
      <c r="C298" s="15" t="s">
        <v>2796</v>
      </c>
      <c r="D298" s="15">
        <v>61427.0</v>
      </c>
      <c r="E298" s="15" t="s">
        <v>1548</v>
      </c>
      <c r="F298" s="15" t="s">
        <v>1786</v>
      </c>
      <c r="G298" s="7">
        <v>9.311</v>
      </c>
      <c r="H298" s="15" t="s">
        <v>1859</v>
      </c>
      <c r="I298" s="15" t="s">
        <v>1628</v>
      </c>
      <c r="J298" s="15" t="s">
        <v>2797</v>
      </c>
      <c r="K298" s="15">
        <v>5.0</v>
      </c>
      <c r="L298" s="15">
        <v>5.0</v>
      </c>
      <c r="M298" s="41">
        <v>40537.0</v>
      </c>
      <c r="N298" s="40">
        <v>40581.0</v>
      </c>
      <c r="O298" s="15" t="s">
        <v>1554</v>
      </c>
      <c r="Q298" s="7"/>
    </row>
    <row r="299">
      <c r="A299" s="39" t="s">
        <v>2798</v>
      </c>
      <c r="B299" s="15">
        <v>936005.0</v>
      </c>
      <c r="C299" s="15" t="s">
        <v>2799</v>
      </c>
      <c r="D299" s="15">
        <v>61437.0</v>
      </c>
      <c r="E299" s="15" t="s">
        <v>1808</v>
      </c>
      <c r="F299" s="15" t="s">
        <v>1809</v>
      </c>
      <c r="G299" s="7">
        <v>2.797</v>
      </c>
      <c r="H299" s="15" t="s">
        <v>1772</v>
      </c>
      <c r="I299" s="15" t="s">
        <v>1628</v>
      </c>
      <c r="J299" s="15" t="s">
        <v>2801</v>
      </c>
      <c r="K299" s="15">
        <v>4.0</v>
      </c>
      <c r="L299" s="15">
        <v>4.0</v>
      </c>
      <c r="M299" s="41">
        <v>40537.0</v>
      </c>
      <c r="N299" s="40">
        <v>40605.0</v>
      </c>
      <c r="O299" s="15" t="s">
        <v>1554</v>
      </c>
      <c r="Q299" s="7"/>
    </row>
    <row r="300">
      <c r="A300" s="39" t="s">
        <v>2802</v>
      </c>
      <c r="B300" s="15">
        <v>939923.0</v>
      </c>
      <c r="C300" s="15" t="s">
        <v>2803</v>
      </c>
      <c r="D300" s="15">
        <v>61451.0</v>
      </c>
      <c r="E300" s="15" t="s">
        <v>1638</v>
      </c>
      <c r="F300" s="15" t="s">
        <v>1639</v>
      </c>
      <c r="G300" s="7">
        <v>5.196</v>
      </c>
      <c r="H300" s="15">
        <v>61.0</v>
      </c>
      <c r="I300" s="15" t="s">
        <v>1552</v>
      </c>
      <c r="J300" s="15" t="s">
        <v>2804</v>
      </c>
      <c r="K300" s="15">
        <v>2.0</v>
      </c>
      <c r="L300" s="15">
        <v>2.0</v>
      </c>
      <c r="M300" s="41">
        <v>40535.0</v>
      </c>
      <c r="N300" s="41">
        <v>40842.0</v>
      </c>
      <c r="O300" s="15" t="s">
        <v>1554</v>
      </c>
      <c r="Q300" s="7"/>
    </row>
    <row r="301">
      <c r="A301" s="39" t="s">
        <v>2805</v>
      </c>
      <c r="B301" s="15">
        <v>908028.0</v>
      </c>
      <c r="C301" s="15" t="s">
        <v>2806</v>
      </c>
      <c r="D301" s="15">
        <v>61555.0</v>
      </c>
      <c r="E301" s="15" t="s">
        <v>1808</v>
      </c>
      <c r="F301" s="15" t="s">
        <v>1809</v>
      </c>
      <c r="G301" s="7">
        <v>2.739</v>
      </c>
      <c r="H301" s="15" t="s">
        <v>2552</v>
      </c>
      <c r="I301" s="15" t="s">
        <v>1628</v>
      </c>
      <c r="J301" s="15" t="s">
        <v>2807</v>
      </c>
      <c r="K301" s="15">
        <v>7.0</v>
      </c>
      <c r="L301" s="15">
        <v>7.0</v>
      </c>
      <c r="M301" s="40">
        <v>40544.0</v>
      </c>
      <c r="N301" s="40">
        <v>41047.0</v>
      </c>
      <c r="O301" s="15" t="s">
        <v>1554</v>
      </c>
      <c r="Q301" s="7"/>
    </row>
    <row r="302">
      <c r="A302" s="39" t="s">
        <v>2809</v>
      </c>
      <c r="B302" s="15">
        <v>908010.0</v>
      </c>
      <c r="C302" s="15" t="s">
        <v>2810</v>
      </c>
      <c r="D302" s="15">
        <v>61557.0</v>
      </c>
      <c r="E302" s="15" t="s">
        <v>2014</v>
      </c>
      <c r="F302" s="15" t="s">
        <v>2018</v>
      </c>
      <c r="G302" s="7">
        <v>1.385</v>
      </c>
      <c r="H302" s="15">
        <v>37.0</v>
      </c>
      <c r="I302" s="15" t="s">
        <v>1628</v>
      </c>
      <c r="J302" s="15" t="s">
        <v>2811</v>
      </c>
      <c r="K302" s="15">
        <v>1.0</v>
      </c>
      <c r="L302" s="15">
        <v>1.0</v>
      </c>
      <c r="M302" s="40">
        <v>40544.0</v>
      </c>
      <c r="N302" s="40">
        <v>41047.0</v>
      </c>
      <c r="O302" s="15" t="s">
        <v>1554</v>
      </c>
      <c r="Q302" s="7"/>
    </row>
    <row r="303">
      <c r="A303" s="39" t="s">
        <v>2812</v>
      </c>
      <c r="B303" s="15">
        <v>908124.0</v>
      </c>
      <c r="C303" s="15" t="s">
        <v>2813</v>
      </c>
      <c r="D303" s="15">
        <v>61559.0</v>
      </c>
      <c r="E303" s="15" t="s">
        <v>1808</v>
      </c>
      <c r="F303" s="15" t="s">
        <v>1809</v>
      </c>
      <c r="G303" s="7">
        <v>2.723</v>
      </c>
      <c r="H303" s="15" t="s">
        <v>1983</v>
      </c>
      <c r="I303" s="15" t="s">
        <v>1628</v>
      </c>
      <c r="J303" s="15" t="s">
        <v>2814</v>
      </c>
      <c r="K303" s="15">
        <v>6.0</v>
      </c>
      <c r="L303" s="15">
        <v>6.0</v>
      </c>
      <c r="M303" s="40">
        <v>40544.0</v>
      </c>
      <c r="N303" s="40">
        <v>41047.0</v>
      </c>
      <c r="O303" s="15" t="s">
        <v>1554</v>
      </c>
      <c r="Q303" s="7"/>
    </row>
    <row r="304">
      <c r="A304" s="39" t="s">
        <v>2815</v>
      </c>
      <c r="B304" s="15">
        <v>908127.0</v>
      </c>
      <c r="C304" s="15" t="s">
        <v>2816</v>
      </c>
      <c r="D304" s="15">
        <v>61775.0</v>
      </c>
      <c r="E304" s="15" t="s">
        <v>1808</v>
      </c>
      <c r="F304" s="15" t="s">
        <v>1809</v>
      </c>
      <c r="G304" s="7">
        <v>2.724</v>
      </c>
      <c r="H304" s="15" t="s">
        <v>1983</v>
      </c>
      <c r="I304" s="15" t="s">
        <v>1628</v>
      </c>
      <c r="J304" s="15" t="s">
        <v>2817</v>
      </c>
      <c r="K304" s="15">
        <v>6.0</v>
      </c>
      <c r="L304" s="15">
        <v>6.0</v>
      </c>
      <c r="M304" s="40">
        <v>40544.0</v>
      </c>
      <c r="N304" s="40">
        <v>41047.0</v>
      </c>
      <c r="O304" s="15" t="s">
        <v>1554</v>
      </c>
      <c r="Q304" s="7"/>
    </row>
    <row r="305">
      <c r="A305" s="39" t="s">
        <v>2818</v>
      </c>
      <c r="B305" s="15">
        <v>908072.0</v>
      </c>
      <c r="C305" s="15" t="s">
        <v>2819</v>
      </c>
      <c r="D305" s="15">
        <v>61777.0</v>
      </c>
      <c r="E305" s="15" t="s">
        <v>2014</v>
      </c>
      <c r="F305" s="15" t="s">
        <v>2018</v>
      </c>
      <c r="G305" s="7">
        <v>1.373</v>
      </c>
      <c r="H305" s="15" t="s">
        <v>2820</v>
      </c>
      <c r="I305" s="15" t="s">
        <v>1628</v>
      </c>
      <c r="J305" s="15" t="s">
        <v>2821</v>
      </c>
      <c r="K305" s="15">
        <v>1.0</v>
      </c>
      <c r="L305" s="15">
        <v>1.0</v>
      </c>
      <c r="M305" s="40">
        <v>40544.0</v>
      </c>
      <c r="N305" s="40">
        <v>41047.0</v>
      </c>
      <c r="O305" s="15" t="s">
        <v>1554</v>
      </c>
      <c r="Q305" s="7"/>
    </row>
    <row r="306">
      <c r="A306" s="39" t="s">
        <v>2822</v>
      </c>
      <c r="B306" s="15">
        <v>908277.0</v>
      </c>
      <c r="C306" s="15" t="s">
        <v>2823</v>
      </c>
      <c r="D306" s="15">
        <v>61781.0</v>
      </c>
      <c r="E306" s="15" t="s">
        <v>2014</v>
      </c>
      <c r="F306" s="15" t="s">
        <v>2018</v>
      </c>
      <c r="G306" s="7">
        <v>1.354</v>
      </c>
      <c r="H306" s="15" t="s">
        <v>2824</v>
      </c>
      <c r="I306" s="15" t="s">
        <v>1628</v>
      </c>
      <c r="J306" s="15" t="s">
        <v>2825</v>
      </c>
      <c r="K306" s="15">
        <v>1.0</v>
      </c>
      <c r="L306" s="15">
        <v>1.0</v>
      </c>
      <c r="M306" s="40">
        <v>40544.0</v>
      </c>
      <c r="N306" s="40">
        <v>41047.0</v>
      </c>
      <c r="O306" s="15" t="s">
        <v>1554</v>
      </c>
      <c r="Q306" s="7"/>
    </row>
    <row r="307">
      <c r="A307" s="39" t="s">
        <v>2826</v>
      </c>
      <c r="B307" s="15">
        <v>573615.0</v>
      </c>
      <c r="C307" s="15" t="s">
        <v>2827</v>
      </c>
      <c r="D307" s="15">
        <v>61853.0</v>
      </c>
      <c r="E307" s="15" t="s">
        <v>1548</v>
      </c>
      <c r="F307" s="15" t="s">
        <v>1911</v>
      </c>
      <c r="G307" s="7">
        <v>10.113</v>
      </c>
      <c r="H307" s="15" t="s">
        <v>2320</v>
      </c>
      <c r="I307" s="15" t="s">
        <v>1628</v>
      </c>
      <c r="J307" s="15" t="s">
        <v>2828</v>
      </c>
      <c r="K307" s="15">
        <v>2.0</v>
      </c>
      <c r="L307" s="15">
        <v>2.0</v>
      </c>
      <c r="M307" s="40">
        <v>40086.0</v>
      </c>
      <c r="N307" s="40">
        <v>42045.0</v>
      </c>
      <c r="O307" s="15" t="s">
        <v>1554</v>
      </c>
      <c r="Q307" s="7"/>
    </row>
    <row r="308">
      <c r="A308" s="39" t="s">
        <v>2829</v>
      </c>
      <c r="B308" s="15">
        <v>931972.0</v>
      </c>
      <c r="C308" s="15" t="s">
        <v>2830</v>
      </c>
      <c r="D308" s="15">
        <v>61855.0</v>
      </c>
      <c r="E308" s="15" t="s">
        <v>1557</v>
      </c>
      <c r="F308" s="15" t="s">
        <v>2628</v>
      </c>
      <c r="G308" s="7">
        <v>35.203</v>
      </c>
      <c r="H308" s="15" t="s">
        <v>2831</v>
      </c>
      <c r="I308" s="15" t="s">
        <v>1686</v>
      </c>
      <c r="J308" s="15" t="s">
        <v>2832</v>
      </c>
      <c r="K308" s="15">
        <v>27.0</v>
      </c>
      <c r="L308" s="15">
        <v>27.0</v>
      </c>
      <c r="M308" s="40">
        <v>40544.0</v>
      </c>
      <c r="N308" s="40">
        <v>40798.0</v>
      </c>
      <c r="O308" s="15" t="s">
        <v>1554</v>
      </c>
      <c r="Q308" s="7"/>
    </row>
    <row r="309">
      <c r="A309" s="39" t="s">
        <v>2834</v>
      </c>
      <c r="B309" s="15">
        <v>714583.0</v>
      </c>
      <c r="C309" s="15" t="s">
        <v>2835</v>
      </c>
      <c r="D309" s="15">
        <v>61857.0</v>
      </c>
      <c r="E309" s="15" t="s">
        <v>1557</v>
      </c>
      <c r="F309" s="15" t="s">
        <v>1611</v>
      </c>
      <c r="G309" s="7">
        <v>40.986</v>
      </c>
      <c r="H309" s="15" t="s">
        <v>2836</v>
      </c>
      <c r="I309" s="15" t="s">
        <v>1586</v>
      </c>
      <c r="J309" s="15" t="s">
        <v>2837</v>
      </c>
      <c r="K309" s="15">
        <v>63.0</v>
      </c>
      <c r="L309" s="15">
        <v>63.0</v>
      </c>
      <c r="M309" s="40">
        <v>40544.0</v>
      </c>
      <c r="N309" s="40">
        <v>40592.0</v>
      </c>
      <c r="O309" s="15" t="s">
        <v>1554</v>
      </c>
      <c r="Q309" s="7"/>
    </row>
    <row r="310">
      <c r="A310" s="39" t="s">
        <v>2838</v>
      </c>
      <c r="B310" s="15">
        <v>938131.0</v>
      </c>
      <c r="C310" s="15" t="s">
        <v>2839</v>
      </c>
      <c r="D310" s="15">
        <v>61859.0</v>
      </c>
      <c r="E310" s="15" t="s">
        <v>1557</v>
      </c>
      <c r="F310" s="15" t="s">
        <v>1833</v>
      </c>
      <c r="G310" s="7">
        <v>59.23</v>
      </c>
      <c r="H310" s="15" t="s">
        <v>2840</v>
      </c>
      <c r="I310" s="15" t="s">
        <v>1586</v>
      </c>
      <c r="J310" s="15" t="s">
        <v>2841</v>
      </c>
      <c r="K310" s="15">
        <v>108.0</v>
      </c>
      <c r="L310" s="15">
        <v>108.0</v>
      </c>
      <c r="M310" s="41">
        <v>40539.0</v>
      </c>
      <c r="N310" s="40">
        <v>41029.0</v>
      </c>
      <c r="O310" s="15" t="s">
        <v>1554</v>
      </c>
      <c r="Q310" s="7"/>
    </row>
    <row r="311">
      <c r="A311" s="39" t="s">
        <v>2842</v>
      </c>
      <c r="B311" s="15">
        <v>935473.0</v>
      </c>
      <c r="C311" s="15" t="s">
        <v>2843</v>
      </c>
      <c r="D311" s="15">
        <v>61861.0</v>
      </c>
      <c r="E311" s="15" t="s">
        <v>1808</v>
      </c>
      <c r="F311" s="15" t="s">
        <v>1809</v>
      </c>
      <c r="G311" s="7">
        <v>5.406</v>
      </c>
      <c r="H311" s="15" t="s">
        <v>2844</v>
      </c>
      <c r="I311" s="15" t="s">
        <v>1628</v>
      </c>
      <c r="J311" s="15" t="s">
        <v>2846</v>
      </c>
      <c r="K311" s="15">
        <v>9.0</v>
      </c>
      <c r="L311" s="15">
        <v>8.0</v>
      </c>
      <c r="M311" s="41">
        <v>40538.0</v>
      </c>
      <c r="N311" s="41">
        <v>42297.0</v>
      </c>
      <c r="O311" s="15" t="s">
        <v>1554</v>
      </c>
      <c r="Q311" s="7"/>
    </row>
    <row r="312">
      <c r="A312" s="39" t="s">
        <v>2847</v>
      </c>
      <c r="B312" s="15">
        <v>941765.0</v>
      </c>
      <c r="C312" s="15" t="s">
        <v>2848</v>
      </c>
      <c r="D312" s="15">
        <v>61903.0</v>
      </c>
      <c r="E312" s="15" t="s">
        <v>1638</v>
      </c>
      <c r="F312" s="15" t="s">
        <v>2849</v>
      </c>
      <c r="G312" s="7">
        <v>9.76</v>
      </c>
      <c r="H312" s="15" t="s">
        <v>2524</v>
      </c>
      <c r="I312" s="15" t="s">
        <v>1552</v>
      </c>
      <c r="J312" s="15" t="s">
        <v>2850</v>
      </c>
      <c r="K312" s="15">
        <v>1.0</v>
      </c>
      <c r="L312" s="15">
        <v>1.0</v>
      </c>
      <c r="M312" s="40">
        <v>40552.0</v>
      </c>
      <c r="N312" s="40">
        <v>40605.0</v>
      </c>
      <c r="O312" s="15" t="s">
        <v>1554</v>
      </c>
      <c r="Q312" s="7"/>
    </row>
    <row r="313">
      <c r="A313" s="39" t="s">
        <v>2851</v>
      </c>
      <c r="B313" s="15">
        <v>168135.0</v>
      </c>
      <c r="C313" s="15" t="s">
        <v>2852</v>
      </c>
      <c r="D313" s="15">
        <v>61905.0</v>
      </c>
      <c r="E313" s="15" t="s">
        <v>1548</v>
      </c>
      <c r="F313" s="15" t="s">
        <v>1911</v>
      </c>
      <c r="G313" s="7">
        <v>9.917</v>
      </c>
      <c r="H313" s="15" t="s">
        <v>2019</v>
      </c>
      <c r="I313" s="15" t="s">
        <v>1628</v>
      </c>
      <c r="J313" s="15" t="s">
        <v>2853</v>
      </c>
      <c r="K313" s="15">
        <v>2.0</v>
      </c>
      <c r="L313" s="15">
        <v>2.0</v>
      </c>
      <c r="M313" s="40">
        <v>40555.0</v>
      </c>
      <c r="N313" s="40">
        <v>42045.0</v>
      </c>
      <c r="O313" s="15" t="s">
        <v>1554</v>
      </c>
      <c r="Q313" s="7"/>
    </row>
    <row r="314">
      <c r="A314" s="39" t="s">
        <v>2855</v>
      </c>
      <c r="B314" s="15">
        <v>743026.0</v>
      </c>
      <c r="C314" s="15" t="s">
        <v>2856</v>
      </c>
      <c r="D314" s="15">
        <v>61907.0</v>
      </c>
      <c r="E314" s="15" t="s">
        <v>2014</v>
      </c>
      <c r="F314" s="15" t="s">
        <v>1578</v>
      </c>
      <c r="G314" s="7">
        <v>1.356</v>
      </c>
      <c r="H314" s="15" t="s">
        <v>2857</v>
      </c>
      <c r="I314" s="15" t="s">
        <v>1628</v>
      </c>
      <c r="J314" s="15" t="s">
        <v>2858</v>
      </c>
      <c r="K314" s="15">
        <v>1.0</v>
      </c>
      <c r="L314" s="15">
        <v>1.0</v>
      </c>
      <c r="M314" s="40">
        <v>40553.0</v>
      </c>
      <c r="N314" s="40">
        <v>42045.0</v>
      </c>
      <c r="O314" s="15" t="s">
        <v>1554</v>
      </c>
      <c r="Q314" s="7"/>
    </row>
    <row r="315">
      <c r="A315" s="39" t="s">
        <v>2859</v>
      </c>
      <c r="B315" s="15">
        <v>741733.0</v>
      </c>
      <c r="C315" s="15" t="s">
        <v>2860</v>
      </c>
      <c r="D315" s="15">
        <v>61909.0</v>
      </c>
      <c r="E315" s="15" t="s">
        <v>2014</v>
      </c>
      <c r="F315" s="15" t="s">
        <v>1578</v>
      </c>
      <c r="G315" s="7">
        <v>1.416</v>
      </c>
      <c r="H315" s="15">
        <v>40.0</v>
      </c>
      <c r="I315" s="15" t="s">
        <v>1628</v>
      </c>
      <c r="J315" s="15" t="s">
        <v>2861</v>
      </c>
      <c r="K315" s="15">
        <v>1.0</v>
      </c>
      <c r="L315" s="15">
        <v>1.0</v>
      </c>
      <c r="M315" s="40">
        <v>40553.0</v>
      </c>
      <c r="N315" s="40">
        <v>42045.0</v>
      </c>
      <c r="O315" s="15" t="s">
        <v>1554</v>
      </c>
      <c r="Q315" s="7"/>
    </row>
    <row r="316">
      <c r="A316" s="39" t="s">
        <v>2862</v>
      </c>
      <c r="B316" s="15">
        <v>942033.0</v>
      </c>
      <c r="C316" s="15" t="s">
        <v>2863</v>
      </c>
      <c r="D316" s="15">
        <v>61947.0</v>
      </c>
      <c r="E316" s="15" t="s">
        <v>1808</v>
      </c>
      <c r="F316" s="15" t="s">
        <v>1998</v>
      </c>
      <c r="G316" s="7">
        <v>1.838</v>
      </c>
      <c r="H316" s="15" t="s">
        <v>2864</v>
      </c>
      <c r="I316" s="15" t="s">
        <v>1686</v>
      </c>
      <c r="J316" s="15" t="s">
        <v>2865</v>
      </c>
      <c r="K316" s="15">
        <v>2.0</v>
      </c>
      <c r="L316" s="15">
        <v>2.0</v>
      </c>
      <c r="M316" s="40">
        <v>40553.0</v>
      </c>
      <c r="N316" s="40">
        <v>40624.0</v>
      </c>
      <c r="O316" s="15" t="s">
        <v>1554</v>
      </c>
      <c r="Q316" s="7"/>
    </row>
    <row r="317">
      <c r="A317" s="39" t="s">
        <v>2867</v>
      </c>
      <c r="B317" s="15">
        <v>942034.0</v>
      </c>
      <c r="C317" s="15" t="s">
        <v>2868</v>
      </c>
      <c r="D317" s="15">
        <v>61949.0</v>
      </c>
      <c r="E317" s="15" t="s">
        <v>1808</v>
      </c>
      <c r="F317" s="15" t="s">
        <v>1998</v>
      </c>
      <c r="G317" s="7">
        <v>1.751</v>
      </c>
      <c r="H317" s="15" t="s">
        <v>2869</v>
      </c>
      <c r="I317" s="15" t="s">
        <v>1686</v>
      </c>
      <c r="J317" s="15" t="s">
        <v>2870</v>
      </c>
      <c r="K317" s="15">
        <v>2.0</v>
      </c>
      <c r="L317" s="15">
        <v>2.0</v>
      </c>
      <c r="M317" s="40">
        <v>40553.0</v>
      </c>
      <c r="N317" s="40">
        <v>40624.0</v>
      </c>
      <c r="O317" s="15" t="s">
        <v>1554</v>
      </c>
      <c r="Q317" s="7"/>
    </row>
    <row r="318">
      <c r="A318" s="39" t="s">
        <v>2871</v>
      </c>
      <c r="B318" s="15">
        <v>942035.0</v>
      </c>
      <c r="C318" s="15" t="s">
        <v>2872</v>
      </c>
      <c r="D318" s="15">
        <v>61951.0</v>
      </c>
      <c r="E318" s="15" t="s">
        <v>1808</v>
      </c>
      <c r="F318" s="15" t="s">
        <v>1998</v>
      </c>
      <c r="G318" s="7">
        <v>1.703</v>
      </c>
      <c r="H318" s="15" t="s">
        <v>2777</v>
      </c>
      <c r="I318" s="15" t="s">
        <v>1686</v>
      </c>
      <c r="J318" s="15" t="s">
        <v>2873</v>
      </c>
      <c r="K318" s="15">
        <v>2.0</v>
      </c>
      <c r="L318" s="15">
        <v>2.0</v>
      </c>
      <c r="M318" s="40">
        <v>40553.0</v>
      </c>
      <c r="N318" s="40">
        <v>40624.0</v>
      </c>
      <c r="O318" s="15" t="s">
        <v>1554</v>
      </c>
      <c r="Q318" s="7"/>
    </row>
    <row r="319">
      <c r="A319" s="39" t="s">
        <v>2874</v>
      </c>
      <c r="B319" s="15">
        <v>942037.0</v>
      </c>
      <c r="C319" s="15" t="s">
        <v>2875</v>
      </c>
      <c r="D319" s="15">
        <v>61953.0</v>
      </c>
      <c r="E319" s="15" t="s">
        <v>1808</v>
      </c>
      <c r="F319" s="15" t="s">
        <v>1998</v>
      </c>
      <c r="G319" s="7">
        <v>1.76</v>
      </c>
      <c r="H319" s="15" t="s">
        <v>2877</v>
      </c>
      <c r="I319" s="15" t="s">
        <v>1686</v>
      </c>
      <c r="J319" s="15" t="s">
        <v>2878</v>
      </c>
      <c r="K319" s="15">
        <v>2.0</v>
      </c>
      <c r="L319" s="15">
        <v>2.0</v>
      </c>
      <c r="M319" s="40">
        <v>40553.0</v>
      </c>
      <c r="N319" s="40">
        <v>40624.0</v>
      </c>
      <c r="O319" s="15" t="s">
        <v>1554</v>
      </c>
      <c r="Q319" s="7"/>
    </row>
    <row r="320">
      <c r="A320" s="39" t="s">
        <v>2879</v>
      </c>
      <c r="B320" s="15">
        <v>931209.0</v>
      </c>
      <c r="C320" s="15" t="s">
        <v>2880</v>
      </c>
      <c r="D320" s="15">
        <v>62171.0</v>
      </c>
      <c r="E320" s="15" t="s">
        <v>1557</v>
      </c>
      <c r="F320" s="15" t="s">
        <v>1822</v>
      </c>
      <c r="G320" s="7">
        <v>7.259</v>
      </c>
      <c r="H320" s="15">
        <v>36.0</v>
      </c>
      <c r="I320" s="15" t="s">
        <v>1686</v>
      </c>
      <c r="J320" s="15" t="s">
        <v>2881</v>
      </c>
      <c r="K320" s="15">
        <v>7.0</v>
      </c>
      <c r="L320" s="15">
        <v>7.0</v>
      </c>
      <c r="M320" s="41">
        <v>40543.0</v>
      </c>
      <c r="N320" s="40">
        <v>40742.0</v>
      </c>
      <c r="O320" s="15" t="s">
        <v>1554</v>
      </c>
      <c r="Q320" s="7"/>
    </row>
    <row r="321">
      <c r="A321" s="39" t="s">
        <v>2882</v>
      </c>
      <c r="B321" s="15">
        <v>931210.0</v>
      </c>
      <c r="C321" s="15" t="s">
        <v>2883</v>
      </c>
      <c r="D321" s="15">
        <v>62175.0</v>
      </c>
      <c r="E321" s="15" t="s">
        <v>1557</v>
      </c>
      <c r="F321" s="15" t="s">
        <v>1822</v>
      </c>
      <c r="G321" s="7">
        <v>7.219</v>
      </c>
      <c r="H321" s="15" t="s">
        <v>2885</v>
      </c>
      <c r="I321" s="15" t="s">
        <v>1686</v>
      </c>
      <c r="J321" s="15" t="s">
        <v>2886</v>
      </c>
      <c r="K321" s="15">
        <v>7.0</v>
      </c>
      <c r="L321" s="15">
        <v>7.0</v>
      </c>
      <c r="M321" s="41">
        <v>40543.0</v>
      </c>
      <c r="N321" s="40">
        <v>40742.0</v>
      </c>
      <c r="O321" s="15" t="s">
        <v>1554</v>
      </c>
      <c r="Q321" s="7"/>
    </row>
    <row r="322">
      <c r="A322" s="39" t="s">
        <v>2887</v>
      </c>
      <c r="B322" s="15">
        <v>909330.0</v>
      </c>
      <c r="C322" s="15" t="s">
        <v>2888</v>
      </c>
      <c r="D322" s="15">
        <v>62177.0</v>
      </c>
      <c r="E322" s="15" t="s">
        <v>1557</v>
      </c>
      <c r="F322" s="15" t="s">
        <v>1822</v>
      </c>
      <c r="G322" s="7">
        <v>7.182</v>
      </c>
      <c r="H322" s="15">
        <v>37.0</v>
      </c>
      <c r="I322" s="15" t="s">
        <v>1686</v>
      </c>
      <c r="J322" s="15" t="s">
        <v>2889</v>
      </c>
      <c r="K322" s="15">
        <v>7.0</v>
      </c>
      <c r="L322" s="15">
        <v>7.0</v>
      </c>
      <c r="M322" s="41">
        <v>40543.0</v>
      </c>
      <c r="N322" s="40">
        <v>40742.0</v>
      </c>
      <c r="O322" s="15" t="s">
        <v>1554</v>
      </c>
      <c r="Q322" s="7"/>
    </row>
    <row r="323">
      <c r="A323" s="39" t="s">
        <v>2891</v>
      </c>
      <c r="B323" s="15">
        <v>909331.0</v>
      </c>
      <c r="C323" s="15" t="s">
        <v>2892</v>
      </c>
      <c r="D323" s="15">
        <v>62179.0</v>
      </c>
      <c r="E323" s="15" t="s">
        <v>1557</v>
      </c>
      <c r="F323" s="15" t="s">
        <v>1822</v>
      </c>
      <c r="G323" s="7">
        <v>7.125</v>
      </c>
      <c r="H323" s="15" t="s">
        <v>2193</v>
      </c>
      <c r="I323" s="15" t="s">
        <v>1686</v>
      </c>
      <c r="J323" s="15" t="s">
        <v>2893</v>
      </c>
      <c r="K323" s="15">
        <v>7.0</v>
      </c>
      <c r="L323" s="15">
        <v>7.0</v>
      </c>
      <c r="M323" s="41">
        <v>40543.0</v>
      </c>
      <c r="N323" s="40">
        <v>42577.0</v>
      </c>
      <c r="O323" s="15" t="s">
        <v>1554</v>
      </c>
      <c r="Q323" s="7"/>
    </row>
    <row r="324">
      <c r="A324" s="39" t="s">
        <v>2894</v>
      </c>
      <c r="B324" s="15">
        <v>909333.0</v>
      </c>
      <c r="C324" s="15" t="s">
        <v>2895</v>
      </c>
      <c r="D324" s="15">
        <v>62181.0</v>
      </c>
      <c r="E324" s="15" t="s">
        <v>1557</v>
      </c>
      <c r="F324" s="15" t="s">
        <v>1822</v>
      </c>
      <c r="G324" s="7">
        <v>7.309</v>
      </c>
      <c r="H324" s="15" t="s">
        <v>2668</v>
      </c>
      <c r="I324" s="15" t="s">
        <v>1686</v>
      </c>
      <c r="J324" s="15" t="s">
        <v>2897</v>
      </c>
      <c r="K324" s="15">
        <v>7.0</v>
      </c>
      <c r="L324" s="15">
        <v>7.0</v>
      </c>
      <c r="M324" s="41">
        <v>40543.0</v>
      </c>
      <c r="N324" s="40">
        <v>40742.0</v>
      </c>
      <c r="O324" s="15" t="s">
        <v>1554</v>
      </c>
      <c r="Q324" s="7"/>
    </row>
    <row r="325">
      <c r="A325" s="39" t="s">
        <v>2898</v>
      </c>
      <c r="B325" s="15">
        <v>943272.0</v>
      </c>
      <c r="C325" s="15" t="s">
        <v>2899</v>
      </c>
      <c r="D325" s="15">
        <v>62211.0</v>
      </c>
      <c r="E325" s="15" t="s">
        <v>1548</v>
      </c>
      <c r="F325" s="15" t="s">
        <v>2900</v>
      </c>
      <c r="G325" s="7">
        <v>3.956</v>
      </c>
      <c r="H325" s="15" t="s">
        <v>2901</v>
      </c>
      <c r="I325" s="15" t="s">
        <v>1628</v>
      </c>
      <c r="J325" s="15" t="s">
        <v>2902</v>
      </c>
      <c r="K325" s="15">
        <v>6.0</v>
      </c>
      <c r="L325" s="15">
        <v>6.0</v>
      </c>
      <c r="M325" s="40">
        <v>40558.0</v>
      </c>
      <c r="N325" s="40">
        <v>40800.0</v>
      </c>
      <c r="O325" s="15" t="s">
        <v>1554</v>
      </c>
      <c r="Q325" s="7"/>
    </row>
    <row r="326">
      <c r="A326" s="39" t="s">
        <v>2903</v>
      </c>
      <c r="B326" s="15">
        <v>940846.0</v>
      </c>
      <c r="C326" s="15" t="s">
        <v>2904</v>
      </c>
      <c r="D326" s="15">
        <v>62213.0</v>
      </c>
      <c r="E326" s="15" t="s">
        <v>1808</v>
      </c>
      <c r="F326" s="15" t="s">
        <v>1809</v>
      </c>
      <c r="G326" s="7">
        <v>2.799</v>
      </c>
      <c r="H326" s="15" t="s">
        <v>2178</v>
      </c>
      <c r="I326" s="15" t="s">
        <v>1628</v>
      </c>
      <c r="J326" s="15" t="s">
        <v>2905</v>
      </c>
      <c r="K326" s="15">
        <v>7.0</v>
      </c>
      <c r="L326" s="15">
        <v>7.0</v>
      </c>
      <c r="M326" s="40">
        <v>40564.0</v>
      </c>
      <c r="N326" s="40">
        <v>40572.0</v>
      </c>
      <c r="O326" s="15" t="s">
        <v>1554</v>
      </c>
      <c r="Q326" s="7"/>
    </row>
    <row r="327">
      <c r="A327" s="39" t="s">
        <v>2907</v>
      </c>
      <c r="B327" s="15">
        <v>190065.0</v>
      </c>
      <c r="C327" s="15" t="s">
        <v>2908</v>
      </c>
      <c r="D327" s="15">
        <v>62241.0</v>
      </c>
      <c r="E327" s="15" t="s">
        <v>1557</v>
      </c>
      <c r="F327" s="15" t="s">
        <v>2628</v>
      </c>
      <c r="G327" s="7">
        <v>44.055</v>
      </c>
      <c r="H327" s="15" t="s">
        <v>1566</v>
      </c>
      <c r="I327" s="15" t="s">
        <v>1686</v>
      </c>
      <c r="J327" s="15" t="s">
        <v>2909</v>
      </c>
      <c r="K327" s="15">
        <v>46.0</v>
      </c>
      <c r="L327" s="15">
        <v>46.0</v>
      </c>
      <c r="M327" s="40">
        <v>40569.0</v>
      </c>
      <c r="N327" s="40">
        <v>40617.0</v>
      </c>
      <c r="O327" s="15" t="s">
        <v>1554</v>
      </c>
      <c r="Q327" s="7"/>
    </row>
    <row r="328">
      <c r="A328" s="39" t="s">
        <v>2910</v>
      </c>
      <c r="B328" s="15">
        <v>430911.0</v>
      </c>
      <c r="C328" s="15" t="s">
        <v>2911</v>
      </c>
      <c r="D328" s="15">
        <v>62263.0</v>
      </c>
      <c r="E328" s="15" t="s">
        <v>1548</v>
      </c>
      <c r="F328" s="15" t="s">
        <v>1948</v>
      </c>
      <c r="G328" s="7">
        <v>4.294</v>
      </c>
      <c r="H328" s="15" t="s">
        <v>2912</v>
      </c>
      <c r="I328" s="15" t="s">
        <v>1560</v>
      </c>
      <c r="J328" s="15" t="s">
        <v>2913</v>
      </c>
      <c r="K328" s="15">
        <v>3.0</v>
      </c>
      <c r="L328" s="15">
        <v>3.0</v>
      </c>
      <c r="M328" s="40">
        <v>39212.0</v>
      </c>
      <c r="N328" s="41">
        <v>42297.0</v>
      </c>
      <c r="O328" s="15" t="s">
        <v>1554</v>
      </c>
      <c r="Q328" s="7"/>
    </row>
    <row r="329">
      <c r="A329" s="39" t="s">
        <v>2914</v>
      </c>
      <c r="B329" s="15">
        <v>932070.0</v>
      </c>
      <c r="C329" s="15" t="s">
        <v>2916</v>
      </c>
      <c r="D329" s="15">
        <v>62475.0</v>
      </c>
      <c r="E329" s="15" t="s">
        <v>1808</v>
      </c>
      <c r="F329" s="15" t="s">
        <v>1809</v>
      </c>
      <c r="G329" s="7">
        <v>5.316</v>
      </c>
      <c r="H329" s="15" t="s">
        <v>2917</v>
      </c>
      <c r="I329" s="15" t="s">
        <v>1628</v>
      </c>
      <c r="J329" s="15" t="s">
        <v>2918</v>
      </c>
      <c r="K329" s="15">
        <v>7.0</v>
      </c>
      <c r="L329" s="15">
        <v>7.0</v>
      </c>
      <c r="M329" s="40">
        <v>40558.0</v>
      </c>
      <c r="N329" s="41">
        <v>42297.0</v>
      </c>
      <c r="O329" s="15" t="s">
        <v>1554</v>
      </c>
      <c r="Q329" s="7"/>
    </row>
    <row r="330">
      <c r="A330" s="39" t="s">
        <v>2919</v>
      </c>
      <c r="B330" s="15">
        <v>932069.0</v>
      </c>
      <c r="C330" s="15" t="s">
        <v>2920</v>
      </c>
      <c r="D330" s="15">
        <v>62477.0</v>
      </c>
      <c r="E330" s="15" t="s">
        <v>1808</v>
      </c>
      <c r="F330" s="15" t="s">
        <v>1809</v>
      </c>
      <c r="G330" s="7">
        <v>5.348</v>
      </c>
      <c r="H330" s="15" t="s">
        <v>2921</v>
      </c>
      <c r="I330" s="15" t="s">
        <v>1628</v>
      </c>
      <c r="J330" s="15" t="s">
        <v>2922</v>
      </c>
      <c r="K330" s="15">
        <v>7.0</v>
      </c>
      <c r="L330" s="15">
        <v>7.0</v>
      </c>
      <c r="M330" s="40">
        <v>40558.0</v>
      </c>
      <c r="N330" s="41">
        <v>42297.0</v>
      </c>
      <c r="O330" s="15" t="s">
        <v>1554</v>
      </c>
      <c r="Q330" s="7"/>
    </row>
    <row r="331">
      <c r="A331" s="39" t="s">
        <v>2924</v>
      </c>
      <c r="B331" s="15">
        <v>932071.0</v>
      </c>
      <c r="C331" s="15" t="s">
        <v>2925</v>
      </c>
      <c r="D331" s="15">
        <v>62479.0</v>
      </c>
      <c r="E331" s="15" t="s">
        <v>1808</v>
      </c>
      <c r="F331" s="15" t="s">
        <v>1809</v>
      </c>
      <c r="G331" s="7">
        <v>5.399</v>
      </c>
      <c r="H331" s="15" t="s">
        <v>2926</v>
      </c>
      <c r="I331" s="15" t="s">
        <v>1628</v>
      </c>
      <c r="J331" s="15" t="s">
        <v>2927</v>
      </c>
      <c r="K331" s="15">
        <v>7.0</v>
      </c>
      <c r="L331" s="15">
        <v>7.0</v>
      </c>
      <c r="M331" s="40">
        <v>40558.0</v>
      </c>
      <c r="N331" s="41">
        <v>42297.0</v>
      </c>
      <c r="O331" s="15" t="s">
        <v>1554</v>
      </c>
      <c r="Q331" s="7"/>
    </row>
    <row r="332">
      <c r="A332" s="39" t="s">
        <v>2928</v>
      </c>
      <c r="B332" s="15">
        <v>909827.0</v>
      </c>
      <c r="C332" s="15" t="s">
        <v>2929</v>
      </c>
      <c r="D332" s="15">
        <v>62493.0</v>
      </c>
      <c r="E332" s="15" t="s">
        <v>1548</v>
      </c>
      <c r="F332" s="15" t="s">
        <v>1771</v>
      </c>
      <c r="G332" s="7">
        <v>6.244</v>
      </c>
      <c r="H332" s="15" t="s">
        <v>1772</v>
      </c>
      <c r="I332" s="15" t="s">
        <v>1628</v>
      </c>
      <c r="J332" s="15" t="s">
        <v>2931</v>
      </c>
      <c r="K332" s="15">
        <v>7.0</v>
      </c>
      <c r="L332" s="15">
        <v>7.0</v>
      </c>
      <c r="M332" s="40">
        <v>40575.0</v>
      </c>
      <c r="N332" s="40">
        <v>42347.0</v>
      </c>
      <c r="O332" s="15" t="s">
        <v>1554</v>
      </c>
      <c r="Q332" s="7"/>
    </row>
    <row r="333">
      <c r="A333" s="39" t="s">
        <v>2932</v>
      </c>
      <c r="B333" s="15">
        <v>945225.0</v>
      </c>
      <c r="C333" s="15" t="s">
        <v>2933</v>
      </c>
      <c r="D333" s="15">
        <v>62497.0</v>
      </c>
      <c r="E333" s="15" t="s">
        <v>1808</v>
      </c>
      <c r="F333" s="15" t="s">
        <v>1809</v>
      </c>
      <c r="G333" s="7">
        <v>2.86</v>
      </c>
      <c r="H333" s="15">
        <v>40.0</v>
      </c>
      <c r="I333" s="15" t="s">
        <v>1628</v>
      </c>
      <c r="J333" s="15" t="s">
        <v>2934</v>
      </c>
      <c r="K333" s="15">
        <v>5.0</v>
      </c>
      <c r="L333" s="15">
        <v>5.0</v>
      </c>
      <c r="M333" s="40">
        <v>40575.0</v>
      </c>
      <c r="N333" s="40">
        <v>40583.0</v>
      </c>
      <c r="O333" s="15" t="s">
        <v>1554</v>
      </c>
      <c r="Q333" s="7"/>
    </row>
    <row r="334">
      <c r="A334" s="39" t="s">
        <v>2935</v>
      </c>
      <c r="B334" s="15">
        <v>977913.0</v>
      </c>
      <c r="C334" s="15" t="s">
        <v>2936</v>
      </c>
      <c r="D334" s="15">
        <v>62547.0</v>
      </c>
      <c r="E334" s="15" t="s">
        <v>1548</v>
      </c>
      <c r="F334" s="15" t="s">
        <v>1948</v>
      </c>
      <c r="G334" s="7">
        <v>6.281</v>
      </c>
      <c r="H334" s="15" t="s">
        <v>2937</v>
      </c>
      <c r="I334" s="15" t="s">
        <v>1560</v>
      </c>
      <c r="J334" s="15" t="s">
        <v>2939</v>
      </c>
      <c r="K334" s="15">
        <v>3.0</v>
      </c>
      <c r="L334" s="15">
        <v>3.0</v>
      </c>
      <c r="M334" s="40">
        <v>40579.0</v>
      </c>
      <c r="N334" s="40">
        <v>42045.0</v>
      </c>
      <c r="O334" s="15" t="s">
        <v>1554</v>
      </c>
      <c r="Q334" s="7"/>
    </row>
    <row r="335">
      <c r="A335" s="39" t="s">
        <v>2940</v>
      </c>
      <c r="B335" s="15">
        <v>945962.0</v>
      </c>
      <c r="C335" s="15" t="s">
        <v>2941</v>
      </c>
      <c r="D335" s="15">
        <v>62639.0</v>
      </c>
      <c r="E335" s="15" t="s">
        <v>1808</v>
      </c>
      <c r="F335" s="15" t="s">
        <v>2436</v>
      </c>
      <c r="G335" s="7">
        <v>3.893</v>
      </c>
      <c r="H335" s="15" t="s">
        <v>2316</v>
      </c>
      <c r="I335" s="15" t="s">
        <v>1560</v>
      </c>
      <c r="J335" s="15" t="s">
        <v>2942</v>
      </c>
      <c r="K335" s="15">
        <v>3.0</v>
      </c>
      <c r="L335" s="15">
        <v>3.0</v>
      </c>
      <c r="M335" s="40">
        <v>40575.0</v>
      </c>
      <c r="N335" s="40">
        <v>40582.0</v>
      </c>
      <c r="O335" s="15" t="s">
        <v>1554</v>
      </c>
      <c r="Q335" s="7"/>
    </row>
    <row r="336">
      <c r="A336" s="39" t="s">
        <v>2943</v>
      </c>
      <c r="B336" s="15">
        <v>712037.0</v>
      </c>
      <c r="C336" s="15" t="s">
        <v>2944</v>
      </c>
      <c r="D336" s="15">
        <v>62749.0</v>
      </c>
      <c r="E336" s="15" t="s">
        <v>1557</v>
      </c>
      <c r="F336" s="15" t="s">
        <v>1578</v>
      </c>
      <c r="G336" s="7">
        <v>15.131</v>
      </c>
      <c r="H336" s="15" t="s">
        <v>2945</v>
      </c>
      <c r="I336" s="15" t="s">
        <v>1686</v>
      </c>
      <c r="J336" s="15" t="s">
        <v>2946</v>
      </c>
      <c r="K336" s="15">
        <v>14.0</v>
      </c>
      <c r="L336" s="15">
        <v>14.0</v>
      </c>
      <c r="M336" s="40">
        <v>40578.0</v>
      </c>
      <c r="N336" s="40">
        <v>42045.0</v>
      </c>
      <c r="O336" s="15" t="s">
        <v>1554</v>
      </c>
      <c r="Q336" s="7"/>
    </row>
    <row r="337">
      <c r="A337" s="39" t="s">
        <v>2948</v>
      </c>
      <c r="B337" s="15">
        <v>971271.0</v>
      </c>
      <c r="C337" s="15" t="s">
        <v>2949</v>
      </c>
      <c r="D337" s="15">
        <v>62755.0</v>
      </c>
      <c r="E337" s="15" t="s">
        <v>1808</v>
      </c>
      <c r="F337" s="15" t="s">
        <v>1809</v>
      </c>
      <c r="G337" s="7">
        <v>2.74</v>
      </c>
      <c r="H337" s="15" t="s">
        <v>2950</v>
      </c>
      <c r="I337" s="15" t="s">
        <v>1628</v>
      </c>
      <c r="J337" s="15" t="s">
        <v>2951</v>
      </c>
      <c r="K337" s="15">
        <v>6.0</v>
      </c>
      <c r="L337" s="15">
        <v>6.0</v>
      </c>
      <c r="M337" s="40">
        <v>40576.0</v>
      </c>
      <c r="N337" s="40">
        <v>40584.0</v>
      </c>
      <c r="O337" s="15" t="s">
        <v>1554</v>
      </c>
      <c r="Q337" s="7"/>
    </row>
    <row r="338">
      <c r="A338" s="39" t="s">
        <v>2952</v>
      </c>
      <c r="B338" s="15">
        <v>38170.0</v>
      </c>
      <c r="C338" s="15" t="s">
        <v>2953</v>
      </c>
      <c r="D338" s="15">
        <v>62875.0</v>
      </c>
      <c r="E338" s="15" t="s">
        <v>1638</v>
      </c>
      <c r="F338" s="15" t="s">
        <v>1863</v>
      </c>
      <c r="G338" s="7">
        <v>23.494</v>
      </c>
      <c r="H338" s="15" t="s">
        <v>2954</v>
      </c>
      <c r="I338" s="15" t="s">
        <v>1686</v>
      </c>
      <c r="J338" s="15" t="s">
        <v>2955</v>
      </c>
      <c r="K338" s="15">
        <v>10.0</v>
      </c>
      <c r="L338" s="15">
        <v>10.0</v>
      </c>
      <c r="M338" s="41">
        <v>40535.0</v>
      </c>
      <c r="N338" s="40">
        <v>40588.0</v>
      </c>
      <c r="O338" s="15" t="s">
        <v>1554</v>
      </c>
      <c r="Q338" s="7"/>
    </row>
    <row r="339">
      <c r="A339" s="39" t="s">
        <v>2956</v>
      </c>
      <c r="B339" s="15">
        <v>943908.0</v>
      </c>
      <c r="C339" s="15" t="s">
        <v>2957</v>
      </c>
      <c r="D339" s="15">
        <v>63123.0</v>
      </c>
      <c r="E339" s="15" t="s">
        <v>1557</v>
      </c>
      <c r="F339" s="15" t="s">
        <v>2004</v>
      </c>
      <c r="G339" s="7">
        <v>5.026</v>
      </c>
      <c r="H339" s="15" t="s">
        <v>2197</v>
      </c>
      <c r="I339" s="15" t="s">
        <v>1686</v>
      </c>
      <c r="J339" s="15" t="s">
        <v>2959</v>
      </c>
      <c r="K339" s="15">
        <v>5.0</v>
      </c>
      <c r="L339" s="15">
        <v>5.0</v>
      </c>
      <c r="M339" s="40">
        <v>40586.0</v>
      </c>
      <c r="N339" s="40">
        <v>40658.0</v>
      </c>
      <c r="O339" s="15" t="s">
        <v>1554</v>
      </c>
      <c r="Q339" s="7"/>
    </row>
    <row r="340">
      <c r="A340" s="39" t="s">
        <v>2960</v>
      </c>
      <c r="B340" s="15">
        <v>979525.0</v>
      </c>
      <c r="C340" s="15" t="s">
        <v>2961</v>
      </c>
      <c r="D340" s="15">
        <v>63229.0</v>
      </c>
      <c r="E340" s="15" t="s">
        <v>1557</v>
      </c>
      <c r="F340" s="15" t="s">
        <v>1767</v>
      </c>
      <c r="G340" s="7">
        <v>125.956</v>
      </c>
      <c r="H340" s="15" t="s">
        <v>2316</v>
      </c>
      <c r="I340" s="15" t="s">
        <v>1586</v>
      </c>
      <c r="J340" s="15" t="s">
        <v>2962</v>
      </c>
      <c r="K340" s="15">
        <v>230.0</v>
      </c>
      <c r="L340" s="15">
        <v>230.0</v>
      </c>
      <c r="M340" s="40">
        <v>40596.0</v>
      </c>
      <c r="N340" s="40">
        <v>40731.0</v>
      </c>
      <c r="O340" s="15" t="s">
        <v>1554</v>
      </c>
      <c r="Q340" s="7"/>
    </row>
    <row r="341">
      <c r="A341" s="39" t="s">
        <v>2963</v>
      </c>
      <c r="B341" s="15">
        <v>988656.0</v>
      </c>
      <c r="C341" s="15" t="s">
        <v>2964</v>
      </c>
      <c r="D341" s="15">
        <v>63435.0</v>
      </c>
      <c r="E341" s="15" t="s">
        <v>1557</v>
      </c>
      <c r="F341" s="15" t="s">
        <v>1611</v>
      </c>
      <c r="G341" s="7">
        <v>39.562</v>
      </c>
      <c r="H341" s="15" t="s">
        <v>2965</v>
      </c>
      <c r="I341" s="15" t="s">
        <v>1586</v>
      </c>
      <c r="J341" s="15" t="s">
        <v>2966</v>
      </c>
      <c r="K341" s="15">
        <v>50.0</v>
      </c>
      <c r="L341" s="15">
        <v>50.0</v>
      </c>
      <c r="M341" s="40">
        <v>40603.0</v>
      </c>
      <c r="N341" s="40">
        <v>40620.0</v>
      </c>
      <c r="O341" s="15" t="s">
        <v>1554</v>
      </c>
      <c r="Q341" s="7"/>
    </row>
    <row r="342">
      <c r="A342" s="39" t="s">
        <v>2967</v>
      </c>
      <c r="B342" s="15">
        <v>141904.0</v>
      </c>
      <c r="C342" s="15" t="s">
        <v>2968</v>
      </c>
      <c r="D342" s="15">
        <v>63437.0</v>
      </c>
      <c r="E342" s="15" t="s">
        <v>1808</v>
      </c>
      <c r="F342" s="15" t="s">
        <v>2969</v>
      </c>
      <c r="G342" s="7">
        <v>10.638</v>
      </c>
      <c r="H342" s="15" t="s">
        <v>1962</v>
      </c>
      <c r="I342" s="15" t="s">
        <v>1586</v>
      </c>
      <c r="J342" s="15" t="s">
        <v>2971</v>
      </c>
      <c r="K342" s="15">
        <v>13.0</v>
      </c>
      <c r="L342" s="15">
        <v>13.0</v>
      </c>
      <c r="M342" s="40">
        <v>40589.0</v>
      </c>
      <c r="N342" s="40">
        <v>42382.0</v>
      </c>
      <c r="O342" s="15" t="s">
        <v>1554</v>
      </c>
      <c r="Q342" s="7"/>
    </row>
    <row r="343">
      <c r="A343" s="39" t="s">
        <v>2972</v>
      </c>
      <c r="B343" s="15">
        <v>981330.0</v>
      </c>
      <c r="C343" s="15" t="s">
        <v>2973</v>
      </c>
      <c r="D343" s="15">
        <v>63439.0</v>
      </c>
      <c r="E343" s="15" t="s">
        <v>1557</v>
      </c>
      <c r="F343" s="15" t="s">
        <v>1833</v>
      </c>
      <c r="G343" s="7">
        <v>61.44</v>
      </c>
      <c r="H343" s="15" t="s">
        <v>2974</v>
      </c>
      <c r="I343" s="15" t="s">
        <v>1586</v>
      </c>
      <c r="J343" s="15" t="s">
        <v>2975</v>
      </c>
      <c r="K343" s="15">
        <v>78.0</v>
      </c>
      <c r="L343" s="15">
        <v>78.0</v>
      </c>
      <c r="M343" s="40">
        <v>40588.0</v>
      </c>
      <c r="N343" s="40">
        <v>40621.0</v>
      </c>
      <c r="O343" s="15" t="s">
        <v>1554</v>
      </c>
      <c r="Q343" s="7"/>
    </row>
    <row r="344">
      <c r="A344" s="39" t="s">
        <v>2976</v>
      </c>
      <c r="B344" s="15">
        <v>754441.0</v>
      </c>
      <c r="C344" s="15" t="s">
        <v>2977</v>
      </c>
      <c r="D344" s="15">
        <v>63565.0</v>
      </c>
      <c r="E344" s="15" t="s">
        <v>1659</v>
      </c>
      <c r="F344" s="15" t="s">
        <v>1578</v>
      </c>
      <c r="G344" s="7">
        <v>5.813</v>
      </c>
      <c r="H344" s="15">
        <v>45.0</v>
      </c>
      <c r="I344" s="15" t="s">
        <v>1573</v>
      </c>
      <c r="J344" s="15" t="s">
        <v>2978</v>
      </c>
      <c r="K344" s="15">
        <v>2.0</v>
      </c>
      <c r="L344" s="15">
        <v>3.0</v>
      </c>
      <c r="M344" s="40">
        <v>40603.0</v>
      </c>
      <c r="N344" s="40">
        <v>40758.0</v>
      </c>
      <c r="O344" s="15" t="s">
        <v>1554</v>
      </c>
      <c r="Q344" s="7"/>
    </row>
    <row r="345">
      <c r="A345" s="39" t="s">
        <v>2979</v>
      </c>
      <c r="B345" s="15">
        <v>991022.0</v>
      </c>
      <c r="C345" s="15" t="s">
        <v>2980</v>
      </c>
      <c r="D345" s="15">
        <v>63583.0</v>
      </c>
      <c r="E345" s="15" t="s">
        <v>1808</v>
      </c>
      <c r="F345" s="15" t="s">
        <v>2232</v>
      </c>
      <c r="G345" s="7">
        <v>2.164</v>
      </c>
      <c r="H345" s="15" t="s">
        <v>2981</v>
      </c>
      <c r="I345" s="15" t="s">
        <v>1567</v>
      </c>
      <c r="J345" s="15" t="s">
        <v>2982</v>
      </c>
      <c r="K345" s="15">
        <v>3.0</v>
      </c>
      <c r="L345" s="15">
        <v>3.0</v>
      </c>
      <c r="M345" s="40">
        <v>40611.0</v>
      </c>
      <c r="N345" s="40">
        <v>40689.0</v>
      </c>
      <c r="O345" s="15" t="s">
        <v>1554</v>
      </c>
      <c r="Q345" s="7"/>
    </row>
    <row r="346">
      <c r="A346" s="39" t="s">
        <v>2983</v>
      </c>
      <c r="B346" s="15">
        <v>81877.0</v>
      </c>
      <c r="C346" s="15" t="s">
        <v>2984</v>
      </c>
      <c r="D346" s="15">
        <v>63625.0</v>
      </c>
      <c r="E346" s="15" t="s">
        <v>1548</v>
      </c>
      <c r="F346" s="15" t="s">
        <v>1786</v>
      </c>
      <c r="G346" s="7">
        <v>7.241</v>
      </c>
      <c r="H346" s="15" t="s">
        <v>2857</v>
      </c>
      <c r="I346" s="15" t="s">
        <v>1628</v>
      </c>
      <c r="J346" s="15" t="s">
        <v>2985</v>
      </c>
      <c r="K346" s="15">
        <v>3.0</v>
      </c>
      <c r="L346" s="15">
        <v>3.0</v>
      </c>
      <c r="M346" s="40">
        <v>37019.0</v>
      </c>
      <c r="N346" s="40">
        <v>42045.0</v>
      </c>
      <c r="O346" s="15" t="s">
        <v>1554</v>
      </c>
      <c r="Q346" s="7"/>
    </row>
    <row r="347">
      <c r="A347" s="39" t="s">
        <v>2987</v>
      </c>
      <c r="B347" s="15">
        <v>944580.0</v>
      </c>
      <c r="C347" s="15" t="s">
        <v>2988</v>
      </c>
      <c r="D347" s="15">
        <v>64491.0</v>
      </c>
      <c r="E347" s="15" t="s">
        <v>1548</v>
      </c>
      <c r="F347" s="15" t="s">
        <v>2900</v>
      </c>
      <c r="G347" s="7">
        <v>3.929</v>
      </c>
      <c r="H347" s="15" t="s">
        <v>2279</v>
      </c>
      <c r="I347" s="15" t="s">
        <v>1628</v>
      </c>
      <c r="J347" s="15" t="s">
        <v>2989</v>
      </c>
      <c r="K347" s="15">
        <v>5.0</v>
      </c>
      <c r="L347" s="15">
        <v>5.0</v>
      </c>
      <c r="M347" s="40">
        <v>40615.0</v>
      </c>
      <c r="N347" s="40">
        <v>42194.0</v>
      </c>
      <c r="O347" s="15" t="s">
        <v>1554</v>
      </c>
      <c r="Q347" s="7"/>
    </row>
    <row r="348">
      <c r="A348" s="39" t="s">
        <v>2990</v>
      </c>
      <c r="B348" s="15">
        <v>995049.0</v>
      </c>
      <c r="C348" s="15" t="s">
        <v>2991</v>
      </c>
      <c r="D348" s="15">
        <v>64493.0</v>
      </c>
      <c r="E348" s="15" t="s">
        <v>1916</v>
      </c>
      <c r="F348" s="15" t="s">
        <v>1917</v>
      </c>
      <c r="G348" s="7">
        <v>8.837</v>
      </c>
      <c r="H348" s="42">
        <v>43130.0</v>
      </c>
      <c r="I348" s="15" t="s">
        <v>1628</v>
      </c>
      <c r="J348" s="15" t="s">
        <v>2992</v>
      </c>
      <c r="K348" s="15">
        <v>9.0</v>
      </c>
      <c r="L348" s="15">
        <v>9.0</v>
      </c>
      <c r="M348" s="40">
        <v>40617.0</v>
      </c>
      <c r="N348" s="40">
        <v>40658.0</v>
      </c>
      <c r="O348" s="15" t="s">
        <v>1554</v>
      </c>
      <c r="Q348" s="7"/>
    </row>
    <row r="349">
      <c r="A349" s="39" t="s">
        <v>2993</v>
      </c>
      <c r="B349" s="15">
        <v>548908.0</v>
      </c>
      <c r="C349" s="15" t="s">
        <v>2994</v>
      </c>
      <c r="D349" s="15">
        <v>64495.0</v>
      </c>
      <c r="E349" s="15" t="s">
        <v>1548</v>
      </c>
      <c r="F349" s="15" t="s">
        <v>2032</v>
      </c>
      <c r="G349" s="7">
        <v>6.704</v>
      </c>
      <c r="H349" s="15" t="s">
        <v>2996</v>
      </c>
      <c r="I349" s="15" t="s">
        <v>1628</v>
      </c>
      <c r="J349" s="15" t="s">
        <v>2997</v>
      </c>
      <c r="K349" s="15">
        <v>2.0</v>
      </c>
      <c r="L349" s="15">
        <v>2.0</v>
      </c>
      <c r="M349" s="40">
        <v>40380.0</v>
      </c>
      <c r="N349" s="40">
        <v>40814.0</v>
      </c>
      <c r="O349" s="15" t="s">
        <v>1554</v>
      </c>
      <c r="Q349" s="7"/>
    </row>
    <row r="350">
      <c r="A350" s="39" t="s">
        <v>2998</v>
      </c>
      <c r="B350" s="15">
        <v>279006.0</v>
      </c>
      <c r="C350" s="15" t="s">
        <v>2999</v>
      </c>
      <c r="D350" s="15">
        <v>64541.0</v>
      </c>
      <c r="E350" s="15" t="s">
        <v>1557</v>
      </c>
      <c r="F350" s="15" t="s">
        <v>1767</v>
      </c>
      <c r="G350" s="7">
        <v>159.801</v>
      </c>
      <c r="H350" s="15" t="s">
        <v>3000</v>
      </c>
      <c r="I350" s="15" t="s">
        <v>1586</v>
      </c>
      <c r="J350" s="15" t="s">
        <v>3001</v>
      </c>
      <c r="K350" s="15">
        <v>273.0</v>
      </c>
      <c r="L350" s="15">
        <v>257.0</v>
      </c>
      <c r="M350" s="40">
        <v>40358.0</v>
      </c>
      <c r="N350" s="40">
        <v>40662.0</v>
      </c>
      <c r="O350" s="15" t="s">
        <v>1554</v>
      </c>
      <c r="Q350" s="7"/>
    </row>
    <row r="351">
      <c r="A351" s="39" t="s">
        <v>3003</v>
      </c>
      <c r="B351" s="15">
        <v>260149.0</v>
      </c>
      <c r="C351" s="15" t="s">
        <v>3004</v>
      </c>
      <c r="D351" s="15">
        <v>64543.0</v>
      </c>
      <c r="E351" s="15" t="s">
        <v>1557</v>
      </c>
      <c r="F351" s="15" t="s">
        <v>1767</v>
      </c>
      <c r="G351" s="7">
        <v>235.229</v>
      </c>
      <c r="H351" s="15" t="s">
        <v>2580</v>
      </c>
      <c r="I351" s="15" t="s">
        <v>1586</v>
      </c>
      <c r="J351" s="15" t="s">
        <v>3005</v>
      </c>
      <c r="K351" s="15">
        <v>454.0</v>
      </c>
      <c r="L351" s="15">
        <v>437.0</v>
      </c>
      <c r="M351" s="41">
        <v>40506.0</v>
      </c>
      <c r="N351" s="40">
        <v>41367.0</v>
      </c>
      <c r="O351" s="15" t="s">
        <v>1554</v>
      </c>
      <c r="Q351" s="7"/>
    </row>
    <row r="352">
      <c r="A352" s="39" t="s">
        <v>3006</v>
      </c>
      <c r="B352" s="15">
        <v>764561.0</v>
      </c>
      <c r="C352" s="15" t="s">
        <v>3007</v>
      </c>
      <c r="D352" s="15">
        <v>64545.0</v>
      </c>
      <c r="E352" s="15" t="s">
        <v>1557</v>
      </c>
      <c r="F352" s="15" t="s">
        <v>1833</v>
      </c>
      <c r="G352" s="7">
        <v>36.953</v>
      </c>
      <c r="H352" s="15" t="s">
        <v>2885</v>
      </c>
      <c r="I352" s="15" t="s">
        <v>1586</v>
      </c>
      <c r="J352" s="15" t="s">
        <v>3008</v>
      </c>
      <c r="K352" s="15">
        <v>58.0</v>
      </c>
      <c r="L352" s="15">
        <v>58.0</v>
      </c>
      <c r="M352" s="40">
        <v>40347.0</v>
      </c>
      <c r="N352" s="40">
        <v>40631.0</v>
      </c>
      <c r="O352" s="15" t="s">
        <v>1554</v>
      </c>
      <c r="Q352" s="7"/>
    </row>
    <row r="353">
      <c r="A353" s="39" t="s">
        <v>3009</v>
      </c>
      <c r="B353" s="15">
        <v>857312.0</v>
      </c>
      <c r="C353" s="15" t="s">
        <v>3010</v>
      </c>
      <c r="D353" s="15">
        <v>64547.0</v>
      </c>
      <c r="E353" s="15" t="s">
        <v>1557</v>
      </c>
      <c r="F353" s="15" t="s">
        <v>1767</v>
      </c>
      <c r="G353" s="7">
        <v>127.065</v>
      </c>
      <c r="H353" s="15" t="s">
        <v>1912</v>
      </c>
      <c r="I353" s="15" t="s">
        <v>1586</v>
      </c>
      <c r="J353" s="15" t="s">
        <v>3012</v>
      </c>
      <c r="K353" s="15">
        <v>199.0</v>
      </c>
      <c r="L353" s="15">
        <v>199.0</v>
      </c>
      <c r="M353" s="40">
        <v>40359.0</v>
      </c>
      <c r="N353" s="40">
        <v>40631.0</v>
      </c>
      <c r="O353" s="15" t="s">
        <v>1554</v>
      </c>
      <c r="Q353" s="7"/>
    </row>
    <row r="354">
      <c r="A354" s="39" t="s">
        <v>3013</v>
      </c>
      <c r="B354" s="15">
        <v>764562.0</v>
      </c>
      <c r="C354" s="15" t="s">
        <v>3014</v>
      </c>
      <c r="D354" s="15">
        <v>64549.0</v>
      </c>
      <c r="E354" s="15" t="s">
        <v>1557</v>
      </c>
      <c r="F354" s="15" t="s">
        <v>1833</v>
      </c>
      <c r="G354" s="7">
        <v>41.518</v>
      </c>
      <c r="H354" s="15" t="s">
        <v>2699</v>
      </c>
      <c r="I354" s="15" t="s">
        <v>1586</v>
      </c>
      <c r="J354" s="15" t="s">
        <v>3015</v>
      </c>
      <c r="K354" s="15">
        <v>67.0</v>
      </c>
      <c r="L354" s="15">
        <v>67.0</v>
      </c>
      <c r="M354" s="40">
        <v>40347.0</v>
      </c>
      <c r="N354" s="40">
        <v>40634.0</v>
      </c>
      <c r="O354" s="15" t="s">
        <v>1554</v>
      </c>
      <c r="Q354" s="7"/>
    </row>
    <row r="355">
      <c r="A355" s="39" t="s">
        <v>3016</v>
      </c>
      <c r="B355" s="15">
        <v>864178.0</v>
      </c>
      <c r="C355" s="15" t="s">
        <v>3017</v>
      </c>
      <c r="D355" s="15">
        <v>64557.0</v>
      </c>
      <c r="E355" s="15" t="s">
        <v>1557</v>
      </c>
      <c r="F355" s="15" t="s">
        <v>1833</v>
      </c>
      <c r="G355" s="7">
        <v>37.664</v>
      </c>
      <c r="H355" s="42">
        <v>43218.0</v>
      </c>
      <c r="I355" s="15" t="s">
        <v>1586</v>
      </c>
      <c r="J355" s="15" t="s">
        <v>3018</v>
      </c>
      <c r="K355" s="15">
        <v>59.0</v>
      </c>
      <c r="L355" s="15">
        <v>59.0</v>
      </c>
      <c r="M355" s="40">
        <v>40383.0</v>
      </c>
      <c r="N355" s="40">
        <v>40623.0</v>
      </c>
      <c r="O355" s="15" t="s">
        <v>1554</v>
      </c>
      <c r="Q355" s="7"/>
    </row>
    <row r="356">
      <c r="A356" s="39" t="s">
        <v>3019</v>
      </c>
      <c r="B356" s="15">
        <v>881953.0</v>
      </c>
      <c r="C356" s="15" t="s">
        <v>3021</v>
      </c>
      <c r="D356" s="15">
        <v>64559.0</v>
      </c>
      <c r="E356" s="15" t="s">
        <v>1557</v>
      </c>
      <c r="F356" s="15" t="s">
        <v>1833</v>
      </c>
      <c r="G356" s="7">
        <v>114.768</v>
      </c>
      <c r="H356" s="15" t="s">
        <v>3022</v>
      </c>
      <c r="I356" s="15" t="s">
        <v>1586</v>
      </c>
      <c r="J356" s="15" t="s">
        <v>3023</v>
      </c>
      <c r="K356" s="15">
        <v>160.0</v>
      </c>
      <c r="L356" s="15">
        <v>154.0</v>
      </c>
      <c r="M356" s="40">
        <v>40429.0</v>
      </c>
      <c r="N356" s="40">
        <v>40631.0</v>
      </c>
      <c r="O356" s="15" t="s">
        <v>1554</v>
      </c>
      <c r="Q356" s="7"/>
    </row>
    <row r="357">
      <c r="A357" s="39" t="s">
        <v>3024</v>
      </c>
      <c r="B357" s="15">
        <v>942165.0</v>
      </c>
      <c r="C357" s="15" t="s">
        <v>3025</v>
      </c>
      <c r="D357" s="15">
        <v>64561.0</v>
      </c>
      <c r="E357" s="15" t="s">
        <v>1557</v>
      </c>
      <c r="F357" s="15" t="s">
        <v>1611</v>
      </c>
      <c r="G357" s="7">
        <v>40.973</v>
      </c>
      <c r="H357" s="15" t="s">
        <v>1966</v>
      </c>
      <c r="I357" s="15" t="s">
        <v>1586</v>
      </c>
      <c r="J357" s="15" t="s">
        <v>3026</v>
      </c>
      <c r="K357" s="15">
        <v>52.0</v>
      </c>
      <c r="L357" s="15">
        <v>52.0</v>
      </c>
      <c r="M357" s="40">
        <v>40571.0</v>
      </c>
      <c r="N357" s="40">
        <v>40651.0</v>
      </c>
      <c r="O357" s="15" t="s">
        <v>1554</v>
      </c>
      <c r="Q357" s="7"/>
    </row>
    <row r="358">
      <c r="A358" s="39" t="s">
        <v>3027</v>
      </c>
      <c r="B358" s="15">
        <v>910473.0</v>
      </c>
      <c r="C358" s="15" t="s">
        <v>3028</v>
      </c>
      <c r="D358" s="15">
        <v>64563.0</v>
      </c>
      <c r="E358" s="15" t="s">
        <v>1557</v>
      </c>
      <c r="F358" s="15" t="s">
        <v>1767</v>
      </c>
      <c r="G358" s="7">
        <v>37.236</v>
      </c>
      <c r="H358" s="15" t="s">
        <v>3029</v>
      </c>
      <c r="I358" s="15" t="s">
        <v>1586</v>
      </c>
      <c r="J358" s="15" t="s">
        <v>3030</v>
      </c>
      <c r="K358" s="15">
        <v>46.0</v>
      </c>
      <c r="L358" s="15">
        <v>46.0</v>
      </c>
      <c r="M358" s="41">
        <v>40504.0</v>
      </c>
      <c r="N358" s="40">
        <v>40631.0</v>
      </c>
      <c r="O358" s="15" t="s">
        <v>1554</v>
      </c>
      <c r="Q358" s="7"/>
    </row>
    <row r="359">
      <c r="A359" s="39" t="s">
        <v>3031</v>
      </c>
      <c r="B359" s="15">
        <v>910474.0</v>
      </c>
      <c r="C359" s="15" t="s">
        <v>3032</v>
      </c>
      <c r="D359" s="15">
        <v>64565.0</v>
      </c>
      <c r="E359" s="15" t="s">
        <v>1557</v>
      </c>
      <c r="F359" s="15" t="s">
        <v>1767</v>
      </c>
      <c r="G359" s="7">
        <v>40.555</v>
      </c>
      <c r="H359" s="15" t="s">
        <v>3034</v>
      </c>
      <c r="I359" s="15" t="s">
        <v>1586</v>
      </c>
      <c r="J359" s="15" t="s">
        <v>3035</v>
      </c>
      <c r="K359" s="15">
        <v>52.0</v>
      </c>
      <c r="L359" s="15">
        <v>52.0</v>
      </c>
      <c r="M359" s="41">
        <v>40504.0</v>
      </c>
      <c r="N359" s="40">
        <v>40631.0</v>
      </c>
      <c r="O359" s="15" t="s">
        <v>1554</v>
      </c>
      <c r="Q359" s="7"/>
    </row>
    <row r="360">
      <c r="A360" s="39" t="s">
        <v>3036</v>
      </c>
      <c r="B360" s="15">
        <v>996650.0</v>
      </c>
      <c r="C360" s="15" t="s">
        <v>3037</v>
      </c>
      <c r="D360" s="15">
        <v>64597.0</v>
      </c>
      <c r="E360" s="15" t="s">
        <v>1557</v>
      </c>
      <c r="F360" s="15" t="s">
        <v>1822</v>
      </c>
      <c r="G360" s="7">
        <v>7.679</v>
      </c>
      <c r="H360" s="15" t="s">
        <v>1745</v>
      </c>
      <c r="I360" s="15" t="s">
        <v>1686</v>
      </c>
      <c r="J360" s="15" t="s">
        <v>3038</v>
      </c>
      <c r="K360" s="15">
        <v>7.0</v>
      </c>
      <c r="L360" s="15">
        <v>7.0</v>
      </c>
      <c r="M360" s="40">
        <v>40622.0</v>
      </c>
      <c r="N360" s="40">
        <v>40749.0</v>
      </c>
      <c r="O360" s="15" t="s">
        <v>1554</v>
      </c>
      <c r="Q360" s="7"/>
    </row>
    <row r="361">
      <c r="A361" s="39" t="s">
        <v>3039</v>
      </c>
      <c r="B361" s="15">
        <v>996651.0</v>
      </c>
      <c r="C361" s="15" t="s">
        <v>3040</v>
      </c>
      <c r="D361" s="15">
        <v>64599.0</v>
      </c>
      <c r="E361" s="15" t="s">
        <v>1557</v>
      </c>
      <c r="F361" s="15" t="s">
        <v>1822</v>
      </c>
      <c r="G361" s="7">
        <v>7.906</v>
      </c>
      <c r="H361" s="15" t="s">
        <v>1700</v>
      </c>
      <c r="I361" s="15" t="s">
        <v>1686</v>
      </c>
      <c r="J361" s="15" t="s">
        <v>3041</v>
      </c>
      <c r="K361" s="15">
        <v>7.0</v>
      </c>
      <c r="L361" s="15">
        <v>7.0</v>
      </c>
      <c r="M361" s="40">
        <v>40622.0</v>
      </c>
      <c r="N361" s="40">
        <v>40749.0</v>
      </c>
      <c r="O361" s="15" t="s">
        <v>1554</v>
      </c>
      <c r="Q361" s="7"/>
    </row>
    <row r="362">
      <c r="A362" s="39" t="s">
        <v>3042</v>
      </c>
      <c r="B362" s="15">
        <v>977927.0</v>
      </c>
      <c r="C362" s="15" t="s">
        <v>3043</v>
      </c>
      <c r="D362" s="15">
        <v>64605.0</v>
      </c>
      <c r="E362" s="15" t="s">
        <v>1557</v>
      </c>
      <c r="F362" s="15" t="s">
        <v>1833</v>
      </c>
      <c r="G362" s="7">
        <v>118.351</v>
      </c>
      <c r="H362" s="15" t="s">
        <v>2304</v>
      </c>
      <c r="I362" s="15" t="s">
        <v>1586</v>
      </c>
      <c r="J362" s="15" t="s">
        <v>3045</v>
      </c>
      <c r="K362" s="15">
        <v>145.0</v>
      </c>
      <c r="L362" s="15">
        <v>145.0</v>
      </c>
      <c r="M362" s="40">
        <v>40582.0</v>
      </c>
      <c r="N362" s="40">
        <v>40624.0</v>
      </c>
      <c r="O362" s="15" t="s">
        <v>1554</v>
      </c>
      <c r="Q362" s="7"/>
    </row>
    <row r="363">
      <c r="A363" s="39" t="s">
        <v>3046</v>
      </c>
      <c r="B363" s="15">
        <v>767806.0</v>
      </c>
      <c r="C363" s="15" t="s">
        <v>3047</v>
      </c>
      <c r="D363" s="15">
        <v>64607.0</v>
      </c>
      <c r="E363" s="15" t="s">
        <v>1557</v>
      </c>
      <c r="F363" s="15" t="s">
        <v>1833</v>
      </c>
      <c r="G363" s="7">
        <v>16.945</v>
      </c>
      <c r="H363" s="15" t="s">
        <v>1696</v>
      </c>
      <c r="I363" s="15" t="s">
        <v>1586</v>
      </c>
      <c r="J363" s="15" t="s">
        <v>3048</v>
      </c>
      <c r="K363" s="15">
        <v>23.0</v>
      </c>
      <c r="L363" s="15">
        <v>23.0</v>
      </c>
      <c r="M363" s="40">
        <v>40331.0</v>
      </c>
      <c r="N363" s="40">
        <v>40631.0</v>
      </c>
      <c r="O363" s="15" t="s">
        <v>1554</v>
      </c>
      <c r="Q363" s="7"/>
    </row>
    <row r="364">
      <c r="A364" s="39" t="s">
        <v>3049</v>
      </c>
      <c r="B364" s="15">
        <v>866889.0</v>
      </c>
      <c r="C364" s="15" t="s">
        <v>3050</v>
      </c>
      <c r="D364" s="15">
        <v>64609.0</v>
      </c>
      <c r="E364" s="15" t="s">
        <v>1557</v>
      </c>
      <c r="F364" s="15" t="s">
        <v>1611</v>
      </c>
      <c r="G364" s="7">
        <v>38.368</v>
      </c>
      <c r="H364" s="15" t="s">
        <v>2365</v>
      </c>
      <c r="I364" s="15" t="s">
        <v>1586</v>
      </c>
      <c r="J364" s="15" t="s">
        <v>3051</v>
      </c>
      <c r="K364" s="15">
        <v>51.0</v>
      </c>
      <c r="L364" s="15">
        <v>47.0</v>
      </c>
      <c r="M364" s="40">
        <v>40382.0</v>
      </c>
      <c r="N364" s="40">
        <v>42577.0</v>
      </c>
      <c r="O364" s="15" t="s">
        <v>1554</v>
      </c>
      <c r="Q364" s="7"/>
    </row>
    <row r="365">
      <c r="A365" s="39" t="s">
        <v>3052</v>
      </c>
      <c r="B365" s="15">
        <v>582345.0</v>
      </c>
      <c r="C365" s="15" t="s">
        <v>3054</v>
      </c>
      <c r="D365" s="15">
        <v>64611.0</v>
      </c>
      <c r="E365" s="15" t="s">
        <v>1557</v>
      </c>
      <c r="F365" s="15" t="s">
        <v>1767</v>
      </c>
      <c r="G365" s="7">
        <v>88.322</v>
      </c>
      <c r="H365" s="15" t="s">
        <v>3055</v>
      </c>
      <c r="I365" s="15" t="s">
        <v>1586</v>
      </c>
      <c r="J365" s="15" t="s">
        <v>3056</v>
      </c>
      <c r="K365" s="15">
        <v>161.0</v>
      </c>
      <c r="L365" s="15">
        <v>158.0</v>
      </c>
      <c r="M365" s="40">
        <v>40334.0</v>
      </c>
      <c r="N365" s="40">
        <v>42650.0</v>
      </c>
      <c r="O365" s="15" t="s">
        <v>1554</v>
      </c>
      <c r="Q365" s="7"/>
    </row>
    <row r="366">
      <c r="A366" s="39" t="s">
        <v>3057</v>
      </c>
      <c r="B366" s="15">
        <v>910475.0</v>
      </c>
      <c r="C366" s="15" t="s">
        <v>3058</v>
      </c>
      <c r="D366" s="15">
        <v>64613.0</v>
      </c>
      <c r="E366" s="15" t="s">
        <v>1557</v>
      </c>
      <c r="F366" s="15" t="s">
        <v>1767</v>
      </c>
      <c r="G366" s="7">
        <v>32.317</v>
      </c>
      <c r="H366" s="15" t="s">
        <v>2094</v>
      </c>
      <c r="I366" s="15" t="s">
        <v>1586</v>
      </c>
      <c r="J366" s="15" t="s">
        <v>3059</v>
      </c>
      <c r="K366" s="15">
        <v>44.0</v>
      </c>
      <c r="L366" s="15">
        <v>44.0</v>
      </c>
      <c r="M366" s="41">
        <v>40504.0</v>
      </c>
      <c r="N366" s="40">
        <v>40631.0</v>
      </c>
      <c r="O366" s="15" t="s">
        <v>1554</v>
      </c>
      <c r="Q366" s="7"/>
    </row>
    <row r="367">
      <c r="A367" s="39" t="s">
        <v>3060</v>
      </c>
      <c r="B367" s="15">
        <v>59241.0</v>
      </c>
      <c r="C367" s="15" t="s">
        <v>3061</v>
      </c>
      <c r="D367" s="15">
        <v>64617.0</v>
      </c>
      <c r="E367" s="15" t="s">
        <v>1557</v>
      </c>
      <c r="F367" s="15" t="s">
        <v>1833</v>
      </c>
      <c r="G367" s="7">
        <v>56.506</v>
      </c>
      <c r="H367" s="15" t="s">
        <v>2640</v>
      </c>
      <c r="I367" s="15" t="s">
        <v>1586</v>
      </c>
      <c r="J367" s="15" t="s">
        <v>3063</v>
      </c>
      <c r="K367" s="15">
        <v>72.0</v>
      </c>
      <c r="L367" s="15">
        <v>72.0</v>
      </c>
      <c r="M367" s="41">
        <v>40530.0</v>
      </c>
      <c r="N367" s="40">
        <v>42577.0</v>
      </c>
      <c r="O367" s="15" t="s">
        <v>1554</v>
      </c>
      <c r="Q367" s="7"/>
    </row>
    <row r="368">
      <c r="A368" s="39" t="s">
        <v>3064</v>
      </c>
      <c r="B368" s="15">
        <v>925986.0</v>
      </c>
      <c r="C368" s="15" t="s">
        <v>3065</v>
      </c>
      <c r="D368" s="15">
        <v>64759.0</v>
      </c>
      <c r="E368" s="15" t="s">
        <v>1557</v>
      </c>
      <c r="F368" s="15" t="s">
        <v>1767</v>
      </c>
      <c r="G368" s="7">
        <v>84.565</v>
      </c>
      <c r="H368" s="15" t="s">
        <v>3066</v>
      </c>
      <c r="I368" s="15" t="s">
        <v>1586</v>
      </c>
      <c r="J368" s="15" t="s">
        <v>3067</v>
      </c>
      <c r="K368" s="15">
        <v>144.0</v>
      </c>
      <c r="L368" s="15">
        <v>118.0</v>
      </c>
      <c r="M368" s="41">
        <v>40492.0</v>
      </c>
      <c r="N368" s="40">
        <v>40631.0</v>
      </c>
      <c r="O368" s="15" t="s">
        <v>1554</v>
      </c>
      <c r="Q368" s="7"/>
    </row>
    <row r="369">
      <c r="A369" s="39" t="s">
        <v>3068</v>
      </c>
      <c r="B369" s="15">
        <v>877240.0</v>
      </c>
      <c r="C369" s="15" t="s">
        <v>3069</v>
      </c>
      <c r="D369" s="15">
        <v>64761.0</v>
      </c>
      <c r="E369" s="15" t="s">
        <v>1557</v>
      </c>
      <c r="F369" s="15" t="s">
        <v>1833</v>
      </c>
      <c r="G369" s="7">
        <v>30.651</v>
      </c>
      <c r="H369" s="15" t="s">
        <v>3070</v>
      </c>
      <c r="I369" s="15" t="s">
        <v>1586</v>
      </c>
      <c r="J369" s="15" t="s">
        <v>3072</v>
      </c>
      <c r="K369" s="15">
        <v>52.0</v>
      </c>
      <c r="L369" s="15">
        <v>52.0</v>
      </c>
      <c r="M369" s="40">
        <v>40418.0</v>
      </c>
      <c r="N369" s="40">
        <v>42384.0</v>
      </c>
      <c r="O369" s="15" t="s">
        <v>1554</v>
      </c>
      <c r="Q369" s="7"/>
    </row>
    <row r="370">
      <c r="A370" s="39" t="s">
        <v>3073</v>
      </c>
      <c r="B370" s="15">
        <v>743813.0</v>
      </c>
      <c r="C370" s="15" t="s">
        <v>3074</v>
      </c>
      <c r="D370" s="15">
        <v>64763.0</v>
      </c>
      <c r="E370" s="15" t="s">
        <v>1557</v>
      </c>
      <c r="F370" s="15" t="s">
        <v>1767</v>
      </c>
      <c r="G370" s="7">
        <v>93.198</v>
      </c>
      <c r="H370" s="15" t="s">
        <v>1772</v>
      </c>
      <c r="I370" s="15" t="s">
        <v>1586</v>
      </c>
      <c r="J370" s="15" t="s">
        <v>3075</v>
      </c>
      <c r="K370" s="15">
        <v>181.0</v>
      </c>
      <c r="L370" s="15">
        <v>181.0</v>
      </c>
      <c r="M370" s="40">
        <v>40626.0</v>
      </c>
      <c r="N370" s="40">
        <v>41613.0</v>
      </c>
      <c r="O370" s="15" t="s">
        <v>1554</v>
      </c>
      <c r="Q370" s="7"/>
    </row>
    <row r="371">
      <c r="A371" s="39" t="s">
        <v>3076</v>
      </c>
      <c r="B371" s="15">
        <v>925984.0</v>
      </c>
      <c r="C371" s="15" t="s">
        <v>3077</v>
      </c>
      <c r="D371" s="15">
        <v>64765.0</v>
      </c>
      <c r="E371" s="15" t="s">
        <v>1557</v>
      </c>
      <c r="F371" s="15" t="s">
        <v>1767</v>
      </c>
      <c r="G371" s="7">
        <v>47.279</v>
      </c>
      <c r="H371" s="15" t="s">
        <v>2075</v>
      </c>
      <c r="I371" s="15" t="s">
        <v>1586</v>
      </c>
      <c r="J371" s="15" t="s">
        <v>3079</v>
      </c>
      <c r="K371" s="15">
        <v>69.0</v>
      </c>
      <c r="L371" s="15">
        <v>68.0</v>
      </c>
      <c r="M371" s="41">
        <v>40492.0</v>
      </c>
      <c r="N371" s="40">
        <v>40631.0</v>
      </c>
      <c r="O371" s="15" t="s">
        <v>1554</v>
      </c>
      <c r="Q371" s="7"/>
    </row>
    <row r="372">
      <c r="A372" s="39" t="s">
        <v>3080</v>
      </c>
      <c r="B372" s="15">
        <v>867696.0</v>
      </c>
      <c r="C372" s="15" t="s">
        <v>3081</v>
      </c>
      <c r="D372" s="15">
        <v>64767.0</v>
      </c>
      <c r="E372" s="15" t="s">
        <v>1557</v>
      </c>
      <c r="F372" s="15" t="s">
        <v>1767</v>
      </c>
      <c r="G372" s="7">
        <v>157.061</v>
      </c>
      <c r="H372" s="15" t="s">
        <v>3082</v>
      </c>
      <c r="I372" s="15" t="s">
        <v>1586</v>
      </c>
      <c r="J372" s="15" t="s">
        <v>3083</v>
      </c>
      <c r="K372" s="15">
        <v>208.0</v>
      </c>
      <c r="L372" s="15">
        <v>208.0</v>
      </c>
      <c r="M372" s="40">
        <v>40388.0</v>
      </c>
      <c r="N372" s="40">
        <v>40626.0</v>
      </c>
      <c r="O372" s="15" t="s">
        <v>1554</v>
      </c>
      <c r="Q372" s="7"/>
    </row>
    <row r="373">
      <c r="A373" s="39" t="s">
        <v>3084</v>
      </c>
      <c r="B373" s="15">
        <v>926543.0</v>
      </c>
      <c r="C373" s="15" t="s">
        <v>3085</v>
      </c>
      <c r="D373" s="15">
        <v>64769.0</v>
      </c>
      <c r="E373" s="15" t="s">
        <v>1808</v>
      </c>
      <c r="F373" s="15" t="s">
        <v>2969</v>
      </c>
      <c r="G373" s="7">
        <v>5.475</v>
      </c>
      <c r="H373" s="15" t="s">
        <v>3086</v>
      </c>
      <c r="I373" s="15" t="s">
        <v>1586</v>
      </c>
      <c r="J373" s="15" t="s">
        <v>3087</v>
      </c>
      <c r="K373" s="15">
        <v>9.0</v>
      </c>
      <c r="L373" s="15">
        <v>9.0</v>
      </c>
      <c r="M373" s="41">
        <v>40502.0</v>
      </c>
      <c r="N373" s="40">
        <v>40631.0</v>
      </c>
      <c r="O373" s="15" t="s">
        <v>1554</v>
      </c>
      <c r="Q373" s="7"/>
    </row>
    <row r="374">
      <c r="A374" s="39" t="s">
        <v>3088</v>
      </c>
      <c r="B374" s="15">
        <v>999288.0</v>
      </c>
      <c r="C374" s="15" t="s">
        <v>3089</v>
      </c>
      <c r="D374" s="15">
        <v>65201.0</v>
      </c>
      <c r="E374" s="15" t="s">
        <v>1808</v>
      </c>
      <c r="F374" s="15" t="s">
        <v>1809</v>
      </c>
      <c r="G374" s="7">
        <v>2.782</v>
      </c>
      <c r="H374" s="15">
        <v>44.0</v>
      </c>
      <c r="I374" s="15" t="s">
        <v>1628</v>
      </c>
      <c r="J374" s="15" t="s">
        <v>3090</v>
      </c>
      <c r="K374" s="15">
        <v>6.0</v>
      </c>
      <c r="L374" s="15">
        <v>6.0</v>
      </c>
      <c r="M374" s="40">
        <v>40632.0</v>
      </c>
      <c r="N374" s="40">
        <v>40694.0</v>
      </c>
      <c r="O374" s="15" t="s">
        <v>1554</v>
      </c>
      <c r="Q374" s="7"/>
    </row>
    <row r="375">
      <c r="A375" s="39" t="s">
        <v>3092</v>
      </c>
      <c r="B375" s="15">
        <v>190063.0</v>
      </c>
      <c r="C375" s="15" t="s">
        <v>3093</v>
      </c>
      <c r="D375" s="15">
        <v>65223.0</v>
      </c>
      <c r="E375" s="15" t="s">
        <v>1557</v>
      </c>
      <c r="F375" s="15" t="s">
        <v>2628</v>
      </c>
      <c r="G375" s="7">
        <v>45.667</v>
      </c>
      <c r="H375" s="15" t="s">
        <v>1634</v>
      </c>
      <c r="I375" s="15" t="s">
        <v>1686</v>
      </c>
      <c r="J375" s="15" t="s">
        <v>3094</v>
      </c>
      <c r="K375" s="15">
        <v>46.0</v>
      </c>
      <c r="L375" s="15">
        <v>46.0</v>
      </c>
      <c r="M375" s="40">
        <v>40631.0</v>
      </c>
      <c r="N375" s="40">
        <v>40689.0</v>
      </c>
      <c r="O375" s="15" t="s">
        <v>1554</v>
      </c>
      <c r="Q375" s="7"/>
    </row>
    <row r="376">
      <c r="A376" s="39" t="s">
        <v>3095</v>
      </c>
      <c r="B376" s="15">
        <v>688540.0</v>
      </c>
      <c r="C376" s="15" t="s">
        <v>3096</v>
      </c>
      <c r="D376" s="15">
        <v>65275.0</v>
      </c>
      <c r="E376" s="15" t="s">
        <v>1808</v>
      </c>
      <c r="F376" s="15" t="s">
        <v>1809</v>
      </c>
      <c r="G376" s="7">
        <v>2.824</v>
      </c>
      <c r="H376" s="15" t="s">
        <v>3097</v>
      </c>
      <c r="I376" s="15" t="s">
        <v>1628</v>
      </c>
      <c r="J376" s="15" t="s">
        <v>3098</v>
      </c>
      <c r="K376" s="15">
        <v>6.0</v>
      </c>
      <c r="L376" s="15">
        <v>6.0</v>
      </c>
      <c r="M376" s="40">
        <v>40632.0</v>
      </c>
      <c r="N376" s="40">
        <v>40694.0</v>
      </c>
      <c r="O376" s="15" t="s">
        <v>1554</v>
      </c>
      <c r="Q376" s="7"/>
    </row>
    <row r="377">
      <c r="A377" s="39" t="s">
        <v>3099</v>
      </c>
      <c r="B377" s="15">
        <v>998829.0</v>
      </c>
      <c r="C377" s="15" t="s">
        <v>3100</v>
      </c>
      <c r="D377" s="15">
        <v>65277.0</v>
      </c>
      <c r="E377" s="15" t="s">
        <v>1557</v>
      </c>
      <c r="F377" s="15" t="s">
        <v>1822</v>
      </c>
      <c r="G377" s="7">
        <v>7.584</v>
      </c>
      <c r="H377" s="15" t="s">
        <v>3101</v>
      </c>
      <c r="I377" s="15" t="s">
        <v>1686</v>
      </c>
      <c r="J377" s="15" t="s">
        <v>3103</v>
      </c>
      <c r="K377" s="15">
        <v>7.0</v>
      </c>
      <c r="L377" s="15">
        <v>7.0</v>
      </c>
      <c r="M377" s="40">
        <v>40629.0</v>
      </c>
      <c r="N377" s="40">
        <v>40669.0</v>
      </c>
      <c r="O377" s="15" t="s">
        <v>1554</v>
      </c>
      <c r="Q377" s="7"/>
    </row>
    <row r="378">
      <c r="A378" s="39" t="s">
        <v>3104</v>
      </c>
      <c r="B378" s="15">
        <v>999883.0</v>
      </c>
      <c r="C378" s="15" t="s">
        <v>3105</v>
      </c>
      <c r="D378" s="15">
        <v>65279.0</v>
      </c>
      <c r="E378" s="15" t="s">
        <v>1557</v>
      </c>
      <c r="F378" s="15" t="s">
        <v>1982</v>
      </c>
      <c r="G378" s="7">
        <v>346.754</v>
      </c>
      <c r="H378" s="15" t="s">
        <v>1813</v>
      </c>
      <c r="I378" s="15" t="s">
        <v>1740</v>
      </c>
      <c r="J378" s="15" t="s">
        <v>3106</v>
      </c>
      <c r="K378" s="15">
        <v>444.0</v>
      </c>
      <c r="L378" s="15">
        <v>444.0</v>
      </c>
      <c r="M378" s="40">
        <v>40631.0</v>
      </c>
      <c r="N378" s="40">
        <v>42457.0</v>
      </c>
      <c r="O378" s="15" t="s">
        <v>1554</v>
      </c>
      <c r="Q378" s="7"/>
    </row>
    <row r="379">
      <c r="A379" s="39" t="s">
        <v>3107</v>
      </c>
      <c r="B379" s="15">
        <v>1001263.0</v>
      </c>
      <c r="C379" s="15" t="s">
        <v>3108</v>
      </c>
      <c r="D379" s="15">
        <v>65305.0</v>
      </c>
      <c r="E379" s="15" t="s">
        <v>2014</v>
      </c>
      <c r="F379" s="15" t="s">
        <v>1578</v>
      </c>
      <c r="G379" s="7">
        <v>1.396</v>
      </c>
      <c r="H379" s="15" t="s">
        <v>2648</v>
      </c>
      <c r="I379" s="15" t="s">
        <v>1628</v>
      </c>
      <c r="J379" s="15" t="s">
        <v>3109</v>
      </c>
      <c r="K379" s="15">
        <v>1.0</v>
      </c>
      <c r="L379" s="15">
        <v>1.0</v>
      </c>
      <c r="M379" s="40">
        <v>40609.0</v>
      </c>
      <c r="N379" s="40">
        <v>40674.0</v>
      </c>
      <c r="O379" s="15" t="s">
        <v>1554</v>
      </c>
      <c r="Q379" s="7"/>
    </row>
    <row r="380">
      <c r="A380" s="39" t="s">
        <v>3110</v>
      </c>
      <c r="B380" s="15">
        <v>930168.0</v>
      </c>
      <c r="C380" s="15" t="s">
        <v>3112</v>
      </c>
      <c r="D380" s="15">
        <v>65307.0</v>
      </c>
      <c r="E380" s="15" t="s">
        <v>1916</v>
      </c>
      <c r="F380" s="15" t="s">
        <v>1917</v>
      </c>
      <c r="G380" s="7">
        <v>7.723</v>
      </c>
      <c r="H380" s="42">
        <v>43306.0</v>
      </c>
      <c r="I380" s="15" t="s">
        <v>1628</v>
      </c>
      <c r="J380" s="15" t="s">
        <v>3113</v>
      </c>
      <c r="K380" s="15">
        <v>4.0</v>
      </c>
      <c r="L380" s="15">
        <v>4.0</v>
      </c>
      <c r="M380" s="40">
        <v>40637.0</v>
      </c>
      <c r="N380" s="40">
        <v>40655.0</v>
      </c>
      <c r="O380" s="15" t="s">
        <v>1554</v>
      </c>
      <c r="Q380" s="7"/>
    </row>
    <row r="381">
      <c r="A381" s="39" t="s">
        <v>3114</v>
      </c>
      <c r="B381" s="15">
        <v>629725.0</v>
      </c>
      <c r="C381" s="15" t="s">
        <v>3115</v>
      </c>
      <c r="D381" s="15">
        <v>65423.0</v>
      </c>
      <c r="E381" s="15" t="s">
        <v>1548</v>
      </c>
      <c r="F381" s="15" t="s">
        <v>3116</v>
      </c>
      <c r="G381" s="7">
        <v>12.495</v>
      </c>
      <c r="H381" s="15" t="s">
        <v>3117</v>
      </c>
      <c r="I381" s="15" t="s">
        <v>1803</v>
      </c>
      <c r="J381" s="15" t="s">
        <v>3118</v>
      </c>
      <c r="K381" s="15">
        <v>4.0</v>
      </c>
      <c r="L381" s="15">
        <v>4.0</v>
      </c>
      <c r="M381" s="40">
        <v>40635.0</v>
      </c>
      <c r="N381" s="40">
        <v>40655.0</v>
      </c>
      <c r="O381" s="15" t="s">
        <v>1554</v>
      </c>
      <c r="Q381" s="7"/>
    </row>
    <row r="382">
      <c r="A382" s="39" t="s">
        <v>3119</v>
      </c>
      <c r="B382" s="15">
        <v>112436.0</v>
      </c>
      <c r="C382" s="15" t="s">
        <v>3120</v>
      </c>
      <c r="D382" s="15">
        <v>65809.0</v>
      </c>
      <c r="E382" s="15" t="s">
        <v>1548</v>
      </c>
      <c r="F382" s="15" t="s">
        <v>1911</v>
      </c>
      <c r="G382" s="7">
        <v>9.999</v>
      </c>
      <c r="H382" s="15" t="s">
        <v>3070</v>
      </c>
      <c r="I382" s="15" t="s">
        <v>1628</v>
      </c>
      <c r="J382" s="15" t="s">
        <v>3121</v>
      </c>
      <c r="K382" s="15">
        <v>2.0</v>
      </c>
      <c r="L382" s="15">
        <v>2.0</v>
      </c>
      <c r="M382" s="40">
        <v>40644.0</v>
      </c>
      <c r="N382" s="40">
        <v>42045.0</v>
      </c>
      <c r="O382" s="15" t="s">
        <v>1554</v>
      </c>
      <c r="Q382" s="7"/>
    </row>
    <row r="383">
      <c r="A383" s="39" t="s">
        <v>3122</v>
      </c>
      <c r="B383" s="15">
        <v>409486.0</v>
      </c>
      <c r="C383" s="15" t="s">
        <v>3124</v>
      </c>
      <c r="D383" s="15">
        <v>65811.0</v>
      </c>
      <c r="E383" s="15" t="s">
        <v>1548</v>
      </c>
      <c r="F383" s="15" t="s">
        <v>1911</v>
      </c>
      <c r="G383" s="7">
        <v>9.682</v>
      </c>
      <c r="H383" s="15" t="s">
        <v>2118</v>
      </c>
      <c r="I383" s="15" t="s">
        <v>1628</v>
      </c>
      <c r="J383" s="15" t="s">
        <v>3125</v>
      </c>
      <c r="K383" s="15">
        <v>2.0</v>
      </c>
      <c r="L383" s="15">
        <v>2.0</v>
      </c>
      <c r="M383" s="40">
        <v>40644.0</v>
      </c>
      <c r="N383" s="40">
        <v>42045.0</v>
      </c>
      <c r="O383" s="15" t="s">
        <v>1554</v>
      </c>
      <c r="Q383" s="7"/>
    </row>
    <row r="384">
      <c r="A384" s="39" t="s">
        <v>3126</v>
      </c>
      <c r="B384" s="15">
        <v>1003891.0</v>
      </c>
      <c r="C384" s="15" t="s">
        <v>3127</v>
      </c>
      <c r="D384" s="15">
        <v>65813.0</v>
      </c>
      <c r="E384" s="15" t="s">
        <v>1548</v>
      </c>
      <c r="F384" s="15" t="s">
        <v>1786</v>
      </c>
      <c r="G384" s="7">
        <v>6.942</v>
      </c>
      <c r="H384" s="15" t="s">
        <v>2668</v>
      </c>
      <c r="I384" s="15" t="s">
        <v>1628</v>
      </c>
      <c r="J384" s="15" t="s">
        <v>3128</v>
      </c>
      <c r="K384" s="15">
        <v>2.0</v>
      </c>
      <c r="L384" s="15">
        <v>2.0</v>
      </c>
      <c r="M384" s="40">
        <v>40644.0</v>
      </c>
      <c r="N384" s="40">
        <v>40766.0</v>
      </c>
      <c r="O384" s="15" t="s">
        <v>1554</v>
      </c>
      <c r="Q384" s="7"/>
    </row>
    <row r="385">
      <c r="A385" s="39" t="s">
        <v>3129</v>
      </c>
      <c r="B385" s="15">
        <v>1002273.0</v>
      </c>
      <c r="C385" s="15" t="s">
        <v>3130</v>
      </c>
      <c r="D385" s="15">
        <v>65815.0</v>
      </c>
      <c r="E385" s="15" t="s">
        <v>1808</v>
      </c>
      <c r="F385" s="15" t="s">
        <v>1998</v>
      </c>
      <c r="G385" s="7">
        <v>2.383</v>
      </c>
      <c r="H385" s="15" t="s">
        <v>2237</v>
      </c>
      <c r="I385" s="15" t="s">
        <v>1686</v>
      </c>
      <c r="J385" s="15" t="s">
        <v>3132</v>
      </c>
      <c r="K385" s="15">
        <v>3.0</v>
      </c>
      <c r="L385" s="15">
        <v>3.0</v>
      </c>
      <c r="M385" s="40">
        <v>40644.0</v>
      </c>
      <c r="N385" s="40">
        <v>42583.0</v>
      </c>
      <c r="O385" s="15" t="s">
        <v>1554</v>
      </c>
      <c r="Q385" s="7"/>
    </row>
    <row r="386">
      <c r="A386" s="39" t="s">
        <v>3133</v>
      </c>
      <c r="B386" s="15">
        <v>858517.0</v>
      </c>
      <c r="C386" s="15" t="s">
        <v>3134</v>
      </c>
      <c r="D386" s="15">
        <v>65817.0</v>
      </c>
      <c r="E386" s="15" t="s">
        <v>1808</v>
      </c>
      <c r="F386" s="15" t="s">
        <v>1809</v>
      </c>
      <c r="G386" s="7">
        <v>2.566</v>
      </c>
      <c r="H386" s="15" t="s">
        <v>1772</v>
      </c>
      <c r="I386" s="15" t="s">
        <v>1628</v>
      </c>
      <c r="J386" s="15" t="s">
        <v>3135</v>
      </c>
      <c r="K386" s="15">
        <v>3.0</v>
      </c>
      <c r="L386" s="15">
        <v>3.0</v>
      </c>
      <c r="M386" s="40">
        <v>40644.0</v>
      </c>
      <c r="N386" s="40">
        <v>40658.0</v>
      </c>
      <c r="O386" s="15" t="s">
        <v>1554</v>
      </c>
      <c r="Q386" s="7"/>
    </row>
    <row r="387">
      <c r="A387" s="39" t="s">
        <v>3136</v>
      </c>
      <c r="B387" s="15">
        <v>283675.0</v>
      </c>
      <c r="C387" s="15" t="s">
        <v>3137</v>
      </c>
      <c r="D387" s="15">
        <v>65819.0</v>
      </c>
      <c r="E387" s="15" t="s">
        <v>1557</v>
      </c>
      <c r="F387" s="15" t="s">
        <v>1992</v>
      </c>
      <c r="G387" s="7">
        <v>101.487</v>
      </c>
      <c r="H387" s="15" t="s">
        <v>2107</v>
      </c>
      <c r="I387" s="15" t="s">
        <v>1560</v>
      </c>
      <c r="J387" s="15" t="s">
        <v>3138</v>
      </c>
      <c r="K387" s="15">
        <v>123.0</v>
      </c>
      <c r="L387" s="15">
        <v>123.0</v>
      </c>
      <c r="M387" s="40">
        <v>40644.0</v>
      </c>
      <c r="N387" s="40">
        <v>40722.0</v>
      </c>
      <c r="O387" s="15" t="s">
        <v>1554</v>
      </c>
      <c r="Q387" s="7"/>
    </row>
    <row r="388">
      <c r="A388" s="39" t="s">
        <v>3139</v>
      </c>
      <c r="B388" s="15">
        <v>759938.0</v>
      </c>
      <c r="C388" s="15" t="s">
        <v>3140</v>
      </c>
      <c r="D388" s="15">
        <v>65821.0</v>
      </c>
      <c r="E388" s="15" t="s">
        <v>1808</v>
      </c>
      <c r="F388" s="15" t="s">
        <v>1998</v>
      </c>
      <c r="G388" s="7">
        <v>1.957</v>
      </c>
      <c r="H388" s="15" t="s">
        <v>1844</v>
      </c>
      <c r="I388" s="15" t="s">
        <v>1686</v>
      </c>
      <c r="J388" s="15" t="s">
        <v>3142</v>
      </c>
      <c r="K388" s="15">
        <v>2.0</v>
      </c>
      <c r="L388" s="15">
        <v>2.0</v>
      </c>
      <c r="M388" s="40">
        <v>40646.0</v>
      </c>
      <c r="N388" s="40">
        <v>40749.0</v>
      </c>
      <c r="O388" s="15" t="s">
        <v>1554</v>
      </c>
      <c r="Q388" s="7"/>
    </row>
    <row r="389">
      <c r="A389" s="39" t="s">
        <v>3143</v>
      </c>
      <c r="B389" s="15">
        <v>688699.0</v>
      </c>
      <c r="C389" s="15" t="s">
        <v>3144</v>
      </c>
      <c r="D389" s="15">
        <v>66185.0</v>
      </c>
      <c r="E389" s="15" t="s">
        <v>1548</v>
      </c>
      <c r="F389" s="15" t="s">
        <v>3116</v>
      </c>
      <c r="G389" s="7">
        <v>12.603</v>
      </c>
      <c r="H389" s="15" t="s">
        <v>3145</v>
      </c>
      <c r="I389" s="15" t="s">
        <v>1803</v>
      </c>
      <c r="J389" s="15" t="s">
        <v>3146</v>
      </c>
      <c r="K389" s="15">
        <v>4.0</v>
      </c>
      <c r="L389" s="15">
        <v>4.0</v>
      </c>
      <c r="M389" s="40">
        <v>40392.0</v>
      </c>
      <c r="N389" s="40">
        <v>40659.0</v>
      </c>
      <c r="O389" s="15" t="s">
        <v>1554</v>
      </c>
      <c r="Q389" s="7"/>
    </row>
    <row r="390">
      <c r="A390" s="39" t="s">
        <v>3148</v>
      </c>
      <c r="B390" s="15">
        <v>12615.0</v>
      </c>
      <c r="C390" s="15" t="s">
        <v>3149</v>
      </c>
      <c r="D390" s="15">
        <v>66187.0</v>
      </c>
      <c r="E390" s="15" t="s">
        <v>1548</v>
      </c>
      <c r="F390" s="15" t="s">
        <v>1626</v>
      </c>
      <c r="G390" s="7">
        <v>14.278</v>
      </c>
      <c r="H390" s="15" t="s">
        <v>3150</v>
      </c>
      <c r="I390" s="15" t="s">
        <v>1628</v>
      </c>
      <c r="J390" s="15" t="s">
        <v>3151</v>
      </c>
      <c r="K390" s="15">
        <v>2.0</v>
      </c>
      <c r="L390" s="15">
        <v>2.0</v>
      </c>
      <c r="M390" s="40">
        <v>40654.0</v>
      </c>
      <c r="N390" s="41">
        <v>42297.0</v>
      </c>
      <c r="O390" s="15" t="s">
        <v>1554</v>
      </c>
      <c r="Q390" s="7"/>
    </row>
    <row r="391">
      <c r="A391" s="39" t="s">
        <v>3152</v>
      </c>
      <c r="B391" s="15">
        <v>90963.0</v>
      </c>
      <c r="C391" s="15" t="s">
        <v>3153</v>
      </c>
      <c r="D391" s="15">
        <v>14012.0</v>
      </c>
      <c r="E391" s="15" t="s">
        <v>1808</v>
      </c>
      <c r="F391" s="15" t="s">
        <v>3154</v>
      </c>
      <c r="G391" s="7">
        <v>4.529</v>
      </c>
      <c r="H391" s="15">
        <v>41.0</v>
      </c>
      <c r="I391" s="15" t="s">
        <v>1586</v>
      </c>
      <c r="J391" s="15" t="s">
        <v>3156</v>
      </c>
      <c r="K391" s="15">
        <v>9.0</v>
      </c>
      <c r="L391" s="15">
        <v>9.0</v>
      </c>
      <c r="M391" s="40">
        <v>36162.0</v>
      </c>
      <c r="N391" s="40">
        <v>42399.0</v>
      </c>
      <c r="O391" s="15" t="s">
        <v>1554</v>
      </c>
      <c r="Q391" s="7"/>
    </row>
    <row r="392">
      <c r="A392" s="39" t="s">
        <v>3157</v>
      </c>
      <c r="B392" s="15">
        <v>223307.0</v>
      </c>
      <c r="C392" s="15" t="s">
        <v>3158</v>
      </c>
      <c r="D392" s="15">
        <v>14013.0</v>
      </c>
      <c r="E392" s="15" t="s">
        <v>1808</v>
      </c>
      <c r="F392" s="15" t="s">
        <v>1809</v>
      </c>
      <c r="G392" s="7">
        <v>5.126</v>
      </c>
      <c r="H392" s="15" t="s">
        <v>3159</v>
      </c>
      <c r="I392" s="15" t="s">
        <v>1628</v>
      </c>
      <c r="J392" s="15" t="s">
        <v>3160</v>
      </c>
      <c r="K392" s="15">
        <v>7.0</v>
      </c>
      <c r="L392" s="15">
        <v>7.0</v>
      </c>
      <c r="M392" s="40">
        <v>35712.0</v>
      </c>
      <c r="N392" s="41">
        <v>42297.0</v>
      </c>
      <c r="O392" s="15" t="s">
        <v>1554</v>
      </c>
      <c r="Q392" s="7"/>
    </row>
    <row r="393">
      <c r="A393" s="39" t="s">
        <v>3162</v>
      </c>
      <c r="B393" s="15">
        <v>244589.0</v>
      </c>
      <c r="C393" s="15" t="s">
        <v>3163</v>
      </c>
      <c r="D393" s="15">
        <v>14014.0</v>
      </c>
      <c r="E393" s="15" t="s">
        <v>1557</v>
      </c>
      <c r="F393" s="15" t="s">
        <v>3164</v>
      </c>
      <c r="G393" s="7">
        <v>15.465</v>
      </c>
      <c r="H393" s="15" t="s">
        <v>3000</v>
      </c>
      <c r="I393" s="15" t="s">
        <v>1618</v>
      </c>
      <c r="J393" s="15" t="s">
        <v>3165</v>
      </c>
      <c r="K393" s="15">
        <v>32.0</v>
      </c>
      <c r="L393" s="15">
        <v>31.0</v>
      </c>
      <c r="M393" s="40">
        <v>32340.0</v>
      </c>
      <c r="N393" s="40">
        <v>42577.0</v>
      </c>
      <c r="O393" s="15" t="s">
        <v>1554</v>
      </c>
      <c r="Q393" s="7"/>
    </row>
    <row r="394">
      <c r="A394" s="39" t="s">
        <v>3166</v>
      </c>
      <c r="B394" s="15">
        <v>10844.0</v>
      </c>
      <c r="D394" s="15">
        <v>0.0</v>
      </c>
      <c r="E394" s="15" t="s">
        <v>1808</v>
      </c>
      <c r="F394" s="15" t="s">
        <v>3154</v>
      </c>
      <c r="G394" s="7">
        <v>5.386</v>
      </c>
      <c r="H394" s="15" t="s">
        <v>1818</v>
      </c>
      <c r="I394" s="15" t="s">
        <v>1586</v>
      </c>
      <c r="J394" s="15" t="s">
        <v>3167</v>
      </c>
      <c r="K394" s="15" t="s">
        <v>1722</v>
      </c>
      <c r="L394" s="15">
        <v>11.0</v>
      </c>
      <c r="M394" s="40">
        <v>36836.0</v>
      </c>
      <c r="N394" s="40">
        <v>37518.0</v>
      </c>
      <c r="O394" s="15" t="s">
        <v>1554</v>
      </c>
      <c r="Q394" s="7"/>
    </row>
    <row r="395">
      <c r="A395" s="39" t="s">
        <v>3169</v>
      </c>
      <c r="B395" s="15">
        <v>574890.0</v>
      </c>
      <c r="C395" s="15" t="s">
        <v>3170</v>
      </c>
      <c r="D395" s="15">
        <v>41625.0</v>
      </c>
      <c r="E395" s="15" t="s">
        <v>1808</v>
      </c>
      <c r="F395" s="15" t="s">
        <v>1809</v>
      </c>
      <c r="G395" s="7">
        <v>2.814</v>
      </c>
      <c r="H395" s="15">
        <v>45.0</v>
      </c>
      <c r="I395" s="15" t="s">
        <v>1628</v>
      </c>
      <c r="J395" s="15" t="s">
        <v>3171</v>
      </c>
      <c r="K395" s="15">
        <v>6.0</v>
      </c>
      <c r="L395" s="15">
        <v>6.0</v>
      </c>
      <c r="M395" s="40">
        <v>39977.0</v>
      </c>
      <c r="N395" s="40">
        <v>40520.0</v>
      </c>
      <c r="O395" s="15" t="s">
        <v>1554</v>
      </c>
      <c r="Q395" s="7"/>
    </row>
    <row r="396">
      <c r="A396" s="39" t="s">
        <v>3172</v>
      </c>
      <c r="B396" s="15">
        <v>663282.0</v>
      </c>
      <c r="C396" s="15" t="s">
        <v>3173</v>
      </c>
      <c r="D396" s="15">
        <v>41725.0</v>
      </c>
      <c r="E396" s="15" t="s">
        <v>1638</v>
      </c>
      <c r="F396" s="15" t="s">
        <v>1639</v>
      </c>
      <c r="G396" s="7">
        <v>6.78</v>
      </c>
      <c r="H396" s="15" t="s">
        <v>2023</v>
      </c>
      <c r="I396" s="15" t="s">
        <v>1560</v>
      </c>
      <c r="J396" s="15" t="s">
        <v>3174</v>
      </c>
      <c r="K396" s="15">
        <v>2.0</v>
      </c>
      <c r="L396" s="15">
        <v>2.0</v>
      </c>
      <c r="M396" s="40">
        <v>40125.0</v>
      </c>
      <c r="N396" s="40">
        <v>40213.0</v>
      </c>
      <c r="O396" s="15" t="s">
        <v>1554</v>
      </c>
      <c r="Q396" s="7"/>
    </row>
    <row r="397">
      <c r="A397" s="39" t="s">
        <v>3175</v>
      </c>
      <c r="B397" s="15">
        <v>666859.0</v>
      </c>
      <c r="C397" s="15" t="s">
        <v>3176</v>
      </c>
      <c r="D397" s="15">
        <v>42145.0</v>
      </c>
      <c r="E397" s="15" t="s">
        <v>1548</v>
      </c>
      <c r="F397" s="15" t="s">
        <v>1786</v>
      </c>
      <c r="G397" s="7">
        <v>8.662</v>
      </c>
      <c r="H397" s="15" t="s">
        <v>2877</v>
      </c>
      <c r="I397" s="15" t="s">
        <v>1628</v>
      </c>
      <c r="J397" s="15" t="s">
        <v>3178</v>
      </c>
      <c r="K397" s="15">
        <v>6.0</v>
      </c>
      <c r="L397" s="15">
        <v>6.0</v>
      </c>
      <c r="M397" s="41">
        <v>40137.0</v>
      </c>
      <c r="N397" s="40">
        <v>40149.0</v>
      </c>
      <c r="O397" s="15" t="s">
        <v>1554</v>
      </c>
      <c r="Q397" s="7"/>
    </row>
    <row r="398">
      <c r="A398" s="39" t="s">
        <v>3179</v>
      </c>
      <c r="B398" s="15">
        <v>48544.0</v>
      </c>
      <c r="C398" s="15" t="s">
        <v>3180</v>
      </c>
      <c r="D398" s="15">
        <v>42147.0</v>
      </c>
      <c r="E398" s="15" t="s">
        <v>1548</v>
      </c>
      <c r="F398" s="15" t="s">
        <v>3181</v>
      </c>
      <c r="G398" s="7">
        <v>11.381</v>
      </c>
      <c r="H398" s="15" t="s">
        <v>1918</v>
      </c>
      <c r="I398" s="15" t="s">
        <v>1751</v>
      </c>
      <c r="J398" s="15" t="s">
        <v>3182</v>
      </c>
      <c r="K398" s="15">
        <v>3.0</v>
      </c>
      <c r="L398" s="15">
        <v>3.0</v>
      </c>
      <c r="M398" s="41">
        <v>40141.0</v>
      </c>
      <c r="N398" s="40">
        <v>41087.0</v>
      </c>
      <c r="O398" s="15" t="s">
        <v>1554</v>
      </c>
      <c r="Q398" s="7"/>
    </row>
    <row r="399">
      <c r="A399" s="39" t="s">
        <v>3183</v>
      </c>
      <c r="B399" s="15">
        <v>700512.0</v>
      </c>
      <c r="C399" s="15" t="s">
        <v>3184</v>
      </c>
      <c r="D399" s="15">
        <v>42177.0</v>
      </c>
      <c r="E399" s="15" t="s">
        <v>1557</v>
      </c>
      <c r="F399" s="15" t="s">
        <v>1833</v>
      </c>
      <c r="G399" s="7">
        <v>81.184</v>
      </c>
      <c r="H399" s="15">
        <v>45.0</v>
      </c>
      <c r="I399" s="15" t="s">
        <v>1586</v>
      </c>
      <c r="J399" s="15" t="s">
        <v>3185</v>
      </c>
      <c r="K399" s="15">
        <v>116.0</v>
      </c>
      <c r="L399" s="15">
        <v>115.0</v>
      </c>
      <c r="M399" s="41">
        <v>40866.0</v>
      </c>
      <c r="N399" s="40">
        <v>41113.0</v>
      </c>
      <c r="O399" s="15" t="s">
        <v>1554</v>
      </c>
      <c r="Q399" s="7"/>
    </row>
    <row r="400">
      <c r="A400" s="39" t="s">
        <v>3187</v>
      </c>
      <c r="B400" s="15">
        <v>536466.0</v>
      </c>
      <c r="C400" s="15" t="s">
        <v>3188</v>
      </c>
      <c r="D400" s="15">
        <v>42181.0</v>
      </c>
      <c r="E400" s="15" t="s">
        <v>1557</v>
      </c>
      <c r="F400" s="15" t="s">
        <v>1767</v>
      </c>
      <c r="G400" s="7">
        <v>182.801</v>
      </c>
      <c r="H400" s="15" t="s">
        <v>2304</v>
      </c>
      <c r="I400" s="15" t="s">
        <v>1586</v>
      </c>
      <c r="J400" s="15" t="s">
        <v>3189</v>
      </c>
      <c r="K400" s="15">
        <v>223.0</v>
      </c>
      <c r="L400" s="15">
        <v>220.0</v>
      </c>
      <c r="M400" s="40">
        <v>41343.0</v>
      </c>
      <c r="N400" s="40">
        <v>41363.0</v>
      </c>
      <c r="O400" s="15" t="s">
        <v>1554</v>
      </c>
      <c r="Q400" s="7"/>
    </row>
    <row r="401">
      <c r="A401" s="39" t="s">
        <v>3190</v>
      </c>
      <c r="B401" s="15">
        <v>616674.0</v>
      </c>
      <c r="C401" s="15" t="s">
        <v>3191</v>
      </c>
      <c r="D401" s="15">
        <v>42183.0</v>
      </c>
      <c r="E401" s="15" t="s">
        <v>1557</v>
      </c>
      <c r="F401" s="15" t="s">
        <v>1578</v>
      </c>
      <c r="G401" s="7">
        <v>46.997</v>
      </c>
      <c r="H401" s="15" t="s">
        <v>2019</v>
      </c>
      <c r="I401" s="15" t="s">
        <v>1586</v>
      </c>
      <c r="J401" s="15" t="s">
        <v>3192</v>
      </c>
      <c r="K401" s="15">
        <v>53.0</v>
      </c>
      <c r="L401" s="15">
        <v>52.0</v>
      </c>
      <c r="M401" s="40">
        <v>41343.0</v>
      </c>
      <c r="N401" s="40">
        <v>41363.0</v>
      </c>
      <c r="O401" s="15" t="s">
        <v>1554</v>
      </c>
      <c r="Q401" s="7"/>
    </row>
    <row r="402">
      <c r="A402" s="39" t="s">
        <v>3194</v>
      </c>
      <c r="B402" s="15">
        <v>693629.0</v>
      </c>
      <c r="C402" s="15" t="s">
        <v>3195</v>
      </c>
      <c r="D402" s="15">
        <v>42351.0</v>
      </c>
      <c r="E402" s="15" t="s">
        <v>1557</v>
      </c>
      <c r="F402" s="15" t="s">
        <v>3164</v>
      </c>
      <c r="G402" s="7">
        <v>24.186</v>
      </c>
      <c r="H402" s="15" t="s">
        <v>2396</v>
      </c>
      <c r="I402" s="15" t="s">
        <v>1618</v>
      </c>
      <c r="J402" s="15" t="s">
        <v>3196</v>
      </c>
      <c r="K402" s="15">
        <v>38.0</v>
      </c>
      <c r="L402" s="15">
        <v>38.0</v>
      </c>
      <c r="M402" s="41">
        <v>40142.0</v>
      </c>
      <c r="N402" s="40">
        <v>40266.0</v>
      </c>
      <c r="O402" s="15" t="s">
        <v>1554</v>
      </c>
      <c r="Q402" s="7"/>
    </row>
    <row r="403">
      <c r="A403" s="39" t="s">
        <v>3198</v>
      </c>
      <c r="B403" s="15">
        <v>693627.0</v>
      </c>
      <c r="C403" s="15" t="s">
        <v>3199</v>
      </c>
      <c r="D403" s="15">
        <v>42355.0</v>
      </c>
      <c r="E403" s="15" t="s">
        <v>1557</v>
      </c>
      <c r="F403" s="15" t="s">
        <v>3164</v>
      </c>
      <c r="G403" s="7">
        <v>15.684</v>
      </c>
      <c r="H403" s="15" t="s">
        <v>2342</v>
      </c>
      <c r="I403" s="15" t="s">
        <v>1618</v>
      </c>
      <c r="J403" s="15" t="s">
        <v>3200</v>
      </c>
      <c r="K403" s="15">
        <v>33.0</v>
      </c>
      <c r="L403" s="15">
        <v>33.0</v>
      </c>
      <c r="M403" s="41">
        <v>40142.0</v>
      </c>
      <c r="N403" s="40">
        <v>40367.0</v>
      </c>
      <c r="O403" s="15" t="s">
        <v>1554</v>
      </c>
      <c r="Q403" s="7"/>
    </row>
    <row r="404">
      <c r="A404" s="39" t="s">
        <v>3201</v>
      </c>
      <c r="B404" s="15">
        <v>693628.0</v>
      </c>
      <c r="C404" s="15" t="s">
        <v>3202</v>
      </c>
      <c r="D404" s="15">
        <v>42357.0</v>
      </c>
      <c r="E404" s="15" t="s">
        <v>1557</v>
      </c>
      <c r="F404" s="15" t="s">
        <v>3164</v>
      </c>
      <c r="G404" s="7">
        <v>17.602</v>
      </c>
      <c r="H404" s="15">
        <v>39.0</v>
      </c>
      <c r="I404" s="15" t="s">
        <v>1618</v>
      </c>
      <c r="J404" s="15" t="s">
        <v>3203</v>
      </c>
      <c r="K404" s="15">
        <v>33.0</v>
      </c>
      <c r="L404" s="15">
        <v>33.0</v>
      </c>
      <c r="M404" s="41">
        <v>40142.0</v>
      </c>
      <c r="N404" s="40">
        <v>40367.0</v>
      </c>
      <c r="O404" s="15" t="s">
        <v>1554</v>
      </c>
      <c r="Q404" s="7"/>
    </row>
    <row r="405">
      <c r="A405" s="39" t="s">
        <v>3204</v>
      </c>
      <c r="B405" s="15">
        <v>10334.0</v>
      </c>
      <c r="C405" s="15" t="s">
        <v>3205</v>
      </c>
      <c r="D405" s="15">
        <v>42429.0</v>
      </c>
      <c r="E405" s="15" t="s">
        <v>1557</v>
      </c>
      <c r="F405" s="15" t="s">
        <v>1827</v>
      </c>
      <c r="G405" s="7">
        <v>135.797</v>
      </c>
      <c r="H405" s="15" t="s">
        <v>1745</v>
      </c>
      <c r="I405" s="15" t="s">
        <v>1686</v>
      </c>
      <c r="J405" s="15" t="s">
        <v>3207</v>
      </c>
      <c r="K405" s="15">
        <v>77.0</v>
      </c>
      <c r="L405" s="15">
        <v>77.0</v>
      </c>
      <c r="M405" s="41">
        <v>40147.0</v>
      </c>
      <c r="N405" s="40">
        <v>40302.0</v>
      </c>
      <c r="O405" s="15" t="s">
        <v>1554</v>
      </c>
      <c r="Q405" s="7"/>
    </row>
    <row r="406">
      <c r="A406" s="39" t="s">
        <v>3208</v>
      </c>
      <c r="B406" s="15">
        <v>679536.0</v>
      </c>
      <c r="C406" s="15" t="s">
        <v>3209</v>
      </c>
      <c r="D406" s="15">
        <v>42507.0</v>
      </c>
      <c r="E406" s="15" t="s">
        <v>2014</v>
      </c>
      <c r="F406" s="15" t="s">
        <v>1578</v>
      </c>
      <c r="G406" s="7">
        <v>1.387</v>
      </c>
      <c r="H406" s="15">
        <v>42.0</v>
      </c>
      <c r="I406" s="15" t="s">
        <v>1628</v>
      </c>
      <c r="J406" s="15" t="s">
        <v>3210</v>
      </c>
      <c r="K406" s="15">
        <v>1.0</v>
      </c>
      <c r="L406" s="15">
        <v>1.0</v>
      </c>
      <c r="M406" s="41">
        <v>40146.0</v>
      </c>
      <c r="N406" s="40">
        <v>40579.0</v>
      </c>
      <c r="O406" s="15" t="s">
        <v>1554</v>
      </c>
      <c r="Q406" s="7"/>
    </row>
    <row r="407">
      <c r="A407" s="39" t="s">
        <v>3211</v>
      </c>
      <c r="B407" s="15">
        <v>665033.0</v>
      </c>
      <c r="C407" s="15" t="s">
        <v>3212</v>
      </c>
      <c r="D407" s="15">
        <v>42515.0</v>
      </c>
      <c r="E407" s="15" t="s">
        <v>1557</v>
      </c>
      <c r="F407" s="15" t="s">
        <v>1767</v>
      </c>
      <c r="G407" s="7">
        <v>37.235</v>
      </c>
      <c r="H407" s="15" t="s">
        <v>2361</v>
      </c>
      <c r="I407" s="15" t="s">
        <v>1586</v>
      </c>
      <c r="J407" s="15" t="s">
        <v>3213</v>
      </c>
      <c r="K407" s="15">
        <v>57.0</v>
      </c>
      <c r="L407" s="15">
        <v>57.0</v>
      </c>
      <c r="M407" s="40">
        <v>40071.0</v>
      </c>
      <c r="N407" s="40">
        <v>40358.0</v>
      </c>
      <c r="O407" s="15" t="s">
        <v>1554</v>
      </c>
      <c r="Q407" s="7"/>
    </row>
    <row r="408">
      <c r="A408" s="39" t="s">
        <v>3214</v>
      </c>
      <c r="B408" s="15">
        <v>682370.0</v>
      </c>
      <c r="C408" s="15" t="s">
        <v>3215</v>
      </c>
      <c r="D408" s="15">
        <v>42593.0</v>
      </c>
      <c r="E408" s="15" t="s">
        <v>1557</v>
      </c>
      <c r="F408" s="15" t="s">
        <v>1833</v>
      </c>
      <c r="G408" s="7">
        <v>35.525</v>
      </c>
      <c r="H408" s="15" t="s">
        <v>2304</v>
      </c>
      <c r="I408" s="15" t="s">
        <v>1586</v>
      </c>
      <c r="J408" s="15" t="s">
        <v>3216</v>
      </c>
      <c r="K408" s="15">
        <v>44.0</v>
      </c>
      <c r="L408" s="15">
        <v>44.0</v>
      </c>
      <c r="M408" s="40">
        <v>40092.0</v>
      </c>
      <c r="N408" s="40">
        <v>40185.0</v>
      </c>
      <c r="O408" s="15" t="s">
        <v>1554</v>
      </c>
      <c r="Q408" s="7"/>
    </row>
    <row r="409">
      <c r="A409" s="39" t="s">
        <v>3218</v>
      </c>
      <c r="B409" s="15">
        <v>670252.0</v>
      </c>
      <c r="C409" s="15" t="s">
        <v>3219</v>
      </c>
      <c r="D409" s="15">
        <v>42595.0</v>
      </c>
      <c r="E409" s="15" t="s">
        <v>1557</v>
      </c>
      <c r="F409" s="15" t="s">
        <v>1611</v>
      </c>
      <c r="G409" s="7">
        <v>36.674</v>
      </c>
      <c r="H409" s="15" t="s">
        <v>3220</v>
      </c>
      <c r="I409" s="15" t="s">
        <v>1586</v>
      </c>
      <c r="J409" s="15" t="s">
        <v>3221</v>
      </c>
      <c r="K409" s="15">
        <v>45.0</v>
      </c>
      <c r="L409" s="15">
        <v>45.0</v>
      </c>
      <c r="M409" s="40">
        <v>40063.0</v>
      </c>
      <c r="N409" s="40">
        <v>40186.0</v>
      </c>
      <c r="O409" s="15" t="s">
        <v>1554</v>
      </c>
      <c r="Q409" s="7"/>
    </row>
    <row r="410">
      <c r="A410" s="39" t="s">
        <v>3222</v>
      </c>
      <c r="B410" s="15">
        <v>673375.0</v>
      </c>
      <c r="C410" s="15" t="s">
        <v>3223</v>
      </c>
      <c r="D410" s="15">
        <v>42597.0</v>
      </c>
      <c r="E410" s="15" t="s">
        <v>1557</v>
      </c>
      <c r="F410" s="15" t="s">
        <v>1833</v>
      </c>
      <c r="G410" s="7">
        <v>45.169</v>
      </c>
      <c r="H410" s="15" t="s">
        <v>1634</v>
      </c>
      <c r="I410" s="15" t="s">
        <v>1586</v>
      </c>
      <c r="J410" s="15" t="s">
        <v>3224</v>
      </c>
      <c r="K410" s="15">
        <v>59.0</v>
      </c>
      <c r="L410" s="15">
        <v>59.0</v>
      </c>
      <c r="M410" s="40">
        <v>40078.0</v>
      </c>
      <c r="N410" s="40">
        <v>40788.0</v>
      </c>
      <c r="O410" s="15" t="s">
        <v>1554</v>
      </c>
      <c r="Q410" s="7"/>
    </row>
    <row r="411">
      <c r="A411" s="39" t="s">
        <v>3225</v>
      </c>
      <c r="B411" s="15">
        <v>693582.0</v>
      </c>
      <c r="C411" s="15" t="s">
        <v>3226</v>
      </c>
      <c r="D411" s="15">
        <v>42717.0</v>
      </c>
      <c r="E411" s="15" t="s">
        <v>1557</v>
      </c>
      <c r="F411" s="15" t="s">
        <v>1611</v>
      </c>
      <c r="G411" s="7">
        <v>43.144</v>
      </c>
      <c r="H411" s="15" t="s">
        <v>3227</v>
      </c>
      <c r="I411" s="15" t="s">
        <v>1586</v>
      </c>
      <c r="J411" s="15" t="s">
        <v>3228</v>
      </c>
      <c r="K411" s="15">
        <v>43.0</v>
      </c>
      <c r="L411" s="15">
        <v>43.0</v>
      </c>
      <c r="M411" s="41">
        <v>40157.0</v>
      </c>
      <c r="N411" s="40">
        <v>40549.0</v>
      </c>
      <c r="O411" s="15" t="s">
        <v>1554</v>
      </c>
      <c r="Q411" s="7"/>
    </row>
    <row r="412">
      <c r="A412" s="39" t="s">
        <v>3230</v>
      </c>
      <c r="B412" s="15">
        <v>693895.0</v>
      </c>
      <c r="C412" s="15" t="s">
        <v>3231</v>
      </c>
      <c r="D412" s="15">
        <v>42743.0</v>
      </c>
      <c r="E412" s="15" t="s">
        <v>1808</v>
      </c>
      <c r="F412" s="15" t="s">
        <v>1809</v>
      </c>
      <c r="G412" s="7">
        <v>2.808</v>
      </c>
      <c r="H412" s="15" t="s">
        <v>1591</v>
      </c>
      <c r="I412" s="15" t="s">
        <v>1628</v>
      </c>
      <c r="J412" s="15" t="s">
        <v>3232</v>
      </c>
      <c r="K412" s="15">
        <v>7.0</v>
      </c>
      <c r="L412" s="15">
        <v>9.0</v>
      </c>
      <c r="M412" s="40">
        <v>39881.0</v>
      </c>
      <c r="N412" s="41">
        <v>40165.0</v>
      </c>
      <c r="O412" s="15" t="s">
        <v>1554</v>
      </c>
      <c r="Q412" s="7"/>
    </row>
    <row r="413">
      <c r="A413" s="39" t="s">
        <v>3233</v>
      </c>
      <c r="B413" s="15">
        <v>693893.0</v>
      </c>
      <c r="C413" s="15" t="s">
        <v>3234</v>
      </c>
      <c r="D413" s="15">
        <v>42745.0</v>
      </c>
      <c r="E413" s="15" t="s">
        <v>1808</v>
      </c>
      <c r="F413" s="15" t="s">
        <v>1809</v>
      </c>
      <c r="G413" s="7">
        <v>2.823</v>
      </c>
      <c r="H413" s="15" t="s">
        <v>2877</v>
      </c>
      <c r="I413" s="15" t="s">
        <v>1628</v>
      </c>
      <c r="J413" s="15" t="s">
        <v>3235</v>
      </c>
      <c r="K413" s="15">
        <v>6.0</v>
      </c>
      <c r="L413" s="15">
        <v>6.0</v>
      </c>
      <c r="M413" s="40">
        <v>40073.0</v>
      </c>
      <c r="N413" s="40">
        <v>40612.0</v>
      </c>
      <c r="O413" s="15" t="s">
        <v>1554</v>
      </c>
      <c r="Q413" s="7"/>
    </row>
    <row r="414">
      <c r="A414" s="39" t="s">
        <v>3236</v>
      </c>
      <c r="B414" s="15">
        <v>693897.0</v>
      </c>
      <c r="C414" s="15" t="s">
        <v>3237</v>
      </c>
      <c r="D414" s="15">
        <v>14450.0</v>
      </c>
      <c r="E414" s="15" t="s">
        <v>2014</v>
      </c>
      <c r="F414" s="15" t="s">
        <v>2018</v>
      </c>
      <c r="G414" s="7">
        <v>1.337</v>
      </c>
      <c r="H414" s="15" t="s">
        <v>2885</v>
      </c>
      <c r="I414" s="15" t="s">
        <v>1628</v>
      </c>
      <c r="J414" s="15" t="s">
        <v>3238</v>
      </c>
      <c r="K414" s="15">
        <v>1.0</v>
      </c>
      <c r="L414" s="15">
        <v>1.0</v>
      </c>
      <c r="M414" s="40">
        <v>37789.0</v>
      </c>
      <c r="N414" s="40">
        <v>41500.0</v>
      </c>
      <c r="O414" s="15" t="s">
        <v>1554</v>
      </c>
      <c r="Q414" s="7"/>
    </row>
    <row r="415">
      <c r="A415" s="39" t="s">
        <v>3240</v>
      </c>
      <c r="B415" s="15">
        <v>674082.0</v>
      </c>
      <c r="C415" s="15" t="s">
        <v>3241</v>
      </c>
      <c r="D415" s="15">
        <v>42779.0</v>
      </c>
      <c r="E415" s="15" t="s">
        <v>1557</v>
      </c>
      <c r="F415" s="15" t="s">
        <v>1611</v>
      </c>
      <c r="G415" s="7">
        <v>41.119</v>
      </c>
      <c r="H415" s="15" t="s">
        <v>3242</v>
      </c>
      <c r="I415" s="15" t="s">
        <v>1586</v>
      </c>
      <c r="J415" s="15" t="s">
        <v>3243</v>
      </c>
      <c r="K415" s="15">
        <v>44.0</v>
      </c>
      <c r="L415" s="15">
        <v>44.0</v>
      </c>
      <c r="M415" s="41">
        <v>40127.0</v>
      </c>
      <c r="N415" s="40">
        <v>40324.0</v>
      </c>
      <c r="O415" s="15" t="s">
        <v>1554</v>
      </c>
      <c r="Q415" s="7"/>
    </row>
    <row r="416">
      <c r="A416" s="39" t="s">
        <v>3244</v>
      </c>
      <c r="B416" s="15">
        <v>674081.0</v>
      </c>
      <c r="C416" s="15" t="s">
        <v>3245</v>
      </c>
      <c r="D416" s="15">
        <v>42781.0</v>
      </c>
      <c r="E416" s="15" t="s">
        <v>1557</v>
      </c>
      <c r="F416" s="15" t="s">
        <v>1611</v>
      </c>
      <c r="G416" s="7">
        <v>43.809</v>
      </c>
      <c r="H416" s="15" t="s">
        <v>3246</v>
      </c>
      <c r="I416" s="15" t="s">
        <v>1586</v>
      </c>
      <c r="J416" s="15" t="s">
        <v>3247</v>
      </c>
      <c r="K416" s="15">
        <v>57.0</v>
      </c>
      <c r="L416" s="15">
        <v>57.0</v>
      </c>
      <c r="M416" s="41">
        <v>40127.0</v>
      </c>
      <c r="N416" s="40">
        <v>40661.0</v>
      </c>
      <c r="O416" s="15" t="s">
        <v>1554</v>
      </c>
      <c r="Q416" s="7"/>
    </row>
    <row r="417">
      <c r="A417" s="39" t="s">
        <v>3248</v>
      </c>
      <c r="B417" s="15">
        <v>663554.0</v>
      </c>
      <c r="C417" s="15" t="s">
        <v>3250</v>
      </c>
      <c r="D417" s="15">
        <v>42783.0</v>
      </c>
      <c r="E417" s="15" t="s">
        <v>1557</v>
      </c>
      <c r="F417" s="15" t="s">
        <v>1767</v>
      </c>
      <c r="G417" s="7">
        <v>155.445</v>
      </c>
      <c r="H417" s="15" t="s">
        <v>3251</v>
      </c>
      <c r="I417" s="15" t="s">
        <v>1586</v>
      </c>
      <c r="J417" s="15" t="s">
        <v>3252</v>
      </c>
      <c r="K417" s="15">
        <v>253.0</v>
      </c>
      <c r="L417" s="15">
        <v>218.0</v>
      </c>
      <c r="M417" s="40">
        <v>40066.0</v>
      </c>
      <c r="N417" s="40">
        <v>40766.0</v>
      </c>
      <c r="O417" s="15" t="s">
        <v>1554</v>
      </c>
      <c r="Q417" s="7"/>
    </row>
    <row r="418">
      <c r="A418" s="39" t="s">
        <v>3253</v>
      </c>
      <c r="B418" s="15">
        <v>644563.0</v>
      </c>
      <c r="C418" s="15" t="s">
        <v>3254</v>
      </c>
      <c r="D418" s="15">
        <v>42785.0</v>
      </c>
      <c r="E418" s="15" t="s">
        <v>1557</v>
      </c>
      <c r="F418" s="15" t="s">
        <v>1611</v>
      </c>
      <c r="G418" s="7">
        <v>38.497</v>
      </c>
      <c r="H418" s="15" t="s">
        <v>3255</v>
      </c>
      <c r="I418" s="15" t="s">
        <v>1586</v>
      </c>
      <c r="J418" s="15" t="s">
        <v>3256</v>
      </c>
      <c r="K418" s="15">
        <v>47.0</v>
      </c>
      <c r="L418" s="15">
        <v>47.0</v>
      </c>
      <c r="M418" s="41">
        <v>40117.0</v>
      </c>
      <c r="N418" s="40">
        <v>41046.0</v>
      </c>
      <c r="O418" s="15" t="s">
        <v>1554</v>
      </c>
      <c r="Q418" s="7"/>
    </row>
    <row r="419">
      <c r="A419" s="39" t="s">
        <v>3258</v>
      </c>
      <c r="B419" s="15">
        <v>673837.0</v>
      </c>
      <c r="C419" s="15" t="s">
        <v>3259</v>
      </c>
      <c r="D419" s="15">
        <v>42787.0</v>
      </c>
      <c r="E419" s="15" t="s">
        <v>1557</v>
      </c>
      <c r="F419" s="15" t="s">
        <v>1833</v>
      </c>
      <c r="G419" s="7">
        <v>39.576</v>
      </c>
      <c r="H419" s="15" t="s">
        <v>3260</v>
      </c>
      <c r="I419" s="15" t="s">
        <v>1586</v>
      </c>
      <c r="J419" s="15" t="s">
        <v>3261</v>
      </c>
      <c r="K419" s="15">
        <v>64.0</v>
      </c>
      <c r="L419" s="15">
        <v>64.0</v>
      </c>
      <c r="M419" s="40">
        <v>40155.0</v>
      </c>
      <c r="N419" s="40">
        <v>40226.0</v>
      </c>
      <c r="O419" s="15" t="s">
        <v>1554</v>
      </c>
      <c r="Q419" s="7"/>
    </row>
    <row r="420">
      <c r="A420" s="39" t="s">
        <v>3262</v>
      </c>
      <c r="B420" s="15">
        <v>673832.0</v>
      </c>
      <c r="C420" s="15" t="s">
        <v>3263</v>
      </c>
      <c r="D420" s="15">
        <v>42789.0</v>
      </c>
      <c r="E420" s="15" t="s">
        <v>1557</v>
      </c>
      <c r="F420" s="15" t="s">
        <v>1833</v>
      </c>
      <c r="G420" s="7">
        <v>38.764</v>
      </c>
      <c r="H420" s="15">
        <v>34.0</v>
      </c>
      <c r="I420" s="15" t="s">
        <v>1586</v>
      </c>
      <c r="J420" s="15" t="s">
        <v>3264</v>
      </c>
      <c r="K420" s="15">
        <v>61.0</v>
      </c>
      <c r="L420" s="15">
        <v>61.0</v>
      </c>
      <c r="M420" s="40">
        <v>40155.0</v>
      </c>
      <c r="N420" s="40">
        <v>40226.0</v>
      </c>
      <c r="O420" s="15" t="s">
        <v>1554</v>
      </c>
      <c r="Q420" s="7"/>
    </row>
    <row r="421">
      <c r="A421" s="39" t="s">
        <v>3265</v>
      </c>
      <c r="B421" s="15">
        <v>633135.0</v>
      </c>
      <c r="C421" s="15" t="s">
        <v>3266</v>
      </c>
      <c r="D421" s="15">
        <v>42791.0</v>
      </c>
      <c r="E421" s="15" t="s">
        <v>1557</v>
      </c>
      <c r="F421" s="15" t="s">
        <v>1833</v>
      </c>
      <c r="G421" s="7">
        <v>34.882</v>
      </c>
      <c r="H421" s="15">
        <v>39.0</v>
      </c>
      <c r="I421" s="15" t="s">
        <v>1586</v>
      </c>
      <c r="J421" s="15" t="s">
        <v>3268</v>
      </c>
      <c r="K421" s="15">
        <v>48.0</v>
      </c>
      <c r="L421" s="15">
        <v>48.0</v>
      </c>
      <c r="M421" s="40">
        <v>40092.0</v>
      </c>
      <c r="N421" s="40">
        <v>40185.0</v>
      </c>
      <c r="O421" s="15" t="s">
        <v>1554</v>
      </c>
      <c r="Q421" s="7"/>
    </row>
    <row r="422">
      <c r="A422" s="39" t="s">
        <v>3269</v>
      </c>
      <c r="B422" s="15">
        <v>673839.0</v>
      </c>
      <c r="C422" s="15" t="s">
        <v>3270</v>
      </c>
      <c r="D422" s="15">
        <v>42793.0</v>
      </c>
      <c r="E422" s="15" t="s">
        <v>1557</v>
      </c>
      <c r="F422" s="15" t="s">
        <v>1833</v>
      </c>
      <c r="G422" s="7">
        <v>37.856</v>
      </c>
      <c r="H422" s="15" t="s">
        <v>2233</v>
      </c>
      <c r="I422" s="15" t="s">
        <v>1586</v>
      </c>
      <c r="J422" s="15" t="s">
        <v>3271</v>
      </c>
      <c r="K422" s="15">
        <v>55.0</v>
      </c>
      <c r="L422" s="15">
        <v>55.0</v>
      </c>
      <c r="M422" s="40">
        <v>40155.0</v>
      </c>
      <c r="N422" s="40">
        <v>40226.0</v>
      </c>
      <c r="O422" s="15" t="s">
        <v>1554</v>
      </c>
      <c r="Q422" s="7"/>
    </row>
    <row r="423">
      <c r="A423" s="39" t="s">
        <v>3272</v>
      </c>
      <c r="B423" s="15">
        <v>673835.0</v>
      </c>
      <c r="C423" s="15" t="s">
        <v>3273</v>
      </c>
      <c r="D423" s="15">
        <v>42795.0</v>
      </c>
      <c r="E423" s="15" t="s">
        <v>1557</v>
      </c>
      <c r="F423" s="15" t="s">
        <v>1833</v>
      </c>
      <c r="G423" s="7">
        <v>36.27</v>
      </c>
      <c r="H423" s="15" t="s">
        <v>1696</v>
      </c>
      <c r="I423" s="15" t="s">
        <v>1586</v>
      </c>
      <c r="J423" s="15" t="s">
        <v>3274</v>
      </c>
      <c r="K423" s="15">
        <v>63.0</v>
      </c>
      <c r="L423" s="15">
        <v>63.0</v>
      </c>
      <c r="M423" s="40">
        <v>40155.0</v>
      </c>
      <c r="N423" s="40">
        <v>40226.0</v>
      </c>
      <c r="O423" s="15" t="s">
        <v>1554</v>
      </c>
      <c r="Q423" s="7"/>
    </row>
    <row r="424">
      <c r="A424" s="39" t="s">
        <v>3276</v>
      </c>
      <c r="B424" s="15">
        <v>150286.0</v>
      </c>
      <c r="C424" s="15" t="s">
        <v>3277</v>
      </c>
      <c r="D424" s="15">
        <v>42931.0</v>
      </c>
      <c r="E424" s="15" t="s">
        <v>1557</v>
      </c>
      <c r="F424" s="15" t="s">
        <v>3278</v>
      </c>
      <c r="G424" s="7">
        <v>248.526</v>
      </c>
      <c r="H424" s="15">
        <v>53.0</v>
      </c>
      <c r="I424" s="15" t="s">
        <v>1686</v>
      </c>
      <c r="J424" s="15" t="s">
        <v>3279</v>
      </c>
      <c r="K424" s="15">
        <v>133.0</v>
      </c>
      <c r="L424" s="15">
        <v>134.0</v>
      </c>
      <c r="M424" s="41">
        <v>40168.0</v>
      </c>
      <c r="N424" s="40">
        <v>41051.0</v>
      </c>
      <c r="O424" s="15" t="s">
        <v>1554</v>
      </c>
      <c r="Q424" s="7"/>
    </row>
    <row r="425">
      <c r="A425" s="39" t="s">
        <v>3280</v>
      </c>
      <c r="B425" s="15">
        <v>637730.0</v>
      </c>
      <c r="C425" s="15" t="s">
        <v>3281</v>
      </c>
      <c r="D425" s="15">
        <v>42937.0</v>
      </c>
      <c r="E425" s="15" t="s">
        <v>1557</v>
      </c>
      <c r="F425" s="15" t="s">
        <v>1767</v>
      </c>
      <c r="G425" s="7">
        <v>158.006</v>
      </c>
      <c r="H425" s="15" t="s">
        <v>1750</v>
      </c>
      <c r="I425" s="15" t="s">
        <v>1586</v>
      </c>
      <c r="J425" s="15" t="s">
        <v>3282</v>
      </c>
      <c r="K425" s="15">
        <v>220.0</v>
      </c>
      <c r="L425" s="15">
        <v>216.0</v>
      </c>
      <c r="M425" s="40">
        <v>40079.0</v>
      </c>
      <c r="N425" s="40">
        <v>40742.0</v>
      </c>
      <c r="O425" s="15" t="s">
        <v>1554</v>
      </c>
      <c r="Q425" s="7"/>
    </row>
    <row r="426">
      <c r="A426" s="39" t="s">
        <v>3283</v>
      </c>
      <c r="B426" s="15">
        <v>663557.0</v>
      </c>
      <c r="C426" s="15" t="s">
        <v>3284</v>
      </c>
      <c r="D426" s="15">
        <v>42939.0</v>
      </c>
      <c r="E426" s="15" t="s">
        <v>1557</v>
      </c>
      <c r="F426" s="15" t="s">
        <v>1833</v>
      </c>
      <c r="G426" s="7">
        <v>51.376</v>
      </c>
      <c r="H426" s="15" t="s">
        <v>3286</v>
      </c>
      <c r="I426" s="15" t="s">
        <v>1586</v>
      </c>
      <c r="J426" s="15" t="s">
        <v>3287</v>
      </c>
      <c r="K426" s="15">
        <v>86.0</v>
      </c>
      <c r="L426" s="15">
        <v>86.0</v>
      </c>
      <c r="M426" s="40">
        <v>40066.0</v>
      </c>
      <c r="N426" s="40">
        <v>40766.0</v>
      </c>
      <c r="O426" s="15" t="s">
        <v>1554</v>
      </c>
      <c r="Q426" s="7"/>
    </row>
    <row r="427">
      <c r="A427" s="39" t="s">
        <v>3288</v>
      </c>
      <c r="B427" s="15">
        <v>10401.0</v>
      </c>
      <c r="C427" s="15" t="s">
        <v>3289</v>
      </c>
      <c r="D427" s="15">
        <v>14018.0</v>
      </c>
      <c r="E427" s="15" t="s">
        <v>1557</v>
      </c>
      <c r="F427" s="15" t="s">
        <v>3278</v>
      </c>
      <c r="G427" s="7">
        <v>134.226</v>
      </c>
      <c r="H427" s="15" t="s">
        <v>2033</v>
      </c>
      <c r="I427" s="15" t="s">
        <v>1686</v>
      </c>
      <c r="J427" s="15" t="s">
        <v>3290</v>
      </c>
      <c r="K427" s="15">
        <v>90.0</v>
      </c>
      <c r="L427" s="15">
        <v>90.0</v>
      </c>
      <c r="M427" s="40">
        <v>34183.0</v>
      </c>
      <c r="N427" s="40">
        <v>41515.0</v>
      </c>
      <c r="O427" s="15" t="s">
        <v>1554</v>
      </c>
      <c r="Q427" s="7"/>
    </row>
    <row r="428">
      <c r="A428" s="39" t="s">
        <v>3291</v>
      </c>
      <c r="B428" s="15">
        <v>10794.0</v>
      </c>
      <c r="C428" s="15" t="s">
        <v>3292</v>
      </c>
      <c r="D428" s="15">
        <v>14019.0</v>
      </c>
      <c r="E428" s="15" t="s">
        <v>1808</v>
      </c>
      <c r="F428" s="15" t="s">
        <v>2436</v>
      </c>
      <c r="G428" s="7">
        <v>5.149</v>
      </c>
      <c r="H428" s="15" t="s">
        <v>2950</v>
      </c>
      <c r="I428" s="15" t="s">
        <v>1686</v>
      </c>
      <c r="J428" s="15" t="s">
        <v>3293</v>
      </c>
      <c r="K428" s="15">
        <v>3.0</v>
      </c>
      <c r="L428" s="15">
        <v>7.0</v>
      </c>
      <c r="M428" s="40">
        <v>34183.0</v>
      </c>
      <c r="N428" s="40">
        <v>42457.0</v>
      </c>
      <c r="O428" s="15" t="s">
        <v>1554</v>
      </c>
      <c r="Q428" s="7"/>
    </row>
    <row r="429">
      <c r="A429" s="39" t="s">
        <v>3294</v>
      </c>
      <c r="B429" s="15">
        <v>10784.0</v>
      </c>
      <c r="C429" s="15" t="s">
        <v>3296</v>
      </c>
      <c r="D429" s="15">
        <v>14020.0</v>
      </c>
      <c r="E429" s="15" t="s">
        <v>1808</v>
      </c>
      <c r="F429" s="15" t="s">
        <v>2436</v>
      </c>
      <c r="G429" s="7">
        <v>5.517</v>
      </c>
      <c r="H429" s="15" t="s">
        <v>3297</v>
      </c>
      <c r="I429" s="15" t="s">
        <v>1686</v>
      </c>
      <c r="J429" s="15" t="s">
        <v>3298</v>
      </c>
      <c r="K429" s="15">
        <v>4.0</v>
      </c>
      <c r="L429" s="15">
        <v>4.0</v>
      </c>
      <c r="M429" s="40">
        <v>34184.0</v>
      </c>
      <c r="N429" s="41">
        <v>40147.0</v>
      </c>
      <c r="O429" s="15" t="s">
        <v>1554</v>
      </c>
      <c r="Q429" s="7"/>
    </row>
    <row r="430">
      <c r="A430" s="39" t="s">
        <v>3299</v>
      </c>
      <c r="B430" s="15">
        <v>196399.0</v>
      </c>
      <c r="C430" s="15" t="s">
        <v>3300</v>
      </c>
      <c r="D430" s="15">
        <v>14021.0</v>
      </c>
      <c r="E430" s="15" t="s">
        <v>2014</v>
      </c>
      <c r="F430" s="15" t="s">
        <v>1578</v>
      </c>
      <c r="G430" s="7">
        <v>0.3</v>
      </c>
      <c r="H430" s="15">
        <v>53.0</v>
      </c>
      <c r="I430" s="15" t="s">
        <v>1628</v>
      </c>
      <c r="J430" s="15" t="s">
        <v>3301</v>
      </c>
      <c r="K430" s="15" t="s">
        <v>1722</v>
      </c>
      <c r="L430" s="15" t="s">
        <v>1722</v>
      </c>
      <c r="M430" s="40">
        <v>34184.0</v>
      </c>
      <c r="N430" s="40">
        <v>39639.0</v>
      </c>
      <c r="O430" s="15" t="s">
        <v>1554</v>
      </c>
      <c r="Q430" s="7"/>
    </row>
    <row r="431">
      <c r="A431" s="39" t="s">
        <v>3302</v>
      </c>
      <c r="B431" s="15">
        <v>10567.0</v>
      </c>
      <c r="C431" s="15" t="s">
        <v>3303</v>
      </c>
      <c r="D431" s="15">
        <v>14022.0</v>
      </c>
      <c r="E431" s="15" t="s">
        <v>1557</v>
      </c>
      <c r="F431" s="15" t="s">
        <v>1822</v>
      </c>
      <c r="G431" s="7">
        <v>7.687</v>
      </c>
      <c r="H431" s="15" t="s">
        <v>3304</v>
      </c>
      <c r="I431" s="15" t="s">
        <v>1686</v>
      </c>
      <c r="J431" s="15" t="s">
        <v>3306</v>
      </c>
      <c r="K431" s="15">
        <v>6.0</v>
      </c>
      <c r="L431" s="15">
        <v>6.0</v>
      </c>
      <c r="M431" s="41">
        <v>34326.0</v>
      </c>
      <c r="N431" s="40">
        <v>40263.0</v>
      </c>
      <c r="O431" s="15" t="s">
        <v>1554</v>
      </c>
      <c r="Q431" s="7"/>
    </row>
    <row r="432">
      <c r="A432" s="39" t="s">
        <v>3307</v>
      </c>
      <c r="B432" s="15">
        <v>40538.0</v>
      </c>
      <c r="C432" s="15" t="s">
        <v>3308</v>
      </c>
      <c r="D432" s="15">
        <v>14027.0</v>
      </c>
      <c r="E432" s="15" t="s">
        <v>1557</v>
      </c>
      <c r="F432" s="15" t="s">
        <v>1822</v>
      </c>
      <c r="G432" s="7">
        <v>43107.0</v>
      </c>
      <c r="H432" s="15" t="s">
        <v>3309</v>
      </c>
      <c r="I432" s="15" t="s">
        <v>1686</v>
      </c>
      <c r="J432" s="15" t="s">
        <v>3310</v>
      </c>
      <c r="K432" s="15">
        <v>7.0</v>
      </c>
      <c r="L432" s="15">
        <v>7.0</v>
      </c>
      <c r="M432" s="41">
        <v>34989.0</v>
      </c>
      <c r="N432" s="40">
        <v>41110.0</v>
      </c>
      <c r="O432" s="15" t="s">
        <v>1554</v>
      </c>
      <c r="Q432" s="7"/>
    </row>
    <row r="433">
      <c r="A433" s="39" t="s">
        <v>3311</v>
      </c>
      <c r="B433" s="15">
        <v>40540.0</v>
      </c>
      <c r="C433" s="15" t="s">
        <v>3312</v>
      </c>
      <c r="D433" s="15">
        <v>14028.0</v>
      </c>
      <c r="E433" s="15" t="s">
        <v>1557</v>
      </c>
      <c r="F433" s="15" t="s">
        <v>1822</v>
      </c>
      <c r="G433" s="7">
        <v>7.313</v>
      </c>
      <c r="H433" s="15">
        <v>37.0</v>
      </c>
      <c r="I433" s="15" t="s">
        <v>1686</v>
      </c>
      <c r="J433" s="15" t="s">
        <v>3314</v>
      </c>
      <c r="K433" s="15">
        <v>7.0</v>
      </c>
      <c r="L433" s="15">
        <v>7.0</v>
      </c>
      <c r="M433" s="41">
        <v>34990.0</v>
      </c>
      <c r="N433" s="40">
        <v>41110.0</v>
      </c>
      <c r="O433" s="15" t="s">
        <v>1554</v>
      </c>
      <c r="Q433" s="7"/>
    </row>
    <row r="434">
      <c r="A434" s="39" t="s">
        <v>3315</v>
      </c>
      <c r="B434" s="15">
        <v>31537.0</v>
      </c>
      <c r="C434" s="15" t="s">
        <v>3316</v>
      </c>
      <c r="D434" s="15">
        <v>14029.0</v>
      </c>
      <c r="E434" s="15" t="s">
        <v>1557</v>
      </c>
      <c r="F434" s="15" t="s">
        <v>1833</v>
      </c>
      <c r="G434" s="7">
        <v>22.172</v>
      </c>
      <c r="H434" s="15" t="s">
        <v>3317</v>
      </c>
      <c r="I434" s="15" t="s">
        <v>1586</v>
      </c>
      <c r="J434" s="15" t="s">
        <v>3318</v>
      </c>
      <c r="K434" s="15">
        <v>41.0</v>
      </c>
      <c r="L434" s="15">
        <v>39.0</v>
      </c>
      <c r="M434" s="40">
        <v>35067.0</v>
      </c>
      <c r="N434" s="40">
        <v>42045.0</v>
      </c>
      <c r="O434" s="15" t="s">
        <v>1554</v>
      </c>
      <c r="Q434" s="7"/>
    </row>
    <row r="435">
      <c r="A435" s="39" t="s">
        <v>3319</v>
      </c>
      <c r="B435" s="15">
        <v>57579.0</v>
      </c>
      <c r="C435" s="15" t="s">
        <v>3320</v>
      </c>
      <c r="D435" s="15">
        <v>14030.0</v>
      </c>
      <c r="E435" s="15" t="s">
        <v>1808</v>
      </c>
      <c r="F435" s="15" t="s">
        <v>2436</v>
      </c>
      <c r="G435" s="7">
        <v>4.767</v>
      </c>
      <c r="H435" s="15" t="s">
        <v>3321</v>
      </c>
      <c r="I435" s="15" t="s">
        <v>1686</v>
      </c>
      <c r="J435" s="15" t="s">
        <v>3322</v>
      </c>
      <c r="K435" s="15">
        <v>2.0</v>
      </c>
      <c r="L435" s="15">
        <v>2.0</v>
      </c>
      <c r="M435" s="40">
        <v>35663.0</v>
      </c>
      <c r="N435" s="40">
        <v>40206.0</v>
      </c>
      <c r="O435" s="15" t="s">
        <v>1554</v>
      </c>
      <c r="Q435" s="7"/>
    </row>
    <row r="436">
      <c r="A436" s="39" t="s">
        <v>3323</v>
      </c>
      <c r="B436" s="15">
        <v>59504.0</v>
      </c>
      <c r="C436" s="15" t="s">
        <v>3324</v>
      </c>
      <c r="D436" s="15">
        <v>14031.0</v>
      </c>
      <c r="E436" s="15" t="s">
        <v>1916</v>
      </c>
      <c r="F436" s="15" t="s">
        <v>1917</v>
      </c>
      <c r="G436" s="7">
        <v>7.206</v>
      </c>
      <c r="H436" s="15" t="s">
        <v>2342</v>
      </c>
      <c r="I436" s="15" t="s">
        <v>1628</v>
      </c>
      <c r="J436" s="15" t="s">
        <v>3325</v>
      </c>
      <c r="K436" s="15">
        <v>1.0</v>
      </c>
      <c r="L436" s="15">
        <v>1.0</v>
      </c>
      <c r="M436" s="40">
        <v>35706.0</v>
      </c>
      <c r="N436" s="40">
        <v>42458.0</v>
      </c>
      <c r="O436" s="15" t="s">
        <v>1554</v>
      </c>
      <c r="Q436" s="7"/>
    </row>
    <row r="437">
      <c r="A437" s="39" t="s">
        <v>3327</v>
      </c>
      <c r="B437" s="15">
        <v>93224.0</v>
      </c>
      <c r="C437" s="15" t="s">
        <v>3328</v>
      </c>
      <c r="D437" s="15">
        <v>14032.0</v>
      </c>
      <c r="E437" s="15" t="s">
        <v>1808</v>
      </c>
      <c r="F437" s="15" t="s">
        <v>2969</v>
      </c>
      <c r="G437" s="7">
        <v>6.825</v>
      </c>
      <c r="H437" s="42">
        <v>43303.0</v>
      </c>
      <c r="I437" s="15" t="s">
        <v>1586</v>
      </c>
      <c r="J437" s="15" t="s">
        <v>3329</v>
      </c>
      <c r="K437" s="15">
        <v>13.0</v>
      </c>
      <c r="L437" s="15">
        <v>13.0</v>
      </c>
      <c r="M437" s="41">
        <v>36510.0</v>
      </c>
      <c r="N437" s="40">
        <v>42045.0</v>
      </c>
      <c r="O437" s="15" t="s">
        <v>1554</v>
      </c>
      <c r="Q437" s="7"/>
    </row>
    <row r="438">
      <c r="A438" s="39" t="s">
        <v>3330</v>
      </c>
      <c r="B438" s="15">
        <v>66797.0</v>
      </c>
      <c r="C438" s="15" t="s">
        <v>3331</v>
      </c>
      <c r="D438" s="15">
        <v>14034.0</v>
      </c>
      <c r="E438" s="15" t="s">
        <v>1557</v>
      </c>
      <c r="F438" s="15" t="s">
        <v>1833</v>
      </c>
      <c r="G438" s="7">
        <v>134.416</v>
      </c>
      <c r="H438" s="15" t="s">
        <v>1696</v>
      </c>
      <c r="I438" s="15" t="s">
        <v>1586</v>
      </c>
      <c r="J438" s="15" t="s">
        <v>3332</v>
      </c>
      <c r="K438" s="15">
        <v>185.0</v>
      </c>
      <c r="L438" s="15">
        <v>185.0</v>
      </c>
      <c r="M438" s="40">
        <v>35891.0</v>
      </c>
      <c r="N438" s="40">
        <v>42045.0</v>
      </c>
      <c r="O438" s="15" t="s">
        <v>1554</v>
      </c>
      <c r="Q438" s="7"/>
    </row>
    <row r="439">
      <c r="A439" s="39" t="s">
        <v>3333</v>
      </c>
      <c r="B439" s="15">
        <v>10679.0</v>
      </c>
      <c r="C439" s="15" t="s">
        <v>3334</v>
      </c>
      <c r="D439" s="15">
        <v>14035.0</v>
      </c>
      <c r="E439" s="15" t="s">
        <v>1557</v>
      </c>
      <c r="F439" s="15" t="s">
        <v>1767</v>
      </c>
      <c r="G439" s="7">
        <v>33.593</v>
      </c>
      <c r="H439" s="15" t="s">
        <v>3304</v>
      </c>
      <c r="I439" s="15" t="s">
        <v>1586</v>
      </c>
      <c r="J439" s="15" t="s">
        <v>3336</v>
      </c>
      <c r="K439" s="15">
        <v>43.0</v>
      </c>
      <c r="L439" s="15">
        <v>43.0</v>
      </c>
      <c r="M439" s="40">
        <v>35934.0</v>
      </c>
      <c r="N439" s="40">
        <v>40263.0</v>
      </c>
      <c r="O439" s="15" t="s">
        <v>1554</v>
      </c>
      <c r="Q439" s="7"/>
    </row>
    <row r="440">
      <c r="A440" s="39" t="s">
        <v>3337</v>
      </c>
      <c r="B440" s="15">
        <v>72003.0</v>
      </c>
      <c r="C440" s="15" t="s">
        <v>3338</v>
      </c>
      <c r="D440" s="15">
        <v>14036.0</v>
      </c>
      <c r="E440" s="15" t="s">
        <v>1808</v>
      </c>
      <c r="F440" s="15" t="s">
        <v>2436</v>
      </c>
      <c r="G440" s="7">
        <v>5.941</v>
      </c>
      <c r="H440" s="15" t="s">
        <v>2103</v>
      </c>
      <c r="I440" s="15" t="s">
        <v>1560</v>
      </c>
      <c r="J440" s="15" t="s">
        <v>3339</v>
      </c>
      <c r="K440" s="15">
        <v>7.0</v>
      </c>
      <c r="L440" s="15">
        <v>7.0</v>
      </c>
      <c r="M440" s="40">
        <v>35948.0</v>
      </c>
      <c r="N440" s="40">
        <v>40248.0</v>
      </c>
      <c r="O440" s="15" t="s">
        <v>1554</v>
      </c>
      <c r="Q440" s="7"/>
    </row>
    <row r="441">
      <c r="A441" s="39" t="s">
        <v>3340</v>
      </c>
      <c r="B441" s="15">
        <v>10838.0</v>
      </c>
      <c r="C441" s="15" t="s">
        <v>3341</v>
      </c>
      <c r="D441" s="15">
        <v>14037.0</v>
      </c>
      <c r="E441" s="15" t="s">
        <v>1808</v>
      </c>
      <c r="F441" s="15" t="s">
        <v>1809</v>
      </c>
      <c r="G441" s="7">
        <v>5.191</v>
      </c>
      <c r="H441" s="15" t="s">
        <v>3342</v>
      </c>
      <c r="I441" s="15" t="s">
        <v>1628</v>
      </c>
      <c r="J441" s="15" t="s">
        <v>3343</v>
      </c>
      <c r="K441" s="15">
        <v>6.0</v>
      </c>
      <c r="L441" s="15">
        <v>6.0</v>
      </c>
      <c r="M441" s="40">
        <v>33679.0</v>
      </c>
      <c r="N441" s="40">
        <v>39939.0</v>
      </c>
      <c r="O441" s="15" t="s">
        <v>1554</v>
      </c>
      <c r="Q441" s="7"/>
    </row>
    <row r="442">
      <c r="A442" s="39" t="s">
        <v>3345</v>
      </c>
      <c r="B442" s="15">
        <v>10829.0</v>
      </c>
      <c r="C442" s="15" t="s">
        <v>3346</v>
      </c>
      <c r="D442" s="15">
        <v>14038.0</v>
      </c>
      <c r="E442" s="15" t="s">
        <v>1808</v>
      </c>
      <c r="F442" s="15" t="s">
        <v>1809</v>
      </c>
      <c r="G442" s="7">
        <v>5.241</v>
      </c>
      <c r="H442" s="15" t="s">
        <v>3347</v>
      </c>
      <c r="I442" s="15" t="s">
        <v>1628</v>
      </c>
      <c r="J442" s="15" t="s">
        <v>3348</v>
      </c>
      <c r="K442" s="15">
        <v>6.0</v>
      </c>
      <c r="L442" s="15">
        <v>6.0</v>
      </c>
      <c r="M442" s="40">
        <v>33770.0</v>
      </c>
      <c r="N442" s="40">
        <v>40437.0</v>
      </c>
      <c r="O442" s="15" t="s">
        <v>1554</v>
      </c>
      <c r="Q442" s="7"/>
    </row>
    <row r="443">
      <c r="A443" s="39" t="s">
        <v>3349</v>
      </c>
      <c r="B443" s="15">
        <v>10868.0</v>
      </c>
      <c r="C443" s="15" t="s">
        <v>3350</v>
      </c>
      <c r="D443" s="15">
        <v>14039.0</v>
      </c>
      <c r="E443" s="15" t="s">
        <v>1808</v>
      </c>
      <c r="F443" s="15" t="s">
        <v>2969</v>
      </c>
      <c r="G443" s="7">
        <v>8.454</v>
      </c>
      <c r="H443" s="15" t="s">
        <v>2869</v>
      </c>
      <c r="I443" s="15" t="s">
        <v>1586</v>
      </c>
      <c r="J443" s="15" t="s">
        <v>3351</v>
      </c>
      <c r="K443" s="15">
        <v>10.0</v>
      </c>
      <c r="L443" s="15">
        <v>10.0</v>
      </c>
      <c r="M443" s="40">
        <v>34243.0</v>
      </c>
      <c r="N443" s="40">
        <v>42045.0</v>
      </c>
      <c r="O443" s="15" t="s">
        <v>1554</v>
      </c>
      <c r="Q443" s="7"/>
    </row>
    <row r="444">
      <c r="A444" s="39" t="s">
        <v>3352</v>
      </c>
      <c r="B444" s="15">
        <v>85618.0</v>
      </c>
      <c r="C444" s="15" t="s">
        <v>3353</v>
      </c>
      <c r="D444" s="15">
        <v>14040.0</v>
      </c>
      <c r="E444" s="15" t="s">
        <v>1557</v>
      </c>
      <c r="F444" s="15" t="s">
        <v>1827</v>
      </c>
      <c r="G444" s="7">
        <v>108.409</v>
      </c>
      <c r="H444" s="15" t="s">
        <v>2752</v>
      </c>
      <c r="I444" s="15" t="s">
        <v>1686</v>
      </c>
      <c r="J444" s="15" t="s">
        <v>3354</v>
      </c>
      <c r="K444" s="15">
        <v>73.0</v>
      </c>
      <c r="L444" s="15">
        <v>71.0</v>
      </c>
      <c r="M444" s="41">
        <v>36145.0</v>
      </c>
      <c r="N444" s="40">
        <v>41346.0</v>
      </c>
      <c r="O444" s="15" t="s">
        <v>1554</v>
      </c>
      <c r="Q444" s="7"/>
    </row>
    <row r="445">
      <c r="A445" s="39" t="s">
        <v>3356</v>
      </c>
      <c r="B445" s="15">
        <v>83191.0</v>
      </c>
      <c r="C445" s="15" t="s">
        <v>3357</v>
      </c>
      <c r="D445" s="15">
        <v>14042.0</v>
      </c>
      <c r="E445" s="15" t="s">
        <v>1557</v>
      </c>
      <c r="F445" s="15" t="s">
        <v>2028</v>
      </c>
      <c r="G445" s="7">
        <v>236.12</v>
      </c>
      <c r="H445" s="42">
        <v>43177.0</v>
      </c>
      <c r="I445" s="15" t="s">
        <v>1560</v>
      </c>
      <c r="J445" s="15" t="s">
        <v>3358</v>
      </c>
      <c r="K445" s="15">
        <v>267.0</v>
      </c>
      <c r="L445" s="15">
        <v>267.0</v>
      </c>
      <c r="M445" s="41">
        <v>36151.0</v>
      </c>
      <c r="N445" s="40">
        <v>40263.0</v>
      </c>
      <c r="O445" s="15" t="s">
        <v>1554</v>
      </c>
      <c r="Q445" s="7"/>
    </row>
    <row r="446">
      <c r="A446" s="39" t="s">
        <v>3359</v>
      </c>
      <c r="B446" s="15">
        <v>10665.0</v>
      </c>
      <c r="C446" s="15" t="s">
        <v>3360</v>
      </c>
      <c r="D446" s="15">
        <v>14044.0</v>
      </c>
      <c r="E446" s="15" t="s">
        <v>1557</v>
      </c>
      <c r="F446" s="15" t="s">
        <v>1767</v>
      </c>
      <c r="G446" s="7">
        <v>168.903</v>
      </c>
      <c r="H446" s="15" t="s">
        <v>3361</v>
      </c>
      <c r="I446" s="15" t="s">
        <v>1586</v>
      </c>
      <c r="J446" s="15" t="s">
        <v>3362</v>
      </c>
      <c r="K446" s="15">
        <v>288.0</v>
      </c>
      <c r="L446" s="15">
        <v>278.0</v>
      </c>
      <c r="M446" s="40">
        <v>36346.0</v>
      </c>
      <c r="N446" s="41">
        <v>41942.0</v>
      </c>
      <c r="O446" s="15" t="s">
        <v>1554</v>
      </c>
      <c r="Q446" s="7"/>
    </row>
    <row r="447">
      <c r="A447" s="39" t="s">
        <v>3363</v>
      </c>
      <c r="B447" s="15">
        <v>72638.0</v>
      </c>
      <c r="C447" s="15" t="s">
        <v>3365</v>
      </c>
      <c r="D447" s="15">
        <v>14045.0</v>
      </c>
      <c r="E447" s="15" t="s">
        <v>1557</v>
      </c>
      <c r="F447" s="15" t="s">
        <v>1833</v>
      </c>
      <c r="G447" s="7">
        <v>37.37</v>
      </c>
      <c r="H447" s="15" t="s">
        <v>2824</v>
      </c>
      <c r="I447" s="15" t="s">
        <v>1586</v>
      </c>
      <c r="J447" s="15" t="s">
        <v>3366</v>
      </c>
      <c r="K447" s="15">
        <v>45.0</v>
      </c>
      <c r="L447" s="15">
        <v>45.0</v>
      </c>
      <c r="M447" s="40">
        <v>36359.0</v>
      </c>
      <c r="N447" s="40">
        <v>42045.0</v>
      </c>
      <c r="O447" s="15" t="s">
        <v>1554</v>
      </c>
      <c r="Q447" s="7"/>
    </row>
    <row r="448">
      <c r="A448" s="39" t="s">
        <v>3367</v>
      </c>
      <c r="B448" s="15">
        <v>83839.0</v>
      </c>
      <c r="C448" s="15" t="s">
        <v>3368</v>
      </c>
      <c r="D448" s="15">
        <v>14046.0</v>
      </c>
      <c r="E448" s="15" t="s">
        <v>1808</v>
      </c>
      <c r="F448" s="15" t="s">
        <v>1809</v>
      </c>
      <c r="G448" s="7">
        <v>2.744</v>
      </c>
      <c r="H448" s="15" t="s">
        <v>1943</v>
      </c>
      <c r="I448" s="15" t="s">
        <v>1628</v>
      </c>
      <c r="J448" s="15" t="s">
        <v>3369</v>
      </c>
      <c r="K448" s="15">
        <v>6.0</v>
      </c>
      <c r="L448" s="15">
        <v>6.0</v>
      </c>
      <c r="M448" s="40">
        <v>36374.0</v>
      </c>
      <c r="N448" s="40">
        <v>42458.0</v>
      </c>
      <c r="O448" s="15" t="s">
        <v>1554</v>
      </c>
      <c r="Q448" s="7"/>
    </row>
    <row r="449">
      <c r="A449" s="39" t="s">
        <v>3370</v>
      </c>
      <c r="B449" s="15">
        <v>10742.0</v>
      </c>
      <c r="C449" s="15" t="s">
        <v>3371</v>
      </c>
      <c r="D449" s="15">
        <v>14048.0</v>
      </c>
      <c r="E449" s="15" t="s">
        <v>1557</v>
      </c>
      <c r="F449" s="15" t="s">
        <v>1833</v>
      </c>
      <c r="G449" s="7">
        <v>40.751</v>
      </c>
      <c r="H449" s="15" t="s">
        <v>1772</v>
      </c>
      <c r="I449" s="15" t="s">
        <v>1586</v>
      </c>
      <c r="J449" s="15" t="s">
        <v>3372</v>
      </c>
      <c r="K449" s="15">
        <v>35.0</v>
      </c>
      <c r="L449" s="15">
        <v>35.0</v>
      </c>
      <c r="M449" s="40">
        <v>36560.0</v>
      </c>
      <c r="N449" s="40">
        <v>42577.0</v>
      </c>
      <c r="O449" s="15" t="s">
        <v>1554</v>
      </c>
      <c r="Q449" s="7"/>
    </row>
    <row r="450">
      <c r="A450" s="39" t="s">
        <v>3374</v>
      </c>
      <c r="B450" s="15">
        <v>112023.0</v>
      </c>
      <c r="C450" s="15" t="s">
        <v>3375</v>
      </c>
      <c r="D450" s="15">
        <v>14051.0</v>
      </c>
      <c r="E450" s="15" t="s">
        <v>1557</v>
      </c>
      <c r="F450" s="15" t="s">
        <v>1833</v>
      </c>
      <c r="G450" s="7">
        <v>35.466</v>
      </c>
      <c r="H450" s="15" t="s">
        <v>1607</v>
      </c>
      <c r="I450" s="15" t="s">
        <v>1586</v>
      </c>
      <c r="J450" s="15" t="s">
        <v>3376</v>
      </c>
      <c r="K450" s="15">
        <v>46.0</v>
      </c>
      <c r="L450" s="15">
        <v>46.0</v>
      </c>
      <c r="M450" s="40">
        <v>36601.0</v>
      </c>
      <c r="N450" s="40">
        <v>42049.0</v>
      </c>
      <c r="O450" s="15" t="s">
        <v>1554</v>
      </c>
      <c r="Q450" s="7"/>
    </row>
    <row r="451">
      <c r="A451" s="39" t="s">
        <v>3377</v>
      </c>
      <c r="B451" s="15">
        <v>10261.0</v>
      </c>
      <c r="C451" s="15" t="s">
        <v>3378</v>
      </c>
      <c r="D451" s="15">
        <v>14052.0</v>
      </c>
      <c r="E451" s="15" t="s">
        <v>1557</v>
      </c>
      <c r="F451" s="15" t="s">
        <v>2028</v>
      </c>
      <c r="G451" s="7">
        <v>288.539</v>
      </c>
      <c r="H451" s="42">
        <v>43373.0</v>
      </c>
      <c r="I451" s="15" t="s">
        <v>1686</v>
      </c>
      <c r="J451" s="15" t="s">
        <v>3379</v>
      </c>
      <c r="K451" s="15">
        <v>260.0</v>
      </c>
      <c r="L451" s="15">
        <v>261.0</v>
      </c>
      <c r="M451" s="40">
        <v>36606.0</v>
      </c>
      <c r="N451" s="41">
        <v>41235.0</v>
      </c>
      <c r="O451" s="15" t="s">
        <v>1554</v>
      </c>
      <c r="Q451" s="7"/>
    </row>
    <row r="452">
      <c r="A452" s="39" t="s">
        <v>3381</v>
      </c>
      <c r="B452" s="15">
        <v>133704.0</v>
      </c>
      <c r="C452" s="15" t="s">
        <v>3382</v>
      </c>
      <c r="D452" s="15">
        <v>14053.0</v>
      </c>
      <c r="E452" s="15" t="s">
        <v>1808</v>
      </c>
      <c r="F452" s="15" t="s">
        <v>1998</v>
      </c>
      <c r="G452" s="7">
        <v>1.758</v>
      </c>
      <c r="H452" s="15" t="s">
        <v>2279</v>
      </c>
      <c r="I452" s="15" t="s">
        <v>1686</v>
      </c>
      <c r="J452" s="15" t="s">
        <v>3383</v>
      </c>
      <c r="K452" s="15">
        <v>2.0</v>
      </c>
      <c r="L452" s="15">
        <v>2.0</v>
      </c>
      <c r="M452" s="40">
        <v>36047.0</v>
      </c>
      <c r="N452" s="40">
        <v>40415.0</v>
      </c>
      <c r="O452" s="15" t="s">
        <v>1554</v>
      </c>
      <c r="Q452" s="7"/>
    </row>
    <row r="453">
      <c r="A453" s="39" t="s">
        <v>3384</v>
      </c>
      <c r="B453" s="15">
        <v>78541.0</v>
      </c>
      <c r="C453" s="15" t="s">
        <v>3385</v>
      </c>
      <c r="D453" s="15">
        <v>14054.0</v>
      </c>
      <c r="E453" s="15" t="s">
        <v>1557</v>
      </c>
      <c r="F453" s="15" t="s">
        <v>1833</v>
      </c>
      <c r="G453" s="7">
        <v>39.807</v>
      </c>
      <c r="H453" s="15" t="s">
        <v>2857</v>
      </c>
      <c r="I453" s="15" t="s">
        <v>1586</v>
      </c>
      <c r="J453" s="15" t="s">
        <v>3386</v>
      </c>
      <c r="K453" s="15">
        <v>51.0</v>
      </c>
      <c r="L453" s="15">
        <v>51.0</v>
      </c>
      <c r="M453" s="40">
        <v>36623.0</v>
      </c>
      <c r="N453" s="40">
        <v>42577.0</v>
      </c>
      <c r="O453" s="15" t="s">
        <v>1554</v>
      </c>
      <c r="Q453" s="7"/>
    </row>
    <row r="454">
      <c r="A454" s="39" t="s">
        <v>3387</v>
      </c>
      <c r="B454" s="15">
        <v>10796.0</v>
      </c>
      <c r="C454" s="15" t="s">
        <v>3388</v>
      </c>
      <c r="D454" s="15">
        <v>14055.0</v>
      </c>
      <c r="E454" s="15" t="s">
        <v>1808</v>
      </c>
      <c r="F454" s="15" t="s">
        <v>2436</v>
      </c>
      <c r="G454" s="7">
        <v>5.075</v>
      </c>
      <c r="H454" s="15" t="s">
        <v>2193</v>
      </c>
      <c r="I454" s="15" t="s">
        <v>1686</v>
      </c>
      <c r="J454" s="15" t="s">
        <v>3389</v>
      </c>
      <c r="K454" s="15">
        <v>3.0</v>
      </c>
      <c r="L454" s="15">
        <v>6.0</v>
      </c>
      <c r="M454" s="40">
        <v>34203.0</v>
      </c>
      <c r="N454" s="40">
        <v>42045.0</v>
      </c>
      <c r="O454" s="15" t="s">
        <v>1554</v>
      </c>
      <c r="Q454" s="7"/>
    </row>
    <row r="455">
      <c r="A455" s="39" t="s">
        <v>3390</v>
      </c>
      <c r="B455" s="15">
        <v>38062.0</v>
      </c>
      <c r="C455" s="15" t="s">
        <v>3392</v>
      </c>
      <c r="D455" s="15">
        <v>14056.0</v>
      </c>
      <c r="E455" s="15" t="s">
        <v>1916</v>
      </c>
      <c r="F455" s="15" t="s">
        <v>1917</v>
      </c>
      <c r="G455" s="7">
        <v>8.159</v>
      </c>
      <c r="H455" s="42">
        <v>43367.0</v>
      </c>
      <c r="I455" s="15" t="s">
        <v>1628</v>
      </c>
      <c r="J455" s="15" t="s">
        <v>3393</v>
      </c>
      <c r="K455" s="15">
        <v>5.0</v>
      </c>
      <c r="L455" s="15">
        <v>5.0</v>
      </c>
      <c r="M455" s="40">
        <v>35248.0</v>
      </c>
      <c r="N455" s="40">
        <v>42045.0</v>
      </c>
      <c r="O455" s="15" t="s">
        <v>1554</v>
      </c>
      <c r="Q455" s="7"/>
    </row>
    <row r="456">
      <c r="A456" s="39" t="s">
        <v>3394</v>
      </c>
      <c r="B456" s="15">
        <v>122291.0</v>
      </c>
      <c r="C456" s="15" t="s">
        <v>3395</v>
      </c>
      <c r="D456" s="15">
        <v>14057.0</v>
      </c>
      <c r="E456" s="15" t="s">
        <v>1557</v>
      </c>
      <c r="F456" s="15" t="s">
        <v>1822</v>
      </c>
      <c r="G456" s="7">
        <v>7.565</v>
      </c>
      <c r="H456" s="15" t="s">
        <v>2107</v>
      </c>
      <c r="I456" s="15" t="s">
        <v>1686</v>
      </c>
      <c r="J456" s="15" t="s">
        <v>3396</v>
      </c>
      <c r="K456" s="15">
        <v>9.0</v>
      </c>
      <c r="L456" s="15">
        <v>9.0</v>
      </c>
      <c r="M456" s="40">
        <v>36648.0</v>
      </c>
      <c r="N456" s="40">
        <v>42458.0</v>
      </c>
      <c r="O456" s="15" t="s">
        <v>1554</v>
      </c>
      <c r="Q456" s="7"/>
    </row>
    <row r="457">
      <c r="A457" s="39" t="s">
        <v>3397</v>
      </c>
      <c r="B457" s="15">
        <v>223303.0</v>
      </c>
      <c r="C457" s="15" t="s">
        <v>3398</v>
      </c>
      <c r="D457" s="15">
        <v>14059.0</v>
      </c>
      <c r="E457" s="15" t="s">
        <v>1808</v>
      </c>
      <c r="F457" s="15" t="s">
        <v>1809</v>
      </c>
      <c r="G457" s="7">
        <v>5.22</v>
      </c>
      <c r="H457" s="15" t="s">
        <v>3399</v>
      </c>
      <c r="I457" s="15" t="s">
        <v>1628</v>
      </c>
      <c r="J457" s="15" t="s">
        <v>3400</v>
      </c>
      <c r="K457" s="15">
        <v>7.0</v>
      </c>
      <c r="L457" s="15">
        <v>7.0</v>
      </c>
      <c r="M457" s="40">
        <v>34017.0</v>
      </c>
      <c r="N457" s="41">
        <v>42297.0</v>
      </c>
      <c r="O457" s="15" t="s">
        <v>1554</v>
      </c>
      <c r="Q457" s="7"/>
    </row>
    <row r="458">
      <c r="A458" s="39" t="s">
        <v>3402</v>
      </c>
      <c r="B458" s="15">
        <v>10804.0</v>
      </c>
      <c r="C458" s="15" t="s">
        <v>3403</v>
      </c>
      <c r="D458" s="15">
        <v>14060.0</v>
      </c>
      <c r="E458" s="15" t="s">
        <v>1808</v>
      </c>
      <c r="F458" s="15" t="s">
        <v>2436</v>
      </c>
      <c r="G458" s="7">
        <v>4.679</v>
      </c>
      <c r="H458" s="15" t="s">
        <v>2271</v>
      </c>
      <c r="I458" s="15" t="s">
        <v>1567</v>
      </c>
      <c r="J458" s="15" t="s">
        <v>3404</v>
      </c>
      <c r="K458" s="15">
        <v>11.0</v>
      </c>
      <c r="L458" s="15">
        <v>9.0</v>
      </c>
      <c r="M458" s="40">
        <v>34086.0</v>
      </c>
      <c r="N458" s="40">
        <v>41975.0</v>
      </c>
      <c r="O458" s="15" t="s">
        <v>1554</v>
      </c>
      <c r="Q458" s="7"/>
    </row>
    <row r="459">
      <c r="A459" s="39" t="s">
        <v>3405</v>
      </c>
      <c r="B459" s="15">
        <v>10872.0</v>
      </c>
      <c r="C459" s="15" t="s">
        <v>3406</v>
      </c>
      <c r="D459" s="15">
        <v>14061.0</v>
      </c>
      <c r="E459" s="15" t="s">
        <v>1808</v>
      </c>
      <c r="F459" s="15" t="s">
        <v>2969</v>
      </c>
      <c r="G459" s="7">
        <v>5.833</v>
      </c>
      <c r="H459" s="15" t="s">
        <v>3407</v>
      </c>
      <c r="I459" s="15" t="s">
        <v>1586</v>
      </c>
      <c r="J459" s="15" t="s">
        <v>3408</v>
      </c>
      <c r="K459" s="15">
        <v>9.0</v>
      </c>
      <c r="L459" s="15">
        <v>9.0</v>
      </c>
      <c r="M459" s="40">
        <v>34087.0</v>
      </c>
      <c r="N459" s="40">
        <v>42045.0</v>
      </c>
      <c r="O459" s="15" t="s">
        <v>1554</v>
      </c>
      <c r="Q459" s="7"/>
    </row>
    <row r="460">
      <c r="A460" s="39" t="s">
        <v>3410</v>
      </c>
      <c r="B460" s="15">
        <v>10827.0</v>
      </c>
      <c r="C460" s="15" t="s">
        <v>3411</v>
      </c>
      <c r="D460" s="15">
        <v>14065.0</v>
      </c>
      <c r="E460" s="15" t="s">
        <v>1808</v>
      </c>
      <c r="F460" s="15" t="s">
        <v>1809</v>
      </c>
      <c r="G460" s="7">
        <v>5.14</v>
      </c>
      <c r="H460" s="15" t="s">
        <v>3412</v>
      </c>
      <c r="I460" s="15" t="s">
        <v>1628</v>
      </c>
      <c r="J460" s="15" t="s">
        <v>3413</v>
      </c>
      <c r="K460" s="15">
        <v>6.0</v>
      </c>
      <c r="L460" s="15">
        <v>6.0</v>
      </c>
      <c r="M460" s="40">
        <v>34088.0</v>
      </c>
      <c r="N460" s="40">
        <v>39790.0</v>
      </c>
      <c r="O460" s="15" t="s">
        <v>1554</v>
      </c>
      <c r="Q460" s="7"/>
    </row>
    <row r="461">
      <c r="A461" s="39" t="s">
        <v>3414</v>
      </c>
      <c r="B461" s="15">
        <v>10820.0</v>
      </c>
      <c r="C461" s="15" t="s">
        <v>3415</v>
      </c>
      <c r="D461" s="15">
        <v>14068.0</v>
      </c>
      <c r="E461" s="15" t="s">
        <v>1808</v>
      </c>
      <c r="F461" s="15" t="s">
        <v>1809</v>
      </c>
      <c r="G461" s="7">
        <v>2.75</v>
      </c>
      <c r="H461" s="15" t="s">
        <v>2237</v>
      </c>
      <c r="I461" s="15" t="s">
        <v>1628</v>
      </c>
      <c r="J461" s="15" t="s">
        <v>3417</v>
      </c>
      <c r="K461" s="15">
        <v>4.0</v>
      </c>
      <c r="L461" s="15">
        <v>5.0</v>
      </c>
      <c r="M461" s="40">
        <v>34183.0</v>
      </c>
      <c r="N461" s="40">
        <v>42045.0</v>
      </c>
      <c r="O461" s="15" t="s">
        <v>1554</v>
      </c>
      <c r="Q461" s="7"/>
    </row>
    <row r="462">
      <c r="A462" s="39" t="s">
        <v>3418</v>
      </c>
      <c r="B462" s="15">
        <v>10837.0</v>
      </c>
      <c r="C462" s="15" t="s">
        <v>3419</v>
      </c>
      <c r="D462" s="15">
        <v>14069.0</v>
      </c>
      <c r="E462" s="15" t="s">
        <v>1808</v>
      </c>
      <c r="F462" s="15" t="s">
        <v>1809</v>
      </c>
      <c r="G462" s="7">
        <v>2.701</v>
      </c>
      <c r="H462" s="15" t="s">
        <v>1670</v>
      </c>
      <c r="I462" s="15" t="s">
        <v>1628</v>
      </c>
      <c r="J462" s="15" t="s">
        <v>3420</v>
      </c>
      <c r="K462" s="15">
        <v>4.0</v>
      </c>
      <c r="L462" s="15">
        <v>4.0</v>
      </c>
      <c r="M462" s="40">
        <v>33686.0</v>
      </c>
      <c r="N462" s="40">
        <v>39639.0</v>
      </c>
      <c r="O462" s="15" t="s">
        <v>1554</v>
      </c>
      <c r="Q462" s="7"/>
    </row>
    <row r="463">
      <c r="A463" s="39" t="s">
        <v>3421</v>
      </c>
      <c r="B463" s="15">
        <v>10406.0</v>
      </c>
      <c r="C463" s="15" t="s">
        <v>3422</v>
      </c>
      <c r="D463" s="15">
        <v>14070.0</v>
      </c>
      <c r="E463" s="15" t="s">
        <v>1916</v>
      </c>
      <c r="F463" s="15" t="s">
        <v>3423</v>
      </c>
      <c r="G463" s="7">
        <v>3.311</v>
      </c>
      <c r="H463" s="15" t="s">
        <v>2552</v>
      </c>
      <c r="I463" s="15" t="s">
        <v>1686</v>
      </c>
      <c r="J463" s="15" t="s">
        <v>3424</v>
      </c>
      <c r="K463" s="15">
        <v>4.0</v>
      </c>
      <c r="L463" s="15">
        <v>4.0</v>
      </c>
      <c r="M463" s="40">
        <v>34183.0</v>
      </c>
      <c r="N463" s="41">
        <v>40147.0</v>
      </c>
      <c r="O463" s="15" t="s">
        <v>1554</v>
      </c>
      <c r="Q463" s="7"/>
    </row>
    <row r="464">
      <c r="A464" s="39" t="s">
        <v>3426</v>
      </c>
      <c r="B464" s="15">
        <v>223341.0</v>
      </c>
      <c r="C464" s="15" t="s">
        <v>3427</v>
      </c>
      <c r="D464" s="15">
        <v>14072.0</v>
      </c>
      <c r="E464" s="15" t="s">
        <v>1808</v>
      </c>
      <c r="F464" s="15" t="s">
        <v>1809</v>
      </c>
      <c r="G464" s="7">
        <v>5.096</v>
      </c>
      <c r="H464" s="15" t="s">
        <v>3428</v>
      </c>
      <c r="I464" s="15" t="s">
        <v>1628</v>
      </c>
      <c r="J464" s="15" t="s">
        <v>3429</v>
      </c>
      <c r="K464" s="15">
        <v>7.0</v>
      </c>
      <c r="L464" s="15">
        <v>7.0</v>
      </c>
      <c r="M464" s="40">
        <v>31824.0</v>
      </c>
      <c r="N464" s="40">
        <v>42045.0</v>
      </c>
      <c r="O464" s="15" t="s">
        <v>1554</v>
      </c>
      <c r="Q464" s="7"/>
    </row>
    <row r="465">
      <c r="A465" s="39" t="s">
        <v>3430</v>
      </c>
      <c r="B465" s="15">
        <v>10564.0</v>
      </c>
      <c r="C465" s="15" t="s">
        <v>3431</v>
      </c>
      <c r="D465" s="15">
        <v>14073.0</v>
      </c>
      <c r="E465" s="15" t="s">
        <v>1557</v>
      </c>
      <c r="F465" s="15" t="s">
        <v>1822</v>
      </c>
      <c r="G465" s="7">
        <v>8.374</v>
      </c>
      <c r="H465" s="15" t="s">
        <v>3432</v>
      </c>
      <c r="I465" s="15" t="s">
        <v>1686</v>
      </c>
      <c r="J465" s="15" t="s">
        <v>3433</v>
      </c>
      <c r="K465" s="15">
        <v>9.0</v>
      </c>
      <c r="L465" s="15">
        <v>9.0</v>
      </c>
      <c r="M465" s="40">
        <v>34183.0</v>
      </c>
      <c r="N465" s="40">
        <v>42045.0</v>
      </c>
      <c r="O465" s="15" t="s">
        <v>1554</v>
      </c>
      <c r="Q465" s="7"/>
    </row>
    <row r="466">
      <c r="A466" s="39" t="s">
        <v>3434</v>
      </c>
      <c r="B466" s="15">
        <v>10623.0</v>
      </c>
      <c r="C466" s="15" t="s">
        <v>3435</v>
      </c>
      <c r="D466" s="15">
        <v>14075.0</v>
      </c>
      <c r="E466" s="15" t="s">
        <v>1557</v>
      </c>
      <c r="F466" s="15" t="s">
        <v>1822</v>
      </c>
      <c r="G466" s="7">
        <v>7.868</v>
      </c>
      <c r="H466" s="15" t="s">
        <v>2660</v>
      </c>
      <c r="I466" s="15" t="s">
        <v>1686</v>
      </c>
      <c r="J466" s="15" t="s">
        <v>3436</v>
      </c>
      <c r="K466" s="15">
        <v>10.0</v>
      </c>
      <c r="L466" s="15">
        <v>10.0</v>
      </c>
      <c r="M466" s="40">
        <v>32020.0</v>
      </c>
      <c r="N466" s="40">
        <v>42045.0</v>
      </c>
      <c r="O466" s="15" t="s">
        <v>1554</v>
      </c>
      <c r="Q466" s="7"/>
    </row>
    <row r="467">
      <c r="A467" s="39" t="s">
        <v>3438</v>
      </c>
      <c r="B467" s="15">
        <v>268779.0</v>
      </c>
      <c r="C467" s="15" t="s">
        <v>3439</v>
      </c>
      <c r="D467" s="15">
        <v>14076.0</v>
      </c>
      <c r="E467" s="15" t="s">
        <v>1808</v>
      </c>
      <c r="F467" s="15" t="s">
        <v>1809</v>
      </c>
      <c r="G467" s="7">
        <v>2.705</v>
      </c>
      <c r="H467" s="15" t="s">
        <v>1597</v>
      </c>
      <c r="I467" s="15" t="s">
        <v>1628</v>
      </c>
      <c r="J467" s="15" t="s">
        <v>3440</v>
      </c>
      <c r="K467" s="15">
        <v>3.0</v>
      </c>
      <c r="L467" s="15">
        <v>3.0</v>
      </c>
      <c r="M467" s="40">
        <v>34741.0</v>
      </c>
      <c r="N467" s="40">
        <v>39790.0</v>
      </c>
      <c r="O467" s="15" t="s">
        <v>1554</v>
      </c>
      <c r="Q467" s="7"/>
    </row>
    <row r="468">
      <c r="A468" s="39" t="s">
        <v>3441</v>
      </c>
      <c r="B468" s="15">
        <v>28314.0</v>
      </c>
      <c r="C468" s="15" t="s">
        <v>3442</v>
      </c>
      <c r="D468" s="15">
        <v>14077.0</v>
      </c>
      <c r="E468" s="15" t="s">
        <v>1808</v>
      </c>
      <c r="F468" s="15" t="s">
        <v>2436</v>
      </c>
      <c r="G468" s="7">
        <v>4.801</v>
      </c>
      <c r="H468" s="15" t="s">
        <v>2857</v>
      </c>
      <c r="I468" s="15" t="s">
        <v>1686</v>
      </c>
      <c r="J468" s="15" t="s">
        <v>3443</v>
      </c>
      <c r="K468" s="15">
        <v>4.0</v>
      </c>
      <c r="L468" s="15">
        <v>4.0</v>
      </c>
      <c r="M468" s="40">
        <v>34183.0</v>
      </c>
      <c r="N468" s="40">
        <v>41327.0</v>
      </c>
      <c r="O468" s="15" t="s">
        <v>1554</v>
      </c>
      <c r="Q468" s="7"/>
    </row>
    <row r="469">
      <c r="A469" s="39" t="s">
        <v>3444</v>
      </c>
      <c r="B469" s="15">
        <v>10690.0</v>
      </c>
      <c r="C469" s="15" t="s">
        <v>3445</v>
      </c>
      <c r="D469" s="15">
        <v>14078.0</v>
      </c>
      <c r="E469" s="15" t="s">
        <v>1557</v>
      </c>
      <c r="F469" s="15" t="s">
        <v>1767</v>
      </c>
      <c r="G469" s="7">
        <v>32.355</v>
      </c>
      <c r="H469" s="15">
        <v>40.0</v>
      </c>
      <c r="I469" s="15" t="s">
        <v>1586</v>
      </c>
      <c r="J469" s="15" t="s">
        <v>3446</v>
      </c>
      <c r="K469" s="15">
        <v>42.0</v>
      </c>
      <c r="L469" s="15">
        <v>42.0</v>
      </c>
      <c r="M469" s="41">
        <v>35003.0</v>
      </c>
      <c r="N469" s="40">
        <v>42045.0</v>
      </c>
      <c r="O469" s="15" t="s">
        <v>1554</v>
      </c>
      <c r="Q469" s="7"/>
    </row>
    <row r="470">
      <c r="A470" s="39" t="s">
        <v>3448</v>
      </c>
      <c r="B470" s="15">
        <v>223359.0</v>
      </c>
      <c r="C470" s="15" t="s">
        <v>3449</v>
      </c>
      <c r="D470" s="15">
        <v>14079.0</v>
      </c>
      <c r="E470" s="15" t="s">
        <v>1808</v>
      </c>
      <c r="F470" s="15" t="s">
        <v>1809</v>
      </c>
      <c r="G470" s="7">
        <v>5.145</v>
      </c>
      <c r="H470" s="15" t="s">
        <v>3450</v>
      </c>
      <c r="I470" s="15" t="s">
        <v>1628</v>
      </c>
      <c r="J470" s="15" t="s">
        <v>3451</v>
      </c>
      <c r="K470" s="15">
        <v>6.0</v>
      </c>
      <c r="L470" s="15">
        <v>6.0</v>
      </c>
      <c r="M470" s="40">
        <v>34087.0</v>
      </c>
      <c r="N470" s="40">
        <v>39790.0</v>
      </c>
      <c r="O470" s="15" t="s">
        <v>1554</v>
      </c>
      <c r="Q470" s="7"/>
    </row>
    <row r="471">
      <c r="A471" s="39" t="s">
        <v>3452</v>
      </c>
      <c r="B471" s="15">
        <v>36363.0</v>
      </c>
      <c r="C471" s="15" t="s">
        <v>3453</v>
      </c>
      <c r="D471" s="15">
        <v>14081.0</v>
      </c>
      <c r="E471" s="15" t="s">
        <v>1557</v>
      </c>
      <c r="F471" s="15" t="s">
        <v>3454</v>
      </c>
      <c r="G471" s="7">
        <v>102.653</v>
      </c>
      <c r="H471" s="42">
        <v>43129.0</v>
      </c>
      <c r="I471" s="15" t="s">
        <v>1686</v>
      </c>
      <c r="J471" s="15" t="s">
        <v>3455</v>
      </c>
      <c r="K471" s="15">
        <v>110.0</v>
      </c>
      <c r="L471" s="15">
        <v>110.0</v>
      </c>
      <c r="M471" s="40">
        <v>35635.0</v>
      </c>
      <c r="N471" s="40">
        <v>42045.0</v>
      </c>
      <c r="O471" s="15" t="s">
        <v>1554</v>
      </c>
      <c r="Q471" s="7"/>
    </row>
    <row r="472">
      <c r="A472" s="39" t="s">
        <v>3456</v>
      </c>
      <c r="B472" s="15">
        <v>223358.0</v>
      </c>
      <c r="C472" s="15" t="s">
        <v>3458</v>
      </c>
      <c r="D472" s="15">
        <v>14082.0</v>
      </c>
      <c r="E472" s="15" t="s">
        <v>1808</v>
      </c>
      <c r="F472" s="15" t="s">
        <v>1809</v>
      </c>
      <c r="G472" s="7">
        <v>5.159</v>
      </c>
      <c r="H472" s="15" t="s">
        <v>3459</v>
      </c>
      <c r="I472" s="15" t="s">
        <v>1628</v>
      </c>
      <c r="J472" s="15" t="s">
        <v>3460</v>
      </c>
      <c r="K472" s="15">
        <v>10.0</v>
      </c>
      <c r="L472" s="15">
        <v>6.0</v>
      </c>
      <c r="M472" s="40">
        <v>35651.0</v>
      </c>
      <c r="N472" s="40">
        <v>39639.0</v>
      </c>
      <c r="O472" s="15" t="s">
        <v>1554</v>
      </c>
      <c r="Q472" s="7"/>
    </row>
    <row r="473">
      <c r="A473" s="39" t="s">
        <v>3461</v>
      </c>
      <c r="B473" s="15">
        <v>51034.0</v>
      </c>
      <c r="C473" s="15" t="s">
        <v>3462</v>
      </c>
      <c r="D473" s="15">
        <v>14083.0</v>
      </c>
      <c r="E473" s="15" t="s">
        <v>1808</v>
      </c>
      <c r="F473" s="15" t="s">
        <v>1809</v>
      </c>
      <c r="G473" s="7">
        <v>5.227</v>
      </c>
      <c r="H473" s="15" t="s">
        <v>3463</v>
      </c>
      <c r="I473" s="15" t="s">
        <v>1628</v>
      </c>
      <c r="J473" s="15" t="s">
        <v>3464</v>
      </c>
      <c r="K473" s="15">
        <v>7.0</v>
      </c>
      <c r="L473" s="15">
        <v>7.0</v>
      </c>
      <c r="M473" s="40">
        <v>35801.0</v>
      </c>
      <c r="N473" s="40">
        <v>42453.0</v>
      </c>
      <c r="O473" s="15" t="s">
        <v>1554</v>
      </c>
      <c r="Q473" s="7"/>
    </row>
    <row r="474">
      <c r="A474" s="39" t="s">
        <v>3465</v>
      </c>
      <c r="B474" s="15">
        <v>262177.0</v>
      </c>
      <c r="C474" s="15" t="s">
        <v>3466</v>
      </c>
      <c r="D474" s="15">
        <v>14084.0</v>
      </c>
      <c r="E474" s="15" t="s">
        <v>1557</v>
      </c>
      <c r="F474" s="15" t="s">
        <v>1992</v>
      </c>
      <c r="G474" s="7">
        <v>131.995</v>
      </c>
      <c r="H474" s="15" t="s">
        <v>3468</v>
      </c>
      <c r="I474" s="15" t="s">
        <v>1560</v>
      </c>
      <c r="J474" s="15" t="s">
        <v>3469</v>
      </c>
      <c r="K474" s="15">
        <v>152.0</v>
      </c>
      <c r="L474" s="15">
        <v>152.0</v>
      </c>
      <c r="M474" s="40">
        <v>35516.0</v>
      </c>
      <c r="N474" s="40">
        <v>40452.0</v>
      </c>
      <c r="O474" s="15" t="s">
        <v>1554</v>
      </c>
      <c r="Q474" s="7"/>
    </row>
    <row r="475">
      <c r="A475" s="39" t="s">
        <v>3470</v>
      </c>
      <c r="B475" s="15">
        <v>40631.0</v>
      </c>
      <c r="C475" s="15" t="s">
        <v>3471</v>
      </c>
      <c r="D475" s="15">
        <v>14086.0</v>
      </c>
      <c r="E475" s="15" t="s">
        <v>1557</v>
      </c>
      <c r="F475" s="15" t="s">
        <v>1833</v>
      </c>
      <c r="G475" s="7">
        <v>46.375</v>
      </c>
      <c r="H475" s="15" t="s">
        <v>2263</v>
      </c>
      <c r="I475" s="15" t="s">
        <v>1586</v>
      </c>
      <c r="J475" s="15" t="s">
        <v>3472</v>
      </c>
      <c r="K475" s="15">
        <v>60.0</v>
      </c>
      <c r="L475" s="15">
        <v>60.0</v>
      </c>
      <c r="M475" s="40">
        <v>35944.0</v>
      </c>
      <c r="N475" s="40">
        <v>42576.0</v>
      </c>
      <c r="O475" s="15" t="s">
        <v>1554</v>
      </c>
      <c r="Q475" s="7"/>
    </row>
    <row r="476">
      <c r="A476" s="39" t="s">
        <v>3473</v>
      </c>
      <c r="B476" s="15">
        <v>83201.0</v>
      </c>
      <c r="C476" s="15" t="s">
        <v>3475</v>
      </c>
      <c r="D476" s="15">
        <v>14088.0</v>
      </c>
      <c r="E476" s="15" t="s">
        <v>1808</v>
      </c>
      <c r="F476" s="15" t="s">
        <v>2969</v>
      </c>
      <c r="G476" s="7">
        <v>8.651</v>
      </c>
      <c r="H476" s="15" t="s">
        <v>2877</v>
      </c>
      <c r="I476" s="15" t="s">
        <v>1586</v>
      </c>
      <c r="J476" s="15" t="s">
        <v>3476</v>
      </c>
      <c r="K476" s="15">
        <v>9.0</v>
      </c>
      <c r="L476" s="15">
        <v>9.0</v>
      </c>
      <c r="M476" s="40">
        <v>36074.0</v>
      </c>
      <c r="N476" s="40">
        <v>42045.0</v>
      </c>
      <c r="O476" s="15" t="s">
        <v>1554</v>
      </c>
      <c r="Q476" s="7"/>
    </row>
    <row r="477">
      <c r="A477" s="39" t="s">
        <v>3477</v>
      </c>
      <c r="B477" s="15">
        <v>271108.0</v>
      </c>
      <c r="C477" s="15" t="s">
        <v>3478</v>
      </c>
      <c r="D477" s="15">
        <v>14089.0</v>
      </c>
      <c r="E477" s="15" t="s">
        <v>1557</v>
      </c>
      <c r="F477" s="15" t="s">
        <v>1992</v>
      </c>
      <c r="G477" s="7">
        <v>128.413</v>
      </c>
      <c r="H477" s="15" t="s">
        <v>2524</v>
      </c>
      <c r="I477" s="15" t="s">
        <v>1560</v>
      </c>
      <c r="J477" s="15" t="s">
        <v>3479</v>
      </c>
      <c r="K477" s="15">
        <v>143.0</v>
      </c>
      <c r="L477" s="15">
        <v>143.0</v>
      </c>
      <c r="M477" s="40">
        <v>35082.0</v>
      </c>
      <c r="N477" s="40">
        <v>42452.0</v>
      </c>
      <c r="O477" s="15" t="s">
        <v>1554</v>
      </c>
      <c r="Q477" s="7"/>
    </row>
    <row r="478">
      <c r="A478" s="39" t="s">
        <v>3480</v>
      </c>
      <c r="B478" s="15">
        <v>10798.0</v>
      </c>
      <c r="C478" s="15" t="s">
        <v>3481</v>
      </c>
      <c r="D478" s="15">
        <v>14090.0</v>
      </c>
      <c r="E478" s="15" t="s">
        <v>1808</v>
      </c>
      <c r="F478" s="15" t="s">
        <v>2436</v>
      </c>
      <c r="G478" s="7">
        <v>5.596</v>
      </c>
      <c r="H478" s="15" t="s">
        <v>3066</v>
      </c>
      <c r="I478" s="15" t="s">
        <v>1567</v>
      </c>
      <c r="J478" s="15" t="s">
        <v>3482</v>
      </c>
      <c r="K478" s="15">
        <v>6.0</v>
      </c>
      <c r="L478" s="15">
        <v>6.0</v>
      </c>
      <c r="M478" s="40">
        <v>36374.0</v>
      </c>
      <c r="N478" s="40">
        <v>42045.0</v>
      </c>
      <c r="O478" s="15" t="s">
        <v>1554</v>
      </c>
      <c r="Q478" s="7"/>
    </row>
    <row r="479">
      <c r="A479" s="39" t="s">
        <v>3483</v>
      </c>
      <c r="B479" s="15">
        <v>97344.0</v>
      </c>
      <c r="C479" s="15" t="s">
        <v>3484</v>
      </c>
      <c r="D479" s="15">
        <v>14091.0</v>
      </c>
      <c r="E479" s="15" t="s">
        <v>1808</v>
      </c>
      <c r="F479" s="15" t="s">
        <v>2436</v>
      </c>
      <c r="G479" s="7">
        <v>5.454</v>
      </c>
      <c r="H479" s="15" t="s">
        <v>2668</v>
      </c>
      <c r="I479" s="15" t="s">
        <v>1560</v>
      </c>
      <c r="J479" s="15" t="s">
        <v>3486</v>
      </c>
      <c r="K479" s="15">
        <v>8.0</v>
      </c>
      <c r="L479" s="15">
        <v>8.0</v>
      </c>
      <c r="M479" s="41">
        <v>36460.0</v>
      </c>
      <c r="N479" s="40">
        <v>42045.0</v>
      </c>
      <c r="O479" s="15" t="s">
        <v>1554</v>
      </c>
      <c r="Q479" s="7"/>
    </row>
    <row r="480">
      <c r="A480" s="39" t="s">
        <v>3487</v>
      </c>
      <c r="B480" s="15">
        <v>51677.0</v>
      </c>
      <c r="C480" s="15" t="s">
        <v>3488</v>
      </c>
      <c r="D480" s="15">
        <v>14092.0</v>
      </c>
      <c r="E480" s="15" t="s">
        <v>1557</v>
      </c>
      <c r="F480" s="15" t="s">
        <v>1992</v>
      </c>
      <c r="G480" s="7">
        <v>178.733</v>
      </c>
      <c r="H480" s="15" t="s">
        <v>2223</v>
      </c>
      <c r="I480" s="15" t="s">
        <v>1560</v>
      </c>
      <c r="J480" s="15" t="s">
        <v>3489</v>
      </c>
      <c r="K480" s="15">
        <v>181.0</v>
      </c>
      <c r="L480" s="15">
        <v>181.0</v>
      </c>
      <c r="M480" s="40">
        <v>36466.0</v>
      </c>
      <c r="N480" s="40">
        <v>40248.0</v>
      </c>
      <c r="O480" s="15" t="s">
        <v>1554</v>
      </c>
      <c r="Q480" s="7"/>
    </row>
    <row r="481">
      <c r="A481" s="39" t="s">
        <v>3490</v>
      </c>
      <c r="B481" s="15">
        <v>127507.0</v>
      </c>
      <c r="C481" s="15" t="s">
        <v>3491</v>
      </c>
      <c r="D481" s="15">
        <v>14093.0</v>
      </c>
      <c r="E481" s="15" t="s">
        <v>1808</v>
      </c>
      <c r="F481" s="15" t="s">
        <v>2969</v>
      </c>
      <c r="G481" s="7">
        <v>8.784</v>
      </c>
      <c r="H481" s="15" t="s">
        <v>3082</v>
      </c>
      <c r="I481" s="15" t="s">
        <v>1586</v>
      </c>
      <c r="J481" s="15" t="s">
        <v>3492</v>
      </c>
      <c r="K481" s="15">
        <v>10.0</v>
      </c>
      <c r="L481" s="15">
        <v>10.0</v>
      </c>
      <c r="M481" s="40">
        <v>36680.0</v>
      </c>
      <c r="N481" s="40">
        <v>39920.0</v>
      </c>
      <c r="O481" s="15" t="s">
        <v>1554</v>
      </c>
      <c r="Q481" s="7"/>
    </row>
    <row r="482">
      <c r="A482" s="39" t="s">
        <v>3494</v>
      </c>
      <c r="B482" s="15">
        <v>127508.0</v>
      </c>
      <c r="C482" s="15" t="s">
        <v>3495</v>
      </c>
      <c r="D482" s="15">
        <v>14094.0</v>
      </c>
      <c r="E482" s="15" t="s">
        <v>1808</v>
      </c>
      <c r="F482" s="15" t="s">
        <v>2969</v>
      </c>
      <c r="G482" s="7">
        <v>6.891</v>
      </c>
      <c r="H482" s="15" t="s">
        <v>1700</v>
      </c>
      <c r="I482" s="15" t="s">
        <v>1586</v>
      </c>
      <c r="J482" s="15" t="s">
        <v>3496</v>
      </c>
      <c r="K482" s="15">
        <v>8.0</v>
      </c>
      <c r="L482" s="15">
        <v>8.0</v>
      </c>
      <c r="M482" s="40">
        <v>36680.0</v>
      </c>
      <c r="N482" s="40">
        <v>39920.0</v>
      </c>
      <c r="O482" s="15" t="s">
        <v>1554</v>
      </c>
      <c r="Q482" s="7"/>
    </row>
    <row r="483">
      <c r="A483" s="39" t="s">
        <v>3497</v>
      </c>
      <c r="B483" s="15">
        <v>222459.0</v>
      </c>
      <c r="C483" s="15" t="s">
        <v>3498</v>
      </c>
      <c r="D483" s="15">
        <v>14095.0</v>
      </c>
      <c r="E483" s="15" t="s">
        <v>1808</v>
      </c>
      <c r="F483" s="15" t="s">
        <v>1809</v>
      </c>
      <c r="G483" s="7">
        <v>2.764</v>
      </c>
      <c r="H483" s="15" t="s">
        <v>2107</v>
      </c>
      <c r="I483" s="15" t="s">
        <v>1628</v>
      </c>
      <c r="J483" s="15" t="s">
        <v>3499</v>
      </c>
      <c r="K483" s="15">
        <v>6.0</v>
      </c>
      <c r="L483" s="15">
        <v>6.0</v>
      </c>
      <c r="M483" s="40">
        <v>36321.0</v>
      </c>
      <c r="N483" s="40">
        <v>39790.0</v>
      </c>
      <c r="O483" s="15" t="s">
        <v>1554</v>
      </c>
      <c r="Q483" s="7"/>
    </row>
    <row r="484">
      <c r="A484" s="39" t="s">
        <v>3500</v>
      </c>
      <c r="B484" s="15">
        <v>28321.0</v>
      </c>
      <c r="C484" s="15" t="s">
        <v>3501</v>
      </c>
      <c r="D484" s="15">
        <v>14097.0</v>
      </c>
      <c r="E484" s="15" t="s">
        <v>1557</v>
      </c>
      <c r="F484" s="15" t="s">
        <v>2028</v>
      </c>
      <c r="G484" s="7">
        <v>232.392</v>
      </c>
      <c r="H484" s="42">
        <v>43329.0</v>
      </c>
      <c r="I484" s="15" t="s">
        <v>1560</v>
      </c>
      <c r="J484" s="15" t="s">
        <v>3502</v>
      </c>
      <c r="K484" s="15">
        <v>294.0</v>
      </c>
      <c r="L484" s="15">
        <v>294.0</v>
      </c>
      <c r="M484" s="40">
        <v>36768.0</v>
      </c>
      <c r="N484" s="41">
        <v>40505.0</v>
      </c>
      <c r="O484" s="15" t="s">
        <v>1554</v>
      </c>
      <c r="Q484" s="7"/>
    </row>
    <row r="485">
      <c r="A485" s="39" t="s">
        <v>3504</v>
      </c>
      <c r="B485" s="15">
        <v>38251.0</v>
      </c>
      <c r="C485" s="15" t="s">
        <v>3505</v>
      </c>
      <c r="D485" s="15">
        <v>14098.0</v>
      </c>
      <c r="E485" s="15" t="s">
        <v>1808</v>
      </c>
      <c r="F485" s="15" t="s">
        <v>2436</v>
      </c>
      <c r="G485" s="7">
        <v>5.106</v>
      </c>
      <c r="H485" s="15" t="s">
        <v>1572</v>
      </c>
      <c r="I485" s="15" t="s">
        <v>1686</v>
      </c>
      <c r="J485" s="15" t="s">
        <v>3506</v>
      </c>
      <c r="K485" s="15">
        <v>4.0</v>
      </c>
      <c r="L485" s="15">
        <v>4.0</v>
      </c>
      <c r="M485" s="41">
        <v>35045.0</v>
      </c>
      <c r="N485" s="40">
        <v>40206.0</v>
      </c>
      <c r="O485" s="15" t="s">
        <v>1554</v>
      </c>
      <c r="Q485" s="7"/>
    </row>
    <row r="486">
      <c r="A486" s="39" t="s">
        <v>3507</v>
      </c>
      <c r="B486" s="15">
        <v>35252.0</v>
      </c>
      <c r="C486" s="15" t="s">
        <v>3508</v>
      </c>
      <c r="D486" s="15">
        <v>14099.0</v>
      </c>
      <c r="E486" s="15" t="s">
        <v>1557</v>
      </c>
      <c r="F486" s="15" t="s">
        <v>1827</v>
      </c>
      <c r="G486" s="7">
        <v>130.608</v>
      </c>
      <c r="H486" s="15" t="s">
        <v>1720</v>
      </c>
      <c r="I486" s="15" t="s">
        <v>1686</v>
      </c>
      <c r="J486" s="15" t="s">
        <v>3509</v>
      </c>
      <c r="K486" s="15">
        <v>71.0</v>
      </c>
      <c r="L486" s="15">
        <v>71.0</v>
      </c>
      <c r="M486" s="40">
        <v>35663.0</v>
      </c>
      <c r="N486" s="40">
        <v>42045.0</v>
      </c>
      <c r="O486" s="15" t="s">
        <v>1554</v>
      </c>
      <c r="Q486" s="7"/>
    </row>
    <row r="487">
      <c r="A487" s="39" t="s">
        <v>3510</v>
      </c>
      <c r="B487" s="15">
        <v>46448.0</v>
      </c>
      <c r="C487" s="15" t="s">
        <v>3511</v>
      </c>
      <c r="D487" s="15">
        <v>14100.0</v>
      </c>
      <c r="E487" s="15" t="s">
        <v>1808</v>
      </c>
      <c r="F487" s="15" t="s">
        <v>1809</v>
      </c>
      <c r="G487" s="7">
        <v>43315.0</v>
      </c>
      <c r="H487" s="15" t="s">
        <v>2440</v>
      </c>
      <c r="I487" s="15" t="s">
        <v>1628</v>
      </c>
      <c r="J487" s="15" t="s">
        <v>3512</v>
      </c>
      <c r="K487" s="15">
        <v>6.0</v>
      </c>
      <c r="L487" s="15">
        <v>6.0</v>
      </c>
      <c r="M487" s="40">
        <v>35159.0</v>
      </c>
      <c r="N487" s="40">
        <v>40296.0</v>
      </c>
      <c r="O487" s="15" t="s">
        <v>1554</v>
      </c>
      <c r="Q487" s="7"/>
    </row>
    <row r="488">
      <c r="A488" s="39" t="s">
        <v>3513</v>
      </c>
      <c r="B488" s="15">
        <v>223360.0</v>
      </c>
      <c r="C488" s="15" t="s">
        <v>3514</v>
      </c>
      <c r="D488" s="15">
        <v>14101.0</v>
      </c>
      <c r="E488" s="15" t="s">
        <v>1808</v>
      </c>
      <c r="F488" s="15" t="s">
        <v>1809</v>
      </c>
      <c r="G488" s="7">
        <v>5.194</v>
      </c>
      <c r="H488" s="15" t="s">
        <v>3515</v>
      </c>
      <c r="I488" s="15" t="s">
        <v>1628</v>
      </c>
      <c r="J488" s="15" t="s">
        <v>3516</v>
      </c>
      <c r="K488" s="15">
        <v>7.0</v>
      </c>
      <c r="L488" s="15">
        <v>7.0</v>
      </c>
      <c r="M488" s="40">
        <v>36794.0</v>
      </c>
      <c r="N488" s="40">
        <v>39206.0</v>
      </c>
      <c r="O488" s="15" t="s">
        <v>1554</v>
      </c>
      <c r="Q488" s="7"/>
    </row>
    <row r="489">
      <c r="A489" s="39" t="s">
        <v>3517</v>
      </c>
      <c r="B489" s="15">
        <v>134606.0</v>
      </c>
      <c r="C489" s="15" t="s">
        <v>3518</v>
      </c>
      <c r="D489" s="15">
        <v>14102.0</v>
      </c>
      <c r="E489" s="15" t="s">
        <v>1638</v>
      </c>
      <c r="F489" s="15" t="s">
        <v>1863</v>
      </c>
      <c r="G489" s="7">
        <v>43459.0</v>
      </c>
      <c r="H489" s="15" t="s">
        <v>3519</v>
      </c>
      <c r="I489" s="15" t="s">
        <v>1560</v>
      </c>
      <c r="J489" s="15" t="s">
        <v>3521</v>
      </c>
      <c r="K489" s="15">
        <v>1.0</v>
      </c>
      <c r="L489" s="15">
        <v>1.0</v>
      </c>
      <c r="M489" s="40">
        <v>36752.0</v>
      </c>
      <c r="N489" s="40">
        <v>39639.0</v>
      </c>
      <c r="O489" s="15" t="s">
        <v>1554</v>
      </c>
      <c r="Q489" s="7"/>
    </row>
    <row r="490">
      <c r="A490" s="39" t="s">
        <v>3522</v>
      </c>
      <c r="B490" s="15">
        <v>35250.0</v>
      </c>
      <c r="C490" s="15" t="s">
        <v>3523</v>
      </c>
      <c r="D490" s="15">
        <v>14103.0</v>
      </c>
      <c r="E490" s="15" t="s">
        <v>1557</v>
      </c>
      <c r="F490" s="15" t="s">
        <v>1827</v>
      </c>
      <c r="G490" s="7">
        <v>164.27</v>
      </c>
      <c r="H490" s="15" t="s">
        <v>2237</v>
      </c>
      <c r="I490" s="15" t="s">
        <v>1686</v>
      </c>
      <c r="J490" s="15" t="s">
        <v>3524</v>
      </c>
      <c r="K490" s="15">
        <v>76.0</v>
      </c>
      <c r="L490" s="15">
        <v>76.0</v>
      </c>
      <c r="M490" s="41">
        <v>36811.0</v>
      </c>
      <c r="N490" s="41">
        <v>40502.0</v>
      </c>
      <c r="O490" s="15" t="s">
        <v>1554</v>
      </c>
      <c r="Q490" s="7"/>
    </row>
    <row r="491">
      <c r="A491" s="39" t="s">
        <v>3525</v>
      </c>
      <c r="B491" s="15">
        <v>98383.0</v>
      </c>
      <c r="C491" s="15" t="s">
        <v>3526</v>
      </c>
      <c r="D491" s="15">
        <v>14104.0</v>
      </c>
      <c r="E491" s="15" t="s">
        <v>1557</v>
      </c>
      <c r="F491" s="15" t="s">
        <v>1992</v>
      </c>
      <c r="G491" s="7">
        <v>100.999</v>
      </c>
      <c r="H491" s="15" t="s">
        <v>2223</v>
      </c>
      <c r="I491" s="15" t="s">
        <v>1560</v>
      </c>
      <c r="J491" s="15" t="s">
        <v>3527</v>
      </c>
      <c r="K491" s="15">
        <v>121.0</v>
      </c>
      <c r="L491" s="15">
        <v>120.0</v>
      </c>
      <c r="M491" s="41">
        <v>36828.0</v>
      </c>
      <c r="N491" s="41">
        <v>40147.0</v>
      </c>
      <c r="O491" s="15" t="s">
        <v>1554</v>
      </c>
      <c r="Q491" s="7"/>
    </row>
    <row r="492">
      <c r="A492" s="39" t="s">
        <v>3528</v>
      </c>
      <c r="B492" s="15">
        <v>10677.0</v>
      </c>
      <c r="C492" s="15" t="s">
        <v>3529</v>
      </c>
      <c r="D492" s="15">
        <v>14105.0</v>
      </c>
      <c r="E492" s="15" t="s">
        <v>1557</v>
      </c>
      <c r="F492" s="15" t="s">
        <v>1767</v>
      </c>
      <c r="G492" s="7">
        <v>36.717</v>
      </c>
      <c r="H492" s="15" t="s">
        <v>2417</v>
      </c>
      <c r="I492" s="15" t="s">
        <v>1586</v>
      </c>
      <c r="J492" s="15" t="s">
        <v>3531</v>
      </c>
      <c r="K492" s="15">
        <v>55.0</v>
      </c>
      <c r="L492" s="15">
        <v>55.0</v>
      </c>
      <c r="M492" s="40">
        <v>36438.0</v>
      </c>
      <c r="N492" s="40">
        <v>39939.0</v>
      </c>
      <c r="O492" s="15" t="s">
        <v>1554</v>
      </c>
      <c r="Q492" s="7"/>
    </row>
    <row r="493">
      <c r="A493" s="39" t="s">
        <v>3532</v>
      </c>
      <c r="B493" s="15">
        <v>37108.0</v>
      </c>
      <c r="C493" s="15" t="s">
        <v>3533</v>
      </c>
      <c r="D493" s="15">
        <v>14106.0</v>
      </c>
      <c r="E493" s="15" t="s">
        <v>1557</v>
      </c>
      <c r="F493" s="15" t="s">
        <v>1827</v>
      </c>
      <c r="G493" s="7">
        <v>159.16</v>
      </c>
      <c r="H493" s="15" t="s">
        <v>1782</v>
      </c>
      <c r="I493" s="15" t="s">
        <v>1686</v>
      </c>
      <c r="J493" s="15" t="s">
        <v>3534</v>
      </c>
      <c r="K493" s="15">
        <v>79.0</v>
      </c>
      <c r="L493" s="15">
        <v>79.0</v>
      </c>
      <c r="M493" s="40">
        <v>36895.0</v>
      </c>
      <c r="N493" s="40">
        <v>40291.0</v>
      </c>
      <c r="O493" s="15" t="s">
        <v>1554</v>
      </c>
      <c r="Q493" s="7"/>
    </row>
    <row r="494">
      <c r="A494" s="39" t="s">
        <v>3535</v>
      </c>
      <c r="B494" s="15">
        <v>145579.0</v>
      </c>
      <c r="C494" s="15" t="s">
        <v>3536</v>
      </c>
      <c r="D494" s="15">
        <v>14107.0</v>
      </c>
      <c r="E494" s="15" t="s">
        <v>1808</v>
      </c>
      <c r="F494" s="15" t="s">
        <v>3154</v>
      </c>
      <c r="G494" s="7">
        <v>4.594</v>
      </c>
      <c r="H494" s="15" t="s">
        <v>3538</v>
      </c>
      <c r="I494" s="15" t="s">
        <v>1586</v>
      </c>
      <c r="J494" s="15" t="s">
        <v>3539</v>
      </c>
      <c r="K494" s="15">
        <v>11.0</v>
      </c>
      <c r="L494" s="15">
        <v>11.0</v>
      </c>
      <c r="M494" s="40">
        <v>36894.0</v>
      </c>
      <c r="N494" s="40">
        <v>39939.0</v>
      </c>
      <c r="O494" s="15" t="s">
        <v>1554</v>
      </c>
      <c r="Q494" s="7"/>
    </row>
    <row r="495">
      <c r="A495" s="39" t="s">
        <v>3540</v>
      </c>
      <c r="B495" s="15">
        <v>148603.0</v>
      </c>
      <c r="C495" s="15" t="s">
        <v>3541</v>
      </c>
      <c r="D495" s="15">
        <v>14109.0</v>
      </c>
      <c r="E495" s="15" t="s">
        <v>1557</v>
      </c>
      <c r="F495" s="15" t="s">
        <v>1833</v>
      </c>
      <c r="G495" s="7">
        <v>50.55</v>
      </c>
      <c r="H495" s="15" t="s">
        <v>3542</v>
      </c>
      <c r="I495" s="15" t="s">
        <v>1586</v>
      </c>
      <c r="J495" s="15" t="s">
        <v>3543</v>
      </c>
      <c r="K495" s="15">
        <v>86.0</v>
      </c>
      <c r="L495" s="15">
        <v>86.0</v>
      </c>
      <c r="M495" s="40">
        <v>36919.0</v>
      </c>
      <c r="N495" s="40">
        <v>42045.0</v>
      </c>
      <c r="O495" s="15" t="s">
        <v>1554</v>
      </c>
      <c r="Q495" s="7"/>
    </row>
    <row r="496">
      <c r="A496" s="39" t="s">
        <v>3544</v>
      </c>
      <c r="B496" s="15">
        <v>10385.0</v>
      </c>
      <c r="C496" s="15" t="s">
        <v>3545</v>
      </c>
      <c r="D496" s="15">
        <v>14110.0</v>
      </c>
      <c r="E496" s="15" t="s">
        <v>1557</v>
      </c>
      <c r="F496" s="15" t="s">
        <v>1827</v>
      </c>
      <c r="G496" s="7">
        <v>108.873</v>
      </c>
      <c r="H496" s="15" t="s">
        <v>1912</v>
      </c>
      <c r="I496" s="15" t="s">
        <v>1686</v>
      </c>
      <c r="J496" s="15" t="s">
        <v>3546</v>
      </c>
      <c r="K496" s="15">
        <v>79.0</v>
      </c>
      <c r="L496" s="15">
        <v>79.0</v>
      </c>
      <c r="M496" s="40">
        <v>36936.0</v>
      </c>
      <c r="N496" s="40">
        <v>41346.0</v>
      </c>
      <c r="O496" s="15" t="s">
        <v>1554</v>
      </c>
      <c r="Q496" s="7"/>
    </row>
    <row r="497">
      <c r="A497" s="39" t="s">
        <v>3547</v>
      </c>
      <c r="B497" s="15">
        <v>151535.0</v>
      </c>
      <c r="C497" s="15" t="s">
        <v>3548</v>
      </c>
      <c r="D497" s="15">
        <v>14111.0</v>
      </c>
      <c r="E497" s="15" t="s">
        <v>1557</v>
      </c>
      <c r="F497" s="15" t="s">
        <v>1833</v>
      </c>
      <c r="G497" s="7">
        <v>35.538</v>
      </c>
      <c r="H497" s="15" t="s">
        <v>3550</v>
      </c>
      <c r="I497" s="15" t="s">
        <v>1586</v>
      </c>
      <c r="J497" s="15" t="s">
        <v>3551</v>
      </c>
      <c r="K497" s="15">
        <v>62.0</v>
      </c>
      <c r="L497" s="15">
        <v>62.0</v>
      </c>
      <c r="M497" s="40">
        <v>36937.0</v>
      </c>
      <c r="N497" s="41">
        <v>39436.0</v>
      </c>
      <c r="O497" s="15" t="s">
        <v>1554</v>
      </c>
      <c r="Q497" s="7"/>
    </row>
    <row r="498">
      <c r="A498" s="39" t="s">
        <v>3552</v>
      </c>
      <c r="B498" s="15">
        <v>151538.0</v>
      </c>
      <c r="C498" s="15" t="s">
        <v>3553</v>
      </c>
      <c r="D498" s="15">
        <v>14112.0</v>
      </c>
      <c r="E498" s="15" t="s">
        <v>1557</v>
      </c>
      <c r="F498" s="15" t="s">
        <v>1833</v>
      </c>
      <c r="G498" s="7">
        <v>14.957</v>
      </c>
      <c r="H498" s="15" t="s">
        <v>3554</v>
      </c>
      <c r="I498" s="15" t="s">
        <v>1586</v>
      </c>
      <c r="J498" s="15" t="s">
        <v>3555</v>
      </c>
      <c r="K498" s="15">
        <v>29.0</v>
      </c>
      <c r="L498" s="15">
        <v>29.0</v>
      </c>
      <c r="M498" s="40">
        <v>36937.0</v>
      </c>
      <c r="N498" s="40">
        <v>42045.0</v>
      </c>
      <c r="O498" s="15" t="s">
        <v>1554</v>
      </c>
      <c r="Q498" s="7"/>
    </row>
    <row r="499">
      <c r="A499" s="39" t="s">
        <v>3556</v>
      </c>
      <c r="B499" s="15">
        <v>151539.0</v>
      </c>
      <c r="C499" s="15" t="s">
        <v>3557</v>
      </c>
      <c r="D499" s="15">
        <v>14113.0</v>
      </c>
      <c r="E499" s="15" t="s">
        <v>1557</v>
      </c>
      <c r="F499" s="15" t="s">
        <v>1833</v>
      </c>
      <c r="G499" s="7">
        <v>15.179</v>
      </c>
      <c r="H499" s="15">
        <v>33.0</v>
      </c>
      <c r="I499" s="15" t="s">
        <v>1586</v>
      </c>
      <c r="J499" s="15" t="s">
        <v>3558</v>
      </c>
      <c r="K499" s="15">
        <v>27.0</v>
      </c>
      <c r="L499" s="15">
        <v>27.0</v>
      </c>
      <c r="M499" s="40">
        <v>36937.0</v>
      </c>
      <c r="N499" s="40">
        <v>42045.0</v>
      </c>
      <c r="O499" s="15" t="s">
        <v>1554</v>
      </c>
      <c r="Q499" s="7"/>
    </row>
    <row r="500">
      <c r="A500" s="39" t="s">
        <v>3560</v>
      </c>
      <c r="B500" s="15">
        <v>37665.0</v>
      </c>
      <c r="C500" s="15" t="s">
        <v>3561</v>
      </c>
      <c r="D500" s="15">
        <v>14114.0</v>
      </c>
      <c r="E500" s="15" t="s">
        <v>1557</v>
      </c>
      <c r="F500" s="15" t="s">
        <v>2763</v>
      </c>
      <c r="G500" s="7">
        <v>335.593</v>
      </c>
      <c r="H500" s="15" t="s">
        <v>1705</v>
      </c>
      <c r="I500" s="15" t="s">
        <v>1573</v>
      </c>
      <c r="J500" s="15" t="s">
        <v>3562</v>
      </c>
      <c r="K500" s="15">
        <v>240.0</v>
      </c>
      <c r="L500" s="15">
        <v>240.0</v>
      </c>
      <c r="M500" s="40">
        <v>36949.0</v>
      </c>
      <c r="N500" s="40">
        <v>42045.0</v>
      </c>
      <c r="O500" s="15" t="s">
        <v>1554</v>
      </c>
      <c r="Q500" s="7"/>
    </row>
    <row r="501">
      <c r="A501" s="39" t="s">
        <v>3563</v>
      </c>
      <c r="B501" s="15">
        <v>155148.0</v>
      </c>
      <c r="C501" s="15" t="s">
        <v>3564</v>
      </c>
      <c r="D501" s="15">
        <v>14115.0</v>
      </c>
      <c r="E501" s="15" t="s">
        <v>1557</v>
      </c>
      <c r="F501" s="15" t="s">
        <v>1611</v>
      </c>
      <c r="G501" s="7">
        <v>38.297</v>
      </c>
      <c r="H501" s="15" t="s">
        <v>2686</v>
      </c>
      <c r="I501" s="15" t="s">
        <v>1586</v>
      </c>
      <c r="J501" s="15" t="s">
        <v>3565</v>
      </c>
      <c r="K501" s="15">
        <v>58.0</v>
      </c>
      <c r="L501" s="15">
        <v>58.0</v>
      </c>
      <c r="M501" s="40">
        <v>36984.0</v>
      </c>
      <c r="N501" s="40">
        <v>39939.0</v>
      </c>
      <c r="O501" s="15" t="s">
        <v>1554</v>
      </c>
      <c r="Q501" s="7"/>
    </row>
    <row r="502">
      <c r="A502" s="39" t="s">
        <v>3566</v>
      </c>
      <c r="B502" s="15">
        <v>35345.0</v>
      </c>
      <c r="C502" s="15" t="s">
        <v>3567</v>
      </c>
      <c r="D502" s="15">
        <v>14116.0</v>
      </c>
      <c r="E502" s="15" t="s">
        <v>1557</v>
      </c>
      <c r="F502" s="15" t="s">
        <v>1833</v>
      </c>
      <c r="G502" s="7">
        <v>37.667</v>
      </c>
      <c r="H502" s="15" t="s">
        <v>3568</v>
      </c>
      <c r="I502" s="15" t="s">
        <v>1586</v>
      </c>
      <c r="J502" s="15" t="s">
        <v>3569</v>
      </c>
      <c r="K502" s="15">
        <v>56.0</v>
      </c>
      <c r="L502" s="15">
        <v>56.0</v>
      </c>
      <c r="M502" s="40">
        <v>36999.0</v>
      </c>
      <c r="N502" s="40">
        <v>42045.0</v>
      </c>
      <c r="O502" s="15" t="s">
        <v>1554</v>
      </c>
      <c r="Q502" s="7"/>
    </row>
    <row r="503">
      <c r="A503" s="39" t="s">
        <v>3571</v>
      </c>
      <c r="B503" s="15">
        <v>148880.0</v>
      </c>
      <c r="C503" s="15" t="s">
        <v>3572</v>
      </c>
      <c r="D503" s="15">
        <v>14117.0</v>
      </c>
      <c r="E503" s="15" t="s">
        <v>1638</v>
      </c>
      <c r="F503" s="15" t="s">
        <v>1796</v>
      </c>
      <c r="G503" s="7">
        <v>4.861</v>
      </c>
      <c r="H503" s="15" t="s">
        <v>3573</v>
      </c>
      <c r="I503" s="15" t="s">
        <v>1628</v>
      </c>
      <c r="J503" s="15" t="s">
        <v>3574</v>
      </c>
      <c r="K503" s="15">
        <v>2.0</v>
      </c>
      <c r="L503" s="15">
        <v>2.0</v>
      </c>
      <c r="M503" s="40">
        <v>36919.0</v>
      </c>
      <c r="N503" s="40">
        <v>39939.0</v>
      </c>
      <c r="O503" s="15" t="s">
        <v>1554</v>
      </c>
      <c r="Q503" s="7"/>
    </row>
    <row r="504">
      <c r="A504" s="39" t="s">
        <v>3575</v>
      </c>
      <c r="B504" s="15">
        <v>28289.0</v>
      </c>
      <c r="C504" s="15" t="s">
        <v>3576</v>
      </c>
      <c r="D504" s="15">
        <v>14118.0</v>
      </c>
      <c r="E504" s="15" t="s">
        <v>1557</v>
      </c>
      <c r="F504" s="15" t="s">
        <v>1992</v>
      </c>
      <c r="G504" s="7">
        <v>123.5</v>
      </c>
      <c r="H504" s="15" t="s">
        <v>2864</v>
      </c>
      <c r="I504" s="15" t="s">
        <v>1560</v>
      </c>
      <c r="J504" s="15" t="s">
        <v>3577</v>
      </c>
      <c r="K504" s="15">
        <v>143.0</v>
      </c>
      <c r="L504" s="15">
        <v>143.0</v>
      </c>
      <c r="M504" s="40">
        <v>36983.0</v>
      </c>
      <c r="N504" s="40">
        <v>40296.0</v>
      </c>
      <c r="O504" s="15" t="s">
        <v>1554</v>
      </c>
      <c r="Q504" s="7"/>
    </row>
    <row r="505">
      <c r="A505" s="39" t="s">
        <v>3579</v>
      </c>
      <c r="B505" s="15">
        <v>223337.0</v>
      </c>
      <c r="C505" s="15" t="s">
        <v>3580</v>
      </c>
      <c r="D505" s="15">
        <v>14119.0</v>
      </c>
      <c r="E505" s="15" t="s">
        <v>1808</v>
      </c>
      <c r="F505" s="15" t="s">
        <v>1809</v>
      </c>
      <c r="G505" s="7">
        <v>2.767</v>
      </c>
      <c r="H505" s="15" t="s">
        <v>2552</v>
      </c>
      <c r="I505" s="15" t="s">
        <v>1628</v>
      </c>
      <c r="J505" s="15" t="s">
        <v>3581</v>
      </c>
      <c r="K505" s="15">
        <v>6.0</v>
      </c>
      <c r="L505" s="15">
        <v>6.0</v>
      </c>
      <c r="M505" s="40">
        <v>37074.0</v>
      </c>
      <c r="N505" s="40">
        <v>40296.0</v>
      </c>
      <c r="O505" s="15" t="s">
        <v>1554</v>
      </c>
      <c r="Q505" s="7"/>
    </row>
    <row r="506">
      <c r="A506" s="39" t="s">
        <v>3582</v>
      </c>
      <c r="B506" s="15">
        <v>222079.0</v>
      </c>
      <c r="C506" s="15" t="s">
        <v>3583</v>
      </c>
      <c r="D506" s="15">
        <v>14120.0</v>
      </c>
      <c r="E506" s="15" t="s">
        <v>1808</v>
      </c>
      <c r="F506" s="15" t="s">
        <v>1809</v>
      </c>
      <c r="G506" s="7">
        <v>2.748</v>
      </c>
      <c r="H506" s="15" t="s">
        <v>3584</v>
      </c>
      <c r="I506" s="15" t="s">
        <v>1628</v>
      </c>
      <c r="J506" s="15" t="s">
        <v>3585</v>
      </c>
      <c r="K506" s="15">
        <v>6.0</v>
      </c>
      <c r="L506" s="15">
        <v>6.0</v>
      </c>
      <c r="M506" s="40">
        <v>37076.0</v>
      </c>
      <c r="N506" s="40">
        <v>40248.0</v>
      </c>
      <c r="O506" s="15" t="s">
        <v>1554</v>
      </c>
      <c r="Q506" s="7"/>
    </row>
    <row r="507">
      <c r="A507" s="39" t="s">
        <v>3587</v>
      </c>
      <c r="B507" s="15">
        <v>134681.0</v>
      </c>
      <c r="C507" s="15" t="s">
        <v>3588</v>
      </c>
      <c r="D507" s="15">
        <v>14121.0</v>
      </c>
      <c r="E507" s="15" t="s">
        <v>1808</v>
      </c>
      <c r="F507" s="15" t="s">
        <v>1809</v>
      </c>
      <c r="G507" s="7">
        <v>5.232</v>
      </c>
      <c r="H507" s="15" t="s">
        <v>3589</v>
      </c>
      <c r="I507" s="15" t="s">
        <v>1628</v>
      </c>
      <c r="J507" s="15" t="s">
        <v>3590</v>
      </c>
      <c r="K507" s="15">
        <v>6.0</v>
      </c>
      <c r="L507" s="15">
        <v>6.0</v>
      </c>
      <c r="M507" s="40">
        <v>36565.0</v>
      </c>
      <c r="N507" s="40">
        <v>40408.0</v>
      </c>
      <c r="O507" s="15" t="s">
        <v>1554</v>
      </c>
      <c r="Q507" s="7"/>
    </row>
    <row r="508">
      <c r="A508" s="39" t="s">
        <v>3591</v>
      </c>
      <c r="B508" s="15">
        <v>376849.0</v>
      </c>
      <c r="C508" s="15" t="s">
        <v>3592</v>
      </c>
      <c r="D508" s="15">
        <v>14122.0</v>
      </c>
      <c r="E508" s="15" t="s">
        <v>1557</v>
      </c>
      <c r="F508" s="15" t="s">
        <v>2028</v>
      </c>
      <c r="G508" s="7">
        <v>150.773</v>
      </c>
      <c r="H508" s="42">
        <v>43368.0</v>
      </c>
      <c r="I508" s="15" t="s">
        <v>1686</v>
      </c>
      <c r="J508" s="15" t="s">
        <v>3593</v>
      </c>
      <c r="K508" s="15">
        <v>156.0</v>
      </c>
      <c r="L508" s="15">
        <v>156.0</v>
      </c>
      <c r="M508" s="40">
        <v>37094.0</v>
      </c>
      <c r="N508" s="41">
        <v>41239.0</v>
      </c>
      <c r="O508" s="15" t="s">
        <v>1554</v>
      </c>
      <c r="Q508" s="7"/>
    </row>
    <row r="509">
      <c r="A509" s="39" t="s">
        <v>3594</v>
      </c>
      <c r="B509" s="15">
        <v>362398.0</v>
      </c>
      <c r="C509" s="15" t="s">
        <v>3595</v>
      </c>
      <c r="D509" s="15">
        <v>14123.0</v>
      </c>
      <c r="E509" s="15" t="s">
        <v>1916</v>
      </c>
      <c r="F509" s="15" t="s">
        <v>1917</v>
      </c>
      <c r="G509" s="7">
        <v>7.687</v>
      </c>
      <c r="H509" s="15" t="s">
        <v>2648</v>
      </c>
      <c r="I509" s="15" t="s">
        <v>1628</v>
      </c>
      <c r="J509" s="15" t="s">
        <v>3597</v>
      </c>
      <c r="K509" s="15">
        <v>3.0</v>
      </c>
      <c r="L509" s="15">
        <v>3.0</v>
      </c>
      <c r="M509" s="40">
        <v>37098.0</v>
      </c>
      <c r="N509" s="40">
        <v>40578.0</v>
      </c>
      <c r="O509" s="15" t="s">
        <v>1554</v>
      </c>
      <c r="Q509" s="7"/>
    </row>
    <row r="510">
      <c r="A510" s="39" t="s">
        <v>3598</v>
      </c>
      <c r="B510" s="15">
        <v>176652.0</v>
      </c>
      <c r="C510" s="15" t="s">
        <v>3599</v>
      </c>
      <c r="D510" s="15">
        <v>14124.0</v>
      </c>
      <c r="E510" s="15" t="s">
        <v>1557</v>
      </c>
      <c r="F510" s="15" t="s">
        <v>3454</v>
      </c>
      <c r="G510" s="7">
        <v>212.482</v>
      </c>
      <c r="H510" s="42">
        <v>43279.0</v>
      </c>
      <c r="I510" s="15" t="s">
        <v>1560</v>
      </c>
      <c r="J510" s="15" t="s">
        <v>3600</v>
      </c>
      <c r="K510" s="15">
        <v>463.0</v>
      </c>
      <c r="L510" s="15">
        <v>468.0</v>
      </c>
      <c r="M510" s="40">
        <v>37103.0</v>
      </c>
      <c r="N510" s="40">
        <v>38806.0</v>
      </c>
      <c r="O510" s="15" t="s">
        <v>1554</v>
      </c>
      <c r="Q510" s="7"/>
    </row>
    <row r="511">
      <c r="A511" s="39" t="s">
        <v>3601</v>
      </c>
      <c r="B511" s="15">
        <v>146032.0</v>
      </c>
      <c r="C511" s="15" t="s">
        <v>3602</v>
      </c>
      <c r="D511" s="15">
        <v>14125.0</v>
      </c>
      <c r="E511" s="15" t="s">
        <v>1808</v>
      </c>
      <c r="F511" s="15" t="s">
        <v>1998</v>
      </c>
      <c r="G511" s="7">
        <v>1.821</v>
      </c>
      <c r="H511" s="15" t="s">
        <v>3604</v>
      </c>
      <c r="I511" s="15" t="s">
        <v>1686</v>
      </c>
      <c r="J511" s="15" t="s">
        <v>3605</v>
      </c>
      <c r="K511" s="15">
        <v>4.0</v>
      </c>
      <c r="L511" s="15">
        <v>4.0</v>
      </c>
      <c r="M511" s="40">
        <v>37110.0</v>
      </c>
      <c r="N511" s="40">
        <v>39790.0</v>
      </c>
      <c r="O511" s="15" t="s">
        <v>1554</v>
      </c>
      <c r="Q511" s="7"/>
    </row>
    <row r="512">
      <c r="A512" s="39" t="s">
        <v>3606</v>
      </c>
      <c r="B512" s="15">
        <v>168238.0</v>
      </c>
      <c r="C512" s="15" t="s">
        <v>3607</v>
      </c>
      <c r="D512" s="15">
        <v>14126.0</v>
      </c>
      <c r="E512" s="15" t="s">
        <v>1916</v>
      </c>
      <c r="F512" s="15" t="s">
        <v>2532</v>
      </c>
      <c r="G512" s="7">
        <v>8.072</v>
      </c>
      <c r="H512" s="15">
        <v>48.0</v>
      </c>
      <c r="I512" s="15" t="s">
        <v>1686</v>
      </c>
      <c r="J512" s="15" t="s">
        <v>3608</v>
      </c>
      <c r="K512" s="15" t="s">
        <v>1722</v>
      </c>
      <c r="L512" s="15" t="s">
        <v>1722</v>
      </c>
      <c r="M512" s="40">
        <v>37115.0</v>
      </c>
      <c r="N512" s="40">
        <v>40296.0</v>
      </c>
      <c r="O512" s="15" t="s">
        <v>1554</v>
      </c>
      <c r="Q512" s="7"/>
    </row>
    <row r="513">
      <c r="A513" s="39" t="s">
        <v>3609</v>
      </c>
      <c r="B513" s="15">
        <v>70600.0</v>
      </c>
      <c r="C513" s="15" t="s">
        <v>3610</v>
      </c>
      <c r="D513" s="15">
        <v>14127.0</v>
      </c>
      <c r="E513" s="15" t="s">
        <v>1557</v>
      </c>
      <c r="F513" s="15" t="s">
        <v>1992</v>
      </c>
      <c r="G513" s="7">
        <v>118.584</v>
      </c>
      <c r="H513" s="15" t="s">
        <v>2223</v>
      </c>
      <c r="I513" s="15" t="s">
        <v>1560</v>
      </c>
      <c r="J513" s="15" t="s">
        <v>3611</v>
      </c>
      <c r="K513" s="15">
        <v>137.0</v>
      </c>
      <c r="L513" s="15">
        <v>136.0</v>
      </c>
      <c r="M513" s="40">
        <v>37122.0</v>
      </c>
      <c r="N513" s="40">
        <v>40248.0</v>
      </c>
      <c r="O513" s="15" t="s">
        <v>1554</v>
      </c>
      <c r="Q513" s="7"/>
    </row>
    <row r="514">
      <c r="A514" s="39" t="s">
        <v>3613</v>
      </c>
      <c r="B514" s="15">
        <v>130556.0</v>
      </c>
      <c r="C514" s="15" t="s">
        <v>3614</v>
      </c>
      <c r="D514" s="15">
        <v>14128.0</v>
      </c>
      <c r="E514" s="15" t="s">
        <v>1557</v>
      </c>
      <c r="F514" s="15" t="s">
        <v>1992</v>
      </c>
      <c r="G514" s="7">
        <v>108.252</v>
      </c>
      <c r="H514" s="15" t="s">
        <v>2296</v>
      </c>
      <c r="I514" s="15" t="s">
        <v>1560</v>
      </c>
      <c r="J514" s="15" t="s">
        <v>3615</v>
      </c>
      <c r="K514" s="15">
        <v>109.0</v>
      </c>
      <c r="L514" s="15">
        <v>109.0</v>
      </c>
      <c r="M514" s="40">
        <v>37125.0</v>
      </c>
      <c r="N514" s="41">
        <v>40147.0</v>
      </c>
      <c r="O514" s="15" t="s">
        <v>1554</v>
      </c>
      <c r="Q514" s="7"/>
    </row>
    <row r="515">
      <c r="A515" s="39" t="s">
        <v>3616</v>
      </c>
      <c r="B515" s="15">
        <v>172220.0</v>
      </c>
      <c r="C515" s="15" t="s">
        <v>3617</v>
      </c>
      <c r="D515" s="15">
        <v>14129.0</v>
      </c>
      <c r="E515" s="15" t="s">
        <v>1916</v>
      </c>
      <c r="F515" s="15" t="s">
        <v>1917</v>
      </c>
      <c r="G515" s="7">
        <v>8.303</v>
      </c>
      <c r="H515" s="42">
        <v>43131.0</v>
      </c>
      <c r="I515" s="15" t="s">
        <v>1628</v>
      </c>
      <c r="J515" s="15" t="s">
        <v>3618</v>
      </c>
      <c r="K515" s="15">
        <v>8.0</v>
      </c>
      <c r="L515" s="15">
        <v>8.0</v>
      </c>
      <c r="M515" s="41">
        <v>37175.0</v>
      </c>
      <c r="N515" s="40">
        <v>40248.0</v>
      </c>
      <c r="O515" s="15" t="s">
        <v>1554</v>
      </c>
      <c r="Q515" s="7"/>
    </row>
    <row r="516">
      <c r="A516" s="39" t="s">
        <v>3619</v>
      </c>
      <c r="B516" s="15">
        <v>223259.0</v>
      </c>
      <c r="C516" s="15" t="s">
        <v>3620</v>
      </c>
      <c r="D516" s="15">
        <v>14130.0</v>
      </c>
      <c r="E516" s="15" t="s">
        <v>1808</v>
      </c>
      <c r="F516" s="15" t="s">
        <v>1809</v>
      </c>
      <c r="G516" s="7">
        <v>2.754</v>
      </c>
      <c r="H516" s="15" t="s">
        <v>2648</v>
      </c>
      <c r="I516" s="15" t="s">
        <v>1628</v>
      </c>
      <c r="J516" s="15" t="s">
        <v>3621</v>
      </c>
      <c r="K516" s="15">
        <v>6.0</v>
      </c>
      <c r="L516" s="15">
        <v>6.0</v>
      </c>
      <c r="M516" s="40">
        <v>37062.0</v>
      </c>
      <c r="N516" s="40">
        <v>40206.0</v>
      </c>
      <c r="O516" s="15" t="s">
        <v>1554</v>
      </c>
      <c r="Q516" s="7"/>
    </row>
    <row r="517">
      <c r="A517" s="39" t="s">
        <v>3623</v>
      </c>
      <c r="B517" s="15">
        <v>35241.0</v>
      </c>
      <c r="C517" s="15" t="s">
        <v>3624</v>
      </c>
      <c r="D517" s="15">
        <v>14131.0</v>
      </c>
      <c r="E517" s="15" t="s">
        <v>1557</v>
      </c>
      <c r="F517" s="15" t="s">
        <v>1833</v>
      </c>
      <c r="G517" s="7">
        <v>38.347</v>
      </c>
      <c r="H517" s="15" t="s">
        <v>2288</v>
      </c>
      <c r="I517" s="15" t="s">
        <v>1586</v>
      </c>
      <c r="J517" s="15" t="s">
        <v>3625</v>
      </c>
      <c r="K517" s="15">
        <v>56.0</v>
      </c>
      <c r="L517" s="15">
        <v>56.0</v>
      </c>
      <c r="M517" s="40">
        <v>36319.0</v>
      </c>
      <c r="N517" s="40">
        <v>42045.0</v>
      </c>
      <c r="O517" s="15" t="s">
        <v>1554</v>
      </c>
      <c r="Q517" s="7"/>
    </row>
    <row r="518">
      <c r="A518" s="39" t="s">
        <v>3626</v>
      </c>
      <c r="B518" s="15">
        <v>176106.0</v>
      </c>
      <c r="C518" s="15" t="s">
        <v>3627</v>
      </c>
      <c r="D518" s="15">
        <v>14132.0</v>
      </c>
      <c r="E518" s="15" t="s">
        <v>1557</v>
      </c>
      <c r="F518" s="15" t="s">
        <v>3628</v>
      </c>
      <c r="G518" s="7">
        <v>40.9</v>
      </c>
      <c r="H518" s="15" t="s">
        <v>2207</v>
      </c>
      <c r="I518" s="15" t="s">
        <v>1618</v>
      </c>
      <c r="J518" s="15" t="s">
        <v>3629</v>
      </c>
      <c r="K518" s="15">
        <v>73.0</v>
      </c>
      <c r="L518" s="15">
        <v>73.0</v>
      </c>
      <c r="M518" s="40">
        <v>37201.0</v>
      </c>
      <c r="N518" s="40">
        <v>40263.0</v>
      </c>
      <c r="O518" s="15" t="s">
        <v>1554</v>
      </c>
      <c r="Q518" s="7"/>
    </row>
    <row r="519">
      <c r="A519" s="39" t="s">
        <v>3630</v>
      </c>
      <c r="B519" s="15">
        <v>173707.0</v>
      </c>
      <c r="C519" s="15" t="s">
        <v>3631</v>
      </c>
      <c r="D519" s="15">
        <v>14145.0</v>
      </c>
      <c r="E519" s="15" t="s">
        <v>1557</v>
      </c>
      <c r="F519" s="15" t="s">
        <v>1833</v>
      </c>
      <c r="G519" s="7">
        <v>43.106</v>
      </c>
      <c r="H519" s="15" t="s">
        <v>2857</v>
      </c>
      <c r="I519" s="15" t="s">
        <v>1586</v>
      </c>
      <c r="J519" s="15" t="s">
        <v>3633</v>
      </c>
      <c r="K519" s="15">
        <v>56.0</v>
      </c>
      <c r="L519" s="15">
        <v>56.0</v>
      </c>
      <c r="M519" s="40">
        <v>37171.0</v>
      </c>
      <c r="N519" s="40">
        <v>43013.0</v>
      </c>
      <c r="O519" s="15" t="s">
        <v>1554</v>
      </c>
      <c r="Q519" s="7"/>
    </row>
    <row r="520">
      <c r="A520" s="39" t="s">
        <v>3634</v>
      </c>
      <c r="B520" s="15">
        <v>179237.0</v>
      </c>
      <c r="C520" s="15" t="s">
        <v>3635</v>
      </c>
      <c r="D520" s="15">
        <v>14146.0</v>
      </c>
      <c r="E520" s="15" t="s">
        <v>1557</v>
      </c>
      <c r="F520" s="15" t="s">
        <v>1578</v>
      </c>
      <c r="G520" s="7">
        <v>57.416</v>
      </c>
      <c r="H520" s="15" t="s">
        <v>2038</v>
      </c>
      <c r="I520" s="15" t="s">
        <v>1586</v>
      </c>
      <c r="J520" s="15" t="s">
        <v>3636</v>
      </c>
      <c r="K520" s="15">
        <v>83.0</v>
      </c>
      <c r="L520" s="15">
        <v>83.0</v>
      </c>
      <c r="M520" s="41">
        <v>37245.0</v>
      </c>
      <c r="N520" s="40">
        <v>39939.0</v>
      </c>
      <c r="O520" s="15" t="s">
        <v>1554</v>
      </c>
      <c r="Q520" s="7"/>
    </row>
    <row r="521">
      <c r="A521" s="39" t="s">
        <v>3637</v>
      </c>
      <c r="B521" s="15">
        <v>223251.0</v>
      </c>
      <c r="C521" s="15" t="s">
        <v>3638</v>
      </c>
      <c r="D521" s="15">
        <v>14149.0</v>
      </c>
      <c r="E521" s="15" t="s">
        <v>1808</v>
      </c>
      <c r="F521" s="15" t="s">
        <v>1809</v>
      </c>
      <c r="G521" s="7">
        <v>2.737</v>
      </c>
      <c r="H521" s="15" t="s">
        <v>3255</v>
      </c>
      <c r="I521" s="15" t="s">
        <v>1628</v>
      </c>
      <c r="J521" s="15" t="s">
        <v>3639</v>
      </c>
      <c r="K521" s="15">
        <v>8.0</v>
      </c>
      <c r="L521" s="15">
        <v>8.0</v>
      </c>
      <c r="M521" s="40">
        <v>37261.0</v>
      </c>
      <c r="N521" s="40">
        <v>39639.0</v>
      </c>
      <c r="O521" s="15" t="s">
        <v>1554</v>
      </c>
      <c r="Q521" s="7"/>
    </row>
    <row r="522">
      <c r="A522" s="39" t="s">
        <v>3640</v>
      </c>
      <c r="B522" s="15">
        <v>107324.0</v>
      </c>
      <c r="C522" s="15" t="s">
        <v>3641</v>
      </c>
      <c r="D522" s="15">
        <v>14150.0</v>
      </c>
      <c r="E522" s="15" t="s">
        <v>1916</v>
      </c>
      <c r="F522" s="15" t="s">
        <v>1917</v>
      </c>
      <c r="G522" s="7">
        <v>7.767</v>
      </c>
      <c r="H522" s="42">
        <v>43158.0</v>
      </c>
      <c r="I522" s="15" t="s">
        <v>1628</v>
      </c>
      <c r="J522" s="15" t="s">
        <v>3643</v>
      </c>
      <c r="K522" s="15">
        <v>4.0</v>
      </c>
      <c r="L522" s="15">
        <v>4.0</v>
      </c>
      <c r="M522" s="41">
        <v>36479.0</v>
      </c>
      <c r="N522" s="40">
        <v>40296.0</v>
      </c>
      <c r="O522" s="15" t="s">
        <v>1554</v>
      </c>
      <c r="Q522" s="7"/>
    </row>
    <row r="523">
      <c r="A523" s="39" t="s">
        <v>3644</v>
      </c>
      <c r="B523" s="15">
        <v>268776.0</v>
      </c>
      <c r="C523" s="15" t="s">
        <v>3645</v>
      </c>
      <c r="D523" s="15">
        <v>14151.0</v>
      </c>
      <c r="E523" s="15" t="s">
        <v>1808</v>
      </c>
      <c r="F523" s="15" t="s">
        <v>1809</v>
      </c>
      <c r="G523" s="7">
        <v>2.672</v>
      </c>
      <c r="H523" s="15" t="s">
        <v>2540</v>
      </c>
      <c r="I523" s="15" t="s">
        <v>1628</v>
      </c>
      <c r="J523" s="15" t="s">
        <v>3646</v>
      </c>
      <c r="K523" s="15">
        <v>5.0</v>
      </c>
      <c r="L523" s="15">
        <v>5.0</v>
      </c>
      <c r="M523" s="40">
        <v>34088.0</v>
      </c>
      <c r="N523" s="40">
        <v>42575.0</v>
      </c>
      <c r="O523" s="15" t="s">
        <v>1554</v>
      </c>
      <c r="Q523" s="7"/>
    </row>
    <row r="524">
      <c r="A524" s="39" t="s">
        <v>3647</v>
      </c>
      <c r="B524" s="15">
        <v>195056.0</v>
      </c>
      <c r="C524" s="15" t="s">
        <v>3648</v>
      </c>
      <c r="D524" s="15">
        <v>14152.0</v>
      </c>
      <c r="E524" s="15" t="s">
        <v>2014</v>
      </c>
      <c r="F524" s="15" t="s">
        <v>1578</v>
      </c>
      <c r="G524" s="7">
        <v>0.22</v>
      </c>
      <c r="H524" s="15" t="s">
        <v>3542</v>
      </c>
      <c r="I524" s="15" t="s">
        <v>1628</v>
      </c>
      <c r="J524" s="15" t="s">
        <v>3649</v>
      </c>
      <c r="K524" s="15">
        <v>2.0</v>
      </c>
      <c r="L524" s="15">
        <v>1.0</v>
      </c>
      <c r="M524" s="40">
        <v>35805.0</v>
      </c>
      <c r="N524" s="40">
        <v>42620.0</v>
      </c>
      <c r="O524" s="15" t="s">
        <v>1554</v>
      </c>
      <c r="Q524" s="7"/>
    </row>
    <row r="525">
      <c r="A525" s="39" t="s">
        <v>3651</v>
      </c>
      <c r="B525" s="15">
        <v>174178.0</v>
      </c>
      <c r="C525" s="15" t="s">
        <v>3652</v>
      </c>
      <c r="D525" s="15">
        <v>14153.0</v>
      </c>
      <c r="E525" s="15" t="s">
        <v>1916</v>
      </c>
      <c r="F525" s="15" t="s">
        <v>1917</v>
      </c>
      <c r="G525" s="7">
        <v>7.559</v>
      </c>
      <c r="H525" s="15" t="s">
        <v>3653</v>
      </c>
      <c r="I525" s="15" t="s">
        <v>1628</v>
      </c>
      <c r="J525" s="15" t="s">
        <v>3654</v>
      </c>
      <c r="K525" s="15">
        <v>6.0</v>
      </c>
      <c r="L525" s="15">
        <v>6.0</v>
      </c>
      <c r="M525" s="41">
        <v>37189.0</v>
      </c>
      <c r="N525" s="40">
        <v>42459.0</v>
      </c>
      <c r="O525" s="15" t="s">
        <v>1554</v>
      </c>
      <c r="Q525" s="7"/>
    </row>
    <row r="526">
      <c r="A526" s="39" t="s">
        <v>3655</v>
      </c>
      <c r="B526" s="15">
        <v>88870.0</v>
      </c>
      <c r="C526" s="15" t="s">
        <v>3656</v>
      </c>
      <c r="D526" s="15">
        <v>14154.0</v>
      </c>
      <c r="E526" s="15" t="s">
        <v>1557</v>
      </c>
      <c r="F526" s="15" t="s">
        <v>1833</v>
      </c>
      <c r="G526" s="7">
        <v>52.797</v>
      </c>
      <c r="H526" s="15" t="s">
        <v>3657</v>
      </c>
      <c r="I526" s="15" t="s">
        <v>1586</v>
      </c>
      <c r="J526" s="15" t="s">
        <v>3658</v>
      </c>
      <c r="K526" s="15">
        <v>89.0</v>
      </c>
      <c r="L526" s="15">
        <v>89.0</v>
      </c>
      <c r="M526" s="40">
        <v>36215.0</v>
      </c>
      <c r="N526" s="41">
        <v>40896.0</v>
      </c>
      <c r="O526" s="15" t="s">
        <v>1554</v>
      </c>
      <c r="Q526" s="7"/>
    </row>
    <row r="527">
      <c r="A527" s="39" t="s">
        <v>3659</v>
      </c>
      <c r="B527" s="15">
        <v>10276.0</v>
      </c>
      <c r="C527" s="15" t="s">
        <v>3660</v>
      </c>
      <c r="D527" s="15">
        <v>14155.0</v>
      </c>
      <c r="E527" s="15" t="s">
        <v>1557</v>
      </c>
      <c r="F527" s="15" t="s">
        <v>2028</v>
      </c>
      <c r="G527" s="7">
        <v>146.454</v>
      </c>
      <c r="H527" s="42">
        <v>43217.0</v>
      </c>
      <c r="I527" s="15" t="s">
        <v>1686</v>
      </c>
      <c r="J527" s="15" t="s">
        <v>3661</v>
      </c>
      <c r="K527" s="15">
        <v>150.0</v>
      </c>
      <c r="L527" s="15">
        <v>150.0</v>
      </c>
      <c r="M527" s="40">
        <v>37287.0</v>
      </c>
      <c r="N527" s="41">
        <v>41235.0</v>
      </c>
      <c r="O527" s="15" t="s">
        <v>1554</v>
      </c>
      <c r="Q527" s="7"/>
    </row>
    <row r="528">
      <c r="A528" s="39" t="s">
        <v>3662</v>
      </c>
      <c r="B528" s="15">
        <v>203173.0</v>
      </c>
      <c r="C528" s="15" t="s">
        <v>3663</v>
      </c>
      <c r="D528" s="15">
        <v>14156.0</v>
      </c>
      <c r="E528" s="15" t="s">
        <v>1557</v>
      </c>
      <c r="F528" s="15" t="s">
        <v>2028</v>
      </c>
      <c r="G528" s="7">
        <v>205.719</v>
      </c>
      <c r="H528" s="15" t="s">
        <v>2009</v>
      </c>
      <c r="I528" s="15" t="s">
        <v>1686</v>
      </c>
      <c r="J528" s="15" t="s">
        <v>3664</v>
      </c>
      <c r="K528" s="15">
        <v>211.0</v>
      </c>
      <c r="L528" s="15">
        <v>211.0</v>
      </c>
      <c r="M528" s="40">
        <v>37291.0</v>
      </c>
      <c r="N528" s="41">
        <v>41235.0</v>
      </c>
      <c r="O528" s="15" t="s">
        <v>1554</v>
      </c>
      <c r="Q528" s="7"/>
    </row>
    <row r="529">
      <c r="A529" s="39" t="s">
        <v>3666</v>
      </c>
      <c r="B529" s="15">
        <v>37296.0</v>
      </c>
      <c r="C529" s="15" t="s">
        <v>3667</v>
      </c>
      <c r="D529" s="15">
        <v>14158.0</v>
      </c>
      <c r="E529" s="15" t="s">
        <v>1557</v>
      </c>
      <c r="F529" s="15" t="s">
        <v>1827</v>
      </c>
      <c r="G529" s="7">
        <v>137.969</v>
      </c>
      <c r="H529" s="15" t="s">
        <v>2271</v>
      </c>
      <c r="I529" s="15" t="s">
        <v>1567</v>
      </c>
      <c r="J529" s="15" t="s">
        <v>3668</v>
      </c>
      <c r="K529" s="15">
        <v>96.0</v>
      </c>
      <c r="L529" s="15">
        <v>86.0</v>
      </c>
      <c r="M529" s="40">
        <v>36374.0</v>
      </c>
      <c r="N529" s="40">
        <v>40291.0</v>
      </c>
      <c r="O529" s="15" t="s">
        <v>1554</v>
      </c>
      <c r="Q529" s="7"/>
    </row>
    <row r="530">
      <c r="A530" s="39" t="s">
        <v>3669</v>
      </c>
      <c r="B530" s="15">
        <v>221523.0</v>
      </c>
      <c r="C530" s="15" t="s">
        <v>3670</v>
      </c>
      <c r="D530" s="15">
        <v>14159.0</v>
      </c>
      <c r="E530" s="15" t="s">
        <v>1808</v>
      </c>
      <c r="F530" s="15" t="s">
        <v>1809</v>
      </c>
      <c r="G530" s="7">
        <v>2.741</v>
      </c>
      <c r="H530" s="15" t="s">
        <v>2178</v>
      </c>
      <c r="I530" s="15" t="s">
        <v>1628</v>
      </c>
      <c r="J530" s="15" t="s">
        <v>3671</v>
      </c>
      <c r="K530" s="15">
        <v>7.0</v>
      </c>
      <c r="L530" s="15">
        <v>7.0</v>
      </c>
      <c r="M530" s="40">
        <v>36629.0</v>
      </c>
      <c r="N530" s="40">
        <v>39790.0</v>
      </c>
      <c r="O530" s="15" t="s">
        <v>1554</v>
      </c>
      <c r="Q530" s="7"/>
    </row>
    <row r="531">
      <c r="A531" s="39" t="s">
        <v>3672</v>
      </c>
      <c r="B531" s="15">
        <v>77048.0</v>
      </c>
      <c r="C531" s="15" t="s">
        <v>3673</v>
      </c>
      <c r="D531" s="15">
        <v>14160.0</v>
      </c>
      <c r="E531" s="15" t="s">
        <v>1557</v>
      </c>
      <c r="F531" s="15" t="s">
        <v>1833</v>
      </c>
      <c r="G531" s="7">
        <v>26.111</v>
      </c>
      <c r="H531" s="15" t="s">
        <v>1551</v>
      </c>
      <c r="I531" s="15" t="s">
        <v>1618</v>
      </c>
      <c r="J531" s="15" t="s">
        <v>3674</v>
      </c>
      <c r="K531" s="15">
        <v>32.0</v>
      </c>
      <c r="L531" s="15">
        <v>32.0</v>
      </c>
      <c r="M531" s="40">
        <v>35970.0</v>
      </c>
      <c r="N531" s="40">
        <v>42045.0</v>
      </c>
      <c r="O531" s="15" t="s">
        <v>1554</v>
      </c>
      <c r="Q531" s="7"/>
    </row>
    <row r="532">
      <c r="A532" s="39" t="s">
        <v>3675</v>
      </c>
      <c r="B532" s="15">
        <v>10855.0</v>
      </c>
      <c r="C532" s="15" t="s">
        <v>3677</v>
      </c>
      <c r="D532" s="15">
        <v>14161.0</v>
      </c>
      <c r="E532" s="15" t="s">
        <v>1808</v>
      </c>
      <c r="F532" s="15" t="s">
        <v>3154</v>
      </c>
      <c r="G532" s="7">
        <v>4.421</v>
      </c>
      <c r="H532" s="15" t="s">
        <v>3678</v>
      </c>
      <c r="I532" s="15" t="s">
        <v>1586</v>
      </c>
      <c r="J532" s="15" t="s">
        <v>3679</v>
      </c>
      <c r="K532" s="15">
        <v>9.0</v>
      </c>
      <c r="L532" s="15">
        <v>9.0</v>
      </c>
      <c r="M532" s="41">
        <v>32492.0</v>
      </c>
      <c r="N532" s="40">
        <v>42045.0</v>
      </c>
      <c r="O532" s="15" t="s">
        <v>1554</v>
      </c>
      <c r="Q532" s="7"/>
    </row>
    <row r="533">
      <c r="A533" s="39" t="s">
        <v>3680</v>
      </c>
      <c r="B533" s="15">
        <v>55884.0</v>
      </c>
      <c r="C533" s="15" t="s">
        <v>3681</v>
      </c>
      <c r="D533" s="15">
        <v>14162.0</v>
      </c>
      <c r="E533" s="15" t="s">
        <v>1557</v>
      </c>
      <c r="F533" s="15" t="s">
        <v>1767</v>
      </c>
      <c r="G533" s="7">
        <v>37.074</v>
      </c>
      <c r="H533" s="15" t="s">
        <v>2189</v>
      </c>
      <c r="I533" s="15" t="s">
        <v>1586</v>
      </c>
      <c r="J533" s="15" t="s">
        <v>3682</v>
      </c>
      <c r="K533" s="15">
        <v>53.0</v>
      </c>
      <c r="L533" s="15">
        <v>53.0</v>
      </c>
      <c r="M533" s="40">
        <v>35707.0</v>
      </c>
      <c r="N533" s="40">
        <v>42045.0</v>
      </c>
      <c r="O533" s="15" t="s">
        <v>1554</v>
      </c>
      <c r="Q533" s="7"/>
    </row>
    <row r="534">
      <c r="A534" s="39" t="s">
        <v>3683</v>
      </c>
      <c r="B534" s="15">
        <v>189836.0</v>
      </c>
      <c r="C534" s="15" t="s">
        <v>3684</v>
      </c>
      <c r="D534" s="15">
        <v>14163.0</v>
      </c>
      <c r="E534" s="15" t="s">
        <v>1808</v>
      </c>
      <c r="F534" s="15" t="s">
        <v>2969</v>
      </c>
      <c r="G534" s="7">
        <v>5.804</v>
      </c>
      <c r="H534" s="15" t="s">
        <v>3685</v>
      </c>
      <c r="I534" s="15" t="s">
        <v>1586</v>
      </c>
      <c r="J534" s="15" t="s">
        <v>3686</v>
      </c>
      <c r="K534" s="15">
        <v>10.0</v>
      </c>
      <c r="L534" s="15">
        <v>10.0</v>
      </c>
      <c r="M534" s="40">
        <v>37336.0</v>
      </c>
      <c r="N534" s="40">
        <v>39939.0</v>
      </c>
      <c r="O534" s="15" t="s">
        <v>1554</v>
      </c>
      <c r="Q534" s="7"/>
    </row>
    <row r="535">
      <c r="A535" s="39" t="s">
        <v>3687</v>
      </c>
      <c r="B535" s="15">
        <v>37961.0</v>
      </c>
      <c r="C535" s="15" t="s">
        <v>3688</v>
      </c>
      <c r="D535" s="15">
        <v>14164.0</v>
      </c>
      <c r="E535" s="15" t="s">
        <v>1638</v>
      </c>
      <c r="F535" s="15" t="s">
        <v>1796</v>
      </c>
      <c r="G535" s="7">
        <v>6.105</v>
      </c>
      <c r="H535" s="15" t="s">
        <v>3689</v>
      </c>
      <c r="I535" s="15" t="s">
        <v>1628</v>
      </c>
      <c r="J535" s="15" t="s">
        <v>3691</v>
      </c>
      <c r="K535" s="15">
        <v>2.0</v>
      </c>
      <c r="L535" s="15">
        <v>2.0</v>
      </c>
      <c r="M535" s="40">
        <v>34726.0</v>
      </c>
      <c r="N535" s="41">
        <v>42297.0</v>
      </c>
      <c r="O535" s="15" t="s">
        <v>1554</v>
      </c>
      <c r="Q535" s="7"/>
    </row>
    <row r="536">
      <c r="A536" s="39" t="s">
        <v>3692</v>
      </c>
      <c r="B536" s="15">
        <v>31602.0</v>
      </c>
      <c r="C536" s="15" t="s">
        <v>3693</v>
      </c>
      <c r="D536" s="15">
        <v>14165.0</v>
      </c>
      <c r="E536" s="15" t="s">
        <v>1808</v>
      </c>
      <c r="F536" s="15" t="s">
        <v>1809</v>
      </c>
      <c r="G536" s="7">
        <v>5.175</v>
      </c>
      <c r="H536" s="15" t="s">
        <v>3694</v>
      </c>
      <c r="I536" s="15" t="s">
        <v>1628</v>
      </c>
      <c r="J536" s="15" t="s">
        <v>3695</v>
      </c>
      <c r="K536" s="15">
        <v>7.0</v>
      </c>
      <c r="L536" s="15">
        <v>7.0</v>
      </c>
      <c r="M536" s="40">
        <v>36254.0</v>
      </c>
      <c r="N536" s="40">
        <v>42045.0</v>
      </c>
      <c r="O536" s="15" t="s">
        <v>1554</v>
      </c>
      <c r="Q536" s="7"/>
    </row>
    <row r="537">
      <c r="A537" s="39" t="s">
        <v>3696</v>
      </c>
      <c r="B537" s="15">
        <v>190478.0</v>
      </c>
      <c r="C537" s="15" t="s">
        <v>3697</v>
      </c>
      <c r="D537" s="15">
        <v>14166.0</v>
      </c>
      <c r="E537" s="15" t="s">
        <v>1557</v>
      </c>
      <c r="F537" s="15" t="s">
        <v>1833</v>
      </c>
      <c r="G537" s="7">
        <v>33.507</v>
      </c>
      <c r="H537" s="42">
        <v>43218.0</v>
      </c>
      <c r="I537" s="15" t="s">
        <v>1586</v>
      </c>
      <c r="J537" s="15" t="s">
        <v>3698</v>
      </c>
      <c r="K537" s="15">
        <v>50.0</v>
      </c>
      <c r="L537" s="15">
        <v>50.0</v>
      </c>
      <c r="M537" s="40">
        <v>37348.0</v>
      </c>
      <c r="N537" s="40">
        <v>39639.0</v>
      </c>
      <c r="O537" s="15" t="s">
        <v>1554</v>
      </c>
      <c r="Q537" s="7"/>
    </row>
    <row r="538">
      <c r="A538" s="39" t="s">
        <v>3699</v>
      </c>
      <c r="B538" s="15">
        <v>207830.0</v>
      </c>
      <c r="C538" s="15" t="s">
        <v>3700</v>
      </c>
      <c r="D538" s="15">
        <v>14168.0</v>
      </c>
      <c r="E538" s="15" t="s">
        <v>1557</v>
      </c>
      <c r="F538" s="15" t="s">
        <v>1992</v>
      </c>
      <c r="G538" s="7">
        <v>155.06</v>
      </c>
      <c r="H538" s="15" t="s">
        <v>2428</v>
      </c>
      <c r="I538" s="15" t="s">
        <v>1560</v>
      </c>
      <c r="J538" s="15" t="s">
        <v>3702</v>
      </c>
      <c r="K538" s="15">
        <v>169.0</v>
      </c>
      <c r="L538" s="15">
        <v>169.0</v>
      </c>
      <c r="M538" s="40">
        <v>35518.0</v>
      </c>
      <c r="N538" s="40">
        <v>40296.0</v>
      </c>
      <c r="O538" s="15" t="s">
        <v>1554</v>
      </c>
      <c r="Q538" s="7"/>
    </row>
    <row r="539">
      <c r="A539" s="39" t="s">
        <v>3703</v>
      </c>
      <c r="B539" s="15">
        <v>191032.0</v>
      </c>
      <c r="C539" s="15" t="s">
        <v>3704</v>
      </c>
      <c r="D539" s="15">
        <v>14169.0</v>
      </c>
      <c r="E539" s="15" t="s">
        <v>2014</v>
      </c>
      <c r="F539" s="15" t="s">
        <v>1578</v>
      </c>
      <c r="G539" s="7">
        <v>0.322</v>
      </c>
      <c r="H539" s="15">
        <v>50.0</v>
      </c>
      <c r="I539" s="15" t="s">
        <v>1628</v>
      </c>
      <c r="J539" s="15" t="s">
        <v>3705</v>
      </c>
      <c r="K539" s="15" t="s">
        <v>1722</v>
      </c>
      <c r="L539" s="15" t="s">
        <v>1722</v>
      </c>
      <c r="M539" s="40">
        <v>33450.0</v>
      </c>
      <c r="N539" s="40">
        <v>42045.0</v>
      </c>
      <c r="O539" s="15" t="s">
        <v>1554</v>
      </c>
      <c r="Q539" s="7"/>
    </row>
    <row r="540">
      <c r="A540" s="39" t="s">
        <v>3706</v>
      </c>
      <c r="B540" s="15">
        <v>186637.0</v>
      </c>
      <c r="C540" s="15" t="s">
        <v>3707</v>
      </c>
      <c r="D540" s="15">
        <v>14171.0</v>
      </c>
      <c r="E540" s="15" t="s">
        <v>1808</v>
      </c>
      <c r="F540" s="15" t="s">
        <v>1809</v>
      </c>
      <c r="G540" s="7">
        <v>2.766</v>
      </c>
      <c r="H540" s="15" t="s">
        <v>3255</v>
      </c>
      <c r="I540" s="15" t="s">
        <v>1628</v>
      </c>
      <c r="J540" s="15" t="s">
        <v>3708</v>
      </c>
      <c r="K540" s="15">
        <v>6.0</v>
      </c>
      <c r="L540" s="15">
        <v>6.0</v>
      </c>
      <c r="M540" s="40">
        <v>36739.0</v>
      </c>
      <c r="N540" s="40">
        <v>42045.0</v>
      </c>
      <c r="O540" s="15" t="s">
        <v>1554</v>
      </c>
      <c r="Q540" s="7"/>
    </row>
    <row r="541">
      <c r="A541" s="39" t="s">
        <v>3709</v>
      </c>
      <c r="B541" s="15">
        <v>180587.0</v>
      </c>
      <c r="C541" s="15" t="s">
        <v>3710</v>
      </c>
      <c r="D541" s="15">
        <v>14172.0</v>
      </c>
      <c r="E541" s="15" t="s">
        <v>1808</v>
      </c>
      <c r="F541" s="15" t="s">
        <v>1809</v>
      </c>
      <c r="G541" s="7">
        <v>2.757</v>
      </c>
      <c r="H541" s="15" t="s">
        <v>3066</v>
      </c>
      <c r="I541" s="15" t="s">
        <v>1628</v>
      </c>
      <c r="J541" s="15" t="s">
        <v>3712</v>
      </c>
      <c r="K541" s="15">
        <v>6.0</v>
      </c>
      <c r="L541" s="15">
        <v>6.0</v>
      </c>
      <c r="M541" s="40">
        <v>36739.0</v>
      </c>
      <c r="N541" s="40">
        <v>42045.0</v>
      </c>
      <c r="O541" s="15" t="s">
        <v>1554</v>
      </c>
      <c r="Q541" s="7"/>
    </row>
    <row r="542">
      <c r="A542" s="39" t="s">
        <v>3713</v>
      </c>
      <c r="B542" s="15">
        <v>67585.0</v>
      </c>
      <c r="C542" s="15" t="s">
        <v>3714</v>
      </c>
      <c r="D542" s="15">
        <v>14173.0</v>
      </c>
      <c r="E542" s="15" t="s">
        <v>1808</v>
      </c>
      <c r="F542" s="15" t="s">
        <v>1854</v>
      </c>
      <c r="G542" s="7">
        <v>7.911</v>
      </c>
      <c r="H542" s="15" t="s">
        <v>3715</v>
      </c>
      <c r="I542" s="15" t="s">
        <v>1628</v>
      </c>
      <c r="J542" s="15" t="s">
        <v>3716</v>
      </c>
      <c r="K542" s="15">
        <v>8.0</v>
      </c>
      <c r="L542" s="15">
        <v>8.0</v>
      </c>
      <c r="M542" s="41">
        <v>36095.0</v>
      </c>
      <c r="N542" s="41">
        <v>42297.0</v>
      </c>
      <c r="O542" s="15" t="s">
        <v>1554</v>
      </c>
      <c r="Q542" s="7"/>
    </row>
    <row r="543">
      <c r="A543" s="39" t="s">
        <v>3717</v>
      </c>
      <c r="B543" s="15">
        <v>10243.0</v>
      </c>
      <c r="C543" s="15" t="s">
        <v>3718</v>
      </c>
      <c r="D543" s="15">
        <v>14174.0</v>
      </c>
      <c r="E543" s="15" t="s">
        <v>1557</v>
      </c>
      <c r="F543" s="15" t="s">
        <v>2028</v>
      </c>
      <c r="G543" s="7">
        <v>224.499</v>
      </c>
      <c r="H543" s="15" t="s">
        <v>2207</v>
      </c>
      <c r="I543" s="15" t="s">
        <v>1567</v>
      </c>
      <c r="J543" s="15" t="s">
        <v>3719</v>
      </c>
      <c r="K543" s="15">
        <v>233.0</v>
      </c>
      <c r="L543" s="15">
        <v>233.0</v>
      </c>
      <c r="M543" s="40">
        <v>37362.0</v>
      </c>
      <c r="N543" s="40">
        <v>42397.0</v>
      </c>
      <c r="O543" s="15" t="s">
        <v>1554</v>
      </c>
      <c r="Q543" s="7"/>
    </row>
    <row r="544">
      <c r="A544" s="39" t="s">
        <v>3720</v>
      </c>
      <c r="B544" s="15">
        <v>223338.0</v>
      </c>
      <c r="C544" s="15" t="s">
        <v>3721</v>
      </c>
      <c r="D544" s="15">
        <v>14175.0</v>
      </c>
      <c r="E544" s="15" t="s">
        <v>1808</v>
      </c>
      <c r="F544" s="15" t="s">
        <v>1809</v>
      </c>
      <c r="G544" s="7">
        <v>5.195</v>
      </c>
      <c r="H544" s="15" t="s">
        <v>3723</v>
      </c>
      <c r="I544" s="15" t="s">
        <v>1628</v>
      </c>
      <c r="J544" s="15" t="s">
        <v>3724</v>
      </c>
      <c r="K544" s="15">
        <v>7.0</v>
      </c>
      <c r="L544" s="15">
        <v>7.0</v>
      </c>
      <c r="M544" s="40">
        <v>37361.0</v>
      </c>
      <c r="N544" s="40">
        <v>39790.0</v>
      </c>
      <c r="O544" s="15" t="s">
        <v>1554</v>
      </c>
      <c r="Q544" s="7"/>
    </row>
    <row r="545">
      <c r="A545" s="39" t="s">
        <v>3725</v>
      </c>
      <c r="B545" s="15">
        <v>35341.0</v>
      </c>
      <c r="C545" s="15" t="s">
        <v>3726</v>
      </c>
      <c r="D545" s="15">
        <v>14176.0</v>
      </c>
      <c r="E545" s="15" t="s">
        <v>1808</v>
      </c>
      <c r="F545" s="15" t="s">
        <v>1809</v>
      </c>
      <c r="G545" s="7">
        <v>5.498</v>
      </c>
      <c r="H545" s="15" t="s">
        <v>3727</v>
      </c>
      <c r="I545" s="15" t="s">
        <v>1628</v>
      </c>
      <c r="J545" s="15" t="s">
        <v>3728</v>
      </c>
      <c r="K545" s="15">
        <v>8.0</v>
      </c>
      <c r="L545" s="15">
        <v>8.0</v>
      </c>
      <c r="M545" s="41">
        <v>36873.0</v>
      </c>
      <c r="N545" s="40">
        <v>39790.0</v>
      </c>
      <c r="O545" s="15" t="s">
        <v>1554</v>
      </c>
      <c r="Q545" s="7"/>
    </row>
    <row r="546">
      <c r="A546" s="39" t="s">
        <v>3729</v>
      </c>
      <c r="B546" s="15">
        <v>268781.0</v>
      </c>
      <c r="C546" s="15" t="s">
        <v>3730</v>
      </c>
      <c r="D546" s="15">
        <v>14177.0</v>
      </c>
      <c r="E546" s="15" t="s">
        <v>1808</v>
      </c>
      <c r="F546" s="15" t="s">
        <v>1809</v>
      </c>
      <c r="G546" s="7">
        <v>2.758</v>
      </c>
      <c r="H546" s="15" t="s">
        <v>2540</v>
      </c>
      <c r="I546" s="15" t="s">
        <v>1628</v>
      </c>
      <c r="J546" s="15" t="s">
        <v>3731</v>
      </c>
      <c r="K546" s="15">
        <v>3.0</v>
      </c>
      <c r="L546" s="15">
        <v>3.0</v>
      </c>
      <c r="M546" s="40">
        <v>34184.0</v>
      </c>
      <c r="N546" s="40">
        <v>39790.0</v>
      </c>
      <c r="O546" s="15" t="s">
        <v>1554</v>
      </c>
      <c r="Q546" s="7"/>
    </row>
    <row r="547">
      <c r="A547" s="39" t="s">
        <v>3733</v>
      </c>
      <c r="B547" s="15">
        <v>185959.0</v>
      </c>
      <c r="C547" s="15" t="s">
        <v>3734</v>
      </c>
      <c r="D547" s="15">
        <v>14178.0</v>
      </c>
      <c r="E547" s="15" t="s">
        <v>1808</v>
      </c>
      <c r="F547" s="15" t="s">
        <v>2969</v>
      </c>
      <c r="G547" s="7">
        <v>7.768</v>
      </c>
      <c r="H547" s="42">
        <v>43154.0</v>
      </c>
      <c r="I547" s="15" t="s">
        <v>1586</v>
      </c>
      <c r="J547" s="15" t="s">
        <v>3735</v>
      </c>
      <c r="K547" s="15">
        <v>13.0</v>
      </c>
      <c r="L547" s="15">
        <v>13.0</v>
      </c>
      <c r="M547" s="40">
        <v>35065.0</v>
      </c>
      <c r="N547" s="40">
        <v>39645.0</v>
      </c>
      <c r="O547" s="15" t="s">
        <v>1554</v>
      </c>
      <c r="Q547" s="7"/>
    </row>
    <row r="548">
      <c r="A548" s="39" t="s">
        <v>3736</v>
      </c>
      <c r="B548" s="15">
        <v>63723.0</v>
      </c>
      <c r="C548" s="15" t="s">
        <v>3737</v>
      </c>
      <c r="D548" s="15">
        <v>14179.0</v>
      </c>
      <c r="E548" s="15" t="s">
        <v>1808</v>
      </c>
      <c r="F548" s="15" t="s">
        <v>1809</v>
      </c>
      <c r="G548" s="7">
        <v>5.56</v>
      </c>
      <c r="H548" s="15" t="s">
        <v>3738</v>
      </c>
      <c r="I548" s="15" t="s">
        <v>1628</v>
      </c>
      <c r="J548" s="15" t="s">
        <v>3739</v>
      </c>
      <c r="K548" s="15">
        <v>8.0</v>
      </c>
      <c r="L548" s="15">
        <v>8.0</v>
      </c>
      <c r="M548" s="40">
        <v>36576.0</v>
      </c>
      <c r="N548" s="40">
        <v>39639.0</v>
      </c>
      <c r="O548" s="15" t="s">
        <v>1554</v>
      </c>
      <c r="Q548" s="7"/>
    </row>
    <row r="549">
      <c r="A549" s="39" t="s">
        <v>3740</v>
      </c>
      <c r="B549" s="15">
        <v>10830.0</v>
      </c>
      <c r="C549" s="15" t="s">
        <v>3741</v>
      </c>
      <c r="D549" s="15">
        <v>14181.0</v>
      </c>
      <c r="E549" s="15" t="s">
        <v>1808</v>
      </c>
      <c r="F549" s="15" t="s">
        <v>1809</v>
      </c>
      <c r="G549" s="7">
        <v>2.58</v>
      </c>
      <c r="H549" s="15" t="s">
        <v>2552</v>
      </c>
      <c r="I549" s="15" t="s">
        <v>1628</v>
      </c>
      <c r="J549" s="15" t="s">
        <v>3743</v>
      </c>
      <c r="K549" s="15">
        <v>4.0</v>
      </c>
      <c r="L549" s="15">
        <v>4.0</v>
      </c>
      <c r="M549" s="40">
        <v>34184.0</v>
      </c>
      <c r="N549" s="40">
        <v>39639.0</v>
      </c>
      <c r="O549" s="15" t="s">
        <v>1554</v>
      </c>
      <c r="Q549" s="7"/>
    </row>
    <row r="550">
      <c r="A550" s="39" t="s">
        <v>3744</v>
      </c>
      <c r="B550" s="15">
        <v>223342.0</v>
      </c>
      <c r="C550" s="15" t="s">
        <v>3745</v>
      </c>
      <c r="D550" s="15">
        <v>14182.0</v>
      </c>
      <c r="E550" s="15" t="s">
        <v>1808</v>
      </c>
      <c r="F550" s="15" t="s">
        <v>1809</v>
      </c>
      <c r="G550" s="7">
        <v>5.172</v>
      </c>
      <c r="H550" s="15" t="s">
        <v>3746</v>
      </c>
      <c r="I550" s="15" t="s">
        <v>1628</v>
      </c>
      <c r="J550" s="15" t="s">
        <v>3747</v>
      </c>
      <c r="K550" s="15">
        <v>7.0</v>
      </c>
      <c r="L550" s="15">
        <v>7.0</v>
      </c>
      <c r="M550" s="40">
        <v>38801.0</v>
      </c>
      <c r="N550" s="40">
        <v>42045.0</v>
      </c>
      <c r="O550" s="15" t="s">
        <v>1554</v>
      </c>
      <c r="Q550" s="7"/>
    </row>
    <row r="551">
      <c r="A551" s="39" t="s">
        <v>3748</v>
      </c>
      <c r="B551" s="15">
        <v>222455.0</v>
      </c>
      <c r="C551" s="15" t="s">
        <v>3749</v>
      </c>
      <c r="D551" s="15">
        <v>14183.0</v>
      </c>
      <c r="E551" s="15" t="s">
        <v>1808</v>
      </c>
      <c r="F551" s="15" t="s">
        <v>1809</v>
      </c>
      <c r="G551" s="7">
        <v>5.213</v>
      </c>
      <c r="H551" s="15" t="s">
        <v>3750</v>
      </c>
      <c r="I551" s="15" t="s">
        <v>1628</v>
      </c>
      <c r="J551" s="15" t="s">
        <v>3752</v>
      </c>
      <c r="K551" s="15">
        <v>7.0</v>
      </c>
      <c r="L551" s="15">
        <v>7.0</v>
      </c>
      <c r="M551" s="40">
        <v>36223.0</v>
      </c>
      <c r="N551" s="40">
        <v>39790.0</v>
      </c>
      <c r="O551" s="15" t="s">
        <v>1554</v>
      </c>
      <c r="Q551" s="7"/>
    </row>
    <row r="552">
      <c r="A552" s="39" t="s">
        <v>3753</v>
      </c>
      <c r="B552" s="15">
        <v>195061.0</v>
      </c>
      <c r="C552" s="15" t="s">
        <v>3754</v>
      </c>
      <c r="D552" s="15">
        <v>14184.0</v>
      </c>
      <c r="E552" s="15" t="s">
        <v>2014</v>
      </c>
      <c r="F552" s="15" t="s">
        <v>1578</v>
      </c>
      <c r="G552" s="7">
        <v>0.377</v>
      </c>
      <c r="H552" s="15" t="s">
        <v>2033</v>
      </c>
      <c r="I552" s="15" t="s">
        <v>1628</v>
      </c>
      <c r="J552" s="15" t="s">
        <v>3755</v>
      </c>
      <c r="K552" s="15" t="s">
        <v>1722</v>
      </c>
      <c r="L552" s="15" t="s">
        <v>1722</v>
      </c>
      <c r="M552" s="40">
        <v>33039.0</v>
      </c>
      <c r="N552" s="40">
        <v>39639.0</v>
      </c>
      <c r="O552" s="15" t="s">
        <v>1554</v>
      </c>
      <c r="Q552" s="7"/>
    </row>
    <row r="553">
      <c r="A553" s="39" t="s">
        <v>3756</v>
      </c>
      <c r="B553" s="15">
        <v>94700.0</v>
      </c>
      <c r="C553" s="15" t="s">
        <v>3757</v>
      </c>
      <c r="D553" s="15">
        <v>14185.0</v>
      </c>
      <c r="E553" s="15" t="s">
        <v>1808</v>
      </c>
      <c r="F553" s="15" t="s">
        <v>1809</v>
      </c>
      <c r="G553" s="7">
        <v>5.204</v>
      </c>
      <c r="H553" s="15" t="s">
        <v>3758</v>
      </c>
      <c r="I553" s="15" t="s">
        <v>1628</v>
      </c>
      <c r="J553" s="15" t="s">
        <v>3759</v>
      </c>
      <c r="K553" s="15">
        <v>6.0</v>
      </c>
      <c r="L553" s="15">
        <v>6.0</v>
      </c>
      <c r="M553" s="40">
        <v>36526.0</v>
      </c>
      <c r="N553" s="40">
        <v>39639.0</v>
      </c>
      <c r="O553" s="15" t="s">
        <v>1554</v>
      </c>
      <c r="Q553" s="7"/>
    </row>
    <row r="554">
      <c r="A554" s="39" t="s">
        <v>3760</v>
      </c>
      <c r="B554" s="15">
        <v>223286.0</v>
      </c>
      <c r="C554" s="15" t="s">
        <v>3761</v>
      </c>
      <c r="D554" s="15">
        <v>300794.0</v>
      </c>
      <c r="E554" s="15" t="s">
        <v>1808</v>
      </c>
      <c r="F554" s="15" t="s">
        <v>1809</v>
      </c>
      <c r="G554" s="7">
        <v>43164.0</v>
      </c>
      <c r="H554" s="15" t="s">
        <v>3763</v>
      </c>
      <c r="I554" s="15" t="s">
        <v>1628</v>
      </c>
      <c r="J554" s="15" t="s">
        <v>3764</v>
      </c>
      <c r="K554" s="15">
        <v>6.0</v>
      </c>
      <c r="L554" s="15">
        <v>6.0</v>
      </c>
      <c r="M554" s="40">
        <v>37105.0</v>
      </c>
      <c r="N554" s="41">
        <v>42365.0</v>
      </c>
      <c r="O554" s="15" t="s">
        <v>1554</v>
      </c>
      <c r="Q554" s="7"/>
    </row>
    <row r="555">
      <c r="A555" s="39" t="s">
        <v>3765</v>
      </c>
      <c r="B555" s="15">
        <v>51336.0</v>
      </c>
      <c r="C555" s="15" t="s">
        <v>3766</v>
      </c>
      <c r="D555" s="15">
        <v>14187.0</v>
      </c>
      <c r="E555" s="15" t="s">
        <v>1808</v>
      </c>
      <c r="F555" s="15" t="s">
        <v>1809</v>
      </c>
      <c r="G555" s="7">
        <v>5.096</v>
      </c>
      <c r="H555" s="15" t="s">
        <v>3767</v>
      </c>
      <c r="I555" s="15" t="s">
        <v>1628</v>
      </c>
      <c r="J555" s="15" t="s">
        <v>3768</v>
      </c>
      <c r="K555" s="15">
        <v>8.0</v>
      </c>
      <c r="L555" s="15">
        <v>7.0</v>
      </c>
      <c r="M555" s="40">
        <v>35370.0</v>
      </c>
      <c r="N555" s="40">
        <v>42453.0</v>
      </c>
      <c r="O555" s="15" t="s">
        <v>1554</v>
      </c>
      <c r="Q555" s="7"/>
    </row>
    <row r="556">
      <c r="A556" s="39" t="s">
        <v>3769</v>
      </c>
      <c r="B556" s="15">
        <v>223357.0</v>
      </c>
      <c r="C556" s="15" t="s">
        <v>3770</v>
      </c>
      <c r="D556" s="15">
        <v>14188.0</v>
      </c>
      <c r="E556" s="15" t="s">
        <v>1808</v>
      </c>
      <c r="F556" s="15" t="s">
        <v>1809</v>
      </c>
      <c r="G556" s="7">
        <v>5.206</v>
      </c>
      <c r="H556" s="15" t="s">
        <v>3771</v>
      </c>
      <c r="I556" s="15" t="s">
        <v>1628</v>
      </c>
      <c r="J556" s="15" t="s">
        <v>3772</v>
      </c>
      <c r="K556" s="15">
        <v>7.0</v>
      </c>
      <c r="L556" s="15">
        <v>7.0</v>
      </c>
      <c r="M556" s="40">
        <v>36042.0</v>
      </c>
      <c r="N556" s="40">
        <v>42577.0</v>
      </c>
      <c r="O556" s="15" t="s">
        <v>1554</v>
      </c>
      <c r="Q556" s="7"/>
    </row>
    <row r="557">
      <c r="A557" s="39" t="s">
        <v>3774</v>
      </c>
      <c r="B557" s="15">
        <v>31504.0</v>
      </c>
      <c r="C557" s="15" t="s">
        <v>3775</v>
      </c>
      <c r="D557" s="15">
        <v>14189.0</v>
      </c>
      <c r="E557" s="15" t="s">
        <v>2014</v>
      </c>
      <c r="F557" s="15" t="s">
        <v>1578</v>
      </c>
      <c r="G557" s="7">
        <v>0.359</v>
      </c>
      <c r="H557" s="15" t="s">
        <v>3776</v>
      </c>
      <c r="I557" s="15" t="s">
        <v>1628</v>
      </c>
      <c r="J557" s="15" t="s">
        <v>3777</v>
      </c>
      <c r="K557" s="15" t="s">
        <v>1722</v>
      </c>
      <c r="L557" s="15" t="s">
        <v>1722</v>
      </c>
      <c r="M557" s="40">
        <v>32674.0</v>
      </c>
      <c r="N557" s="40">
        <v>39639.0</v>
      </c>
      <c r="O557" s="15" t="s">
        <v>1554</v>
      </c>
      <c r="Q557" s="7"/>
    </row>
    <row r="558">
      <c r="A558" s="39" t="s">
        <v>3778</v>
      </c>
      <c r="B558" s="15">
        <v>220608.0</v>
      </c>
      <c r="C558" s="15" t="s">
        <v>3779</v>
      </c>
      <c r="D558" s="15">
        <v>14190.0</v>
      </c>
      <c r="E558" s="15" t="s">
        <v>1808</v>
      </c>
      <c r="F558" s="15" t="s">
        <v>1809</v>
      </c>
      <c r="G558" s="7">
        <v>2.749</v>
      </c>
      <c r="H558" s="15" t="s">
        <v>2023</v>
      </c>
      <c r="I558" s="15" t="s">
        <v>1628</v>
      </c>
      <c r="J558" s="15" t="s">
        <v>3780</v>
      </c>
      <c r="K558" s="15">
        <v>6.0</v>
      </c>
      <c r="L558" s="15">
        <v>6.0</v>
      </c>
      <c r="M558" s="40">
        <v>34925.0</v>
      </c>
      <c r="N558" s="40">
        <v>39790.0</v>
      </c>
      <c r="O558" s="15" t="s">
        <v>1554</v>
      </c>
      <c r="Q558" s="7"/>
    </row>
    <row r="559">
      <c r="A559" s="39" t="s">
        <v>3781</v>
      </c>
      <c r="B559" s="15">
        <v>223353.0</v>
      </c>
      <c r="C559" s="15" t="s">
        <v>3782</v>
      </c>
      <c r="D559" s="15">
        <v>14191.0</v>
      </c>
      <c r="E559" s="15" t="s">
        <v>1808</v>
      </c>
      <c r="F559" s="15" t="s">
        <v>1809</v>
      </c>
      <c r="G559" s="7">
        <v>2.766</v>
      </c>
      <c r="H559" s="15" t="s">
        <v>3653</v>
      </c>
      <c r="I559" s="15" t="s">
        <v>1628</v>
      </c>
      <c r="J559" s="15" t="s">
        <v>3784</v>
      </c>
      <c r="K559" s="15">
        <v>6.0</v>
      </c>
      <c r="L559" s="15">
        <v>6.0</v>
      </c>
      <c r="M559" s="40">
        <v>34097.0</v>
      </c>
      <c r="N559" s="40">
        <v>42045.0</v>
      </c>
      <c r="O559" s="15" t="s">
        <v>1554</v>
      </c>
      <c r="Q559" s="7"/>
    </row>
    <row r="560">
      <c r="A560" s="39" t="s">
        <v>3785</v>
      </c>
      <c r="B560" s="15">
        <v>220932.0</v>
      </c>
      <c r="C560" s="15" t="s">
        <v>3786</v>
      </c>
      <c r="D560" s="15">
        <v>14192.0</v>
      </c>
      <c r="E560" s="15" t="s">
        <v>1808</v>
      </c>
      <c r="F560" s="15" t="s">
        <v>1809</v>
      </c>
      <c r="G560" s="7">
        <v>2.759</v>
      </c>
      <c r="H560" s="15" t="s">
        <v>2163</v>
      </c>
      <c r="I560" s="15" t="s">
        <v>1628</v>
      </c>
      <c r="J560" s="15" t="s">
        <v>3787</v>
      </c>
      <c r="K560" s="15">
        <v>6.0</v>
      </c>
      <c r="L560" s="15">
        <v>6.0</v>
      </c>
      <c r="M560" s="41">
        <v>34996.0</v>
      </c>
      <c r="N560" s="40">
        <v>39790.0</v>
      </c>
      <c r="O560" s="15" t="s">
        <v>1554</v>
      </c>
      <c r="Q560" s="7"/>
    </row>
    <row r="561">
      <c r="A561" s="39" t="s">
        <v>3788</v>
      </c>
      <c r="B561" s="15">
        <v>196093.0</v>
      </c>
      <c r="C561" s="15" t="s">
        <v>3789</v>
      </c>
      <c r="D561" s="15">
        <v>14193.0</v>
      </c>
      <c r="E561" s="15" t="s">
        <v>1808</v>
      </c>
      <c r="F561" s="15" t="s">
        <v>1809</v>
      </c>
      <c r="G561" s="7">
        <v>2.739</v>
      </c>
      <c r="H561" s="15" t="s">
        <v>1849</v>
      </c>
      <c r="I561" s="15" t="s">
        <v>1628</v>
      </c>
      <c r="J561" s="15" t="s">
        <v>3790</v>
      </c>
      <c r="K561" s="15">
        <v>6.0</v>
      </c>
      <c r="L561" s="15">
        <v>6.0</v>
      </c>
      <c r="M561" s="40">
        <v>35593.0</v>
      </c>
      <c r="N561" s="40">
        <v>39790.0</v>
      </c>
      <c r="O561" s="15" t="s">
        <v>1554</v>
      </c>
      <c r="Q561" s="7"/>
    </row>
    <row r="562">
      <c r="A562" s="39" t="s">
        <v>3791</v>
      </c>
      <c r="B562" s="15">
        <v>196095.0</v>
      </c>
      <c r="C562" s="15" t="s">
        <v>3793</v>
      </c>
      <c r="D562" s="15">
        <v>14194.0</v>
      </c>
      <c r="E562" s="15" t="s">
        <v>2014</v>
      </c>
      <c r="F562" s="15" t="s">
        <v>1578</v>
      </c>
      <c r="G562" s="7">
        <v>0.366</v>
      </c>
      <c r="H562" s="15" t="s">
        <v>3794</v>
      </c>
      <c r="I562" s="15" t="s">
        <v>1628</v>
      </c>
      <c r="J562" s="15" t="s">
        <v>3795</v>
      </c>
      <c r="K562" s="15" t="s">
        <v>1722</v>
      </c>
      <c r="L562" s="15" t="s">
        <v>1722</v>
      </c>
      <c r="M562" s="40">
        <v>31917.0</v>
      </c>
      <c r="N562" s="40">
        <v>39639.0</v>
      </c>
      <c r="O562" s="15" t="s">
        <v>1554</v>
      </c>
      <c r="Q562" s="7"/>
    </row>
    <row r="563">
      <c r="A563" s="39" t="s">
        <v>3796</v>
      </c>
      <c r="B563" s="15">
        <v>197772.0</v>
      </c>
      <c r="C563" s="15" t="s">
        <v>3797</v>
      </c>
      <c r="D563" s="15">
        <v>14195.0</v>
      </c>
      <c r="E563" s="15" t="s">
        <v>1557</v>
      </c>
      <c r="F563" s="15" t="s">
        <v>1822</v>
      </c>
      <c r="G563" s="7">
        <v>7.304</v>
      </c>
      <c r="H563" s="15" t="s">
        <v>3798</v>
      </c>
      <c r="I563" s="15" t="s">
        <v>1686</v>
      </c>
      <c r="J563" s="15" t="s">
        <v>3799</v>
      </c>
      <c r="K563" s="15">
        <v>6.0</v>
      </c>
      <c r="L563" s="15">
        <v>6.0</v>
      </c>
      <c r="M563" s="40">
        <v>37409.0</v>
      </c>
      <c r="N563" s="40">
        <v>40263.0</v>
      </c>
      <c r="O563" s="15" t="s">
        <v>1554</v>
      </c>
      <c r="Q563" s="7"/>
    </row>
    <row r="564">
      <c r="A564" s="39" t="s">
        <v>3800</v>
      </c>
      <c r="B564" s="15">
        <v>376848.0</v>
      </c>
      <c r="C564" s="15" t="s">
        <v>3801</v>
      </c>
      <c r="D564" s="15">
        <v>14196.0</v>
      </c>
      <c r="E564" s="15" t="s">
        <v>1557</v>
      </c>
      <c r="F564" s="15" t="s">
        <v>2028</v>
      </c>
      <c r="G564" s="7">
        <v>149.955</v>
      </c>
      <c r="H564" s="15">
        <v>25.0</v>
      </c>
      <c r="I564" s="15" t="s">
        <v>1686</v>
      </c>
      <c r="J564" s="15" t="s">
        <v>3803</v>
      </c>
      <c r="K564" s="15">
        <v>148.0</v>
      </c>
      <c r="L564" s="15">
        <v>148.0</v>
      </c>
      <c r="M564" s="40">
        <v>37412.0</v>
      </c>
      <c r="N564" s="40">
        <v>42045.0</v>
      </c>
      <c r="O564" s="15" t="s">
        <v>1554</v>
      </c>
      <c r="Q564" s="7"/>
    </row>
    <row r="565">
      <c r="A565" s="39" t="s">
        <v>3804</v>
      </c>
      <c r="B565" s="15">
        <v>376852.0</v>
      </c>
      <c r="C565" s="15" t="s">
        <v>3805</v>
      </c>
      <c r="D565" s="15">
        <v>14197.0</v>
      </c>
      <c r="E565" s="15" t="s">
        <v>1557</v>
      </c>
      <c r="F565" s="15" t="s">
        <v>2028</v>
      </c>
      <c r="G565" s="7">
        <v>149.599</v>
      </c>
      <c r="H565" s="42">
        <v>43184.0</v>
      </c>
      <c r="I565" s="15" t="s">
        <v>1686</v>
      </c>
      <c r="J565" s="15" t="s">
        <v>3806</v>
      </c>
      <c r="K565" s="15">
        <v>150.0</v>
      </c>
      <c r="L565" s="15">
        <v>150.0</v>
      </c>
      <c r="M565" s="40">
        <v>37412.0</v>
      </c>
      <c r="N565" s="41">
        <v>41239.0</v>
      </c>
      <c r="O565" s="15" t="s">
        <v>1554</v>
      </c>
      <c r="Q565" s="7"/>
    </row>
    <row r="566">
      <c r="A566" s="39" t="s">
        <v>3807</v>
      </c>
      <c r="B566" s="15">
        <v>114430.0</v>
      </c>
      <c r="C566" s="15" t="s">
        <v>3808</v>
      </c>
      <c r="D566" s="15">
        <v>14198.0</v>
      </c>
      <c r="E566" s="15" t="s">
        <v>1557</v>
      </c>
      <c r="F566" s="15" t="s">
        <v>2628</v>
      </c>
      <c r="G566" s="7">
        <v>29.576</v>
      </c>
      <c r="H566" s="15" t="s">
        <v>3809</v>
      </c>
      <c r="I566" s="15" t="s">
        <v>1686</v>
      </c>
      <c r="J566" s="15" t="s">
        <v>3810</v>
      </c>
      <c r="K566" s="15">
        <v>44.0</v>
      </c>
      <c r="L566" s="15">
        <v>30.0</v>
      </c>
      <c r="M566" s="41">
        <v>35427.0</v>
      </c>
      <c r="N566" s="40">
        <v>42458.0</v>
      </c>
      <c r="O566" s="15" t="s">
        <v>1554</v>
      </c>
      <c r="Q566" s="7"/>
    </row>
    <row r="567">
      <c r="A567" s="39" t="s">
        <v>3812</v>
      </c>
      <c r="B567" s="15">
        <v>222444.0</v>
      </c>
      <c r="C567" s="15" t="s">
        <v>3813</v>
      </c>
      <c r="D567" s="15">
        <v>14199.0</v>
      </c>
      <c r="E567" s="15" t="s">
        <v>1808</v>
      </c>
      <c r="F567" s="15" t="s">
        <v>1809</v>
      </c>
      <c r="G567" s="7">
        <v>5.197</v>
      </c>
      <c r="H567" s="15" t="s">
        <v>3814</v>
      </c>
      <c r="I567" s="15" t="s">
        <v>1628</v>
      </c>
      <c r="J567" s="15" t="s">
        <v>3815</v>
      </c>
      <c r="K567" s="15">
        <v>6.0</v>
      </c>
      <c r="L567" s="15">
        <v>6.0</v>
      </c>
      <c r="M567" s="40">
        <v>33680.0</v>
      </c>
      <c r="N567" s="40">
        <v>42045.0</v>
      </c>
      <c r="O567" s="15" t="s">
        <v>1554</v>
      </c>
      <c r="Q567" s="7"/>
    </row>
    <row r="568">
      <c r="A568" s="39" t="s">
        <v>3816</v>
      </c>
      <c r="B568" s="15">
        <v>222449.0</v>
      </c>
      <c r="C568" s="15" t="s">
        <v>3817</v>
      </c>
      <c r="D568" s="15">
        <v>14200.0</v>
      </c>
      <c r="E568" s="15" t="s">
        <v>1808</v>
      </c>
      <c r="F568" s="15" t="s">
        <v>1809</v>
      </c>
      <c r="G568" s="7">
        <v>5.232</v>
      </c>
      <c r="H568" s="15" t="s">
        <v>3818</v>
      </c>
      <c r="I568" s="15" t="s">
        <v>1628</v>
      </c>
      <c r="J568" s="15" t="s">
        <v>3819</v>
      </c>
      <c r="K568" s="15">
        <v>8.0</v>
      </c>
      <c r="L568" s="15">
        <v>8.0</v>
      </c>
      <c r="M568" s="40">
        <v>34088.0</v>
      </c>
      <c r="N568" s="40">
        <v>39790.0</v>
      </c>
      <c r="O568" s="15" t="s">
        <v>1554</v>
      </c>
      <c r="Q568" s="7"/>
    </row>
    <row r="569">
      <c r="A569" s="39" t="s">
        <v>3821</v>
      </c>
      <c r="B569" s="15">
        <v>198608.0</v>
      </c>
      <c r="C569" s="15" t="s">
        <v>3822</v>
      </c>
      <c r="D569" s="15">
        <v>14201.0</v>
      </c>
      <c r="E569" s="15" t="s">
        <v>2014</v>
      </c>
      <c r="F569" s="15" t="s">
        <v>1578</v>
      </c>
      <c r="G569" s="7">
        <v>0.497</v>
      </c>
      <c r="H569" s="15" t="s">
        <v>3823</v>
      </c>
      <c r="I569" s="15" t="s">
        <v>1740</v>
      </c>
      <c r="J569" s="15" t="s">
        <v>3824</v>
      </c>
      <c r="K569" s="15">
        <v>1.0</v>
      </c>
      <c r="L569" s="15" t="s">
        <v>1722</v>
      </c>
      <c r="M569" s="40">
        <v>34956.0</v>
      </c>
      <c r="N569" s="41">
        <v>40140.0</v>
      </c>
      <c r="O569" s="15" t="s">
        <v>1554</v>
      </c>
      <c r="Q569" s="7"/>
    </row>
    <row r="570">
      <c r="A570" s="39" t="s">
        <v>3825</v>
      </c>
      <c r="B570" s="15">
        <v>192584.0</v>
      </c>
      <c r="C570" s="15" t="s">
        <v>3826</v>
      </c>
      <c r="D570" s="15">
        <v>14202.0</v>
      </c>
      <c r="E570" s="15" t="s">
        <v>1557</v>
      </c>
      <c r="F570" s="15" t="s">
        <v>1992</v>
      </c>
      <c r="G570" s="7">
        <v>119.217</v>
      </c>
      <c r="H570" s="15" t="s">
        <v>3827</v>
      </c>
      <c r="I570" s="15" t="s">
        <v>1560</v>
      </c>
      <c r="J570" s="15" t="s">
        <v>3828</v>
      </c>
      <c r="K570" s="15">
        <v>130.0</v>
      </c>
      <c r="L570" s="15">
        <v>130.0</v>
      </c>
      <c r="M570" s="40">
        <v>37438.0</v>
      </c>
      <c r="N570" s="41">
        <v>40147.0</v>
      </c>
      <c r="O570" s="15" t="s">
        <v>1554</v>
      </c>
      <c r="Q570" s="7"/>
    </row>
    <row r="571">
      <c r="A571" s="39" t="s">
        <v>3829</v>
      </c>
      <c r="B571" s="15">
        <v>28369.0</v>
      </c>
      <c r="C571" s="15" t="s">
        <v>3830</v>
      </c>
      <c r="D571" s="15">
        <v>14203.0</v>
      </c>
      <c r="E571" s="15" t="s">
        <v>1557</v>
      </c>
      <c r="F571" s="15" t="s">
        <v>1833</v>
      </c>
      <c r="G571" s="7">
        <v>49.136</v>
      </c>
      <c r="H571" s="15" t="s">
        <v>3832</v>
      </c>
      <c r="I571" s="15" t="s">
        <v>1586</v>
      </c>
      <c r="J571" s="15" t="s">
        <v>3833</v>
      </c>
      <c r="K571" s="15">
        <v>84.0</v>
      </c>
      <c r="L571" s="15">
        <v>79.0</v>
      </c>
      <c r="M571" s="40">
        <v>35948.0</v>
      </c>
      <c r="N571" s="40">
        <v>42045.0</v>
      </c>
      <c r="O571" s="15" t="s">
        <v>1554</v>
      </c>
      <c r="Q571" s="7"/>
    </row>
    <row r="572">
      <c r="A572" s="39" t="s">
        <v>3834</v>
      </c>
      <c r="B572" s="15">
        <v>10710.0</v>
      </c>
      <c r="C572" s="15" t="s">
        <v>3835</v>
      </c>
      <c r="D572" s="15">
        <v>14204.0</v>
      </c>
      <c r="E572" s="15" t="s">
        <v>1557</v>
      </c>
      <c r="F572" s="15" t="s">
        <v>1833</v>
      </c>
      <c r="G572" s="7">
        <v>48.502</v>
      </c>
      <c r="H572" s="15" t="s">
        <v>3836</v>
      </c>
      <c r="I572" s="15" t="s">
        <v>1586</v>
      </c>
      <c r="J572" s="15" t="s">
        <v>3837</v>
      </c>
      <c r="K572" s="15">
        <v>92.0</v>
      </c>
      <c r="L572" s="15">
        <v>73.0</v>
      </c>
      <c r="M572" s="40">
        <v>34087.0</v>
      </c>
      <c r="N572" s="40">
        <v>40613.0</v>
      </c>
      <c r="O572" s="15" t="s">
        <v>1554</v>
      </c>
      <c r="Q572" s="7"/>
    </row>
    <row r="573">
      <c r="A573" s="39" t="s">
        <v>3838</v>
      </c>
      <c r="B573" s="15">
        <v>979535.0</v>
      </c>
      <c r="C573" s="15" t="s">
        <v>3839</v>
      </c>
      <c r="D573" s="15">
        <v>63233.0</v>
      </c>
      <c r="E573" s="15" t="s">
        <v>1557</v>
      </c>
      <c r="F573" s="15" t="s">
        <v>1611</v>
      </c>
      <c r="G573" s="7">
        <v>39.162</v>
      </c>
      <c r="H573" s="15" t="s">
        <v>1813</v>
      </c>
      <c r="I573" s="15" t="s">
        <v>1586</v>
      </c>
      <c r="J573" s="15" t="s">
        <v>3841</v>
      </c>
      <c r="K573" s="15">
        <v>54.0</v>
      </c>
      <c r="L573" s="15">
        <v>54.0</v>
      </c>
      <c r="M573" s="40">
        <v>40596.0</v>
      </c>
      <c r="N573" s="40">
        <v>40731.0</v>
      </c>
      <c r="O573" s="15" t="s">
        <v>1554</v>
      </c>
      <c r="Q573" s="7"/>
    </row>
    <row r="574">
      <c r="A574" s="39" t="s">
        <v>3842</v>
      </c>
      <c r="B574" s="15">
        <v>10658.0</v>
      </c>
      <c r="C574" s="15" t="s">
        <v>3843</v>
      </c>
      <c r="D574" s="15">
        <v>14062.0</v>
      </c>
      <c r="E574" s="15" t="s">
        <v>1557</v>
      </c>
      <c r="F574" s="15" t="s">
        <v>3844</v>
      </c>
      <c r="G574" s="7">
        <v>14.927</v>
      </c>
      <c r="H574" s="15" t="s">
        <v>3823</v>
      </c>
      <c r="I574" s="15" t="s">
        <v>1586</v>
      </c>
      <c r="J574" s="15" t="s">
        <v>3845</v>
      </c>
      <c r="K574" s="15">
        <v>31.0</v>
      </c>
      <c r="L574" s="15">
        <v>31.0</v>
      </c>
      <c r="M574" s="40">
        <v>34087.0</v>
      </c>
      <c r="N574" s="40">
        <v>42891.0</v>
      </c>
      <c r="O574" s="15" t="s">
        <v>1554</v>
      </c>
      <c r="Q574" s="7"/>
    </row>
    <row r="575">
      <c r="A575" s="39" t="s">
        <v>3846</v>
      </c>
      <c r="B575" s="15">
        <v>64186.0</v>
      </c>
      <c r="C575" s="15" t="s">
        <v>3847</v>
      </c>
      <c r="D575" s="15">
        <v>14133.0</v>
      </c>
      <c r="E575" s="15" t="s">
        <v>1557</v>
      </c>
      <c r="F575" s="15" t="s">
        <v>1833</v>
      </c>
      <c r="G575" s="7">
        <v>40.739</v>
      </c>
      <c r="H575" s="15" t="s">
        <v>1714</v>
      </c>
      <c r="I575" s="15" t="s">
        <v>1586</v>
      </c>
      <c r="J575" s="15" t="s">
        <v>3849</v>
      </c>
      <c r="K575" s="15">
        <v>50.0</v>
      </c>
      <c r="L575" s="15">
        <v>50.0</v>
      </c>
      <c r="M575" s="40">
        <v>36359.0</v>
      </c>
      <c r="N575" s="40">
        <v>42045.0</v>
      </c>
      <c r="O575" s="15" t="s">
        <v>1554</v>
      </c>
      <c r="Q575" s="7"/>
    </row>
    <row r="576">
      <c r="A576" s="39" t="s">
        <v>3850</v>
      </c>
      <c r="B576" s="15">
        <v>10454.0</v>
      </c>
      <c r="C576" s="15" t="s">
        <v>3851</v>
      </c>
      <c r="D576" s="15">
        <v>14134.0</v>
      </c>
      <c r="E576" s="15" t="s">
        <v>1557</v>
      </c>
      <c r="F576" s="15" t="s">
        <v>1992</v>
      </c>
      <c r="G576" s="7">
        <v>135.611</v>
      </c>
      <c r="H576" s="15" t="s">
        <v>3066</v>
      </c>
      <c r="I576" s="15" t="s">
        <v>1560</v>
      </c>
      <c r="J576" s="15" t="s">
        <v>3852</v>
      </c>
      <c r="K576" s="15">
        <v>142.0</v>
      </c>
      <c r="L576" s="15">
        <v>139.0</v>
      </c>
      <c r="M576" s="41">
        <v>36523.0</v>
      </c>
      <c r="N576" s="40">
        <v>42237.0</v>
      </c>
      <c r="O576" s="15" t="s">
        <v>1554</v>
      </c>
      <c r="Q576" s="7"/>
    </row>
    <row r="577">
      <c r="A577" s="39" t="s">
        <v>3853</v>
      </c>
      <c r="B577" s="15">
        <v>129009.0</v>
      </c>
      <c r="C577" s="15" t="s">
        <v>3854</v>
      </c>
      <c r="D577" s="15">
        <v>14135.0</v>
      </c>
      <c r="E577" s="15" t="s">
        <v>1557</v>
      </c>
      <c r="F577" s="15" t="s">
        <v>1833</v>
      </c>
      <c r="G577" s="7">
        <v>45.636</v>
      </c>
      <c r="H577" s="15" t="s">
        <v>2219</v>
      </c>
      <c r="I577" s="15" t="s">
        <v>1586</v>
      </c>
      <c r="J577" s="15" t="s">
        <v>3855</v>
      </c>
      <c r="K577" s="15">
        <v>65.0</v>
      </c>
      <c r="L577" s="15">
        <v>65.0</v>
      </c>
      <c r="M577" s="40">
        <v>36711.0</v>
      </c>
      <c r="N577" s="40">
        <v>42045.0</v>
      </c>
      <c r="O577" s="15" t="s">
        <v>1554</v>
      </c>
      <c r="Q577" s="7"/>
    </row>
    <row r="578">
      <c r="A578" s="39" t="s">
        <v>3857</v>
      </c>
      <c r="B578" s="15">
        <v>35238.0</v>
      </c>
      <c r="C578" s="15" t="s">
        <v>3858</v>
      </c>
      <c r="D578" s="15">
        <v>14136.0</v>
      </c>
      <c r="E578" s="15" t="s">
        <v>1557</v>
      </c>
      <c r="F578" s="15" t="s">
        <v>1611</v>
      </c>
      <c r="G578" s="7">
        <v>11.66</v>
      </c>
      <c r="H578" s="42">
        <v>43338.0</v>
      </c>
      <c r="I578" s="15" t="s">
        <v>1586</v>
      </c>
      <c r="J578" s="15" t="s">
        <v>3859</v>
      </c>
      <c r="K578" s="15">
        <v>11.0</v>
      </c>
      <c r="L578" s="15">
        <v>11.0</v>
      </c>
      <c r="M578" s="40">
        <v>36760.0</v>
      </c>
      <c r="N578" s="40">
        <v>39939.0</v>
      </c>
      <c r="O578" s="15" t="s">
        <v>1554</v>
      </c>
      <c r="Q578" s="7"/>
    </row>
    <row r="579">
      <c r="A579" s="39" t="s">
        <v>3860</v>
      </c>
      <c r="B579" s="15">
        <v>130478.0</v>
      </c>
      <c r="C579" s="15" t="s">
        <v>3861</v>
      </c>
      <c r="D579" s="15">
        <v>14137.0</v>
      </c>
      <c r="E579" s="15" t="s">
        <v>1557</v>
      </c>
      <c r="F579" s="15" t="s">
        <v>1833</v>
      </c>
      <c r="G579" s="7">
        <v>42.942</v>
      </c>
      <c r="H579" s="15" t="s">
        <v>3862</v>
      </c>
      <c r="I579" s="15" t="s">
        <v>1586</v>
      </c>
      <c r="J579" s="15" t="s">
        <v>3863</v>
      </c>
      <c r="K579" s="15">
        <v>61.0</v>
      </c>
      <c r="L579" s="15">
        <v>61.0</v>
      </c>
      <c r="M579" s="40">
        <v>36929.0</v>
      </c>
      <c r="N579" s="40">
        <v>42045.0</v>
      </c>
      <c r="O579" s="15" t="s">
        <v>1554</v>
      </c>
      <c r="Q579" s="7"/>
    </row>
    <row r="580">
      <c r="A580" s="39" t="s">
        <v>3864</v>
      </c>
      <c r="B580" s="15">
        <v>46242.0</v>
      </c>
      <c r="C580" s="15" t="s">
        <v>3865</v>
      </c>
      <c r="D580" s="15">
        <v>14138.0</v>
      </c>
      <c r="E580" s="15" t="s">
        <v>1557</v>
      </c>
      <c r="F580" s="15" t="s">
        <v>1992</v>
      </c>
      <c r="G580" s="7">
        <v>139.342</v>
      </c>
      <c r="H580" s="15" t="s">
        <v>3255</v>
      </c>
      <c r="I580" s="15" t="s">
        <v>1560</v>
      </c>
      <c r="J580" s="15" t="s">
        <v>3867</v>
      </c>
      <c r="K580" s="15">
        <v>141.0</v>
      </c>
      <c r="L580" s="15">
        <v>141.0</v>
      </c>
      <c r="M580" s="40">
        <v>37145.0</v>
      </c>
      <c r="N580" s="41">
        <v>40147.0</v>
      </c>
      <c r="O580" s="15" t="s">
        <v>1554</v>
      </c>
      <c r="Q580" s="7"/>
    </row>
    <row r="581">
      <c r="A581" s="39" t="s">
        <v>3868</v>
      </c>
      <c r="B581" s="15">
        <v>151534.0</v>
      </c>
      <c r="C581" s="15" t="s">
        <v>3869</v>
      </c>
      <c r="D581" s="15">
        <v>14139.0</v>
      </c>
      <c r="E581" s="15" t="s">
        <v>1557</v>
      </c>
      <c r="F581" s="15" t="s">
        <v>1833</v>
      </c>
      <c r="G581" s="7">
        <v>14.51</v>
      </c>
      <c r="H581" s="15" t="s">
        <v>3870</v>
      </c>
      <c r="I581" s="15" t="s">
        <v>1586</v>
      </c>
      <c r="J581" s="15" t="s">
        <v>3871</v>
      </c>
      <c r="K581" s="15">
        <v>22.0</v>
      </c>
      <c r="L581" s="15">
        <v>22.0</v>
      </c>
      <c r="M581" s="40">
        <v>36937.0</v>
      </c>
      <c r="N581" s="40">
        <v>42045.0</v>
      </c>
      <c r="O581" s="15" t="s">
        <v>1554</v>
      </c>
      <c r="Q581" s="7"/>
    </row>
    <row r="582">
      <c r="A582" s="39" t="s">
        <v>3873</v>
      </c>
      <c r="B582" s="15">
        <v>106284.0</v>
      </c>
      <c r="C582" s="15" t="s">
        <v>3874</v>
      </c>
      <c r="D582" s="15">
        <v>14141.0</v>
      </c>
      <c r="E582" s="15" t="s">
        <v>1557</v>
      </c>
      <c r="F582" s="15" t="s">
        <v>1833</v>
      </c>
      <c r="G582" s="7">
        <v>43.081</v>
      </c>
      <c r="H582" s="15" t="s">
        <v>3568</v>
      </c>
      <c r="I582" s="15" t="s">
        <v>1586</v>
      </c>
      <c r="J582" s="15" t="s">
        <v>3875</v>
      </c>
      <c r="K582" s="15">
        <v>66.0</v>
      </c>
      <c r="L582" s="15">
        <v>66.0</v>
      </c>
      <c r="M582" s="40">
        <v>36711.0</v>
      </c>
      <c r="N582" s="40">
        <v>39842.0</v>
      </c>
      <c r="O582" s="15" t="s">
        <v>1554</v>
      </c>
      <c r="Q582" s="7"/>
    </row>
    <row r="583">
      <c r="A583" s="39" t="s">
        <v>3876</v>
      </c>
      <c r="B583" s="15">
        <v>70734.0</v>
      </c>
      <c r="C583" s="15" t="s">
        <v>3877</v>
      </c>
      <c r="D583" s="15">
        <v>14144.0</v>
      </c>
      <c r="E583" s="15" t="s">
        <v>1557</v>
      </c>
      <c r="F583" s="15" t="s">
        <v>1767</v>
      </c>
      <c r="G583" s="7">
        <v>33.106</v>
      </c>
      <c r="H583" s="15" t="s">
        <v>2365</v>
      </c>
      <c r="I583" s="15" t="s">
        <v>1586</v>
      </c>
      <c r="J583" s="15" t="s">
        <v>3878</v>
      </c>
      <c r="K583" s="15">
        <v>44.0</v>
      </c>
      <c r="L583" s="15">
        <v>44.0</v>
      </c>
      <c r="M583" s="40">
        <v>36248.0</v>
      </c>
      <c r="N583" s="40">
        <v>42045.0</v>
      </c>
      <c r="O583" s="15" t="s">
        <v>1554</v>
      </c>
      <c r="Q583" s="7"/>
    </row>
    <row r="584">
      <c r="A584" s="39" t="s">
        <v>3880</v>
      </c>
      <c r="B584" s="15">
        <v>197771.0</v>
      </c>
      <c r="C584" s="15" t="s">
        <v>3881</v>
      </c>
      <c r="D584" s="15">
        <v>14205.0</v>
      </c>
      <c r="E584" s="15" t="s">
        <v>1557</v>
      </c>
      <c r="F584" s="15" t="s">
        <v>1822</v>
      </c>
      <c r="G584" s="7">
        <v>7.729</v>
      </c>
      <c r="H584" s="15" t="s">
        <v>3882</v>
      </c>
      <c r="I584" s="15" t="s">
        <v>1686</v>
      </c>
      <c r="J584" s="15" t="s">
        <v>3883</v>
      </c>
      <c r="K584" s="15">
        <v>6.0</v>
      </c>
      <c r="L584" s="15">
        <v>6.0</v>
      </c>
      <c r="M584" s="40">
        <v>37447.0</v>
      </c>
      <c r="N584" s="40">
        <v>40263.0</v>
      </c>
      <c r="O584" s="15" t="s">
        <v>1554</v>
      </c>
      <c r="Q584" s="7"/>
    </row>
    <row r="585">
      <c r="A585" s="39" t="s">
        <v>3884</v>
      </c>
      <c r="B585" s="15">
        <v>223279.0</v>
      </c>
      <c r="C585" s="15" t="s">
        <v>3885</v>
      </c>
      <c r="D585" s="15">
        <v>14206.0</v>
      </c>
      <c r="E585" s="15" t="s">
        <v>1808</v>
      </c>
      <c r="F585" s="15" t="s">
        <v>1809</v>
      </c>
      <c r="G585" s="7">
        <v>2.755</v>
      </c>
      <c r="H585" s="15">
        <v>43.0</v>
      </c>
      <c r="I585" s="15" t="s">
        <v>1628</v>
      </c>
      <c r="J585" s="15" t="s">
        <v>3886</v>
      </c>
      <c r="K585" s="15">
        <v>6.0</v>
      </c>
      <c r="L585" s="15">
        <v>6.0</v>
      </c>
      <c r="M585" s="40">
        <v>37264.0</v>
      </c>
      <c r="N585" s="40">
        <v>39790.0</v>
      </c>
      <c r="O585" s="15" t="s">
        <v>1554</v>
      </c>
      <c r="Q585" s="7"/>
    </row>
    <row r="586">
      <c r="A586" s="39" t="s">
        <v>3888</v>
      </c>
      <c r="B586" s="15">
        <v>114777.0</v>
      </c>
      <c r="C586" s="15" t="s">
        <v>3889</v>
      </c>
      <c r="D586" s="15">
        <v>14207.0</v>
      </c>
      <c r="E586" s="15" t="s">
        <v>1557</v>
      </c>
      <c r="F586" s="15" t="s">
        <v>1767</v>
      </c>
      <c r="G586" s="7">
        <v>58.498</v>
      </c>
      <c r="H586" s="15" t="s">
        <v>3890</v>
      </c>
      <c r="I586" s="15" t="s">
        <v>1618</v>
      </c>
      <c r="J586" s="15" t="s">
        <v>3891</v>
      </c>
      <c r="K586" s="15">
        <v>98.0</v>
      </c>
      <c r="L586" s="15">
        <v>98.0</v>
      </c>
      <c r="M586" s="40">
        <v>37467.0</v>
      </c>
      <c r="N586" s="40">
        <v>39639.0</v>
      </c>
      <c r="O586" s="15" t="s">
        <v>1554</v>
      </c>
      <c r="Q586" s="7"/>
    </row>
    <row r="587">
      <c r="A587" s="39" t="s">
        <v>3892</v>
      </c>
      <c r="B587" s="15">
        <v>169696.0</v>
      </c>
      <c r="C587" s="15" t="s">
        <v>3893</v>
      </c>
      <c r="D587" s="15">
        <v>14208.0</v>
      </c>
      <c r="E587" s="15" t="s">
        <v>2014</v>
      </c>
      <c r="F587" s="15" t="s">
        <v>1578</v>
      </c>
      <c r="G587" s="7">
        <v>0.741</v>
      </c>
      <c r="H587" s="15" t="s">
        <v>3895</v>
      </c>
      <c r="I587" s="15" t="s">
        <v>1628</v>
      </c>
      <c r="J587" s="15" t="s">
        <v>3896</v>
      </c>
      <c r="K587" s="15" t="s">
        <v>1722</v>
      </c>
      <c r="L587" s="15" t="s">
        <v>1722</v>
      </c>
      <c r="M587" s="40">
        <v>37470.0</v>
      </c>
      <c r="N587" s="40">
        <v>39790.0</v>
      </c>
      <c r="O587" s="15" t="s">
        <v>1554</v>
      </c>
      <c r="Q587" s="7"/>
    </row>
    <row r="588">
      <c r="A588" s="39" t="s">
        <v>3897</v>
      </c>
      <c r="B588" s="15">
        <v>186810.0</v>
      </c>
      <c r="C588" s="15" t="s">
        <v>3898</v>
      </c>
      <c r="D588" s="15">
        <v>14209.0</v>
      </c>
      <c r="E588" s="15" t="s">
        <v>2014</v>
      </c>
      <c r="F588" s="15" t="s">
        <v>2018</v>
      </c>
      <c r="G588" s="7">
        <v>1.305</v>
      </c>
      <c r="H588" s="15" t="s">
        <v>2375</v>
      </c>
      <c r="I588" s="15" t="s">
        <v>1628</v>
      </c>
      <c r="J588" s="15" t="s">
        <v>3899</v>
      </c>
      <c r="K588" s="15">
        <v>1.0</v>
      </c>
      <c r="L588" s="15">
        <v>1.0</v>
      </c>
      <c r="M588" s="40">
        <v>37470.0</v>
      </c>
      <c r="N588" s="40">
        <v>39790.0</v>
      </c>
      <c r="O588" s="15" t="s">
        <v>1554</v>
      </c>
      <c r="Q588" s="7"/>
    </row>
    <row r="589">
      <c r="A589" s="39" t="s">
        <v>3900</v>
      </c>
      <c r="B589" s="15">
        <v>223301.0</v>
      </c>
      <c r="C589" s="15" t="s">
        <v>3901</v>
      </c>
      <c r="D589" s="15">
        <v>14210.0</v>
      </c>
      <c r="E589" s="15" t="s">
        <v>1808</v>
      </c>
      <c r="F589" s="15" t="s">
        <v>1809</v>
      </c>
      <c r="G589" s="7">
        <v>5.208</v>
      </c>
      <c r="H589" s="15" t="s">
        <v>3902</v>
      </c>
      <c r="I589" s="15" t="s">
        <v>1628</v>
      </c>
      <c r="J589" s="15" t="s">
        <v>3903</v>
      </c>
      <c r="K589" s="15">
        <v>6.0</v>
      </c>
      <c r="L589" s="15">
        <v>6.0</v>
      </c>
      <c r="M589" s="40">
        <v>35228.0</v>
      </c>
      <c r="N589" s="40">
        <v>39790.0</v>
      </c>
      <c r="O589" s="15" t="s">
        <v>1554</v>
      </c>
      <c r="Q589" s="7"/>
    </row>
    <row r="590">
      <c r="A590" s="39" t="s">
        <v>3904</v>
      </c>
      <c r="B590" s="15">
        <v>12643.0</v>
      </c>
      <c r="C590" s="15" t="s">
        <v>3905</v>
      </c>
      <c r="D590" s="15">
        <v>14211.0</v>
      </c>
      <c r="E590" s="15" t="s">
        <v>1557</v>
      </c>
      <c r="F590" s="15" t="s">
        <v>2028</v>
      </c>
      <c r="G590" s="7">
        <v>209.771</v>
      </c>
      <c r="H590" s="15" t="s">
        <v>2009</v>
      </c>
      <c r="I590" s="15" t="s">
        <v>1686</v>
      </c>
      <c r="J590" s="15" t="s">
        <v>3907</v>
      </c>
      <c r="K590" s="15">
        <v>173.0</v>
      </c>
      <c r="L590" s="15">
        <v>173.0</v>
      </c>
      <c r="M590" s="40">
        <v>36161.0</v>
      </c>
      <c r="N590" s="41">
        <v>41235.0</v>
      </c>
      <c r="O590" s="15" t="s">
        <v>1554</v>
      </c>
      <c r="Q590" s="7"/>
    </row>
    <row r="591">
      <c r="A591" s="39" t="s">
        <v>3908</v>
      </c>
      <c r="B591" s="15">
        <v>35269.0</v>
      </c>
      <c r="C591" s="15" t="s">
        <v>3909</v>
      </c>
      <c r="D591" s="15">
        <v>14212.0</v>
      </c>
      <c r="E591" s="15" t="s">
        <v>1916</v>
      </c>
      <c r="F591" s="15" t="s">
        <v>3423</v>
      </c>
      <c r="G591" s="7">
        <v>3.323</v>
      </c>
      <c r="H591" s="15" t="s">
        <v>2877</v>
      </c>
      <c r="I591" s="15" t="s">
        <v>1686</v>
      </c>
      <c r="J591" s="15" t="s">
        <v>3910</v>
      </c>
      <c r="K591" s="15">
        <v>4.0</v>
      </c>
      <c r="L591" s="15">
        <v>4.0</v>
      </c>
      <c r="M591" s="40">
        <v>34184.0</v>
      </c>
      <c r="N591" s="41">
        <v>40147.0</v>
      </c>
      <c r="O591" s="15" t="s">
        <v>1554</v>
      </c>
      <c r="Q591" s="7"/>
    </row>
    <row r="592">
      <c r="A592" s="39" t="s">
        <v>3911</v>
      </c>
      <c r="B592" s="15">
        <v>53260.0</v>
      </c>
      <c r="C592" s="15" t="s">
        <v>3912</v>
      </c>
      <c r="D592" s="15">
        <v>14213.0</v>
      </c>
      <c r="E592" s="15" t="s">
        <v>1808</v>
      </c>
      <c r="F592" s="15" t="s">
        <v>1809</v>
      </c>
      <c r="G592" s="7">
        <v>2.746</v>
      </c>
      <c r="H592" s="15" t="s">
        <v>1559</v>
      </c>
      <c r="I592" s="15" t="s">
        <v>1628</v>
      </c>
      <c r="J592" s="15" t="s">
        <v>3913</v>
      </c>
      <c r="K592" s="15">
        <v>7.0</v>
      </c>
      <c r="L592" s="15">
        <v>7.0</v>
      </c>
      <c r="M592" s="40">
        <v>35823.0</v>
      </c>
      <c r="N592" s="40">
        <v>42045.0</v>
      </c>
      <c r="O592" s="15" t="s">
        <v>1554</v>
      </c>
      <c r="Q592" s="7"/>
    </row>
    <row r="593">
      <c r="A593" s="39" t="s">
        <v>3914</v>
      </c>
      <c r="B593" s="15">
        <v>208177.0</v>
      </c>
      <c r="C593" s="15" t="s">
        <v>3915</v>
      </c>
      <c r="D593" s="15">
        <v>14214.0</v>
      </c>
      <c r="E593" s="15" t="s">
        <v>1808</v>
      </c>
      <c r="F593" s="15" t="s">
        <v>1809</v>
      </c>
      <c r="G593" s="7">
        <v>2.745</v>
      </c>
      <c r="H593" s="15" t="s">
        <v>2005</v>
      </c>
      <c r="I593" s="15" t="s">
        <v>1628</v>
      </c>
      <c r="J593" s="15" t="s">
        <v>3917</v>
      </c>
      <c r="K593" s="15">
        <v>6.0</v>
      </c>
      <c r="L593" s="15">
        <v>6.0</v>
      </c>
      <c r="M593" s="40">
        <v>37044.0</v>
      </c>
      <c r="N593" s="40">
        <v>40248.0</v>
      </c>
      <c r="O593" s="15" t="s">
        <v>1554</v>
      </c>
      <c r="Q593" s="7"/>
    </row>
    <row r="594">
      <c r="A594" s="39" t="s">
        <v>3918</v>
      </c>
      <c r="B594" s="15">
        <v>1128424.0</v>
      </c>
      <c r="C594" s="15" t="s">
        <v>3919</v>
      </c>
      <c r="D594" s="15">
        <v>14215.0</v>
      </c>
      <c r="E594" s="15" t="s">
        <v>1557</v>
      </c>
      <c r="F594" s="15" t="s">
        <v>3920</v>
      </c>
      <c r="G594" s="7">
        <v>231.621</v>
      </c>
      <c r="H594" s="15" t="s">
        <v>1849</v>
      </c>
      <c r="I594" s="15" t="s">
        <v>1628</v>
      </c>
      <c r="J594" s="15" t="s">
        <v>3921</v>
      </c>
      <c r="K594" s="15">
        <v>113.0</v>
      </c>
      <c r="L594" s="15">
        <v>113.0</v>
      </c>
      <c r="M594" s="40">
        <v>37498.0</v>
      </c>
      <c r="N594" s="40">
        <v>40977.0</v>
      </c>
      <c r="O594" s="15" t="s">
        <v>1554</v>
      </c>
      <c r="Q594" s="7"/>
    </row>
    <row r="595">
      <c r="A595" s="39" t="s">
        <v>3922</v>
      </c>
      <c r="B595" s="15">
        <v>10778.0</v>
      </c>
      <c r="C595" s="15" t="s">
        <v>3923</v>
      </c>
      <c r="D595" s="15">
        <v>14216.0</v>
      </c>
      <c r="E595" s="15" t="s">
        <v>1557</v>
      </c>
      <c r="F595" s="15" t="s">
        <v>1611</v>
      </c>
      <c r="G595" s="7">
        <v>18.63</v>
      </c>
      <c r="H595" s="15" t="s">
        <v>2396</v>
      </c>
      <c r="I595" s="15" t="s">
        <v>1586</v>
      </c>
      <c r="J595" s="15" t="s">
        <v>3924</v>
      </c>
      <c r="K595" s="15">
        <v>17.0</v>
      </c>
      <c r="L595" s="15">
        <v>17.0</v>
      </c>
      <c r="M595" s="40">
        <v>35259.0</v>
      </c>
      <c r="N595" s="40">
        <v>42045.0</v>
      </c>
      <c r="O595" s="15" t="s">
        <v>1554</v>
      </c>
      <c r="Q595" s="7"/>
    </row>
    <row r="596">
      <c r="A596" s="39" t="s">
        <v>3925</v>
      </c>
      <c r="B596" s="15">
        <v>10717.0</v>
      </c>
      <c r="C596" s="15" t="s">
        <v>3926</v>
      </c>
      <c r="D596" s="15">
        <v>14217.0</v>
      </c>
      <c r="E596" s="15" t="s">
        <v>1557</v>
      </c>
      <c r="F596" s="15" t="s">
        <v>1833</v>
      </c>
      <c r="G596" s="7">
        <v>39.325</v>
      </c>
      <c r="H596" s="15" t="s">
        <v>2005</v>
      </c>
      <c r="I596" s="15" t="s">
        <v>1586</v>
      </c>
      <c r="J596" s="15" t="s">
        <v>3928</v>
      </c>
      <c r="K596" s="15">
        <v>51.0</v>
      </c>
      <c r="L596" s="15">
        <v>51.0</v>
      </c>
      <c r="M596" s="40">
        <v>36168.0</v>
      </c>
      <c r="N596" s="40">
        <v>42459.0</v>
      </c>
      <c r="O596" s="15" t="s">
        <v>1554</v>
      </c>
      <c r="Q596" s="7"/>
    </row>
    <row r="597">
      <c r="A597" s="39" t="s">
        <v>3929</v>
      </c>
      <c r="B597" s="15">
        <v>223305.0</v>
      </c>
      <c r="C597" s="15" t="s">
        <v>3930</v>
      </c>
      <c r="D597" s="15">
        <v>14218.0</v>
      </c>
      <c r="E597" s="15" t="s">
        <v>1808</v>
      </c>
      <c r="F597" s="15" t="s">
        <v>1809</v>
      </c>
      <c r="G597" s="7">
        <v>2.753</v>
      </c>
      <c r="H597" s="15" t="s">
        <v>2877</v>
      </c>
      <c r="I597" s="15" t="s">
        <v>1628</v>
      </c>
      <c r="J597" s="15" t="s">
        <v>3931</v>
      </c>
      <c r="K597" s="15">
        <v>6.0</v>
      </c>
      <c r="L597" s="15">
        <v>6.0</v>
      </c>
      <c r="M597" s="40">
        <v>36933.0</v>
      </c>
      <c r="N597" s="40">
        <v>40206.0</v>
      </c>
      <c r="O597" s="15" t="s">
        <v>1554</v>
      </c>
      <c r="Q597" s="7"/>
    </row>
    <row r="598">
      <c r="A598" s="39" t="s">
        <v>3932</v>
      </c>
      <c r="B598" s="15">
        <v>37138.0</v>
      </c>
      <c r="C598" s="15" t="s">
        <v>3933</v>
      </c>
      <c r="D598" s="15">
        <v>14221.0</v>
      </c>
      <c r="E598" s="15" t="s">
        <v>1808</v>
      </c>
      <c r="F598" s="15" t="s">
        <v>2436</v>
      </c>
      <c r="G598" s="7">
        <v>6.039</v>
      </c>
      <c r="H598" s="15" t="s">
        <v>2699</v>
      </c>
      <c r="I598" s="15" t="s">
        <v>1560</v>
      </c>
      <c r="J598" s="15" t="s">
        <v>3935</v>
      </c>
      <c r="K598" s="15">
        <v>2.0</v>
      </c>
      <c r="L598" s="15">
        <v>7.0</v>
      </c>
      <c r="M598" s="40">
        <v>34608.0</v>
      </c>
      <c r="N598" s="40">
        <v>42045.0</v>
      </c>
      <c r="O598" s="15" t="s">
        <v>1554</v>
      </c>
      <c r="Q598" s="7"/>
    </row>
    <row r="599">
      <c r="A599" s="39" t="s">
        <v>3936</v>
      </c>
      <c r="B599" s="15">
        <v>180586.0</v>
      </c>
      <c r="C599" s="15" t="s">
        <v>3937</v>
      </c>
      <c r="D599" s="15">
        <v>14222.0</v>
      </c>
      <c r="E599" s="15" t="s">
        <v>1808</v>
      </c>
      <c r="F599" s="15" t="s">
        <v>2436</v>
      </c>
      <c r="G599" s="7">
        <v>5.002</v>
      </c>
      <c r="H599" s="15" t="s">
        <v>2233</v>
      </c>
      <c r="I599" s="15" t="s">
        <v>1560</v>
      </c>
      <c r="J599" s="15" t="s">
        <v>3938</v>
      </c>
      <c r="K599" s="15">
        <v>3.0</v>
      </c>
      <c r="L599" s="15">
        <v>3.0</v>
      </c>
      <c r="M599" s="40">
        <v>37257.0</v>
      </c>
      <c r="N599" s="40">
        <v>39939.0</v>
      </c>
      <c r="O599" s="15" t="s">
        <v>1554</v>
      </c>
      <c r="Q599" s="7"/>
    </row>
    <row r="600">
      <c r="A600" s="39" t="s">
        <v>3939</v>
      </c>
      <c r="B600" s="15">
        <v>159153.0</v>
      </c>
      <c r="C600" s="15" t="s">
        <v>3940</v>
      </c>
      <c r="D600" s="15">
        <v>14223.0</v>
      </c>
      <c r="E600" s="15" t="s">
        <v>1808</v>
      </c>
      <c r="F600" s="15" t="s">
        <v>2436</v>
      </c>
      <c r="G600" s="7">
        <v>5.38</v>
      </c>
      <c r="H600" s="15" t="s">
        <v>1714</v>
      </c>
      <c r="I600" s="15" t="s">
        <v>1560</v>
      </c>
      <c r="J600" s="15" t="s">
        <v>3942</v>
      </c>
      <c r="K600" s="15">
        <v>4.0</v>
      </c>
      <c r="L600" s="15">
        <v>4.0</v>
      </c>
      <c r="M600" s="40">
        <v>37272.0</v>
      </c>
      <c r="N600" s="40">
        <v>40248.0</v>
      </c>
      <c r="O600" s="15" t="s">
        <v>1554</v>
      </c>
      <c r="Q600" s="7"/>
    </row>
    <row r="601">
      <c r="A601" s="39" t="s">
        <v>3943</v>
      </c>
      <c r="B601" s="15">
        <v>72197.0</v>
      </c>
      <c r="C601" s="15" t="s">
        <v>3944</v>
      </c>
      <c r="D601" s="15">
        <v>14224.0</v>
      </c>
      <c r="E601" s="15" t="s">
        <v>1808</v>
      </c>
      <c r="F601" s="15" t="s">
        <v>2436</v>
      </c>
      <c r="G601" s="7">
        <v>5.028</v>
      </c>
      <c r="H601" s="15" t="s">
        <v>2950</v>
      </c>
      <c r="I601" s="15" t="s">
        <v>1686</v>
      </c>
      <c r="J601" s="15" t="s">
        <v>3945</v>
      </c>
      <c r="K601" s="15">
        <v>6.0</v>
      </c>
      <c r="L601" s="15">
        <v>6.0</v>
      </c>
      <c r="M601" s="40">
        <v>37164.0</v>
      </c>
      <c r="N601" s="40">
        <v>40578.0</v>
      </c>
      <c r="O601" s="15" t="s">
        <v>1554</v>
      </c>
      <c r="Q601" s="7"/>
    </row>
    <row r="602">
      <c r="A602" s="39" t="s">
        <v>3946</v>
      </c>
      <c r="B602" s="15">
        <v>43685.0</v>
      </c>
      <c r="C602" s="15" t="s">
        <v>3947</v>
      </c>
      <c r="D602" s="15">
        <v>14225.0</v>
      </c>
      <c r="E602" s="15" t="s">
        <v>1557</v>
      </c>
      <c r="F602" s="15" t="s">
        <v>1833</v>
      </c>
      <c r="G602" s="7">
        <v>33.35</v>
      </c>
      <c r="H602" s="15" t="s">
        <v>2103</v>
      </c>
      <c r="I602" s="15" t="s">
        <v>1586</v>
      </c>
      <c r="J602" s="15" t="s">
        <v>3949</v>
      </c>
      <c r="K602" s="15">
        <v>50.0</v>
      </c>
      <c r="L602" s="15">
        <v>50.0</v>
      </c>
      <c r="M602" s="40">
        <v>35221.0</v>
      </c>
      <c r="N602" s="40">
        <v>42570.0</v>
      </c>
      <c r="O602" s="15" t="s">
        <v>1554</v>
      </c>
      <c r="Q602" s="7"/>
    </row>
    <row r="603">
      <c r="A603" s="39" t="s">
        <v>3950</v>
      </c>
      <c r="B603" s="15">
        <v>85154.0</v>
      </c>
      <c r="C603" s="15" t="s">
        <v>3951</v>
      </c>
      <c r="D603" s="15">
        <v>14226.0</v>
      </c>
      <c r="E603" s="15" t="s">
        <v>1557</v>
      </c>
      <c r="F603" s="15" t="s">
        <v>1833</v>
      </c>
      <c r="G603" s="7">
        <v>43.075</v>
      </c>
      <c r="H603" s="15" t="s">
        <v>2824</v>
      </c>
      <c r="I603" s="15" t="s">
        <v>1586</v>
      </c>
      <c r="J603" s="15" t="s">
        <v>3952</v>
      </c>
      <c r="K603" s="15">
        <v>57.0</v>
      </c>
      <c r="L603" s="15">
        <v>57.0</v>
      </c>
      <c r="M603" s="40">
        <v>35703.0</v>
      </c>
      <c r="N603" s="40">
        <v>39939.0</v>
      </c>
      <c r="O603" s="15" t="s">
        <v>1554</v>
      </c>
      <c r="Q603" s="7"/>
    </row>
    <row r="604">
      <c r="A604" s="39" t="s">
        <v>3953</v>
      </c>
      <c r="B604" s="15">
        <v>70203.0</v>
      </c>
      <c r="C604" s="15" t="s">
        <v>3954</v>
      </c>
      <c r="D604" s="15">
        <v>14227.0</v>
      </c>
      <c r="E604" s="15" t="s">
        <v>1808</v>
      </c>
      <c r="F604" s="15" t="s">
        <v>2969</v>
      </c>
      <c r="G604" s="7">
        <v>6.34</v>
      </c>
      <c r="H604" s="15" t="s">
        <v>2552</v>
      </c>
      <c r="I604" s="15" t="s">
        <v>1586</v>
      </c>
      <c r="J604" s="15" t="s">
        <v>3955</v>
      </c>
      <c r="K604" s="15">
        <v>15.0</v>
      </c>
      <c r="L604" s="15">
        <v>15.0</v>
      </c>
      <c r="M604" s="40">
        <v>35803.0</v>
      </c>
      <c r="N604" s="40">
        <v>42045.0</v>
      </c>
      <c r="O604" s="15" t="s">
        <v>1554</v>
      </c>
      <c r="Q604" s="7"/>
    </row>
    <row r="605">
      <c r="A605" s="39" t="s">
        <v>3957</v>
      </c>
      <c r="B605" s="15">
        <v>175950.0</v>
      </c>
      <c r="C605" s="15" t="s">
        <v>3958</v>
      </c>
      <c r="D605" s="15">
        <v>14228.0</v>
      </c>
      <c r="E605" s="15" t="s">
        <v>1557</v>
      </c>
      <c r="F605" s="15" t="s">
        <v>1578</v>
      </c>
      <c r="G605" s="7">
        <v>40.149</v>
      </c>
      <c r="H605" s="15">
        <v>51.0</v>
      </c>
      <c r="I605" s="15" t="s">
        <v>1586</v>
      </c>
      <c r="J605" s="15" t="s">
        <v>3959</v>
      </c>
      <c r="K605" s="15">
        <v>56.0</v>
      </c>
      <c r="L605" s="15">
        <v>56.0</v>
      </c>
      <c r="M605" s="40">
        <v>37529.0</v>
      </c>
      <c r="N605" s="40">
        <v>42045.0</v>
      </c>
      <c r="O605" s="15" t="s">
        <v>1554</v>
      </c>
      <c r="Q605" s="7"/>
    </row>
    <row r="606">
      <c r="A606" s="39" t="s">
        <v>3960</v>
      </c>
      <c r="B606" s="15">
        <v>173443.0</v>
      </c>
      <c r="C606" s="15" t="s">
        <v>3961</v>
      </c>
      <c r="D606" s="15">
        <v>14230.0</v>
      </c>
      <c r="E606" s="15" t="s">
        <v>1557</v>
      </c>
      <c r="F606" s="15" t="s">
        <v>1611</v>
      </c>
      <c r="G606" s="7">
        <v>40.679</v>
      </c>
      <c r="H606" s="15" t="s">
        <v>3432</v>
      </c>
      <c r="I606" s="15" t="s">
        <v>1586</v>
      </c>
      <c r="J606" s="15" t="s">
        <v>3962</v>
      </c>
      <c r="K606" s="15">
        <v>65.0</v>
      </c>
      <c r="L606" s="15">
        <v>65.0</v>
      </c>
      <c r="M606" s="41">
        <v>37551.0</v>
      </c>
      <c r="N606" s="40">
        <v>41513.0</v>
      </c>
      <c r="O606" s="15" t="s">
        <v>1554</v>
      </c>
      <c r="Q606" s="7"/>
    </row>
    <row r="607">
      <c r="A607" s="39" t="s">
        <v>3964</v>
      </c>
      <c r="B607" s="15">
        <v>157239.0</v>
      </c>
      <c r="C607" s="15" t="s">
        <v>3965</v>
      </c>
      <c r="D607" s="15">
        <v>14231.0</v>
      </c>
      <c r="E607" s="15" t="s">
        <v>1557</v>
      </c>
      <c r="F607" s="15" t="s">
        <v>1767</v>
      </c>
      <c r="G607" s="7">
        <v>31.508</v>
      </c>
      <c r="H607" s="15" t="s">
        <v>2320</v>
      </c>
      <c r="I607" s="15" t="s">
        <v>1586</v>
      </c>
      <c r="J607" s="15" t="s">
        <v>3966</v>
      </c>
      <c r="K607" s="15">
        <v>37.0</v>
      </c>
      <c r="L607" s="15">
        <v>37.0</v>
      </c>
      <c r="M607" s="40">
        <v>37003.0</v>
      </c>
      <c r="N607" s="40">
        <v>42045.0</v>
      </c>
      <c r="O607" s="15" t="s">
        <v>1554</v>
      </c>
      <c r="Q607" s="7"/>
    </row>
    <row r="608">
      <c r="A608" s="39" t="s">
        <v>3967</v>
      </c>
      <c r="B608" s="15">
        <v>178354.0</v>
      </c>
      <c r="C608" s="15" t="s">
        <v>3968</v>
      </c>
      <c r="D608" s="15">
        <v>14233.0</v>
      </c>
      <c r="E608" s="15" t="s">
        <v>1916</v>
      </c>
      <c r="F608" s="15" t="s">
        <v>1917</v>
      </c>
      <c r="G608" s="7">
        <v>7.458</v>
      </c>
      <c r="H608" s="15" t="s">
        <v>2597</v>
      </c>
      <c r="I608" s="15" t="s">
        <v>1628</v>
      </c>
      <c r="J608" s="15" t="s">
        <v>3970</v>
      </c>
      <c r="K608" s="15">
        <v>3.0</v>
      </c>
      <c r="L608" s="15">
        <v>3.0</v>
      </c>
      <c r="M608" s="41">
        <v>37588.0</v>
      </c>
      <c r="N608" s="40">
        <v>42459.0</v>
      </c>
      <c r="O608" s="15" t="s">
        <v>1554</v>
      </c>
      <c r="Q608" s="7"/>
    </row>
    <row r="609">
      <c r="A609" s="39" t="s">
        <v>3971</v>
      </c>
      <c r="B609" s="15">
        <v>207597.0</v>
      </c>
      <c r="C609" s="15" t="s">
        <v>3972</v>
      </c>
      <c r="D609" s="15">
        <v>14234.0</v>
      </c>
      <c r="E609" s="15" t="s">
        <v>1557</v>
      </c>
      <c r="F609" s="15" t="s">
        <v>1767</v>
      </c>
      <c r="G609" s="7">
        <v>43.198</v>
      </c>
      <c r="H609" s="15" t="s">
        <v>3973</v>
      </c>
      <c r="I609" s="15" t="s">
        <v>1586</v>
      </c>
      <c r="J609" s="15" t="s">
        <v>3974</v>
      </c>
      <c r="K609" s="15">
        <v>57.0</v>
      </c>
      <c r="L609" s="15">
        <v>57.0</v>
      </c>
      <c r="M609" s="41">
        <v>37604.0</v>
      </c>
      <c r="N609" s="40">
        <v>40263.0</v>
      </c>
      <c r="O609" s="15" t="s">
        <v>1554</v>
      </c>
      <c r="Q609" s="7"/>
    </row>
    <row r="610">
      <c r="A610" s="39" t="s">
        <v>3976</v>
      </c>
      <c r="B610" s="15">
        <v>218387.0</v>
      </c>
      <c r="C610" s="15" t="s">
        <v>3977</v>
      </c>
      <c r="D610" s="15">
        <v>14236.0</v>
      </c>
      <c r="E610" s="15" t="s">
        <v>1916</v>
      </c>
      <c r="F610" s="15" t="s">
        <v>1917</v>
      </c>
      <c r="G610" s="7">
        <v>7.591</v>
      </c>
      <c r="H610" s="15" t="s">
        <v>1700</v>
      </c>
      <c r="I610" s="15" t="s">
        <v>1628</v>
      </c>
      <c r="J610" s="15" t="s">
        <v>3978</v>
      </c>
      <c r="K610" s="15">
        <v>3.0</v>
      </c>
      <c r="L610" s="15">
        <v>3.0</v>
      </c>
      <c r="M610" s="40">
        <v>37639.0</v>
      </c>
      <c r="N610" s="40">
        <v>40248.0</v>
      </c>
      <c r="O610" s="15" t="s">
        <v>1554</v>
      </c>
      <c r="Q610" s="7"/>
    </row>
    <row r="611">
      <c r="A611" s="39" t="s">
        <v>3979</v>
      </c>
      <c r="B611" s="15">
        <v>269306.0</v>
      </c>
      <c r="C611" s="15" t="s">
        <v>3981</v>
      </c>
      <c r="D611" s="15">
        <v>14238.0</v>
      </c>
      <c r="E611" s="15" t="s">
        <v>1808</v>
      </c>
      <c r="F611" s="15" t="s">
        <v>1809</v>
      </c>
      <c r="G611" s="7">
        <v>5.445</v>
      </c>
      <c r="H611" s="15" t="s">
        <v>3982</v>
      </c>
      <c r="I611" s="15" t="s">
        <v>1628</v>
      </c>
      <c r="J611" s="15" t="s">
        <v>3983</v>
      </c>
      <c r="K611" s="15">
        <v>8.0</v>
      </c>
      <c r="L611" s="15">
        <v>8.0</v>
      </c>
      <c r="M611" s="40">
        <v>37649.0</v>
      </c>
      <c r="N611" s="40">
        <v>39639.0</v>
      </c>
      <c r="O611" s="15" t="s">
        <v>1554</v>
      </c>
      <c r="Q611" s="7"/>
    </row>
    <row r="612">
      <c r="A612" s="39" t="s">
        <v>3984</v>
      </c>
      <c r="B612" s="15">
        <v>219744.0</v>
      </c>
      <c r="C612" s="15" t="s">
        <v>3985</v>
      </c>
      <c r="D612" s="15">
        <v>14239.0</v>
      </c>
      <c r="E612" s="15" t="s">
        <v>1808</v>
      </c>
      <c r="F612" s="15" t="s">
        <v>1809</v>
      </c>
      <c r="G612" s="7">
        <v>2.782</v>
      </c>
      <c r="H612" s="15">
        <v>41.0</v>
      </c>
      <c r="I612" s="15" t="s">
        <v>1628</v>
      </c>
      <c r="J612" s="15" t="s">
        <v>3986</v>
      </c>
      <c r="K612" s="15">
        <v>6.0</v>
      </c>
      <c r="L612" s="15">
        <v>6.0</v>
      </c>
      <c r="M612" s="41">
        <v>37252.0</v>
      </c>
      <c r="N612" s="40">
        <v>40248.0</v>
      </c>
      <c r="O612" s="15" t="s">
        <v>1554</v>
      </c>
      <c r="Q612" s="7"/>
    </row>
    <row r="613">
      <c r="A613" s="39" t="s">
        <v>3988</v>
      </c>
      <c r="B613" s="15">
        <v>222457.0</v>
      </c>
      <c r="C613" s="15" t="s">
        <v>3989</v>
      </c>
      <c r="D613" s="15">
        <v>14240.0</v>
      </c>
      <c r="E613" s="15" t="s">
        <v>1808</v>
      </c>
      <c r="F613" s="15" t="s">
        <v>1809</v>
      </c>
      <c r="G613" s="7">
        <v>2.744</v>
      </c>
      <c r="H613" s="15" t="s">
        <v>2005</v>
      </c>
      <c r="I613" s="15" t="s">
        <v>1628</v>
      </c>
      <c r="J613" s="15" t="s">
        <v>3990</v>
      </c>
      <c r="K613" s="15">
        <v>6.0</v>
      </c>
      <c r="L613" s="15">
        <v>6.0</v>
      </c>
      <c r="M613" s="40">
        <v>35885.0</v>
      </c>
      <c r="N613" s="40">
        <v>42583.0</v>
      </c>
      <c r="O613" s="15" t="s">
        <v>1554</v>
      </c>
      <c r="Q613" s="7"/>
    </row>
    <row r="614">
      <c r="A614" s="39" t="s">
        <v>3991</v>
      </c>
      <c r="B614" s="15">
        <v>222465.0</v>
      </c>
      <c r="C614" s="15" t="s">
        <v>3992</v>
      </c>
      <c r="D614" s="15">
        <v>14241.0</v>
      </c>
      <c r="E614" s="15" t="s">
        <v>1808</v>
      </c>
      <c r="F614" s="15" t="s">
        <v>1809</v>
      </c>
      <c r="G614" s="7">
        <v>2.748</v>
      </c>
      <c r="H614" s="15" t="s">
        <v>2648</v>
      </c>
      <c r="I614" s="15" t="s">
        <v>1628</v>
      </c>
      <c r="J614" s="15" t="s">
        <v>3994</v>
      </c>
      <c r="K614" s="15">
        <v>6.0</v>
      </c>
      <c r="L614" s="15">
        <v>6.0</v>
      </c>
      <c r="M614" s="40">
        <v>35885.0</v>
      </c>
      <c r="N614" s="40">
        <v>39790.0</v>
      </c>
      <c r="O614" s="15" t="s">
        <v>1554</v>
      </c>
      <c r="Q614" s="7"/>
    </row>
    <row r="615">
      <c r="A615" s="39" t="s">
        <v>3995</v>
      </c>
      <c r="B615" s="15">
        <v>223254.0</v>
      </c>
      <c r="C615" s="15" t="s">
        <v>3996</v>
      </c>
      <c r="D615" s="15">
        <v>14242.0</v>
      </c>
      <c r="E615" s="15" t="s">
        <v>1808</v>
      </c>
      <c r="F615" s="15" t="s">
        <v>1809</v>
      </c>
      <c r="G615" s="7">
        <v>2.751</v>
      </c>
      <c r="H615" s="15" t="s">
        <v>1943</v>
      </c>
      <c r="I615" s="15" t="s">
        <v>1628</v>
      </c>
      <c r="J615" s="15" t="s">
        <v>3997</v>
      </c>
      <c r="K615" s="15">
        <v>6.0</v>
      </c>
      <c r="L615" s="15">
        <v>6.0</v>
      </c>
      <c r="M615" s="40">
        <v>35885.0</v>
      </c>
      <c r="N615" s="40">
        <v>42045.0</v>
      </c>
      <c r="O615" s="15" t="s">
        <v>1554</v>
      </c>
      <c r="Q615" s="7"/>
    </row>
    <row r="616">
      <c r="A616" s="39" t="s">
        <v>3998</v>
      </c>
      <c r="B616" s="15">
        <v>223351.0</v>
      </c>
      <c r="C616" s="15" t="s">
        <v>3999</v>
      </c>
      <c r="D616" s="15">
        <v>14243.0</v>
      </c>
      <c r="E616" s="15" t="s">
        <v>1808</v>
      </c>
      <c r="F616" s="15" t="s">
        <v>1809</v>
      </c>
      <c r="G616" s="7">
        <v>5.435</v>
      </c>
      <c r="H616" s="15" t="s">
        <v>4000</v>
      </c>
      <c r="I616" s="15" t="s">
        <v>1628</v>
      </c>
      <c r="J616" s="15" t="s">
        <v>4001</v>
      </c>
      <c r="K616" s="15">
        <v>10.0</v>
      </c>
      <c r="L616" s="15">
        <v>10.0</v>
      </c>
      <c r="M616" s="40">
        <v>34605.0</v>
      </c>
      <c r="N616" s="40">
        <v>39790.0</v>
      </c>
      <c r="O616" s="15" t="s">
        <v>1554</v>
      </c>
      <c r="Q616" s="7"/>
    </row>
    <row r="617">
      <c r="A617" s="39" t="s">
        <v>4002</v>
      </c>
      <c r="B617" s="15">
        <v>223345.0</v>
      </c>
      <c r="C617" s="15" t="s">
        <v>4003</v>
      </c>
      <c r="D617" s="15">
        <v>14244.0</v>
      </c>
      <c r="E617" s="15" t="s">
        <v>1808</v>
      </c>
      <c r="F617" s="15" t="s">
        <v>1809</v>
      </c>
      <c r="G617" s="7">
        <v>2.748</v>
      </c>
      <c r="H617" s="15" t="s">
        <v>1685</v>
      </c>
      <c r="I617" s="15" t="s">
        <v>1628</v>
      </c>
      <c r="J617" s="15" t="s">
        <v>4004</v>
      </c>
      <c r="K617" s="15">
        <v>6.0</v>
      </c>
      <c r="L617" s="15">
        <v>6.0</v>
      </c>
      <c r="M617" s="41">
        <v>36459.0</v>
      </c>
      <c r="N617" s="40">
        <v>39639.0</v>
      </c>
      <c r="O617" s="15" t="s">
        <v>1554</v>
      </c>
      <c r="Q617" s="7"/>
    </row>
    <row r="618">
      <c r="A618" s="39" t="s">
        <v>4006</v>
      </c>
      <c r="B618" s="15">
        <v>223344.0</v>
      </c>
      <c r="C618" s="15" t="s">
        <v>4007</v>
      </c>
      <c r="D618" s="15">
        <v>14245.0</v>
      </c>
      <c r="E618" s="15" t="s">
        <v>1808</v>
      </c>
      <c r="F618" s="15" t="s">
        <v>1809</v>
      </c>
      <c r="G618" s="7">
        <v>2.761</v>
      </c>
      <c r="H618" s="15" t="s">
        <v>1813</v>
      </c>
      <c r="I618" s="15" t="s">
        <v>1628</v>
      </c>
      <c r="J618" s="15" t="s">
        <v>4008</v>
      </c>
      <c r="K618" s="15">
        <v>6.0</v>
      </c>
      <c r="L618" s="15">
        <v>6.0</v>
      </c>
      <c r="M618" s="40">
        <v>36465.0</v>
      </c>
      <c r="N618" s="40">
        <v>39639.0</v>
      </c>
      <c r="O618" s="15" t="s">
        <v>1554</v>
      </c>
      <c r="Q618" s="7"/>
    </row>
    <row r="619">
      <c r="A619" s="39" t="s">
        <v>4009</v>
      </c>
      <c r="B619" s="15">
        <v>12360.0</v>
      </c>
      <c r="C619" s="15" t="s">
        <v>4010</v>
      </c>
      <c r="D619" s="15">
        <v>14246.0</v>
      </c>
      <c r="E619" s="15" t="s">
        <v>1557</v>
      </c>
      <c r="F619" s="15" t="s">
        <v>1833</v>
      </c>
      <c r="G619" s="7">
        <v>43.604</v>
      </c>
      <c r="H619" s="15" t="s">
        <v>3260</v>
      </c>
      <c r="I619" s="15" t="s">
        <v>1586</v>
      </c>
      <c r="J619" s="15" t="s">
        <v>4011</v>
      </c>
      <c r="K619" s="15">
        <v>53.0</v>
      </c>
      <c r="L619" s="15">
        <v>53.0</v>
      </c>
      <c r="M619" s="40">
        <v>37313.0</v>
      </c>
      <c r="N619" s="40">
        <v>40277.0</v>
      </c>
      <c r="O619" s="15" t="s">
        <v>1554</v>
      </c>
      <c r="Q619" s="7"/>
    </row>
    <row r="620">
      <c r="A620" s="39" t="s">
        <v>4012</v>
      </c>
      <c r="B620" s="15">
        <v>186152.0</v>
      </c>
      <c r="C620" s="15" t="s">
        <v>4013</v>
      </c>
      <c r="D620" s="15">
        <v>14247.0</v>
      </c>
      <c r="E620" s="15" t="s">
        <v>1557</v>
      </c>
      <c r="F620" s="15" t="s">
        <v>1833</v>
      </c>
      <c r="G620" s="7">
        <v>44.97</v>
      </c>
      <c r="H620" s="15" t="s">
        <v>3862</v>
      </c>
      <c r="I620" s="15" t="s">
        <v>1586</v>
      </c>
      <c r="J620" s="15" t="s">
        <v>4014</v>
      </c>
      <c r="K620" s="15">
        <v>49.0</v>
      </c>
      <c r="L620" s="15">
        <v>49.0</v>
      </c>
      <c r="M620" s="40">
        <v>37313.0</v>
      </c>
      <c r="N620" s="41">
        <v>39436.0</v>
      </c>
      <c r="O620" s="15" t="s">
        <v>1554</v>
      </c>
      <c r="Q620" s="7"/>
    </row>
    <row r="621">
      <c r="A621" s="39" t="s">
        <v>4016</v>
      </c>
      <c r="B621" s="15">
        <v>186153.0</v>
      </c>
      <c r="C621" s="15" t="s">
        <v>4017</v>
      </c>
      <c r="D621" s="15">
        <v>14248.0</v>
      </c>
      <c r="E621" s="15" t="s">
        <v>1557</v>
      </c>
      <c r="F621" s="15" t="s">
        <v>1833</v>
      </c>
      <c r="G621" s="7">
        <v>42.722</v>
      </c>
      <c r="H621" s="15" t="s">
        <v>2219</v>
      </c>
      <c r="I621" s="15" t="s">
        <v>1586</v>
      </c>
      <c r="J621" s="15" t="s">
        <v>4018</v>
      </c>
      <c r="K621" s="15">
        <v>49.0</v>
      </c>
      <c r="L621" s="15">
        <v>49.0</v>
      </c>
      <c r="M621" s="40">
        <v>37313.0</v>
      </c>
      <c r="N621" s="41">
        <v>39436.0</v>
      </c>
      <c r="O621" s="15" t="s">
        <v>1554</v>
      </c>
      <c r="Q621" s="7"/>
    </row>
    <row r="622">
      <c r="A622" s="39" t="s">
        <v>4019</v>
      </c>
      <c r="B622" s="15">
        <v>222442.0</v>
      </c>
      <c r="C622" s="15" t="s">
        <v>4020</v>
      </c>
      <c r="D622" s="15">
        <v>14249.0</v>
      </c>
      <c r="E622" s="15" t="s">
        <v>1808</v>
      </c>
      <c r="F622" s="15" t="s">
        <v>1809</v>
      </c>
      <c r="G622" s="7">
        <v>2.734</v>
      </c>
      <c r="H622" s="15" t="s">
        <v>1559</v>
      </c>
      <c r="I622" s="15" t="s">
        <v>1628</v>
      </c>
      <c r="J622" s="15" t="s">
        <v>4021</v>
      </c>
      <c r="K622" s="15">
        <v>6.0</v>
      </c>
      <c r="L622" s="15">
        <v>6.0</v>
      </c>
      <c r="M622" s="40">
        <v>36836.0</v>
      </c>
      <c r="N622" s="40">
        <v>39790.0</v>
      </c>
      <c r="O622" s="15" t="s">
        <v>1554</v>
      </c>
      <c r="Q622" s="7"/>
    </row>
    <row r="623">
      <c r="A623" s="39" t="s">
        <v>4023</v>
      </c>
      <c r="B623" s="15">
        <v>222451.0</v>
      </c>
      <c r="C623" s="15" t="s">
        <v>4024</v>
      </c>
      <c r="D623" s="15">
        <v>14250.0</v>
      </c>
      <c r="E623" s="15" t="s">
        <v>1808</v>
      </c>
      <c r="F623" s="15" t="s">
        <v>1809</v>
      </c>
      <c r="G623" s="7">
        <v>2.754</v>
      </c>
      <c r="H623" s="15" t="s">
        <v>1613</v>
      </c>
      <c r="I623" s="15" t="s">
        <v>1628</v>
      </c>
      <c r="J623" s="15" t="s">
        <v>4025</v>
      </c>
      <c r="K623" s="15">
        <v>6.0</v>
      </c>
      <c r="L623" s="15">
        <v>6.0</v>
      </c>
      <c r="M623" s="40">
        <v>37074.0</v>
      </c>
      <c r="N623" s="40">
        <v>39790.0</v>
      </c>
      <c r="O623" s="15" t="s">
        <v>1554</v>
      </c>
      <c r="Q623" s="7"/>
    </row>
    <row r="624">
      <c r="A624" s="39" t="s">
        <v>4026</v>
      </c>
      <c r="B624" s="15">
        <v>169683.0</v>
      </c>
      <c r="C624" s="15" t="s">
        <v>4027</v>
      </c>
      <c r="D624" s="15">
        <v>14251.0</v>
      </c>
      <c r="E624" s="15" t="s">
        <v>1557</v>
      </c>
      <c r="F624" s="15" t="s">
        <v>1767</v>
      </c>
      <c r="G624" s="7">
        <v>280.334</v>
      </c>
      <c r="H624" s="15" t="s">
        <v>3309</v>
      </c>
      <c r="I624" s="15" t="s">
        <v>1586</v>
      </c>
      <c r="J624" s="15" t="s">
        <v>4028</v>
      </c>
      <c r="K624" s="15">
        <v>306.0</v>
      </c>
      <c r="L624" s="15">
        <v>306.0</v>
      </c>
      <c r="M624" s="40">
        <v>37315.0</v>
      </c>
      <c r="N624" s="40">
        <v>41284.0</v>
      </c>
      <c r="O624" s="15" t="s">
        <v>1554</v>
      </c>
      <c r="Q624" s="7"/>
    </row>
    <row r="625">
      <c r="A625" s="39" t="s">
        <v>4029</v>
      </c>
      <c r="B625" s="15">
        <v>222476.0</v>
      </c>
      <c r="C625" s="15" t="s">
        <v>4030</v>
      </c>
      <c r="D625" s="15">
        <v>14252.0</v>
      </c>
      <c r="E625" s="15" t="s">
        <v>1808</v>
      </c>
      <c r="F625" s="15" t="s">
        <v>1809</v>
      </c>
      <c r="G625" s="7">
        <v>2.731</v>
      </c>
      <c r="H625" s="15">
        <v>44.0</v>
      </c>
      <c r="I625" s="15" t="s">
        <v>1628</v>
      </c>
      <c r="J625" s="15" t="s">
        <v>4031</v>
      </c>
      <c r="K625" s="15">
        <v>6.0</v>
      </c>
      <c r="L625" s="15">
        <v>6.0</v>
      </c>
      <c r="M625" s="40">
        <v>37371.0</v>
      </c>
      <c r="N625" s="40">
        <v>42045.0</v>
      </c>
      <c r="O625" s="15" t="s">
        <v>1554</v>
      </c>
      <c r="Q625" s="7"/>
    </row>
    <row r="626">
      <c r="A626" s="39" t="s">
        <v>4033</v>
      </c>
      <c r="B626" s="15">
        <v>929766.0</v>
      </c>
      <c r="C626" s="15" t="s">
        <v>4034</v>
      </c>
      <c r="D626" s="15">
        <v>14253.0</v>
      </c>
      <c r="E626" s="15" t="s">
        <v>1808</v>
      </c>
      <c r="F626" s="15" t="s">
        <v>1809</v>
      </c>
      <c r="G626" s="7">
        <v>5.15</v>
      </c>
      <c r="H626" s="15" t="s">
        <v>4035</v>
      </c>
      <c r="I626" s="15" t="s">
        <v>1628</v>
      </c>
      <c r="J626" s="15" t="s">
        <v>4036</v>
      </c>
      <c r="K626" s="15">
        <v>6.0</v>
      </c>
      <c r="L626" s="15">
        <v>6.0</v>
      </c>
      <c r="M626" s="40">
        <v>37706.0</v>
      </c>
      <c r="N626" s="41">
        <v>42297.0</v>
      </c>
      <c r="O626" s="15" t="s">
        <v>1554</v>
      </c>
      <c r="Q626" s="7"/>
    </row>
    <row r="627">
      <c r="A627" s="39" t="s">
        <v>4037</v>
      </c>
      <c r="B627" s="15">
        <v>223319.0</v>
      </c>
      <c r="C627" s="15" t="s">
        <v>4038</v>
      </c>
      <c r="D627" s="15">
        <v>14255.0</v>
      </c>
      <c r="E627" s="15" t="s">
        <v>1808</v>
      </c>
      <c r="F627" s="15" t="s">
        <v>1809</v>
      </c>
      <c r="G627" s="7">
        <v>2.668</v>
      </c>
      <c r="H627" s="15" t="s">
        <v>2981</v>
      </c>
      <c r="I627" s="15" t="s">
        <v>1628</v>
      </c>
      <c r="J627" s="15" t="s">
        <v>4039</v>
      </c>
      <c r="K627" s="15">
        <v>6.0</v>
      </c>
      <c r="L627" s="15">
        <v>6.0</v>
      </c>
      <c r="M627" s="40">
        <v>37363.0</v>
      </c>
      <c r="N627" s="40">
        <v>39939.0</v>
      </c>
      <c r="O627" s="15" t="s">
        <v>1554</v>
      </c>
      <c r="Q627" s="7"/>
    </row>
    <row r="628">
      <c r="A628" s="39" t="s">
        <v>4040</v>
      </c>
      <c r="B628" s="15">
        <v>223309.0</v>
      </c>
      <c r="C628" s="15" t="s">
        <v>4041</v>
      </c>
      <c r="D628" s="15">
        <v>14256.0</v>
      </c>
      <c r="E628" s="15" t="s">
        <v>1808</v>
      </c>
      <c r="F628" s="15" t="s">
        <v>1809</v>
      </c>
      <c r="G628" s="7">
        <v>5.117</v>
      </c>
      <c r="H628" s="15" t="s">
        <v>4043</v>
      </c>
      <c r="I628" s="15" t="s">
        <v>1628</v>
      </c>
      <c r="J628" s="15" t="s">
        <v>4044</v>
      </c>
      <c r="K628" s="15">
        <v>7.0</v>
      </c>
      <c r="L628" s="15">
        <v>7.0</v>
      </c>
      <c r="M628" s="40">
        <v>35887.0</v>
      </c>
      <c r="N628" s="40">
        <v>39639.0</v>
      </c>
      <c r="O628" s="15" t="s">
        <v>1554</v>
      </c>
      <c r="Q628" s="7"/>
    </row>
    <row r="629">
      <c r="A629" s="39" t="s">
        <v>4045</v>
      </c>
      <c r="B629" s="15">
        <v>223330.0</v>
      </c>
      <c r="C629" s="15" t="s">
        <v>4046</v>
      </c>
      <c r="D629" s="15">
        <v>14257.0</v>
      </c>
      <c r="E629" s="15" t="s">
        <v>1808</v>
      </c>
      <c r="F629" s="15" t="s">
        <v>1809</v>
      </c>
      <c r="G629" s="7">
        <v>2.773</v>
      </c>
      <c r="H629" s="15" t="s">
        <v>2064</v>
      </c>
      <c r="I629" s="15" t="s">
        <v>1628</v>
      </c>
      <c r="J629" s="15" t="s">
        <v>4047</v>
      </c>
      <c r="K629" s="15">
        <v>6.0</v>
      </c>
      <c r="L629" s="15">
        <v>6.0</v>
      </c>
      <c r="M629" s="40">
        <v>37287.0</v>
      </c>
      <c r="N629" s="40">
        <v>39639.0</v>
      </c>
      <c r="O629" s="15" t="s">
        <v>1554</v>
      </c>
      <c r="Q629" s="7"/>
    </row>
    <row r="630">
      <c r="A630" s="39" t="s">
        <v>4048</v>
      </c>
      <c r="B630" s="15">
        <v>117198.0</v>
      </c>
      <c r="C630" s="15" t="s">
        <v>4049</v>
      </c>
      <c r="D630" s="15">
        <v>14258.0</v>
      </c>
      <c r="E630" s="15" t="s">
        <v>1808</v>
      </c>
      <c r="F630" s="15" t="s">
        <v>1809</v>
      </c>
      <c r="G630" s="7">
        <v>5.155</v>
      </c>
      <c r="H630" s="15" t="s">
        <v>4050</v>
      </c>
      <c r="I630" s="15" t="s">
        <v>1628</v>
      </c>
      <c r="J630" s="15" t="s">
        <v>4051</v>
      </c>
      <c r="K630" s="15">
        <v>7.0</v>
      </c>
      <c r="L630" s="15">
        <v>7.0</v>
      </c>
      <c r="M630" s="40">
        <v>38791.0</v>
      </c>
      <c r="N630" s="40">
        <v>40206.0</v>
      </c>
      <c r="O630" s="15" t="s">
        <v>1554</v>
      </c>
      <c r="Q630" s="7"/>
    </row>
    <row r="631">
      <c r="A631" s="39" t="s">
        <v>4053</v>
      </c>
      <c r="B631" s="15">
        <v>223352.0</v>
      </c>
      <c r="C631" s="15" t="s">
        <v>4054</v>
      </c>
      <c r="D631" s="15">
        <v>14259.0</v>
      </c>
      <c r="E631" s="15" t="s">
        <v>1808</v>
      </c>
      <c r="F631" s="15" t="s">
        <v>1809</v>
      </c>
      <c r="G631" s="7">
        <v>2.756</v>
      </c>
      <c r="H631" s="15">
        <v>42.0</v>
      </c>
      <c r="I631" s="15" t="s">
        <v>1628</v>
      </c>
      <c r="J631" s="15" t="s">
        <v>4055</v>
      </c>
      <c r="K631" s="15">
        <v>6.0</v>
      </c>
      <c r="L631" s="15">
        <v>6.0</v>
      </c>
      <c r="M631" s="40">
        <v>36711.0</v>
      </c>
      <c r="N631" s="40">
        <v>39651.0</v>
      </c>
      <c r="O631" s="15" t="s">
        <v>1554</v>
      </c>
      <c r="Q631" s="7"/>
    </row>
    <row r="632">
      <c r="A632" s="39" t="s">
        <v>4056</v>
      </c>
      <c r="B632" s="15">
        <v>223346.0</v>
      </c>
      <c r="C632" s="15" t="s">
        <v>4057</v>
      </c>
      <c r="D632" s="15">
        <v>14260.0</v>
      </c>
      <c r="E632" s="15" t="s">
        <v>1808</v>
      </c>
      <c r="F632" s="15" t="s">
        <v>1809</v>
      </c>
      <c r="G632" s="7">
        <v>2.754</v>
      </c>
      <c r="H632" s="15" t="s">
        <v>2178</v>
      </c>
      <c r="I632" s="15" t="s">
        <v>1628</v>
      </c>
      <c r="J632" s="15" t="s">
        <v>4058</v>
      </c>
      <c r="K632" s="15">
        <v>6.0</v>
      </c>
      <c r="L632" s="15">
        <v>6.0</v>
      </c>
      <c r="M632" s="40">
        <v>36957.0</v>
      </c>
      <c r="N632" s="40">
        <v>39639.0</v>
      </c>
      <c r="O632" s="15" t="s">
        <v>1554</v>
      </c>
      <c r="Q632" s="7"/>
    </row>
    <row r="633">
      <c r="A633" s="39" t="s">
        <v>4059</v>
      </c>
      <c r="B633" s="15">
        <v>223332.0</v>
      </c>
      <c r="C633" s="15" t="s">
        <v>4061</v>
      </c>
      <c r="D633" s="15">
        <v>14261.0</v>
      </c>
      <c r="E633" s="15" t="s">
        <v>1808</v>
      </c>
      <c r="F633" s="15" t="s">
        <v>1809</v>
      </c>
      <c r="G633" s="7">
        <v>2.761</v>
      </c>
      <c r="H633" s="15" t="s">
        <v>3255</v>
      </c>
      <c r="I633" s="15" t="s">
        <v>1628</v>
      </c>
      <c r="J633" s="15" t="s">
        <v>4062</v>
      </c>
      <c r="K633" s="15">
        <v>6.0</v>
      </c>
      <c r="L633" s="15">
        <v>6.0</v>
      </c>
      <c r="M633" s="40">
        <v>36670.0</v>
      </c>
      <c r="N633" s="40">
        <v>39790.0</v>
      </c>
      <c r="O633" s="15" t="s">
        <v>1554</v>
      </c>
      <c r="Q633" s="7"/>
    </row>
    <row r="634">
      <c r="A634" s="39" t="s">
        <v>4063</v>
      </c>
      <c r="B634" s="15">
        <v>223313.0</v>
      </c>
      <c r="C634" s="15" t="s">
        <v>4064</v>
      </c>
      <c r="D634" s="15">
        <v>14262.0</v>
      </c>
      <c r="E634" s="15" t="s">
        <v>1808</v>
      </c>
      <c r="F634" s="15" t="s">
        <v>1809</v>
      </c>
      <c r="G634" s="7">
        <v>5.192</v>
      </c>
      <c r="H634" s="15" t="s">
        <v>4065</v>
      </c>
      <c r="I634" s="15" t="s">
        <v>1628</v>
      </c>
      <c r="J634" s="15" t="s">
        <v>4066</v>
      </c>
      <c r="K634" s="15">
        <v>7.0</v>
      </c>
      <c r="L634" s="15">
        <v>7.0</v>
      </c>
      <c r="M634" s="40">
        <v>35291.0</v>
      </c>
      <c r="N634" s="40">
        <v>39925.0</v>
      </c>
      <c r="O634" s="15" t="s">
        <v>1554</v>
      </c>
      <c r="Q634" s="7"/>
    </row>
    <row r="635">
      <c r="A635" s="39" t="s">
        <v>4067</v>
      </c>
      <c r="B635" s="15">
        <v>223316.0</v>
      </c>
      <c r="C635" s="15" t="s">
        <v>4068</v>
      </c>
      <c r="D635" s="15">
        <v>14263.0</v>
      </c>
      <c r="E635" s="15" t="s">
        <v>1808</v>
      </c>
      <c r="F635" s="15" t="s">
        <v>1809</v>
      </c>
      <c r="G635" s="7">
        <v>5.192</v>
      </c>
      <c r="H635" s="15" t="s">
        <v>4070</v>
      </c>
      <c r="I635" s="15" t="s">
        <v>1628</v>
      </c>
      <c r="J635" s="15" t="s">
        <v>4071</v>
      </c>
      <c r="K635" s="15">
        <v>7.0</v>
      </c>
      <c r="L635" s="15">
        <v>7.0</v>
      </c>
      <c r="M635" s="40">
        <v>35479.0</v>
      </c>
      <c r="N635" s="40">
        <v>39639.0</v>
      </c>
      <c r="O635" s="15" t="s">
        <v>1554</v>
      </c>
      <c r="Q635" s="7"/>
    </row>
    <row r="636">
      <c r="A636" s="39" t="s">
        <v>4072</v>
      </c>
      <c r="B636" s="15">
        <v>223321.0</v>
      </c>
      <c r="C636" s="15" t="s">
        <v>4073</v>
      </c>
      <c r="D636" s="15">
        <v>14264.0</v>
      </c>
      <c r="E636" s="15" t="s">
        <v>1808</v>
      </c>
      <c r="F636" s="15" t="s">
        <v>1809</v>
      </c>
      <c r="G636" s="7">
        <v>5.205</v>
      </c>
      <c r="H636" s="15" t="s">
        <v>4074</v>
      </c>
      <c r="I636" s="15" t="s">
        <v>1628</v>
      </c>
      <c r="J636" s="15" t="s">
        <v>4075</v>
      </c>
      <c r="K636" s="15">
        <v>7.0</v>
      </c>
      <c r="L636" s="15">
        <v>7.0</v>
      </c>
      <c r="M636" s="40">
        <v>35479.0</v>
      </c>
      <c r="N636" s="40">
        <v>39790.0</v>
      </c>
      <c r="O636" s="15" t="s">
        <v>1554</v>
      </c>
      <c r="Q636" s="7"/>
    </row>
    <row r="637">
      <c r="A637" s="39" t="s">
        <v>4076</v>
      </c>
      <c r="B637" s="15">
        <v>197783.0</v>
      </c>
      <c r="C637" s="15" t="s">
        <v>4077</v>
      </c>
      <c r="D637" s="15">
        <v>14265.0</v>
      </c>
      <c r="E637" s="15" t="s">
        <v>1557</v>
      </c>
      <c r="F637" s="15" t="s">
        <v>1611</v>
      </c>
      <c r="G637" s="7">
        <v>37.359</v>
      </c>
      <c r="H637" s="15" t="s">
        <v>3321</v>
      </c>
      <c r="I637" s="15" t="s">
        <v>1586</v>
      </c>
      <c r="J637" s="15" t="s">
        <v>4078</v>
      </c>
      <c r="K637" s="15">
        <v>42.0</v>
      </c>
      <c r="L637" s="15">
        <v>42.0</v>
      </c>
      <c r="M637" s="40">
        <v>37706.0</v>
      </c>
      <c r="N637" s="40">
        <v>39939.0</v>
      </c>
      <c r="O637" s="15" t="s">
        <v>1554</v>
      </c>
      <c r="Q637" s="7"/>
    </row>
    <row r="638">
      <c r="A638" s="39" t="s">
        <v>4080</v>
      </c>
      <c r="B638" s="15">
        <v>223300.0</v>
      </c>
      <c r="C638" s="15" t="s">
        <v>4081</v>
      </c>
      <c r="D638" s="15">
        <v>14266.0</v>
      </c>
      <c r="E638" s="15" t="s">
        <v>1808</v>
      </c>
      <c r="F638" s="15" t="s">
        <v>1809</v>
      </c>
      <c r="G638" s="7">
        <v>2.739</v>
      </c>
      <c r="H638" s="15" t="s">
        <v>1943</v>
      </c>
      <c r="I638" s="15" t="s">
        <v>1628</v>
      </c>
      <c r="J638" s="15" t="s">
        <v>4082</v>
      </c>
      <c r="K638" s="15">
        <v>6.0</v>
      </c>
      <c r="L638" s="15">
        <v>6.0</v>
      </c>
      <c r="M638" s="40">
        <v>35885.0</v>
      </c>
      <c r="N638" s="40">
        <v>39645.0</v>
      </c>
      <c r="O638" s="15" t="s">
        <v>1554</v>
      </c>
      <c r="Q638" s="7"/>
    </row>
    <row r="639">
      <c r="A639" s="39" t="s">
        <v>4083</v>
      </c>
      <c r="B639" s="15">
        <v>269301.0</v>
      </c>
      <c r="C639" s="15" t="s">
        <v>4084</v>
      </c>
      <c r="D639" s="15">
        <v>14267.0</v>
      </c>
      <c r="E639" s="15" t="s">
        <v>1808</v>
      </c>
      <c r="F639" s="15" t="s">
        <v>1809</v>
      </c>
      <c r="G639" s="7">
        <v>2.766</v>
      </c>
      <c r="H639" s="15" t="s">
        <v>1818</v>
      </c>
      <c r="I639" s="15" t="s">
        <v>1628</v>
      </c>
      <c r="J639" s="15" t="s">
        <v>4085</v>
      </c>
      <c r="K639" s="15">
        <v>5.0</v>
      </c>
      <c r="L639" s="15">
        <v>5.0</v>
      </c>
      <c r="M639" s="40">
        <v>36740.0</v>
      </c>
      <c r="N639" s="40">
        <v>39939.0</v>
      </c>
      <c r="O639" s="15" t="s">
        <v>1554</v>
      </c>
      <c r="Q639" s="7"/>
    </row>
    <row r="640">
      <c r="A640" s="39" t="s">
        <v>4086</v>
      </c>
      <c r="B640" s="15">
        <v>204086.0</v>
      </c>
      <c r="C640" s="15" t="s">
        <v>4087</v>
      </c>
      <c r="D640" s="15">
        <v>14268.0</v>
      </c>
      <c r="E640" s="15" t="s">
        <v>1557</v>
      </c>
      <c r="F640" s="15" t="s">
        <v>1611</v>
      </c>
      <c r="G640" s="7">
        <v>16.784</v>
      </c>
      <c r="H640" s="42">
        <v>43280.0</v>
      </c>
      <c r="I640" s="15" t="s">
        <v>1586</v>
      </c>
      <c r="J640" s="15" t="s">
        <v>4089</v>
      </c>
      <c r="K640" s="15">
        <v>21.0</v>
      </c>
      <c r="L640" s="15">
        <v>21.0</v>
      </c>
      <c r="M640" s="40">
        <v>37711.0</v>
      </c>
      <c r="N640" s="40">
        <v>41367.0</v>
      </c>
      <c r="O640" s="15" t="s">
        <v>1554</v>
      </c>
      <c r="Q640" s="7"/>
    </row>
    <row r="641">
      <c r="A641" s="39" t="s">
        <v>4090</v>
      </c>
      <c r="B641" s="15">
        <v>204090.0</v>
      </c>
      <c r="C641" s="15" t="s">
        <v>4091</v>
      </c>
      <c r="D641" s="15">
        <v>14269.0</v>
      </c>
      <c r="E641" s="15" t="s">
        <v>1557</v>
      </c>
      <c r="F641" s="15" t="s">
        <v>1611</v>
      </c>
      <c r="G641" s="7">
        <v>18.227</v>
      </c>
      <c r="H641" s="42">
        <v>43188.0</v>
      </c>
      <c r="I641" s="15" t="s">
        <v>1586</v>
      </c>
      <c r="J641" s="15" t="s">
        <v>4092</v>
      </c>
      <c r="K641" s="15">
        <v>22.0</v>
      </c>
      <c r="L641" s="15">
        <v>22.0</v>
      </c>
      <c r="M641" s="40">
        <v>37711.0</v>
      </c>
      <c r="N641" s="40">
        <v>39920.0</v>
      </c>
      <c r="O641" s="15" t="s">
        <v>1554</v>
      </c>
      <c r="Q641" s="7"/>
    </row>
    <row r="642">
      <c r="A642" s="39" t="s">
        <v>4094</v>
      </c>
      <c r="B642" s="15">
        <v>205869.0</v>
      </c>
      <c r="C642" s="15" t="s">
        <v>4095</v>
      </c>
      <c r="D642" s="15">
        <v>14270.0</v>
      </c>
      <c r="E642" s="15" t="s">
        <v>1557</v>
      </c>
      <c r="F642" s="15" t="s">
        <v>1833</v>
      </c>
      <c r="G642" s="7">
        <v>75.931</v>
      </c>
      <c r="H642" s="15" t="s">
        <v>4096</v>
      </c>
      <c r="I642" s="15" t="s">
        <v>1586</v>
      </c>
      <c r="J642" s="15" t="s">
        <v>4097</v>
      </c>
      <c r="K642" s="15">
        <v>142.0</v>
      </c>
      <c r="L642" s="15">
        <v>141.0</v>
      </c>
      <c r="M642" s="40">
        <v>37712.0</v>
      </c>
      <c r="N642" s="40">
        <v>39920.0</v>
      </c>
      <c r="O642" s="15" t="s">
        <v>1554</v>
      </c>
      <c r="Q642" s="7"/>
    </row>
    <row r="643">
      <c r="A643" s="39" t="s">
        <v>4098</v>
      </c>
      <c r="B643" s="15">
        <v>205872.0</v>
      </c>
      <c r="C643" s="15" t="s">
        <v>4099</v>
      </c>
      <c r="D643" s="15">
        <v>14271.0</v>
      </c>
      <c r="E643" s="15" t="s">
        <v>1557</v>
      </c>
      <c r="F643" s="15" t="s">
        <v>1833</v>
      </c>
      <c r="G643" s="7">
        <v>57.05</v>
      </c>
      <c r="H643" s="15" t="s">
        <v>4100</v>
      </c>
      <c r="I643" s="15" t="s">
        <v>1586</v>
      </c>
      <c r="J643" s="15" t="s">
        <v>4102</v>
      </c>
      <c r="K643" s="15">
        <v>85.0</v>
      </c>
      <c r="L643" s="15">
        <v>84.0</v>
      </c>
      <c r="M643" s="40">
        <v>37712.0</v>
      </c>
      <c r="N643" s="41">
        <v>39435.0</v>
      </c>
      <c r="O643" s="15" t="s">
        <v>1554</v>
      </c>
      <c r="Q643" s="7"/>
    </row>
    <row r="644">
      <c r="A644" s="39" t="s">
        <v>4103</v>
      </c>
      <c r="B644" s="15">
        <v>205875.0</v>
      </c>
      <c r="C644" s="15" t="s">
        <v>4104</v>
      </c>
      <c r="D644" s="15">
        <v>14272.0</v>
      </c>
      <c r="E644" s="15" t="s">
        <v>1557</v>
      </c>
      <c r="F644" s="15" t="s">
        <v>1833</v>
      </c>
      <c r="G644" s="7">
        <v>69.777</v>
      </c>
      <c r="H644" s="15" t="s">
        <v>4100</v>
      </c>
      <c r="I644" s="15" t="s">
        <v>1586</v>
      </c>
      <c r="J644" s="15" t="s">
        <v>4105</v>
      </c>
      <c r="K644" s="15">
        <v>122.0</v>
      </c>
      <c r="L644" s="15">
        <v>122.0</v>
      </c>
      <c r="M644" s="40">
        <v>37712.0</v>
      </c>
      <c r="N644" s="40">
        <v>39939.0</v>
      </c>
      <c r="O644" s="15" t="s">
        <v>1554</v>
      </c>
      <c r="Q644" s="7"/>
    </row>
    <row r="645">
      <c r="A645" s="39" t="s">
        <v>4106</v>
      </c>
      <c r="B645" s="15">
        <v>205879.0</v>
      </c>
      <c r="C645" s="15" t="s">
        <v>4107</v>
      </c>
      <c r="D645" s="15">
        <v>14273.0</v>
      </c>
      <c r="E645" s="15" t="s">
        <v>1557</v>
      </c>
      <c r="F645" s="15" t="s">
        <v>1833</v>
      </c>
      <c r="G645" s="7">
        <v>110.865</v>
      </c>
      <c r="H645" s="15" t="s">
        <v>4108</v>
      </c>
      <c r="I645" s="15" t="s">
        <v>1586</v>
      </c>
      <c r="J645" s="15" t="s">
        <v>4110</v>
      </c>
      <c r="K645" s="15">
        <v>239.0</v>
      </c>
      <c r="L645" s="15">
        <v>237.0</v>
      </c>
      <c r="M645" s="40">
        <v>37712.0</v>
      </c>
      <c r="N645" s="40">
        <v>39920.0</v>
      </c>
      <c r="O645" s="15" t="s">
        <v>1554</v>
      </c>
      <c r="Q645" s="7"/>
    </row>
    <row r="646">
      <c r="A646" s="39" t="s">
        <v>4111</v>
      </c>
      <c r="B646" s="15">
        <v>205880.0</v>
      </c>
      <c r="C646" s="15" t="s">
        <v>4112</v>
      </c>
      <c r="D646" s="15">
        <v>14274.0</v>
      </c>
      <c r="E646" s="15" t="s">
        <v>1557</v>
      </c>
      <c r="F646" s="15" t="s">
        <v>1833</v>
      </c>
      <c r="G646" s="7">
        <v>70.797</v>
      </c>
      <c r="H646" s="15" t="s">
        <v>4113</v>
      </c>
      <c r="I646" s="15" t="s">
        <v>1586</v>
      </c>
      <c r="J646" s="15" t="s">
        <v>4114</v>
      </c>
      <c r="K646" s="15">
        <v>109.0</v>
      </c>
      <c r="L646" s="15">
        <v>109.0</v>
      </c>
      <c r="M646" s="40">
        <v>37712.0</v>
      </c>
      <c r="N646" s="40">
        <v>39939.0</v>
      </c>
      <c r="O646" s="15" t="s">
        <v>1554</v>
      </c>
      <c r="Q646" s="7"/>
    </row>
    <row r="647">
      <c r="A647" s="39" t="s">
        <v>4115</v>
      </c>
      <c r="B647" s="15">
        <v>205870.0</v>
      </c>
      <c r="C647" s="15" t="s">
        <v>4116</v>
      </c>
      <c r="D647" s="15">
        <v>14275.0</v>
      </c>
      <c r="E647" s="15" t="s">
        <v>1557</v>
      </c>
      <c r="F647" s="15" t="s">
        <v>1833</v>
      </c>
      <c r="G647" s="7">
        <v>50.913</v>
      </c>
      <c r="H647" s="15" t="s">
        <v>4117</v>
      </c>
      <c r="I647" s="15" t="s">
        <v>1586</v>
      </c>
      <c r="J647" s="15" t="s">
        <v>4118</v>
      </c>
      <c r="K647" s="15">
        <v>89.0</v>
      </c>
      <c r="L647" s="15">
        <v>86.0</v>
      </c>
      <c r="M647" s="40">
        <v>37712.0</v>
      </c>
      <c r="N647" s="40">
        <v>39730.0</v>
      </c>
      <c r="O647" s="15" t="s">
        <v>1554</v>
      </c>
      <c r="Q647" s="7"/>
    </row>
    <row r="648">
      <c r="A648" s="39" t="s">
        <v>4120</v>
      </c>
      <c r="B648" s="15">
        <v>232237.0</v>
      </c>
      <c r="C648" s="15" t="s">
        <v>4121</v>
      </c>
      <c r="D648" s="15">
        <v>14292.0</v>
      </c>
      <c r="E648" s="15" t="s">
        <v>1557</v>
      </c>
      <c r="F648" s="15" t="s">
        <v>1833</v>
      </c>
      <c r="G648" s="7">
        <v>44.373</v>
      </c>
      <c r="H648" s="15">
        <v>52.0</v>
      </c>
      <c r="I648" s="15" t="s">
        <v>1586</v>
      </c>
      <c r="J648" s="15" t="s">
        <v>4122</v>
      </c>
      <c r="K648" s="15">
        <v>60.0</v>
      </c>
      <c r="L648" s="15">
        <v>60.0</v>
      </c>
      <c r="M648" s="40">
        <v>37788.0</v>
      </c>
      <c r="N648" s="40">
        <v>39920.0</v>
      </c>
      <c r="O648" s="15" t="s">
        <v>1554</v>
      </c>
      <c r="Q648" s="7"/>
    </row>
    <row r="649">
      <c r="A649" s="39" t="s">
        <v>4123</v>
      </c>
      <c r="B649" s="15">
        <v>194948.0</v>
      </c>
      <c r="C649" s="15" t="s">
        <v>4124</v>
      </c>
      <c r="D649" s="15">
        <v>14293.0</v>
      </c>
      <c r="E649" s="15" t="s">
        <v>1557</v>
      </c>
      <c r="F649" s="15" t="s">
        <v>1611</v>
      </c>
      <c r="G649" s="7">
        <v>59.866</v>
      </c>
      <c r="H649" s="15" t="s">
        <v>1670</v>
      </c>
      <c r="I649" s="15" t="s">
        <v>1586</v>
      </c>
      <c r="J649" s="15" t="s">
        <v>4125</v>
      </c>
      <c r="K649" s="15">
        <v>166.0</v>
      </c>
      <c r="L649" s="15">
        <v>167.0</v>
      </c>
      <c r="M649" s="40">
        <v>37792.0</v>
      </c>
      <c r="N649" s="40">
        <v>42458.0</v>
      </c>
      <c r="O649" s="15" t="s">
        <v>1554</v>
      </c>
      <c r="Q649" s="7"/>
    </row>
    <row r="650">
      <c r="A650" s="39" t="s">
        <v>4126</v>
      </c>
      <c r="B650" s="15">
        <v>157924.0</v>
      </c>
      <c r="C650" s="15" t="s">
        <v>4127</v>
      </c>
      <c r="D650" s="15">
        <v>14295.0</v>
      </c>
      <c r="E650" s="15" t="s">
        <v>1557</v>
      </c>
      <c r="F650" s="15" t="s">
        <v>1833</v>
      </c>
      <c r="G650" s="7">
        <v>34.692</v>
      </c>
      <c r="H650" s="15" t="s">
        <v>2197</v>
      </c>
      <c r="I650" s="15" t="s">
        <v>1586</v>
      </c>
      <c r="J650" s="15" t="s">
        <v>4128</v>
      </c>
      <c r="K650" s="15">
        <v>56.0</v>
      </c>
      <c r="L650" s="15">
        <v>56.0</v>
      </c>
      <c r="M650" s="41">
        <v>36809.0</v>
      </c>
      <c r="N650" s="40">
        <v>39939.0</v>
      </c>
      <c r="O650" s="15" t="s">
        <v>1554</v>
      </c>
      <c r="Q650" s="7"/>
    </row>
    <row r="651">
      <c r="A651" s="39" t="s">
        <v>4130</v>
      </c>
      <c r="B651" s="15">
        <v>263001.0</v>
      </c>
      <c r="C651" s="15" t="s">
        <v>4131</v>
      </c>
      <c r="D651" s="15">
        <v>14296.0</v>
      </c>
      <c r="E651" s="15" t="s">
        <v>1808</v>
      </c>
      <c r="F651" s="15" t="s">
        <v>1809</v>
      </c>
      <c r="G651" s="7">
        <v>2.752</v>
      </c>
      <c r="H651" s="15" t="s">
        <v>2163</v>
      </c>
      <c r="I651" s="15" t="s">
        <v>1628</v>
      </c>
      <c r="J651" s="15" t="s">
        <v>4132</v>
      </c>
      <c r="K651" s="15">
        <v>6.0</v>
      </c>
      <c r="L651" s="15">
        <v>6.0</v>
      </c>
      <c r="M651" s="40">
        <v>37642.0</v>
      </c>
      <c r="N651" s="40">
        <v>42045.0</v>
      </c>
      <c r="O651" s="15" t="s">
        <v>1554</v>
      </c>
      <c r="Q651" s="7"/>
    </row>
    <row r="652">
      <c r="A652" s="39" t="s">
        <v>4133</v>
      </c>
      <c r="B652" s="15">
        <v>96054.0</v>
      </c>
      <c r="C652" s="15" t="s">
        <v>4134</v>
      </c>
      <c r="D652" s="15">
        <v>14297.0</v>
      </c>
      <c r="E652" s="15" t="s">
        <v>1808</v>
      </c>
      <c r="F652" s="15" t="s">
        <v>1809</v>
      </c>
      <c r="G652" s="7">
        <v>2.755</v>
      </c>
      <c r="H652" s="15" t="s">
        <v>1710</v>
      </c>
      <c r="I652" s="15" t="s">
        <v>1628</v>
      </c>
      <c r="J652" s="15" t="s">
        <v>4135</v>
      </c>
      <c r="K652" s="15">
        <v>6.0</v>
      </c>
      <c r="L652" s="15">
        <v>6.0</v>
      </c>
      <c r="M652" s="40">
        <v>37597.0</v>
      </c>
      <c r="N652" s="40">
        <v>42045.0</v>
      </c>
      <c r="O652" s="15" t="s">
        <v>1554</v>
      </c>
      <c r="Q652" s="7"/>
    </row>
    <row r="653">
      <c r="A653" s="39" t="s">
        <v>4136</v>
      </c>
      <c r="B653" s="15">
        <v>170617.0</v>
      </c>
      <c r="C653" s="15" t="s">
        <v>4137</v>
      </c>
      <c r="D653" s="15">
        <v>14298.0</v>
      </c>
      <c r="E653" s="15" t="s">
        <v>1557</v>
      </c>
      <c r="F653" s="15" t="s">
        <v>1992</v>
      </c>
      <c r="G653" s="7">
        <v>99.657</v>
      </c>
      <c r="H653" s="15" t="s">
        <v>3260</v>
      </c>
      <c r="I653" s="15" t="s">
        <v>1560</v>
      </c>
      <c r="J653" s="15" t="s">
        <v>4138</v>
      </c>
      <c r="K653" s="15">
        <v>119.0</v>
      </c>
      <c r="L653" s="15">
        <v>119.0</v>
      </c>
      <c r="M653" s="40">
        <v>37813.0</v>
      </c>
      <c r="N653" s="40">
        <v>40148.0</v>
      </c>
      <c r="O653" s="15" t="s">
        <v>1554</v>
      </c>
      <c r="Q653" s="7"/>
    </row>
    <row r="654">
      <c r="A654" s="39" t="s">
        <v>4140</v>
      </c>
      <c r="B654" s="15">
        <v>210016.0</v>
      </c>
      <c r="C654" s="15" t="s">
        <v>4141</v>
      </c>
      <c r="D654" s="15">
        <v>14299.0</v>
      </c>
      <c r="E654" s="15" t="s">
        <v>1808</v>
      </c>
      <c r="F654" s="15" t="s">
        <v>2436</v>
      </c>
      <c r="G654" s="7">
        <v>5.499</v>
      </c>
      <c r="H654" s="15">
        <v>42.0</v>
      </c>
      <c r="I654" s="15" t="s">
        <v>1560</v>
      </c>
      <c r="J654" s="15" t="s">
        <v>4142</v>
      </c>
      <c r="K654" s="15">
        <v>5.0</v>
      </c>
      <c r="L654" s="15">
        <v>5.0</v>
      </c>
      <c r="M654" s="41">
        <v>37620.0</v>
      </c>
      <c r="N654" s="40">
        <v>40206.0</v>
      </c>
      <c r="O654" s="15" t="s">
        <v>1554</v>
      </c>
      <c r="Q654" s="7"/>
    </row>
    <row r="655">
      <c r="A655" s="39" t="s">
        <v>4143</v>
      </c>
      <c r="B655" s="15">
        <v>50948.0</v>
      </c>
      <c r="C655" s="15" t="s">
        <v>4144</v>
      </c>
      <c r="D655" s="15">
        <v>14301.0</v>
      </c>
      <c r="E655" s="15" t="s">
        <v>1557</v>
      </c>
      <c r="F655" s="15" t="s">
        <v>1767</v>
      </c>
      <c r="G655" s="7">
        <v>164.018</v>
      </c>
      <c r="H655" s="15" t="s">
        <v>2524</v>
      </c>
      <c r="I655" s="15" t="s">
        <v>1586</v>
      </c>
      <c r="J655" s="15" t="s">
        <v>4145</v>
      </c>
      <c r="K655" s="15">
        <v>279.0</v>
      </c>
      <c r="L655" s="15">
        <v>279.0</v>
      </c>
      <c r="M655" s="40">
        <v>37838.0</v>
      </c>
      <c r="N655" s="40">
        <v>40263.0</v>
      </c>
      <c r="O655" s="15" t="s">
        <v>1554</v>
      </c>
      <c r="Q655" s="7"/>
    </row>
    <row r="656">
      <c r="A656" s="39" t="s">
        <v>4146</v>
      </c>
      <c r="B656" s="15">
        <v>35254.0</v>
      </c>
      <c r="C656" s="15" t="s">
        <v>4148</v>
      </c>
      <c r="D656" s="15">
        <v>14302.0</v>
      </c>
      <c r="E656" s="15" t="s">
        <v>1557</v>
      </c>
      <c r="F656" s="15" t="s">
        <v>1992</v>
      </c>
      <c r="G656" s="7">
        <v>110.907</v>
      </c>
      <c r="H656" s="15" t="s">
        <v>4149</v>
      </c>
      <c r="I656" s="15" t="s">
        <v>1560</v>
      </c>
      <c r="J656" s="15" t="s">
        <v>4150</v>
      </c>
      <c r="K656" s="15">
        <v>129.0</v>
      </c>
      <c r="L656" s="15">
        <v>128.0</v>
      </c>
      <c r="M656" s="40">
        <v>37844.0</v>
      </c>
      <c r="N656" s="40">
        <v>40148.0</v>
      </c>
      <c r="O656" s="15" t="s">
        <v>1554</v>
      </c>
      <c r="Q656" s="7"/>
    </row>
    <row r="657">
      <c r="A657" s="39" t="s">
        <v>4151</v>
      </c>
      <c r="B657" s="15">
        <v>78395.0</v>
      </c>
      <c r="C657" s="15" t="s">
        <v>4152</v>
      </c>
      <c r="D657" s="15">
        <v>14303.0</v>
      </c>
      <c r="E657" s="15" t="s">
        <v>1808</v>
      </c>
      <c r="F657" s="15" t="s">
        <v>1809</v>
      </c>
      <c r="G657" s="7">
        <v>2.735</v>
      </c>
      <c r="H657" s="15">
        <v>52.0</v>
      </c>
      <c r="I657" s="15" t="s">
        <v>1628</v>
      </c>
      <c r="J657" s="15" t="s">
        <v>4153</v>
      </c>
      <c r="K657" s="15">
        <v>4.0</v>
      </c>
      <c r="L657" s="15">
        <v>4.0</v>
      </c>
      <c r="M657" s="40">
        <v>36387.0</v>
      </c>
      <c r="N657" s="40">
        <v>42577.0</v>
      </c>
      <c r="O657" s="15" t="s">
        <v>1554</v>
      </c>
      <c r="Q657" s="7"/>
    </row>
    <row r="658">
      <c r="A658" s="39" t="s">
        <v>4154</v>
      </c>
      <c r="B658" s="15">
        <v>205874.0</v>
      </c>
      <c r="C658" s="15" t="s">
        <v>4155</v>
      </c>
      <c r="D658" s="15">
        <v>14304.0</v>
      </c>
      <c r="E658" s="15" t="s">
        <v>1557</v>
      </c>
      <c r="F658" s="15" t="s">
        <v>1833</v>
      </c>
      <c r="G658" s="7">
        <v>67.48</v>
      </c>
      <c r="H658" s="15">
        <v>69.0</v>
      </c>
      <c r="I658" s="15" t="s">
        <v>1586</v>
      </c>
      <c r="J658" s="15" t="s">
        <v>4156</v>
      </c>
      <c r="K658" s="15">
        <v>90.0</v>
      </c>
      <c r="L658" s="15">
        <v>90.0</v>
      </c>
      <c r="M658" s="40">
        <v>37712.0</v>
      </c>
      <c r="N658" s="40">
        <v>39939.0</v>
      </c>
      <c r="O658" s="15" t="s">
        <v>1554</v>
      </c>
      <c r="Q658" s="7"/>
    </row>
    <row r="659">
      <c r="A659" s="39" t="s">
        <v>4157</v>
      </c>
      <c r="B659" s="15">
        <v>242861.0</v>
      </c>
      <c r="C659" s="15" t="s">
        <v>4158</v>
      </c>
      <c r="D659" s="15">
        <v>14305.0</v>
      </c>
      <c r="E659" s="15" t="s">
        <v>1557</v>
      </c>
      <c r="F659" s="15" t="s">
        <v>1833</v>
      </c>
      <c r="G659" s="7">
        <v>57.455</v>
      </c>
      <c r="H659" s="15" t="s">
        <v>4160</v>
      </c>
      <c r="I659" s="15" t="s">
        <v>1586</v>
      </c>
      <c r="J659" s="15" t="s">
        <v>4161</v>
      </c>
      <c r="K659" s="15">
        <v>73.0</v>
      </c>
      <c r="L659" s="15">
        <v>73.0</v>
      </c>
      <c r="M659" s="40">
        <v>37865.0</v>
      </c>
      <c r="N659" s="41">
        <v>39436.0</v>
      </c>
      <c r="O659" s="15" t="s">
        <v>1554</v>
      </c>
      <c r="Q659" s="7"/>
    </row>
    <row r="660">
      <c r="A660" s="39" t="s">
        <v>4162</v>
      </c>
      <c r="B660" s="15">
        <v>247080.0</v>
      </c>
      <c r="C660" s="15" t="s">
        <v>4163</v>
      </c>
      <c r="D660" s="15">
        <v>14307.0</v>
      </c>
      <c r="E660" s="15" t="s">
        <v>1808</v>
      </c>
      <c r="F660" s="15" t="s">
        <v>2969</v>
      </c>
      <c r="G660" s="7">
        <v>7.118</v>
      </c>
      <c r="H660" s="15">
        <v>57.0</v>
      </c>
      <c r="I660" s="15" t="s">
        <v>1586</v>
      </c>
      <c r="J660" s="15" t="s">
        <v>4164</v>
      </c>
      <c r="K660" s="15">
        <v>9.0</v>
      </c>
      <c r="L660" s="15">
        <v>9.0</v>
      </c>
      <c r="M660" s="40">
        <v>37900.0</v>
      </c>
      <c r="N660" s="41">
        <v>39435.0</v>
      </c>
      <c r="O660" s="15" t="s">
        <v>1554</v>
      </c>
      <c r="Q660" s="7"/>
    </row>
    <row r="661">
      <c r="A661" s="39" t="s">
        <v>4165</v>
      </c>
      <c r="B661" s="15">
        <v>136084.0</v>
      </c>
      <c r="C661" s="15" t="s">
        <v>4166</v>
      </c>
      <c r="D661" s="15">
        <v>14308.0</v>
      </c>
      <c r="E661" s="15" t="s">
        <v>1557</v>
      </c>
      <c r="F661" s="15" t="s">
        <v>1611</v>
      </c>
      <c r="G661" s="7">
        <v>39.898</v>
      </c>
      <c r="H661" s="15" t="s">
        <v>1720</v>
      </c>
      <c r="I661" s="15" t="s">
        <v>1586</v>
      </c>
      <c r="J661" s="15" t="s">
        <v>4168</v>
      </c>
      <c r="K661" s="15">
        <v>32.0</v>
      </c>
      <c r="L661" s="15">
        <v>32.0</v>
      </c>
      <c r="M661" s="40">
        <v>36768.0</v>
      </c>
      <c r="N661" s="40">
        <v>42577.0</v>
      </c>
      <c r="O661" s="15" t="s">
        <v>1554</v>
      </c>
      <c r="Q661" s="7"/>
    </row>
    <row r="662">
      <c r="A662" s="39" t="s">
        <v>4169</v>
      </c>
      <c r="B662" s="15">
        <v>205877.0</v>
      </c>
      <c r="C662" s="15" t="s">
        <v>4170</v>
      </c>
      <c r="D662" s="15">
        <v>14309.0</v>
      </c>
      <c r="E662" s="15" t="s">
        <v>1557</v>
      </c>
      <c r="F662" s="15" t="s">
        <v>1767</v>
      </c>
      <c r="G662" s="7">
        <v>156.102</v>
      </c>
      <c r="H662" s="15" t="s">
        <v>4171</v>
      </c>
      <c r="I662" s="15" t="s">
        <v>1586</v>
      </c>
      <c r="J662" s="15" t="s">
        <v>4172</v>
      </c>
      <c r="K662" s="15">
        <v>253.0</v>
      </c>
      <c r="L662" s="15">
        <v>225.0</v>
      </c>
      <c r="M662" s="40">
        <v>37712.0</v>
      </c>
      <c r="N662" s="40">
        <v>39730.0</v>
      </c>
      <c r="O662" s="15" t="s">
        <v>1554</v>
      </c>
      <c r="Q662" s="7"/>
    </row>
    <row r="663">
      <c r="A663" s="39" t="s">
        <v>4173</v>
      </c>
      <c r="B663" s="15">
        <v>194949.0</v>
      </c>
      <c r="C663" s="15" t="s">
        <v>4174</v>
      </c>
      <c r="D663" s="15">
        <v>14310.0</v>
      </c>
      <c r="E663" s="15" t="s">
        <v>1557</v>
      </c>
      <c r="F663" s="15" t="s">
        <v>1611</v>
      </c>
      <c r="G663" s="7">
        <v>62.706</v>
      </c>
      <c r="H663" s="15" t="s">
        <v>3836</v>
      </c>
      <c r="I663" s="15" t="s">
        <v>1586</v>
      </c>
      <c r="J663" s="15" t="s">
        <v>4175</v>
      </c>
      <c r="K663" s="15">
        <v>169.0</v>
      </c>
      <c r="L663" s="15">
        <v>170.0</v>
      </c>
      <c r="M663" s="40">
        <v>37792.0</v>
      </c>
      <c r="N663" s="40">
        <v>42397.0</v>
      </c>
      <c r="O663" s="15" t="s">
        <v>1554</v>
      </c>
      <c r="Q663" s="7"/>
    </row>
    <row r="664">
      <c r="A664" s="39" t="s">
        <v>4177</v>
      </c>
      <c r="B664" s="15">
        <v>236750.0</v>
      </c>
      <c r="C664" s="15" t="s">
        <v>4178</v>
      </c>
      <c r="D664" s="15">
        <v>14311.0</v>
      </c>
      <c r="E664" s="15" t="s">
        <v>1557</v>
      </c>
      <c r="F664" s="15" t="s">
        <v>3844</v>
      </c>
      <c r="G664" s="7">
        <v>14.935</v>
      </c>
      <c r="H664" s="15" t="s">
        <v>3000</v>
      </c>
      <c r="I664" s="15" t="s">
        <v>1586</v>
      </c>
      <c r="J664" s="15" t="s">
        <v>4179</v>
      </c>
      <c r="K664" s="15">
        <v>32.0</v>
      </c>
      <c r="L664" s="15">
        <v>32.0</v>
      </c>
      <c r="M664" s="40">
        <v>37875.0</v>
      </c>
      <c r="N664" s="40">
        <v>39920.0</v>
      </c>
      <c r="O664" s="15" t="s">
        <v>1554</v>
      </c>
      <c r="Q664" s="7"/>
    </row>
    <row r="665">
      <c r="A665" s="39" t="s">
        <v>4180</v>
      </c>
      <c r="B665" s="15">
        <v>227470.0</v>
      </c>
      <c r="C665" s="15" t="s">
        <v>4181</v>
      </c>
      <c r="D665" s="15">
        <v>14312.0</v>
      </c>
      <c r="E665" s="15" t="s">
        <v>1557</v>
      </c>
      <c r="F665" s="15" t="s">
        <v>1767</v>
      </c>
      <c r="G665" s="7">
        <v>233.234</v>
      </c>
      <c r="H665" s="15" t="s">
        <v>3255</v>
      </c>
      <c r="I665" s="15" t="s">
        <v>1586</v>
      </c>
      <c r="J665" s="15" t="s">
        <v>4182</v>
      </c>
      <c r="K665" s="15">
        <v>375.0</v>
      </c>
      <c r="L665" s="15">
        <v>352.0</v>
      </c>
      <c r="M665" s="40">
        <v>37741.0</v>
      </c>
      <c r="N665" s="40">
        <v>40263.0</v>
      </c>
      <c r="O665" s="15" t="s">
        <v>1554</v>
      </c>
      <c r="Q665" s="7"/>
    </row>
    <row r="666">
      <c r="A666" s="39" t="s">
        <v>4184</v>
      </c>
      <c r="B666" s="15">
        <v>35244.0</v>
      </c>
      <c r="C666" s="15" t="s">
        <v>4185</v>
      </c>
      <c r="D666" s="15">
        <v>14313.0</v>
      </c>
      <c r="E666" s="15" t="s">
        <v>1557</v>
      </c>
      <c r="F666" s="15" t="s">
        <v>1827</v>
      </c>
      <c r="G666" s="7">
        <v>137.821</v>
      </c>
      <c r="H666" s="15" t="s">
        <v>4186</v>
      </c>
      <c r="I666" s="15" t="s">
        <v>1686</v>
      </c>
      <c r="J666" s="15" t="s">
        <v>4187</v>
      </c>
      <c r="K666" s="15">
        <v>70.0</v>
      </c>
      <c r="L666" s="15">
        <v>70.0</v>
      </c>
      <c r="M666" s="40">
        <v>37877.0</v>
      </c>
      <c r="N666" s="40">
        <v>40611.0</v>
      </c>
      <c r="O666" s="15" t="s">
        <v>1554</v>
      </c>
      <c r="Q666" s="7"/>
    </row>
    <row r="667">
      <c r="A667" s="39" t="s">
        <v>4188</v>
      </c>
      <c r="B667" s="15">
        <v>50294.0</v>
      </c>
      <c r="C667" s="15" t="s">
        <v>4189</v>
      </c>
      <c r="D667" s="15">
        <v>14314.0</v>
      </c>
      <c r="E667" s="15" t="s">
        <v>1557</v>
      </c>
      <c r="F667" s="15" t="s">
        <v>1827</v>
      </c>
      <c r="G667" s="7">
        <v>163.025</v>
      </c>
      <c r="H667" s="15" t="s">
        <v>4190</v>
      </c>
      <c r="I667" s="15" t="s">
        <v>1686</v>
      </c>
      <c r="J667" s="15" t="s">
        <v>4191</v>
      </c>
      <c r="K667" s="15">
        <v>77.0</v>
      </c>
      <c r="L667" s="15">
        <v>77.0</v>
      </c>
      <c r="M667" s="40">
        <v>37877.0</v>
      </c>
      <c r="N667" s="40">
        <v>40291.0</v>
      </c>
      <c r="O667" s="15" t="s">
        <v>1554</v>
      </c>
      <c r="Q667" s="7"/>
    </row>
    <row r="668">
      <c r="A668" s="39" t="s">
        <v>4192</v>
      </c>
      <c r="B668" s="15">
        <v>52979.0</v>
      </c>
      <c r="C668" s="15" t="s">
        <v>4193</v>
      </c>
      <c r="D668" s="15">
        <v>14315.0</v>
      </c>
      <c r="E668" s="15" t="s">
        <v>1557</v>
      </c>
      <c r="F668" s="15" t="s">
        <v>1833</v>
      </c>
      <c r="G668" s="7">
        <v>42.259</v>
      </c>
      <c r="H668" s="15" t="s">
        <v>2648</v>
      </c>
      <c r="I668" s="15" t="s">
        <v>1586</v>
      </c>
      <c r="J668" s="15" t="s">
        <v>4195</v>
      </c>
      <c r="K668" s="15">
        <v>60.0</v>
      </c>
      <c r="L668" s="15">
        <v>60.0</v>
      </c>
      <c r="M668" s="40">
        <v>35523.0</v>
      </c>
      <c r="N668" s="40">
        <v>42045.0</v>
      </c>
      <c r="O668" s="15" t="s">
        <v>1554</v>
      </c>
      <c r="Q668" s="7"/>
    </row>
    <row r="669">
      <c r="A669" s="39" t="s">
        <v>4196</v>
      </c>
      <c r="B669" s="15">
        <v>194802.0</v>
      </c>
      <c r="C669" s="15" t="s">
        <v>4197</v>
      </c>
      <c r="D669" s="15">
        <v>14316.0</v>
      </c>
      <c r="E669" s="15" t="s">
        <v>1557</v>
      </c>
      <c r="F669" s="15" t="s">
        <v>1611</v>
      </c>
      <c r="G669" s="7">
        <v>46.012</v>
      </c>
      <c r="H669" s="15" t="s">
        <v>1772</v>
      </c>
      <c r="I669" s="15" t="s">
        <v>1586</v>
      </c>
      <c r="J669" s="15" t="s">
        <v>4198</v>
      </c>
      <c r="K669" s="15">
        <v>67.0</v>
      </c>
      <c r="L669" s="15">
        <v>67.0</v>
      </c>
      <c r="M669" s="40">
        <v>37397.0</v>
      </c>
      <c r="N669" s="40">
        <v>40521.0</v>
      </c>
      <c r="O669" s="15" t="s">
        <v>1554</v>
      </c>
      <c r="Q669" s="7"/>
    </row>
    <row r="670">
      <c r="A670" s="39" t="s">
        <v>4199</v>
      </c>
      <c r="B670" s="15">
        <v>244590.0</v>
      </c>
      <c r="C670" s="15" t="s">
        <v>4200</v>
      </c>
      <c r="D670" s="15">
        <v>14317.0</v>
      </c>
      <c r="E670" s="15" t="s">
        <v>1557</v>
      </c>
      <c r="F670" s="15" t="s">
        <v>3164</v>
      </c>
      <c r="G670" s="7">
        <v>14.796</v>
      </c>
      <c r="H670" s="15" t="s">
        <v>1823</v>
      </c>
      <c r="I670" s="15" t="s">
        <v>1618</v>
      </c>
      <c r="J670" s="15" t="s">
        <v>4201</v>
      </c>
      <c r="K670" s="15">
        <v>34.0</v>
      </c>
      <c r="L670" s="15">
        <v>34.0</v>
      </c>
      <c r="M670" s="40">
        <v>37874.0</v>
      </c>
      <c r="N670" s="40">
        <v>39939.0</v>
      </c>
      <c r="O670" s="15" t="s">
        <v>1554</v>
      </c>
      <c r="Q670" s="7"/>
    </row>
    <row r="671">
      <c r="A671" s="39" t="s">
        <v>4202</v>
      </c>
      <c r="B671" s="15">
        <v>46350.0</v>
      </c>
      <c r="C671" s="15" t="s">
        <v>4203</v>
      </c>
      <c r="D671" s="15">
        <v>14319.0</v>
      </c>
      <c r="E671" s="15" t="s">
        <v>1808</v>
      </c>
      <c r="F671" s="15" t="s">
        <v>2436</v>
      </c>
      <c r="G671" s="7">
        <v>4.726</v>
      </c>
      <c r="H671" s="15" t="s">
        <v>4204</v>
      </c>
      <c r="I671" s="15" t="s">
        <v>1567</v>
      </c>
      <c r="J671" s="15" t="s">
        <v>4205</v>
      </c>
      <c r="K671" s="15">
        <v>2.0</v>
      </c>
      <c r="L671" s="15">
        <v>2.0</v>
      </c>
      <c r="M671" s="40">
        <v>35257.0</v>
      </c>
      <c r="N671" s="40">
        <v>40357.0</v>
      </c>
      <c r="O671" s="15" t="s">
        <v>1554</v>
      </c>
      <c r="Q671" s="7"/>
    </row>
    <row r="672">
      <c r="A672" s="39" t="s">
        <v>4206</v>
      </c>
      <c r="B672" s="15">
        <v>220638.0</v>
      </c>
      <c r="C672" s="15" t="s">
        <v>4207</v>
      </c>
      <c r="D672" s="15">
        <v>14320.0</v>
      </c>
      <c r="E672" s="15" t="s">
        <v>1808</v>
      </c>
      <c r="F672" s="15" t="s">
        <v>2436</v>
      </c>
      <c r="G672" s="7">
        <v>5.335</v>
      </c>
      <c r="H672" s="15" t="s">
        <v>1602</v>
      </c>
      <c r="I672" s="15" t="s">
        <v>1560</v>
      </c>
      <c r="J672" s="15" t="s">
        <v>4209</v>
      </c>
      <c r="K672" s="15">
        <v>5.0</v>
      </c>
      <c r="L672" s="15">
        <v>5.0</v>
      </c>
      <c r="M672" s="40">
        <v>37668.0</v>
      </c>
      <c r="N672" s="40">
        <v>42914.0</v>
      </c>
      <c r="O672" s="15" t="s">
        <v>1554</v>
      </c>
      <c r="Q672" s="7"/>
    </row>
    <row r="673">
      <c r="A673" s="39" t="s">
        <v>4210</v>
      </c>
      <c r="B673" s="15">
        <v>115987.0</v>
      </c>
      <c r="C673" s="15" t="s">
        <v>4211</v>
      </c>
      <c r="D673" s="15">
        <v>14321.0</v>
      </c>
      <c r="E673" s="15" t="s">
        <v>1557</v>
      </c>
      <c r="F673" s="15" t="s">
        <v>1767</v>
      </c>
      <c r="G673" s="7">
        <v>173.591</v>
      </c>
      <c r="H673" s="15" t="s">
        <v>1613</v>
      </c>
      <c r="I673" s="15" t="s">
        <v>1586</v>
      </c>
      <c r="J673" s="15" t="s">
        <v>4212</v>
      </c>
      <c r="K673" s="15">
        <v>269.0</v>
      </c>
      <c r="L673" s="15">
        <v>252.0</v>
      </c>
      <c r="M673" s="40">
        <v>37884.0</v>
      </c>
      <c r="N673" s="40">
        <v>41528.0</v>
      </c>
      <c r="O673" s="15" t="s">
        <v>1554</v>
      </c>
      <c r="Q673" s="7"/>
    </row>
    <row r="674">
      <c r="A674" s="39" t="s">
        <v>4213</v>
      </c>
      <c r="B674" s="15">
        <v>188350.0</v>
      </c>
      <c r="C674" s="15" t="s">
        <v>4214</v>
      </c>
      <c r="D674" s="15">
        <v>14322.0</v>
      </c>
      <c r="E674" s="15" t="s">
        <v>1557</v>
      </c>
      <c r="F674" s="15" t="s">
        <v>1611</v>
      </c>
      <c r="G674" s="7">
        <v>45.503</v>
      </c>
      <c r="H674" s="15" t="s">
        <v>4215</v>
      </c>
      <c r="I674" s="15" t="s">
        <v>1586</v>
      </c>
      <c r="J674" s="15" t="s">
        <v>4216</v>
      </c>
      <c r="K674" s="15">
        <v>76.0</v>
      </c>
      <c r="L674" s="15">
        <v>72.0</v>
      </c>
      <c r="M674" s="41">
        <v>37620.0</v>
      </c>
      <c r="N674" s="41">
        <v>42660.0</v>
      </c>
      <c r="O674" s="15" t="s">
        <v>1554</v>
      </c>
      <c r="Q674" s="7"/>
    </row>
    <row r="675">
      <c r="A675" s="39" t="s">
        <v>4218</v>
      </c>
      <c r="B675" s="15">
        <v>77775.0</v>
      </c>
      <c r="C675" s="15" t="s">
        <v>4219</v>
      </c>
      <c r="D675" s="15">
        <v>14323.0</v>
      </c>
      <c r="E675" s="15" t="s">
        <v>1557</v>
      </c>
      <c r="F675" s="15" t="s">
        <v>1767</v>
      </c>
      <c r="G675" s="7">
        <v>86.155</v>
      </c>
      <c r="H675" s="15">
        <v>39.0</v>
      </c>
      <c r="I675" s="15" t="s">
        <v>1586</v>
      </c>
      <c r="J675" s="15" t="s">
        <v>4220</v>
      </c>
      <c r="K675" s="15">
        <v>153.0</v>
      </c>
      <c r="L675" s="15">
        <v>131.0</v>
      </c>
      <c r="M675" s="41">
        <v>37955.0</v>
      </c>
      <c r="N675" s="40">
        <v>42045.0</v>
      </c>
      <c r="O675" s="15" t="s">
        <v>1554</v>
      </c>
      <c r="Q675" s="7"/>
    </row>
    <row r="676">
      <c r="A676" s="39" t="s">
        <v>4221</v>
      </c>
      <c r="B676" s="15">
        <v>106331.0</v>
      </c>
      <c r="C676" s="15" t="s">
        <v>4222</v>
      </c>
      <c r="D676" s="15">
        <v>14324.0</v>
      </c>
      <c r="E676" s="15" t="s">
        <v>1557</v>
      </c>
      <c r="F676" s="15" t="s">
        <v>1827</v>
      </c>
      <c r="G676" s="7">
        <v>149.696</v>
      </c>
      <c r="H676" s="15" t="s">
        <v>3798</v>
      </c>
      <c r="I676" s="15" t="s">
        <v>1686</v>
      </c>
      <c r="J676" s="15" t="s">
        <v>4223</v>
      </c>
      <c r="K676" s="15">
        <v>73.0</v>
      </c>
      <c r="L676" s="15">
        <v>72.0</v>
      </c>
      <c r="M676" s="40">
        <v>37000.0</v>
      </c>
      <c r="N676" s="40">
        <v>42458.0</v>
      </c>
      <c r="O676" s="15" t="s">
        <v>1554</v>
      </c>
      <c r="Q676" s="7"/>
    </row>
    <row r="677">
      <c r="A677" s="39" t="s">
        <v>4225</v>
      </c>
      <c r="B677" s="15">
        <v>35258.0</v>
      </c>
      <c r="C677" s="15" t="s">
        <v>4226</v>
      </c>
      <c r="D677" s="15">
        <v>14326.0</v>
      </c>
      <c r="E677" s="15" t="s">
        <v>1557</v>
      </c>
      <c r="F677" s="15" t="s">
        <v>1822</v>
      </c>
      <c r="G677" s="7">
        <v>8.607</v>
      </c>
      <c r="H677" s="15" t="s">
        <v>2118</v>
      </c>
      <c r="I677" s="15" t="s">
        <v>1686</v>
      </c>
      <c r="J677" s="15" t="s">
        <v>4227</v>
      </c>
      <c r="K677" s="15">
        <v>7.0</v>
      </c>
      <c r="L677" s="15">
        <v>7.0</v>
      </c>
      <c r="M677" s="40">
        <v>34865.0</v>
      </c>
      <c r="N677" s="40">
        <v>42510.0</v>
      </c>
      <c r="O677" s="15" t="s">
        <v>1554</v>
      </c>
      <c r="Q677" s="7"/>
    </row>
    <row r="678">
      <c r="A678" s="39" t="s">
        <v>4228</v>
      </c>
      <c r="B678" s="15">
        <v>40539.0</v>
      </c>
      <c r="C678" s="15" t="s">
        <v>4229</v>
      </c>
      <c r="D678" s="15">
        <v>14327.0</v>
      </c>
      <c r="E678" s="15" t="s">
        <v>1557</v>
      </c>
      <c r="F678" s="15" t="s">
        <v>1822</v>
      </c>
      <c r="G678" s="7">
        <v>7.184</v>
      </c>
      <c r="H678" s="15" t="s">
        <v>3309</v>
      </c>
      <c r="I678" s="15" t="s">
        <v>1686</v>
      </c>
      <c r="J678" s="15" t="s">
        <v>4230</v>
      </c>
      <c r="K678" s="15">
        <v>7.0</v>
      </c>
      <c r="L678" s="15">
        <v>7.0</v>
      </c>
      <c r="M678" s="41">
        <v>34989.0</v>
      </c>
      <c r="N678" s="40">
        <v>41110.0</v>
      </c>
      <c r="O678" s="15" t="s">
        <v>1554</v>
      </c>
      <c r="Q678" s="7"/>
    </row>
    <row r="679">
      <c r="A679" s="39" t="s">
        <v>4231</v>
      </c>
      <c r="B679" s="15">
        <v>10280.0</v>
      </c>
      <c r="C679" s="15" t="s">
        <v>4232</v>
      </c>
      <c r="D679" s="15">
        <v>14328.0</v>
      </c>
      <c r="E679" s="15" t="s">
        <v>1557</v>
      </c>
      <c r="F679" s="15" t="s">
        <v>2028</v>
      </c>
      <c r="G679" s="7">
        <v>190.289</v>
      </c>
      <c r="H679" s="15" t="s">
        <v>2831</v>
      </c>
      <c r="I679" s="15" t="s">
        <v>1567</v>
      </c>
      <c r="J679" s="15" t="s">
        <v>4234</v>
      </c>
      <c r="K679" s="15">
        <v>163.0</v>
      </c>
      <c r="L679" s="15">
        <v>163.0</v>
      </c>
      <c r="M679" s="40">
        <v>35292.0</v>
      </c>
      <c r="N679" s="41">
        <v>40147.0</v>
      </c>
      <c r="O679" s="15" t="s">
        <v>1554</v>
      </c>
      <c r="Q679" s="7"/>
    </row>
    <row r="680">
      <c r="A680" s="39" t="s">
        <v>4235</v>
      </c>
      <c r="B680" s="15">
        <v>10862.0</v>
      </c>
      <c r="C680" s="15" t="s">
        <v>4236</v>
      </c>
      <c r="D680" s="15">
        <v>14329.0</v>
      </c>
      <c r="E680" s="15" t="s">
        <v>1808</v>
      </c>
      <c r="F680" s="15" t="s">
        <v>2969</v>
      </c>
      <c r="G680" s="7">
        <v>7.308</v>
      </c>
      <c r="H680" s="15" t="s">
        <v>4237</v>
      </c>
      <c r="I680" s="15" t="s">
        <v>1586</v>
      </c>
      <c r="J680" s="15" t="s">
        <v>4238</v>
      </c>
      <c r="K680" s="15">
        <v>9.0</v>
      </c>
      <c r="L680" s="15">
        <v>9.0</v>
      </c>
      <c r="M680" s="40">
        <v>33359.0</v>
      </c>
      <c r="N680" s="40">
        <v>42045.0</v>
      </c>
      <c r="O680" s="15" t="s">
        <v>1554</v>
      </c>
      <c r="Q680" s="7"/>
    </row>
    <row r="681">
      <c r="A681" s="39" t="s">
        <v>4239</v>
      </c>
      <c r="B681" s="15">
        <v>181604.0</v>
      </c>
      <c r="C681" s="15" t="s">
        <v>4240</v>
      </c>
      <c r="D681" s="15">
        <v>14337.0</v>
      </c>
      <c r="E681" s="15" t="s">
        <v>1808</v>
      </c>
      <c r="F681" s="15" t="s">
        <v>2969</v>
      </c>
      <c r="G681" s="7">
        <v>6.882</v>
      </c>
      <c r="H681" s="15" t="s">
        <v>2869</v>
      </c>
      <c r="I681" s="15" t="s">
        <v>1586</v>
      </c>
      <c r="J681" s="15" t="s">
        <v>4241</v>
      </c>
      <c r="K681" s="15">
        <v>14.0</v>
      </c>
      <c r="L681" s="15">
        <v>14.0</v>
      </c>
      <c r="M681" s="41">
        <v>37245.0</v>
      </c>
      <c r="N681" s="40">
        <v>39920.0</v>
      </c>
      <c r="O681" s="15" t="s">
        <v>1554</v>
      </c>
      <c r="Q681" s="7"/>
    </row>
    <row r="682">
      <c r="A682" s="39" t="s">
        <v>4242</v>
      </c>
      <c r="B682" s="15">
        <v>151537.0</v>
      </c>
      <c r="C682" s="15" t="s">
        <v>4243</v>
      </c>
      <c r="D682" s="15">
        <v>14338.0</v>
      </c>
      <c r="E682" s="15" t="s">
        <v>1557</v>
      </c>
      <c r="F682" s="15" t="s">
        <v>1833</v>
      </c>
      <c r="G682" s="7">
        <v>36.949</v>
      </c>
      <c r="H682" s="15" t="s">
        <v>3827</v>
      </c>
      <c r="I682" s="15" t="s">
        <v>1586</v>
      </c>
      <c r="J682" s="15" t="s">
        <v>4245</v>
      </c>
      <c r="K682" s="15">
        <v>56.0</v>
      </c>
      <c r="L682" s="15">
        <v>56.0</v>
      </c>
      <c r="M682" s="40">
        <v>36937.0</v>
      </c>
      <c r="N682" s="40">
        <v>42045.0</v>
      </c>
      <c r="O682" s="15" t="s">
        <v>1554</v>
      </c>
      <c r="Q682" s="7"/>
    </row>
    <row r="683">
      <c r="A683" s="39" t="s">
        <v>4246</v>
      </c>
      <c r="B683" s="15">
        <v>205876.0</v>
      </c>
      <c r="C683" s="15" t="s">
        <v>4247</v>
      </c>
      <c r="D683" s="15">
        <v>14339.0</v>
      </c>
      <c r="E683" s="15" t="s">
        <v>1557</v>
      </c>
      <c r="F683" s="15" t="s">
        <v>1833</v>
      </c>
      <c r="G683" s="7">
        <v>56.276</v>
      </c>
      <c r="H683" s="15" t="s">
        <v>4190</v>
      </c>
      <c r="I683" s="15" t="s">
        <v>1586</v>
      </c>
      <c r="J683" s="15" t="s">
        <v>4248</v>
      </c>
      <c r="K683" s="15">
        <v>111.0</v>
      </c>
      <c r="L683" s="15">
        <v>111.0</v>
      </c>
      <c r="M683" s="40">
        <v>37712.0</v>
      </c>
      <c r="N683" s="40">
        <v>39939.0</v>
      </c>
      <c r="O683" s="15" t="s">
        <v>1554</v>
      </c>
      <c r="Q683" s="7"/>
    </row>
    <row r="684">
      <c r="A684" s="39" t="s">
        <v>4249</v>
      </c>
      <c r="B684" s="15">
        <v>44088.0</v>
      </c>
      <c r="C684" s="15" t="s">
        <v>4250</v>
      </c>
      <c r="D684" s="15">
        <v>14340.0</v>
      </c>
      <c r="E684" s="15" t="s">
        <v>1557</v>
      </c>
      <c r="F684" s="15" t="s">
        <v>2028</v>
      </c>
      <c r="G684" s="7">
        <v>359.853</v>
      </c>
      <c r="H684" s="42">
        <v>43220.0</v>
      </c>
      <c r="I684" s="15" t="s">
        <v>1686</v>
      </c>
      <c r="J684" s="15" t="s">
        <v>4252</v>
      </c>
      <c r="K684" s="15">
        <v>328.0</v>
      </c>
      <c r="L684" s="15">
        <v>328.0</v>
      </c>
      <c r="M684" s="41">
        <v>37979.0</v>
      </c>
      <c r="N684" s="41">
        <v>41236.0</v>
      </c>
      <c r="O684" s="15" t="s">
        <v>1554</v>
      </c>
      <c r="Q684" s="7"/>
    </row>
    <row r="685">
      <c r="A685" s="39" t="s">
        <v>4253</v>
      </c>
      <c r="B685" s="15">
        <v>269060.0</v>
      </c>
      <c r="C685" s="15" t="s">
        <v>4254</v>
      </c>
      <c r="D685" s="15">
        <v>14341.0</v>
      </c>
      <c r="E685" s="15" t="s">
        <v>1808</v>
      </c>
      <c r="F685" s="15" t="s">
        <v>1809</v>
      </c>
      <c r="G685" s="7">
        <v>2.746</v>
      </c>
      <c r="H685" s="15" t="s">
        <v>3066</v>
      </c>
      <c r="I685" s="15" t="s">
        <v>1628</v>
      </c>
      <c r="J685" s="15" t="s">
        <v>4255</v>
      </c>
      <c r="K685" s="15">
        <v>6.0</v>
      </c>
      <c r="L685" s="15">
        <v>6.0</v>
      </c>
      <c r="M685" s="40">
        <v>37991.0</v>
      </c>
      <c r="N685" s="40">
        <v>39790.0</v>
      </c>
      <c r="O685" s="15" t="s">
        <v>1554</v>
      </c>
      <c r="Q685" s="7"/>
    </row>
    <row r="686">
      <c r="A686" s="39" t="s">
        <v>4256</v>
      </c>
      <c r="B686" s="15">
        <v>269303.0</v>
      </c>
      <c r="C686" s="15" t="s">
        <v>4257</v>
      </c>
      <c r="D686" s="15">
        <v>14342.0</v>
      </c>
      <c r="E686" s="15" t="s">
        <v>1808</v>
      </c>
      <c r="F686" s="15" t="s">
        <v>1809</v>
      </c>
      <c r="G686" s="7">
        <v>2.738</v>
      </c>
      <c r="H686" s="15" t="s">
        <v>1813</v>
      </c>
      <c r="I686" s="15" t="s">
        <v>1628</v>
      </c>
      <c r="J686" s="15" t="s">
        <v>4258</v>
      </c>
      <c r="K686" s="15">
        <v>6.0</v>
      </c>
      <c r="L686" s="15">
        <v>6.0</v>
      </c>
      <c r="M686" s="40">
        <v>37991.0</v>
      </c>
      <c r="N686" s="40">
        <v>39791.0</v>
      </c>
      <c r="O686" s="15" t="s">
        <v>1554</v>
      </c>
      <c r="Q686" s="7"/>
    </row>
    <row r="687">
      <c r="A687" s="39" t="s">
        <v>4260</v>
      </c>
      <c r="B687" s="15">
        <v>228897.0</v>
      </c>
      <c r="C687" s="15" t="s">
        <v>4261</v>
      </c>
      <c r="D687" s="15">
        <v>14343.0</v>
      </c>
      <c r="E687" s="15" t="s">
        <v>1808</v>
      </c>
      <c r="F687" s="15" t="s">
        <v>1809</v>
      </c>
      <c r="G687" s="7">
        <v>5.331</v>
      </c>
      <c r="H687" s="15" t="s">
        <v>4262</v>
      </c>
      <c r="I687" s="15" t="s">
        <v>1628</v>
      </c>
      <c r="J687" s="15" t="s">
        <v>4263</v>
      </c>
      <c r="K687" s="15">
        <v>7.0</v>
      </c>
      <c r="L687" s="15">
        <v>7.0</v>
      </c>
      <c r="M687" s="40">
        <v>37991.0</v>
      </c>
      <c r="N687" s="41">
        <v>42297.0</v>
      </c>
      <c r="O687" s="15" t="s">
        <v>1554</v>
      </c>
      <c r="Q687" s="7"/>
    </row>
    <row r="688">
      <c r="A688" s="39" t="s">
        <v>4264</v>
      </c>
      <c r="B688" s="15">
        <v>333968.0</v>
      </c>
      <c r="C688" s="15" t="s">
        <v>4265</v>
      </c>
      <c r="D688" s="15">
        <v>14344.0</v>
      </c>
      <c r="E688" s="15" t="s">
        <v>1808</v>
      </c>
      <c r="F688" s="15" t="s">
        <v>1809</v>
      </c>
      <c r="G688" s="7">
        <v>5.494</v>
      </c>
      <c r="H688" s="15" t="s">
        <v>4266</v>
      </c>
      <c r="I688" s="15" t="s">
        <v>1628</v>
      </c>
      <c r="J688" s="15" t="s">
        <v>4267</v>
      </c>
      <c r="K688" s="15">
        <v>8.0</v>
      </c>
      <c r="L688" s="15">
        <v>8.0</v>
      </c>
      <c r="M688" s="40">
        <v>38007.0</v>
      </c>
      <c r="N688" s="40">
        <v>41775.0</v>
      </c>
      <c r="O688" s="15" t="s">
        <v>1554</v>
      </c>
      <c r="Q688" s="7"/>
    </row>
    <row r="689">
      <c r="A689" s="39" t="s">
        <v>4268</v>
      </c>
      <c r="B689" s="15">
        <v>12407.0</v>
      </c>
      <c r="C689" s="15" t="s">
        <v>4269</v>
      </c>
      <c r="D689" s="15">
        <v>14345.0</v>
      </c>
      <c r="E689" s="15" t="s">
        <v>1557</v>
      </c>
      <c r="F689" s="15" t="s">
        <v>1767</v>
      </c>
      <c r="G689" s="7">
        <v>30.636</v>
      </c>
      <c r="H689" s="15" t="s">
        <v>2300</v>
      </c>
      <c r="I689" s="15" t="s">
        <v>1586</v>
      </c>
      <c r="J689" s="15" t="s">
        <v>4270</v>
      </c>
      <c r="K689" s="15">
        <v>42.0</v>
      </c>
      <c r="L689" s="15">
        <v>42.0</v>
      </c>
      <c r="M689" s="41">
        <v>37955.0</v>
      </c>
      <c r="N689" s="40">
        <v>40263.0</v>
      </c>
      <c r="O689" s="15" t="s">
        <v>1554</v>
      </c>
      <c r="Q689" s="7"/>
    </row>
    <row r="690">
      <c r="A690" s="39" t="s">
        <v>4271</v>
      </c>
      <c r="B690" s="15">
        <v>185636.0</v>
      </c>
      <c r="C690" s="15" t="s">
        <v>4272</v>
      </c>
      <c r="D690" s="15">
        <v>14346.0</v>
      </c>
      <c r="E690" s="15" t="s">
        <v>1808</v>
      </c>
      <c r="F690" s="15" t="s">
        <v>2436</v>
      </c>
      <c r="G690" s="7">
        <v>6.034</v>
      </c>
      <c r="H690" s="15" t="s">
        <v>2193</v>
      </c>
      <c r="I690" s="15" t="s">
        <v>1560</v>
      </c>
      <c r="J690" s="15" t="s">
        <v>4273</v>
      </c>
      <c r="K690" s="15">
        <v>2.0</v>
      </c>
      <c r="L690" s="15">
        <v>7.0</v>
      </c>
      <c r="M690" s="41">
        <v>37971.0</v>
      </c>
      <c r="N690" s="40">
        <v>40401.0</v>
      </c>
      <c r="O690" s="15" t="s">
        <v>1554</v>
      </c>
      <c r="Q690" s="7"/>
    </row>
    <row r="691">
      <c r="A691" s="39" t="s">
        <v>4274</v>
      </c>
      <c r="B691" s="15">
        <v>260378.0</v>
      </c>
      <c r="C691" s="15" t="s">
        <v>4275</v>
      </c>
      <c r="D691" s="15">
        <v>14348.0</v>
      </c>
      <c r="E691" s="15" t="s">
        <v>1808</v>
      </c>
      <c r="F691" s="15" t="s">
        <v>1809</v>
      </c>
      <c r="G691" s="7">
        <v>2.786</v>
      </c>
      <c r="H691" s="15" t="s">
        <v>2064</v>
      </c>
      <c r="I691" s="15" t="s">
        <v>1628</v>
      </c>
      <c r="J691" s="15" t="s">
        <v>4276</v>
      </c>
      <c r="K691" s="15">
        <v>6.0</v>
      </c>
      <c r="L691" s="15">
        <v>6.0</v>
      </c>
      <c r="M691" s="40">
        <v>37999.0</v>
      </c>
      <c r="N691" s="40">
        <v>39790.0</v>
      </c>
      <c r="O691" s="15" t="s">
        <v>1554</v>
      </c>
      <c r="Q691" s="7"/>
    </row>
    <row r="692">
      <c r="A692" s="39" t="s">
        <v>4278</v>
      </c>
      <c r="B692" s="15">
        <v>260379.0</v>
      </c>
      <c r="C692" s="15" t="s">
        <v>4279</v>
      </c>
      <c r="D692" s="15">
        <v>14349.0</v>
      </c>
      <c r="E692" s="15" t="s">
        <v>1808</v>
      </c>
      <c r="F692" s="15" t="s">
        <v>1809</v>
      </c>
      <c r="G692" s="7">
        <v>2.773</v>
      </c>
      <c r="H692" s="15" t="s">
        <v>1849</v>
      </c>
      <c r="I692" s="15" t="s">
        <v>1628</v>
      </c>
      <c r="J692" s="15" t="s">
        <v>4280</v>
      </c>
      <c r="K692" s="15">
        <v>6.0</v>
      </c>
      <c r="L692" s="15">
        <v>6.0</v>
      </c>
      <c r="M692" s="40">
        <v>37999.0</v>
      </c>
      <c r="N692" s="40">
        <v>40352.0</v>
      </c>
      <c r="O692" s="15" t="s">
        <v>1554</v>
      </c>
      <c r="Q692" s="7"/>
    </row>
    <row r="693">
      <c r="A693" s="39" t="s">
        <v>4281</v>
      </c>
      <c r="B693" s="15">
        <v>139872.0</v>
      </c>
      <c r="C693" s="15" t="s">
        <v>4282</v>
      </c>
      <c r="D693" s="15">
        <v>14350.0</v>
      </c>
      <c r="E693" s="15" t="s">
        <v>1557</v>
      </c>
      <c r="F693" s="15" t="s">
        <v>1833</v>
      </c>
      <c r="G693" s="7">
        <v>38.384</v>
      </c>
      <c r="H693" s="15" t="s">
        <v>4283</v>
      </c>
      <c r="I693" s="15" t="s">
        <v>1586</v>
      </c>
      <c r="J693" s="15" t="s">
        <v>4284</v>
      </c>
      <c r="K693" s="15">
        <v>50.0</v>
      </c>
      <c r="L693" s="15">
        <v>50.0</v>
      </c>
      <c r="M693" s="41">
        <v>37965.0</v>
      </c>
      <c r="N693" s="40">
        <v>39939.0</v>
      </c>
      <c r="O693" s="15" t="s">
        <v>1554</v>
      </c>
      <c r="Q693" s="7"/>
    </row>
    <row r="694">
      <c r="A694" s="39" t="s">
        <v>4285</v>
      </c>
      <c r="B694" s="15">
        <v>139870.0</v>
      </c>
      <c r="C694" s="15" t="s">
        <v>4286</v>
      </c>
      <c r="D694" s="15">
        <v>14351.0</v>
      </c>
      <c r="E694" s="15" t="s">
        <v>1557</v>
      </c>
      <c r="F694" s="15" t="s">
        <v>1833</v>
      </c>
      <c r="G694" s="7">
        <v>40.19</v>
      </c>
      <c r="H694" s="15" t="s">
        <v>4287</v>
      </c>
      <c r="I694" s="15" t="s">
        <v>1586</v>
      </c>
      <c r="J694" s="15" t="s">
        <v>4288</v>
      </c>
      <c r="K694" s="15">
        <v>46.0</v>
      </c>
      <c r="L694" s="15">
        <v>46.0</v>
      </c>
      <c r="M694" s="41">
        <v>37965.0</v>
      </c>
      <c r="N694" s="40">
        <v>39939.0</v>
      </c>
      <c r="O694" s="15" t="s">
        <v>1554</v>
      </c>
      <c r="Q694" s="7"/>
    </row>
    <row r="695">
      <c r="A695" s="39" t="s">
        <v>4290</v>
      </c>
      <c r="B695" s="15">
        <v>259901.0</v>
      </c>
      <c r="C695" s="15" t="s">
        <v>4291</v>
      </c>
      <c r="D695" s="15">
        <v>14352.0</v>
      </c>
      <c r="E695" s="15" t="s">
        <v>1557</v>
      </c>
      <c r="F695" s="15" t="s">
        <v>1833</v>
      </c>
      <c r="G695" s="7">
        <v>41.708</v>
      </c>
      <c r="H695" s="15" t="s">
        <v>2219</v>
      </c>
      <c r="I695" s="15" t="s">
        <v>1586</v>
      </c>
      <c r="J695" s="15" t="s">
        <v>4292</v>
      </c>
      <c r="K695" s="15">
        <v>69.0</v>
      </c>
      <c r="L695" s="15">
        <v>69.0</v>
      </c>
      <c r="M695" s="40">
        <v>37997.0</v>
      </c>
      <c r="N695" s="40">
        <v>39939.0</v>
      </c>
      <c r="O695" s="15" t="s">
        <v>1554</v>
      </c>
      <c r="Q695" s="7"/>
    </row>
    <row r="696">
      <c r="A696" s="39" t="s">
        <v>4293</v>
      </c>
      <c r="B696" s="15">
        <v>194699.0</v>
      </c>
      <c r="C696" s="15" t="s">
        <v>4294</v>
      </c>
      <c r="D696" s="15">
        <v>14353.0</v>
      </c>
      <c r="E696" s="15" t="s">
        <v>1557</v>
      </c>
      <c r="F696" s="15" t="s">
        <v>1611</v>
      </c>
      <c r="G696" s="7">
        <v>42.493</v>
      </c>
      <c r="H696" s="15" t="s">
        <v>4100</v>
      </c>
      <c r="I696" s="15" t="s">
        <v>1586</v>
      </c>
      <c r="J696" s="15" t="s">
        <v>4295</v>
      </c>
      <c r="K696" s="15">
        <v>49.0</v>
      </c>
      <c r="L696" s="15">
        <v>49.0</v>
      </c>
      <c r="M696" s="40">
        <v>37043.0</v>
      </c>
      <c r="N696" s="40">
        <v>39920.0</v>
      </c>
      <c r="O696" s="15" t="s">
        <v>1554</v>
      </c>
      <c r="Q696" s="7"/>
    </row>
    <row r="697">
      <c r="A697" s="39" t="s">
        <v>4296</v>
      </c>
      <c r="B697" s="15">
        <v>256994.0</v>
      </c>
      <c r="C697" s="15" t="s">
        <v>4297</v>
      </c>
      <c r="D697" s="15">
        <v>14354.0</v>
      </c>
      <c r="E697" s="15" t="s">
        <v>1557</v>
      </c>
      <c r="F697" s="15" t="s">
        <v>3164</v>
      </c>
      <c r="G697" s="7">
        <v>16.473</v>
      </c>
      <c r="H697" s="15" t="s">
        <v>2375</v>
      </c>
      <c r="I697" s="15" t="s">
        <v>1618</v>
      </c>
      <c r="J697" s="15" t="s">
        <v>4298</v>
      </c>
      <c r="K697" s="15">
        <v>37.0</v>
      </c>
      <c r="L697" s="15">
        <v>37.0</v>
      </c>
      <c r="M697" s="40">
        <v>38027.0</v>
      </c>
      <c r="N697" s="40">
        <v>40263.0</v>
      </c>
      <c r="O697" s="15" t="s">
        <v>1554</v>
      </c>
      <c r="Q697" s="7"/>
    </row>
    <row r="698">
      <c r="A698" s="39" t="s">
        <v>4299</v>
      </c>
      <c r="B698" s="15">
        <v>248496.0</v>
      </c>
      <c r="C698" s="15" t="s">
        <v>4300</v>
      </c>
      <c r="D698" s="15">
        <v>14355.0</v>
      </c>
      <c r="E698" s="15" t="s">
        <v>1557</v>
      </c>
      <c r="F698" s="15" t="s">
        <v>3164</v>
      </c>
      <c r="G698" s="7">
        <v>17.385</v>
      </c>
      <c r="H698" s="15" t="s">
        <v>1607</v>
      </c>
      <c r="I698" s="15" t="s">
        <v>1618</v>
      </c>
      <c r="J698" s="15" t="s">
        <v>4302</v>
      </c>
      <c r="K698" s="15">
        <v>31.0</v>
      </c>
      <c r="L698" s="15">
        <v>31.0</v>
      </c>
      <c r="M698" s="41">
        <v>37908.0</v>
      </c>
      <c r="N698" s="40">
        <v>39920.0</v>
      </c>
      <c r="O698" s="15" t="s">
        <v>1554</v>
      </c>
      <c r="Q698" s="7"/>
    </row>
    <row r="699">
      <c r="A699" s="39" t="s">
        <v>4303</v>
      </c>
      <c r="B699" s="15">
        <v>263793.0</v>
      </c>
      <c r="C699" s="15" t="s">
        <v>4304</v>
      </c>
      <c r="D699" s="15">
        <v>14356.0</v>
      </c>
      <c r="E699" s="15" t="s">
        <v>1808</v>
      </c>
      <c r="F699" s="15" t="s">
        <v>1809</v>
      </c>
      <c r="G699" s="7">
        <v>5.405</v>
      </c>
      <c r="H699" s="15" t="s">
        <v>4305</v>
      </c>
      <c r="I699" s="15" t="s">
        <v>1628</v>
      </c>
      <c r="J699" s="15" t="s">
        <v>4306</v>
      </c>
      <c r="K699" s="15">
        <v>8.0</v>
      </c>
      <c r="L699" s="15">
        <v>8.0</v>
      </c>
      <c r="M699" s="40">
        <v>38035.0</v>
      </c>
      <c r="N699" s="40">
        <v>42045.0</v>
      </c>
      <c r="O699" s="15" t="s">
        <v>1554</v>
      </c>
      <c r="Q699" s="7"/>
    </row>
    <row r="700">
      <c r="A700" s="39" t="s">
        <v>4307</v>
      </c>
      <c r="B700" s="15">
        <v>213236.0</v>
      </c>
      <c r="D700" s="15">
        <v>0.0</v>
      </c>
      <c r="E700" s="15" t="s">
        <v>1557</v>
      </c>
      <c r="F700" s="15" t="s">
        <v>1833</v>
      </c>
      <c r="G700" s="7">
        <v>68.999</v>
      </c>
      <c r="H700" s="15" t="s">
        <v>4308</v>
      </c>
      <c r="I700" s="15" t="s">
        <v>1586</v>
      </c>
      <c r="J700" s="15" t="s">
        <v>4310</v>
      </c>
      <c r="K700" s="15">
        <v>100.0</v>
      </c>
      <c r="L700" s="15">
        <v>100.0</v>
      </c>
      <c r="M700" s="40">
        <v>37894.0</v>
      </c>
      <c r="N700" s="40">
        <v>37894.0</v>
      </c>
      <c r="O700" s="15" t="s">
        <v>1554</v>
      </c>
      <c r="Q700" s="7"/>
    </row>
    <row r="701">
      <c r="A701" s="39" t="s">
        <v>4311</v>
      </c>
      <c r="B701" s="15">
        <v>263374.0</v>
      </c>
      <c r="D701" s="15">
        <v>0.0</v>
      </c>
      <c r="E701" s="15" t="s">
        <v>1557</v>
      </c>
      <c r="F701" s="15" t="s">
        <v>1611</v>
      </c>
      <c r="G701" s="7">
        <v>42.663</v>
      </c>
      <c r="H701" s="15" t="s">
        <v>4100</v>
      </c>
      <c r="I701" s="15" t="s">
        <v>1586</v>
      </c>
      <c r="J701" s="15" t="s">
        <v>4312</v>
      </c>
      <c r="K701" s="15" t="s">
        <v>1722</v>
      </c>
      <c r="L701" s="15" t="s">
        <v>1722</v>
      </c>
      <c r="M701" s="40">
        <v>38055.0</v>
      </c>
      <c r="N701" s="40">
        <v>38055.0</v>
      </c>
      <c r="O701" s="15" t="s">
        <v>1554</v>
      </c>
      <c r="Q701" s="7"/>
    </row>
    <row r="702">
      <c r="A702" s="39" t="s">
        <v>4313</v>
      </c>
      <c r="B702" s="15">
        <v>263375.0</v>
      </c>
      <c r="D702" s="15">
        <v>0.0</v>
      </c>
      <c r="E702" s="15" t="s">
        <v>1557</v>
      </c>
      <c r="F702" s="15" t="s">
        <v>1611</v>
      </c>
      <c r="G702" s="7">
        <v>42.638</v>
      </c>
      <c r="H702" s="15" t="s">
        <v>4100</v>
      </c>
      <c r="I702" s="15" t="s">
        <v>1586</v>
      </c>
      <c r="J702" s="15" t="s">
        <v>4314</v>
      </c>
      <c r="K702" s="15" t="s">
        <v>1722</v>
      </c>
      <c r="L702" s="15" t="s">
        <v>1722</v>
      </c>
      <c r="M702" s="40">
        <v>38055.0</v>
      </c>
      <c r="N702" s="40">
        <v>38055.0</v>
      </c>
      <c r="O702" s="15" t="s">
        <v>1554</v>
      </c>
      <c r="Q702" s="7"/>
    </row>
    <row r="703">
      <c r="A703" s="39" t="s">
        <v>4316</v>
      </c>
      <c r="B703" s="15">
        <v>266800.0</v>
      </c>
      <c r="C703" s="15" t="s">
        <v>4317</v>
      </c>
      <c r="D703" s="15">
        <v>14360.0</v>
      </c>
      <c r="E703" s="15" t="s">
        <v>1808</v>
      </c>
      <c r="F703" s="15" t="s">
        <v>1809</v>
      </c>
      <c r="G703" s="7">
        <v>5.504</v>
      </c>
      <c r="H703" s="15" t="s">
        <v>4318</v>
      </c>
      <c r="I703" s="15" t="s">
        <v>1628</v>
      </c>
      <c r="J703" s="15" t="s">
        <v>4319</v>
      </c>
      <c r="K703" s="15">
        <v>8.0</v>
      </c>
      <c r="L703" s="15">
        <v>8.0</v>
      </c>
      <c r="M703" s="40">
        <v>37623.0</v>
      </c>
      <c r="N703" s="40">
        <v>40445.0</v>
      </c>
      <c r="O703" s="15" t="s">
        <v>1554</v>
      </c>
      <c r="Q703" s="7"/>
    </row>
    <row r="704">
      <c r="A704" s="39" t="s">
        <v>4320</v>
      </c>
      <c r="B704" s="15">
        <v>191289.0</v>
      </c>
      <c r="C704" s="15" t="s">
        <v>4321</v>
      </c>
      <c r="D704" s="15">
        <v>14361.0</v>
      </c>
      <c r="E704" s="15" t="s">
        <v>1548</v>
      </c>
      <c r="F704" s="15" t="s">
        <v>1578</v>
      </c>
      <c r="G704" s="7">
        <v>5.886</v>
      </c>
      <c r="H704" s="15" t="s">
        <v>4322</v>
      </c>
      <c r="I704" s="15" t="s">
        <v>1552</v>
      </c>
      <c r="J704" s="15" t="s">
        <v>4323</v>
      </c>
      <c r="K704" s="15">
        <v>3.0</v>
      </c>
      <c r="L704" s="15">
        <v>3.0</v>
      </c>
      <c r="M704" s="40">
        <v>37506.0</v>
      </c>
      <c r="N704" s="40">
        <v>39630.0</v>
      </c>
      <c r="O704" s="15" t="s">
        <v>1554</v>
      </c>
      <c r="Q704" s="7"/>
    </row>
    <row r="705">
      <c r="A705" s="39" t="s">
        <v>4324</v>
      </c>
      <c r="B705" s="15">
        <v>12390.0</v>
      </c>
      <c r="C705" s="15" t="s">
        <v>4325</v>
      </c>
      <c r="D705" s="15">
        <v>14362.0</v>
      </c>
      <c r="E705" s="15" t="s">
        <v>1557</v>
      </c>
      <c r="F705" s="15" t="s">
        <v>1833</v>
      </c>
      <c r="G705" s="7">
        <v>32.172</v>
      </c>
      <c r="H705" s="15" t="s">
        <v>2103</v>
      </c>
      <c r="I705" s="15" t="s">
        <v>1586</v>
      </c>
      <c r="J705" s="15" t="s">
        <v>4327</v>
      </c>
      <c r="K705" s="15">
        <v>51.0</v>
      </c>
      <c r="L705" s="15">
        <v>51.0</v>
      </c>
      <c r="M705" s="40">
        <v>36935.0</v>
      </c>
      <c r="N705" s="40">
        <v>39920.0</v>
      </c>
      <c r="O705" s="15" t="s">
        <v>1554</v>
      </c>
      <c r="Q705" s="7"/>
    </row>
    <row r="706">
      <c r="A706" s="39" t="s">
        <v>4328</v>
      </c>
      <c r="B706" s="15">
        <v>235266.0</v>
      </c>
      <c r="C706" s="15" t="s">
        <v>4330</v>
      </c>
      <c r="D706" s="15">
        <v>14363.0</v>
      </c>
      <c r="E706" s="15" t="s">
        <v>1557</v>
      </c>
      <c r="F706" s="15" t="s">
        <v>3628</v>
      </c>
      <c r="G706" s="7">
        <v>20.869</v>
      </c>
      <c r="H706" s="15" t="s">
        <v>4331</v>
      </c>
      <c r="I706" s="15" t="s">
        <v>1618</v>
      </c>
      <c r="J706" s="15" t="s">
        <v>4332</v>
      </c>
      <c r="K706" s="15">
        <v>40.0</v>
      </c>
      <c r="L706" s="15">
        <v>40.0</v>
      </c>
      <c r="M706" s="41">
        <v>37912.0</v>
      </c>
      <c r="N706" s="40">
        <v>40263.0</v>
      </c>
      <c r="O706" s="15" t="s">
        <v>1554</v>
      </c>
      <c r="Q706" s="7"/>
    </row>
    <row r="707">
      <c r="A707" s="39" t="s">
        <v>4333</v>
      </c>
      <c r="B707" s="15">
        <v>217733.0</v>
      </c>
      <c r="C707" s="15" t="s">
        <v>4334</v>
      </c>
      <c r="D707" s="15">
        <v>14364.0</v>
      </c>
      <c r="E707" s="15" t="s">
        <v>1557</v>
      </c>
      <c r="F707" s="15" t="s">
        <v>3454</v>
      </c>
      <c r="G707" s="7">
        <v>106.332</v>
      </c>
      <c r="H707" s="15">
        <v>54.0</v>
      </c>
      <c r="I707" s="15" t="s">
        <v>1686</v>
      </c>
      <c r="J707" s="15" t="s">
        <v>4335</v>
      </c>
      <c r="K707" s="15">
        <v>95.0</v>
      </c>
      <c r="L707" s="15">
        <v>95.0</v>
      </c>
      <c r="M707" s="40">
        <v>37934.0</v>
      </c>
      <c r="N707" s="41">
        <v>39792.0</v>
      </c>
      <c r="O707" s="15" t="s">
        <v>1554</v>
      </c>
      <c r="Q707" s="7"/>
    </row>
    <row r="708">
      <c r="A708" s="39" t="s">
        <v>4337</v>
      </c>
      <c r="B708" s="15">
        <v>268785.0</v>
      </c>
      <c r="C708" s="15" t="s">
        <v>4338</v>
      </c>
      <c r="D708" s="15">
        <v>14365.0</v>
      </c>
      <c r="E708" s="15" t="s">
        <v>1808</v>
      </c>
      <c r="F708" s="15" t="s">
        <v>1809</v>
      </c>
      <c r="G708" s="7">
        <v>2.706</v>
      </c>
      <c r="H708" s="15" t="s">
        <v>4215</v>
      </c>
      <c r="I708" s="15" t="s">
        <v>1628</v>
      </c>
      <c r="J708" s="15" t="s">
        <v>4339</v>
      </c>
      <c r="K708" s="15">
        <v>4.0</v>
      </c>
      <c r="L708" s="15">
        <v>4.0</v>
      </c>
      <c r="M708" s="40">
        <v>35821.0</v>
      </c>
      <c r="N708" s="40">
        <v>42576.0</v>
      </c>
      <c r="O708" s="15" t="s">
        <v>1554</v>
      </c>
      <c r="Q708" s="7"/>
    </row>
    <row r="709">
      <c r="A709" s="39" t="s">
        <v>4340</v>
      </c>
      <c r="B709" s="15">
        <v>268960.0</v>
      </c>
      <c r="C709" s="15" t="s">
        <v>4341</v>
      </c>
      <c r="D709" s="15">
        <v>14366.0</v>
      </c>
      <c r="E709" s="15" t="s">
        <v>1808</v>
      </c>
      <c r="F709" s="15" t="s">
        <v>1809</v>
      </c>
      <c r="G709" s="7">
        <v>2.994</v>
      </c>
      <c r="H709" s="15" t="s">
        <v>2304</v>
      </c>
      <c r="I709" s="15" t="s">
        <v>1628</v>
      </c>
      <c r="J709" s="15" t="s">
        <v>4343</v>
      </c>
      <c r="K709" s="15">
        <v>6.0</v>
      </c>
      <c r="L709" s="15">
        <v>6.0</v>
      </c>
      <c r="M709" s="40">
        <v>32766.0</v>
      </c>
      <c r="N709" s="40">
        <v>42045.0</v>
      </c>
      <c r="O709" s="15" t="s">
        <v>1554</v>
      </c>
      <c r="Q709" s="7"/>
    </row>
    <row r="710">
      <c r="A710" s="39" t="s">
        <v>4344</v>
      </c>
      <c r="B710" s="15">
        <v>240492.0</v>
      </c>
      <c r="C710" s="15" t="s">
        <v>4345</v>
      </c>
      <c r="D710" s="15">
        <v>14368.0</v>
      </c>
      <c r="E710" s="15" t="s">
        <v>1808</v>
      </c>
      <c r="F710" s="15" t="s">
        <v>1809</v>
      </c>
      <c r="G710" s="7">
        <v>2.606</v>
      </c>
      <c r="H710" s="15" t="s">
        <v>2392</v>
      </c>
      <c r="I710" s="15" t="s">
        <v>1628</v>
      </c>
      <c r="J710" s="15" t="s">
        <v>4346</v>
      </c>
      <c r="K710" s="15">
        <v>5.0</v>
      </c>
      <c r="L710" s="15">
        <v>5.0</v>
      </c>
      <c r="M710" s="40">
        <v>37846.0</v>
      </c>
      <c r="N710" s="40">
        <v>40148.0</v>
      </c>
      <c r="O710" s="15" t="s">
        <v>1554</v>
      </c>
      <c r="Q710" s="7"/>
    </row>
    <row r="711">
      <c r="A711" s="39" t="s">
        <v>4347</v>
      </c>
      <c r="B711" s="15">
        <v>269277.0</v>
      </c>
      <c r="C711" s="15" t="s">
        <v>4348</v>
      </c>
      <c r="D711" s="15">
        <v>14369.0</v>
      </c>
      <c r="E711" s="15" t="s">
        <v>1808</v>
      </c>
      <c r="F711" s="15" t="s">
        <v>1809</v>
      </c>
      <c r="G711" s="7">
        <v>5.444</v>
      </c>
      <c r="H711" s="15" t="s">
        <v>4350</v>
      </c>
      <c r="I711" s="15" t="s">
        <v>1628</v>
      </c>
      <c r="J711" s="15" t="s">
        <v>4351</v>
      </c>
      <c r="K711" s="15">
        <v>7.0</v>
      </c>
      <c r="L711" s="15">
        <v>7.0</v>
      </c>
      <c r="M711" s="40">
        <v>37642.0</v>
      </c>
      <c r="N711" s="41">
        <v>42297.0</v>
      </c>
      <c r="O711" s="15" t="s">
        <v>1554</v>
      </c>
      <c r="Q711" s="7"/>
    </row>
    <row r="712">
      <c r="A712" s="39" t="s">
        <v>4352</v>
      </c>
      <c r="B712" s="15">
        <v>260908.0</v>
      </c>
      <c r="C712" s="15" t="s">
        <v>4353</v>
      </c>
      <c r="D712" s="15">
        <v>14370.0</v>
      </c>
      <c r="E712" s="15" t="s">
        <v>1808</v>
      </c>
      <c r="F712" s="15" t="s">
        <v>1809</v>
      </c>
      <c r="G712" s="7">
        <v>5.085</v>
      </c>
      <c r="H712" s="15" t="s">
        <v>4354</v>
      </c>
      <c r="I712" s="15" t="s">
        <v>1628</v>
      </c>
      <c r="J712" s="15" t="s">
        <v>4355</v>
      </c>
      <c r="K712" s="15">
        <v>7.0</v>
      </c>
      <c r="L712" s="15">
        <v>7.0</v>
      </c>
      <c r="M712" s="40">
        <v>38005.0</v>
      </c>
      <c r="N712" s="40">
        <v>42045.0</v>
      </c>
      <c r="O712" s="15" t="s">
        <v>1554</v>
      </c>
      <c r="Q712" s="7"/>
    </row>
    <row r="713">
      <c r="A713" s="39" t="s">
        <v>4356</v>
      </c>
      <c r="B713" s="15">
        <v>260909.0</v>
      </c>
      <c r="C713" s="15" t="s">
        <v>4357</v>
      </c>
      <c r="D713" s="15">
        <v>14371.0</v>
      </c>
      <c r="E713" s="15" t="s">
        <v>1808</v>
      </c>
      <c r="F713" s="15" t="s">
        <v>1809</v>
      </c>
      <c r="G713" s="7">
        <v>5.118</v>
      </c>
      <c r="H713" s="15" t="s">
        <v>4358</v>
      </c>
      <c r="I713" s="15" t="s">
        <v>1628</v>
      </c>
      <c r="J713" s="15" t="s">
        <v>4360</v>
      </c>
      <c r="K713" s="15">
        <v>7.0</v>
      </c>
      <c r="L713" s="15">
        <v>7.0</v>
      </c>
      <c r="M713" s="40">
        <v>38005.0</v>
      </c>
      <c r="N713" s="40">
        <v>43012.0</v>
      </c>
      <c r="O713" s="15" t="s">
        <v>1554</v>
      </c>
      <c r="Q713" s="7"/>
    </row>
    <row r="714">
      <c r="A714" s="39" t="s">
        <v>4361</v>
      </c>
      <c r="B714" s="15">
        <v>270147.0</v>
      </c>
      <c r="C714" s="15" t="s">
        <v>4362</v>
      </c>
      <c r="D714" s="15">
        <v>14372.0</v>
      </c>
      <c r="E714" s="15" t="s">
        <v>1808</v>
      </c>
      <c r="F714" s="15" t="s">
        <v>1809</v>
      </c>
      <c r="G714" s="7">
        <v>2.779</v>
      </c>
      <c r="H714" s="15" t="s">
        <v>1710</v>
      </c>
      <c r="I714" s="15" t="s">
        <v>1628</v>
      </c>
      <c r="J714" s="15" t="s">
        <v>4363</v>
      </c>
      <c r="K714" s="15">
        <v>6.0</v>
      </c>
      <c r="L714" s="15">
        <v>6.0</v>
      </c>
      <c r="M714" s="40">
        <v>37469.0</v>
      </c>
      <c r="N714" s="40">
        <v>42045.0</v>
      </c>
      <c r="O714" s="15" t="s">
        <v>1554</v>
      </c>
      <c r="Q714" s="7"/>
    </row>
    <row r="715">
      <c r="A715" s="39" t="s">
        <v>4364</v>
      </c>
      <c r="B715" s="15">
        <v>270161.0</v>
      </c>
      <c r="C715" s="15" t="s">
        <v>4365</v>
      </c>
      <c r="D715" s="15">
        <v>14374.0</v>
      </c>
      <c r="E715" s="15" t="s">
        <v>1557</v>
      </c>
      <c r="F715" s="15" t="s">
        <v>4366</v>
      </c>
      <c r="G715" s="7">
        <v>28.337</v>
      </c>
      <c r="H715" s="15" t="s">
        <v>2279</v>
      </c>
      <c r="I715" s="15" t="s">
        <v>1618</v>
      </c>
      <c r="J715" s="15" t="s">
        <v>4367</v>
      </c>
      <c r="K715" s="15">
        <v>48.0</v>
      </c>
      <c r="L715" s="15">
        <v>48.0</v>
      </c>
      <c r="M715" s="40">
        <v>38108.0</v>
      </c>
      <c r="N715" s="40">
        <v>40263.0</v>
      </c>
      <c r="O715" s="15" t="s">
        <v>1554</v>
      </c>
      <c r="Q715" s="7"/>
    </row>
    <row r="716">
      <c r="A716" s="39" t="s">
        <v>4368</v>
      </c>
      <c r="B716" s="15">
        <v>278069.0</v>
      </c>
      <c r="C716" s="15" t="s">
        <v>4369</v>
      </c>
      <c r="D716" s="15">
        <v>15446.0</v>
      </c>
      <c r="E716" s="15" t="s">
        <v>2014</v>
      </c>
      <c r="F716" s="15" t="s">
        <v>2018</v>
      </c>
      <c r="G716" s="7">
        <v>1.339</v>
      </c>
      <c r="H716" s="15">
        <v>36.0</v>
      </c>
      <c r="I716" s="15" t="s">
        <v>1628</v>
      </c>
      <c r="J716" s="15" t="s">
        <v>4371</v>
      </c>
      <c r="K716" s="15">
        <v>1.0</v>
      </c>
      <c r="L716" s="15">
        <v>1.0</v>
      </c>
      <c r="M716" s="40">
        <v>37627.0</v>
      </c>
      <c r="N716" s="40">
        <v>41500.0</v>
      </c>
      <c r="O716" s="15" t="s">
        <v>1554</v>
      </c>
      <c r="Q716" s="7"/>
    </row>
    <row r="717">
      <c r="A717" s="39" t="s">
        <v>4372</v>
      </c>
      <c r="B717" s="15">
        <v>264729.0</v>
      </c>
      <c r="C717" s="15" t="s">
        <v>4373</v>
      </c>
      <c r="D717" s="15">
        <v>14376.0</v>
      </c>
      <c r="E717" s="15" t="s">
        <v>1557</v>
      </c>
      <c r="F717" s="15" t="s">
        <v>1767</v>
      </c>
      <c r="G717" s="7">
        <v>36.748</v>
      </c>
      <c r="H717" s="15" t="s">
        <v>2517</v>
      </c>
      <c r="I717" s="15" t="s">
        <v>1586</v>
      </c>
      <c r="J717" s="15" t="s">
        <v>4374</v>
      </c>
      <c r="K717" s="15">
        <v>53.0</v>
      </c>
      <c r="L717" s="15">
        <v>53.0</v>
      </c>
      <c r="M717" s="40">
        <v>38092.0</v>
      </c>
      <c r="N717" s="40">
        <v>42577.0</v>
      </c>
      <c r="O717" s="15" t="s">
        <v>1554</v>
      </c>
      <c r="Q717" s="7"/>
    </row>
    <row r="718">
      <c r="A718" s="39" t="s">
        <v>4375</v>
      </c>
      <c r="B718" s="15">
        <v>270673.0</v>
      </c>
      <c r="C718" s="15" t="s">
        <v>4376</v>
      </c>
      <c r="D718" s="15">
        <v>14377.0</v>
      </c>
      <c r="E718" s="15" t="s">
        <v>1557</v>
      </c>
      <c r="F718" s="15" t="s">
        <v>1611</v>
      </c>
      <c r="G718" s="7">
        <v>43.783</v>
      </c>
      <c r="H718" s="15" t="s">
        <v>3407</v>
      </c>
      <c r="I718" s="15" t="s">
        <v>1586</v>
      </c>
      <c r="J718" s="15" t="s">
        <v>4377</v>
      </c>
      <c r="K718" s="15">
        <v>58.0</v>
      </c>
      <c r="L718" s="15">
        <v>58.0</v>
      </c>
      <c r="M718" s="40">
        <v>38096.0</v>
      </c>
      <c r="N718" s="41">
        <v>39435.0</v>
      </c>
      <c r="O718" s="15" t="s">
        <v>1554</v>
      </c>
      <c r="Q718" s="7"/>
    </row>
    <row r="719">
      <c r="A719" s="39" t="s">
        <v>4378</v>
      </c>
      <c r="B719" s="15">
        <v>279303.0</v>
      </c>
      <c r="C719" s="15" t="s">
        <v>4379</v>
      </c>
      <c r="D719" s="15">
        <v>14378.0</v>
      </c>
      <c r="E719" s="15" t="s">
        <v>1557</v>
      </c>
      <c r="F719" s="15" t="s">
        <v>1833</v>
      </c>
      <c r="G719" s="7">
        <v>58.638</v>
      </c>
      <c r="H719" s="15" t="s">
        <v>4380</v>
      </c>
      <c r="I719" s="15" t="s">
        <v>1586</v>
      </c>
      <c r="J719" s="15" t="s">
        <v>4381</v>
      </c>
      <c r="K719" s="15">
        <v>76.0</v>
      </c>
      <c r="L719" s="15">
        <v>76.0</v>
      </c>
      <c r="M719" s="40">
        <v>38138.0</v>
      </c>
      <c r="N719" s="41">
        <v>41237.0</v>
      </c>
      <c r="O719" s="15" t="s">
        <v>1554</v>
      </c>
      <c r="Q719" s="7"/>
    </row>
    <row r="720">
      <c r="A720" s="39" t="s">
        <v>4383</v>
      </c>
      <c r="B720" s="15">
        <v>279280.0</v>
      </c>
      <c r="C720" s="15" t="s">
        <v>4384</v>
      </c>
      <c r="D720" s="15">
        <v>14379.0</v>
      </c>
      <c r="E720" s="15" t="s">
        <v>1557</v>
      </c>
      <c r="F720" s="15" t="s">
        <v>1611</v>
      </c>
      <c r="G720" s="7">
        <v>42.415</v>
      </c>
      <c r="H720" s="15" t="s">
        <v>4385</v>
      </c>
      <c r="I720" s="15" t="s">
        <v>1586</v>
      </c>
      <c r="J720" s="15" t="s">
        <v>4386</v>
      </c>
      <c r="K720" s="15">
        <v>46.0</v>
      </c>
      <c r="L720" s="15">
        <v>46.0</v>
      </c>
      <c r="M720" s="40">
        <v>38140.0</v>
      </c>
      <c r="N720" s="40">
        <v>39920.0</v>
      </c>
      <c r="O720" s="15" t="s">
        <v>1554</v>
      </c>
      <c r="Q720" s="7"/>
    </row>
    <row r="721">
      <c r="A721" s="39" t="s">
        <v>4387</v>
      </c>
      <c r="B721" s="15">
        <v>256548.0</v>
      </c>
      <c r="C721" s="15" t="s">
        <v>4388</v>
      </c>
      <c r="D721" s="15">
        <v>14381.0</v>
      </c>
      <c r="E721" s="15" t="s">
        <v>1808</v>
      </c>
      <c r="F721" s="15" t="s">
        <v>2436</v>
      </c>
      <c r="G721" s="7">
        <v>4.693</v>
      </c>
      <c r="H721" s="15" t="s">
        <v>2271</v>
      </c>
      <c r="I721" s="15" t="s">
        <v>1686</v>
      </c>
      <c r="J721" s="15" t="s">
        <v>4389</v>
      </c>
      <c r="K721" s="15">
        <v>2.0</v>
      </c>
      <c r="L721" s="15">
        <v>2.0</v>
      </c>
      <c r="M721" s="40">
        <v>38132.0</v>
      </c>
      <c r="N721" s="40">
        <v>40352.0</v>
      </c>
      <c r="O721" s="15" t="s">
        <v>1554</v>
      </c>
      <c r="Q721" s="7"/>
    </row>
    <row r="722">
      <c r="A722" s="39" t="s">
        <v>4390</v>
      </c>
      <c r="B722" s="15">
        <v>260827.0</v>
      </c>
      <c r="C722" s="15" t="s">
        <v>4392</v>
      </c>
      <c r="D722" s="15">
        <v>14382.0</v>
      </c>
      <c r="E722" s="15" t="s">
        <v>1557</v>
      </c>
      <c r="F722" s="15" t="s">
        <v>1611</v>
      </c>
      <c r="G722" s="7">
        <v>39.786</v>
      </c>
      <c r="H722" s="15" t="s">
        <v>2351</v>
      </c>
      <c r="I722" s="15" t="s">
        <v>1586</v>
      </c>
      <c r="J722" s="15" t="s">
        <v>4393</v>
      </c>
      <c r="K722" s="15">
        <v>48.0</v>
      </c>
      <c r="L722" s="15">
        <v>48.0</v>
      </c>
      <c r="M722" s="40">
        <v>38004.0</v>
      </c>
      <c r="N722" s="40">
        <v>40612.0</v>
      </c>
      <c r="O722" s="15" t="s">
        <v>1554</v>
      </c>
      <c r="Q722" s="7"/>
    </row>
    <row r="723">
      <c r="A723" s="39" t="s">
        <v>4394</v>
      </c>
      <c r="B723" s="15">
        <v>111874.0</v>
      </c>
      <c r="C723" s="15" t="s">
        <v>4395</v>
      </c>
      <c r="D723" s="15">
        <v>14383.0</v>
      </c>
      <c r="E723" s="15" t="s">
        <v>1557</v>
      </c>
      <c r="F723" s="15" t="s">
        <v>1992</v>
      </c>
      <c r="G723" s="7">
        <v>86.462</v>
      </c>
      <c r="H723" s="15" t="s">
        <v>4396</v>
      </c>
      <c r="I723" s="15" t="s">
        <v>1560</v>
      </c>
      <c r="J723" s="15" t="s">
        <v>4397</v>
      </c>
      <c r="K723" s="15">
        <v>90.0</v>
      </c>
      <c r="L723" s="15">
        <v>90.0</v>
      </c>
      <c r="M723" s="40">
        <v>38152.0</v>
      </c>
      <c r="N723" s="40">
        <v>39944.0</v>
      </c>
      <c r="O723" s="15" t="s">
        <v>1554</v>
      </c>
      <c r="Q723" s="7"/>
    </row>
    <row r="724">
      <c r="A724" s="39" t="s">
        <v>4398</v>
      </c>
      <c r="B724" s="15">
        <v>127509.0</v>
      </c>
      <c r="C724" s="15" t="s">
        <v>4399</v>
      </c>
      <c r="D724" s="15">
        <v>14384.0</v>
      </c>
      <c r="E724" s="15" t="s">
        <v>1808</v>
      </c>
      <c r="F724" s="15" t="s">
        <v>2969</v>
      </c>
      <c r="G724" s="7">
        <v>7.965</v>
      </c>
      <c r="H724" s="15" t="s">
        <v>4401</v>
      </c>
      <c r="I724" s="15" t="s">
        <v>1586</v>
      </c>
      <c r="J724" s="15" t="s">
        <v>4402</v>
      </c>
      <c r="K724" s="15">
        <v>7.0</v>
      </c>
      <c r="L724" s="15">
        <v>7.0</v>
      </c>
      <c r="M724" s="40">
        <v>36074.0</v>
      </c>
      <c r="N724" s="40">
        <v>39920.0</v>
      </c>
      <c r="O724" s="15" t="s">
        <v>1554</v>
      </c>
      <c r="Q724" s="7"/>
    </row>
    <row r="725">
      <c r="A725" s="39" t="s">
        <v>4403</v>
      </c>
      <c r="B725" s="15">
        <v>127511.0</v>
      </c>
      <c r="D725" s="15">
        <v>0.0</v>
      </c>
      <c r="E725" s="15" t="s">
        <v>1808</v>
      </c>
      <c r="F725" s="15" t="s">
        <v>2969</v>
      </c>
      <c r="G725" s="7">
        <v>7.965</v>
      </c>
      <c r="H725" s="15" t="s">
        <v>4401</v>
      </c>
      <c r="I725" s="15" t="s">
        <v>1586</v>
      </c>
      <c r="J725" s="15" t="s">
        <v>4404</v>
      </c>
      <c r="K725" s="15">
        <v>7.0</v>
      </c>
      <c r="L725" s="15">
        <v>7.0</v>
      </c>
      <c r="M725" s="40">
        <v>36074.0</v>
      </c>
      <c r="N725" s="40">
        <v>39786.0</v>
      </c>
      <c r="O725" s="15" t="s">
        <v>1554</v>
      </c>
      <c r="Q725" s="7"/>
    </row>
    <row r="726">
      <c r="A726" s="39" t="s">
        <v>4405</v>
      </c>
      <c r="B726" s="15">
        <v>280702.0</v>
      </c>
      <c r="C726" s="15" t="s">
        <v>4406</v>
      </c>
      <c r="D726" s="15">
        <v>14387.0</v>
      </c>
      <c r="E726" s="15" t="s">
        <v>4407</v>
      </c>
      <c r="F726" s="15" t="s">
        <v>1578</v>
      </c>
      <c r="G726" s="7">
        <v>18.855</v>
      </c>
      <c r="H726" s="42">
        <v>43336.0</v>
      </c>
      <c r="I726" s="15" t="s">
        <v>1586</v>
      </c>
      <c r="J726" s="15" t="s">
        <v>4408</v>
      </c>
      <c r="K726" s="15">
        <v>20.0</v>
      </c>
      <c r="L726" s="15">
        <v>17.0</v>
      </c>
      <c r="M726" s="40">
        <v>38166.0</v>
      </c>
      <c r="N726" s="40">
        <v>43013.0</v>
      </c>
      <c r="O726" s="15" t="s">
        <v>1554</v>
      </c>
      <c r="Q726" s="7"/>
    </row>
    <row r="727">
      <c r="A727" s="39" t="s">
        <v>4409</v>
      </c>
      <c r="B727" s="15">
        <v>35593.0</v>
      </c>
      <c r="C727" s="15" t="s">
        <v>4410</v>
      </c>
      <c r="D727" s="15">
        <v>14388.0</v>
      </c>
      <c r="E727" s="15" t="s">
        <v>1916</v>
      </c>
      <c r="F727" s="15" t="s">
        <v>1917</v>
      </c>
      <c r="G727" s="7">
        <v>8.174</v>
      </c>
      <c r="H727" s="15" t="s">
        <v>3260</v>
      </c>
      <c r="I727" s="15" t="s">
        <v>1628</v>
      </c>
      <c r="J727" s="15" t="s">
        <v>4412</v>
      </c>
      <c r="K727" s="15">
        <v>4.0</v>
      </c>
      <c r="L727" s="15">
        <v>4.0</v>
      </c>
      <c r="M727" s="40">
        <v>34615.0</v>
      </c>
      <c r="N727" s="41">
        <v>40147.0</v>
      </c>
      <c r="O727" s="15" t="s">
        <v>1554</v>
      </c>
      <c r="Q727" s="7"/>
    </row>
    <row r="728">
      <c r="A728" s="39" t="s">
        <v>4413</v>
      </c>
      <c r="B728" s="15">
        <v>10449.0</v>
      </c>
      <c r="C728" s="15" t="s">
        <v>4414</v>
      </c>
      <c r="D728" s="15">
        <v>14390.0</v>
      </c>
      <c r="E728" s="15" t="s">
        <v>1557</v>
      </c>
      <c r="F728" s="15" t="s">
        <v>1992</v>
      </c>
      <c r="G728" s="7">
        <v>161.046</v>
      </c>
      <c r="H728" s="15" t="s">
        <v>4415</v>
      </c>
      <c r="I728" s="15" t="s">
        <v>1560</v>
      </c>
      <c r="J728" s="15" t="s">
        <v>4416</v>
      </c>
      <c r="K728" s="15">
        <v>164.0</v>
      </c>
      <c r="L728" s="15">
        <v>164.0</v>
      </c>
      <c r="M728" s="40">
        <v>36102.0</v>
      </c>
      <c r="N728" s="40">
        <v>40248.0</v>
      </c>
      <c r="O728" s="15" t="s">
        <v>1554</v>
      </c>
      <c r="Q728" s="7"/>
    </row>
    <row r="729">
      <c r="A729" s="39" t="s">
        <v>4417</v>
      </c>
      <c r="B729" s="15">
        <v>49964.0</v>
      </c>
      <c r="C729" s="15" t="s">
        <v>4418</v>
      </c>
      <c r="D729" s="15">
        <v>14391.0</v>
      </c>
      <c r="E729" s="15" t="s">
        <v>1557</v>
      </c>
      <c r="F729" s="15" t="s">
        <v>1611</v>
      </c>
      <c r="G729" s="7">
        <v>49.534</v>
      </c>
      <c r="H729" s="15" t="s">
        <v>4419</v>
      </c>
      <c r="I729" s="15" t="s">
        <v>1586</v>
      </c>
      <c r="J729" s="15" t="s">
        <v>4420</v>
      </c>
      <c r="K729" s="15">
        <v>86.0</v>
      </c>
      <c r="L729" s="15">
        <v>86.0</v>
      </c>
      <c r="M729" s="40">
        <v>37126.0</v>
      </c>
      <c r="N729" s="40">
        <v>42045.0</v>
      </c>
      <c r="O729" s="15" t="s">
        <v>1554</v>
      </c>
      <c r="Q729" s="7"/>
    </row>
    <row r="730">
      <c r="A730" s="39" t="s">
        <v>4421</v>
      </c>
      <c r="B730" s="15">
        <v>71366.0</v>
      </c>
      <c r="C730" s="15" t="s">
        <v>4423</v>
      </c>
      <c r="D730" s="15">
        <v>14392.0</v>
      </c>
      <c r="E730" s="15" t="s">
        <v>1557</v>
      </c>
      <c r="F730" s="15" t="s">
        <v>1833</v>
      </c>
      <c r="G730" s="7">
        <v>41.401</v>
      </c>
      <c r="H730" s="15" t="s">
        <v>3809</v>
      </c>
      <c r="I730" s="15" t="s">
        <v>1586</v>
      </c>
      <c r="J730" s="15" t="s">
        <v>4424</v>
      </c>
      <c r="K730" s="15">
        <v>62.0</v>
      </c>
      <c r="L730" s="15">
        <v>62.0</v>
      </c>
      <c r="M730" s="40">
        <v>36001.0</v>
      </c>
      <c r="N730" s="40">
        <v>42577.0</v>
      </c>
      <c r="O730" s="15" t="s">
        <v>1554</v>
      </c>
      <c r="Q730" s="7"/>
    </row>
    <row r="731">
      <c r="A731" s="39" t="s">
        <v>4425</v>
      </c>
      <c r="B731" s="15">
        <v>194445.0</v>
      </c>
      <c r="C731" s="15" t="s">
        <v>4426</v>
      </c>
      <c r="D731" s="15">
        <v>14393.0</v>
      </c>
      <c r="E731" s="15" t="s">
        <v>1916</v>
      </c>
      <c r="F731" s="15" t="s">
        <v>1917</v>
      </c>
      <c r="G731" s="7">
        <v>7.857</v>
      </c>
      <c r="H731" s="15">
        <v>38.0</v>
      </c>
      <c r="I731" s="15" t="s">
        <v>1628</v>
      </c>
      <c r="J731" s="15" t="s">
        <v>4427</v>
      </c>
      <c r="K731" s="15">
        <v>7.0</v>
      </c>
      <c r="L731" s="15">
        <v>7.0</v>
      </c>
      <c r="M731" s="40">
        <v>37419.0</v>
      </c>
      <c r="N731" s="41">
        <v>40147.0</v>
      </c>
      <c r="O731" s="15" t="s">
        <v>1554</v>
      </c>
      <c r="Q731" s="7"/>
    </row>
    <row r="732">
      <c r="A732" s="39" t="s">
        <v>4428</v>
      </c>
      <c r="B732" s="15">
        <v>205868.0</v>
      </c>
      <c r="C732" s="15" t="s">
        <v>4429</v>
      </c>
      <c r="D732" s="15">
        <v>14394.0</v>
      </c>
      <c r="E732" s="15" t="s">
        <v>1557</v>
      </c>
      <c r="F732" s="15" t="s">
        <v>1833</v>
      </c>
      <c r="G732" s="7">
        <v>59.471</v>
      </c>
      <c r="H732" s="15" t="s">
        <v>4430</v>
      </c>
      <c r="I732" s="15" t="s">
        <v>1586</v>
      </c>
      <c r="J732" s="15" t="s">
        <v>4431</v>
      </c>
      <c r="K732" s="15">
        <v>112.0</v>
      </c>
      <c r="L732" s="15">
        <v>112.0</v>
      </c>
      <c r="M732" s="40">
        <v>37712.0</v>
      </c>
      <c r="N732" s="40">
        <v>39939.0</v>
      </c>
      <c r="O732" s="15" t="s">
        <v>1554</v>
      </c>
      <c r="Q732" s="7"/>
    </row>
    <row r="733">
      <c r="A733" s="39" t="s">
        <v>4432</v>
      </c>
      <c r="B733" s="15">
        <v>75590.0</v>
      </c>
      <c r="C733" s="15" t="s">
        <v>4434</v>
      </c>
      <c r="D733" s="15">
        <v>14395.0</v>
      </c>
      <c r="E733" s="15" t="s">
        <v>1557</v>
      </c>
      <c r="F733" s="15" t="s">
        <v>1578</v>
      </c>
      <c r="G733" s="7">
        <v>15.644</v>
      </c>
      <c r="H733" s="15">
        <v>29.0</v>
      </c>
      <c r="I733" s="15" t="s">
        <v>1586</v>
      </c>
      <c r="J733" s="15" t="s">
        <v>4435</v>
      </c>
      <c r="K733" s="15">
        <v>15.0</v>
      </c>
      <c r="L733" s="15">
        <v>15.0</v>
      </c>
      <c r="M733" s="40">
        <v>36040.0</v>
      </c>
      <c r="N733" s="40">
        <v>42045.0</v>
      </c>
      <c r="O733" s="15" t="s">
        <v>1554</v>
      </c>
      <c r="Q733" s="7"/>
    </row>
    <row r="734">
      <c r="A734" s="39" t="s">
        <v>4436</v>
      </c>
      <c r="B734" s="15">
        <v>10273.0</v>
      </c>
      <c r="C734" s="15" t="s">
        <v>4437</v>
      </c>
      <c r="D734" s="15">
        <v>14396.0</v>
      </c>
      <c r="E734" s="15" t="s">
        <v>1557</v>
      </c>
      <c r="F734" s="15" t="s">
        <v>2028</v>
      </c>
      <c r="G734" s="7">
        <v>161.773</v>
      </c>
      <c r="H734" s="15" t="s">
        <v>3653</v>
      </c>
      <c r="I734" s="15" t="s">
        <v>1686</v>
      </c>
      <c r="J734" s="15" t="s">
        <v>4438</v>
      </c>
      <c r="K734" s="15">
        <v>170.0</v>
      </c>
      <c r="L734" s="15">
        <v>170.0</v>
      </c>
      <c r="M734" s="40">
        <v>36498.0</v>
      </c>
      <c r="N734" s="41">
        <v>41235.0</v>
      </c>
      <c r="O734" s="15" t="s">
        <v>1554</v>
      </c>
      <c r="Q734" s="7"/>
    </row>
    <row r="735">
      <c r="A735" s="39" t="s">
        <v>4439</v>
      </c>
      <c r="B735" s="15">
        <v>151536.0</v>
      </c>
      <c r="C735" s="15" t="s">
        <v>4440</v>
      </c>
      <c r="D735" s="15">
        <v>14397.0</v>
      </c>
      <c r="E735" s="15" t="s">
        <v>1557</v>
      </c>
      <c r="F735" s="15" t="s">
        <v>1833</v>
      </c>
      <c r="G735" s="7">
        <v>41.834</v>
      </c>
      <c r="H735" s="15" t="s">
        <v>3361</v>
      </c>
      <c r="I735" s="15" t="s">
        <v>1586</v>
      </c>
      <c r="J735" s="15" t="s">
        <v>4441</v>
      </c>
      <c r="K735" s="15">
        <v>61.0</v>
      </c>
      <c r="L735" s="15">
        <v>61.0</v>
      </c>
      <c r="M735" s="40">
        <v>36937.0</v>
      </c>
      <c r="N735" s="40">
        <v>42045.0</v>
      </c>
      <c r="O735" s="15" t="s">
        <v>1554</v>
      </c>
      <c r="Q735" s="7"/>
    </row>
    <row r="736">
      <c r="A736" s="39" t="s">
        <v>4442</v>
      </c>
      <c r="B736" s="15">
        <v>223282.0</v>
      </c>
      <c r="C736" s="15" t="s">
        <v>4443</v>
      </c>
      <c r="D736" s="15">
        <v>14398.0</v>
      </c>
      <c r="E736" s="15" t="s">
        <v>1808</v>
      </c>
      <c r="F736" s="15" t="s">
        <v>1809</v>
      </c>
      <c r="G736" s="7">
        <v>5.186</v>
      </c>
      <c r="H736" s="15" t="s">
        <v>4444</v>
      </c>
      <c r="I736" s="15" t="s">
        <v>1628</v>
      </c>
      <c r="J736" s="15" t="s">
        <v>4446</v>
      </c>
      <c r="K736" s="15">
        <v>7.0</v>
      </c>
      <c r="L736" s="15">
        <v>7.0</v>
      </c>
      <c r="M736" s="40">
        <v>37469.0</v>
      </c>
      <c r="N736" s="40">
        <v>39790.0</v>
      </c>
      <c r="O736" s="15" t="s">
        <v>1554</v>
      </c>
      <c r="Q736" s="7"/>
    </row>
    <row r="737">
      <c r="A737" s="39" t="s">
        <v>4447</v>
      </c>
      <c r="B737" s="15">
        <v>223284.0</v>
      </c>
      <c r="C737" s="15" t="s">
        <v>4448</v>
      </c>
      <c r="D737" s="15">
        <v>14399.0</v>
      </c>
      <c r="E737" s="15" t="s">
        <v>1808</v>
      </c>
      <c r="F737" s="15" t="s">
        <v>1809</v>
      </c>
      <c r="G737" s="7">
        <v>5.247</v>
      </c>
      <c r="H737" s="15" t="s">
        <v>4449</v>
      </c>
      <c r="I737" s="15" t="s">
        <v>1628</v>
      </c>
      <c r="J737" s="15" t="s">
        <v>4450</v>
      </c>
      <c r="K737" s="15">
        <v>7.0</v>
      </c>
      <c r="L737" s="15">
        <v>7.0</v>
      </c>
      <c r="M737" s="40">
        <v>37469.0</v>
      </c>
      <c r="N737" s="40">
        <v>39639.0</v>
      </c>
      <c r="O737" s="15" t="s">
        <v>1554</v>
      </c>
      <c r="Q737" s="7"/>
    </row>
    <row r="738">
      <c r="A738" s="39" t="s">
        <v>4451</v>
      </c>
      <c r="B738" s="15">
        <v>223335.0</v>
      </c>
      <c r="C738" s="15" t="s">
        <v>4452</v>
      </c>
      <c r="D738" s="15">
        <v>14400.0</v>
      </c>
      <c r="E738" s="15" t="s">
        <v>1808</v>
      </c>
      <c r="F738" s="15" t="s">
        <v>1809</v>
      </c>
      <c r="G738" s="7">
        <v>2.76</v>
      </c>
      <c r="H738" s="15" t="s">
        <v>3584</v>
      </c>
      <c r="I738" s="15" t="s">
        <v>1628</v>
      </c>
      <c r="J738" s="15" t="s">
        <v>4453</v>
      </c>
      <c r="K738" s="15">
        <v>6.0</v>
      </c>
      <c r="L738" s="15">
        <v>6.0</v>
      </c>
      <c r="M738" s="40">
        <v>37336.0</v>
      </c>
      <c r="N738" s="40">
        <v>39835.0</v>
      </c>
      <c r="O738" s="15" t="s">
        <v>1554</v>
      </c>
      <c r="Q738" s="7"/>
    </row>
    <row r="739">
      <c r="A739" s="39" t="s">
        <v>4455</v>
      </c>
      <c r="B739" s="15">
        <v>269145.0</v>
      </c>
      <c r="C739" s="15" t="s">
        <v>4456</v>
      </c>
      <c r="D739" s="15">
        <v>14401.0</v>
      </c>
      <c r="E739" s="15" t="s">
        <v>1557</v>
      </c>
      <c r="F739" s="15" t="s">
        <v>2346</v>
      </c>
      <c r="G739" s="7">
        <v>17.663</v>
      </c>
      <c r="H739" s="15">
        <v>36.0</v>
      </c>
      <c r="I739" s="15" t="s">
        <v>1618</v>
      </c>
      <c r="J739" s="15" t="s">
        <v>4457</v>
      </c>
      <c r="K739" s="15">
        <v>36.0</v>
      </c>
      <c r="L739" s="15">
        <v>36.0</v>
      </c>
      <c r="M739" s="40">
        <v>38108.0</v>
      </c>
      <c r="N739" s="40">
        <v>42577.0</v>
      </c>
      <c r="O739" s="15" t="s">
        <v>1554</v>
      </c>
      <c r="Q739" s="7"/>
    </row>
    <row r="740">
      <c r="A740" s="39" t="s">
        <v>4458</v>
      </c>
      <c r="B740" s="15">
        <v>10390.0</v>
      </c>
      <c r="C740" s="15" t="s">
        <v>4459</v>
      </c>
      <c r="D740" s="15">
        <v>14402.0</v>
      </c>
      <c r="E740" s="15" t="s">
        <v>1557</v>
      </c>
      <c r="F740" s="15" t="s">
        <v>1827</v>
      </c>
      <c r="G740" s="7">
        <v>177.874</v>
      </c>
      <c r="H740" s="15" t="s">
        <v>2064</v>
      </c>
      <c r="I740" s="15" t="s">
        <v>1686</v>
      </c>
      <c r="J740" s="15" t="s">
        <v>4460</v>
      </c>
      <c r="K740" s="15">
        <v>87.0</v>
      </c>
      <c r="L740" s="15">
        <v>85.0</v>
      </c>
      <c r="M740" s="40">
        <v>36647.0</v>
      </c>
      <c r="N740" s="40">
        <v>40291.0</v>
      </c>
      <c r="O740" s="15" t="s">
        <v>1554</v>
      </c>
      <c r="Q740" s="7"/>
    </row>
    <row r="741">
      <c r="A741" s="39" t="s">
        <v>4461</v>
      </c>
      <c r="B741" s="15">
        <v>188763.0</v>
      </c>
      <c r="C741" s="15" t="s">
        <v>4462</v>
      </c>
      <c r="D741" s="15">
        <v>14404.0</v>
      </c>
      <c r="E741" s="15" t="s">
        <v>1557</v>
      </c>
      <c r="F741" s="15" t="s">
        <v>1827</v>
      </c>
      <c r="G741" s="7">
        <v>241.087</v>
      </c>
      <c r="H741" s="15" t="s">
        <v>3086</v>
      </c>
      <c r="I741" s="15" t="s">
        <v>1686</v>
      </c>
      <c r="J741" s="15" t="s">
        <v>4463</v>
      </c>
      <c r="K741" s="15">
        <v>169.0</v>
      </c>
      <c r="L741" s="15">
        <v>169.0</v>
      </c>
      <c r="M741" s="40">
        <v>37348.0</v>
      </c>
      <c r="N741" s="40">
        <v>41408.0</v>
      </c>
      <c r="O741" s="15" t="s">
        <v>1554</v>
      </c>
      <c r="Q741" s="7"/>
    </row>
    <row r="742">
      <c r="A742" s="39" t="s">
        <v>4465</v>
      </c>
      <c r="B742" s="15">
        <v>209052.0</v>
      </c>
      <c r="C742" s="15" t="s">
        <v>4466</v>
      </c>
      <c r="D742" s="15">
        <v>14405.0</v>
      </c>
      <c r="E742" s="15" t="s">
        <v>1557</v>
      </c>
      <c r="F742" s="15" t="s">
        <v>1767</v>
      </c>
      <c r="G742" s="7">
        <v>48.247</v>
      </c>
      <c r="H742" s="15" t="s">
        <v>4467</v>
      </c>
      <c r="I742" s="15" t="s">
        <v>1586</v>
      </c>
      <c r="J742" s="15" t="s">
        <v>4468</v>
      </c>
      <c r="K742" s="15">
        <v>66.0</v>
      </c>
      <c r="L742" s="15">
        <v>66.0</v>
      </c>
      <c r="M742" s="40">
        <v>37536.0</v>
      </c>
      <c r="N742" s="41">
        <v>41236.0</v>
      </c>
      <c r="O742" s="15" t="s">
        <v>1554</v>
      </c>
      <c r="Q742" s="7"/>
    </row>
    <row r="743">
      <c r="A743" s="39" t="s">
        <v>4469</v>
      </c>
      <c r="B743" s="15">
        <v>211787.0</v>
      </c>
      <c r="C743" s="15" t="s">
        <v>4470</v>
      </c>
      <c r="D743" s="15">
        <v>14406.0</v>
      </c>
      <c r="E743" s="15" t="s">
        <v>1557</v>
      </c>
      <c r="F743" s="15" t="s">
        <v>1822</v>
      </c>
      <c r="G743" s="7">
        <v>7.461</v>
      </c>
      <c r="H743" s="15">
        <v>40.0</v>
      </c>
      <c r="I743" s="15" t="s">
        <v>1567</v>
      </c>
      <c r="J743" s="15" t="s">
        <v>4471</v>
      </c>
      <c r="K743" s="15">
        <v>7.0</v>
      </c>
      <c r="L743" s="15">
        <v>7.0</v>
      </c>
      <c r="M743" s="40">
        <v>37622.0</v>
      </c>
      <c r="N743" s="40">
        <v>42577.0</v>
      </c>
      <c r="O743" s="15" t="s">
        <v>1554</v>
      </c>
      <c r="Q743" s="7"/>
    </row>
    <row r="744">
      <c r="A744" s="39" t="s">
        <v>4472</v>
      </c>
      <c r="B744" s="15">
        <v>223325.0</v>
      </c>
      <c r="C744" s="15" t="s">
        <v>4474</v>
      </c>
      <c r="D744" s="15">
        <v>14407.0</v>
      </c>
      <c r="E744" s="15" t="s">
        <v>1808</v>
      </c>
      <c r="F744" s="15" t="s">
        <v>1809</v>
      </c>
      <c r="G744" s="7">
        <v>5.19</v>
      </c>
      <c r="H744" s="15" t="s">
        <v>4475</v>
      </c>
      <c r="I744" s="15" t="s">
        <v>1628</v>
      </c>
      <c r="J744" s="15" t="s">
        <v>4476</v>
      </c>
      <c r="K744" s="15">
        <v>6.0</v>
      </c>
      <c r="L744" s="15">
        <v>6.0</v>
      </c>
      <c r="M744" s="40">
        <v>37312.0</v>
      </c>
      <c r="N744" s="40">
        <v>39790.0</v>
      </c>
      <c r="O744" s="15" t="s">
        <v>1554</v>
      </c>
      <c r="Q744" s="7"/>
    </row>
    <row r="745">
      <c r="A745" s="39" t="s">
        <v>4477</v>
      </c>
      <c r="B745" s="15">
        <v>224399.0</v>
      </c>
      <c r="C745" s="15" t="s">
        <v>4478</v>
      </c>
      <c r="D745" s="15">
        <v>14408.0</v>
      </c>
      <c r="E745" s="15" t="s">
        <v>1557</v>
      </c>
      <c r="F745" s="15" t="s">
        <v>1992</v>
      </c>
      <c r="G745" s="7">
        <v>113.22</v>
      </c>
      <c r="H745" s="15" t="s">
        <v>4479</v>
      </c>
      <c r="I745" s="15" t="s">
        <v>1560</v>
      </c>
      <c r="J745" s="15" t="s">
        <v>4480</v>
      </c>
      <c r="K745" s="15">
        <v>125.0</v>
      </c>
      <c r="L745" s="15">
        <v>125.0</v>
      </c>
      <c r="M745" s="40">
        <v>37713.0</v>
      </c>
      <c r="N745" s="40">
        <v>38940.0</v>
      </c>
      <c r="O745" s="15" t="s">
        <v>1554</v>
      </c>
      <c r="Q745" s="7"/>
    </row>
    <row r="746">
      <c r="A746" s="39" t="s">
        <v>4481</v>
      </c>
      <c r="B746" s="15">
        <v>244310.0</v>
      </c>
      <c r="C746" s="15" t="s">
        <v>4482</v>
      </c>
      <c r="D746" s="15">
        <v>14409.0</v>
      </c>
      <c r="E746" s="15" t="s">
        <v>1557</v>
      </c>
      <c r="F746" s="15" t="s">
        <v>1767</v>
      </c>
      <c r="G746" s="7">
        <v>48.177</v>
      </c>
      <c r="H746" s="15" t="s">
        <v>3542</v>
      </c>
      <c r="I746" s="15" t="s">
        <v>1586</v>
      </c>
      <c r="J746" s="15" t="s">
        <v>4483</v>
      </c>
      <c r="K746" s="15">
        <v>71.0</v>
      </c>
      <c r="L746" s="15">
        <v>71.0</v>
      </c>
      <c r="M746" s="40">
        <v>37874.0</v>
      </c>
      <c r="N746" s="41">
        <v>41237.0</v>
      </c>
      <c r="O746" s="15" t="s">
        <v>1554</v>
      </c>
      <c r="Q746" s="7"/>
    </row>
    <row r="747">
      <c r="A747" s="39" t="s">
        <v>4484</v>
      </c>
      <c r="B747" s="15">
        <v>255131.0</v>
      </c>
      <c r="C747" s="15" t="s">
        <v>4485</v>
      </c>
      <c r="D747" s="15">
        <v>14410.0</v>
      </c>
      <c r="E747" s="15" t="s">
        <v>1557</v>
      </c>
      <c r="F747" s="15" t="s">
        <v>1833</v>
      </c>
      <c r="G747" s="7">
        <v>54.865</v>
      </c>
      <c r="H747" s="15" t="s">
        <v>1834</v>
      </c>
      <c r="I747" s="15" t="s">
        <v>1586</v>
      </c>
      <c r="J747" s="15" t="s">
        <v>4486</v>
      </c>
      <c r="K747" s="15">
        <v>83.0</v>
      </c>
      <c r="L747" s="15">
        <v>83.0</v>
      </c>
      <c r="M747" s="41">
        <v>37955.0</v>
      </c>
      <c r="N747" s="40">
        <v>39652.0</v>
      </c>
      <c r="O747" s="15" t="s">
        <v>1554</v>
      </c>
      <c r="Q747" s="7"/>
    </row>
    <row r="748">
      <c r="A748" s="39" t="s">
        <v>4488</v>
      </c>
      <c r="B748" s="15">
        <v>260373.0</v>
      </c>
      <c r="C748" s="15" t="s">
        <v>4489</v>
      </c>
      <c r="D748" s="15">
        <v>14411.0</v>
      </c>
      <c r="E748" s="15" t="s">
        <v>1557</v>
      </c>
      <c r="F748" s="15" t="s">
        <v>1767</v>
      </c>
      <c r="G748" s="7">
        <v>48.024</v>
      </c>
      <c r="H748" s="15" t="s">
        <v>2831</v>
      </c>
      <c r="I748" s="15" t="s">
        <v>1586</v>
      </c>
      <c r="J748" s="15" t="s">
        <v>4490</v>
      </c>
      <c r="K748" s="15">
        <v>65.0</v>
      </c>
      <c r="L748" s="15">
        <v>65.0</v>
      </c>
      <c r="M748" s="40">
        <v>37999.0</v>
      </c>
      <c r="N748" s="40">
        <v>39920.0</v>
      </c>
      <c r="O748" s="15" t="s">
        <v>1554</v>
      </c>
      <c r="Q748" s="7"/>
    </row>
    <row r="749">
      <c r="A749" s="39" t="s">
        <v>4491</v>
      </c>
      <c r="B749" s="15">
        <v>223329.0</v>
      </c>
      <c r="C749" s="15" t="s">
        <v>4492</v>
      </c>
      <c r="D749" s="15">
        <v>14412.0</v>
      </c>
      <c r="E749" s="15" t="s">
        <v>1808</v>
      </c>
      <c r="F749" s="15" t="s">
        <v>1809</v>
      </c>
      <c r="G749" s="7">
        <v>2.749</v>
      </c>
      <c r="H749" s="15" t="s">
        <v>2950</v>
      </c>
      <c r="I749" s="15" t="s">
        <v>1628</v>
      </c>
      <c r="J749" s="15" t="s">
        <v>4493</v>
      </c>
      <c r="K749" s="15">
        <v>6.0</v>
      </c>
      <c r="L749" s="15">
        <v>6.0</v>
      </c>
      <c r="M749" s="40">
        <v>37467.0</v>
      </c>
      <c r="N749" s="40">
        <v>39790.0</v>
      </c>
      <c r="O749" s="15" t="s">
        <v>1554</v>
      </c>
      <c r="Q749" s="7"/>
    </row>
    <row r="750">
      <c r="A750" s="39" t="s">
        <v>4494</v>
      </c>
      <c r="B750" s="15">
        <v>10680.0</v>
      </c>
      <c r="C750" s="15" t="s">
        <v>4495</v>
      </c>
      <c r="D750" s="15">
        <v>14414.0</v>
      </c>
      <c r="E750" s="15" t="s">
        <v>1557</v>
      </c>
      <c r="F750" s="15" t="s">
        <v>1767</v>
      </c>
      <c r="G750" s="7">
        <v>11.624</v>
      </c>
      <c r="H750" s="15" t="s">
        <v>1772</v>
      </c>
      <c r="I750" s="15" t="s">
        <v>1586</v>
      </c>
      <c r="J750" s="15" t="s">
        <v>4496</v>
      </c>
      <c r="K750" s="15">
        <v>19.0</v>
      </c>
      <c r="L750" s="15">
        <v>14.0</v>
      </c>
      <c r="M750" s="40">
        <v>32980.0</v>
      </c>
      <c r="N750" s="40">
        <v>42045.0</v>
      </c>
      <c r="O750" s="15" t="s">
        <v>1554</v>
      </c>
      <c r="Q750" s="7"/>
    </row>
    <row r="751">
      <c r="A751" s="39" t="s">
        <v>4497</v>
      </c>
      <c r="B751" s="15">
        <v>35343.0</v>
      </c>
      <c r="C751" s="15" t="s">
        <v>4498</v>
      </c>
      <c r="D751" s="15">
        <v>14415.0</v>
      </c>
      <c r="E751" s="15" t="s">
        <v>1557</v>
      </c>
      <c r="F751" s="15" t="s">
        <v>1767</v>
      </c>
      <c r="G751" s="7">
        <v>35.58</v>
      </c>
      <c r="H751" s="15" t="s">
        <v>4499</v>
      </c>
      <c r="I751" s="15" t="s">
        <v>1586</v>
      </c>
      <c r="J751" s="15" t="s">
        <v>4501</v>
      </c>
      <c r="K751" s="15">
        <v>47.0</v>
      </c>
      <c r="L751" s="15">
        <v>47.0</v>
      </c>
      <c r="M751" s="41">
        <v>36157.0</v>
      </c>
      <c r="N751" s="40">
        <v>42762.0</v>
      </c>
      <c r="O751" s="15" t="s">
        <v>1554</v>
      </c>
      <c r="Q751" s="7"/>
    </row>
    <row r="752">
      <c r="A752" s="39" t="s">
        <v>4502</v>
      </c>
      <c r="B752" s="15">
        <v>10381.0</v>
      </c>
      <c r="C752" s="15" t="s">
        <v>4503</v>
      </c>
      <c r="D752" s="15">
        <v>14417.0</v>
      </c>
      <c r="E752" s="15" t="s">
        <v>1557</v>
      </c>
      <c r="F752" s="15" t="s">
        <v>1827</v>
      </c>
      <c r="G752" s="7">
        <v>112.93</v>
      </c>
      <c r="H752" s="15" t="s">
        <v>3260</v>
      </c>
      <c r="I752" s="15" t="s">
        <v>1686</v>
      </c>
      <c r="J752" s="15" t="s">
        <v>4504</v>
      </c>
      <c r="K752" s="15">
        <v>76.0</v>
      </c>
      <c r="L752" s="15">
        <v>76.0</v>
      </c>
      <c r="M752" s="40">
        <v>33812.0</v>
      </c>
      <c r="N752" s="40">
        <v>42577.0</v>
      </c>
      <c r="O752" s="15" t="s">
        <v>1554</v>
      </c>
      <c r="Q752" s="7"/>
    </row>
    <row r="753">
      <c r="A753" s="39" t="s">
        <v>4505</v>
      </c>
      <c r="B753" s="15">
        <v>10331.0</v>
      </c>
      <c r="C753" s="15" t="s">
        <v>4506</v>
      </c>
      <c r="D753" s="15">
        <v>14418.0</v>
      </c>
      <c r="E753" s="15" t="s">
        <v>1557</v>
      </c>
      <c r="F753" s="15" t="s">
        <v>1827</v>
      </c>
      <c r="G753" s="7">
        <v>145.597</v>
      </c>
      <c r="H753" s="15" t="s">
        <v>2351</v>
      </c>
      <c r="I753" s="15" t="s">
        <v>1686</v>
      </c>
      <c r="J753" s="15" t="s">
        <v>4507</v>
      </c>
      <c r="K753" s="15">
        <v>79.0</v>
      </c>
      <c r="L753" s="15">
        <v>79.0</v>
      </c>
      <c r="M753" s="41">
        <v>35745.0</v>
      </c>
      <c r="N753" s="40">
        <v>40291.0</v>
      </c>
      <c r="O753" s="15" t="s">
        <v>1554</v>
      </c>
      <c r="Q753" s="7"/>
    </row>
    <row r="754">
      <c r="A754" s="39" t="s">
        <v>4509</v>
      </c>
      <c r="B754" s="15">
        <v>79700.0</v>
      </c>
      <c r="C754" s="15" t="s">
        <v>4510</v>
      </c>
      <c r="D754" s="15">
        <v>14419.0</v>
      </c>
      <c r="E754" s="15" t="s">
        <v>1557</v>
      </c>
      <c r="F754" s="15" t="s">
        <v>1827</v>
      </c>
      <c r="G754" s="7">
        <v>230.138</v>
      </c>
      <c r="H754" s="15">
        <v>61.0</v>
      </c>
      <c r="I754" s="15" t="s">
        <v>1686</v>
      </c>
      <c r="J754" s="15" t="s">
        <v>4511</v>
      </c>
      <c r="K754" s="15">
        <v>167.0</v>
      </c>
      <c r="L754" s="15">
        <v>167.0</v>
      </c>
      <c r="M754" s="40">
        <v>36752.0</v>
      </c>
      <c r="N754" s="40">
        <v>42453.0</v>
      </c>
      <c r="O754" s="15" t="s">
        <v>1554</v>
      </c>
      <c r="Q754" s="7"/>
    </row>
    <row r="755">
      <c r="A755" s="39" t="s">
        <v>4512</v>
      </c>
      <c r="B755" s="15">
        <v>148943.0</v>
      </c>
      <c r="C755" s="15" t="s">
        <v>4513</v>
      </c>
      <c r="D755" s="15">
        <v>14420.0</v>
      </c>
      <c r="E755" s="15" t="s">
        <v>1557</v>
      </c>
      <c r="F755" s="15" t="s">
        <v>1767</v>
      </c>
      <c r="G755" s="7">
        <v>129.908</v>
      </c>
      <c r="H755" s="15" t="s">
        <v>2163</v>
      </c>
      <c r="I755" s="15" t="s">
        <v>1586</v>
      </c>
      <c r="J755" s="15" t="s">
        <v>4514</v>
      </c>
      <c r="K755" s="15">
        <v>146.0</v>
      </c>
      <c r="L755" s="15">
        <v>146.0</v>
      </c>
      <c r="M755" s="40">
        <v>36908.0</v>
      </c>
      <c r="N755" s="40">
        <v>39925.0</v>
      </c>
      <c r="O755" s="15" t="s">
        <v>1554</v>
      </c>
      <c r="Q755" s="7"/>
    </row>
    <row r="756">
      <c r="A756" s="39" t="s">
        <v>4515</v>
      </c>
      <c r="B756" s="15">
        <v>188524.0</v>
      </c>
      <c r="C756" s="15" t="s">
        <v>4517</v>
      </c>
      <c r="D756" s="15">
        <v>14421.0</v>
      </c>
      <c r="E756" s="15" t="s">
        <v>1557</v>
      </c>
      <c r="F756" s="15" t="s">
        <v>1822</v>
      </c>
      <c r="G756" s="7">
        <v>43167.0</v>
      </c>
      <c r="H756" s="15" t="s">
        <v>3538</v>
      </c>
      <c r="I756" s="15" t="s">
        <v>1686</v>
      </c>
      <c r="J756" s="15" t="s">
        <v>4518</v>
      </c>
      <c r="K756" s="15">
        <v>7.0</v>
      </c>
      <c r="L756" s="15">
        <v>7.0</v>
      </c>
      <c r="M756" s="40">
        <v>37322.0</v>
      </c>
      <c r="N756" s="40">
        <v>42578.0</v>
      </c>
      <c r="O756" s="15" t="s">
        <v>1554</v>
      </c>
      <c r="Q756" s="7"/>
    </row>
    <row r="757">
      <c r="A757" s="39" t="s">
        <v>4519</v>
      </c>
      <c r="B757" s="15">
        <v>83534.0</v>
      </c>
      <c r="C757" s="15" t="s">
        <v>4520</v>
      </c>
      <c r="D757" s="15">
        <v>14423.0</v>
      </c>
      <c r="E757" s="15" t="s">
        <v>1557</v>
      </c>
      <c r="F757" s="15" t="s">
        <v>1827</v>
      </c>
      <c r="G757" s="7">
        <v>133.719</v>
      </c>
      <c r="H757" s="15" t="s">
        <v>4521</v>
      </c>
      <c r="I757" s="15" t="s">
        <v>1686</v>
      </c>
      <c r="J757" s="15" t="s">
        <v>4522</v>
      </c>
      <c r="K757" s="15">
        <v>89.0</v>
      </c>
      <c r="L757" s="15">
        <v>89.0</v>
      </c>
      <c r="M757" s="40">
        <v>36243.0</v>
      </c>
      <c r="N757" s="40">
        <v>40263.0</v>
      </c>
      <c r="O757" s="15" t="s">
        <v>1554</v>
      </c>
      <c r="Q757" s="7"/>
    </row>
    <row r="758">
      <c r="A758" s="39" t="s">
        <v>4523</v>
      </c>
      <c r="B758" s="15">
        <v>10345.0</v>
      </c>
      <c r="C758" s="15" t="s">
        <v>4524</v>
      </c>
      <c r="D758" s="15">
        <v>14424.0</v>
      </c>
      <c r="E758" s="15" t="s">
        <v>1557</v>
      </c>
      <c r="F758" s="15" t="s">
        <v>1827</v>
      </c>
      <c r="G758" s="7">
        <v>143.461</v>
      </c>
      <c r="H758" s="15" t="s">
        <v>4525</v>
      </c>
      <c r="I758" s="15" t="s">
        <v>1686</v>
      </c>
      <c r="J758" s="15" t="s">
        <v>4526</v>
      </c>
      <c r="K758" s="15">
        <v>70.0</v>
      </c>
      <c r="L758" s="15">
        <v>69.0</v>
      </c>
      <c r="M758" s="41">
        <v>37975.0</v>
      </c>
      <c r="N758" s="40">
        <v>40291.0</v>
      </c>
      <c r="O758" s="15" t="s">
        <v>1554</v>
      </c>
      <c r="Q758" s="7"/>
    </row>
    <row r="759">
      <c r="A759" s="39" t="s">
        <v>4528</v>
      </c>
      <c r="B759" s="15">
        <v>37325.0</v>
      </c>
      <c r="C759" s="15" t="s">
        <v>4529</v>
      </c>
      <c r="D759" s="15">
        <v>14425.0</v>
      </c>
      <c r="E759" s="15" t="s">
        <v>1808</v>
      </c>
      <c r="F759" s="15" t="s">
        <v>2436</v>
      </c>
      <c r="G759" s="7">
        <v>5.132</v>
      </c>
      <c r="H759" s="15" t="s">
        <v>1745</v>
      </c>
      <c r="I759" s="15" t="s">
        <v>1686</v>
      </c>
      <c r="J759" s="15" t="s">
        <v>4530</v>
      </c>
      <c r="K759" s="15">
        <v>2.0</v>
      </c>
      <c r="L759" s="15">
        <v>4.0</v>
      </c>
      <c r="M759" s="41">
        <v>35045.0</v>
      </c>
      <c r="N759" s="40">
        <v>40352.0</v>
      </c>
      <c r="O759" s="15" t="s">
        <v>1554</v>
      </c>
      <c r="Q759" s="7"/>
    </row>
    <row r="760">
      <c r="A760" s="39" t="s">
        <v>4531</v>
      </c>
      <c r="B760" s="15">
        <v>82300.0</v>
      </c>
      <c r="C760" s="15" t="s">
        <v>4532</v>
      </c>
      <c r="D760" s="15">
        <v>14426.0</v>
      </c>
      <c r="E760" s="15" t="s">
        <v>1808</v>
      </c>
      <c r="F760" s="15" t="s">
        <v>2436</v>
      </c>
      <c r="G760" s="7">
        <v>4.642</v>
      </c>
      <c r="H760" s="15" t="s">
        <v>3468</v>
      </c>
      <c r="I760" s="15" t="s">
        <v>1567</v>
      </c>
      <c r="J760" s="15" t="s">
        <v>4533</v>
      </c>
      <c r="K760" s="15">
        <v>2.0</v>
      </c>
      <c r="L760" s="15">
        <v>2.0</v>
      </c>
      <c r="M760" s="40">
        <v>36200.0</v>
      </c>
      <c r="N760" s="40">
        <v>39790.0</v>
      </c>
      <c r="O760" s="15" t="s">
        <v>1554</v>
      </c>
      <c r="Q760" s="7"/>
    </row>
    <row r="761">
      <c r="A761" s="39" t="s">
        <v>4535</v>
      </c>
      <c r="B761" s="15">
        <v>59817.0</v>
      </c>
      <c r="C761" s="15" t="s">
        <v>4536</v>
      </c>
      <c r="D761" s="15">
        <v>14427.0</v>
      </c>
      <c r="E761" s="15" t="s">
        <v>1808</v>
      </c>
      <c r="F761" s="15" t="s">
        <v>1854</v>
      </c>
      <c r="G761" s="7">
        <v>7.993</v>
      </c>
      <c r="H761" s="15" t="s">
        <v>4537</v>
      </c>
      <c r="I761" s="15" t="s">
        <v>1628</v>
      </c>
      <c r="J761" s="15" t="s">
        <v>4538</v>
      </c>
      <c r="K761" s="15">
        <v>8.0</v>
      </c>
      <c r="L761" s="15">
        <v>9.0</v>
      </c>
      <c r="M761" s="40">
        <v>36313.0</v>
      </c>
      <c r="N761" s="41">
        <v>42297.0</v>
      </c>
      <c r="O761" s="15" t="s">
        <v>1554</v>
      </c>
      <c r="Q761" s="7"/>
    </row>
    <row r="762">
      <c r="A762" s="39" t="s">
        <v>4539</v>
      </c>
      <c r="B762" s="15">
        <v>127441.0</v>
      </c>
      <c r="C762" s="15" t="s">
        <v>4541</v>
      </c>
      <c r="D762" s="15">
        <v>14429.0</v>
      </c>
      <c r="E762" s="15" t="s">
        <v>2014</v>
      </c>
      <c r="F762" s="15" t="s">
        <v>1578</v>
      </c>
      <c r="G762" s="7">
        <v>0.893</v>
      </c>
      <c r="H762" s="15" t="s">
        <v>4542</v>
      </c>
      <c r="I762" s="15" t="s">
        <v>1628</v>
      </c>
      <c r="J762" s="15" t="s">
        <v>4543</v>
      </c>
      <c r="K762" s="15" t="s">
        <v>1722</v>
      </c>
      <c r="L762" s="15" t="s">
        <v>1722</v>
      </c>
      <c r="M762" s="40">
        <v>36685.0</v>
      </c>
      <c r="N762" s="40">
        <v>39790.0</v>
      </c>
      <c r="O762" s="15" t="s">
        <v>1554</v>
      </c>
      <c r="Q762" s="7"/>
    </row>
    <row r="763">
      <c r="A763" s="39" t="s">
        <v>4544</v>
      </c>
      <c r="B763" s="15">
        <v>135749.0</v>
      </c>
      <c r="C763" s="15" t="s">
        <v>4545</v>
      </c>
      <c r="D763" s="15">
        <v>14430.0</v>
      </c>
      <c r="E763" s="15" t="s">
        <v>2014</v>
      </c>
      <c r="F763" s="15" t="s">
        <v>1578</v>
      </c>
      <c r="G763" s="7">
        <v>0.822</v>
      </c>
      <c r="H763" s="15">
        <v>46.0</v>
      </c>
      <c r="I763" s="15" t="s">
        <v>1628</v>
      </c>
      <c r="J763" s="15" t="s">
        <v>4546</v>
      </c>
      <c r="K763" s="15">
        <v>1.0</v>
      </c>
      <c r="L763" s="15" t="s">
        <v>1722</v>
      </c>
      <c r="M763" s="41">
        <v>35729.0</v>
      </c>
      <c r="N763" s="40">
        <v>39790.0</v>
      </c>
      <c r="O763" s="15" t="s">
        <v>1554</v>
      </c>
      <c r="Q763" s="7"/>
    </row>
    <row r="764">
      <c r="A764" s="39" t="s">
        <v>4548</v>
      </c>
      <c r="B764" s="15">
        <v>193119.0</v>
      </c>
      <c r="C764" s="15" t="s">
        <v>4549</v>
      </c>
      <c r="D764" s="15">
        <v>14432.0</v>
      </c>
      <c r="E764" s="15" t="s">
        <v>2014</v>
      </c>
      <c r="F764" s="15" t="s">
        <v>1578</v>
      </c>
      <c r="G764" s="7">
        <v>0.717</v>
      </c>
      <c r="H764" s="15" t="s">
        <v>2996</v>
      </c>
      <c r="I764" s="15" t="s">
        <v>1628</v>
      </c>
      <c r="J764" s="15" t="s">
        <v>4550</v>
      </c>
      <c r="K764" s="15" t="s">
        <v>1722</v>
      </c>
      <c r="L764" s="15" t="s">
        <v>1722</v>
      </c>
      <c r="M764" s="40">
        <v>34400.0</v>
      </c>
      <c r="N764" s="40">
        <v>39645.0</v>
      </c>
      <c r="O764" s="15" t="s">
        <v>1554</v>
      </c>
      <c r="Q764" s="7"/>
    </row>
    <row r="765">
      <c r="A765" s="39" t="s">
        <v>4551</v>
      </c>
      <c r="B765" s="15">
        <v>11303.0</v>
      </c>
      <c r="C765" s="15" t="s">
        <v>4552</v>
      </c>
      <c r="D765" s="15">
        <v>14434.0</v>
      </c>
      <c r="E765" s="15" t="s">
        <v>1548</v>
      </c>
      <c r="F765" s="15" t="s">
        <v>1890</v>
      </c>
      <c r="G765" s="7">
        <v>43357.0</v>
      </c>
      <c r="H765" s="15" t="s">
        <v>4553</v>
      </c>
      <c r="I765" s="15" t="s">
        <v>4554</v>
      </c>
      <c r="J765" s="15" t="s">
        <v>4555</v>
      </c>
      <c r="K765" s="15">
        <v>11.0</v>
      </c>
      <c r="L765" s="15">
        <v>12.0</v>
      </c>
      <c r="M765" s="40">
        <v>36775.0</v>
      </c>
      <c r="N765" s="40">
        <v>39939.0</v>
      </c>
      <c r="O765" s="15" t="s">
        <v>1554</v>
      </c>
      <c r="Q765" s="7"/>
    </row>
    <row r="766">
      <c r="A766" s="39" t="s">
        <v>4557</v>
      </c>
      <c r="B766" s="15">
        <v>11757.0</v>
      </c>
      <c r="C766" s="15" t="s">
        <v>4558</v>
      </c>
      <c r="D766" s="15">
        <v>14435.0</v>
      </c>
      <c r="E766" s="15" t="s">
        <v>1916</v>
      </c>
      <c r="F766" s="15" t="s">
        <v>2532</v>
      </c>
      <c r="G766" s="7">
        <v>8.805</v>
      </c>
      <c r="H766" s="15" t="s">
        <v>2869</v>
      </c>
      <c r="I766" s="15" t="s">
        <v>1686</v>
      </c>
      <c r="J766" s="15" t="s">
        <v>4559</v>
      </c>
      <c r="K766" s="15">
        <v>7.0</v>
      </c>
      <c r="L766" s="15">
        <v>5.0</v>
      </c>
      <c r="M766" s="40">
        <v>35816.0</v>
      </c>
      <c r="N766" s="40">
        <v>39790.0</v>
      </c>
      <c r="O766" s="15" t="s">
        <v>1554</v>
      </c>
      <c r="Q766" s="7"/>
    </row>
    <row r="767">
      <c r="A767" s="39" t="s">
        <v>4560</v>
      </c>
      <c r="B767" s="15">
        <v>126070.0</v>
      </c>
      <c r="C767" s="15" t="s">
        <v>4562</v>
      </c>
      <c r="D767" s="15">
        <v>14437.0</v>
      </c>
      <c r="E767" s="15" t="s">
        <v>1808</v>
      </c>
      <c r="F767" s="15" t="s">
        <v>1998</v>
      </c>
      <c r="G767" s="7">
        <v>2.037</v>
      </c>
      <c r="H767" s="15" t="s">
        <v>4563</v>
      </c>
      <c r="I767" s="15" t="s">
        <v>1686</v>
      </c>
      <c r="J767" s="15" t="s">
        <v>4564</v>
      </c>
      <c r="K767" s="15">
        <v>5.0</v>
      </c>
      <c r="L767" s="15">
        <v>5.0</v>
      </c>
      <c r="M767" s="40">
        <v>36682.0</v>
      </c>
      <c r="N767" s="40">
        <v>42458.0</v>
      </c>
      <c r="O767" s="15" t="s">
        <v>1554</v>
      </c>
      <c r="Q767" s="7"/>
    </row>
    <row r="768">
      <c r="A768" s="39" t="s">
        <v>4565</v>
      </c>
      <c r="B768" s="15">
        <v>134386.0</v>
      </c>
      <c r="C768" s="15" t="s">
        <v>4566</v>
      </c>
      <c r="D768" s="15">
        <v>14438.0</v>
      </c>
      <c r="E768" s="15" t="s">
        <v>2014</v>
      </c>
      <c r="F768" s="15" t="s">
        <v>2018</v>
      </c>
      <c r="G768" s="7">
        <v>1.351</v>
      </c>
      <c r="H768" s="15" t="s">
        <v>3000</v>
      </c>
      <c r="I768" s="15" t="s">
        <v>1628</v>
      </c>
      <c r="J768" s="15" t="s">
        <v>4568</v>
      </c>
      <c r="K768" s="15">
        <v>1.0</v>
      </c>
      <c r="L768" s="15">
        <v>1.0</v>
      </c>
      <c r="M768" s="40">
        <v>37078.0</v>
      </c>
      <c r="N768" s="40">
        <v>40126.0</v>
      </c>
      <c r="O768" s="15" t="s">
        <v>1554</v>
      </c>
      <c r="Q768" s="7"/>
    </row>
    <row r="769">
      <c r="A769" s="39" t="s">
        <v>4569</v>
      </c>
      <c r="B769" s="15">
        <v>169687.0</v>
      </c>
      <c r="C769" s="15" t="s">
        <v>4570</v>
      </c>
      <c r="D769" s="15">
        <v>14439.0</v>
      </c>
      <c r="E769" s="15" t="s">
        <v>2014</v>
      </c>
      <c r="F769" s="15" t="s">
        <v>2018</v>
      </c>
      <c r="G769" s="7">
        <v>1.351</v>
      </c>
      <c r="H769" s="15">
        <v>36.0</v>
      </c>
      <c r="I769" s="15" t="s">
        <v>1628</v>
      </c>
      <c r="J769" s="15" t="s">
        <v>4571</v>
      </c>
      <c r="K769" s="15">
        <v>1.0</v>
      </c>
      <c r="L769" s="15">
        <v>1.0</v>
      </c>
      <c r="M769" s="40">
        <v>37827.0</v>
      </c>
      <c r="N769" s="40">
        <v>42457.0</v>
      </c>
      <c r="O769" s="15" t="s">
        <v>1554</v>
      </c>
      <c r="Q769" s="7"/>
    </row>
    <row r="770">
      <c r="A770" s="39" t="s">
        <v>4573</v>
      </c>
      <c r="B770" s="15">
        <v>169691.0</v>
      </c>
      <c r="C770" s="15" t="s">
        <v>4574</v>
      </c>
      <c r="D770" s="15">
        <v>14442.0</v>
      </c>
      <c r="E770" s="15" t="s">
        <v>2014</v>
      </c>
      <c r="F770" s="15" t="s">
        <v>2018</v>
      </c>
      <c r="G770" s="7">
        <v>1.356</v>
      </c>
      <c r="H770" s="15">
        <v>37.0</v>
      </c>
      <c r="I770" s="15" t="s">
        <v>1628</v>
      </c>
      <c r="J770" s="15" t="s">
        <v>4575</v>
      </c>
      <c r="K770" s="15">
        <v>1.0</v>
      </c>
      <c r="L770" s="15">
        <v>1.0</v>
      </c>
      <c r="M770" s="40">
        <v>37827.0</v>
      </c>
      <c r="N770" s="40">
        <v>42583.0</v>
      </c>
      <c r="O770" s="15" t="s">
        <v>1554</v>
      </c>
      <c r="Q770" s="7"/>
    </row>
    <row r="771">
      <c r="A771" s="39" t="s">
        <v>4576</v>
      </c>
      <c r="B771" s="15">
        <v>169693.0</v>
      </c>
      <c r="C771" s="15" t="s">
        <v>4577</v>
      </c>
      <c r="D771" s="15">
        <v>14443.0</v>
      </c>
      <c r="E771" s="15" t="s">
        <v>2014</v>
      </c>
      <c r="F771" s="15" t="s">
        <v>2018</v>
      </c>
      <c r="G771" s="7">
        <v>1.307</v>
      </c>
      <c r="H771" s="15" t="s">
        <v>2334</v>
      </c>
      <c r="I771" s="15" t="s">
        <v>1628</v>
      </c>
      <c r="J771" s="15" t="s">
        <v>4578</v>
      </c>
      <c r="K771" s="15">
        <v>1.0</v>
      </c>
      <c r="L771" s="15">
        <v>1.0</v>
      </c>
      <c r="M771" s="40">
        <v>37827.0</v>
      </c>
      <c r="N771" s="40">
        <v>39790.0</v>
      </c>
      <c r="O771" s="15" t="s">
        <v>1554</v>
      </c>
      <c r="Q771" s="7"/>
    </row>
    <row r="772">
      <c r="A772" s="39" t="s">
        <v>4579</v>
      </c>
      <c r="B772" s="15">
        <v>185750.0</v>
      </c>
      <c r="C772" s="15" t="s">
        <v>4581</v>
      </c>
      <c r="D772" s="15">
        <v>14444.0</v>
      </c>
      <c r="E772" s="15" t="s">
        <v>2014</v>
      </c>
      <c r="F772" s="15" t="s">
        <v>2018</v>
      </c>
      <c r="G772" s="7">
        <v>1.347</v>
      </c>
      <c r="H772" s="15" t="s">
        <v>1696</v>
      </c>
      <c r="I772" s="15" t="s">
        <v>1628</v>
      </c>
      <c r="J772" s="15" t="s">
        <v>4582</v>
      </c>
      <c r="K772" s="15">
        <v>1.0</v>
      </c>
      <c r="L772" s="15">
        <v>1.0</v>
      </c>
      <c r="M772" s="40">
        <v>36687.0</v>
      </c>
      <c r="N772" s="40">
        <v>39790.0</v>
      </c>
      <c r="O772" s="15" t="s">
        <v>1554</v>
      </c>
      <c r="Q772" s="7"/>
    </row>
    <row r="773">
      <c r="A773" s="39" t="s">
        <v>4583</v>
      </c>
      <c r="B773" s="15">
        <v>219596.0</v>
      </c>
      <c r="C773" s="15" t="s">
        <v>4584</v>
      </c>
      <c r="D773" s="15">
        <v>14446.0</v>
      </c>
      <c r="E773" s="15" t="s">
        <v>2014</v>
      </c>
      <c r="F773" s="15" t="s">
        <v>2018</v>
      </c>
      <c r="G773" s="7">
        <v>1.354</v>
      </c>
      <c r="H773" s="15" t="s">
        <v>2193</v>
      </c>
      <c r="I773" s="15" t="s">
        <v>1628</v>
      </c>
      <c r="J773" s="15" t="s">
        <v>4585</v>
      </c>
      <c r="K773" s="15">
        <v>1.0</v>
      </c>
      <c r="L773" s="15">
        <v>1.0</v>
      </c>
      <c r="M773" s="40">
        <v>37641.0</v>
      </c>
      <c r="N773" s="40">
        <v>39790.0</v>
      </c>
      <c r="O773" s="15" t="s">
        <v>1554</v>
      </c>
      <c r="Q773" s="7"/>
    </row>
    <row r="774">
      <c r="A774" s="39" t="s">
        <v>4586</v>
      </c>
      <c r="B774" s="15">
        <v>221054.0</v>
      </c>
      <c r="C774" s="15" t="s">
        <v>4587</v>
      </c>
      <c r="D774" s="15">
        <v>14447.0</v>
      </c>
      <c r="E774" s="15" t="s">
        <v>2014</v>
      </c>
      <c r="F774" s="15" t="s">
        <v>2018</v>
      </c>
      <c r="G774" s="7">
        <v>1.356</v>
      </c>
      <c r="H774" s="15">
        <v>41.0</v>
      </c>
      <c r="I774" s="15" t="s">
        <v>1628</v>
      </c>
      <c r="J774" s="15" t="s">
        <v>4589</v>
      </c>
      <c r="K774" s="15">
        <v>1.0</v>
      </c>
      <c r="L774" s="15">
        <v>1.0</v>
      </c>
      <c r="M774" s="40">
        <v>37627.0</v>
      </c>
      <c r="N774" s="40">
        <v>39790.0</v>
      </c>
      <c r="O774" s="15" t="s">
        <v>1554</v>
      </c>
      <c r="Q774" s="7"/>
    </row>
    <row r="775">
      <c r="A775" s="39" t="s">
        <v>4590</v>
      </c>
      <c r="B775" s="15">
        <v>714640.0</v>
      </c>
      <c r="C775" s="15" t="s">
        <v>4591</v>
      </c>
      <c r="D775" s="15">
        <v>14448.0</v>
      </c>
      <c r="E775" s="15" t="s">
        <v>2014</v>
      </c>
      <c r="F775" s="15" t="s">
        <v>2018</v>
      </c>
      <c r="G775" s="7">
        <v>1.372</v>
      </c>
      <c r="H775" s="15" t="s">
        <v>2375</v>
      </c>
      <c r="I775" s="15" t="s">
        <v>1628</v>
      </c>
      <c r="J775" s="15" t="s">
        <v>4592</v>
      </c>
      <c r="K775" s="15">
        <v>1.0</v>
      </c>
      <c r="L775" s="15">
        <v>1.0</v>
      </c>
      <c r="M775" s="40">
        <v>37718.0</v>
      </c>
      <c r="N775" s="40">
        <v>39645.0</v>
      </c>
      <c r="O775" s="15" t="s">
        <v>1554</v>
      </c>
      <c r="Q775" s="7"/>
    </row>
    <row r="776">
      <c r="A776" s="39" t="s">
        <v>4593</v>
      </c>
      <c r="B776" s="15">
        <v>234829.0</v>
      </c>
      <c r="C776" s="15" t="s">
        <v>4594</v>
      </c>
      <c r="D776" s="15">
        <v>14449.0</v>
      </c>
      <c r="E776" s="15" t="s">
        <v>2014</v>
      </c>
      <c r="F776" s="15" t="s">
        <v>2018</v>
      </c>
      <c r="G776" s="7">
        <v>1.342</v>
      </c>
      <c r="H776" s="15" t="s">
        <v>4595</v>
      </c>
      <c r="I776" s="15" t="s">
        <v>1628</v>
      </c>
      <c r="J776" s="15" t="s">
        <v>4596</v>
      </c>
      <c r="K776" s="15">
        <v>1.0</v>
      </c>
      <c r="L776" s="15">
        <v>1.0</v>
      </c>
      <c r="M776" s="40">
        <v>37789.0</v>
      </c>
      <c r="N776" s="40">
        <v>39939.0</v>
      </c>
      <c r="O776" s="15" t="s">
        <v>1554</v>
      </c>
      <c r="Q776" s="7"/>
    </row>
    <row r="777">
      <c r="A777" s="39" t="s">
        <v>4597</v>
      </c>
      <c r="B777" s="15">
        <v>478812.0</v>
      </c>
      <c r="C777" s="15" t="s">
        <v>4598</v>
      </c>
      <c r="D777" s="15">
        <v>14451.0</v>
      </c>
      <c r="E777" s="15" t="s">
        <v>2014</v>
      </c>
      <c r="F777" s="15" t="s">
        <v>2018</v>
      </c>
      <c r="G777" s="7">
        <v>1.012</v>
      </c>
      <c r="H777" s="15" t="s">
        <v>2197</v>
      </c>
      <c r="I777" s="15" t="s">
        <v>1628</v>
      </c>
      <c r="J777" s="15" t="s">
        <v>4599</v>
      </c>
      <c r="K777" s="15">
        <v>1.0</v>
      </c>
      <c r="L777" s="15">
        <v>1.0</v>
      </c>
      <c r="M777" s="41">
        <v>37976.0</v>
      </c>
      <c r="N777" s="40">
        <v>39790.0</v>
      </c>
      <c r="O777" s="15" t="s">
        <v>1554</v>
      </c>
      <c r="Q777" s="7"/>
    </row>
    <row r="778">
      <c r="A778" s="39" t="s">
        <v>4601</v>
      </c>
      <c r="B778" s="15">
        <v>263578.0</v>
      </c>
      <c r="C778" s="15" t="s">
        <v>4602</v>
      </c>
      <c r="D778" s="15">
        <v>14452.0</v>
      </c>
      <c r="E778" s="15" t="s">
        <v>2014</v>
      </c>
      <c r="F778" s="15" t="s">
        <v>2018</v>
      </c>
      <c r="G778" s="7">
        <v>1.36</v>
      </c>
      <c r="H778" s="15" t="s">
        <v>3568</v>
      </c>
      <c r="I778" s="15" t="s">
        <v>1628</v>
      </c>
      <c r="J778" s="15" t="s">
        <v>4603</v>
      </c>
      <c r="K778" s="15">
        <v>1.0</v>
      </c>
      <c r="L778" s="15">
        <v>1.0</v>
      </c>
      <c r="M778" s="40">
        <v>38034.0</v>
      </c>
      <c r="N778" s="40">
        <v>39645.0</v>
      </c>
      <c r="O778" s="15" t="s">
        <v>1554</v>
      </c>
      <c r="Q778" s="7"/>
    </row>
    <row r="779">
      <c r="A779" s="39" t="s">
        <v>4604</v>
      </c>
      <c r="B779" s="15">
        <v>77856.0</v>
      </c>
      <c r="C779" s="15" t="s">
        <v>4605</v>
      </c>
      <c r="D779" s="15">
        <v>14453.0</v>
      </c>
      <c r="E779" s="15" t="s">
        <v>1808</v>
      </c>
      <c r="F779" s="15" t="s">
        <v>1998</v>
      </c>
      <c r="G779" s="7">
        <v>1.993</v>
      </c>
      <c r="H779" s="15" t="s">
        <v>4606</v>
      </c>
      <c r="I779" s="15" t="s">
        <v>1686</v>
      </c>
      <c r="J779" s="15" t="s">
        <v>4607</v>
      </c>
      <c r="K779" s="15">
        <v>3.0</v>
      </c>
      <c r="L779" s="15">
        <v>3.0</v>
      </c>
      <c r="M779" s="40">
        <v>36047.0</v>
      </c>
      <c r="N779" s="40">
        <v>42454.0</v>
      </c>
      <c r="O779" s="15" t="s">
        <v>1554</v>
      </c>
      <c r="Q779" s="7"/>
    </row>
    <row r="780">
      <c r="A780" s="39" t="s">
        <v>4609</v>
      </c>
      <c r="B780" s="15">
        <v>202812.0</v>
      </c>
      <c r="C780" s="15" t="s">
        <v>4610</v>
      </c>
      <c r="D780" s="15">
        <v>14454.0</v>
      </c>
      <c r="E780" s="15" t="s">
        <v>1808</v>
      </c>
      <c r="F780" s="15" t="s">
        <v>2436</v>
      </c>
      <c r="G780" s="7">
        <v>4.721</v>
      </c>
      <c r="H780" s="15" t="s">
        <v>4113</v>
      </c>
      <c r="I780" s="15" t="s">
        <v>1686</v>
      </c>
      <c r="J780" s="15" t="s">
        <v>4611</v>
      </c>
      <c r="K780" s="15">
        <v>2.0</v>
      </c>
      <c r="L780" s="15">
        <v>2.0</v>
      </c>
      <c r="M780" s="40">
        <v>37501.0</v>
      </c>
      <c r="N780" s="40">
        <v>40248.0</v>
      </c>
      <c r="O780" s="15" t="s">
        <v>1554</v>
      </c>
      <c r="Q780" s="7"/>
    </row>
    <row r="781">
      <c r="A781" s="39" t="s">
        <v>4612</v>
      </c>
      <c r="B781" s="15">
        <v>202813.0</v>
      </c>
      <c r="C781" s="15" t="s">
        <v>4613</v>
      </c>
      <c r="D781" s="15">
        <v>14455.0</v>
      </c>
      <c r="E781" s="15" t="s">
        <v>1808</v>
      </c>
      <c r="F781" s="15" t="s">
        <v>2436</v>
      </c>
      <c r="G781" s="7">
        <v>4.393</v>
      </c>
      <c r="H781" s="15" t="s">
        <v>4614</v>
      </c>
      <c r="I781" s="15" t="s">
        <v>1686</v>
      </c>
      <c r="J781" s="15" t="s">
        <v>4615</v>
      </c>
      <c r="K781" s="15">
        <v>2.0</v>
      </c>
      <c r="L781" s="15">
        <v>2.0</v>
      </c>
      <c r="M781" s="40">
        <v>37501.0</v>
      </c>
      <c r="N781" s="40">
        <v>40248.0</v>
      </c>
      <c r="O781" s="15" t="s">
        <v>1554</v>
      </c>
      <c r="Q781" s="7"/>
    </row>
    <row r="782">
      <c r="A782" s="39" t="s">
        <v>4617</v>
      </c>
      <c r="B782" s="15">
        <v>219704.0</v>
      </c>
      <c r="C782" s="15" t="s">
        <v>4618</v>
      </c>
      <c r="D782" s="15">
        <v>14456.0</v>
      </c>
      <c r="E782" s="15" t="s">
        <v>1808</v>
      </c>
      <c r="F782" s="15" t="s">
        <v>2436</v>
      </c>
      <c r="G782" s="7">
        <v>4.694</v>
      </c>
      <c r="H782" s="15" t="s">
        <v>3246</v>
      </c>
      <c r="I782" s="15" t="s">
        <v>1686</v>
      </c>
      <c r="J782" s="15" t="s">
        <v>4619</v>
      </c>
      <c r="K782" s="15">
        <v>2.0</v>
      </c>
      <c r="L782" s="15">
        <v>2.0</v>
      </c>
      <c r="M782" s="40">
        <v>37777.0</v>
      </c>
      <c r="N782" s="40">
        <v>39790.0</v>
      </c>
      <c r="O782" s="15" t="s">
        <v>1554</v>
      </c>
      <c r="Q782" s="7"/>
    </row>
    <row r="783">
      <c r="A783" s="39" t="s">
        <v>4620</v>
      </c>
      <c r="B783" s="15">
        <v>12657.0</v>
      </c>
      <c r="C783" s="15" t="s">
        <v>4621</v>
      </c>
      <c r="D783" s="15">
        <v>14457.0</v>
      </c>
      <c r="E783" s="15" t="s">
        <v>1557</v>
      </c>
      <c r="F783" s="15" t="s">
        <v>1827</v>
      </c>
      <c r="G783" s="7">
        <v>184.439</v>
      </c>
      <c r="H783" s="15" t="s">
        <v>4415</v>
      </c>
      <c r="I783" s="15" t="s">
        <v>1686</v>
      </c>
      <c r="J783" s="15" t="s">
        <v>4622</v>
      </c>
      <c r="K783" s="15">
        <v>79.0</v>
      </c>
      <c r="L783" s="15">
        <v>78.0</v>
      </c>
      <c r="M783" s="40">
        <v>34765.0</v>
      </c>
      <c r="N783" s="40">
        <v>43012.0</v>
      </c>
      <c r="O783" s="15" t="s">
        <v>1554</v>
      </c>
      <c r="Q783" s="7"/>
    </row>
    <row r="784">
      <c r="A784" s="39" t="s">
        <v>4623</v>
      </c>
      <c r="B784" s="15">
        <v>33708.0</v>
      </c>
      <c r="C784" s="15" t="s">
        <v>4624</v>
      </c>
      <c r="D784" s="15">
        <v>14458.0</v>
      </c>
      <c r="E784" s="15" t="s">
        <v>1557</v>
      </c>
      <c r="F784" s="15" t="s">
        <v>1827</v>
      </c>
      <c r="G784" s="7">
        <v>119.451</v>
      </c>
      <c r="H784" s="15" t="s">
        <v>1700</v>
      </c>
      <c r="I784" s="15" t="s">
        <v>1686</v>
      </c>
      <c r="J784" s="15" t="s">
        <v>4625</v>
      </c>
      <c r="K784" s="15">
        <v>80.0</v>
      </c>
      <c r="L784" s="15">
        <v>80.0</v>
      </c>
      <c r="M784" s="40">
        <v>35654.0</v>
      </c>
      <c r="N784" s="40">
        <v>42650.0</v>
      </c>
      <c r="O784" s="15" t="s">
        <v>1554</v>
      </c>
      <c r="Q784" s="7"/>
    </row>
    <row r="785">
      <c r="A785" s="39" t="s">
        <v>4627</v>
      </c>
      <c r="B785" s="15">
        <v>31757.0</v>
      </c>
      <c r="C785" s="15" t="s">
        <v>4628</v>
      </c>
      <c r="D785" s="15">
        <v>14459.0</v>
      </c>
      <c r="E785" s="15" t="s">
        <v>1557</v>
      </c>
      <c r="F785" s="15" t="s">
        <v>1833</v>
      </c>
      <c r="G785" s="7">
        <v>52.297</v>
      </c>
      <c r="H785" s="15" t="s">
        <v>2094</v>
      </c>
      <c r="I785" s="15" t="s">
        <v>1586</v>
      </c>
      <c r="J785" s="15" t="s">
        <v>4629</v>
      </c>
      <c r="K785" s="15">
        <v>93.0</v>
      </c>
      <c r="L785" s="15">
        <v>90.0</v>
      </c>
      <c r="M785" s="40">
        <v>34023.0</v>
      </c>
      <c r="N785" s="40">
        <v>41663.0</v>
      </c>
      <c r="O785" s="15" t="s">
        <v>1554</v>
      </c>
      <c r="Q785" s="7"/>
    </row>
    <row r="786">
      <c r="A786" s="39" t="s">
        <v>4630</v>
      </c>
      <c r="B786" s="15">
        <v>281492.0</v>
      </c>
      <c r="C786" s="15" t="s">
        <v>4631</v>
      </c>
      <c r="D786" s="15">
        <v>14463.0</v>
      </c>
      <c r="E786" s="15" t="s">
        <v>1808</v>
      </c>
      <c r="F786" s="15" t="s">
        <v>2436</v>
      </c>
      <c r="G786" s="7">
        <v>4.682</v>
      </c>
      <c r="H786" s="15" t="s">
        <v>3246</v>
      </c>
      <c r="I786" s="15" t="s">
        <v>1686</v>
      </c>
      <c r="J786" s="15" t="s">
        <v>4632</v>
      </c>
      <c r="K786" s="15">
        <v>2.0</v>
      </c>
      <c r="L786" s="15">
        <v>2.0</v>
      </c>
      <c r="M786" s="40">
        <v>38164.0</v>
      </c>
      <c r="N786" s="40">
        <v>40357.0</v>
      </c>
      <c r="O786" s="15" t="s">
        <v>1554</v>
      </c>
      <c r="Q786" s="7"/>
    </row>
    <row r="787">
      <c r="A787" s="39" t="s">
        <v>4634</v>
      </c>
      <c r="B787" s="15">
        <v>10258.0</v>
      </c>
      <c r="C787" s="15" t="s">
        <v>4635</v>
      </c>
      <c r="D787" s="15">
        <v>14464.0</v>
      </c>
      <c r="E787" s="15" t="s">
        <v>1557</v>
      </c>
      <c r="F787" s="15" t="s">
        <v>2028</v>
      </c>
      <c r="G787" s="7">
        <v>139.962</v>
      </c>
      <c r="H787" s="15" t="s">
        <v>2831</v>
      </c>
      <c r="I787" s="15" t="s">
        <v>1567</v>
      </c>
      <c r="J787" s="15" t="s">
        <v>4636</v>
      </c>
      <c r="K787" s="15">
        <v>130.0</v>
      </c>
      <c r="L787" s="15">
        <v>130.0</v>
      </c>
      <c r="M787" s="41">
        <v>37978.0</v>
      </c>
      <c r="N787" s="40">
        <v>40521.0</v>
      </c>
      <c r="O787" s="15" t="s">
        <v>1554</v>
      </c>
      <c r="Q787" s="7"/>
    </row>
    <row r="788">
      <c r="A788" s="39" t="s">
        <v>4637</v>
      </c>
      <c r="B788" s="15">
        <v>10326.0</v>
      </c>
      <c r="C788" s="15" t="s">
        <v>4638</v>
      </c>
      <c r="D788" s="15">
        <v>14465.0</v>
      </c>
      <c r="E788" s="15" t="s">
        <v>1557</v>
      </c>
      <c r="F788" s="15" t="s">
        <v>1827</v>
      </c>
      <c r="G788" s="7">
        <v>150.224</v>
      </c>
      <c r="H788" s="15" t="s">
        <v>1778</v>
      </c>
      <c r="I788" s="15" t="s">
        <v>1686</v>
      </c>
      <c r="J788" s="15" t="s">
        <v>4639</v>
      </c>
      <c r="K788" s="15">
        <v>80.0</v>
      </c>
      <c r="L788" s="15">
        <v>80.0</v>
      </c>
      <c r="M788" s="40">
        <v>34183.0</v>
      </c>
      <c r="N788" s="40">
        <v>40291.0</v>
      </c>
      <c r="O788" s="15" t="s">
        <v>1554</v>
      </c>
      <c r="Q788" s="7"/>
    </row>
    <row r="789">
      <c r="A789" s="39" t="s">
        <v>4641</v>
      </c>
      <c r="B789" s="15">
        <v>38804.0</v>
      </c>
      <c r="C789" s="15" t="s">
        <v>4642</v>
      </c>
      <c r="D789" s="15">
        <v>14466.0</v>
      </c>
      <c r="E789" s="15" t="s">
        <v>1557</v>
      </c>
      <c r="F789" s="15" t="s">
        <v>2028</v>
      </c>
      <c r="G789" s="7">
        <v>134.721</v>
      </c>
      <c r="H789" s="42">
        <v>43341.0</v>
      </c>
      <c r="I789" s="15" t="s">
        <v>1567</v>
      </c>
      <c r="J789" s="15" t="s">
        <v>4643</v>
      </c>
      <c r="K789" s="15">
        <v>140.0</v>
      </c>
      <c r="L789" s="15">
        <v>140.0</v>
      </c>
      <c r="M789" s="40">
        <v>37927.0</v>
      </c>
      <c r="N789" s="41">
        <v>41235.0</v>
      </c>
      <c r="O789" s="15" t="s">
        <v>1554</v>
      </c>
      <c r="Q789" s="7"/>
    </row>
    <row r="790">
      <c r="A790" s="39" t="s">
        <v>4644</v>
      </c>
      <c r="B790" s="15">
        <v>45455.0</v>
      </c>
      <c r="C790" s="15" t="s">
        <v>4645</v>
      </c>
      <c r="D790" s="15">
        <v>14467.0</v>
      </c>
      <c r="E790" s="15" t="s">
        <v>1557</v>
      </c>
      <c r="F790" s="15" t="s">
        <v>1827</v>
      </c>
      <c r="G790" s="7">
        <v>171.096</v>
      </c>
      <c r="H790" s="15" t="s">
        <v>3890</v>
      </c>
      <c r="I790" s="15" t="s">
        <v>1686</v>
      </c>
      <c r="J790" s="15" t="s">
        <v>4646</v>
      </c>
      <c r="K790" s="15">
        <v>79.0</v>
      </c>
      <c r="L790" s="15">
        <v>80.0</v>
      </c>
      <c r="M790" s="41">
        <v>37256.0</v>
      </c>
      <c r="N790" s="40">
        <v>40263.0</v>
      </c>
      <c r="O790" s="15" t="s">
        <v>1554</v>
      </c>
      <c r="Q790" s="7"/>
    </row>
    <row r="791">
      <c r="A791" s="39" t="s">
        <v>4647</v>
      </c>
      <c r="B791" s="15">
        <v>103930.0</v>
      </c>
      <c r="C791" s="15" t="s">
        <v>4648</v>
      </c>
      <c r="D791" s="15">
        <v>14468.0</v>
      </c>
      <c r="E791" s="15" t="s">
        <v>1557</v>
      </c>
      <c r="F791" s="15" t="s">
        <v>1827</v>
      </c>
      <c r="G791" s="7">
        <v>221.454</v>
      </c>
      <c r="H791" s="15" t="s">
        <v>2000</v>
      </c>
      <c r="I791" s="15" t="s">
        <v>1686</v>
      </c>
      <c r="J791" s="15" t="s">
        <v>4650</v>
      </c>
      <c r="K791" s="15">
        <v>223.0</v>
      </c>
      <c r="L791" s="15">
        <v>223.0</v>
      </c>
      <c r="M791" s="40">
        <v>37776.0</v>
      </c>
      <c r="N791" s="40">
        <v>40414.0</v>
      </c>
      <c r="O791" s="15" t="s">
        <v>1554</v>
      </c>
      <c r="Q791" s="7"/>
    </row>
    <row r="792">
      <c r="A792" s="39" t="s">
        <v>4651</v>
      </c>
      <c r="B792" s="15">
        <v>129727.0</v>
      </c>
      <c r="C792" s="15" t="s">
        <v>4652</v>
      </c>
      <c r="D792" s="15">
        <v>14469.0</v>
      </c>
      <c r="E792" s="15" t="s">
        <v>1557</v>
      </c>
      <c r="F792" s="15" t="s">
        <v>2028</v>
      </c>
      <c r="G792" s="7">
        <v>134.431</v>
      </c>
      <c r="H792" s="15" t="s">
        <v>4653</v>
      </c>
      <c r="I792" s="15" t="s">
        <v>1686</v>
      </c>
      <c r="J792" s="15" t="s">
        <v>4654</v>
      </c>
      <c r="K792" s="15">
        <v>131.0</v>
      </c>
      <c r="L792" s="15">
        <v>131.0</v>
      </c>
      <c r="M792" s="41">
        <v>37978.0</v>
      </c>
      <c r="N792" s="41">
        <v>41236.0</v>
      </c>
      <c r="O792" s="15" t="s">
        <v>1554</v>
      </c>
      <c r="Q792" s="7"/>
    </row>
    <row r="793">
      <c r="A793" s="39" t="s">
        <v>4655</v>
      </c>
      <c r="B793" s="15">
        <v>175814.0</v>
      </c>
      <c r="C793" s="15" t="s">
        <v>4656</v>
      </c>
      <c r="D793" s="15">
        <v>14470.0</v>
      </c>
      <c r="E793" s="15" t="s">
        <v>1916</v>
      </c>
      <c r="F793" s="15" t="s">
        <v>1917</v>
      </c>
      <c r="G793" s="7">
        <v>8.253</v>
      </c>
      <c r="H793" s="15" t="s">
        <v>2158</v>
      </c>
      <c r="I793" s="15" t="s">
        <v>1628</v>
      </c>
      <c r="J793" s="15" t="s">
        <v>4657</v>
      </c>
      <c r="K793" s="15">
        <v>7.0</v>
      </c>
      <c r="L793" s="15">
        <v>7.0</v>
      </c>
      <c r="M793" s="40">
        <v>37533.0</v>
      </c>
      <c r="N793" s="40">
        <v>40121.0</v>
      </c>
      <c r="O793" s="15" t="s">
        <v>1554</v>
      </c>
      <c r="Q793" s="7"/>
    </row>
    <row r="794">
      <c r="A794" s="39" t="s">
        <v>4659</v>
      </c>
      <c r="B794" s="15">
        <v>225067.0</v>
      </c>
      <c r="D794" s="15">
        <v>0.0</v>
      </c>
      <c r="E794" s="15" t="s">
        <v>1808</v>
      </c>
      <c r="F794" s="15" t="s">
        <v>3154</v>
      </c>
      <c r="G794" s="7">
        <v>4.554</v>
      </c>
      <c r="H794" s="15">
        <v>41.0</v>
      </c>
      <c r="I794" s="15" t="s">
        <v>1586</v>
      </c>
      <c r="J794" s="15" t="s">
        <v>4660</v>
      </c>
      <c r="K794" s="15">
        <v>8.0</v>
      </c>
      <c r="L794" s="15">
        <v>8.0</v>
      </c>
      <c r="M794" s="40">
        <v>38126.0</v>
      </c>
      <c r="N794" s="40">
        <v>39961.0</v>
      </c>
      <c r="O794" s="15" t="s">
        <v>1554</v>
      </c>
      <c r="Q794" s="7"/>
    </row>
    <row r="795">
      <c r="A795" s="39" t="s">
        <v>4661</v>
      </c>
      <c r="B795" s="15">
        <v>256729.0</v>
      </c>
      <c r="C795" s="15" t="s">
        <v>4662</v>
      </c>
      <c r="D795" s="15">
        <v>14472.0</v>
      </c>
      <c r="E795" s="15" t="s">
        <v>1557</v>
      </c>
      <c r="F795" s="15" t="s">
        <v>3454</v>
      </c>
      <c r="G795" s="7">
        <v>186.25</v>
      </c>
      <c r="H795" s="42">
        <v>43158.0</v>
      </c>
      <c r="I795" s="15" t="s">
        <v>1686</v>
      </c>
      <c r="J795" s="15" t="s">
        <v>4663</v>
      </c>
      <c r="K795" s="15">
        <v>239.0</v>
      </c>
      <c r="L795" s="15">
        <v>239.0</v>
      </c>
      <c r="M795" s="40">
        <v>38152.0</v>
      </c>
      <c r="N795" s="40">
        <v>42577.0</v>
      </c>
      <c r="O795" s="15" t="s">
        <v>1554</v>
      </c>
      <c r="Q795" s="7"/>
    </row>
    <row r="796">
      <c r="A796" s="39" t="s">
        <v>4664</v>
      </c>
      <c r="B796" s="15">
        <v>260372.0</v>
      </c>
      <c r="C796" s="15" t="s">
        <v>4665</v>
      </c>
      <c r="D796" s="15">
        <v>14473.0</v>
      </c>
      <c r="E796" s="15" t="s">
        <v>1557</v>
      </c>
      <c r="F796" s="15" t="s">
        <v>1611</v>
      </c>
      <c r="G796" s="7">
        <v>39.853</v>
      </c>
      <c r="H796" s="15" t="s">
        <v>3973</v>
      </c>
      <c r="I796" s="15" t="s">
        <v>1586</v>
      </c>
      <c r="J796" s="15" t="s">
        <v>4667</v>
      </c>
      <c r="K796" s="15">
        <v>47.0</v>
      </c>
      <c r="L796" s="15">
        <v>47.0</v>
      </c>
      <c r="M796" s="40">
        <v>38007.0</v>
      </c>
      <c r="N796" s="40">
        <v>40612.0</v>
      </c>
      <c r="O796" s="15" t="s">
        <v>1554</v>
      </c>
      <c r="Q796" s="7"/>
    </row>
    <row r="797">
      <c r="A797" s="39" t="s">
        <v>4668</v>
      </c>
      <c r="B797" s="15">
        <v>270140.0</v>
      </c>
      <c r="C797" s="15" t="s">
        <v>4669</v>
      </c>
      <c r="D797" s="15">
        <v>14474.0</v>
      </c>
      <c r="E797" s="15" t="s">
        <v>1808</v>
      </c>
      <c r="F797" s="15" t="s">
        <v>1809</v>
      </c>
      <c r="G797" s="7">
        <v>2.763</v>
      </c>
      <c r="H797" s="15" t="s">
        <v>1591</v>
      </c>
      <c r="I797" s="15" t="s">
        <v>1628</v>
      </c>
      <c r="J797" s="15" t="s">
        <v>4670</v>
      </c>
      <c r="K797" s="15">
        <v>6.0</v>
      </c>
      <c r="L797" s="15">
        <v>6.0</v>
      </c>
      <c r="M797" s="40">
        <v>37794.0</v>
      </c>
      <c r="N797" s="40">
        <v>40248.0</v>
      </c>
      <c r="O797" s="15" t="s">
        <v>1554</v>
      </c>
      <c r="Q797" s="7"/>
    </row>
    <row r="798">
      <c r="A798" s="39" t="s">
        <v>4671</v>
      </c>
      <c r="B798" s="15">
        <v>279530.0</v>
      </c>
      <c r="C798" s="15" t="s">
        <v>4672</v>
      </c>
      <c r="D798" s="15">
        <v>14476.0</v>
      </c>
      <c r="E798" s="15" t="s">
        <v>1557</v>
      </c>
      <c r="F798" s="15" t="s">
        <v>1767</v>
      </c>
      <c r="G798" s="7">
        <v>47.399</v>
      </c>
      <c r="H798" s="15" t="s">
        <v>4673</v>
      </c>
      <c r="I798" s="15" t="s">
        <v>1586</v>
      </c>
      <c r="J798" s="15" t="s">
        <v>4674</v>
      </c>
      <c r="K798" s="15">
        <v>73.0</v>
      </c>
      <c r="L798" s="15">
        <v>73.0</v>
      </c>
      <c r="M798" s="40">
        <v>38139.0</v>
      </c>
      <c r="N798" s="40">
        <v>42577.0</v>
      </c>
      <c r="O798" s="15" t="s">
        <v>1554</v>
      </c>
      <c r="Q798" s="7"/>
    </row>
    <row r="799">
      <c r="A799" s="39" t="s">
        <v>4675</v>
      </c>
      <c r="B799" s="15">
        <v>252602.0</v>
      </c>
      <c r="C799" s="15" t="s">
        <v>4676</v>
      </c>
      <c r="D799" s="15">
        <v>14477.0</v>
      </c>
      <c r="E799" s="15" t="s">
        <v>1808</v>
      </c>
      <c r="F799" s="15" t="s">
        <v>2436</v>
      </c>
      <c r="G799" s="7">
        <v>4.432</v>
      </c>
      <c r="H799" s="15" t="s">
        <v>1792</v>
      </c>
      <c r="I799" s="15" t="s">
        <v>1686</v>
      </c>
      <c r="J799" s="15" t="s">
        <v>4677</v>
      </c>
      <c r="K799" s="15">
        <v>2.0</v>
      </c>
      <c r="L799" s="15">
        <v>2.0</v>
      </c>
      <c r="M799" s="40">
        <v>38047.0</v>
      </c>
      <c r="N799" s="40">
        <v>40291.0</v>
      </c>
      <c r="O799" s="15" t="s">
        <v>1554</v>
      </c>
      <c r="Q799" s="7"/>
    </row>
    <row r="800">
      <c r="A800" s="39" t="s">
        <v>4679</v>
      </c>
      <c r="B800" s="15">
        <v>10754.0</v>
      </c>
      <c r="C800" s="15" t="s">
        <v>4680</v>
      </c>
      <c r="D800" s="15">
        <v>14478.0</v>
      </c>
      <c r="E800" s="15" t="s">
        <v>1557</v>
      </c>
      <c r="F800" s="15" t="s">
        <v>1611</v>
      </c>
      <c r="G800" s="7">
        <v>41.724</v>
      </c>
      <c r="H800" s="15" t="s">
        <v>2836</v>
      </c>
      <c r="I800" s="15" t="s">
        <v>1586</v>
      </c>
      <c r="J800" s="15" t="s">
        <v>4681</v>
      </c>
      <c r="K800" s="15">
        <v>74.0</v>
      </c>
      <c r="L800" s="15">
        <v>72.0</v>
      </c>
      <c r="M800" s="40">
        <v>36687.0</v>
      </c>
      <c r="N800" s="40">
        <v>39612.0</v>
      </c>
      <c r="O800" s="15" t="s">
        <v>1554</v>
      </c>
      <c r="Q800" s="7"/>
    </row>
    <row r="801">
      <c r="A801" s="39" t="s">
        <v>4682</v>
      </c>
      <c r="B801" s="15">
        <v>12180.0</v>
      </c>
      <c r="C801" s="15" t="s">
        <v>4683</v>
      </c>
      <c r="D801" s="15">
        <v>14660.0</v>
      </c>
      <c r="E801" s="15" t="s">
        <v>1548</v>
      </c>
      <c r="F801" s="15" t="s">
        <v>1633</v>
      </c>
      <c r="G801" s="7">
        <v>6.955</v>
      </c>
      <c r="H801" s="15" t="s">
        <v>1844</v>
      </c>
      <c r="I801" s="15" t="s">
        <v>1628</v>
      </c>
      <c r="J801" s="15" t="s">
        <v>4684</v>
      </c>
      <c r="K801" s="15">
        <v>6.0</v>
      </c>
      <c r="L801" s="15">
        <v>6.0</v>
      </c>
      <c r="M801" s="40">
        <v>34088.0</v>
      </c>
      <c r="N801" s="40">
        <v>42045.0</v>
      </c>
      <c r="O801" s="15" t="s">
        <v>1554</v>
      </c>
      <c r="Q801" s="7"/>
    </row>
    <row r="802">
      <c r="A802" s="39" t="s">
        <v>4685</v>
      </c>
      <c r="B802" s="15">
        <v>28375.0</v>
      </c>
      <c r="C802" s="15" t="s">
        <v>4686</v>
      </c>
      <c r="D802" s="15">
        <v>14661.0</v>
      </c>
      <c r="E802" s="15" t="s">
        <v>1548</v>
      </c>
      <c r="F802" s="15" t="s">
        <v>2615</v>
      </c>
      <c r="G802" s="7">
        <v>10.692</v>
      </c>
      <c r="H802" s="15" t="s">
        <v>4688</v>
      </c>
      <c r="I802" s="15" t="s">
        <v>1628</v>
      </c>
      <c r="J802" s="15" t="s">
        <v>4689</v>
      </c>
      <c r="K802" s="15">
        <v>6.0</v>
      </c>
      <c r="L802" s="15">
        <v>6.0</v>
      </c>
      <c r="M802" s="40">
        <v>34132.0</v>
      </c>
      <c r="N802" s="40">
        <v>39790.0</v>
      </c>
      <c r="O802" s="15" t="s">
        <v>1554</v>
      </c>
      <c r="Q802" s="7"/>
    </row>
    <row r="803">
      <c r="A803" s="39" t="s">
        <v>4690</v>
      </c>
      <c r="B803" s="15">
        <v>40281.0</v>
      </c>
      <c r="C803" s="15" t="s">
        <v>4691</v>
      </c>
      <c r="D803" s="15">
        <v>14664.0</v>
      </c>
      <c r="E803" s="15" t="s">
        <v>1638</v>
      </c>
      <c r="F803" s="15" t="s">
        <v>4692</v>
      </c>
      <c r="G803" s="7">
        <v>12.734</v>
      </c>
      <c r="H803" s="15" t="s">
        <v>1756</v>
      </c>
      <c r="I803" s="15" t="s">
        <v>1552</v>
      </c>
      <c r="J803" s="15" t="s">
        <v>4693</v>
      </c>
      <c r="K803" s="15">
        <v>2.0</v>
      </c>
      <c r="L803" s="15">
        <v>2.0</v>
      </c>
      <c r="M803" s="40">
        <v>34183.0</v>
      </c>
      <c r="N803" s="41">
        <v>40147.0</v>
      </c>
      <c r="O803" s="15" t="s">
        <v>1554</v>
      </c>
      <c r="Q803" s="7"/>
    </row>
    <row r="804">
      <c r="A804" s="39" t="s">
        <v>4694</v>
      </c>
      <c r="B804" s="15">
        <v>11746.0</v>
      </c>
      <c r="C804" s="15" t="s">
        <v>4695</v>
      </c>
      <c r="D804" s="15">
        <v>14665.0</v>
      </c>
      <c r="E804" s="15" t="s">
        <v>1916</v>
      </c>
      <c r="F804" s="15" t="s">
        <v>2532</v>
      </c>
      <c r="G804" s="7">
        <v>7.462</v>
      </c>
      <c r="H804" s="15" t="s">
        <v>2428</v>
      </c>
      <c r="I804" s="15" t="s">
        <v>1686</v>
      </c>
      <c r="J804" s="15" t="s">
        <v>4697</v>
      </c>
      <c r="K804" s="15">
        <v>4.0</v>
      </c>
      <c r="L804" s="15">
        <v>5.0</v>
      </c>
      <c r="M804" s="40">
        <v>34183.0</v>
      </c>
      <c r="N804" s="41">
        <v>40147.0</v>
      </c>
      <c r="O804" s="15" t="s">
        <v>1554</v>
      </c>
      <c r="Q804" s="7"/>
    </row>
    <row r="805">
      <c r="A805" s="39" t="s">
        <v>4698</v>
      </c>
      <c r="B805" s="15">
        <v>58103.0</v>
      </c>
      <c r="C805" s="15" t="s">
        <v>4699</v>
      </c>
      <c r="D805" s="15">
        <v>14666.0</v>
      </c>
      <c r="E805" s="15" t="s">
        <v>1638</v>
      </c>
      <c r="F805" s="15" t="s">
        <v>1639</v>
      </c>
      <c r="G805" s="7">
        <v>5.284</v>
      </c>
      <c r="H805" s="15" t="s">
        <v>2660</v>
      </c>
      <c r="I805" s="15" t="s">
        <v>1740</v>
      </c>
      <c r="J805" s="15" t="s">
        <v>4700</v>
      </c>
      <c r="K805" s="15">
        <v>3.0</v>
      </c>
      <c r="L805" s="15">
        <v>3.0</v>
      </c>
      <c r="M805" s="40">
        <v>34183.0</v>
      </c>
      <c r="N805" s="40">
        <v>40357.0</v>
      </c>
      <c r="O805" s="15" t="s">
        <v>1554</v>
      </c>
      <c r="Q805" s="7"/>
    </row>
    <row r="806">
      <c r="A806" s="39" t="s">
        <v>4701</v>
      </c>
      <c r="B806" s="15">
        <v>12321.0</v>
      </c>
      <c r="C806" s="15" t="s">
        <v>4702</v>
      </c>
      <c r="D806" s="15">
        <v>14667.0</v>
      </c>
      <c r="E806" s="15" t="s">
        <v>1548</v>
      </c>
      <c r="F806" s="15" t="s">
        <v>1926</v>
      </c>
      <c r="G806" s="7">
        <v>8.274</v>
      </c>
      <c r="H806" s="15" t="s">
        <v>4704</v>
      </c>
      <c r="I806" s="15" t="s">
        <v>1628</v>
      </c>
      <c r="J806" s="15" t="s">
        <v>4705</v>
      </c>
      <c r="K806" s="15">
        <v>4.0</v>
      </c>
      <c r="L806" s="15">
        <v>4.0</v>
      </c>
      <c r="M806" s="40">
        <v>31358.0</v>
      </c>
      <c r="N806" s="40">
        <v>39645.0</v>
      </c>
      <c r="O806" s="15" t="s">
        <v>1554</v>
      </c>
      <c r="Q806" s="7"/>
    </row>
    <row r="807">
      <c r="A807" s="39" t="s">
        <v>4706</v>
      </c>
      <c r="B807" s="15">
        <v>11663.0</v>
      </c>
      <c r="C807" s="15" t="s">
        <v>4707</v>
      </c>
      <c r="D807" s="15">
        <v>14668.0</v>
      </c>
      <c r="E807" s="15" t="s">
        <v>1916</v>
      </c>
      <c r="F807" s="15" t="s">
        <v>2532</v>
      </c>
      <c r="G807" s="7">
        <v>9.256</v>
      </c>
      <c r="H807" s="15" t="s">
        <v>2141</v>
      </c>
      <c r="I807" s="15" t="s">
        <v>1686</v>
      </c>
      <c r="J807" s="15" t="s">
        <v>4708</v>
      </c>
      <c r="K807" s="15">
        <v>6.0</v>
      </c>
      <c r="L807" s="15">
        <v>6.0</v>
      </c>
      <c r="M807" s="40">
        <v>33131.0</v>
      </c>
      <c r="N807" s="40">
        <v>42577.0</v>
      </c>
      <c r="O807" s="15" t="s">
        <v>1554</v>
      </c>
      <c r="Q807" s="7"/>
    </row>
    <row r="808">
      <c r="A808" s="39" t="s">
        <v>4710</v>
      </c>
      <c r="B808" s="15">
        <v>12153.0</v>
      </c>
      <c r="C808" s="15" t="s">
        <v>4711</v>
      </c>
      <c r="D808" s="15">
        <v>14669.0</v>
      </c>
      <c r="E808" s="15" t="s">
        <v>1548</v>
      </c>
      <c r="F808" s="15" t="s">
        <v>2032</v>
      </c>
      <c r="G808" s="7">
        <v>6.211</v>
      </c>
      <c r="H808" s="15" t="s">
        <v>1750</v>
      </c>
      <c r="I808" s="15" t="s">
        <v>2034</v>
      </c>
      <c r="J808" s="15" t="s">
        <v>4712</v>
      </c>
      <c r="K808" s="15">
        <v>3.0</v>
      </c>
      <c r="L808" s="15">
        <v>3.0</v>
      </c>
      <c r="M808" s="40">
        <v>33131.0</v>
      </c>
      <c r="N808" s="40">
        <v>42045.0</v>
      </c>
      <c r="O808" s="15" t="s">
        <v>1554</v>
      </c>
      <c r="Q808" s="7"/>
    </row>
    <row r="809">
      <c r="A809" s="39" t="s">
        <v>4713</v>
      </c>
      <c r="B809" s="15">
        <v>12241.0</v>
      </c>
      <c r="C809" s="15" t="s">
        <v>4714</v>
      </c>
      <c r="D809" s="15">
        <v>14671.0</v>
      </c>
      <c r="E809" s="15" t="s">
        <v>1548</v>
      </c>
      <c r="F809" s="15" t="s">
        <v>2615</v>
      </c>
      <c r="G809" s="7">
        <v>6.355</v>
      </c>
      <c r="H809" s="15" t="s">
        <v>1559</v>
      </c>
      <c r="I809" s="15" t="s">
        <v>1628</v>
      </c>
      <c r="J809" s="15" t="s">
        <v>4715</v>
      </c>
      <c r="K809" s="15">
        <v>4.0</v>
      </c>
      <c r="L809" s="15">
        <v>4.0</v>
      </c>
      <c r="M809" s="40">
        <v>33131.0</v>
      </c>
      <c r="N809" s="40">
        <v>42045.0</v>
      </c>
      <c r="O809" s="15" t="s">
        <v>1554</v>
      </c>
      <c r="Q809" s="7"/>
    </row>
    <row r="810">
      <c r="A810" s="39" t="s">
        <v>4717</v>
      </c>
      <c r="B810" s="15">
        <v>12881.0</v>
      </c>
      <c r="C810" s="15" t="s">
        <v>4718</v>
      </c>
      <c r="D810" s="15">
        <v>14672.0</v>
      </c>
      <c r="E810" s="15" t="s">
        <v>1659</v>
      </c>
      <c r="F810" s="15" t="s">
        <v>1578</v>
      </c>
      <c r="G810" s="7">
        <v>1.239</v>
      </c>
      <c r="H810" s="15" t="s">
        <v>1844</v>
      </c>
      <c r="I810" s="15" t="s">
        <v>1628</v>
      </c>
      <c r="J810" s="15" t="s">
        <v>4719</v>
      </c>
      <c r="K810" s="15">
        <v>1.0</v>
      </c>
      <c r="L810" s="15">
        <v>1.0</v>
      </c>
      <c r="M810" s="40">
        <v>30111.0</v>
      </c>
      <c r="N810" s="40">
        <v>39871.0</v>
      </c>
      <c r="O810" s="15" t="s">
        <v>1554</v>
      </c>
      <c r="Q810" s="7"/>
    </row>
    <row r="811">
      <c r="A811" s="39" t="s">
        <v>4720</v>
      </c>
      <c r="B811" s="15">
        <v>11277.0</v>
      </c>
      <c r="C811" s="15" t="s">
        <v>4721</v>
      </c>
      <c r="D811" s="15">
        <v>14673.0</v>
      </c>
      <c r="E811" s="15" t="s">
        <v>1548</v>
      </c>
      <c r="F811" s="15" t="s">
        <v>1890</v>
      </c>
      <c r="G811" s="7">
        <v>11.161</v>
      </c>
      <c r="H811" s="15" t="s">
        <v>2428</v>
      </c>
      <c r="I811" s="15" t="s">
        <v>1567</v>
      </c>
      <c r="J811" s="15" t="s">
        <v>4722</v>
      </c>
      <c r="K811" s="15">
        <v>5.0</v>
      </c>
      <c r="L811" s="15">
        <v>6.0</v>
      </c>
      <c r="M811" s="40">
        <v>32582.0</v>
      </c>
      <c r="N811" s="40">
        <v>40611.0</v>
      </c>
      <c r="O811" s="15" t="s">
        <v>1554</v>
      </c>
      <c r="Q811" s="7"/>
    </row>
    <row r="812">
      <c r="A812" s="39" t="s">
        <v>4723</v>
      </c>
      <c r="B812" s="15">
        <v>31711.0</v>
      </c>
      <c r="C812" s="15" t="s">
        <v>4725</v>
      </c>
      <c r="D812" s="15">
        <v>14674.0</v>
      </c>
      <c r="E812" s="15" t="s">
        <v>1548</v>
      </c>
      <c r="F812" s="15" t="s">
        <v>2900</v>
      </c>
      <c r="G812" s="7">
        <v>4.041</v>
      </c>
      <c r="H812" s="15" t="s">
        <v>2296</v>
      </c>
      <c r="I812" s="15" t="s">
        <v>1628</v>
      </c>
      <c r="J812" s="15" t="s">
        <v>4726</v>
      </c>
      <c r="K812" s="15">
        <v>4.0</v>
      </c>
      <c r="L812" s="15">
        <v>4.0</v>
      </c>
      <c r="M812" s="40">
        <v>34185.0</v>
      </c>
      <c r="N812" s="40">
        <v>40357.0</v>
      </c>
      <c r="O812" s="15" t="s">
        <v>1554</v>
      </c>
      <c r="Q812" s="7"/>
    </row>
    <row r="813">
      <c r="A813" s="39" t="s">
        <v>4727</v>
      </c>
      <c r="B813" s="15">
        <v>11290.0</v>
      </c>
      <c r="C813" s="15" t="s">
        <v>4728</v>
      </c>
      <c r="D813" s="15">
        <v>14677.0</v>
      </c>
      <c r="E813" s="15" t="s">
        <v>1548</v>
      </c>
      <c r="F813" s="15" t="s">
        <v>1890</v>
      </c>
      <c r="G813" s="7">
        <v>11.131</v>
      </c>
      <c r="H813" s="15" t="s">
        <v>2284</v>
      </c>
      <c r="I813" s="15" t="s">
        <v>1686</v>
      </c>
      <c r="J813" s="15" t="s">
        <v>4729</v>
      </c>
      <c r="K813" s="15">
        <v>6.0</v>
      </c>
      <c r="L813" s="15">
        <v>6.0</v>
      </c>
      <c r="M813" s="40">
        <v>34780.0</v>
      </c>
      <c r="N813" s="41">
        <v>40147.0</v>
      </c>
      <c r="O813" s="15" t="s">
        <v>1554</v>
      </c>
      <c r="Q813" s="7"/>
    </row>
    <row r="814">
      <c r="A814" s="39" t="s">
        <v>4731</v>
      </c>
      <c r="B814" s="15">
        <v>12450.0</v>
      </c>
      <c r="C814" s="15" t="s">
        <v>4732</v>
      </c>
      <c r="D814" s="15">
        <v>14678.0</v>
      </c>
      <c r="E814" s="15" t="s">
        <v>1638</v>
      </c>
      <c r="F814" s="15" t="s">
        <v>1578</v>
      </c>
      <c r="G814" s="7">
        <v>1.801</v>
      </c>
      <c r="H814" s="15" t="s">
        <v>2950</v>
      </c>
      <c r="I814" s="15" t="s">
        <v>1552</v>
      </c>
      <c r="J814" s="15" t="s">
        <v>4733</v>
      </c>
      <c r="K814" s="15">
        <v>1.0</v>
      </c>
      <c r="L814" s="15">
        <v>1.0</v>
      </c>
      <c r="M814" s="40">
        <v>35402.0</v>
      </c>
      <c r="N814" s="41">
        <v>40147.0</v>
      </c>
      <c r="O814" s="15" t="s">
        <v>1554</v>
      </c>
      <c r="Q814" s="7"/>
    </row>
    <row r="815">
      <c r="A815" s="39" t="s">
        <v>4734</v>
      </c>
      <c r="B815" s="15">
        <v>11020.0</v>
      </c>
      <c r="C815" s="15" t="s">
        <v>4735</v>
      </c>
      <c r="D815" s="15">
        <v>14679.0</v>
      </c>
      <c r="E815" s="15" t="s">
        <v>1548</v>
      </c>
      <c r="F815" s="15" t="s">
        <v>3181</v>
      </c>
      <c r="G815" s="7">
        <v>11.488</v>
      </c>
      <c r="H815" s="15" t="s">
        <v>4736</v>
      </c>
      <c r="I815" s="15" t="s">
        <v>4737</v>
      </c>
      <c r="J815" s="15" t="s">
        <v>4738</v>
      </c>
      <c r="K815" s="15">
        <v>4.0</v>
      </c>
      <c r="L815" s="15">
        <v>4.0</v>
      </c>
      <c r="M815" s="40">
        <v>35444.0</v>
      </c>
      <c r="N815" s="40">
        <v>42045.0</v>
      </c>
      <c r="O815" s="15" t="s">
        <v>1554</v>
      </c>
      <c r="Q815" s="7"/>
    </row>
    <row r="816">
      <c r="A816" s="39" t="s">
        <v>4739</v>
      </c>
      <c r="B816" s="15">
        <v>12235.0</v>
      </c>
      <c r="C816" s="15" t="s">
        <v>4741</v>
      </c>
      <c r="D816" s="15">
        <v>14681.0</v>
      </c>
      <c r="E816" s="15" t="s">
        <v>1548</v>
      </c>
      <c r="F816" s="15" t="s">
        <v>2615</v>
      </c>
      <c r="G816" s="7">
        <v>6.424</v>
      </c>
      <c r="H816" s="15" t="s">
        <v>2178</v>
      </c>
      <c r="I816" s="15" t="s">
        <v>1628</v>
      </c>
      <c r="J816" s="15" t="s">
        <v>4742</v>
      </c>
      <c r="K816" s="15">
        <v>4.0</v>
      </c>
      <c r="L816" s="15">
        <v>4.0</v>
      </c>
      <c r="M816" s="40">
        <v>34088.0</v>
      </c>
      <c r="N816" s="40">
        <v>39790.0</v>
      </c>
      <c r="O816" s="15" t="s">
        <v>1554</v>
      </c>
      <c r="Q816" s="7"/>
    </row>
    <row r="817">
      <c r="A817" s="39" t="s">
        <v>4743</v>
      </c>
      <c r="B817" s="15">
        <v>64279.0</v>
      </c>
      <c r="C817" s="15" t="s">
        <v>4744</v>
      </c>
      <c r="D817" s="15">
        <v>14682.0</v>
      </c>
      <c r="E817" s="15" t="s">
        <v>1548</v>
      </c>
      <c r="F817" s="15" t="s">
        <v>2788</v>
      </c>
      <c r="G817" s="7">
        <v>9.264</v>
      </c>
      <c r="H817" s="15" t="s">
        <v>2752</v>
      </c>
      <c r="I817" s="15" t="s">
        <v>1560</v>
      </c>
      <c r="J817" s="15" t="s">
        <v>4745</v>
      </c>
      <c r="K817" s="15">
        <v>2.0</v>
      </c>
      <c r="L817" s="15">
        <v>2.0</v>
      </c>
      <c r="M817" s="40">
        <v>35683.0</v>
      </c>
      <c r="N817" s="41">
        <v>42688.0</v>
      </c>
      <c r="O817" s="15" t="s">
        <v>1554</v>
      </c>
      <c r="Q817" s="7"/>
    </row>
    <row r="818">
      <c r="A818" s="39" t="s">
        <v>4747</v>
      </c>
      <c r="B818" s="15">
        <v>11855.0</v>
      </c>
      <c r="C818" s="15" t="s">
        <v>4748</v>
      </c>
      <c r="D818" s="15">
        <v>14683.0</v>
      </c>
      <c r="E818" s="15" t="s">
        <v>1916</v>
      </c>
      <c r="F818" s="15" t="s">
        <v>2532</v>
      </c>
      <c r="G818" s="7">
        <v>8.557</v>
      </c>
      <c r="H818" s="15">
        <v>43.0</v>
      </c>
      <c r="I818" s="15" t="s">
        <v>1686</v>
      </c>
      <c r="J818" s="15" t="s">
        <v>4749</v>
      </c>
      <c r="K818" s="15">
        <v>4.0</v>
      </c>
      <c r="L818" s="15">
        <v>4.0</v>
      </c>
      <c r="M818" s="40">
        <v>35816.0</v>
      </c>
      <c r="N818" s="40">
        <v>39790.0</v>
      </c>
      <c r="O818" s="15" t="s">
        <v>1554</v>
      </c>
      <c r="Q818" s="7"/>
    </row>
    <row r="819">
      <c r="A819" s="39" t="s">
        <v>4750</v>
      </c>
      <c r="B819" s="15">
        <v>11665.0</v>
      </c>
      <c r="C819" s="15" t="s">
        <v>4751</v>
      </c>
      <c r="D819" s="15">
        <v>14684.0</v>
      </c>
      <c r="E819" s="15" t="s">
        <v>1916</v>
      </c>
      <c r="F819" s="15" t="s">
        <v>2532</v>
      </c>
      <c r="G819" s="7">
        <v>8.359</v>
      </c>
      <c r="H819" s="15" t="s">
        <v>1607</v>
      </c>
      <c r="I819" s="15" t="s">
        <v>1686</v>
      </c>
      <c r="J819" s="15" t="s">
        <v>4752</v>
      </c>
      <c r="K819" s="15">
        <v>4.0</v>
      </c>
      <c r="L819" s="15">
        <v>4.0</v>
      </c>
      <c r="M819" s="40">
        <v>35816.0</v>
      </c>
      <c r="N819" s="40">
        <v>40248.0</v>
      </c>
      <c r="O819" s="15" t="s">
        <v>1554</v>
      </c>
      <c r="Q819" s="7"/>
    </row>
    <row r="820">
      <c r="A820" s="39" t="s">
        <v>4753</v>
      </c>
      <c r="B820" s="15">
        <v>29272.0</v>
      </c>
      <c r="C820" s="15" t="s">
        <v>4754</v>
      </c>
      <c r="D820" s="15">
        <v>14685.0</v>
      </c>
      <c r="E820" s="15" t="s">
        <v>1548</v>
      </c>
      <c r="F820" s="15" t="s">
        <v>2615</v>
      </c>
      <c r="G820" s="7">
        <v>6.311</v>
      </c>
      <c r="H820" s="15" t="s">
        <v>2064</v>
      </c>
      <c r="I820" s="15" t="s">
        <v>1628</v>
      </c>
      <c r="J820" s="15" t="s">
        <v>4756</v>
      </c>
      <c r="K820" s="15">
        <v>4.0</v>
      </c>
      <c r="L820" s="15">
        <v>4.0</v>
      </c>
      <c r="M820" s="41">
        <v>34284.0</v>
      </c>
      <c r="N820" s="40">
        <v>42045.0</v>
      </c>
      <c r="O820" s="15" t="s">
        <v>1554</v>
      </c>
      <c r="Q820" s="7"/>
    </row>
    <row r="821">
      <c r="A821" s="39" t="s">
        <v>4757</v>
      </c>
      <c r="B821" s="15">
        <v>11768.0</v>
      </c>
      <c r="C821" s="15" t="s">
        <v>4758</v>
      </c>
      <c r="D821" s="15">
        <v>14686.0</v>
      </c>
      <c r="E821" s="15" t="s">
        <v>1916</v>
      </c>
      <c r="F821" s="15" t="s">
        <v>2532</v>
      </c>
      <c r="G821" s="7">
        <v>8.448</v>
      </c>
      <c r="H821" s="15" t="s">
        <v>2189</v>
      </c>
      <c r="I821" s="15" t="s">
        <v>1686</v>
      </c>
      <c r="J821" s="15" t="s">
        <v>4759</v>
      </c>
      <c r="K821" s="15">
        <v>2.0</v>
      </c>
      <c r="L821" s="15">
        <v>2.0</v>
      </c>
      <c r="M821" s="40">
        <v>36022.0</v>
      </c>
      <c r="N821" s="40">
        <v>39790.0</v>
      </c>
      <c r="O821" s="15" t="s">
        <v>1554</v>
      </c>
      <c r="Q821" s="7"/>
    </row>
    <row r="822">
      <c r="A822" s="39" t="s">
        <v>4760</v>
      </c>
      <c r="B822" s="15">
        <v>73498.0</v>
      </c>
      <c r="C822" s="15" t="s">
        <v>4761</v>
      </c>
      <c r="D822" s="15">
        <v>14687.0</v>
      </c>
      <c r="E822" s="15" t="s">
        <v>1638</v>
      </c>
      <c r="F822" s="15" t="s">
        <v>1639</v>
      </c>
      <c r="G822" s="7">
        <v>5.202</v>
      </c>
      <c r="H822" s="15">
        <v>63.0</v>
      </c>
      <c r="I822" s="15" t="s">
        <v>1552</v>
      </c>
      <c r="J822" s="15" t="s">
        <v>4762</v>
      </c>
      <c r="K822" s="15">
        <v>2.0</v>
      </c>
      <c r="L822" s="15">
        <v>2.0</v>
      </c>
      <c r="M822" s="41">
        <v>36097.0</v>
      </c>
      <c r="N822" s="41">
        <v>40147.0</v>
      </c>
      <c r="O822" s="15" t="s">
        <v>1554</v>
      </c>
      <c r="Q822" s="7"/>
    </row>
    <row r="823">
      <c r="A823" s="39" t="s">
        <v>4764</v>
      </c>
      <c r="B823" s="15">
        <v>89463.0</v>
      </c>
      <c r="C823" s="15" t="s">
        <v>4765</v>
      </c>
      <c r="D823" s="15">
        <v>14688.0</v>
      </c>
      <c r="E823" s="15" t="s">
        <v>1548</v>
      </c>
      <c r="F823" s="15" t="s">
        <v>2374</v>
      </c>
      <c r="G823" s="7">
        <v>8.832</v>
      </c>
      <c r="H823" s="15" t="s">
        <v>2141</v>
      </c>
      <c r="I823" s="15" t="s">
        <v>1560</v>
      </c>
      <c r="J823" s="15" t="s">
        <v>4766</v>
      </c>
      <c r="K823" s="15">
        <v>1.0</v>
      </c>
      <c r="L823" s="15">
        <v>1.0</v>
      </c>
      <c r="M823" s="40">
        <v>36234.0</v>
      </c>
      <c r="N823" s="40">
        <v>42453.0</v>
      </c>
      <c r="O823" s="15" t="s">
        <v>1554</v>
      </c>
      <c r="Q823" s="7"/>
    </row>
    <row r="824">
      <c r="A824" s="39" t="s">
        <v>4767</v>
      </c>
      <c r="B824" s="15">
        <v>103603.0</v>
      </c>
      <c r="C824" s="15" t="s">
        <v>4768</v>
      </c>
      <c r="D824" s="15">
        <v>14689.0</v>
      </c>
      <c r="E824" s="15" t="s">
        <v>1548</v>
      </c>
      <c r="F824" s="15" t="s">
        <v>1890</v>
      </c>
      <c r="G824" s="7">
        <v>11.55</v>
      </c>
      <c r="H824" s="15" t="s">
        <v>2365</v>
      </c>
      <c r="I824" s="15" t="s">
        <v>1686</v>
      </c>
      <c r="J824" s="15" t="s">
        <v>4769</v>
      </c>
      <c r="K824" s="15">
        <v>6.0</v>
      </c>
      <c r="L824" s="15">
        <v>6.0</v>
      </c>
      <c r="M824" s="40">
        <v>36432.0</v>
      </c>
      <c r="N824" s="40">
        <v>42453.0</v>
      </c>
      <c r="O824" s="15" t="s">
        <v>1554</v>
      </c>
      <c r="Q824" s="7"/>
    </row>
    <row r="825">
      <c r="A825" s="39" t="s">
        <v>4770</v>
      </c>
      <c r="B825" s="15">
        <v>106962.0</v>
      </c>
      <c r="C825" s="15" t="s">
        <v>4771</v>
      </c>
      <c r="D825" s="15">
        <v>14690.0</v>
      </c>
      <c r="E825" s="15" t="s">
        <v>1638</v>
      </c>
      <c r="F825" s="15" t="s">
        <v>4692</v>
      </c>
      <c r="G825" s="7">
        <v>9.799</v>
      </c>
      <c r="H825" s="15" t="s">
        <v>4070</v>
      </c>
      <c r="I825" s="15" t="s">
        <v>1552</v>
      </c>
      <c r="J825" s="15" t="s">
        <v>4773</v>
      </c>
      <c r="K825" s="15">
        <v>1.0</v>
      </c>
      <c r="L825" s="15">
        <v>1.0</v>
      </c>
      <c r="M825" s="41">
        <v>36493.0</v>
      </c>
      <c r="N825" s="41">
        <v>40147.0</v>
      </c>
      <c r="O825" s="15" t="s">
        <v>1554</v>
      </c>
      <c r="Q825" s="7"/>
    </row>
    <row r="826">
      <c r="A826" s="39" t="s">
        <v>4774</v>
      </c>
      <c r="B826" s="15">
        <v>228582.0</v>
      </c>
      <c r="C826" s="15" t="s">
        <v>4775</v>
      </c>
      <c r="D826" s="15">
        <v>14691.0</v>
      </c>
      <c r="E826" s="15" t="s">
        <v>1548</v>
      </c>
      <c r="F826" s="15" t="s">
        <v>1771</v>
      </c>
      <c r="G826" s="7">
        <v>5.662</v>
      </c>
      <c r="H826" s="15" t="s">
        <v>4776</v>
      </c>
      <c r="I826" s="15" t="s">
        <v>1628</v>
      </c>
      <c r="J826" s="15" t="s">
        <v>4777</v>
      </c>
      <c r="K826" s="15">
        <v>7.0</v>
      </c>
      <c r="L826" s="15">
        <v>7.0</v>
      </c>
      <c r="M826" s="40">
        <v>36621.0</v>
      </c>
      <c r="N826" s="41">
        <v>42320.0</v>
      </c>
      <c r="O826" s="15" t="s">
        <v>1554</v>
      </c>
      <c r="Q826" s="7"/>
    </row>
    <row r="827">
      <c r="A827" s="39" t="s">
        <v>4778</v>
      </c>
      <c r="B827" s="15">
        <v>66266.0</v>
      </c>
      <c r="C827" s="15" t="s">
        <v>4779</v>
      </c>
      <c r="D827" s="15">
        <v>14692.0</v>
      </c>
      <c r="E827" s="15" t="s">
        <v>1548</v>
      </c>
      <c r="F827" s="15" t="s">
        <v>3116</v>
      </c>
      <c r="G827" s="7">
        <v>25.142</v>
      </c>
      <c r="H827" s="15" t="s">
        <v>4780</v>
      </c>
      <c r="I827" s="15" t="s">
        <v>2034</v>
      </c>
      <c r="J827" s="15" t="s">
        <v>4782</v>
      </c>
      <c r="K827" s="15">
        <v>12.0</v>
      </c>
      <c r="L827" s="15">
        <v>12.0</v>
      </c>
      <c r="M827" s="40">
        <v>35706.0</v>
      </c>
      <c r="N827" s="40">
        <v>39790.0</v>
      </c>
      <c r="O827" s="15" t="s">
        <v>1554</v>
      </c>
      <c r="Q827" s="7"/>
    </row>
    <row r="828">
      <c r="A828" s="39" t="s">
        <v>4783</v>
      </c>
      <c r="B828" s="15">
        <v>100887.0</v>
      </c>
      <c r="C828" s="15" t="s">
        <v>4784</v>
      </c>
      <c r="D828" s="15">
        <v>14693.0</v>
      </c>
      <c r="E828" s="15" t="s">
        <v>1548</v>
      </c>
      <c r="F828" s="15" t="s">
        <v>2615</v>
      </c>
      <c r="G828" s="7">
        <v>10.708</v>
      </c>
      <c r="H828" s="15" t="s">
        <v>4785</v>
      </c>
      <c r="I828" s="15" t="s">
        <v>1628</v>
      </c>
      <c r="J828" s="15" t="s">
        <v>4786</v>
      </c>
      <c r="K828" s="15">
        <v>6.0</v>
      </c>
      <c r="L828" s="15">
        <v>6.0</v>
      </c>
      <c r="M828" s="40">
        <v>36429.0</v>
      </c>
      <c r="N828" s="41">
        <v>42297.0</v>
      </c>
      <c r="O828" s="15" t="s">
        <v>1554</v>
      </c>
      <c r="Q828" s="7"/>
    </row>
    <row r="829">
      <c r="A829" s="39" t="s">
        <v>4787</v>
      </c>
      <c r="B829" s="15">
        <v>83544.0</v>
      </c>
      <c r="C829" s="15" t="s">
        <v>4788</v>
      </c>
      <c r="D829" s="15">
        <v>14694.0</v>
      </c>
      <c r="E829" s="15" t="s">
        <v>1548</v>
      </c>
      <c r="F829" s="15" t="s">
        <v>2615</v>
      </c>
      <c r="G829" s="7">
        <v>10.716</v>
      </c>
      <c r="H829" s="15" t="s">
        <v>4789</v>
      </c>
      <c r="I829" s="15" t="s">
        <v>1628</v>
      </c>
      <c r="J829" s="15" t="s">
        <v>4790</v>
      </c>
      <c r="K829" s="15">
        <v>7.0</v>
      </c>
      <c r="L829" s="15">
        <v>7.0</v>
      </c>
      <c r="M829" s="40">
        <v>36283.0</v>
      </c>
      <c r="N829" s="40">
        <v>39790.0</v>
      </c>
      <c r="O829" s="15" t="s">
        <v>1554</v>
      </c>
      <c r="Q829" s="7"/>
    </row>
    <row r="830">
      <c r="A830" s="39" t="s">
        <v>4791</v>
      </c>
      <c r="B830" s="15">
        <v>131226.0</v>
      </c>
      <c r="C830" s="15" t="s">
        <v>4792</v>
      </c>
      <c r="D830" s="15">
        <v>14695.0</v>
      </c>
      <c r="E830" s="15" t="s">
        <v>1548</v>
      </c>
      <c r="F830" s="15" t="s">
        <v>1786</v>
      </c>
      <c r="G830" s="7">
        <v>8.018</v>
      </c>
      <c r="H830" s="15" t="s">
        <v>1559</v>
      </c>
      <c r="I830" s="15" t="s">
        <v>1628</v>
      </c>
      <c r="J830" s="15" t="s">
        <v>4793</v>
      </c>
      <c r="K830" s="15">
        <v>4.0</v>
      </c>
      <c r="L830" s="15">
        <v>4.0</v>
      </c>
      <c r="M830" s="40">
        <v>36727.0</v>
      </c>
      <c r="N830" s="40">
        <v>39939.0</v>
      </c>
      <c r="O830" s="15" t="s">
        <v>1554</v>
      </c>
      <c r="Q830" s="7"/>
    </row>
    <row r="831">
      <c r="A831" s="39" t="s">
        <v>4795</v>
      </c>
      <c r="B831" s="15">
        <v>39116.0</v>
      </c>
      <c r="C831" s="15" t="s">
        <v>4796</v>
      </c>
      <c r="D831" s="15">
        <v>14696.0</v>
      </c>
      <c r="E831" s="15" t="s">
        <v>1638</v>
      </c>
      <c r="F831" s="15" t="s">
        <v>1639</v>
      </c>
      <c r="G831" s="7">
        <v>5.241</v>
      </c>
      <c r="H831" s="15" t="s">
        <v>3538</v>
      </c>
      <c r="I831" s="15" t="s">
        <v>1740</v>
      </c>
      <c r="J831" s="15" t="s">
        <v>4797</v>
      </c>
      <c r="K831" s="15">
        <v>3.0</v>
      </c>
      <c r="L831" s="15">
        <v>3.0</v>
      </c>
      <c r="M831" s="41">
        <v>35003.0</v>
      </c>
      <c r="N831" s="40">
        <v>40357.0</v>
      </c>
      <c r="O831" s="15" t="s">
        <v>1554</v>
      </c>
      <c r="Q831" s="7"/>
    </row>
    <row r="832">
      <c r="A832" s="39" t="s">
        <v>4798</v>
      </c>
      <c r="B832" s="15">
        <v>11246.0</v>
      </c>
      <c r="C832" s="15" t="s">
        <v>4799</v>
      </c>
      <c r="D832" s="15">
        <v>14697.0</v>
      </c>
      <c r="E832" s="15" t="s">
        <v>1548</v>
      </c>
      <c r="F832" s="15" t="s">
        <v>4800</v>
      </c>
      <c r="G832" s="7">
        <v>15.14</v>
      </c>
      <c r="H832" s="15" t="s">
        <v>3809</v>
      </c>
      <c r="I832" s="15" t="s">
        <v>1686</v>
      </c>
      <c r="J832" s="15" t="s">
        <v>4802</v>
      </c>
      <c r="K832" s="15">
        <v>12.0</v>
      </c>
      <c r="L832" s="15">
        <v>11.0</v>
      </c>
      <c r="M832" s="41">
        <v>36146.0</v>
      </c>
      <c r="N832" s="41">
        <v>40140.0</v>
      </c>
      <c r="O832" s="15" t="s">
        <v>1554</v>
      </c>
      <c r="Q832" s="7"/>
    </row>
    <row r="833">
      <c r="A833" s="39" t="s">
        <v>4803</v>
      </c>
      <c r="B833" s="15">
        <v>228581.0</v>
      </c>
      <c r="C833" s="15" t="s">
        <v>4804</v>
      </c>
      <c r="D833" s="15">
        <v>14698.0</v>
      </c>
      <c r="E833" s="15" t="s">
        <v>1548</v>
      </c>
      <c r="F833" s="15" t="s">
        <v>1771</v>
      </c>
      <c r="G833" s="7">
        <v>5.695</v>
      </c>
      <c r="H833" s="15" t="s">
        <v>4736</v>
      </c>
      <c r="I833" s="15" t="s">
        <v>1628</v>
      </c>
      <c r="J833" s="15" t="s">
        <v>4805</v>
      </c>
      <c r="K833" s="15">
        <v>7.0</v>
      </c>
      <c r="L833" s="15">
        <v>7.0</v>
      </c>
      <c r="M833" s="40">
        <v>36544.0</v>
      </c>
      <c r="N833" s="41">
        <v>42320.0</v>
      </c>
      <c r="O833" s="15" t="s">
        <v>1554</v>
      </c>
      <c r="Q833" s="7"/>
    </row>
    <row r="834">
      <c r="A834" s="39" t="s">
        <v>4806</v>
      </c>
      <c r="B834" s="15">
        <v>11642.0</v>
      </c>
      <c r="C834" s="15" t="s">
        <v>4807</v>
      </c>
      <c r="D834" s="15">
        <v>14699.0</v>
      </c>
      <c r="E834" s="15" t="s">
        <v>1916</v>
      </c>
      <c r="F834" s="15" t="s">
        <v>2532</v>
      </c>
      <c r="G834" s="7">
        <v>13.246</v>
      </c>
      <c r="H834" s="15">
        <v>39.0</v>
      </c>
      <c r="I834" s="15" t="s">
        <v>1567</v>
      </c>
      <c r="J834" s="15" t="s">
        <v>4809</v>
      </c>
      <c r="K834" s="15">
        <v>6.0</v>
      </c>
      <c r="L834" s="15">
        <v>6.0</v>
      </c>
      <c r="M834" s="40">
        <v>34520.0</v>
      </c>
      <c r="N834" s="40">
        <v>42045.0</v>
      </c>
      <c r="O834" s="15" t="s">
        <v>1554</v>
      </c>
      <c r="Q834" s="7"/>
    </row>
    <row r="835">
      <c r="A835" s="39" t="s">
        <v>4810</v>
      </c>
      <c r="B835" s="15">
        <v>12181.0</v>
      </c>
      <c r="C835" s="15" t="s">
        <v>4811</v>
      </c>
      <c r="D835" s="15">
        <v>14700.0</v>
      </c>
      <c r="E835" s="15" t="s">
        <v>1548</v>
      </c>
      <c r="F835" s="15" t="s">
        <v>1633</v>
      </c>
      <c r="G835" s="7">
        <v>6.656</v>
      </c>
      <c r="H835" s="15" t="s">
        <v>2945</v>
      </c>
      <c r="I835" s="15" t="s">
        <v>1628</v>
      </c>
      <c r="J835" s="15" t="s">
        <v>4812</v>
      </c>
      <c r="K835" s="15">
        <v>5.0</v>
      </c>
      <c r="L835" s="15">
        <v>5.0</v>
      </c>
      <c r="M835" s="40">
        <v>34088.0</v>
      </c>
      <c r="N835" s="40">
        <v>42045.0</v>
      </c>
      <c r="O835" s="15" t="s">
        <v>1554</v>
      </c>
      <c r="Q835" s="7"/>
    </row>
    <row r="836">
      <c r="A836" s="39" t="s">
        <v>4814</v>
      </c>
      <c r="B836" s="15">
        <v>40270.0</v>
      </c>
      <c r="C836" s="15" t="s">
        <v>4815</v>
      </c>
      <c r="D836" s="15">
        <v>14701.0</v>
      </c>
      <c r="E836" s="15" t="s">
        <v>1916</v>
      </c>
      <c r="F836" s="15" t="s">
        <v>2532</v>
      </c>
      <c r="G836" s="7">
        <v>10.688</v>
      </c>
      <c r="H836" s="15" t="s">
        <v>1792</v>
      </c>
      <c r="I836" s="15" t="s">
        <v>1686</v>
      </c>
      <c r="J836" s="15" t="s">
        <v>4816</v>
      </c>
      <c r="K836" s="15">
        <v>4.0</v>
      </c>
      <c r="L836" s="15">
        <v>7.0</v>
      </c>
      <c r="M836" s="40">
        <v>35215.0</v>
      </c>
      <c r="N836" s="40">
        <v>40148.0</v>
      </c>
      <c r="O836" s="15" t="s">
        <v>1554</v>
      </c>
      <c r="Q836" s="7"/>
    </row>
    <row r="837">
      <c r="A837" s="39" t="s">
        <v>4817</v>
      </c>
      <c r="B837" s="15">
        <v>11048.0</v>
      </c>
      <c r="C837" s="15" t="s">
        <v>4818</v>
      </c>
      <c r="D837" s="15">
        <v>14702.0</v>
      </c>
      <c r="E837" s="15" t="s">
        <v>1548</v>
      </c>
      <c r="F837" s="15" t="s">
        <v>4820</v>
      </c>
      <c r="G837" s="7">
        <v>14.104</v>
      </c>
      <c r="H837" s="15" t="s">
        <v>4821</v>
      </c>
      <c r="I837" s="15" t="s">
        <v>1686</v>
      </c>
      <c r="J837" s="15" t="s">
        <v>4822</v>
      </c>
      <c r="K837" s="15">
        <v>10.0</v>
      </c>
      <c r="L837" s="15">
        <v>11.0</v>
      </c>
      <c r="M837" s="40">
        <v>34643.0</v>
      </c>
      <c r="N837" s="41">
        <v>41625.0</v>
      </c>
      <c r="O837" s="15" t="s">
        <v>1554</v>
      </c>
      <c r="Q837" s="7"/>
    </row>
    <row r="838">
      <c r="A838" s="39" t="s">
        <v>4823</v>
      </c>
      <c r="B838" s="15">
        <v>128952.0</v>
      </c>
      <c r="C838" s="15" t="s">
        <v>4824</v>
      </c>
      <c r="D838" s="15">
        <v>14703.0</v>
      </c>
      <c r="E838" s="15" t="s">
        <v>1548</v>
      </c>
      <c r="F838" s="15" t="s">
        <v>2456</v>
      </c>
      <c r="G838" s="7">
        <v>18.959</v>
      </c>
      <c r="H838" s="15" t="s">
        <v>2440</v>
      </c>
      <c r="I838" s="15" t="s">
        <v>1567</v>
      </c>
      <c r="J838" s="15" t="s">
        <v>4826</v>
      </c>
      <c r="K838" s="15">
        <v>7.0</v>
      </c>
      <c r="L838" s="15">
        <v>9.0</v>
      </c>
      <c r="M838" s="40">
        <v>36201.0</v>
      </c>
      <c r="N838" s="40">
        <v>42480.0</v>
      </c>
      <c r="O838" s="15" t="s">
        <v>1554</v>
      </c>
      <c r="Q838" s="7"/>
    </row>
    <row r="839">
      <c r="A839" s="39" t="s">
        <v>4827</v>
      </c>
      <c r="B839" s="15">
        <v>35612.0</v>
      </c>
      <c r="C839" s="15" t="s">
        <v>4828</v>
      </c>
      <c r="D839" s="15">
        <v>14704.0</v>
      </c>
      <c r="E839" s="15" t="s">
        <v>1548</v>
      </c>
      <c r="F839" s="15" t="s">
        <v>4829</v>
      </c>
      <c r="G839" s="7">
        <v>8.284</v>
      </c>
      <c r="H839" s="15" t="s">
        <v>2548</v>
      </c>
      <c r="I839" s="15" t="s">
        <v>1686</v>
      </c>
      <c r="J839" s="15" t="s">
        <v>4830</v>
      </c>
      <c r="K839" s="15">
        <v>3.0</v>
      </c>
      <c r="L839" s="15">
        <v>3.0</v>
      </c>
      <c r="M839" s="40">
        <v>35492.0</v>
      </c>
      <c r="N839" s="40">
        <v>42045.0</v>
      </c>
      <c r="O839" s="15" t="s">
        <v>1554</v>
      </c>
      <c r="Q839" s="7"/>
    </row>
    <row r="840">
      <c r="A840" s="39" t="s">
        <v>4832</v>
      </c>
      <c r="B840" s="15">
        <v>39046.0</v>
      </c>
      <c r="C840" s="15" t="s">
        <v>4833</v>
      </c>
      <c r="D840" s="15">
        <v>14705.0</v>
      </c>
      <c r="E840" s="15" t="s">
        <v>1548</v>
      </c>
      <c r="F840" s="15" t="s">
        <v>1633</v>
      </c>
      <c r="G840" s="7">
        <v>6.376</v>
      </c>
      <c r="H840" s="15" t="s">
        <v>1700</v>
      </c>
      <c r="I840" s="15" t="s">
        <v>1628</v>
      </c>
      <c r="J840" s="15" t="s">
        <v>4834</v>
      </c>
      <c r="K840" s="15">
        <v>5.0</v>
      </c>
      <c r="L840" s="15">
        <v>5.0</v>
      </c>
      <c r="M840" s="40">
        <v>34804.0</v>
      </c>
      <c r="N840" s="40">
        <v>42045.0</v>
      </c>
      <c r="O840" s="15" t="s">
        <v>1554</v>
      </c>
      <c r="Q840" s="7"/>
    </row>
    <row r="841">
      <c r="A841" s="39" t="s">
        <v>4835</v>
      </c>
      <c r="B841" s="15">
        <v>11216.0</v>
      </c>
      <c r="C841" s="15" t="s">
        <v>4836</v>
      </c>
      <c r="D841" s="15">
        <v>14706.0</v>
      </c>
      <c r="E841" s="15" t="s">
        <v>1548</v>
      </c>
      <c r="F841" s="15" t="s">
        <v>4837</v>
      </c>
      <c r="G841" s="7">
        <v>15.462</v>
      </c>
      <c r="H841" s="15" t="s">
        <v>3260</v>
      </c>
      <c r="I841" s="15" t="s">
        <v>1567</v>
      </c>
      <c r="J841" s="15" t="s">
        <v>4838</v>
      </c>
      <c r="K841" s="15">
        <v>8.0</v>
      </c>
      <c r="L841" s="15">
        <v>8.0</v>
      </c>
      <c r="M841" s="40">
        <v>36039.0</v>
      </c>
      <c r="N841" s="40">
        <v>42976.0</v>
      </c>
      <c r="O841" s="15" t="s">
        <v>1554</v>
      </c>
      <c r="Q841" s="7"/>
    </row>
    <row r="842">
      <c r="A842" s="39" t="s">
        <v>4840</v>
      </c>
      <c r="B842" s="15">
        <v>11885.0</v>
      </c>
      <c r="C842" s="15" t="s">
        <v>4841</v>
      </c>
      <c r="D842" s="15">
        <v>14708.0</v>
      </c>
      <c r="E842" s="15" t="s">
        <v>1916</v>
      </c>
      <c r="F842" s="15" t="s">
        <v>2532</v>
      </c>
      <c r="G842" s="7">
        <v>4.788</v>
      </c>
      <c r="H842" s="15" t="s">
        <v>4842</v>
      </c>
      <c r="I842" s="15" t="s">
        <v>1686</v>
      </c>
      <c r="J842" s="15" t="s">
        <v>4843</v>
      </c>
      <c r="K842" s="15">
        <v>1.0</v>
      </c>
      <c r="L842" s="15">
        <v>1.0</v>
      </c>
      <c r="M842" s="40">
        <v>35816.0</v>
      </c>
      <c r="N842" s="41">
        <v>40147.0</v>
      </c>
      <c r="O842" s="15" t="s">
        <v>1554</v>
      </c>
      <c r="Q842" s="7"/>
    </row>
    <row r="843">
      <c r="A843" s="39" t="s">
        <v>4844</v>
      </c>
      <c r="B843" s="15">
        <v>146499.0</v>
      </c>
      <c r="C843" s="15" t="s">
        <v>4845</v>
      </c>
      <c r="D843" s="15">
        <v>14709.0</v>
      </c>
      <c r="E843" s="15" t="s">
        <v>1548</v>
      </c>
      <c r="F843" s="15" t="s">
        <v>2615</v>
      </c>
      <c r="G843" s="7">
        <v>6.562</v>
      </c>
      <c r="H843" s="15" t="s">
        <v>3653</v>
      </c>
      <c r="I843" s="15" t="s">
        <v>1628</v>
      </c>
      <c r="J843" s="15" t="s">
        <v>4846</v>
      </c>
      <c r="K843" s="15">
        <v>3.0</v>
      </c>
      <c r="L843" s="15">
        <v>3.0</v>
      </c>
      <c r="M843" s="41">
        <v>36888.0</v>
      </c>
      <c r="N843" s="40">
        <v>41002.0</v>
      </c>
      <c r="O843" s="15" t="s">
        <v>1554</v>
      </c>
      <c r="Q843" s="7"/>
    </row>
    <row r="844">
      <c r="A844" s="39" t="s">
        <v>4847</v>
      </c>
      <c r="B844" s="15">
        <v>154784.0</v>
      </c>
      <c r="C844" s="15" t="s">
        <v>4849</v>
      </c>
      <c r="D844" s="15">
        <v>14710.0</v>
      </c>
      <c r="E844" s="15" t="s">
        <v>1548</v>
      </c>
      <c r="F844" s="15" t="s">
        <v>4850</v>
      </c>
      <c r="G844" s="7">
        <v>4.268</v>
      </c>
      <c r="H844" s="15" t="s">
        <v>1613</v>
      </c>
      <c r="I844" s="15" t="s">
        <v>1586</v>
      </c>
      <c r="J844" s="15" t="s">
        <v>4851</v>
      </c>
      <c r="K844" s="15">
        <v>4.0</v>
      </c>
      <c r="L844" s="15">
        <v>4.0</v>
      </c>
      <c r="M844" s="40">
        <v>36968.0</v>
      </c>
      <c r="N844" s="40">
        <v>39920.0</v>
      </c>
      <c r="O844" s="15" t="s">
        <v>1554</v>
      </c>
      <c r="Q844" s="7"/>
    </row>
    <row r="845">
      <c r="A845" s="39" t="s">
        <v>4852</v>
      </c>
      <c r="B845" s="15">
        <v>148879.0</v>
      </c>
      <c r="C845" s="15" t="s">
        <v>4853</v>
      </c>
      <c r="D845" s="15">
        <v>14711.0</v>
      </c>
      <c r="E845" s="15" t="s">
        <v>1548</v>
      </c>
      <c r="F845" s="15" t="s">
        <v>1786</v>
      </c>
      <c r="G845" s="7">
        <v>7.352</v>
      </c>
      <c r="H845" s="15" t="s">
        <v>2885</v>
      </c>
      <c r="I845" s="15" t="s">
        <v>1628</v>
      </c>
      <c r="J845" s="15" t="s">
        <v>4854</v>
      </c>
      <c r="K845" s="15">
        <v>5.0</v>
      </c>
      <c r="L845" s="15">
        <v>5.0</v>
      </c>
      <c r="M845" s="40">
        <v>36983.0</v>
      </c>
      <c r="N845" s="40">
        <v>42045.0</v>
      </c>
      <c r="O845" s="15" t="s">
        <v>1554</v>
      </c>
      <c r="Q845" s="7"/>
    </row>
    <row r="846">
      <c r="A846" s="39" t="s">
        <v>4855</v>
      </c>
      <c r="B846" s="15">
        <v>131082.0</v>
      </c>
      <c r="C846" s="15" t="s">
        <v>4856</v>
      </c>
      <c r="D846" s="15">
        <v>14712.0</v>
      </c>
      <c r="E846" s="15" t="s">
        <v>1548</v>
      </c>
      <c r="F846" s="15" t="s">
        <v>1771</v>
      </c>
      <c r="G846" s="7">
        <v>5.776</v>
      </c>
      <c r="H846" s="15" t="s">
        <v>2981</v>
      </c>
      <c r="I846" s="15" t="s">
        <v>1628</v>
      </c>
      <c r="J846" s="15" t="s">
        <v>4857</v>
      </c>
      <c r="K846" s="15">
        <v>6.0</v>
      </c>
      <c r="L846" s="15">
        <v>6.0</v>
      </c>
      <c r="M846" s="40">
        <v>37014.0</v>
      </c>
      <c r="N846" s="40">
        <v>41311.0</v>
      </c>
      <c r="O846" s="15" t="s">
        <v>1554</v>
      </c>
      <c r="Q846" s="7"/>
    </row>
    <row r="847">
      <c r="A847" s="39" t="s">
        <v>4858</v>
      </c>
      <c r="B847" s="15">
        <v>142102.0</v>
      </c>
      <c r="C847" s="15" t="s">
        <v>4859</v>
      </c>
      <c r="D847" s="15">
        <v>14713.0</v>
      </c>
      <c r="E847" s="15" t="s">
        <v>1548</v>
      </c>
      <c r="F847" s="15" t="s">
        <v>2788</v>
      </c>
      <c r="G847" s="7">
        <v>10.205</v>
      </c>
      <c r="H847" s="15" t="s">
        <v>2178</v>
      </c>
      <c r="I847" s="15" t="s">
        <v>1560</v>
      </c>
      <c r="J847" s="15" t="s">
        <v>4860</v>
      </c>
      <c r="K847" s="15">
        <v>2.0</v>
      </c>
      <c r="L847" s="15">
        <v>2.0</v>
      </c>
      <c r="M847" s="40">
        <v>37084.0</v>
      </c>
      <c r="N847" s="40">
        <v>40296.0</v>
      </c>
      <c r="O847" s="15" t="s">
        <v>1554</v>
      </c>
      <c r="Q847" s="7"/>
    </row>
    <row r="848">
      <c r="A848" s="39" t="s">
        <v>4861</v>
      </c>
      <c r="B848" s="15">
        <v>165803.0</v>
      </c>
      <c r="C848" s="15" t="s">
        <v>4862</v>
      </c>
      <c r="D848" s="15">
        <v>14714.0</v>
      </c>
      <c r="E848" s="15" t="s">
        <v>1638</v>
      </c>
      <c r="F848" s="15" t="s">
        <v>1863</v>
      </c>
      <c r="G848" s="7">
        <v>24.732</v>
      </c>
      <c r="H848" s="15" t="s">
        <v>4864</v>
      </c>
      <c r="I848" s="15" t="s">
        <v>1560</v>
      </c>
      <c r="J848" s="15" t="s">
        <v>4865</v>
      </c>
      <c r="K848" s="15">
        <v>10.0</v>
      </c>
      <c r="L848" s="15">
        <v>10.0</v>
      </c>
      <c r="M848" s="40">
        <v>37089.0</v>
      </c>
      <c r="N848" s="40">
        <v>39790.0</v>
      </c>
      <c r="O848" s="15" t="s">
        <v>1554</v>
      </c>
      <c r="Q848" s="7"/>
    </row>
    <row r="849">
      <c r="A849" s="39" t="s">
        <v>4866</v>
      </c>
      <c r="B849" s="15">
        <v>12049.0</v>
      </c>
      <c r="C849" s="15" t="s">
        <v>4867</v>
      </c>
      <c r="D849" s="15">
        <v>14715.0</v>
      </c>
      <c r="E849" s="15" t="s">
        <v>1548</v>
      </c>
      <c r="F849" s="15" t="s">
        <v>1771</v>
      </c>
      <c r="G849" s="7">
        <v>5.853</v>
      </c>
      <c r="H849" s="15" t="s">
        <v>2107</v>
      </c>
      <c r="I849" s="15" t="s">
        <v>1628</v>
      </c>
      <c r="J849" s="15" t="s">
        <v>4868</v>
      </c>
      <c r="K849" s="15">
        <v>6.0</v>
      </c>
      <c r="L849" s="15">
        <v>6.0</v>
      </c>
      <c r="M849" s="40">
        <v>37114.0</v>
      </c>
      <c r="N849" s="40">
        <v>42574.0</v>
      </c>
      <c r="O849" s="15" t="s">
        <v>1554</v>
      </c>
      <c r="Q849" s="7"/>
    </row>
    <row r="850">
      <c r="A850" s="39" t="s">
        <v>4870</v>
      </c>
      <c r="B850" s="15">
        <v>104664.0</v>
      </c>
      <c r="C850" s="15" t="s">
        <v>4871</v>
      </c>
      <c r="D850" s="15">
        <v>14716.0</v>
      </c>
      <c r="E850" s="15" t="s">
        <v>1548</v>
      </c>
      <c r="F850" s="15" t="s">
        <v>1633</v>
      </c>
      <c r="G850" s="7">
        <v>7.56</v>
      </c>
      <c r="H850" s="15">
        <v>52.0</v>
      </c>
      <c r="I850" s="15" t="s">
        <v>1628</v>
      </c>
      <c r="J850" s="15" t="s">
        <v>4873</v>
      </c>
      <c r="K850" s="15">
        <v>6.0</v>
      </c>
      <c r="L850" s="15">
        <v>6.0</v>
      </c>
      <c r="M850" s="40">
        <v>37136.0</v>
      </c>
      <c r="N850" s="41">
        <v>40147.0</v>
      </c>
      <c r="O850" s="15" t="s">
        <v>1554</v>
      </c>
      <c r="Q850" s="7"/>
    </row>
    <row r="851">
      <c r="A851" s="39" t="s">
        <v>4874</v>
      </c>
      <c r="B851" s="15">
        <v>170621.0</v>
      </c>
      <c r="C851" s="15" t="s">
        <v>4875</v>
      </c>
      <c r="D851" s="15">
        <v>14717.0</v>
      </c>
      <c r="E851" s="15" t="s">
        <v>1548</v>
      </c>
      <c r="F851" s="15" t="s">
        <v>2374</v>
      </c>
      <c r="G851" s="7">
        <v>9.476</v>
      </c>
      <c r="H851" s="15" t="s">
        <v>2392</v>
      </c>
      <c r="I851" s="15" t="s">
        <v>1560</v>
      </c>
      <c r="J851" s="15" t="s">
        <v>4876</v>
      </c>
      <c r="K851" s="15">
        <v>1.0</v>
      </c>
      <c r="L851" s="15">
        <v>1.0</v>
      </c>
      <c r="M851" s="40">
        <v>37156.0</v>
      </c>
      <c r="N851" s="41">
        <v>40147.0</v>
      </c>
      <c r="O851" s="15" t="s">
        <v>1554</v>
      </c>
      <c r="Q851" s="7"/>
    </row>
    <row r="852">
      <c r="A852" s="39" t="s">
        <v>4878</v>
      </c>
      <c r="B852" s="15">
        <v>39720.0</v>
      </c>
      <c r="C852" s="15" t="s">
        <v>4879</v>
      </c>
      <c r="D852" s="15">
        <v>14718.0</v>
      </c>
      <c r="E852" s="15" t="s">
        <v>1916</v>
      </c>
      <c r="F852" s="15" t="s">
        <v>2532</v>
      </c>
      <c r="G852" s="7">
        <v>12.708</v>
      </c>
      <c r="H852" s="15" t="s">
        <v>1912</v>
      </c>
      <c r="I852" s="15" t="s">
        <v>1686</v>
      </c>
      <c r="J852" s="15" t="s">
        <v>4880</v>
      </c>
      <c r="K852" s="15">
        <v>7.0</v>
      </c>
      <c r="L852" s="15">
        <v>6.0</v>
      </c>
      <c r="M852" s="40">
        <v>35816.0</v>
      </c>
      <c r="N852" s="41">
        <v>42720.0</v>
      </c>
      <c r="O852" s="15" t="s">
        <v>1554</v>
      </c>
      <c r="Q852" s="7"/>
    </row>
    <row r="853">
      <c r="A853" s="39" t="s">
        <v>4881</v>
      </c>
      <c r="B853" s="15">
        <v>157619.0</v>
      </c>
      <c r="C853" s="15" t="s">
        <v>4882</v>
      </c>
      <c r="D853" s="15">
        <v>14719.0</v>
      </c>
      <c r="E853" s="15" t="s">
        <v>1548</v>
      </c>
      <c r="F853" s="15" t="s">
        <v>4837</v>
      </c>
      <c r="G853" s="7">
        <v>16.236</v>
      </c>
      <c r="H853" s="15" t="s">
        <v>1551</v>
      </c>
      <c r="I853" s="15" t="s">
        <v>1567</v>
      </c>
      <c r="J853" s="15" t="s">
        <v>4884</v>
      </c>
      <c r="K853" s="15">
        <v>7.0</v>
      </c>
      <c r="L853" s="15">
        <v>7.0</v>
      </c>
      <c r="M853" s="40">
        <v>37104.0</v>
      </c>
      <c r="N853" s="40">
        <v>40248.0</v>
      </c>
      <c r="O853" s="15" t="s">
        <v>1554</v>
      </c>
      <c r="Q853" s="7"/>
    </row>
    <row r="854">
      <c r="A854" s="39" t="s">
        <v>4885</v>
      </c>
      <c r="B854" s="15">
        <v>11809.0</v>
      </c>
      <c r="C854" s="15" t="s">
        <v>4886</v>
      </c>
      <c r="D854" s="15">
        <v>14721.0</v>
      </c>
      <c r="E854" s="15" t="s">
        <v>1916</v>
      </c>
      <c r="F854" s="15" t="s">
        <v>2532</v>
      </c>
      <c r="G854" s="7">
        <v>5.833</v>
      </c>
      <c r="H854" s="15" t="s">
        <v>3246</v>
      </c>
      <c r="I854" s="15" t="s">
        <v>1686</v>
      </c>
      <c r="J854" s="15" t="s">
        <v>4887</v>
      </c>
      <c r="K854" s="15">
        <v>3.0</v>
      </c>
      <c r="L854" s="15">
        <v>4.0</v>
      </c>
      <c r="M854" s="40">
        <v>35816.0</v>
      </c>
      <c r="N854" s="40">
        <v>42045.0</v>
      </c>
      <c r="O854" s="15" t="s">
        <v>1554</v>
      </c>
      <c r="Q854" s="7"/>
    </row>
    <row r="855">
      <c r="A855" s="39" t="s">
        <v>4888</v>
      </c>
      <c r="B855" s="15">
        <v>73497.0</v>
      </c>
      <c r="C855" s="15" t="s">
        <v>4890</v>
      </c>
      <c r="D855" s="15">
        <v>14722.0</v>
      </c>
      <c r="E855" s="15" t="s">
        <v>1638</v>
      </c>
      <c r="F855" s="15" t="s">
        <v>1639</v>
      </c>
      <c r="G855" s="7">
        <v>5.163</v>
      </c>
      <c r="H855" s="15" t="s">
        <v>3086</v>
      </c>
      <c r="I855" s="15" t="s">
        <v>1552</v>
      </c>
      <c r="J855" s="15" t="s">
        <v>4891</v>
      </c>
      <c r="K855" s="15">
        <v>2.0</v>
      </c>
      <c r="L855" s="15">
        <v>2.0</v>
      </c>
      <c r="M855" s="41">
        <v>36097.0</v>
      </c>
      <c r="N855" s="41">
        <v>40147.0</v>
      </c>
      <c r="O855" s="15" t="s">
        <v>1554</v>
      </c>
      <c r="Q855" s="7"/>
    </row>
    <row r="856">
      <c r="A856" s="39" t="s">
        <v>4892</v>
      </c>
      <c r="B856" s="15">
        <v>92129.0</v>
      </c>
      <c r="C856" s="15" t="s">
        <v>4893</v>
      </c>
      <c r="D856" s="15">
        <v>14723.0</v>
      </c>
      <c r="E856" s="15" t="s">
        <v>1548</v>
      </c>
      <c r="F856" s="15" t="s">
        <v>4837</v>
      </c>
      <c r="G856" s="7">
        <v>17.904</v>
      </c>
      <c r="H856" s="15">
        <v>39.0</v>
      </c>
      <c r="I856" s="15" t="s">
        <v>1567</v>
      </c>
      <c r="J856" s="15" t="s">
        <v>4895</v>
      </c>
      <c r="K856" s="15">
        <v>6.0</v>
      </c>
      <c r="L856" s="15">
        <v>8.0</v>
      </c>
      <c r="M856" s="40">
        <v>36285.0</v>
      </c>
      <c r="N856" s="40">
        <v>40335.0</v>
      </c>
      <c r="O856" s="15" t="s">
        <v>1554</v>
      </c>
      <c r="Q856" s="7"/>
    </row>
    <row r="857">
      <c r="A857" s="39" t="s">
        <v>4896</v>
      </c>
      <c r="B857" s="15">
        <v>12288.0</v>
      </c>
      <c r="C857" s="15" t="s">
        <v>4897</v>
      </c>
      <c r="D857" s="15">
        <v>14724.0</v>
      </c>
      <c r="E857" s="15" t="s">
        <v>1548</v>
      </c>
      <c r="F857" s="15" t="s">
        <v>1948</v>
      </c>
      <c r="G857" s="7">
        <v>4.54</v>
      </c>
      <c r="H857" s="15" t="s">
        <v>4898</v>
      </c>
      <c r="I857" s="15" t="s">
        <v>1751</v>
      </c>
      <c r="J857" s="15" t="s">
        <v>4899</v>
      </c>
      <c r="K857" s="15">
        <v>3.0</v>
      </c>
      <c r="L857" s="15">
        <v>3.0</v>
      </c>
      <c r="M857" s="40">
        <v>36746.0</v>
      </c>
      <c r="N857" s="40">
        <v>39645.0</v>
      </c>
      <c r="O857" s="15" t="s">
        <v>1554</v>
      </c>
      <c r="Q857" s="7"/>
    </row>
    <row r="858">
      <c r="A858" s="39" t="s">
        <v>4900</v>
      </c>
      <c r="B858" s="15">
        <v>155414.0</v>
      </c>
      <c r="C858" s="15" t="s">
        <v>4901</v>
      </c>
      <c r="D858" s="15">
        <v>14725.0</v>
      </c>
      <c r="E858" s="15" t="s">
        <v>1638</v>
      </c>
      <c r="F858" s="15" t="s">
        <v>1639</v>
      </c>
      <c r="G858" s="7">
        <v>5.358</v>
      </c>
      <c r="H858" s="15" t="s">
        <v>4902</v>
      </c>
      <c r="I858" s="15" t="s">
        <v>1740</v>
      </c>
      <c r="J858" s="15" t="s">
        <v>4904</v>
      </c>
      <c r="K858" s="15">
        <v>2.0</v>
      </c>
      <c r="L858" s="15">
        <v>2.0</v>
      </c>
      <c r="M858" s="40">
        <v>36975.0</v>
      </c>
      <c r="N858" s="41">
        <v>40147.0</v>
      </c>
      <c r="O858" s="15" t="s">
        <v>1554</v>
      </c>
      <c r="Q858" s="7"/>
    </row>
    <row r="859">
      <c r="A859" s="39" t="s">
        <v>4905</v>
      </c>
      <c r="B859" s="15">
        <v>696863.0</v>
      </c>
      <c r="C859" s="15" t="s">
        <v>4906</v>
      </c>
      <c r="D859" s="15">
        <v>14726.0</v>
      </c>
      <c r="E859" s="15" t="s">
        <v>1548</v>
      </c>
      <c r="F859" s="15" t="s">
        <v>1890</v>
      </c>
      <c r="G859" s="7">
        <v>11.019</v>
      </c>
      <c r="H859" s="15">
        <v>43.0</v>
      </c>
      <c r="I859" s="15" t="s">
        <v>1686</v>
      </c>
      <c r="J859" s="15" t="s">
        <v>4908</v>
      </c>
      <c r="K859" s="15">
        <v>5.0</v>
      </c>
      <c r="L859" s="15">
        <v>5.0</v>
      </c>
      <c r="M859" s="41">
        <v>35019.0</v>
      </c>
      <c r="N859" s="40">
        <v>40352.0</v>
      </c>
      <c r="O859" s="15" t="s">
        <v>1554</v>
      </c>
      <c r="Q859" s="7"/>
    </row>
    <row r="860">
      <c r="A860" s="39" t="s">
        <v>4909</v>
      </c>
      <c r="B860" s="15">
        <v>38143.0</v>
      </c>
      <c r="C860" s="15" t="s">
        <v>4910</v>
      </c>
      <c r="D860" s="15">
        <v>14727.0</v>
      </c>
      <c r="E860" s="15" t="s">
        <v>1548</v>
      </c>
      <c r="F860" s="15" t="s">
        <v>4820</v>
      </c>
      <c r="G860" s="7">
        <v>15.717</v>
      </c>
      <c r="H860" s="15" t="s">
        <v>1802</v>
      </c>
      <c r="I860" s="15" t="s">
        <v>1686</v>
      </c>
      <c r="J860" s="15" t="s">
        <v>4911</v>
      </c>
      <c r="K860" s="15">
        <v>14.0</v>
      </c>
      <c r="L860" s="15">
        <v>15.0</v>
      </c>
      <c r="M860" s="40">
        <v>37133.0</v>
      </c>
      <c r="N860" s="40">
        <v>42761.0</v>
      </c>
      <c r="O860" s="15" t="s">
        <v>1554</v>
      </c>
      <c r="Q860" s="7"/>
    </row>
    <row r="861">
      <c r="A861" s="39" t="s">
        <v>4913</v>
      </c>
      <c r="B861" s="15">
        <v>35286.0</v>
      </c>
      <c r="C861" s="15" t="s">
        <v>4914</v>
      </c>
      <c r="D861" s="15">
        <v>14728.0</v>
      </c>
      <c r="E861" s="15" t="s">
        <v>1548</v>
      </c>
      <c r="F861" s="15" t="s">
        <v>1633</v>
      </c>
      <c r="G861" s="7">
        <v>6.366</v>
      </c>
      <c r="H861" s="15" t="s">
        <v>3973</v>
      </c>
      <c r="I861" s="15" t="s">
        <v>1628</v>
      </c>
      <c r="J861" s="15" t="s">
        <v>4915</v>
      </c>
      <c r="K861" s="15">
        <v>6.0</v>
      </c>
      <c r="L861" s="15">
        <v>6.0</v>
      </c>
      <c r="M861" s="40">
        <v>34728.0</v>
      </c>
      <c r="N861" s="40">
        <v>42045.0</v>
      </c>
      <c r="O861" s="15" t="s">
        <v>1554</v>
      </c>
      <c r="Q861" s="7"/>
    </row>
    <row r="862">
      <c r="A862" s="39" t="s">
        <v>4916</v>
      </c>
      <c r="B862" s="15">
        <v>129143.0</v>
      </c>
      <c r="C862" s="15" t="s">
        <v>4917</v>
      </c>
      <c r="D862" s="15">
        <v>14729.0</v>
      </c>
      <c r="E862" s="15" t="s">
        <v>1548</v>
      </c>
      <c r="F862" s="15" t="s">
        <v>1786</v>
      </c>
      <c r="G862" s="7">
        <v>8.432</v>
      </c>
      <c r="H862" s="15" t="s">
        <v>3070</v>
      </c>
      <c r="I862" s="15" t="s">
        <v>1628</v>
      </c>
      <c r="J862" s="15" t="s">
        <v>4918</v>
      </c>
      <c r="K862" s="15">
        <v>7.0</v>
      </c>
      <c r="L862" s="15">
        <v>7.0</v>
      </c>
      <c r="M862" s="40">
        <v>36699.0</v>
      </c>
      <c r="N862" s="40">
        <v>42454.0</v>
      </c>
      <c r="O862" s="15" t="s">
        <v>1554</v>
      </c>
      <c r="Q862" s="7"/>
    </row>
    <row r="863">
      <c r="A863" s="39" t="s">
        <v>4919</v>
      </c>
      <c r="B863" s="15">
        <v>90961.0</v>
      </c>
      <c r="C863" s="15" t="s">
        <v>4920</v>
      </c>
      <c r="D863" s="15">
        <v>14730.0</v>
      </c>
      <c r="E863" s="15" t="s">
        <v>1548</v>
      </c>
      <c r="F863" s="15" t="s">
        <v>1890</v>
      </c>
      <c r="G863" s="7">
        <v>11.822</v>
      </c>
      <c r="H863" s="15" t="s">
        <v>2392</v>
      </c>
      <c r="I863" s="15" t="s">
        <v>1567</v>
      </c>
      <c r="J863" s="15" t="s">
        <v>4922</v>
      </c>
      <c r="K863" s="15">
        <v>5.0</v>
      </c>
      <c r="L863" s="15">
        <v>5.0</v>
      </c>
      <c r="M863" s="40">
        <v>36382.0</v>
      </c>
      <c r="N863" s="41">
        <v>40147.0</v>
      </c>
      <c r="O863" s="15" t="s">
        <v>1554</v>
      </c>
      <c r="Q863" s="7"/>
    </row>
    <row r="864">
      <c r="A864" s="39" t="s">
        <v>4923</v>
      </c>
      <c r="B864" s="15">
        <v>120086.0</v>
      </c>
      <c r="C864" s="15" t="s">
        <v>4924</v>
      </c>
      <c r="D864" s="15">
        <v>14731.0</v>
      </c>
      <c r="E864" s="15" t="s">
        <v>1638</v>
      </c>
      <c r="F864" s="15" t="s">
        <v>4925</v>
      </c>
      <c r="G864" s="7">
        <v>14.984</v>
      </c>
      <c r="H864" s="15" t="s">
        <v>4926</v>
      </c>
      <c r="I864" s="15" t="s">
        <v>1586</v>
      </c>
      <c r="J864" s="15" t="s">
        <v>4927</v>
      </c>
      <c r="K864" s="15">
        <v>19.0</v>
      </c>
      <c r="L864" s="15">
        <v>19.0</v>
      </c>
      <c r="M864" s="40">
        <v>36627.0</v>
      </c>
      <c r="N864" s="41">
        <v>42297.0</v>
      </c>
      <c r="O864" s="15" t="s">
        <v>1554</v>
      </c>
      <c r="Q864" s="7"/>
    </row>
    <row r="865">
      <c r="A865" s="39" t="s">
        <v>4928</v>
      </c>
      <c r="B865" s="15">
        <v>39101.0</v>
      </c>
      <c r="C865" s="15" t="s">
        <v>4929</v>
      </c>
      <c r="D865" s="15">
        <v>14732.0</v>
      </c>
      <c r="E865" s="15" t="s">
        <v>1916</v>
      </c>
      <c r="F865" s="15" t="s">
        <v>2532</v>
      </c>
      <c r="G865" s="7">
        <v>8.918</v>
      </c>
      <c r="H865" s="15" t="s">
        <v>1977</v>
      </c>
      <c r="I865" s="15" t="s">
        <v>1686</v>
      </c>
      <c r="J865" s="15" t="s">
        <v>4930</v>
      </c>
      <c r="K865" s="15">
        <v>5.0</v>
      </c>
      <c r="L865" s="15">
        <v>5.0</v>
      </c>
      <c r="M865" s="41">
        <v>37244.0</v>
      </c>
      <c r="N865" s="40">
        <v>42578.0</v>
      </c>
      <c r="O865" s="15" t="s">
        <v>1554</v>
      </c>
      <c r="Q865" s="7"/>
    </row>
    <row r="866">
      <c r="A866" s="39" t="s">
        <v>4932</v>
      </c>
      <c r="B866" s="15">
        <v>12041.0</v>
      </c>
      <c r="C866" s="15" t="s">
        <v>4933</v>
      </c>
      <c r="D866" s="15">
        <v>14734.0</v>
      </c>
      <c r="E866" s="15" t="s">
        <v>1548</v>
      </c>
      <c r="F866" s="15" t="s">
        <v>1771</v>
      </c>
      <c r="G866" s="7">
        <v>5.964</v>
      </c>
      <c r="H866" s="15" t="s">
        <v>3407</v>
      </c>
      <c r="I866" s="15" t="s">
        <v>1628</v>
      </c>
      <c r="J866" s="15" t="s">
        <v>4934</v>
      </c>
      <c r="K866" s="15">
        <v>6.0</v>
      </c>
      <c r="L866" s="15">
        <v>6.0</v>
      </c>
      <c r="M866" s="40">
        <v>37277.0</v>
      </c>
      <c r="N866" s="41">
        <v>42348.0</v>
      </c>
      <c r="O866" s="15" t="s">
        <v>1554</v>
      </c>
      <c r="Q866" s="7"/>
    </row>
    <row r="867">
      <c r="A867" s="39" t="s">
        <v>4935</v>
      </c>
      <c r="B867" s="15">
        <v>12433.0</v>
      </c>
      <c r="C867" s="15" t="s">
        <v>4936</v>
      </c>
      <c r="D867" s="15">
        <v>14735.0</v>
      </c>
      <c r="E867" s="15" t="s">
        <v>1548</v>
      </c>
      <c r="F867" s="15" t="s">
        <v>1633</v>
      </c>
      <c r="G867" s="7">
        <v>8.66</v>
      </c>
      <c r="H867" s="15" t="s">
        <v>3604</v>
      </c>
      <c r="I867" s="15" t="s">
        <v>1628</v>
      </c>
      <c r="J867" s="15" t="s">
        <v>4937</v>
      </c>
      <c r="K867" s="15">
        <v>6.0</v>
      </c>
      <c r="L867" s="15">
        <v>6.0</v>
      </c>
      <c r="M867" s="40">
        <v>35825.0</v>
      </c>
      <c r="N867" s="41">
        <v>39801.0</v>
      </c>
      <c r="O867" s="15" t="s">
        <v>1554</v>
      </c>
      <c r="Q867" s="7"/>
    </row>
    <row r="868">
      <c r="A868" s="39" t="s">
        <v>4938</v>
      </c>
      <c r="B868" s="15">
        <v>12431.0</v>
      </c>
      <c r="C868" s="15" t="s">
        <v>4939</v>
      </c>
      <c r="D868" s="15">
        <v>14736.0</v>
      </c>
      <c r="E868" s="15" t="s">
        <v>1548</v>
      </c>
      <c r="F868" s="15" t="s">
        <v>1633</v>
      </c>
      <c r="G868" s="7">
        <v>8.405</v>
      </c>
      <c r="H868" s="15" t="s">
        <v>3882</v>
      </c>
      <c r="I868" s="15" t="s">
        <v>1628</v>
      </c>
      <c r="J868" s="15" t="s">
        <v>4940</v>
      </c>
      <c r="K868" s="15">
        <v>6.0</v>
      </c>
      <c r="L868" s="15">
        <v>6.0</v>
      </c>
      <c r="M868" s="40">
        <v>35825.0</v>
      </c>
      <c r="N868" s="41">
        <v>39801.0</v>
      </c>
      <c r="O868" s="15" t="s">
        <v>1554</v>
      </c>
      <c r="Q868" s="7"/>
    </row>
    <row r="869">
      <c r="A869" s="39" t="s">
        <v>4942</v>
      </c>
      <c r="B869" s="15">
        <v>186165.0</v>
      </c>
      <c r="C869" s="15" t="s">
        <v>4943</v>
      </c>
      <c r="D869" s="15">
        <v>14737.0</v>
      </c>
      <c r="E869" s="15" t="s">
        <v>1548</v>
      </c>
      <c r="F869" s="15" t="s">
        <v>4944</v>
      </c>
      <c r="G869" s="7">
        <v>5.698</v>
      </c>
      <c r="H869" s="15" t="s">
        <v>4215</v>
      </c>
      <c r="I869" s="15" t="s">
        <v>1560</v>
      </c>
      <c r="J869" s="15" t="s">
        <v>4945</v>
      </c>
      <c r="K869" s="15">
        <v>2.0</v>
      </c>
      <c r="L869" s="15">
        <v>2.0</v>
      </c>
      <c r="M869" s="40">
        <v>37307.0</v>
      </c>
      <c r="N869" s="40">
        <v>40214.0</v>
      </c>
      <c r="O869" s="15" t="s">
        <v>1554</v>
      </c>
      <c r="Q869" s="7"/>
    </row>
    <row r="870">
      <c r="A870" s="39" t="s">
        <v>4946</v>
      </c>
      <c r="B870" s="15">
        <v>109270.0</v>
      </c>
      <c r="C870" s="15" t="s">
        <v>4947</v>
      </c>
      <c r="D870" s="15">
        <v>14738.0</v>
      </c>
      <c r="E870" s="15" t="s">
        <v>1916</v>
      </c>
      <c r="F870" s="15" t="s">
        <v>2532</v>
      </c>
      <c r="G870" s="7">
        <v>12.035</v>
      </c>
      <c r="H870" s="15" t="s">
        <v>1994</v>
      </c>
      <c r="I870" s="15" t="s">
        <v>1686</v>
      </c>
      <c r="J870" s="15" t="s">
        <v>4948</v>
      </c>
      <c r="K870" s="15">
        <v>5.0</v>
      </c>
      <c r="L870" s="15">
        <v>5.0</v>
      </c>
      <c r="M870" s="40">
        <v>36635.0</v>
      </c>
      <c r="N870" s="40">
        <v>42453.0</v>
      </c>
      <c r="O870" s="15" t="s">
        <v>1554</v>
      </c>
      <c r="Q870" s="7"/>
    </row>
    <row r="871">
      <c r="A871" s="39" t="s">
        <v>4949</v>
      </c>
      <c r="B871" s="15">
        <v>28295.0</v>
      </c>
      <c r="C871" s="15" t="s">
        <v>4950</v>
      </c>
      <c r="D871" s="15">
        <v>14739.0</v>
      </c>
      <c r="E871" s="15" t="s">
        <v>1548</v>
      </c>
      <c r="F871" s="15" t="s">
        <v>1684</v>
      </c>
      <c r="G871" s="7">
        <v>28.033</v>
      </c>
      <c r="H871" s="15">
        <v>42.0</v>
      </c>
      <c r="I871" s="15" t="s">
        <v>1686</v>
      </c>
      <c r="J871" s="15" t="s">
        <v>4952</v>
      </c>
      <c r="K871" s="15">
        <v>6.0</v>
      </c>
      <c r="L871" s="15">
        <v>6.0</v>
      </c>
      <c r="M871" s="40">
        <v>37004.0</v>
      </c>
      <c r="N871" s="40">
        <v>42045.0</v>
      </c>
      <c r="O871" s="15" t="s">
        <v>1554</v>
      </c>
      <c r="Q871" s="7"/>
    </row>
    <row r="872">
      <c r="A872" s="39" t="s">
        <v>4953</v>
      </c>
      <c r="B872" s="15">
        <v>35297.0</v>
      </c>
      <c r="C872" s="15" t="s">
        <v>4954</v>
      </c>
      <c r="D872" s="15">
        <v>14741.0</v>
      </c>
      <c r="E872" s="15" t="s">
        <v>1548</v>
      </c>
      <c r="F872" s="15" t="s">
        <v>1948</v>
      </c>
      <c r="G872" s="7">
        <v>4.528</v>
      </c>
      <c r="H872" s="15" t="s">
        <v>4955</v>
      </c>
      <c r="I872" s="15" t="s">
        <v>1686</v>
      </c>
      <c r="J872" s="15" t="s">
        <v>4956</v>
      </c>
      <c r="K872" s="15">
        <v>3.0</v>
      </c>
      <c r="L872" s="15">
        <v>3.0</v>
      </c>
      <c r="M872" s="40">
        <v>37138.0</v>
      </c>
      <c r="N872" s="40">
        <v>39790.0</v>
      </c>
      <c r="O872" s="15" t="s">
        <v>1554</v>
      </c>
      <c r="Q872" s="7"/>
    </row>
    <row r="873">
      <c r="A873" s="39" t="s">
        <v>4957</v>
      </c>
      <c r="B873" s="15">
        <v>134632.0</v>
      </c>
      <c r="C873" s="15" t="s">
        <v>4958</v>
      </c>
      <c r="D873" s="15">
        <v>14742.0</v>
      </c>
      <c r="E873" s="15" t="s">
        <v>1548</v>
      </c>
      <c r="F873" s="15" t="s">
        <v>1926</v>
      </c>
      <c r="G873" s="7">
        <v>7.83</v>
      </c>
      <c r="H873" s="15" t="s">
        <v>4959</v>
      </c>
      <c r="I873" s="15" t="s">
        <v>1628</v>
      </c>
      <c r="J873" s="15" t="s">
        <v>4960</v>
      </c>
      <c r="K873" s="15">
        <v>4.0</v>
      </c>
      <c r="L873" s="15">
        <v>4.0</v>
      </c>
      <c r="M873" s="40">
        <v>36952.0</v>
      </c>
      <c r="N873" s="41">
        <v>42297.0</v>
      </c>
      <c r="O873" s="15" t="s">
        <v>1554</v>
      </c>
      <c r="Q873" s="7"/>
    </row>
    <row r="874">
      <c r="A874" s="39" t="s">
        <v>4962</v>
      </c>
      <c r="B874" s="15">
        <v>188538.0</v>
      </c>
      <c r="C874" s="15" t="s">
        <v>4963</v>
      </c>
      <c r="D874" s="15">
        <v>14743.0</v>
      </c>
      <c r="E874" s="15" t="s">
        <v>1548</v>
      </c>
      <c r="F874" s="15" t="s">
        <v>4837</v>
      </c>
      <c r="G874" s="7">
        <v>43266.0</v>
      </c>
      <c r="H874" s="15" t="s">
        <v>2580</v>
      </c>
      <c r="I874" s="15" t="s">
        <v>1567</v>
      </c>
      <c r="J874" s="15" t="s">
        <v>4964</v>
      </c>
      <c r="K874" s="15">
        <v>10.0</v>
      </c>
      <c r="L874" s="15">
        <v>10.0</v>
      </c>
      <c r="M874" s="40">
        <v>37330.0</v>
      </c>
      <c r="N874" s="40">
        <v>39939.0</v>
      </c>
      <c r="O874" s="15" t="s">
        <v>1554</v>
      </c>
      <c r="Q874" s="7"/>
    </row>
    <row r="875">
      <c r="A875" s="39" t="s">
        <v>4965</v>
      </c>
      <c r="B875" s="15">
        <v>35350.0</v>
      </c>
      <c r="C875" s="15" t="s">
        <v>4966</v>
      </c>
      <c r="D875" s="15">
        <v>14744.0</v>
      </c>
      <c r="E875" s="15" t="s">
        <v>1548</v>
      </c>
      <c r="F875" s="15" t="s">
        <v>1786</v>
      </c>
      <c r="G875" s="7">
        <v>9.332</v>
      </c>
      <c r="H875" s="15" t="s">
        <v>2552</v>
      </c>
      <c r="I875" s="15" t="s">
        <v>1628</v>
      </c>
      <c r="J875" s="15" t="s">
        <v>4967</v>
      </c>
      <c r="K875" s="15">
        <v>5.0</v>
      </c>
      <c r="L875" s="15">
        <v>5.0</v>
      </c>
      <c r="M875" s="40">
        <v>34471.0</v>
      </c>
      <c r="N875" s="40">
        <v>41299.0</v>
      </c>
      <c r="O875" s="15" t="s">
        <v>1554</v>
      </c>
      <c r="Q875" s="7"/>
    </row>
    <row r="876">
      <c r="A876" s="39" t="s">
        <v>4968</v>
      </c>
      <c r="B876" s="15">
        <v>12319.0</v>
      </c>
      <c r="C876" s="15" t="s">
        <v>4969</v>
      </c>
      <c r="D876" s="15">
        <v>14745.0</v>
      </c>
      <c r="E876" s="15" t="s">
        <v>1548</v>
      </c>
      <c r="F876" s="15" t="s">
        <v>1926</v>
      </c>
      <c r="G876" s="7">
        <v>8.511</v>
      </c>
      <c r="H876" s="15" t="s">
        <v>4970</v>
      </c>
      <c r="I876" s="15" t="s">
        <v>1628</v>
      </c>
      <c r="J876" s="15" t="s">
        <v>4972</v>
      </c>
      <c r="K876" s="15">
        <v>4.0</v>
      </c>
      <c r="L876" s="15">
        <v>4.0</v>
      </c>
      <c r="M876" s="40">
        <v>34643.0</v>
      </c>
      <c r="N876" s="40">
        <v>42045.0</v>
      </c>
      <c r="O876" s="15" t="s">
        <v>1554</v>
      </c>
      <c r="Q876" s="7"/>
    </row>
    <row r="877">
      <c r="A877" s="39" t="s">
        <v>4973</v>
      </c>
      <c r="B877" s="15">
        <v>12056.0</v>
      </c>
      <c r="C877" s="15" t="s">
        <v>4974</v>
      </c>
      <c r="D877" s="15">
        <v>14747.0</v>
      </c>
      <c r="E877" s="15" t="s">
        <v>1548</v>
      </c>
      <c r="F877" s="15" t="s">
        <v>2900</v>
      </c>
      <c r="G877" s="7">
        <v>3.762</v>
      </c>
      <c r="H877" s="15" t="s">
        <v>1700</v>
      </c>
      <c r="I877" s="15" t="s">
        <v>1628</v>
      </c>
      <c r="J877" s="15" t="s">
        <v>4975</v>
      </c>
      <c r="K877" s="15">
        <v>6.0</v>
      </c>
      <c r="L877" s="15">
        <v>6.0</v>
      </c>
      <c r="M877" s="40">
        <v>35613.0</v>
      </c>
      <c r="N877" s="40">
        <v>40296.0</v>
      </c>
      <c r="O877" s="15" t="s">
        <v>1554</v>
      </c>
      <c r="Q877" s="7"/>
    </row>
    <row r="878">
      <c r="A878" s="39" t="s">
        <v>4976</v>
      </c>
      <c r="B878" s="15">
        <v>190811.0</v>
      </c>
      <c r="C878" s="15" t="s">
        <v>4977</v>
      </c>
      <c r="D878" s="15">
        <v>14748.0</v>
      </c>
      <c r="E878" s="15" t="s">
        <v>2014</v>
      </c>
      <c r="F878" s="15" t="s">
        <v>1578</v>
      </c>
      <c r="G878" s="7">
        <v>0.836</v>
      </c>
      <c r="H878" s="15" t="s">
        <v>4204</v>
      </c>
      <c r="I878" s="15" t="s">
        <v>1628</v>
      </c>
      <c r="J878" s="15" t="s">
        <v>4978</v>
      </c>
      <c r="K878" s="15">
        <v>1.0</v>
      </c>
      <c r="L878" s="15">
        <v>1.0</v>
      </c>
      <c r="M878" s="41">
        <v>34621.0</v>
      </c>
      <c r="N878" s="41">
        <v>40147.0</v>
      </c>
      <c r="O878" s="15" t="s">
        <v>1554</v>
      </c>
      <c r="Q878" s="7"/>
    </row>
    <row r="879">
      <c r="A879" s="39" t="s">
        <v>4980</v>
      </c>
      <c r="B879" s="15">
        <v>65743.0</v>
      </c>
      <c r="C879" s="15" t="s">
        <v>4981</v>
      </c>
      <c r="D879" s="15">
        <v>14749.0</v>
      </c>
      <c r="E879" s="15" t="s">
        <v>1548</v>
      </c>
      <c r="F879" s="15" t="s">
        <v>1626</v>
      </c>
      <c r="G879" s="7">
        <v>14.116</v>
      </c>
      <c r="H879" s="15" t="s">
        <v>4982</v>
      </c>
      <c r="I879" s="15" t="s">
        <v>1628</v>
      </c>
      <c r="J879" s="15" t="s">
        <v>4983</v>
      </c>
      <c r="K879" s="15">
        <v>2.0</v>
      </c>
      <c r="L879" s="15">
        <v>2.0</v>
      </c>
      <c r="M879" s="40">
        <v>36165.0</v>
      </c>
      <c r="N879" s="40">
        <v>39639.0</v>
      </c>
      <c r="O879" s="15" t="s">
        <v>1554</v>
      </c>
      <c r="Q879" s="7"/>
    </row>
    <row r="880">
      <c r="A880" s="39" t="s">
        <v>4984</v>
      </c>
      <c r="B880" s="15">
        <v>76343.0</v>
      </c>
      <c r="C880" s="15" t="s">
        <v>4985</v>
      </c>
      <c r="D880" s="15">
        <v>14750.0</v>
      </c>
      <c r="E880" s="15" t="s">
        <v>1548</v>
      </c>
      <c r="F880" s="15" t="s">
        <v>4986</v>
      </c>
      <c r="G880" s="7">
        <v>14.222</v>
      </c>
      <c r="H880" s="15" t="s">
        <v>4987</v>
      </c>
      <c r="I880" s="15" t="s">
        <v>1628</v>
      </c>
      <c r="J880" s="15" t="s">
        <v>4988</v>
      </c>
      <c r="K880" s="15">
        <v>10.0</v>
      </c>
      <c r="L880" s="15">
        <v>10.0</v>
      </c>
      <c r="M880" s="40">
        <v>35933.0</v>
      </c>
      <c r="N880" s="40">
        <v>42045.0</v>
      </c>
      <c r="O880" s="15" t="s">
        <v>1554</v>
      </c>
      <c r="Q880" s="7"/>
    </row>
    <row r="881">
      <c r="A881" s="39" t="s">
        <v>4989</v>
      </c>
      <c r="B881" s="15">
        <v>46436.0</v>
      </c>
      <c r="C881" s="15" t="s">
        <v>4990</v>
      </c>
      <c r="D881" s="15">
        <v>14751.0</v>
      </c>
      <c r="E881" s="15" t="s">
        <v>1548</v>
      </c>
      <c r="F881" s="15" t="s">
        <v>2615</v>
      </c>
      <c r="G881" s="7">
        <v>12.293</v>
      </c>
      <c r="H881" s="15" t="s">
        <v>4992</v>
      </c>
      <c r="I881" s="15" t="s">
        <v>1628</v>
      </c>
      <c r="J881" s="15" t="s">
        <v>4993</v>
      </c>
      <c r="K881" s="15">
        <v>7.0</v>
      </c>
      <c r="L881" s="15">
        <v>7.0</v>
      </c>
      <c r="M881" s="40">
        <v>35137.0</v>
      </c>
      <c r="N881" s="40">
        <v>39790.0</v>
      </c>
      <c r="O881" s="15" t="s">
        <v>1554</v>
      </c>
      <c r="Q881" s="7"/>
    </row>
    <row r="882">
      <c r="A882" s="39" t="s">
        <v>4994</v>
      </c>
      <c r="B882" s="15">
        <v>190809.0</v>
      </c>
      <c r="C882" s="15" t="s">
        <v>4995</v>
      </c>
      <c r="D882" s="15">
        <v>14752.0</v>
      </c>
      <c r="E882" s="15" t="s">
        <v>2014</v>
      </c>
      <c r="F882" s="15" t="s">
        <v>1578</v>
      </c>
      <c r="G882" s="7">
        <v>1.104</v>
      </c>
      <c r="H882" s="15" t="s">
        <v>2237</v>
      </c>
      <c r="I882" s="15" t="s">
        <v>1628</v>
      </c>
      <c r="J882" s="15" t="s">
        <v>4996</v>
      </c>
      <c r="K882" s="15">
        <v>1.0</v>
      </c>
      <c r="L882" s="15">
        <v>1.0</v>
      </c>
      <c r="M882" s="40">
        <v>34088.0</v>
      </c>
      <c r="N882" s="40">
        <v>39645.0</v>
      </c>
      <c r="O882" s="15" t="s">
        <v>1554</v>
      </c>
      <c r="Q882" s="7"/>
    </row>
    <row r="883">
      <c r="A883" s="39" t="s">
        <v>4997</v>
      </c>
      <c r="B883" s="15">
        <v>12268.0</v>
      </c>
      <c r="C883" s="15" t="s">
        <v>4998</v>
      </c>
      <c r="D883" s="15">
        <v>14753.0</v>
      </c>
      <c r="E883" s="15" t="s">
        <v>1548</v>
      </c>
      <c r="F883" s="15" t="s">
        <v>2900</v>
      </c>
      <c r="G883" s="7">
        <v>5.243</v>
      </c>
      <c r="H883" s="15" t="s">
        <v>4999</v>
      </c>
      <c r="I883" s="15" t="s">
        <v>1628</v>
      </c>
      <c r="J883" s="15" t="s">
        <v>5000</v>
      </c>
      <c r="K883" s="15">
        <v>5.0</v>
      </c>
      <c r="L883" s="15">
        <v>5.0</v>
      </c>
      <c r="M883" s="40">
        <v>33333.0</v>
      </c>
      <c r="N883" s="40">
        <v>42045.0</v>
      </c>
      <c r="O883" s="15" t="s">
        <v>1554</v>
      </c>
      <c r="Q883" s="7"/>
    </row>
    <row r="884">
      <c r="A884" s="39" t="s">
        <v>5001</v>
      </c>
      <c r="B884" s="15">
        <v>40268.0</v>
      </c>
      <c r="C884" s="15" t="s">
        <v>5002</v>
      </c>
      <c r="D884" s="15">
        <v>14754.0</v>
      </c>
      <c r="E884" s="15" t="s">
        <v>1638</v>
      </c>
      <c r="F884" s="15" t="s">
        <v>4692</v>
      </c>
      <c r="G884" s="7">
        <v>12.507</v>
      </c>
      <c r="H884" s="15" t="s">
        <v>3798</v>
      </c>
      <c r="I884" s="15" t="s">
        <v>1552</v>
      </c>
      <c r="J884" s="15" t="s">
        <v>5004</v>
      </c>
      <c r="K884" s="15">
        <v>2.0</v>
      </c>
      <c r="L884" s="15">
        <v>2.0</v>
      </c>
      <c r="M884" s="40">
        <v>34383.0</v>
      </c>
      <c r="N884" s="40">
        <v>39645.0</v>
      </c>
      <c r="O884" s="15" t="s">
        <v>1554</v>
      </c>
      <c r="Q884" s="7"/>
    </row>
    <row r="885">
      <c r="A885" s="39" t="s">
        <v>5005</v>
      </c>
      <c r="B885" s="15">
        <v>12627.0</v>
      </c>
      <c r="C885" s="15" t="s">
        <v>5006</v>
      </c>
      <c r="D885" s="15">
        <v>14755.0</v>
      </c>
      <c r="E885" s="15" t="s">
        <v>1548</v>
      </c>
      <c r="F885" s="15" t="s">
        <v>2900</v>
      </c>
      <c r="G885" s="7">
        <v>4.029</v>
      </c>
      <c r="H885" s="15" t="s">
        <v>2284</v>
      </c>
      <c r="I885" s="15" t="s">
        <v>1628</v>
      </c>
      <c r="J885" s="15" t="s">
        <v>5007</v>
      </c>
      <c r="K885" s="15">
        <v>6.0</v>
      </c>
      <c r="L885" s="15">
        <v>6.0</v>
      </c>
      <c r="M885" s="40">
        <v>34881.0</v>
      </c>
      <c r="N885" s="40">
        <v>42045.0</v>
      </c>
      <c r="O885" s="15" t="s">
        <v>1554</v>
      </c>
      <c r="Q885" s="7"/>
    </row>
    <row r="886">
      <c r="A886" s="39" t="s">
        <v>5008</v>
      </c>
      <c r="B886" s="15">
        <v>12303.0</v>
      </c>
      <c r="C886" s="15" t="s">
        <v>5009</v>
      </c>
      <c r="D886" s="15">
        <v>14758.0</v>
      </c>
      <c r="E886" s="15" t="s">
        <v>1548</v>
      </c>
      <c r="F886" s="15" t="s">
        <v>1926</v>
      </c>
      <c r="G886" s="7">
        <v>8.118</v>
      </c>
      <c r="H886" s="15" t="s">
        <v>5010</v>
      </c>
      <c r="I886" s="15" t="s">
        <v>1628</v>
      </c>
      <c r="J886" s="15" t="s">
        <v>5011</v>
      </c>
      <c r="K886" s="15">
        <v>4.0</v>
      </c>
      <c r="L886" s="15">
        <v>4.0</v>
      </c>
      <c r="M886" s="40">
        <v>32947.0</v>
      </c>
      <c r="N886" s="40">
        <v>39790.0</v>
      </c>
      <c r="O886" s="15" t="s">
        <v>1554</v>
      </c>
      <c r="Q886" s="7"/>
    </row>
    <row r="887">
      <c r="A887" s="39" t="s">
        <v>5012</v>
      </c>
      <c r="B887" s="15">
        <v>37126.0</v>
      </c>
      <c r="C887" s="15" t="s">
        <v>5014</v>
      </c>
      <c r="D887" s="15">
        <v>14759.0</v>
      </c>
      <c r="E887" s="15" t="s">
        <v>1548</v>
      </c>
      <c r="F887" s="15" t="s">
        <v>1926</v>
      </c>
      <c r="G887" s="7">
        <v>8.683</v>
      </c>
      <c r="H887" s="15" t="s">
        <v>5015</v>
      </c>
      <c r="I887" s="15" t="s">
        <v>1628</v>
      </c>
      <c r="J887" s="15" t="s">
        <v>5016</v>
      </c>
      <c r="K887" s="15">
        <v>5.0</v>
      </c>
      <c r="L887" s="15">
        <v>5.0</v>
      </c>
      <c r="M887" s="40">
        <v>34675.0</v>
      </c>
      <c r="N887" s="40">
        <v>42045.0</v>
      </c>
      <c r="O887" s="15" t="s">
        <v>1554</v>
      </c>
      <c r="Q887" s="7"/>
    </row>
    <row r="888">
      <c r="A888" s="39" t="s">
        <v>5017</v>
      </c>
      <c r="B888" s="15">
        <v>56486.0</v>
      </c>
      <c r="C888" s="15" t="s">
        <v>5018</v>
      </c>
      <c r="D888" s="15">
        <v>14760.0</v>
      </c>
      <c r="E888" s="15" t="s">
        <v>1548</v>
      </c>
      <c r="F888" s="15" t="s">
        <v>1926</v>
      </c>
      <c r="G888" s="7">
        <v>8.62</v>
      </c>
      <c r="H888" s="15" t="s">
        <v>5019</v>
      </c>
      <c r="I888" s="15" t="s">
        <v>1628</v>
      </c>
      <c r="J888" s="15" t="s">
        <v>5020</v>
      </c>
      <c r="K888" s="15">
        <v>5.0</v>
      </c>
      <c r="L888" s="15">
        <v>5.0</v>
      </c>
      <c r="M888" s="40">
        <v>35005.0</v>
      </c>
      <c r="N888" s="40">
        <v>42045.0</v>
      </c>
      <c r="O888" s="15" t="s">
        <v>1554</v>
      </c>
      <c r="Q888" s="7"/>
    </row>
    <row r="889">
      <c r="A889" s="39" t="s">
        <v>5021</v>
      </c>
      <c r="B889" s="15">
        <v>12530.0</v>
      </c>
      <c r="C889" s="15" t="s">
        <v>5022</v>
      </c>
      <c r="D889" s="15">
        <v>14761.0</v>
      </c>
      <c r="E889" s="15" t="s">
        <v>1638</v>
      </c>
      <c r="F889" s="15" t="s">
        <v>1639</v>
      </c>
      <c r="G889" s="7">
        <v>5.283</v>
      </c>
      <c r="H889" s="15" t="s">
        <v>1720</v>
      </c>
      <c r="I889" s="15" t="s">
        <v>1740</v>
      </c>
      <c r="J889" s="15" t="s">
        <v>5024</v>
      </c>
      <c r="K889" s="15">
        <v>2.0</v>
      </c>
      <c r="L889" s="15">
        <v>2.0</v>
      </c>
      <c r="M889" s="40">
        <v>34278.0</v>
      </c>
      <c r="N889" s="40">
        <v>41327.0</v>
      </c>
      <c r="O889" s="15" t="s">
        <v>1554</v>
      </c>
      <c r="Q889" s="7"/>
    </row>
    <row r="890">
      <c r="A890" s="39" t="s">
        <v>5025</v>
      </c>
      <c r="B890" s="15">
        <v>47740.0</v>
      </c>
      <c r="C890" s="15" t="s">
        <v>5026</v>
      </c>
      <c r="D890" s="15">
        <v>14762.0</v>
      </c>
      <c r="E890" s="15" t="s">
        <v>1548</v>
      </c>
      <c r="F890" s="15" t="s">
        <v>2900</v>
      </c>
      <c r="G890" s="7">
        <v>4.019</v>
      </c>
      <c r="H890" s="15" t="s">
        <v>3794</v>
      </c>
      <c r="I890" s="15" t="s">
        <v>1628</v>
      </c>
      <c r="J890" s="15" t="s">
        <v>5027</v>
      </c>
      <c r="K890" s="15">
        <v>4.0</v>
      </c>
      <c r="L890" s="15">
        <v>4.0</v>
      </c>
      <c r="M890" s="40">
        <v>35217.0</v>
      </c>
      <c r="N890" s="40">
        <v>42221.0</v>
      </c>
      <c r="O890" s="15" t="s">
        <v>1554</v>
      </c>
      <c r="Q890" s="7"/>
    </row>
    <row r="891">
      <c r="A891" s="39" t="s">
        <v>5028</v>
      </c>
      <c r="B891" s="15">
        <v>45237.0</v>
      </c>
      <c r="C891" s="15" t="s">
        <v>5029</v>
      </c>
      <c r="D891" s="15">
        <v>14763.0</v>
      </c>
      <c r="E891" s="15" t="s">
        <v>1638</v>
      </c>
      <c r="F891" s="15" t="s">
        <v>1639</v>
      </c>
      <c r="G891" s="7">
        <v>5.179</v>
      </c>
      <c r="H891" s="15" t="s">
        <v>4237</v>
      </c>
      <c r="I891" s="15" t="s">
        <v>1552</v>
      </c>
      <c r="J891" s="15" t="s">
        <v>5030</v>
      </c>
      <c r="K891" s="15">
        <v>2.0</v>
      </c>
      <c r="L891" s="15">
        <v>2.0</v>
      </c>
      <c r="M891" s="40">
        <v>35799.0</v>
      </c>
      <c r="N891" s="40">
        <v>40357.0</v>
      </c>
      <c r="O891" s="15" t="s">
        <v>1554</v>
      </c>
      <c r="Q891" s="7"/>
    </row>
    <row r="892">
      <c r="A892" s="39" t="s">
        <v>5031</v>
      </c>
      <c r="B892" s="15">
        <v>11612.0</v>
      </c>
      <c r="C892" s="15" t="s">
        <v>5032</v>
      </c>
      <c r="D892" s="15">
        <v>14767.0</v>
      </c>
      <c r="E892" s="15" t="s">
        <v>1548</v>
      </c>
      <c r="F892" s="15" t="s">
        <v>5033</v>
      </c>
      <c r="G892" s="7">
        <v>16.74</v>
      </c>
      <c r="H892" s="15" t="s">
        <v>5034</v>
      </c>
      <c r="I892" s="15" t="s">
        <v>2034</v>
      </c>
      <c r="J892" s="15" t="s">
        <v>5035</v>
      </c>
      <c r="K892" s="15">
        <v>6.0</v>
      </c>
      <c r="L892" s="15">
        <v>5.0</v>
      </c>
      <c r="M892" s="40">
        <v>33757.0</v>
      </c>
      <c r="N892" s="41">
        <v>42297.0</v>
      </c>
      <c r="O892" s="15" t="s">
        <v>1554</v>
      </c>
      <c r="Q892" s="7"/>
    </row>
    <row r="893">
      <c r="A893" s="39" t="s">
        <v>5036</v>
      </c>
      <c r="B893" s="15">
        <v>31713.0</v>
      </c>
      <c r="C893" s="15" t="s">
        <v>5037</v>
      </c>
      <c r="D893" s="15">
        <v>14768.0</v>
      </c>
      <c r="E893" s="15" t="s">
        <v>1548</v>
      </c>
      <c r="F893" s="15" t="s">
        <v>1790</v>
      </c>
      <c r="G893" s="7">
        <v>15.311</v>
      </c>
      <c r="H893" s="15" t="s">
        <v>5038</v>
      </c>
      <c r="I893" s="15" t="s">
        <v>1628</v>
      </c>
      <c r="J893" s="15" t="s">
        <v>5039</v>
      </c>
      <c r="K893" s="15">
        <v>7.0</v>
      </c>
      <c r="L893" s="15">
        <v>7.0</v>
      </c>
      <c r="M893" s="40">
        <v>34728.0</v>
      </c>
      <c r="N893" s="40">
        <v>39939.0</v>
      </c>
      <c r="O893" s="15" t="s">
        <v>1554</v>
      </c>
      <c r="Q893" s="7"/>
    </row>
    <row r="894">
      <c r="A894" s="39" t="s">
        <v>5040</v>
      </c>
      <c r="B894" s="15">
        <v>193121.0</v>
      </c>
      <c r="C894" s="15" t="s">
        <v>5041</v>
      </c>
      <c r="D894" s="15">
        <v>14769.0</v>
      </c>
      <c r="E894" s="15" t="s">
        <v>1548</v>
      </c>
      <c r="F894" s="15" t="s">
        <v>1771</v>
      </c>
      <c r="G894" s="7">
        <v>5.706</v>
      </c>
      <c r="H894" s="15" t="s">
        <v>5042</v>
      </c>
      <c r="I894" s="15" t="s">
        <v>1628</v>
      </c>
      <c r="J894" s="15" t="s">
        <v>5043</v>
      </c>
      <c r="K894" s="15">
        <v>5.0</v>
      </c>
      <c r="L894" s="15">
        <v>5.0</v>
      </c>
      <c r="M894" s="40">
        <v>34087.0</v>
      </c>
      <c r="N894" s="40">
        <v>42576.0</v>
      </c>
      <c r="O894" s="15" t="s">
        <v>1554</v>
      </c>
      <c r="Q894" s="7"/>
    </row>
    <row r="895">
      <c r="A895" s="39" t="s">
        <v>5044</v>
      </c>
      <c r="B895" s="15">
        <v>31503.0</v>
      </c>
      <c r="C895" s="15" t="s">
        <v>5046</v>
      </c>
      <c r="D895" s="15">
        <v>14770.0</v>
      </c>
      <c r="E895" s="15" t="s">
        <v>1664</v>
      </c>
      <c r="F895" s="15" t="s">
        <v>1664</v>
      </c>
      <c r="G895" s="7">
        <v>1.168</v>
      </c>
      <c r="H895" s="15">
        <v>51.0</v>
      </c>
      <c r="I895" s="15" t="s">
        <v>1628</v>
      </c>
      <c r="J895" s="15" t="s">
        <v>5047</v>
      </c>
      <c r="K895" s="15">
        <v>1.0</v>
      </c>
      <c r="L895" s="15">
        <v>1.0</v>
      </c>
      <c r="M895" s="40">
        <v>33290.0</v>
      </c>
      <c r="N895" s="40">
        <v>42045.0</v>
      </c>
      <c r="O895" s="15" t="s">
        <v>1554</v>
      </c>
      <c r="Q895" s="7"/>
    </row>
    <row r="896">
      <c r="A896" s="39" t="s">
        <v>5048</v>
      </c>
      <c r="B896" s="15">
        <v>12182.0</v>
      </c>
      <c r="C896" s="15" t="s">
        <v>5049</v>
      </c>
      <c r="D896" s="15">
        <v>14771.0</v>
      </c>
      <c r="E896" s="15" t="s">
        <v>1548</v>
      </c>
      <c r="F896" s="15" t="s">
        <v>1633</v>
      </c>
      <c r="G896" s="7">
        <v>7.059</v>
      </c>
      <c r="H896" s="15" t="s">
        <v>3653</v>
      </c>
      <c r="I896" s="15" t="s">
        <v>1628</v>
      </c>
      <c r="J896" s="15" t="s">
        <v>5050</v>
      </c>
      <c r="K896" s="15">
        <v>6.0</v>
      </c>
      <c r="L896" s="15">
        <v>6.0</v>
      </c>
      <c r="M896" s="40">
        <v>34760.0</v>
      </c>
      <c r="N896" s="40">
        <v>42045.0</v>
      </c>
      <c r="O896" s="15" t="s">
        <v>1554</v>
      </c>
      <c r="Q896" s="7"/>
    </row>
    <row r="897">
      <c r="A897" s="39" t="s">
        <v>5051</v>
      </c>
      <c r="B897" s="15">
        <v>116056.0</v>
      </c>
      <c r="C897" s="15" t="s">
        <v>5052</v>
      </c>
      <c r="D897" s="15">
        <v>14774.0</v>
      </c>
      <c r="E897" s="15" t="s">
        <v>1548</v>
      </c>
      <c r="F897" s="15" t="s">
        <v>1926</v>
      </c>
      <c r="G897" s="7">
        <v>8.477</v>
      </c>
      <c r="H897" s="15" t="s">
        <v>5053</v>
      </c>
      <c r="I897" s="15" t="s">
        <v>1628</v>
      </c>
      <c r="J897" s="15" t="s">
        <v>5054</v>
      </c>
      <c r="K897" s="15">
        <v>4.0</v>
      </c>
      <c r="L897" s="15">
        <v>4.0</v>
      </c>
      <c r="M897" s="40">
        <v>36785.0</v>
      </c>
      <c r="N897" s="40">
        <v>39939.0</v>
      </c>
      <c r="O897" s="15" t="s">
        <v>1554</v>
      </c>
      <c r="Q897" s="7"/>
    </row>
    <row r="898">
      <c r="A898" s="39" t="s">
        <v>5055</v>
      </c>
      <c r="B898" s="15">
        <v>33724.0</v>
      </c>
      <c r="C898" s="15" t="s">
        <v>5056</v>
      </c>
      <c r="D898" s="15">
        <v>14775.0</v>
      </c>
      <c r="E898" s="15" t="s">
        <v>1638</v>
      </c>
      <c r="F898" s="15" t="s">
        <v>1863</v>
      </c>
      <c r="G898" s="7">
        <v>28.699</v>
      </c>
      <c r="H898" s="15" t="s">
        <v>5057</v>
      </c>
      <c r="I898" s="15" t="s">
        <v>2034</v>
      </c>
      <c r="J898" s="15" t="s">
        <v>5059</v>
      </c>
      <c r="K898" s="15">
        <v>11.0</v>
      </c>
      <c r="L898" s="15">
        <v>11.0</v>
      </c>
      <c r="M898" s="40">
        <v>34418.0</v>
      </c>
      <c r="N898" s="41">
        <v>42297.0</v>
      </c>
      <c r="O898" s="15" t="s">
        <v>1554</v>
      </c>
      <c r="Q898" s="7"/>
    </row>
    <row r="899">
      <c r="A899" s="39" t="s">
        <v>5060</v>
      </c>
      <c r="B899" s="15">
        <v>28355.0</v>
      </c>
      <c r="C899" s="15" t="s">
        <v>5061</v>
      </c>
      <c r="D899" s="15">
        <v>14776.0</v>
      </c>
      <c r="E899" s="15" t="s">
        <v>1548</v>
      </c>
      <c r="F899" s="15" t="s">
        <v>2615</v>
      </c>
      <c r="G899" s="7">
        <v>10.401</v>
      </c>
      <c r="H899" s="15" t="s">
        <v>5062</v>
      </c>
      <c r="I899" s="15" t="s">
        <v>1628</v>
      </c>
      <c r="J899" s="15" t="s">
        <v>5063</v>
      </c>
      <c r="K899" s="15">
        <v>9.0</v>
      </c>
      <c r="L899" s="15">
        <v>8.0</v>
      </c>
      <c r="M899" s="40">
        <v>34132.0</v>
      </c>
      <c r="N899" s="40">
        <v>42045.0</v>
      </c>
      <c r="O899" s="15" t="s">
        <v>1554</v>
      </c>
      <c r="Q899" s="7"/>
    </row>
    <row r="900">
      <c r="A900" s="39" t="s">
        <v>5064</v>
      </c>
      <c r="B900" s="15">
        <v>31750.0</v>
      </c>
      <c r="C900" s="15" t="s">
        <v>5065</v>
      </c>
      <c r="D900" s="15">
        <v>14777.0</v>
      </c>
      <c r="E900" s="15" t="s">
        <v>1548</v>
      </c>
      <c r="F900" s="15" t="s">
        <v>2615</v>
      </c>
      <c r="G900" s="7">
        <v>8.627</v>
      </c>
      <c r="H900" s="15" t="s">
        <v>5066</v>
      </c>
      <c r="I900" s="15" t="s">
        <v>1628</v>
      </c>
      <c r="J900" s="15" t="s">
        <v>5067</v>
      </c>
      <c r="K900" s="15">
        <v>5.0</v>
      </c>
      <c r="L900" s="15">
        <v>5.0</v>
      </c>
      <c r="M900" s="40">
        <v>31595.0</v>
      </c>
      <c r="N900" s="40">
        <v>39639.0</v>
      </c>
      <c r="O900" s="15" t="s">
        <v>1554</v>
      </c>
      <c r="Q900" s="7"/>
    </row>
    <row r="901">
      <c r="A901" s="39" t="s">
        <v>5069</v>
      </c>
      <c r="B901" s="15">
        <v>33773.0</v>
      </c>
      <c r="C901" s="15" t="s">
        <v>5070</v>
      </c>
      <c r="D901" s="15">
        <v>14778.0</v>
      </c>
      <c r="E901" s="15" t="s">
        <v>1548</v>
      </c>
      <c r="F901" s="15" t="s">
        <v>1926</v>
      </c>
      <c r="G901" s="7">
        <v>10.379</v>
      </c>
      <c r="H901" s="15" t="s">
        <v>5071</v>
      </c>
      <c r="I901" s="15" t="s">
        <v>1628</v>
      </c>
      <c r="J901" s="15" t="s">
        <v>5072</v>
      </c>
      <c r="K901" s="15">
        <v>6.0</v>
      </c>
      <c r="L901" s="15">
        <v>6.0</v>
      </c>
      <c r="M901" s="40">
        <v>34389.0</v>
      </c>
      <c r="N901" s="40">
        <v>39639.0</v>
      </c>
      <c r="O901" s="15" t="s">
        <v>1554</v>
      </c>
      <c r="Q901" s="7"/>
    </row>
    <row r="902">
      <c r="A902" s="39" t="s">
        <v>5073</v>
      </c>
      <c r="B902" s="15">
        <v>119222.0</v>
      </c>
      <c r="C902" s="15" t="s">
        <v>5074</v>
      </c>
      <c r="D902" s="15">
        <v>14780.0</v>
      </c>
      <c r="E902" s="15" t="s">
        <v>1548</v>
      </c>
      <c r="F902" s="15" t="s">
        <v>1801</v>
      </c>
      <c r="G902" s="7">
        <v>12.602</v>
      </c>
      <c r="H902" s="15" t="s">
        <v>1551</v>
      </c>
      <c r="I902" s="15" t="s">
        <v>1686</v>
      </c>
      <c r="J902" s="15" t="s">
        <v>5075</v>
      </c>
      <c r="K902" s="15">
        <v>1.0</v>
      </c>
      <c r="L902" s="15">
        <v>1.0</v>
      </c>
      <c r="M902" s="41">
        <v>36449.0</v>
      </c>
      <c r="N902" s="40">
        <v>42577.0</v>
      </c>
      <c r="O902" s="15" t="s">
        <v>1554</v>
      </c>
      <c r="Q902" s="7"/>
    </row>
    <row r="903">
      <c r="A903" s="39" t="s">
        <v>5076</v>
      </c>
      <c r="B903" s="15">
        <v>31723.0</v>
      </c>
      <c r="C903" s="15" t="s">
        <v>5077</v>
      </c>
      <c r="D903" s="15">
        <v>14781.0</v>
      </c>
      <c r="E903" s="15" t="s">
        <v>1548</v>
      </c>
      <c r="F903" s="15" t="s">
        <v>1771</v>
      </c>
      <c r="G903" s="7">
        <v>5.273</v>
      </c>
      <c r="H903" s="15" t="s">
        <v>2548</v>
      </c>
      <c r="I903" s="15" t="s">
        <v>1628</v>
      </c>
      <c r="J903" s="15" t="s">
        <v>5079</v>
      </c>
      <c r="K903" s="15">
        <v>7.0</v>
      </c>
      <c r="L903" s="15">
        <v>7.0</v>
      </c>
      <c r="M903" s="40">
        <v>34088.0</v>
      </c>
      <c r="N903" s="40">
        <v>42575.0</v>
      </c>
      <c r="O903" s="15" t="s">
        <v>1554</v>
      </c>
      <c r="Q903" s="7"/>
    </row>
    <row r="904">
      <c r="A904" s="39" t="s">
        <v>5080</v>
      </c>
      <c r="B904" s="15">
        <v>103782.0</v>
      </c>
      <c r="C904" s="15" t="s">
        <v>5081</v>
      </c>
      <c r="D904" s="15">
        <v>14785.0</v>
      </c>
      <c r="E904" s="15" t="s">
        <v>1548</v>
      </c>
      <c r="F904" s="15" t="s">
        <v>1948</v>
      </c>
      <c r="G904" s="7">
        <v>4.322</v>
      </c>
      <c r="H904" s="15" t="s">
        <v>5082</v>
      </c>
      <c r="I904" s="15" t="s">
        <v>1560</v>
      </c>
      <c r="J904" s="15" t="s">
        <v>5083</v>
      </c>
      <c r="K904" s="15">
        <v>3.0</v>
      </c>
      <c r="L904" s="15">
        <v>3.0</v>
      </c>
      <c r="M904" s="40">
        <v>36670.0</v>
      </c>
      <c r="N904" s="41">
        <v>40147.0</v>
      </c>
      <c r="O904" s="15" t="s">
        <v>1554</v>
      </c>
      <c r="Q904" s="7"/>
    </row>
    <row r="905">
      <c r="A905" s="39" t="s">
        <v>5084</v>
      </c>
      <c r="B905" s="15">
        <v>62352.0</v>
      </c>
      <c r="C905" s="15" t="s">
        <v>5085</v>
      </c>
      <c r="D905" s="15">
        <v>14786.0</v>
      </c>
      <c r="E905" s="15" t="s">
        <v>1638</v>
      </c>
      <c r="F905" s="15" t="s">
        <v>1863</v>
      </c>
      <c r="G905" s="7">
        <v>29.21</v>
      </c>
      <c r="H905" s="15" t="s">
        <v>5086</v>
      </c>
      <c r="I905" s="15" t="s">
        <v>1803</v>
      </c>
      <c r="J905" s="15" t="s">
        <v>5087</v>
      </c>
      <c r="K905" s="15">
        <v>13.0</v>
      </c>
      <c r="L905" s="15">
        <v>13.0</v>
      </c>
      <c r="M905" s="40">
        <v>37369.0</v>
      </c>
      <c r="N905" s="40">
        <v>40521.0</v>
      </c>
      <c r="O905" s="15" t="s">
        <v>1554</v>
      </c>
      <c r="Q905" s="7"/>
    </row>
    <row r="906">
      <c r="A906" s="39" t="s">
        <v>5088</v>
      </c>
      <c r="B906" s="15">
        <v>160484.0</v>
      </c>
      <c r="C906" s="15" t="s">
        <v>5089</v>
      </c>
      <c r="D906" s="15">
        <v>14787.0</v>
      </c>
      <c r="E906" s="15" t="s">
        <v>1638</v>
      </c>
      <c r="F906" s="15" t="s">
        <v>1796</v>
      </c>
      <c r="G906" s="7">
        <v>3.392</v>
      </c>
      <c r="H906" s="15" t="s">
        <v>5091</v>
      </c>
      <c r="I906" s="15" t="s">
        <v>1628</v>
      </c>
      <c r="J906" s="15" t="s">
        <v>5092</v>
      </c>
      <c r="K906" s="15">
        <v>2.0</v>
      </c>
      <c r="L906" s="15">
        <v>2.0</v>
      </c>
      <c r="M906" s="40">
        <v>37052.0</v>
      </c>
      <c r="N906" s="41">
        <v>42298.0</v>
      </c>
      <c r="O906" s="15" t="s">
        <v>1554</v>
      </c>
      <c r="Q906" s="7"/>
    </row>
    <row r="907">
      <c r="A907" s="39" t="s">
        <v>5093</v>
      </c>
      <c r="B907" s="15">
        <v>10879.0</v>
      </c>
      <c r="C907" s="15" t="s">
        <v>5094</v>
      </c>
      <c r="D907" s="15">
        <v>14788.0</v>
      </c>
      <c r="E907" s="15" t="s">
        <v>1638</v>
      </c>
      <c r="F907" s="15" t="s">
        <v>4925</v>
      </c>
      <c r="G907" s="7">
        <v>13.385</v>
      </c>
      <c r="H907" s="15" t="s">
        <v>5095</v>
      </c>
      <c r="I907" s="15" t="s">
        <v>1586</v>
      </c>
      <c r="J907" s="15" t="s">
        <v>5096</v>
      </c>
      <c r="K907" s="15">
        <v>13.0</v>
      </c>
      <c r="L907" s="15">
        <v>13.0</v>
      </c>
      <c r="M907" s="41">
        <v>32492.0</v>
      </c>
      <c r="N907" s="41">
        <v>42297.0</v>
      </c>
      <c r="O907" s="15" t="s">
        <v>1554</v>
      </c>
      <c r="Q907" s="7"/>
    </row>
    <row r="908">
      <c r="A908" s="39" t="s">
        <v>5097</v>
      </c>
      <c r="B908" s="15">
        <v>37128.0</v>
      </c>
      <c r="C908" s="15" t="s">
        <v>5098</v>
      </c>
      <c r="D908" s="15">
        <v>14789.0</v>
      </c>
      <c r="E908" s="15" t="s">
        <v>1548</v>
      </c>
      <c r="F908" s="15" t="s">
        <v>2615</v>
      </c>
      <c r="G908" s="7">
        <v>12.141</v>
      </c>
      <c r="H908" s="15" t="s">
        <v>5099</v>
      </c>
      <c r="I908" s="15" t="s">
        <v>1628</v>
      </c>
      <c r="J908" s="15" t="s">
        <v>5101</v>
      </c>
      <c r="K908" s="15">
        <v>8.0</v>
      </c>
      <c r="L908" s="15">
        <v>8.0</v>
      </c>
      <c r="M908" s="41">
        <v>36448.0</v>
      </c>
      <c r="N908" s="40">
        <v>39925.0</v>
      </c>
      <c r="O908" s="15" t="s">
        <v>1554</v>
      </c>
      <c r="Q908" s="7"/>
    </row>
    <row r="909">
      <c r="A909" s="39" t="s">
        <v>5102</v>
      </c>
      <c r="B909" s="15">
        <v>10990.0</v>
      </c>
      <c r="C909" s="15" t="s">
        <v>5103</v>
      </c>
      <c r="D909" s="15">
        <v>14790.0</v>
      </c>
      <c r="E909" s="15" t="s">
        <v>1638</v>
      </c>
      <c r="F909" s="15" t="s">
        <v>1863</v>
      </c>
      <c r="G909" s="7">
        <v>29.141</v>
      </c>
      <c r="H909" s="15" t="s">
        <v>5104</v>
      </c>
      <c r="I909" s="15" t="s">
        <v>2034</v>
      </c>
      <c r="J909" s="15" t="s">
        <v>5105</v>
      </c>
      <c r="K909" s="15">
        <v>14.0</v>
      </c>
      <c r="L909" s="15">
        <v>14.0</v>
      </c>
      <c r="M909" s="40">
        <v>37131.0</v>
      </c>
      <c r="N909" s="41">
        <v>42297.0</v>
      </c>
      <c r="O909" s="15" t="s">
        <v>1554</v>
      </c>
      <c r="Q909" s="7"/>
    </row>
    <row r="910">
      <c r="A910" s="39" t="s">
        <v>5106</v>
      </c>
      <c r="B910" s="15">
        <v>11008.0</v>
      </c>
      <c r="C910" s="15" t="s">
        <v>5107</v>
      </c>
      <c r="D910" s="15">
        <v>14792.0</v>
      </c>
      <c r="E910" s="15" t="s">
        <v>1638</v>
      </c>
      <c r="F910" s="15" t="s">
        <v>1639</v>
      </c>
      <c r="G910" s="7">
        <v>4.579</v>
      </c>
      <c r="H910" s="15" t="s">
        <v>4401</v>
      </c>
      <c r="I910" s="15" t="s">
        <v>1552</v>
      </c>
      <c r="J910" s="15" t="s">
        <v>5108</v>
      </c>
      <c r="K910" s="15">
        <v>3.0</v>
      </c>
      <c r="L910" s="15">
        <v>3.0</v>
      </c>
      <c r="M910" s="40">
        <v>34184.0</v>
      </c>
      <c r="N910" s="41">
        <v>40147.0</v>
      </c>
      <c r="O910" s="15" t="s">
        <v>1554</v>
      </c>
      <c r="Q910" s="7"/>
    </row>
    <row r="911">
      <c r="A911" s="39" t="s">
        <v>5110</v>
      </c>
      <c r="B911" s="15">
        <v>59380.0</v>
      </c>
      <c r="C911" s="15" t="s">
        <v>5111</v>
      </c>
      <c r="D911" s="15">
        <v>14793.0</v>
      </c>
      <c r="E911" s="15" t="s">
        <v>1548</v>
      </c>
      <c r="F911" s="15" t="s">
        <v>1890</v>
      </c>
      <c r="G911" s="7">
        <v>14.042</v>
      </c>
      <c r="H911" s="15" t="s">
        <v>2869</v>
      </c>
      <c r="I911" s="15" t="s">
        <v>2034</v>
      </c>
      <c r="J911" s="15" t="s">
        <v>5112</v>
      </c>
      <c r="K911" s="15">
        <v>8.0</v>
      </c>
      <c r="L911" s="15">
        <v>7.0</v>
      </c>
      <c r="M911" s="40">
        <v>35870.0</v>
      </c>
      <c r="N911" s="40">
        <v>41149.0</v>
      </c>
      <c r="O911" s="15" t="s">
        <v>1554</v>
      </c>
      <c r="Q911" s="7"/>
    </row>
    <row r="912">
      <c r="A912" s="39" t="s">
        <v>5113</v>
      </c>
      <c r="B912" s="15">
        <v>42475.0</v>
      </c>
      <c r="C912" s="15" t="s">
        <v>5114</v>
      </c>
      <c r="D912" s="15">
        <v>14794.0</v>
      </c>
      <c r="E912" s="15" t="s">
        <v>1638</v>
      </c>
      <c r="F912" s="15" t="s">
        <v>1863</v>
      </c>
      <c r="G912" s="7">
        <v>26.164</v>
      </c>
      <c r="H912" s="15" t="s">
        <v>5116</v>
      </c>
      <c r="I912" s="15" t="s">
        <v>2034</v>
      </c>
      <c r="J912" s="15" t="s">
        <v>5117</v>
      </c>
      <c r="K912" s="15">
        <v>11.0</v>
      </c>
      <c r="L912" s="15">
        <v>11.0</v>
      </c>
      <c r="M912" s="40">
        <v>34965.0</v>
      </c>
      <c r="N912" s="41">
        <v>42297.0</v>
      </c>
      <c r="O912" s="15" t="s">
        <v>1554</v>
      </c>
      <c r="Q912" s="7"/>
    </row>
    <row r="913">
      <c r="A913" s="39" t="s">
        <v>5118</v>
      </c>
      <c r="B913" s="15">
        <v>12331.0</v>
      </c>
      <c r="C913" s="15" t="s">
        <v>5119</v>
      </c>
      <c r="D913" s="15">
        <v>14795.0</v>
      </c>
      <c r="E913" s="15" t="s">
        <v>1548</v>
      </c>
      <c r="F913" s="15" t="s">
        <v>3116</v>
      </c>
      <c r="G913" s="7">
        <v>17.145</v>
      </c>
      <c r="H913" s="15" t="s">
        <v>5120</v>
      </c>
      <c r="I913" s="15" t="s">
        <v>2034</v>
      </c>
      <c r="J913" s="15" t="s">
        <v>5121</v>
      </c>
      <c r="K913" s="15">
        <v>7.0</v>
      </c>
      <c r="L913" s="15">
        <v>7.0</v>
      </c>
      <c r="M913" s="40">
        <v>33484.0</v>
      </c>
      <c r="N913" s="40">
        <v>39790.0</v>
      </c>
      <c r="O913" s="15" t="s">
        <v>1554</v>
      </c>
      <c r="Q913" s="7"/>
    </row>
    <row r="914">
      <c r="A914" s="39" t="s">
        <v>5122</v>
      </c>
      <c r="B914" s="15">
        <v>12267.0</v>
      </c>
      <c r="C914" s="15" t="s">
        <v>5123</v>
      </c>
      <c r="D914" s="15">
        <v>14796.0</v>
      </c>
      <c r="E914" s="15" t="s">
        <v>1548</v>
      </c>
      <c r="F914" s="15" t="s">
        <v>2900</v>
      </c>
      <c r="G914" s="7">
        <v>5.338</v>
      </c>
      <c r="H914" s="15" t="s">
        <v>5125</v>
      </c>
      <c r="I914" s="15" t="s">
        <v>1628</v>
      </c>
      <c r="J914" s="15" t="s">
        <v>5126</v>
      </c>
      <c r="K914" s="15">
        <v>5.0</v>
      </c>
      <c r="L914" s="15">
        <v>5.0</v>
      </c>
      <c r="M914" s="40">
        <v>32344.0</v>
      </c>
      <c r="N914" s="40">
        <v>39790.0</v>
      </c>
      <c r="O914" s="15" t="s">
        <v>1554</v>
      </c>
      <c r="Q914" s="7"/>
    </row>
    <row r="915">
      <c r="A915" s="39" t="s">
        <v>5127</v>
      </c>
      <c r="B915" s="15">
        <v>10991.0</v>
      </c>
      <c r="C915" s="15" t="s">
        <v>5128</v>
      </c>
      <c r="D915" s="15">
        <v>14797.0</v>
      </c>
      <c r="E915" s="15" t="s">
        <v>1638</v>
      </c>
      <c r="F915" s="15" t="s">
        <v>1863</v>
      </c>
      <c r="G915" s="7">
        <v>24.839</v>
      </c>
      <c r="H915" s="15" t="s">
        <v>5129</v>
      </c>
      <c r="I915" s="15" t="s">
        <v>2034</v>
      </c>
      <c r="J915" s="15" t="s">
        <v>5130</v>
      </c>
      <c r="K915" s="15">
        <v>12.0</v>
      </c>
      <c r="L915" s="15">
        <v>13.0</v>
      </c>
      <c r="M915" s="41">
        <v>35003.0</v>
      </c>
      <c r="N915" s="41">
        <v>42297.0</v>
      </c>
      <c r="O915" s="15" t="s">
        <v>1554</v>
      </c>
      <c r="Q915" s="7"/>
    </row>
    <row r="916">
      <c r="A916" s="39" t="s">
        <v>5131</v>
      </c>
      <c r="B916" s="15">
        <v>64698.0</v>
      </c>
      <c r="C916" s="15" t="s">
        <v>5132</v>
      </c>
      <c r="D916" s="15">
        <v>14799.0</v>
      </c>
      <c r="E916" s="15" t="s">
        <v>1548</v>
      </c>
      <c r="F916" s="15" t="s">
        <v>2788</v>
      </c>
      <c r="G916" s="7">
        <v>8.797</v>
      </c>
      <c r="H916" s="15" t="s">
        <v>2699</v>
      </c>
      <c r="I916" s="15" t="s">
        <v>1560</v>
      </c>
      <c r="J916" s="15" t="s">
        <v>5134</v>
      </c>
      <c r="K916" s="15">
        <v>2.0</v>
      </c>
      <c r="L916" s="15">
        <v>2.0</v>
      </c>
      <c r="M916" s="40">
        <v>35669.0</v>
      </c>
      <c r="N916" s="40">
        <v>42650.0</v>
      </c>
      <c r="O916" s="15" t="s">
        <v>1554</v>
      </c>
      <c r="Q916" s="7"/>
    </row>
    <row r="917">
      <c r="A917" s="39" t="s">
        <v>5135</v>
      </c>
      <c r="B917" s="15">
        <v>12742.0</v>
      </c>
      <c r="C917" s="15" t="s">
        <v>5136</v>
      </c>
      <c r="D917" s="15">
        <v>14800.0</v>
      </c>
      <c r="E917" s="15" t="s">
        <v>1548</v>
      </c>
      <c r="F917" s="15" t="s">
        <v>2374</v>
      </c>
      <c r="G917" s="7">
        <v>9.65</v>
      </c>
      <c r="H917" s="15" t="s">
        <v>3255</v>
      </c>
      <c r="I917" s="15" t="s">
        <v>1560</v>
      </c>
      <c r="J917" s="15" t="s">
        <v>5137</v>
      </c>
      <c r="K917" s="15">
        <v>1.0</v>
      </c>
      <c r="L917" s="15">
        <v>1.0</v>
      </c>
      <c r="M917" s="40">
        <v>35890.0</v>
      </c>
      <c r="N917" s="40">
        <v>39790.0</v>
      </c>
      <c r="O917" s="15" t="s">
        <v>1554</v>
      </c>
      <c r="Q917" s="7"/>
    </row>
    <row r="918">
      <c r="A918" s="39" t="s">
        <v>5138</v>
      </c>
      <c r="B918" s="15">
        <v>81583.0</v>
      </c>
      <c r="C918" s="15" t="s">
        <v>5139</v>
      </c>
      <c r="D918" s="15">
        <v>14801.0</v>
      </c>
      <c r="E918" s="15" t="s">
        <v>1548</v>
      </c>
      <c r="F918" s="15" t="s">
        <v>2788</v>
      </c>
      <c r="G918" s="7">
        <v>9.275</v>
      </c>
      <c r="H918" s="15" t="s">
        <v>1602</v>
      </c>
      <c r="I918" s="15" t="s">
        <v>1560</v>
      </c>
      <c r="J918" s="15" t="s">
        <v>5140</v>
      </c>
      <c r="K918" s="15">
        <v>2.0</v>
      </c>
      <c r="L918" s="15">
        <v>2.0</v>
      </c>
      <c r="M918" s="40">
        <v>36037.0</v>
      </c>
      <c r="N918" s="40">
        <v>42577.0</v>
      </c>
      <c r="O918" s="15" t="s">
        <v>1554</v>
      </c>
      <c r="Q918" s="7"/>
    </row>
    <row r="919">
      <c r="A919" s="39" t="s">
        <v>5142</v>
      </c>
      <c r="B919" s="15">
        <v>103442.0</v>
      </c>
      <c r="C919" s="15" t="s">
        <v>5143</v>
      </c>
      <c r="D919" s="15">
        <v>14802.0</v>
      </c>
      <c r="E919" s="15" t="s">
        <v>1548</v>
      </c>
      <c r="F919" s="15" t="s">
        <v>2788</v>
      </c>
      <c r="G919" s="7">
        <v>43109.0</v>
      </c>
      <c r="H919" s="15" t="s">
        <v>3554</v>
      </c>
      <c r="I919" s="15" t="s">
        <v>1560</v>
      </c>
      <c r="J919" s="15" t="s">
        <v>5144</v>
      </c>
      <c r="K919" s="15">
        <v>2.0</v>
      </c>
      <c r="L919" s="15">
        <v>2.0</v>
      </c>
      <c r="M919" s="40">
        <v>36434.0</v>
      </c>
      <c r="N919" s="40">
        <v>42577.0</v>
      </c>
      <c r="O919" s="15" t="s">
        <v>1554</v>
      </c>
      <c r="Q919" s="7"/>
    </row>
    <row r="920">
      <c r="A920" s="39" t="s">
        <v>5145</v>
      </c>
      <c r="B920" s="15">
        <v>92395.0</v>
      </c>
      <c r="C920" s="15" t="s">
        <v>5146</v>
      </c>
      <c r="D920" s="15">
        <v>14803.0</v>
      </c>
      <c r="E920" s="15" t="s">
        <v>1548</v>
      </c>
      <c r="F920" s="15" t="s">
        <v>2788</v>
      </c>
      <c r="G920" s="7">
        <v>8.55</v>
      </c>
      <c r="H920" s="15" t="s">
        <v>1902</v>
      </c>
      <c r="I920" s="15" t="s">
        <v>1560</v>
      </c>
      <c r="J920" s="15" t="s">
        <v>5147</v>
      </c>
      <c r="K920" s="15">
        <v>2.0</v>
      </c>
      <c r="L920" s="15">
        <v>2.0</v>
      </c>
      <c r="M920" s="40">
        <v>36675.0</v>
      </c>
      <c r="N920" s="40">
        <v>42453.0</v>
      </c>
      <c r="O920" s="15" t="s">
        <v>1554</v>
      </c>
      <c r="Q920" s="7"/>
    </row>
    <row r="921">
      <c r="A921" s="39" t="s">
        <v>5148</v>
      </c>
      <c r="B921" s="15">
        <v>336960.0</v>
      </c>
      <c r="C921" s="15" t="s">
        <v>5149</v>
      </c>
      <c r="D921" s="15">
        <v>14804.0</v>
      </c>
      <c r="E921" s="15" t="s">
        <v>1548</v>
      </c>
      <c r="F921" s="15" t="s">
        <v>1848</v>
      </c>
      <c r="G921" s="7">
        <v>6.927</v>
      </c>
      <c r="H921" s="15" t="s">
        <v>1551</v>
      </c>
      <c r="I921" s="15" t="s">
        <v>1686</v>
      </c>
      <c r="J921" s="15" t="s">
        <v>5150</v>
      </c>
      <c r="K921" s="15">
        <v>2.0</v>
      </c>
      <c r="L921" s="15">
        <v>2.0</v>
      </c>
      <c r="M921" s="40">
        <v>36607.0</v>
      </c>
      <c r="N921" s="40">
        <v>42045.0</v>
      </c>
      <c r="O921" s="15" t="s">
        <v>1554</v>
      </c>
      <c r="Q921" s="7"/>
    </row>
    <row r="922">
      <c r="A922" s="39" t="s">
        <v>5152</v>
      </c>
      <c r="B922" s="15">
        <v>31770.0</v>
      </c>
      <c r="C922" s="15" t="s">
        <v>5153</v>
      </c>
      <c r="D922" s="15">
        <v>14805.0</v>
      </c>
      <c r="E922" s="15" t="s">
        <v>1548</v>
      </c>
      <c r="F922" s="15" t="s">
        <v>1633</v>
      </c>
      <c r="G922" s="7">
        <v>8.832</v>
      </c>
      <c r="H922" s="15" t="s">
        <v>3604</v>
      </c>
      <c r="I922" s="15" t="s">
        <v>1628</v>
      </c>
      <c r="J922" s="15" t="s">
        <v>5154</v>
      </c>
      <c r="K922" s="15">
        <v>6.0</v>
      </c>
      <c r="L922" s="15">
        <v>6.0</v>
      </c>
      <c r="M922" s="40">
        <v>34047.0</v>
      </c>
      <c r="N922" s="40">
        <v>39639.0</v>
      </c>
      <c r="O922" s="15" t="s">
        <v>1554</v>
      </c>
      <c r="Q922" s="7"/>
    </row>
    <row r="923">
      <c r="A923" s="39" t="s">
        <v>5155</v>
      </c>
      <c r="B923" s="15">
        <v>46618.0</v>
      </c>
      <c r="C923" s="15" t="s">
        <v>5156</v>
      </c>
      <c r="D923" s="15">
        <v>14807.0</v>
      </c>
      <c r="E923" s="15" t="s">
        <v>1638</v>
      </c>
      <c r="F923" s="15" t="s">
        <v>1796</v>
      </c>
      <c r="G923" s="7">
        <v>4.569</v>
      </c>
      <c r="H923" s="15" t="s">
        <v>5157</v>
      </c>
      <c r="I923" s="15" t="s">
        <v>1628</v>
      </c>
      <c r="J923" s="15" t="s">
        <v>5158</v>
      </c>
      <c r="K923" s="15">
        <v>2.0</v>
      </c>
      <c r="L923" s="15">
        <v>2.0</v>
      </c>
      <c r="M923" s="40">
        <v>36526.0</v>
      </c>
      <c r="N923" s="40">
        <v>39651.0</v>
      </c>
      <c r="O923" s="15" t="s">
        <v>1554</v>
      </c>
      <c r="Q923" s="7"/>
    </row>
    <row r="924">
      <c r="A924" s="39" t="s">
        <v>5159</v>
      </c>
      <c r="B924" s="15">
        <v>12295.0</v>
      </c>
      <c r="C924" s="15" t="s">
        <v>5161</v>
      </c>
      <c r="D924" s="15">
        <v>14808.0</v>
      </c>
      <c r="E924" s="15" t="s">
        <v>1548</v>
      </c>
      <c r="F924" s="15" t="s">
        <v>2615</v>
      </c>
      <c r="G924" s="7">
        <v>10.646</v>
      </c>
      <c r="H924" s="15" t="s">
        <v>5162</v>
      </c>
      <c r="I924" s="15" t="s">
        <v>1628</v>
      </c>
      <c r="J924" s="15" t="s">
        <v>5163</v>
      </c>
      <c r="K924" s="15">
        <v>7.0</v>
      </c>
      <c r="L924" s="15">
        <v>7.0</v>
      </c>
      <c r="M924" s="40">
        <v>34584.0</v>
      </c>
      <c r="N924" s="40">
        <v>39790.0</v>
      </c>
      <c r="O924" s="15" t="s">
        <v>1554</v>
      </c>
      <c r="Q924" s="7"/>
    </row>
    <row r="925">
      <c r="A925" s="39" t="s">
        <v>5164</v>
      </c>
      <c r="B925" s="15">
        <v>28348.0</v>
      </c>
      <c r="C925" s="15" t="s">
        <v>5165</v>
      </c>
      <c r="D925" s="15">
        <v>14809.0</v>
      </c>
      <c r="E925" s="15" t="s">
        <v>1548</v>
      </c>
      <c r="F925" s="15" t="s">
        <v>2900</v>
      </c>
      <c r="G925" s="7">
        <v>5.325</v>
      </c>
      <c r="H925" s="15" t="s">
        <v>5166</v>
      </c>
      <c r="I925" s="15" t="s">
        <v>1628</v>
      </c>
      <c r="J925" s="15" t="s">
        <v>5167</v>
      </c>
      <c r="K925" s="15">
        <v>3.0</v>
      </c>
      <c r="L925" s="15">
        <v>4.0</v>
      </c>
      <c r="M925" s="40">
        <v>34097.0</v>
      </c>
      <c r="N925" s="40">
        <v>42045.0</v>
      </c>
      <c r="O925" s="15" t="s">
        <v>1554</v>
      </c>
      <c r="Q925" s="7"/>
    </row>
    <row r="926">
      <c r="A926" s="39" t="s">
        <v>5168</v>
      </c>
      <c r="B926" s="15">
        <v>42680.0</v>
      </c>
      <c r="C926" s="15" t="s">
        <v>5169</v>
      </c>
      <c r="D926" s="15">
        <v>14810.0</v>
      </c>
      <c r="E926" s="15" t="s">
        <v>1548</v>
      </c>
      <c r="F926" s="15" t="s">
        <v>1926</v>
      </c>
      <c r="G926" s="7">
        <v>8.688</v>
      </c>
      <c r="H926" s="15" t="s">
        <v>5171</v>
      </c>
      <c r="I926" s="15" t="s">
        <v>1628</v>
      </c>
      <c r="J926" s="15" t="s">
        <v>5172</v>
      </c>
      <c r="K926" s="15">
        <v>5.0</v>
      </c>
      <c r="L926" s="15">
        <v>5.0</v>
      </c>
      <c r="M926" s="40">
        <v>35825.0</v>
      </c>
      <c r="N926" s="40">
        <v>42458.0</v>
      </c>
      <c r="O926" s="15" t="s">
        <v>1554</v>
      </c>
      <c r="Q926" s="7"/>
    </row>
    <row r="927">
      <c r="A927" s="39" t="s">
        <v>5173</v>
      </c>
      <c r="B927" s="15">
        <v>11988.0</v>
      </c>
      <c r="C927" s="15" t="s">
        <v>5174</v>
      </c>
      <c r="D927" s="15">
        <v>14811.0</v>
      </c>
      <c r="E927" s="15" t="s">
        <v>1548</v>
      </c>
      <c r="F927" s="15" t="s">
        <v>2900</v>
      </c>
      <c r="G927" s="7">
        <v>4.054</v>
      </c>
      <c r="H927" s="15" t="s">
        <v>2241</v>
      </c>
      <c r="I927" s="15" t="s">
        <v>1628</v>
      </c>
      <c r="J927" s="15" t="s">
        <v>5175</v>
      </c>
      <c r="K927" s="15">
        <v>5.0</v>
      </c>
      <c r="L927" s="15">
        <v>5.0</v>
      </c>
      <c r="M927" s="40">
        <v>34184.0</v>
      </c>
      <c r="N927" s="40">
        <v>41775.0</v>
      </c>
      <c r="O927" s="15" t="s">
        <v>1554</v>
      </c>
      <c r="Q927" s="7"/>
    </row>
    <row r="928">
      <c r="A928" s="39" t="s">
        <v>5177</v>
      </c>
      <c r="B928" s="15">
        <v>28882.0</v>
      </c>
      <c r="C928" s="15" t="s">
        <v>5178</v>
      </c>
      <c r="D928" s="15">
        <v>14812.0</v>
      </c>
      <c r="E928" s="15" t="s">
        <v>1638</v>
      </c>
      <c r="F928" s="15" t="s">
        <v>1639</v>
      </c>
      <c r="G928" s="7">
        <v>6.099</v>
      </c>
      <c r="H928" s="15" t="s">
        <v>5179</v>
      </c>
      <c r="I928" s="15" t="s">
        <v>1552</v>
      </c>
      <c r="J928" s="15" t="s">
        <v>5180</v>
      </c>
      <c r="K928" s="15">
        <v>1.0</v>
      </c>
      <c r="L928" s="15">
        <v>1.0</v>
      </c>
      <c r="M928" s="40">
        <v>34675.0</v>
      </c>
      <c r="N928" s="40">
        <v>40357.0</v>
      </c>
      <c r="O928" s="15" t="s">
        <v>1554</v>
      </c>
      <c r="Q928" s="7"/>
    </row>
    <row r="929">
      <c r="A929" s="39" t="s">
        <v>5181</v>
      </c>
      <c r="B929" s="15">
        <v>151043.0</v>
      </c>
      <c r="C929" s="15" t="s">
        <v>5182</v>
      </c>
      <c r="D929" s="15">
        <v>14814.0</v>
      </c>
      <c r="E929" s="15" t="s">
        <v>1548</v>
      </c>
      <c r="F929" s="15" t="s">
        <v>1926</v>
      </c>
      <c r="G929" s="7">
        <v>8.632</v>
      </c>
      <c r="H929" s="15" t="s">
        <v>5183</v>
      </c>
      <c r="I929" s="15" t="s">
        <v>1628</v>
      </c>
      <c r="J929" s="15" t="s">
        <v>5184</v>
      </c>
      <c r="K929" s="15">
        <v>5.0</v>
      </c>
      <c r="L929" s="15">
        <v>5.0</v>
      </c>
      <c r="M929" s="40">
        <v>36929.0</v>
      </c>
      <c r="N929" s="40">
        <v>42045.0</v>
      </c>
      <c r="O929" s="15" t="s">
        <v>1554</v>
      </c>
      <c r="Q929" s="7"/>
    </row>
    <row r="930">
      <c r="A930" s="39" t="s">
        <v>5185</v>
      </c>
      <c r="B930" s="15">
        <v>12315.0</v>
      </c>
      <c r="C930" s="15" t="s">
        <v>5186</v>
      </c>
      <c r="D930" s="15">
        <v>14815.0</v>
      </c>
      <c r="E930" s="15" t="s">
        <v>1548</v>
      </c>
      <c r="F930" s="15" t="s">
        <v>1926</v>
      </c>
      <c r="G930" s="7">
        <v>8.87</v>
      </c>
      <c r="H930" s="15" t="s">
        <v>5187</v>
      </c>
      <c r="I930" s="15" t="s">
        <v>1628</v>
      </c>
      <c r="J930" s="15" t="s">
        <v>5188</v>
      </c>
      <c r="K930" s="15">
        <v>5.0</v>
      </c>
      <c r="L930" s="15">
        <v>5.0</v>
      </c>
      <c r="M930" s="40">
        <v>34088.0</v>
      </c>
      <c r="N930" s="40">
        <v>39790.0</v>
      </c>
      <c r="O930" s="15" t="s">
        <v>1554</v>
      </c>
      <c r="Q930" s="7"/>
    </row>
    <row r="931">
      <c r="A931" s="39" t="s">
        <v>5190</v>
      </c>
      <c r="B931" s="15">
        <v>154834.0</v>
      </c>
      <c r="C931" s="15" t="s">
        <v>5191</v>
      </c>
      <c r="D931" s="15">
        <v>14816.0</v>
      </c>
      <c r="E931" s="15" t="s">
        <v>1664</v>
      </c>
      <c r="F931" s="15" t="s">
        <v>1664</v>
      </c>
      <c r="G931" s="7">
        <v>0.826</v>
      </c>
      <c r="H931" s="15">
        <v>58.0</v>
      </c>
      <c r="I931" s="15" t="s">
        <v>1628</v>
      </c>
      <c r="J931" s="15" t="s">
        <v>5192</v>
      </c>
      <c r="K931" s="15">
        <v>2.0</v>
      </c>
      <c r="L931" s="15">
        <v>2.0</v>
      </c>
      <c r="M931" s="40">
        <v>34184.0</v>
      </c>
      <c r="N931" s="40">
        <v>42457.0</v>
      </c>
      <c r="O931" s="15" t="s">
        <v>1554</v>
      </c>
      <c r="Q931" s="7"/>
    </row>
    <row r="932">
      <c r="A932" s="39" t="s">
        <v>5193</v>
      </c>
      <c r="B932" s="15">
        <v>31749.0</v>
      </c>
      <c r="C932" s="15" t="s">
        <v>5194</v>
      </c>
      <c r="D932" s="15">
        <v>14817.0</v>
      </c>
      <c r="E932" s="15" t="s">
        <v>1548</v>
      </c>
      <c r="F932" s="15" t="s">
        <v>2615</v>
      </c>
      <c r="G932" s="7">
        <v>6.507</v>
      </c>
      <c r="H932" s="15" t="s">
        <v>1912</v>
      </c>
      <c r="I932" s="15" t="s">
        <v>1628</v>
      </c>
      <c r="J932" s="15" t="s">
        <v>5195</v>
      </c>
      <c r="K932" s="15">
        <v>4.0</v>
      </c>
      <c r="L932" s="15">
        <v>4.0</v>
      </c>
      <c r="M932" s="41">
        <v>34326.0</v>
      </c>
      <c r="N932" s="40">
        <v>39790.0</v>
      </c>
      <c r="O932" s="15" t="s">
        <v>1554</v>
      </c>
      <c r="Q932" s="7"/>
    </row>
    <row r="933">
      <c r="A933" s="39" t="s">
        <v>5197</v>
      </c>
      <c r="B933" s="15">
        <v>193120.0</v>
      </c>
      <c r="C933" s="15" t="s">
        <v>5198</v>
      </c>
      <c r="D933" s="15">
        <v>14818.0</v>
      </c>
      <c r="E933" s="15" t="s">
        <v>1548</v>
      </c>
      <c r="F933" s="15" t="s">
        <v>2900</v>
      </c>
      <c r="G933" s="7">
        <v>4.253</v>
      </c>
      <c r="H933" s="15" t="s">
        <v>5199</v>
      </c>
      <c r="I933" s="15" t="s">
        <v>1628</v>
      </c>
      <c r="J933" s="15" t="s">
        <v>5200</v>
      </c>
      <c r="K933" s="15">
        <v>4.0</v>
      </c>
      <c r="L933" s="15">
        <v>4.0</v>
      </c>
      <c r="M933" s="40">
        <v>34400.0</v>
      </c>
      <c r="N933" s="41">
        <v>42333.0</v>
      </c>
      <c r="O933" s="15" t="s">
        <v>1554</v>
      </c>
      <c r="Q933" s="7"/>
    </row>
    <row r="934">
      <c r="A934" s="39" t="s">
        <v>5201</v>
      </c>
      <c r="B934" s="15">
        <v>167927.0</v>
      </c>
      <c r="C934" s="15" t="s">
        <v>5202</v>
      </c>
      <c r="D934" s="15">
        <v>14819.0</v>
      </c>
      <c r="E934" s="15" t="s">
        <v>1548</v>
      </c>
      <c r="F934" s="15" t="s">
        <v>1786</v>
      </c>
      <c r="G934" s="7">
        <v>8.146</v>
      </c>
      <c r="H934" s="15" t="s">
        <v>1602</v>
      </c>
      <c r="I934" s="15" t="s">
        <v>1628</v>
      </c>
      <c r="J934" s="15" t="s">
        <v>5203</v>
      </c>
      <c r="K934" s="15">
        <v>5.0</v>
      </c>
      <c r="L934" s="15">
        <v>5.0</v>
      </c>
      <c r="M934" s="40">
        <v>37153.0</v>
      </c>
      <c r="N934" s="40">
        <v>40248.0</v>
      </c>
      <c r="O934" s="15" t="s">
        <v>1554</v>
      </c>
      <c r="Q934" s="7"/>
    </row>
    <row r="935">
      <c r="A935" s="39" t="s">
        <v>5204</v>
      </c>
      <c r="B935" s="15">
        <v>67962.0</v>
      </c>
      <c r="C935" s="15" t="s">
        <v>5205</v>
      </c>
      <c r="D935" s="15">
        <v>14820.0</v>
      </c>
      <c r="E935" s="15" t="s">
        <v>1548</v>
      </c>
      <c r="F935" s="15" t="s">
        <v>1578</v>
      </c>
      <c r="G935" s="7">
        <v>2.835</v>
      </c>
      <c r="H935" s="15" t="s">
        <v>1750</v>
      </c>
      <c r="I935" s="15" t="s">
        <v>1628</v>
      </c>
      <c r="J935" s="15" t="s">
        <v>5207</v>
      </c>
      <c r="K935" s="15">
        <v>3.0</v>
      </c>
      <c r="L935" s="15">
        <v>3.0</v>
      </c>
      <c r="M935" s="40">
        <v>35736.0</v>
      </c>
      <c r="N935" s="40">
        <v>42459.0</v>
      </c>
      <c r="O935" s="15" t="s">
        <v>1554</v>
      </c>
      <c r="Q935" s="7"/>
    </row>
    <row r="936">
      <c r="A936" s="39" t="s">
        <v>5208</v>
      </c>
      <c r="B936" s="15">
        <v>99930.0</v>
      </c>
      <c r="C936" s="15" t="s">
        <v>5209</v>
      </c>
      <c r="D936" s="15">
        <v>14821.0</v>
      </c>
      <c r="E936" s="15" t="s">
        <v>2014</v>
      </c>
      <c r="F936" s="15" t="s">
        <v>1578</v>
      </c>
      <c r="G936" s="7">
        <v>1.432</v>
      </c>
      <c r="H936" s="15" t="s">
        <v>1634</v>
      </c>
      <c r="I936" s="15" t="s">
        <v>1628</v>
      </c>
      <c r="J936" s="15" t="s">
        <v>5210</v>
      </c>
      <c r="K936" s="15">
        <v>1.0</v>
      </c>
      <c r="L936" s="15">
        <v>1.0</v>
      </c>
      <c r="M936" s="40">
        <v>36526.0</v>
      </c>
      <c r="N936" s="41">
        <v>40147.0</v>
      </c>
      <c r="O936" s="15" t="s">
        <v>1554</v>
      </c>
      <c r="Q936" s="7"/>
    </row>
    <row r="937">
      <c r="A937" s="39" t="s">
        <v>5211</v>
      </c>
      <c r="B937" s="15">
        <v>674954.0</v>
      </c>
      <c r="C937" s="15" t="s">
        <v>5212</v>
      </c>
      <c r="D937" s="15">
        <v>14822.0</v>
      </c>
      <c r="E937" s="15" t="s">
        <v>1638</v>
      </c>
      <c r="F937" s="15" t="s">
        <v>1639</v>
      </c>
      <c r="G937" s="7">
        <v>4.674</v>
      </c>
      <c r="H937" s="15" t="s">
        <v>4401</v>
      </c>
      <c r="I937" s="15" t="s">
        <v>1740</v>
      </c>
      <c r="J937" s="15" t="s">
        <v>5213</v>
      </c>
      <c r="K937" s="15">
        <v>2.0</v>
      </c>
      <c r="L937" s="15">
        <v>2.0</v>
      </c>
      <c r="M937" s="40">
        <v>36558.0</v>
      </c>
      <c r="N937" s="40">
        <v>42577.0</v>
      </c>
      <c r="O937" s="15" t="s">
        <v>1554</v>
      </c>
      <c r="Q937" s="7"/>
    </row>
    <row r="938">
      <c r="A938" s="39" t="s">
        <v>5215</v>
      </c>
      <c r="B938" s="15">
        <v>114871.0</v>
      </c>
      <c r="C938" s="15" t="s">
        <v>5216</v>
      </c>
      <c r="D938" s="15">
        <v>14823.0</v>
      </c>
      <c r="E938" s="15" t="s">
        <v>1638</v>
      </c>
      <c r="F938" s="15" t="s">
        <v>2539</v>
      </c>
      <c r="G938" s="7">
        <v>3.157</v>
      </c>
      <c r="H938" s="15" t="s">
        <v>4331</v>
      </c>
      <c r="I938" s="15" t="s">
        <v>1567</v>
      </c>
      <c r="J938" s="15" t="s">
        <v>5217</v>
      </c>
      <c r="K938" s="15">
        <v>2.0</v>
      </c>
      <c r="L938" s="15">
        <v>2.0</v>
      </c>
      <c r="M938" s="40">
        <v>36587.0</v>
      </c>
      <c r="N938" s="41">
        <v>40147.0</v>
      </c>
      <c r="O938" s="15" t="s">
        <v>1554</v>
      </c>
      <c r="Q938" s="7"/>
    </row>
    <row r="939">
      <c r="A939" s="39" t="s">
        <v>5218</v>
      </c>
      <c r="B939" s="15">
        <v>152217.0</v>
      </c>
      <c r="C939" s="15" t="s">
        <v>5219</v>
      </c>
      <c r="D939" s="15">
        <v>14824.0</v>
      </c>
      <c r="E939" s="15" t="s">
        <v>1638</v>
      </c>
      <c r="F939" s="15" t="s">
        <v>1639</v>
      </c>
      <c r="G939" s="7">
        <v>5.133</v>
      </c>
      <c r="H939" s="15" t="s">
        <v>2275</v>
      </c>
      <c r="I939" s="15" t="s">
        <v>1552</v>
      </c>
      <c r="J939" s="15" t="s">
        <v>5220</v>
      </c>
      <c r="K939" s="15">
        <v>2.0</v>
      </c>
      <c r="L939" s="15">
        <v>2.0</v>
      </c>
      <c r="M939" s="40">
        <v>36943.0</v>
      </c>
      <c r="N939" s="40">
        <v>42045.0</v>
      </c>
      <c r="O939" s="15" t="s">
        <v>1554</v>
      </c>
      <c r="Q939" s="7"/>
    </row>
    <row r="940">
      <c r="A940" s="39" t="s">
        <v>5221</v>
      </c>
      <c r="B940" s="15">
        <v>129141.0</v>
      </c>
      <c r="C940" s="15" t="s">
        <v>5223</v>
      </c>
      <c r="D940" s="15">
        <v>14825.0</v>
      </c>
      <c r="E940" s="15" t="s">
        <v>1548</v>
      </c>
      <c r="F940" s="15" t="s">
        <v>1786</v>
      </c>
      <c r="G940" s="7">
        <v>8.747</v>
      </c>
      <c r="H940" s="15">
        <v>40.0</v>
      </c>
      <c r="I940" s="15" t="s">
        <v>1628</v>
      </c>
      <c r="J940" s="15" t="s">
        <v>5224</v>
      </c>
      <c r="K940" s="15">
        <v>3.0</v>
      </c>
      <c r="L940" s="15">
        <v>3.0</v>
      </c>
      <c r="M940" s="40">
        <v>37036.0</v>
      </c>
      <c r="N940" s="40">
        <v>42045.0</v>
      </c>
      <c r="O940" s="15" t="s">
        <v>1554</v>
      </c>
      <c r="Q940" s="7"/>
    </row>
    <row r="941">
      <c r="A941" s="39" t="s">
        <v>5225</v>
      </c>
      <c r="B941" s="15">
        <v>75747.0</v>
      </c>
      <c r="C941" s="15" t="s">
        <v>5226</v>
      </c>
      <c r="D941" s="15">
        <v>14827.0</v>
      </c>
      <c r="E941" s="15" t="s">
        <v>1638</v>
      </c>
      <c r="F941" s="15" t="s">
        <v>1796</v>
      </c>
      <c r="G941" s="7">
        <v>4.388</v>
      </c>
      <c r="H941" s="15" t="s">
        <v>5227</v>
      </c>
      <c r="I941" s="15" t="s">
        <v>1628</v>
      </c>
      <c r="J941" s="15" t="s">
        <v>5228</v>
      </c>
      <c r="K941" s="15">
        <v>2.0</v>
      </c>
      <c r="L941" s="15">
        <v>2.0</v>
      </c>
      <c r="M941" s="41">
        <v>36159.0</v>
      </c>
      <c r="N941" s="40">
        <v>40228.0</v>
      </c>
      <c r="O941" s="15" t="s">
        <v>1554</v>
      </c>
      <c r="Q941" s="7"/>
    </row>
    <row r="942">
      <c r="A942" s="39" t="s">
        <v>5229</v>
      </c>
      <c r="B942" s="15">
        <v>44158.0</v>
      </c>
      <c r="C942" s="15" t="s">
        <v>5230</v>
      </c>
      <c r="D942" s="15">
        <v>14830.0</v>
      </c>
      <c r="E942" s="15" t="s">
        <v>1548</v>
      </c>
      <c r="F942" s="15" t="s">
        <v>3181</v>
      </c>
      <c r="G942" s="7">
        <v>11.824</v>
      </c>
      <c r="H942" s="15" t="s">
        <v>4736</v>
      </c>
      <c r="I942" s="15" t="s">
        <v>1751</v>
      </c>
      <c r="J942" s="15" t="s">
        <v>5232</v>
      </c>
      <c r="K942" s="15">
        <v>3.0</v>
      </c>
      <c r="L942" s="15">
        <v>3.0</v>
      </c>
      <c r="M942" s="40">
        <v>36199.0</v>
      </c>
      <c r="N942" s="41">
        <v>42720.0</v>
      </c>
      <c r="O942" s="15" t="s">
        <v>1554</v>
      </c>
      <c r="Q942" s="7"/>
    </row>
    <row r="943">
      <c r="A943" s="39" t="s">
        <v>5233</v>
      </c>
      <c r="B943" s="15">
        <v>11039.0</v>
      </c>
      <c r="C943" s="15" t="s">
        <v>5234</v>
      </c>
      <c r="D943" s="15">
        <v>14831.0</v>
      </c>
      <c r="E943" s="15" t="s">
        <v>1548</v>
      </c>
      <c r="F943" s="15" t="s">
        <v>3181</v>
      </c>
      <c r="G943" s="7">
        <v>11.484</v>
      </c>
      <c r="H943" s="15" t="s">
        <v>3604</v>
      </c>
      <c r="I943" s="15" t="s">
        <v>4737</v>
      </c>
      <c r="J943" s="15" t="s">
        <v>5235</v>
      </c>
      <c r="K943" s="15">
        <v>3.0</v>
      </c>
      <c r="L943" s="15">
        <v>3.0</v>
      </c>
      <c r="M943" s="40">
        <v>36552.0</v>
      </c>
      <c r="N943" s="40">
        <v>42045.0</v>
      </c>
      <c r="O943" s="15" t="s">
        <v>1554</v>
      </c>
      <c r="Q943" s="7"/>
    </row>
    <row r="944">
      <c r="A944" s="39" t="s">
        <v>5236</v>
      </c>
      <c r="B944" s="15">
        <v>12136.0</v>
      </c>
      <c r="C944" s="15" t="s">
        <v>5237</v>
      </c>
      <c r="D944" s="15">
        <v>14832.0</v>
      </c>
      <c r="E944" s="15" t="s">
        <v>1548</v>
      </c>
      <c r="F944" s="15" t="s">
        <v>2788</v>
      </c>
      <c r="G944" s="7">
        <v>9.185</v>
      </c>
      <c r="H944" s="15" t="s">
        <v>2597</v>
      </c>
      <c r="I944" s="15" t="s">
        <v>1560</v>
      </c>
      <c r="J944" s="15" t="s">
        <v>5238</v>
      </c>
      <c r="K944" s="15">
        <v>2.0</v>
      </c>
      <c r="L944" s="15">
        <v>2.0</v>
      </c>
      <c r="M944" s="40">
        <v>36709.0</v>
      </c>
      <c r="N944" s="40">
        <v>42458.0</v>
      </c>
      <c r="O944" s="15" t="s">
        <v>1554</v>
      </c>
      <c r="Q944" s="7"/>
    </row>
    <row r="945">
      <c r="A945" s="39" t="s">
        <v>5240</v>
      </c>
      <c r="B945" s="15">
        <v>12301.0</v>
      </c>
      <c r="C945" s="15" t="s">
        <v>5241</v>
      </c>
      <c r="D945" s="15">
        <v>14833.0</v>
      </c>
      <c r="E945" s="15" t="s">
        <v>1548</v>
      </c>
      <c r="F945" s="15" t="s">
        <v>1926</v>
      </c>
      <c r="G945" s="7">
        <v>8.25</v>
      </c>
      <c r="H945" s="15" t="s">
        <v>5242</v>
      </c>
      <c r="I945" s="15" t="s">
        <v>1628</v>
      </c>
      <c r="J945" s="15" t="s">
        <v>5243</v>
      </c>
      <c r="K945" s="15">
        <v>4.0</v>
      </c>
      <c r="L945" s="15">
        <v>4.0</v>
      </c>
      <c r="M945" s="40">
        <v>33581.0</v>
      </c>
      <c r="N945" s="40">
        <v>42045.0</v>
      </c>
      <c r="O945" s="15" t="s">
        <v>1554</v>
      </c>
      <c r="Q945" s="7"/>
    </row>
    <row r="946">
      <c r="A946" s="39" t="s">
        <v>5244</v>
      </c>
      <c r="B946" s="15">
        <v>150285.0</v>
      </c>
      <c r="C946" s="15" t="s">
        <v>5245</v>
      </c>
      <c r="D946" s="15">
        <v>14834.0</v>
      </c>
      <c r="E946" s="15" t="s">
        <v>1548</v>
      </c>
      <c r="F946" s="15" t="s">
        <v>1633</v>
      </c>
      <c r="G946" s="7">
        <v>8.451</v>
      </c>
      <c r="H946" s="15">
        <v>50.0</v>
      </c>
      <c r="I946" s="15" t="s">
        <v>1628</v>
      </c>
      <c r="J946" s="15" t="s">
        <v>5246</v>
      </c>
      <c r="K946" s="15">
        <v>8.0</v>
      </c>
      <c r="L946" s="15">
        <v>8.0</v>
      </c>
      <c r="M946" s="40">
        <v>37293.0</v>
      </c>
      <c r="N946" s="40">
        <v>40578.0</v>
      </c>
      <c r="O946" s="15" t="s">
        <v>1554</v>
      </c>
      <c r="Q946" s="7"/>
    </row>
    <row r="947">
      <c r="A947" s="39" t="s">
        <v>5247</v>
      </c>
      <c r="B947" s="15">
        <v>107804.0</v>
      </c>
      <c r="C947" s="15" t="s">
        <v>5248</v>
      </c>
      <c r="D947" s="15">
        <v>14835.0</v>
      </c>
      <c r="E947" s="15" t="s">
        <v>1548</v>
      </c>
      <c r="F947" s="15" t="s">
        <v>2615</v>
      </c>
      <c r="G947" s="7">
        <v>10.296</v>
      </c>
      <c r="H947" s="15" t="s">
        <v>5249</v>
      </c>
      <c r="I947" s="15" t="s">
        <v>1628</v>
      </c>
      <c r="J947" s="15" t="s">
        <v>5250</v>
      </c>
      <c r="K947" s="15">
        <v>7.0</v>
      </c>
      <c r="L947" s="15">
        <v>7.0</v>
      </c>
      <c r="M947" s="40">
        <v>36637.0</v>
      </c>
      <c r="N947" s="40">
        <v>42577.0</v>
      </c>
      <c r="O947" s="15" t="s">
        <v>1554</v>
      </c>
      <c r="Q947" s="7"/>
    </row>
    <row r="948">
      <c r="A948" s="39" t="s">
        <v>5252</v>
      </c>
      <c r="B948" s="15">
        <v>191436.0</v>
      </c>
      <c r="C948" s="15" t="s">
        <v>5253</v>
      </c>
      <c r="D948" s="15">
        <v>14836.0</v>
      </c>
      <c r="E948" s="15" t="s">
        <v>1638</v>
      </c>
      <c r="F948" s="15" t="s">
        <v>1796</v>
      </c>
      <c r="G948" s="7">
        <v>4.554</v>
      </c>
      <c r="H948" s="15" t="s">
        <v>5254</v>
      </c>
      <c r="I948" s="15" t="s">
        <v>1628</v>
      </c>
      <c r="J948" s="15" t="s">
        <v>5255</v>
      </c>
      <c r="K948" s="15">
        <v>3.0</v>
      </c>
      <c r="L948" s="15">
        <v>3.0</v>
      </c>
      <c r="M948" s="40">
        <v>37363.0</v>
      </c>
      <c r="N948" s="40">
        <v>42457.0</v>
      </c>
      <c r="O948" s="15" t="s">
        <v>1554</v>
      </c>
      <c r="Q948" s="7"/>
    </row>
    <row r="949">
      <c r="A949" s="39" t="s">
        <v>5256</v>
      </c>
      <c r="B949" s="15">
        <v>170965.0</v>
      </c>
      <c r="C949" s="15" t="s">
        <v>5257</v>
      </c>
      <c r="D949" s="15">
        <v>14837.0</v>
      </c>
      <c r="E949" s="15" t="s">
        <v>1638</v>
      </c>
      <c r="F949" s="15" t="s">
        <v>1639</v>
      </c>
      <c r="G949" s="7">
        <v>4.844</v>
      </c>
      <c r="H949" s="15" t="s">
        <v>3882</v>
      </c>
      <c r="I949" s="15" t="s">
        <v>1740</v>
      </c>
      <c r="J949" s="15" t="s">
        <v>5258</v>
      </c>
      <c r="K949" s="15">
        <v>2.0</v>
      </c>
      <c r="L949" s="15">
        <v>2.0</v>
      </c>
      <c r="M949" s="40">
        <v>37227.0</v>
      </c>
      <c r="N949" s="40">
        <v>40605.0</v>
      </c>
      <c r="O949" s="15" t="s">
        <v>1554</v>
      </c>
      <c r="Q949" s="7"/>
    </row>
    <row r="950">
      <c r="A950" s="39" t="s">
        <v>5259</v>
      </c>
      <c r="B950" s="15">
        <v>186769.0</v>
      </c>
      <c r="C950" s="15" t="s">
        <v>5260</v>
      </c>
      <c r="D950" s="15">
        <v>14838.0</v>
      </c>
      <c r="E950" s="15" t="s">
        <v>1548</v>
      </c>
      <c r="F950" s="15" t="s">
        <v>5261</v>
      </c>
      <c r="G950" s="7">
        <v>2.728</v>
      </c>
      <c r="H950" s="15" t="s">
        <v>2752</v>
      </c>
      <c r="I950" s="15" t="s">
        <v>1552</v>
      </c>
      <c r="J950" s="15" t="s">
        <v>5262</v>
      </c>
      <c r="K950" s="15">
        <v>1.0</v>
      </c>
      <c r="L950" s="15">
        <v>1.0</v>
      </c>
      <c r="M950" s="40">
        <v>34438.0</v>
      </c>
      <c r="N950" s="41">
        <v>40147.0</v>
      </c>
      <c r="O950" s="15" t="s">
        <v>1554</v>
      </c>
      <c r="Q950" s="7"/>
    </row>
    <row r="951">
      <c r="A951" s="39" t="s">
        <v>5264</v>
      </c>
      <c r="B951" s="15">
        <v>198597.0</v>
      </c>
      <c r="C951" s="15" t="s">
        <v>5265</v>
      </c>
      <c r="D951" s="15">
        <v>14839.0</v>
      </c>
      <c r="E951" s="15" t="s">
        <v>1548</v>
      </c>
      <c r="F951" s="15" t="s">
        <v>5261</v>
      </c>
      <c r="G951" s="7">
        <v>2.617</v>
      </c>
      <c r="H951" s="15" t="s">
        <v>2668</v>
      </c>
      <c r="I951" s="15" t="s">
        <v>1552</v>
      </c>
      <c r="J951" s="15" t="s">
        <v>5266</v>
      </c>
      <c r="K951" s="15">
        <v>1.0</v>
      </c>
      <c r="L951" s="15">
        <v>1.0</v>
      </c>
      <c r="M951" s="40">
        <v>36062.0</v>
      </c>
      <c r="N951" s="41">
        <v>39035.0</v>
      </c>
      <c r="O951" s="15" t="s">
        <v>1554</v>
      </c>
      <c r="Q951" s="7"/>
    </row>
    <row r="952">
      <c r="A952" s="39" t="s">
        <v>5267</v>
      </c>
      <c r="B952" s="15">
        <v>198599.0</v>
      </c>
      <c r="C952" s="15" t="s">
        <v>5268</v>
      </c>
      <c r="D952" s="15">
        <v>14840.0</v>
      </c>
      <c r="E952" s="15" t="s">
        <v>1548</v>
      </c>
      <c r="F952" s="15" t="s">
        <v>5261</v>
      </c>
      <c r="G952" s="7">
        <v>2.891</v>
      </c>
      <c r="H952" s="15">
        <v>59.0</v>
      </c>
      <c r="I952" s="15" t="s">
        <v>1552</v>
      </c>
      <c r="J952" s="15" t="s">
        <v>5270</v>
      </c>
      <c r="K952" s="15">
        <v>1.0</v>
      </c>
      <c r="L952" s="15">
        <v>1.0</v>
      </c>
      <c r="M952" s="41">
        <v>36159.0</v>
      </c>
      <c r="N952" s="41">
        <v>40147.0</v>
      </c>
      <c r="O952" s="15" t="s">
        <v>1554</v>
      </c>
      <c r="Q952" s="7"/>
    </row>
    <row r="953">
      <c r="A953" s="39" t="s">
        <v>5271</v>
      </c>
      <c r="B953" s="15">
        <v>186772.0</v>
      </c>
      <c r="C953" s="15" t="s">
        <v>5272</v>
      </c>
      <c r="D953" s="15">
        <v>14841.0</v>
      </c>
      <c r="E953" s="15" t="s">
        <v>1548</v>
      </c>
      <c r="F953" s="15" t="s">
        <v>5261</v>
      </c>
      <c r="G953" s="7">
        <v>2.514</v>
      </c>
      <c r="H953" s="15" t="s">
        <v>5273</v>
      </c>
      <c r="I953" s="15" t="s">
        <v>1552</v>
      </c>
      <c r="J953" s="15" t="s">
        <v>5274</v>
      </c>
      <c r="K953" s="15">
        <v>1.0</v>
      </c>
      <c r="L953" s="15">
        <v>1.0</v>
      </c>
      <c r="M953" s="40">
        <v>36161.0</v>
      </c>
      <c r="N953" s="40">
        <v>39939.0</v>
      </c>
      <c r="O953" s="15" t="s">
        <v>1554</v>
      </c>
      <c r="Q953" s="7"/>
    </row>
    <row r="954">
      <c r="A954" s="39" t="s">
        <v>5275</v>
      </c>
      <c r="B954" s="15">
        <v>88387.0</v>
      </c>
      <c r="C954" s="15" t="s">
        <v>5276</v>
      </c>
      <c r="D954" s="15">
        <v>14842.0</v>
      </c>
      <c r="E954" s="15" t="s">
        <v>1548</v>
      </c>
      <c r="F954" s="15" t="s">
        <v>5261</v>
      </c>
      <c r="G954" s="7">
        <v>2.599</v>
      </c>
      <c r="H954" s="42">
        <v>43307.0</v>
      </c>
      <c r="I954" s="15" t="s">
        <v>1552</v>
      </c>
      <c r="J954" s="15" t="s">
        <v>5277</v>
      </c>
      <c r="K954" s="15">
        <v>1.0</v>
      </c>
      <c r="L954" s="15">
        <v>1.0</v>
      </c>
      <c r="M954" s="40">
        <v>36290.0</v>
      </c>
      <c r="N954" s="40">
        <v>38824.0</v>
      </c>
      <c r="O954" s="15" t="s">
        <v>1554</v>
      </c>
      <c r="Q954" s="7"/>
    </row>
    <row r="955">
      <c r="A955" s="39" t="s">
        <v>5278</v>
      </c>
      <c r="B955" s="15">
        <v>88388.0</v>
      </c>
      <c r="C955" s="15" t="s">
        <v>5279</v>
      </c>
      <c r="D955" s="15">
        <v>14843.0</v>
      </c>
      <c r="E955" s="15" t="s">
        <v>1548</v>
      </c>
      <c r="F955" s="15" t="s">
        <v>5261</v>
      </c>
      <c r="G955" s="7">
        <v>2.474</v>
      </c>
      <c r="H955" s="42">
        <v>43338.0</v>
      </c>
      <c r="I955" s="15" t="s">
        <v>1552</v>
      </c>
      <c r="J955" s="15" t="s">
        <v>5281</v>
      </c>
      <c r="K955" s="15">
        <v>1.0</v>
      </c>
      <c r="L955" s="15">
        <v>1.0</v>
      </c>
      <c r="M955" s="40">
        <v>36290.0</v>
      </c>
      <c r="N955" s="40">
        <v>38824.0</v>
      </c>
      <c r="O955" s="15" t="s">
        <v>1554</v>
      </c>
      <c r="Q955" s="7"/>
    </row>
    <row r="956">
      <c r="A956" s="39" t="s">
        <v>5282</v>
      </c>
      <c r="B956" s="15">
        <v>88389.0</v>
      </c>
      <c r="C956" s="15" t="s">
        <v>5283</v>
      </c>
      <c r="D956" s="15">
        <v>14844.0</v>
      </c>
      <c r="E956" s="15" t="s">
        <v>1548</v>
      </c>
      <c r="F956" s="15" t="s">
        <v>5261</v>
      </c>
      <c r="G956" s="7">
        <v>2.343</v>
      </c>
      <c r="H956" s="42">
        <v>43188.0</v>
      </c>
      <c r="I956" s="15" t="s">
        <v>1552</v>
      </c>
      <c r="J956" s="15" t="s">
        <v>5284</v>
      </c>
      <c r="K956" s="15">
        <v>1.0</v>
      </c>
      <c r="L956" s="15">
        <v>1.0</v>
      </c>
      <c r="M956" s="40">
        <v>36290.0</v>
      </c>
      <c r="N956" s="40">
        <v>38808.0</v>
      </c>
      <c r="O956" s="15" t="s">
        <v>1554</v>
      </c>
      <c r="Q956" s="7"/>
    </row>
    <row r="957">
      <c r="A957" s="39" t="s">
        <v>5285</v>
      </c>
      <c r="B957" s="15">
        <v>162013.0</v>
      </c>
      <c r="C957" s="15" t="s">
        <v>5286</v>
      </c>
      <c r="D957" s="15">
        <v>14846.0</v>
      </c>
      <c r="E957" s="15" t="s">
        <v>1548</v>
      </c>
      <c r="F957" s="15" t="s">
        <v>4837</v>
      </c>
      <c r="G957" s="7">
        <v>15.522</v>
      </c>
      <c r="H957" s="15" t="s">
        <v>2552</v>
      </c>
      <c r="I957" s="15" t="s">
        <v>1567</v>
      </c>
      <c r="J957" s="15" t="s">
        <v>5287</v>
      </c>
      <c r="K957" s="15">
        <v>6.0</v>
      </c>
      <c r="L957" s="15">
        <v>8.0</v>
      </c>
      <c r="M957" s="40">
        <v>37061.0</v>
      </c>
      <c r="N957" s="41">
        <v>40147.0</v>
      </c>
      <c r="O957" s="15" t="s">
        <v>1554</v>
      </c>
      <c r="Q957" s="7"/>
    </row>
    <row r="958">
      <c r="A958" s="39" t="s">
        <v>5288</v>
      </c>
      <c r="B958" s="15">
        <v>11577.0</v>
      </c>
      <c r="C958" s="15" t="s">
        <v>5289</v>
      </c>
      <c r="D958" s="15">
        <v>14847.0</v>
      </c>
      <c r="E958" s="15" t="s">
        <v>1548</v>
      </c>
      <c r="F958" s="15" t="s">
        <v>5290</v>
      </c>
      <c r="G958" s="7">
        <v>12.491</v>
      </c>
      <c r="H958" s="15" t="s">
        <v>5291</v>
      </c>
      <c r="I958" s="15" t="s">
        <v>1803</v>
      </c>
      <c r="J958" s="15" t="s">
        <v>5292</v>
      </c>
      <c r="K958" s="15">
        <v>4.0</v>
      </c>
      <c r="L958" s="15">
        <v>4.0</v>
      </c>
      <c r="M958" s="40">
        <v>37481.0</v>
      </c>
      <c r="N958" s="41">
        <v>40147.0</v>
      </c>
      <c r="O958" s="15" t="s">
        <v>1554</v>
      </c>
      <c r="Q958" s="7"/>
    </row>
    <row r="959">
      <c r="A959" s="39" t="s">
        <v>5293</v>
      </c>
      <c r="B959" s="15">
        <v>81931.0</v>
      </c>
      <c r="C959" s="15" t="s">
        <v>5294</v>
      </c>
      <c r="D959" s="15">
        <v>14848.0</v>
      </c>
      <c r="E959" s="15" t="s">
        <v>1548</v>
      </c>
      <c r="F959" s="15" t="s">
        <v>1790</v>
      </c>
      <c r="G959" s="7">
        <v>17.63</v>
      </c>
      <c r="H959" s="15" t="s">
        <v>5296</v>
      </c>
      <c r="I959" s="15" t="s">
        <v>1628</v>
      </c>
      <c r="J959" s="15" t="s">
        <v>5297</v>
      </c>
      <c r="K959" s="15">
        <v>20.0</v>
      </c>
      <c r="L959" s="15">
        <v>11.0</v>
      </c>
      <c r="M959" s="40">
        <v>37495.0</v>
      </c>
      <c r="N959" s="40">
        <v>39939.0</v>
      </c>
      <c r="O959" s="15" t="s">
        <v>1554</v>
      </c>
      <c r="Q959" s="7"/>
    </row>
    <row r="960">
      <c r="A960" s="39" t="s">
        <v>5298</v>
      </c>
      <c r="B960" s="15">
        <v>12286.0</v>
      </c>
      <c r="C960" s="15" t="s">
        <v>5299</v>
      </c>
      <c r="D960" s="15">
        <v>14850.0</v>
      </c>
      <c r="E960" s="15" t="s">
        <v>1548</v>
      </c>
      <c r="F960" s="15" t="s">
        <v>1948</v>
      </c>
      <c r="G960" s="7">
        <v>4.401</v>
      </c>
      <c r="H960" s="15" t="s">
        <v>5300</v>
      </c>
      <c r="I960" s="15" t="s">
        <v>1751</v>
      </c>
      <c r="J960" s="15" t="s">
        <v>5301</v>
      </c>
      <c r="K960" s="15">
        <v>3.0</v>
      </c>
      <c r="L960" s="15">
        <v>3.0</v>
      </c>
      <c r="M960" s="41">
        <v>32835.0</v>
      </c>
      <c r="N960" s="40">
        <v>39651.0</v>
      </c>
      <c r="O960" s="15" t="s">
        <v>1554</v>
      </c>
      <c r="Q960" s="7"/>
    </row>
    <row r="961">
      <c r="A961" s="39" t="s">
        <v>5302</v>
      </c>
      <c r="B961" s="15">
        <v>360000.0</v>
      </c>
      <c r="C961" s="15" t="s">
        <v>5303</v>
      </c>
      <c r="D961" s="15">
        <v>14852.0</v>
      </c>
      <c r="E961" s="15" t="s">
        <v>1638</v>
      </c>
      <c r="F961" s="15" t="s">
        <v>5304</v>
      </c>
      <c r="G961" s="7">
        <v>5.711</v>
      </c>
      <c r="H961" s="15" t="s">
        <v>5305</v>
      </c>
      <c r="I961" s="15" t="s">
        <v>1686</v>
      </c>
      <c r="J961" s="15" t="s">
        <v>5306</v>
      </c>
      <c r="K961" s="15">
        <v>3.0</v>
      </c>
      <c r="L961" s="15">
        <v>3.0</v>
      </c>
      <c r="M961" s="40">
        <v>35676.0</v>
      </c>
      <c r="N961" s="40">
        <v>42460.0</v>
      </c>
      <c r="O961" s="15" t="s">
        <v>1554</v>
      </c>
      <c r="Q961" s="7"/>
    </row>
    <row r="962">
      <c r="A962" s="39" t="s">
        <v>5307</v>
      </c>
      <c r="B962" s="15">
        <v>48981.0</v>
      </c>
      <c r="C962" s="15" t="s">
        <v>5308</v>
      </c>
      <c r="D962" s="15">
        <v>14853.0</v>
      </c>
      <c r="E962" s="15" t="s">
        <v>1638</v>
      </c>
      <c r="F962" s="15" t="s">
        <v>5304</v>
      </c>
      <c r="G962" s="7">
        <v>6.603</v>
      </c>
      <c r="H962" s="15" t="s">
        <v>5310</v>
      </c>
      <c r="I962" s="15" t="s">
        <v>1560</v>
      </c>
      <c r="J962" s="15" t="s">
        <v>5311</v>
      </c>
      <c r="K962" s="15">
        <v>2.0</v>
      </c>
      <c r="L962" s="15">
        <v>2.0</v>
      </c>
      <c r="M962" s="40">
        <v>35324.0</v>
      </c>
      <c r="N962" s="41">
        <v>42297.0</v>
      </c>
      <c r="O962" s="15" t="s">
        <v>1554</v>
      </c>
      <c r="Q962" s="7"/>
    </row>
    <row r="963">
      <c r="A963" s="39" t="s">
        <v>5312</v>
      </c>
      <c r="B963" s="15">
        <v>134554.0</v>
      </c>
      <c r="C963" s="15" t="s">
        <v>5313</v>
      </c>
      <c r="D963" s="15">
        <v>14854.0</v>
      </c>
      <c r="E963" s="15" t="s">
        <v>1638</v>
      </c>
      <c r="F963" s="15" t="s">
        <v>4925</v>
      </c>
      <c r="G963" s="7">
        <v>13.652</v>
      </c>
      <c r="H963" s="15" t="s">
        <v>5314</v>
      </c>
      <c r="I963" s="15" t="s">
        <v>1586</v>
      </c>
      <c r="J963" s="15" t="s">
        <v>5315</v>
      </c>
      <c r="K963" s="15">
        <v>13.0</v>
      </c>
      <c r="L963" s="15">
        <v>13.0</v>
      </c>
      <c r="M963" s="40">
        <v>36755.0</v>
      </c>
      <c r="N963" s="41">
        <v>42297.0</v>
      </c>
      <c r="O963" s="15" t="s">
        <v>1554</v>
      </c>
      <c r="Q963" s="7"/>
    </row>
    <row r="964">
      <c r="A964" s="39" t="s">
        <v>5316</v>
      </c>
      <c r="B964" s="15">
        <v>161736.0</v>
      </c>
      <c r="C964" s="15" t="s">
        <v>5317</v>
      </c>
      <c r="D964" s="15">
        <v>14855.0</v>
      </c>
      <c r="E964" s="15" t="s">
        <v>1638</v>
      </c>
      <c r="F964" s="15" t="s">
        <v>4925</v>
      </c>
      <c r="G964" s="7">
        <v>13.173</v>
      </c>
      <c r="H964" s="15" t="s">
        <v>5318</v>
      </c>
      <c r="I964" s="15" t="s">
        <v>1586</v>
      </c>
      <c r="J964" s="15" t="s">
        <v>5319</v>
      </c>
      <c r="K964" s="15">
        <v>15.0</v>
      </c>
      <c r="L964" s="15">
        <v>15.0</v>
      </c>
      <c r="M964" s="40">
        <v>37055.0</v>
      </c>
      <c r="N964" s="41">
        <v>42725.0</v>
      </c>
      <c r="O964" s="15" t="s">
        <v>1554</v>
      </c>
      <c r="Q964" s="7"/>
    </row>
    <row r="965">
      <c r="A965" s="39" t="s">
        <v>5320</v>
      </c>
      <c r="B965" s="15">
        <v>46839.0</v>
      </c>
      <c r="C965" s="15" t="s">
        <v>5321</v>
      </c>
      <c r="D965" s="15">
        <v>14857.0</v>
      </c>
      <c r="E965" s="15" t="s">
        <v>1638</v>
      </c>
      <c r="F965" s="15" t="s">
        <v>1863</v>
      </c>
      <c r="G965" s="7">
        <v>29.174</v>
      </c>
      <c r="H965" s="15" t="s">
        <v>5323</v>
      </c>
      <c r="I965" s="15" t="s">
        <v>1803</v>
      </c>
      <c r="J965" s="15" t="s">
        <v>5324</v>
      </c>
      <c r="K965" s="15">
        <v>13.0</v>
      </c>
      <c r="L965" s="15">
        <v>13.0</v>
      </c>
      <c r="M965" s="40">
        <v>35180.0</v>
      </c>
      <c r="N965" s="41">
        <v>42297.0</v>
      </c>
      <c r="O965" s="15" t="s">
        <v>1554</v>
      </c>
      <c r="Q965" s="7"/>
    </row>
    <row r="966">
      <c r="A966" s="39" t="s">
        <v>5325</v>
      </c>
      <c r="B966" s="15">
        <v>104580.0</v>
      </c>
      <c r="C966" s="15" t="s">
        <v>5326</v>
      </c>
      <c r="D966" s="15">
        <v>14858.0</v>
      </c>
      <c r="E966" s="15" t="s">
        <v>1638</v>
      </c>
      <c r="F966" s="15" t="s">
        <v>1863</v>
      </c>
      <c r="G966" s="7">
        <v>20.985</v>
      </c>
      <c r="H966" s="15" t="s">
        <v>5327</v>
      </c>
      <c r="I966" s="15" t="s">
        <v>1803</v>
      </c>
      <c r="J966" s="15" t="s">
        <v>5328</v>
      </c>
      <c r="K966" s="15">
        <v>12.0</v>
      </c>
      <c r="L966" s="15">
        <v>12.0</v>
      </c>
      <c r="M966" s="40">
        <v>36105.0</v>
      </c>
      <c r="N966" s="40">
        <v>40296.0</v>
      </c>
      <c r="O966" s="15" t="s">
        <v>1554</v>
      </c>
      <c r="Q966" s="7"/>
    </row>
    <row r="967">
      <c r="A967" s="39" t="s">
        <v>5329</v>
      </c>
      <c r="B967" s="15">
        <v>11623.0</v>
      </c>
      <c r="C967" s="15" t="s">
        <v>5330</v>
      </c>
      <c r="D967" s="15">
        <v>14862.0</v>
      </c>
      <c r="E967" s="15" t="s">
        <v>1548</v>
      </c>
      <c r="F967" s="15" t="s">
        <v>1838</v>
      </c>
      <c r="G967" s="7">
        <v>10.056</v>
      </c>
      <c r="H967" s="15" t="s">
        <v>5331</v>
      </c>
      <c r="I967" s="15" t="s">
        <v>1567</v>
      </c>
      <c r="J967" s="15" t="s">
        <v>5332</v>
      </c>
      <c r="K967" s="15">
        <v>4.0</v>
      </c>
      <c r="L967" s="15">
        <v>4.0</v>
      </c>
      <c r="M967" s="40">
        <v>32674.0</v>
      </c>
      <c r="N967" s="41">
        <v>42297.0</v>
      </c>
      <c r="O967" s="15" t="s">
        <v>1554</v>
      </c>
      <c r="Q967" s="7"/>
    </row>
    <row r="968">
      <c r="A968" s="39" t="s">
        <v>5334</v>
      </c>
      <c r="B968" s="15">
        <v>11631.0</v>
      </c>
      <c r="C968" s="15" t="s">
        <v>5335</v>
      </c>
      <c r="D968" s="15">
        <v>14863.0</v>
      </c>
      <c r="E968" s="15" t="s">
        <v>1548</v>
      </c>
      <c r="F968" s="15" t="s">
        <v>1838</v>
      </c>
      <c r="G968" s="7">
        <v>10.534</v>
      </c>
      <c r="H968" s="15" t="s">
        <v>5336</v>
      </c>
      <c r="I968" s="15" t="s">
        <v>1567</v>
      </c>
      <c r="J968" s="15" t="s">
        <v>5337</v>
      </c>
      <c r="K968" s="15">
        <v>4.0</v>
      </c>
      <c r="L968" s="15">
        <v>4.0</v>
      </c>
      <c r="M968" s="40">
        <v>33131.0</v>
      </c>
      <c r="N968" s="41">
        <v>42297.0</v>
      </c>
      <c r="O968" s="15" t="s">
        <v>1554</v>
      </c>
      <c r="Q968" s="7"/>
    </row>
    <row r="969">
      <c r="A969" s="39" t="s">
        <v>5338</v>
      </c>
      <c r="B969" s="15">
        <v>167132.0</v>
      </c>
      <c r="C969" s="15" t="s">
        <v>5339</v>
      </c>
      <c r="D969" s="15">
        <v>14865.0</v>
      </c>
      <c r="E969" s="15" t="s">
        <v>1548</v>
      </c>
      <c r="F969" s="15" t="s">
        <v>1633</v>
      </c>
      <c r="G969" s="7">
        <v>6.056</v>
      </c>
      <c r="H969" s="15" t="s">
        <v>4614</v>
      </c>
      <c r="I969" s="15" t="s">
        <v>1628</v>
      </c>
      <c r="J969" s="15" t="s">
        <v>5340</v>
      </c>
      <c r="K969" s="15">
        <v>5.0</v>
      </c>
      <c r="L969" s="15">
        <v>5.0</v>
      </c>
      <c r="M969" s="40">
        <v>37525.0</v>
      </c>
      <c r="N969" s="41">
        <v>39436.0</v>
      </c>
      <c r="O969" s="15" t="s">
        <v>1554</v>
      </c>
      <c r="Q969" s="7"/>
    </row>
    <row r="970">
      <c r="A970" s="39" t="s">
        <v>5341</v>
      </c>
      <c r="B970" s="15">
        <v>37733.0</v>
      </c>
      <c r="C970" s="15" t="s">
        <v>5342</v>
      </c>
      <c r="D970" s="15">
        <v>14866.0</v>
      </c>
      <c r="E970" s="15" t="s">
        <v>1548</v>
      </c>
      <c r="F970" s="15" t="s">
        <v>1926</v>
      </c>
      <c r="G970" s="7">
        <v>7.88</v>
      </c>
      <c r="H970" s="15" t="s">
        <v>5344</v>
      </c>
      <c r="I970" s="15" t="s">
        <v>1628</v>
      </c>
      <c r="J970" s="15" t="s">
        <v>5345</v>
      </c>
      <c r="K970" s="15">
        <v>4.0</v>
      </c>
      <c r="L970" s="15">
        <v>4.0</v>
      </c>
      <c r="M970" s="40">
        <v>35340.0</v>
      </c>
      <c r="N970" s="40">
        <v>40912.0</v>
      </c>
      <c r="O970" s="15" t="s">
        <v>1554</v>
      </c>
      <c r="Q970" s="7"/>
    </row>
    <row r="971">
      <c r="A971" s="39" t="s">
        <v>5346</v>
      </c>
      <c r="B971" s="15">
        <v>209529.0</v>
      </c>
      <c r="C971" s="15" t="s">
        <v>5347</v>
      </c>
      <c r="D971" s="15">
        <v>14867.0</v>
      </c>
      <c r="E971" s="15" t="s">
        <v>1548</v>
      </c>
      <c r="F971" s="15" t="s">
        <v>2788</v>
      </c>
      <c r="G971" s="7">
        <v>9.812</v>
      </c>
      <c r="H971" s="15" t="s">
        <v>2857</v>
      </c>
      <c r="I971" s="15" t="s">
        <v>1560</v>
      </c>
      <c r="J971" s="15" t="s">
        <v>5348</v>
      </c>
      <c r="K971" s="15">
        <v>2.0</v>
      </c>
      <c r="L971" s="15">
        <v>2.0</v>
      </c>
      <c r="M971" s="41">
        <v>37560.0</v>
      </c>
      <c r="N971" s="40">
        <v>42576.0</v>
      </c>
      <c r="O971" s="15" t="s">
        <v>1554</v>
      </c>
      <c r="Q971" s="7"/>
    </row>
    <row r="972">
      <c r="A972" s="39" t="s">
        <v>5349</v>
      </c>
      <c r="B972" s="15">
        <v>184020.0</v>
      </c>
      <c r="C972" s="15" t="s">
        <v>5350</v>
      </c>
      <c r="D972" s="15">
        <v>14868.0</v>
      </c>
      <c r="E972" s="15" t="s">
        <v>1548</v>
      </c>
      <c r="F972" s="15" t="s">
        <v>2900</v>
      </c>
      <c r="G972" s="7">
        <v>4.152</v>
      </c>
      <c r="H972" s="15" t="s">
        <v>3468</v>
      </c>
      <c r="I972" s="15" t="s">
        <v>1628</v>
      </c>
      <c r="J972" s="15" t="s">
        <v>5351</v>
      </c>
      <c r="K972" s="15">
        <v>4.0</v>
      </c>
      <c r="L972" s="15">
        <v>4.0</v>
      </c>
      <c r="M972" s="40">
        <v>37273.0</v>
      </c>
      <c r="N972" s="40">
        <v>42194.0</v>
      </c>
      <c r="O972" s="15" t="s">
        <v>1554</v>
      </c>
      <c r="Q972" s="7"/>
    </row>
    <row r="973">
      <c r="A973" s="39" t="s">
        <v>5353</v>
      </c>
      <c r="B973" s="15">
        <v>228578.0</v>
      </c>
      <c r="C973" s="15" t="s">
        <v>5354</v>
      </c>
      <c r="D973" s="15">
        <v>14869.0</v>
      </c>
      <c r="E973" s="15" t="s">
        <v>1548</v>
      </c>
      <c r="F973" s="15" t="s">
        <v>2615</v>
      </c>
      <c r="G973" s="7">
        <v>6.303</v>
      </c>
      <c r="H973" s="15" t="s">
        <v>1818</v>
      </c>
      <c r="I973" s="15" t="s">
        <v>1628</v>
      </c>
      <c r="J973" s="15" t="s">
        <v>5355</v>
      </c>
      <c r="K973" s="15">
        <v>3.0</v>
      </c>
      <c r="L973" s="15">
        <v>3.0</v>
      </c>
      <c r="M973" s="40">
        <v>35150.0</v>
      </c>
      <c r="N973" s="40">
        <v>41002.0</v>
      </c>
      <c r="O973" s="15" t="s">
        <v>1554</v>
      </c>
      <c r="Q973" s="7"/>
    </row>
    <row r="974">
      <c r="A974" s="39" t="s">
        <v>5356</v>
      </c>
      <c r="B974" s="15">
        <v>79918.0</v>
      </c>
      <c r="C974" s="15" t="s">
        <v>5357</v>
      </c>
      <c r="D974" s="15">
        <v>14870.0</v>
      </c>
      <c r="E974" s="15" t="s">
        <v>1548</v>
      </c>
      <c r="F974" s="15" t="s">
        <v>2615</v>
      </c>
      <c r="G974" s="7">
        <v>10.848</v>
      </c>
      <c r="H974" s="15" t="s">
        <v>5359</v>
      </c>
      <c r="I974" s="15" t="s">
        <v>1628</v>
      </c>
      <c r="J974" s="15" t="s">
        <v>5360</v>
      </c>
      <c r="K974" s="15">
        <v>8.0</v>
      </c>
      <c r="L974" s="15">
        <v>8.0</v>
      </c>
      <c r="M974" s="41">
        <v>36126.0</v>
      </c>
      <c r="N974" s="40">
        <v>42045.0</v>
      </c>
      <c r="O974" s="15" t="s">
        <v>1554</v>
      </c>
      <c r="Q974" s="7"/>
    </row>
    <row r="975">
      <c r="A975" s="39" t="s">
        <v>5361</v>
      </c>
      <c r="B975" s="15">
        <v>12275.0</v>
      </c>
      <c r="C975" s="15" t="s">
        <v>5362</v>
      </c>
      <c r="D975" s="15">
        <v>14871.0</v>
      </c>
      <c r="E975" s="15" t="s">
        <v>1548</v>
      </c>
      <c r="F975" s="15" t="s">
        <v>1626</v>
      </c>
      <c r="G975" s="7">
        <v>11.991</v>
      </c>
      <c r="H975" s="15" t="s">
        <v>5363</v>
      </c>
      <c r="I975" s="15" t="s">
        <v>1628</v>
      </c>
      <c r="J975" s="15" t="s">
        <v>5364</v>
      </c>
      <c r="K975" s="15">
        <v>2.0</v>
      </c>
      <c r="L975" s="15">
        <v>2.0</v>
      </c>
      <c r="M975" s="41">
        <v>37584.0</v>
      </c>
      <c r="N975" s="40">
        <v>39645.0</v>
      </c>
      <c r="O975" s="15" t="s">
        <v>1554</v>
      </c>
      <c r="Q975" s="7"/>
    </row>
    <row r="976">
      <c r="A976" s="39" t="s">
        <v>5366</v>
      </c>
      <c r="B976" s="15">
        <v>146073.0</v>
      </c>
      <c r="C976" s="15" t="s">
        <v>5367</v>
      </c>
      <c r="D976" s="15">
        <v>14874.0</v>
      </c>
      <c r="E976" s="15" t="s">
        <v>1548</v>
      </c>
      <c r="F976" s="15" t="s">
        <v>4829</v>
      </c>
      <c r="G976" s="7">
        <v>8.289</v>
      </c>
      <c r="H976" s="15" t="s">
        <v>5368</v>
      </c>
      <c r="I976" s="15" t="s">
        <v>1686</v>
      </c>
      <c r="J976" s="15" t="s">
        <v>5369</v>
      </c>
      <c r="K976" s="15">
        <v>3.0</v>
      </c>
      <c r="L976" s="15">
        <v>3.0</v>
      </c>
      <c r="M976" s="41">
        <v>36886.0</v>
      </c>
      <c r="N976" s="40">
        <v>42458.0</v>
      </c>
      <c r="O976" s="15" t="s">
        <v>1554</v>
      </c>
      <c r="Q976" s="7"/>
    </row>
    <row r="977">
      <c r="A977" s="39" t="s">
        <v>5370</v>
      </c>
      <c r="B977" s="15">
        <v>218923.0</v>
      </c>
      <c r="C977" s="15" t="s">
        <v>5371</v>
      </c>
      <c r="D977" s="15">
        <v>230700.0</v>
      </c>
      <c r="E977" s="15" t="s">
        <v>1548</v>
      </c>
      <c r="F977" s="15" t="s">
        <v>1578</v>
      </c>
      <c r="G977" s="7">
        <v>4.086</v>
      </c>
      <c r="H977" s="15">
        <v>48.0</v>
      </c>
      <c r="I977" s="15" t="s">
        <v>1628</v>
      </c>
      <c r="J977" s="15" t="s">
        <v>5372</v>
      </c>
      <c r="K977" s="15">
        <v>5.0</v>
      </c>
      <c r="L977" s="15">
        <v>5.0</v>
      </c>
      <c r="M977" s="40">
        <v>37651.0</v>
      </c>
      <c r="N977" s="41">
        <v>41627.0</v>
      </c>
      <c r="O977" s="15" t="s">
        <v>1554</v>
      </c>
      <c r="Q977" s="7"/>
    </row>
    <row r="978">
      <c r="A978" s="39" t="s">
        <v>5374</v>
      </c>
      <c r="B978" s="15">
        <v>11978.0</v>
      </c>
      <c r="C978" s="15" t="s">
        <v>5375</v>
      </c>
      <c r="D978" s="15">
        <v>14877.0</v>
      </c>
      <c r="E978" s="15" t="s">
        <v>1548</v>
      </c>
      <c r="F978" s="15" t="s">
        <v>4829</v>
      </c>
      <c r="G978" s="7">
        <v>7.683</v>
      </c>
      <c r="H978" s="15" t="s">
        <v>3082</v>
      </c>
      <c r="I978" s="15" t="s">
        <v>1686</v>
      </c>
      <c r="J978" s="15" t="s">
        <v>5376</v>
      </c>
      <c r="K978" s="15">
        <v>3.0</v>
      </c>
      <c r="L978" s="15">
        <v>3.0</v>
      </c>
      <c r="M978" s="40">
        <v>34183.0</v>
      </c>
      <c r="N978" s="40">
        <v>42045.0</v>
      </c>
      <c r="O978" s="15" t="s">
        <v>1554</v>
      </c>
      <c r="Q978" s="7"/>
    </row>
    <row r="979">
      <c r="A979" s="39" t="s">
        <v>5377</v>
      </c>
      <c r="B979" s="15">
        <v>167634.0</v>
      </c>
      <c r="C979" s="15" t="s">
        <v>5378</v>
      </c>
      <c r="D979" s="15">
        <v>14880.0</v>
      </c>
      <c r="E979" s="15" t="s">
        <v>1548</v>
      </c>
      <c r="F979" s="15" t="s">
        <v>1790</v>
      </c>
      <c r="G979" s="7">
        <v>16.527</v>
      </c>
      <c r="H979" s="15" t="s">
        <v>1551</v>
      </c>
      <c r="I979" s="15" t="s">
        <v>1628</v>
      </c>
      <c r="J979" s="15" t="s">
        <v>5379</v>
      </c>
      <c r="K979" s="15">
        <v>8.0</v>
      </c>
      <c r="L979" s="15">
        <v>8.0</v>
      </c>
      <c r="M979" s="40">
        <v>37566.0</v>
      </c>
      <c r="N979" s="40">
        <v>39639.0</v>
      </c>
      <c r="O979" s="15" t="s">
        <v>1554</v>
      </c>
      <c r="Q979" s="7"/>
    </row>
    <row r="980">
      <c r="A980" s="39" t="s">
        <v>5380</v>
      </c>
      <c r="B980" s="15">
        <v>220618.0</v>
      </c>
      <c r="C980" s="15" t="s">
        <v>5381</v>
      </c>
      <c r="D980" s="15">
        <v>14881.0</v>
      </c>
      <c r="E980" s="15" t="s">
        <v>1548</v>
      </c>
      <c r="F980" s="15" t="s">
        <v>2900</v>
      </c>
      <c r="G980" s="7">
        <v>4.576</v>
      </c>
      <c r="H980" s="15" t="s">
        <v>5382</v>
      </c>
      <c r="I980" s="15" t="s">
        <v>1628</v>
      </c>
      <c r="J980" s="15" t="s">
        <v>5384</v>
      </c>
      <c r="K980" s="15">
        <v>5.0</v>
      </c>
      <c r="L980" s="15">
        <v>5.0</v>
      </c>
      <c r="M980" s="40">
        <v>37661.0</v>
      </c>
      <c r="N980" s="40">
        <v>40148.0</v>
      </c>
      <c r="O980" s="15" t="s">
        <v>1554</v>
      </c>
      <c r="Q980" s="7"/>
    </row>
    <row r="981">
      <c r="A981" s="39" t="s">
        <v>5385</v>
      </c>
      <c r="B981" s="15">
        <v>32629.0</v>
      </c>
      <c r="C981" s="15" t="s">
        <v>5386</v>
      </c>
      <c r="D981" s="15">
        <v>14882.0</v>
      </c>
      <c r="E981" s="15" t="s">
        <v>1548</v>
      </c>
      <c r="F981" s="15" t="s">
        <v>2615</v>
      </c>
      <c r="G981" s="7">
        <v>10.348</v>
      </c>
      <c r="H981" s="15" t="s">
        <v>5387</v>
      </c>
      <c r="I981" s="15" t="s">
        <v>1628</v>
      </c>
      <c r="J981" s="15" t="s">
        <v>5388</v>
      </c>
      <c r="K981" s="15">
        <v>8.0</v>
      </c>
      <c r="L981" s="15">
        <v>8.0</v>
      </c>
      <c r="M981" s="40">
        <v>35258.0</v>
      </c>
      <c r="N981" s="40">
        <v>39925.0</v>
      </c>
      <c r="O981" s="15" t="s">
        <v>1554</v>
      </c>
      <c r="Q981" s="7"/>
    </row>
    <row r="982">
      <c r="A982" s="39" t="s">
        <v>5389</v>
      </c>
      <c r="B982" s="15">
        <v>191217.0</v>
      </c>
      <c r="C982" s="15" t="s">
        <v>5390</v>
      </c>
      <c r="D982" s="15">
        <v>14883.0</v>
      </c>
      <c r="E982" s="15" t="s">
        <v>1548</v>
      </c>
      <c r="F982" s="15" t="s">
        <v>1771</v>
      </c>
      <c r="G982" s="7">
        <v>5.723</v>
      </c>
      <c r="H982" s="15" t="s">
        <v>5391</v>
      </c>
      <c r="I982" s="15" t="s">
        <v>1628</v>
      </c>
      <c r="J982" s="15" t="s">
        <v>5392</v>
      </c>
      <c r="K982" s="15">
        <v>8.0</v>
      </c>
      <c r="L982" s="15">
        <v>7.0</v>
      </c>
      <c r="M982" s="41">
        <v>34258.0</v>
      </c>
      <c r="N982" s="40">
        <v>42577.0</v>
      </c>
      <c r="O982" s="15" t="s">
        <v>1554</v>
      </c>
      <c r="Q982" s="7"/>
    </row>
    <row r="983">
      <c r="A983" s="39" t="s">
        <v>5393</v>
      </c>
      <c r="B983" s="15">
        <v>41460.0</v>
      </c>
      <c r="C983" s="15" t="s">
        <v>5394</v>
      </c>
      <c r="D983" s="15">
        <v>14884.0</v>
      </c>
      <c r="E983" s="15" t="s">
        <v>1548</v>
      </c>
      <c r="F983" s="15" t="s">
        <v>1911</v>
      </c>
      <c r="G983" s="7">
        <v>9.608</v>
      </c>
      <c r="H983" s="15" t="s">
        <v>3070</v>
      </c>
      <c r="I983" s="15" t="s">
        <v>1628</v>
      </c>
      <c r="J983" s="15" t="s">
        <v>5395</v>
      </c>
      <c r="K983" s="15">
        <v>2.0</v>
      </c>
      <c r="L983" s="15">
        <v>2.0</v>
      </c>
      <c r="M983" s="40">
        <v>35328.0</v>
      </c>
      <c r="N983" s="40">
        <v>42045.0</v>
      </c>
      <c r="O983" s="15" t="s">
        <v>1554</v>
      </c>
      <c r="Q983" s="7"/>
    </row>
    <row r="984">
      <c r="A984" s="39" t="s">
        <v>5396</v>
      </c>
      <c r="B984" s="15">
        <v>12042.0</v>
      </c>
      <c r="C984" s="15" t="s">
        <v>5397</v>
      </c>
      <c r="D984" s="15">
        <v>14885.0</v>
      </c>
      <c r="E984" s="15" t="s">
        <v>1548</v>
      </c>
      <c r="F984" s="15" t="s">
        <v>1771</v>
      </c>
      <c r="G984" s="7">
        <v>5.666</v>
      </c>
      <c r="H984" s="15" t="s">
        <v>5391</v>
      </c>
      <c r="I984" s="15" t="s">
        <v>1628</v>
      </c>
      <c r="J984" s="15" t="s">
        <v>5398</v>
      </c>
      <c r="K984" s="15">
        <v>6.0</v>
      </c>
      <c r="L984" s="15">
        <v>6.0</v>
      </c>
      <c r="M984" s="40">
        <v>37384.0</v>
      </c>
      <c r="N984" s="40">
        <v>42577.0</v>
      </c>
      <c r="O984" s="15" t="s">
        <v>1554</v>
      </c>
      <c r="Q984" s="7"/>
    </row>
    <row r="985">
      <c r="A985" s="39" t="s">
        <v>5399</v>
      </c>
      <c r="B985" s="15">
        <v>68876.0</v>
      </c>
      <c r="C985" s="15" t="s">
        <v>5400</v>
      </c>
      <c r="D985" s="15">
        <v>14889.0</v>
      </c>
      <c r="E985" s="15" t="s">
        <v>1548</v>
      </c>
      <c r="F985" s="15" t="s">
        <v>2788</v>
      </c>
      <c r="G985" s="7">
        <v>9.524</v>
      </c>
      <c r="H985" s="15" t="s">
        <v>2396</v>
      </c>
      <c r="I985" s="15" t="s">
        <v>1560</v>
      </c>
      <c r="J985" s="15" t="s">
        <v>5401</v>
      </c>
      <c r="K985" s="15">
        <v>2.0</v>
      </c>
      <c r="L985" s="15">
        <v>2.0</v>
      </c>
      <c r="M985" s="40">
        <v>37753.0</v>
      </c>
      <c r="N985" s="40">
        <v>42577.0</v>
      </c>
      <c r="O985" s="15" t="s">
        <v>1554</v>
      </c>
      <c r="Q985" s="7"/>
    </row>
    <row r="986">
      <c r="A986" s="39" t="s">
        <v>5402</v>
      </c>
      <c r="B986" s="15">
        <v>51330.0</v>
      </c>
      <c r="C986" s="15" t="s">
        <v>5403</v>
      </c>
      <c r="D986" s="15">
        <v>14890.0</v>
      </c>
      <c r="E986" s="15" t="s">
        <v>1548</v>
      </c>
      <c r="F986" s="15" t="s">
        <v>1790</v>
      </c>
      <c r="G986" s="7">
        <v>17.099</v>
      </c>
      <c r="H986" s="15" t="s">
        <v>5404</v>
      </c>
      <c r="I986" s="15" t="s">
        <v>1628</v>
      </c>
      <c r="J986" s="15" t="s">
        <v>5405</v>
      </c>
      <c r="K986" s="15">
        <v>12.0</v>
      </c>
      <c r="L986" s="15">
        <v>12.0</v>
      </c>
      <c r="M986" s="40">
        <v>37754.0</v>
      </c>
      <c r="N986" s="41">
        <v>42297.0</v>
      </c>
      <c r="O986" s="15" t="s">
        <v>1554</v>
      </c>
      <c r="Q986" s="7"/>
    </row>
    <row r="987">
      <c r="A987" s="39" t="s">
        <v>5406</v>
      </c>
      <c r="B987" s="15">
        <v>198112.0</v>
      </c>
      <c r="C987" s="15" t="s">
        <v>5407</v>
      </c>
      <c r="D987" s="15">
        <v>14891.0</v>
      </c>
      <c r="E987" s="15" t="s">
        <v>1548</v>
      </c>
      <c r="F987" s="15" t="s">
        <v>2374</v>
      </c>
      <c r="G987" s="7">
        <v>10.14</v>
      </c>
      <c r="H987" s="15" t="s">
        <v>1823</v>
      </c>
      <c r="I987" s="15" t="s">
        <v>1560</v>
      </c>
      <c r="J987" s="15" t="s">
        <v>5409</v>
      </c>
      <c r="K987" s="15">
        <v>1.0</v>
      </c>
      <c r="L987" s="15">
        <v>1.0</v>
      </c>
      <c r="M987" s="41">
        <v>37605.0</v>
      </c>
      <c r="N987" s="40">
        <v>42452.0</v>
      </c>
      <c r="O987" s="15" t="s">
        <v>1554</v>
      </c>
      <c r="Q987" s="7"/>
    </row>
    <row r="988">
      <c r="A988" s="39" t="s">
        <v>5410</v>
      </c>
      <c r="B988" s="15">
        <v>239365.0</v>
      </c>
      <c r="C988" s="15" t="s">
        <v>5411</v>
      </c>
      <c r="D988" s="15">
        <v>14893.0</v>
      </c>
      <c r="E988" s="15" t="s">
        <v>1916</v>
      </c>
      <c r="F988" s="15" t="s">
        <v>2532</v>
      </c>
      <c r="G988" s="7">
        <v>7.448</v>
      </c>
      <c r="H988" s="15" t="s">
        <v>2118</v>
      </c>
      <c r="I988" s="15" t="s">
        <v>1686</v>
      </c>
      <c r="J988" s="15" t="s">
        <v>5412</v>
      </c>
      <c r="K988" s="15">
        <v>4.0</v>
      </c>
      <c r="L988" s="15">
        <v>4.0</v>
      </c>
      <c r="M988" s="40">
        <v>37803.0</v>
      </c>
      <c r="N988" s="40">
        <v>42577.0</v>
      </c>
      <c r="O988" s="15" t="s">
        <v>1554</v>
      </c>
      <c r="Q988" s="7"/>
    </row>
    <row r="989">
      <c r="A989" s="39" t="s">
        <v>5413</v>
      </c>
      <c r="B989" s="15">
        <v>199361.0</v>
      </c>
      <c r="C989" s="15" t="s">
        <v>5414</v>
      </c>
      <c r="D989" s="15">
        <v>14894.0</v>
      </c>
      <c r="E989" s="15" t="s">
        <v>1548</v>
      </c>
      <c r="F989" s="15" t="s">
        <v>2900</v>
      </c>
      <c r="G989" s="7">
        <v>4.048</v>
      </c>
      <c r="H989" s="15" t="s">
        <v>2836</v>
      </c>
      <c r="I989" s="15" t="s">
        <v>1628</v>
      </c>
      <c r="J989" s="15" t="s">
        <v>5415</v>
      </c>
      <c r="K989" s="15">
        <v>5.0</v>
      </c>
      <c r="L989" s="15">
        <v>5.0</v>
      </c>
      <c r="M989" s="40">
        <v>37804.0</v>
      </c>
      <c r="N989" s="40">
        <v>39785.0</v>
      </c>
      <c r="O989" s="15" t="s">
        <v>1554</v>
      </c>
      <c r="Q989" s="7"/>
    </row>
    <row r="990">
      <c r="A990" s="39" t="s">
        <v>5416</v>
      </c>
      <c r="B990" s="15">
        <v>204987.0</v>
      </c>
      <c r="C990" s="15" t="s">
        <v>5417</v>
      </c>
      <c r="D990" s="15">
        <v>14895.0</v>
      </c>
      <c r="E990" s="15" t="s">
        <v>1548</v>
      </c>
      <c r="F990" s="15" t="s">
        <v>4837</v>
      </c>
      <c r="G990" s="7">
        <v>15.192</v>
      </c>
      <c r="H990" s="15" t="s">
        <v>2484</v>
      </c>
      <c r="I990" s="15" t="s">
        <v>1567</v>
      </c>
      <c r="J990" s="15" t="s">
        <v>5418</v>
      </c>
      <c r="K990" s="15">
        <v>6.0</v>
      </c>
      <c r="L990" s="15">
        <v>6.0</v>
      </c>
      <c r="M990" s="40">
        <v>37314.0</v>
      </c>
      <c r="N990" s="41">
        <v>40147.0</v>
      </c>
      <c r="O990" s="15" t="s">
        <v>1554</v>
      </c>
      <c r="Q990" s="7"/>
    </row>
    <row r="991">
      <c r="A991" s="39" t="s">
        <v>5419</v>
      </c>
      <c r="B991" s="15">
        <v>218849.0</v>
      </c>
      <c r="C991" s="15" t="s">
        <v>5420</v>
      </c>
      <c r="D991" s="15">
        <v>14896.0</v>
      </c>
      <c r="E991" s="15" t="s">
        <v>1548</v>
      </c>
      <c r="F991" s="15" t="s">
        <v>1801</v>
      </c>
      <c r="G991" s="7">
        <v>11.375</v>
      </c>
      <c r="H991" s="15" t="s">
        <v>5391</v>
      </c>
      <c r="I991" s="15" t="s">
        <v>1803</v>
      </c>
      <c r="J991" s="15" t="s">
        <v>5422</v>
      </c>
      <c r="K991" s="15">
        <v>2.0</v>
      </c>
      <c r="L991" s="15">
        <v>2.0</v>
      </c>
      <c r="M991" s="40">
        <v>37743.0</v>
      </c>
      <c r="N991" s="40">
        <v>42543.0</v>
      </c>
      <c r="O991" s="15" t="s">
        <v>1554</v>
      </c>
      <c r="Q991" s="7"/>
    </row>
    <row r="992">
      <c r="A992" s="39" t="s">
        <v>5423</v>
      </c>
      <c r="B992" s="15">
        <v>1239574.0</v>
      </c>
      <c r="C992" s="15" t="s">
        <v>5424</v>
      </c>
      <c r="D992" s="15">
        <v>14897.0</v>
      </c>
      <c r="E992" s="15" t="s">
        <v>1548</v>
      </c>
      <c r="F992" s="15" t="s">
        <v>1848</v>
      </c>
      <c r="G992" s="7">
        <v>6.61</v>
      </c>
      <c r="H992" s="15" t="s">
        <v>2296</v>
      </c>
      <c r="I992" s="15" t="s">
        <v>1686</v>
      </c>
      <c r="J992" s="15" t="s">
        <v>5425</v>
      </c>
      <c r="K992" s="15">
        <v>3.0</v>
      </c>
      <c r="L992" s="15">
        <v>3.0</v>
      </c>
      <c r="M992" s="40">
        <v>37681.0</v>
      </c>
      <c r="N992" s="40">
        <v>42650.0</v>
      </c>
      <c r="O992" s="15" t="s">
        <v>1554</v>
      </c>
      <c r="Q992" s="7"/>
    </row>
    <row r="993">
      <c r="A993" s="39" t="s">
        <v>5426</v>
      </c>
      <c r="B993" s="15">
        <v>112437.0</v>
      </c>
      <c r="C993" s="15" t="s">
        <v>5427</v>
      </c>
      <c r="D993" s="15">
        <v>14899.0</v>
      </c>
      <c r="E993" s="15" t="s">
        <v>1548</v>
      </c>
      <c r="F993" s="15" t="s">
        <v>1911</v>
      </c>
      <c r="G993" s="7">
        <v>9.346</v>
      </c>
      <c r="H993" s="15" t="s">
        <v>1745</v>
      </c>
      <c r="I993" s="15" t="s">
        <v>1628</v>
      </c>
      <c r="J993" s="15" t="s">
        <v>5428</v>
      </c>
      <c r="K993" s="15">
        <v>2.0</v>
      </c>
      <c r="L993" s="15">
        <v>2.0</v>
      </c>
      <c r="M993" s="40">
        <v>37902.0</v>
      </c>
      <c r="N993" s="40">
        <v>42045.0</v>
      </c>
      <c r="O993" s="15" t="s">
        <v>1554</v>
      </c>
      <c r="Q993" s="7"/>
    </row>
    <row r="994">
      <c r="A994" s="39" t="s">
        <v>5430</v>
      </c>
      <c r="B994" s="15">
        <v>185783.0</v>
      </c>
      <c r="C994" s="15" t="s">
        <v>5431</v>
      </c>
      <c r="D994" s="15">
        <v>14900.0</v>
      </c>
      <c r="E994" s="15" t="s">
        <v>1638</v>
      </c>
      <c r="F994" s="15" t="s">
        <v>1863</v>
      </c>
      <c r="G994" s="7">
        <v>23.696</v>
      </c>
      <c r="H994" s="15" t="s">
        <v>5432</v>
      </c>
      <c r="I994" s="15" t="s">
        <v>1686</v>
      </c>
      <c r="J994" s="15" t="s">
        <v>5433</v>
      </c>
      <c r="K994" s="15">
        <v>12.0</v>
      </c>
      <c r="L994" s="15">
        <v>12.0</v>
      </c>
      <c r="M994" s="40">
        <v>37475.0</v>
      </c>
      <c r="N994" s="41">
        <v>42297.0</v>
      </c>
      <c r="O994" s="15" t="s">
        <v>1554</v>
      </c>
      <c r="Q994" s="7"/>
    </row>
    <row r="995">
      <c r="A995" s="39" t="s">
        <v>5434</v>
      </c>
      <c r="B995" s="15">
        <v>72750.0</v>
      </c>
      <c r="C995" s="15" t="s">
        <v>5435</v>
      </c>
      <c r="D995" s="15">
        <v>14901.0</v>
      </c>
      <c r="E995" s="15" t="s">
        <v>1548</v>
      </c>
      <c r="F995" s="15" t="s">
        <v>1790</v>
      </c>
      <c r="G995" s="7">
        <v>15.909</v>
      </c>
      <c r="H995" s="15" t="s">
        <v>5436</v>
      </c>
      <c r="I995" s="15" t="s">
        <v>1628</v>
      </c>
      <c r="J995" s="15" t="s">
        <v>5437</v>
      </c>
      <c r="K995" s="15">
        <v>10.0</v>
      </c>
      <c r="L995" s="15">
        <v>10.0</v>
      </c>
      <c r="M995" s="41">
        <v>37915.0</v>
      </c>
      <c r="N995" s="40">
        <v>41411.0</v>
      </c>
      <c r="O995" s="15" t="s">
        <v>1554</v>
      </c>
      <c r="Q995" s="7"/>
    </row>
    <row r="996">
      <c r="A996" s="39" t="s">
        <v>5439</v>
      </c>
      <c r="B996" s="15">
        <v>11591.0</v>
      </c>
      <c r="C996" s="15" t="s">
        <v>5440</v>
      </c>
      <c r="D996" s="15">
        <v>14902.0</v>
      </c>
      <c r="E996" s="15" t="s">
        <v>1548</v>
      </c>
      <c r="F996" s="15" t="s">
        <v>3116</v>
      </c>
      <c r="G996" s="7">
        <v>11.372</v>
      </c>
      <c r="H996" s="15" t="s">
        <v>5441</v>
      </c>
      <c r="I996" s="15" t="s">
        <v>1803</v>
      </c>
      <c r="J996" s="15" t="s">
        <v>5442</v>
      </c>
      <c r="K996" s="15">
        <v>4.0</v>
      </c>
      <c r="L996" s="15">
        <v>4.0</v>
      </c>
      <c r="M996" s="41">
        <v>33932.0</v>
      </c>
      <c r="N996" s="40">
        <v>40357.0</v>
      </c>
      <c r="O996" s="15" t="s">
        <v>1554</v>
      </c>
      <c r="Q996" s="7"/>
    </row>
    <row r="997">
      <c r="A997" s="39" t="s">
        <v>5443</v>
      </c>
      <c r="B997" s="15">
        <v>229149.0</v>
      </c>
      <c r="C997" s="15" t="s">
        <v>5444</v>
      </c>
      <c r="D997" s="15">
        <v>14904.0</v>
      </c>
      <c r="E997" s="15" t="s">
        <v>1548</v>
      </c>
      <c r="F997" s="15" t="s">
        <v>2900</v>
      </c>
      <c r="G997" s="7">
        <v>4.421</v>
      </c>
      <c r="H997" s="15" t="s">
        <v>1640</v>
      </c>
      <c r="I997" s="15" t="s">
        <v>1628</v>
      </c>
      <c r="J997" s="15" t="s">
        <v>5445</v>
      </c>
      <c r="K997" s="15">
        <v>5.0</v>
      </c>
      <c r="L997" s="15">
        <v>5.0</v>
      </c>
      <c r="M997" s="40">
        <v>37863.0</v>
      </c>
      <c r="N997" s="41">
        <v>39015.0</v>
      </c>
      <c r="O997" s="15" t="s">
        <v>1554</v>
      </c>
      <c r="Q997" s="7"/>
    </row>
    <row r="998">
      <c r="A998" s="39" t="s">
        <v>5446</v>
      </c>
      <c r="B998" s="15">
        <v>50817.0</v>
      </c>
      <c r="C998" s="15" t="s">
        <v>5447</v>
      </c>
      <c r="D998" s="15">
        <v>14905.0</v>
      </c>
      <c r="E998" s="15" t="s">
        <v>1548</v>
      </c>
      <c r="F998" s="15" t="s">
        <v>1626</v>
      </c>
      <c r="G998" s="7">
        <v>9.263</v>
      </c>
      <c r="H998" s="15" t="s">
        <v>5449</v>
      </c>
      <c r="I998" s="15" t="s">
        <v>1628</v>
      </c>
      <c r="J998" s="15" t="s">
        <v>5450</v>
      </c>
      <c r="K998" s="15">
        <v>2.0</v>
      </c>
      <c r="L998" s="15">
        <v>2.0</v>
      </c>
      <c r="M998" s="41">
        <v>37924.0</v>
      </c>
      <c r="N998" s="40">
        <v>39790.0</v>
      </c>
      <c r="O998" s="15" t="s">
        <v>1554</v>
      </c>
      <c r="Q998" s="7"/>
    </row>
    <row r="999">
      <c r="A999" s="39" t="s">
        <v>5451</v>
      </c>
      <c r="B999" s="15">
        <v>55951.0</v>
      </c>
      <c r="C999" s="15" t="s">
        <v>5452</v>
      </c>
      <c r="D999" s="15">
        <v>14906.0</v>
      </c>
      <c r="E999" s="15" t="s">
        <v>1548</v>
      </c>
      <c r="F999" s="15" t="s">
        <v>1790</v>
      </c>
      <c r="G999" s="7">
        <v>17.919</v>
      </c>
      <c r="H999" s="15" t="s">
        <v>3538</v>
      </c>
      <c r="I999" s="15" t="s">
        <v>1628</v>
      </c>
      <c r="J999" s="15" t="s">
        <v>5453</v>
      </c>
      <c r="K999" s="15">
        <v>12.0</v>
      </c>
      <c r="L999" s="15">
        <v>12.0</v>
      </c>
      <c r="M999" s="40">
        <v>35913.0</v>
      </c>
      <c r="N999" s="40">
        <v>42576.0</v>
      </c>
      <c r="O999" s="15" t="s">
        <v>1554</v>
      </c>
      <c r="Q999" s="7"/>
    </row>
    <row r="1000">
      <c r="A1000" s="39" t="s">
        <v>5454</v>
      </c>
      <c r="B1000" s="15">
        <v>11867.0</v>
      </c>
      <c r="C1000" s="15" t="s">
        <v>5455</v>
      </c>
      <c r="D1000" s="15">
        <v>14909.0</v>
      </c>
      <c r="E1000" s="15" t="s">
        <v>1916</v>
      </c>
      <c r="F1000" s="15" t="s">
        <v>2532</v>
      </c>
      <c r="G1000" s="7">
        <v>3.392</v>
      </c>
      <c r="H1000" s="15" t="s">
        <v>5457</v>
      </c>
      <c r="I1000" s="15" t="s">
        <v>1686</v>
      </c>
      <c r="J1000" s="15" t="s">
        <v>5458</v>
      </c>
      <c r="K1000" s="15">
        <v>1.0</v>
      </c>
      <c r="L1000" s="15">
        <v>1.0</v>
      </c>
      <c r="M1000" s="40">
        <v>35816.0</v>
      </c>
      <c r="N1000" s="41">
        <v>40147.0</v>
      </c>
      <c r="O1000" s="15" t="s">
        <v>1554</v>
      </c>
      <c r="Q1000" s="7"/>
    </row>
    <row r="1001">
      <c r="A1001" s="39" t="s">
        <v>5459</v>
      </c>
      <c r="B1001" s="15">
        <v>198589.0</v>
      </c>
      <c r="C1001" s="15" t="s">
        <v>5460</v>
      </c>
      <c r="D1001" s="15">
        <v>14910.0</v>
      </c>
      <c r="E1001" s="15" t="s">
        <v>1548</v>
      </c>
      <c r="F1001" s="15" t="s">
        <v>1578</v>
      </c>
      <c r="G1001" s="7">
        <v>2.843</v>
      </c>
      <c r="H1001" s="15" t="s">
        <v>3836</v>
      </c>
      <c r="I1001" s="15" t="s">
        <v>1628</v>
      </c>
      <c r="J1001" s="15" t="s">
        <v>5461</v>
      </c>
      <c r="K1001" s="15">
        <v>4.0</v>
      </c>
      <c r="L1001" s="15">
        <v>4.0</v>
      </c>
      <c r="M1001" s="40">
        <v>34040.0</v>
      </c>
      <c r="N1001" s="40">
        <v>42577.0</v>
      </c>
      <c r="O1001" s="15" t="s">
        <v>1554</v>
      </c>
      <c r="Q1001" s="7"/>
    </row>
    <row r="1002">
      <c r="A1002" s="39" t="s">
        <v>5462</v>
      </c>
      <c r="B1002" s="15">
        <v>63330.0</v>
      </c>
      <c r="C1002" s="15" t="s">
        <v>5463</v>
      </c>
      <c r="D1002" s="15">
        <v>14911.0</v>
      </c>
      <c r="E1002" s="15" t="s">
        <v>1548</v>
      </c>
      <c r="F1002" s="15" t="s">
        <v>4837</v>
      </c>
      <c r="G1002" s="7">
        <v>18.234</v>
      </c>
      <c r="H1002" s="15" t="s">
        <v>2304</v>
      </c>
      <c r="I1002" s="15" t="s">
        <v>1567</v>
      </c>
      <c r="J1002" s="15" t="s">
        <v>5465</v>
      </c>
      <c r="K1002" s="15">
        <v>6.0</v>
      </c>
      <c r="L1002" s="15">
        <v>8.0</v>
      </c>
      <c r="M1002" s="40">
        <v>35977.0</v>
      </c>
      <c r="N1002" s="40">
        <v>41493.0</v>
      </c>
      <c r="O1002" s="15" t="s">
        <v>1554</v>
      </c>
      <c r="Q1002" s="7"/>
    </row>
    <row r="1003">
      <c r="A1003" s="39" t="s">
        <v>5466</v>
      </c>
      <c r="B1003" s="15">
        <v>75914.0</v>
      </c>
      <c r="C1003" s="15" t="s">
        <v>5467</v>
      </c>
      <c r="D1003" s="15">
        <v>14912.0</v>
      </c>
      <c r="E1003" s="15" t="s">
        <v>1548</v>
      </c>
      <c r="F1003" s="15" t="s">
        <v>1578</v>
      </c>
      <c r="G1003" s="7">
        <v>5.533</v>
      </c>
      <c r="H1003" s="15" t="s">
        <v>2484</v>
      </c>
      <c r="I1003" s="15" t="s">
        <v>1552</v>
      </c>
      <c r="J1003" s="15" t="s">
        <v>5468</v>
      </c>
      <c r="K1003" s="15">
        <v>2.0</v>
      </c>
      <c r="L1003" s="15">
        <v>2.0</v>
      </c>
      <c r="M1003" s="40">
        <v>36138.0</v>
      </c>
      <c r="N1003" s="40">
        <v>38940.0</v>
      </c>
      <c r="O1003" s="15" t="s">
        <v>1554</v>
      </c>
      <c r="Q1003" s="7"/>
    </row>
    <row r="1004">
      <c r="A1004" s="39" t="s">
        <v>5469</v>
      </c>
      <c r="B1004" s="15">
        <v>11137.0</v>
      </c>
      <c r="C1004" s="15" t="s">
        <v>5470</v>
      </c>
      <c r="D1004" s="15">
        <v>14913.0</v>
      </c>
      <c r="E1004" s="15" t="s">
        <v>1548</v>
      </c>
      <c r="F1004" s="15" t="s">
        <v>1684</v>
      </c>
      <c r="G1004" s="7">
        <v>27.317</v>
      </c>
      <c r="H1004" s="15" t="s">
        <v>2824</v>
      </c>
      <c r="I1004" s="15" t="s">
        <v>1567</v>
      </c>
      <c r="J1004" s="15" t="s">
        <v>5471</v>
      </c>
      <c r="K1004" s="15">
        <v>7.0</v>
      </c>
      <c r="L1004" s="15">
        <v>8.0</v>
      </c>
      <c r="M1004" s="40">
        <v>36902.0</v>
      </c>
      <c r="N1004" s="40">
        <v>40296.0</v>
      </c>
      <c r="O1004" s="15" t="s">
        <v>1554</v>
      </c>
      <c r="Q1004" s="7"/>
    </row>
    <row r="1005">
      <c r="A1005" s="39" t="s">
        <v>5473</v>
      </c>
      <c r="B1005" s="15">
        <v>11857.0</v>
      </c>
      <c r="C1005" s="15" t="s">
        <v>5474</v>
      </c>
      <c r="D1005" s="15">
        <v>14914.0</v>
      </c>
      <c r="E1005" s="15" t="s">
        <v>1916</v>
      </c>
      <c r="F1005" s="15" t="s">
        <v>2532</v>
      </c>
      <c r="G1005" s="7">
        <v>8.785</v>
      </c>
      <c r="H1005" s="15" t="s">
        <v>5475</v>
      </c>
      <c r="I1005" s="15" t="s">
        <v>1686</v>
      </c>
      <c r="J1005" s="15" t="s">
        <v>5476</v>
      </c>
      <c r="K1005" s="15">
        <v>4.0</v>
      </c>
      <c r="L1005" s="15">
        <v>4.0</v>
      </c>
      <c r="M1005" s="40">
        <v>34183.0</v>
      </c>
      <c r="N1005" s="40">
        <v>40416.0</v>
      </c>
      <c r="O1005" s="15" t="s">
        <v>1554</v>
      </c>
      <c r="Q1005" s="7"/>
    </row>
    <row r="1006">
      <c r="A1006" s="39" t="s">
        <v>5478</v>
      </c>
      <c r="B1006" s="15">
        <v>241630.0</v>
      </c>
      <c r="C1006" s="15" t="s">
        <v>5479</v>
      </c>
      <c r="D1006" s="15">
        <v>14915.0</v>
      </c>
      <c r="E1006" s="15" t="s">
        <v>1548</v>
      </c>
      <c r="F1006" s="15" t="s">
        <v>4837</v>
      </c>
      <c r="G1006" s="7">
        <v>16.65</v>
      </c>
      <c r="H1006" s="15" t="s">
        <v>1710</v>
      </c>
      <c r="I1006" s="15" t="s">
        <v>1567</v>
      </c>
      <c r="J1006" s="15" t="s">
        <v>5480</v>
      </c>
      <c r="K1006" s="15">
        <v>6.0</v>
      </c>
      <c r="L1006" s="15">
        <v>8.0</v>
      </c>
      <c r="M1006" s="41">
        <v>37984.0</v>
      </c>
      <c r="N1006" s="40">
        <v>40339.0</v>
      </c>
      <c r="O1006" s="15" t="s">
        <v>1554</v>
      </c>
      <c r="Q1006" s="7"/>
    </row>
    <row r="1007">
      <c r="A1007" s="39" t="s">
        <v>5481</v>
      </c>
      <c r="B1007" s="15">
        <v>11901.0</v>
      </c>
      <c r="C1007" s="15" t="s">
        <v>5482</v>
      </c>
      <c r="D1007" s="15">
        <v>14916.0</v>
      </c>
      <c r="E1007" s="15" t="s">
        <v>1916</v>
      </c>
      <c r="F1007" s="15" t="s">
        <v>2532</v>
      </c>
      <c r="G1007" s="7">
        <v>8.419</v>
      </c>
      <c r="H1007" s="15" t="s">
        <v>5483</v>
      </c>
      <c r="I1007" s="15" t="s">
        <v>1686</v>
      </c>
      <c r="J1007" s="15" t="s">
        <v>5484</v>
      </c>
      <c r="K1007" s="15">
        <v>5.0</v>
      </c>
      <c r="L1007" s="15">
        <v>6.0</v>
      </c>
      <c r="M1007" s="40">
        <v>35816.0</v>
      </c>
      <c r="N1007" s="40">
        <v>39790.0</v>
      </c>
      <c r="O1007" s="15" t="s">
        <v>1554</v>
      </c>
      <c r="Q1007" s="7"/>
    </row>
    <row r="1008">
      <c r="A1008" s="39" t="s">
        <v>5485</v>
      </c>
      <c r="B1008" s="15">
        <v>196690.0</v>
      </c>
      <c r="C1008" s="15" t="s">
        <v>5486</v>
      </c>
      <c r="D1008" s="15">
        <v>14918.0</v>
      </c>
      <c r="E1008" s="15" t="s">
        <v>1638</v>
      </c>
      <c r="F1008" s="15" t="s">
        <v>1639</v>
      </c>
      <c r="G1008" s="7">
        <v>7.303</v>
      </c>
      <c r="H1008" s="15" t="s">
        <v>5488</v>
      </c>
      <c r="I1008" s="15" t="s">
        <v>1552</v>
      </c>
      <c r="J1008" s="15" t="s">
        <v>5489</v>
      </c>
      <c r="K1008" s="15">
        <v>3.0</v>
      </c>
      <c r="L1008" s="15">
        <v>3.0</v>
      </c>
      <c r="M1008" s="40">
        <v>37847.0</v>
      </c>
      <c r="N1008" s="41">
        <v>42724.0</v>
      </c>
      <c r="O1008" s="15" t="s">
        <v>1554</v>
      </c>
      <c r="Q1008" s="7"/>
    </row>
    <row r="1009">
      <c r="A1009" s="39" t="s">
        <v>5490</v>
      </c>
      <c r="B1009" s="15">
        <v>49891.0</v>
      </c>
      <c r="C1009" s="15" t="s">
        <v>5491</v>
      </c>
      <c r="D1009" s="15">
        <v>14919.0</v>
      </c>
      <c r="E1009" s="15" t="s">
        <v>1548</v>
      </c>
      <c r="F1009" s="15" t="s">
        <v>1838</v>
      </c>
      <c r="G1009" s="7">
        <v>10.482</v>
      </c>
      <c r="H1009" s="15" t="s">
        <v>5492</v>
      </c>
      <c r="I1009" s="15" t="s">
        <v>1567</v>
      </c>
      <c r="J1009" s="15" t="s">
        <v>5493</v>
      </c>
      <c r="K1009" s="15">
        <v>4.0</v>
      </c>
      <c r="L1009" s="15">
        <v>4.0</v>
      </c>
      <c r="M1009" s="40">
        <v>37515.0</v>
      </c>
      <c r="N1009" s="40">
        <v>40148.0</v>
      </c>
      <c r="O1009" s="15" t="s">
        <v>1554</v>
      </c>
      <c r="Q1009" s="7"/>
    </row>
    <row r="1010">
      <c r="A1010" s="39" t="s">
        <v>5494</v>
      </c>
      <c r="B1010" s="15">
        <v>279896.0</v>
      </c>
      <c r="C1010" s="15" t="s">
        <v>5495</v>
      </c>
      <c r="D1010" s="15">
        <v>14920.0</v>
      </c>
      <c r="E1010" s="15" t="s">
        <v>1548</v>
      </c>
      <c r="F1010" s="15" t="s">
        <v>1890</v>
      </c>
      <c r="G1010" s="7">
        <v>12.133</v>
      </c>
      <c r="H1010" s="15" t="s">
        <v>2836</v>
      </c>
      <c r="I1010" s="15" t="s">
        <v>2034</v>
      </c>
      <c r="J1010" s="15" t="s">
        <v>5497</v>
      </c>
      <c r="K1010" s="15">
        <v>6.0</v>
      </c>
      <c r="L1010" s="15">
        <v>6.0</v>
      </c>
      <c r="M1010" s="40">
        <v>38173.0</v>
      </c>
      <c r="N1010" s="40">
        <v>40352.0</v>
      </c>
      <c r="O1010" s="15" t="s">
        <v>1554</v>
      </c>
      <c r="Q1010" s="7"/>
    </row>
    <row r="1011">
      <c r="A1011" s="39" t="s">
        <v>5498</v>
      </c>
      <c r="B1011" s="15">
        <v>311176.0</v>
      </c>
      <c r="C1011" s="15" t="s">
        <v>5499</v>
      </c>
      <c r="D1011" s="15">
        <v>14921.0</v>
      </c>
      <c r="E1011" s="15" t="s">
        <v>1638</v>
      </c>
      <c r="F1011" s="15" t="s">
        <v>5304</v>
      </c>
      <c r="G1011" s="7">
        <v>6.179</v>
      </c>
      <c r="H1011" s="15" t="s">
        <v>5500</v>
      </c>
      <c r="I1011" s="15" t="s">
        <v>1686</v>
      </c>
      <c r="J1011" s="15" t="s">
        <v>5501</v>
      </c>
      <c r="K1011" s="15">
        <v>3.0</v>
      </c>
      <c r="L1011" s="15">
        <v>3.0</v>
      </c>
      <c r="M1011" s="41">
        <v>37609.0</v>
      </c>
      <c r="N1011" s="40">
        <v>42045.0</v>
      </c>
      <c r="O1011" s="15" t="s">
        <v>1554</v>
      </c>
      <c r="Q1011" s="7"/>
    </row>
    <row r="1012">
      <c r="A1012" s="39" t="s">
        <v>5502</v>
      </c>
      <c r="B1012" s="15">
        <v>167021.0</v>
      </c>
      <c r="C1012" s="15" t="s">
        <v>5503</v>
      </c>
      <c r="D1012" s="15">
        <v>14922.0</v>
      </c>
      <c r="E1012" s="15" t="s">
        <v>1548</v>
      </c>
      <c r="F1012" s="15" t="s">
        <v>2900</v>
      </c>
      <c r="G1012" s="7">
        <v>3.904</v>
      </c>
      <c r="H1012" s="15" t="s">
        <v>1802</v>
      </c>
      <c r="I1012" s="15" t="s">
        <v>1628</v>
      </c>
      <c r="J1012" s="15" t="s">
        <v>5504</v>
      </c>
      <c r="K1012" s="15">
        <v>5.0</v>
      </c>
      <c r="L1012" s="15">
        <v>6.0</v>
      </c>
      <c r="M1012" s="40">
        <v>37096.0</v>
      </c>
      <c r="N1012" s="40">
        <v>41775.0</v>
      </c>
      <c r="O1012" s="15" t="s">
        <v>1554</v>
      </c>
      <c r="Q1012" s="7"/>
    </row>
    <row r="1013">
      <c r="A1013" s="39" t="s">
        <v>5506</v>
      </c>
      <c r="B1013" s="15">
        <v>77204.0</v>
      </c>
      <c r="C1013" s="15" t="s">
        <v>5507</v>
      </c>
      <c r="D1013" s="15">
        <v>14923.0</v>
      </c>
      <c r="E1013" s="15" t="s">
        <v>1638</v>
      </c>
      <c r="F1013" s="15" t="s">
        <v>1863</v>
      </c>
      <c r="G1013" s="7">
        <v>18.915</v>
      </c>
      <c r="H1013" s="15" t="s">
        <v>5508</v>
      </c>
      <c r="I1013" s="15" t="s">
        <v>1751</v>
      </c>
      <c r="J1013" s="15" t="s">
        <v>5509</v>
      </c>
      <c r="K1013" s="15">
        <v>11.0</v>
      </c>
      <c r="L1013" s="15">
        <v>11.0</v>
      </c>
      <c r="M1013" s="40">
        <v>36138.0</v>
      </c>
      <c r="N1013" s="41">
        <v>42297.0</v>
      </c>
      <c r="O1013" s="15" t="s">
        <v>1554</v>
      </c>
      <c r="Q1013" s="7"/>
    </row>
    <row r="1014">
      <c r="A1014" s="39" t="s">
        <v>5510</v>
      </c>
      <c r="B1014" s="15">
        <v>103881.0</v>
      </c>
      <c r="C1014" s="15" t="s">
        <v>5511</v>
      </c>
      <c r="D1014" s="15">
        <v>14924.0</v>
      </c>
      <c r="E1014" s="15" t="s">
        <v>1548</v>
      </c>
      <c r="F1014" s="15" t="s">
        <v>1790</v>
      </c>
      <c r="G1014" s="7">
        <v>17.266</v>
      </c>
      <c r="H1014" s="15" t="s">
        <v>5513</v>
      </c>
      <c r="I1014" s="15" t="s">
        <v>1628</v>
      </c>
      <c r="J1014" s="15" t="s">
        <v>5514</v>
      </c>
      <c r="K1014" s="15">
        <v>10.0</v>
      </c>
      <c r="L1014" s="15">
        <v>10.0</v>
      </c>
      <c r="M1014" s="40">
        <v>37594.0</v>
      </c>
      <c r="N1014" s="41">
        <v>42297.0</v>
      </c>
      <c r="O1014" s="15" t="s">
        <v>1554</v>
      </c>
      <c r="Q1014" s="7"/>
    </row>
    <row r="1015">
      <c r="A1015" s="39" t="s">
        <v>5515</v>
      </c>
      <c r="B1015" s="15">
        <v>12253.0</v>
      </c>
      <c r="C1015" s="15" t="s">
        <v>5516</v>
      </c>
      <c r="D1015" s="15">
        <v>14926.0</v>
      </c>
      <c r="E1015" s="15" t="s">
        <v>1548</v>
      </c>
      <c r="F1015" s="15" t="s">
        <v>2615</v>
      </c>
      <c r="G1015" s="7">
        <v>6.383</v>
      </c>
      <c r="H1015" s="15" t="s">
        <v>2428</v>
      </c>
      <c r="I1015" s="15" t="s">
        <v>1628</v>
      </c>
      <c r="J1015" s="15" t="s">
        <v>5517</v>
      </c>
      <c r="K1015" s="15">
        <v>4.0</v>
      </c>
      <c r="L1015" s="15">
        <v>4.0</v>
      </c>
      <c r="M1015" s="40">
        <v>36962.0</v>
      </c>
      <c r="N1015" s="40">
        <v>41002.0</v>
      </c>
      <c r="O1015" s="15" t="s">
        <v>1554</v>
      </c>
      <c r="Q1015" s="7"/>
    </row>
    <row r="1016">
      <c r="A1016" s="39" t="s">
        <v>5518</v>
      </c>
      <c r="B1016" s="15">
        <v>35291.0</v>
      </c>
      <c r="C1016" s="15" t="s">
        <v>5519</v>
      </c>
      <c r="D1016" s="15">
        <v>14928.0</v>
      </c>
      <c r="E1016" s="15" t="s">
        <v>1548</v>
      </c>
      <c r="F1016" s="15" t="s">
        <v>2900</v>
      </c>
      <c r="G1016" s="7">
        <v>3.923</v>
      </c>
      <c r="H1016" s="15" t="s">
        <v>5521</v>
      </c>
      <c r="I1016" s="15" t="s">
        <v>1628</v>
      </c>
      <c r="J1016" s="15" t="s">
        <v>5522</v>
      </c>
      <c r="K1016" s="15">
        <v>6.0</v>
      </c>
      <c r="L1016" s="15">
        <v>6.0</v>
      </c>
      <c r="M1016" s="40">
        <v>37861.0</v>
      </c>
      <c r="N1016" s="40">
        <v>39790.0</v>
      </c>
      <c r="O1016" s="15" t="s">
        <v>1554</v>
      </c>
      <c r="Q1016" s="7"/>
    </row>
    <row r="1017">
      <c r="A1017" s="39" t="s">
        <v>5523</v>
      </c>
      <c r="B1017" s="15">
        <v>11628.0</v>
      </c>
      <c r="C1017" s="15" t="s">
        <v>5524</v>
      </c>
      <c r="D1017" s="15">
        <v>14931.0</v>
      </c>
      <c r="E1017" s="15" t="s">
        <v>1548</v>
      </c>
      <c r="F1017" s="15" t="s">
        <v>1838</v>
      </c>
      <c r="G1017" s="7">
        <v>10.635</v>
      </c>
      <c r="H1017" s="15" t="s">
        <v>5525</v>
      </c>
      <c r="I1017" s="15" t="s">
        <v>1567</v>
      </c>
      <c r="J1017" s="15" t="s">
        <v>5526</v>
      </c>
      <c r="K1017" s="15">
        <v>4.0</v>
      </c>
      <c r="L1017" s="15">
        <v>4.0</v>
      </c>
      <c r="M1017" s="40">
        <v>37524.0</v>
      </c>
      <c r="N1017" s="41">
        <v>40147.0</v>
      </c>
      <c r="O1017" s="15" t="s">
        <v>1554</v>
      </c>
      <c r="Q1017" s="7"/>
    </row>
    <row r="1018">
      <c r="A1018" s="39" t="s">
        <v>5528</v>
      </c>
      <c r="B1018" s="15">
        <v>12271.0</v>
      </c>
      <c r="C1018" s="15" t="s">
        <v>5529</v>
      </c>
      <c r="D1018" s="15">
        <v>14932.0</v>
      </c>
      <c r="E1018" s="15" t="s">
        <v>1548</v>
      </c>
      <c r="F1018" s="15" t="s">
        <v>1626</v>
      </c>
      <c r="G1018" s="7">
        <v>11.154</v>
      </c>
      <c r="H1018" s="15" t="s">
        <v>5530</v>
      </c>
      <c r="I1018" s="15" t="s">
        <v>1628</v>
      </c>
      <c r="J1018" s="15" t="s">
        <v>5531</v>
      </c>
      <c r="K1018" s="15">
        <v>2.0</v>
      </c>
      <c r="L1018" s="15">
        <v>2.0</v>
      </c>
      <c r="M1018" s="40">
        <v>37044.0</v>
      </c>
      <c r="N1018" s="40">
        <v>42045.0</v>
      </c>
      <c r="O1018" s="15" t="s">
        <v>1554</v>
      </c>
      <c r="Q1018" s="7"/>
    </row>
    <row r="1019">
      <c r="A1019" s="39" t="s">
        <v>5532</v>
      </c>
      <c r="B1019" s="15">
        <v>12282.0</v>
      </c>
      <c r="C1019" s="15" t="s">
        <v>5533</v>
      </c>
      <c r="D1019" s="15">
        <v>14933.0</v>
      </c>
      <c r="E1019" s="15" t="s">
        <v>1548</v>
      </c>
      <c r="F1019" s="15" t="s">
        <v>1626</v>
      </c>
      <c r="G1019" s="7">
        <v>11.443</v>
      </c>
      <c r="H1019" s="15" t="s">
        <v>5535</v>
      </c>
      <c r="I1019" s="15" t="s">
        <v>1628</v>
      </c>
      <c r="J1019" s="15" t="s">
        <v>5536</v>
      </c>
      <c r="K1019" s="15">
        <v>2.0</v>
      </c>
      <c r="L1019" s="15">
        <v>2.0</v>
      </c>
      <c r="M1019" s="40">
        <v>35159.0</v>
      </c>
      <c r="N1019" s="40">
        <v>39645.0</v>
      </c>
      <c r="O1019" s="15" t="s">
        <v>1554</v>
      </c>
      <c r="Q1019" s="7"/>
    </row>
    <row r="1020">
      <c r="A1020" s="39" t="s">
        <v>5537</v>
      </c>
      <c r="B1020" s="15">
        <v>12809.0</v>
      </c>
      <c r="C1020" s="15" t="s">
        <v>5538</v>
      </c>
      <c r="D1020" s="15">
        <v>14934.0</v>
      </c>
      <c r="E1020" s="15" t="s">
        <v>1548</v>
      </c>
      <c r="F1020" s="15" t="s">
        <v>1626</v>
      </c>
      <c r="G1020" s="7">
        <v>11.849</v>
      </c>
      <c r="H1020" s="15" t="s">
        <v>5539</v>
      </c>
      <c r="I1020" s="15" t="s">
        <v>1628</v>
      </c>
      <c r="J1020" s="15" t="s">
        <v>5540</v>
      </c>
      <c r="K1020" s="15">
        <v>2.0</v>
      </c>
      <c r="L1020" s="15">
        <v>2.0</v>
      </c>
      <c r="M1020" s="41">
        <v>37935.0</v>
      </c>
      <c r="N1020" s="40">
        <v>42045.0</v>
      </c>
      <c r="O1020" s="15" t="s">
        <v>1554</v>
      </c>
      <c r="Q1020" s="7"/>
    </row>
    <row r="1021">
      <c r="A1021" s="39" t="s">
        <v>5541</v>
      </c>
      <c r="B1021" s="15">
        <v>35281.0</v>
      </c>
      <c r="C1021" s="15" t="s">
        <v>5542</v>
      </c>
      <c r="D1021" s="15">
        <v>14935.0</v>
      </c>
      <c r="E1021" s="15" t="s">
        <v>1548</v>
      </c>
      <c r="F1021" s="15" t="s">
        <v>2615</v>
      </c>
      <c r="G1021" s="7">
        <v>6.524</v>
      </c>
      <c r="H1021" s="15" t="s">
        <v>2440</v>
      </c>
      <c r="I1021" s="15" t="s">
        <v>1628</v>
      </c>
      <c r="J1021" s="15" t="s">
        <v>5544</v>
      </c>
      <c r="K1021" s="15">
        <v>4.0</v>
      </c>
      <c r="L1021" s="15">
        <v>4.0</v>
      </c>
      <c r="M1021" s="40">
        <v>37476.0</v>
      </c>
      <c r="N1021" s="40">
        <v>39654.0</v>
      </c>
      <c r="O1021" s="15" t="s">
        <v>1554</v>
      </c>
      <c r="Q1021" s="7"/>
    </row>
    <row r="1022">
      <c r="A1022" s="39" t="s">
        <v>5545</v>
      </c>
      <c r="B1022" s="15">
        <v>40050.0</v>
      </c>
      <c r="C1022" s="15" t="s">
        <v>5546</v>
      </c>
      <c r="D1022" s="15">
        <v>14937.0</v>
      </c>
      <c r="E1022" s="15" t="s">
        <v>1638</v>
      </c>
      <c r="F1022" s="15" t="s">
        <v>1863</v>
      </c>
      <c r="G1022" s="7">
        <v>19.524</v>
      </c>
      <c r="H1022" s="15" t="s">
        <v>5547</v>
      </c>
      <c r="I1022" s="15" t="s">
        <v>1751</v>
      </c>
      <c r="J1022" s="15" t="s">
        <v>5548</v>
      </c>
      <c r="K1022" s="15">
        <v>11.0</v>
      </c>
      <c r="L1022" s="15">
        <v>11.0</v>
      </c>
      <c r="M1022" s="40">
        <v>33547.0</v>
      </c>
      <c r="N1022" s="40">
        <v>40259.0</v>
      </c>
      <c r="O1022" s="15" t="s">
        <v>1554</v>
      </c>
      <c r="Q1022" s="7"/>
    </row>
    <row r="1023">
      <c r="A1023" s="39" t="s">
        <v>5549</v>
      </c>
      <c r="B1023" s="15">
        <v>40051.0</v>
      </c>
      <c r="C1023" s="15" t="s">
        <v>5550</v>
      </c>
      <c r="D1023" s="15">
        <v>14938.0</v>
      </c>
      <c r="E1023" s="15" t="s">
        <v>1638</v>
      </c>
      <c r="F1023" s="15" t="s">
        <v>1863</v>
      </c>
      <c r="G1023" s="7">
        <v>19.208</v>
      </c>
      <c r="H1023" s="15" t="s">
        <v>5552</v>
      </c>
      <c r="I1023" s="15" t="s">
        <v>1751</v>
      </c>
      <c r="J1023" s="15" t="s">
        <v>5553</v>
      </c>
      <c r="K1023" s="15">
        <v>11.0</v>
      </c>
      <c r="L1023" s="15">
        <v>11.0</v>
      </c>
      <c r="M1023" s="41">
        <v>32110.0</v>
      </c>
      <c r="N1023" s="40">
        <v>39790.0</v>
      </c>
      <c r="O1023" s="15" t="s">
        <v>1554</v>
      </c>
      <c r="Q1023" s="7"/>
    </row>
    <row r="1024">
      <c r="A1024" s="39" t="s">
        <v>5554</v>
      </c>
      <c r="B1024" s="15">
        <v>45219.0</v>
      </c>
      <c r="C1024" s="15" t="s">
        <v>5555</v>
      </c>
      <c r="D1024" s="15">
        <v>14939.0</v>
      </c>
      <c r="E1024" s="15" t="s">
        <v>1548</v>
      </c>
      <c r="F1024" s="15" t="s">
        <v>1838</v>
      </c>
      <c r="G1024" s="7">
        <v>10.424</v>
      </c>
      <c r="H1024" s="15" t="s">
        <v>5556</v>
      </c>
      <c r="I1024" s="15" t="s">
        <v>1567</v>
      </c>
      <c r="J1024" s="15" t="s">
        <v>5557</v>
      </c>
      <c r="K1024" s="15">
        <v>4.0</v>
      </c>
      <c r="L1024" s="15">
        <v>4.0</v>
      </c>
      <c r="M1024" s="40">
        <v>37524.0</v>
      </c>
      <c r="N1024" s="41">
        <v>40147.0</v>
      </c>
      <c r="O1024" s="15" t="s">
        <v>1554</v>
      </c>
      <c r="Q1024" s="7"/>
    </row>
    <row r="1025">
      <c r="A1025" s="39" t="s">
        <v>5558</v>
      </c>
      <c r="B1025" s="15">
        <v>64958.0</v>
      </c>
      <c r="C1025" s="15" t="s">
        <v>5559</v>
      </c>
      <c r="D1025" s="15">
        <v>14940.0</v>
      </c>
      <c r="E1025" s="15" t="s">
        <v>1548</v>
      </c>
      <c r="F1025" s="15" t="s">
        <v>1926</v>
      </c>
      <c r="G1025" s="7">
        <v>8.708</v>
      </c>
      <c r="H1025" s="15" t="s">
        <v>5561</v>
      </c>
      <c r="I1025" s="15" t="s">
        <v>1628</v>
      </c>
      <c r="J1025" s="15" t="s">
        <v>5562</v>
      </c>
      <c r="K1025" s="15">
        <v>5.0</v>
      </c>
      <c r="L1025" s="15">
        <v>5.0</v>
      </c>
      <c r="M1025" s="40">
        <v>35005.0</v>
      </c>
      <c r="N1025" s="40">
        <v>39645.0</v>
      </c>
      <c r="O1025" s="15" t="s">
        <v>1554</v>
      </c>
      <c r="Q1025" s="7"/>
    </row>
    <row r="1026">
      <c r="A1026" s="39" t="s">
        <v>5563</v>
      </c>
      <c r="B1026" s="15">
        <v>104581.0</v>
      </c>
      <c r="C1026" s="15" t="s">
        <v>5564</v>
      </c>
      <c r="D1026" s="15">
        <v>14941.0</v>
      </c>
      <c r="E1026" s="15" t="s">
        <v>1638</v>
      </c>
      <c r="F1026" s="15" t="s">
        <v>1863</v>
      </c>
      <c r="G1026" s="7">
        <v>18.445</v>
      </c>
      <c r="H1026" s="15" t="s">
        <v>5565</v>
      </c>
      <c r="I1026" s="15" t="s">
        <v>1751</v>
      </c>
      <c r="J1026" s="15" t="s">
        <v>5566</v>
      </c>
      <c r="K1026" s="15">
        <v>10.0</v>
      </c>
      <c r="L1026" s="15">
        <v>10.0</v>
      </c>
      <c r="M1026" s="41">
        <v>36854.0</v>
      </c>
      <c r="N1026" s="40">
        <v>40742.0</v>
      </c>
      <c r="O1026" s="15" t="s">
        <v>1554</v>
      </c>
      <c r="Q1026" s="7"/>
    </row>
    <row r="1027">
      <c r="A1027" s="39" t="s">
        <v>5567</v>
      </c>
      <c r="B1027" s="15">
        <v>114921.0</v>
      </c>
      <c r="C1027" s="15" t="s">
        <v>5568</v>
      </c>
      <c r="D1027" s="15">
        <v>14942.0</v>
      </c>
      <c r="E1027" s="15" t="s">
        <v>1548</v>
      </c>
      <c r="F1027" s="15" t="s">
        <v>1911</v>
      </c>
      <c r="G1027" s="7">
        <v>9.591</v>
      </c>
      <c r="H1027" s="15" t="s">
        <v>3066</v>
      </c>
      <c r="I1027" s="15" t="s">
        <v>1628</v>
      </c>
      <c r="J1027" s="15" t="s">
        <v>5570</v>
      </c>
      <c r="K1027" s="15">
        <v>2.0</v>
      </c>
      <c r="L1027" s="15">
        <v>2.0</v>
      </c>
      <c r="M1027" s="41">
        <v>37971.0</v>
      </c>
      <c r="N1027" s="40">
        <v>42045.0</v>
      </c>
      <c r="O1027" s="15" t="s">
        <v>1554</v>
      </c>
      <c r="Q1027" s="7"/>
    </row>
    <row r="1028">
      <c r="A1028" s="39" t="s">
        <v>5571</v>
      </c>
      <c r="B1028" s="15">
        <v>118655.0</v>
      </c>
      <c r="C1028" s="15" t="s">
        <v>5572</v>
      </c>
      <c r="D1028" s="15">
        <v>14943.0</v>
      </c>
      <c r="E1028" s="15" t="s">
        <v>1548</v>
      </c>
      <c r="F1028" s="15" t="s">
        <v>5290</v>
      </c>
      <c r="G1028" s="7">
        <v>11.985</v>
      </c>
      <c r="H1028" s="15" t="s">
        <v>5573</v>
      </c>
      <c r="I1028" s="15" t="s">
        <v>1803</v>
      </c>
      <c r="J1028" s="15" t="s">
        <v>5574</v>
      </c>
      <c r="K1028" s="15">
        <v>4.0</v>
      </c>
      <c r="L1028" s="15">
        <v>4.0</v>
      </c>
      <c r="M1028" s="41">
        <v>37614.0</v>
      </c>
      <c r="N1028" s="40">
        <v>40148.0</v>
      </c>
      <c r="O1028" s="15" t="s">
        <v>1554</v>
      </c>
      <c r="Q1028" s="7"/>
    </row>
    <row r="1029">
      <c r="A1029" s="39" t="s">
        <v>5576</v>
      </c>
      <c r="B1029" s="15">
        <v>164750.0</v>
      </c>
      <c r="C1029" s="15" t="s">
        <v>5577</v>
      </c>
      <c r="D1029" s="15">
        <v>14945.0</v>
      </c>
      <c r="E1029" s="15" t="s">
        <v>1638</v>
      </c>
      <c r="F1029" s="15" t="s">
        <v>2508</v>
      </c>
      <c r="G1029" s="7">
        <v>12.481</v>
      </c>
      <c r="H1029" s="15" t="s">
        <v>5578</v>
      </c>
      <c r="I1029" s="15" t="s">
        <v>1552</v>
      </c>
      <c r="J1029" s="15" t="s">
        <v>5579</v>
      </c>
      <c r="K1029" s="15">
        <v>4.0</v>
      </c>
      <c r="L1029" s="15">
        <v>4.0</v>
      </c>
      <c r="M1029" s="40">
        <v>37436.0</v>
      </c>
      <c r="N1029" s="40">
        <v>40275.0</v>
      </c>
      <c r="O1029" s="15" t="s">
        <v>1554</v>
      </c>
      <c r="Q1029" s="7"/>
    </row>
    <row r="1030">
      <c r="A1030" s="39" t="s">
        <v>5581</v>
      </c>
      <c r="B1030" s="15">
        <v>1002918.0</v>
      </c>
      <c r="C1030" s="15" t="s">
        <v>5582</v>
      </c>
      <c r="D1030" s="15">
        <v>14946.0</v>
      </c>
      <c r="E1030" s="15" t="s">
        <v>1548</v>
      </c>
      <c r="F1030" s="15" t="s">
        <v>1776</v>
      </c>
      <c r="G1030" s="7">
        <v>8.126</v>
      </c>
      <c r="H1030" s="15" t="s">
        <v>2524</v>
      </c>
      <c r="I1030" s="15" t="s">
        <v>1686</v>
      </c>
      <c r="J1030" s="15" t="s">
        <v>5583</v>
      </c>
      <c r="K1030" s="15">
        <v>1.0</v>
      </c>
      <c r="L1030" s="15">
        <v>1.0</v>
      </c>
      <c r="M1030" s="41">
        <v>37590.0</v>
      </c>
      <c r="N1030" s="40">
        <v>40633.0</v>
      </c>
      <c r="O1030" s="15" t="s">
        <v>1554</v>
      </c>
      <c r="Q1030" s="7"/>
    </row>
    <row r="1031">
      <c r="A1031" s="39" t="s">
        <v>5584</v>
      </c>
      <c r="B1031" s="15">
        <v>194965.0</v>
      </c>
      <c r="C1031" s="15" t="s">
        <v>5585</v>
      </c>
      <c r="D1031" s="15">
        <v>14948.0</v>
      </c>
      <c r="E1031" s="15" t="s">
        <v>1548</v>
      </c>
      <c r="F1031" s="15" t="s">
        <v>1776</v>
      </c>
      <c r="G1031" s="7">
        <v>8.374</v>
      </c>
      <c r="H1031" s="15" t="s">
        <v>1634</v>
      </c>
      <c r="I1031" s="15" t="s">
        <v>1686</v>
      </c>
      <c r="J1031" s="15" t="s">
        <v>5586</v>
      </c>
      <c r="K1031" s="15">
        <v>1.0</v>
      </c>
      <c r="L1031" s="15">
        <v>1.0</v>
      </c>
      <c r="M1031" s="40">
        <v>37569.0</v>
      </c>
      <c r="N1031" s="41">
        <v>43050.0</v>
      </c>
      <c r="O1031" s="15" t="s">
        <v>1554</v>
      </c>
      <c r="Q1031" s="7"/>
    </row>
    <row r="1032">
      <c r="A1032" s="39" t="s">
        <v>5587</v>
      </c>
      <c r="B1032" s="15">
        <v>196375.0</v>
      </c>
      <c r="C1032" s="15" t="s">
        <v>5588</v>
      </c>
      <c r="D1032" s="15">
        <v>14949.0</v>
      </c>
      <c r="E1032" s="15" t="s">
        <v>1548</v>
      </c>
      <c r="F1032" s="15" t="s">
        <v>2900</v>
      </c>
      <c r="G1032" s="7">
        <v>3.644</v>
      </c>
      <c r="H1032" s="15" t="s">
        <v>5475</v>
      </c>
      <c r="I1032" s="15" t="s">
        <v>1628</v>
      </c>
      <c r="J1032" s="15" t="s">
        <v>5589</v>
      </c>
      <c r="K1032" s="15">
        <v>6.0</v>
      </c>
      <c r="L1032" s="15">
        <v>6.0</v>
      </c>
      <c r="M1032" s="40">
        <v>37592.0</v>
      </c>
      <c r="N1032" s="40">
        <v>40248.0</v>
      </c>
      <c r="O1032" s="15" t="s">
        <v>1554</v>
      </c>
      <c r="Q1032" s="7"/>
    </row>
    <row r="1033">
      <c r="A1033" s="39" t="s">
        <v>5591</v>
      </c>
      <c r="B1033" s="15">
        <v>216371.0</v>
      </c>
      <c r="C1033" s="15" t="s">
        <v>5592</v>
      </c>
      <c r="D1033" s="15">
        <v>14950.0</v>
      </c>
      <c r="E1033" s="15" t="s">
        <v>1638</v>
      </c>
      <c r="F1033" s="15" t="s">
        <v>1796</v>
      </c>
      <c r="G1033" s="7">
        <v>3.336</v>
      </c>
      <c r="H1033" s="15" t="s">
        <v>5593</v>
      </c>
      <c r="I1033" s="15" t="s">
        <v>1628</v>
      </c>
      <c r="J1033" s="15" t="s">
        <v>5594</v>
      </c>
      <c r="K1033" s="15">
        <v>2.0</v>
      </c>
      <c r="L1033" s="15">
        <v>2.0</v>
      </c>
      <c r="M1033" s="40">
        <v>37895.0</v>
      </c>
      <c r="N1033" s="40">
        <v>40148.0</v>
      </c>
      <c r="O1033" s="15" t="s">
        <v>1554</v>
      </c>
      <c r="Q1033" s="7"/>
    </row>
    <row r="1034">
      <c r="A1034" s="39" t="s">
        <v>5595</v>
      </c>
      <c r="B1034" s="15">
        <v>218667.0</v>
      </c>
      <c r="C1034" s="15" t="s">
        <v>5596</v>
      </c>
      <c r="D1034" s="15">
        <v>14951.0</v>
      </c>
      <c r="E1034" s="15" t="s">
        <v>1548</v>
      </c>
      <c r="F1034" s="15" t="s">
        <v>1578</v>
      </c>
      <c r="G1034" s="7">
        <v>5.784</v>
      </c>
      <c r="H1034" s="15" t="s">
        <v>4204</v>
      </c>
      <c r="I1034" s="15" t="s">
        <v>1552</v>
      </c>
      <c r="J1034" s="15" t="s">
        <v>5597</v>
      </c>
      <c r="K1034" s="15">
        <v>7.0</v>
      </c>
      <c r="L1034" s="15">
        <v>7.0</v>
      </c>
      <c r="M1034" s="40">
        <v>37650.0</v>
      </c>
      <c r="N1034" s="40">
        <v>40248.0</v>
      </c>
      <c r="O1034" s="15" t="s">
        <v>1554</v>
      </c>
      <c r="Q1034" s="7"/>
    </row>
    <row r="1035">
      <c r="A1035" s="39" t="s">
        <v>5598</v>
      </c>
      <c r="B1035" s="15">
        <v>240555.0</v>
      </c>
      <c r="C1035" s="15" t="s">
        <v>5599</v>
      </c>
      <c r="D1035" s="15">
        <v>14953.0</v>
      </c>
      <c r="E1035" s="15" t="s">
        <v>1548</v>
      </c>
      <c r="F1035" s="15" t="s">
        <v>2374</v>
      </c>
      <c r="G1035" s="7">
        <v>9.394</v>
      </c>
      <c r="H1035" s="15" t="s">
        <v>2877</v>
      </c>
      <c r="I1035" s="15" t="s">
        <v>1560</v>
      </c>
      <c r="J1035" s="15" t="s">
        <v>5601</v>
      </c>
      <c r="K1035" s="15">
        <v>1.0</v>
      </c>
      <c r="L1035" s="15">
        <v>1.0</v>
      </c>
      <c r="M1035" s="40">
        <v>37867.0</v>
      </c>
      <c r="N1035" s="40">
        <v>40248.0</v>
      </c>
      <c r="O1035" s="15" t="s">
        <v>1554</v>
      </c>
      <c r="Q1035" s="7"/>
    </row>
    <row r="1036">
      <c r="A1036" s="39" t="s">
        <v>5602</v>
      </c>
      <c r="B1036" s="15">
        <v>253701.0</v>
      </c>
      <c r="C1036" s="15" t="s">
        <v>5603</v>
      </c>
      <c r="D1036" s="15">
        <v>14955.0</v>
      </c>
      <c r="E1036" s="15" t="s">
        <v>1548</v>
      </c>
      <c r="F1036" s="15" t="s">
        <v>1633</v>
      </c>
      <c r="G1036" s="7">
        <v>6.624</v>
      </c>
      <c r="H1036" s="15" t="s">
        <v>2237</v>
      </c>
      <c r="I1036" s="15" t="s">
        <v>1628</v>
      </c>
      <c r="J1036" s="15" t="s">
        <v>5604</v>
      </c>
      <c r="K1036" s="15">
        <v>5.0</v>
      </c>
      <c r="L1036" s="15">
        <v>5.0</v>
      </c>
      <c r="M1036" s="40">
        <v>38100.0</v>
      </c>
      <c r="N1036" s="40">
        <v>40148.0</v>
      </c>
      <c r="O1036" s="15" t="s">
        <v>1554</v>
      </c>
      <c r="Q1036" s="7"/>
    </row>
    <row r="1037">
      <c r="A1037" s="39" t="s">
        <v>5605</v>
      </c>
      <c r="B1037" s="15">
        <v>253702.0</v>
      </c>
      <c r="C1037" s="15" t="s">
        <v>5606</v>
      </c>
      <c r="D1037" s="15">
        <v>14956.0</v>
      </c>
      <c r="E1037" s="15" t="s">
        <v>1548</v>
      </c>
      <c r="F1037" s="15" t="s">
        <v>1633</v>
      </c>
      <c r="G1037" s="7">
        <v>6.653</v>
      </c>
      <c r="H1037" s="15" t="s">
        <v>3836</v>
      </c>
      <c r="I1037" s="15" t="s">
        <v>1628</v>
      </c>
      <c r="J1037" s="15" t="s">
        <v>5607</v>
      </c>
      <c r="K1037" s="15">
        <v>5.0</v>
      </c>
      <c r="L1037" s="15">
        <v>5.0</v>
      </c>
      <c r="M1037" s="40">
        <v>38100.0</v>
      </c>
      <c r="N1037" s="40">
        <v>40148.0</v>
      </c>
      <c r="O1037" s="15" t="s">
        <v>1554</v>
      </c>
      <c r="Q1037" s="7"/>
    </row>
    <row r="1038">
      <c r="A1038" s="39" t="s">
        <v>5608</v>
      </c>
      <c r="B1038" s="15">
        <v>269213.0</v>
      </c>
      <c r="C1038" s="15" t="s">
        <v>5610</v>
      </c>
      <c r="D1038" s="15">
        <v>14958.0</v>
      </c>
      <c r="E1038" s="15" t="s">
        <v>1548</v>
      </c>
      <c r="F1038" s="15" t="s">
        <v>1926</v>
      </c>
      <c r="G1038" s="7">
        <v>8.13</v>
      </c>
      <c r="H1038" s="15" t="s">
        <v>5611</v>
      </c>
      <c r="I1038" s="15" t="s">
        <v>1628</v>
      </c>
      <c r="J1038" s="15" t="s">
        <v>5612</v>
      </c>
      <c r="K1038" s="15">
        <v>4.0</v>
      </c>
      <c r="L1038" s="15">
        <v>4.0</v>
      </c>
      <c r="M1038" s="40">
        <v>38139.0</v>
      </c>
      <c r="N1038" s="40">
        <v>40148.0</v>
      </c>
      <c r="O1038" s="15" t="s">
        <v>1554</v>
      </c>
      <c r="Q1038" s="7"/>
    </row>
    <row r="1039">
      <c r="A1039" s="39" t="s">
        <v>5613</v>
      </c>
      <c r="B1039" s="15">
        <v>274495.0</v>
      </c>
      <c r="C1039" s="15" t="s">
        <v>5614</v>
      </c>
      <c r="D1039" s="15">
        <v>14959.0</v>
      </c>
      <c r="E1039" s="15" t="s">
        <v>1548</v>
      </c>
      <c r="F1039" s="15" t="s">
        <v>5615</v>
      </c>
      <c r="G1039" s="7">
        <v>12.425</v>
      </c>
      <c r="H1039" s="15" t="s">
        <v>5616</v>
      </c>
      <c r="I1039" s="15" t="s">
        <v>1628</v>
      </c>
      <c r="J1039" s="15" t="s">
        <v>5617</v>
      </c>
      <c r="K1039" s="15">
        <v>5.0</v>
      </c>
      <c r="L1039" s="15">
        <v>5.0</v>
      </c>
      <c r="M1039" s="40">
        <v>38168.0</v>
      </c>
      <c r="N1039" s="40">
        <v>40148.0</v>
      </c>
      <c r="O1039" s="15" t="s">
        <v>1554</v>
      </c>
      <c r="Q1039" s="7"/>
    </row>
    <row r="1040">
      <c r="A1040" s="39" t="s">
        <v>5618</v>
      </c>
      <c r="B1040" s="15">
        <v>277944.0</v>
      </c>
      <c r="C1040" s="15" t="s">
        <v>5620</v>
      </c>
      <c r="D1040" s="15">
        <v>14960.0</v>
      </c>
      <c r="E1040" s="15" t="s">
        <v>1548</v>
      </c>
      <c r="F1040" s="15" t="s">
        <v>1684</v>
      </c>
      <c r="G1040" s="7">
        <v>27.553</v>
      </c>
      <c r="H1040" s="15" t="s">
        <v>3260</v>
      </c>
      <c r="I1040" s="15" t="s">
        <v>1567</v>
      </c>
      <c r="J1040" s="15" t="s">
        <v>5621</v>
      </c>
      <c r="K1040" s="15">
        <v>6.0</v>
      </c>
      <c r="L1040" s="15">
        <v>6.0</v>
      </c>
      <c r="M1040" s="40">
        <v>38063.0</v>
      </c>
      <c r="N1040" s="40">
        <v>42458.0</v>
      </c>
      <c r="O1040" s="15" t="s">
        <v>1554</v>
      </c>
      <c r="Q1040" s="7"/>
    </row>
    <row r="1041">
      <c r="A1041" s="39" t="s">
        <v>5622</v>
      </c>
      <c r="B1041" s="15">
        <v>12285.0</v>
      </c>
      <c r="C1041" s="15" t="s">
        <v>5623</v>
      </c>
      <c r="D1041" s="15">
        <v>14961.0</v>
      </c>
      <c r="E1041" s="15" t="s">
        <v>1548</v>
      </c>
      <c r="F1041" s="15" t="s">
        <v>1948</v>
      </c>
      <c r="G1041" s="7">
        <v>4.505</v>
      </c>
      <c r="H1041" s="15" t="s">
        <v>2954</v>
      </c>
      <c r="I1041" s="15" t="s">
        <v>1560</v>
      </c>
      <c r="J1041" s="15" t="s">
        <v>5624</v>
      </c>
      <c r="K1041" s="15">
        <v>5.0</v>
      </c>
      <c r="L1041" s="15">
        <v>5.0</v>
      </c>
      <c r="M1041" s="40">
        <v>31211.0</v>
      </c>
      <c r="N1041" s="40">
        <v>40579.0</v>
      </c>
      <c r="O1041" s="15" t="s">
        <v>1554</v>
      </c>
      <c r="Q1041" s="7"/>
    </row>
    <row r="1042">
      <c r="A1042" s="39" t="s">
        <v>5625</v>
      </c>
      <c r="B1042" s="15">
        <v>111470.0</v>
      </c>
      <c r="C1042" s="15" t="s">
        <v>5626</v>
      </c>
      <c r="D1042" s="15">
        <v>14962.0</v>
      </c>
      <c r="E1042" s="15" t="s">
        <v>1548</v>
      </c>
      <c r="F1042" s="15" t="s">
        <v>1578</v>
      </c>
      <c r="G1042" s="7">
        <v>4.113</v>
      </c>
      <c r="H1042" s="15" t="s">
        <v>5627</v>
      </c>
      <c r="I1042" s="15" t="s">
        <v>1552</v>
      </c>
      <c r="J1042" s="15" t="s">
        <v>5628</v>
      </c>
      <c r="K1042" s="15">
        <v>2.0</v>
      </c>
      <c r="L1042" s="15">
        <v>2.0</v>
      </c>
      <c r="M1042" s="40">
        <v>36529.0</v>
      </c>
      <c r="N1042" s="40">
        <v>39645.0</v>
      </c>
      <c r="O1042" s="15" t="s">
        <v>1554</v>
      </c>
      <c r="Q1042" s="7"/>
    </row>
    <row r="1043">
      <c r="A1043" s="39" t="s">
        <v>5630</v>
      </c>
      <c r="B1043" s="15">
        <v>11886.0</v>
      </c>
      <c r="C1043" s="15" t="s">
        <v>5631</v>
      </c>
      <c r="D1043" s="15">
        <v>14978.0</v>
      </c>
      <c r="E1043" s="15" t="s">
        <v>1916</v>
      </c>
      <c r="F1043" s="15" t="s">
        <v>2532</v>
      </c>
      <c r="G1043" s="7">
        <v>9.392</v>
      </c>
      <c r="H1043" s="15" t="s">
        <v>3246</v>
      </c>
      <c r="I1043" s="15" t="s">
        <v>1686</v>
      </c>
      <c r="J1043" s="15" t="s">
        <v>5632</v>
      </c>
      <c r="K1043" s="15">
        <v>4.0</v>
      </c>
      <c r="L1043" s="15">
        <v>4.0</v>
      </c>
      <c r="M1043" s="40">
        <v>35816.0</v>
      </c>
      <c r="N1043" s="40">
        <v>39790.0</v>
      </c>
      <c r="O1043" s="15" t="s">
        <v>1554</v>
      </c>
      <c r="Q1043" s="7"/>
    </row>
    <row r="1044">
      <c r="A1044" s="39" t="s">
        <v>5633</v>
      </c>
      <c r="B1044" s="15">
        <v>40279.0</v>
      </c>
      <c r="C1044" s="15" t="s">
        <v>5634</v>
      </c>
      <c r="D1044" s="15">
        <v>14979.0</v>
      </c>
      <c r="E1044" s="15" t="s">
        <v>1548</v>
      </c>
      <c r="F1044" s="15" t="s">
        <v>2900</v>
      </c>
      <c r="G1044" s="7">
        <v>4.326</v>
      </c>
      <c r="H1044" s="15">
        <v>50.0</v>
      </c>
      <c r="I1044" s="15" t="s">
        <v>1628</v>
      </c>
      <c r="J1044" s="15" t="s">
        <v>5635</v>
      </c>
      <c r="K1044" s="15">
        <v>6.0</v>
      </c>
      <c r="L1044" s="15">
        <v>6.0</v>
      </c>
      <c r="M1044" s="40">
        <v>35444.0</v>
      </c>
      <c r="N1044" s="40">
        <v>42887.0</v>
      </c>
      <c r="O1044" s="15" t="s">
        <v>1554</v>
      </c>
      <c r="Q1044" s="7"/>
    </row>
    <row r="1045">
      <c r="A1045" s="39" t="s">
        <v>5636</v>
      </c>
      <c r="B1045" s="15">
        <v>51680.0</v>
      </c>
      <c r="C1045" s="15" t="s">
        <v>5638</v>
      </c>
      <c r="D1045" s="15">
        <v>14980.0</v>
      </c>
      <c r="E1045" s="15" t="s">
        <v>1548</v>
      </c>
      <c r="F1045" s="15" t="s">
        <v>2615</v>
      </c>
      <c r="G1045" s="7">
        <v>6.311</v>
      </c>
      <c r="H1045" s="15">
        <v>44.0</v>
      </c>
      <c r="I1045" s="15" t="s">
        <v>1628</v>
      </c>
      <c r="J1045" s="15" t="s">
        <v>5639</v>
      </c>
      <c r="K1045" s="15">
        <v>4.0</v>
      </c>
      <c r="L1045" s="15">
        <v>4.0</v>
      </c>
      <c r="M1045" s="40">
        <v>37027.0</v>
      </c>
      <c r="N1045" s="40">
        <v>41110.0</v>
      </c>
      <c r="O1045" s="15" t="s">
        <v>1554</v>
      </c>
      <c r="Q1045" s="7"/>
    </row>
    <row r="1046">
      <c r="A1046" s="39" t="s">
        <v>5640</v>
      </c>
      <c r="B1046" s="15">
        <v>52274.0</v>
      </c>
      <c r="C1046" s="15" t="s">
        <v>5641</v>
      </c>
      <c r="D1046" s="15">
        <v>14981.0</v>
      </c>
      <c r="E1046" s="15" t="s">
        <v>1548</v>
      </c>
      <c r="F1046" s="15" t="s">
        <v>2900</v>
      </c>
      <c r="G1046" s="7">
        <v>3.879</v>
      </c>
      <c r="H1046" s="15" t="s">
        <v>4776</v>
      </c>
      <c r="I1046" s="15" t="s">
        <v>1628</v>
      </c>
      <c r="J1046" s="15" t="s">
        <v>5642</v>
      </c>
      <c r="K1046" s="15">
        <v>8.0</v>
      </c>
      <c r="L1046" s="15">
        <v>8.0</v>
      </c>
      <c r="M1046" s="41">
        <v>35396.0</v>
      </c>
      <c r="N1046" s="40">
        <v>39939.0</v>
      </c>
      <c r="O1046" s="15" t="s">
        <v>1554</v>
      </c>
      <c r="Q1046" s="7"/>
    </row>
    <row r="1047">
      <c r="A1047" s="39" t="s">
        <v>5643</v>
      </c>
      <c r="B1047" s="15">
        <v>85652.0</v>
      </c>
      <c r="C1047" s="15" t="s">
        <v>5644</v>
      </c>
      <c r="D1047" s="15">
        <v>14982.0</v>
      </c>
      <c r="E1047" s="15" t="s">
        <v>1548</v>
      </c>
      <c r="F1047" s="15" t="s">
        <v>5645</v>
      </c>
      <c r="G1047" s="7">
        <v>6.625</v>
      </c>
      <c r="H1047" s="15" t="s">
        <v>3246</v>
      </c>
      <c r="I1047" s="15" t="s">
        <v>1560</v>
      </c>
      <c r="J1047" s="15" t="s">
        <v>5646</v>
      </c>
      <c r="K1047" s="15">
        <v>3.0</v>
      </c>
      <c r="L1047" s="15">
        <v>2.0</v>
      </c>
      <c r="M1047" s="41">
        <v>36146.0</v>
      </c>
      <c r="N1047" s="40">
        <v>39645.0</v>
      </c>
      <c r="O1047" s="15" t="s">
        <v>1554</v>
      </c>
      <c r="Q1047" s="7"/>
    </row>
    <row r="1048">
      <c r="A1048" s="39" t="s">
        <v>5647</v>
      </c>
      <c r="B1048" s="15">
        <v>92444.0</v>
      </c>
      <c r="C1048" s="15" t="s">
        <v>5649</v>
      </c>
      <c r="D1048" s="15">
        <v>14983.0</v>
      </c>
      <c r="E1048" s="15" t="s">
        <v>1548</v>
      </c>
      <c r="F1048" s="15" t="s">
        <v>2788</v>
      </c>
      <c r="G1048" s="7">
        <v>9.491</v>
      </c>
      <c r="H1048" s="15" t="s">
        <v>2103</v>
      </c>
      <c r="I1048" s="15" t="s">
        <v>1560</v>
      </c>
      <c r="J1048" s="15" t="s">
        <v>5650</v>
      </c>
      <c r="K1048" s="15">
        <v>2.0</v>
      </c>
      <c r="L1048" s="15">
        <v>2.0</v>
      </c>
      <c r="M1048" s="40">
        <v>36783.0</v>
      </c>
      <c r="N1048" s="40">
        <v>42458.0</v>
      </c>
      <c r="O1048" s="15" t="s">
        <v>1554</v>
      </c>
      <c r="Q1048" s="7"/>
    </row>
    <row r="1049">
      <c r="A1049" s="39" t="s">
        <v>5651</v>
      </c>
      <c r="B1049" s="15">
        <v>122203.0</v>
      </c>
      <c r="C1049" s="15" t="s">
        <v>5652</v>
      </c>
      <c r="D1049" s="15">
        <v>14985.0</v>
      </c>
      <c r="E1049" s="15" t="s">
        <v>1548</v>
      </c>
      <c r="F1049" s="15" t="s">
        <v>4837</v>
      </c>
      <c r="G1049" s="7">
        <v>15.378</v>
      </c>
      <c r="H1049" s="15" t="s">
        <v>2648</v>
      </c>
      <c r="I1049" s="15" t="s">
        <v>1567</v>
      </c>
      <c r="J1049" s="15" t="s">
        <v>5653</v>
      </c>
      <c r="K1049" s="15">
        <v>8.0</v>
      </c>
      <c r="L1049" s="15">
        <v>8.0</v>
      </c>
      <c r="M1049" s="40">
        <v>37865.0</v>
      </c>
      <c r="N1049" s="40">
        <v>42237.0</v>
      </c>
      <c r="O1049" s="15" t="s">
        <v>1554</v>
      </c>
      <c r="Q1049" s="7"/>
    </row>
    <row r="1050">
      <c r="A1050" s="39" t="s">
        <v>5654</v>
      </c>
      <c r="B1050" s="15">
        <v>141860.0</v>
      </c>
      <c r="C1050" s="15" t="s">
        <v>5655</v>
      </c>
      <c r="D1050" s="15">
        <v>14986.0</v>
      </c>
      <c r="E1050" s="15" t="s">
        <v>2014</v>
      </c>
      <c r="F1050" s="15" t="s">
        <v>1578</v>
      </c>
      <c r="G1050" s="7">
        <v>1.114</v>
      </c>
      <c r="H1050" s="15" t="s">
        <v>1634</v>
      </c>
      <c r="I1050" s="15" t="s">
        <v>1628</v>
      </c>
      <c r="J1050" s="15" t="s">
        <v>5656</v>
      </c>
      <c r="K1050" s="15">
        <v>1.0</v>
      </c>
      <c r="L1050" s="15">
        <v>1.0</v>
      </c>
      <c r="M1050" s="40">
        <v>34088.0</v>
      </c>
      <c r="N1050" s="40">
        <v>39651.0</v>
      </c>
      <c r="O1050" s="15" t="s">
        <v>1554</v>
      </c>
      <c r="Q1050" s="7"/>
    </row>
    <row r="1051">
      <c r="A1051" s="39" t="s">
        <v>5657</v>
      </c>
      <c r="B1051" s="15">
        <v>150284.0</v>
      </c>
      <c r="C1051" s="15" t="s">
        <v>5659</v>
      </c>
      <c r="D1051" s="15">
        <v>14987.0</v>
      </c>
      <c r="E1051" s="15" t="s">
        <v>1548</v>
      </c>
      <c r="F1051" s="15" t="s">
        <v>1633</v>
      </c>
      <c r="G1051" s="7">
        <v>8.106</v>
      </c>
      <c r="H1051" s="15" t="s">
        <v>2686</v>
      </c>
      <c r="I1051" s="15" t="s">
        <v>1628</v>
      </c>
      <c r="J1051" s="15" t="s">
        <v>5660</v>
      </c>
      <c r="K1051" s="15">
        <v>6.0</v>
      </c>
      <c r="L1051" s="15">
        <v>6.0</v>
      </c>
      <c r="M1051" s="40">
        <v>35503.0</v>
      </c>
      <c r="N1051" s="40">
        <v>39790.0</v>
      </c>
      <c r="O1051" s="15" t="s">
        <v>1554</v>
      </c>
      <c r="Q1051" s="7"/>
    </row>
    <row r="1052">
      <c r="A1052" s="39" t="s">
        <v>5661</v>
      </c>
      <c r="B1052" s="15">
        <v>192022.0</v>
      </c>
      <c r="C1052" s="15" t="s">
        <v>5662</v>
      </c>
      <c r="D1052" s="15">
        <v>14988.0</v>
      </c>
      <c r="E1052" s="15" t="s">
        <v>2014</v>
      </c>
      <c r="F1052" s="15" t="s">
        <v>1578</v>
      </c>
      <c r="G1052" s="7">
        <v>0.457</v>
      </c>
      <c r="H1052" s="15" t="s">
        <v>5663</v>
      </c>
      <c r="I1052" s="15" t="s">
        <v>1628</v>
      </c>
      <c r="J1052" s="15" t="s">
        <v>5664</v>
      </c>
      <c r="K1052" s="15">
        <v>1.0</v>
      </c>
      <c r="L1052" s="15">
        <v>1.0</v>
      </c>
      <c r="M1052" s="40">
        <v>34088.0</v>
      </c>
      <c r="N1052" s="40">
        <v>40310.0</v>
      </c>
      <c r="O1052" s="15" t="s">
        <v>1554</v>
      </c>
      <c r="Q1052" s="7"/>
    </row>
    <row r="1053">
      <c r="A1053" s="39" t="s">
        <v>5665</v>
      </c>
      <c r="B1053" s="15">
        <v>192023.0</v>
      </c>
      <c r="C1053" s="15" t="s">
        <v>5666</v>
      </c>
      <c r="D1053" s="15">
        <v>14989.0</v>
      </c>
      <c r="E1053" s="15" t="s">
        <v>2014</v>
      </c>
      <c r="F1053" s="15" t="s">
        <v>1578</v>
      </c>
      <c r="G1053" s="7">
        <v>0.618</v>
      </c>
      <c r="H1053" s="15" t="s">
        <v>1551</v>
      </c>
      <c r="I1053" s="15" t="s">
        <v>1628</v>
      </c>
      <c r="J1053" s="15" t="s">
        <v>5668</v>
      </c>
      <c r="K1053" s="15">
        <v>1.0</v>
      </c>
      <c r="L1053" s="15">
        <v>1.0</v>
      </c>
      <c r="M1053" s="40">
        <v>34088.0</v>
      </c>
      <c r="N1053" s="40">
        <v>39645.0</v>
      </c>
      <c r="O1053" s="15" t="s">
        <v>1554</v>
      </c>
      <c r="Q1053" s="7"/>
    </row>
    <row r="1054">
      <c r="A1054" s="39" t="s">
        <v>5669</v>
      </c>
      <c r="B1054" s="15">
        <v>10995.0</v>
      </c>
      <c r="C1054" s="15" t="s">
        <v>5670</v>
      </c>
      <c r="D1054" s="15">
        <v>14990.0</v>
      </c>
      <c r="E1054" s="15" t="s">
        <v>1638</v>
      </c>
      <c r="F1054" s="15" t="s">
        <v>5304</v>
      </c>
      <c r="G1054" s="7">
        <v>5.898</v>
      </c>
      <c r="H1054" s="15" t="s">
        <v>5671</v>
      </c>
      <c r="I1054" s="15" t="s">
        <v>1686</v>
      </c>
      <c r="J1054" s="15" t="s">
        <v>5672</v>
      </c>
      <c r="K1054" s="15">
        <v>3.0</v>
      </c>
      <c r="L1054" s="15">
        <v>3.0</v>
      </c>
      <c r="M1054" s="40">
        <v>35188.0</v>
      </c>
      <c r="N1054" s="41">
        <v>42297.0</v>
      </c>
      <c r="O1054" s="15" t="s">
        <v>1554</v>
      </c>
      <c r="Q1054" s="7"/>
    </row>
    <row r="1055">
      <c r="A1055" s="39" t="s">
        <v>5673</v>
      </c>
      <c r="B1055" s="15">
        <v>11709.0</v>
      </c>
      <c r="C1055" s="15" t="s">
        <v>5674</v>
      </c>
      <c r="D1055" s="15">
        <v>14991.0</v>
      </c>
      <c r="E1055" s="15" t="s">
        <v>1916</v>
      </c>
      <c r="F1055" s="15" t="s">
        <v>2532</v>
      </c>
      <c r="G1055" s="7">
        <v>10.359</v>
      </c>
      <c r="H1055" s="15" t="s">
        <v>4401</v>
      </c>
      <c r="I1055" s="15" t="s">
        <v>1567</v>
      </c>
      <c r="J1055" s="15" t="s">
        <v>5675</v>
      </c>
      <c r="K1055" s="15">
        <v>8.0</v>
      </c>
      <c r="L1055" s="15">
        <v>9.0</v>
      </c>
      <c r="M1055" s="40">
        <v>34183.0</v>
      </c>
      <c r="N1055" s="40">
        <v>39925.0</v>
      </c>
      <c r="O1055" s="15" t="s">
        <v>1554</v>
      </c>
      <c r="Q1055" s="7"/>
    </row>
    <row r="1056">
      <c r="A1056" s="39" t="s">
        <v>5677</v>
      </c>
      <c r="B1056" s="15">
        <v>11986.0</v>
      </c>
      <c r="C1056" s="15" t="s">
        <v>5678</v>
      </c>
      <c r="D1056" s="15">
        <v>14993.0</v>
      </c>
      <c r="E1056" s="15" t="s">
        <v>1548</v>
      </c>
      <c r="F1056" s="15" t="s">
        <v>2900</v>
      </c>
      <c r="G1056" s="7">
        <v>4.003</v>
      </c>
      <c r="H1056" s="15" t="s">
        <v>3297</v>
      </c>
      <c r="I1056" s="15" t="s">
        <v>1628</v>
      </c>
      <c r="J1056" s="15" t="s">
        <v>5679</v>
      </c>
      <c r="K1056" s="15">
        <v>5.0</v>
      </c>
      <c r="L1056" s="15">
        <v>5.0</v>
      </c>
      <c r="M1056" s="40">
        <v>31440.0</v>
      </c>
      <c r="N1056" s="40">
        <v>42835.0</v>
      </c>
      <c r="O1056" s="15" t="s">
        <v>1554</v>
      </c>
      <c r="Q1056" s="7"/>
    </row>
    <row r="1057">
      <c r="A1057" s="39" t="s">
        <v>5680</v>
      </c>
      <c r="B1057" s="15">
        <v>12224.0</v>
      </c>
      <c r="C1057" s="15" t="s">
        <v>5681</v>
      </c>
      <c r="D1057" s="15">
        <v>14994.0</v>
      </c>
      <c r="E1057" s="15" t="s">
        <v>1548</v>
      </c>
      <c r="F1057" s="15" t="s">
        <v>1911</v>
      </c>
      <c r="G1057" s="7">
        <v>9.596</v>
      </c>
      <c r="H1057" s="15" t="s">
        <v>2049</v>
      </c>
      <c r="I1057" s="15" t="s">
        <v>1628</v>
      </c>
      <c r="J1057" s="15" t="s">
        <v>5682</v>
      </c>
      <c r="K1057" s="15">
        <v>2.0</v>
      </c>
      <c r="L1057" s="15">
        <v>2.0</v>
      </c>
      <c r="M1057" s="40">
        <v>37293.0</v>
      </c>
      <c r="N1057" s="40">
        <v>42045.0</v>
      </c>
      <c r="O1057" s="15" t="s">
        <v>1554</v>
      </c>
      <c r="Q1057" s="7"/>
    </row>
    <row r="1058">
      <c r="A1058" s="39" t="s">
        <v>5683</v>
      </c>
      <c r="B1058" s="15">
        <v>12542.0</v>
      </c>
      <c r="C1058" s="15" t="s">
        <v>5685</v>
      </c>
      <c r="D1058" s="15">
        <v>14995.0</v>
      </c>
      <c r="E1058" s="15" t="s">
        <v>1548</v>
      </c>
      <c r="F1058" s="15" t="s">
        <v>1801</v>
      </c>
      <c r="G1058" s="7">
        <v>10.787</v>
      </c>
      <c r="H1058" s="15" t="s">
        <v>2237</v>
      </c>
      <c r="I1058" s="15" t="s">
        <v>1803</v>
      </c>
      <c r="J1058" s="15" t="s">
        <v>5686</v>
      </c>
      <c r="K1058" s="15">
        <v>1.0</v>
      </c>
      <c r="L1058" s="15">
        <v>1.0</v>
      </c>
      <c r="M1058" s="40">
        <v>37841.0</v>
      </c>
      <c r="N1058" s="40">
        <v>40148.0</v>
      </c>
      <c r="O1058" s="15" t="s">
        <v>1554</v>
      </c>
      <c r="Q1058" s="7"/>
    </row>
    <row r="1059">
      <c r="A1059" s="39" t="s">
        <v>5687</v>
      </c>
      <c r="B1059" s="15">
        <v>112227.0</v>
      </c>
      <c r="C1059" s="15" t="s">
        <v>5688</v>
      </c>
      <c r="D1059" s="15">
        <v>14996.0</v>
      </c>
      <c r="E1059" s="15" t="s">
        <v>1548</v>
      </c>
      <c r="F1059" s="15" t="s">
        <v>1633</v>
      </c>
      <c r="G1059" s="7">
        <v>6.614</v>
      </c>
      <c r="H1059" s="15" t="s">
        <v>2263</v>
      </c>
      <c r="I1059" s="15" t="s">
        <v>1628</v>
      </c>
      <c r="J1059" s="15" t="s">
        <v>5689</v>
      </c>
      <c r="K1059" s="15">
        <v>7.0</v>
      </c>
      <c r="L1059" s="15">
        <v>7.0</v>
      </c>
      <c r="M1059" s="40">
        <v>37074.0</v>
      </c>
      <c r="N1059" s="40">
        <v>40248.0</v>
      </c>
      <c r="O1059" s="15" t="s">
        <v>1554</v>
      </c>
      <c r="Q1059" s="7"/>
    </row>
    <row r="1060">
      <c r="A1060" s="39" t="s">
        <v>5690</v>
      </c>
      <c r="B1060" s="15">
        <v>37124.0</v>
      </c>
      <c r="C1060" s="15" t="s">
        <v>5691</v>
      </c>
      <c r="D1060" s="15">
        <v>14998.0</v>
      </c>
      <c r="E1060" s="15" t="s">
        <v>1548</v>
      </c>
      <c r="F1060" s="15" t="s">
        <v>3181</v>
      </c>
      <c r="G1060" s="7">
        <v>11.826</v>
      </c>
      <c r="H1060" s="15">
        <v>50.0</v>
      </c>
      <c r="I1060" s="15" t="s">
        <v>1803</v>
      </c>
      <c r="J1060" s="15" t="s">
        <v>5692</v>
      </c>
      <c r="K1060" s="15">
        <v>3.0</v>
      </c>
      <c r="L1060" s="15">
        <v>3.0</v>
      </c>
      <c r="M1060" s="40">
        <v>37505.0</v>
      </c>
      <c r="N1060" s="40">
        <v>41087.0</v>
      </c>
      <c r="O1060" s="15" t="s">
        <v>1554</v>
      </c>
      <c r="Q1060" s="7"/>
    </row>
    <row r="1061">
      <c r="A1061" s="39" t="s">
        <v>5694</v>
      </c>
      <c r="B1061" s="15">
        <v>12187.0</v>
      </c>
      <c r="C1061" s="15" t="s">
        <v>5695</v>
      </c>
      <c r="D1061" s="15">
        <v>14999.0</v>
      </c>
      <c r="E1061" s="15" t="s">
        <v>1548</v>
      </c>
      <c r="F1061" s="15" t="s">
        <v>1633</v>
      </c>
      <c r="G1061" s="7">
        <v>5.966</v>
      </c>
      <c r="H1061" s="15" t="s">
        <v>2189</v>
      </c>
      <c r="I1061" s="15" t="s">
        <v>1628</v>
      </c>
      <c r="J1061" s="15" t="s">
        <v>5696</v>
      </c>
      <c r="K1061" s="15">
        <v>6.0</v>
      </c>
      <c r="L1061" s="15">
        <v>6.0</v>
      </c>
      <c r="M1061" s="40">
        <v>34088.0</v>
      </c>
      <c r="N1061" s="40">
        <v>42045.0</v>
      </c>
      <c r="O1061" s="15" t="s">
        <v>1554</v>
      </c>
      <c r="Q1061" s="7"/>
    </row>
    <row r="1062">
      <c r="A1062" s="39" t="s">
        <v>5697</v>
      </c>
      <c r="B1062" s="15">
        <v>11215.0</v>
      </c>
      <c r="C1062" s="15" t="s">
        <v>5698</v>
      </c>
      <c r="D1062" s="15">
        <v>15001.0</v>
      </c>
      <c r="E1062" s="15" t="s">
        <v>1548</v>
      </c>
      <c r="F1062" s="15" t="s">
        <v>4837</v>
      </c>
      <c r="G1062" s="7">
        <v>15.456</v>
      </c>
      <c r="H1062" s="15">
        <v>36.0</v>
      </c>
      <c r="I1062" s="15" t="s">
        <v>1567</v>
      </c>
      <c r="J1062" s="15" t="s">
        <v>5700</v>
      </c>
      <c r="K1062" s="15">
        <v>6.0</v>
      </c>
      <c r="L1062" s="15">
        <v>6.0</v>
      </c>
      <c r="M1062" s="40">
        <v>36552.0</v>
      </c>
      <c r="N1062" s="40">
        <v>39790.0</v>
      </c>
      <c r="O1062" s="15" t="s">
        <v>1554</v>
      </c>
      <c r="Q1062" s="7"/>
    </row>
    <row r="1063">
      <c r="A1063" s="39" t="s">
        <v>5701</v>
      </c>
      <c r="B1063" s="15">
        <v>11232.0</v>
      </c>
      <c r="C1063" s="15" t="s">
        <v>5702</v>
      </c>
      <c r="D1063" s="15">
        <v>15002.0</v>
      </c>
      <c r="E1063" s="15" t="s">
        <v>1548</v>
      </c>
      <c r="F1063" s="15" t="s">
        <v>4837</v>
      </c>
      <c r="G1063" s="7">
        <v>15.69</v>
      </c>
      <c r="H1063" s="15">
        <v>43.0</v>
      </c>
      <c r="I1063" s="15" t="s">
        <v>1567</v>
      </c>
      <c r="J1063" s="15" t="s">
        <v>5703</v>
      </c>
      <c r="K1063" s="15">
        <v>7.0</v>
      </c>
      <c r="L1063" s="15">
        <v>7.0</v>
      </c>
      <c r="M1063" s="40">
        <v>35997.0</v>
      </c>
      <c r="N1063" s="40">
        <v>42458.0</v>
      </c>
      <c r="O1063" s="15" t="s">
        <v>1554</v>
      </c>
      <c r="Q1063" s="7"/>
    </row>
    <row r="1064">
      <c r="A1064" s="39" t="s">
        <v>5705</v>
      </c>
      <c r="B1064" s="15">
        <v>11250.0</v>
      </c>
      <c r="C1064" s="15" t="s">
        <v>5706</v>
      </c>
      <c r="D1064" s="15">
        <v>15003.0</v>
      </c>
      <c r="E1064" s="15" t="s">
        <v>1548</v>
      </c>
      <c r="F1064" s="15" t="s">
        <v>4800</v>
      </c>
      <c r="G1064" s="7">
        <v>15.225</v>
      </c>
      <c r="H1064" s="15" t="s">
        <v>3809</v>
      </c>
      <c r="I1064" s="15" t="s">
        <v>5707</v>
      </c>
      <c r="J1064" s="15" t="s">
        <v>5708</v>
      </c>
      <c r="K1064" s="15">
        <v>10.0</v>
      </c>
      <c r="L1064" s="15">
        <v>11.0</v>
      </c>
      <c r="M1064" s="40">
        <v>35736.0</v>
      </c>
      <c r="N1064" s="41">
        <v>40147.0</v>
      </c>
      <c r="O1064" s="15" t="s">
        <v>1554</v>
      </c>
      <c r="Q1064" s="7"/>
    </row>
    <row r="1065">
      <c r="A1065" s="39" t="s">
        <v>5709</v>
      </c>
      <c r="B1065" s="15">
        <v>12814.0</v>
      </c>
      <c r="C1065" s="15" t="s">
        <v>5710</v>
      </c>
      <c r="D1065" s="15">
        <v>15004.0</v>
      </c>
      <c r="E1065" s="15" t="s">
        <v>1548</v>
      </c>
      <c r="F1065" s="15" t="s">
        <v>4800</v>
      </c>
      <c r="G1065" s="7">
        <v>15.191</v>
      </c>
      <c r="H1065" s="15" t="s">
        <v>2009</v>
      </c>
      <c r="I1065" s="15" t="s">
        <v>5707</v>
      </c>
      <c r="J1065" s="15" t="s">
        <v>5711</v>
      </c>
      <c r="K1065" s="15">
        <v>12.0</v>
      </c>
      <c r="L1065" s="15">
        <v>10.0</v>
      </c>
      <c r="M1065" s="40">
        <v>35517.0</v>
      </c>
      <c r="N1065" s="41">
        <v>40140.0</v>
      </c>
      <c r="O1065" s="15" t="s">
        <v>1554</v>
      </c>
      <c r="Q1065" s="7"/>
    </row>
    <row r="1066">
      <c r="A1066" s="39" t="s">
        <v>5712</v>
      </c>
      <c r="B1066" s="15">
        <v>186539.0</v>
      </c>
      <c r="C1066" s="15" t="s">
        <v>5713</v>
      </c>
      <c r="D1066" s="15">
        <v>15006.0</v>
      </c>
      <c r="E1066" s="15" t="s">
        <v>1548</v>
      </c>
      <c r="F1066" s="15" t="s">
        <v>2456</v>
      </c>
      <c r="G1066" s="7">
        <v>18.891</v>
      </c>
      <c r="H1066" s="15" t="s">
        <v>2141</v>
      </c>
      <c r="I1066" s="15" t="s">
        <v>1567</v>
      </c>
      <c r="J1066" s="15" t="s">
        <v>5715</v>
      </c>
      <c r="K1066" s="15">
        <v>7.0</v>
      </c>
      <c r="L1066" s="15">
        <v>9.0</v>
      </c>
      <c r="M1066" s="40">
        <v>37503.0</v>
      </c>
      <c r="N1066" s="40">
        <v>42485.0</v>
      </c>
      <c r="O1066" s="15" t="s">
        <v>1554</v>
      </c>
      <c r="Q1066" s="7"/>
    </row>
    <row r="1067">
      <c r="A1067" s="39" t="s">
        <v>5716</v>
      </c>
      <c r="B1067" s="15">
        <v>245101.0</v>
      </c>
      <c r="C1067" s="15" t="s">
        <v>5717</v>
      </c>
      <c r="D1067" s="15">
        <v>15007.0</v>
      </c>
      <c r="E1067" s="15" t="s">
        <v>1638</v>
      </c>
      <c r="F1067" s="15" t="s">
        <v>4692</v>
      </c>
      <c r="G1067" s="7">
        <v>9.149</v>
      </c>
      <c r="H1067" s="15" t="s">
        <v>2275</v>
      </c>
      <c r="I1067" s="15" t="s">
        <v>1552</v>
      </c>
      <c r="J1067" s="15" t="s">
        <v>5718</v>
      </c>
      <c r="K1067" s="15">
        <v>1.0</v>
      </c>
      <c r="L1067" s="15">
        <v>1.0</v>
      </c>
      <c r="M1067" s="41">
        <v>37925.0</v>
      </c>
      <c r="N1067" s="40">
        <v>40148.0</v>
      </c>
      <c r="O1067" s="15" t="s">
        <v>1554</v>
      </c>
      <c r="Q1067" s="7"/>
    </row>
    <row r="1068">
      <c r="A1068" s="39" t="s">
        <v>5719</v>
      </c>
      <c r="B1068" s="15">
        <v>11630.0</v>
      </c>
      <c r="C1068" s="15" t="s">
        <v>5720</v>
      </c>
      <c r="D1068" s="15">
        <v>15008.0</v>
      </c>
      <c r="E1068" s="15" t="s">
        <v>1548</v>
      </c>
      <c r="F1068" s="15" t="s">
        <v>1838</v>
      </c>
      <c r="G1068" s="7">
        <v>10.416</v>
      </c>
      <c r="H1068" s="15" t="s">
        <v>5721</v>
      </c>
      <c r="I1068" s="15" t="s">
        <v>1567</v>
      </c>
      <c r="J1068" s="15" t="s">
        <v>5722</v>
      </c>
      <c r="K1068" s="15">
        <v>4.0</v>
      </c>
      <c r="L1068" s="15">
        <v>4.0</v>
      </c>
      <c r="M1068" s="41">
        <v>31362.0</v>
      </c>
      <c r="N1068" s="40">
        <v>42992.0</v>
      </c>
      <c r="O1068" s="15" t="s">
        <v>1554</v>
      </c>
      <c r="Q1068" s="7"/>
    </row>
    <row r="1069">
      <c r="A1069" s="39" t="s">
        <v>5724</v>
      </c>
      <c r="B1069" s="15">
        <v>188141.0</v>
      </c>
      <c r="C1069" s="15" t="s">
        <v>5725</v>
      </c>
      <c r="D1069" s="15">
        <v>15009.0</v>
      </c>
      <c r="E1069" s="15" t="s">
        <v>1548</v>
      </c>
      <c r="F1069" s="15" t="s">
        <v>1926</v>
      </c>
      <c r="G1069" s="7">
        <v>8.363</v>
      </c>
      <c r="H1069" s="15" t="s">
        <v>5726</v>
      </c>
      <c r="I1069" s="15" t="s">
        <v>1628</v>
      </c>
      <c r="J1069" s="15" t="s">
        <v>5727</v>
      </c>
      <c r="K1069" s="15">
        <v>4.0</v>
      </c>
      <c r="L1069" s="15">
        <v>4.0</v>
      </c>
      <c r="M1069" s="40">
        <v>37496.0</v>
      </c>
      <c r="N1069" s="40">
        <v>42045.0</v>
      </c>
      <c r="O1069" s="15" t="s">
        <v>1554</v>
      </c>
      <c r="Q1069" s="7"/>
    </row>
    <row r="1070">
      <c r="A1070" s="39" t="s">
        <v>5728</v>
      </c>
      <c r="B1070" s="15">
        <v>284689.0</v>
      </c>
      <c r="C1070" s="15" t="s">
        <v>5729</v>
      </c>
      <c r="D1070" s="15">
        <v>15010.0</v>
      </c>
      <c r="E1070" s="15" t="s">
        <v>1638</v>
      </c>
      <c r="F1070" s="15" t="s">
        <v>1796</v>
      </c>
      <c r="G1070" s="7">
        <v>3.841</v>
      </c>
      <c r="H1070" s="15" t="s">
        <v>5730</v>
      </c>
      <c r="I1070" s="15" t="s">
        <v>1552</v>
      </c>
      <c r="J1070" s="15" t="s">
        <v>5731</v>
      </c>
      <c r="K1070" s="15">
        <v>2.0</v>
      </c>
      <c r="L1070" s="15">
        <v>2.0</v>
      </c>
      <c r="M1070" s="40">
        <v>38240.0</v>
      </c>
      <c r="N1070" s="40">
        <v>40578.0</v>
      </c>
      <c r="O1070" s="15" t="s">
        <v>1554</v>
      </c>
      <c r="Q1070" s="7"/>
    </row>
    <row r="1071">
      <c r="A1071" s="39" t="s">
        <v>5732</v>
      </c>
      <c r="B1071" s="15">
        <v>186540.0</v>
      </c>
      <c r="C1071" s="15" t="s">
        <v>5733</v>
      </c>
      <c r="D1071" s="15">
        <v>15012.0</v>
      </c>
      <c r="E1071" s="15" t="s">
        <v>1548</v>
      </c>
      <c r="F1071" s="15" t="s">
        <v>2456</v>
      </c>
      <c r="G1071" s="7">
        <v>18.875</v>
      </c>
      <c r="H1071" s="15" t="s">
        <v>1710</v>
      </c>
      <c r="I1071" s="15" t="s">
        <v>1567</v>
      </c>
      <c r="J1071" s="15" t="s">
        <v>5734</v>
      </c>
      <c r="K1071" s="15">
        <v>7.0</v>
      </c>
      <c r="L1071" s="15">
        <v>9.0</v>
      </c>
      <c r="M1071" s="40">
        <v>38255.0</v>
      </c>
      <c r="N1071" s="40">
        <v>42480.0</v>
      </c>
      <c r="O1071" s="15" t="s">
        <v>1554</v>
      </c>
      <c r="Q1071" s="7"/>
    </row>
    <row r="1072">
      <c r="A1072" s="39" t="s">
        <v>5736</v>
      </c>
      <c r="B1072" s="15">
        <v>12538.0</v>
      </c>
      <c r="C1072" s="15" t="s">
        <v>5737</v>
      </c>
      <c r="D1072" s="15">
        <v>15013.0</v>
      </c>
      <c r="E1072" s="15" t="s">
        <v>1548</v>
      </c>
      <c r="F1072" s="15" t="s">
        <v>1890</v>
      </c>
      <c r="G1072" s="7">
        <v>11.94</v>
      </c>
      <c r="H1072" s="15" t="s">
        <v>2107</v>
      </c>
      <c r="I1072" s="15" t="s">
        <v>1567</v>
      </c>
      <c r="J1072" s="15" t="s">
        <v>5738</v>
      </c>
      <c r="K1072" s="15">
        <v>5.0</v>
      </c>
      <c r="L1072" s="15">
        <v>5.0</v>
      </c>
      <c r="M1072" s="40">
        <v>35467.0</v>
      </c>
      <c r="N1072" s="40">
        <v>42045.0</v>
      </c>
      <c r="O1072" s="15" t="s">
        <v>1554</v>
      </c>
      <c r="Q1072" s="7"/>
    </row>
    <row r="1073">
      <c r="A1073" s="39" t="s">
        <v>5739</v>
      </c>
      <c r="B1073" s="15">
        <v>12173.0</v>
      </c>
      <c r="C1073" s="15" t="s">
        <v>5740</v>
      </c>
      <c r="D1073" s="15">
        <v>15015.0</v>
      </c>
      <c r="E1073" s="15" t="s">
        <v>1548</v>
      </c>
      <c r="F1073" s="15" t="s">
        <v>1786</v>
      </c>
      <c r="G1073" s="7">
        <v>8.394</v>
      </c>
      <c r="H1073" s="15" t="s">
        <v>1918</v>
      </c>
      <c r="I1073" s="15" t="s">
        <v>1628</v>
      </c>
      <c r="J1073" s="15" t="s">
        <v>5741</v>
      </c>
      <c r="K1073" s="15">
        <v>6.0</v>
      </c>
      <c r="L1073" s="15">
        <v>6.0</v>
      </c>
      <c r="M1073" s="40">
        <v>37886.0</v>
      </c>
      <c r="N1073" s="40">
        <v>40578.0</v>
      </c>
      <c r="O1073" s="15" t="s">
        <v>1554</v>
      </c>
      <c r="Q1073" s="7"/>
    </row>
    <row r="1074">
      <c r="A1074" s="39" t="s">
        <v>5743</v>
      </c>
      <c r="B1074" s="15">
        <v>196089.0</v>
      </c>
      <c r="C1074" s="15" t="s">
        <v>5744</v>
      </c>
      <c r="D1074" s="15">
        <v>15016.0</v>
      </c>
      <c r="E1074" s="15" t="s">
        <v>2014</v>
      </c>
      <c r="F1074" s="15" t="s">
        <v>1578</v>
      </c>
      <c r="G1074" s="7">
        <v>1.374</v>
      </c>
      <c r="H1074" s="15" t="s">
        <v>4401</v>
      </c>
      <c r="I1074" s="15" t="s">
        <v>1628</v>
      </c>
      <c r="J1074" s="15" t="s">
        <v>5745</v>
      </c>
      <c r="K1074" s="15">
        <v>1.0</v>
      </c>
      <c r="L1074" s="15">
        <v>1.0</v>
      </c>
      <c r="M1074" s="40">
        <v>32235.0</v>
      </c>
      <c r="N1074" s="40">
        <v>39790.0</v>
      </c>
      <c r="O1074" s="15" t="s">
        <v>1554</v>
      </c>
      <c r="Q1074" s="7"/>
    </row>
    <row r="1075">
      <c r="A1075" s="39" t="s">
        <v>5746</v>
      </c>
      <c r="B1075" s="15">
        <v>1147160.0</v>
      </c>
      <c r="C1075" s="15" t="s">
        <v>5747</v>
      </c>
      <c r="D1075" s="15">
        <v>15017.0</v>
      </c>
      <c r="E1075" s="15" t="s">
        <v>1548</v>
      </c>
      <c r="F1075" s="15" t="s">
        <v>1890</v>
      </c>
      <c r="G1075" s="7">
        <v>11.158</v>
      </c>
      <c r="H1075" s="15">
        <v>51.0</v>
      </c>
      <c r="I1075" s="15" t="s">
        <v>1686</v>
      </c>
      <c r="J1075" s="15" t="s">
        <v>5748</v>
      </c>
      <c r="K1075" s="15">
        <v>6.0</v>
      </c>
      <c r="L1075" s="15">
        <v>6.0</v>
      </c>
      <c r="M1075" s="40">
        <v>36320.0</v>
      </c>
      <c r="N1075" s="40">
        <v>41110.0</v>
      </c>
      <c r="O1075" s="15" t="s">
        <v>1554</v>
      </c>
      <c r="Q1075" s="7"/>
    </row>
    <row r="1076">
      <c r="A1076" s="39" t="s">
        <v>5750</v>
      </c>
      <c r="B1076" s="15">
        <v>29255.0</v>
      </c>
      <c r="C1076" s="15" t="s">
        <v>5751</v>
      </c>
      <c r="D1076" s="15">
        <v>15018.0</v>
      </c>
      <c r="E1076" s="15" t="s">
        <v>1638</v>
      </c>
      <c r="F1076" s="15" t="s">
        <v>1639</v>
      </c>
      <c r="G1076" s="7">
        <v>6.277</v>
      </c>
      <c r="H1076" s="15">
        <v>50.0</v>
      </c>
      <c r="I1076" s="15" t="s">
        <v>1740</v>
      </c>
      <c r="J1076" s="15" t="s">
        <v>5752</v>
      </c>
      <c r="K1076" s="15">
        <v>2.0</v>
      </c>
      <c r="L1076" s="15">
        <v>2.0</v>
      </c>
      <c r="M1076" s="40">
        <v>34185.0</v>
      </c>
      <c r="N1076" s="40">
        <v>42566.0</v>
      </c>
      <c r="O1076" s="15" t="s">
        <v>1554</v>
      </c>
      <c r="Q1076" s="7"/>
    </row>
    <row r="1077">
      <c r="A1077" s="39" t="s">
        <v>5753</v>
      </c>
      <c r="B1077" s="15">
        <v>55987.0</v>
      </c>
      <c r="C1077" s="15" t="s">
        <v>5754</v>
      </c>
      <c r="D1077" s="15">
        <v>15020.0</v>
      </c>
      <c r="E1077" s="15" t="s">
        <v>1548</v>
      </c>
      <c r="F1077" s="15" t="s">
        <v>5756</v>
      </c>
      <c r="G1077" s="7">
        <v>12.686</v>
      </c>
      <c r="H1077" s="15" t="s">
        <v>5757</v>
      </c>
      <c r="I1077" s="15" t="s">
        <v>1686</v>
      </c>
      <c r="J1077" s="15" t="s">
        <v>5758</v>
      </c>
      <c r="K1077" s="15">
        <v>10.0</v>
      </c>
      <c r="L1077" s="15">
        <v>10.0</v>
      </c>
      <c r="M1077" s="40">
        <v>37281.0</v>
      </c>
      <c r="N1077" s="40">
        <v>40275.0</v>
      </c>
      <c r="O1077" s="15" t="s">
        <v>1554</v>
      </c>
      <c r="Q1077" s="7"/>
    </row>
    <row r="1078">
      <c r="A1078" s="39" t="s">
        <v>5759</v>
      </c>
      <c r="B1078" s="15">
        <v>11191.0</v>
      </c>
      <c r="C1078" s="15" t="s">
        <v>5760</v>
      </c>
      <c r="D1078" s="15">
        <v>15023.0</v>
      </c>
      <c r="E1078" s="15" t="s">
        <v>1548</v>
      </c>
      <c r="F1078" s="15" t="s">
        <v>4837</v>
      </c>
      <c r="G1078" s="7">
        <v>15.384</v>
      </c>
      <c r="H1078" s="15" t="s">
        <v>3538</v>
      </c>
      <c r="I1078" s="15" t="s">
        <v>1567</v>
      </c>
      <c r="J1078" s="15" t="s">
        <v>5761</v>
      </c>
      <c r="K1078" s="15">
        <v>9.0</v>
      </c>
      <c r="L1078" s="15">
        <v>9.0</v>
      </c>
      <c r="M1078" s="40">
        <v>35812.0</v>
      </c>
      <c r="N1078" s="40">
        <v>42576.0</v>
      </c>
      <c r="O1078" s="15" t="s">
        <v>1554</v>
      </c>
      <c r="Q1078" s="7"/>
    </row>
    <row r="1079">
      <c r="A1079" s="39" t="s">
        <v>5762</v>
      </c>
      <c r="B1079" s="15">
        <v>11002.0</v>
      </c>
      <c r="C1079" s="15" t="s">
        <v>5763</v>
      </c>
      <c r="D1079" s="15">
        <v>15024.0</v>
      </c>
      <c r="E1079" s="15" t="s">
        <v>1638</v>
      </c>
      <c r="F1079" s="15" t="s">
        <v>5304</v>
      </c>
      <c r="G1079" s="7">
        <v>5.881</v>
      </c>
      <c r="H1079" s="15" t="s">
        <v>5765</v>
      </c>
      <c r="I1079" s="15" t="s">
        <v>1686</v>
      </c>
      <c r="J1079" s="15" t="s">
        <v>5766</v>
      </c>
      <c r="K1079" s="15">
        <v>3.0</v>
      </c>
      <c r="L1079" s="15">
        <v>3.0</v>
      </c>
      <c r="M1079" s="40">
        <v>33326.0</v>
      </c>
      <c r="N1079" s="41">
        <v>42297.0</v>
      </c>
      <c r="O1079" s="15" t="s">
        <v>1554</v>
      </c>
      <c r="Q1079" s="7"/>
    </row>
    <row r="1080">
      <c r="A1080" s="39" t="s">
        <v>5767</v>
      </c>
      <c r="B1080" s="15">
        <v>11619.0</v>
      </c>
      <c r="C1080" s="15" t="s">
        <v>5768</v>
      </c>
      <c r="D1080" s="15">
        <v>15028.0</v>
      </c>
      <c r="E1080" s="15" t="s">
        <v>1548</v>
      </c>
      <c r="F1080" s="15" t="s">
        <v>1838</v>
      </c>
      <c r="G1080" s="7">
        <v>10.525</v>
      </c>
      <c r="H1080" s="15" t="s">
        <v>5769</v>
      </c>
      <c r="I1080" s="15" t="s">
        <v>1567</v>
      </c>
      <c r="J1080" s="15" t="s">
        <v>5770</v>
      </c>
      <c r="K1080" s="15">
        <v>4.0</v>
      </c>
      <c r="L1080" s="15">
        <v>4.0</v>
      </c>
      <c r="M1080" s="40">
        <v>37857.0</v>
      </c>
      <c r="N1080" s="40">
        <v>40148.0</v>
      </c>
      <c r="O1080" s="15" t="s">
        <v>1554</v>
      </c>
      <c r="Q1080" s="7"/>
    </row>
    <row r="1081">
      <c r="A1081" s="39" t="s">
        <v>5772</v>
      </c>
      <c r="B1081" s="15">
        <v>11673.0</v>
      </c>
      <c r="C1081" s="15" t="s">
        <v>5773</v>
      </c>
      <c r="D1081" s="15">
        <v>15029.0</v>
      </c>
      <c r="E1081" s="15" t="s">
        <v>1916</v>
      </c>
      <c r="F1081" s="15" t="s">
        <v>2532</v>
      </c>
      <c r="G1081" s="7">
        <v>9.474</v>
      </c>
      <c r="H1081" s="15" t="s">
        <v>3309</v>
      </c>
      <c r="I1081" s="15" t="s">
        <v>1686</v>
      </c>
      <c r="J1081" s="15" t="s">
        <v>5774</v>
      </c>
      <c r="K1081" s="15">
        <v>5.0</v>
      </c>
      <c r="L1081" s="15">
        <v>6.0</v>
      </c>
      <c r="M1081" s="40">
        <v>34183.0</v>
      </c>
      <c r="N1081" s="40">
        <v>42576.0</v>
      </c>
      <c r="O1081" s="15" t="s">
        <v>1554</v>
      </c>
      <c r="Q1081" s="7"/>
    </row>
    <row r="1082">
      <c r="A1082" s="39" t="s">
        <v>5775</v>
      </c>
      <c r="B1082" s="15">
        <v>31721.0</v>
      </c>
      <c r="C1082" s="15" t="s">
        <v>5776</v>
      </c>
      <c r="D1082" s="15">
        <v>15033.0</v>
      </c>
      <c r="E1082" s="15" t="s">
        <v>1548</v>
      </c>
      <c r="F1082" s="15" t="s">
        <v>4986</v>
      </c>
      <c r="G1082" s="7">
        <v>15.914</v>
      </c>
      <c r="H1082" s="15" t="s">
        <v>5778</v>
      </c>
      <c r="I1082" s="15" t="s">
        <v>1628</v>
      </c>
      <c r="J1082" s="15" t="s">
        <v>5779</v>
      </c>
      <c r="K1082" s="15">
        <v>10.0</v>
      </c>
      <c r="L1082" s="15">
        <v>10.0</v>
      </c>
      <c r="M1082" s="40">
        <v>34944.0</v>
      </c>
      <c r="N1082" s="40">
        <v>39790.0</v>
      </c>
      <c r="O1082" s="15" t="s">
        <v>1554</v>
      </c>
      <c r="Q1082" s="7"/>
    </row>
    <row r="1083">
      <c r="A1083" s="39" t="s">
        <v>5780</v>
      </c>
      <c r="B1083" s="15">
        <v>224578.0</v>
      </c>
      <c r="C1083" s="15" t="s">
        <v>5781</v>
      </c>
      <c r="D1083" s="15">
        <v>15035.0</v>
      </c>
      <c r="E1083" s="15" t="s">
        <v>1548</v>
      </c>
      <c r="F1083" s="15" t="s">
        <v>1771</v>
      </c>
      <c r="G1083" s="7">
        <v>5.685</v>
      </c>
      <c r="H1083" s="15">
        <v>48.0</v>
      </c>
      <c r="I1083" s="15" t="s">
        <v>1628</v>
      </c>
      <c r="J1083" s="15" t="s">
        <v>5782</v>
      </c>
      <c r="K1083" s="15">
        <v>7.0</v>
      </c>
      <c r="L1083" s="15">
        <v>7.0</v>
      </c>
      <c r="M1083" s="40">
        <v>37706.0</v>
      </c>
      <c r="N1083" s="41">
        <v>42348.0</v>
      </c>
      <c r="O1083" s="15" t="s">
        <v>1554</v>
      </c>
      <c r="Q1083" s="7"/>
    </row>
    <row r="1084">
      <c r="A1084" s="39" t="s">
        <v>5784</v>
      </c>
      <c r="B1084" s="15">
        <v>300180.0</v>
      </c>
      <c r="C1084" s="15" t="s">
        <v>5785</v>
      </c>
      <c r="D1084" s="15">
        <v>15036.0</v>
      </c>
      <c r="E1084" s="15" t="s">
        <v>1548</v>
      </c>
      <c r="F1084" s="15" t="s">
        <v>1838</v>
      </c>
      <c r="G1084" s="7">
        <v>10.673</v>
      </c>
      <c r="H1084" s="15" t="s">
        <v>5786</v>
      </c>
      <c r="I1084" s="15" t="s">
        <v>1567</v>
      </c>
      <c r="J1084" s="15" t="s">
        <v>5787</v>
      </c>
      <c r="K1084" s="15">
        <v>4.0</v>
      </c>
      <c r="L1084" s="15">
        <v>4.0</v>
      </c>
      <c r="M1084" s="41">
        <v>38306.0</v>
      </c>
      <c r="N1084" s="41">
        <v>42297.0</v>
      </c>
      <c r="O1084" s="15" t="s">
        <v>1554</v>
      </c>
      <c r="Q1084" s="7"/>
    </row>
    <row r="1085">
      <c r="A1085" s="39" t="s">
        <v>5788</v>
      </c>
      <c r="B1085" s="15">
        <v>300175.0</v>
      </c>
      <c r="C1085" s="15" t="s">
        <v>5789</v>
      </c>
      <c r="D1085" s="15">
        <v>15037.0</v>
      </c>
      <c r="E1085" s="15" t="s">
        <v>1548</v>
      </c>
      <c r="F1085" s="15" t="s">
        <v>1838</v>
      </c>
      <c r="G1085" s="7">
        <v>10.698</v>
      </c>
      <c r="H1085" s="15" t="s">
        <v>5791</v>
      </c>
      <c r="I1085" s="15" t="s">
        <v>1567</v>
      </c>
      <c r="J1085" s="15" t="s">
        <v>5792</v>
      </c>
      <c r="K1085" s="15">
        <v>4.0</v>
      </c>
      <c r="L1085" s="15">
        <v>4.0</v>
      </c>
      <c r="M1085" s="41">
        <v>38306.0</v>
      </c>
      <c r="N1085" s="40">
        <v>40148.0</v>
      </c>
      <c r="O1085" s="15" t="s">
        <v>1554</v>
      </c>
      <c r="Q1085" s="7"/>
    </row>
    <row r="1086">
      <c r="A1086" s="39" t="s">
        <v>5793</v>
      </c>
      <c r="B1086" s="15">
        <v>263004.0</v>
      </c>
      <c r="C1086" s="15" t="s">
        <v>5795</v>
      </c>
      <c r="D1086" s="15">
        <v>15038.0</v>
      </c>
      <c r="E1086" s="15" t="s">
        <v>1548</v>
      </c>
      <c r="F1086" s="15" t="s">
        <v>1786</v>
      </c>
      <c r="G1086" s="7">
        <v>9.104</v>
      </c>
      <c r="H1086" s="15" t="s">
        <v>2023</v>
      </c>
      <c r="I1086" s="15" t="s">
        <v>1628</v>
      </c>
      <c r="J1086" s="15" t="s">
        <v>5796</v>
      </c>
      <c r="K1086" s="15">
        <v>6.0</v>
      </c>
      <c r="L1086" s="15">
        <v>6.0</v>
      </c>
      <c r="M1086" s="41">
        <v>38321.0</v>
      </c>
      <c r="N1086" s="40">
        <v>40185.0</v>
      </c>
      <c r="O1086" s="15" t="s">
        <v>1554</v>
      </c>
      <c r="Q1086" s="7"/>
    </row>
    <row r="1087">
      <c r="A1087" s="39" t="s">
        <v>5797</v>
      </c>
      <c r="B1087" s="15">
        <v>686983.0</v>
      </c>
      <c r="C1087" s="15" t="s">
        <v>5798</v>
      </c>
      <c r="D1087" s="15">
        <v>15039.0</v>
      </c>
      <c r="E1087" s="15" t="s">
        <v>1548</v>
      </c>
      <c r="F1087" s="15" t="s">
        <v>1776</v>
      </c>
      <c r="G1087" s="7">
        <v>8.289</v>
      </c>
      <c r="H1087" s="15" t="s">
        <v>2005</v>
      </c>
      <c r="I1087" s="15" t="s">
        <v>1686</v>
      </c>
      <c r="J1087" s="15" t="s">
        <v>5799</v>
      </c>
      <c r="K1087" s="15">
        <v>1.0</v>
      </c>
      <c r="L1087" s="15">
        <v>1.0</v>
      </c>
      <c r="M1087" s="40">
        <v>38231.0</v>
      </c>
      <c r="N1087" s="41">
        <v>40171.0</v>
      </c>
      <c r="O1087" s="15" t="s">
        <v>1554</v>
      </c>
      <c r="Q1087" s="7"/>
    </row>
    <row r="1088">
      <c r="A1088" s="39" t="s">
        <v>5800</v>
      </c>
      <c r="B1088" s="15">
        <v>271257.0</v>
      </c>
      <c r="C1088" s="15" t="s">
        <v>5801</v>
      </c>
      <c r="D1088" s="15">
        <v>15041.0</v>
      </c>
      <c r="E1088" s="15" t="s">
        <v>1638</v>
      </c>
      <c r="F1088" s="15" t="s">
        <v>1639</v>
      </c>
      <c r="G1088" s="7">
        <v>5.359</v>
      </c>
      <c r="H1088" s="15" t="s">
        <v>1566</v>
      </c>
      <c r="I1088" s="15" t="s">
        <v>1552</v>
      </c>
      <c r="J1088" s="15" t="s">
        <v>5803</v>
      </c>
      <c r="K1088" s="15">
        <v>2.0</v>
      </c>
      <c r="L1088" s="15">
        <v>2.0</v>
      </c>
      <c r="M1088" s="41">
        <v>38273.0</v>
      </c>
      <c r="N1088" s="40">
        <v>39654.0</v>
      </c>
      <c r="O1088" s="15" t="s">
        <v>1554</v>
      </c>
      <c r="Q1088" s="7"/>
    </row>
    <row r="1089">
      <c r="A1089" s="39" t="s">
        <v>5804</v>
      </c>
      <c r="B1089" s="15">
        <v>294369.0</v>
      </c>
      <c r="C1089" s="15" t="s">
        <v>5805</v>
      </c>
      <c r="D1089" s="15">
        <v>15042.0</v>
      </c>
      <c r="E1089" s="15" t="s">
        <v>1548</v>
      </c>
      <c r="F1089" s="15" t="s">
        <v>2788</v>
      </c>
      <c r="G1089" s="7">
        <v>8.026</v>
      </c>
      <c r="H1089" s="15" t="s">
        <v>5806</v>
      </c>
      <c r="I1089" s="15" t="s">
        <v>1560</v>
      </c>
      <c r="J1089" s="15" t="s">
        <v>5807</v>
      </c>
      <c r="K1089" s="15">
        <v>2.0</v>
      </c>
      <c r="L1089" s="15">
        <v>2.0</v>
      </c>
      <c r="M1089" s="40">
        <v>38259.0</v>
      </c>
      <c r="N1089" s="40">
        <v>39645.0</v>
      </c>
      <c r="O1089" s="15" t="s">
        <v>1554</v>
      </c>
      <c r="Q1089" s="7"/>
    </row>
    <row r="1090">
      <c r="A1090" s="39" t="s">
        <v>5808</v>
      </c>
      <c r="B1090" s="15">
        <v>11569.0</v>
      </c>
      <c r="C1090" s="15" t="s">
        <v>5809</v>
      </c>
      <c r="D1090" s="15">
        <v>15043.0</v>
      </c>
      <c r="E1090" s="15" t="s">
        <v>1548</v>
      </c>
      <c r="F1090" s="15" t="s">
        <v>5756</v>
      </c>
      <c r="G1090" s="7">
        <v>10.461</v>
      </c>
      <c r="H1090" s="15" t="s">
        <v>5811</v>
      </c>
      <c r="I1090" s="15" t="s">
        <v>1803</v>
      </c>
      <c r="J1090" s="15" t="s">
        <v>5812</v>
      </c>
      <c r="K1090" s="15">
        <v>7.0</v>
      </c>
      <c r="L1090" s="15">
        <v>7.0</v>
      </c>
      <c r="M1090" s="40">
        <v>33645.0</v>
      </c>
      <c r="N1090" s="40">
        <v>41873.0</v>
      </c>
      <c r="O1090" s="15" t="s">
        <v>1554</v>
      </c>
      <c r="Q1090" s="7"/>
    </row>
    <row r="1091">
      <c r="A1091" s="39" t="s">
        <v>5813</v>
      </c>
      <c r="B1091" s="15">
        <v>93830.0</v>
      </c>
      <c r="C1091" s="15" t="s">
        <v>5814</v>
      </c>
      <c r="D1091" s="15">
        <v>15044.0</v>
      </c>
      <c r="E1091" s="15" t="s">
        <v>1548</v>
      </c>
      <c r="F1091" s="15" t="s">
        <v>5815</v>
      </c>
      <c r="G1091" s="7">
        <v>11.85</v>
      </c>
      <c r="H1091" s="15" t="s">
        <v>5816</v>
      </c>
      <c r="I1091" s="15" t="s">
        <v>1567</v>
      </c>
      <c r="J1091" s="15" t="s">
        <v>5817</v>
      </c>
      <c r="K1091" s="15">
        <v>3.0</v>
      </c>
      <c r="L1091" s="15">
        <v>3.0</v>
      </c>
      <c r="M1091" s="40">
        <v>36440.0</v>
      </c>
      <c r="N1091" s="41">
        <v>40147.0</v>
      </c>
      <c r="O1091" s="15" t="s">
        <v>1554</v>
      </c>
      <c r="Q1091" s="7"/>
    </row>
    <row r="1092">
      <c r="A1092" s="39" t="s">
        <v>5818</v>
      </c>
      <c r="B1092" s="15">
        <v>146500.0</v>
      </c>
      <c r="C1092" s="15" t="s">
        <v>5820</v>
      </c>
      <c r="D1092" s="15">
        <v>15046.0</v>
      </c>
      <c r="E1092" s="15" t="s">
        <v>1548</v>
      </c>
      <c r="F1092" s="15" t="s">
        <v>1911</v>
      </c>
      <c r="G1092" s="7">
        <v>10.035</v>
      </c>
      <c r="H1092" s="15" t="s">
        <v>2820</v>
      </c>
      <c r="I1092" s="15" t="s">
        <v>1628</v>
      </c>
      <c r="J1092" s="15" t="s">
        <v>5821</v>
      </c>
      <c r="K1092" s="15">
        <v>2.0</v>
      </c>
      <c r="L1092" s="15">
        <v>2.0</v>
      </c>
      <c r="M1092" s="40">
        <v>38211.0</v>
      </c>
      <c r="N1092" s="40">
        <v>41065.0</v>
      </c>
      <c r="O1092" s="15" t="s">
        <v>1554</v>
      </c>
      <c r="Q1092" s="7"/>
    </row>
    <row r="1093">
      <c r="A1093" s="39" t="s">
        <v>5822</v>
      </c>
      <c r="B1093" s="15">
        <v>64286.0</v>
      </c>
      <c r="C1093" s="15" t="s">
        <v>5823</v>
      </c>
      <c r="D1093" s="15">
        <v>15047.0</v>
      </c>
      <c r="E1093" s="15" t="s">
        <v>1548</v>
      </c>
      <c r="F1093" s="15" t="s">
        <v>1801</v>
      </c>
      <c r="G1093" s="7">
        <v>11.066</v>
      </c>
      <c r="H1093" s="15">
        <v>51.0</v>
      </c>
      <c r="I1093" s="15" t="s">
        <v>1803</v>
      </c>
      <c r="J1093" s="15" t="s">
        <v>5824</v>
      </c>
      <c r="K1093" s="15">
        <v>2.0</v>
      </c>
      <c r="L1093" s="15">
        <v>2.0</v>
      </c>
      <c r="M1093" s="40">
        <v>38265.0</v>
      </c>
      <c r="N1093" s="41">
        <v>42732.0</v>
      </c>
      <c r="O1093" s="15" t="s">
        <v>1554</v>
      </c>
      <c r="Q1093" s="7"/>
    </row>
    <row r="1094">
      <c r="A1094" s="39" t="s">
        <v>5825</v>
      </c>
      <c r="B1094" s="15">
        <v>59300.0</v>
      </c>
      <c r="C1094" s="15" t="s">
        <v>5826</v>
      </c>
      <c r="D1094" s="15">
        <v>15049.0</v>
      </c>
      <c r="E1094" s="15" t="s">
        <v>1548</v>
      </c>
      <c r="F1094" s="15" t="s">
        <v>3181</v>
      </c>
      <c r="G1094" s="7">
        <v>11.597</v>
      </c>
      <c r="H1094" s="15" t="s">
        <v>4521</v>
      </c>
      <c r="I1094" s="15" t="s">
        <v>1751</v>
      </c>
      <c r="J1094" s="15" t="s">
        <v>5827</v>
      </c>
      <c r="K1094" s="15">
        <v>3.0</v>
      </c>
      <c r="L1094" s="15">
        <v>3.0</v>
      </c>
      <c r="M1094" s="40">
        <v>38259.0</v>
      </c>
      <c r="N1094" s="40">
        <v>41156.0</v>
      </c>
      <c r="O1094" s="15" t="s">
        <v>1554</v>
      </c>
      <c r="Q1094" s="7"/>
    </row>
    <row r="1095">
      <c r="A1095" s="39" t="s">
        <v>5828</v>
      </c>
      <c r="B1095" s="15">
        <v>11242.0</v>
      </c>
      <c r="C1095" s="15" t="s">
        <v>5830</v>
      </c>
      <c r="D1095" s="15">
        <v>15050.0</v>
      </c>
      <c r="E1095" s="15" t="s">
        <v>1548</v>
      </c>
      <c r="F1095" s="15" t="s">
        <v>4837</v>
      </c>
      <c r="G1095" s="7">
        <v>15.882</v>
      </c>
      <c r="H1095" s="15">
        <v>48.0</v>
      </c>
      <c r="I1095" s="15" t="s">
        <v>1567</v>
      </c>
      <c r="J1095" s="15" t="s">
        <v>5831</v>
      </c>
      <c r="K1095" s="15">
        <v>7.0</v>
      </c>
      <c r="L1095" s="15">
        <v>7.0</v>
      </c>
      <c r="M1095" s="40">
        <v>35221.0</v>
      </c>
      <c r="N1095" s="40">
        <v>40579.0</v>
      </c>
      <c r="O1095" s="15" t="s">
        <v>1554</v>
      </c>
      <c r="Q1095" s="7"/>
    </row>
    <row r="1096">
      <c r="A1096" s="39" t="s">
        <v>5832</v>
      </c>
      <c r="B1096" s="15">
        <v>12302.0</v>
      </c>
      <c r="C1096" s="15" t="s">
        <v>5833</v>
      </c>
      <c r="D1096" s="15">
        <v>15052.0</v>
      </c>
      <c r="E1096" s="15" t="s">
        <v>1548</v>
      </c>
      <c r="F1096" s="15" t="s">
        <v>1926</v>
      </c>
      <c r="G1096" s="7">
        <v>8.21</v>
      </c>
      <c r="H1096" s="15" t="s">
        <v>5834</v>
      </c>
      <c r="I1096" s="15" t="s">
        <v>1628</v>
      </c>
      <c r="J1096" s="15" t="s">
        <v>5835</v>
      </c>
      <c r="K1096" s="15">
        <v>4.0</v>
      </c>
      <c r="L1096" s="15">
        <v>4.0</v>
      </c>
      <c r="M1096" s="40">
        <v>30510.0</v>
      </c>
      <c r="N1096" s="40">
        <v>42045.0</v>
      </c>
      <c r="O1096" s="15" t="s">
        <v>1554</v>
      </c>
      <c r="Q1096" s="7"/>
    </row>
    <row r="1097">
      <c r="A1097" s="39" t="s">
        <v>5836</v>
      </c>
      <c r="B1097" s="15">
        <v>45709.0</v>
      </c>
      <c r="C1097" s="15" t="s">
        <v>5838</v>
      </c>
      <c r="D1097" s="15">
        <v>15054.0</v>
      </c>
      <c r="E1097" s="15" t="s">
        <v>1548</v>
      </c>
      <c r="F1097" s="15" t="s">
        <v>1838</v>
      </c>
      <c r="G1097" s="7">
        <v>10.499</v>
      </c>
      <c r="H1097" s="15" t="s">
        <v>5839</v>
      </c>
      <c r="I1097" s="15" t="s">
        <v>1567</v>
      </c>
      <c r="J1097" s="15" t="s">
        <v>5840</v>
      </c>
      <c r="K1097" s="15">
        <v>4.0</v>
      </c>
      <c r="L1097" s="15">
        <v>4.0</v>
      </c>
      <c r="M1097" s="40">
        <v>35283.0</v>
      </c>
      <c r="N1097" s="41">
        <v>40147.0</v>
      </c>
      <c r="O1097" s="15" t="s">
        <v>1554</v>
      </c>
      <c r="Q1097" s="7"/>
    </row>
    <row r="1098">
      <c r="A1098" s="39" t="s">
        <v>5841</v>
      </c>
      <c r="B1098" s="15">
        <v>11553.0</v>
      </c>
      <c r="C1098" s="15" t="s">
        <v>5842</v>
      </c>
      <c r="D1098" s="15">
        <v>15055.0</v>
      </c>
      <c r="E1098" s="15" t="s">
        <v>1548</v>
      </c>
      <c r="F1098" s="15" t="s">
        <v>5756</v>
      </c>
      <c r="G1098" s="7">
        <v>12.555</v>
      </c>
      <c r="H1098" s="15" t="s">
        <v>5843</v>
      </c>
      <c r="I1098" s="15" t="s">
        <v>1567</v>
      </c>
      <c r="J1098" s="15" t="s">
        <v>5844</v>
      </c>
      <c r="K1098" s="15">
        <v>9.0</v>
      </c>
      <c r="L1098" s="15">
        <v>9.0</v>
      </c>
      <c r="M1098" s="40">
        <v>38167.0</v>
      </c>
      <c r="N1098" s="40">
        <v>41873.0</v>
      </c>
      <c r="O1098" s="15" t="s">
        <v>1554</v>
      </c>
      <c r="Q1098" s="7"/>
    </row>
    <row r="1099">
      <c r="A1099" s="39" t="s">
        <v>5845</v>
      </c>
      <c r="B1099" s="15">
        <v>12166.0</v>
      </c>
      <c r="C1099" s="15" t="s">
        <v>5846</v>
      </c>
      <c r="D1099" s="15">
        <v>15056.0</v>
      </c>
      <c r="E1099" s="15" t="s">
        <v>1548</v>
      </c>
      <c r="F1099" s="15" t="s">
        <v>1786</v>
      </c>
      <c r="G1099" s="7">
        <v>8.741</v>
      </c>
      <c r="H1099" s="15" t="s">
        <v>3407</v>
      </c>
      <c r="I1099" s="15" t="s">
        <v>1628</v>
      </c>
      <c r="J1099" s="15" t="s">
        <v>5847</v>
      </c>
      <c r="K1099" s="15">
        <v>6.0</v>
      </c>
      <c r="L1099" s="15">
        <v>6.0</v>
      </c>
      <c r="M1099" s="40">
        <v>37999.0</v>
      </c>
      <c r="N1099" s="40">
        <v>40148.0</v>
      </c>
      <c r="O1099" s="15" t="s">
        <v>1554</v>
      </c>
      <c r="Q1099" s="7"/>
    </row>
    <row r="1100">
      <c r="A1100" s="39" t="s">
        <v>5849</v>
      </c>
      <c r="B1100" s="15">
        <v>66200.0</v>
      </c>
      <c r="C1100" s="15" t="s">
        <v>5850</v>
      </c>
      <c r="D1100" s="15">
        <v>15057.0</v>
      </c>
      <c r="E1100" s="15" t="s">
        <v>1548</v>
      </c>
      <c r="F1100" s="15" t="s">
        <v>1771</v>
      </c>
      <c r="G1100" s="7">
        <v>5.723</v>
      </c>
      <c r="H1100" s="15" t="s">
        <v>1782</v>
      </c>
      <c r="I1100" s="15" t="s">
        <v>1628</v>
      </c>
      <c r="J1100" s="15" t="s">
        <v>5851</v>
      </c>
      <c r="K1100" s="15">
        <v>7.0</v>
      </c>
      <c r="L1100" s="15">
        <v>7.0</v>
      </c>
      <c r="M1100" s="40">
        <v>38227.0</v>
      </c>
      <c r="N1100" s="41">
        <v>42348.0</v>
      </c>
      <c r="O1100" s="15" t="s">
        <v>1554</v>
      </c>
      <c r="Q1100" s="7"/>
    </row>
    <row r="1101">
      <c r="A1101" s="39" t="s">
        <v>5852</v>
      </c>
      <c r="B1101" s="15">
        <v>227507.0</v>
      </c>
      <c r="C1101" s="15" t="s">
        <v>5853</v>
      </c>
      <c r="D1101" s="15">
        <v>15058.0</v>
      </c>
      <c r="E1101" s="15" t="s">
        <v>1548</v>
      </c>
      <c r="F1101" s="15" t="s">
        <v>1790</v>
      </c>
      <c r="G1101" s="7">
        <v>16.044</v>
      </c>
      <c r="H1101" s="15" t="s">
        <v>5854</v>
      </c>
      <c r="I1101" s="15" t="s">
        <v>1628</v>
      </c>
      <c r="J1101" s="15" t="s">
        <v>5855</v>
      </c>
      <c r="K1101" s="15">
        <v>10.0</v>
      </c>
      <c r="L1101" s="15">
        <v>10.0</v>
      </c>
      <c r="M1101" s="40">
        <v>38139.0</v>
      </c>
      <c r="N1101" s="41">
        <v>40130.0</v>
      </c>
      <c r="O1101" s="15" t="s">
        <v>1554</v>
      </c>
      <c r="Q1101" s="7"/>
    </row>
    <row r="1102">
      <c r="A1102" s="39" t="s">
        <v>5857</v>
      </c>
      <c r="B1102" s="15">
        <v>73561.0</v>
      </c>
      <c r="C1102" s="15" t="s">
        <v>5858</v>
      </c>
      <c r="D1102" s="15">
        <v>15060.0</v>
      </c>
      <c r="E1102" s="15" t="s">
        <v>1548</v>
      </c>
      <c r="F1102" s="15" t="s">
        <v>5615</v>
      </c>
      <c r="G1102" s="7">
        <v>11.278</v>
      </c>
      <c r="H1102" s="15" t="s">
        <v>5859</v>
      </c>
      <c r="I1102" s="15" t="s">
        <v>1628</v>
      </c>
      <c r="J1102" s="15" t="s">
        <v>5860</v>
      </c>
      <c r="K1102" s="15">
        <v>4.0</v>
      </c>
      <c r="L1102" s="15">
        <v>4.0</v>
      </c>
      <c r="M1102" s="40">
        <v>38186.0</v>
      </c>
      <c r="N1102" s="41">
        <v>42297.0</v>
      </c>
      <c r="O1102" s="15" t="s">
        <v>1554</v>
      </c>
      <c r="Q1102" s="7"/>
    </row>
    <row r="1103">
      <c r="A1103" s="39" t="s">
        <v>5861</v>
      </c>
      <c r="B1103" s="15">
        <v>292052.0</v>
      </c>
      <c r="C1103" s="15" t="s">
        <v>5862</v>
      </c>
      <c r="D1103" s="15">
        <v>15061.0</v>
      </c>
      <c r="E1103" s="15" t="s">
        <v>1638</v>
      </c>
      <c r="F1103" s="15" t="s">
        <v>1796</v>
      </c>
      <c r="G1103" s="7">
        <v>3.663</v>
      </c>
      <c r="H1103" s="15" t="s">
        <v>5863</v>
      </c>
      <c r="I1103" s="15" t="s">
        <v>1628</v>
      </c>
      <c r="J1103" s="15" t="s">
        <v>5864</v>
      </c>
      <c r="K1103" s="15">
        <v>2.0</v>
      </c>
      <c r="L1103" s="15">
        <v>2.0</v>
      </c>
      <c r="M1103" s="40">
        <v>38244.0</v>
      </c>
      <c r="N1103" s="41">
        <v>42297.0</v>
      </c>
      <c r="O1103" s="15" t="s">
        <v>1554</v>
      </c>
      <c r="Q1103" s="7"/>
    </row>
    <row r="1104">
      <c r="A1104" s="39" t="s">
        <v>5865</v>
      </c>
      <c r="B1104" s="15">
        <v>154339.0</v>
      </c>
      <c r="C1104" s="15" t="s">
        <v>5866</v>
      </c>
      <c r="D1104" s="15">
        <v>15062.0</v>
      </c>
      <c r="E1104" s="15" t="s">
        <v>1548</v>
      </c>
      <c r="F1104" s="15" t="s">
        <v>1790</v>
      </c>
      <c r="G1104" s="7">
        <v>15.045</v>
      </c>
      <c r="H1104" s="15" t="s">
        <v>3070</v>
      </c>
      <c r="I1104" s="15" t="s">
        <v>1628</v>
      </c>
      <c r="J1104" s="15" t="s">
        <v>5868</v>
      </c>
      <c r="K1104" s="15">
        <v>10.0</v>
      </c>
      <c r="L1104" s="15">
        <v>10.0</v>
      </c>
      <c r="M1104" s="40">
        <v>37833.0</v>
      </c>
      <c r="N1104" s="40">
        <v>40926.0</v>
      </c>
      <c r="O1104" s="15" t="s">
        <v>1554</v>
      </c>
      <c r="Q1104" s="7"/>
    </row>
    <row r="1105">
      <c r="A1105" s="39" t="s">
        <v>5869</v>
      </c>
      <c r="B1105" s="15">
        <v>41763.0</v>
      </c>
      <c r="C1105" s="15" t="s">
        <v>5870</v>
      </c>
      <c r="D1105" s="15">
        <v>15063.0</v>
      </c>
      <c r="E1105" s="15" t="s">
        <v>1548</v>
      </c>
      <c r="F1105" s="15" t="s">
        <v>1911</v>
      </c>
      <c r="G1105" s="7">
        <v>9.54</v>
      </c>
      <c r="H1105" s="15" t="s">
        <v>2064</v>
      </c>
      <c r="I1105" s="15" t="s">
        <v>1628</v>
      </c>
      <c r="J1105" s="15" t="s">
        <v>5871</v>
      </c>
      <c r="K1105" s="15">
        <v>2.0</v>
      </c>
      <c r="L1105" s="15">
        <v>2.0</v>
      </c>
      <c r="M1105" s="40">
        <v>38153.0</v>
      </c>
      <c r="N1105" s="40">
        <v>42045.0</v>
      </c>
      <c r="O1105" s="15" t="s">
        <v>1554</v>
      </c>
      <c r="Q1105" s="7"/>
    </row>
    <row r="1106">
      <c r="A1106" s="39" t="s">
        <v>5872</v>
      </c>
      <c r="B1106" s="15">
        <v>41764.0</v>
      </c>
      <c r="C1106" s="15" t="s">
        <v>5873</v>
      </c>
      <c r="D1106" s="15">
        <v>15064.0</v>
      </c>
      <c r="E1106" s="15" t="s">
        <v>1548</v>
      </c>
      <c r="F1106" s="15" t="s">
        <v>1911</v>
      </c>
      <c r="G1106" s="7">
        <v>9.463</v>
      </c>
      <c r="H1106" s="15" t="s">
        <v>1818</v>
      </c>
      <c r="I1106" s="15" t="s">
        <v>1628</v>
      </c>
      <c r="J1106" s="15" t="s">
        <v>5874</v>
      </c>
      <c r="K1106" s="15">
        <v>2.0</v>
      </c>
      <c r="L1106" s="15">
        <v>2.0</v>
      </c>
      <c r="M1106" s="40">
        <v>38153.0</v>
      </c>
      <c r="N1106" s="40">
        <v>41065.0</v>
      </c>
      <c r="O1106" s="15" t="s">
        <v>1554</v>
      </c>
      <c r="Q1106" s="7"/>
    </row>
    <row r="1107">
      <c r="A1107" s="39" t="s">
        <v>5875</v>
      </c>
      <c r="B1107" s="15">
        <v>12144.0</v>
      </c>
      <c r="C1107" s="15" t="s">
        <v>5876</v>
      </c>
      <c r="D1107" s="15">
        <v>15066.0</v>
      </c>
      <c r="E1107" s="15" t="s">
        <v>1548</v>
      </c>
      <c r="F1107" s="15" t="s">
        <v>2900</v>
      </c>
      <c r="G1107" s="7">
        <v>4.733</v>
      </c>
      <c r="H1107" s="15">
        <v>50.0</v>
      </c>
      <c r="I1107" s="15" t="s">
        <v>1628</v>
      </c>
      <c r="J1107" s="15" t="s">
        <v>5878</v>
      </c>
      <c r="K1107" s="15">
        <v>5.0</v>
      </c>
      <c r="L1107" s="15">
        <v>5.0</v>
      </c>
      <c r="M1107" s="41">
        <v>32835.0</v>
      </c>
      <c r="N1107" s="40">
        <v>42045.0</v>
      </c>
      <c r="O1107" s="15" t="s">
        <v>1554</v>
      </c>
      <c r="Q1107" s="7"/>
    </row>
    <row r="1108">
      <c r="A1108" s="39" t="s">
        <v>5879</v>
      </c>
      <c r="B1108" s="15">
        <v>12294.0</v>
      </c>
      <c r="C1108" s="15" t="s">
        <v>5880</v>
      </c>
      <c r="D1108" s="15">
        <v>15067.0</v>
      </c>
      <c r="E1108" s="15" t="s">
        <v>1548</v>
      </c>
      <c r="F1108" s="15" t="s">
        <v>2615</v>
      </c>
      <c r="G1108" s="7">
        <v>10.447</v>
      </c>
      <c r="H1108" s="15" t="s">
        <v>5881</v>
      </c>
      <c r="I1108" s="15" t="s">
        <v>1628</v>
      </c>
      <c r="J1108" s="15" t="s">
        <v>5882</v>
      </c>
      <c r="K1108" s="15">
        <v>7.0</v>
      </c>
      <c r="L1108" s="15">
        <v>7.0</v>
      </c>
      <c r="M1108" s="40">
        <v>32588.0</v>
      </c>
      <c r="N1108" s="40">
        <v>42045.0</v>
      </c>
      <c r="O1108" s="15" t="s">
        <v>1554</v>
      </c>
      <c r="Q1108" s="7"/>
    </row>
    <row r="1109">
      <c r="A1109" s="39" t="s">
        <v>5883</v>
      </c>
      <c r="B1109" s="15">
        <v>12045.0</v>
      </c>
      <c r="C1109" s="15" t="s">
        <v>5884</v>
      </c>
      <c r="D1109" s="15">
        <v>15068.0</v>
      </c>
      <c r="E1109" s="15" t="s">
        <v>1548</v>
      </c>
      <c r="F1109" s="15" t="s">
        <v>1771</v>
      </c>
      <c r="G1109" s="7">
        <v>5.987</v>
      </c>
      <c r="H1109" s="15" t="s">
        <v>1772</v>
      </c>
      <c r="I1109" s="15" t="s">
        <v>1628</v>
      </c>
      <c r="J1109" s="15" t="s">
        <v>5885</v>
      </c>
      <c r="K1109" s="15">
        <v>8.0</v>
      </c>
      <c r="L1109" s="15">
        <v>8.0</v>
      </c>
      <c r="M1109" s="40">
        <v>33749.0</v>
      </c>
      <c r="N1109" s="40">
        <v>42575.0</v>
      </c>
      <c r="O1109" s="15" t="s">
        <v>1554</v>
      </c>
      <c r="Q1109" s="7"/>
    </row>
    <row r="1110">
      <c r="A1110" s="39" t="s">
        <v>5886</v>
      </c>
      <c r="B1110" s="15">
        <v>12188.0</v>
      </c>
      <c r="C1110" s="15" t="s">
        <v>5887</v>
      </c>
      <c r="D1110" s="15">
        <v>15069.0</v>
      </c>
      <c r="E1110" s="15" t="s">
        <v>1548</v>
      </c>
      <c r="F1110" s="15" t="s">
        <v>1633</v>
      </c>
      <c r="G1110" s="7">
        <v>5.845</v>
      </c>
      <c r="H1110" s="15" t="s">
        <v>2064</v>
      </c>
      <c r="I1110" s="15" t="s">
        <v>1628</v>
      </c>
      <c r="J1110" s="15" t="s">
        <v>5889</v>
      </c>
      <c r="K1110" s="15">
        <v>5.0</v>
      </c>
      <c r="L1110" s="15">
        <v>5.0</v>
      </c>
      <c r="M1110" s="40">
        <v>32365.0</v>
      </c>
      <c r="N1110" s="40">
        <v>39790.0</v>
      </c>
      <c r="O1110" s="15" t="s">
        <v>1554</v>
      </c>
      <c r="Q1110" s="7"/>
    </row>
    <row r="1111">
      <c r="A1111" s="39" t="s">
        <v>5890</v>
      </c>
      <c r="B1111" s="15">
        <v>12242.0</v>
      </c>
      <c r="C1111" s="15" t="s">
        <v>5891</v>
      </c>
      <c r="D1111" s="15">
        <v>15071.0</v>
      </c>
      <c r="E1111" s="15" t="s">
        <v>1548</v>
      </c>
      <c r="F1111" s="15" t="s">
        <v>2615</v>
      </c>
      <c r="G1111" s="7">
        <v>6.395</v>
      </c>
      <c r="H1111" s="15" t="s">
        <v>1685</v>
      </c>
      <c r="I1111" s="15" t="s">
        <v>1628</v>
      </c>
      <c r="J1111" s="15" t="s">
        <v>5892</v>
      </c>
      <c r="K1111" s="15">
        <v>6.0</v>
      </c>
      <c r="L1111" s="15">
        <v>6.0</v>
      </c>
      <c r="M1111" s="40">
        <v>30510.0</v>
      </c>
      <c r="N1111" s="40">
        <v>42045.0</v>
      </c>
      <c r="O1111" s="15" t="s">
        <v>1554</v>
      </c>
      <c r="Q1111" s="7"/>
    </row>
    <row r="1112">
      <c r="A1112" s="39" t="s">
        <v>5893</v>
      </c>
      <c r="B1112" s="15">
        <v>131083.0</v>
      </c>
      <c r="C1112" s="15" t="s">
        <v>5894</v>
      </c>
      <c r="D1112" s="15">
        <v>15072.0</v>
      </c>
      <c r="E1112" s="15" t="s">
        <v>1548</v>
      </c>
      <c r="F1112" s="15" t="s">
        <v>1771</v>
      </c>
      <c r="G1112" s="7">
        <v>5.641</v>
      </c>
      <c r="H1112" s="15" t="s">
        <v>2000</v>
      </c>
      <c r="I1112" s="15" t="s">
        <v>1628</v>
      </c>
      <c r="J1112" s="15" t="s">
        <v>5895</v>
      </c>
      <c r="K1112" s="15">
        <v>7.0</v>
      </c>
      <c r="L1112" s="15">
        <v>7.0</v>
      </c>
      <c r="M1112" s="41">
        <v>32464.0</v>
      </c>
      <c r="N1112" s="41">
        <v>42319.0</v>
      </c>
      <c r="O1112" s="15" t="s">
        <v>1554</v>
      </c>
      <c r="Q1112" s="7"/>
    </row>
    <row r="1113">
      <c r="A1113" s="39" t="s">
        <v>5896</v>
      </c>
      <c r="B1113" s="15">
        <v>28354.0</v>
      </c>
      <c r="C1113" s="15" t="s">
        <v>5898</v>
      </c>
      <c r="D1113" s="15">
        <v>15073.0</v>
      </c>
      <c r="E1113" s="15" t="s">
        <v>1548</v>
      </c>
      <c r="F1113" s="15" t="s">
        <v>1633</v>
      </c>
      <c r="G1113" s="7">
        <v>6.128</v>
      </c>
      <c r="H1113" s="15" t="s">
        <v>2057</v>
      </c>
      <c r="I1113" s="15" t="s">
        <v>1628</v>
      </c>
      <c r="J1113" s="15" t="s">
        <v>5899</v>
      </c>
      <c r="K1113" s="15">
        <v>5.0</v>
      </c>
      <c r="L1113" s="15">
        <v>5.0</v>
      </c>
      <c r="M1113" s="40">
        <v>34121.0</v>
      </c>
      <c r="N1113" s="40">
        <v>42045.0</v>
      </c>
      <c r="O1113" s="15" t="s">
        <v>1554</v>
      </c>
      <c r="Q1113" s="7"/>
    </row>
    <row r="1114">
      <c r="A1114" s="39" t="s">
        <v>5900</v>
      </c>
      <c r="B1114" s="15">
        <v>91753.0</v>
      </c>
      <c r="C1114" s="15" t="s">
        <v>5901</v>
      </c>
      <c r="D1114" s="15">
        <v>15074.0</v>
      </c>
      <c r="E1114" s="15" t="s">
        <v>1548</v>
      </c>
      <c r="F1114" s="15" t="s">
        <v>1771</v>
      </c>
      <c r="G1114" s="7">
        <v>5.669</v>
      </c>
      <c r="H1114" s="15" t="s">
        <v>1802</v>
      </c>
      <c r="I1114" s="15" t="s">
        <v>1628</v>
      </c>
      <c r="J1114" s="15" t="s">
        <v>5902</v>
      </c>
      <c r="K1114" s="15">
        <v>7.0</v>
      </c>
      <c r="L1114" s="15">
        <v>7.0</v>
      </c>
      <c r="M1114" s="40">
        <v>34347.0</v>
      </c>
      <c r="N1114" s="41">
        <v>42320.0</v>
      </c>
      <c r="O1114" s="15" t="s">
        <v>1554</v>
      </c>
      <c r="Q1114" s="7"/>
    </row>
    <row r="1115">
      <c r="A1115" s="39" t="s">
        <v>5903</v>
      </c>
      <c r="B1115" s="15">
        <v>12287.0</v>
      </c>
      <c r="C1115" s="15" t="s">
        <v>5905</v>
      </c>
      <c r="D1115" s="15">
        <v>15075.0</v>
      </c>
      <c r="E1115" s="15" t="s">
        <v>1548</v>
      </c>
      <c r="F1115" s="15" t="s">
        <v>1948</v>
      </c>
      <c r="G1115" s="7">
        <v>4.507</v>
      </c>
      <c r="H1115" s="15" t="s">
        <v>5906</v>
      </c>
      <c r="I1115" s="15" t="s">
        <v>1560</v>
      </c>
      <c r="J1115" s="15" t="s">
        <v>5907</v>
      </c>
      <c r="K1115" s="15">
        <v>3.0</v>
      </c>
      <c r="L1115" s="15">
        <v>4.0</v>
      </c>
      <c r="M1115" s="41">
        <v>32835.0</v>
      </c>
      <c r="N1115" s="40">
        <v>39790.0</v>
      </c>
      <c r="O1115" s="15" t="s">
        <v>1554</v>
      </c>
      <c r="Q1115" s="7"/>
    </row>
    <row r="1116">
      <c r="A1116" s="39" t="s">
        <v>5908</v>
      </c>
      <c r="B1116" s="15">
        <v>12023.0</v>
      </c>
      <c r="C1116" s="15" t="s">
        <v>5909</v>
      </c>
      <c r="D1116" s="15">
        <v>15076.0</v>
      </c>
      <c r="E1116" s="15" t="s">
        <v>1548</v>
      </c>
      <c r="F1116" s="15" t="s">
        <v>4850</v>
      </c>
      <c r="G1116" s="7">
        <v>3.588</v>
      </c>
      <c r="H1116" s="15" t="s">
        <v>5483</v>
      </c>
      <c r="I1116" s="15" t="s">
        <v>1586</v>
      </c>
      <c r="J1116" s="15" t="s">
        <v>5910</v>
      </c>
      <c r="K1116" s="15">
        <v>4.0</v>
      </c>
      <c r="L1116" s="15">
        <v>4.0</v>
      </c>
      <c r="M1116" s="40">
        <v>34543.0</v>
      </c>
      <c r="N1116" s="40">
        <v>42045.0</v>
      </c>
      <c r="O1116" s="15" t="s">
        <v>1554</v>
      </c>
      <c r="Q1116" s="7"/>
    </row>
    <row r="1117">
      <c r="A1117" s="39" t="s">
        <v>5911</v>
      </c>
      <c r="B1117" s="15">
        <v>39443.0</v>
      </c>
      <c r="C1117" s="15" t="s">
        <v>5912</v>
      </c>
      <c r="D1117" s="15">
        <v>15077.0</v>
      </c>
      <c r="E1117" s="15" t="s">
        <v>1548</v>
      </c>
      <c r="F1117" s="15" t="s">
        <v>2900</v>
      </c>
      <c r="G1117" s="7">
        <v>4.76</v>
      </c>
      <c r="H1117" s="15" t="s">
        <v>5368</v>
      </c>
      <c r="I1117" s="15" t="s">
        <v>1628</v>
      </c>
      <c r="J1117" s="15" t="s">
        <v>5913</v>
      </c>
      <c r="K1117" s="15">
        <v>5.0</v>
      </c>
      <c r="L1117" s="15">
        <v>5.0</v>
      </c>
      <c r="M1117" s="40">
        <v>34786.0</v>
      </c>
      <c r="N1117" s="40">
        <v>43012.0</v>
      </c>
      <c r="O1117" s="15" t="s">
        <v>1554</v>
      </c>
      <c r="Q1117" s="7"/>
    </row>
    <row r="1118">
      <c r="A1118" s="39" t="s">
        <v>5915</v>
      </c>
      <c r="B1118" s="15">
        <v>40979.0</v>
      </c>
      <c r="C1118" s="15" t="s">
        <v>5916</v>
      </c>
      <c r="D1118" s="15">
        <v>15078.0</v>
      </c>
      <c r="E1118" s="15" t="s">
        <v>1548</v>
      </c>
      <c r="F1118" s="15" t="s">
        <v>1578</v>
      </c>
      <c r="G1118" s="7">
        <v>4.082</v>
      </c>
      <c r="H1118" s="15" t="s">
        <v>1597</v>
      </c>
      <c r="I1118" s="15" t="s">
        <v>1628</v>
      </c>
      <c r="J1118" s="15" t="s">
        <v>5917</v>
      </c>
      <c r="K1118" s="15">
        <v>5.0</v>
      </c>
      <c r="L1118" s="15">
        <v>5.0</v>
      </c>
      <c r="M1118" s="40">
        <v>34879.0</v>
      </c>
      <c r="N1118" s="40">
        <v>42045.0</v>
      </c>
      <c r="O1118" s="15" t="s">
        <v>1554</v>
      </c>
      <c r="Q1118" s="7"/>
    </row>
    <row r="1119">
      <c r="A1119" s="39" t="s">
        <v>5918</v>
      </c>
      <c r="B1119" s="15">
        <v>156690.0</v>
      </c>
      <c r="C1119" s="15" t="s">
        <v>5919</v>
      </c>
      <c r="D1119" s="15">
        <v>15079.0</v>
      </c>
      <c r="E1119" s="15" t="s">
        <v>1548</v>
      </c>
      <c r="F1119" s="15" t="s">
        <v>1771</v>
      </c>
      <c r="G1119" s="7">
        <v>5.722</v>
      </c>
      <c r="H1119" s="15" t="s">
        <v>3823</v>
      </c>
      <c r="I1119" s="15" t="s">
        <v>1628</v>
      </c>
      <c r="J1119" s="15" t="s">
        <v>5920</v>
      </c>
      <c r="K1119" s="15">
        <v>6.0</v>
      </c>
      <c r="L1119" s="15">
        <v>6.0</v>
      </c>
      <c r="M1119" s="40">
        <v>34929.0</v>
      </c>
      <c r="N1119" s="40">
        <v>41311.0</v>
      </c>
      <c r="O1119" s="15" t="s">
        <v>1554</v>
      </c>
      <c r="Q1119" s="7"/>
    </row>
    <row r="1120">
      <c r="A1120" s="39" t="s">
        <v>5921</v>
      </c>
      <c r="B1120" s="15">
        <v>42882.0</v>
      </c>
      <c r="C1120" s="15" t="s">
        <v>5922</v>
      </c>
      <c r="D1120" s="15">
        <v>15080.0</v>
      </c>
      <c r="E1120" s="15" t="s">
        <v>1548</v>
      </c>
      <c r="F1120" s="15" t="s">
        <v>1786</v>
      </c>
      <c r="G1120" s="7">
        <v>7.383</v>
      </c>
      <c r="H1120" s="15" t="s">
        <v>2304</v>
      </c>
      <c r="I1120" s="15" t="s">
        <v>1628</v>
      </c>
      <c r="J1120" s="15" t="s">
        <v>5924</v>
      </c>
      <c r="K1120" s="15">
        <v>2.0</v>
      </c>
      <c r="L1120" s="15">
        <v>2.0</v>
      </c>
      <c r="M1120" s="40">
        <v>34975.0</v>
      </c>
      <c r="N1120" s="40">
        <v>39639.0</v>
      </c>
      <c r="O1120" s="15" t="s">
        <v>1554</v>
      </c>
      <c r="Q1120" s="7"/>
    </row>
    <row r="1121">
      <c r="A1121" s="39" t="s">
        <v>5925</v>
      </c>
      <c r="B1121" s="15">
        <v>146762.0</v>
      </c>
      <c r="C1121" s="15" t="s">
        <v>5926</v>
      </c>
      <c r="D1121" s="15">
        <v>15081.0</v>
      </c>
      <c r="E1121" s="15" t="s">
        <v>1548</v>
      </c>
      <c r="F1121" s="15" t="s">
        <v>2900</v>
      </c>
      <c r="G1121" s="7">
        <v>4.114</v>
      </c>
      <c r="H1121" s="15" t="s">
        <v>2351</v>
      </c>
      <c r="I1121" s="15" t="s">
        <v>1628</v>
      </c>
      <c r="J1121" s="15" t="s">
        <v>5927</v>
      </c>
      <c r="K1121" s="15">
        <v>4.0</v>
      </c>
      <c r="L1121" s="15">
        <v>4.0</v>
      </c>
      <c r="M1121" s="41">
        <v>34996.0</v>
      </c>
      <c r="N1121" s="40">
        <v>42045.0</v>
      </c>
      <c r="O1121" s="15" t="s">
        <v>1554</v>
      </c>
      <c r="Q1121" s="7"/>
    </row>
    <row r="1122">
      <c r="A1122" s="39" t="s">
        <v>5928</v>
      </c>
      <c r="B1122" s="15">
        <v>45224.0</v>
      </c>
      <c r="C1122" s="15" t="s">
        <v>5929</v>
      </c>
      <c r="D1122" s="15">
        <v>15082.0</v>
      </c>
      <c r="E1122" s="15" t="s">
        <v>1548</v>
      </c>
      <c r="F1122" s="15" t="s">
        <v>2900</v>
      </c>
      <c r="G1122" s="7">
        <v>3.662</v>
      </c>
      <c r="H1122" s="15" t="s">
        <v>1828</v>
      </c>
      <c r="I1122" s="15" t="s">
        <v>1628</v>
      </c>
      <c r="J1122" s="15" t="s">
        <v>5930</v>
      </c>
      <c r="K1122" s="15">
        <v>5.0</v>
      </c>
      <c r="L1122" s="15">
        <v>5.0</v>
      </c>
      <c r="M1122" s="40">
        <v>35081.0</v>
      </c>
      <c r="N1122" s="40">
        <v>40579.0</v>
      </c>
      <c r="O1122" s="15" t="s">
        <v>1554</v>
      </c>
      <c r="Q1122" s="7"/>
    </row>
    <row r="1123">
      <c r="A1123" s="39" t="s">
        <v>5932</v>
      </c>
      <c r="B1123" s="15">
        <v>35289.0</v>
      </c>
      <c r="C1123" s="15" t="s">
        <v>5933</v>
      </c>
      <c r="D1123" s="15">
        <v>15083.0</v>
      </c>
      <c r="E1123" s="15" t="s">
        <v>1548</v>
      </c>
      <c r="F1123" s="15" t="s">
        <v>1786</v>
      </c>
      <c r="G1123" s="7">
        <v>7.599</v>
      </c>
      <c r="H1123" s="15" t="s">
        <v>5934</v>
      </c>
      <c r="I1123" s="15" t="s">
        <v>1628</v>
      </c>
      <c r="J1123" s="15" t="s">
        <v>5935</v>
      </c>
      <c r="K1123" s="15">
        <v>5.0</v>
      </c>
      <c r="L1123" s="15">
        <v>5.0</v>
      </c>
      <c r="M1123" s="40">
        <v>34471.0</v>
      </c>
      <c r="N1123" s="40">
        <v>40579.0</v>
      </c>
      <c r="O1123" s="15" t="s">
        <v>1554</v>
      </c>
      <c r="Q1123" s="7"/>
    </row>
    <row r="1124">
      <c r="A1124" s="39" t="s">
        <v>5936</v>
      </c>
      <c r="B1124" s="15">
        <v>47669.0</v>
      </c>
      <c r="C1124" s="15" t="s">
        <v>5937</v>
      </c>
      <c r="D1124" s="15">
        <v>15084.0</v>
      </c>
      <c r="E1124" s="15" t="s">
        <v>1548</v>
      </c>
      <c r="F1124" s="15" t="s">
        <v>2900</v>
      </c>
      <c r="G1124" s="7">
        <v>3.699</v>
      </c>
      <c r="H1124" s="15">
        <v>48.0</v>
      </c>
      <c r="I1124" s="15" t="s">
        <v>1628</v>
      </c>
      <c r="J1124" s="15" t="s">
        <v>5938</v>
      </c>
      <c r="K1124" s="15">
        <v>5.0</v>
      </c>
      <c r="L1124" s="15">
        <v>5.0</v>
      </c>
      <c r="M1124" s="40">
        <v>35202.0</v>
      </c>
      <c r="N1124" s="40">
        <v>40579.0</v>
      </c>
      <c r="O1124" s="15" t="s">
        <v>1554</v>
      </c>
      <c r="Q1124" s="7"/>
    </row>
    <row r="1125">
      <c r="A1125" s="39" t="s">
        <v>5939</v>
      </c>
      <c r="B1125" s="15">
        <v>47736.0</v>
      </c>
      <c r="C1125" s="15" t="s">
        <v>5940</v>
      </c>
      <c r="D1125" s="15">
        <v>15085.0</v>
      </c>
      <c r="E1125" s="15" t="s">
        <v>1548</v>
      </c>
      <c r="F1125" s="15" t="s">
        <v>2900</v>
      </c>
      <c r="G1125" s="7">
        <v>4.201</v>
      </c>
      <c r="H1125" s="15" t="s">
        <v>1640</v>
      </c>
      <c r="I1125" s="15" t="s">
        <v>1628</v>
      </c>
      <c r="J1125" s="15" t="s">
        <v>5942</v>
      </c>
      <c r="K1125" s="15">
        <v>4.0</v>
      </c>
      <c r="L1125" s="15">
        <v>4.0</v>
      </c>
      <c r="M1125" s="40">
        <v>35228.0</v>
      </c>
      <c r="N1125" s="41">
        <v>42733.0</v>
      </c>
      <c r="O1125" s="15" t="s">
        <v>1554</v>
      </c>
      <c r="Q1125" s="7"/>
    </row>
    <row r="1126">
      <c r="A1126" s="39" t="s">
        <v>5943</v>
      </c>
      <c r="B1126" s="15">
        <v>35288.0</v>
      </c>
      <c r="C1126" s="15" t="s">
        <v>5944</v>
      </c>
      <c r="D1126" s="15">
        <v>15086.0</v>
      </c>
      <c r="E1126" s="15" t="s">
        <v>1548</v>
      </c>
      <c r="F1126" s="15" t="s">
        <v>1786</v>
      </c>
      <c r="G1126" s="7">
        <v>7.351</v>
      </c>
      <c r="H1126" s="15" t="s">
        <v>2000</v>
      </c>
      <c r="I1126" s="15" t="s">
        <v>1628</v>
      </c>
      <c r="J1126" s="15" t="s">
        <v>5945</v>
      </c>
      <c r="K1126" s="15">
        <v>5.0</v>
      </c>
      <c r="L1126" s="15">
        <v>5.0</v>
      </c>
      <c r="M1126" s="40">
        <v>34471.0</v>
      </c>
      <c r="N1126" s="40">
        <v>40579.0</v>
      </c>
      <c r="O1126" s="15" t="s">
        <v>1554</v>
      </c>
      <c r="Q1126" s="7"/>
    </row>
    <row r="1127">
      <c r="A1127" s="39" t="s">
        <v>5946</v>
      </c>
      <c r="B1127" s="15">
        <v>33756.0</v>
      </c>
      <c r="C1127" s="15" t="s">
        <v>5947</v>
      </c>
      <c r="D1127" s="15">
        <v>15087.0</v>
      </c>
      <c r="E1127" s="15" t="s">
        <v>1548</v>
      </c>
      <c r="F1127" s="15" t="s">
        <v>4829</v>
      </c>
      <c r="G1127" s="7">
        <v>7.442</v>
      </c>
      <c r="H1127" s="15" t="s">
        <v>3798</v>
      </c>
      <c r="I1127" s="15" t="s">
        <v>1686</v>
      </c>
      <c r="J1127" s="15" t="s">
        <v>5948</v>
      </c>
      <c r="K1127" s="15">
        <v>2.0</v>
      </c>
      <c r="L1127" s="15">
        <v>2.0</v>
      </c>
      <c r="M1127" s="40">
        <v>35325.0</v>
      </c>
      <c r="N1127" s="40">
        <v>39939.0</v>
      </c>
      <c r="O1127" s="15" t="s">
        <v>1554</v>
      </c>
      <c r="Q1127" s="7"/>
    </row>
    <row r="1128">
      <c r="A1128" s="39" t="s">
        <v>5950</v>
      </c>
      <c r="B1128" s="15">
        <v>60869.0</v>
      </c>
      <c r="C1128" s="15" t="s">
        <v>5951</v>
      </c>
      <c r="D1128" s="15">
        <v>15089.0</v>
      </c>
      <c r="E1128" s="15" t="s">
        <v>1548</v>
      </c>
      <c r="F1128" s="15" t="s">
        <v>1801</v>
      </c>
      <c r="G1128" s="7">
        <v>12.255</v>
      </c>
      <c r="H1128" s="15" t="s">
        <v>1792</v>
      </c>
      <c r="I1128" s="15" t="s">
        <v>1686</v>
      </c>
      <c r="J1128" s="15" t="s">
        <v>5952</v>
      </c>
      <c r="K1128" s="15">
        <v>1.0</v>
      </c>
      <c r="L1128" s="15">
        <v>1.0</v>
      </c>
      <c r="M1128" s="40">
        <v>35592.0</v>
      </c>
      <c r="N1128" s="40">
        <v>42045.0</v>
      </c>
      <c r="O1128" s="15" t="s">
        <v>1554</v>
      </c>
      <c r="Q1128" s="7"/>
    </row>
    <row r="1129">
      <c r="A1129" s="39" t="s">
        <v>5953</v>
      </c>
      <c r="B1129" s="15">
        <v>72539.0</v>
      </c>
      <c r="C1129" s="15" t="s">
        <v>5954</v>
      </c>
      <c r="D1129" s="15">
        <v>15090.0</v>
      </c>
      <c r="E1129" s="15" t="s">
        <v>1548</v>
      </c>
      <c r="F1129" s="15" t="s">
        <v>2032</v>
      </c>
      <c r="G1129" s="7">
        <v>6.673</v>
      </c>
      <c r="H1129" s="15" t="s">
        <v>5955</v>
      </c>
      <c r="I1129" s="15" t="s">
        <v>2034</v>
      </c>
      <c r="J1129" s="15" t="s">
        <v>5956</v>
      </c>
      <c r="K1129" s="15">
        <v>3.0</v>
      </c>
      <c r="L1129" s="15">
        <v>3.0</v>
      </c>
      <c r="M1129" s="40">
        <v>36008.0</v>
      </c>
      <c r="N1129" s="40">
        <v>42045.0</v>
      </c>
      <c r="O1129" s="15" t="s">
        <v>1554</v>
      </c>
      <c r="Q1129" s="7"/>
    </row>
    <row r="1130">
      <c r="A1130" s="39" t="s">
        <v>5958</v>
      </c>
      <c r="B1130" s="15">
        <v>71972.0</v>
      </c>
      <c r="C1130" s="15" t="s">
        <v>5959</v>
      </c>
      <c r="D1130" s="15">
        <v>15091.0</v>
      </c>
      <c r="E1130" s="15" t="s">
        <v>1548</v>
      </c>
      <c r="F1130" s="15" t="s">
        <v>2615</v>
      </c>
      <c r="G1130" s="7">
        <v>11.445</v>
      </c>
      <c r="H1130" s="15" t="s">
        <v>5960</v>
      </c>
      <c r="I1130" s="15" t="s">
        <v>1628</v>
      </c>
      <c r="J1130" s="15" t="s">
        <v>5961</v>
      </c>
      <c r="K1130" s="15">
        <v>9.0</v>
      </c>
      <c r="L1130" s="15">
        <v>9.0</v>
      </c>
      <c r="M1130" s="40">
        <v>36042.0</v>
      </c>
      <c r="N1130" s="40">
        <v>39639.0</v>
      </c>
      <c r="O1130" s="15" t="s">
        <v>1554</v>
      </c>
      <c r="Q1130" s="7"/>
    </row>
    <row r="1131">
      <c r="A1131" s="39" t="s">
        <v>5962</v>
      </c>
      <c r="B1131" s="15">
        <v>85506.0</v>
      </c>
      <c r="C1131" s="15" t="s">
        <v>5963</v>
      </c>
      <c r="D1131" s="15">
        <v>15092.0</v>
      </c>
      <c r="E1131" s="15" t="s">
        <v>1548</v>
      </c>
      <c r="F1131" s="15" t="s">
        <v>1776</v>
      </c>
      <c r="G1131" s="7">
        <v>7.117</v>
      </c>
      <c r="H1131" s="15" t="s">
        <v>3097</v>
      </c>
      <c r="I1131" s="15" t="s">
        <v>1686</v>
      </c>
      <c r="J1131" s="15" t="s">
        <v>5964</v>
      </c>
      <c r="K1131" s="15">
        <v>1.0</v>
      </c>
      <c r="L1131" s="15">
        <v>1.0</v>
      </c>
      <c r="M1131" s="40">
        <v>36255.0</v>
      </c>
      <c r="N1131" s="40">
        <v>39790.0</v>
      </c>
      <c r="O1131" s="15" t="s">
        <v>1554</v>
      </c>
      <c r="Q1131" s="7"/>
    </row>
    <row r="1132">
      <c r="A1132" s="39" t="s">
        <v>5965</v>
      </c>
      <c r="B1132" s="15">
        <v>45103.0</v>
      </c>
      <c r="C1132" s="15" t="s">
        <v>5966</v>
      </c>
      <c r="D1132" s="15">
        <v>15093.0</v>
      </c>
      <c r="E1132" s="15" t="s">
        <v>1548</v>
      </c>
      <c r="F1132" s="15" t="s">
        <v>2615</v>
      </c>
      <c r="G1132" s="7">
        <v>10.343</v>
      </c>
      <c r="H1132" s="15" t="s">
        <v>5967</v>
      </c>
      <c r="I1132" s="15" t="s">
        <v>1628</v>
      </c>
      <c r="J1132" s="15" t="s">
        <v>5968</v>
      </c>
      <c r="K1132" s="15">
        <v>6.0</v>
      </c>
      <c r="L1132" s="15">
        <v>6.0</v>
      </c>
      <c r="M1132" s="40">
        <v>36441.0</v>
      </c>
      <c r="N1132" s="41">
        <v>42297.0</v>
      </c>
      <c r="O1132" s="15" t="s">
        <v>1554</v>
      </c>
      <c r="Q1132" s="7"/>
    </row>
    <row r="1133">
      <c r="A1133" s="39" t="s">
        <v>5969</v>
      </c>
      <c r="B1133" s="15">
        <v>77344.0</v>
      </c>
      <c r="C1133" s="15" t="s">
        <v>5970</v>
      </c>
      <c r="D1133" s="15">
        <v>15094.0</v>
      </c>
      <c r="E1133" s="15" t="s">
        <v>1548</v>
      </c>
      <c r="F1133" s="15" t="s">
        <v>2900</v>
      </c>
      <c r="G1133" s="7">
        <v>4.014</v>
      </c>
      <c r="H1133" s="15" t="s">
        <v>4776</v>
      </c>
      <c r="I1133" s="15" t="s">
        <v>1628</v>
      </c>
      <c r="J1133" s="15" t="s">
        <v>5972</v>
      </c>
      <c r="K1133" s="15">
        <v>6.0</v>
      </c>
      <c r="L1133" s="15">
        <v>6.0</v>
      </c>
      <c r="M1133" s="40">
        <v>36602.0</v>
      </c>
      <c r="N1133" s="40">
        <v>38940.0</v>
      </c>
      <c r="O1133" s="15" t="s">
        <v>1554</v>
      </c>
      <c r="Q1133" s="7"/>
    </row>
    <row r="1134">
      <c r="A1134" s="39" t="s">
        <v>5973</v>
      </c>
      <c r="B1134" s="15">
        <v>1239577.0</v>
      </c>
      <c r="C1134" s="15" t="s">
        <v>5974</v>
      </c>
      <c r="D1134" s="15">
        <v>15095.0</v>
      </c>
      <c r="E1134" s="15" t="s">
        <v>1548</v>
      </c>
      <c r="F1134" s="15" t="s">
        <v>1848</v>
      </c>
      <c r="G1134" s="7">
        <v>6.44</v>
      </c>
      <c r="H1134" s="15" t="s">
        <v>2365</v>
      </c>
      <c r="I1134" s="15" t="s">
        <v>1686</v>
      </c>
      <c r="J1134" s="15" t="s">
        <v>5975</v>
      </c>
      <c r="K1134" s="15">
        <v>2.0</v>
      </c>
      <c r="L1134" s="15">
        <v>3.0</v>
      </c>
      <c r="M1134" s="41">
        <v>35783.0</v>
      </c>
      <c r="N1134" s="40">
        <v>39939.0</v>
      </c>
      <c r="O1134" s="15" t="s">
        <v>1554</v>
      </c>
      <c r="Q1134" s="7"/>
    </row>
    <row r="1135">
      <c r="A1135" s="39" t="s">
        <v>5976</v>
      </c>
      <c r="B1135" s="15">
        <v>32619.0</v>
      </c>
      <c r="C1135" s="15" t="s">
        <v>5977</v>
      </c>
      <c r="D1135" s="15">
        <v>15098.0</v>
      </c>
      <c r="E1135" s="15" t="s">
        <v>1548</v>
      </c>
      <c r="F1135" s="15" t="s">
        <v>1911</v>
      </c>
      <c r="G1135" s="7">
        <v>9.624</v>
      </c>
      <c r="H1135" s="15" t="s">
        <v>2597</v>
      </c>
      <c r="I1135" s="15" t="s">
        <v>1628</v>
      </c>
      <c r="J1135" s="15" t="s">
        <v>5979</v>
      </c>
      <c r="K1135" s="15">
        <v>2.0</v>
      </c>
      <c r="L1135" s="15">
        <v>2.0</v>
      </c>
      <c r="M1135" s="40">
        <v>37293.0</v>
      </c>
      <c r="N1135" s="40">
        <v>42045.0</v>
      </c>
      <c r="O1135" s="15" t="s">
        <v>1554</v>
      </c>
      <c r="Q1135" s="7"/>
    </row>
    <row r="1136">
      <c r="A1136" s="39" t="s">
        <v>5980</v>
      </c>
      <c r="B1136" s="15">
        <v>12138.0</v>
      </c>
      <c r="C1136" s="15" t="s">
        <v>5981</v>
      </c>
      <c r="D1136" s="15">
        <v>15117.0</v>
      </c>
      <c r="E1136" s="15" t="s">
        <v>1548</v>
      </c>
      <c r="F1136" s="15" t="s">
        <v>2900</v>
      </c>
      <c r="G1136" s="7">
        <v>4.437</v>
      </c>
      <c r="H1136" s="15" t="s">
        <v>3304</v>
      </c>
      <c r="I1136" s="15" t="s">
        <v>1628</v>
      </c>
      <c r="J1136" s="15" t="s">
        <v>5982</v>
      </c>
      <c r="K1136" s="15">
        <v>5.0</v>
      </c>
      <c r="L1136" s="15">
        <v>7.0</v>
      </c>
      <c r="M1136" s="40">
        <v>32695.0</v>
      </c>
      <c r="N1136" s="40">
        <v>42598.0</v>
      </c>
      <c r="O1136" s="15" t="s">
        <v>1554</v>
      </c>
      <c r="Q1136" s="7"/>
    </row>
    <row r="1137">
      <c r="A1137" s="39" t="s">
        <v>5983</v>
      </c>
      <c r="B1137" s="15">
        <v>64294.0</v>
      </c>
      <c r="C1137" s="15" t="s">
        <v>5984</v>
      </c>
      <c r="D1137" s="15">
        <v>15118.0</v>
      </c>
      <c r="E1137" s="15" t="s">
        <v>1548</v>
      </c>
      <c r="F1137" s="15" t="s">
        <v>1801</v>
      </c>
      <c r="G1137" s="7">
        <v>10.857</v>
      </c>
      <c r="H1137" s="15">
        <v>47.0</v>
      </c>
      <c r="I1137" s="15" t="s">
        <v>1803</v>
      </c>
      <c r="J1137" s="15" t="s">
        <v>5985</v>
      </c>
      <c r="K1137" s="15">
        <v>1.0</v>
      </c>
      <c r="L1137" s="15">
        <v>1.0</v>
      </c>
      <c r="M1137" s="40">
        <v>37819.0</v>
      </c>
      <c r="N1137" s="40">
        <v>38940.0</v>
      </c>
      <c r="O1137" s="15" t="s">
        <v>1554</v>
      </c>
      <c r="Q1137" s="7"/>
    </row>
    <row r="1138">
      <c r="A1138" s="39" t="s">
        <v>5987</v>
      </c>
      <c r="B1138" s="15">
        <v>28347.0</v>
      </c>
      <c r="C1138" s="15" t="s">
        <v>5988</v>
      </c>
      <c r="D1138" s="15">
        <v>15119.0</v>
      </c>
      <c r="E1138" s="15" t="s">
        <v>1548</v>
      </c>
      <c r="F1138" s="15" t="s">
        <v>1786</v>
      </c>
      <c r="G1138" s="7">
        <v>6.495</v>
      </c>
      <c r="H1138" s="15" t="s">
        <v>1912</v>
      </c>
      <c r="I1138" s="15" t="s">
        <v>1628</v>
      </c>
      <c r="J1138" s="15" t="s">
        <v>5989</v>
      </c>
      <c r="K1138" s="15">
        <v>2.0</v>
      </c>
      <c r="L1138" s="15">
        <v>2.0</v>
      </c>
      <c r="M1138" s="40">
        <v>34115.0</v>
      </c>
      <c r="N1138" s="40">
        <v>39790.0</v>
      </c>
      <c r="O1138" s="15" t="s">
        <v>1554</v>
      </c>
      <c r="Q1138" s="7"/>
    </row>
    <row r="1139">
      <c r="A1139" s="39" t="s">
        <v>5990</v>
      </c>
      <c r="B1139" s="15">
        <v>272751.0</v>
      </c>
      <c r="C1139" s="15" t="s">
        <v>5991</v>
      </c>
      <c r="D1139" s="15">
        <v>15120.0</v>
      </c>
      <c r="E1139" s="15" t="s">
        <v>1548</v>
      </c>
      <c r="F1139" s="15" t="s">
        <v>5645</v>
      </c>
      <c r="G1139" s="7">
        <v>7.982</v>
      </c>
      <c r="H1139" s="15" t="s">
        <v>5992</v>
      </c>
      <c r="I1139" s="15" t="s">
        <v>1560</v>
      </c>
      <c r="J1139" s="15" t="s">
        <v>5994</v>
      </c>
      <c r="K1139" s="15">
        <v>3.0</v>
      </c>
      <c r="L1139" s="15">
        <v>3.0</v>
      </c>
      <c r="M1139" s="40">
        <v>38129.0</v>
      </c>
      <c r="N1139" s="41">
        <v>42297.0</v>
      </c>
      <c r="O1139" s="15" t="s">
        <v>1554</v>
      </c>
      <c r="Q1139" s="7"/>
    </row>
    <row r="1140">
      <c r="A1140" s="39" t="s">
        <v>5995</v>
      </c>
      <c r="B1140" s="15">
        <v>232800.0</v>
      </c>
      <c r="C1140" s="15" t="s">
        <v>5996</v>
      </c>
      <c r="D1140" s="15">
        <v>15121.0</v>
      </c>
      <c r="E1140" s="15" t="s">
        <v>1548</v>
      </c>
      <c r="F1140" s="15" t="s">
        <v>2374</v>
      </c>
      <c r="G1140" s="7">
        <v>10.112</v>
      </c>
      <c r="H1140" s="15" t="s">
        <v>2857</v>
      </c>
      <c r="I1140" s="15" t="s">
        <v>1560</v>
      </c>
      <c r="J1140" s="15" t="s">
        <v>5997</v>
      </c>
      <c r="K1140" s="15">
        <v>1.0</v>
      </c>
      <c r="L1140" s="15">
        <v>1.0</v>
      </c>
      <c r="M1140" s="40">
        <v>37778.0</v>
      </c>
      <c r="N1140" s="41">
        <v>40534.0</v>
      </c>
      <c r="O1140" s="15" t="s">
        <v>1554</v>
      </c>
      <c r="Q1140" s="7"/>
    </row>
    <row r="1141">
      <c r="A1141" s="39" t="s">
        <v>5999</v>
      </c>
      <c r="B1141" s="15">
        <v>255238.0</v>
      </c>
      <c r="C1141" s="15" t="s">
        <v>6000</v>
      </c>
      <c r="D1141" s="15">
        <v>15122.0</v>
      </c>
      <c r="E1141" s="15" t="s">
        <v>1548</v>
      </c>
      <c r="F1141" s="15" t="s">
        <v>1926</v>
      </c>
      <c r="G1141" s="7">
        <v>8.485</v>
      </c>
      <c r="H1141" s="15" t="s">
        <v>6001</v>
      </c>
      <c r="I1141" s="15" t="s">
        <v>1628</v>
      </c>
      <c r="J1141" s="15" t="s">
        <v>6002</v>
      </c>
      <c r="K1141" s="15">
        <v>6.0</v>
      </c>
      <c r="L1141" s="15">
        <v>6.0</v>
      </c>
      <c r="M1141" s="40">
        <v>38293.0</v>
      </c>
      <c r="N1141" s="40">
        <v>39224.0</v>
      </c>
      <c r="O1141" s="15" t="s">
        <v>1554</v>
      </c>
      <c r="Q1141" s="7"/>
    </row>
    <row r="1142">
      <c r="A1142" s="39" t="s">
        <v>6003</v>
      </c>
      <c r="B1142" s="15">
        <v>243550.0</v>
      </c>
      <c r="C1142" s="15" t="s">
        <v>6004</v>
      </c>
      <c r="D1142" s="15">
        <v>15123.0</v>
      </c>
      <c r="E1142" s="15" t="s">
        <v>1548</v>
      </c>
      <c r="F1142" s="15" t="s">
        <v>4829</v>
      </c>
      <c r="G1142" s="7">
        <v>7.453</v>
      </c>
      <c r="H1142" s="15" t="s">
        <v>2033</v>
      </c>
      <c r="I1142" s="15" t="s">
        <v>1686</v>
      </c>
      <c r="J1142" s="15" t="s">
        <v>6006</v>
      </c>
      <c r="K1142" s="15">
        <v>2.0</v>
      </c>
      <c r="L1142" s="15">
        <v>2.0</v>
      </c>
      <c r="M1142" s="40">
        <v>38038.0</v>
      </c>
      <c r="N1142" s="40">
        <v>40339.0</v>
      </c>
      <c r="O1142" s="15" t="s">
        <v>1554</v>
      </c>
      <c r="Q1142" s="7"/>
    </row>
    <row r="1143">
      <c r="A1143" s="39" t="s">
        <v>6007</v>
      </c>
      <c r="B1143" s="15">
        <v>90410.0</v>
      </c>
      <c r="C1143" s="15" t="s">
        <v>6008</v>
      </c>
      <c r="D1143" s="15">
        <v>15124.0</v>
      </c>
      <c r="E1143" s="15" t="s">
        <v>1557</v>
      </c>
      <c r="F1143" s="15" t="s">
        <v>1833</v>
      </c>
      <c r="G1143" s="7">
        <v>34.815</v>
      </c>
      <c r="H1143" s="15" t="s">
        <v>3895</v>
      </c>
      <c r="I1143" s="15" t="s">
        <v>1586</v>
      </c>
      <c r="J1143" s="15" t="s">
        <v>6009</v>
      </c>
      <c r="K1143" s="15">
        <v>45.0</v>
      </c>
      <c r="L1143" s="15">
        <v>45.0</v>
      </c>
      <c r="M1143" s="40">
        <v>36248.0</v>
      </c>
      <c r="N1143" s="40">
        <v>42045.0</v>
      </c>
      <c r="O1143" s="15" t="s">
        <v>1554</v>
      </c>
      <c r="Q1143" s="7"/>
    </row>
    <row r="1144">
      <c r="A1144" s="39" t="s">
        <v>6011</v>
      </c>
      <c r="B1144" s="15">
        <v>112229.0</v>
      </c>
      <c r="C1144" s="15" t="s">
        <v>6012</v>
      </c>
      <c r="D1144" s="15">
        <v>15125.0</v>
      </c>
      <c r="E1144" s="15" t="s">
        <v>1548</v>
      </c>
      <c r="F1144" s="15" t="s">
        <v>1633</v>
      </c>
      <c r="G1144" s="7">
        <v>6.45</v>
      </c>
      <c r="H1144" s="15" t="s">
        <v>1559</v>
      </c>
      <c r="I1144" s="15" t="s">
        <v>1628</v>
      </c>
      <c r="J1144" s="15" t="s">
        <v>6013</v>
      </c>
      <c r="K1144" s="15">
        <v>5.0</v>
      </c>
      <c r="L1144" s="15">
        <v>5.0</v>
      </c>
      <c r="M1144" s="40">
        <v>37445.0</v>
      </c>
      <c r="N1144" s="40">
        <v>42452.0</v>
      </c>
      <c r="O1144" s="15" t="s">
        <v>1554</v>
      </c>
      <c r="Q1144" s="7"/>
    </row>
    <row r="1145">
      <c r="A1145" s="39" t="s">
        <v>6014</v>
      </c>
      <c r="B1145" s="15">
        <v>280701.0</v>
      </c>
      <c r="C1145" s="15" t="s">
        <v>6016</v>
      </c>
      <c r="D1145" s="15">
        <v>15127.0</v>
      </c>
      <c r="E1145" s="15" t="s">
        <v>1557</v>
      </c>
      <c r="F1145" s="15" t="s">
        <v>1611</v>
      </c>
      <c r="G1145" s="7">
        <v>65.195</v>
      </c>
      <c r="H1145" s="15" t="s">
        <v>3034</v>
      </c>
      <c r="I1145" s="15" t="s">
        <v>1586</v>
      </c>
      <c r="J1145" s="15" t="s">
        <v>6017</v>
      </c>
      <c r="K1145" s="15">
        <v>70.0</v>
      </c>
      <c r="L1145" s="15">
        <v>70.0</v>
      </c>
      <c r="M1145" s="40">
        <v>38322.0</v>
      </c>
      <c r="N1145" s="40">
        <v>39939.0</v>
      </c>
      <c r="O1145" s="15" t="s">
        <v>1554</v>
      </c>
      <c r="Q1145" s="7"/>
    </row>
    <row r="1146">
      <c r="A1146" s="39" t="s">
        <v>6018</v>
      </c>
      <c r="B1146" s="15">
        <v>204440.0</v>
      </c>
      <c r="C1146" s="15" t="s">
        <v>6019</v>
      </c>
      <c r="D1146" s="15">
        <v>15128.0</v>
      </c>
      <c r="E1146" s="15" t="s">
        <v>1557</v>
      </c>
      <c r="F1146" s="15" t="s">
        <v>1992</v>
      </c>
      <c r="G1146" s="7">
        <v>158.482</v>
      </c>
      <c r="H1146" s="15">
        <v>40.0</v>
      </c>
      <c r="I1146" s="15" t="s">
        <v>1560</v>
      </c>
      <c r="J1146" s="15" t="s">
        <v>6021</v>
      </c>
      <c r="K1146" s="15">
        <v>168.0</v>
      </c>
      <c r="L1146" s="15">
        <v>168.0</v>
      </c>
      <c r="M1146" s="40">
        <v>37493.0</v>
      </c>
      <c r="N1146" s="40">
        <v>42452.0</v>
      </c>
      <c r="O1146" s="15" t="s">
        <v>1554</v>
      </c>
      <c r="Q1146" s="7"/>
    </row>
    <row r="1147">
      <c r="A1147" s="39" t="s">
        <v>6022</v>
      </c>
      <c r="B1147" s="15">
        <v>222557.0</v>
      </c>
      <c r="C1147" s="15" t="s">
        <v>6023</v>
      </c>
      <c r="D1147" s="15">
        <v>15129.0</v>
      </c>
      <c r="E1147" s="15" t="s">
        <v>1548</v>
      </c>
      <c r="F1147" s="15" t="s">
        <v>1948</v>
      </c>
      <c r="G1147" s="7">
        <v>4.377</v>
      </c>
      <c r="H1147" s="15" t="s">
        <v>6024</v>
      </c>
      <c r="I1147" s="15" t="s">
        <v>1560</v>
      </c>
      <c r="J1147" s="15" t="s">
        <v>6025</v>
      </c>
      <c r="K1147" s="15">
        <v>3.0</v>
      </c>
      <c r="L1147" s="15">
        <v>3.0</v>
      </c>
      <c r="M1147" s="40">
        <v>37863.0</v>
      </c>
      <c r="N1147" s="41">
        <v>42297.0</v>
      </c>
      <c r="O1147" s="15" t="s">
        <v>1554</v>
      </c>
      <c r="Q1147" s="7"/>
    </row>
    <row r="1148">
      <c r="A1148" s="39" t="s">
        <v>6026</v>
      </c>
      <c r="B1148" s="15">
        <v>223328.0</v>
      </c>
      <c r="C1148" s="15" t="s">
        <v>6028</v>
      </c>
      <c r="D1148" s="15">
        <v>15130.0</v>
      </c>
      <c r="E1148" s="15" t="s">
        <v>1808</v>
      </c>
      <c r="F1148" s="15" t="s">
        <v>1809</v>
      </c>
      <c r="G1148" s="7">
        <v>5.466</v>
      </c>
      <c r="H1148" s="15" t="s">
        <v>6029</v>
      </c>
      <c r="I1148" s="15" t="s">
        <v>1628</v>
      </c>
      <c r="J1148" s="15" t="s">
        <v>6030</v>
      </c>
      <c r="K1148" s="15">
        <v>8.0</v>
      </c>
      <c r="L1148" s="15">
        <v>8.0</v>
      </c>
      <c r="M1148" s="40">
        <v>37260.0</v>
      </c>
      <c r="N1148" s="41">
        <v>42297.0</v>
      </c>
      <c r="O1148" s="15" t="s">
        <v>1554</v>
      </c>
      <c r="Q1148" s="7"/>
    </row>
    <row r="1149">
      <c r="A1149" s="39" t="s">
        <v>6031</v>
      </c>
      <c r="B1149" s="15">
        <v>202566.0</v>
      </c>
      <c r="C1149" s="15" t="s">
        <v>6032</v>
      </c>
      <c r="D1149" s="15">
        <v>15131.0</v>
      </c>
      <c r="E1149" s="15" t="s">
        <v>1548</v>
      </c>
      <c r="F1149" s="15" t="s">
        <v>1626</v>
      </c>
      <c r="G1149" s="7">
        <v>10.349</v>
      </c>
      <c r="H1149" s="15" t="s">
        <v>6033</v>
      </c>
      <c r="I1149" s="15" t="s">
        <v>1628</v>
      </c>
      <c r="J1149" s="15" t="s">
        <v>6034</v>
      </c>
      <c r="K1149" s="15">
        <v>7.0</v>
      </c>
      <c r="L1149" s="15">
        <v>2.0</v>
      </c>
      <c r="M1149" s="40">
        <v>38187.0</v>
      </c>
      <c r="N1149" s="40">
        <v>40578.0</v>
      </c>
      <c r="O1149" s="15" t="s">
        <v>1554</v>
      </c>
      <c r="Q1149" s="7"/>
    </row>
    <row r="1150">
      <c r="A1150" s="39" t="s">
        <v>6035</v>
      </c>
      <c r="B1150" s="15">
        <v>208973.0</v>
      </c>
      <c r="C1150" s="15" t="s">
        <v>6037</v>
      </c>
      <c r="D1150" s="15">
        <v>15133.0</v>
      </c>
      <c r="E1150" s="15" t="s">
        <v>1557</v>
      </c>
      <c r="F1150" s="15" t="s">
        <v>1992</v>
      </c>
      <c r="G1150" s="7">
        <v>129.593</v>
      </c>
      <c r="H1150" s="15" t="s">
        <v>1802</v>
      </c>
      <c r="I1150" s="15" t="s">
        <v>1560</v>
      </c>
      <c r="J1150" s="15" t="s">
        <v>6038</v>
      </c>
      <c r="K1150" s="15">
        <v>146.0</v>
      </c>
      <c r="L1150" s="15">
        <v>146.0</v>
      </c>
      <c r="M1150" s="40">
        <v>37742.0</v>
      </c>
      <c r="N1150" s="40">
        <v>42598.0</v>
      </c>
      <c r="O1150" s="15" t="s">
        <v>1554</v>
      </c>
      <c r="Q1150" s="7"/>
    </row>
    <row r="1151">
      <c r="A1151" s="39" t="s">
        <v>6039</v>
      </c>
      <c r="B1151" s="15">
        <v>268747.0</v>
      </c>
      <c r="C1151" s="15" t="s">
        <v>6040</v>
      </c>
      <c r="D1151" s="15">
        <v>15136.0</v>
      </c>
      <c r="E1151" s="15" t="s">
        <v>1557</v>
      </c>
      <c r="F1151" s="15" t="s">
        <v>1767</v>
      </c>
      <c r="G1151" s="7">
        <v>178.249</v>
      </c>
      <c r="H1151" s="15" t="s">
        <v>2158</v>
      </c>
      <c r="I1151" s="15" t="s">
        <v>1586</v>
      </c>
      <c r="J1151" s="15" t="s">
        <v>6041</v>
      </c>
      <c r="K1151" s="15">
        <v>221.0</v>
      </c>
      <c r="L1151" s="15">
        <v>221.0</v>
      </c>
      <c r="M1151" s="40">
        <v>38433.0</v>
      </c>
      <c r="N1151" s="41">
        <v>40889.0</v>
      </c>
      <c r="O1151" s="15" t="s">
        <v>1554</v>
      </c>
      <c r="Q1151" s="7"/>
    </row>
    <row r="1152">
      <c r="A1152" s="39" t="s">
        <v>6042</v>
      </c>
      <c r="B1152" s="15">
        <v>74660.0</v>
      </c>
      <c r="C1152" s="15" t="s">
        <v>6043</v>
      </c>
      <c r="D1152" s="15">
        <v>15137.0</v>
      </c>
      <c r="E1152" s="15" t="s">
        <v>1557</v>
      </c>
      <c r="F1152" s="15" t="s">
        <v>1992</v>
      </c>
      <c r="G1152" s="7">
        <v>131.16</v>
      </c>
      <c r="H1152" s="15" t="s">
        <v>1745</v>
      </c>
      <c r="I1152" s="15" t="s">
        <v>1560</v>
      </c>
      <c r="J1152" s="15" t="s">
        <v>6044</v>
      </c>
      <c r="K1152" s="15">
        <v>149.0</v>
      </c>
      <c r="L1152" s="15">
        <v>149.0</v>
      </c>
      <c r="M1152" s="40">
        <v>37902.0</v>
      </c>
      <c r="N1152" s="41">
        <v>40534.0</v>
      </c>
      <c r="O1152" s="15" t="s">
        <v>1554</v>
      </c>
      <c r="Q1152" s="7"/>
    </row>
    <row r="1153">
      <c r="A1153" s="39" t="s">
        <v>6046</v>
      </c>
      <c r="B1153" s="15">
        <v>290028.0</v>
      </c>
      <c r="C1153" s="15" t="s">
        <v>6047</v>
      </c>
      <c r="D1153" s="15">
        <v>15139.0</v>
      </c>
      <c r="E1153" s="15" t="s">
        <v>1548</v>
      </c>
      <c r="F1153" s="15" t="s">
        <v>1684</v>
      </c>
      <c r="G1153" s="7">
        <v>29.926</v>
      </c>
      <c r="H1153" s="15" t="s">
        <v>3678</v>
      </c>
      <c r="I1153" s="15" t="s">
        <v>1567</v>
      </c>
      <c r="J1153" s="15" t="s">
        <v>6048</v>
      </c>
      <c r="K1153" s="15">
        <v>8.0</v>
      </c>
      <c r="L1153" s="15">
        <v>8.0</v>
      </c>
      <c r="M1153" s="41">
        <v>38342.0</v>
      </c>
      <c r="N1153" s="40">
        <v>42045.0</v>
      </c>
      <c r="O1153" s="15" t="s">
        <v>1554</v>
      </c>
      <c r="Q1153" s="7"/>
    </row>
    <row r="1154">
      <c r="A1154" s="39" t="s">
        <v>6049</v>
      </c>
      <c r="B1154" s="15">
        <v>111970.0</v>
      </c>
      <c r="C1154" s="15" t="s">
        <v>6050</v>
      </c>
      <c r="D1154" s="15">
        <v>15140.0</v>
      </c>
      <c r="E1154" s="15" t="s">
        <v>1548</v>
      </c>
      <c r="F1154" s="15" t="s">
        <v>2615</v>
      </c>
      <c r="G1154" s="7">
        <v>6.514</v>
      </c>
      <c r="H1154" s="15" t="s">
        <v>2864</v>
      </c>
      <c r="I1154" s="15" t="s">
        <v>1628</v>
      </c>
      <c r="J1154" s="15" t="s">
        <v>6051</v>
      </c>
      <c r="K1154" s="15">
        <v>3.0</v>
      </c>
      <c r="L1154" s="15">
        <v>4.0</v>
      </c>
      <c r="M1154" s="40">
        <v>37099.0</v>
      </c>
      <c r="N1154" s="40">
        <v>40578.0</v>
      </c>
      <c r="O1154" s="15" t="s">
        <v>1554</v>
      </c>
      <c r="Q1154" s="7"/>
    </row>
    <row r="1155">
      <c r="A1155" s="39" t="s">
        <v>6053</v>
      </c>
      <c r="B1155" s="15">
        <v>12353.0</v>
      </c>
      <c r="C1155" s="15" t="s">
        <v>6054</v>
      </c>
      <c r="D1155" s="15">
        <v>15141.0</v>
      </c>
      <c r="E1155" s="15" t="s">
        <v>1557</v>
      </c>
      <c r="F1155" s="15" t="s">
        <v>1767</v>
      </c>
      <c r="G1155" s="7">
        <v>167.56</v>
      </c>
      <c r="H1155" s="15" t="s">
        <v>2396</v>
      </c>
      <c r="I1155" s="15" t="s">
        <v>1586</v>
      </c>
      <c r="J1155" s="15" t="s">
        <v>6055</v>
      </c>
      <c r="K1155" s="15">
        <v>275.0</v>
      </c>
      <c r="L1155" s="15">
        <v>273.0</v>
      </c>
      <c r="M1155" s="40">
        <v>37802.0</v>
      </c>
      <c r="N1155" s="40">
        <v>40263.0</v>
      </c>
      <c r="O1155" s="15" t="s">
        <v>1554</v>
      </c>
      <c r="Q1155" s="7"/>
    </row>
    <row r="1156">
      <c r="A1156" s="39" t="s">
        <v>6056</v>
      </c>
      <c r="B1156" s="15">
        <v>619591.0</v>
      </c>
      <c r="C1156" s="15" t="s">
        <v>6057</v>
      </c>
      <c r="D1156" s="15">
        <v>15142.0</v>
      </c>
      <c r="E1156" s="15" t="s">
        <v>1557</v>
      </c>
      <c r="F1156" s="15" t="s">
        <v>2028</v>
      </c>
      <c r="G1156" s="7">
        <v>196.858</v>
      </c>
      <c r="H1156" s="15" t="s">
        <v>6058</v>
      </c>
      <c r="I1156" s="15" t="s">
        <v>1567</v>
      </c>
      <c r="J1156" s="15" t="s">
        <v>6059</v>
      </c>
      <c r="K1156" s="15">
        <v>191.0</v>
      </c>
      <c r="L1156" s="15">
        <v>191.0</v>
      </c>
      <c r="M1156" s="41">
        <v>37237.0</v>
      </c>
      <c r="N1156" s="40">
        <v>41149.0</v>
      </c>
      <c r="O1156" s="15" t="s">
        <v>1554</v>
      </c>
      <c r="Q1156" s="7"/>
    </row>
    <row r="1157">
      <c r="A1157" s="39" t="s">
        <v>6060</v>
      </c>
      <c r="B1157" s="15">
        <v>10726.0</v>
      </c>
      <c r="C1157" s="15" t="s">
        <v>6061</v>
      </c>
      <c r="D1157" s="15">
        <v>15143.0</v>
      </c>
      <c r="E1157" s="15" t="s">
        <v>1557</v>
      </c>
      <c r="F1157" s="15" t="s">
        <v>1833</v>
      </c>
      <c r="G1157" s="7">
        <v>121.75</v>
      </c>
      <c r="H1157" s="15" t="s">
        <v>2597</v>
      </c>
      <c r="I1157" s="15" t="s">
        <v>1586</v>
      </c>
      <c r="J1157" s="15" t="s">
        <v>6063</v>
      </c>
      <c r="K1157" s="15">
        <v>195.0</v>
      </c>
      <c r="L1157" s="15">
        <v>162.0</v>
      </c>
      <c r="M1157" s="40">
        <v>38091.0</v>
      </c>
      <c r="N1157" s="40">
        <v>39790.0</v>
      </c>
      <c r="O1157" s="15" t="s">
        <v>1554</v>
      </c>
      <c r="Q1157" s="7"/>
    </row>
    <row r="1158">
      <c r="A1158" s="39" t="s">
        <v>6064</v>
      </c>
      <c r="B1158" s="15">
        <v>11292.0</v>
      </c>
      <c r="C1158" s="15" t="s">
        <v>6065</v>
      </c>
      <c r="D1158" s="15">
        <v>15144.0</v>
      </c>
      <c r="E1158" s="15" t="s">
        <v>1548</v>
      </c>
      <c r="F1158" s="15" t="s">
        <v>1890</v>
      </c>
      <c r="G1158" s="7">
        <v>11.932</v>
      </c>
      <c r="H1158" s="15" t="s">
        <v>1792</v>
      </c>
      <c r="I1158" s="15" t="s">
        <v>1567</v>
      </c>
      <c r="J1158" s="15" t="s">
        <v>6066</v>
      </c>
      <c r="K1158" s="15">
        <v>5.0</v>
      </c>
      <c r="L1158" s="15">
        <v>5.0</v>
      </c>
      <c r="M1158" s="40">
        <v>32766.0</v>
      </c>
      <c r="N1158" s="40">
        <v>39790.0</v>
      </c>
      <c r="O1158" s="15" t="s">
        <v>1554</v>
      </c>
      <c r="Q1158" s="7"/>
    </row>
    <row r="1159">
      <c r="A1159" s="39" t="s">
        <v>6068</v>
      </c>
      <c r="B1159" s="15">
        <v>11636.0</v>
      </c>
      <c r="C1159" s="15" t="s">
        <v>6069</v>
      </c>
      <c r="D1159" s="15">
        <v>15145.0</v>
      </c>
      <c r="E1159" s="15" t="s">
        <v>1916</v>
      </c>
      <c r="F1159" s="15" t="s">
        <v>2532</v>
      </c>
      <c r="G1159" s="7">
        <v>8.295</v>
      </c>
      <c r="H1159" s="15" t="s">
        <v>6070</v>
      </c>
      <c r="I1159" s="15" t="s">
        <v>1686</v>
      </c>
      <c r="J1159" s="15" t="s">
        <v>6071</v>
      </c>
      <c r="K1159" s="15">
        <v>3.0</v>
      </c>
      <c r="L1159" s="15">
        <v>3.0</v>
      </c>
      <c r="M1159" s="40">
        <v>38375.0</v>
      </c>
      <c r="N1159" s="40">
        <v>42577.0</v>
      </c>
      <c r="O1159" s="15" t="s">
        <v>1554</v>
      </c>
      <c r="Q1159" s="7"/>
    </row>
    <row r="1160">
      <c r="A1160" s="39" t="s">
        <v>6072</v>
      </c>
      <c r="B1160" s="15">
        <v>12055.0</v>
      </c>
      <c r="C1160" s="15" t="s">
        <v>6073</v>
      </c>
      <c r="D1160" s="15">
        <v>15146.0</v>
      </c>
      <c r="E1160" s="15" t="s">
        <v>1548</v>
      </c>
      <c r="F1160" s="15" t="s">
        <v>2900</v>
      </c>
      <c r="G1160" s="7">
        <v>3.684</v>
      </c>
      <c r="H1160" s="15" t="s">
        <v>2365</v>
      </c>
      <c r="I1160" s="15" t="s">
        <v>1628</v>
      </c>
      <c r="J1160" s="15" t="s">
        <v>6075</v>
      </c>
      <c r="K1160" s="15">
        <v>5.0</v>
      </c>
      <c r="L1160" s="15">
        <v>5.0</v>
      </c>
      <c r="M1160" s="40">
        <v>34176.0</v>
      </c>
      <c r="N1160" s="41">
        <v>40499.0</v>
      </c>
      <c r="O1160" s="15" t="s">
        <v>1554</v>
      </c>
      <c r="Q1160" s="7"/>
    </row>
    <row r="1161">
      <c r="A1161" s="39" t="s">
        <v>6076</v>
      </c>
      <c r="B1161" s="15">
        <v>12145.0</v>
      </c>
      <c r="C1161" s="15" t="s">
        <v>6077</v>
      </c>
      <c r="D1161" s="15">
        <v>15147.0</v>
      </c>
      <c r="E1161" s="15" t="s">
        <v>1548</v>
      </c>
      <c r="F1161" s="15" t="s">
        <v>2900</v>
      </c>
      <c r="G1161" s="7">
        <v>4.776</v>
      </c>
      <c r="H1161" s="15" t="s">
        <v>3823</v>
      </c>
      <c r="I1161" s="15" t="s">
        <v>1628</v>
      </c>
      <c r="J1161" s="15" t="s">
        <v>6078</v>
      </c>
      <c r="K1161" s="15">
        <v>5.0</v>
      </c>
      <c r="L1161" s="15">
        <v>5.0</v>
      </c>
      <c r="M1161" s="40">
        <v>34184.0</v>
      </c>
      <c r="N1161" s="41">
        <v>40147.0</v>
      </c>
      <c r="O1161" s="15" t="s">
        <v>1554</v>
      </c>
      <c r="Q1161" s="7"/>
    </row>
    <row r="1162">
      <c r="A1162" s="39" t="s">
        <v>6079</v>
      </c>
      <c r="B1162" s="15">
        <v>12239.0</v>
      </c>
      <c r="C1162" s="15" t="s">
        <v>6080</v>
      </c>
      <c r="D1162" s="15">
        <v>15148.0</v>
      </c>
      <c r="E1162" s="15" t="s">
        <v>1548</v>
      </c>
      <c r="F1162" s="15" t="s">
        <v>2615</v>
      </c>
      <c r="G1162" s="7">
        <v>6.357</v>
      </c>
      <c r="H1162" s="15" t="s">
        <v>2023</v>
      </c>
      <c r="I1162" s="15" t="s">
        <v>1628</v>
      </c>
      <c r="J1162" s="15" t="s">
        <v>6081</v>
      </c>
      <c r="K1162" s="15">
        <v>4.0</v>
      </c>
      <c r="L1162" s="15">
        <v>4.0</v>
      </c>
      <c r="M1162" s="40">
        <v>34184.0</v>
      </c>
      <c r="N1162" s="40">
        <v>42045.0</v>
      </c>
      <c r="O1162" s="15" t="s">
        <v>1554</v>
      </c>
      <c r="Q1162" s="7"/>
    </row>
    <row r="1163">
      <c r="A1163" s="39" t="s">
        <v>6083</v>
      </c>
      <c r="B1163" s="15">
        <v>64287.0</v>
      </c>
      <c r="C1163" s="15" t="s">
        <v>6084</v>
      </c>
      <c r="D1163" s="15">
        <v>15149.0</v>
      </c>
      <c r="E1163" s="15" t="s">
        <v>1548</v>
      </c>
      <c r="F1163" s="15" t="s">
        <v>1801</v>
      </c>
      <c r="G1163" s="7">
        <v>10.653</v>
      </c>
      <c r="H1163" s="15" t="s">
        <v>6085</v>
      </c>
      <c r="I1163" s="15" t="s">
        <v>1803</v>
      </c>
      <c r="J1163" s="15" t="s">
        <v>6086</v>
      </c>
      <c r="K1163" s="15">
        <v>1.0</v>
      </c>
      <c r="L1163" s="15">
        <v>1.0</v>
      </c>
      <c r="M1163" s="40">
        <v>38376.0</v>
      </c>
      <c r="N1163" s="40">
        <v>40148.0</v>
      </c>
      <c r="O1163" s="15" t="s">
        <v>1554</v>
      </c>
      <c r="Q1163" s="7"/>
    </row>
    <row r="1164">
      <c r="A1164" s="39" t="s">
        <v>6087</v>
      </c>
      <c r="B1164" s="15">
        <v>112228.0</v>
      </c>
      <c r="C1164" s="15" t="s">
        <v>6088</v>
      </c>
      <c r="D1164" s="15">
        <v>15151.0</v>
      </c>
      <c r="E1164" s="15" t="s">
        <v>1548</v>
      </c>
      <c r="F1164" s="15" t="s">
        <v>1633</v>
      </c>
      <c r="G1164" s="7">
        <v>6.185</v>
      </c>
      <c r="H1164" s="15">
        <v>58.0</v>
      </c>
      <c r="I1164" s="15" t="s">
        <v>1628</v>
      </c>
      <c r="J1164" s="15" t="s">
        <v>6089</v>
      </c>
      <c r="K1164" s="15">
        <v>6.0</v>
      </c>
      <c r="L1164" s="15">
        <v>6.0</v>
      </c>
      <c r="M1164" s="40">
        <v>38412.0</v>
      </c>
      <c r="N1164" s="40">
        <v>39224.0</v>
      </c>
      <c r="O1164" s="15" t="s">
        <v>1554</v>
      </c>
      <c r="Q1164" s="7"/>
    </row>
    <row r="1165">
      <c r="A1165" s="39" t="s">
        <v>6090</v>
      </c>
      <c r="B1165" s="15">
        <v>137475.0</v>
      </c>
      <c r="C1165" s="15" t="s">
        <v>6091</v>
      </c>
      <c r="D1165" s="15">
        <v>15153.0</v>
      </c>
      <c r="E1165" s="15" t="s">
        <v>1548</v>
      </c>
      <c r="F1165" s="15" t="s">
        <v>1911</v>
      </c>
      <c r="G1165" s="7">
        <v>9.751</v>
      </c>
      <c r="H1165" s="15" t="s">
        <v>1912</v>
      </c>
      <c r="I1165" s="15" t="s">
        <v>1628</v>
      </c>
      <c r="J1165" s="15" t="s">
        <v>6093</v>
      </c>
      <c r="K1165" s="15">
        <v>2.0</v>
      </c>
      <c r="L1165" s="15">
        <v>2.0</v>
      </c>
      <c r="M1165" s="40">
        <v>38428.0</v>
      </c>
      <c r="N1165" s="40">
        <v>42045.0</v>
      </c>
      <c r="O1165" s="15" t="s">
        <v>1554</v>
      </c>
      <c r="Q1165" s="7"/>
    </row>
    <row r="1166">
      <c r="A1166" s="39" t="s">
        <v>6094</v>
      </c>
      <c r="B1166" s="15">
        <v>194397.0</v>
      </c>
      <c r="C1166" s="15" t="s">
        <v>6095</v>
      </c>
      <c r="D1166" s="15">
        <v>15154.0</v>
      </c>
      <c r="E1166" s="15" t="s">
        <v>1638</v>
      </c>
      <c r="F1166" s="15" t="s">
        <v>1578</v>
      </c>
      <c r="G1166" s="7">
        <v>6.621</v>
      </c>
      <c r="H1166" s="15" t="s">
        <v>4776</v>
      </c>
      <c r="I1166" s="15" t="s">
        <v>1552</v>
      </c>
      <c r="J1166" s="15" t="s">
        <v>6096</v>
      </c>
      <c r="K1166" s="15">
        <v>4.0</v>
      </c>
      <c r="L1166" s="15">
        <v>4.0</v>
      </c>
      <c r="M1166" s="40">
        <v>38384.0</v>
      </c>
      <c r="N1166" s="40">
        <v>40031.0</v>
      </c>
      <c r="O1166" s="15" t="s">
        <v>1554</v>
      </c>
      <c r="Q1166" s="7"/>
    </row>
    <row r="1167">
      <c r="A1167" s="39" t="s">
        <v>6097</v>
      </c>
      <c r="B1167" s="15">
        <v>195062.0</v>
      </c>
      <c r="C1167" s="15" t="s">
        <v>6099</v>
      </c>
      <c r="D1167" s="15">
        <v>15155.0</v>
      </c>
      <c r="E1167" s="15" t="s">
        <v>2014</v>
      </c>
      <c r="F1167" s="15" t="s">
        <v>1578</v>
      </c>
      <c r="G1167" s="7">
        <v>1.118</v>
      </c>
      <c r="H1167" s="15" t="s">
        <v>2540</v>
      </c>
      <c r="I1167" s="15" t="s">
        <v>1628</v>
      </c>
      <c r="J1167" s="15" t="s">
        <v>6100</v>
      </c>
      <c r="K1167" s="15">
        <v>1.0</v>
      </c>
      <c r="L1167" s="15">
        <v>1.0</v>
      </c>
      <c r="M1167" s="40">
        <v>34144.0</v>
      </c>
      <c r="N1167" s="40">
        <v>42045.0</v>
      </c>
      <c r="O1167" s="15" t="s">
        <v>1554</v>
      </c>
      <c r="Q1167" s="7"/>
    </row>
    <row r="1168">
      <c r="A1168" s="39" t="s">
        <v>6101</v>
      </c>
      <c r="B1168" s="15">
        <v>235201.0</v>
      </c>
      <c r="C1168" s="15" t="s">
        <v>6102</v>
      </c>
      <c r="D1168" s="15">
        <v>15156.0</v>
      </c>
      <c r="E1168" s="15" t="s">
        <v>1557</v>
      </c>
      <c r="F1168" s="15" t="s">
        <v>1833</v>
      </c>
      <c r="G1168" s="7">
        <v>36.674</v>
      </c>
      <c r="H1168" s="15" t="s">
        <v>2304</v>
      </c>
      <c r="I1168" s="15" t="s">
        <v>1586</v>
      </c>
      <c r="J1168" s="15" t="s">
        <v>6104</v>
      </c>
      <c r="K1168" s="15">
        <v>46.0</v>
      </c>
      <c r="L1168" s="15">
        <v>46.0</v>
      </c>
      <c r="M1168" s="40">
        <v>38439.0</v>
      </c>
      <c r="N1168" s="40">
        <v>39920.0</v>
      </c>
      <c r="O1168" s="15" t="s">
        <v>1554</v>
      </c>
      <c r="Q1168" s="7"/>
    </row>
    <row r="1169">
      <c r="A1169" s="39" t="s">
        <v>6105</v>
      </c>
      <c r="B1169" s="15">
        <v>292627.0</v>
      </c>
      <c r="C1169" s="15" t="s">
        <v>6106</v>
      </c>
      <c r="D1169" s="15">
        <v>15157.0</v>
      </c>
      <c r="E1169" s="15" t="s">
        <v>2014</v>
      </c>
      <c r="F1169" s="15" t="s">
        <v>2018</v>
      </c>
      <c r="G1169" s="7">
        <v>1.379</v>
      </c>
      <c r="H1169" s="15">
        <v>40.0</v>
      </c>
      <c r="I1169" s="15" t="s">
        <v>1628</v>
      </c>
      <c r="J1169" s="15" t="s">
        <v>6107</v>
      </c>
      <c r="K1169" s="15">
        <v>1.0</v>
      </c>
      <c r="L1169" s="15">
        <v>1.0</v>
      </c>
      <c r="M1169" s="40">
        <v>38405.0</v>
      </c>
      <c r="N1169" s="41">
        <v>40540.0</v>
      </c>
      <c r="O1169" s="15" t="s">
        <v>1554</v>
      </c>
      <c r="Q1169" s="7"/>
    </row>
    <row r="1170">
      <c r="A1170" s="39" t="s">
        <v>6108</v>
      </c>
      <c r="B1170" s="15">
        <v>293644.0</v>
      </c>
      <c r="C1170" s="15" t="s">
        <v>6109</v>
      </c>
      <c r="D1170" s="15">
        <v>15158.0</v>
      </c>
      <c r="E1170" s="15" t="s">
        <v>1557</v>
      </c>
      <c r="F1170" s="15" t="s">
        <v>1833</v>
      </c>
      <c r="G1170" s="7">
        <v>40.793</v>
      </c>
      <c r="H1170" s="15" t="s">
        <v>1802</v>
      </c>
      <c r="I1170" s="15" t="s">
        <v>1586</v>
      </c>
      <c r="J1170" s="15" t="s">
        <v>6111</v>
      </c>
      <c r="K1170" s="15">
        <v>58.0</v>
      </c>
      <c r="L1170" s="15">
        <v>58.0</v>
      </c>
      <c r="M1170" s="40">
        <v>38364.0</v>
      </c>
      <c r="N1170" s="40">
        <v>41148.0</v>
      </c>
      <c r="O1170" s="15" t="s">
        <v>1554</v>
      </c>
      <c r="Q1170" s="7"/>
    </row>
    <row r="1171">
      <c r="A1171" s="39" t="s">
        <v>6112</v>
      </c>
      <c r="B1171" s="15">
        <v>295090.0</v>
      </c>
      <c r="C1171" s="15" t="s">
        <v>6113</v>
      </c>
      <c r="D1171" s="15">
        <v>15159.0</v>
      </c>
      <c r="E1171" s="15" t="s">
        <v>1548</v>
      </c>
      <c r="F1171" s="15" t="s">
        <v>2900</v>
      </c>
      <c r="G1171" s="7">
        <v>3.683</v>
      </c>
      <c r="H1171" s="15" t="s">
        <v>5368</v>
      </c>
      <c r="I1171" s="15" t="s">
        <v>1628</v>
      </c>
      <c r="J1171" s="15" t="s">
        <v>6114</v>
      </c>
      <c r="K1171" s="15">
        <v>6.0</v>
      </c>
      <c r="L1171" s="15">
        <v>6.0</v>
      </c>
      <c r="M1171" s="40">
        <v>38441.0</v>
      </c>
      <c r="N1171" s="40">
        <v>40148.0</v>
      </c>
      <c r="O1171" s="15" t="s">
        <v>1554</v>
      </c>
      <c r="Q1171" s="7"/>
    </row>
    <row r="1172">
      <c r="A1172" s="39" t="s">
        <v>6115</v>
      </c>
      <c r="B1172" s="15">
        <v>301865.0</v>
      </c>
      <c r="C1172" s="15" t="s">
        <v>6117</v>
      </c>
      <c r="D1172" s="15">
        <v>15160.0</v>
      </c>
      <c r="E1172" s="15" t="s">
        <v>1548</v>
      </c>
      <c r="F1172" s="15" t="s">
        <v>1633</v>
      </c>
      <c r="G1172" s="7">
        <v>5.914</v>
      </c>
      <c r="H1172" s="15" t="s">
        <v>6118</v>
      </c>
      <c r="I1172" s="15" t="s">
        <v>1628</v>
      </c>
      <c r="J1172" s="15" t="s">
        <v>6119</v>
      </c>
      <c r="K1172" s="15">
        <v>5.0</v>
      </c>
      <c r="L1172" s="15">
        <v>5.0</v>
      </c>
      <c r="M1172" s="40">
        <v>38384.0</v>
      </c>
      <c r="N1172" s="40">
        <v>40148.0</v>
      </c>
      <c r="O1172" s="15" t="s">
        <v>1554</v>
      </c>
      <c r="Q1172" s="7"/>
    </row>
    <row r="1173">
      <c r="A1173" s="39" t="s">
        <v>6120</v>
      </c>
      <c r="B1173" s="15">
        <v>302069.0</v>
      </c>
      <c r="C1173" s="15" t="s">
        <v>6121</v>
      </c>
      <c r="D1173" s="15">
        <v>15161.0</v>
      </c>
      <c r="E1173" s="15" t="s">
        <v>2014</v>
      </c>
      <c r="F1173" s="15" t="s">
        <v>1578</v>
      </c>
      <c r="G1173" s="7">
        <v>1.032</v>
      </c>
      <c r="H1173" s="15" t="s">
        <v>2107</v>
      </c>
      <c r="I1173" s="15" t="s">
        <v>1628</v>
      </c>
      <c r="J1173" s="15" t="s">
        <v>6123</v>
      </c>
      <c r="K1173" s="15" t="s">
        <v>1722</v>
      </c>
      <c r="L1173" s="15" t="s">
        <v>1722</v>
      </c>
      <c r="M1173" s="40">
        <v>38413.0</v>
      </c>
      <c r="N1173" s="40">
        <v>39790.0</v>
      </c>
      <c r="O1173" s="15" t="s">
        <v>1554</v>
      </c>
      <c r="Q1173" s="7"/>
    </row>
    <row r="1174">
      <c r="A1174" s="39" t="s">
        <v>6124</v>
      </c>
      <c r="B1174" s="15">
        <v>302070.0</v>
      </c>
      <c r="C1174" s="15" t="s">
        <v>6125</v>
      </c>
      <c r="D1174" s="15">
        <v>15162.0</v>
      </c>
      <c r="E1174" s="15" t="s">
        <v>2014</v>
      </c>
      <c r="F1174" s="15" t="s">
        <v>1578</v>
      </c>
      <c r="G1174" s="7">
        <v>1.209</v>
      </c>
      <c r="H1174" s="15" t="s">
        <v>1559</v>
      </c>
      <c r="I1174" s="15" t="s">
        <v>1628</v>
      </c>
      <c r="J1174" s="15" t="s">
        <v>6126</v>
      </c>
      <c r="K1174" s="15" t="s">
        <v>1722</v>
      </c>
      <c r="L1174" s="15" t="s">
        <v>1722</v>
      </c>
      <c r="M1174" s="40">
        <v>38413.0</v>
      </c>
      <c r="N1174" s="40">
        <v>39939.0</v>
      </c>
      <c r="O1174" s="15" t="s">
        <v>1554</v>
      </c>
      <c r="Q1174" s="7"/>
    </row>
    <row r="1175">
      <c r="A1175" s="39" t="s">
        <v>6127</v>
      </c>
      <c r="B1175" s="15">
        <v>303300.0</v>
      </c>
      <c r="C1175" s="15" t="s">
        <v>6128</v>
      </c>
      <c r="D1175" s="15">
        <v>15163.0</v>
      </c>
      <c r="E1175" s="15" t="s">
        <v>1548</v>
      </c>
      <c r="F1175" s="15" t="s">
        <v>1890</v>
      </c>
      <c r="G1175" s="7">
        <v>43143.0</v>
      </c>
      <c r="H1175" s="15" t="s">
        <v>3538</v>
      </c>
      <c r="I1175" s="15" t="s">
        <v>2034</v>
      </c>
      <c r="J1175" s="15" t="s">
        <v>6130</v>
      </c>
      <c r="K1175" s="15">
        <v>7.0</v>
      </c>
      <c r="L1175" s="15">
        <v>6.0</v>
      </c>
      <c r="M1175" s="40">
        <v>38378.0</v>
      </c>
      <c r="N1175" s="41">
        <v>40140.0</v>
      </c>
      <c r="O1175" s="15" t="s">
        <v>1554</v>
      </c>
      <c r="Q1175" s="7"/>
    </row>
    <row r="1176">
      <c r="A1176" s="39" t="s">
        <v>6131</v>
      </c>
      <c r="B1176" s="15">
        <v>307240.0</v>
      </c>
      <c r="C1176" s="15" t="s">
        <v>6132</v>
      </c>
      <c r="D1176" s="15">
        <v>15164.0</v>
      </c>
      <c r="E1176" s="15" t="s">
        <v>1557</v>
      </c>
      <c r="F1176" s="15" t="s">
        <v>3844</v>
      </c>
      <c r="G1176" s="7">
        <v>14.844</v>
      </c>
      <c r="H1176" s="15" t="s">
        <v>2451</v>
      </c>
      <c r="I1176" s="15" t="s">
        <v>1586</v>
      </c>
      <c r="J1176" s="15" t="s">
        <v>6133</v>
      </c>
      <c r="K1176" s="15">
        <v>31.0</v>
      </c>
      <c r="L1176" s="15">
        <v>31.0</v>
      </c>
      <c r="M1176" s="40">
        <v>38362.0</v>
      </c>
      <c r="N1176" s="40">
        <v>39920.0</v>
      </c>
      <c r="O1176" s="15" t="s">
        <v>1554</v>
      </c>
      <c r="Q1176" s="7"/>
    </row>
    <row r="1177">
      <c r="A1177" s="39" t="s">
        <v>6135</v>
      </c>
      <c r="B1177" s="15">
        <v>404196.0</v>
      </c>
      <c r="C1177" s="15" t="s">
        <v>6136</v>
      </c>
      <c r="D1177" s="15">
        <v>15168.0</v>
      </c>
      <c r="E1177" s="15" t="s">
        <v>1548</v>
      </c>
      <c r="F1177" s="15" t="s">
        <v>1790</v>
      </c>
      <c r="G1177" s="7">
        <v>15.716</v>
      </c>
      <c r="H1177" s="15" t="s">
        <v>6137</v>
      </c>
      <c r="I1177" s="15" t="s">
        <v>1628</v>
      </c>
      <c r="J1177" s="15" t="s">
        <v>6138</v>
      </c>
      <c r="K1177" s="15">
        <v>10.0</v>
      </c>
      <c r="L1177" s="15">
        <v>11.0</v>
      </c>
      <c r="M1177" s="40">
        <v>38355.0</v>
      </c>
      <c r="N1177" s="41">
        <v>42297.0</v>
      </c>
      <c r="O1177" s="15" t="s">
        <v>1554</v>
      </c>
      <c r="Q1177" s="7"/>
    </row>
    <row r="1178">
      <c r="A1178" s="39" t="s">
        <v>6139</v>
      </c>
      <c r="B1178" s="15">
        <v>674983.0</v>
      </c>
      <c r="C1178" s="15" t="s">
        <v>6140</v>
      </c>
      <c r="D1178" s="15">
        <v>15169.0</v>
      </c>
      <c r="E1178" s="15" t="s">
        <v>1638</v>
      </c>
      <c r="F1178" s="15" t="s">
        <v>1796</v>
      </c>
      <c r="G1178" s="7">
        <v>4.519</v>
      </c>
      <c r="H1178" s="15" t="s">
        <v>6142</v>
      </c>
      <c r="I1178" s="15" t="s">
        <v>1628</v>
      </c>
      <c r="J1178" s="15" t="s">
        <v>6143</v>
      </c>
      <c r="K1178" s="15">
        <v>2.0</v>
      </c>
      <c r="L1178" s="15">
        <v>2.0</v>
      </c>
      <c r="M1178" s="40">
        <v>38384.0</v>
      </c>
      <c r="N1178" s="41">
        <v>42297.0</v>
      </c>
      <c r="O1178" s="15" t="s">
        <v>1554</v>
      </c>
      <c r="Q1178" s="7"/>
    </row>
    <row r="1179">
      <c r="A1179" s="39" t="s">
        <v>6144</v>
      </c>
      <c r="B1179" s="15">
        <v>312008.0</v>
      </c>
      <c r="C1179" s="15" t="s">
        <v>6145</v>
      </c>
      <c r="D1179" s="15">
        <v>15170.0</v>
      </c>
      <c r="E1179" s="15" t="s">
        <v>1548</v>
      </c>
      <c r="F1179" s="15" t="s">
        <v>2032</v>
      </c>
      <c r="G1179" s="7">
        <v>6.82</v>
      </c>
      <c r="H1179" s="15" t="s">
        <v>4113</v>
      </c>
      <c r="I1179" s="15" t="s">
        <v>2034</v>
      </c>
      <c r="J1179" s="15" t="s">
        <v>6146</v>
      </c>
      <c r="K1179" s="15">
        <v>3.0</v>
      </c>
      <c r="L1179" s="15">
        <v>3.0</v>
      </c>
      <c r="M1179" s="40">
        <v>38399.0</v>
      </c>
      <c r="N1179" s="40">
        <v>40148.0</v>
      </c>
      <c r="O1179" s="15" t="s">
        <v>1554</v>
      </c>
      <c r="Q1179" s="7"/>
    </row>
    <row r="1180">
      <c r="A1180" s="39" t="s">
        <v>6147</v>
      </c>
      <c r="B1180" s="15">
        <v>291590.0</v>
      </c>
      <c r="C1180" s="15" t="s">
        <v>6148</v>
      </c>
      <c r="D1180" s="15">
        <v>15171.0</v>
      </c>
      <c r="E1180" s="15" t="s">
        <v>1557</v>
      </c>
      <c r="F1180" s="15" t="s">
        <v>1822</v>
      </c>
      <c r="G1180" s="7">
        <v>7.428</v>
      </c>
      <c r="H1180" s="15" t="s">
        <v>3097</v>
      </c>
      <c r="I1180" s="15" t="s">
        <v>1686</v>
      </c>
      <c r="J1180" s="15" t="s">
        <v>6149</v>
      </c>
      <c r="K1180" s="15">
        <v>7.0</v>
      </c>
      <c r="L1180" s="15">
        <v>7.0</v>
      </c>
      <c r="M1180" s="40">
        <v>38362.0</v>
      </c>
      <c r="N1180" s="40">
        <v>40352.0</v>
      </c>
      <c r="O1180" s="15" t="s">
        <v>1554</v>
      </c>
      <c r="Q1180" s="7"/>
    </row>
    <row r="1181">
      <c r="A1181" s="39" t="s">
        <v>6150</v>
      </c>
      <c r="B1181" s="15">
        <v>307677.0</v>
      </c>
      <c r="C1181" s="15" t="s">
        <v>6151</v>
      </c>
      <c r="D1181" s="15">
        <v>15172.0</v>
      </c>
      <c r="E1181" s="15" t="s">
        <v>1548</v>
      </c>
      <c r="F1181" s="15" t="s">
        <v>1786</v>
      </c>
      <c r="G1181" s="7">
        <v>7.494</v>
      </c>
      <c r="H1181" s="15" t="s">
        <v>3070</v>
      </c>
      <c r="I1181" s="15" t="s">
        <v>1628</v>
      </c>
      <c r="J1181" s="15" t="s">
        <v>6152</v>
      </c>
      <c r="K1181" s="15">
        <v>3.0</v>
      </c>
      <c r="L1181" s="15">
        <v>3.0</v>
      </c>
      <c r="M1181" s="40">
        <v>38370.0</v>
      </c>
      <c r="N1181" s="40">
        <v>39924.0</v>
      </c>
      <c r="O1181" s="15" t="s">
        <v>1554</v>
      </c>
      <c r="Q1181" s="7"/>
    </row>
    <row r="1182">
      <c r="A1182" s="39" t="s">
        <v>6153</v>
      </c>
      <c r="B1182" s="15">
        <v>310539.0</v>
      </c>
      <c r="C1182" s="15" t="s">
        <v>6154</v>
      </c>
      <c r="D1182" s="15">
        <v>15173.0</v>
      </c>
      <c r="E1182" s="15" t="s">
        <v>1557</v>
      </c>
      <c r="F1182" s="15" t="s">
        <v>1833</v>
      </c>
      <c r="G1182" s="7">
        <v>37.966</v>
      </c>
      <c r="H1182" s="15">
        <v>44.0</v>
      </c>
      <c r="I1182" s="15" t="s">
        <v>1586</v>
      </c>
      <c r="J1182" s="15" t="s">
        <v>6156</v>
      </c>
      <c r="K1182" s="15">
        <v>47.0</v>
      </c>
      <c r="L1182" s="15">
        <v>47.0</v>
      </c>
      <c r="M1182" s="40">
        <v>38384.0</v>
      </c>
      <c r="N1182" s="40">
        <v>39822.0</v>
      </c>
      <c r="O1182" s="15" t="s">
        <v>1554</v>
      </c>
      <c r="Q1182" s="7"/>
    </row>
    <row r="1183">
      <c r="A1183" s="39" t="s">
        <v>6157</v>
      </c>
      <c r="B1183" s="15">
        <v>101570.0</v>
      </c>
      <c r="C1183" s="15" t="s">
        <v>6158</v>
      </c>
      <c r="D1183" s="15">
        <v>15174.0</v>
      </c>
      <c r="E1183" s="15" t="s">
        <v>1557</v>
      </c>
      <c r="F1183" s="15" t="s">
        <v>1833</v>
      </c>
      <c r="G1183" s="7">
        <v>46.9</v>
      </c>
      <c r="H1183" s="15" t="s">
        <v>1918</v>
      </c>
      <c r="I1183" s="15" t="s">
        <v>1586</v>
      </c>
      <c r="J1183" s="15" t="s">
        <v>6159</v>
      </c>
      <c r="K1183" s="15">
        <v>79.0</v>
      </c>
      <c r="L1183" s="15">
        <v>79.0</v>
      </c>
      <c r="M1183" s="40">
        <v>38388.0</v>
      </c>
      <c r="N1183" s="40">
        <v>39939.0</v>
      </c>
      <c r="O1183" s="15" t="s">
        <v>1554</v>
      </c>
      <c r="Q1183" s="7"/>
    </row>
    <row r="1184">
      <c r="A1184" s="39" t="s">
        <v>6160</v>
      </c>
      <c r="B1184" s="15">
        <v>10817.0</v>
      </c>
      <c r="C1184" s="15" t="s">
        <v>6161</v>
      </c>
      <c r="D1184" s="15">
        <v>15175.0</v>
      </c>
      <c r="E1184" s="15" t="s">
        <v>1808</v>
      </c>
      <c r="F1184" s="15" t="s">
        <v>1809</v>
      </c>
      <c r="G1184" s="7">
        <v>5.503</v>
      </c>
      <c r="H1184" s="15" t="s">
        <v>6162</v>
      </c>
      <c r="I1184" s="15" t="s">
        <v>1628</v>
      </c>
      <c r="J1184" s="15" t="s">
        <v>6163</v>
      </c>
      <c r="K1184" s="15" t="s">
        <v>1722</v>
      </c>
      <c r="L1184" s="15" t="s">
        <v>1722</v>
      </c>
      <c r="M1184" s="40">
        <v>31229.0</v>
      </c>
      <c r="N1184" s="41">
        <v>42297.0</v>
      </c>
      <c r="O1184" s="15" t="s">
        <v>1554</v>
      </c>
      <c r="Q1184" s="7"/>
    </row>
    <row r="1185">
      <c r="A1185" s="39" t="s">
        <v>6164</v>
      </c>
      <c r="B1185" s="15">
        <v>62079.0</v>
      </c>
      <c r="C1185" s="15" t="s">
        <v>6165</v>
      </c>
      <c r="D1185" s="15">
        <v>15177.0</v>
      </c>
      <c r="E1185" s="15" t="s">
        <v>1808</v>
      </c>
      <c r="F1185" s="15" t="s">
        <v>1809</v>
      </c>
      <c r="G1185" s="7">
        <v>5.576</v>
      </c>
      <c r="H1185" s="15" t="s">
        <v>6166</v>
      </c>
      <c r="I1185" s="15" t="s">
        <v>1628</v>
      </c>
      <c r="J1185" s="15" t="s">
        <v>6167</v>
      </c>
      <c r="K1185" s="15">
        <v>9.0</v>
      </c>
      <c r="L1185" s="15">
        <v>9.0</v>
      </c>
      <c r="M1185" s="40">
        <v>36597.0</v>
      </c>
      <c r="N1185" s="40">
        <v>39790.0</v>
      </c>
      <c r="O1185" s="15" t="s">
        <v>1554</v>
      </c>
      <c r="Q1185" s="7"/>
    </row>
    <row r="1186">
      <c r="A1186" s="39" t="s">
        <v>6168</v>
      </c>
      <c r="B1186" s="15">
        <v>77763.0</v>
      </c>
      <c r="C1186" s="15" t="s">
        <v>6169</v>
      </c>
      <c r="D1186" s="15">
        <v>15178.0</v>
      </c>
      <c r="E1186" s="15" t="s">
        <v>1638</v>
      </c>
      <c r="F1186" s="15" t="s">
        <v>1863</v>
      </c>
      <c r="G1186" s="7">
        <v>20.682</v>
      </c>
      <c r="H1186" s="15" t="s">
        <v>6170</v>
      </c>
      <c r="I1186" s="15" t="s">
        <v>1803</v>
      </c>
      <c r="J1186" s="15" t="s">
        <v>6171</v>
      </c>
      <c r="K1186" s="15">
        <v>12.0</v>
      </c>
      <c r="L1186" s="15">
        <v>12.0</v>
      </c>
      <c r="M1186" s="40">
        <v>36105.0</v>
      </c>
      <c r="N1186" s="41">
        <v>42297.0</v>
      </c>
      <c r="O1186" s="15" t="s">
        <v>1554</v>
      </c>
      <c r="Q1186" s="7"/>
    </row>
    <row r="1187">
      <c r="A1187" s="39" t="s">
        <v>6173</v>
      </c>
      <c r="B1187" s="15">
        <v>221540.0</v>
      </c>
      <c r="C1187" s="15" t="s">
        <v>6174</v>
      </c>
      <c r="D1187" s="15">
        <v>15179.0</v>
      </c>
      <c r="E1187" s="15" t="s">
        <v>1808</v>
      </c>
      <c r="F1187" s="15" t="s">
        <v>1809</v>
      </c>
      <c r="G1187" s="7">
        <v>5.488</v>
      </c>
      <c r="H1187" s="15" t="s">
        <v>6175</v>
      </c>
      <c r="I1187" s="15" t="s">
        <v>1628</v>
      </c>
      <c r="J1187" s="15" t="s">
        <v>6176</v>
      </c>
      <c r="K1187" s="15">
        <v>10.0</v>
      </c>
      <c r="L1187" s="15">
        <v>10.0</v>
      </c>
      <c r="M1187" s="40">
        <v>36327.0</v>
      </c>
      <c r="N1187" s="40">
        <v>39790.0</v>
      </c>
      <c r="O1187" s="15" t="s">
        <v>1554</v>
      </c>
      <c r="Q1187" s="7"/>
    </row>
    <row r="1188">
      <c r="A1188" s="39" t="s">
        <v>6177</v>
      </c>
      <c r="B1188" s="15">
        <v>223262.0</v>
      </c>
      <c r="C1188" s="15" t="s">
        <v>6178</v>
      </c>
      <c r="D1188" s="15">
        <v>15180.0</v>
      </c>
      <c r="E1188" s="15" t="s">
        <v>1808</v>
      </c>
      <c r="F1188" s="15" t="s">
        <v>1809</v>
      </c>
      <c r="G1188" s="7">
        <v>5.543</v>
      </c>
      <c r="H1188" s="15" t="s">
        <v>6179</v>
      </c>
      <c r="I1188" s="15" t="s">
        <v>1628</v>
      </c>
      <c r="J1188" s="15" t="s">
        <v>6180</v>
      </c>
      <c r="K1188" s="15">
        <v>8.0</v>
      </c>
      <c r="L1188" s="15">
        <v>8.0</v>
      </c>
      <c r="M1188" s="40">
        <v>36338.0</v>
      </c>
      <c r="N1188" s="40">
        <v>39790.0</v>
      </c>
      <c r="O1188" s="15" t="s">
        <v>1554</v>
      </c>
      <c r="Q1188" s="7"/>
    </row>
    <row r="1189">
      <c r="A1189" s="39" t="s">
        <v>6181</v>
      </c>
      <c r="B1189" s="15">
        <v>10366.0</v>
      </c>
      <c r="C1189" s="15" t="s">
        <v>6182</v>
      </c>
      <c r="D1189" s="15">
        <v>15181.0</v>
      </c>
      <c r="E1189" s="15" t="s">
        <v>1557</v>
      </c>
      <c r="F1189" s="15" t="s">
        <v>1827</v>
      </c>
      <c r="G1189" s="7">
        <v>230.278</v>
      </c>
      <c r="H1189" s="15" t="s">
        <v>6183</v>
      </c>
      <c r="I1189" s="15" t="s">
        <v>1686</v>
      </c>
      <c r="J1189" s="15" t="s">
        <v>6184</v>
      </c>
      <c r="K1189" s="15">
        <v>168.0</v>
      </c>
      <c r="L1189" s="15">
        <v>161.0</v>
      </c>
      <c r="M1189" s="41">
        <v>35396.0</v>
      </c>
      <c r="N1189" s="40">
        <v>40812.0</v>
      </c>
      <c r="O1189" s="15" t="s">
        <v>1554</v>
      </c>
      <c r="Q1189" s="7"/>
    </row>
    <row r="1190">
      <c r="A1190" s="39" t="s">
        <v>6185</v>
      </c>
      <c r="B1190" s="15">
        <v>220938.0</v>
      </c>
      <c r="C1190" s="15" t="s">
        <v>6186</v>
      </c>
      <c r="D1190" s="15">
        <v>15182.0</v>
      </c>
      <c r="E1190" s="15" t="s">
        <v>1808</v>
      </c>
      <c r="F1190" s="15" t="s">
        <v>1809</v>
      </c>
      <c r="G1190" s="7">
        <v>2.781</v>
      </c>
      <c r="H1190" s="15">
        <v>41.0</v>
      </c>
      <c r="I1190" s="15" t="s">
        <v>1628</v>
      </c>
      <c r="J1190" s="15" t="s">
        <v>6187</v>
      </c>
      <c r="K1190" s="15">
        <v>6.0</v>
      </c>
      <c r="L1190" s="15">
        <v>6.0</v>
      </c>
      <c r="M1190" s="40">
        <v>37414.0</v>
      </c>
      <c r="N1190" s="40">
        <v>40031.0</v>
      </c>
      <c r="O1190" s="15" t="s">
        <v>1554</v>
      </c>
      <c r="Q1190" s="7"/>
    </row>
    <row r="1191">
      <c r="A1191" s="39" t="s">
        <v>6189</v>
      </c>
      <c r="B1191" s="15">
        <v>12196.0</v>
      </c>
      <c r="C1191" s="15" t="s">
        <v>6190</v>
      </c>
      <c r="D1191" s="15">
        <v>15183.0</v>
      </c>
      <c r="E1191" s="15" t="s">
        <v>1548</v>
      </c>
      <c r="F1191" s="15" t="s">
        <v>1911</v>
      </c>
      <c r="G1191" s="7">
        <v>9.992</v>
      </c>
      <c r="H1191" s="15" t="s">
        <v>1591</v>
      </c>
      <c r="I1191" s="15" t="s">
        <v>1628</v>
      </c>
      <c r="J1191" s="15" t="s">
        <v>6191</v>
      </c>
      <c r="K1191" s="15">
        <v>2.0</v>
      </c>
      <c r="L1191" s="15">
        <v>2.0</v>
      </c>
      <c r="M1191" s="40">
        <v>37293.0</v>
      </c>
      <c r="N1191" s="40">
        <v>42045.0</v>
      </c>
      <c r="O1191" s="15" t="s">
        <v>1554</v>
      </c>
      <c r="Q1191" s="7"/>
    </row>
    <row r="1192">
      <c r="A1192" s="39" t="s">
        <v>6192</v>
      </c>
      <c r="B1192" s="15">
        <v>42004.0</v>
      </c>
      <c r="C1192" s="15" t="s">
        <v>6193</v>
      </c>
      <c r="D1192" s="15">
        <v>15184.0</v>
      </c>
      <c r="E1192" s="15" t="s">
        <v>1548</v>
      </c>
      <c r="F1192" s="15" t="s">
        <v>1911</v>
      </c>
      <c r="G1192" s="7">
        <v>10.142</v>
      </c>
      <c r="H1192" s="15" t="s">
        <v>2163</v>
      </c>
      <c r="I1192" s="15" t="s">
        <v>1628</v>
      </c>
      <c r="J1192" s="15" t="s">
        <v>6194</v>
      </c>
      <c r="K1192" s="15">
        <v>2.0</v>
      </c>
      <c r="L1192" s="15">
        <v>2.0</v>
      </c>
      <c r="M1192" s="40">
        <v>37292.0</v>
      </c>
      <c r="N1192" s="40">
        <v>42045.0</v>
      </c>
      <c r="O1192" s="15" t="s">
        <v>1554</v>
      </c>
      <c r="Q1192" s="7"/>
    </row>
    <row r="1193">
      <c r="A1193" s="39" t="s">
        <v>6195</v>
      </c>
      <c r="B1193" s="15">
        <v>44562.0</v>
      </c>
      <c r="C1193" s="15" t="s">
        <v>6196</v>
      </c>
      <c r="D1193" s="15">
        <v>15185.0</v>
      </c>
      <c r="E1193" s="15" t="s">
        <v>1548</v>
      </c>
      <c r="F1193" s="15" t="s">
        <v>2900</v>
      </c>
      <c r="G1193" s="7">
        <v>4.415</v>
      </c>
      <c r="H1193" s="15" t="s">
        <v>2836</v>
      </c>
      <c r="I1193" s="15" t="s">
        <v>1628</v>
      </c>
      <c r="J1193" s="15" t="s">
        <v>6197</v>
      </c>
      <c r="K1193" s="15">
        <v>5.0</v>
      </c>
      <c r="L1193" s="15">
        <v>5.0</v>
      </c>
      <c r="M1193" s="41">
        <v>35046.0</v>
      </c>
      <c r="N1193" s="40">
        <v>42045.0</v>
      </c>
      <c r="O1193" s="15" t="s">
        <v>1554</v>
      </c>
      <c r="Q1193" s="7"/>
    </row>
    <row r="1194">
      <c r="A1194" s="39" t="s">
        <v>6199</v>
      </c>
      <c r="B1194" s="15">
        <v>82676.0</v>
      </c>
      <c r="C1194" s="15" t="s">
        <v>6200</v>
      </c>
      <c r="D1194" s="15">
        <v>15186.0</v>
      </c>
      <c r="E1194" s="15" t="s">
        <v>1557</v>
      </c>
      <c r="F1194" s="15" t="s">
        <v>1822</v>
      </c>
      <c r="G1194" s="7">
        <v>7.879</v>
      </c>
      <c r="H1194" s="15" t="s">
        <v>2660</v>
      </c>
      <c r="I1194" s="15" t="s">
        <v>1686</v>
      </c>
      <c r="J1194" s="15" t="s">
        <v>6201</v>
      </c>
      <c r="K1194" s="15">
        <v>8.0</v>
      </c>
      <c r="L1194" s="15">
        <v>8.0</v>
      </c>
      <c r="M1194" s="40">
        <v>37260.0</v>
      </c>
      <c r="N1194" s="40">
        <v>42578.0</v>
      </c>
      <c r="O1194" s="15" t="s">
        <v>1554</v>
      </c>
      <c r="Q1194" s="7"/>
    </row>
    <row r="1195">
      <c r="A1195" s="39" t="s">
        <v>6202</v>
      </c>
      <c r="B1195" s="15">
        <v>103722.0</v>
      </c>
      <c r="C1195" s="15" t="s">
        <v>6203</v>
      </c>
      <c r="D1195" s="15">
        <v>15188.0</v>
      </c>
      <c r="E1195" s="15" t="s">
        <v>1548</v>
      </c>
      <c r="F1195" s="15" t="s">
        <v>2032</v>
      </c>
      <c r="G1195" s="7">
        <v>7.564</v>
      </c>
      <c r="H1195" s="15" t="s">
        <v>6204</v>
      </c>
      <c r="I1195" s="15" t="s">
        <v>1628</v>
      </c>
      <c r="J1195" s="15" t="s">
        <v>6205</v>
      </c>
      <c r="K1195" s="15">
        <v>4.0</v>
      </c>
      <c r="L1195" s="15">
        <v>4.0</v>
      </c>
      <c r="M1195" s="40">
        <v>37260.0</v>
      </c>
      <c r="N1195" s="40">
        <v>40578.0</v>
      </c>
      <c r="O1195" s="15" t="s">
        <v>1554</v>
      </c>
      <c r="Q1195" s="7"/>
    </row>
    <row r="1196">
      <c r="A1196" s="39" t="s">
        <v>6206</v>
      </c>
      <c r="B1196" s="15">
        <v>111418.0</v>
      </c>
      <c r="C1196" s="15" t="s">
        <v>6207</v>
      </c>
      <c r="D1196" s="15">
        <v>15189.0</v>
      </c>
      <c r="E1196" s="15" t="s">
        <v>1548</v>
      </c>
      <c r="F1196" s="15" t="s">
        <v>2615</v>
      </c>
      <c r="G1196" s="7">
        <v>6.513</v>
      </c>
      <c r="H1196" s="15" t="s">
        <v>2064</v>
      </c>
      <c r="I1196" s="15" t="s">
        <v>1628</v>
      </c>
      <c r="J1196" s="15" t="s">
        <v>6209</v>
      </c>
      <c r="K1196" s="15">
        <v>3.0</v>
      </c>
      <c r="L1196" s="15">
        <v>4.0</v>
      </c>
      <c r="M1196" s="41">
        <v>37193.0</v>
      </c>
      <c r="N1196" s="40">
        <v>40578.0</v>
      </c>
      <c r="O1196" s="15" t="s">
        <v>1554</v>
      </c>
      <c r="Q1196" s="7"/>
    </row>
    <row r="1197">
      <c r="A1197" s="39" t="s">
        <v>6210</v>
      </c>
      <c r="B1197" s="15">
        <v>157018.0</v>
      </c>
      <c r="C1197" s="15" t="s">
        <v>6211</v>
      </c>
      <c r="D1197" s="15">
        <v>15190.0</v>
      </c>
      <c r="E1197" s="15" t="s">
        <v>1548</v>
      </c>
      <c r="F1197" s="15" t="s">
        <v>1911</v>
      </c>
      <c r="G1197" s="7">
        <v>9.324</v>
      </c>
      <c r="H1197" s="15" t="s">
        <v>2023</v>
      </c>
      <c r="I1197" s="15" t="s">
        <v>1628</v>
      </c>
      <c r="J1197" s="15" t="s">
        <v>6212</v>
      </c>
      <c r="K1197" s="15">
        <v>2.0</v>
      </c>
      <c r="L1197" s="15">
        <v>2.0</v>
      </c>
      <c r="M1197" s="40">
        <v>37293.0</v>
      </c>
      <c r="N1197" s="40">
        <v>42045.0</v>
      </c>
      <c r="O1197" s="15" t="s">
        <v>1554</v>
      </c>
      <c r="Q1197" s="7"/>
    </row>
    <row r="1198">
      <c r="A1198" s="39" t="s">
        <v>6213</v>
      </c>
      <c r="B1198" s="15">
        <v>157899.0</v>
      </c>
      <c r="C1198" s="15" t="s">
        <v>6214</v>
      </c>
      <c r="D1198" s="15">
        <v>15191.0</v>
      </c>
      <c r="E1198" s="15" t="s">
        <v>1557</v>
      </c>
      <c r="F1198" s="15" t="s">
        <v>6215</v>
      </c>
      <c r="G1198" s="7">
        <v>35.45</v>
      </c>
      <c r="H1198" s="42">
        <v>43156.0</v>
      </c>
      <c r="I1198" s="15" t="s">
        <v>1618</v>
      </c>
      <c r="J1198" s="15" t="s">
        <v>6216</v>
      </c>
      <c r="K1198" s="15">
        <v>54.0</v>
      </c>
      <c r="L1198" s="15">
        <v>54.0</v>
      </c>
      <c r="M1198" s="41">
        <v>37224.0</v>
      </c>
      <c r="N1198" s="40">
        <v>40578.0</v>
      </c>
      <c r="O1198" s="15" t="s">
        <v>1554</v>
      </c>
      <c r="Q1198" s="7"/>
    </row>
    <row r="1199">
      <c r="A1199" s="39" t="s">
        <v>6217</v>
      </c>
      <c r="B1199" s="15">
        <v>188333.0</v>
      </c>
      <c r="C1199" s="15" t="s">
        <v>6219</v>
      </c>
      <c r="D1199" s="15">
        <v>15192.0</v>
      </c>
      <c r="E1199" s="15" t="s">
        <v>1808</v>
      </c>
      <c r="F1199" s="15" t="s">
        <v>1809</v>
      </c>
      <c r="G1199" s="7">
        <v>2.746</v>
      </c>
      <c r="H1199" s="15" t="s">
        <v>1591</v>
      </c>
      <c r="I1199" s="15" t="s">
        <v>1628</v>
      </c>
      <c r="J1199" s="15" t="s">
        <v>6220</v>
      </c>
      <c r="K1199" s="15">
        <v>6.0</v>
      </c>
      <c r="L1199" s="15">
        <v>6.0</v>
      </c>
      <c r="M1199" s="40">
        <v>37319.0</v>
      </c>
      <c r="N1199" s="40">
        <v>40578.0</v>
      </c>
      <c r="O1199" s="15" t="s">
        <v>1554</v>
      </c>
      <c r="Q1199" s="7"/>
    </row>
    <row r="1200">
      <c r="A1200" s="39" t="s">
        <v>6221</v>
      </c>
      <c r="B1200" s="15">
        <v>222450.0</v>
      </c>
      <c r="C1200" s="15" t="s">
        <v>6222</v>
      </c>
      <c r="D1200" s="15">
        <v>15193.0</v>
      </c>
      <c r="E1200" s="15" t="s">
        <v>1808</v>
      </c>
      <c r="F1200" s="15" t="s">
        <v>1809</v>
      </c>
      <c r="G1200" s="7">
        <v>2.787</v>
      </c>
      <c r="H1200" s="15" t="s">
        <v>2548</v>
      </c>
      <c r="I1200" s="15" t="s">
        <v>1628</v>
      </c>
      <c r="J1200" s="15" t="s">
        <v>6223</v>
      </c>
      <c r="K1200" s="15">
        <v>5.0</v>
      </c>
      <c r="L1200" s="15">
        <v>5.0</v>
      </c>
      <c r="M1200" s="40">
        <v>35800.0</v>
      </c>
      <c r="N1200" s="40">
        <v>40578.0</v>
      </c>
      <c r="O1200" s="15" t="s">
        <v>1554</v>
      </c>
      <c r="Q1200" s="7"/>
    </row>
    <row r="1201">
      <c r="A1201" s="39" t="s">
        <v>6224</v>
      </c>
      <c r="B1201" s="15">
        <v>222474.0</v>
      </c>
      <c r="C1201" s="15" t="s">
        <v>6225</v>
      </c>
      <c r="D1201" s="15">
        <v>15194.0</v>
      </c>
      <c r="E1201" s="15" t="s">
        <v>1808</v>
      </c>
      <c r="F1201" s="15" t="s">
        <v>1809</v>
      </c>
      <c r="G1201" s="7">
        <v>2.714</v>
      </c>
      <c r="H1201" s="15" t="s">
        <v>1849</v>
      </c>
      <c r="I1201" s="15" t="s">
        <v>1628</v>
      </c>
      <c r="J1201" s="15" t="s">
        <v>6226</v>
      </c>
      <c r="K1201" s="15">
        <v>6.0</v>
      </c>
      <c r="L1201" s="15">
        <v>6.0</v>
      </c>
      <c r="M1201" s="40">
        <v>37260.0</v>
      </c>
      <c r="N1201" s="40">
        <v>40578.0</v>
      </c>
      <c r="O1201" s="15" t="s">
        <v>1554</v>
      </c>
      <c r="Q1201" s="7"/>
    </row>
    <row r="1202">
      <c r="A1202" s="39" t="s">
        <v>6228</v>
      </c>
      <c r="B1202" s="15">
        <v>207697.0</v>
      </c>
      <c r="C1202" s="15" t="s">
        <v>6229</v>
      </c>
      <c r="D1202" s="15">
        <v>15195.0</v>
      </c>
      <c r="E1202" s="15" t="s">
        <v>1808</v>
      </c>
      <c r="F1202" s="15" t="s">
        <v>1809</v>
      </c>
      <c r="G1202" s="7">
        <v>2.757</v>
      </c>
      <c r="H1202" s="15" t="s">
        <v>3255</v>
      </c>
      <c r="I1202" s="15" t="s">
        <v>1628</v>
      </c>
      <c r="J1202" s="15" t="s">
        <v>6230</v>
      </c>
      <c r="K1202" s="15">
        <v>7.0</v>
      </c>
      <c r="L1202" s="15">
        <v>7.0</v>
      </c>
      <c r="M1202" s="40">
        <v>37517.0</v>
      </c>
      <c r="N1202" s="40">
        <v>40578.0</v>
      </c>
      <c r="O1202" s="15" t="s">
        <v>1554</v>
      </c>
      <c r="Q1202" s="7"/>
    </row>
    <row r="1203">
      <c r="A1203" s="39" t="s">
        <v>6231</v>
      </c>
      <c r="B1203" s="15">
        <v>12040.0</v>
      </c>
      <c r="C1203" s="15" t="s">
        <v>6232</v>
      </c>
      <c r="D1203" s="15">
        <v>15196.0</v>
      </c>
      <c r="E1203" s="15" t="s">
        <v>1548</v>
      </c>
      <c r="F1203" s="15" t="s">
        <v>1771</v>
      </c>
      <c r="G1203" s="7">
        <v>5.677</v>
      </c>
      <c r="H1203" s="15" t="s">
        <v>4736</v>
      </c>
      <c r="I1203" s="15" t="s">
        <v>1628</v>
      </c>
      <c r="J1203" s="15" t="s">
        <v>6233</v>
      </c>
      <c r="K1203" s="15">
        <v>8.0</v>
      </c>
      <c r="L1203" s="15">
        <v>8.0</v>
      </c>
      <c r="M1203" s="40">
        <v>32340.0</v>
      </c>
      <c r="N1203" s="41">
        <v>42320.0</v>
      </c>
      <c r="O1203" s="15" t="s">
        <v>1554</v>
      </c>
      <c r="Q1203" s="7"/>
    </row>
    <row r="1204">
      <c r="A1204" s="39" t="s">
        <v>6234</v>
      </c>
      <c r="B1204" s="15">
        <v>10255.0</v>
      </c>
      <c r="C1204" s="15" t="s">
        <v>6235</v>
      </c>
      <c r="D1204" s="15">
        <v>15197.0</v>
      </c>
      <c r="E1204" s="15" t="s">
        <v>1557</v>
      </c>
      <c r="F1204" s="15" t="s">
        <v>2028</v>
      </c>
      <c r="G1204" s="7">
        <v>185.578</v>
      </c>
      <c r="H1204" s="15" t="s">
        <v>3022</v>
      </c>
      <c r="I1204" s="15" t="s">
        <v>1567</v>
      </c>
      <c r="J1204" s="15" t="s">
        <v>6236</v>
      </c>
      <c r="K1204" s="15">
        <v>197.0</v>
      </c>
      <c r="L1204" s="15">
        <v>197.0</v>
      </c>
      <c r="M1204" s="40">
        <v>34093.0</v>
      </c>
      <c r="N1204" s="41">
        <v>40505.0</v>
      </c>
      <c r="O1204" s="15" t="s">
        <v>1554</v>
      </c>
      <c r="Q1204" s="7"/>
    </row>
    <row r="1205">
      <c r="A1205" s="39" t="s">
        <v>6238</v>
      </c>
      <c r="B1205" s="15">
        <v>10338.0</v>
      </c>
      <c r="C1205" s="15" t="s">
        <v>6239</v>
      </c>
      <c r="D1205" s="15">
        <v>15198.0</v>
      </c>
      <c r="E1205" s="15" t="s">
        <v>1557</v>
      </c>
      <c r="F1205" s="15" t="s">
        <v>1827</v>
      </c>
      <c r="G1205" s="7">
        <v>124.884</v>
      </c>
      <c r="H1205" s="15">
        <v>46.0</v>
      </c>
      <c r="I1205" s="15" t="s">
        <v>1567</v>
      </c>
      <c r="J1205" s="15" t="s">
        <v>6240</v>
      </c>
      <c r="K1205" s="15">
        <v>73.0</v>
      </c>
      <c r="L1205" s="15">
        <v>73.0</v>
      </c>
      <c r="M1205" s="40">
        <v>32039.0</v>
      </c>
      <c r="N1205" s="40">
        <v>42045.0</v>
      </c>
      <c r="O1205" s="15" t="s">
        <v>1554</v>
      </c>
      <c r="Q1205" s="7"/>
    </row>
    <row r="1206">
      <c r="A1206" s="39" t="s">
        <v>6241</v>
      </c>
      <c r="B1206" s="15">
        <v>133789.0</v>
      </c>
      <c r="C1206" s="15" t="s">
        <v>6242</v>
      </c>
      <c r="D1206" s="15">
        <v>14284.0</v>
      </c>
      <c r="E1206" s="15" t="s">
        <v>1557</v>
      </c>
      <c r="F1206" s="15" t="s">
        <v>2004</v>
      </c>
      <c r="G1206" s="7">
        <v>4.981</v>
      </c>
      <c r="H1206" s="15" t="s">
        <v>4736</v>
      </c>
      <c r="I1206" s="15" t="s">
        <v>1686</v>
      </c>
      <c r="J1206" s="15" t="s">
        <v>6244</v>
      </c>
      <c r="K1206" s="15">
        <v>6.0</v>
      </c>
      <c r="L1206" s="15">
        <v>9.0</v>
      </c>
      <c r="M1206" s="40">
        <v>36746.0</v>
      </c>
      <c r="N1206" s="41">
        <v>40522.0</v>
      </c>
      <c r="O1206" s="15" t="s">
        <v>1554</v>
      </c>
      <c r="Q1206" s="7"/>
    </row>
    <row r="1207">
      <c r="A1207" s="39" t="s">
        <v>6245</v>
      </c>
      <c r="B1207" s="15">
        <v>215158.0</v>
      </c>
      <c r="C1207" s="15" t="s">
        <v>6246</v>
      </c>
      <c r="D1207" s="15">
        <v>14285.0</v>
      </c>
      <c r="E1207" s="15" t="s">
        <v>1557</v>
      </c>
      <c r="F1207" s="15" t="s">
        <v>1611</v>
      </c>
      <c r="G1207" s="7">
        <v>39.671</v>
      </c>
      <c r="H1207" s="15" t="s">
        <v>2189</v>
      </c>
      <c r="I1207" s="15" t="s">
        <v>1586</v>
      </c>
      <c r="J1207" s="15" t="s">
        <v>6247</v>
      </c>
      <c r="K1207" s="15">
        <v>51.0</v>
      </c>
      <c r="L1207" s="15">
        <v>51.0</v>
      </c>
      <c r="M1207" s="40">
        <v>37741.0</v>
      </c>
      <c r="N1207" s="41">
        <v>41236.0</v>
      </c>
      <c r="O1207" s="15" t="s">
        <v>1554</v>
      </c>
      <c r="Q1207" s="7"/>
    </row>
    <row r="1208">
      <c r="A1208" s="39" t="s">
        <v>6248</v>
      </c>
      <c r="B1208" s="15">
        <v>208491.0</v>
      </c>
      <c r="C1208" s="15" t="s">
        <v>6249</v>
      </c>
      <c r="D1208" s="15">
        <v>14286.0</v>
      </c>
      <c r="E1208" s="15" t="s">
        <v>1557</v>
      </c>
      <c r="F1208" s="15" t="s">
        <v>2004</v>
      </c>
      <c r="G1208" s="7">
        <v>5.256</v>
      </c>
      <c r="H1208" s="15" t="s">
        <v>3823</v>
      </c>
      <c r="I1208" s="15" t="s">
        <v>1686</v>
      </c>
      <c r="J1208" s="15" t="s">
        <v>6250</v>
      </c>
      <c r="K1208" s="15">
        <v>6.0</v>
      </c>
      <c r="L1208" s="15">
        <v>6.0</v>
      </c>
      <c r="M1208" s="40">
        <v>37748.0</v>
      </c>
      <c r="N1208" s="40">
        <v>40263.0</v>
      </c>
      <c r="O1208" s="15" t="s">
        <v>1554</v>
      </c>
      <c r="Q1208" s="7"/>
    </row>
    <row r="1209">
      <c r="A1209" s="39" t="s">
        <v>6251</v>
      </c>
      <c r="B1209" s="15">
        <v>196242.0</v>
      </c>
      <c r="C1209" s="15" t="s">
        <v>6252</v>
      </c>
      <c r="D1209" s="15">
        <v>14287.0</v>
      </c>
      <c r="E1209" s="15" t="s">
        <v>1557</v>
      </c>
      <c r="F1209" s="15" t="s">
        <v>1833</v>
      </c>
      <c r="G1209" s="7">
        <v>57.93</v>
      </c>
      <c r="H1209" s="15" t="s">
        <v>3973</v>
      </c>
      <c r="I1209" s="15" t="s">
        <v>1586</v>
      </c>
      <c r="J1209" s="15" t="s">
        <v>6254</v>
      </c>
      <c r="K1209" s="15">
        <v>85.0</v>
      </c>
      <c r="L1209" s="15">
        <v>85.0</v>
      </c>
      <c r="M1209" s="40">
        <v>37764.0</v>
      </c>
      <c r="N1209" s="40">
        <v>39920.0</v>
      </c>
      <c r="O1209" s="15" t="s">
        <v>1554</v>
      </c>
      <c r="Q1209" s="7"/>
    </row>
    <row r="1210">
      <c r="A1210" s="39" t="s">
        <v>6255</v>
      </c>
      <c r="B1210" s="15">
        <v>230871.0</v>
      </c>
      <c r="C1210" s="15" t="s">
        <v>6256</v>
      </c>
      <c r="D1210" s="15">
        <v>14288.0</v>
      </c>
      <c r="E1210" s="15" t="s">
        <v>1557</v>
      </c>
      <c r="F1210" s="15" t="s">
        <v>1611</v>
      </c>
      <c r="G1210" s="7">
        <v>16.687</v>
      </c>
      <c r="H1210" s="15" t="s">
        <v>1696</v>
      </c>
      <c r="I1210" s="15" t="s">
        <v>1586</v>
      </c>
      <c r="J1210" s="15" t="s">
        <v>6257</v>
      </c>
      <c r="K1210" s="15">
        <v>20.0</v>
      </c>
      <c r="L1210" s="15">
        <v>20.0</v>
      </c>
      <c r="M1210" s="40">
        <v>37762.0</v>
      </c>
      <c r="N1210" s="40">
        <v>39920.0</v>
      </c>
      <c r="O1210" s="15" t="s">
        <v>1554</v>
      </c>
      <c r="Q1210" s="7"/>
    </row>
    <row r="1211">
      <c r="A1211" s="39" t="s">
        <v>6258</v>
      </c>
      <c r="B1211" s="15">
        <v>173824.0</v>
      </c>
      <c r="C1211" s="15" t="s">
        <v>6259</v>
      </c>
      <c r="D1211" s="15">
        <v>14289.0</v>
      </c>
      <c r="E1211" s="15" t="s">
        <v>1557</v>
      </c>
      <c r="F1211" s="15" t="s">
        <v>1833</v>
      </c>
      <c r="G1211" s="7">
        <v>31.007</v>
      </c>
      <c r="H1211" s="15" t="s">
        <v>4401</v>
      </c>
      <c r="I1211" s="15" t="s">
        <v>1618</v>
      </c>
      <c r="J1211" s="15" t="s">
        <v>6260</v>
      </c>
      <c r="K1211" s="15">
        <v>37.0</v>
      </c>
      <c r="L1211" s="15">
        <v>37.0</v>
      </c>
      <c r="M1211" s="41">
        <v>36873.0</v>
      </c>
      <c r="N1211" s="40">
        <v>43013.0</v>
      </c>
      <c r="O1211" s="15" t="s">
        <v>1554</v>
      </c>
      <c r="Q1211" s="7"/>
    </row>
    <row r="1212">
      <c r="A1212" s="39" t="s">
        <v>6261</v>
      </c>
      <c r="B1212" s="15">
        <v>207240.0</v>
      </c>
      <c r="C1212" s="15" t="s">
        <v>6262</v>
      </c>
      <c r="D1212" s="15">
        <v>14290.0</v>
      </c>
      <c r="E1212" s="15" t="s">
        <v>1808</v>
      </c>
      <c r="F1212" s="15" t="s">
        <v>1809</v>
      </c>
      <c r="G1212" s="7">
        <v>5.455</v>
      </c>
      <c r="H1212" s="15" t="s">
        <v>6263</v>
      </c>
      <c r="I1212" s="15" t="s">
        <v>1628</v>
      </c>
      <c r="J1212" s="15" t="s">
        <v>6264</v>
      </c>
      <c r="K1212" s="15">
        <v>8.0</v>
      </c>
      <c r="L1212" s="15">
        <v>8.0</v>
      </c>
      <c r="M1212" s="40">
        <v>37774.0</v>
      </c>
      <c r="N1212" s="40">
        <v>42045.0</v>
      </c>
      <c r="O1212" s="15" t="s">
        <v>1554</v>
      </c>
      <c r="Q1212" s="7"/>
    </row>
    <row r="1213">
      <c r="A1213" s="39" t="s">
        <v>6266</v>
      </c>
      <c r="B1213" s="15">
        <v>194966.0</v>
      </c>
      <c r="C1213" s="15" t="s">
        <v>6267</v>
      </c>
      <c r="D1213" s="15">
        <v>14291.0</v>
      </c>
      <c r="E1213" s="15" t="s">
        <v>1557</v>
      </c>
      <c r="F1213" s="15" t="s">
        <v>1611</v>
      </c>
      <c r="G1213" s="7">
        <v>43.769</v>
      </c>
      <c r="H1213" s="15" t="s">
        <v>1700</v>
      </c>
      <c r="I1213" s="15" t="s">
        <v>1586</v>
      </c>
      <c r="J1213" s="15" t="s">
        <v>6268</v>
      </c>
      <c r="K1213" s="15">
        <v>52.0</v>
      </c>
      <c r="L1213" s="15">
        <v>52.0</v>
      </c>
      <c r="M1213" s="40">
        <v>37779.0</v>
      </c>
      <c r="N1213" s="40">
        <v>39920.0</v>
      </c>
      <c r="O1213" s="15" t="s">
        <v>1554</v>
      </c>
      <c r="Q1213" s="7"/>
    </row>
    <row r="1214">
      <c r="A1214" s="39" t="s">
        <v>6269</v>
      </c>
      <c r="B1214" s="15">
        <v>225588.0</v>
      </c>
      <c r="C1214" s="15" t="s">
        <v>6270</v>
      </c>
      <c r="D1214" s="15">
        <v>14276.0</v>
      </c>
      <c r="E1214" s="15" t="s">
        <v>1557</v>
      </c>
      <c r="F1214" s="15" t="s">
        <v>1833</v>
      </c>
      <c r="G1214" s="7">
        <v>41.831</v>
      </c>
      <c r="H1214" s="15" t="s">
        <v>6271</v>
      </c>
      <c r="I1214" s="15" t="s">
        <v>1586</v>
      </c>
      <c r="J1214" s="15" t="s">
        <v>6272</v>
      </c>
      <c r="K1214" s="15">
        <v>56.0</v>
      </c>
      <c r="L1214" s="15">
        <v>55.0</v>
      </c>
      <c r="M1214" s="40">
        <v>37705.0</v>
      </c>
      <c r="N1214" s="41">
        <v>39435.0</v>
      </c>
      <c r="O1214" s="15" t="s">
        <v>1554</v>
      </c>
      <c r="Q1214" s="7"/>
    </row>
    <row r="1215">
      <c r="A1215" s="39" t="s">
        <v>6273</v>
      </c>
      <c r="B1215" s="15">
        <v>223524.0</v>
      </c>
      <c r="C1215" s="15" t="s">
        <v>6274</v>
      </c>
      <c r="D1215" s="15">
        <v>14279.0</v>
      </c>
      <c r="E1215" s="15" t="s">
        <v>1808</v>
      </c>
      <c r="F1215" s="15" t="s">
        <v>2969</v>
      </c>
      <c r="G1215" s="7">
        <v>7.542</v>
      </c>
      <c r="H1215" s="15" t="s">
        <v>2552</v>
      </c>
      <c r="I1215" s="15" t="s">
        <v>1586</v>
      </c>
      <c r="J1215" s="15" t="s">
        <v>6275</v>
      </c>
      <c r="K1215" s="15">
        <v>13.0</v>
      </c>
      <c r="L1215" s="15">
        <v>13.0</v>
      </c>
      <c r="M1215" s="40">
        <v>37726.0</v>
      </c>
      <c r="N1215" s="40">
        <v>39939.0</v>
      </c>
      <c r="O1215" s="15" t="s">
        <v>1554</v>
      </c>
      <c r="Q1215" s="7"/>
    </row>
    <row r="1216">
      <c r="A1216" s="39" t="s">
        <v>6277</v>
      </c>
      <c r="B1216" s="15">
        <v>227940.0</v>
      </c>
      <c r="C1216" s="15" t="s">
        <v>6278</v>
      </c>
      <c r="D1216" s="15">
        <v>14280.0</v>
      </c>
      <c r="E1216" s="15" t="s">
        <v>1557</v>
      </c>
      <c r="F1216" s="15" t="s">
        <v>1767</v>
      </c>
      <c r="G1216" s="7">
        <v>30.728</v>
      </c>
      <c r="H1216" s="15" t="s">
        <v>2417</v>
      </c>
      <c r="I1216" s="15" t="s">
        <v>1586</v>
      </c>
      <c r="J1216" s="15" t="s">
        <v>6279</v>
      </c>
      <c r="K1216" s="15">
        <v>40.0</v>
      </c>
      <c r="L1216" s="15">
        <v>40.0</v>
      </c>
      <c r="M1216" s="40">
        <v>37731.0</v>
      </c>
      <c r="N1216" s="40">
        <v>40263.0</v>
      </c>
      <c r="O1216" s="15" t="s">
        <v>1554</v>
      </c>
      <c r="Q1216" s="7"/>
    </row>
    <row r="1217">
      <c r="A1217" s="39" t="s">
        <v>6280</v>
      </c>
      <c r="B1217" s="15">
        <v>201847.0</v>
      </c>
      <c r="C1217" s="15" t="s">
        <v>6281</v>
      </c>
      <c r="D1217" s="15">
        <v>14281.0</v>
      </c>
      <c r="E1217" s="15" t="s">
        <v>1557</v>
      </c>
      <c r="F1217" s="15" t="s">
        <v>1833</v>
      </c>
      <c r="G1217" s="7">
        <v>36.596</v>
      </c>
      <c r="H1217" s="15" t="s">
        <v>3568</v>
      </c>
      <c r="I1217" s="15" t="s">
        <v>1586</v>
      </c>
      <c r="J1217" s="15" t="s">
        <v>6283</v>
      </c>
      <c r="K1217" s="15">
        <v>49.0</v>
      </c>
      <c r="L1217" s="15">
        <v>49.0</v>
      </c>
      <c r="M1217" s="40">
        <v>37462.0</v>
      </c>
      <c r="N1217" s="40">
        <v>39920.0</v>
      </c>
      <c r="O1217" s="15" t="s">
        <v>1554</v>
      </c>
      <c r="Q1217" s="7"/>
    </row>
    <row r="1218">
      <c r="A1218" s="39" t="s">
        <v>6284</v>
      </c>
      <c r="B1218" s="15">
        <v>180504.0</v>
      </c>
      <c r="C1218" s="15" t="s">
        <v>6285</v>
      </c>
      <c r="D1218" s="15">
        <v>14330.0</v>
      </c>
      <c r="E1218" s="15" t="s">
        <v>1557</v>
      </c>
      <c r="F1218" s="15" t="s">
        <v>1833</v>
      </c>
      <c r="G1218" s="7">
        <v>53.373</v>
      </c>
      <c r="H1218" s="15" t="s">
        <v>2154</v>
      </c>
      <c r="I1218" s="15" t="s">
        <v>1586</v>
      </c>
      <c r="J1218" s="15" t="s">
        <v>6288</v>
      </c>
      <c r="K1218" s="15">
        <v>71.0</v>
      </c>
      <c r="L1218" s="15">
        <v>71.0</v>
      </c>
      <c r="M1218" s="41">
        <v>37236.0</v>
      </c>
      <c r="N1218" s="40">
        <v>39920.0</v>
      </c>
      <c r="O1218" s="15" t="s">
        <v>1554</v>
      </c>
      <c r="Q1218" s="7"/>
    </row>
    <row r="1219">
      <c r="A1219" s="39" t="s">
        <v>6294</v>
      </c>
      <c r="B1219" s="15">
        <v>114416.0</v>
      </c>
      <c r="C1219" s="15" t="s">
        <v>6297</v>
      </c>
      <c r="D1219" s="15">
        <v>14331.0</v>
      </c>
      <c r="E1219" s="15" t="s">
        <v>1557</v>
      </c>
      <c r="F1219" s="15" t="s">
        <v>1833</v>
      </c>
      <c r="G1219" s="7">
        <v>36.798</v>
      </c>
      <c r="H1219" s="15" t="s">
        <v>6303</v>
      </c>
      <c r="I1219" s="15" t="s">
        <v>1586</v>
      </c>
      <c r="J1219" s="15" t="s">
        <v>6305</v>
      </c>
      <c r="K1219" s="15">
        <v>61.0</v>
      </c>
      <c r="L1219" s="15">
        <v>61.0</v>
      </c>
      <c r="M1219" s="40">
        <v>37443.0</v>
      </c>
      <c r="N1219" s="40">
        <v>39920.0</v>
      </c>
      <c r="O1219" s="15" t="s">
        <v>1554</v>
      </c>
      <c r="Q1219" s="7"/>
    </row>
    <row r="1220">
      <c r="A1220" s="39" t="s">
        <v>6313</v>
      </c>
      <c r="B1220" s="15">
        <v>979533.0</v>
      </c>
      <c r="C1220" s="15" t="s">
        <v>6314</v>
      </c>
      <c r="D1220" s="15">
        <v>63231.0</v>
      </c>
      <c r="E1220" s="15" t="s">
        <v>1557</v>
      </c>
      <c r="F1220" s="15" t="s">
        <v>1611</v>
      </c>
      <c r="G1220" s="7">
        <v>49.675</v>
      </c>
      <c r="H1220" s="15" t="s">
        <v>2005</v>
      </c>
      <c r="I1220" s="15" t="s">
        <v>1586</v>
      </c>
      <c r="J1220" s="15" t="s">
        <v>6315</v>
      </c>
      <c r="K1220" s="15">
        <v>72.0</v>
      </c>
      <c r="L1220" s="15">
        <v>72.0</v>
      </c>
      <c r="M1220" s="40">
        <v>40596.0</v>
      </c>
      <c r="N1220" s="40">
        <v>40731.0</v>
      </c>
      <c r="O1220" s="15" t="s">
        <v>1554</v>
      </c>
      <c r="Q1220" s="7"/>
    </row>
    <row r="1221">
      <c r="A1221" s="39" t="s">
        <v>6316</v>
      </c>
      <c r="B1221" s="15">
        <v>227720.0</v>
      </c>
      <c r="C1221" s="15" t="s">
        <v>6317</v>
      </c>
      <c r="D1221" s="15">
        <v>14332.0</v>
      </c>
      <c r="E1221" s="15" t="s">
        <v>1557</v>
      </c>
      <c r="F1221" s="15" t="s">
        <v>1611</v>
      </c>
      <c r="G1221" s="7">
        <v>37.555</v>
      </c>
      <c r="H1221" s="15" t="s">
        <v>5382</v>
      </c>
      <c r="I1221" s="15" t="s">
        <v>1586</v>
      </c>
      <c r="J1221" s="15" t="s">
        <v>6318</v>
      </c>
      <c r="K1221" s="15">
        <v>50.0</v>
      </c>
      <c r="L1221" s="15">
        <v>50.0</v>
      </c>
      <c r="M1221" s="40">
        <v>37742.0</v>
      </c>
      <c r="N1221" s="40">
        <v>40263.0</v>
      </c>
      <c r="O1221" s="15" t="s">
        <v>1554</v>
      </c>
      <c r="Q1221" s="7"/>
    </row>
    <row r="1222">
      <c r="A1222" s="39" t="s">
        <v>6319</v>
      </c>
      <c r="B1222" s="15">
        <v>10708.0</v>
      </c>
      <c r="C1222" s="15" t="s">
        <v>6320</v>
      </c>
      <c r="D1222" s="15">
        <v>14334.0</v>
      </c>
      <c r="E1222" s="15" t="s">
        <v>1557</v>
      </c>
      <c r="F1222" s="15" t="s">
        <v>1833</v>
      </c>
      <c r="G1222" s="7">
        <v>37.611</v>
      </c>
      <c r="H1222" s="15" t="s">
        <v>3685</v>
      </c>
      <c r="I1222" s="15" t="s">
        <v>1586</v>
      </c>
      <c r="J1222" s="15" t="s">
        <v>6322</v>
      </c>
      <c r="K1222" s="15">
        <v>55.0</v>
      </c>
      <c r="L1222" s="15">
        <v>55.0</v>
      </c>
      <c r="M1222" s="41">
        <v>37908.0</v>
      </c>
      <c r="N1222" s="41">
        <v>41235.0</v>
      </c>
      <c r="O1222" s="15" t="s">
        <v>1554</v>
      </c>
      <c r="Q1222" s="7"/>
    </row>
    <row r="1223">
      <c r="A1223" s="39" t="s">
        <v>6323</v>
      </c>
      <c r="B1223" s="15">
        <v>242527.0</v>
      </c>
      <c r="C1223" s="15" t="s">
        <v>6324</v>
      </c>
      <c r="D1223" s="15">
        <v>14335.0</v>
      </c>
      <c r="E1223" s="15" t="s">
        <v>1557</v>
      </c>
      <c r="F1223" s="15" t="s">
        <v>1611</v>
      </c>
      <c r="G1223" s="7">
        <v>63.882</v>
      </c>
      <c r="H1223" s="15" t="s">
        <v>6325</v>
      </c>
      <c r="I1223" s="15" t="s">
        <v>1586</v>
      </c>
      <c r="J1223" s="15" t="s">
        <v>6326</v>
      </c>
      <c r="K1223" s="15">
        <v>77.0</v>
      </c>
      <c r="L1223" s="15">
        <v>77.0</v>
      </c>
      <c r="M1223" s="40">
        <v>37857.0</v>
      </c>
      <c r="N1223" s="40">
        <v>43013.0</v>
      </c>
      <c r="O1223" s="15" t="s">
        <v>1554</v>
      </c>
      <c r="Q1223" s="7"/>
    </row>
    <row r="1224">
      <c r="A1224" s="39" t="s">
        <v>6328</v>
      </c>
      <c r="B1224" s="15">
        <v>10759.0</v>
      </c>
      <c r="C1224" s="15" t="s">
        <v>6329</v>
      </c>
      <c r="D1224" s="15">
        <v>14336.0</v>
      </c>
      <c r="E1224" s="15" t="s">
        <v>1557</v>
      </c>
      <c r="F1224" s="15" t="s">
        <v>1611</v>
      </c>
      <c r="G1224" s="7">
        <v>38.208</v>
      </c>
      <c r="H1224" s="15" t="s">
        <v>3836</v>
      </c>
      <c r="I1224" s="15" t="s">
        <v>1586</v>
      </c>
      <c r="J1224" s="15" t="s">
        <v>6331</v>
      </c>
      <c r="K1224" s="15">
        <v>56.0</v>
      </c>
      <c r="L1224" s="15">
        <v>55.0</v>
      </c>
      <c r="M1224" s="40">
        <v>37229.0</v>
      </c>
      <c r="N1224" s="40">
        <v>42045.0</v>
      </c>
      <c r="O1224" s="15" t="s">
        <v>1554</v>
      </c>
      <c r="Q1224" s="7"/>
    </row>
    <row r="1225">
      <c r="A1225" s="39" t="s">
        <v>6332</v>
      </c>
      <c r="B1225" s="15">
        <v>221915.0</v>
      </c>
      <c r="C1225" s="15" t="s">
        <v>6333</v>
      </c>
      <c r="D1225" s="15">
        <v>14479.0</v>
      </c>
      <c r="E1225" s="15" t="s">
        <v>1557</v>
      </c>
      <c r="F1225" s="15" t="s">
        <v>1767</v>
      </c>
      <c r="G1225" s="7">
        <v>148.317</v>
      </c>
      <c r="H1225" s="42">
        <v>43220.0</v>
      </c>
      <c r="I1225" s="15" t="s">
        <v>1586</v>
      </c>
      <c r="J1225" s="15" t="s">
        <v>6335</v>
      </c>
      <c r="K1225" s="15">
        <v>237.0</v>
      </c>
      <c r="L1225" s="15">
        <v>233.0</v>
      </c>
      <c r="M1225" s="40">
        <v>38152.0</v>
      </c>
      <c r="N1225" s="40">
        <v>41808.0</v>
      </c>
      <c r="O1225" s="15" t="s">
        <v>1554</v>
      </c>
      <c r="Q1225" s="7"/>
    </row>
    <row r="1226">
      <c r="A1226" s="39" t="s">
        <v>6336</v>
      </c>
      <c r="B1226" s="15">
        <v>10464.0</v>
      </c>
      <c r="C1226" s="15" t="s">
        <v>6337</v>
      </c>
      <c r="D1226" s="15">
        <v>14481.0</v>
      </c>
      <c r="E1226" s="15" t="s">
        <v>1557</v>
      </c>
      <c r="F1226" s="15" t="s">
        <v>1992</v>
      </c>
      <c r="G1226" s="7">
        <v>131.68</v>
      </c>
      <c r="H1226" s="15" t="s">
        <v>2885</v>
      </c>
      <c r="I1226" s="15" t="s">
        <v>1560</v>
      </c>
      <c r="J1226" s="15" t="s">
        <v>6339</v>
      </c>
      <c r="K1226" s="15">
        <v>132.0</v>
      </c>
      <c r="L1226" s="15">
        <v>132.0</v>
      </c>
      <c r="M1226" s="40">
        <v>38051.0</v>
      </c>
      <c r="N1226" s="41">
        <v>40498.0</v>
      </c>
      <c r="O1226" s="15" t="s">
        <v>1554</v>
      </c>
      <c r="Q1226" s="7"/>
    </row>
    <row r="1227">
      <c r="A1227" s="39" t="s">
        <v>6341</v>
      </c>
      <c r="B1227" s="15">
        <v>223361.0</v>
      </c>
      <c r="C1227" s="15" t="s">
        <v>6342</v>
      </c>
      <c r="D1227" s="15">
        <v>14482.0</v>
      </c>
      <c r="E1227" s="15" t="s">
        <v>1808</v>
      </c>
      <c r="F1227" s="15" t="s">
        <v>1809</v>
      </c>
      <c r="G1227" s="7">
        <v>2.593</v>
      </c>
      <c r="H1227" s="15" t="s">
        <v>1720</v>
      </c>
      <c r="I1227" s="15" t="s">
        <v>1628</v>
      </c>
      <c r="J1227" s="15" t="s">
        <v>6344</v>
      </c>
      <c r="K1227" s="15">
        <v>4.0</v>
      </c>
      <c r="L1227" s="15">
        <v>4.0</v>
      </c>
      <c r="M1227" s="40">
        <v>36312.0</v>
      </c>
      <c r="N1227" s="40">
        <v>39790.0</v>
      </c>
      <c r="O1227" s="15" t="s">
        <v>1554</v>
      </c>
      <c r="Q1227" s="7"/>
    </row>
    <row r="1228">
      <c r="A1228" s="39" t="s">
        <v>6345</v>
      </c>
      <c r="B1228" s="15">
        <v>31600.0</v>
      </c>
      <c r="C1228" s="15" t="s">
        <v>6346</v>
      </c>
      <c r="D1228" s="15">
        <v>14483.0</v>
      </c>
      <c r="E1228" s="15" t="s">
        <v>1808</v>
      </c>
      <c r="F1228" s="15" t="s">
        <v>1809</v>
      </c>
      <c r="G1228" s="7">
        <v>5.46</v>
      </c>
      <c r="H1228" s="15" t="s">
        <v>6347</v>
      </c>
      <c r="I1228" s="15" t="s">
        <v>1628</v>
      </c>
      <c r="J1228" s="15" t="s">
        <v>6348</v>
      </c>
      <c r="K1228" s="15">
        <v>10.0</v>
      </c>
      <c r="L1228" s="15">
        <v>10.0</v>
      </c>
      <c r="M1228" s="40">
        <v>34179.0</v>
      </c>
      <c r="N1228" s="40">
        <v>39790.0</v>
      </c>
      <c r="O1228" s="15" t="s">
        <v>1554</v>
      </c>
      <c r="Q1228" s="7"/>
    </row>
    <row r="1229">
      <c r="A1229" s="39" t="s">
        <v>6350</v>
      </c>
      <c r="B1229" s="15">
        <v>123735.0</v>
      </c>
      <c r="C1229" s="15" t="s">
        <v>6351</v>
      </c>
      <c r="D1229" s="15">
        <v>14484.0</v>
      </c>
      <c r="E1229" s="15" t="s">
        <v>1808</v>
      </c>
      <c r="F1229" s="15" t="s">
        <v>1809</v>
      </c>
      <c r="G1229" s="7">
        <v>2.773</v>
      </c>
      <c r="H1229" s="15" t="s">
        <v>2223</v>
      </c>
      <c r="I1229" s="15" t="s">
        <v>1628</v>
      </c>
      <c r="J1229" s="15" t="s">
        <v>6353</v>
      </c>
      <c r="K1229" s="15">
        <v>6.0</v>
      </c>
      <c r="L1229" s="15">
        <v>6.0</v>
      </c>
      <c r="M1229" s="41">
        <v>33592.0</v>
      </c>
      <c r="N1229" s="40">
        <v>40579.0</v>
      </c>
      <c r="O1229" s="15" t="s">
        <v>1554</v>
      </c>
      <c r="Q1229" s="7"/>
    </row>
    <row r="1230">
      <c r="A1230" s="39" t="s">
        <v>6354</v>
      </c>
      <c r="B1230" s="15">
        <v>10702.0</v>
      </c>
      <c r="C1230" s="15" t="s">
        <v>6355</v>
      </c>
      <c r="D1230" s="15">
        <v>14485.0</v>
      </c>
      <c r="E1230" s="15" t="s">
        <v>1557</v>
      </c>
      <c r="F1230" s="15" t="s">
        <v>1833</v>
      </c>
      <c r="G1230" s="7">
        <v>49.22</v>
      </c>
      <c r="H1230" s="15" t="s">
        <v>6356</v>
      </c>
      <c r="I1230" s="15" t="s">
        <v>1586</v>
      </c>
      <c r="J1230" s="15" t="s">
        <v>6358</v>
      </c>
      <c r="K1230" s="15">
        <v>61.0</v>
      </c>
      <c r="L1230" s="15">
        <v>61.0</v>
      </c>
      <c r="M1230" s="41">
        <v>37971.0</v>
      </c>
      <c r="N1230" s="40">
        <v>39822.0</v>
      </c>
      <c r="O1230" s="15" t="s">
        <v>1554</v>
      </c>
      <c r="Q1230" s="7"/>
    </row>
    <row r="1231">
      <c r="A1231" s="39" t="s">
        <v>6359</v>
      </c>
      <c r="B1231" s="15">
        <v>70333.0</v>
      </c>
      <c r="C1231" s="15" t="s">
        <v>6360</v>
      </c>
      <c r="D1231" s="15">
        <v>14486.0</v>
      </c>
      <c r="E1231" s="15" t="s">
        <v>1557</v>
      </c>
      <c r="F1231" s="15" t="s">
        <v>2628</v>
      </c>
      <c r="G1231" s="7">
        <v>31.301</v>
      </c>
      <c r="H1231" s="15" t="s">
        <v>3550</v>
      </c>
      <c r="I1231" s="15" t="s">
        <v>1686</v>
      </c>
      <c r="J1231" s="15" t="s">
        <v>6362</v>
      </c>
      <c r="K1231" s="15">
        <v>36.0</v>
      </c>
      <c r="L1231" s="15">
        <v>36.0</v>
      </c>
      <c r="M1231" s="41">
        <v>35761.0</v>
      </c>
      <c r="N1231" s="40">
        <v>38818.0</v>
      </c>
      <c r="O1231" s="15" t="s">
        <v>1554</v>
      </c>
      <c r="Q1231" s="7"/>
    </row>
    <row r="1232">
      <c r="A1232" s="39" t="s">
        <v>6364</v>
      </c>
      <c r="B1232" s="15">
        <v>130309.0</v>
      </c>
      <c r="C1232" s="15" t="s">
        <v>6365</v>
      </c>
      <c r="D1232" s="15">
        <v>14487.0</v>
      </c>
      <c r="E1232" s="15" t="s">
        <v>1557</v>
      </c>
      <c r="F1232" s="15" t="s">
        <v>2628</v>
      </c>
      <c r="G1232" s="7">
        <v>34.214</v>
      </c>
      <c r="H1232" s="15" t="s">
        <v>2263</v>
      </c>
      <c r="I1232" s="15" t="s">
        <v>1686</v>
      </c>
      <c r="J1232" s="15" t="s">
        <v>6367</v>
      </c>
      <c r="K1232" s="15">
        <v>18.0</v>
      </c>
      <c r="L1232" s="15">
        <v>34.0</v>
      </c>
      <c r="M1232" s="40">
        <v>34176.0</v>
      </c>
      <c r="N1232" s="40">
        <v>41026.0</v>
      </c>
      <c r="O1232" s="15" t="s">
        <v>1554</v>
      </c>
      <c r="Q1232" s="7"/>
    </row>
    <row r="1233">
      <c r="A1233" s="39" t="s">
        <v>6368</v>
      </c>
      <c r="B1233" s="15">
        <v>114102.0</v>
      </c>
      <c r="C1233" s="15" t="s">
        <v>6369</v>
      </c>
      <c r="D1233" s="15">
        <v>14488.0</v>
      </c>
      <c r="E1233" s="15" t="s">
        <v>1557</v>
      </c>
      <c r="F1233" s="15" t="s">
        <v>2628</v>
      </c>
      <c r="G1233" s="7">
        <v>26.163</v>
      </c>
      <c r="H1233" s="15" t="s">
        <v>2193</v>
      </c>
      <c r="I1233" s="15" t="s">
        <v>1686</v>
      </c>
      <c r="J1233" s="15" t="s">
        <v>6370</v>
      </c>
      <c r="K1233" s="15">
        <v>23.0</v>
      </c>
      <c r="L1233" s="15">
        <v>23.0</v>
      </c>
      <c r="M1233" s="40">
        <v>36727.0</v>
      </c>
      <c r="N1233" s="40">
        <v>42577.0</v>
      </c>
      <c r="O1233" s="15" t="s">
        <v>1554</v>
      </c>
      <c r="Q1233" s="7"/>
    </row>
    <row r="1234">
      <c r="A1234" s="39" t="s">
        <v>6372</v>
      </c>
      <c r="B1234" s="15">
        <v>10325.0</v>
      </c>
      <c r="C1234" s="15" t="s">
        <v>6373</v>
      </c>
      <c r="D1234" s="15">
        <v>14489.0</v>
      </c>
      <c r="E1234" s="15" t="s">
        <v>1557</v>
      </c>
      <c r="F1234" s="15" t="s">
        <v>1827</v>
      </c>
      <c r="G1234" s="7">
        <v>156.789</v>
      </c>
      <c r="H1234" s="15" t="s">
        <v>6376</v>
      </c>
      <c r="I1234" s="15" t="s">
        <v>1686</v>
      </c>
      <c r="J1234" s="15" t="s">
        <v>6377</v>
      </c>
      <c r="K1234" s="15">
        <v>75.0</v>
      </c>
      <c r="L1234" s="15">
        <v>75.0</v>
      </c>
      <c r="M1234" s="40">
        <v>37760.0</v>
      </c>
      <c r="N1234" s="40">
        <v>40291.0</v>
      </c>
      <c r="O1234" s="15" t="s">
        <v>1554</v>
      </c>
      <c r="Q1234" s="7"/>
    </row>
    <row r="1235">
      <c r="A1235" s="39" t="s">
        <v>6378</v>
      </c>
      <c r="B1235" s="15">
        <v>222078.0</v>
      </c>
      <c r="C1235" s="15" t="s">
        <v>6379</v>
      </c>
      <c r="D1235" s="15">
        <v>14490.0</v>
      </c>
      <c r="E1235" s="15" t="s">
        <v>1808</v>
      </c>
      <c r="F1235" s="15" t="s">
        <v>1809</v>
      </c>
      <c r="G1235" s="7">
        <v>2.768</v>
      </c>
      <c r="H1235" s="15" t="s">
        <v>2141</v>
      </c>
      <c r="I1235" s="15" t="s">
        <v>1628</v>
      </c>
      <c r="J1235" s="15" t="s">
        <v>6381</v>
      </c>
      <c r="K1235" s="15">
        <v>6.0</v>
      </c>
      <c r="L1235" s="15">
        <v>6.0</v>
      </c>
      <c r="M1235" s="40">
        <v>37467.0</v>
      </c>
      <c r="N1235" s="40">
        <v>42453.0</v>
      </c>
      <c r="O1235" s="15" t="s">
        <v>1554</v>
      </c>
      <c r="Q1235" s="7"/>
    </row>
    <row r="1236">
      <c r="A1236" s="39" t="s">
        <v>6382</v>
      </c>
      <c r="B1236" s="15">
        <v>38420.0</v>
      </c>
      <c r="C1236" s="15" t="s">
        <v>6383</v>
      </c>
      <c r="D1236" s="15">
        <v>14491.0</v>
      </c>
      <c r="E1236" s="15" t="s">
        <v>1557</v>
      </c>
      <c r="F1236" s="15" t="s">
        <v>2628</v>
      </c>
      <c r="G1236" s="7">
        <v>34.246</v>
      </c>
      <c r="H1236" s="15" t="s">
        <v>5488</v>
      </c>
      <c r="I1236" s="15" t="s">
        <v>1686</v>
      </c>
      <c r="J1236" s="15" t="s">
        <v>6386</v>
      </c>
      <c r="K1236" s="15">
        <v>24.0</v>
      </c>
      <c r="L1236" s="15">
        <v>34.0</v>
      </c>
      <c r="M1236" s="40">
        <v>38203.0</v>
      </c>
      <c r="N1236" s="41">
        <v>40140.0</v>
      </c>
      <c r="O1236" s="15" t="s">
        <v>1554</v>
      </c>
      <c r="Q1236" s="7"/>
    </row>
    <row r="1237">
      <c r="A1237" s="39" t="s">
        <v>6387</v>
      </c>
      <c r="B1237" s="15">
        <v>298650.0</v>
      </c>
      <c r="C1237" s="15" t="s">
        <v>6388</v>
      </c>
      <c r="D1237" s="15">
        <v>14492.0</v>
      </c>
      <c r="E1237" s="15" t="s">
        <v>1808</v>
      </c>
      <c r="F1237" s="15" t="s">
        <v>1809</v>
      </c>
      <c r="G1237" s="7">
        <v>2.735</v>
      </c>
      <c r="H1237" s="15" t="s">
        <v>2023</v>
      </c>
      <c r="I1237" s="15" t="s">
        <v>1628</v>
      </c>
      <c r="J1237" s="15" t="s">
        <v>6389</v>
      </c>
      <c r="K1237" s="15">
        <v>6.0</v>
      </c>
      <c r="L1237" s="15">
        <v>6.0</v>
      </c>
      <c r="M1237" s="41">
        <v>38282.0</v>
      </c>
      <c r="N1237" s="40">
        <v>40578.0</v>
      </c>
      <c r="O1237" s="15" t="s">
        <v>1554</v>
      </c>
      <c r="Q1237" s="7"/>
    </row>
    <row r="1238">
      <c r="A1238" s="39" t="s">
        <v>6390</v>
      </c>
      <c r="B1238" s="15">
        <v>10678.0</v>
      </c>
      <c r="C1238" s="15" t="s">
        <v>6391</v>
      </c>
      <c r="D1238" s="15">
        <v>14493.0</v>
      </c>
      <c r="E1238" s="15" t="s">
        <v>1557</v>
      </c>
      <c r="F1238" s="15" t="s">
        <v>1767</v>
      </c>
      <c r="G1238" s="7">
        <v>94.8</v>
      </c>
      <c r="H1238" s="15" t="s">
        <v>2075</v>
      </c>
      <c r="I1238" s="15" t="s">
        <v>1586</v>
      </c>
      <c r="J1238" s="15" t="s">
        <v>6393</v>
      </c>
      <c r="K1238" s="15">
        <v>117.0</v>
      </c>
      <c r="L1238" s="15">
        <v>110.0</v>
      </c>
      <c r="M1238" s="40">
        <v>38047.0</v>
      </c>
      <c r="N1238" s="40">
        <v>41513.0</v>
      </c>
      <c r="O1238" s="15" t="s">
        <v>1554</v>
      </c>
      <c r="Q1238" s="7"/>
    </row>
    <row r="1239">
      <c r="A1239" s="39" t="s">
        <v>6394</v>
      </c>
      <c r="B1239" s="15">
        <v>220814.0</v>
      </c>
      <c r="C1239" s="15" t="s">
        <v>6396</v>
      </c>
      <c r="D1239" s="15">
        <v>14525.0</v>
      </c>
      <c r="E1239" s="15" t="s">
        <v>2014</v>
      </c>
      <c r="F1239" s="15" t="s">
        <v>2018</v>
      </c>
      <c r="G1239" s="7">
        <v>0.667</v>
      </c>
      <c r="H1239" s="15" t="s">
        <v>2320</v>
      </c>
      <c r="I1239" s="15" t="s">
        <v>1628</v>
      </c>
      <c r="J1239" s="15" t="s">
        <v>6398</v>
      </c>
      <c r="K1239" s="15" t="s">
        <v>1722</v>
      </c>
      <c r="L1239" s="15" t="s">
        <v>1722</v>
      </c>
      <c r="M1239" s="40">
        <v>38117.0</v>
      </c>
      <c r="N1239" s="40">
        <v>40578.0</v>
      </c>
      <c r="O1239" s="15" t="s">
        <v>1554</v>
      </c>
      <c r="Q1239" s="7"/>
    </row>
    <row r="1240">
      <c r="A1240" s="39" t="s">
        <v>6399</v>
      </c>
      <c r="B1240" s="15">
        <v>223275.0</v>
      </c>
      <c r="C1240" s="15" t="s">
        <v>6400</v>
      </c>
      <c r="D1240" s="15">
        <v>14526.0</v>
      </c>
      <c r="E1240" s="15" t="s">
        <v>1808</v>
      </c>
      <c r="F1240" s="15" t="s">
        <v>1809</v>
      </c>
      <c r="G1240" s="7">
        <v>5.548</v>
      </c>
      <c r="H1240" s="15" t="s">
        <v>6401</v>
      </c>
      <c r="I1240" s="15" t="s">
        <v>1628</v>
      </c>
      <c r="J1240" s="15" t="s">
        <v>6402</v>
      </c>
      <c r="K1240" s="15">
        <v>8.0</v>
      </c>
      <c r="L1240" s="15">
        <v>8.0</v>
      </c>
      <c r="M1240" s="40">
        <v>37270.0</v>
      </c>
      <c r="N1240" s="40">
        <v>39790.0</v>
      </c>
      <c r="O1240" s="15" t="s">
        <v>1554</v>
      </c>
      <c r="Q1240" s="7"/>
    </row>
    <row r="1241">
      <c r="A1241" s="39" t="s">
        <v>6404</v>
      </c>
      <c r="B1241" s="15">
        <v>31559.0</v>
      </c>
      <c r="C1241" s="15" t="s">
        <v>6405</v>
      </c>
      <c r="D1241" s="15">
        <v>14534.0</v>
      </c>
      <c r="E1241" s="15" t="s">
        <v>1916</v>
      </c>
      <c r="F1241" s="15" t="s">
        <v>1917</v>
      </c>
      <c r="G1241" s="7">
        <v>7.161</v>
      </c>
      <c r="H1241" s="15" t="s">
        <v>2064</v>
      </c>
      <c r="I1241" s="15" t="s">
        <v>1628</v>
      </c>
      <c r="J1241" s="15" t="s">
        <v>6406</v>
      </c>
      <c r="K1241" s="15">
        <v>5.0</v>
      </c>
      <c r="L1241" s="15">
        <v>5.0</v>
      </c>
      <c r="M1241" s="40">
        <v>34185.0</v>
      </c>
      <c r="N1241" s="40">
        <v>40320.0</v>
      </c>
      <c r="O1241" s="15" t="s">
        <v>1554</v>
      </c>
      <c r="Q1241" s="7"/>
    </row>
    <row r="1242">
      <c r="A1242" s="39" t="s">
        <v>6407</v>
      </c>
      <c r="B1242" s="15">
        <v>269109.0</v>
      </c>
      <c r="C1242" s="15" t="s">
        <v>6408</v>
      </c>
      <c r="D1242" s="15">
        <v>14536.0</v>
      </c>
      <c r="E1242" s="15" t="s">
        <v>1808</v>
      </c>
      <c r="F1242" s="15" t="s">
        <v>1809</v>
      </c>
      <c r="G1242" s="7">
        <v>2.751</v>
      </c>
      <c r="H1242" s="15" t="s">
        <v>1859</v>
      </c>
      <c r="I1242" s="15" t="s">
        <v>1628</v>
      </c>
      <c r="J1242" s="15" t="s">
        <v>6410</v>
      </c>
      <c r="K1242" s="15">
        <v>6.0</v>
      </c>
      <c r="L1242" s="15">
        <v>6.0</v>
      </c>
      <c r="M1242" s="40">
        <v>37991.0</v>
      </c>
      <c r="N1242" s="40">
        <v>39790.0</v>
      </c>
      <c r="O1242" s="15" t="s">
        <v>1554</v>
      </c>
      <c r="Q1242" s="7"/>
    </row>
    <row r="1243">
      <c r="A1243" s="39" t="s">
        <v>6412</v>
      </c>
      <c r="B1243" s="15">
        <v>269113.0</v>
      </c>
      <c r="C1243" s="15" t="s">
        <v>6413</v>
      </c>
      <c r="D1243" s="15">
        <v>14537.0</v>
      </c>
      <c r="E1243" s="15" t="s">
        <v>1808</v>
      </c>
      <c r="F1243" s="15" t="s">
        <v>1809</v>
      </c>
      <c r="G1243" s="7">
        <v>2.742</v>
      </c>
      <c r="H1243" s="15" t="s">
        <v>1613</v>
      </c>
      <c r="I1243" s="15" t="s">
        <v>1628</v>
      </c>
      <c r="J1243" s="15" t="s">
        <v>6414</v>
      </c>
      <c r="K1243" s="15">
        <v>6.0</v>
      </c>
      <c r="L1243" s="15">
        <v>6.0</v>
      </c>
      <c r="M1243" s="40">
        <v>37991.0</v>
      </c>
      <c r="N1243" s="40">
        <v>39790.0</v>
      </c>
      <c r="O1243" s="15" t="s">
        <v>1554</v>
      </c>
      <c r="Q1243" s="7"/>
    </row>
    <row r="1244">
      <c r="A1244" s="39" t="s">
        <v>6416</v>
      </c>
      <c r="B1244" s="15">
        <v>220813.0</v>
      </c>
      <c r="C1244" s="15" t="s">
        <v>6417</v>
      </c>
      <c r="D1244" s="15">
        <v>14538.0</v>
      </c>
      <c r="E1244" s="15" t="s">
        <v>2014</v>
      </c>
      <c r="F1244" s="15" t="s">
        <v>2018</v>
      </c>
      <c r="G1244" s="7">
        <v>1.354</v>
      </c>
      <c r="H1244" s="15" t="s">
        <v>6418</v>
      </c>
      <c r="I1244" s="15" t="s">
        <v>1628</v>
      </c>
      <c r="J1244" s="15" t="s">
        <v>6419</v>
      </c>
      <c r="K1244" s="15">
        <v>1.0</v>
      </c>
      <c r="L1244" s="15">
        <v>1.0</v>
      </c>
      <c r="M1244" s="40">
        <v>38117.0</v>
      </c>
      <c r="N1244" s="40">
        <v>40185.0</v>
      </c>
      <c r="O1244" s="15" t="s">
        <v>1554</v>
      </c>
      <c r="Q1244" s="7"/>
    </row>
    <row r="1245">
      <c r="A1245" s="39" t="s">
        <v>6420</v>
      </c>
      <c r="B1245" s="15">
        <v>218845.0</v>
      </c>
      <c r="C1245" s="15" t="s">
        <v>6422</v>
      </c>
      <c r="D1245" s="15">
        <v>14539.0</v>
      </c>
      <c r="E1245" s="15" t="s">
        <v>2014</v>
      </c>
      <c r="F1245" s="15" t="s">
        <v>2018</v>
      </c>
      <c r="G1245" s="7">
        <v>1.349</v>
      </c>
      <c r="H1245" s="15">
        <v>36.0</v>
      </c>
      <c r="I1245" s="15" t="s">
        <v>1628</v>
      </c>
      <c r="J1245" s="15" t="s">
        <v>6424</v>
      </c>
      <c r="K1245" s="15">
        <v>1.0</v>
      </c>
      <c r="L1245" s="15">
        <v>1.0</v>
      </c>
      <c r="M1245" s="40">
        <v>37812.0</v>
      </c>
      <c r="N1245" s="40">
        <v>42451.0</v>
      </c>
      <c r="O1245" s="15" t="s">
        <v>1554</v>
      </c>
      <c r="Q1245" s="7"/>
    </row>
    <row r="1246">
      <c r="A1246" s="39" t="s">
        <v>6425</v>
      </c>
      <c r="B1246" s="15">
        <v>292639.0</v>
      </c>
      <c r="C1246" s="15" t="s">
        <v>6426</v>
      </c>
      <c r="D1246" s="15">
        <v>14540.0</v>
      </c>
      <c r="E1246" s="15" t="s">
        <v>1557</v>
      </c>
      <c r="F1246" s="15" t="s">
        <v>4366</v>
      </c>
      <c r="G1246" s="7">
        <v>20.933</v>
      </c>
      <c r="H1246" s="15" t="s">
        <v>1772</v>
      </c>
      <c r="I1246" s="15" t="s">
        <v>1618</v>
      </c>
      <c r="J1246" s="15" t="s">
        <v>6427</v>
      </c>
      <c r="K1246" s="15">
        <v>38.0</v>
      </c>
      <c r="L1246" s="15">
        <v>38.0</v>
      </c>
      <c r="M1246" s="40">
        <v>38250.0</v>
      </c>
      <c r="N1246" s="40">
        <v>40263.0</v>
      </c>
      <c r="O1246" s="15" t="s">
        <v>1554</v>
      </c>
      <c r="Q1246" s="7"/>
    </row>
    <row r="1247">
      <c r="A1247" s="39" t="s">
        <v>6429</v>
      </c>
      <c r="B1247" s="15">
        <v>335400.0</v>
      </c>
      <c r="C1247" s="15" t="s">
        <v>6430</v>
      </c>
      <c r="D1247" s="15">
        <v>14541.0</v>
      </c>
      <c r="E1247" s="15" t="s">
        <v>1808</v>
      </c>
      <c r="F1247" s="15" t="s">
        <v>1809</v>
      </c>
      <c r="G1247" s="7">
        <v>5.18</v>
      </c>
      <c r="H1247" s="15" t="s">
        <v>6431</v>
      </c>
      <c r="I1247" s="15" t="s">
        <v>1628</v>
      </c>
      <c r="J1247" s="15" t="s">
        <v>6432</v>
      </c>
      <c r="K1247" s="15">
        <v>6.0</v>
      </c>
      <c r="L1247" s="15">
        <v>6.0</v>
      </c>
      <c r="M1247" s="40">
        <v>37682.0</v>
      </c>
      <c r="N1247" s="40">
        <v>39790.0</v>
      </c>
      <c r="O1247" s="15" t="s">
        <v>1554</v>
      </c>
      <c r="Q1247" s="7"/>
    </row>
    <row r="1248">
      <c r="A1248" s="39" t="s">
        <v>6433</v>
      </c>
      <c r="B1248" s="15">
        <v>151599.0</v>
      </c>
      <c r="C1248" s="15" t="s">
        <v>6434</v>
      </c>
      <c r="D1248" s="15">
        <v>14542.0</v>
      </c>
      <c r="E1248" s="15" t="s">
        <v>1557</v>
      </c>
      <c r="F1248" s="15" t="s">
        <v>1833</v>
      </c>
      <c r="G1248" s="7">
        <v>38.439</v>
      </c>
      <c r="H1248" s="15" t="s">
        <v>3034</v>
      </c>
      <c r="I1248" s="15" t="s">
        <v>1586</v>
      </c>
      <c r="J1248" s="15" t="s">
        <v>6436</v>
      </c>
      <c r="K1248" s="15">
        <v>59.0</v>
      </c>
      <c r="L1248" s="15">
        <v>59.0</v>
      </c>
      <c r="M1248" s="40">
        <v>38266.0</v>
      </c>
      <c r="N1248" s="40">
        <v>39216.0</v>
      </c>
      <c r="O1248" s="15" t="s">
        <v>1554</v>
      </c>
      <c r="Q1248" s="7"/>
    </row>
    <row r="1249">
      <c r="A1249" s="39" t="s">
        <v>6437</v>
      </c>
      <c r="B1249" s="15">
        <v>257468.0</v>
      </c>
      <c r="C1249" s="15" t="s">
        <v>6438</v>
      </c>
      <c r="D1249" s="15">
        <v>14543.0</v>
      </c>
      <c r="E1249" s="15" t="s">
        <v>1808</v>
      </c>
      <c r="F1249" s="15" t="s">
        <v>1998</v>
      </c>
      <c r="G1249" s="7">
        <v>1.988</v>
      </c>
      <c r="H1249" s="15" t="s">
        <v>2901</v>
      </c>
      <c r="I1249" s="15" t="s">
        <v>1686</v>
      </c>
      <c r="J1249" s="15" t="s">
        <v>6439</v>
      </c>
      <c r="K1249" s="15">
        <v>4.0</v>
      </c>
      <c r="L1249" s="15">
        <v>4.0</v>
      </c>
      <c r="M1249" s="40">
        <v>38261.0</v>
      </c>
      <c r="N1249" s="40">
        <v>40206.0</v>
      </c>
      <c r="O1249" s="15" t="s">
        <v>1554</v>
      </c>
      <c r="Q1249" s="7"/>
    </row>
    <row r="1250">
      <c r="A1250" s="39" t="s">
        <v>6442</v>
      </c>
      <c r="B1250" s="15">
        <v>262968.0</v>
      </c>
      <c r="C1250" s="15" t="s">
        <v>6443</v>
      </c>
      <c r="D1250" s="15">
        <v>14544.0</v>
      </c>
      <c r="E1250" s="15" t="s">
        <v>1557</v>
      </c>
      <c r="F1250" s="15" t="s">
        <v>3454</v>
      </c>
      <c r="G1250" s="7">
        <v>140.131</v>
      </c>
      <c r="H1250" s="15" t="s">
        <v>1918</v>
      </c>
      <c r="I1250" s="15" t="s">
        <v>1686</v>
      </c>
      <c r="J1250" s="15" t="s">
        <v>6444</v>
      </c>
      <c r="K1250" s="15">
        <v>162.0</v>
      </c>
      <c r="L1250" s="15">
        <v>162.0</v>
      </c>
      <c r="M1250" s="41">
        <v>38274.0</v>
      </c>
      <c r="N1250" s="40">
        <v>40148.0</v>
      </c>
      <c r="O1250" s="15" t="s">
        <v>1554</v>
      </c>
      <c r="Q1250" s="7"/>
    </row>
    <row r="1251">
      <c r="A1251" s="39" t="s">
        <v>6445</v>
      </c>
      <c r="B1251" s="15">
        <v>291589.0</v>
      </c>
      <c r="C1251" s="15" t="s">
        <v>6446</v>
      </c>
      <c r="D1251" s="15">
        <v>14545.0</v>
      </c>
      <c r="E1251" s="15" t="s">
        <v>1557</v>
      </c>
      <c r="F1251" s="15" t="s">
        <v>1822</v>
      </c>
      <c r="G1251" s="7">
        <v>7.722</v>
      </c>
      <c r="H1251" s="15" t="s">
        <v>1792</v>
      </c>
      <c r="I1251" s="15" t="s">
        <v>1686</v>
      </c>
      <c r="J1251" s="15" t="s">
        <v>6448</v>
      </c>
      <c r="K1251" s="15">
        <v>7.0</v>
      </c>
      <c r="L1251" s="15">
        <v>7.0</v>
      </c>
      <c r="M1251" s="40">
        <v>38296.0</v>
      </c>
      <c r="N1251" s="40">
        <v>40617.0</v>
      </c>
      <c r="O1251" s="15" t="s">
        <v>1554</v>
      </c>
      <c r="Q1251" s="7"/>
    </row>
    <row r="1252">
      <c r="A1252" s="39" t="s">
        <v>6449</v>
      </c>
      <c r="B1252" s="15">
        <v>292208.0</v>
      </c>
      <c r="C1252" s="15" t="s">
        <v>6450</v>
      </c>
      <c r="D1252" s="15">
        <v>14546.0</v>
      </c>
      <c r="E1252" s="15" t="s">
        <v>1808</v>
      </c>
      <c r="F1252" s="15" t="s">
        <v>2436</v>
      </c>
      <c r="G1252" s="7">
        <v>5.039</v>
      </c>
      <c r="H1252" s="15" t="s">
        <v>1714</v>
      </c>
      <c r="I1252" s="15" t="s">
        <v>1560</v>
      </c>
      <c r="J1252" s="15" t="s">
        <v>6452</v>
      </c>
      <c r="K1252" s="15">
        <v>3.0</v>
      </c>
      <c r="L1252" s="15">
        <v>3.0</v>
      </c>
      <c r="M1252" s="40">
        <v>38238.0</v>
      </c>
      <c r="N1252" s="40">
        <v>40352.0</v>
      </c>
      <c r="O1252" s="15" t="s">
        <v>1554</v>
      </c>
      <c r="Q1252" s="7"/>
    </row>
    <row r="1253">
      <c r="A1253" s="39" t="s">
        <v>6454</v>
      </c>
      <c r="B1253" s="15">
        <v>298338.0</v>
      </c>
      <c r="C1253" s="15" t="s">
        <v>6455</v>
      </c>
      <c r="D1253" s="15">
        <v>14547.0</v>
      </c>
      <c r="E1253" s="15" t="s">
        <v>1557</v>
      </c>
      <c r="F1253" s="15" t="s">
        <v>1767</v>
      </c>
      <c r="G1253" s="7">
        <v>131.522</v>
      </c>
      <c r="H1253" s="15" t="s">
        <v>2885</v>
      </c>
      <c r="I1253" s="15" t="s">
        <v>1586</v>
      </c>
      <c r="J1253" s="15" t="s">
        <v>6456</v>
      </c>
      <c r="K1253" s="15">
        <v>179.0</v>
      </c>
      <c r="L1253" s="15">
        <v>165.0</v>
      </c>
      <c r="M1253" s="40">
        <v>38292.0</v>
      </c>
      <c r="N1253" s="41">
        <v>39435.0</v>
      </c>
      <c r="O1253" s="15" t="s">
        <v>1554</v>
      </c>
      <c r="Q1253" s="7"/>
    </row>
    <row r="1254">
      <c r="A1254" s="39" t="s">
        <v>6457</v>
      </c>
      <c r="B1254" s="15">
        <v>294382.0</v>
      </c>
      <c r="C1254" s="15" t="s">
        <v>6458</v>
      </c>
      <c r="D1254" s="15">
        <v>14548.0</v>
      </c>
      <c r="E1254" s="15" t="s">
        <v>1557</v>
      </c>
      <c r="F1254" s="15" t="s">
        <v>1833</v>
      </c>
      <c r="G1254" s="7">
        <v>41.092</v>
      </c>
      <c r="H1254" s="15" t="s">
        <v>2428</v>
      </c>
      <c r="I1254" s="15" t="s">
        <v>1586</v>
      </c>
      <c r="J1254" s="15" t="s">
        <v>6460</v>
      </c>
      <c r="K1254" s="15">
        <v>58.0</v>
      </c>
      <c r="L1254" s="15">
        <v>58.0</v>
      </c>
      <c r="M1254" s="40">
        <v>38259.0</v>
      </c>
      <c r="N1254" s="41">
        <v>39435.0</v>
      </c>
      <c r="O1254" s="15" t="s">
        <v>1554</v>
      </c>
      <c r="Q1254" s="7"/>
    </row>
    <row r="1255">
      <c r="A1255" s="39" t="s">
        <v>6462</v>
      </c>
      <c r="B1255" s="15">
        <v>292792.0</v>
      </c>
      <c r="C1255" s="15" t="s">
        <v>6463</v>
      </c>
      <c r="D1255" s="15">
        <v>14551.0</v>
      </c>
      <c r="E1255" s="15" t="s">
        <v>1557</v>
      </c>
      <c r="F1255" s="15" t="s">
        <v>1822</v>
      </c>
      <c r="G1255" s="7">
        <v>8.101</v>
      </c>
      <c r="H1255" s="15" t="s">
        <v>3538</v>
      </c>
      <c r="I1255" s="15" t="s">
        <v>1686</v>
      </c>
      <c r="J1255" s="15" t="s">
        <v>6464</v>
      </c>
      <c r="K1255" s="15">
        <v>8.0</v>
      </c>
      <c r="L1255" s="15">
        <v>8.0</v>
      </c>
      <c r="M1255" s="40">
        <v>38248.0</v>
      </c>
      <c r="N1255" s="40">
        <v>40263.0</v>
      </c>
      <c r="O1255" s="15" t="s">
        <v>1554</v>
      </c>
      <c r="Q1255" s="7"/>
    </row>
    <row r="1256">
      <c r="A1256" s="39" t="s">
        <v>6466</v>
      </c>
      <c r="B1256" s="15">
        <v>172296.0</v>
      </c>
      <c r="C1256" s="15" t="s">
        <v>6467</v>
      </c>
      <c r="D1256" s="15">
        <v>14553.0</v>
      </c>
      <c r="E1256" s="15" t="s">
        <v>1808</v>
      </c>
      <c r="F1256" s="15" t="s">
        <v>2436</v>
      </c>
      <c r="G1256" s="7">
        <v>5.61</v>
      </c>
      <c r="H1256" s="15" t="s">
        <v>2392</v>
      </c>
      <c r="I1256" s="15" t="s">
        <v>1686</v>
      </c>
      <c r="J1256" s="15" t="s">
        <v>6468</v>
      </c>
      <c r="K1256" s="15">
        <v>2.0</v>
      </c>
      <c r="L1256" s="15">
        <v>2.0</v>
      </c>
      <c r="M1256" s="40">
        <v>37166.0</v>
      </c>
      <c r="N1256" s="40">
        <v>39224.0</v>
      </c>
      <c r="O1256" s="15" t="s">
        <v>1554</v>
      </c>
      <c r="Q1256" s="7"/>
    </row>
    <row r="1257">
      <c r="A1257" s="39" t="s">
        <v>6469</v>
      </c>
      <c r="B1257" s="15">
        <v>33726.0</v>
      </c>
      <c r="C1257" s="15" t="s">
        <v>6470</v>
      </c>
      <c r="D1257" s="15">
        <v>14555.0</v>
      </c>
      <c r="E1257" s="15" t="s">
        <v>1808</v>
      </c>
      <c r="F1257" s="15" t="s">
        <v>1809</v>
      </c>
      <c r="G1257" s="7">
        <v>5.398</v>
      </c>
      <c r="H1257" s="15" t="s">
        <v>6473</v>
      </c>
      <c r="I1257" s="15" t="s">
        <v>1628</v>
      </c>
      <c r="J1257" s="15" t="s">
        <v>6474</v>
      </c>
      <c r="K1257" s="15">
        <v>10.0</v>
      </c>
      <c r="L1257" s="15">
        <v>10.0</v>
      </c>
      <c r="M1257" s="40">
        <v>34409.0</v>
      </c>
      <c r="N1257" s="40">
        <v>39925.0</v>
      </c>
      <c r="O1257" s="15" t="s">
        <v>1554</v>
      </c>
      <c r="Q1257" s="7"/>
    </row>
    <row r="1258">
      <c r="A1258" s="39" t="s">
        <v>6475</v>
      </c>
      <c r="B1258" s="15">
        <v>39640.0</v>
      </c>
      <c r="C1258" s="15" t="s">
        <v>6476</v>
      </c>
      <c r="D1258" s="15">
        <v>14556.0</v>
      </c>
      <c r="E1258" s="15" t="s">
        <v>1557</v>
      </c>
      <c r="F1258" s="15" t="s">
        <v>6477</v>
      </c>
      <c r="G1258" s="7">
        <v>567.67</v>
      </c>
      <c r="H1258" s="15" t="s">
        <v>6478</v>
      </c>
      <c r="I1258" s="15" t="s">
        <v>1560</v>
      </c>
      <c r="J1258" s="15" t="s">
        <v>6480</v>
      </c>
      <c r="K1258" s="15">
        <v>174.0</v>
      </c>
      <c r="L1258" s="15">
        <v>155.0</v>
      </c>
      <c r="M1258" s="41">
        <v>38272.0</v>
      </c>
      <c r="N1258" s="40">
        <v>42072.0</v>
      </c>
      <c r="O1258" s="15" t="s">
        <v>1554</v>
      </c>
      <c r="Q1258" s="7"/>
    </row>
    <row r="1259">
      <c r="A1259" s="39" t="s">
        <v>6481</v>
      </c>
      <c r="B1259" s="15">
        <v>284503.0</v>
      </c>
      <c r="C1259" s="15" t="s">
        <v>6482</v>
      </c>
      <c r="D1259" s="15">
        <v>14557.0</v>
      </c>
      <c r="E1259" s="15" t="s">
        <v>2014</v>
      </c>
      <c r="F1259" s="15" t="s">
        <v>1578</v>
      </c>
      <c r="G1259" s="7">
        <v>0.647</v>
      </c>
      <c r="H1259" s="15" t="s">
        <v>5368</v>
      </c>
      <c r="I1259" s="15" t="s">
        <v>1560</v>
      </c>
      <c r="J1259" s="15" t="s">
        <v>6484</v>
      </c>
      <c r="K1259" s="15" t="s">
        <v>1722</v>
      </c>
      <c r="L1259" s="15" t="s">
        <v>1722</v>
      </c>
      <c r="M1259" s="40">
        <v>38359.0</v>
      </c>
      <c r="N1259" s="40">
        <v>39840.0</v>
      </c>
      <c r="O1259" s="15" t="s">
        <v>1554</v>
      </c>
      <c r="Q1259" s="7"/>
    </row>
    <row r="1260">
      <c r="A1260" s="39" t="s">
        <v>6486</v>
      </c>
      <c r="B1260" s="15">
        <v>10317.0</v>
      </c>
      <c r="C1260" s="15" t="s">
        <v>6487</v>
      </c>
      <c r="D1260" s="15">
        <v>14558.0</v>
      </c>
      <c r="E1260" s="15" t="s">
        <v>1557</v>
      </c>
      <c r="F1260" s="15" t="s">
        <v>1827</v>
      </c>
      <c r="G1260" s="7">
        <v>150.715</v>
      </c>
      <c r="H1260" s="15">
        <v>76.0</v>
      </c>
      <c r="I1260" s="15" t="s">
        <v>1686</v>
      </c>
      <c r="J1260" s="15" t="s">
        <v>6488</v>
      </c>
      <c r="K1260" s="15">
        <v>75.0</v>
      </c>
      <c r="L1260" s="15">
        <v>75.0</v>
      </c>
      <c r="M1260" s="40">
        <v>38264.0</v>
      </c>
      <c r="N1260" s="40">
        <v>40291.0</v>
      </c>
      <c r="O1260" s="15" t="s">
        <v>1554</v>
      </c>
      <c r="Q1260" s="7"/>
    </row>
    <row r="1261">
      <c r="A1261" s="39" t="s">
        <v>6489</v>
      </c>
      <c r="B1261" s="15">
        <v>10359.0</v>
      </c>
      <c r="C1261" s="15" t="s">
        <v>6491</v>
      </c>
      <c r="D1261" s="15">
        <v>14559.0</v>
      </c>
      <c r="E1261" s="15" t="s">
        <v>1557</v>
      </c>
      <c r="F1261" s="15" t="s">
        <v>1827</v>
      </c>
      <c r="G1261" s="7">
        <v>235.646</v>
      </c>
      <c r="H1261" s="15" t="s">
        <v>4415</v>
      </c>
      <c r="I1261" s="15" t="s">
        <v>1567</v>
      </c>
      <c r="J1261" s="15" t="s">
        <v>6492</v>
      </c>
      <c r="K1261" s="15">
        <v>173.0</v>
      </c>
      <c r="L1261" s="15">
        <v>169.0</v>
      </c>
      <c r="M1261" s="41">
        <v>37976.0</v>
      </c>
      <c r="N1261" s="40">
        <v>41457.0</v>
      </c>
      <c r="O1261" s="15" t="s">
        <v>1554</v>
      </c>
      <c r="Q1261" s="7"/>
    </row>
    <row r="1262">
      <c r="A1262" s="39" t="s">
        <v>6494</v>
      </c>
      <c r="B1262" s="15">
        <v>10493.0</v>
      </c>
      <c r="C1262" s="15" t="s">
        <v>6495</v>
      </c>
      <c r="D1262" s="15">
        <v>14560.0</v>
      </c>
      <c r="E1262" s="15" t="s">
        <v>1557</v>
      </c>
      <c r="F1262" s="15" t="s">
        <v>3454</v>
      </c>
      <c r="G1262" s="7">
        <v>105.903</v>
      </c>
      <c r="H1262" s="15" t="s">
        <v>3468</v>
      </c>
      <c r="I1262" s="15" t="s">
        <v>1686</v>
      </c>
      <c r="J1262" s="15" t="s">
        <v>6497</v>
      </c>
      <c r="K1262" s="15">
        <v>99.0</v>
      </c>
      <c r="L1262" s="15">
        <v>99.0</v>
      </c>
      <c r="M1262" s="40">
        <v>38156.0</v>
      </c>
      <c r="N1262" s="40">
        <v>41102.0</v>
      </c>
      <c r="O1262" s="15" t="s">
        <v>1554</v>
      </c>
      <c r="Q1262" s="7"/>
    </row>
    <row r="1263">
      <c r="A1263" s="39" t="s">
        <v>6498</v>
      </c>
      <c r="B1263" s="15">
        <v>285013.0</v>
      </c>
      <c r="C1263" s="15" t="s">
        <v>6499</v>
      </c>
      <c r="D1263" s="15">
        <v>14561.0</v>
      </c>
      <c r="E1263" s="15" t="s">
        <v>1557</v>
      </c>
      <c r="F1263" s="15" t="s">
        <v>6500</v>
      </c>
      <c r="G1263" s="7">
        <v>75.294</v>
      </c>
      <c r="H1263" s="15" t="s">
        <v>3550</v>
      </c>
      <c r="I1263" s="15" t="s">
        <v>1618</v>
      </c>
      <c r="J1263" s="15" t="s">
        <v>6501</v>
      </c>
      <c r="K1263" s="15">
        <v>74.0</v>
      </c>
      <c r="L1263" s="15">
        <v>74.0</v>
      </c>
      <c r="M1263" s="40">
        <v>38235.0</v>
      </c>
      <c r="N1263" s="40">
        <v>40578.0</v>
      </c>
      <c r="O1263" s="15" t="s">
        <v>1554</v>
      </c>
      <c r="Q1263" s="7"/>
    </row>
    <row r="1264">
      <c r="A1264" s="39" t="s">
        <v>6503</v>
      </c>
      <c r="B1264" s="15">
        <v>292443.0</v>
      </c>
      <c r="C1264" s="15" t="s">
        <v>6504</v>
      </c>
      <c r="D1264" s="15">
        <v>14562.0</v>
      </c>
      <c r="E1264" s="15" t="s">
        <v>1808</v>
      </c>
      <c r="F1264" s="15" t="s">
        <v>2969</v>
      </c>
      <c r="G1264" s="7">
        <v>7.107</v>
      </c>
      <c r="H1264" s="15" t="s">
        <v>2107</v>
      </c>
      <c r="I1264" s="15" t="s">
        <v>1586</v>
      </c>
      <c r="J1264" s="15" t="s">
        <v>6506</v>
      </c>
      <c r="K1264" s="15">
        <v>12.0</v>
      </c>
      <c r="L1264" s="15">
        <v>12.0</v>
      </c>
      <c r="M1264" s="40">
        <v>38244.0</v>
      </c>
      <c r="N1264" s="40">
        <v>39920.0</v>
      </c>
      <c r="O1264" s="15" t="s">
        <v>1554</v>
      </c>
      <c r="Q1264" s="7"/>
    </row>
    <row r="1265">
      <c r="A1265" s="39" t="s">
        <v>6507</v>
      </c>
      <c r="B1265" s="15">
        <v>293284.0</v>
      </c>
      <c r="C1265" s="15" t="s">
        <v>6508</v>
      </c>
      <c r="D1265" s="15">
        <v>14563.0</v>
      </c>
      <c r="E1265" s="15" t="s">
        <v>1808</v>
      </c>
      <c r="F1265" s="15" t="s">
        <v>1809</v>
      </c>
      <c r="G1265" s="7">
        <v>5.415</v>
      </c>
      <c r="H1265" s="15" t="s">
        <v>6510</v>
      </c>
      <c r="I1265" s="15" t="s">
        <v>1628</v>
      </c>
      <c r="J1265" s="15" t="s">
        <v>6511</v>
      </c>
      <c r="K1265" s="15">
        <v>7.0</v>
      </c>
      <c r="L1265" s="15">
        <v>7.0</v>
      </c>
      <c r="M1265" s="40">
        <v>38251.0</v>
      </c>
      <c r="N1265" s="40">
        <v>40248.0</v>
      </c>
      <c r="O1265" s="15" t="s">
        <v>1554</v>
      </c>
      <c r="Q1265" s="7"/>
    </row>
    <row r="1266">
      <c r="A1266" s="39" t="s">
        <v>6512</v>
      </c>
      <c r="B1266" s="15">
        <v>10506.0</v>
      </c>
      <c r="C1266" s="15" t="s">
        <v>6513</v>
      </c>
      <c r="D1266" s="15">
        <v>14564.0</v>
      </c>
      <c r="E1266" s="15" t="s">
        <v>1557</v>
      </c>
      <c r="F1266" s="15" t="s">
        <v>2763</v>
      </c>
      <c r="G1266" s="7">
        <v>330.611</v>
      </c>
      <c r="H1266" s="15">
        <v>40.0</v>
      </c>
      <c r="I1266" s="15" t="s">
        <v>1573</v>
      </c>
      <c r="J1266" s="15" t="s">
        <v>6514</v>
      </c>
      <c r="K1266" s="15">
        <v>813.0</v>
      </c>
      <c r="L1266" s="15">
        <v>802.0</v>
      </c>
      <c r="M1266" s="41">
        <v>35055.0</v>
      </c>
      <c r="N1266" s="41">
        <v>40842.0</v>
      </c>
      <c r="O1266" s="15" t="s">
        <v>1554</v>
      </c>
      <c r="Q1266" s="7"/>
    </row>
    <row r="1267">
      <c r="A1267" s="39" t="s">
        <v>6516</v>
      </c>
      <c r="B1267" s="15">
        <v>294631.0</v>
      </c>
      <c r="C1267" s="15" t="s">
        <v>6517</v>
      </c>
      <c r="D1267" s="15">
        <v>14565.0</v>
      </c>
      <c r="E1267" s="15" t="s">
        <v>1557</v>
      </c>
      <c r="F1267" s="15" t="s">
        <v>1833</v>
      </c>
      <c r="G1267" s="7">
        <v>36.012</v>
      </c>
      <c r="H1267" s="42">
        <v>43281.0</v>
      </c>
      <c r="I1267" s="15" t="s">
        <v>1586</v>
      </c>
      <c r="J1267" s="15" t="s">
        <v>6519</v>
      </c>
      <c r="K1267" s="15">
        <v>65.0</v>
      </c>
      <c r="L1267" s="15">
        <v>65.0</v>
      </c>
      <c r="M1267" s="40">
        <v>38261.0</v>
      </c>
      <c r="N1267" s="40">
        <v>40443.0</v>
      </c>
      <c r="O1267" s="15" t="s">
        <v>1554</v>
      </c>
      <c r="Q1267" s="7"/>
    </row>
    <row r="1268">
      <c r="A1268" s="39" t="s">
        <v>6520</v>
      </c>
      <c r="B1268" s="15">
        <v>10871.0</v>
      </c>
      <c r="C1268" s="15" t="s">
        <v>6522</v>
      </c>
      <c r="D1268" s="15">
        <v>14571.0</v>
      </c>
      <c r="E1268" s="15" t="s">
        <v>1808</v>
      </c>
      <c r="F1268" s="15" t="s">
        <v>2969</v>
      </c>
      <c r="G1268" s="7">
        <v>7.349</v>
      </c>
      <c r="H1268" s="15" t="s">
        <v>2038</v>
      </c>
      <c r="I1268" s="15" t="s">
        <v>1586</v>
      </c>
      <c r="J1268" s="15" t="s">
        <v>6523</v>
      </c>
      <c r="K1268" s="15">
        <v>14.0</v>
      </c>
      <c r="L1268" s="15">
        <v>14.0</v>
      </c>
      <c r="M1268" s="40">
        <v>33707.0</v>
      </c>
      <c r="N1268" s="40">
        <v>42045.0</v>
      </c>
      <c r="O1268" s="15" t="s">
        <v>1554</v>
      </c>
      <c r="Q1268" s="7"/>
    </row>
    <row r="1269">
      <c r="A1269" s="39" t="s">
        <v>6524</v>
      </c>
      <c r="B1269" s="15">
        <v>10869.0</v>
      </c>
      <c r="C1269" s="15" t="s">
        <v>6525</v>
      </c>
      <c r="D1269" s="15">
        <v>14572.0</v>
      </c>
      <c r="E1269" s="15" t="s">
        <v>1808</v>
      </c>
      <c r="F1269" s="15" t="s">
        <v>2969</v>
      </c>
      <c r="G1269" s="7">
        <v>6.744</v>
      </c>
      <c r="H1269" s="15" t="s">
        <v>2005</v>
      </c>
      <c r="I1269" s="15" t="s">
        <v>1586</v>
      </c>
      <c r="J1269" s="15" t="s">
        <v>6527</v>
      </c>
      <c r="K1269" s="15">
        <v>9.0</v>
      </c>
      <c r="L1269" s="15">
        <v>9.0</v>
      </c>
      <c r="M1269" s="40">
        <v>32909.0</v>
      </c>
      <c r="N1269" s="40">
        <v>40263.0</v>
      </c>
      <c r="O1269" s="15" t="s">
        <v>1554</v>
      </c>
      <c r="Q1269" s="7"/>
    </row>
    <row r="1270">
      <c r="A1270" s="39" t="s">
        <v>6528</v>
      </c>
      <c r="B1270" s="15">
        <v>10876.0</v>
      </c>
      <c r="C1270" s="15" t="s">
        <v>6529</v>
      </c>
      <c r="D1270" s="15">
        <v>14573.0</v>
      </c>
      <c r="E1270" s="15" t="s">
        <v>1808</v>
      </c>
      <c r="F1270" s="15" t="s">
        <v>2969</v>
      </c>
      <c r="G1270" s="7">
        <v>4.491</v>
      </c>
      <c r="H1270" s="15" t="s">
        <v>3862</v>
      </c>
      <c r="I1270" s="15" t="s">
        <v>1586</v>
      </c>
      <c r="J1270" s="15" t="s">
        <v>6530</v>
      </c>
      <c r="K1270" s="15">
        <v>4.0</v>
      </c>
      <c r="L1270" s="15">
        <v>4.0</v>
      </c>
      <c r="M1270" s="40">
        <v>33421.0</v>
      </c>
      <c r="N1270" s="40">
        <v>42045.0</v>
      </c>
      <c r="O1270" s="15" t="s">
        <v>1554</v>
      </c>
      <c r="Q1270" s="7"/>
    </row>
    <row r="1271">
      <c r="A1271" s="39" t="s">
        <v>6533</v>
      </c>
      <c r="B1271" s="15">
        <v>10641.0</v>
      </c>
      <c r="C1271" s="15" t="s">
        <v>6534</v>
      </c>
      <c r="D1271" s="15">
        <v>14574.0</v>
      </c>
      <c r="E1271" s="15" t="s">
        <v>1916</v>
      </c>
      <c r="F1271" s="15" t="s">
        <v>1917</v>
      </c>
      <c r="G1271" s="7">
        <v>8.024</v>
      </c>
      <c r="H1271" s="15">
        <v>40.0</v>
      </c>
      <c r="I1271" s="15" t="s">
        <v>1628</v>
      </c>
      <c r="J1271" s="15" t="s">
        <v>6535</v>
      </c>
      <c r="K1271" s="15">
        <v>7.0</v>
      </c>
      <c r="L1271" s="15">
        <v>7.0</v>
      </c>
      <c r="M1271" s="40">
        <v>30258.0</v>
      </c>
      <c r="N1271" s="40">
        <v>42045.0</v>
      </c>
      <c r="O1271" s="15" t="s">
        <v>1554</v>
      </c>
      <c r="Q1271" s="7"/>
    </row>
    <row r="1272">
      <c r="A1272" s="39" t="s">
        <v>6537</v>
      </c>
      <c r="B1272" s="15">
        <v>10653.0</v>
      </c>
      <c r="C1272" s="15" t="s">
        <v>6538</v>
      </c>
      <c r="D1272" s="15">
        <v>14575.0</v>
      </c>
      <c r="E1272" s="15" t="s">
        <v>1916</v>
      </c>
      <c r="F1272" s="15" t="s">
        <v>1917</v>
      </c>
      <c r="G1272" s="7">
        <v>7.489</v>
      </c>
      <c r="H1272" s="15" t="s">
        <v>1602</v>
      </c>
      <c r="I1272" s="15" t="s">
        <v>1628</v>
      </c>
      <c r="J1272" s="15" t="s">
        <v>6539</v>
      </c>
      <c r="K1272" s="15">
        <v>4.0</v>
      </c>
      <c r="L1272" s="15">
        <v>3.0</v>
      </c>
      <c r="M1272" s="40">
        <v>33151.0</v>
      </c>
      <c r="N1272" s="40">
        <v>39639.0</v>
      </c>
      <c r="O1272" s="15" t="s">
        <v>1554</v>
      </c>
      <c r="Q1272" s="7"/>
    </row>
    <row r="1273">
      <c r="A1273" s="39" t="s">
        <v>6541</v>
      </c>
      <c r="B1273" s="15">
        <v>12639.0</v>
      </c>
      <c r="C1273" s="15" t="s">
        <v>6542</v>
      </c>
      <c r="D1273" s="15">
        <v>14576.0</v>
      </c>
      <c r="E1273" s="15" t="s">
        <v>1916</v>
      </c>
      <c r="F1273" s="15" t="s">
        <v>3423</v>
      </c>
      <c r="G1273" s="7">
        <v>3.027</v>
      </c>
      <c r="H1273" s="15" t="s">
        <v>1685</v>
      </c>
      <c r="I1273" s="15" t="s">
        <v>1686</v>
      </c>
      <c r="J1273" s="15" t="s">
        <v>6543</v>
      </c>
      <c r="K1273" s="15">
        <v>7.0</v>
      </c>
      <c r="L1273" s="15">
        <v>7.0</v>
      </c>
      <c r="M1273" s="41">
        <v>33927.0</v>
      </c>
      <c r="N1273" s="40">
        <v>40579.0</v>
      </c>
      <c r="O1273" s="15" t="s">
        <v>1554</v>
      </c>
      <c r="Q1273" s="7"/>
    </row>
    <row r="1274">
      <c r="A1274" s="39" t="s">
        <v>6546</v>
      </c>
      <c r="B1274" s="15">
        <v>268316.0</v>
      </c>
      <c r="C1274" s="15" t="s">
        <v>6547</v>
      </c>
      <c r="D1274" s="15">
        <v>14577.0</v>
      </c>
      <c r="E1274" s="15" t="s">
        <v>1808</v>
      </c>
      <c r="F1274" s="15" t="s">
        <v>1809</v>
      </c>
      <c r="G1274" s="7">
        <v>2.689</v>
      </c>
      <c r="H1274" s="15" t="s">
        <v>1772</v>
      </c>
      <c r="I1274" s="15" t="s">
        <v>1628</v>
      </c>
      <c r="J1274" s="15" t="s">
        <v>6549</v>
      </c>
      <c r="K1274" s="15">
        <v>4.0</v>
      </c>
      <c r="L1274" s="15">
        <v>4.0</v>
      </c>
      <c r="M1274" s="40">
        <v>32695.0</v>
      </c>
      <c r="N1274" s="40">
        <v>42195.0</v>
      </c>
      <c r="O1274" s="15" t="s">
        <v>1554</v>
      </c>
      <c r="Q1274" s="7"/>
    </row>
    <row r="1275">
      <c r="A1275" s="39" t="s">
        <v>6550</v>
      </c>
      <c r="B1275" s="15">
        <v>10654.0</v>
      </c>
      <c r="C1275" s="15" t="s">
        <v>6551</v>
      </c>
      <c r="D1275" s="15">
        <v>14579.0</v>
      </c>
      <c r="E1275" s="15" t="s">
        <v>1916</v>
      </c>
      <c r="F1275" s="15" t="s">
        <v>1917</v>
      </c>
      <c r="G1275" s="7">
        <v>8.002</v>
      </c>
      <c r="H1275" s="15" t="s">
        <v>4553</v>
      </c>
      <c r="I1275" s="15" t="s">
        <v>1628</v>
      </c>
      <c r="J1275" s="15" t="s">
        <v>6553</v>
      </c>
      <c r="K1275" s="15">
        <v>4.0</v>
      </c>
      <c r="L1275" s="15">
        <v>4.0</v>
      </c>
      <c r="M1275" s="40">
        <v>33393.0</v>
      </c>
      <c r="N1275" s="40">
        <v>40579.0</v>
      </c>
      <c r="O1275" s="15" t="s">
        <v>1554</v>
      </c>
      <c r="Q1275" s="7"/>
    </row>
    <row r="1276">
      <c r="A1276" s="39" t="s">
        <v>6554</v>
      </c>
      <c r="B1276" s="15">
        <v>10854.0</v>
      </c>
      <c r="C1276" s="15" t="s">
        <v>6555</v>
      </c>
      <c r="D1276" s="15">
        <v>14580.0</v>
      </c>
      <c r="E1276" s="15" t="s">
        <v>1808</v>
      </c>
      <c r="F1276" s="15" t="s">
        <v>2969</v>
      </c>
      <c r="G1276" s="7">
        <v>8.273</v>
      </c>
      <c r="H1276" s="42">
        <v>43365.0</v>
      </c>
      <c r="I1276" s="15" t="s">
        <v>1586</v>
      </c>
      <c r="J1276" s="15" t="s">
        <v>6557</v>
      </c>
      <c r="K1276" s="15">
        <v>12.0</v>
      </c>
      <c r="L1276" s="15">
        <v>12.0</v>
      </c>
      <c r="M1276" s="40">
        <v>32945.0</v>
      </c>
      <c r="N1276" s="40">
        <v>42045.0</v>
      </c>
      <c r="O1276" s="15" t="s">
        <v>1554</v>
      </c>
      <c r="Q1276" s="7"/>
    </row>
    <row r="1277">
      <c r="A1277" s="39" t="s">
        <v>6559</v>
      </c>
      <c r="B1277" s="15">
        <v>49267.0</v>
      </c>
      <c r="C1277" s="15" t="s">
        <v>6560</v>
      </c>
      <c r="D1277" s="15">
        <v>14582.0</v>
      </c>
      <c r="E1277" s="15" t="s">
        <v>1808</v>
      </c>
      <c r="F1277" s="15" t="s">
        <v>1809</v>
      </c>
      <c r="G1277" s="7">
        <v>2.861</v>
      </c>
      <c r="H1277" s="15" t="s">
        <v>2118</v>
      </c>
      <c r="I1277" s="15" t="s">
        <v>1628</v>
      </c>
      <c r="J1277" s="15" t="s">
        <v>6561</v>
      </c>
      <c r="K1277" s="15">
        <v>6.0</v>
      </c>
      <c r="L1277" s="15">
        <v>6.0</v>
      </c>
      <c r="M1277" s="40">
        <v>35244.0</v>
      </c>
      <c r="N1277" s="40">
        <v>39639.0</v>
      </c>
      <c r="O1277" s="15" t="s">
        <v>1554</v>
      </c>
      <c r="Q1277" s="7"/>
    </row>
    <row r="1278">
      <c r="A1278" s="39" t="s">
        <v>6563</v>
      </c>
      <c r="B1278" s="15">
        <v>10747.0</v>
      </c>
      <c r="C1278" s="15" t="s">
        <v>6564</v>
      </c>
      <c r="D1278" s="15">
        <v>14584.0</v>
      </c>
      <c r="E1278" s="15" t="s">
        <v>1557</v>
      </c>
      <c r="F1278" s="15" t="s">
        <v>1611</v>
      </c>
      <c r="G1278" s="7">
        <v>19.343</v>
      </c>
      <c r="H1278" s="15" t="s">
        <v>6565</v>
      </c>
      <c r="I1278" s="15" t="s">
        <v>1586</v>
      </c>
      <c r="J1278" s="15" t="s">
        <v>6566</v>
      </c>
      <c r="K1278" s="15">
        <v>25.0</v>
      </c>
      <c r="L1278" s="15">
        <v>25.0</v>
      </c>
      <c r="M1278" s="40">
        <v>34717.0</v>
      </c>
      <c r="N1278" s="40">
        <v>42045.0</v>
      </c>
      <c r="O1278" s="15" t="s">
        <v>1554</v>
      </c>
      <c r="Q1278" s="7"/>
    </row>
    <row r="1279">
      <c r="A1279" s="39" t="s">
        <v>6567</v>
      </c>
      <c r="B1279" s="15">
        <v>79889.0</v>
      </c>
      <c r="C1279" s="15" t="s">
        <v>6568</v>
      </c>
      <c r="D1279" s="15">
        <v>14585.0</v>
      </c>
      <c r="E1279" s="15" t="s">
        <v>1557</v>
      </c>
      <c r="F1279" s="15" t="s">
        <v>1827</v>
      </c>
      <c r="G1279" s="7">
        <v>135.301</v>
      </c>
      <c r="H1279" s="15" t="s">
        <v>6570</v>
      </c>
      <c r="I1279" s="15" t="s">
        <v>1686</v>
      </c>
      <c r="J1279" s="15" t="s">
        <v>6571</v>
      </c>
      <c r="K1279" s="15">
        <v>70.0</v>
      </c>
      <c r="L1279" s="15">
        <v>70.0</v>
      </c>
      <c r="M1279" s="41">
        <v>35759.0</v>
      </c>
      <c r="N1279" s="40">
        <v>42045.0</v>
      </c>
      <c r="O1279" s="15" t="s">
        <v>1554</v>
      </c>
      <c r="Q1279" s="7"/>
    </row>
    <row r="1280">
      <c r="A1280" s="39" t="s">
        <v>6573</v>
      </c>
      <c r="B1280" s="15">
        <v>10724.0</v>
      </c>
      <c r="C1280" s="15" t="s">
        <v>6574</v>
      </c>
      <c r="D1280" s="15">
        <v>14586.0</v>
      </c>
      <c r="E1280" s="15" t="s">
        <v>1557</v>
      </c>
      <c r="F1280" s="15" t="s">
        <v>1833</v>
      </c>
      <c r="G1280" s="7">
        <v>44.01</v>
      </c>
      <c r="H1280" s="15" t="s">
        <v>2869</v>
      </c>
      <c r="I1280" s="15" t="s">
        <v>1586</v>
      </c>
      <c r="J1280" s="15" t="s">
        <v>6575</v>
      </c>
      <c r="K1280" s="15">
        <v>97.0</v>
      </c>
      <c r="L1280" s="15">
        <v>97.0</v>
      </c>
      <c r="M1280" s="40">
        <v>35803.0</v>
      </c>
      <c r="N1280" s="40">
        <v>42570.0</v>
      </c>
      <c r="O1280" s="15" t="s">
        <v>1554</v>
      </c>
      <c r="Q1280" s="7"/>
    </row>
    <row r="1281">
      <c r="A1281" s="39" t="s">
        <v>6577</v>
      </c>
      <c r="B1281" s="15">
        <v>12417.0</v>
      </c>
      <c r="C1281" s="15" t="s">
        <v>6578</v>
      </c>
      <c r="D1281" s="15">
        <v>14588.0</v>
      </c>
      <c r="E1281" s="15" t="s">
        <v>1557</v>
      </c>
      <c r="F1281" s="15" t="s">
        <v>1833</v>
      </c>
      <c r="G1281" s="7">
        <v>43.785</v>
      </c>
      <c r="H1281" s="15" t="s">
        <v>4479</v>
      </c>
      <c r="I1281" s="15" t="s">
        <v>1586</v>
      </c>
      <c r="J1281" s="15" t="s">
        <v>6579</v>
      </c>
      <c r="K1281" s="15">
        <v>63.0</v>
      </c>
      <c r="L1281" s="15">
        <v>63.0</v>
      </c>
      <c r="M1281" s="40">
        <v>36382.0</v>
      </c>
      <c r="N1281" s="40">
        <v>40295.0</v>
      </c>
      <c r="O1281" s="15" t="s">
        <v>1554</v>
      </c>
      <c r="Q1281" s="7"/>
    </row>
    <row r="1282">
      <c r="A1282" s="39" t="s">
        <v>6580</v>
      </c>
      <c r="B1282" s="15">
        <v>40521.0</v>
      </c>
      <c r="C1282" s="15" t="s">
        <v>6582</v>
      </c>
      <c r="D1282" s="15">
        <v>14589.0</v>
      </c>
      <c r="E1282" s="15" t="s">
        <v>1557</v>
      </c>
      <c r="F1282" s="15" t="s">
        <v>1833</v>
      </c>
      <c r="G1282" s="7">
        <v>40.834</v>
      </c>
      <c r="H1282" s="15" t="s">
        <v>6583</v>
      </c>
      <c r="I1282" s="15" t="s">
        <v>1586</v>
      </c>
      <c r="J1282" s="15" t="s">
        <v>6585</v>
      </c>
      <c r="K1282" s="15">
        <v>72.0</v>
      </c>
      <c r="L1282" s="15">
        <v>72.0</v>
      </c>
      <c r="M1282" s="40">
        <v>36404.0</v>
      </c>
      <c r="N1282" s="41">
        <v>39435.0</v>
      </c>
      <c r="O1282" s="15" t="s">
        <v>1554</v>
      </c>
      <c r="Q1282" s="7"/>
    </row>
    <row r="1283">
      <c r="A1283" s="39" t="s">
        <v>6586</v>
      </c>
      <c r="B1283" s="15">
        <v>10271.0</v>
      </c>
      <c r="C1283" s="15" t="s">
        <v>6587</v>
      </c>
      <c r="D1283" s="15">
        <v>14590.0</v>
      </c>
      <c r="E1283" s="15" t="s">
        <v>1557</v>
      </c>
      <c r="F1283" s="15" t="s">
        <v>2028</v>
      </c>
      <c r="G1283" s="7">
        <v>159.857</v>
      </c>
      <c r="H1283" s="15" t="s">
        <v>6418</v>
      </c>
      <c r="I1283" s="15" t="s">
        <v>1686</v>
      </c>
      <c r="J1283" s="15" t="s">
        <v>6589</v>
      </c>
      <c r="K1283" s="15">
        <v>165.0</v>
      </c>
      <c r="L1283" s="15">
        <v>165.0</v>
      </c>
      <c r="M1283" s="41">
        <v>36509.0</v>
      </c>
      <c r="N1283" s="40">
        <v>42045.0</v>
      </c>
      <c r="O1283" s="15" t="s">
        <v>1554</v>
      </c>
      <c r="Q1283" s="7"/>
    </row>
    <row r="1284">
      <c r="A1284" s="39" t="s">
        <v>6590</v>
      </c>
      <c r="B1284" s="15">
        <v>110457.0</v>
      </c>
      <c r="C1284" s="15" t="s">
        <v>6591</v>
      </c>
      <c r="D1284" s="15">
        <v>14591.0</v>
      </c>
      <c r="E1284" s="15" t="s">
        <v>1557</v>
      </c>
      <c r="F1284" s="15" t="s">
        <v>1611</v>
      </c>
      <c r="G1284" s="7">
        <v>39.6</v>
      </c>
      <c r="H1284" s="15" t="s">
        <v>3973</v>
      </c>
      <c r="I1284" s="15" t="s">
        <v>1586</v>
      </c>
      <c r="J1284" s="15" t="s">
        <v>6592</v>
      </c>
      <c r="K1284" s="15">
        <v>59.0</v>
      </c>
      <c r="L1284" s="15">
        <v>59.0</v>
      </c>
      <c r="M1284" s="41">
        <v>36510.0</v>
      </c>
      <c r="N1284" s="40">
        <v>40263.0</v>
      </c>
      <c r="O1284" s="15" t="s">
        <v>1554</v>
      </c>
      <c r="Q1284" s="7"/>
    </row>
    <row r="1285">
      <c r="A1285" s="39" t="s">
        <v>6594</v>
      </c>
      <c r="B1285" s="15">
        <v>37554.0</v>
      </c>
      <c r="C1285" s="15" t="s">
        <v>6596</v>
      </c>
      <c r="D1285" s="15">
        <v>14592.0</v>
      </c>
      <c r="E1285" s="15" t="s">
        <v>1557</v>
      </c>
      <c r="F1285" s="15" t="s">
        <v>1833</v>
      </c>
      <c r="G1285" s="7">
        <v>39.732</v>
      </c>
      <c r="H1285" s="15" t="s">
        <v>5042</v>
      </c>
      <c r="I1285" s="15" t="s">
        <v>1586</v>
      </c>
      <c r="J1285" s="15" t="s">
        <v>6598</v>
      </c>
      <c r="K1285" s="15">
        <v>62.0</v>
      </c>
      <c r="L1285" s="15">
        <v>61.0</v>
      </c>
      <c r="M1285" s="40">
        <v>36561.0</v>
      </c>
      <c r="N1285" s="40">
        <v>39939.0</v>
      </c>
      <c r="O1285" s="15" t="s">
        <v>1554</v>
      </c>
      <c r="Q1285" s="7"/>
    </row>
    <row r="1286">
      <c r="A1286" s="39" t="s">
        <v>6599</v>
      </c>
      <c r="B1286" s="15">
        <v>105154.0</v>
      </c>
      <c r="C1286" s="15" t="s">
        <v>6600</v>
      </c>
      <c r="D1286" s="15">
        <v>14593.0</v>
      </c>
      <c r="E1286" s="15" t="s">
        <v>1808</v>
      </c>
      <c r="F1286" s="15" t="s">
        <v>3154</v>
      </c>
      <c r="G1286" s="7">
        <v>4.563</v>
      </c>
      <c r="H1286" s="15" t="s">
        <v>1559</v>
      </c>
      <c r="I1286" s="15" t="s">
        <v>1586</v>
      </c>
      <c r="J1286" s="15" t="s">
        <v>6602</v>
      </c>
      <c r="K1286" s="15">
        <v>8.0</v>
      </c>
      <c r="L1286" s="15">
        <v>8.0</v>
      </c>
      <c r="M1286" s="40">
        <v>36617.0</v>
      </c>
      <c r="N1286" s="40">
        <v>42457.0</v>
      </c>
      <c r="O1286" s="15" t="s">
        <v>1554</v>
      </c>
      <c r="Q1286" s="7"/>
    </row>
    <row r="1287">
      <c r="A1287" s="39" t="s">
        <v>6604</v>
      </c>
      <c r="B1287" s="15">
        <v>10651.0</v>
      </c>
      <c r="C1287" s="15" t="s">
        <v>6605</v>
      </c>
      <c r="D1287" s="15">
        <v>14594.0</v>
      </c>
      <c r="E1287" s="15" t="s">
        <v>1916</v>
      </c>
      <c r="F1287" s="15" t="s">
        <v>1917</v>
      </c>
      <c r="G1287" s="7">
        <v>8.178</v>
      </c>
      <c r="H1287" s="15" t="s">
        <v>4396</v>
      </c>
      <c r="I1287" s="15" t="s">
        <v>1628</v>
      </c>
      <c r="J1287" s="15" t="s">
        <v>6607</v>
      </c>
      <c r="K1287" s="15">
        <v>9.0</v>
      </c>
      <c r="L1287" s="15">
        <v>9.0</v>
      </c>
      <c r="M1287" s="40">
        <v>32934.0</v>
      </c>
      <c r="N1287" s="40">
        <v>42045.0</v>
      </c>
      <c r="O1287" s="15" t="s">
        <v>1554</v>
      </c>
      <c r="Q1287" s="7"/>
    </row>
    <row r="1288">
      <c r="A1288" s="39" t="s">
        <v>6608</v>
      </c>
      <c r="B1288" s="15">
        <v>35246.0</v>
      </c>
      <c r="C1288" s="15" t="s">
        <v>6609</v>
      </c>
      <c r="D1288" s="15">
        <v>14596.0</v>
      </c>
      <c r="E1288" s="15" t="s">
        <v>1557</v>
      </c>
      <c r="F1288" s="15" t="s">
        <v>1827</v>
      </c>
      <c r="G1288" s="7">
        <v>124.784</v>
      </c>
      <c r="H1288" s="15" t="s">
        <v>2019</v>
      </c>
      <c r="I1288" s="15" t="s">
        <v>1686</v>
      </c>
      <c r="J1288" s="15" t="s">
        <v>6610</v>
      </c>
      <c r="K1288" s="15">
        <v>74.0</v>
      </c>
      <c r="L1288" s="15">
        <v>74.0</v>
      </c>
      <c r="M1288" s="41">
        <v>36827.0</v>
      </c>
      <c r="N1288" s="40">
        <v>40291.0</v>
      </c>
      <c r="O1288" s="15" t="s">
        <v>1554</v>
      </c>
      <c r="Q1288" s="7"/>
    </row>
    <row r="1289">
      <c r="A1289" s="39" t="s">
        <v>6612</v>
      </c>
      <c r="B1289" s="15">
        <v>10397.0</v>
      </c>
      <c r="C1289" s="15" t="s">
        <v>6613</v>
      </c>
      <c r="D1289" s="15">
        <v>14597.0</v>
      </c>
      <c r="E1289" s="15" t="s">
        <v>1557</v>
      </c>
      <c r="F1289" s="15" t="s">
        <v>1827</v>
      </c>
      <c r="G1289" s="7">
        <v>195.859</v>
      </c>
      <c r="H1289" s="15" t="s">
        <v>6615</v>
      </c>
      <c r="I1289" s="15" t="s">
        <v>1686</v>
      </c>
      <c r="J1289" s="15" t="s">
        <v>6616</v>
      </c>
      <c r="K1289" s="15">
        <v>158.0</v>
      </c>
      <c r="L1289" s="15">
        <v>158.0</v>
      </c>
      <c r="M1289" s="40">
        <v>37039.0</v>
      </c>
      <c r="N1289" s="40">
        <v>42045.0</v>
      </c>
      <c r="O1289" s="15" t="s">
        <v>1554</v>
      </c>
      <c r="Q1289" s="7"/>
    </row>
    <row r="1290">
      <c r="A1290" s="39" t="s">
        <v>6617</v>
      </c>
      <c r="B1290" s="15">
        <v>169865.0</v>
      </c>
      <c r="C1290" s="15" t="s">
        <v>6619</v>
      </c>
      <c r="D1290" s="15">
        <v>14598.0</v>
      </c>
      <c r="E1290" s="15" t="s">
        <v>1808</v>
      </c>
      <c r="F1290" s="15" t="s">
        <v>1809</v>
      </c>
      <c r="G1290" s="7">
        <v>5.223</v>
      </c>
      <c r="H1290" s="15" t="s">
        <v>6620</v>
      </c>
      <c r="I1290" s="15" t="s">
        <v>1628</v>
      </c>
      <c r="J1290" s="15" t="s">
        <v>6621</v>
      </c>
      <c r="K1290" s="15">
        <v>7.0</v>
      </c>
      <c r="L1290" s="15">
        <v>7.0</v>
      </c>
      <c r="M1290" s="40">
        <v>39568.0</v>
      </c>
      <c r="N1290" s="40">
        <v>42045.0</v>
      </c>
      <c r="O1290" s="15" t="s">
        <v>1554</v>
      </c>
      <c r="Q1290" s="7"/>
    </row>
    <row r="1291">
      <c r="A1291" s="39" t="s">
        <v>6622</v>
      </c>
      <c r="B1291" s="15">
        <v>103807.0</v>
      </c>
      <c r="C1291" s="15" t="s">
        <v>6623</v>
      </c>
      <c r="D1291" s="15">
        <v>14599.0</v>
      </c>
      <c r="E1291" s="15" t="s">
        <v>1557</v>
      </c>
      <c r="F1291" s="15" t="s">
        <v>1767</v>
      </c>
      <c r="G1291" s="7">
        <v>42.575</v>
      </c>
      <c r="H1291" s="15" t="s">
        <v>4821</v>
      </c>
      <c r="I1291" s="15" t="s">
        <v>1586</v>
      </c>
      <c r="J1291" s="15" t="s">
        <v>6626</v>
      </c>
      <c r="K1291" s="15">
        <v>60.0</v>
      </c>
      <c r="L1291" s="15">
        <v>58.0</v>
      </c>
      <c r="M1291" s="40">
        <v>37268.0</v>
      </c>
      <c r="N1291" s="40">
        <v>39645.0</v>
      </c>
      <c r="O1291" s="15" t="s">
        <v>1554</v>
      </c>
      <c r="Q1291" s="7"/>
    </row>
    <row r="1292">
      <c r="A1292" s="39" t="s">
        <v>6627</v>
      </c>
      <c r="B1292" s="15">
        <v>180170.0</v>
      </c>
      <c r="C1292" s="15" t="s">
        <v>6628</v>
      </c>
      <c r="D1292" s="15">
        <v>14600.0</v>
      </c>
      <c r="E1292" s="15" t="s">
        <v>1557</v>
      </c>
      <c r="F1292" s="15" t="s">
        <v>3454</v>
      </c>
      <c r="G1292" s="7">
        <v>111.362</v>
      </c>
      <c r="H1292" s="15" t="s">
        <v>3055</v>
      </c>
      <c r="I1292" s="15" t="s">
        <v>1686</v>
      </c>
      <c r="J1292" s="15" t="s">
        <v>6629</v>
      </c>
      <c r="K1292" s="15">
        <v>125.0</v>
      </c>
      <c r="L1292" s="15">
        <v>125.0</v>
      </c>
      <c r="M1292" s="40">
        <v>37343.0</v>
      </c>
      <c r="N1292" s="40">
        <v>42458.0</v>
      </c>
      <c r="O1292" s="15" t="s">
        <v>1554</v>
      </c>
      <c r="Q1292" s="7"/>
    </row>
    <row r="1293">
      <c r="A1293" s="39" t="s">
        <v>6631</v>
      </c>
      <c r="B1293" s="15">
        <v>120574.0</v>
      </c>
      <c r="C1293" s="15" t="s">
        <v>6632</v>
      </c>
      <c r="D1293" s="15">
        <v>14601.0</v>
      </c>
      <c r="E1293" s="15" t="s">
        <v>1557</v>
      </c>
      <c r="F1293" s="15" t="s">
        <v>1833</v>
      </c>
      <c r="G1293" s="7">
        <v>40.248</v>
      </c>
      <c r="H1293" s="15" t="s">
        <v>6633</v>
      </c>
      <c r="I1293" s="15" t="s">
        <v>1586</v>
      </c>
      <c r="J1293" s="15" t="s">
        <v>6634</v>
      </c>
      <c r="K1293" s="15">
        <v>53.0</v>
      </c>
      <c r="L1293" s="15">
        <v>53.0</v>
      </c>
      <c r="M1293" s="40">
        <v>37104.0</v>
      </c>
      <c r="N1293" s="40">
        <v>42578.0</v>
      </c>
      <c r="O1293" s="15" t="s">
        <v>1554</v>
      </c>
      <c r="Q1293" s="7"/>
    </row>
    <row r="1294">
      <c r="A1294" s="39" t="s">
        <v>6636</v>
      </c>
      <c r="B1294" s="15">
        <v>51369.0</v>
      </c>
      <c r="C1294" s="15" t="s">
        <v>6638</v>
      </c>
      <c r="D1294" s="15">
        <v>14602.0</v>
      </c>
      <c r="E1294" s="15" t="s">
        <v>1557</v>
      </c>
      <c r="F1294" s="15" t="s">
        <v>1833</v>
      </c>
      <c r="G1294" s="7">
        <v>43.411</v>
      </c>
      <c r="H1294" s="15" t="s">
        <v>1828</v>
      </c>
      <c r="I1294" s="15" t="s">
        <v>1586</v>
      </c>
      <c r="J1294" s="15" t="s">
        <v>6639</v>
      </c>
      <c r="K1294" s="15">
        <v>64.0</v>
      </c>
      <c r="L1294" s="15">
        <v>61.0</v>
      </c>
      <c r="M1294" s="41">
        <v>36510.0</v>
      </c>
      <c r="N1294" s="41">
        <v>39435.0</v>
      </c>
      <c r="O1294" s="15" t="s">
        <v>1554</v>
      </c>
      <c r="Q1294" s="7"/>
    </row>
    <row r="1295">
      <c r="A1295" s="39" t="s">
        <v>6640</v>
      </c>
      <c r="B1295" s="15">
        <v>10815.0</v>
      </c>
      <c r="C1295" s="15" t="s">
        <v>6641</v>
      </c>
      <c r="D1295" s="15">
        <v>14603.0</v>
      </c>
      <c r="E1295" s="15" t="s">
        <v>1808</v>
      </c>
      <c r="F1295" s="15" t="s">
        <v>1809</v>
      </c>
      <c r="G1295" s="7">
        <v>5.217</v>
      </c>
      <c r="H1295" s="15" t="s">
        <v>6642</v>
      </c>
      <c r="I1295" s="15" t="s">
        <v>1628</v>
      </c>
      <c r="J1295" s="15" t="s">
        <v>6644</v>
      </c>
      <c r="K1295" s="15">
        <v>6.0</v>
      </c>
      <c r="L1295" s="15">
        <v>6.0</v>
      </c>
      <c r="M1295" s="41">
        <v>33189.0</v>
      </c>
      <c r="N1295" s="40">
        <v>42072.0</v>
      </c>
      <c r="O1295" s="15" t="s">
        <v>1554</v>
      </c>
      <c r="Q1295" s="7"/>
    </row>
    <row r="1296">
      <c r="A1296" s="39" t="s">
        <v>6645</v>
      </c>
      <c r="B1296" s="15">
        <v>12402.0</v>
      </c>
      <c r="C1296" s="15" t="s">
        <v>6646</v>
      </c>
      <c r="D1296" s="15">
        <v>14604.0</v>
      </c>
      <c r="E1296" s="15" t="s">
        <v>1557</v>
      </c>
      <c r="F1296" s="15" t="s">
        <v>1767</v>
      </c>
      <c r="G1296" s="7">
        <v>42.935</v>
      </c>
      <c r="H1296" s="15" t="s">
        <v>1602</v>
      </c>
      <c r="I1296" s="15" t="s">
        <v>1586</v>
      </c>
      <c r="J1296" s="15" t="s">
        <v>6648</v>
      </c>
      <c r="K1296" s="15">
        <v>73.0</v>
      </c>
      <c r="L1296" s="15">
        <v>73.0</v>
      </c>
      <c r="M1296" s="40">
        <v>37957.0</v>
      </c>
      <c r="N1296" s="41">
        <v>39436.0</v>
      </c>
      <c r="O1296" s="15" t="s">
        <v>1554</v>
      </c>
      <c r="Q1296" s="7"/>
    </row>
    <row r="1297">
      <c r="A1297" s="39" t="s">
        <v>6650</v>
      </c>
      <c r="B1297" s="15">
        <v>57119.0</v>
      </c>
      <c r="C1297" s="15" t="s">
        <v>6651</v>
      </c>
      <c r="D1297" s="15">
        <v>14605.0</v>
      </c>
      <c r="E1297" s="15" t="s">
        <v>1808</v>
      </c>
      <c r="F1297" s="15" t="s">
        <v>1809</v>
      </c>
      <c r="G1297" s="7">
        <v>2.561</v>
      </c>
      <c r="H1297" s="15" t="s">
        <v>2392</v>
      </c>
      <c r="I1297" s="15" t="s">
        <v>1628</v>
      </c>
      <c r="J1297" s="15" t="s">
        <v>6652</v>
      </c>
      <c r="K1297" s="15">
        <v>4.0</v>
      </c>
      <c r="L1297" s="15">
        <v>4.0</v>
      </c>
      <c r="M1297" s="40">
        <v>35639.0</v>
      </c>
      <c r="N1297" s="40">
        <v>41369.0</v>
      </c>
      <c r="O1297" s="15" t="s">
        <v>1554</v>
      </c>
      <c r="Q1297" s="7"/>
    </row>
    <row r="1298">
      <c r="A1298" s="39" t="s">
        <v>6654</v>
      </c>
      <c r="B1298" s="15">
        <v>10719.0</v>
      </c>
      <c r="C1298" s="15" t="s">
        <v>6655</v>
      </c>
      <c r="D1298" s="15">
        <v>14606.0</v>
      </c>
      <c r="E1298" s="15" t="s">
        <v>1557</v>
      </c>
      <c r="F1298" s="15" t="s">
        <v>1833</v>
      </c>
      <c r="G1298" s="7">
        <v>41.491</v>
      </c>
      <c r="H1298" s="15" t="s">
        <v>3542</v>
      </c>
      <c r="I1298" s="15" t="s">
        <v>1586</v>
      </c>
      <c r="J1298" s="15" t="s">
        <v>6656</v>
      </c>
      <c r="K1298" s="15">
        <v>54.0</v>
      </c>
      <c r="L1298" s="15">
        <v>53.0</v>
      </c>
      <c r="M1298" s="41">
        <v>36129.0</v>
      </c>
      <c r="N1298" s="41">
        <v>42296.0</v>
      </c>
      <c r="O1298" s="15" t="s">
        <v>1554</v>
      </c>
      <c r="Q1298" s="7"/>
    </row>
    <row r="1299">
      <c r="A1299" s="39" t="s">
        <v>6659</v>
      </c>
      <c r="B1299" s="15">
        <v>35265.0</v>
      </c>
      <c r="C1299" s="15" t="s">
        <v>6660</v>
      </c>
      <c r="D1299" s="15">
        <v>14610.0</v>
      </c>
      <c r="E1299" s="15" t="s">
        <v>1557</v>
      </c>
      <c r="F1299" s="15" t="s">
        <v>2628</v>
      </c>
      <c r="G1299" s="7">
        <v>34.094</v>
      </c>
      <c r="H1299" s="15" t="s">
        <v>6661</v>
      </c>
      <c r="I1299" s="15" t="s">
        <v>1686</v>
      </c>
      <c r="J1299" s="15" t="s">
        <v>6662</v>
      </c>
      <c r="K1299" s="15">
        <v>29.0</v>
      </c>
      <c r="L1299" s="15">
        <v>29.0</v>
      </c>
      <c r="M1299" s="40">
        <v>41614.0</v>
      </c>
      <c r="N1299" s="40">
        <v>42209.0</v>
      </c>
      <c r="O1299" s="15" t="s">
        <v>1554</v>
      </c>
      <c r="Q1299" s="7"/>
    </row>
    <row r="1300">
      <c r="A1300" s="39" t="s">
        <v>6664</v>
      </c>
      <c r="B1300" s="15">
        <v>47680.0</v>
      </c>
      <c r="C1300" s="15" t="s">
        <v>6665</v>
      </c>
      <c r="D1300" s="15">
        <v>14611.0</v>
      </c>
      <c r="E1300" s="15" t="s">
        <v>1557</v>
      </c>
      <c r="F1300" s="15" t="s">
        <v>2628</v>
      </c>
      <c r="G1300" s="7">
        <v>33.501</v>
      </c>
      <c r="H1300" s="15">
        <v>50.0</v>
      </c>
      <c r="I1300" s="15" t="s">
        <v>1686</v>
      </c>
      <c r="J1300" s="15" t="s">
        <v>6666</v>
      </c>
      <c r="K1300" s="15">
        <v>36.0</v>
      </c>
      <c r="L1300" s="15">
        <v>36.0</v>
      </c>
      <c r="M1300" s="40">
        <v>41614.0</v>
      </c>
      <c r="N1300" s="40">
        <v>42209.0</v>
      </c>
      <c r="O1300" s="15" t="s">
        <v>1554</v>
      </c>
      <c r="Q1300" s="7"/>
    </row>
    <row r="1301">
      <c r="A1301" s="39" t="s">
        <v>6669</v>
      </c>
      <c r="B1301" s="15">
        <v>129953.0</v>
      </c>
      <c r="C1301" s="15" t="s">
        <v>6670</v>
      </c>
      <c r="D1301" s="15">
        <v>14612.0</v>
      </c>
      <c r="E1301" s="15" t="s">
        <v>1557</v>
      </c>
      <c r="F1301" s="15" t="s">
        <v>2628</v>
      </c>
      <c r="G1301" s="7">
        <v>34.185</v>
      </c>
      <c r="H1301" s="15" t="s">
        <v>3297</v>
      </c>
      <c r="I1301" s="15" t="s">
        <v>1686</v>
      </c>
      <c r="J1301" s="15" t="s">
        <v>6671</v>
      </c>
      <c r="K1301" s="15">
        <v>29.0</v>
      </c>
      <c r="L1301" s="15">
        <v>29.0</v>
      </c>
      <c r="M1301" s="41">
        <v>41618.0</v>
      </c>
      <c r="N1301" s="40">
        <v>42209.0</v>
      </c>
      <c r="O1301" s="15" t="s">
        <v>1554</v>
      </c>
      <c r="Q1301" s="7"/>
    </row>
    <row r="1302">
      <c r="A1302" s="39" t="s">
        <v>6673</v>
      </c>
      <c r="B1302" s="15">
        <v>10788.0</v>
      </c>
      <c r="C1302" s="15" t="s">
        <v>6674</v>
      </c>
      <c r="D1302" s="15">
        <v>14614.0</v>
      </c>
      <c r="E1302" s="15" t="s">
        <v>1808</v>
      </c>
      <c r="F1302" s="15" t="s">
        <v>2436</v>
      </c>
      <c r="G1302" s="7">
        <v>5.323</v>
      </c>
      <c r="H1302" s="15" t="s">
        <v>4479</v>
      </c>
      <c r="I1302" s="15" t="s">
        <v>1686</v>
      </c>
      <c r="J1302" s="15" t="s">
        <v>6675</v>
      </c>
      <c r="K1302" s="15">
        <v>5.0</v>
      </c>
      <c r="L1302" s="15">
        <v>3.0</v>
      </c>
      <c r="M1302" s="40">
        <v>34184.0</v>
      </c>
      <c r="N1302" s="41">
        <v>40147.0</v>
      </c>
      <c r="O1302" s="15" t="s">
        <v>1554</v>
      </c>
      <c r="Q1302" s="7"/>
    </row>
    <row r="1303">
      <c r="A1303" s="39" t="s">
        <v>6677</v>
      </c>
      <c r="B1303" s="15">
        <v>249151.0</v>
      </c>
      <c r="C1303" s="15" t="s">
        <v>6678</v>
      </c>
      <c r="D1303" s="15">
        <v>14617.0</v>
      </c>
      <c r="E1303" s="15" t="s">
        <v>1557</v>
      </c>
      <c r="F1303" s="15" t="s">
        <v>1992</v>
      </c>
      <c r="G1303" s="7">
        <v>81.755</v>
      </c>
      <c r="H1303" s="15" t="s">
        <v>2207</v>
      </c>
      <c r="I1303" s="15" t="s">
        <v>1560</v>
      </c>
      <c r="J1303" s="15" t="s">
        <v>6679</v>
      </c>
      <c r="K1303" s="15">
        <v>89.0</v>
      </c>
      <c r="L1303" s="15">
        <v>89.0</v>
      </c>
      <c r="M1303" s="40">
        <v>38153.0</v>
      </c>
      <c r="N1303" s="40">
        <v>41508.0</v>
      </c>
      <c r="O1303" s="15" t="s">
        <v>1554</v>
      </c>
      <c r="Q1303" s="7"/>
    </row>
    <row r="1304">
      <c r="A1304" s="39" t="s">
        <v>6682</v>
      </c>
      <c r="B1304" s="15">
        <v>259898.0</v>
      </c>
      <c r="C1304" s="15" t="s">
        <v>6683</v>
      </c>
      <c r="D1304" s="15">
        <v>14618.0</v>
      </c>
      <c r="E1304" s="15" t="s">
        <v>1916</v>
      </c>
      <c r="F1304" s="15" t="s">
        <v>3423</v>
      </c>
      <c r="G1304" s="7">
        <v>3.051</v>
      </c>
      <c r="H1304" s="15" t="s">
        <v>2440</v>
      </c>
      <c r="I1304" s="15" t="s">
        <v>1686</v>
      </c>
      <c r="J1304" s="15" t="s">
        <v>6684</v>
      </c>
      <c r="K1304" s="15">
        <v>5.0</v>
      </c>
      <c r="L1304" s="15">
        <v>5.0</v>
      </c>
      <c r="M1304" s="40">
        <v>38000.0</v>
      </c>
      <c r="N1304" s="40">
        <v>40148.0</v>
      </c>
      <c r="O1304" s="15" t="s">
        <v>1554</v>
      </c>
      <c r="Q1304" s="7"/>
    </row>
    <row r="1305">
      <c r="A1305" s="39" t="s">
        <v>6686</v>
      </c>
      <c r="B1305" s="15">
        <v>232802.0</v>
      </c>
      <c r="C1305" s="15" t="s">
        <v>6687</v>
      </c>
      <c r="D1305" s="15">
        <v>14619.0</v>
      </c>
      <c r="E1305" s="15" t="s">
        <v>1808</v>
      </c>
      <c r="F1305" s="15" t="s">
        <v>1998</v>
      </c>
      <c r="G1305" s="7">
        <v>1.996</v>
      </c>
      <c r="H1305" s="15" t="s">
        <v>4776</v>
      </c>
      <c r="I1305" s="15" t="s">
        <v>1686</v>
      </c>
      <c r="J1305" s="15" t="s">
        <v>6688</v>
      </c>
      <c r="K1305" s="15">
        <v>2.0</v>
      </c>
      <c r="L1305" s="15">
        <v>2.0</v>
      </c>
      <c r="M1305" s="40">
        <v>37833.0</v>
      </c>
      <c r="N1305" s="40">
        <v>40148.0</v>
      </c>
      <c r="O1305" s="15" t="s">
        <v>1554</v>
      </c>
      <c r="Q1305" s="7"/>
    </row>
    <row r="1306">
      <c r="A1306" s="39" t="s">
        <v>6690</v>
      </c>
      <c r="B1306" s="15">
        <v>221037.0</v>
      </c>
      <c r="C1306" s="15" t="s">
        <v>6691</v>
      </c>
      <c r="D1306" s="15">
        <v>14620.0</v>
      </c>
      <c r="E1306" s="15" t="s">
        <v>2014</v>
      </c>
      <c r="F1306" s="15" t="s">
        <v>2018</v>
      </c>
      <c r="G1306" s="7">
        <v>1.344</v>
      </c>
      <c r="H1306" s="15" t="s">
        <v>3895</v>
      </c>
      <c r="I1306" s="15" t="s">
        <v>1628</v>
      </c>
      <c r="J1306" s="15" t="s">
        <v>6694</v>
      </c>
      <c r="K1306" s="15">
        <v>1.0</v>
      </c>
      <c r="L1306" s="15">
        <v>1.0</v>
      </c>
      <c r="M1306" s="40">
        <v>37827.0</v>
      </c>
      <c r="N1306" s="40">
        <v>40578.0</v>
      </c>
      <c r="O1306" s="15" t="s">
        <v>1554</v>
      </c>
      <c r="Q1306" s="7"/>
    </row>
    <row r="1307">
      <c r="A1307" s="39" t="s">
        <v>6696</v>
      </c>
      <c r="B1307" s="15">
        <v>12585.0</v>
      </c>
      <c r="C1307" s="15" t="s">
        <v>6697</v>
      </c>
      <c r="D1307" s="15">
        <v>14621.0</v>
      </c>
      <c r="E1307" s="15" t="s">
        <v>1808</v>
      </c>
      <c r="F1307" s="15" t="s">
        <v>1854</v>
      </c>
      <c r="G1307" s="7">
        <v>6.396</v>
      </c>
      <c r="H1307" s="15" t="s">
        <v>6698</v>
      </c>
      <c r="I1307" s="15" t="s">
        <v>1628</v>
      </c>
      <c r="J1307" s="15" t="s">
        <v>6700</v>
      </c>
      <c r="K1307" s="15">
        <v>5.0</v>
      </c>
      <c r="L1307" s="15">
        <v>5.0</v>
      </c>
      <c r="M1307" s="40">
        <v>34148.0</v>
      </c>
      <c r="N1307" s="40">
        <v>42045.0</v>
      </c>
      <c r="O1307" s="15" t="s">
        <v>1554</v>
      </c>
      <c r="Q1307" s="7"/>
    </row>
    <row r="1308">
      <c r="A1308" s="39" t="s">
        <v>6702</v>
      </c>
      <c r="B1308" s="15">
        <v>220812.0</v>
      </c>
      <c r="C1308" s="15" t="s">
        <v>6703</v>
      </c>
      <c r="D1308" s="15">
        <v>14622.0</v>
      </c>
      <c r="E1308" s="15" t="s">
        <v>2014</v>
      </c>
      <c r="F1308" s="15" t="s">
        <v>2018</v>
      </c>
      <c r="G1308" s="7">
        <v>1.424</v>
      </c>
      <c r="H1308" s="15" t="s">
        <v>2396</v>
      </c>
      <c r="I1308" s="15" t="s">
        <v>1628</v>
      </c>
      <c r="J1308" s="15" t="s">
        <v>6704</v>
      </c>
      <c r="K1308" s="15">
        <v>1.0</v>
      </c>
      <c r="L1308" s="15">
        <v>1.0</v>
      </c>
      <c r="M1308" s="40">
        <v>37720.0</v>
      </c>
      <c r="N1308" s="40">
        <v>39790.0</v>
      </c>
      <c r="O1308" s="15" t="s">
        <v>1554</v>
      </c>
      <c r="Q1308" s="7"/>
    </row>
    <row r="1309">
      <c r="A1309" s="39" t="s">
        <v>6705</v>
      </c>
      <c r="B1309" s="15">
        <v>298965.0</v>
      </c>
      <c r="C1309" s="15" t="s">
        <v>6706</v>
      </c>
      <c r="D1309" s="15">
        <v>14623.0</v>
      </c>
      <c r="E1309" s="15" t="s">
        <v>2014</v>
      </c>
      <c r="F1309" s="15" t="s">
        <v>1578</v>
      </c>
      <c r="G1309" s="7">
        <v>0.615</v>
      </c>
      <c r="H1309" s="15" t="s">
        <v>1551</v>
      </c>
      <c r="I1309" s="15" t="s">
        <v>1628</v>
      </c>
      <c r="J1309" s="15" t="s">
        <v>6708</v>
      </c>
      <c r="K1309" s="15" t="s">
        <v>1722</v>
      </c>
      <c r="L1309" s="15" t="s">
        <v>1722</v>
      </c>
      <c r="M1309" s="40">
        <v>38261.0</v>
      </c>
      <c r="N1309" s="41">
        <v>40140.0</v>
      </c>
      <c r="O1309" s="15" t="s">
        <v>1554</v>
      </c>
      <c r="Q1309" s="7"/>
    </row>
    <row r="1310">
      <c r="A1310" s="39" t="s">
        <v>6710</v>
      </c>
      <c r="B1310" s="15">
        <v>10372.0</v>
      </c>
      <c r="C1310" s="15" t="s">
        <v>6711</v>
      </c>
      <c r="D1310" s="15">
        <v>14625.0</v>
      </c>
      <c r="E1310" s="15" t="s">
        <v>1557</v>
      </c>
      <c r="F1310" s="15" t="s">
        <v>1827</v>
      </c>
      <c r="G1310" s="7">
        <v>153.08</v>
      </c>
      <c r="H1310" s="15" t="s">
        <v>2288</v>
      </c>
      <c r="I1310" s="15" t="s">
        <v>1567</v>
      </c>
      <c r="J1310" s="15" t="s">
        <v>6712</v>
      </c>
      <c r="K1310" s="15">
        <v>86.0</v>
      </c>
      <c r="L1310" s="15">
        <v>86.0</v>
      </c>
      <c r="M1310" s="41">
        <v>35062.0</v>
      </c>
      <c r="N1310" s="40">
        <v>42045.0</v>
      </c>
      <c r="O1310" s="15" t="s">
        <v>1554</v>
      </c>
      <c r="Q1310" s="7"/>
    </row>
    <row r="1311">
      <c r="A1311" s="39" t="s">
        <v>6714</v>
      </c>
      <c r="B1311" s="15">
        <v>310540.0</v>
      </c>
      <c r="C1311" s="15" t="s">
        <v>6715</v>
      </c>
      <c r="D1311" s="15">
        <v>14626.0</v>
      </c>
      <c r="E1311" s="15" t="s">
        <v>1557</v>
      </c>
      <c r="F1311" s="15" t="s">
        <v>2628</v>
      </c>
      <c r="G1311" s="7">
        <v>34.45</v>
      </c>
      <c r="H1311" s="15" t="s">
        <v>6716</v>
      </c>
      <c r="I1311" s="15" t="s">
        <v>1686</v>
      </c>
      <c r="J1311" s="15" t="s">
        <v>6717</v>
      </c>
      <c r="K1311" s="15">
        <v>36.0</v>
      </c>
      <c r="L1311" s="15">
        <v>35.0</v>
      </c>
      <c r="M1311" s="40">
        <v>38417.0</v>
      </c>
      <c r="N1311" s="40">
        <v>42457.0</v>
      </c>
      <c r="O1311" s="15" t="s">
        <v>1554</v>
      </c>
      <c r="Q1311" s="7"/>
    </row>
    <row r="1312">
      <c r="A1312" s="39" t="s">
        <v>6718</v>
      </c>
      <c r="B1312" s="15">
        <v>10867.0</v>
      </c>
      <c r="C1312" s="15" t="s">
        <v>6720</v>
      </c>
      <c r="D1312" s="15">
        <v>14627.0</v>
      </c>
      <c r="E1312" s="15" t="s">
        <v>1808</v>
      </c>
      <c r="F1312" s="15" t="s">
        <v>2969</v>
      </c>
      <c r="G1312" s="7">
        <v>6.883</v>
      </c>
      <c r="H1312" s="15" t="s">
        <v>2019</v>
      </c>
      <c r="I1312" s="15" t="s">
        <v>1586</v>
      </c>
      <c r="J1312" s="15" t="s">
        <v>6722</v>
      </c>
      <c r="K1312" s="15">
        <v>10.0</v>
      </c>
      <c r="L1312" s="15">
        <v>10.0</v>
      </c>
      <c r="M1312" s="40">
        <v>31440.0</v>
      </c>
      <c r="N1312" s="40">
        <v>42045.0</v>
      </c>
      <c r="O1312" s="15" t="s">
        <v>1554</v>
      </c>
      <c r="Q1312" s="7"/>
    </row>
    <row r="1313">
      <c r="A1313" s="39" t="s">
        <v>6723</v>
      </c>
      <c r="B1313" s="15">
        <v>151528.0</v>
      </c>
      <c r="C1313" s="15" t="s">
        <v>6724</v>
      </c>
      <c r="D1313" s="15">
        <v>14628.0</v>
      </c>
      <c r="E1313" s="15" t="s">
        <v>1557</v>
      </c>
      <c r="F1313" s="15" t="s">
        <v>1611</v>
      </c>
      <c r="G1313" s="7">
        <v>46.675</v>
      </c>
      <c r="H1313" s="15" t="s">
        <v>5627</v>
      </c>
      <c r="I1313" s="15" t="s">
        <v>1586</v>
      </c>
      <c r="J1313" s="15" t="s">
        <v>6726</v>
      </c>
      <c r="K1313" s="15">
        <v>55.0</v>
      </c>
      <c r="L1313" s="15">
        <v>55.0</v>
      </c>
      <c r="M1313" s="40">
        <v>37289.0</v>
      </c>
      <c r="N1313" s="40">
        <v>43013.0</v>
      </c>
      <c r="O1313" s="15" t="s">
        <v>1554</v>
      </c>
      <c r="Q1313" s="7"/>
    </row>
    <row r="1314">
      <c r="A1314" s="39" t="s">
        <v>6727</v>
      </c>
      <c r="B1314" s="15">
        <v>11588.0</v>
      </c>
      <c r="C1314" s="15" t="s">
        <v>6728</v>
      </c>
      <c r="D1314" s="15">
        <v>14631.0</v>
      </c>
      <c r="E1314" s="15" t="s">
        <v>1548</v>
      </c>
      <c r="F1314" s="15" t="s">
        <v>3116</v>
      </c>
      <c r="G1314" s="7">
        <v>11.979</v>
      </c>
      <c r="H1314" s="15" t="s">
        <v>6729</v>
      </c>
      <c r="I1314" s="15" t="s">
        <v>1803</v>
      </c>
      <c r="J1314" s="15" t="s">
        <v>6730</v>
      </c>
      <c r="K1314" s="15">
        <v>4.0</v>
      </c>
      <c r="L1314" s="15">
        <v>4.0</v>
      </c>
      <c r="M1314" s="40">
        <v>39113.0</v>
      </c>
      <c r="N1314" s="41">
        <v>42297.0</v>
      </c>
      <c r="O1314" s="15" t="s">
        <v>1554</v>
      </c>
      <c r="Q1314" s="7"/>
    </row>
    <row r="1315">
      <c r="A1315" s="39" t="s">
        <v>6732</v>
      </c>
      <c r="B1315" s="15">
        <v>11958.0</v>
      </c>
      <c r="C1315" s="15" t="s">
        <v>6733</v>
      </c>
      <c r="D1315" s="15">
        <v>14632.0</v>
      </c>
      <c r="E1315" s="15" t="s">
        <v>1916</v>
      </c>
      <c r="F1315" s="15" t="s">
        <v>2532</v>
      </c>
      <c r="G1315" s="7">
        <v>2.63</v>
      </c>
      <c r="H1315" s="15" t="s">
        <v>2131</v>
      </c>
      <c r="I1315" s="15" t="s">
        <v>1686</v>
      </c>
      <c r="J1315" s="15" t="s">
        <v>6735</v>
      </c>
      <c r="K1315" s="15">
        <v>1.0</v>
      </c>
      <c r="L1315" s="15">
        <v>1.0</v>
      </c>
      <c r="M1315" s="40">
        <v>31917.0</v>
      </c>
      <c r="N1315" s="40">
        <v>38940.0</v>
      </c>
      <c r="O1315" s="15" t="s">
        <v>1554</v>
      </c>
      <c r="Q1315" s="7"/>
    </row>
    <row r="1316">
      <c r="A1316" s="39" t="s">
        <v>6737</v>
      </c>
      <c r="B1316" s="15">
        <v>11657.0</v>
      </c>
      <c r="C1316" s="15" t="s">
        <v>6738</v>
      </c>
      <c r="D1316" s="15">
        <v>14634.0</v>
      </c>
      <c r="E1316" s="15" t="s">
        <v>1916</v>
      </c>
      <c r="F1316" s="15" t="s">
        <v>2532</v>
      </c>
      <c r="G1316" s="7">
        <v>8.482</v>
      </c>
      <c r="H1316" s="15">
        <v>45.0</v>
      </c>
      <c r="I1316" s="15" t="s">
        <v>1686</v>
      </c>
      <c r="J1316" s="15" t="s">
        <v>6739</v>
      </c>
      <c r="K1316" s="15">
        <v>5.0</v>
      </c>
      <c r="L1316" s="15">
        <v>5.0</v>
      </c>
      <c r="M1316" s="40">
        <v>34087.0</v>
      </c>
      <c r="N1316" s="40">
        <v>42578.0</v>
      </c>
      <c r="O1316" s="15" t="s">
        <v>1554</v>
      </c>
      <c r="Q1316" s="7"/>
    </row>
    <row r="1317">
      <c r="A1317" s="39" t="s">
        <v>6740</v>
      </c>
      <c r="B1317" s="15">
        <v>12018.0</v>
      </c>
      <c r="C1317" s="15" t="s">
        <v>6741</v>
      </c>
      <c r="D1317" s="15">
        <v>14635.0</v>
      </c>
      <c r="E1317" s="15" t="s">
        <v>1548</v>
      </c>
      <c r="F1317" s="15" t="s">
        <v>4850</v>
      </c>
      <c r="G1317" s="7">
        <v>3.466</v>
      </c>
      <c r="H1317" s="15" t="s">
        <v>2945</v>
      </c>
      <c r="I1317" s="15" t="s">
        <v>1586</v>
      </c>
      <c r="J1317" s="15" t="s">
        <v>6744</v>
      </c>
      <c r="K1317" s="15">
        <v>4.0</v>
      </c>
      <c r="L1317" s="15">
        <v>4.0</v>
      </c>
      <c r="M1317" s="41">
        <v>31734.0</v>
      </c>
      <c r="N1317" s="40">
        <v>42045.0</v>
      </c>
      <c r="O1317" s="15" t="s">
        <v>1554</v>
      </c>
      <c r="Q1317" s="7"/>
    </row>
    <row r="1318">
      <c r="A1318" s="39" t="s">
        <v>6745</v>
      </c>
      <c r="B1318" s="15">
        <v>11741.0</v>
      </c>
      <c r="C1318" s="15" t="s">
        <v>6746</v>
      </c>
      <c r="D1318" s="15">
        <v>14636.0</v>
      </c>
      <c r="E1318" s="15" t="s">
        <v>1916</v>
      </c>
      <c r="F1318" s="15" t="s">
        <v>2532</v>
      </c>
      <c r="G1318" s="7">
        <v>9.202</v>
      </c>
      <c r="H1318" s="15" t="s">
        <v>2777</v>
      </c>
      <c r="I1318" s="15" t="s">
        <v>1686</v>
      </c>
      <c r="J1318" s="15" t="s">
        <v>6747</v>
      </c>
      <c r="K1318" s="15">
        <v>6.0</v>
      </c>
      <c r="L1318" s="15">
        <v>6.0</v>
      </c>
      <c r="M1318" s="40">
        <v>34106.0</v>
      </c>
      <c r="N1318" s="40">
        <v>42453.0</v>
      </c>
      <c r="O1318" s="15" t="s">
        <v>1554</v>
      </c>
      <c r="Q1318" s="7"/>
    </row>
    <row r="1319">
      <c r="A1319" s="39" t="s">
        <v>6749</v>
      </c>
      <c r="B1319" s="15">
        <v>12143.0</v>
      </c>
      <c r="C1319" s="15" t="s">
        <v>6750</v>
      </c>
      <c r="D1319" s="15">
        <v>14638.0</v>
      </c>
      <c r="E1319" s="15" t="s">
        <v>1548</v>
      </c>
      <c r="F1319" s="15" t="s">
        <v>2900</v>
      </c>
      <c r="G1319" s="7">
        <v>4.701</v>
      </c>
      <c r="H1319" s="15" t="s">
        <v>2365</v>
      </c>
      <c r="I1319" s="15" t="s">
        <v>1628</v>
      </c>
      <c r="J1319" s="15" t="s">
        <v>6752</v>
      </c>
      <c r="K1319" s="15">
        <v>5.0</v>
      </c>
      <c r="L1319" s="15">
        <v>5.0</v>
      </c>
      <c r="M1319" s="40">
        <v>33333.0</v>
      </c>
      <c r="N1319" s="41">
        <v>42720.0</v>
      </c>
      <c r="O1319" s="15" t="s">
        <v>1554</v>
      </c>
      <c r="Q1319" s="7"/>
    </row>
    <row r="1320">
      <c r="A1320" s="39" t="s">
        <v>6753</v>
      </c>
      <c r="B1320" s="15">
        <v>12151.0</v>
      </c>
      <c r="C1320" s="15" t="s">
        <v>6755</v>
      </c>
      <c r="D1320" s="15">
        <v>14639.0</v>
      </c>
      <c r="E1320" s="15" t="s">
        <v>1548</v>
      </c>
      <c r="F1320" s="15" t="s">
        <v>2032</v>
      </c>
      <c r="G1320" s="7">
        <v>6.331</v>
      </c>
      <c r="H1320" s="15" t="s">
        <v>3246</v>
      </c>
      <c r="I1320" s="15" t="s">
        <v>2034</v>
      </c>
      <c r="J1320" s="15" t="s">
        <v>6756</v>
      </c>
      <c r="K1320" s="15">
        <v>3.0</v>
      </c>
      <c r="L1320" s="15">
        <v>3.0</v>
      </c>
      <c r="M1320" s="40">
        <v>33131.0</v>
      </c>
      <c r="N1320" s="40">
        <v>39651.0</v>
      </c>
      <c r="O1320" s="15" t="s">
        <v>1554</v>
      </c>
      <c r="Q1320" s="7"/>
    </row>
    <row r="1321">
      <c r="A1321" s="39" t="s">
        <v>6757</v>
      </c>
      <c r="B1321" s="15">
        <v>12179.0</v>
      </c>
      <c r="C1321" s="15" t="s">
        <v>6758</v>
      </c>
      <c r="D1321" s="15">
        <v>14640.0</v>
      </c>
      <c r="E1321" s="15" t="s">
        <v>1548</v>
      </c>
      <c r="F1321" s="15" t="s">
        <v>1633</v>
      </c>
      <c r="G1321" s="7">
        <v>6.151</v>
      </c>
      <c r="H1321" s="15" t="s">
        <v>3242</v>
      </c>
      <c r="I1321" s="15" t="s">
        <v>1628</v>
      </c>
      <c r="J1321" s="15" t="s">
        <v>6760</v>
      </c>
      <c r="K1321" s="15">
        <v>5.0</v>
      </c>
      <c r="L1321" s="15">
        <v>5.0</v>
      </c>
      <c r="M1321" s="41">
        <v>33541.0</v>
      </c>
      <c r="N1321" s="40">
        <v>42045.0</v>
      </c>
      <c r="O1321" s="15" t="s">
        <v>1554</v>
      </c>
      <c r="Q1321" s="7"/>
    </row>
    <row r="1322">
      <c r="A1322" s="39" t="s">
        <v>6761</v>
      </c>
      <c r="B1322" s="15">
        <v>11820.0</v>
      </c>
      <c r="C1322" s="15" t="s">
        <v>6762</v>
      </c>
      <c r="D1322" s="15">
        <v>14641.0</v>
      </c>
      <c r="E1322" s="15" t="s">
        <v>1916</v>
      </c>
      <c r="F1322" s="15" t="s">
        <v>2532</v>
      </c>
      <c r="G1322" s="7">
        <v>6.296</v>
      </c>
      <c r="H1322" s="15" t="s">
        <v>5955</v>
      </c>
      <c r="I1322" s="15" t="s">
        <v>1686</v>
      </c>
      <c r="J1322" s="15" t="s">
        <v>6764</v>
      </c>
      <c r="K1322" s="15">
        <v>4.0</v>
      </c>
      <c r="L1322" s="15">
        <v>4.0</v>
      </c>
      <c r="M1322" s="40">
        <v>31121.0</v>
      </c>
      <c r="N1322" s="40">
        <v>42045.0</v>
      </c>
      <c r="O1322" s="15" t="s">
        <v>1554</v>
      </c>
      <c r="Q1322" s="7"/>
    </row>
    <row r="1323">
      <c r="A1323" s="39" t="s">
        <v>6766</v>
      </c>
      <c r="B1323" s="15">
        <v>11307.0</v>
      </c>
      <c r="C1323" s="15" t="s">
        <v>6767</v>
      </c>
      <c r="D1323" s="15">
        <v>14642.0</v>
      </c>
      <c r="E1323" s="15" t="s">
        <v>1548</v>
      </c>
      <c r="F1323" s="15" t="s">
        <v>1890</v>
      </c>
      <c r="G1323" s="7">
        <v>13.72</v>
      </c>
      <c r="H1323" s="15" t="s">
        <v>2440</v>
      </c>
      <c r="I1323" s="15" t="s">
        <v>2034</v>
      </c>
      <c r="J1323" s="15" t="s">
        <v>6768</v>
      </c>
      <c r="K1323" s="15">
        <v>8.0</v>
      </c>
      <c r="L1323" s="15">
        <v>6.0</v>
      </c>
      <c r="M1323" s="40">
        <v>34463.0</v>
      </c>
      <c r="N1323" s="40">
        <v>43012.0</v>
      </c>
      <c r="O1323" s="15" t="s">
        <v>1554</v>
      </c>
      <c r="Q1323" s="7"/>
    </row>
    <row r="1324">
      <c r="A1324" s="39" t="s">
        <v>6769</v>
      </c>
      <c r="B1324" s="15">
        <v>42478.0</v>
      </c>
      <c r="C1324" s="15" t="s">
        <v>6770</v>
      </c>
      <c r="D1324" s="15">
        <v>14643.0</v>
      </c>
      <c r="E1324" s="15" t="s">
        <v>1638</v>
      </c>
      <c r="F1324" s="15" t="s">
        <v>1639</v>
      </c>
      <c r="G1324" s="7">
        <v>4.615</v>
      </c>
      <c r="H1324" s="15" t="s">
        <v>2163</v>
      </c>
      <c r="I1324" s="15" t="s">
        <v>1552</v>
      </c>
      <c r="J1324" s="15" t="s">
        <v>6772</v>
      </c>
      <c r="K1324" s="15">
        <v>2.0</v>
      </c>
      <c r="L1324" s="15">
        <v>2.0</v>
      </c>
      <c r="M1324" s="40">
        <v>34675.0</v>
      </c>
      <c r="N1324" s="40">
        <v>41110.0</v>
      </c>
      <c r="O1324" s="15" t="s">
        <v>1554</v>
      </c>
      <c r="Q1324" s="7"/>
    </row>
    <row r="1325">
      <c r="A1325" s="39" t="s">
        <v>6774</v>
      </c>
      <c r="B1325" s="15">
        <v>12158.0</v>
      </c>
      <c r="C1325" s="15" t="s">
        <v>6775</v>
      </c>
      <c r="D1325" s="15">
        <v>14644.0</v>
      </c>
      <c r="E1325" s="15" t="s">
        <v>1548</v>
      </c>
      <c r="F1325" s="15" t="s">
        <v>2032</v>
      </c>
      <c r="G1325" s="7">
        <v>6.362</v>
      </c>
      <c r="H1325" s="15" t="s">
        <v>4673</v>
      </c>
      <c r="I1325" s="15" t="s">
        <v>2034</v>
      </c>
      <c r="J1325" s="15" t="s">
        <v>6776</v>
      </c>
      <c r="K1325" s="15">
        <v>3.0</v>
      </c>
      <c r="L1325" s="15">
        <v>3.0</v>
      </c>
      <c r="M1325" s="40">
        <v>34088.0</v>
      </c>
      <c r="N1325" s="40">
        <v>42045.0</v>
      </c>
      <c r="O1325" s="15" t="s">
        <v>1554</v>
      </c>
      <c r="Q1325" s="7"/>
    </row>
    <row r="1326">
      <c r="A1326" s="39" t="s">
        <v>6778</v>
      </c>
      <c r="B1326" s="15">
        <v>12177.0</v>
      </c>
      <c r="C1326" s="15" t="s">
        <v>6779</v>
      </c>
      <c r="D1326" s="15">
        <v>14645.0</v>
      </c>
      <c r="E1326" s="15" t="s">
        <v>1548</v>
      </c>
      <c r="F1326" s="15" t="s">
        <v>1633</v>
      </c>
      <c r="G1326" s="7">
        <v>7.015</v>
      </c>
      <c r="H1326" s="15" t="s">
        <v>4821</v>
      </c>
      <c r="I1326" s="15" t="s">
        <v>1628</v>
      </c>
      <c r="J1326" s="15" t="s">
        <v>6780</v>
      </c>
      <c r="K1326" s="15">
        <v>5.0</v>
      </c>
      <c r="L1326" s="15">
        <v>5.0</v>
      </c>
      <c r="M1326" s="40">
        <v>34418.0</v>
      </c>
      <c r="N1326" s="40">
        <v>42045.0</v>
      </c>
      <c r="O1326" s="15" t="s">
        <v>1554</v>
      </c>
      <c r="Q1326" s="7"/>
    </row>
    <row r="1327">
      <c r="A1327" s="39" t="s">
        <v>6782</v>
      </c>
      <c r="B1327" s="15">
        <v>207343.0</v>
      </c>
      <c r="C1327" s="15" t="s">
        <v>6783</v>
      </c>
      <c r="D1327" s="15">
        <v>14646.0</v>
      </c>
      <c r="E1327" s="15" t="s">
        <v>1916</v>
      </c>
      <c r="F1327" s="15" t="s">
        <v>2532</v>
      </c>
      <c r="G1327" s="7">
        <v>12.002</v>
      </c>
      <c r="H1327" s="15" t="s">
        <v>3407</v>
      </c>
      <c r="I1327" s="15" t="s">
        <v>1686</v>
      </c>
      <c r="J1327" s="15" t="s">
        <v>6785</v>
      </c>
      <c r="K1327" s="15">
        <v>5.0</v>
      </c>
      <c r="L1327" s="15">
        <v>5.0</v>
      </c>
      <c r="M1327" s="40">
        <v>35676.0</v>
      </c>
      <c r="N1327" s="41">
        <v>40147.0</v>
      </c>
      <c r="O1327" s="15" t="s">
        <v>1554</v>
      </c>
      <c r="Q1327" s="7"/>
    </row>
    <row r="1328">
      <c r="A1328" s="39" t="s">
        <v>6786</v>
      </c>
      <c r="B1328" s="15">
        <v>1307800.0</v>
      </c>
      <c r="C1328" s="15" t="s">
        <v>6787</v>
      </c>
      <c r="D1328" s="15">
        <v>14647.0</v>
      </c>
      <c r="E1328" s="15" t="s">
        <v>1548</v>
      </c>
      <c r="F1328" s="15" t="s">
        <v>1801</v>
      </c>
      <c r="G1328" s="7">
        <v>9.55</v>
      </c>
      <c r="H1328" s="15" t="s">
        <v>1566</v>
      </c>
      <c r="I1328" s="15" t="s">
        <v>1686</v>
      </c>
      <c r="J1328" s="15" t="s">
        <v>6788</v>
      </c>
      <c r="K1328" s="15">
        <v>1.0</v>
      </c>
      <c r="L1328" s="15">
        <v>1.0</v>
      </c>
      <c r="M1328" s="40">
        <v>35696.0</v>
      </c>
      <c r="N1328" s="40">
        <v>42531.0</v>
      </c>
      <c r="O1328" s="15" t="s">
        <v>1554</v>
      </c>
      <c r="Q1328" s="7"/>
    </row>
    <row r="1329">
      <c r="A1329" s="39" t="s">
        <v>6790</v>
      </c>
      <c r="B1329" s="15">
        <v>66834.0</v>
      </c>
      <c r="C1329" s="15" t="s">
        <v>6791</v>
      </c>
      <c r="D1329" s="15">
        <v>14648.0</v>
      </c>
      <c r="E1329" s="15" t="s">
        <v>1548</v>
      </c>
      <c r="F1329" s="15" t="s">
        <v>2788</v>
      </c>
      <c r="G1329" s="7">
        <v>10.011</v>
      </c>
      <c r="H1329" s="15" t="s">
        <v>6565</v>
      </c>
      <c r="I1329" s="15" t="s">
        <v>1560</v>
      </c>
      <c r="J1329" s="15" t="s">
        <v>6792</v>
      </c>
      <c r="K1329" s="15">
        <v>2.0</v>
      </c>
      <c r="L1329" s="15">
        <v>2.0</v>
      </c>
      <c r="M1329" s="40">
        <v>35851.0</v>
      </c>
      <c r="N1329" s="41">
        <v>40147.0</v>
      </c>
      <c r="O1329" s="15" t="s">
        <v>1554</v>
      </c>
      <c r="Q1329" s="7"/>
    </row>
    <row r="1330">
      <c r="A1330" s="39" t="s">
        <v>6793</v>
      </c>
      <c r="B1330" s="15">
        <v>35304.0</v>
      </c>
      <c r="C1330" s="15" t="s">
        <v>6794</v>
      </c>
      <c r="D1330" s="15">
        <v>14649.0</v>
      </c>
      <c r="E1330" s="15" t="s">
        <v>1548</v>
      </c>
      <c r="F1330" s="15" t="s">
        <v>5290</v>
      </c>
      <c r="G1330" s="7">
        <v>12.294</v>
      </c>
      <c r="H1330" s="15" t="s">
        <v>6797</v>
      </c>
      <c r="I1330" s="15" t="s">
        <v>1803</v>
      </c>
      <c r="J1330" s="15" t="s">
        <v>6798</v>
      </c>
      <c r="K1330" s="15">
        <v>4.0</v>
      </c>
      <c r="L1330" s="15">
        <v>4.0</v>
      </c>
      <c r="M1330" s="40">
        <v>32416.0</v>
      </c>
      <c r="N1330" s="41">
        <v>42297.0</v>
      </c>
      <c r="O1330" s="15" t="s">
        <v>1554</v>
      </c>
      <c r="Q1330" s="7"/>
    </row>
    <row r="1331">
      <c r="A1331" s="39" t="s">
        <v>6799</v>
      </c>
      <c r="B1331" s="15">
        <v>65467.0</v>
      </c>
      <c r="C1331" s="15" t="s">
        <v>6800</v>
      </c>
      <c r="D1331" s="15">
        <v>14650.0</v>
      </c>
      <c r="E1331" s="15" t="s">
        <v>1548</v>
      </c>
      <c r="F1331" s="15" t="s">
        <v>1786</v>
      </c>
      <c r="G1331" s="7">
        <v>8.372</v>
      </c>
      <c r="H1331" s="15" t="s">
        <v>1859</v>
      </c>
      <c r="I1331" s="15" t="s">
        <v>1628</v>
      </c>
      <c r="J1331" s="15" t="s">
        <v>6801</v>
      </c>
      <c r="K1331" s="15">
        <v>3.0</v>
      </c>
      <c r="L1331" s="15">
        <v>3.0</v>
      </c>
      <c r="M1331" s="40">
        <v>36052.0</v>
      </c>
      <c r="N1331" s="40">
        <v>42458.0</v>
      </c>
      <c r="O1331" s="15" t="s">
        <v>1554</v>
      </c>
      <c r="Q1331" s="7"/>
    </row>
    <row r="1332">
      <c r="A1332" s="39" t="s">
        <v>6803</v>
      </c>
      <c r="B1332" s="15">
        <v>12152.0</v>
      </c>
      <c r="C1332" s="15" t="s">
        <v>6804</v>
      </c>
      <c r="D1332" s="15">
        <v>14651.0</v>
      </c>
      <c r="E1332" s="15" t="s">
        <v>1548</v>
      </c>
      <c r="F1332" s="15" t="s">
        <v>2032</v>
      </c>
      <c r="G1332" s="7">
        <v>6.035</v>
      </c>
      <c r="H1332" s="15" t="s">
        <v>2189</v>
      </c>
      <c r="I1332" s="15" t="s">
        <v>2034</v>
      </c>
      <c r="J1332" s="15" t="s">
        <v>6805</v>
      </c>
      <c r="K1332" s="15">
        <v>3.0</v>
      </c>
      <c r="L1332" s="15">
        <v>3.0</v>
      </c>
      <c r="M1332" s="41">
        <v>36118.0</v>
      </c>
      <c r="N1332" s="40">
        <v>40291.0</v>
      </c>
      <c r="O1332" s="15" t="s">
        <v>1554</v>
      </c>
      <c r="Q1332" s="7"/>
    </row>
    <row r="1333">
      <c r="A1333" s="39" t="s">
        <v>6806</v>
      </c>
      <c r="B1333" s="15">
        <v>37206.0</v>
      </c>
      <c r="C1333" s="15" t="s">
        <v>6808</v>
      </c>
      <c r="D1333" s="15">
        <v>14652.0</v>
      </c>
      <c r="E1333" s="15" t="s">
        <v>1548</v>
      </c>
      <c r="F1333" s="15" t="s">
        <v>5645</v>
      </c>
      <c r="G1333" s="7">
        <v>7.79</v>
      </c>
      <c r="H1333" s="15" t="s">
        <v>6809</v>
      </c>
      <c r="I1333" s="15" t="s">
        <v>1560</v>
      </c>
      <c r="J1333" s="15" t="s">
        <v>6810</v>
      </c>
      <c r="K1333" s="15">
        <v>3.0</v>
      </c>
      <c r="L1333" s="15">
        <v>3.0</v>
      </c>
      <c r="M1333" s="41">
        <v>34686.0</v>
      </c>
      <c r="N1333" s="40">
        <v>39639.0</v>
      </c>
      <c r="O1333" s="15" t="s">
        <v>1554</v>
      </c>
      <c r="Q1333" s="7"/>
    </row>
    <row r="1334">
      <c r="A1334" s="39" t="s">
        <v>6812</v>
      </c>
      <c r="B1334" s="15">
        <v>11788.0</v>
      </c>
      <c r="C1334" s="15" t="s">
        <v>6813</v>
      </c>
      <c r="D1334" s="15">
        <v>14654.0</v>
      </c>
      <c r="E1334" s="15" t="s">
        <v>1916</v>
      </c>
      <c r="F1334" s="15" t="s">
        <v>2532</v>
      </c>
      <c r="G1334" s="7">
        <v>5.894</v>
      </c>
      <c r="H1334" s="15" t="s">
        <v>6716</v>
      </c>
      <c r="I1334" s="15" t="s">
        <v>1686</v>
      </c>
      <c r="J1334" s="15" t="s">
        <v>6815</v>
      </c>
      <c r="K1334" s="15">
        <v>1.0</v>
      </c>
      <c r="L1334" s="15">
        <v>3.0</v>
      </c>
      <c r="M1334" s="40">
        <v>35816.0</v>
      </c>
      <c r="N1334" s="40">
        <v>42045.0</v>
      </c>
      <c r="O1334" s="15" t="s">
        <v>1554</v>
      </c>
      <c r="Q1334" s="7"/>
    </row>
    <row r="1335">
      <c r="A1335" s="39" t="s">
        <v>6816</v>
      </c>
      <c r="B1335" s="15">
        <v>11830.0</v>
      </c>
      <c r="C1335" s="15" t="s">
        <v>6817</v>
      </c>
      <c r="D1335" s="15">
        <v>14655.0</v>
      </c>
      <c r="E1335" s="15" t="s">
        <v>1916</v>
      </c>
      <c r="F1335" s="15" t="s">
        <v>2532</v>
      </c>
      <c r="G1335" s="7">
        <v>3.811</v>
      </c>
      <c r="H1335" s="15" t="s">
        <v>3246</v>
      </c>
      <c r="I1335" s="15" t="s">
        <v>1686</v>
      </c>
      <c r="J1335" s="15" t="s">
        <v>6818</v>
      </c>
      <c r="K1335" s="15">
        <v>2.0</v>
      </c>
      <c r="L1335" s="15">
        <v>2.0</v>
      </c>
      <c r="M1335" s="40">
        <v>35816.0</v>
      </c>
      <c r="N1335" s="40">
        <v>42045.0</v>
      </c>
      <c r="O1335" s="15" t="s">
        <v>1554</v>
      </c>
      <c r="Q1335" s="7"/>
    </row>
    <row r="1336">
      <c r="A1336" s="39" t="s">
        <v>6820</v>
      </c>
      <c r="B1336" s="15">
        <v>518987.0</v>
      </c>
      <c r="C1336" s="15" t="s">
        <v>6822</v>
      </c>
      <c r="D1336" s="15">
        <v>14656.0</v>
      </c>
      <c r="E1336" s="15" t="s">
        <v>1548</v>
      </c>
      <c r="F1336" s="15" t="s">
        <v>5756</v>
      </c>
      <c r="G1336" s="7">
        <v>14.452</v>
      </c>
      <c r="H1336" s="15" t="s">
        <v>6823</v>
      </c>
      <c r="I1336" s="15" t="s">
        <v>1567</v>
      </c>
      <c r="J1336" s="15" t="s">
        <v>6824</v>
      </c>
      <c r="K1336" s="15">
        <v>10.0</v>
      </c>
      <c r="L1336" s="15">
        <v>10.0</v>
      </c>
      <c r="M1336" s="40">
        <v>31958.0</v>
      </c>
      <c r="N1336" s="40">
        <v>42375.0</v>
      </c>
      <c r="O1336" s="15" t="s">
        <v>1554</v>
      </c>
      <c r="Q1336" s="7"/>
    </row>
    <row r="1337">
      <c r="A1337" s="39" t="s">
        <v>6826</v>
      </c>
      <c r="B1337" s="15">
        <v>11840.0</v>
      </c>
      <c r="C1337" s="15" t="s">
        <v>6827</v>
      </c>
      <c r="D1337" s="15">
        <v>14657.0</v>
      </c>
      <c r="E1337" s="15" t="s">
        <v>1916</v>
      </c>
      <c r="F1337" s="15" t="s">
        <v>2532</v>
      </c>
      <c r="G1337" s="7">
        <v>8.088</v>
      </c>
      <c r="H1337" s="15" t="s">
        <v>1756</v>
      </c>
      <c r="I1337" s="15" t="s">
        <v>1686</v>
      </c>
      <c r="J1337" s="15" t="s">
        <v>6828</v>
      </c>
      <c r="K1337" s="15">
        <v>3.0</v>
      </c>
      <c r="L1337" s="15">
        <v>3.0</v>
      </c>
      <c r="M1337" s="40">
        <v>34183.0</v>
      </c>
      <c r="N1337" s="41">
        <v>40510.0</v>
      </c>
      <c r="O1337" s="15" t="s">
        <v>1554</v>
      </c>
      <c r="Q1337" s="7"/>
    </row>
    <row r="1338">
      <c r="A1338" s="39" t="s">
        <v>6830</v>
      </c>
      <c r="B1338" s="15">
        <v>12175.0</v>
      </c>
      <c r="C1338" s="15" t="s">
        <v>6831</v>
      </c>
      <c r="D1338" s="15">
        <v>14658.0</v>
      </c>
      <c r="E1338" s="15" t="s">
        <v>1548</v>
      </c>
      <c r="F1338" s="15" t="s">
        <v>1786</v>
      </c>
      <c r="G1338" s="7">
        <v>7.555</v>
      </c>
      <c r="H1338" s="15" t="s">
        <v>2777</v>
      </c>
      <c r="I1338" s="15" t="s">
        <v>1628</v>
      </c>
      <c r="J1338" s="15" t="s">
        <v>6832</v>
      </c>
      <c r="K1338" s="15">
        <v>3.0</v>
      </c>
      <c r="L1338" s="15">
        <v>3.0</v>
      </c>
      <c r="M1338" s="40">
        <v>33273.0</v>
      </c>
      <c r="N1338" s="40">
        <v>42045.0</v>
      </c>
      <c r="O1338" s="15" t="s">
        <v>1554</v>
      </c>
      <c r="Q1338" s="7"/>
    </row>
    <row r="1339">
      <c r="A1339" s="39" t="s">
        <v>6834</v>
      </c>
      <c r="B1339" s="15">
        <v>12022.0</v>
      </c>
      <c r="C1339" s="15" t="s">
        <v>6835</v>
      </c>
      <c r="D1339" s="15">
        <v>14659.0</v>
      </c>
      <c r="E1339" s="15" t="s">
        <v>1548</v>
      </c>
      <c r="F1339" s="15" t="s">
        <v>4850</v>
      </c>
      <c r="G1339" s="7">
        <v>3.569</v>
      </c>
      <c r="H1339" s="15" t="s">
        <v>2417</v>
      </c>
      <c r="I1339" s="15" t="s">
        <v>1586</v>
      </c>
      <c r="J1339" s="15" t="s">
        <v>6836</v>
      </c>
      <c r="K1339" s="15">
        <v>4.0</v>
      </c>
      <c r="L1339" s="15">
        <v>4.0</v>
      </c>
      <c r="M1339" s="40">
        <v>30111.0</v>
      </c>
      <c r="N1339" s="40">
        <v>42045.0</v>
      </c>
      <c r="O1339" s="15" t="s">
        <v>1554</v>
      </c>
      <c r="Q1339" s="7"/>
    </row>
    <row r="1340">
      <c r="A1340" s="39" t="s">
        <v>6837</v>
      </c>
      <c r="B1340" s="15">
        <v>10640.0</v>
      </c>
      <c r="C1340" s="15" t="s">
        <v>6839</v>
      </c>
      <c r="D1340" s="15">
        <v>14494.0</v>
      </c>
      <c r="E1340" s="15" t="s">
        <v>1916</v>
      </c>
      <c r="F1340" s="15" t="s">
        <v>1917</v>
      </c>
      <c r="G1340" s="7">
        <v>7.932</v>
      </c>
      <c r="H1340" s="15" t="s">
        <v>2699</v>
      </c>
      <c r="I1340" s="15" t="s">
        <v>1628</v>
      </c>
      <c r="J1340" s="15" t="s">
        <v>6841</v>
      </c>
      <c r="K1340" s="15">
        <v>6.0</v>
      </c>
      <c r="L1340" s="15">
        <v>6.0</v>
      </c>
      <c r="M1340" s="40">
        <v>32317.0</v>
      </c>
      <c r="N1340" s="40">
        <v>42045.0</v>
      </c>
      <c r="O1340" s="15" t="s">
        <v>1554</v>
      </c>
      <c r="Q1340" s="7"/>
    </row>
    <row r="1341">
      <c r="A1341" s="39" t="s">
        <v>6842</v>
      </c>
      <c r="B1341" s="15">
        <v>255431.0</v>
      </c>
      <c r="C1341" s="15" t="s">
        <v>6843</v>
      </c>
      <c r="D1341" s="15">
        <v>14495.0</v>
      </c>
      <c r="E1341" s="15" t="s">
        <v>1557</v>
      </c>
      <c r="F1341" s="15" t="s">
        <v>1833</v>
      </c>
      <c r="G1341" s="7">
        <v>51.601</v>
      </c>
      <c r="H1341" s="15" t="s">
        <v>4776</v>
      </c>
      <c r="I1341" s="15" t="s">
        <v>1586</v>
      </c>
      <c r="J1341" s="15" t="s">
        <v>6844</v>
      </c>
      <c r="K1341" s="15">
        <v>64.0</v>
      </c>
      <c r="L1341" s="15">
        <v>64.0</v>
      </c>
      <c r="M1341" s="40">
        <v>38049.0</v>
      </c>
      <c r="N1341" s="40">
        <v>39920.0</v>
      </c>
      <c r="O1341" s="15" t="s">
        <v>1554</v>
      </c>
      <c r="Q1341" s="7"/>
    </row>
    <row r="1342">
      <c r="A1342" s="39" t="s">
        <v>6846</v>
      </c>
      <c r="B1342" s="15">
        <v>10761.0</v>
      </c>
      <c r="C1342" s="15" t="s">
        <v>6847</v>
      </c>
      <c r="D1342" s="15">
        <v>14498.0</v>
      </c>
      <c r="E1342" s="15" t="s">
        <v>1557</v>
      </c>
      <c r="F1342" s="15" t="s">
        <v>1611</v>
      </c>
      <c r="G1342" s="7">
        <v>39.043</v>
      </c>
      <c r="H1342" s="15" t="s">
        <v>3432</v>
      </c>
      <c r="I1342" s="15" t="s">
        <v>1586</v>
      </c>
      <c r="J1342" s="15" t="s">
        <v>6848</v>
      </c>
      <c r="K1342" s="15">
        <v>70.0</v>
      </c>
      <c r="L1342" s="15">
        <v>66.0</v>
      </c>
      <c r="M1342" s="41">
        <v>37986.0</v>
      </c>
      <c r="N1342" s="40">
        <v>39939.0</v>
      </c>
      <c r="O1342" s="15" t="s">
        <v>1554</v>
      </c>
      <c r="Q1342" s="7"/>
    </row>
    <row r="1343">
      <c r="A1343" s="39" t="s">
        <v>6851</v>
      </c>
      <c r="B1343" s="15">
        <v>221029.0</v>
      </c>
      <c r="C1343" s="15" t="s">
        <v>6852</v>
      </c>
      <c r="D1343" s="15">
        <v>14499.0</v>
      </c>
      <c r="E1343" s="15" t="s">
        <v>1557</v>
      </c>
      <c r="F1343" s="15" t="s">
        <v>1611</v>
      </c>
      <c r="G1343" s="7">
        <v>41.391</v>
      </c>
      <c r="H1343" s="15" t="s">
        <v>1844</v>
      </c>
      <c r="I1343" s="15" t="s">
        <v>1586</v>
      </c>
      <c r="J1343" s="15" t="s">
        <v>6853</v>
      </c>
      <c r="K1343" s="15">
        <v>63.0</v>
      </c>
      <c r="L1343" s="15">
        <v>63.0</v>
      </c>
      <c r="M1343" s="40">
        <v>38087.0</v>
      </c>
      <c r="N1343" s="40">
        <v>42577.0</v>
      </c>
      <c r="O1343" s="15" t="s">
        <v>1554</v>
      </c>
      <c r="Q1343" s="7"/>
    </row>
    <row r="1344">
      <c r="A1344" s="39" t="s">
        <v>6854</v>
      </c>
      <c r="B1344" s="15">
        <v>31535.0</v>
      </c>
      <c r="C1344" s="15" t="s">
        <v>6855</v>
      </c>
      <c r="D1344" s="15">
        <v>14500.0</v>
      </c>
      <c r="E1344" s="15" t="s">
        <v>1557</v>
      </c>
      <c r="F1344" s="15" t="s">
        <v>1833</v>
      </c>
      <c r="G1344" s="7">
        <v>56.426</v>
      </c>
      <c r="H1344" s="15" t="s">
        <v>6856</v>
      </c>
      <c r="I1344" s="15" t="s">
        <v>1586</v>
      </c>
      <c r="J1344" s="15" t="s">
        <v>6857</v>
      </c>
      <c r="K1344" s="15">
        <v>103.0</v>
      </c>
      <c r="L1344" s="15">
        <v>99.0</v>
      </c>
      <c r="M1344" s="40">
        <v>36709.0</v>
      </c>
      <c r="N1344" s="40">
        <v>43013.0</v>
      </c>
      <c r="O1344" s="15" t="s">
        <v>1554</v>
      </c>
      <c r="Q1344" s="7"/>
    </row>
    <row r="1345">
      <c r="A1345" s="39" t="s">
        <v>6859</v>
      </c>
      <c r="B1345" s="15">
        <v>193118.0</v>
      </c>
      <c r="C1345" s="15" t="s">
        <v>6860</v>
      </c>
      <c r="D1345" s="15">
        <v>14501.0</v>
      </c>
      <c r="E1345" s="15" t="s">
        <v>2014</v>
      </c>
      <c r="F1345" s="15" t="s">
        <v>1578</v>
      </c>
      <c r="G1345" s="7">
        <v>0.324</v>
      </c>
      <c r="H1345" s="15" t="s">
        <v>3220</v>
      </c>
      <c r="I1345" s="15" t="s">
        <v>1628</v>
      </c>
      <c r="J1345" s="15" t="s">
        <v>6861</v>
      </c>
      <c r="K1345" s="15" t="s">
        <v>1722</v>
      </c>
      <c r="L1345" s="15" t="s">
        <v>1722</v>
      </c>
      <c r="M1345" s="40">
        <v>31440.0</v>
      </c>
      <c r="N1345" s="40">
        <v>39790.0</v>
      </c>
      <c r="O1345" s="15" t="s">
        <v>1554</v>
      </c>
      <c r="Q1345" s="7"/>
    </row>
    <row r="1346">
      <c r="A1346" s="39" t="s">
        <v>6863</v>
      </c>
      <c r="B1346" s="15">
        <v>193122.0</v>
      </c>
      <c r="C1346" s="15" t="s">
        <v>6865</v>
      </c>
      <c r="D1346" s="15">
        <v>14502.0</v>
      </c>
      <c r="E1346" s="15" t="s">
        <v>2014</v>
      </c>
      <c r="F1346" s="15" t="s">
        <v>1578</v>
      </c>
      <c r="G1346" s="7">
        <v>0.393</v>
      </c>
      <c r="H1346" s="15">
        <v>59.0</v>
      </c>
      <c r="I1346" s="15" t="s">
        <v>1628</v>
      </c>
      <c r="J1346" s="15" t="s">
        <v>6866</v>
      </c>
      <c r="K1346" s="15" t="s">
        <v>1722</v>
      </c>
      <c r="L1346" s="15" t="s">
        <v>1722</v>
      </c>
      <c r="M1346" s="40">
        <v>35639.0</v>
      </c>
      <c r="N1346" s="40">
        <v>39790.0</v>
      </c>
      <c r="O1346" s="15" t="s">
        <v>1554</v>
      </c>
      <c r="Q1346" s="7"/>
    </row>
    <row r="1347">
      <c r="A1347" s="39" t="s">
        <v>6867</v>
      </c>
      <c r="B1347" s="15">
        <v>195063.0</v>
      </c>
      <c r="C1347" s="15" t="s">
        <v>6868</v>
      </c>
      <c r="D1347" s="15">
        <v>14503.0</v>
      </c>
      <c r="E1347" s="15" t="s">
        <v>2014</v>
      </c>
      <c r="F1347" s="15" t="s">
        <v>1578</v>
      </c>
      <c r="G1347" s="7">
        <v>0.388</v>
      </c>
      <c r="H1347" s="15" t="s">
        <v>2189</v>
      </c>
      <c r="I1347" s="15" t="s">
        <v>1628</v>
      </c>
      <c r="J1347" s="15" t="s">
        <v>6869</v>
      </c>
      <c r="K1347" s="15" t="s">
        <v>1722</v>
      </c>
      <c r="L1347" s="15" t="s">
        <v>1722</v>
      </c>
      <c r="M1347" s="40">
        <v>33131.0</v>
      </c>
      <c r="N1347" s="40">
        <v>39790.0</v>
      </c>
      <c r="O1347" s="15" t="s">
        <v>1554</v>
      </c>
      <c r="Q1347" s="7"/>
    </row>
    <row r="1348">
      <c r="A1348" s="39" t="s">
        <v>6871</v>
      </c>
      <c r="B1348" s="15">
        <v>298974.0</v>
      </c>
      <c r="C1348" s="15" t="s">
        <v>6872</v>
      </c>
      <c r="D1348" s="15">
        <v>14511.0</v>
      </c>
      <c r="E1348" s="15" t="s">
        <v>2014</v>
      </c>
      <c r="F1348" s="15" t="s">
        <v>1578</v>
      </c>
      <c r="G1348" s="7">
        <v>0.781</v>
      </c>
      <c r="H1348" s="15" t="s">
        <v>5273</v>
      </c>
      <c r="I1348" s="15" t="s">
        <v>1628</v>
      </c>
      <c r="J1348" s="15" t="s">
        <v>6874</v>
      </c>
      <c r="K1348" s="15" t="s">
        <v>1722</v>
      </c>
      <c r="L1348" s="15" t="s">
        <v>1722</v>
      </c>
      <c r="M1348" s="40">
        <v>37075.0</v>
      </c>
      <c r="N1348" s="40">
        <v>40311.0</v>
      </c>
      <c r="O1348" s="15" t="s">
        <v>1554</v>
      </c>
      <c r="Q1348" s="7"/>
    </row>
    <row r="1349">
      <c r="A1349" s="39" t="s">
        <v>6875</v>
      </c>
      <c r="B1349" s="15">
        <v>10649.0</v>
      </c>
      <c r="C1349" s="15" t="s">
        <v>6876</v>
      </c>
      <c r="D1349" s="15">
        <v>14512.0</v>
      </c>
      <c r="E1349" s="15" t="s">
        <v>1916</v>
      </c>
      <c r="F1349" s="15" t="s">
        <v>1917</v>
      </c>
      <c r="G1349" s="7">
        <v>7.743</v>
      </c>
      <c r="H1349" s="15" t="s">
        <v>3568</v>
      </c>
      <c r="I1349" s="15" t="s">
        <v>1628</v>
      </c>
      <c r="J1349" s="15" t="s">
        <v>6878</v>
      </c>
      <c r="K1349" s="15">
        <v>7.0</v>
      </c>
      <c r="L1349" s="15">
        <v>7.0</v>
      </c>
      <c r="M1349" s="40">
        <v>32374.0</v>
      </c>
      <c r="N1349" s="40">
        <v>42577.0</v>
      </c>
      <c r="O1349" s="15" t="s">
        <v>1554</v>
      </c>
      <c r="Q1349" s="7"/>
    </row>
    <row r="1350">
      <c r="A1350" s="39" t="s">
        <v>6879</v>
      </c>
      <c r="B1350" s="15">
        <v>142661.0</v>
      </c>
      <c r="C1350" s="15" t="s">
        <v>6880</v>
      </c>
      <c r="D1350" s="15">
        <v>14513.0</v>
      </c>
      <c r="E1350" s="15" t="s">
        <v>1808</v>
      </c>
      <c r="F1350" s="15" t="s">
        <v>1998</v>
      </c>
      <c r="G1350" s="7">
        <v>1.952</v>
      </c>
      <c r="H1350" s="15" t="s">
        <v>5521</v>
      </c>
      <c r="I1350" s="15" t="s">
        <v>1686</v>
      </c>
      <c r="J1350" s="15" t="s">
        <v>6881</v>
      </c>
      <c r="K1350" s="15">
        <v>4.0</v>
      </c>
      <c r="L1350" s="15">
        <v>2.0</v>
      </c>
      <c r="M1350" s="40">
        <v>37098.0</v>
      </c>
      <c r="N1350" s="40">
        <v>39791.0</v>
      </c>
      <c r="O1350" s="15" t="s">
        <v>1554</v>
      </c>
      <c r="Q1350" s="7"/>
    </row>
    <row r="1351">
      <c r="A1351" s="39" t="s">
        <v>6882</v>
      </c>
      <c r="B1351" s="15">
        <v>157898.0</v>
      </c>
      <c r="C1351" s="15" t="s">
        <v>6883</v>
      </c>
      <c r="D1351" s="15">
        <v>14514.0</v>
      </c>
      <c r="E1351" s="15" t="s">
        <v>1557</v>
      </c>
      <c r="F1351" s="15" t="s">
        <v>6215</v>
      </c>
      <c r="G1351" s="7">
        <v>32.308</v>
      </c>
      <c r="H1351" s="42">
        <v>43184.0</v>
      </c>
      <c r="I1351" s="15" t="s">
        <v>1618</v>
      </c>
      <c r="J1351" s="15" t="s">
        <v>6884</v>
      </c>
      <c r="K1351" s="15">
        <v>45.0</v>
      </c>
      <c r="L1351" s="15">
        <v>45.0</v>
      </c>
      <c r="M1351" s="40">
        <v>37320.0</v>
      </c>
      <c r="N1351" s="40">
        <v>40263.0</v>
      </c>
      <c r="O1351" s="15" t="s">
        <v>1554</v>
      </c>
      <c r="Q1351" s="7"/>
    </row>
    <row r="1352">
      <c r="A1352" s="39" t="s">
        <v>6886</v>
      </c>
      <c r="B1352" s="15">
        <v>10386.0</v>
      </c>
      <c r="C1352" s="15" t="s">
        <v>6887</v>
      </c>
      <c r="D1352" s="15">
        <v>14566.0</v>
      </c>
      <c r="E1352" s="15" t="s">
        <v>1557</v>
      </c>
      <c r="F1352" s="15" t="s">
        <v>1827</v>
      </c>
      <c r="G1352" s="7">
        <v>148.687</v>
      </c>
      <c r="H1352" s="15" t="s">
        <v>5368</v>
      </c>
      <c r="I1352" s="15" t="s">
        <v>1686</v>
      </c>
      <c r="J1352" s="15" t="s">
        <v>6888</v>
      </c>
      <c r="K1352" s="15">
        <v>79.0</v>
      </c>
      <c r="L1352" s="15">
        <v>79.0</v>
      </c>
      <c r="M1352" s="40">
        <v>35493.0</v>
      </c>
      <c r="N1352" s="40">
        <v>42577.0</v>
      </c>
      <c r="O1352" s="15" t="s">
        <v>1554</v>
      </c>
      <c r="Q1352" s="7"/>
    </row>
    <row r="1353">
      <c r="A1353" s="39" t="s">
        <v>6889</v>
      </c>
      <c r="B1353" s="15">
        <v>377611.0</v>
      </c>
      <c r="C1353" s="15" t="s">
        <v>6890</v>
      </c>
      <c r="D1353" s="15">
        <v>14567.0</v>
      </c>
      <c r="E1353" s="15" t="s">
        <v>2014</v>
      </c>
      <c r="F1353" s="15" t="s">
        <v>2018</v>
      </c>
      <c r="G1353" s="7">
        <v>1.35</v>
      </c>
      <c r="H1353" s="15" t="s">
        <v>2320</v>
      </c>
      <c r="I1353" s="15" t="s">
        <v>1628</v>
      </c>
      <c r="J1353" s="15" t="s">
        <v>6891</v>
      </c>
      <c r="K1353" s="15">
        <v>1.0</v>
      </c>
      <c r="L1353" s="15">
        <v>1.0</v>
      </c>
      <c r="M1353" s="40">
        <v>38360.0</v>
      </c>
      <c r="N1353" s="41">
        <v>40540.0</v>
      </c>
      <c r="O1353" s="15" t="s">
        <v>1554</v>
      </c>
      <c r="Q1353" s="7"/>
    </row>
    <row r="1354">
      <c r="A1354" s="39" t="s">
        <v>6893</v>
      </c>
      <c r="B1354" s="15">
        <v>12436.0</v>
      </c>
      <c r="C1354" s="15" t="s">
        <v>6894</v>
      </c>
      <c r="D1354" s="15">
        <v>14568.0</v>
      </c>
      <c r="E1354" s="15" t="s">
        <v>2014</v>
      </c>
      <c r="F1354" s="15" t="s">
        <v>1578</v>
      </c>
      <c r="G1354" s="7">
        <v>0.336</v>
      </c>
      <c r="H1354" s="15" t="s">
        <v>6070</v>
      </c>
      <c r="I1354" s="15" t="s">
        <v>1628</v>
      </c>
      <c r="J1354" s="15" t="s">
        <v>6895</v>
      </c>
      <c r="K1354" s="15" t="s">
        <v>1722</v>
      </c>
      <c r="L1354" s="15" t="s">
        <v>1722</v>
      </c>
      <c r="M1354" s="40">
        <v>32309.0</v>
      </c>
      <c r="N1354" s="40">
        <v>39790.0</v>
      </c>
      <c r="O1354" s="15" t="s">
        <v>1554</v>
      </c>
      <c r="Q1354" s="7"/>
    </row>
    <row r="1355">
      <c r="A1355" s="39" t="s">
        <v>6896</v>
      </c>
      <c r="B1355" s="15">
        <v>10849.0</v>
      </c>
      <c r="C1355" s="15" t="s">
        <v>6897</v>
      </c>
      <c r="D1355" s="15">
        <v>14570.0</v>
      </c>
      <c r="E1355" s="15" t="s">
        <v>1808</v>
      </c>
      <c r="F1355" s="15" t="s">
        <v>3154</v>
      </c>
      <c r="G1355" s="7">
        <v>6.087</v>
      </c>
      <c r="H1355" s="15" t="s">
        <v>3082</v>
      </c>
      <c r="I1355" s="15" t="s">
        <v>1586</v>
      </c>
      <c r="J1355" s="15" t="s">
        <v>6898</v>
      </c>
      <c r="K1355" s="15">
        <v>10.0</v>
      </c>
      <c r="L1355" s="15">
        <v>10.0</v>
      </c>
      <c r="M1355" s="40">
        <v>33737.0</v>
      </c>
      <c r="N1355" s="40">
        <v>39920.0</v>
      </c>
      <c r="O1355" s="15" t="s">
        <v>1554</v>
      </c>
      <c r="Q1355" s="7"/>
    </row>
    <row r="1356">
      <c r="A1356" s="39" t="s">
        <v>6899</v>
      </c>
      <c r="B1356" s="15">
        <v>33727.0</v>
      </c>
      <c r="C1356" s="15" t="s">
        <v>6900</v>
      </c>
      <c r="D1356" s="15">
        <v>15199.0</v>
      </c>
      <c r="E1356" s="15" t="s">
        <v>1548</v>
      </c>
      <c r="F1356" s="15" t="s">
        <v>2456</v>
      </c>
      <c r="G1356" s="7">
        <v>19.111</v>
      </c>
      <c r="H1356" s="15" t="s">
        <v>2824</v>
      </c>
      <c r="I1356" s="15" t="s">
        <v>1567</v>
      </c>
      <c r="J1356" s="15" t="s">
        <v>6901</v>
      </c>
      <c r="K1356" s="15">
        <v>7.0</v>
      </c>
      <c r="L1356" s="15">
        <v>7.0</v>
      </c>
      <c r="M1356" s="40">
        <v>34360.0</v>
      </c>
      <c r="N1356" s="41">
        <v>41955.0</v>
      </c>
      <c r="O1356" s="15" t="s">
        <v>1554</v>
      </c>
      <c r="Q1356" s="7"/>
    </row>
    <row r="1357">
      <c r="A1357" s="39" t="s">
        <v>6903</v>
      </c>
      <c r="B1357" s="15">
        <v>12238.0</v>
      </c>
      <c r="C1357" s="15" t="s">
        <v>6904</v>
      </c>
      <c r="D1357" s="15">
        <v>15201.0</v>
      </c>
      <c r="E1357" s="15" t="s">
        <v>1548</v>
      </c>
      <c r="F1357" s="15" t="s">
        <v>2615</v>
      </c>
      <c r="G1357" s="7">
        <v>6.618</v>
      </c>
      <c r="H1357" s="15" t="s">
        <v>6418</v>
      </c>
      <c r="I1357" s="15" t="s">
        <v>1628</v>
      </c>
      <c r="J1357" s="15" t="s">
        <v>6905</v>
      </c>
      <c r="K1357" s="15">
        <v>5.0</v>
      </c>
      <c r="L1357" s="15">
        <v>5.0</v>
      </c>
      <c r="M1357" s="41">
        <v>34620.0</v>
      </c>
      <c r="N1357" s="40">
        <v>40579.0</v>
      </c>
      <c r="O1357" s="15" t="s">
        <v>1554</v>
      </c>
      <c r="Q1357" s="7"/>
    </row>
    <row r="1358">
      <c r="A1358" s="39" t="s">
        <v>6906</v>
      </c>
      <c r="B1358" s="15">
        <v>12345.0</v>
      </c>
      <c r="C1358" s="15" t="s">
        <v>6907</v>
      </c>
      <c r="D1358" s="15">
        <v>15202.0</v>
      </c>
      <c r="E1358" s="15" t="s">
        <v>1557</v>
      </c>
      <c r="F1358" s="15" t="s">
        <v>1611</v>
      </c>
      <c r="G1358" s="7">
        <v>21.129</v>
      </c>
      <c r="H1358" s="15" t="s">
        <v>4283</v>
      </c>
      <c r="I1358" s="15" t="s">
        <v>1586</v>
      </c>
      <c r="J1358" s="15" t="s">
        <v>6908</v>
      </c>
      <c r="K1358" s="15">
        <v>52.0</v>
      </c>
      <c r="L1358" s="15">
        <v>35.0</v>
      </c>
      <c r="M1358" s="40">
        <v>35336.0</v>
      </c>
      <c r="N1358" s="40">
        <v>39920.0</v>
      </c>
      <c r="O1358" s="15" t="s">
        <v>1554</v>
      </c>
      <c r="Q1358" s="7"/>
    </row>
    <row r="1359">
      <c r="A1359" s="39" t="s">
        <v>6909</v>
      </c>
      <c r="B1359" s="15">
        <v>44560.0</v>
      </c>
      <c r="C1359" s="15" t="s">
        <v>6910</v>
      </c>
      <c r="D1359" s="15">
        <v>15203.0</v>
      </c>
      <c r="E1359" s="15" t="s">
        <v>1808</v>
      </c>
      <c r="F1359" s="15" t="s">
        <v>1809</v>
      </c>
      <c r="G1359" s="7">
        <v>2.741</v>
      </c>
      <c r="H1359" s="15" t="s">
        <v>2820</v>
      </c>
      <c r="I1359" s="15" t="s">
        <v>1628</v>
      </c>
      <c r="J1359" s="15" t="s">
        <v>6911</v>
      </c>
      <c r="K1359" s="15">
        <v>7.0</v>
      </c>
      <c r="L1359" s="15">
        <v>7.0</v>
      </c>
      <c r="M1359" s="41">
        <v>35046.0</v>
      </c>
      <c r="N1359" s="40">
        <v>40579.0</v>
      </c>
      <c r="O1359" s="15" t="s">
        <v>1554</v>
      </c>
      <c r="Q1359" s="7"/>
    </row>
    <row r="1360">
      <c r="A1360" s="39" t="s">
        <v>6912</v>
      </c>
      <c r="B1360" s="15">
        <v>47000.0</v>
      </c>
      <c r="C1360" s="15" t="s">
        <v>6914</v>
      </c>
      <c r="D1360" s="15">
        <v>15205.0</v>
      </c>
      <c r="E1360" s="15" t="s">
        <v>1548</v>
      </c>
      <c r="F1360" s="15" t="s">
        <v>1776</v>
      </c>
      <c r="G1360" s="7">
        <v>7.734</v>
      </c>
      <c r="H1360" s="15" t="s">
        <v>5934</v>
      </c>
      <c r="I1360" s="15" t="s">
        <v>1686</v>
      </c>
      <c r="J1360" s="15" t="s">
        <v>6915</v>
      </c>
      <c r="K1360" s="15">
        <v>2.0</v>
      </c>
      <c r="L1360" s="15">
        <v>2.0</v>
      </c>
      <c r="M1360" s="40">
        <v>35167.0</v>
      </c>
      <c r="N1360" s="40">
        <v>40579.0</v>
      </c>
      <c r="O1360" s="15" t="s">
        <v>1554</v>
      </c>
      <c r="Q1360" s="7"/>
    </row>
    <row r="1361">
      <c r="A1361" s="39" t="s">
        <v>6916</v>
      </c>
      <c r="B1361" s="15">
        <v>47903.0</v>
      </c>
      <c r="C1361" s="15" t="s">
        <v>6917</v>
      </c>
      <c r="D1361" s="15">
        <v>15207.0</v>
      </c>
      <c r="E1361" s="15" t="s">
        <v>1916</v>
      </c>
      <c r="F1361" s="15" t="s">
        <v>1917</v>
      </c>
      <c r="G1361" s="7">
        <v>7.876</v>
      </c>
      <c r="H1361" s="15" t="s">
        <v>3895</v>
      </c>
      <c r="I1361" s="15" t="s">
        <v>1628</v>
      </c>
      <c r="J1361" s="15" t="s">
        <v>6918</v>
      </c>
      <c r="K1361" s="15">
        <v>6.0</v>
      </c>
      <c r="L1361" s="15">
        <v>6.0</v>
      </c>
      <c r="M1361" s="40">
        <v>35217.0</v>
      </c>
      <c r="N1361" s="40">
        <v>40579.0</v>
      </c>
      <c r="O1361" s="15" t="s">
        <v>1554</v>
      </c>
      <c r="Q1361" s="7"/>
    </row>
    <row r="1362">
      <c r="A1362" s="39" t="s">
        <v>6919</v>
      </c>
      <c r="B1362" s="15">
        <v>53181.0</v>
      </c>
      <c r="C1362" s="15" t="s">
        <v>6920</v>
      </c>
      <c r="D1362" s="15">
        <v>15208.0</v>
      </c>
      <c r="E1362" s="15" t="s">
        <v>1548</v>
      </c>
      <c r="F1362" s="15" t="s">
        <v>2900</v>
      </c>
      <c r="G1362" s="7">
        <v>3.911</v>
      </c>
      <c r="H1362" s="15" t="s">
        <v>3604</v>
      </c>
      <c r="I1362" s="15" t="s">
        <v>1628</v>
      </c>
      <c r="J1362" s="15" t="s">
        <v>6921</v>
      </c>
      <c r="K1362" s="15">
        <v>6.0</v>
      </c>
      <c r="L1362" s="15">
        <v>7.0</v>
      </c>
      <c r="M1362" s="40">
        <v>36602.0</v>
      </c>
      <c r="N1362" s="40">
        <v>40579.0</v>
      </c>
      <c r="O1362" s="15" t="s">
        <v>1554</v>
      </c>
      <c r="Q1362" s="7"/>
    </row>
    <row r="1363">
      <c r="A1363" s="39" t="s">
        <v>6923</v>
      </c>
      <c r="B1363" s="15">
        <v>60714.0</v>
      </c>
      <c r="C1363" s="15" t="s">
        <v>6924</v>
      </c>
      <c r="D1363" s="15">
        <v>15209.0</v>
      </c>
      <c r="E1363" s="15" t="s">
        <v>1548</v>
      </c>
      <c r="F1363" s="15" t="s">
        <v>2900</v>
      </c>
      <c r="G1363" s="7">
        <v>3.803</v>
      </c>
      <c r="H1363" s="15" t="s">
        <v>3823</v>
      </c>
      <c r="I1363" s="15" t="s">
        <v>1628</v>
      </c>
      <c r="J1363" s="15" t="s">
        <v>6925</v>
      </c>
      <c r="K1363" s="15">
        <v>5.0</v>
      </c>
      <c r="L1363" s="15">
        <v>5.0</v>
      </c>
      <c r="M1363" s="40">
        <v>35601.0</v>
      </c>
      <c r="N1363" s="40">
        <v>40581.0</v>
      </c>
      <c r="O1363" s="15" t="s">
        <v>1554</v>
      </c>
      <c r="Q1363" s="7"/>
    </row>
    <row r="1364">
      <c r="A1364" s="39" t="s">
        <v>6926</v>
      </c>
      <c r="B1364" s="15">
        <v>300740.0</v>
      </c>
      <c r="C1364" s="15" t="s">
        <v>6927</v>
      </c>
      <c r="D1364" s="15">
        <v>15210.0</v>
      </c>
      <c r="E1364" s="15" t="s">
        <v>1548</v>
      </c>
      <c r="F1364" s="15" t="s">
        <v>1790</v>
      </c>
      <c r="G1364" s="7">
        <v>15.45</v>
      </c>
      <c r="H1364" s="15" t="s">
        <v>3538</v>
      </c>
      <c r="I1364" s="15" t="s">
        <v>1628</v>
      </c>
      <c r="J1364" s="15" t="s">
        <v>6928</v>
      </c>
      <c r="K1364" s="15">
        <v>9.0</v>
      </c>
      <c r="L1364" s="15">
        <v>9.0</v>
      </c>
      <c r="M1364" s="40">
        <v>38377.0</v>
      </c>
      <c r="N1364" s="40">
        <v>42577.0</v>
      </c>
      <c r="O1364" s="15" t="s">
        <v>1554</v>
      </c>
      <c r="Q1364" s="7"/>
    </row>
    <row r="1365">
      <c r="A1365" s="39" t="s">
        <v>6929</v>
      </c>
      <c r="B1365" s="15">
        <v>996311.0</v>
      </c>
      <c r="C1365" s="15" t="s">
        <v>6930</v>
      </c>
      <c r="D1365" s="15">
        <v>15211.0</v>
      </c>
      <c r="E1365" s="15" t="s">
        <v>1808</v>
      </c>
      <c r="F1365" s="15" t="s">
        <v>1809</v>
      </c>
      <c r="G1365" s="7">
        <v>2.777</v>
      </c>
      <c r="H1365" s="15">
        <v>44.0</v>
      </c>
      <c r="I1365" s="15" t="s">
        <v>1628</v>
      </c>
      <c r="J1365" s="15" t="s">
        <v>6931</v>
      </c>
      <c r="K1365" s="15">
        <v>6.0</v>
      </c>
      <c r="L1365" s="15">
        <v>6.0</v>
      </c>
      <c r="M1365" s="40">
        <v>38412.0</v>
      </c>
      <c r="N1365" s="40">
        <v>40621.0</v>
      </c>
      <c r="O1365" s="15" t="s">
        <v>1554</v>
      </c>
      <c r="Q1365" s="7"/>
    </row>
    <row r="1366">
      <c r="A1366" s="39" t="s">
        <v>6932</v>
      </c>
      <c r="B1366" s="15">
        <v>302100.0</v>
      </c>
      <c r="C1366" s="15" t="s">
        <v>6933</v>
      </c>
      <c r="D1366" s="15">
        <v>15212.0</v>
      </c>
      <c r="E1366" s="15" t="s">
        <v>1808</v>
      </c>
      <c r="F1366" s="15" t="s">
        <v>1809</v>
      </c>
      <c r="G1366" s="7">
        <v>2.768</v>
      </c>
      <c r="H1366" s="15" t="s">
        <v>1828</v>
      </c>
      <c r="I1366" s="15" t="s">
        <v>1628</v>
      </c>
      <c r="J1366" s="15" t="s">
        <v>6934</v>
      </c>
      <c r="K1366" s="15">
        <v>6.0</v>
      </c>
      <c r="L1366" s="15">
        <v>6.0</v>
      </c>
      <c r="M1366" s="40">
        <v>38412.0</v>
      </c>
      <c r="N1366" s="40">
        <v>40578.0</v>
      </c>
      <c r="O1366" s="15" t="s">
        <v>1554</v>
      </c>
      <c r="Q1366" s="7"/>
    </row>
    <row r="1367">
      <c r="A1367" s="39" t="s">
        <v>6936</v>
      </c>
      <c r="B1367" s="15">
        <v>93465.0</v>
      </c>
      <c r="C1367" s="15" t="s">
        <v>6937</v>
      </c>
      <c r="D1367" s="15">
        <v>15213.0</v>
      </c>
      <c r="E1367" s="15" t="s">
        <v>1916</v>
      </c>
      <c r="F1367" s="15" t="s">
        <v>2532</v>
      </c>
      <c r="G1367" s="7">
        <v>4.302</v>
      </c>
      <c r="H1367" s="15" t="s">
        <v>4606</v>
      </c>
      <c r="I1367" s="15" t="s">
        <v>1686</v>
      </c>
      <c r="J1367" s="15" t="s">
        <v>6938</v>
      </c>
      <c r="K1367" s="15">
        <v>1.0</v>
      </c>
      <c r="L1367" s="15">
        <v>1.0</v>
      </c>
      <c r="M1367" s="41">
        <v>36444.0</v>
      </c>
      <c r="N1367" s="40">
        <v>40578.0</v>
      </c>
      <c r="O1367" s="15" t="s">
        <v>1554</v>
      </c>
      <c r="Q1367" s="7"/>
    </row>
    <row r="1368">
      <c r="A1368" s="39" t="s">
        <v>6939</v>
      </c>
      <c r="B1368" s="15">
        <v>255587.0</v>
      </c>
      <c r="C1368" s="15" t="s">
        <v>6940</v>
      </c>
      <c r="D1368" s="15">
        <v>15214.0</v>
      </c>
      <c r="E1368" s="15" t="s">
        <v>1548</v>
      </c>
      <c r="F1368" s="15" t="s">
        <v>2900</v>
      </c>
      <c r="G1368" s="7">
        <v>4.744</v>
      </c>
      <c r="H1368" s="15" t="s">
        <v>2901</v>
      </c>
      <c r="I1368" s="15" t="s">
        <v>1628</v>
      </c>
      <c r="J1368" s="15" t="s">
        <v>6941</v>
      </c>
      <c r="K1368" s="15">
        <v>4.0</v>
      </c>
      <c r="L1368" s="15">
        <v>5.0</v>
      </c>
      <c r="M1368" s="41">
        <v>37945.0</v>
      </c>
      <c r="N1368" s="40">
        <v>42045.0</v>
      </c>
      <c r="O1368" s="15" t="s">
        <v>1554</v>
      </c>
      <c r="Q1368" s="7"/>
    </row>
    <row r="1369">
      <c r="A1369" s="39" t="s">
        <v>6942</v>
      </c>
      <c r="B1369" s="15">
        <v>37131.0</v>
      </c>
      <c r="C1369" s="15" t="s">
        <v>6943</v>
      </c>
      <c r="D1369" s="15">
        <v>15215.0</v>
      </c>
      <c r="E1369" s="15" t="s">
        <v>1548</v>
      </c>
      <c r="F1369" s="15" t="s">
        <v>4837</v>
      </c>
      <c r="G1369" s="7">
        <v>15.702</v>
      </c>
      <c r="H1369" s="15" t="s">
        <v>3584</v>
      </c>
      <c r="I1369" s="15" t="s">
        <v>1567</v>
      </c>
      <c r="J1369" s="15" t="s">
        <v>6945</v>
      </c>
      <c r="K1369" s="15">
        <v>6.0</v>
      </c>
      <c r="L1369" s="15">
        <v>7.0</v>
      </c>
      <c r="M1369" s="41">
        <v>37946.0</v>
      </c>
      <c r="N1369" s="40">
        <v>40578.0</v>
      </c>
      <c r="O1369" s="15" t="s">
        <v>1554</v>
      </c>
      <c r="Q1369" s="7"/>
    </row>
    <row r="1370">
      <c r="A1370" s="39" t="s">
        <v>6946</v>
      </c>
      <c r="B1370" s="15">
        <v>209854.0</v>
      </c>
      <c r="C1370" s="15" t="s">
        <v>6947</v>
      </c>
      <c r="D1370" s="15">
        <v>15216.0</v>
      </c>
      <c r="E1370" s="15" t="s">
        <v>1548</v>
      </c>
      <c r="F1370" s="15" t="s">
        <v>1890</v>
      </c>
      <c r="G1370" s="7">
        <v>13.782</v>
      </c>
      <c r="H1370" s="15" t="s">
        <v>2019</v>
      </c>
      <c r="I1370" s="15" t="s">
        <v>2034</v>
      </c>
      <c r="J1370" s="15" t="s">
        <v>6948</v>
      </c>
      <c r="K1370" s="15">
        <v>7.0</v>
      </c>
      <c r="L1370" s="15">
        <v>7.0</v>
      </c>
      <c r="M1370" s="40">
        <v>38173.0</v>
      </c>
      <c r="N1370" s="41">
        <v>40140.0</v>
      </c>
      <c r="O1370" s="15" t="s">
        <v>1554</v>
      </c>
      <c r="Q1370" s="7"/>
    </row>
    <row r="1371">
      <c r="A1371" s="39" t="s">
        <v>6949</v>
      </c>
      <c r="B1371" s="15">
        <v>10298.0</v>
      </c>
      <c r="C1371" s="15" t="s">
        <v>6950</v>
      </c>
      <c r="D1371" s="15">
        <v>15217.0</v>
      </c>
      <c r="E1371" s="15" t="s">
        <v>1557</v>
      </c>
      <c r="F1371" s="15" t="s">
        <v>1827</v>
      </c>
      <c r="G1371" s="7">
        <v>152.222</v>
      </c>
      <c r="H1371" s="15" t="s">
        <v>6951</v>
      </c>
      <c r="I1371" s="15" t="s">
        <v>1567</v>
      </c>
      <c r="J1371" s="15" t="s">
        <v>6952</v>
      </c>
      <c r="K1371" s="15">
        <v>79.0</v>
      </c>
      <c r="L1371" s="15">
        <v>77.0</v>
      </c>
      <c r="M1371" s="40">
        <v>32966.0</v>
      </c>
      <c r="N1371" s="40">
        <v>42506.0</v>
      </c>
      <c r="O1371" s="15" t="s">
        <v>1554</v>
      </c>
      <c r="Q1371" s="7"/>
    </row>
    <row r="1372">
      <c r="A1372" s="39" t="s">
        <v>6953</v>
      </c>
      <c r="B1372" s="15">
        <v>53182.0</v>
      </c>
      <c r="C1372" s="15" t="s">
        <v>6954</v>
      </c>
      <c r="D1372" s="15">
        <v>15219.0</v>
      </c>
      <c r="E1372" s="15" t="s">
        <v>1916</v>
      </c>
      <c r="F1372" s="15" t="s">
        <v>2532</v>
      </c>
      <c r="G1372" s="7">
        <v>10.479</v>
      </c>
      <c r="H1372" s="15" t="s">
        <v>6565</v>
      </c>
      <c r="I1372" s="15" t="s">
        <v>1686</v>
      </c>
      <c r="J1372" s="15" t="s">
        <v>6956</v>
      </c>
      <c r="K1372" s="15">
        <v>4.0</v>
      </c>
      <c r="L1372" s="15">
        <v>4.0</v>
      </c>
      <c r="M1372" s="40">
        <v>35921.0</v>
      </c>
      <c r="N1372" s="41">
        <v>39792.0</v>
      </c>
      <c r="O1372" s="15" t="s">
        <v>1554</v>
      </c>
      <c r="Q1372" s="7"/>
    </row>
    <row r="1373">
      <c r="A1373" s="39" t="s">
        <v>6957</v>
      </c>
      <c r="B1373" s="15">
        <v>185639.0</v>
      </c>
      <c r="C1373" s="15" t="s">
        <v>6958</v>
      </c>
      <c r="D1373" s="15">
        <v>15222.0</v>
      </c>
      <c r="E1373" s="15" t="s">
        <v>1808</v>
      </c>
      <c r="F1373" s="15" t="s">
        <v>2436</v>
      </c>
      <c r="G1373" s="7">
        <v>5.234</v>
      </c>
      <c r="H1373" s="15" t="s">
        <v>2320</v>
      </c>
      <c r="I1373" s="15" t="s">
        <v>1560</v>
      </c>
      <c r="J1373" s="15" t="s">
        <v>6959</v>
      </c>
      <c r="K1373" s="15">
        <v>5.0</v>
      </c>
      <c r="L1373" s="15">
        <v>5.0</v>
      </c>
      <c r="M1373" s="40">
        <v>37288.0</v>
      </c>
      <c r="N1373" s="40">
        <v>42045.0</v>
      </c>
      <c r="O1373" s="15" t="s">
        <v>1554</v>
      </c>
      <c r="Q1373" s="7"/>
    </row>
    <row r="1374">
      <c r="A1374" s="39" t="s">
        <v>6960</v>
      </c>
      <c r="B1374" s="15">
        <v>238854.0</v>
      </c>
      <c r="C1374" s="15" t="s">
        <v>6961</v>
      </c>
      <c r="D1374" s="15">
        <v>15223.0</v>
      </c>
      <c r="E1374" s="15" t="s">
        <v>1557</v>
      </c>
      <c r="F1374" s="15" t="s">
        <v>1767</v>
      </c>
      <c r="G1374" s="7">
        <v>196.28</v>
      </c>
      <c r="H1374" s="15" t="s">
        <v>2233</v>
      </c>
      <c r="I1374" s="15" t="s">
        <v>1586</v>
      </c>
      <c r="J1374" s="15" t="s">
        <v>6962</v>
      </c>
      <c r="K1374" s="15">
        <v>251.0</v>
      </c>
      <c r="L1374" s="15">
        <v>244.0</v>
      </c>
      <c r="M1374" s="40">
        <v>38381.0</v>
      </c>
      <c r="N1374" s="40">
        <v>42650.0</v>
      </c>
      <c r="O1374" s="15" t="s">
        <v>1554</v>
      </c>
      <c r="Q1374" s="7"/>
    </row>
    <row r="1375">
      <c r="A1375" s="39" t="s">
        <v>6963</v>
      </c>
      <c r="B1375" s="15">
        <v>240866.0</v>
      </c>
      <c r="C1375" s="15" t="s">
        <v>6965</v>
      </c>
      <c r="D1375" s="15">
        <v>15224.0</v>
      </c>
      <c r="E1375" s="15" t="s">
        <v>1808</v>
      </c>
      <c r="F1375" s="15" t="s">
        <v>1809</v>
      </c>
      <c r="G1375" s="7">
        <v>2.784</v>
      </c>
      <c r="H1375" s="15" t="s">
        <v>2107</v>
      </c>
      <c r="I1375" s="15" t="s">
        <v>1628</v>
      </c>
      <c r="J1375" s="15" t="s">
        <v>6966</v>
      </c>
      <c r="K1375" s="15">
        <v>6.0</v>
      </c>
      <c r="L1375" s="15">
        <v>6.0</v>
      </c>
      <c r="M1375" s="40">
        <v>37657.0</v>
      </c>
      <c r="N1375" s="40">
        <v>39790.0</v>
      </c>
      <c r="O1375" s="15" t="s">
        <v>1554</v>
      </c>
      <c r="Q1375" s="7"/>
    </row>
    <row r="1376">
      <c r="A1376" s="39" t="s">
        <v>6967</v>
      </c>
      <c r="B1376" s="15">
        <v>52280.0</v>
      </c>
      <c r="C1376" s="15" t="s">
        <v>6968</v>
      </c>
      <c r="D1376" s="15">
        <v>15225.0</v>
      </c>
      <c r="E1376" s="15" t="s">
        <v>1548</v>
      </c>
      <c r="F1376" s="15" t="s">
        <v>1911</v>
      </c>
      <c r="G1376" s="7">
        <v>9.711</v>
      </c>
      <c r="H1376" s="15" t="s">
        <v>2049</v>
      </c>
      <c r="I1376" s="15" t="s">
        <v>1628</v>
      </c>
      <c r="J1376" s="15" t="s">
        <v>6969</v>
      </c>
      <c r="K1376" s="15">
        <v>2.0</v>
      </c>
      <c r="L1376" s="15">
        <v>2.0</v>
      </c>
      <c r="M1376" s="40">
        <v>36300.0</v>
      </c>
      <c r="N1376" s="40">
        <v>42045.0</v>
      </c>
      <c r="O1376" s="15" t="s">
        <v>1554</v>
      </c>
      <c r="Q1376" s="7"/>
    </row>
    <row r="1377">
      <c r="A1377" s="39" t="s">
        <v>6970</v>
      </c>
      <c r="B1377" s="15">
        <v>204270.0</v>
      </c>
      <c r="C1377" s="15" t="s">
        <v>6971</v>
      </c>
      <c r="D1377" s="15">
        <v>15226.0</v>
      </c>
      <c r="E1377" s="15" t="s">
        <v>1557</v>
      </c>
      <c r="F1377" s="15" t="s">
        <v>1611</v>
      </c>
      <c r="G1377" s="7">
        <v>42.519</v>
      </c>
      <c r="H1377" s="15" t="s">
        <v>2094</v>
      </c>
      <c r="I1377" s="15" t="s">
        <v>1586</v>
      </c>
      <c r="J1377" s="15" t="s">
        <v>6973</v>
      </c>
      <c r="K1377" s="15">
        <v>49.0</v>
      </c>
      <c r="L1377" s="15">
        <v>49.0</v>
      </c>
      <c r="M1377" s="40">
        <v>37827.0</v>
      </c>
      <c r="N1377" s="40">
        <v>39920.0</v>
      </c>
      <c r="O1377" s="15" t="s">
        <v>1554</v>
      </c>
      <c r="Q1377" s="7"/>
    </row>
    <row r="1378">
      <c r="A1378" s="39" t="s">
        <v>6974</v>
      </c>
      <c r="B1378" s="15">
        <v>172667.0</v>
      </c>
      <c r="C1378" s="15" t="s">
        <v>6975</v>
      </c>
      <c r="D1378" s="15">
        <v>15227.0</v>
      </c>
      <c r="E1378" s="15" t="s">
        <v>1557</v>
      </c>
      <c r="F1378" s="15" t="s">
        <v>1833</v>
      </c>
      <c r="G1378" s="7">
        <v>46.339</v>
      </c>
      <c r="H1378" s="15" t="s">
        <v>1962</v>
      </c>
      <c r="I1378" s="15" t="s">
        <v>1586</v>
      </c>
      <c r="J1378" s="15" t="s">
        <v>6976</v>
      </c>
      <c r="K1378" s="15">
        <v>67.0</v>
      </c>
      <c r="L1378" s="15">
        <v>67.0</v>
      </c>
      <c r="M1378" s="40">
        <v>37846.0</v>
      </c>
      <c r="N1378" s="40">
        <v>39925.0</v>
      </c>
      <c r="O1378" s="15" t="s">
        <v>1554</v>
      </c>
      <c r="Q1378" s="7"/>
    </row>
    <row r="1379">
      <c r="A1379" s="39" t="s">
        <v>6977</v>
      </c>
      <c r="B1379" s="15">
        <v>230158.0</v>
      </c>
      <c r="C1379" s="15" t="s">
        <v>6978</v>
      </c>
      <c r="D1379" s="15">
        <v>15228.0</v>
      </c>
      <c r="E1379" s="15" t="s">
        <v>1557</v>
      </c>
      <c r="F1379" s="15" t="s">
        <v>1767</v>
      </c>
      <c r="G1379" s="7">
        <v>43.033</v>
      </c>
      <c r="H1379" s="15" t="s">
        <v>2163</v>
      </c>
      <c r="I1379" s="15" t="s">
        <v>1586</v>
      </c>
      <c r="J1379" s="15" t="s">
        <v>6979</v>
      </c>
      <c r="K1379" s="15">
        <v>66.0</v>
      </c>
      <c r="L1379" s="15">
        <v>66.0</v>
      </c>
      <c r="M1379" s="40">
        <v>37775.0</v>
      </c>
      <c r="N1379" s="40">
        <v>39925.0</v>
      </c>
      <c r="O1379" s="15" t="s">
        <v>1554</v>
      </c>
      <c r="Q1379" s="7"/>
    </row>
    <row r="1380">
      <c r="A1380" s="39" t="s">
        <v>6980</v>
      </c>
      <c r="B1380" s="15">
        <v>279538.0</v>
      </c>
      <c r="C1380" s="15" t="s">
        <v>6981</v>
      </c>
      <c r="D1380" s="15">
        <v>15229.0</v>
      </c>
      <c r="E1380" s="15" t="s">
        <v>1548</v>
      </c>
      <c r="F1380" s="15" t="s">
        <v>5261</v>
      </c>
      <c r="G1380" s="7">
        <v>2.587</v>
      </c>
      <c r="H1380" s="15">
        <v>31.0</v>
      </c>
      <c r="I1380" s="15" t="s">
        <v>1552</v>
      </c>
      <c r="J1380" s="15" t="s">
        <v>6983</v>
      </c>
      <c r="K1380" s="15">
        <v>1.0</v>
      </c>
      <c r="L1380" s="15">
        <v>1.0</v>
      </c>
      <c r="M1380" s="40">
        <v>38165.0</v>
      </c>
      <c r="N1380" s="40">
        <v>40148.0</v>
      </c>
      <c r="O1380" s="15" t="s">
        <v>1554</v>
      </c>
      <c r="Q1380" s="7"/>
    </row>
    <row r="1381">
      <c r="A1381" s="39" t="s">
        <v>6984</v>
      </c>
      <c r="B1381" s="15">
        <v>279539.0</v>
      </c>
      <c r="C1381" s="15" t="s">
        <v>6985</v>
      </c>
      <c r="D1381" s="15">
        <v>15230.0</v>
      </c>
      <c r="E1381" s="15" t="s">
        <v>1638</v>
      </c>
      <c r="F1381" s="15" t="s">
        <v>1639</v>
      </c>
      <c r="G1381" s="7">
        <v>5.129</v>
      </c>
      <c r="H1381" s="15" t="s">
        <v>4542</v>
      </c>
      <c r="I1381" s="15" t="s">
        <v>1552</v>
      </c>
      <c r="J1381" s="15" t="s">
        <v>6986</v>
      </c>
      <c r="K1381" s="15">
        <v>2.0</v>
      </c>
      <c r="L1381" s="15">
        <v>2.0</v>
      </c>
      <c r="M1381" s="40">
        <v>38165.0</v>
      </c>
      <c r="N1381" s="40">
        <v>40148.0</v>
      </c>
      <c r="O1381" s="15" t="s">
        <v>1554</v>
      </c>
      <c r="Q1381" s="7"/>
    </row>
    <row r="1382">
      <c r="A1382" s="39" t="s">
        <v>6987</v>
      </c>
      <c r="B1382" s="15">
        <v>290030.0</v>
      </c>
      <c r="C1382" s="15" t="s">
        <v>6988</v>
      </c>
      <c r="D1382" s="15">
        <v>15231.0</v>
      </c>
      <c r="E1382" s="15" t="s">
        <v>1808</v>
      </c>
      <c r="F1382" s="15" t="s">
        <v>1809</v>
      </c>
      <c r="G1382" s="7">
        <v>2.747</v>
      </c>
      <c r="H1382" s="15" t="s">
        <v>1685</v>
      </c>
      <c r="I1382" s="15" t="s">
        <v>1628</v>
      </c>
      <c r="J1382" s="15" t="s">
        <v>6989</v>
      </c>
      <c r="K1382" s="15">
        <v>6.0</v>
      </c>
      <c r="L1382" s="15">
        <v>6.0</v>
      </c>
      <c r="M1382" s="40">
        <v>38360.0</v>
      </c>
      <c r="N1382" s="40">
        <v>40578.0</v>
      </c>
      <c r="O1382" s="15" t="s">
        <v>1554</v>
      </c>
      <c r="Q1382" s="7"/>
    </row>
    <row r="1383">
      <c r="A1383" s="39" t="s">
        <v>6990</v>
      </c>
      <c r="B1383" s="15">
        <v>310103.0</v>
      </c>
      <c r="C1383" s="15" t="s">
        <v>6991</v>
      </c>
      <c r="D1383" s="15">
        <v>15233.0</v>
      </c>
      <c r="E1383" s="15" t="s">
        <v>1808</v>
      </c>
      <c r="F1383" s="15" t="s">
        <v>1809</v>
      </c>
      <c r="G1383" s="7">
        <v>2.746</v>
      </c>
      <c r="H1383" s="15" t="s">
        <v>2640</v>
      </c>
      <c r="I1383" s="15" t="s">
        <v>1628</v>
      </c>
      <c r="J1383" s="15" t="s">
        <v>6993</v>
      </c>
      <c r="K1383" s="15">
        <v>6.0</v>
      </c>
      <c r="L1383" s="15">
        <v>6.0</v>
      </c>
      <c r="M1383" s="40">
        <v>38372.0</v>
      </c>
      <c r="N1383" s="40">
        <v>42045.0</v>
      </c>
      <c r="O1383" s="15" t="s">
        <v>1554</v>
      </c>
      <c r="Q1383" s="7"/>
    </row>
    <row r="1384">
      <c r="A1384" s="39" t="s">
        <v>6994</v>
      </c>
      <c r="B1384" s="15">
        <v>328671.0</v>
      </c>
      <c r="C1384" s="15" t="s">
        <v>6995</v>
      </c>
      <c r="D1384" s="15">
        <v>15239.0</v>
      </c>
      <c r="E1384" s="15" t="s">
        <v>1916</v>
      </c>
      <c r="F1384" s="15" t="s">
        <v>1917</v>
      </c>
      <c r="G1384" s="7">
        <v>7.389</v>
      </c>
      <c r="H1384" s="15" t="s">
        <v>2440</v>
      </c>
      <c r="I1384" s="15" t="s">
        <v>1628</v>
      </c>
      <c r="J1384" s="15" t="s">
        <v>6996</v>
      </c>
      <c r="K1384" s="15">
        <v>3.0</v>
      </c>
      <c r="L1384" s="15">
        <v>3.0</v>
      </c>
      <c r="M1384" s="40">
        <v>35948.0</v>
      </c>
      <c r="N1384" s="40">
        <v>40578.0</v>
      </c>
      <c r="O1384" s="15" t="s">
        <v>1554</v>
      </c>
      <c r="Q1384" s="7"/>
    </row>
    <row r="1385">
      <c r="A1385" s="39" t="s">
        <v>6997</v>
      </c>
      <c r="B1385" s="15">
        <v>10254.0</v>
      </c>
      <c r="C1385" s="15" t="s">
        <v>6998</v>
      </c>
      <c r="D1385" s="15">
        <v>15241.0</v>
      </c>
      <c r="E1385" s="15" t="s">
        <v>1557</v>
      </c>
      <c r="F1385" s="15" t="s">
        <v>2028</v>
      </c>
      <c r="G1385" s="7">
        <v>194.711</v>
      </c>
      <c r="H1385" s="15" t="s">
        <v>3862</v>
      </c>
      <c r="I1385" s="15" t="s">
        <v>1567</v>
      </c>
      <c r="J1385" s="15" t="s">
        <v>6999</v>
      </c>
      <c r="K1385" s="15">
        <v>223.0</v>
      </c>
      <c r="L1385" s="15">
        <v>223.0</v>
      </c>
      <c r="M1385" s="40">
        <v>37721.0</v>
      </c>
      <c r="N1385" s="40">
        <v>42222.0</v>
      </c>
      <c r="O1385" s="15" t="s">
        <v>1554</v>
      </c>
      <c r="Q1385" s="7"/>
    </row>
    <row r="1386">
      <c r="A1386" s="39" t="s">
        <v>7001</v>
      </c>
      <c r="B1386" s="15">
        <v>11660.0</v>
      </c>
      <c r="C1386" s="15" t="s">
        <v>7002</v>
      </c>
      <c r="D1386" s="15">
        <v>15243.0</v>
      </c>
      <c r="E1386" s="15" t="s">
        <v>1916</v>
      </c>
      <c r="F1386" s="15" t="s">
        <v>2532</v>
      </c>
      <c r="G1386" s="7">
        <v>9.189</v>
      </c>
      <c r="H1386" s="15" t="s">
        <v>2440</v>
      </c>
      <c r="I1386" s="15" t="s">
        <v>1686</v>
      </c>
      <c r="J1386" s="15" t="s">
        <v>7003</v>
      </c>
      <c r="K1386" s="15">
        <v>5.0</v>
      </c>
      <c r="L1386" s="15">
        <v>6.0</v>
      </c>
      <c r="M1386" s="40">
        <v>34183.0</v>
      </c>
      <c r="N1386" s="40">
        <v>39790.0</v>
      </c>
      <c r="O1386" s="15" t="s">
        <v>1554</v>
      </c>
      <c r="Q1386" s="7"/>
    </row>
    <row r="1387">
      <c r="A1387" s="39" t="s">
        <v>7004</v>
      </c>
      <c r="B1387" s="15">
        <v>31754.0</v>
      </c>
      <c r="C1387" s="15" t="s">
        <v>7005</v>
      </c>
      <c r="D1387" s="15">
        <v>15244.0</v>
      </c>
      <c r="E1387" s="15" t="s">
        <v>1557</v>
      </c>
      <c r="F1387" s="15" t="s">
        <v>1833</v>
      </c>
      <c r="G1387" s="7">
        <v>40.003</v>
      </c>
      <c r="H1387" s="15">
        <v>35.0</v>
      </c>
      <c r="I1387" s="15" t="s">
        <v>1586</v>
      </c>
      <c r="J1387" s="15" t="s">
        <v>7006</v>
      </c>
      <c r="K1387" s="15">
        <v>63.0</v>
      </c>
      <c r="L1387" s="15">
        <v>63.0</v>
      </c>
      <c r="M1387" s="40">
        <v>37037.0</v>
      </c>
      <c r="N1387" s="40">
        <v>42045.0</v>
      </c>
      <c r="O1387" s="15" t="s">
        <v>1554</v>
      </c>
      <c r="Q1387" s="7"/>
    </row>
    <row r="1388">
      <c r="A1388" s="39" t="s">
        <v>7008</v>
      </c>
      <c r="B1388" s="15">
        <v>11033.0</v>
      </c>
      <c r="C1388" s="15" t="s">
        <v>7009</v>
      </c>
      <c r="D1388" s="15">
        <v>15282.0</v>
      </c>
      <c r="E1388" s="15" t="s">
        <v>1548</v>
      </c>
      <c r="F1388" s="15" t="s">
        <v>3181</v>
      </c>
      <c r="G1388" s="7">
        <v>11.442</v>
      </c>
      <c r="H1388" s="15" t="s">
        <v>1977</v>
      </c>
      <c r="I1388" s="15" t="s">
        <v>4737</v>
      </c>
      <c r="J1388" s="15" t="s">
        <v>7010</v>
      </c>
      <c r="K1388" s="15">
        <v>3.0</v>
      </c>
      <c r="L1388" s="15">
        <v>3.0</v>
      </c>
      <c r="M1388" s="40">
        <v>31845.0</v>
      </c>
      <c r="N1388" s="40">
        <v>42045.0</v>
      </c>
      <c r="O1388" s="15" t="s">
        <v>1554</v>
      </c>
      <c r="Q1388" s="7"/>
    </row>
    <row r="1389">
      <c r="A1389" s="39" t="s">
        <v>7011</v>
      </c>
      <c r="B1389" s="15">
        <v>12264.0</v>
      </c>
      <c r="C1389" s="15" t="s">
        <v>7012</v>
      </c>
      <c r="D1389" s="15">
        <v>15283.0</v>
      </c>
      <c r="E1389" s="15" t="s">
        <v>1548</v>
      </c>
      <c r="F1389" s="15" t="s">
        <v>1626</v>
      </c>
      <c r="G1389" s="7">
        <v>9.37</v>
      </c>
      <c r="H1389" s="15" t="s">
        <v>7013</v>
      </c>
      <c r="I1389" s="15" t="s">
        <v>1628</v>
      </c>
      <c r="J1389" s="15" t="s">
        <v>7014</v>
      </c>
      <c r="K1389" s="15">
        <v>4.0</v>
      </c>
      <c r="L1389" s="15">
        <v>5.0</v>
      </c>
      <c r="M1389" s="40">
        <v>31098.0</v>
      </c>
      <c r="N1389" s="40">
        <v>42045.0</v>
      </c>
      <c r="O1389" s="15" t="s">
        <v>1554</v>
      </c>
      <c r="Q1389" s="7"/>
    </row>
    <row r="1390">
      <c r="A1390" s="39" t="s">
        <v>7015</v>
      </c>
      <c r="B1390" s="15">
        <v>11089.0</v>
      </c>
      <c r="C1390" s="15" t="s">
        <v>7016</v>
      </c>
      <c r="D1390" s="15">
        <v>15284.0</v>
      </c>
      <c r="E1390" s="15" t="s">
        <v>1548</v>
      </c>
      <c r="F1390" s="15" t="s">
        <v>1801</v>
      </c>
      <c r="G1390" s="7">
        <v>10.862</v>
      </c>
      <c r="H1390" s="15" t="s">
        <v>1670</v>
      </c>
      <c r="I1390" s="15" t="s">
        <v>1803</v>
      </c>
      <c r="J1390" s="15" t="s">
        <v>7018</v>
      </c>
      <c r="K1390" s="15">
        <v>1.0</v>
      </c>
      <c r="L1390" s="15">
        <v>1.0</v>
      </c>
      <c r="M1390" s="41">
        <v>31734.0</v>
      </c>
      <c r="N1390" s="40">
        <v>42045.0</v>
      </c>
      <c r="O1390" s="15" t="s">
        <v>1554</v>
      </c>
      <c r="Q1390" s="7"/>
    </row>
    <row r="1391">
      <c r="A1391" s="39" t="s">
        <v>7019</v>
      </c>
      <c r="B1391" s="15">
        <v>12273.0</v>
      </c>
      <c r="C1391" s="15" t="s">
        <v>7020</v>
      </c>
      <c r="D1391" s="15">
        <v>15285.0</v>
      </c>
      <c r="E1391" s="15" t="s">
        <v>1548</v>
      </c>
      <c r="F1391" s="15" t="s">
        <v>1626</v>
      </c>
      <c r="G1391" s="7">
        <v>11.653</v>
      </c>
      <c r="H1391" s="15" t="s">
        <v>7021</v>
      </c>
      <c r="I1391" s="15" t="s">
        <v>1628</v>
      </c>
      <c r="J1391" s="15" t="s">
        <v>7022</v>
      </c>
      <c r="K1391" s="15">
        <v>2.0</v>
      </c>
      <c r="L1391" s="15">
        <v>2.0</v>
      </c>
      <c r="M1391" s="41">
        <v>32835.0</v>
      </c>
      <c r="N1391" s="40">
        <v>42045.0</v>
      </c>
      <c r="O1391" s="15" t="s">
        <v>1554</v>
      </c>
      <c r="Q1391" s="7"/>
    </row>
    <row r="1392">
      <c r="A1392" s="39" t="s">
        <v>7023</v>
      </c>
      <c r="B1392" s="15">
        <v>12274.0</v>
      </c>
      <c r="C1392" s="15" t="s">
        <v>7024</v>
      </c>
      <c r="D1392" s="15">
        <v>15286.0</v>
      </c>
      <c r="E1392" s="15" t="s">
        <v>1548</v>
      </c>
      <c r="F1392" s="15" t="s">
        <v>1626</v>
      </c>
      <c r="G1392" s="7">
        <v>11.116</v>
      </c>
      <c r="H1392" s="15" t="s">
        <v>7025</v>
      </c>
      <c r="I1392" s="15" t="s">
        <v>1628</v>
      </c>
      <c r="J1392" s="15" t="s">
        <v>7026</v>
      </c>
      <c r="K1392" s="15">
        <v>2.0</v>
      </c>
      <c r="L1392" s="15">
        <v>3.0</v>
      </c>
      <c r="M1392" s="40">
        <v>33093.0</v>
      </c>
      <c r="N1392" s="40">
        <v>42045.0</v>
      </c>
      <c r="O1392" s="15" t="s">
        <v>1554</v>
      </c>
      <c r="Q1392" s="7"/>
    </row>
    <row r="1393">
      <c r="A1393" s="39" t="s">
        <v>7027</v>
      </c>
      <c r="B1393" s="15">
        <v>191547.0</v>
      </c>
      <c r="C1393" s="15" t="s">
        <v>7028</v>
      </c>
      <c r="D1393" s="15">
        <v>15287.0</v>
      </c>
      <c r="E1393" s="15" t="s">
        <v>1548</v>
      </c>
      <c r="F1393" s="15" t="s">
        <v>1626</v>
      </c>
      <c r="G1393" s="7">
        <v>12.024</v>
      </c>
      <c r="H1393" s="15" t="s">
        <v>7030</v>
      </c>
      <c r="I1393" s="15" t="s">
        <v>1628</v>
      </c>
      <c r="J1393" s="15" t="s">
        <v>7031</v>
      </c>
      <c r="K1393" s="15">
        <v>2.0</v>
      </c>
      <c r="L1393" s="15">
        <v>2.0</v>
      </c>
      <c r="M1393" s="41">
        <v>31734.0</v>
      </c>
      <c r="N1393" s="40">
        <v>39639.0</v>
      </c>
      <c r="O1393" s="15" t="s">
        <v>1554</v>
      </c>
      <c r="Q1393" s="7"/>
    </row>
    <row r="1394">
      <c r="A1394" s="39" t="s">
        <v>7032</v>
      </c>
      <c r="B1394" s="15">
        <v>12205.0</v>
      </c>
      <c r="C1394" s="15" t="s">
        <v>7033</v>
      </c>
      <c r="D1394" s="15">
        <v>15289.0</v>
      </c>
      <c r="E1394" s="15" t="s">
        <v>1548</v>
      </c>
      <c r="F1394" s="15" t="s">
        <v>1911</v>
      </c>
      <c r="G1394" s="7">
        <v>10.326</v>
      </c>
      <c r="H1394" s="15" t="s">
        <v>2049</v>
      </c>
      <c r="I1394" s="15" t="s">
        <v>1628</v>
      </c>
      <c r="J1394" s="15" t="s">
        <v>7034</v>
      </c>
      <c r="K1394" s="15">
        <v>2.0</v>
      </c>
      <c r="L1394" s="15">
        <v>2.0</v>
      </c>
      <c r="M1394" s="40">
        <v>33941.0</v>
      </c>
      <c r="N1394" s="40">
        <v>42045.0</v>
      </c>
      <c r="O1394" s="15" t="s">
        <v>1554</v>
      </c>
      <c r="Q1394" s="7"/>
    </row>
    <row r="1395">
      <c r="A1395" s="39" t="s">
        <v>7036</v>
      </c>
      <c r="B1395" s="15">
        <v>12216.0</v>
      </c>
      <c r="C1395" s="15" t="s">
        <v>7037</v>
      </c>
      <c r="D1395" s="15">
        <v>15290.0</v>
      </c>
      <c r="E1395" s="15" t="s">
        <v>1548</v>
      </c>
      <c r="F1395" s="15" t="s">
        <v>1911</v>
      </c>
      <c r="G1395" s="7">
        <v>9.704</v>
      </c>
      <c r="H1395" s="15" t="s">
        <v>2950</v>
      </c>
      <c r="I1395" s="15" t="s">
        <v>1628</v>
      </c>
      <c r="J1395" s="15" t="s">
        <v>7038</v>
      </c>
      <c r="K1395" s="15">
        <v>2.0</v>
      </c>
      <c r="L1395" s="15">
        <v>2.0</v>
      </c>
      <c r="M1395" s="40">
        <v>33094.0</v>
      </c>
      <c r="N1395" s="40">
        <v>42045.0</v>
      </c>
      <c r="O1395" s="15" t="s">
        <v>1554</v>
      </c>
      <c r="Q1395" s="7"/>
    </row>
    <row r="1396">
      <c r="A1396" s="39" t="s">
        <v>7040</v>
      </c>
      <c r="B1396" s="15">
        <v>12262.0</v>
      </c>
      <c r="C1396" s="15" t="s">
        <v>7041</v>
      </c>
      <c r="D1396" s="15">
        <v>15291.0</v>
      </c>
      <c r="E1396" s="15" t="s">
        <v>1548</v>
      </c>
      <c r="F1396" s="15" t="s">
        <v>1626</v>
      </c>
      <c r="G1396" s="7">
        <v>9.576</v>
      </c>
      <c r="H1396" s="15" t="s">
        <v>7044</v>
      </c>
      <c r="I1396" s="15" t="s">
        <v>1628</v>
      </c>
      <c r="J1396" s="15" t="s">
        <v>7045</v>
      </c>
      <c r="K1396" s="15">
        <v>2.0</v>
      </c>
      <c r="L1396" s="15">
        <v>2.0</v>
      </c>
      <c r="M1396" s="40">
        <v>32674.0</v>
      </c>
      <c r="N1396" s="40">
        <v>39639.0</v>
      </c>
      <c r="O1396" s="15" t="s">
        <v>1554</v>
      </c>
      <c r="Q1396" s="7"/>
    </row>
    <row r="1397">
      <c r="A1397" s="39" t="s">
        <v>7046</v>
      </c>
      <c r="B1397" s="15">
        <v>12154.0</v>
      </c>
      <c r="C1397" s="15" t="s">
        <v>7048</v>
      </c>
      <c r="D1397" s="15">
        <v>15293.0</v>
      </c>
      <c r="E1397" s="15" t="s">
        <v>1548</v>
      </c>
      <c r="F1397" s="15" t="s">
        <v>2032</v>
      </c>
      <c r="G1397" s="7">
        <v>6.318</v>
      </c>
      <c r="H1397" s="15" t="s">
        <v>7049</v>
      </c>
      <c r="I1397" s="15" t="s">
        <v>2034</v>
      </c>
      <c r="J1397" s="15" t="s">
        <v>7050</v>
      </c>
      <c r="K1397" s="15">
        <v>3.0</v>
      </c>
      <c r="L1397" s="15">
        <v>3.0</v>
      </c>
      <c r="M1397" s="41">
        <v>32469.0</v>
      </c>
      <c r="N1397" s="40">
        <v>42045.0</v>
      </c>
      <c r="O1397" s="15" t="s">
        <v>1554</v>
      </c>
      <c r="Q1397" s="7"/>
    </row>
    <row r="1398">
      <c r="A1398" s="39" t="s">
        <v>7053</v>
      </c>
      <c r="B1398" s="15">
        <v>12260.0</v>
      </c>
      <c r="C1398" s="15" t="s">
        <v>7054</v>
      </c>
      <c r="D1398" s="15">
        <v>15294.0</v>
      </c>
      <c r="E1398" s="15" t="s">
        <v>1548</v>
      </c>
      <c r="F1398" s="15" t="s">
        <v>1626</v>
      </c>
      <c r="G1398" s="7">
        <v>9.657</v>
      </c>
      <c r="H1398" s="15" t="s">
        <v>7057</v>
      </c>
      <c r="I1398" s="15" t="s">
        <v>1628</v>
      </c>
      <c r="J1398" s="15" t="s">
        <v>7058</v>
      </c>
      <c r="K1398" s="15">
        <v>2.0</v>
      </c>
      <c r="L1398" s="15">
        <v>2.0</v>
      </c>
      <c r="M1398" s="40">
        <v>33332.0</v>
      </c>
      <c r="N1398" s="40">
        <v>39790.0</v>
      </c>
      <c r="O1398" s="15" t="s">
        <v>1554</v>
      </c>
      <c r="Q1398" s="7"/>
    </row>
    <row r="1399">
      <c r="A1399" s="39" t="s">
        <v>7061</v>
      </c>
      <c r="B1399" s="15">
        <v>12208.0</v>
      </c>
      <c r="C1399" s="15" t="s">
        <v>7062</v>
      </c>
      <c r="D1399" s="15">
        <v>15295.0</v>
      </c>
      <c r="E1399" s="15" t="s">
        <v>1548</v>
      </c>
      <c r="F1399" s="15" t="s">
        <v>1911</v>
      </c>
      <c r="G1399" s="7">
        <v>9.924</v>
      </c>
      <c r="H1399" s="15" t="s">
        <v>1849</v>
      </c>
      <c r="I1399" s="15" t="s">
        <v>1628</v>
      </c>
      <c r="J1399" s="15" t="s">
        <v>7065</v>
      </c>
      <c r="K1399" s="15">
        <v>2.0</v>
      </c>
      <c r="L1399" s="15">
        <v>2.0</v>
      </c>
      <c r="M1399" s="40">
        <v>34088.0</v>
      </c>
      <c r="N1399" s="40">
        <v>42045.0</v>
      </c>
      <c r="O1399" s="15" t="s">
        <v>1554</v>
      </c>
      <c r="Q1399" s="7"/>
    </row>
    <row r="1400">
      <c r="A1400" s="39" t="s">
        <v>7068</v>
      </c>
      <c r="B1400" s="15">
        <v>12090.0</v>
      </c>
      <c r="C1400" s="15" t="s">
        <v>7070</v>
      </c>
      <c r="D1400" s="15">
        <v>15297.0</v>
      </c>
      <c r="E1400" s="15" t="s">
        <v>1548</v>
      </c>
      <c r="F1400" s="15" t="s">
        <v>1776</v>
      </c>
      <c r="G1400" s="7">
        <v>7.39</v>
      </c>
      <c r="H1400" s="15" t="s">
        <v>3255</v>
      </c>
      <c r="I1400" s="15" t="s">
        <v>1567</v>
      </c>
      <c r="J1400" s="15" t="s">
        <v>7072</v>
      </c>
      <c r="K1400" s="15">
        <v>1.0</v>
      </c>
      <c r="L1400" s="15">
        <v>1.0</v>
      </c>
      <c r="M1400" s="40">
        <v>34088.0</v>
      </c>
      <c r="N1400" s="40">
        <v>42045.0</v>
      </c>
      <c r="O1400" s="15" t="s">
        <v>1554</v>
      </c>
      <c r="Q1400" s="7"/>
    </row>
    <row r="1401">
      <c r="A1401" s="39" t="s">
        <v>7074</v>
      </c>
      <c r="B1401" s="15">
        <v>12211.0</v>
      </c>
      <c r="C1401" s="15" t="s">
        <v>7077</v>
      </c>
      <c r="D1401" s="15">
        <v>15298.0</v>
      </c>
      <c r="E1401" s="15" t="s">
        <v>1548</v>
      </c>
      <c r="F1401" s="15" t="s">
        <v>1911</v>
      </c>
      <c r="G1401" s="7">
        <v>9.741</v>
      </c>
      <c r="H1401" s="15" t="s">
        <v>2552</v>
      </c>
      <c r="I1401" s="15" t="s">
        <v>1628</v>
      </c>
      <c r="J1401" s="15" t="s">
        <v>7080</v>
      </c>
      <c r="K1401" s="15">
        <v>2.0</v>
      </c>
      <c r="L1401" s="15">
        <v>2.0</v>
      </c>
      <c r="M1401" s="40">
        <v>34088.0</v>
      </c>
      <c r="N1401" s="40">
        <v>42045.0</v>
      </c>
      <c r="O1401" s="15" t="s">
        <v>1554</v>
      </c>
      <c r="Q1401" s="7"/>
    </row>
    <row r="1402">
      <c r="A1402" s="39" t="s">
        <v>7084</v>
      </c>
      <c r="B1402" s="15">
        <v>12777.0</v>
      </c>
      <c r="C1402" s="15" t="s">
        <v>7085</v>
      </c>
      <c r="D1402" s="15">
        <v>15299.0</v>
      </c>
      <c r="E1402" s="15" t="s">
        <v>1548</v>
      </c>
      <c r="F1402" s="15" t="s">
        <v>1626</v>
      </c>
      <c r="G1402" s="7">
        <v>9.871</v>
      </c>
      <c r="H1402" s="15" t="s">
        <v>2552</v>
      </c>
      <c r="I1402" s="15" t="s">
        <v>1628</v>
      </c>
      <c r="J1402" s="15" t="s">
        <v>7089</v>
      </c>
      <c r="K1402" s="15">
        <v>1.0</v>
      </c>
      <c r="L1402" s="15">
        <v>1.0</v>
      </c>
      <c r="M1402" s="40">
        <v>34088.0</v>
      </c>
      <c r="N1402" s="40">
        <v>42045.0</v>
      </c>
      <c r="O1402" s="15" t="s">
        <v>1554</v>
      </c>
      <c r="Q1402" s="7"/>
    </row>
    <row r="1403">
      <c r="A1403" s="39" t="s">
        <v>7092</v>
      </c>
      <c r="B1403" s="15">
        <v>12280.0</v>
      </c>
      <c r="C1403" s="15" t="s">
        <v>7093</v>
      </c>
      <c r="D1403" s="15">
        <v>15300.0</v>
      </c>
      <c r="E1403" s="15" t="s">
        <v>1548</v>
      </c>
      <c r="F1403" s="15" t="s">
        <v>1626</v>
      </c>
      <c r="G1403" s="7">
        <v>15.485</v>
      </c>
      <c r="H1403" s="15" t="s">
        <v>7096</v>
      </c>
      <c r="I1403" s="15" t="s">
        <v>1628</v>
      </c>
      <c r="J1403" s="15" t="s">
        <v>7098</v>
      </c>
      <c r="K1403" s="15">
        <v>2.0</v>
      </c>
      <c r="L1403" s="15">
        <v>2.0</v>
      </c>
      <c r="M1403" s="40">
        <v>34088.0</v>
      </c>
      <c r="N1403" s="40">
        <v>42045.0</v>
      </c>
      <c r="O1403" s="15" t="s">
        <v>1554</v>
      </c>
      <c r="Q1403" s="7"/>
    </row>
    <row r="1404">
      <c r="A1404" s="39" t="s">
        <v>7099</v>
      </c>
      <c r="B1404" s="15">
        <v>12261.0</v>
      </c>
      <c r="C1404" s="15" t="s">
        <v>7101</v>
      </c>
      <c r="D1404" s="15">
        <v>15301.0</v>
      </c>
      <c r="E1404" s="15" t="s">
        <v>1548</v>
      </c>
      <c r="F1404" s="15" t="s">
        <v>1626</v>
      </c>
      <c r="G1404" s="7">
        <v>9.689</v>
      </c>
      <c r="H1404" s="15" t="s">
        <v>7103</v>
      </c>
      <c r="I1404" s="15" t="s">
        <v>1628</v>
      </c>
      <c r="J1404" s="15" t="s">
        <v>7104</v>
      </c>
      <c r="K1404" s="15">
        <v>2.0</v>
      </c>
      <c r="L1404" s="15">
        <v>2.0</v>
      </c>
      <c r="M1404" s="40">
        <v>33813.0</v>
      </c>
      <c r="N1404" s="40">
        <v>42045.0</v>
      </c>
      <c r="O1404" s="15" t="s">
        <v>1554</v>
      </c>
      <c r="Q1404" s="7"/>
    </row>
    <row r="1405">
      <c r="A1405" s="39" t="s">
        <v>7107</v>
      </c>
      <c r="B1405" s="15">
        <v>11036.0</v>
      </c>
      <c r="C1405" s="15" t="s">
        <v>7109</v>
      </c>
      <c r="D1405" s="15">
        <v>15302.0</v>
      </c>
      <c r="E1405" s="15" t="s">
        <v>1548</v>
      </c>
      <c r="F1405" s="15" t="s">
        <v>3181</v>
      </c>
      <c r="G1405" s="7">
        <v>11.444</v>
      </c>
      <c r="H1405" s="15" t="s">
        <v>1802</v>
      </c>
      <c r="I1405" s="15" t="s">
        <v>4737</v>
      </c>
      <c r="J1405" s="15" t="s">
        <v>7112</v>
      </c>
      <c r="K1405" s="15">
        <v>4.0</v>
      </c>
      <c r="L1405" s="15">
        <v>4.0</v>
      </c>
      <c r="M1405" s="40">
        <v>34131.0</v>
      </c>
      <c r="N1405" s="40">
        <v>42045.0</v>
      </c>
      <c r="O1405" s="15" t="s">
        <v>1554</v>
      </c>
      <c r="Q1405" s="7"/>
    </row>
    <row r="1406">
      <c r="A1406" s="39" t="s">
        <v>7115</v>
      </c>
      <c r="B1406" s="15">
        <v>11083.0</v>
      </c>
      <c r="C1406" s="15" t="s">
        <v>7116</v>
      </c>
      <c r="D1406" s="15">
        <v>15304.0</v>
      </c>
      <c r="E1406" s="15" t="s">
        <v>1548</v>
      </c>
      <c r="F1406" s="15" t="s">
        <v>1801</v>
      </c>
      <c r="G1406" s="7">
        <v>10.839</v>
      </c>
      <c r="H1406" s="15" t="s">
        <v>5627</v>
      </c>
      <c r="I1406" s="15" t="s">
        <v>1803</v>
      </c>
      <c r="J1406" s="15" t="s">
        <v>7120</v>
      </c>
      <c r="K1406" s="15">
        <v>1.0</v>
      </c>
      <c r="L1406" s="15">
        <v>1.0</v>
      </c>
      <c r="M1406" s="40">
        <v>34134.0</v>
      </c>
      <c r="N1406" s="40">
        <v>39790.0</v>
      </c>
      <c r="O1406" s="15" t="s">
        <v>1554</v>
      </c>
      <c r="Q1406" s="7"/>
    </row>
    <row r="1407">
      <c r="A1407" s="39" t="s">
        <v>7124</v>
      </c>
      <c r="B1407" s="15">
        <v>11100.0</v>
      </c>
      <c r="C1407" s="15" t="s">
        <v>7125</v>
      </c>
      <c r="D1407" s="15">
        <v>15305.0</v>
      </c>
      <c r="E1407" s="15" t="s">
        <v>1548</v>
      </c>
      <c r="F1407" s="15" t="s">
        <v>1801</v>
      </c>
      <c r="G1407" s="7">
        <v>12.573</v>
      </c>
      <c r="H1407" s="15" t="s">
        <v>1745</v>
      </c>
      <c r="I1407" s="15" t="s">
        <v>1686</v>
      </c>
      <c r="J1407" s="15" t="s">
        <v>7128</v>
      </c>
      <c r="K1407" s="15">
        <v>1.0</v>
      </c>
      <c r="L1407" s="15">
        <v>1.0</v>
      </c>
      <c r="M1407" s="40">
        <v>32947.0</v>
      </c>
      <c r="N1407" s="40">
        <v>42045.0</v>
      </c>
      <c r="O1407" s="15" t="s">
        <v>1554</v>
      </c>
      <c r="Q1407" s="7"/>
    </row>
    <row r="1408">
      <c r="A1408" s="39" t="s">
        <v>7131</v>
      </c>
      <c r="B1408" s="15">
        <v>12104.0</v>
      </c>
      <c r="C1408" s="15" t="s">
        <v>7132</v>
      </c>
      <c r="D1408" s="15">
        <v>15307.0</v>
      </c>
      <c r="E1408" s="15" t="s">
        <v>1548</v>
      </c>
      <c r="F1408" s="15" t="s">
        <v>1776</v>
      </c>
      <c r="G1408" s="7">
        <v>7.835</v>
      </c>
      <c r="H1408" s="15" t="s">
        <v>1772</v>
      </c>
      <c r="I1408" s="15" t="s">
        <v>1567</v>
      </c>
      <c r="J1408" s="15" t="s">
        <v>7134</v>
      </c>
      <c r="K1408" s="15">
        <v>2.0</v>
      </c>
      <c r="L1408" s="15">
        <v>2.0</v>
      </c>
      <c r="M1408" s="40">
        <v>33659.0</v>
      </c>
      <c r="N1408" s="40">
        <v>41061.0</v>
      </c>
      <c r="O1408" s="15" t="s">
        <v>1554</v>
      </c>
      <c r="Q1408" s="7"/>
    </row>
    <row r="1409">
      <c r="A1409" s="39" t="s">
        <v>7137</v>
      </c>
      <c r="B1409" s="15">
        <v>12092.0</v>
      </c>
      <c r="C1409" s="15" t="s">
        <v>7138</v>
      </c>
      <c r="D1409" s="15">
        <v>15308.0</v>
      </c>
      <c r="E1409" s="15" t="s">
        <v>1548</v>
      </c>
      <c r="F1409" s="15" t="s">
        <v>1776</v>
      </c>
      <c r="G1409" s="7">
        <v>7.478</v>
      </c>
      <c r="H1409" s="15" t="s">
        <v>2193</v>
      </c>
      <c r="I1409" s="15" t="s">
        <v>1567</v>
      </c>
      <c r="J1409" s="15" t="s">
        <v>7140</v>
      </c>
      <c r="K1409" s="15">
        <v>3.0</v>
      </c>
      <c r="L1409" s="15">
        <v>2.0</v>
      </c>
      <c r="M1409" s="41">
        <v>32142.0</v>
      </c>
      <c r="N1409" s="40">
        <v>39790.0</v>
      </c>
      <c r="O1409" s="15" t="s">
        <v>1554</v>
      </c>
      <c r="Q1409" s="7"/>
    </row>
    <row r="1410">
      <c r="A1410" s="39" t="s">
        <v>7142</v>
      </c>
      <c r="B1410" s="15">
        <v>12131.0</v>
      </c>
      <c r="C1410" s="15" t="s">
        <v>7143</v>
      </c>
      <c r="D1410" s="15">
        <v>15309.0</v>
      </c>
      <c r="E1410" s="15" t="s">
        <v>1548</v>
      </c>
      <c r="F1410" s="15" t="s">
        <v>1776</v>
      </c>
      <c r="G1410" s="7">
        <v>7.212</v>
      </c>
      <c r="H1410" s="15" t="s">
        <v>2141</v>
      </c>
      <c r="I1410" s="15" t="s">
        <v>1567</v>
      </c>
      <c r="J1410" s="15" t="s">
        <v>7145</v>
      </c>
      <c r="K1410" s="15">
        <v>1.0</v>
      </c>
      <c r="L1410" s="15">
        <v>1.0</v>
      </c>
      <c r="M1410" s="40">
        <v>31293.0</v>
      </c>
      <c r="N1410" s="40">
        <v>41722.0</v>
      </c>
      <c r="O1410" s="15" t="s">
        <v>1554</v>
      </c>
      <c r="Q1410" s="7"/>
    </row>
    <row r="1411">
      <c r="A1411" s="39" t="s">
        <v>7146</v>
      </c>
      <c r="B1411" s="15">
        <v>11072.0</v>
      </c>
      <c r="C1411" s="15" t="s">
        <v>7148</v>
      </c>
      <c r="D1411" s="15">
        <v>15310.0</v>
      </c>
      <c r="E1411" s="15" t="s">
        <v>1548</v>
      </c>
      <c r="F1411" s="15" t="s">
        <v>1801</v>
      </c>
      <c r="G1411" s="7">
        <v>10.976</v>
      </c>
      <c r="H1411" s="15" t="s">
        <v>2284</v>
      </c>
      <c r="I1411" s="15" t="s">
        <v>1803</v>
      </c>
      <c r="J1411" s="15" t="s">
        <v>7150</v>
      </c>
      <c r="K1411" s="15">
        <v>2.0</v>
      </c>
      <c r="L1411" s="15">
        <v>2.0</v>
      </c>
      <c r="M1411" s="40">
        <v>34183.0</v>
      </c>
      <c r="N1411" s="41">
        <v>42732.0</v>
      </c>
      <c r="O1411" s="15" t="s">
        <v>1554</v>
      </c>
      <c r="Q1411" s="7"/>
    </row>
    <row r="1412">
      <c r="A1412" s="39" t="s">
        <v>7154</v>
      </c>
      <c r="B1412" s="15">
        <v>11027.0</v>
      </c>
      <c r="C1412" s="15" t="s">
        <v>7155</v>
      </c>
      <c r="D1412" s="15">
        <v>15311.0</v>
      </c>
      <c r="E1412" s="15" t="s">
        <v>1548</v>
      </c>
      <c r="F1412" s="15" t="s">
        <v>3181</v>
      </c>
      <c r="G1412" s="7">
        <v>11.835</v>
      </c>
      <c r="H1412" s="15" t="s">
        <v>5382</v>
      </c>
      <c r="I1412" s="15" t="s">
        <v>1803</v>
      </c>
      <c r="J1412" s="15" t="s">
        <v>7159</v>
      </c>
      <c r="K1412" s="15">
        <v>4.0</v>
      </c>
      <c r="L1412" s="15">
        <v>3.0</v>
      </c>
      <c r="M1412" s="40">
        <v>33131.0</v>
      </c>
      <c r="N1412" s="40">
        <v>41087.0</v>
      </c>
      <c r="O1412" s="15" t="s">
        <v>1554</v>
      </c>
      <c r="Q1412" s="7"/>
    </row>
    <row r="1413">
      <c r="A1413" s="39" t="s">
        <v>7161</v>
      </c>
      <c r="B1413" s="15">
        <v>12209.0</v>
      </c>
      <c r="C1413" s="15" t="s">
        <v>7165</v>
      </c>
      <c r="D1413" s="15">
        <v>15312.0</v>
      </c>
      <c r="E1413" s="15" t="s">
        <v>1548</v>
      </c>
      <c r="F1413" s="15" t="s">
        <v>1911</v>
      </c>
      <c r="G1413" s="7">
        <v>9.64</v>
      </c>
      <c r="H1413" s="15" t="s">
        <v>1710</v>
      </c>
      <c r="I1413" s="15" t="s">
        <v>1628</v>
      </c>
      <c r="J1413" s="15" t="s">
        <v>7166</v>
      </c>
      <c r="K1413" s="15">
        <v>2.0</v>
      </c>
      <c r="L1413" s="15">
        <v>2.0</v>
      </c>
      <c r="M1413" s="41">
        <v>33956.0</v>
      </c>
      <c r="N1413" s="40">
        <v>42045.0</v>
      </c>
      <c r="O1413" s="15" t="s">
        <v>1554</v>
      </c>
      <c r="Q1413" s="7"/>
    </row>
    <row r="1414">
      <c r="A1414" s="39" t="s">
        <v>7167</v>
      </c>
      <c r="B1414" s="15">
        <v>314536.0</v>
      </c>
      <c r="C1414" s="15" t="s">
        <v>7168</v>
      </c>
      <c r="D1414" s="15">
        <v>15313.0</v>
      </c>
      <c r="E1414" s="15" t="s">
        <v>1548</v>
      </c>
      <c r="F1414" s="15" t="s">
        <v>4829</v>
      </c>
      <c r="G1414" s="7">
        <v>7.437</v>
      </c>
      <c r="H1414" s="15" t="s">
        <v>3304</v>
      </c>
      <c r="I1414" s="15" t="s">
        <v>1686</v>
      </c>
      <c r="J1414" s="15" t="s">
        <v>7169</v>
      </c>
      <c r="K1414" s="15">
        <v>2.0</v>
      </c>
      <c r="L1414" s="15">
        <v>2.0</v>
      </c>
      <c r="M1414" s="40">
        <v>33746.0</v>
      </c>
      <c r="N1414" s="40">
        <v>42045.0</v>
      </c>
      <c r="O1414" s="15" t="s">
        <v>1554</v>
      </c>
      <c r="Q1414" s="7"/>
    </row>
    <row r="1415">
      <c r="A1415" s="39" t="s">
        <v>7170</v>
      </c>
      <c r="B1415" s="15">
        <v>11029.0</v>
      </c>
      <c r="C1415" s="15" t="s">
        <v>7171</v>
      </c>
      <c r="D1415" s="15">
        <v>15314.0</v>
      </c>
      <c r="E1415" s="15" t="s">
        <v>1548</v>
      </c>
      <c r="F1415" s="15" t="s">
        <v>3181</v>
      </c>
      <c r="G1415" s="7">
        <v>11.657</v>
      </c>
      <c r="H1415" s="15" t="s">
        <v>2284</v>
      </c>
      <c r="I1415" s="15" t="s">
        <v>1803</v>
      </c>
      <c r="J1415" s="15" t="s">
        <v>7173</v>
      </c>
      <c r="K1415" s="15">
        <v>4.0</v>
      </c>
      <c r="L1415" s="15">
        <v>3.0</v>
      </c>
      <c r="M1415" s="40">
        <v>32766.0</v>
      </c>
      <c r="N1415" s="40">
        <v>41087.0</v>
      </c>
      <c r="O1415" s="15" t="s">
        <v>2353</v>
      </c>
      <c r="Q1415" s="7"/>
    </row>
    <row r="1416">
      <c r="A1416" s="39" t="s">
        <v>7174</v>
      </c>
      <c r="B1416" s="15">
        <v>11034.0</v>
      </c>
      <c r="C1416" s="15" t="s">
        <v>7175</v>
      </c>
      <c r="D1416" s="15">
        <v>15316.0</v>
      </c>
      <c r="E1416" s="15" t="s">
        <v>1548</v>
      </c>
      <c r="F1416" s="15" t="s">
        <v>3181</v>
      </c>
      <c r="G1416" s="7">
        <v>11.703</v>
      </c>
      <c r="H1416" s="15" t="s">
        <v>2296</v>
      </c>
      <c r="I1416" s="15" t="s">
        <v>4737</v>
      </c>
      <c r="J1416" s="15" t="s">
        <v>7176</v>
      </c>
      <c r="K1416" s="15">
        <v>4.0</v>
      </c>
      <c r="L1416" s="15">
        <v>4.0</v>
      </c>
      <c r="M1416" s="40">
        <v>31121.0</v>
      </c>
      <c r="N1416" s="40">
        <v>41087.0</v>
      </c>
      <c r="O1416" s="15" t="s">
        <v>1554</v>
      </c>
      <c r="Q1416" s="7"/>
    </row>
    <row r="1417">
      <c r="A1417" s="39" t="s">
        <v>7177</v>
      </c>
      <c r="B1417" s="15">
        <v>221036.0</v>
      </c>
      <c r="C1417" s="15" t="s">
        <v>7178</v>
      </c>
      <c r="D1417" s="15">
        <v>15317.0</v>
      </c>
      <c r="E1417" s="15" t="s">
        <v>2014</v>
      </c>
      <c r="F1417" s="15" t="s">
        <v>2018</v>
      </c>
      <c r="G1417" s="7">
        <v>1.348</v>
      </c>
      <c r="H1417" s="15" t="s">
        <v>2950</v>
      </c>
      <c r="I1417" s="15" t="s">
        <v>1628</v>
      </c>
      <c r="J1417" s="15" t="s">
        <v>7179</v>
      </c>
      <c r="K1417" s="15">
        <v>1.0</v>
      </c>
      <c r="L1417" s="15">
        <v>1.0</v>
      </c>
      <c r="M1417" s="40">
        <v>37641.0</v>
      </c>
      <c r="N1417" s="40">
        <v>40578.0</v>
      </c>
      <c r="O1417" s="15" t="s">
        <v>1554</v>
      </c>
      <c r="Q1417" s="7"/>
    </row>
    <row r="1418">
      <c r="A1418" s="39" t="s">
        <v>7180</v>
      </c>
      <c r="B1418" s="15">
        <v>185793.0</v>
      </c>
      <c r="C1418" s="15" t="s">
        <v>7182</v>
      </c>
      <c r="D1418" s="15">
        <v>15318.0</v>
      </c>
      <c r="E1418" s="15" t="s">
        <v>1808</v>
      </c>
      <c r="F1418" s="15" t="s">
        <v>1809</v>
      </c>
      <c r="G1418" s="7">
        <v>2.734</v>
      </c>
      <c r="H1418" s="15">
        <v>42.0</v>
      </c>
      <c r="I1418" s="15" t="s">
        <v>1628</v>
      </c>
      <c r="J1418" s="15" t="s">
        <v>7183</v>
      </c>
      <c r="K1418" s="15">
        <v>6.0</v>
      </c>
      <c r="L1418" s="15">
        <v>6.0</v>
      </c>
      <c r="M1418" s="41">
        <v>36828.0</v>
      </c>
      <c r="N1418" s="40">
        <v>42045.0</v>
      </c>
      <c r="O1418" s="15" t="s">
        <v>1554</v>
      </c>
      <c r="Q1418" s="7"/>
    </row>
    <row r="1419">
      <c r="A1419" s="39" t="s">
        <v>7184</v>
      </c>
      <c r="B1419" s="15">
        <v>12480.0</v>
      </c>
      <c r="C1419" s="15" t="s">
        <v>7185</v>
      </c>
      <c r="D1419" s="15">
        <v>15320.0</v>
      </c>
      <c r="E1419" s="15" t="s">
        <v>1557</v>
      </c>
      <c r="F1419" s="15" t="s">
        <v>2004</v>
      </c>
      <c r="G1419" s="7">
        <v>5.27</v>
      </c>
      <c r="H1419" s="15" t="s">
        <v>1559</v>
      </c>
      <c r="I1419" s="15" t="s">
        <v>1686</v>
      </c>
      <c r="J1419" s="15" t="s">
        <v>7186</v>
      </c>
      <c r="K1419" s="15">
        <v>5.0</v>
      </c>
      <c r="L1419" s="15">
        <v>5.0</v>
      </c>
      <c r="M1419" s="40">
        <v>31321.0</v>
      </c>
      <c r="N1419" s="40">
        <v>41506.0</v>
      </c>
      <c r="O1419" s="15" t="s">
        <v>1554</v>
      </c>
      <c r="Q1419" s="7"/>
    </row>
    <row r="1420">
      <c r="A1420" s="39" t="s">
        <v>7187</v>
      </c>
      <c r="B1420" s="15">
        <v>354090.0</v>
      </c>
      <c r="C1420" s="15" t="s">
        <v>7188</v>
      </c>
      <c r="D1420" s="15">
        <v>15322.0</v>
      </c>
      <c r="E1420" s="15" t="s">
        <v>1916</v>
      </c>
      <c r="F1420" s="15" t="s">
        <v>2532</v>
      </c>
      <c r="G1420" s="7">
        <v>3.166</v>
      </c>
      <c r="H1420" s="15" t="s">
        <v>2945</v>
      </c>
      <c r="I1420" s="15" t="s">
        <v>1686</v>
      </c>
      <c r="J1420" s="15" t="s">
        <v>7189</v>
      </c>
      <c r="K1420" s="15">
        <v>2.0</v>
      </c>
      <c r="L1420" s="15">
        <v>2.0</v>
      </c>
      <c r="M1420" s="40">
        <v>34086.0</v>
      </c>
      <c r="N1420" s="40">
        <v>42045.0</v>
      </c>
      <c r="O1420" s="15" t="s">
        <v>1554</v>
      </c>
      <c r="Q1420" s="7"/>
    </row>
    <row r="1421">
      <c r="A1421" s="39" t="s">
        <v>7191</v>
      </c>
      <c r="B1421" s="15">
        <v>85106.0</v>
      </c>
      <c r="C1421" s="15" t="s">
        <v>7192</v>
      </c>
      <c r="D1421" s="15">
        <v>15323.0</v>
      </c>
      <c r="E1421" s="15" t="s">
        <v>1808</v>
      </c>
      <c r="F1421" s="15" t="s">
        <v>2436</v>
      </c>
      <c r="G1421" s="7">
        <v>4.718</v>
      </c>
      <c r="H1421" s="15" t="s">
        <v>7049</v>
      </c>
      <c r="I1421" s="15" t="s">
        <v>1686</v>
      </c>
      <c r="J1421" s="15" t="s">
        <v>7193</v>
      </c>
      <c r="K1421" s="15">
        <v>2.0</v>
      </c>
      <c r="L1421" s="15">
        <v>2.0</v>
      </c>
      <c r="M1421" s="40">
        <v>36277.0</v>
      </c>
      <c r="N1421" s="40">
        <v>40248.0</v>
      </c>
      <c r="O1421" s="15" t="s">
        <v>1554</v>
      </c>
      <c r="Q1421" s="7"/>
    </row>
    <row r="1422">
      <c r="A1422" s="39" t="s">
        <v>7194</v>
      </c>
      <c r="B1422" s="15">
        <v>12167.0</v>
      </c>
      <c r="C1422" s="15" t="s">
        <v>7195</v>
      </c>
      <c r="D1422" s="15">
        <v>15324.0</v>
      </c>
      <c r="E1422" s="15" t="s">
        <v>1548</v>
      </c>
      <c r="F1422" s="15" t="s">
        <v>1786</v>
      </c>
      <c r="G1422" s="7">
        <v>8.533</v>
      </c>
      <c r="H1422" s="15" t="s">
        <v>1918</v>
      </c>
      <c r="I1422" s="15" t="s">
        <v>1628</v>
      </c>
      <c r="J1422" s="15" t="s">
        <v>7196</v>
      </c>
      <c r="K1422" s="15">
        <v>6.0</v>
      </c>
      <c r="L1422" s="15">
        <v>6.0</v>
      </c>
      <c r="M1422" s="40">
        <v>34088.0</v>
      </c>
      <c r="N1422" s="40">
        <v>42045.0</v>
      </c>
      <c r="O1422" s="15" t="s">
        <v>1554</v>
      </c>
      <c r="Q1422" s="7"/>
    </row>
    <row r="1423">
      <c r="A1423" s="39" t="s">
        <v>7197</v>
      </c>
      <c r="B1423" s="15">
        <v>12227.0</v>
      </c>
      <c r="C1423" s="15" t="s">
        <v>7198</v>
      </c>
      <c r="D1423" s="15">
        <v>15325.0</v>
      </c>
      <c r="E1423" s="15" t="s">
        <v>1548</v>
      </c>
      <c r="F1423" s="15" t="s">
        <v>1911</v>
      </c>
      <c r="G1423" s="7">
        <v>9.494</v>
      </c>
      <c r="H1423" s="15" t="s">
        <v>2178</v>
      </c>
      <c r="I1423" s="15" t="s">
        <v>1628</v>
      </c>
      <c r="J1423" s="15" t="s">
        <v>7200</v>
      </c>
      <c r="K1423" s="15">
        <v>2.0</v>
      </c>
      <c r="L1423" s="15">
        <v>2.0</v>
      </c>
      <c r="M1423" s="40">
        <v>31628.0</v>
      </c>
      <c r="N1423" s="40">
        <v>42045.0</v>
      </c>
      <c r="O1423" s="15" t="s">
        <v>1554</v>
      </c>
      <c r="Q1423" s="7"/>
    </row>
    <row r="1424">
      <c r="A1424" s="39" t="s">
        <v>7201</v>
      </c>
      <c r="B1424" s="15">
        <v>31658.0</v>
      </c>
      <c r="C1424" s="15" t="s">
        <v>7202</v>
      </c>
      <c r="D1424" s="15">
        <v>15326.0</v>
      </c>
      <c r="E1424" s="15" t="s">
        <v>1548</v>
      </c>
      <c r="F1424" s="15" t="s">
        <v>1801</v>
      </c>
      <c r="G1424" s="7">
        <v>10.682</v>
      </c>
      <c r="H1424" s="15">
        <v>51.0</v>
      </c>
      <c r="I1424" s="15" t="s">
        <v>1803</v>
      </c>
      <c r="J1424" s="15" t="s">
        <v>7203</v>
      </c>
      <c r="K1424" s="15">
        <v>1.0</v>
      </c>
      <c r="L1424" s="15">
        <v>1.0</v>
      </c>
      <c r="M1424" s="40">
        <v>34184.0</v>
      </c>
      <c r="N1424" s="40">
        <v>43012.0</v>
      </c>
      <c r="O1424" s="15" t="s">
        <v>1554</v>
      </c>
      <c r="Q1424" s="7"/>
    </row>
    <row r="1425">
      <c r="A1425" s="39" t="s">
        <v>7204</v>
      </c>
      <c r="B1425" s="15">
        <v>31744.0</v>
      </c>
      <c r="C1425" s="15" t="s">
        <v>7205</v>
      </c>
      <c r="D1425" s="15">
        <v>15327.0</v>
      </c>
      <c r="E1425" s="15" t="s">
        <v>1548</v>
      </c>
      <c r="F1425" s="15" t="s">
        <v>1578</v>
      </c>
      <c r="G1425" s="7">
        <v>4.449</v>
      </c>
      <c r="H1425" s="15" t="s">
        <v>3468</v>
      </c>
      <c r="I1425" s="15" t="s">
        <v>1628</v>
      </c>
      <c r="J1425" s="15" t="s">
        <v>7206</v>
      </c>
      <c r="K1425" s="15">
        <v>5.0</v>
      </c>
      <c r="L1425" s="15">
        <v>5.0</v>
      </c>
      <c r="M1425" s="40">
        <v>34213.0</v>
      </c>
      <c r="N1425" s="40">
        <v>42577.0</v>
      </c>
      <c r="O1425" s="15" t="s">
        <v>1554</v>
      </c>
      <c r="Q1425" s="7"/>
    </row>
    <row r="1426">
      <c r="A1426" s="39" t="s">
        <v>7207</v>
      </c>
      <c r="B1426" s="15">
        <v>12161.0</v>
      </c>
      <c r="C1426" s="15" t="s">
        <v>7208</v>
      </c>
      <c r="D1426" s="15">
        <v>15328.0</v>
      </c>
      <c r="E1426" s="15" t="s">
        <v>1548</v>
      </c>
      <c r="F1426" s="15" t="s">
        <v>1790</v>
      </c>
      <c r="G1426" s="7">
        <v>15.48</v>
      </c>
      <c r="H1426" s="15">
        <v>46.0</v>
      </c>
      <c r="I1426" s="15" t="s">
        <v>1628</v>
      </c>
      <c r="J1426" s="15" t="s">
        <v>7210</v>
      </c>
      <c r="K1426" s="15">
        <v>8.0</v>
      </c>
      <c r="L1426" s="15">
        <v>8.0</v>
      </c>
      <c r="M1426" s="40">
        <v>34158.0</v>
      </c>
      <c r="N1426" s="40">
        <v>39790.0</v>
      </c>
      <c r="O1426" s="15" t="s">
        <v>1554</v>
      </c>
      <c r="Q1426" s="7"/>
    </row>
    <row r="1427">
      <c r="A1427" s="39" t="s">
        <v>7211</v>
      </c>
      <c r="B1427" s="15">
        <v>31722.0</v>
      </c>
      <c r="C1427" s="15" t="s">
        <v>7212</v>
      </c>
      <c r="D1427" s="15">
        <v>15329.0</v>
      </c>
      <c r="E1427" s="15" t="s">
        <v>1548</v>
      </c>
      <c r="F1427" s="15" t="s">
        <v>1786</v>
      </c>
      <c r="G1427" s="7">
        <v>8.512</v>
      </c>
      <c r="H1427" s="15" t="s">
        <v>2945</v>
      </c>
      <c r="I1427" s="15" t="s">
        <v>1628</v>
      </c>
      <c r="J1427" s="15" t="s">
        <v>7213</v>
      </c>
      <c r="K1427" s="15">
        <v>6.0</v>
      </c>
      <c r="L1427" s="15">
        <v>6.0</v>
      </c>
      <c r="M1427" s="41">
        <v>34270.0</v>
      </c>
      <c r="N1427" s="40">
        <v>42045.0</v>
      </c>
      <c r="O1427" s="15" t="s">
        <v>1554</v>
      </c>
      <c r="Q1427" s="7"/>
    </row>
    <row r="1428">
      <c r="A1428" s="39" t="s">
        <v>7214</v>
      </c>
      <c r="B1428" s="15">
        <v>12132.0</v>
      </c>
      <c r="C1428" s="15" t="s">
        <v>7215</v>
      </c>
      <c r="D1428" s="15">
        <v>15330.0</v>
      </c>
      <c r="E1428" s="15" t="s">
        <v>1548</v>
      </c>
      <c r="F1428" s="15" t="s">
        <v>1776</v>
      </c>
      <c r="G1428" s="7">
        <v>7.152</v>
      </c>
      <c r="H1428" s="15">
        <v>39.0</v>
      </c>
      <c r="I1428" s="15" t="s">
        <v>1567</v>
      </c>
      <c r="J1428" s="15" t="s">
        <v>7216</v>
      </c>
      <c r="K1428" s="15">
        <v>1.0</v>
      </c>
      <c r="L1428" s="15">
        <v>1.0</v>
      </c>
      <c r="M1428" s="40">
        <v>34234.0</v>
      </c>
      <c r="N1428" s="40">
        <v>41722.0</v>
      </c>
      <c r="O1428" s="15" t="s">
        <v>1554</v>
      </c>
      <c r="Q1428" s="7"/>
    </row>
    <row r="1429">
      <c r="A1429" s="39" t="s">
        <v>7218</v>
      </c>
      <c r="B1429" s="15">
        <v>196398.0</v>
      </c>
      <c r="C1429" s="15" t="s">
        <v>7219</v>
      </c>
      <c r="D1429" s="15">
        <v>15331.0</v>
      </c>
      <c r="E1429" s="15" t="s">
        <v>1548</v>
      </c>
      <c r="F1429" s="15" t="s">
        <v>1578</v>
      </c>
      <c r="G1429" s="7">
        <v>4.193</v>
      </c>
      <c r="H1429" s="15" t="s">
        <v>4776</v>
      </c>
      <c r="I1429" s="15" t="s">
        <v>1628</v>
      </c>
      <c r="J1429" s="15" t="s">
        <v>7220</v>
      </c>
      <c r="K1429" s="15">
        <v>5.0</v>
      </c>
      <c r="L1429" s="15">
        <v>5.0</v>
      </c>
      <c r="M1429" s="40">
        <v>34185.0</v>
      </c>
      <c r="N1429" s="40">
        <v>42045.0</v>
      </c>
      <c r="O1429" s="15" t="s">
        <v>1554</v>
      </c>
      <c r="Q1429" s="7"/>
    </row>
    <row r="1430">
      <c r="A1430" s="39" t="s">
        <v>7221</v>
      </c>
      <c r="B1430" s="15">
        <v>35287.0</v>
      </c>
      <c r="C1430" s="15" t="s">
        <v>7222</v>
      </c>
      <c r="D1430" s="15">
        <v>15332.0</v>
      </c>
      <c r="E1430" s="15" t="s">
        <v>1548</v>
      </c>
      <c r="F1430" s="15" t="s">
        <v>1626</v>
      </c>
      <c r="G1430" s="7">
        <v>12.226</v>
      </c>
      <c r="H1430" s="15" t="s">
        <v>4401</v>
      </c>
      <c r="I1430" s="15" t="s">
        <v>1628</v>
      </c>
      <c r="J1430" s="15" t="s">
        <v>7223</v>
      </c>
      <c r="K1430" s="15">
        <v>1.0</v>
      </c>
      <c r="L1430" s="15">
        <v>1.0</v>
      </c>
      <c r="M1430" s="40">
        <v>34184.0</v>
      </c>
      <c r="N1430" s="40">
        <v>42045.0</v>
      </c>
      <c r="O1430" s="15" t="s">
        <v>1554</v>
      </c>
      <c r="Q1430" s="7"/>
    </row>
    <row r="1431">
      <c r="A1431" s="39" t="s">
        <v>7224</v>
      </c>
      <c r="B1431" s="15">
        <v>43240.0</v>
      </c>
      <c r="C1431" s="15" t="s">
        <v>7226</v>
      </c>
      <c r="D1431" s="15">
        <v>15333.0</v>
      </c>
      <c r="E1431" s="15" t="s">
        <v>1548</v>
      </c>
      <c r="F1431" s="15" t="s">
        <v>1911</v>
      </c>
      <c r="G1431" s="7">
        <v>9.612</v>
      </c>
      <c r="H1431" s="15" t="s">
        <v>1591</v>
      </c>
      <c r="I1431" s="15" t="s">
        <v>1628</v>
      </c>
      <c r="J1431" s="15" t="s">
        <v>7227</v>
      </c>
      <c r="K1431" s="15">
        <v>2.0</v>
      </c>
      <c r="L1431" s="15">
        <v>2.0</v>
      </c>
      <c r="M1431" s="40">
        <v>34718.0</v>
      </c>
      <c r="N1431" s="40">
        <v>42045.0</v>
      </c>
      <c r="O1431" s="15" t="s">
        <v>1554</v>
      </c>
      <c r="Q1431" s="7"/>
    </row>
    <row r="1432">
      <c r="A1432" s="39" t="s">
        <v>7228</v>
      </c>
      <c r="B1432" s="15">
        <v>12162.0</v>
      </c>
      <c r="C1432" s="15" t="s">
        <v>7229</v>
      </c>
      <c r="D1432" s="15">
        <v>15334.0</v>
      </c>
      <c r="E1432" s="15" t="s">
        <v>1548</v>
      </c>
      <c r="F1432" s="15" t="s">
        <v>1790</v>
      </c>
      <c r="G1432" s="7">
        <v>19.296</v>
      </c>
      <c r="H1432" s="15" t="s">
        <v>2864</v>
      </c>
      <c r="I1432" s="15" t="s">
        <v>1628</v>
      </c>
      <c r="J1432" s="15" t="s">
        <v>7230</v>
      </c>
      <c r="K1432" s="15">
        <v>11.0</v>
      </c>
      <c r="L1432" s="15">
        <v>11.0</v>
      </c>
      <c r="M1432" s="40">
        <v>34835.0</v>
      </c>
      <c r="N1432" s="40">
        <v>42577.0</v>
      </c>
      <c r="O1432" s="15" t="s">
        <v>1554</v>
      </c>
      <c r="Q1432" s="7"/>
    </row>
    <row r="1433">
      <c r="A1433" s="39" t="s">
        <v>7231</v>
      </c>
      <c r="B1433" s="15">
        <v>11084.0</v>
      </c>
      <c r="C1433" s="15" t="s">
        <v>7232</v>
      </c>
      <c r="D1433" s="15">
        <v>15335.0</v>
      </c>
      <c r="E1433" s="15" t="s">
        <v>1548</v>
      </c>
      <c r="F1433" s="15" t="s">
        <v>1801</v>
      </c>
      <c r="G1433" s="7">
        <v>11.141</v>
      </c>
      <c r="H1433" s="15" t="s">
        <v>2271</v>
      </c>
      <c r="I1433" s="15" t="s">
        <v>1803</v>
      </c>
      <c r="J1433" s="15" t="s">
        <v>7233</v>
      </c>
      <c r="K1433" s="15">
        <v>1.0</v>
      </c>
      <c r="L1433" s="15">
        <v>1.0</v>
      </c>
      <c r="M1433" s="40">
        <v>34947.0</v>
      </c>
      <c r="N1433" s="40">
        <v>42045.0</v>
      </c>
      <c r="O1433" s="15" t="s">
        <v>1554</v>
      </c>
      <c r="Q1433" s="7"/>
    </row>
    <row r="1434">
      <c r="A1434" s="39" t="s">
        <v>7235</v>
      </c>
      <c r="B1434" s="15">
        <v>42631.0</v>
      </c>
      <c r="C1434" s="15" t="s">
        <v>7236</v>
      </c>
      <c r="D1434" s="15">
        <v>15336.0</v>
      </c>
      <c r="E1434" s="15" t="s">
        <v>1548</v>
      </c>
      <c r="F1434" s="15" t="s">
        <v>1911</v>
      </c>
      <c r="G1434" s="7">
        <v>9.672</v>
      </c>
      <c r="H1434" s="15" t="s">
        <v>2484</v>
      </c>
      <c r="I1434" s="15" t="s">
        <v>1628</v>
      </c>
      <c r="J1434" s="15" t="s">
        <v>7237</v>
      </c>
      <c r="K1434" s="15">
        <v>2.0</v>
      </c>
      <c r="L1434" s="15">
        <v>2.0</v>
      </c>
      <c r="M1434" s="40">
        <v>34962.0</v>
      </c>
      <c r="N1434" s="40">
        <v>42045.0</v>
      </c>
      <c r="O1434" s="15" t="s">
        <v>1554</v>
      </c>
      <c r="Q1434" s="7"/>
    </row>
    <row r="1435">
      <c r="A1435" s="39" t="s">
        <v>7238</v>
      </c>
      <c r="B1435" s="15">
        <v>12470.0</v>
      </c>
      <c r="C1435" s="15" t="s">
        <v>7239</v>
      </c>
      <c r="D1435" s="15">
        <v>15337.0</v>
      </c>
      <c r="E1435" s="15" t="s">
        <v>1548</v>
      </c>
      <c r="F1435" s="15" t="s">
        <v>1578</v>
      </c>
      <c r="G1435" s="7">
        <v>4.279</v>
      </c>
      <c r="H1435" s="15">
        <v>49.0</v>
      </c>
      <c r="I1435" s="15" t="s">
        <v>1628</v>
      </c>
      <c r="J1435" s="15" t="s">
        <v>7240</v>
      </c>
      <c r="K1435" s="15">
        <v>4.0</v>
      </c>
      <c r="L1435" s="15">
        <v>5.0</v>
      </c>
      <c r="M1435" s="41">
        <v>34999.0</v>
      </c>
      <c r="N1435" s="40">
        <v>42045.0</v>
      </c>
      <c r="O1435" s="15" t="s">
        <v>1554</v>
      </c>
      <c r="Q1435" s="7"/>
    </row>
    <row r="1436">
      <c r="A1436" s="39" t="s">
        <v>7241</v>
      </c>
      <c r="B1436" s="15">
        <v>12466.0</v>
      </c>
      <c r="C1436" s="15" t="s">
        <v>7242</v>
      </c>
      <c r="D1436" s="15">
        <v>15338.0</v>
      </c>
      <c r="E1436" s="15" t="s">
        <v>1548</v>
      </c>
      <c r="F1436" s="15" t="s">
        <v>1911</v>
      </c>
      <c r="G1436" s="7">
        <v>10.786</v>
      </c>
      <c r="H1436" s="15" t="s">
        <v>7244</v>
      </c>
      <c r="I1436" s="15" t="s">
        <v>1628</v>
      </c>
      <c r="J1436" s="15" t="s">
        <v>7245</v>
      </c>
      <c r="K1436" s="15">
        <v>3.0</v>
      </c>
      <c r="L1436" s="15">
        <v>3.0</v>
      </c>
      <c r="M1436" s="40">
        <v>35070.0</v>
      </c>
      <c r="N1436" s="40">
        <v>42045.0</v>
      </c>
      <c r="O1436" s="15" t="s">
        <v>1554</v>
      </c>
      <c r="Q1436" s="7"/>
    </row>
    <row r="1437">
      <c r="A1437" s="39" t="s">
        <v>7246</v>
      </c>
      <c r="B1437" s="15">
        <v>12197.0</v>
      </c>
      <c r="C1437" s="15" t="s">
        <v>7247</v>
      </c>
      <c r="D1437" s="15">
        <v>15339.0</v>
      </c>
      <c r="E1437" s="15" t="s">
        <v>1548</v>
      </c>
      <c r="F1437" s="15" t="s">
        <v>1911</v>
      </c>
      <c r="G1437" s="7">
        <v>9.532</v>
      </c>
      <c r="H1437" s="15" t="s">
        <v>2820</v>
      </c>
      <c r="I1437" s="15" t="s">
        <v>1628</v>
      </c>
      <c r="J1437" s="15" t="s">
        <v>7248</v>
      </c>
      <c r="K1437" s="15">
        <v>2.0</v>
      </c>
      <c r="L1437" s="15">
        <v>2.0</v>
      </c>
      <c r="M1437" s="40">
        <v>35132.0</v>
      </c>
      <c r="N1437" s="40">
        <v>42045.0</v>
      </c>
      <c r="O1437" s="15" t="s">
        <v>1554</v>
      </c>
      <c r="Q1437" s="7"/>
    </row>
    <row r="1438">
      <c r="A1438" s="39" t="s">
        <v>7249</v>
      </c>
      <c r="B1438" s="15">
        <v>41459.0</v>
      </c>
      <c r="C1438" s="15" t="s">
        <v>7250</v>
      </c>
      <c r="D1438" s="15">
        <v>15340.0</v>
      </c>
      <c r="E1438" s="15" t="s">
        <v>1548</v>
      </c>
      <c r="F1438" s="15" t="s">
        <v>1911</v>
      </c>
      <c r="G1438" s="7">
        <v>10.818</v>
      </c>
      <c r="H1438" s="15" t="s">
        <v>2005</v>
      </c>
      <c r="I1438" s="15" t="s">
        <v>1628</v>
      </c>
      <c r="J1438" s="15" t="s">
        <v>7251</v>
      </c>
      <c r="K1438" s="15">
        <v>2.0</v>
      </c>
      <c r="L1438" s="15">
        <v>2.0</v>
      </c>
      <c r="M1438" s="40">
        <v>35438.0</v>
      </c>
      <c r="N1438" s="40">
        <v>42045.0</v>
      </c>
      <c r="O1438" s="15" t="s">
        <v>1554</v>
      </c>
      <c r="Q1438" s="7"/>
    </row>
    <row r="1439">
      <c r="A1439" s="39" t="s">
        <v>7252</v>
      </c>
      <c r="B1439" s="15">
        <v>56879.0</v>
      </c>
      <c r="C1439" s="15" t="s">
        <v>7254</v>
      </c>
      <c r="D1439" s="15">
        <v>15341.0</v>
      </c>
      <c r="E1439" s="15" t="s">
        <v>1548</v>
      </c>
      <c r="F1439" s="15" t="s">
        <v>2032</v>
      </c>
      <c r="G1439" s="7">
        <v>6.509</v>
      </c>
      <c r="H1439" s="15" t="s">
        <v>4499</v>
      </c>
      <c r="I1439" s="15" t="s">
        <v>2034</v>
      </c>
      <c r="J1439" s="15" t="s">
        <v>7255</v>
      </c>
      <c r="K1439" s="15">
        <v>2.0</v>
      </c>
      <c r="L1439" s="15">
        <v>2.0</v>
      </c>
      <c r="M1439" s="40">
        <v>35480.0</v>
      </c>
      <c r="N1439" s="40">
        <v>42458.0</v>
      </c>
      <c r="O1439" s="15" t="s">
        <v>1554</v>
      </c>
      <c r="Q1439" s="7"/>
    </row>
    <row r="1440">
      <c r="A1440" s="39" t="s">
        <v>7256</v>
      </c>
      <c r="B1440" s="15">
        <v>12202.0</v>
      </c>
      <c r="C1440" s="15" t="s">
        <v>7257</v>
      </c>
      <c r="D1440" s="15">
        <v>15342.0</v>
      </c>
      <c r="E1440" s="15" t="s">
        <v>1548</v>
      </c>
      <c r="F1440" s="15" t="s">
        <v>1911</v>
      </c>
      <c r="G1440" s="7">
        <v>43322.0</v>
      </c>
      <c r="H1440" s="15" t="s">
        <v>1828</v>
      </c>
      <c r="I1440" s="15" t="s">
        <v>1628</v>
      </c>
      <c r="J1440" s="15" t="s">
        <v>7258</v>
      </c>
      <c r="K1440" s="15">
        <v>2.0</v>
      </c>
      <c r="L1440" s="15">
        <v>2.0</v>
      </c>
      <c r="M1440" s="40">
        <v>35199.0</v>
      </c>
      <c r="N1440" s="40">
        <v>42045.0</v>
      </c>
      <c r="O1440" s="15" t="s">
        <v>1554</v>
      </c>
      <c r="Q1440" s="7"/>
    </row>
    <row r="1441">
      <c r="A1441" s="39" t="s">
        <v>7259</v>
      </c>
      <c r="B1441" s="15">
        <v>11086.0</v>
      </c>
      <c r="C1441" s="15" t="s">
        <v>7260</v>
      </c>
      <c r="D1441" s="15">
        <v>15343.0</v>
      </c>
      <c r="E1441" s="15" t="s">
        <v>1548</v>
      </c>
      <c r="F1441" s="15" t="s">
        <v>1801</v>
      </c>
      <c r="G1441" s="7">
        <v>10.871</v>
      </c>
      <c r="H1441" s="15" t="s">
        <v>3776</v>
      </c>
      <c r="I1441" s="15" t="s">
        <v>1803</v>
      </c>
      <c r="J1441" s="15" t="s">
        <v>7261</v>
      </c>
      <c r="K1441" s="15">
        <v>1.0</v>
      </c>
      <c r="L1441" s="15">
        <v>1.0</v>
      </c>
      <c r="M1441" s="40">
        <v>35549.0</v>
      </c>
      <c r="N1441" s="40">
        <v>42045.0</v>
      </c>
      <c r="O1441" s="15" t="s">
        <v>1554</v>
      </c>
      <c r="Q1441" s="7"/>
    </row>
    <row r="1442">
      <c r="A1442" s="39" t="s">
        <v>7263</v>
      </c>
      <c r="B1442" s="15">
        <v>40666.0</v>
      </c>
      <c r="C1442" s="15" t="s">
        <v>7264</v>
      </c>
      <c r="D1442" s="15">
        <v>15344.0</v>
      </c>
      <c r="E1442" s="15" t="s">
        <v>1548</v>
      </c>
      <c r="F1442" s="15" t="s">
        <v>1911</v>
      </c>
      <c r="G1442" s="7">
        <v>9.535</v>
      </c>
      <c r="H1442" s="15" t="s">
        <v>1551</v>
      </c>
      <c r="I1442" s="15" t="s">
        <v>1628</v>
      </c>
      <c r="J1442" s="15" t="s">
        <v>7265</v>
      </c>
      <c r="K1442" s="15">
        <v>2.0</v>
      </c>
      <c r="L1442" s="15">
        <v>2.0</v>
      </c>
      <c r="M1442" s="40">
        <v>35581.0</v>
      </c>
      <c r="N1442" s="40">
        <v>42045.0</v>
      </c>
      <c r="O1442" s="15" t="s">
        <v>1554</v>
      </c>
      <c r="Q1442" s="7"/>
    </row>
    <row r="1443">
      <c r="A1443" s="39" t="s">
        <v>7266</v>
      </c>
      <c r="B1443" s="15">
        <v>51354.0</v>
      </c>
      <c r="C1443" s="15" t="s">
        <v>7267</v>
      </c>
      <c r="D1443" s="15">
        <v>15345.0</v>
      </c>
      <c r="E1443" s="15" t="s">
        <v>1548</v>
      </c>
      <c r="F1443" s="15" t="s">
        <v>1626</v>
      </c>
      <c r="G1443" s="7">
        <v>11.832</v>
      </c>
      <c r="H1443" s="15" t="s">
        <v>1591</v>
      </c>
      <c r="I1443" s="15" t="s">
        <v>1628</v>
      </c>
      <c r="J1443" s="15" t="s">
        <v>7268</v>
      </c>
      <c r="K1443" s="15">
        <v>1.0</v>
      </c>
      <c r="L1443" s="15">
        <v>1.0</v>
      </c>
      <c r="M1443" s="40">
        <v>35587.0</v>
      </c>
      <c r="N1443" s="40">
        <v>42045.0</v>
      </c>
      <c r="O1443" s="15" t="s">
        <v>1554</v>
      </c>
      <c r="Q1443" s="7"/>
    </row>
    <row r="1444">
      <c r="A1444" s="39" t="s">
        <v>7269</v>
      </c>
      <c r="B1444" s="15">
        <v>217686.0</v>
      </c>
      <c r="C1444" s="15" t="s">
        <v>7270</v>
      </c>
      <c r="D1444" s="15">
        <v>15346.0</v>
      </c>
      <c r="E1444" s="15" t="s">
        <v>1548</v>
      </c>
      <c r="F1444" s="15" t="s">
        <v>1790</v>
      </c>
      <c r="G1444" s="7">
        <v>16.934</v>
      </c>
      <c r="H1444" s="15" t="s">
        <v>3361</v>
      </c>
      <c r="I1444" s="15" t="s">
        <v>1628</v>
      </c>
      <c r="J1444" s="15" t="s">
        <v>7271</v>
      </c>
      <c r="K1444" s="15">
        <v>8.0</v>
      </c>
      <c r="L1444" s="15">
        <v>8.0</v>
      </c>
      <c r="M1444" s="40">
        <v>35685.0</v>
      </c>
      <c r="N1444" s="40">
        <v>39639.0</v>
      </c>
      <c r="O1444" s="15" t="s">
        <v>1554</v>
      </c>
      <c r="Q1444" s="7"/>
    </row>
    <row r="1445">
      <c r="A1445" s="39" t="s">
        <v>7273</v>
      </c>
      <c r="B1445" s="15">
        <v>12844.0</v>
      </c>
      <c r="C1445" s="15" t="s">
        <v>7274</v>
      </c>
      <c r="D1445" s="15">
        <v>15347.0</v>
      </c>
      <c r="E1445" s="15" t="s">
        <v>1548</v>
      </c>
      <c r="F1445" s="15" t="s">
        <v>1911</v>
      </c>
      <c r="G1445" s="7">
        <v>10.82</v>
      </c>
      <c r="H1445" s="15" t="s">
        <v>2950</v>
      </c>
      <c r="I1445" s="15" t="s">
        <v>1628</v>
      </c>
      <c r="J1445" s="15" t="s">
        <v>7275</v>
      </c>
      <c r="K1445" s="15">
        <v>12.0</v>
      </c>
      <c r="L1445" s="15">
        <v>2.0</v>
      </c>
      <c r="M1445" s="41">
        <v>35716.0</v>
      </c>
      <c r="N1445" s="40">
        <v>42045.0</v>
      </c>
      <c r="O1445" s="15" t="s">
        <v>1554</v>
      </c>
      <c r="Q1445" s="7"/>
    </row>
    <row r="1446">
      <c r="A1446" s="39" t="s">
        <v>7276</v>
      </c>
      <c r="B1446" s="15">
        <v>12228.0</v>
      </c>
      <c r="C1446" s="15" t="s">
        <v>7278</v>
      </c>
      <c r="D1446" s="15">
        <v>15348.0</v>
      </c>
      <c r="E1446" s="15" t="s">
        <v>1548</v>
      </c>
      <c r="F1446" s="15" t="s">
        <v>1911</v>
      </c>
      <c r="G1446" s="7">
        <v>9.475</v>
      </c>
      <c r="H1446" s="15">
        <v>42.0</v>
      </c>
      <c r="I1446" s="15" t="s">
        <v>1628</v>
      </c>
      <c r="J1446" s="15" t="s">
        <v>7279</v>
      </c>
      <c r="K1446" s="15">
        <v>2.0</v>
      </c>
      <c r="L1446" s="15">
        <v>2.0</v>
      </c>
      <c r="M1446" s="40">
        <v>31845.0</v>
      </c>
      <c r="N1446" s="40">
        <v>42045.0</v>
      </c>
      <c r="O1446" s="15" t="s">
        <v>1554</v>
      </c>
      <c r="Q1446" s="7"/>
    </row>
    <row r="1447">
      <c r="A1447" s="39" t="s">
        <v>7280</v>
      </c>
      <c r="B1447" s="15">
        <v>31742.0</v>
      </c>
      <c r="C1447" s="15" t="s">
        <v>7281</v>
      </c>
      <c r="D1447" s="15">
        <v>15349.0</v>
      </c>
      <c r="E1447" s="15" t="s">
        <v>1548</v>
      </c>
      <c r="F1447" s="15" t="s">
        <v>1911</v>
      </c>
      <c r="G1447" s="7">
        <v>9.779</v>
      </c>
      <c r="H1447" s="15" t="s">
        <v>2950</v>
      </c>
      <c r="I1447" s="15" t="s">
        <v>1628</v>
      </c>
      <c r="J1447" s="15" t="s">
        <v>7282</v>
      </c>
      <c r="K1447" s="15">
        <v>2.0</v>
      </c>
      <c r="L1447" s="15">
        <v>2.0</v>
      </c>
      <c r="M1447" s="41">
        <v>34256.0</v>
      </c>
      <c r="N1447" s="40">
        <v>42045.0</v>
      </c>
      <c r="O1447" s="15" t="s">
        <v>1554</v>
      </c>
      <c r="Q1447" s="7"/>
    </row>
    <row r="1448">
      <c r="A1448" s="39" t="s">
        <v>7283</v>
      </c>
      <c r="B1448" s="15">
        <v>12064.0</v>
      </c>
      <c r="C1448" s="15" t="s">
        <v>7284</v>
      </c>
      <c r="D1448" s="15">
        <v>15351.0</v>
      </c>
      <c r="E1448" s="15" t="s">
        <v>1548</v>
      </c>
      <c r="F1448" s="15" t="s">
        <v>1776</v>
      </c>
      <c r="G1448" s="7">
        <v>7.414</v>
      </c>
      <c r="H1448" s="15" t="s">
        <v>3798</v>
      </c>
      <c r="I1448" s="15" t="s">
        <v>1686</v>
      </c>
      <c r="J1448" s="15" t="s">
        <v>7285</v>
      </c>
      <c r="K1448" s="15">
        <v>1.0</v>
      </c>
      <c r="L1448" s="15">
        <v>1.0</v>
      </c>
      <c r="M1448" s="40">
        <v>34088.0</v>
      </c>
      <c r="N1448" s="40">
        <v>41829.0</v>
      </c>
      <c r="O1448" s="15" t="s">
        <v>1554</v>
      </c>
      <c r="Q1448" s="7"/>
    </row>
    <row r="1449">
      <c r="A1449" s="39" t="s">
        <v>7287</v>
      </c>
      <c r="B1449" s="15">
        <v>33763.0</v>
      </c>
      <c r="C1449" s="15" t="s">
        <v>7288</v>
      </c>
      <c r="D1449" s="15">
        <v>15352.0</v>
      </c>
      <c r="E1449" s="15" t="s">
        <v>1548</v>
      </c>
      <c r="F1449" s="15" t="s">
        <v>1911</v>
      </c>
      <c r="G1449" s="7">
        <v>9.709</v>
      </c>
      <c r="H1449" s="15">
        <v>42.0</v>
      </c>
      <c r="I1449" s="15" t="s">
        <v>1628</v>
      </c>
      <c r="J1449" s="15" t="s">
        <v>7289</v>
      </c>
      <c r="K1449" s="15">
        <v>2.0</v>
      </c>
      <c r="L1449" s="15">
        <v>2.0</v>
      </c>
      <c r="M1449" s="40">
        <v>35797.0</v>
      </c>
      <c r="N1449" s="40">
        <v>41064.0</v>
      </c>
      <c r="O1449" s="15" t="s">
        <v>1554</v>
      </c>
      <c r="Q1449" s="7"/>
    </row>
    <row r="1450">
      <c r="A1450" s="39" t="s">
        <v>7290</v>
      </c>
      <c r="B1450" s="15">
        <v>12198.0</v>
      </c>
      <c r="C1450" s="15" t="s">
        <v>7291</v>
      </c>
      <c r="D1450" s="15">
        <v>15353.0</v>
      </c>
      <c r="E1450" s="15" t="s">
        <v>1548</v>
      </c>
      <c r="F1450" s="15" t="s">
        <v>1911</v>
      </c>
      <c r="G1450" s="7">
        <v>9.584</v>
      </c>
      <c r="H1450" s="15" t="s">
        <v>1559</v>
      </c>
      <c r="I1450" s="15" t="s">
        <v>1628</v>
      </c>
      <c r="J1450" s="15" t="s">
        <v>7292</v>
      </c>
      <c r="K1450" s="15">
        <v>2.0</v>
      </c>
      <c r="L1450" s="15">
        <v>2.0</v>
      </c>
      <c r="M1450" s="40">
        <v>35868.0</v>
      </c>
      <c r="N1450" s="40">
        <v>42045.0</v>
      </c>
      <c r="O1450" s="15" t="s">
        <v>1554</v>
      </c>
      <c r="Q1450" s="7"/>
    </row>
    <row r="1451">
      <c r="A1451" s="39" t="s">
        <v>7294</v>
      </c>
      <c r="B1451" s="15">
        <v>31741.0</v>
      </c>
      <c r="C1451" s="15" t="s">
        <v>7295</v>
      </c>
      <c r="D1451" s="15">
        <v>15354.0</v>
      </c>
      <c r="E1451" s="15" t="s">
        <v>1548</v>
      </c>
      <c r="F1451" s="15" t="s">
        <v>1911</v>
      </c>
      <c r="G1451" s="7">
        <v>9.384</v>
      </c>
      <c r="H1451" s="15" t="s">
        <v>1962</v>
      </c>
      <c r="I1451" s="15" t="s">
        <v>1628</v>
      </c>
      <c r="J1451" s="15" t="s">
        <v>7296</v>
      </c>
      <c r="K1451" s="15">
        <v>2.0</v>
      </c>
      <c r="L1451" s="15">
        <v>2.0</v>
      </c>
      <c r="M1451" s="40">
        <v>35900.0</v>
      </c>
      <c r="N1451" s="40">
        <v>42045.0</v>
      </c>
      <c r="O1451" s="15" t="s">
        <v>1554</v>
      </c>
      <c r="Q1451" s="7"/>
    </row>
    <row r="1452">
      <c r="A1452" s="39" t="s">
        <v>7297</v>
      </c>
      <c r="B1452" s="15">
        <v>12203.0</v>
      </c>
      <c r="C1452" s="15" t="s">
        <v>7299</v>
      </c>
      <c r="D1452" s="15">
        <v>15355.0</v>
      </c>
      <c r="E1452" s="15" t="s">
        <v>1548</v>
      </c>
      <c r="F1452" s="15" t="s">
        <v>1911</v>
      </c>
      <c r="G1452" s="7">
        <v>9.515</v>
      </c>
      <c r="H1452" s="15" t="s">
        <v>2141</v>
      </c>
      <c r="I1452" s="15" t="s">
        <v>1628</v>
      </c>
      <c r="J1452" s="15" t="s">
        <v>7300</v>
      </c>
      <c r="K1452" s="15">
        <v>2.0</v>
      </c>
      <c r="L1452" s="15">
        <v>2.0</v>
      </c>
      <c r="M1452" s="40">
        <v>35921.0</v>
      </c>
      <c r="N1452" s="40">
        <v>41064.0</v>
      </c>
      <c r="O1452" s="15" t="s">
        <v>1554</v>
      </c>
      <c r="Q1452" s="7"/>
    </row>
    <row r="1453">
      <c r="A1453" s="39" t="s">
        <v>7301</v>
      </c>
      <c r="B1453" s="15">
        <v>12139.0</v>
      </c>
      <c r="C1453" s="15" t="s">
        <v>7302</v>
      </c>
      <c r="D1453" s="15">
        <v>15356.0</v>
      </c>
      <c r="E1453" s="15" t="s">
        <v>1548</v>
      </c>
      <c r="F1453" s="15" t="s">
        <v>1578</v>
      </c>
      <c r="G1453" s="7">
        <v>4.132</v>
      </c>
      <c r="H1453" s="15" t="s">
        <v>5475</v>
      </c>
      <c r="I1453" s="15" t="s">
        <v>1628</v>
      </c>
      <c r="J1453" s="15" t="s">
        <v>7303</v>
      </c>
      <c r="K1453" s="15">
        <v>5.0</v>
      </c>
      <c r="L1453" s="15">
        <v>5.0</v>
      </c>
      <c r="M1453" s="40">
        <v>35924.0</v>
      </c>
      <c r="N1453" s="41">
        <v>41627.0</v>
      </c>
      <c r="O1453" s="15" t="s">
        <v>1554</v>
      </c>
      <c r="Q1453" s="7"/>
    </row>
    <row r="1454">
      <c r="A1454" s="39" t="s">
        <v>7304</v>
      </c>
      <c r="B1454" s="15">
        <v>75746.0</v>
      </c>
      <c r="C1454" s="15" t="s">
        <v>7305</v>
      </c>
      <c r="D1454" s="15">
        <v>15358.0</v>
      </c>
      <c r="E1454" s="15" t="s">
        <v>1548</v>
      </c>
      <c r="F1454" s="15" t="s">
        <v>1911</v>
      </c>
      <c r="G1454" s="7">
        <v>11.295</v>
      </c>
      <c r="H1454" s="15" t="s">
        <v>7307</v>
      </c>
      <c r="I1454" s="15" t="s">
        <v>1628</v>
      </c>
      <c r="J1454" s="15" t="s">
        <v>7308</v>
      </c>
      <c r="K1454" s="15">
        <v>3.0</v>
      </c>
      <c r="L1454" s="15">
        <v>3.0</v>
      </c>
      <c r="M1454" s="40">
        <v>35957.0</v>
      </c>
      <c r="N1454" s="40">
        <v>42045.0</v>
      </c>
      <c r="O1454" s="15" t="s">
        <v>1554</v>
      </c>
      <c r="Q1454" s="7"/>
    </row>
    <row r="1455">
      <c r="A1455" s="39" t="s">
        <v>7309</v>
      </c>
      <c r="B1455" s="15">
        <v>70796.0</v>
      </c>
      <c r="C1455" s="15" t="s">
        <v>7310</v>
      </c>
      <c r="D1455" s="15">
        <v>15360.0</v>
      </c>
      <c r="E1455" s="15" t="s">
        <v>1548</v>
      </c>
      <c r="F1455" s="15" t="s">
        <v>1776</v>
      </c>
      <c r="G1455" s="7">
        <v>7.055</v>
      </c>
      <c r="H1455" s="15" t="s">
        <v>1983</v>
      </c>
      <c r="I1455" s="15" t="s">
        <v>1686</v>
      </c>
      <c r="J1455" s="15" t="s">
        <v>7311</v>
      </c>
      <c r="K1455" s="15">
        <v>1.0</v>
      </c>
      <c r="L1455" s="15">
        <v>1.0</v>
      </c>
      <c r="M1455" s="40">
        <v>36131.0</v>
      </c>
      <c r="N1455" s="40">
        <v>42045.0</v>
      </c>
      <c r="O1455" s="15" t="s">
        <v>1554</v>
      </c>
      <c r="Q1455" s="7"/>
    </row>
    <row r="1456">
      <c r="A1456" s="39" t="s">
        <v>7312</v>
      </c>
      <c r="B1456" s="15">
        <v>12465.0</v>
      </c>
      <c r="C1456" s="15" t="s">
        <v>7313</v>
      </c>
      <c r="D1456" s="15">
        <v>15362.0</v>
      </c>
      <c r="E1456" s="15" t="s">
        <v>1548</v>
      </c>
      <c r="F1456" s="15" t="s">
        <v>1911</v>
      </c>
      <c r="G1456" s="7">
        <v>11.219</v>
      </c>
      <c r="H1456" s="15" t="s">
        <v>7314</v>
      </c>
      <c r="I1456" s="15" t="s">
        <v>1628</v>
      </c>
      <c r="J1456" s="15" t="s">
        <v>7315</v>
      </c>
      <c r="K1456" s="15">
        <v>3.0</v>
      </c>
      <c r="L1456" s="15">
        <v>3.0</v>
      </c>
      <c r="M1456" s="40">
        <v>36188.0</v>
      </c>
      <c r="N1456" s="40">
        <v>39790.0</v>
      </c>
      <c r="O1456" s="15" t="s">
        <v>1554</v>
      </c>
      <c r="Q1456" s="7"/>
    </row>
    <row r="1457">
      <c r="A1457" s="39" t="s">
        <v>7317</v>
      </c>
      <c r="B1457" s="15">
        <v>94290.0</v>
      </c>
      <c r="C1457" s="15" t="s">
        <v>7318</v>
      </c>
      <c r="D1457" s="15">
        <v>15363.0</v>
      </c>
      <c r="E1457" s="15" t="s">
        <v>1548</v>
      </c>
      <c r="F1457" s="15" t="s">
        <v>1771</v>
      </c>
      <c r="G1457" s="7">
        <v>5.899</v>
      </c>
      <c r="H1457" s="15" t="s">
        <v>1802</v>
      </c>
      <c r="I1457" s="15" t="s">
        <v>1628</v>
      </c>
      <c r="J1457" s="15" t="s">
        <v>7319</v>
      </c>
      <c r="K1457" s="15">
        <v>4.0</v>
      </c>
      <c r="L1457" s="15">
        <v>6.0</v>
      </c>
      <c r="M1457" s="40">
        <v>36369.0</v>
      </c>
      <c r="N1457" s="40">
        <v>42458.0</v>
      </c>
      <c r="O1457" s="15" t="s">
        <v>1554</v>
      </c>
      <c r="Q1457" s="7"/>
    </row>
    <row r="1458">
      <c r="A1458" s="39" t="s">
        <v>7320</v>
      </c>
      <c r="B1458" s="15">
        <v>39113.0</v>
      </c>
      <c r="C1458" s="15" t="s">
        <v>7321</v>
      </c>
      <c r="D1458" s="15">
        <v>15364.0</v>
      </c>
      <c r="E1458" s="15" t="s">
        <v>1548</v>
      </c>
      <c r="F1458" s="15" t="s">
        <v>1801</v>
      </c>
      <c r="G1458" s="7">
        <v>9.399</v>
      </c>
      <c r="H1458" s="15" t="s">
        <v>3973</v>
      </c>
      <c r="I1458" s="15" t="s">
        <v>1686</v>
      </c>
      <c r="J1458" s="15" t="s">
        <v>7322</v>
      </c>
      <c r="K1458" s="15">
        <v>1.0</v>
      </c>
      <c r="L1458" s="15">
        <v>1.0</v>
      </c>
      <c r="M1458" s="40">
        <v>36440.0</v>
      </c>
      <c r="N1458" s="41">
        <v>42694.0</v>
      </c>
      <c r="O1458" s="15" t="s">
        <v>1554</v>
      </c>
      <c r="Q1458" s="7"/>
    </row>
    <row r="1459">
      <c r="A1459" s="39" t="s">
        <v>7323</v>
      </c>
      <c r="B1459" s="15">
        <v>79917.0</v>
      </c>
      <c r="C1459" s="15" t="s">
        <v>7324</v>
      </c>
      <c r="D1459" s="15">
        <v>15365.0</v>
      </c>
      <c r="E1459" s="15" t="s">
        <v>1548</v>
      </c>
      <c r="F1459" s="15" t="s">
        <v>1911</v>
      </c>
      <c r="G1459" s="7">
        <v>9.76</v>
      </c>
      <c r="H1459" s="15" t="s">
        <v>2820</v>
      </c>
      <c r="I1459" s="15" t="s">
        <v>1628</v>
      </c>
      <c r="J1459" s="15" t="s">
        <v>7326</v>
      </c>
      <c r="K1459" s="15">
        <v>2.0</v>
      </c>
      <c r="L1459" s="15">
        <v>2.0</v>
      </c>
      <c r="M1459" s="40">
        <v>36473.0</v>
      </c>
      <c r="N1459" s="40">
        <v>42045.0</v>
      </c>
      <c r="O1459" s="15" t="s">
        <v>1554</v>
      </c>
      <c r="Q1459" s="7"/>
    </row>
    <row r="1460">
      <c r="A1460" s="39" t="s">
        <v>7327</v>
      </c>
      <c r="B1460" s="15">
        <v>113553.0</v>
      </c>
      <c r="C1460" s="15" t="s">
        <v>7328</v>
      </c>
      <c r="D1460" s="15">
        <v>15366.0</v>
      </c>
      <c r="E1460" s="15" t="s">
        <v>1548</v>
      </c>
      <c r="F1460" s="15" t="s">
        <v>2032</v>
      </c>
      <c r="G1460" s="7">
        <v>6.099</v>
      </c>
      <c r="H1460" s="15">
        <v>56.0</v>
      </c>
      <c r="I1460" s="15" t="s">
        <v>1628</v>
      </c>
      <c r="J1460" s="15" t="s">
        <v>7329</v>
      </c>
      <c r="K1460" s="15">
        <v>2.0</v>
      </c>
      <c r="L1460" s="15">
        <v>2.0</v>
      </c>
      <c r="M1460" s="40">
        <v>36553.0</v>
      </c>
      <c r="N1460" s="40">
        <v>39939.0</v>
      </c>
      <c r="O1460" s="15" t="s">
        <v>1554</v>
      </c>
      <c r="Q1460" s="7"/>
    </row>
    <row r="1461">
      <c r="A1461" s="39" t="s">
        <v>7330</v>
      </c>
      <c r="B1461" s="15">
        <v>101688.0</v>
      </c>
      <c r="C1461" s="15" t="s">
        <v>7331</v>
      </c>
      <c r="D1461" s="15">
        <v>15367.0</v>
      </c>
      <c r="E1461" s="15" t="s">
        <v>1548</v>
      </c>
      <c r="F1461" s="15" t="s">
        <v>1626</v>
      </c>
      <c r="G1461" s="7">
        <v>10.196</v>
      </c>
      <c r="H1461" s="15" t="s">
        <v>7333</v>
      </c>
      <c r="I1461" s="15" t="s">
        <v>1628</v>
      </c>
      <c r="J1461" s="15" t="s">
        <v>7334</v>
      </c>
      <c r="K1461" s="15">
        <v>2.0</v>
      </c>
      <c r="L1461" s="15">
        <v>2.0</v>
      </c>
      <c r="M1461" s="40">
        <v>36574.0</v>
      </c>
      <c r="N1461" s="40">
        <v>42045.0</v>
      </c>
      <c r="O1461" s="15" t="s">
        <v>1554</v>
      </c>
      <c r="Q1461" s="7"/>
    </row>
    <row r="1462">
      <c r="A1462" s="39" t="s">
        <v>7335</v>
      </c>
      <c r="B1462" s="15">
        <v>64285.0</v>
      </c>
      <c r="C1462" s="15" t="s">
        <v>7336</v>
      </c>
      <c r="D1462" s="15">
        <v>15368.0</v>
      </c>
      <c r="E1462" s="15" t="s">
        <v>1548</v>
      </c>
      <c r="F1462" s="15" t="s">
        <v>1801</v>
      </c>
      <c r="G1462" s="7">
        <v>10.14</v>
      </c>
      <c r="H1462" s="15" t="s">
        <v>2178</v>
      </c>
      <c r="I1462" s="15" t="s">
        <v>1803</v>
      </c>
      <c r="J1462" s="15" t="s">
        <v>7337</v>
      </c>
      <c r="K1462" s="15">
        <v>1.0</v>
      </c>
      <c r="L1462" s="15">
        <v>1.0</v>
      </c>
      <c r="M1462" s="40">
        <v>36588.0</v>
      </c>
      <c r="N1462" s="40">
        <v>42045.0</v>
      </c>
      <c r="O1462" s="15" t="s">
        <v>1554</v>
      </c>
      <c r="Q1462" s="7"/>
    </row>
    <row r="1463">
      <c r="A1463" s="39" t="s">
        <v>7338</v>
      </c>
      <c r="B1463" s="15">
        <v>64280.0</v>
      </c>
      <c r="C1463" s="15" t="s">
        <v>7339</v>
      </c>
      <c r="D1463" s="15">
        <v>15369.0</v>
      </c>
      <c r="E1463" s="15" t="s">
        <v>1548</v>
      </c>
      <c r="F1463" s="15" t="s">
        <v>1801</v>
      </c>
      <c r="G1463" s="7">
        <v>10.116</v>
      </c>
      <c r="H1463" s="15" t="s">
        <v>2279</v>
      </c>
      <c r="I1463" s="15" t="s">
        <v>1803</v>
      </c>
      <c r="J1463" s="15" t="s">
        <v>7340</v>
      </c>
      <c r="K1463" s="15">
        <v>1.0</v>
      </c>
      <c r="L1463" s="15">
        <v>1.0</v>
      </c>
      <c r="M1463" s="40">
        <v>36665.0</v>
      </c>
      <c r="N1463" s="40">
        <v>42045.0</v>
      </c>
      <c r="O1463" s="15" t="s">
        <v>1554</v>
      </c>
      <c r="Q1463" s="7"/>
    </row>
    <row r="1464">
      <c r="A1464" s="39" t="s">
        <v>7342</v>
      </c>
      <c r="B1464" s="15">
        <v>11085.0</v>
      </c>
      <c r="C1464" s="15" t="s">
        <v>7343</v>
      </c>
      <c r="D1464" s="15">
        <v>15370.0</v>
      </c>
      <c r="E1464" s="15" t="s">
        <v>1548</v>
      </c>
      <c r="F1464" s="15" t="s">
        <v>1801</v>
      </c>
      <c r="G1464" s="7">
        <v>10.943</v>
      </c>
      <c r="H1464" s="15" t="s">
        <v>5663</v>
      </c>
      <c r="I1464" s="15" t="s">
        <v>1803</v>
      </c>
      <c r="J1464" s="15" t="s">
        <v>7344</v>
      </c>
      <c r="K1464" s="15">
        <v>1.0</v>
      </c>
      <c r="L1464" s="15">
        <v>1.0</v>
      </c>
      <c r="M1464" s="40">
        <v>36688.0</v>
      </c>
      <c r="N1464" s="41">
        <v>40147.0</v>
      </c>
      <c r="O1464" s="15" t="s">
        <v>1554</v>
      </c>
      <c r="Q1464" s="7"/>
    </row>
    <row r="1465">
      <c r="A1465" s="39" t="s">
        <v>7345</v>
      </c>
      <c r="B1465" s="15">
        <v>120087.0</v>
      </c>
      <c r="C1465" s="15" t="s">
        <v>7346</v>
      </c>
      <c r="D1465" s="15">
        <v>15371.0</v>
      </c>
      <c r="E1465" s="15" t="s">
        <v>1548</v>
      </c>
      <c r="F1465" s="15" t="s">
        <v>1776</v>
      </c>
      <c r="G1465" s="7">
        <v>7.374</v>
      </c>
      <c r="H1465" s="15" t="s">
        <v>1813</v>
      </c>
      <c r="I1465" s="15" t="s">
        <v>1686</v>
      </c>
      <c r="J1465" s="15" t="s">
        <v>7347</v>
      </c>
      <c r="K1465" s="15">
        <v>1.0</v>
      </c>
      <c r="L1465" s="15">
        <v>1.0</v>
      </c>
      <c r="M1465" s="40">
        <v>36722.0</v>
      </c>
      <c r="N1465" s="40">
        <v>42045.0</v>
      </c>
      <c r="O1465" s="15" t="s">
        <v>1554</v>
      </c>
      <c r="Q1465" s="7"/>
    </row>
    <row r="1466">
      <c r="A1466" s="39" t="s">
        <v>7348</v>
      </c>
      <c r="B1466" s="15">
        <v>12558.0</v>
      </c>
      <c r="C1466" s="15" t="s">
        <v>7349</v>
      </c>
      <c r="D1466" s="15">
        <v>15372.0</v>
      </c>
      <c r="E1466" s="15" t="s">
        <v>1548</v>
      </c>
      <c r="F1466" s="15" t="s">
        <v>1578</v>
      </c>
      <c r="G1466" s="7">
        <v>4.148</v>
      </c>
      <c r="H1466" s="15" t="s">
        <v>3304</v>
      </c>
      <c r="I1466" s="15" t="s">
        <v>1628</v>
      </c>
      <c r="J1466" s="15" t="s">
        <v>7351</v>
      </c>
      <c r="K1466" s="15">
        <v>5.0</v>
      </c>
      <c r="L1466" s="15">
        <v>5.0</v>
      </c>
      <c r="M1466" s="40">
        <v>36714.0</v>
      </c>
      <c r="N1466" s="41">
        <v>41627.0</v>
      </c>
      <c r="O1466" s="15" t="s">
        <v>1554</v>
      </c>
      <c r="Q1466" s="7"/>
    </row>
    <row r="1467">
      <c r="A1467" s="39" t="s">
        <v>7352</v>
      </c>
      <c r="B1467" s="15">
        <v>104263.0</v>
      </c>
      <c r="C1467" s="15" t="s">
        <v>7353</v>
      </c>
      <c r="D1467" s="15">
        <v>15373.0</v>
      </c>
      <c r="E1467" s="15" t="s">
        <v>1548</v>
      </c>
      <c r="F1467" s="15" t="s">
        <v>1786</v>
      </c>
      <c r="G1467" s="7">
        <v>8.612</v>
      </c>
      <c r="H1467" s="15" t="s">
        <v>2548</v>
      </c>
      <c r="I1467" s="15" t="s">
        <v>1628</v>
      </c>
      <c r="J1467" s="15" t="s">
        <v>7354</v>
      </c>
      <c r="K1467" s="15">
        <v>6.0</v>
      </c>
      <c r="L1467" s="15">
        <v>6.0</v>
      </c>
      <c r="M1467" s="40">
        <v>36789.0</v>
      </c>
      <c r="N1467" s="40">
        <v>42045.0</v>
      </c>
      <c r="O1467" s="15" t="s">
        <v>1554</v>
      </c>
      <c r="Q1467" s="7"/>
    </row>
    <row r="1468">
      <c r="A1468" s="39" t="s">
        <v>7355</v>
      </c>
      <c r="B1468" s="15">
        <v>119910.0</v>
      </c>
      <c r="C1468" s="15" t="s">
        <v>7356</v>
      </c>
      <c r="D1468" s="15">
        <v>15375.0</v>
      </c>
      <c r="E1468" s="15" t="s">
        <v>1548</v>
      </c>
      <c r="F1468" s="15" t="s">
        <v>1578</v>
      </c>
      <c r="G1468" s="7">
        <v>4.212</v>
      </c>
      <c r="H1468" s="15" t="s">
        <v>1957</v>
      </c>
      <c r="I1468" s="15" t="s">
        <v>1628</v>
      </c>
      <c r="J1468" s="15" t="s">
        <v>7358</v>
      </c>
      <c r="K1468" s="15">
        <v>5.0</v>
      </c>
      <c r="L1468" s="15">
        <v>5.0</v>
      </c>
      <c r="M1468" s="40">
        <v>36802.0</v>
      </c>
      <c r="N1468" s="41">
        <v>41627.0</v>
      </c>
      <c r="O1468" s="15" t="s">
        <v>1554</v>
      </c>
      <c r="Q1468" s="7"/>
    </row>
    <row r="1469">
      <c r="A1469" s="39" t="s">
        <v>7359</v>
      </c>
      <c r="B1469" s="15">
        <v>12215.0</v>
      </c>
      <c r="C1469" s="15" t="s">
        <v>7360</v>
      </c>
      <c r="D1469" s="15">
        <v>15376.0</v>
      </c>
      <c r="E1469" s="15" t="s">
        <v>1548</v>
      </c>
      <c r="F1469" s="15" t="s">
        <v>1911</v>
      </c>
      <c r="G1469" s="7">
        <v>9.585</v>
      </c>
      <c r="H1469" s="15" t="s">
        <v>2163</v>
      </c>
      <c r="I1469" s="15" t="s">
        <v>1628</v>
      </c>
      <c r="J1469" s="15" t="s">
        <v>7361</v>
      </c>
      <c r="K1469" s="15">
        <v>2.0</v>
      </c>
      <c r="L1469" s="15">
        <v>2.0</v>
      </c>
      <c r="M1469" s="41">
        <v>36857.0</v>
      </c>
      <c r="N1469" s="40">
        <v>42045.0</v>
      </c>
      <c r="O1469" s="15" t="s">
        <v>1554</v>
      </c>
      <c r="Q1469" s="7"/>
    </row>
    <row r="1470">
      <c r="A1470" s="39" t="s">
        <v>7362</v>
      </c>
      <c r="B1470" s="15">
        <v>12223.0</v>
      </c>
      <c r="C1470" s="15" t="s">
        <v>7363</v>
      </c>
      <c r="D1470" s="15">
        <v>15377.0</v>
      </c>
      <c r="E1470" s="15" t="s">
        <v>1548</v>
      </c>
      <c r="F1470" s="15" t="s">
        <v>1911</v>
      </c>
      <c r="G1470" s="7">
        <v>9.588</v>
      </c>
      <c r="H1470" s="15">
        <v>42.0</v>
      </c>
      <c r="I1470" s="15" t="s">
        <v>1628</v>
      </c>
      <c r="J1470" s="15" t="s">
        <v>7364</v>
      </c>
      <c r="K1470" s="15">
        <v>2.0</v>
      </c>
      <c r="L1470" s="15">
        <v>2.0</v>
      </c>
      <c r="M1470" s="40">
        <v>34088.0</v>
      </c>
      <c r="N1470" s="40">
        <v>40611.0</v>
      </c>
      <c r="O1470" s="15" t="s">
        <v>1554</v>
      </c>
      <c r="Q1470" s="7"/>
    </row>
    <row r="1471">
      <c r="A1471" s="39" t="s">
        <v>7365</v>
      </c>
      <c r="B1471" s="15">
        <v>40640.0</v>
      </c>
      <c r="C1471" s="15" t="s">
        <v>7366</v>
      </c>
      <c r="D1471" s="15">
        <v>15379.0</v>
      </c>
      <c r="E1471" s="15" t="s">
        <v>1548</v>
      </c>
      <c r="F1471" s="15" t="s">
        <v>1911</v>
      </c>
      <c r="G1471" s="7">
        <v>9.848</v>
      </c>
      <c r="H1471" s="15" t="s">
        <v>1813</v>
      </c>
      <c r="I1471" s="15" t="s">
        <v>1628</v>
      </c>
      <c r="J1471" s="15" t="s">
        <v>7367</v>
      </c>
      <c r="K1471" s="15">
        <v>2.0</v>
      </c>
      <c r="L1471" s="15">
        <v>2.0</v>
      </c>
      <c r="M1471" s="40">
        <v>36577.0</v>
      </c>
      <c r="N1471" s="40">
        <v>42997.0</v>
      </c>
      <c r="O1471" s="15" t="s">
        <v>1554</v>
      </c>
      <c r="Q1471" s="7"/>
    </row>
    <row r="1472">
      <c r="A1472" s="39" t="s">
        <v>7368</v>
      </c>
      <c r="B1472" s="15">
        <v>76875.0</v>
      </c>
      <c r="C1472" s="15" t="s">
        <v>7369</v>
      </c>
      <c r="D1472" s="15">
        <v>15380.0</v>
      </c>
      <c r="E1472" s="15" t="s">
        <v>1548</v>
      </c>
      <c r="F1472" s="15" t="s">
        <v>1626</v>
      </c>
      <c r="G1472" s="7">
        <v>9.558</v>
      </c>
      <c r="H1472" s="15" t="s">
        <v>7370</v>
      </c>
      <c r="I1472" s="15" t="s">
        <v>1628</v>
      </c>
      <c r="J1472" s="15" t="s">
        <v>7371</v>
      </c>
      <c r="K1472" s="15">
        <v>2.0</v>
      </c>
      <c r="L1472" s="15">
        <v>2.0</v>
      </c>
      <c r="M1472" s="40">
        <v>36981.0</v>
      </c>
      <c r="N1472" s="41">
        <v>42725.0</v>
      </c>
      <c r="O1472" s="15" t="s">
        <v>1554</v>
      </c>
      <c r="Q1472" s="7"/>
    </row>
    <row r="1473">
      <c r="A1473" s="39" t="s">
        <v>7373</v>
      </c>
      <c r="B1473" s="15">
        <v>59749.0</v>
      </c>
      <c r="C1473" s="15" t="s">
        <v>7374</v>
      </c>
      <c r="D1473" s="15">
        <v>15381.0</v>
      </c>
      <c r="E1473" s="15" t="s">
        <v>1548</v>
      </c>
      <c r="F1473" s="15" t="s">
        <v>2032</v>
      </c>
      <c r="G1473" s="7">
        <v>6.305</v>
      </c>
      <c r="H1473" s="15">
        <v>62.0</v>
      </c>
      <c r="I1473" s="15" t="s">
        <v>2034</v>
      </c>
      <c r="J1473" s="15" t="s">
        <v>7375</v>
      </c>
      <c r="K1473" s="15">
        <v>2.0</v>
      </c>
      <c r="L1473" s="15">
        <v>2.0</v>
      </c>
      <c r="M1473" s="40">
        <v>37025.0</v>
      </c>
      <c r="N1473" s="40">
        <v>42458.0</v>
      </c>
      <c r="O1473" s="15" t="s">
        <v>1554</v>
      </c>
      <c r="Q1473" s="7"/>
    </row>
    <row r="1474">
      <c r="A1474" s="39" t="s">
        <v>7376</v>
      </c>
      <c r="B1474" s="15">
        <v>101764.0</v>
      </c>
      <c r="C1474" s="15" t="s">
        <v>7377</v>
      </c>
      <c r="D1474" s="15">
        <v>15382.0</v>
      </c>
      <c r="E1474" s="15" t="s">
        <v>1548</v>
      </c>
      <c r="F1474" s="15" t="s">
        <v>1786</v>
      </c>
      <c r="G1474" s="7">
        <v>8.657</v>
      </c>
      <c r="H1474" s="15">
        <v>47.0</v>
      </c>
      <c r="I1474" s="15" t="s">
        <v>1628</v>
      </c>
      <c r="J1474" s="15" t="s">
        <v>7378</v>
      </c>
      <c r="K1474" s="15">
        <v>6.0</v>
      </c>
      <c r="L1474" s="15">
        <v>6.0</v>
      </c>
      <c r="M1474" s="40">
        <v>37040.0</v>
      </c>
      <c r="N1474" s="40">
        <v>42045.0</v>
      </c>
      <c r="O1474" s="15" t="s">
        <v>1554</v>
      </c>
      <c r="Q1474" s="7"/>
    </row>
    <row r="1475">
      <c r="A1475" s="39" t="s">
        <v>7380</v>
      </c>
      <c r="B1475" s="15">
        <v>11047.0</v>
      </c>
      <c r="C1475" s="15" t="s">
        <v>7381</v>
      </c>
      <c r="D1475" s="15">
        <v>15383.0</v>
      </c>
      <c r="E1475" s="15" t="s">
        <v>1548</v>
      </c>
      <c r="F1475" s="15" t="s">
        <v>4820</v>
      </c>
      <c r="G1475" s="7">
        <v>12.704</v>
      </c>
      <c r="H1475" s="15" t="s">
        <v>1705</v>
      </c>
      <c r="I1475" s="15" t="s">
        <v>1686</v>
      </c>
      <c r="J1475" s="15" t="s">
        <v>7382</v>
      </c>
      <c r="K1475" s="15">
        <v>9.0</v>
      </c>
      <c r="L1475" s="15">
        <v>10.0</v>
      </c>
      <c r="M1475" s="40">
        <v>33435.0</v>
      </c>
      <c r="N1475" s="40">
        <v>41061.0</v>
      </c>
      <c r="O1475" s="15" t="s">
        <v>1554</v>
      </c>
      <c r="Q1475" s="7"/>
    </row>
    <row r="1476">
      <c r="A1476" s="39" t="s">
        <v>7383</v>
      </c>
      <c r="B1476" s="15">
        <v>12263.0</v>
      </c>
      <c r="C1476" s="15" t="s">
        <v>7384</v>
      </c>
      <c r="D1476" s="15">
        <v>15384.0</v>
      </c>
      <c r="E1476" s="15" t="s">
        <v>1548</v>
      </c>
      <c r="F1476" s="15" t="s">
        <v>1626</v>
      </c>
      <c r="G1476" s="7">
        <v>9.219</v>
      </c>
      <c r="H1476" s="15" t="s">
        <v>7385</v>
      </c>
      <c r="I1476" s="15" t="s">
        <v>1628</v>
      </c>
      <c r="J1476" s="15" t="s">
        <v>7386</v>
      </c>
      <c r="K1476" s="15">
        <v>2.0</v>
      </c>
      <c r="L1476" s="15">
        <v>2.0</v>
      </c>
      <c r="M1476" s="40">
        <v>37092.0</v>
      </c>
      <c r="N1476" s="40">
        <v>39790.0</v>
      </c>
      <c r="O1476" s="15" t="s">
        <v>1554</v>
      </c>
      <c r="Q1476" s="7"/>
    </row>
    <row r="1477">
      <c r="A1477" s="39" t="s">
        <v>7387</v>
      </c>
      <c r="B1477" s="15">
        <v>172148.0</v>
      </c>
      <c r="C1477" s="15" t="s">
        <v>7389</v>
      </c>
      <c r="D1477" s="15">
        <v>15387.0</v>
      </c>
      <c r="E1477" s="15" t="s">
        <v>1548</v>
      </c>
      <c r="F1477" s="15" t="s">
        <v>1801</v>
      </c>
      <c r="G1477" s="7">
        <v>10.685</v>
      </c>
      <c r="H1477" s="15" t="s">
        <v>3246</v>
      </c>
      <c r="I1477" s="15" t="s">
        <v>1803</v>
      </c>
      <c r="J1477" s="15" t="s">
        <v>7390</v>
      </c>
      <c r="K1477" s="15">
        <v>1.0</v>
      </c>
      <c r="L1477" s="15">
        <v>1.0</v>
      </c>
      <c r="M1477" s="40">
        <v>37163.0</v>
      </c>
      <c r="N1477" s="40">
        <v>39790.0</v>
      </c>
      <c r="O1477" s="15" t="s">
        <v>1554</v>
      </c>
      <c r="Q1477" s="7"/>
    </row>
    <row r="1478">
      <c r="A1478" s="39" t="s">
        <v>7391</v>
      </c>
      <c r="B1478" s="15">
        <v>29271.0</v>
      </c>
      <c r="C1478" s="15" t="s">
        <v>7392</v>
      </c>
      <c r="D1478" s="15">
        <v>15388.0</v>
      </c>
      <c r="E1478" s="15" t="s">
        <v>1548</v>
      </c>
      <c r="F1478" s="15" t="s">
        <v>1911</v>
      </c>
      <c r="G1478" s="7">
        <v>10.038</v>
      </c>
      <c r="H1478" s="15" t="s">
        <v>1813</v>
      </c>
      <c r="I1478" s="15" t="s">
        <v>1628</v>
      </c>
      <c r="J1478" s="15" t="s">
        <v>7393</v>
      </c>
      <c r="K1478" s="15">
        <v>2.0</v>
      </c>
      <c r="L1478" s="15">
        <v>2.0</v>
      </c>
      <c r="M1478" s="41">
        <v>37174.0</v>
      </c>
      <c r="N1478" s="40">
        <v>42045.0</v>
      </c>
      <c r="O1478" s="15" t="s">
        <v>1554</v>
      </c>
      <c r="Q1478" s="7"/>
    </row>
    <row r="1479">
      <c r="A1479" s="39" t="s">
        <v>7394</v>
      </c>
      <c r="B1479" s="15">
        <v>12232.0</v>
      </c>
      <c r="C1479" s="15" t="s">
        <v>7395</v>
      </c>
      <c r="D1479" s="15">
        <v>15390.0</v>
      </c>
      <c r="E1479" s="15" t="s">
        <v>1548</v>
      </c>
      <c r="F1479" s="15" t="s">
        <v>1911</v>
      </c>
      <c r="G1479" s="7">
        <v>9.591</v>
      </c>
      <c r="H1479" s="15" t="s">
        <v>2178</v>
      </c>
      <c r="I1479" s="15" t="s">
        <v>1628</v>
      </c>
      <c r="J1479" s="15" t="s">
        <v>7397</v>
      </c>
      <c r="K1479" s="15">
        <v>2.0</v>
      </c>
      <c r="L1479" s="15">
        <v>2.0</v>
      </c>
      <c r="M1479" s="40">
        <v>36361.0</v>
      </c>
      <c r="N1479" s="40">
        <v>42045.0</v>
      </c>
      <c r="O1479" s="15" t="s">
        <v>1554</v>
      </c>
      <c r="Q1479" s="7"/>
    </row>
    <row r="1480">
      <c r="A1480" s="39" t="s">
        <v>7398</v>
      </c>
      <c r="B1480" s="15">
        <v>157837.0</v>
      </c>
      <c r="C1480" s="15" t="s">
        <v>7399</v>
      </c>
      <c r="D1480" s="15">
        <v>15391.0</v>
      </c>
      <c r="E1480" s="15" t="s">
        <v>1548</v>
      </c>
      <c r="F1480" s="15" t="s">
        <v>1911</v>
      </c>
      <c r="G1480" s="7">
        <v>9.834</v>
      </c>
      <c r="H1480" s="15" t="s">
        <v>7400</v>
      </c>
      <c r="I1480" s="15" t="s">
        <v>1628</v>
      </c>
      <c r="J1480" s="15" t="s">
        <v>7401</v>
      </c>
      <c r="K1480" s="15">
        <v>3.0</v>
      </c>
      <c r="L1480" s="15">
        <v>3.0</v>
      </c>
      <c r="M1480" s="40">
        <v>37292.0</v>
      </c>
      <c r="N1480" s="40">
        <v>42045.0</v>
      </c>
      <c r="O1480" s="15" t="s">
        <v>1554</v>
      </c>
      <c r="Q1480" s="7"/>
    </row>
    <row r="1481">
      <c r="A1481" s="39" t="s">
        <v>7402</v>
      </c>
      <c r="B1481" s="15">
        <v>59301.0</v>
      </c>
      <c r="C1481" s="15" t="s">
        <v>7403</v>
      </c>
      <c r="D1481" s="15">
        <v>15392.0</v>
      </c>
      <c r="E1481" s="15" t="s">
        <v>1548</v>
      </c>
      <c r="F1481" s="15" t="s">
        <v>3181</v>
      </c>
      <c r="G1481" s="7">
        <v>11.411</v>
      </c>
      <c r="H1481" s="15" t="s">
        <v>1750</v>
      </c>
      <c r="I1481" s="15" t="s">
        <v>1803</v>
      </c>
      <c r="J1481" s="15" t="s">
        <v>7405</v>
      </c>
      <c r="K1481" s="15">
        <v>4.0</v>
      </c>
      <c r="L1481" s="15">
        <v>4.0</v>
      </c>
      <c r="M1481" s="40">
        <v>37309.0</v>
      </c>
      <c r="N1481" s="40">
        <v>41087.0</v>
      </c>
      <c r="O1481" s="15" t="s">
        <v>1554</v>
      </c>
      <c r="Q1481" s="7"/>
    </row>
    <row r="1482">
      <c r="A1482" s="39" t="s">
        <v>7406</v>
      </c>
      <c r="B1482" s="15">
        <v>64300.0</v>
      </c>
      <c r="C1482" s="15" t="s">
        <v>7407</v>
      </c>
      <c r="D1482" s="15">
        <v>15393.0</v>
      </c>
      <c r="E1482" s="15" t="s">
        <v>1548</v>
      </c>
      <c r="F1482" s="15" t="s">
        <v>1801</v>
      </c>
      <c r="G1482" s="7">
        <v>43261.0</v>
      </c>
      <c r="H1482" s="15" t="s">
        <v>7408</v>
      </c>
      <c r="I1482" s="15" t="s">
        <v>1803</v>
      </c>
      <c r="J1482" s="15" t="s">
        <v>7409</v>
      </c>
      <c r="K1482" s="15">
        <v>1.0</v>
      </c>
      <c r="L1482" s="15">
        <v>1.0</v>
      </c>
      <c r="M1482" s="40">
        <v>37310.0</v>
      </c>
      <c r="N1482" s="40">
        <v>39939.0</v>
      </c>
      <c r="O1482" s="15" t="s">
        <v>1554</v>
      </c>
      <c r="Q1482" s="7"/>
    </row>
    <row r="1483">
      <c r="A1483" s="39" t="s">
        <v>7410</v>
      </c>
      <c r="B1483" s="15">
        <v>12199.0</v>
      </c>
      <c r="C1483" s="15" t="s">
        <v>7411</v>
      </c>
      <c r="D1483" s="15">
        <v>15394.0</v>
      </c>
      <c r="E1483" s="15" t="s">
        <v>1548</v>
      </c>
      <c r="F1483" s="15" t="s">
        <v>1911</v>
      </c>
      <c r="G1483" s="7">
        <v>9.465</v>
      </c>
      <c r="H1483" s="15">
        <v>42.0</v>
      </c>
      <c r="I1483" s="15" t="s">
        <v>1628</v>
      </c>
      <c r="J1483" s="15" t="s">
        <v>7412</v>
      </c>
      <c r="K1483" s="15">
        <v>2.0</v>
      </c>
      <c r="L1483" s="15">
        <v>2.0</v>
      </c>
      <c r="M1483" s="40">
        <v>37317.0</v>
      </c>
      <c r="N1483" s="40">
        <v>42045.0</v>
      </c>
      <c r="O1483" s="15" t="s">
        <v>1554</v>
      </c>
      <c r="Q1483" s="7"/>
    </row>
    <row r="1484">
      <c r="A1484" s="39" t="s">
        <v>7414</v>
      </c>
      <c r="B1484" s="15">
        <v>64141.0</v>
      </c>
      <c r="C1484" s="15" t="s">
        <v>7415</v>
      </c>
      <c r="D1484" s="15">
        <v>15396.0</v>
      </c>
      <c r="E1484" s="15" t="s">
        <v>1548</v>
      </c>
      <c r="F1484" s="15" t="s">
        <v>1776</v>
      </c>
      <c r="G1484" s="7">
        <v>7.388</v>
      </c>
      <c r="H1484" s="15" t="s">
        <v>4401</v>
      </c>
      <c r="I1484" s="15" t="s">
        <v>1686</v>
      </c>
      <c r="J1484" s="15" t="s">
        <v>7416</v>
      </c>
      <c r="K1484" s="15">
        <v>1.0</v>
      </c>
      <c r="L1484" s="15">
        <v>1.0</v>
      </c>
      <c r="M1484" s="40">
        <v>37348.0</v>
      </c>
      <c r="N1484" s="40">
        <v>42458.0</v>
      </c>
      <c r="O1484" s="15" t="s">
        <v>1554</v>
      </c>
      <c r="Q1484" s="7"/>
    </row>
    <row r="1485">
      <c r="A1485" s="39" t="s">
        <v>7417</v>
      </c>
      <c r="B1485" s="15">
        <v>173976.0</v>
      </c>
      <c r="C1485" s="15" t="s">
        <v>7418</v>
      </c>
      <c r="D1485" s="15">
        <v>15397.0</v>
      </c>
      <c r="E1485" s="15" t="s">
        <v>1548</v>
      </c>
      <c r="F1485" s="15" t="s">
        <v>1626</v>
      </c>
      <c r="G1485" s="7">
        <v>12.138</v>
      </c>
      <c r="H1485" s="15" t="s">
        <v>7419</v>
      </c>
      <c r="I1485" s="15" t="s">
        <v>1628</v>
      </c>
      <c r="J1485" s="15" t="s">
        <v>7420</v>
      </c>
      <c r="K1485" s="15">
        <v>2.0</v>
      </c>
      <c r="L1485" s="15">
        <v>2.0</v>
      </c>
      <c r="M1485" s="40">
        <v>37363.0</v>
      </c>
      <c r="N1485" s="40">
        <v>42045.0</v>
      </c>
      <c r="O1485" s="15" t="s">
        <v>1554</v>
      </c>
      <c r="Q1485" s="7"/>
    </row>
    <row r="1486">
      <c r="A1486" s="39" t="s">
        <v>7421</v>
      </c>
      <c r="B1486" s="15">
        <v>161675.0</v>
      </c>
      <c r="C1486" s="15" t="s">
        <v>7422</v>
      </c>
      <c r="D1486" s="15">
        <v>15398.0</v>
      </c>
      <c r="E1486" s="15" t="s">
        <v>1548</v>
      </c>
      <c r="F1486" s="15" t="s">
        <v>1801</v>
      </c>
      <c r="G1486" s="7">
        <v>10.053</v>
      </c>
      <c r="H1486" s="15" t="s">
        <v>6633</v>
      </c>
      <c r="I1486" s="15" t="s">
        <v>1803</v>
      </c>
      <c r="J1486" s="15" t="s">
        <v>7424</v>
      </c>
      <c r="K1486" s="15">
        <v>1.0</v>
      </c>
      <c r="L1486" s="15">
        <v>1.0</v>
      </c>
      <c r="M1486" s="40">
        <v>37363.0</v>
      </c>
      <c r="N1486" s="40">
        <v>42045.0</v>
      </c>
      <c r="O1486" s="15" t="s">
        <v>1554</v>
      </c>
      <c r="Q1486" s="7"/>
    </row>
    <row r="1487">
      <c r="A1487" s="39" t="s">
        <v>7425</v>
      </c>
      <c r="B1487" s="15">
        <v>192452.0</v>
      </c>
      <c r="C1487" s="15" t="s">
        <v>7426</v>
      </c>
      <c r="D1487" s="15">
        <v>15399.0</v>
      </c>
      <c r="E1487" s="15" t="s">
        <v>1548</v>
      </c>
      <c r="F1487" s="15" t="s">
        <v>1911</v>
      </c>
      <c r="G1487" s="7">
        <v>9.663</v>
      </c>
      <c r="H1487" s="15" t="s">
        <v>2864</v>
      </c>
      <c r="I1487" s="15" t="s">
        <v>1628</v>
      </c>
      <c r="J1487" s="15" t="s">
        <v>7427</v>
      </c>
      <c r="K1487" s="15">
        <v>2.0</v>
      </c>
      <c r="L1487" s="15">
        <v>2.0</v>
      </c>
      <c r="M1487" s="40">
        <v>37375.0</v>
      </c>
      <c r="N1487" s="40">
        <v>42045.0</v>
      </c>
      <c r="O1487" s="15" t="s">
        <v>1554</v>
      </c>
      <c r="Q1487" s="7"/>
    </row>
    <row r="1488">
      <c r="A1488" s="39" t="s">
        <v>7428</v>
      </c>
      <c r="B1488" s="15">
        <v>1002921.0</v>
      </c>
      <c r="C1488" s="15" t="s">
        <v>7429</v>
      </c>
      <c r="D1488" s="15">
        <v>15400.0</v>
      </c>
      <c r="E1488" s="15" t="s">
        <v>1548</v>
      </c>
      <c r="F1488" s="15" t="s">
        <v>1776</v>
      </c>
      <c r="G1488" s="7">
        <v>7.491</v>
      </c>
      <c r="H1488" s="15">
        <v>41.0</v>
      </c>
      <c r="I1488" s="15" t="s">
        <v>1686</v>
      </c>
      <c r="J1488" s="15" t="s">
        <v>7430</v>
      </c>
      <c r="K1488" s="15">
        <v>1.0</v>
      </c>
      <c r="L1488" s="15">
        <v>1.0</v>
      </c>
      <c r="M1488" s="40">
        <v>37395.0</v>
      </c>
      <c r="N1488" s="40">
        <v>40655.0</v>
      </c>
      <c r="O1488" s="15" t="s">
        <v>1554</v>
      </c>
      <c r="Q1488" s="7"/>
    </row>
    <row r="1489">
      <c r="A1489" s="39" t="s">
        <v>7432</v>
      </c>
      <c r="B1489" s="15">
        <v>64312.0</v>
      </c>
      <c r="C1489" s="15" t="s">
        <v>7433</v>
      </c>
      <c r="D1489" s="15">
        <v>15402.0</v>
      </c>
      <c r="E1489" s="15" t="s">
        <v>1548</v>
      </c>
      <c r="F1489" s="15" t="s">
        <v>1801</v>
      </c>
      <c r="G1489" s="7">
        <v>10.69</v>
      </c>
      <c r="H1489" s="15" t="s">
        <v>2064</v>
      </c>
      <c r="I1489" s="15" t="s">
        <v>1803</v>
      </c>
      <c r="J1489" s="15" t="s">
        <v>7434</v>
      </c>
      <c r="K1489" s="15">
        <v>1.0</v>
      </c>
      <c r="L1489" s="15">
        <v>1.0</v>
      </c>
      <c r="M1489" s="40">
        <v>37490.0</v>
      </c>
      <c r="N1489" s="40">
        <v>39939.0</v>
      </c>
      <c r="O1489" s="15" t="s">
        <v>1554</v>
      </c>
      <c r="Q1489" s="7"/>
    </row>
    <row r="1490">
      <c r="A1490" s="39" t="s">
        <v>7435</v>
      </c>
      <c r="B1490" s="15">
        <v>12472.0</v>
      </c>
      <c r="C1490" s="15" t="s">
        <v>7436</v>
      </c>
      <c r="D1490" s="15">
        <v>15403.0</v>
      </c>
      <c r="E1490" s="15" t="s">
        <v>1548</v>
      </c>
      <c r="F1490" s="15" t="s">
        <v>1578</v>
      </c>
      <c r="G1490" s="7">
        <v>4.258</v>
      </c>
      <c r="H1490" s="15" t="s">
        <v>3823</v>
      </c>
      <c r="I1490" s="15" t="s">
        <v>1628</v>
      </c>
      <c r="J1490" s="15" t="s">
        <v>7437</v>
      </c>
      <c r="K1490" s="15">
        <v>5.0</v>
      </c>
      <c r="L1490" s="15">
        <v>5.0</v>
      </c>
      <c r="M1490" s="41">
        <v>37551.0</v>
      </c>
      <c r="N1490" s="40">
        <v>42045.0</v>
      </c>
      <c r="O1490" s="15" t="s">
        <v>1554</v>
      </c>
      <c r="Q1490" s="7"/>
    </row>
    <row r="1491">
      <c r="A1491" s="39" t="s">
        <v>7439</v>
      </c>
      <c r="B1491" s="15">
        <v>187977.0</v>
      </c>
      <c r="C1491" s="15" t="s">
        <v>7440</v>
      </c>
      <c r="D1491" s="15">
        <v>15404.0</v>
      </c>
      <c r="E1491" s="15" t="s">
        <v>1548</v>
      </c>
      <c r="F1491" s="15" t="s">
        <v>1911</v>
      </c>
      <c r="G1491" s="7">
        <v>9.878</v>
      </c>
      <c r="H1491" s="15" t="s">
        <v>1591</v>
      </c>
      <c r="I1491" s="15" t="s">
        <v>1628</v>
      </c>
      <c r="J1491" s="15" t="s">
        <v>7441</v>
      </c>
      <c r="K1491" s="15">
        <v>2.0</v>
      </c>
      <c r="L1491" s="15">
        <v>2.0</v>
      </c>
      <c r="M1491" s="41">
        <v>37573.0</v>
      </c>
      <c r="N1491" s="40">
        <v>42045.0</v>
      </c>
      <c r="O1491" s="15" t="s">
        <v>1554</v>
      </c>
      <c r="Q1491" s="7"/>
    </row>
    <row r="1492">
      <c r="A1492" s="39" t="s">
        <v>7442</v>
      </c>
      <c r="B1492" s="15">
        <v>46917.0</v>
      </c>
      <c r="C1492" s="15" t="s">
        <v>7444</v>
      </c>
      <c r="D1492" s="15">
        <v>15405.0</v>
      </c>
      <c r="E1492" s="15" t="s">
        <v>1548</v>
      </c>
      <c r="F1492" s="15" t="s">
        <v>1911</v>
      </c>
      <c r="G1492" s="7">
        <v>10.155</v>
      </c>
      <c r="H1492" s="15" t="s">
        <v>1602</v>
      </c>
      <c r="I1492" s="15" t="s">
        <v>1628</v>
      </c>
      <c r="J1492" s="15" t="s">
        <v>7445</v>
      </c>
      <c r="K1492" s="15">
        <v>2.0</v>
      </c>
      <c r="L1492" s="15">
        <v>2.0</v>
      </c>
      <c r="M1492" s="40">
        <v>37670.0</v>
      </c>
      <c r="N1492" s="40">
        <v>42045.0</v>
      </c>
      <c r="O1492" s="15" t="s">
        <v>1554</v>
      </c>
      <c r="Q1492" s="7"/>
    </row>
    <row r="1493">
      <c r="A1493" s="39" t="s">
        <v>7446</v>
      </c>
      <c r="B1493" s="15">
        <v>187978.0</v>
      </c>
      <c r="C1493" s="15" t="s">
        <v>7447</v>
      </c>
      <c r="D1493" s="15">
        <v>15406.0</v>
      </c>
      <c r="E1493" s="15" t="s">
        <v>1548</v>
      </c>
      <c r="F1493" s="15" t="s">
        <v>1911</v>
      </c>
      <c r="G1493" s="7">
        <v>9.899</v>
      </c>
      <c r="H1493" s="15" t="s">
        <v>2820</v>
      </c>
      <c r="I1493" s="15" t="s">
        <v>1628</v>
      </c>
      <c r="J1493" s="15" t="s">
        <v>7449</v>
      </c>
      <c r="K1493" s="15">
        <v>2.0</v>
      </c>
      <c r="L1493" s="15">
        <v>2.0</v>
      </c>
      <c r="M1493" s="40">
        <v>37672.0</v>
      </c>
      <c r="N1493" s="40">
        <v>42045.0</v>
      </c>
      <c r="O1493" s="15" t="s">
        <v>1554</v>
      </c>
      <c r="Q1493" s="7"/>
    </row>
    <row r="1494">
      <c r="A1494" s="39" t="s">
        <v>7450</v>
      </c>
      <c r="B1494" s="15">
        <v>43130.0</v>
      </c>
      <c r="C1494" s="15" t="s">
        <v>7451</v>
      </c>
      <c r="D1494" s="15">
        <v>15407.0</v>
      </c>
      <c r="E1494" s="15" t="s">
        <v>1548</v>
      </c>
      <c r="F1494" s="15" t="s">
        <v>1911</v>
      </c>
      <c r="G1494" s="7">
        <v>10.538</v>
      </c>
      <c r="H1494" s="15">
        <v>39.0</v>
      </c>
      <c r="I1494" s="15" t="s">
        <v>1628</v>
      </c>
      <c r="J1494" s="15" t="s">
        <v>7452</v>
      </c>
      <c r="K1494" s="15">
        <v>2.0</v>
      </c>
      <c r="L1494" s="15">
        <v>2.0</v>
      </c>
      <c r="M1494" s="40">
        <v>37775.0</v>
      </c>
      <c r="N1494" s="40">
        <v>42045.0</v>
      </c>
      <c r="O1494" s="15" t="s">
        <v>1554</v>
      </c>
      <c r="Q1494" s="7"/>
    </row>
    <row r="1495">
      <c r="A1495" s="39" t="s">
        <v>7453</v>
      </c>
      <c r="B1495" s="15">
        <v>12230.0</v>
      </c>
      <c r="C1495" s="15" t="s">
        <v>7454</v>
      </c>
      <c r="D1495" s="15">
        <v>15408.0</v>
      </c>
      <c r="E1495" s="15" t="s">
        <v>1548</v>
      </c>
      <c r="F1495" s="15" t="s">
        <v>1911</v>
      </c>
      <c r="G1495" s="7">
        <v>9.835</v>
      </c>
      <c r="H1495" s="15" t="s">
        <v>4401</v>
      </c>
      <c r="I1495" s="15" t="s">
        <v>1628</v>
      </c>
      <c r="J1495" s="15" t="s">
        <v>7455</v>
      </c>
      <c r="K1495" s="15">
        <v>2.0</v>
      </c>
      <c r="L1495" s="15">
        <v>2.0</v>
      </c>
      <c r="M1495" s="40">
        <v>36739.0</v>
      </c>
      <c r="N1495" s="40">
        <v>41061.0</v>
      </c>
      <c r="O1495" s="15" t="s">
        <v>1554</v>
      </c>
      <c r="Q1495" s="7"/>
    </row>
    <row r="1496">
      <c r="A1496" s="39" t="s">
        <v>7456</v>
      </c>
      <c r="B1496" s="15">
        <v>69576.0</v>
      </c>
      <c r="C1496" s="15" t="s">
        <v>7458</v>
      </c>
      <c r="D1496" s="15">
        <v>15410.0</v>
      </c>
      <c r="E1496" s="15" t="s">
        <v>1916</v>
      </c>
      <c r="F1496" s="15" t="s">
        <v>2532</v>
      </c>
      <c r="G1496" s="7">
        <v>7.434</v>
      </c>
      <c r="H1496" s="15" t="s">
        <v>2223</v>
      </c>
      <c r="I1496" s="15" t="s">
        <v>1686</v>
      </c>
      <c r="J1496" s="15" t="s">
        <v>7459</v>
      </c>
      <c r="K1496" s="15">
        <v>4.0</v>
      </c>
      <c r="L1496" s="15">
        <v>4.0</v>
      </c>
      <c r="M1496" s="40">
        <v>36274.0</v>
      </c>
      <c r="N1496" s="40">
        <v>40612.0</v>
      </c>
      <c r="O1496" s="15" t="s">
        <v>1554</v>
      </c>
      <c r="Q1496" s="7"/>
    </row>
    <row r="1497">
      <c r="A1497" s="39" t="s">
        <v>7460</v>
      </c>
      <c r="B1497" s="15">
        <v>328670.0</v>
      </c>
      <c r="C1497" s="15" t="s">
        <v>7461</v>
      </c>
      <c r="D1497" s="15">
        <v>15411.0</v>
      </c>
      <c r="E1497" s="15" t="s">
        <v>1916</v>
      </c>
      <c r="F1497" s="15" t="s">
        <v>1917</v>
      </c>
      <c r="G1497" s="7">
        <v>7.263</v>
      </c>
      <c r="H1497" s="15" t="s">
        <v>2950</v>
      </c>
      <c r="I1497" s="15" t="s">
        <v>1628</v>
      </c>
      <c r="J1497" s="15" t="s">
        <v>7462</v>
      </c>
      <c r="K1497" s="15">
        <v>3.0</v>
      </c>
      <c r="L1497" s="15">
        <v>3.0</v>
      </c>
      <c r="M1497" s="40">
        <v>37991.0</v>
      </c>
      <c r="N1497" s="40">
        <v>39939.0</v>
      </c>
      <c r="O1497" s="15" t="s">
        <v>1554</v>
      </c>
      <c r="Q1497" s="7"/>
    </row>
    <row r="1498">
      <c r="A1498" s="39" t="s">
        <v>7463</v>
      </c>
      <c r="B1498" s="15">
        <v>167019.0</v>
      </c>
      <c r="C1498" s="15" t="s">
        <v>7464</v>
      </c>
      <c r="D1498" s="15">
        <v>15413.0</v>
      </c>
      <c r="E1498" s="15" t="s">
        <v>1548</v>
      </c>
      <c r="F1498" s="15" t="s">
        <v>2900</v>
      </c>
      <c r="G1498" s="7">
        <v>3.883</v>
      </c>
      <c r="H1498" s="15" t="s">
        <v>2351</v>
      </c>
      <c r="I1498" s="15" t="s">
        <v>1628</v>
      </c>
      <c r="J1498" s="15" t="s">
        <v>7466</v>
      </c>
      <c r="K1498" s="15">
        <v>6.0</v>
      </c>
      <c r="L1498" s="15">
        <v>6.0</v>
      </c>
      <c r="M1498" s="40">
        <v>38447.0</v>
      </c>
      <c r="N1498" s="40">
        <v>42014.0</v>
      </c>
      <c r="O1498" s="15" t="s">
        <v>1554</v>
      </c>
      <c r="Q1498" s="7"/>
    </row>
    <row r="1499">
      <c r="A1499" s="39" t="s">
        <v>7467</v>
      </c>
      <c r="B1499" s="15">
        <v>318558.0</v>
      </c>
      <c r="C1499" s="15" t="s">
        <v>7468</v>
      </c>
      <c r="D1499" s="15">
        <v>15415.0</v>
      </c>
      <c r="E1499" s="15" t="s">
        <v>1548</v>
      </c>
      <c r="F1499" s="15" t="s">
        <v>1890</v>
      </c>
      <c r="G1499" s="7">
        <v>11.44</v>
      </c>
      <c r="H1499" s="15" t="s">
        <v>1613</v>
      </c>
      <c r="I1499" s="15" t="s">
        <v>1686</v>
      </c>
      <c r="J1499" s="15" t="s">
        <v>7469</v>
      </c>
      <c r="K1499" s="15">
        <v>6.0</v>
      </c>
      <c r="L1499" s="15">
        <v>7.0</v>
      </c>
      <c r="M1499" s="40">
        <v>38488.0</v>
      </c>
      <c r="N1499" s="40">
        <v>40148.0</v>
      </c>
      <c r="O1499" s="15" t="s">
        <v>1554</v>
      </c>
      <c r="Q1499" s="7"/>
    </row>
    <row r="1500">
      <c r="A1500" s="39" t="s">
        <v>7470</v>
      </c>
      <c r="B1500" s="15">
        <v>321023.0</v>
      </c>
      <c r="C1500" s="15" t="s">
        <v>7471</v>
      </c>
      <c r="D1500" s="15">
        <v>15416.0</v>
      </c>
      <c r="E1500" s="15" t="s">
        <v>1557</v>
      </c>
      <c r="F1500" s="15" t="s">
        <v>1767</v>
      </c>
      <c r="G1500" s="7">
        <v>172.963</v>
      </c>
      <c r="H1500" s="15" t="s">
        <v>1613</v>
      </c>
      <c r="I1500" s="15" t="s">
        <v>1586</v>
      </c>
      <c r="J1500" s="15" t="s">
        <v>7473</v>
      </c>
      <c r="K1500" s="15">
        <v>262.0</v>
      </c>
      <c r="L1500" s="15">
        <v>247.0</v>
      </c>
      <c r="M1500" s="40">
        <v>38447.0</v>
      </c>
      <c r="N1500" s="40">
        <v>41520.0</v>
      </c>
      <c r="O1500" s="15" t="s">
        <v>1554</v>
      </c>
      <c r="Q1500" s="7"/>
    </row>
    <row r="1501">
      <c r="A1501" s="39" t="s">
        <v>7474</v>
      </c>
      <c r="B1501" s="15">
        <v>115991.0</v>
      </c>
      <c r="C1501" s="15" t="s">
        <v>7475</v>
      </c>
      <c r="D1501" s="15">
        <v>15417.0</v>
      </c>
      <c r="E1501" s="15" t="s">
        <v>1557</v>
      </c>
      <c r="F1501" s="15" t="s">
        <v>1767</v>
      </c>
      <c r="G1501" s="7">
        <v>180.5</v>
      </c>
      <c r="H1501" s="15" t="s">
        <v>2178</v>
      </c>
      <c r="I1501" s="15" t="s">
        <v>1586</v>
      </c>
      <c r="J1501" s="15" t="s">
        <v>7476</v>
      </c>
      <c r="K1501" s="15">
        <v>292.0</v>
      </c>
      <c r="L1501" s="15">
        <v>292.0</v>
      </c>
      <c r="M1501" s="40">
        <v>38453.0</v>
      </c>
      <c r="N1501" s="40">
        <v>40263.0</v>
      </c>
      <c r="O1501" s="15" t="s">
        <v>1554</v>
      </c>
      <c r="Q1501" s="7"/>
    </row>
    <row r="1502">
      <c r="A1502" s="39" t="s">
        <v>7477</v>
      </c>
      <c r="B1502" s="15">
        <v>310750.0</v>
      </c>
      <c r="C1502" s="15" t="s">
        <v>7478</v>
      </c>
      <c r="D1502" s="15">
        <v>15418.0</v>
      </c>
      <c r="E1502" s="15" t="s">
        <v>1638</v>
      </c>
      <c r="F1502" s="15" t="s">
        <v>2849</v>
      </c>
      <c r="G1502" s="7">
        <v>13.883</v>
      </c>
      <c r="H1502" s="15" t="s">
        <v>2648</v>
      </c>
      <c r="I1502" s="15" t="s">
        <v>1628</v>
      </c>
      <c r="J1502" s="15" t="s">
        <v>7479</v>
      </c>
      <c r="K1502" s="15">
        <v>1.0</v>
      </c>
      <c r="L1502" s="15">
        <v>1.0</v>
      </c>
      <c r="M1502" s="40">
        <v>38461.0</v>
      </c>
      <c r="N1502" s="40">
        <v>39028.0</v>
      </c>
      <c r="O1502" s="15" t="s">
        <v>1554</v>
      </c>
      <c r="Q1502" s="7"/>
    </row>
    <row r="1503">
      <c r="A1503" s="39" t="s">
        <v>7480</v>
      </c>
      <c r="B1503" s="15">
        <v>300879.0</v>
      </c>
      <c r="C1503" s="15" t="s">
        <v>7481</v>
      </c>
      <c r="D1503" s="15">
        <v>15419.0</v>
      </c>
      <c r="E1503" s="15" t="s">
        <v>1548</v>
      </c>
      <c r="F1503" s="15" t="s">
        <v>1926</v>
      </c>
      <c r="G1503" s="7">
        <v>7.988</v>
      </c>
      <c r="H1503" s="15" t="s">
        <v>7482</v>
      </c>
      <c r="I1503" s="15" t="s">
        <v>1628</v>
      </c>
      <c r="J1503" s="15" t="s">
        <v>7483</v>
      </c>
      <c r="K1503" s="15">
        <v>4.0</v>
      </c>
      <c r="L1503" s="15">
        <v>4.0</v>
      </c>
      <c r="M1503" s="40">
        <v>38484.0</v>
      </c>
      <c r="N1503" s="41">
        <v>42297.0</v>
      </c>
      <c r="O1503" s="15" t="s">
        <v>1554</v>
      </c>
      <c r="Q1503" s="7"/>
    </row>
    <row r="1504">
      <c r="A1504" s="39" t="s">
        <v>7484</v>
      </c>
      <c r="B1504" s="15">
        <v>71030.0</v>
      </c>
      <c r="C1504" s="15" t="s">
        <v>7485</v>
      </c>
      <c r="D1504" s="15">
        <v>15420.0</v>
      </c>
      <c r="E1504" s="15" t="s">
        <v>1548</v>
      </c>
      <c r="F1504" s="15" t="s">
        <v>2032</v>
      </c>
      <c r="G1504" s="7">
        <v>6.364</v>
      </c>
      <c r="H1504" s="15" t="s">
        <v>3220</v>
      </c>
      <c r="I1504" s="15" t="s">
        <v>2034</v>
      </c>
      <c r="J1504" s="15" t="s">
        <v>7486</v>
      </c>
      <c r="K1504" s="15">
        <v>3.0</v>
      </c>
      <c r="L1504" s="15">
        <v>3.0</v>
      </c>
      <c r="M1504" s="41">
        <v>36485.0</v>
      </c>
      <c r="N1504" s="40">
        <v>42045.0</v>
      </c>
      <c r="O1504" s="15" t="s">
        <v>1554</v>
      </c>
      <c r="Q1504" s="7"/>
    </row>
    <row r="1505">
      <c r="A1505" s="39" t="s">
        <v>7487</v>
      </c>
      <c r="B1505" s="15">
        <v>332032.0</v>
      </c>
      <c r="C1505" s="15" t="s">
        <v>7488</v>
      </c>
      <c r="D1505" s="15">
        <v>15422.0</v>
      </c>
      <c r="E1505" s="15" t="s">
        <v>1557</v>
      </c>
      <c r="F1505" s="15" t="s">
        <v>1767</v>
      </c>
      <c r="G1505" s="7">
        <v>37.639</v>
      </c>
      <c r="H1505" s="15" t="s">
        <v>4171</v>
      </c>
      <c r="I1505" s="15" t="s">
        <v>1586</v>
      </c>
      <c r="J1505" s="15" t="s">
        <v>7489</v>
      </c>
      <c r="K1505" s="15">
        <v>47.0</v>
      </c>
      <c r="L1505" s="15">
        <v>47.0</v>
      </c>
      <c r="M1505" s="40">
        <v>38513.0</v>
      </c>
      <c r="N1505" s="40">
        <v>40263.0</v>
      </c>
      <c r="O1505" s="15" t="s">
        <v>1554</v>
      </c>
      <c r="Q1505" s="7"/>
    </row>
    <row r="1506">
      <c r="A1506" s="39" t="s">
        <v>7490</v>
      </c>
      <c r="B1506" s="15">
        <v>53988.0</v>
      </c>
      <c r="C1506" s="15" t="s">
        <v>7491</v>
      </c>
      <c r="D1506" s="15">
        <v>15245.0</v>
      </c>
      <c r="E1506" s="15" t="s">
        <v>1557</v>
      </c>
      <c r="F1506" s="15" t="s">
        <v>6477</v>
      </c>
      <c r="G1506" s="7">
        <v>185.221</v>
      </c>
      <c r="H1506" s="15" t="s">
        <v>7492</v>
      </c>
      <c r="I1506" s="15" t="s">
        <v>1560</v>
      </c>
      <c r="J1506" s="15" t="s">
        <v>7493</v>
      </c>
      <c r="K1506" s="15">
        <v>60.0</v>
      </c>
      <c r="L1506" s="15">
        <v>53.0</v>
      </c>
      <c r="M1506" s="41">
        <v>38346.0</v>
      </c>
      <c r="N1506" s="40">
        <v>40148.0</v>
      </c>
      <c r="O1506" s="15" t="s">
        <v>1554</v>
      </c>
      <c r="Q1506" s="7"/>
    </row>
    <row r="1507">
      <c r="A1507" s="39" t="s">
        <v>7494</v>
      </c>
      <c r="B1507" s="15">
        <v>55510.0</v>
      </c>
      <c r="C1507" s="15" t="s">
        <v>7495</v>
      </c>
      <c r="D1507" s="15">
        <v>15246.0</v>
      </c>
      <c r="E1507" s="15" t="s">
        <v>1557</v>
      </c>
      <c r="F1507" s="15" t="s">
        <v>1767</v>
      </c>
      <c r="G1507" s="7">
        <v>130.706</v>
      </c>
      <c r="H1507" s="42">
        <v>43189.0</v>
      </c>
      <c r="I1507" s="15" t="s">
        <v>1586</v>
      </c>
      <c r="J1507" s="15" t="s">
        <v>7496</v>
      </c>
      <c r="K1507" s="15">
        <v>195.0</v>
      </c>
      <c r="L1507" s="15">
        <v>195.0</v>
      </c>
      <c r="M1507" s="40">
        <v>38447.0</v>
      </c>
      <c r="N1507" s="40">
        <v>39920.0</v>
      </c>
      <c r="O1507" s="15" t="s">
        <v>1554</v>
      </c>
      <c r="Q1507" s="7"/>
    </row>
    <row r="1508">
      <c r="A1508" s="39" t="s">
        <v>7497</v>
      </c>
      <c r="B1508" s="15">
        <v>81832.0</v>
      </c>
      <c r="C1508" s="15" t="s">
        <v>7498</v>
      </c>
      <c r="D1508" s="15">
        <v>15249.0</v>
      </c>
      <c r="E1508" s="15" t="s">
        <v>1548</v>
      </c>
      <c r="F1508" s="15" t="s">
        <v>1786</v>
      </c>
      <c r="G1508" s="7">
        <v>8.744</v>
      </c>
      <c r="H1508" s="15" t="s">
        <v>1813</v>
      </c>
      <c r="I1508" s="15" t="s">
        <v>1628</v>
      </c>
      <c r="J1508" s="15" t="s">
        <v>7499</v>
      </c>
      <c r="K1508" s="15">
        <v>5.0</v>
      </c>
      <c r="L1508" s="15">
        <v>5.0</v>
      </c>
      <c r="M1508" s="40">
        <v>36052.0</v>
      </c>
      <c r="N1508" s="40">
        <v>39790.0</v>
      </c>
      <c r="O1508" s="15" t="s">
        <v>1554</v>
      </c>
      <c r="Q1508" s="7"/>
    </row>
    <row r="1509">
      <c r="A1509" s="39" t="s">
        <v>7500</v>
      </c>
      <c r="B1509" s="15">
        <v>165429.0</v>
      </c>
      <c r="C1509" s="15" t="s">
        <v>7501</v>
      </c>
      <c r="D1509" s="15">
        <v>15250.0</v>
      </c>
      <c r="E1509" s="15" t="s">
        <v>1638</v>
      </c>
      <c r="F1509" s="15" t="s">
        <v>1863</v>
      </c>
      <c r="G1509" s="7">
        <v>25.325</v>
      </c>
      <c r="H1509" s="15" t="s">
        <v>7502</v>
      </c>
      <c r="I1509" s="15" t="s">
        <v>1560</v>
      </c>
      <c r="J1509" s="15" t="s">
        <v>7503</v>
      </c>
      <c r="K1509" s="15">
        <v>11.0</v>
      </c>
      <c r="L1509" s="15">
        <v>11.0</v>
      </c>
      <c r="M1509" s="40">
        <v>37088.0</v>
      </c>
      <c r="N1509" s="40">
        <v>39790.0</v>
      </c>
      <c r="O1509" s="15" t="s">
        <v>1554</v>
      </c>
      <c r="Q1509" s="7"/>
    </row>
    <row r="1510">
      <c r="A1510" s="39" t="s">
        <v>7505</v>
      </c>
      <c r="B1510" s="15">
        <v>270473.0</v>
      </c>
      <c r="C1510" s="15" t="s">
        <v>7506</v>
      </c>
      <c r="D1510" s="15">
        <v>15251.0</v>
      </c>
      <c r="E1510" s="15" t="s">
        <v>1548</v>
      </c>
      <c r="F1510" s="15" t="s">
        <v>4800</v>
      </c>
      <c r="G1510" s="7">
        <v>14.885</v>
      </c>
      <c r="H1510" s="15" t="s">
        <v>1902</v>
      </c>
      <c r="I1510" s="15" t="s">
        <v>1686</v>
      </c>
      <c r="J1510" s="15" t="s">
        <v>7507</v>
      </c>
      <c r="K1510" s="15">
        <v>12.0</v>
      </c>
      <c r="L1510" s="15">
        <v>12.0</v>
      </c>
      <c r="M1510" s="41">
        <v>38346.0</v>
      </c>
      <c r="N1510" s="40">
        <v>40185.0</v>
      </c>
      <c r="O1510" s="15" t="s">
        <v>1554</v>
      </c>
      <c r="Q1510" s="7"/>
    </row>
    <row r="1511">
      <c r="A1511" s="39" t="s">
        <v>7508</v>
      </c>
      <c r="B1511" s="15">
        <v>306323.0</v>
      </c>
      <c r="C1511" s="15" t="s">
        <v>7509</v>
      </c>
      <c r="D1511" s="15">
        <v>15254.0</v>
      </c>
      <c r="E1511" s="15" t="s">
        <v>1557</v>
      </c>
      <c r="F1511" s="15" t="s">
        <v>1833</v>
      </c>
      <c r="G1511" s="7">
        <v>34.704</v>
      </c>
      <c r="H1511" s="15" t="s">
        <v>1902</v>
      </c>
      <c r="I1511" s="15" t="s">
        <v>1586</v>
      </c>
      <c r="J1511" s="15" t="s">
        <v>7510</v>
      </c>
      <c r="K1511" s="15">
        <v>44.0</v>
      </c>
      <c r="L1511" s="15">
        <v>44.0</v>
      </c>
      <c r="M1511" s="40">
        <v>38453.0</v>
      </c>
      <c r="N1511" s="40">
        <v>39226.0</v>
      </c>
      <c r="O1511" s="15" t="s">
        <v>1554</v>
      </c>
      <c r="Q1511" s="7"/>
    </row>
    <row r="1512">
      <c r="A1512" s="39" t="s">
        <v>7512</v>
      </c>
      <c r="B1512" s="15">
        <v>322855.0</v>
      </c>
      <c r="C1512" s="15" t="s">
        <v>7513</v>
      </c>
      <c r="D1512" s="15">
        <v>15255.0</v>
      </c>
      <c r="E1512" s="15" t="s">
        <v>1557</v>
      </c>
      <c r="F1512" s="15" t="s">
        <v>1578</v>
      </c>
      <c r="G1512" s="7">
        <v>55.77</v>
      </c>
      <c r="H1512" s="15" t="s">
        <v>5179</v>
      </c>
      <c r="I1512" s="15" t="s">
        <v>1586</v>
      </c>
      <c r="J1512" s="15" t="s">
        <v>7514</v>
      </c>
      <c r="K1512" s="15">
        <v>84.0</v>
      </c>
      <c r="L1512" s="15">
        <v>84.0</v>
      </c>
      <c r="M1512" s="40">
        <v>38460.0</v>
      </c>
      <c r="N1512" s="40">
        <v>39216.0</v>
      </c>
      <c r="O1512" s="15" t="s">
        <v>1554</v>
      </c>
      <c r="Q1512" s="7"/>
    </row>
    <row r="1513">
      <c r="A1513" s="39" t="s">
        <v>7515</v>
      </c>
      <c r="B1513" s="15">
        <v>223250.0</v>
      </c>
      <c r="C1513" s="15" t="s">
        <v>7516</v>
      </c>
      <c r="D1513" s="15">
        <v>15257.0</v>
      </c>
      <c r="E1513" s="15" t="s">
        <v>1808</v>
      </c>
      <c r="F1513" s="15" t="s">
        <v>1809</v>
      </c>
      <c r="G1513" s="7">
        <v>2.743</v>
      </c>
      <c r="H1513" s="15" t="s">
        <v>2777</v>
      </c>
      <c r="I1513" s="15" t="s">
        <v>1628</v>
      </c>
      <c r="J1513" s="15" t="s">
        <v>7517</v>
      </c>
      <c r="K1513" s="15">
        <v>6.0</v>
      </c>
      <c r="L1513" s="15">
        <v>6.0</v>
      </c>
      <c r="M1513" s="40">
        <v>37369.0</v>
      </c>
      <c r="N1513" s="40">
        <v>39790.0</v>
      </c>
      <c r="O1513" s="15" t="s">
        <v>1554</v>
      </c>
      <c r="Q1513" s="7"/>
    </row>
    <row r="1514">
      <c r="A1514" s="39" t="s">
        <v>7518</v>
      </c>
      <c r="B1514" s="15">
        <v>269282.0</v>
      </c>
      <c r="C1514" s="15" t="s">
        <v>7519</v>
      </c>
      <c r="D1514" s="15">
        <v>15258.0</v>
      </c>
      <c r="E1514" s="15" t="s">
        <v>1808</v>
      </c>
      <c r="F1514" s="15" t="s">
        <v>1809</v>
      </c>
      <c r="G1514" s="7">
        <v>2.75</v>
      </c>
      <c r="H1514" s="15" t="s">
        <v>2023</v>
      </c>
      <c r="I1514" s="15" t="s">
        <v>1628</v>
      </c>
      <c r="J1514" s="15" t="s">
        <v>7521</v>
      </c>
      <c r="K1514" s="15">
        <v>6.0</v>
      </c>
      <c r="L1514" s="15">
        <v>6.0</v>
      </c>
      <c r="M1514" s="41">
        <v>37554.0</v>
      </c>
      <c r="N1514" s="40">
        <v>42045.0</v>
      </c>
      <c r="O1514" s="15" t="s">
        <v>1554</v>
      </c>
      <c r="Q1514" s="7"/>
    </row>
    <row r="1515">
      <c r="A1515" s="39" t="s">
        <v>7522</v>
      </c>
      <c r="B1515" s="15">
        <v>223287.0</v>
      </c>
      <c r="C1515" s="15" t="s">
        <v>7523</v>
      </c>
      <c r="D1515" s="15">
        <v>15259.0</v>
      </c>
      <c r="E1515" s="15" t="s">
        <v>1808</v>
      </c>
      <c r="F1515" s="15" t="s">
        <v>1809</v>
      </c>
      <c r="G1515" s="7">
        <v>5.361</v>
      </c>
      <c r="H1515" s="15" t="s">
        <v>7524</v>
      </c>
      <c r="I1515" s="15" t="s">
        <v>1628</v>
      </c>
      <c r="J1515" s="15" t="s">
        <v>7525</v>
      </c>
      <c r="K1515" s="15">
        <v>9.0</v>
      </c>
      <c r="L1515" s="15">
        <v>9.0</v>
      </c>
      <c r="M1515" s="40">
        <v>36236.0</v>
      </c>
      <c r="N1515" s="40">
        <v>39790.0</v>
      </c>
      <c r="O1515" s="15" t="s">
        <v>1554</v>
      </c>
      <c r="Q1515" s="7"/>
    </row>
    <row r="1516">
      <c r="A1516" s="39" t="s">
        <v>7526</v>
      </c>
      <c r="B1516" s="15">
        <v>292029.0</v>
      </c>
      <c r="C1516" s="15" t="s">
        <v>7527</v>
      </c>
      <c r="D1516" s="15">
        <v>15261.0</v>
      </c>
      <c r="E1516" s="15" t="s">
        <v>1557</v>
      </c>
      <c r="F1516" s="15" t="s">
        <v>1767</v>
      </c>
      <c r="G1516" s="7">
        <v>138.715</v>
      </c>
      <c r="H1516" s="42">
        <v>43220.0</v>
      </c>
      <c r="I1516" s="15" t="s">
        <v>1586</v>
      </c>
      <c r="J1516" s="15" t="s">
        <v>7528</v>
      </c>
      <c r="K1516" s="15">
        <v>214.0</v>
      </c>
      <c r="L1516" s="15">
        <v>214.0</v>
      </c>
      <c r="M1516" s="40">
        <v>38447.0</v>
      </c>
      <c r="N1516" s="40">
        <v>39920.0</v>
      </c>
      <c r="O1516" s="15" t="s">
        <v>1554</v>
      </c>
      <c r="Q1516" s="7"/>
    </row>
    <row r="1517">
      <c r="A1517" s="39" t="s">
        <v>7529</v>
      </c>
      <c r="B1517" s="15">
        <v>55511.0</v>
      </c>
      <c r="C1517" s="15" t="s">
        <v>7530</v>
      </c>
      <c r="D1517" s="15">
        <v>15264.0</v>
      </c>
      <c r="E1517" s="15" t="s">
        <v>1557</v>
      </c>
      <c r="F1517" s="15" t="s">
        <v>1833</v>
      </c>
      <c r="G1517" s="7">
        <v>39.62</v>
      </c>
      <c r="H1517" s="15" t="s">
        <v>7532</v>
      </c>
      <c r="I1517" s="15" t="s">
        <v>1586</v>
      </c>
      <c r="J1517" s="15" t="s">
        <v>7533</v>
      </c>
      <c r="K1517" s="15">
        <v>77.0</v>
      </c>
      <c r="L1517" s="15">
        <v>77.0</v>
      </c>
      <c r="M1517" s="40">
        <v>38447.0</v>
      </c>
      <c r="N1517" s="41">
        <v>40171.0</v>
      </c>
      <c r="O1517" s="15" t="s">
        <v>1554</v>
      </c>
      <c r="Q1517" s="7"/>
    </row>
    <row r="1518">
      <c r="A1518" s="39" t="s">
        <v>7534</v>
      </c>
      <c r="B1518" s="15">
        <v>320836.0</v>
      </c>
      <c r="C1518" s="15" t="s">
        <v>7535</v>
      </c>
      <c r="D1518" s="15">
        <v>15267.0</v>
      </c>
      <c r="E1518" s="15" t="s">
        <v>1557</v>
      </c>
      <c r="F1518" s="15" t="s">
        <v>1833</v>
      </c>
      <c r="G1518" s="7">
        <v>41.318</v>
      </c>
      <c r="H1518" s="15" t="s">
        <v>4331</v>
      </c>
      <c r="I1518" s="15" t="s">
        <v>1586</v>
      </c>
      <c r="J1518" s="15" t="s">
        <v>7536</v>
      </c>
      <c r="K1518" s="15">
        <v>57.0</v>
      </c>
      <c r="L1518" s="15">
        <v>57.0</v>
      </c>
      <c r="M1518" s="40">
        <v>38447.0</v>
      </c>
      <c r="N1518" s="40">
        <v>39223.0</v>
      </c>
      <c r="O1518" s="15" t="s">
        <v>1554</v>
      </c>
      <c r="Q1518" s="7"/>
    </row>
    <row r="1519">
      <c r="A1519" s="39" t="s">
        <v>7537</v>
      </c>
      <c r="B1519" s="15">
        <v>320837.0</v>
      </c>
      <c r="C1519" s="15" t="s">
        <v>7538</v>
      </c>
      <c r="D1519" s="15">
        <v>15268.0</v>
      </c>
      <c r="E1519" s="15" t="s">
        <v>1557</v>
      </c>
      <c r="F1519" s="15" t="s">
        <v>1833</v>
      </c>
      <c r="G1519" s="7">
        <v>45.861</v>
      </c>
      <c r="H1519" s="15" t="s">
        <v>4553</v>
      </c>
      <c r="I1519" s="15" t="s">
        <v>1586</v>
      </c>
      <c r="J1519" s="15" t="s">
        <v>7539</v>
      </c>
      <c r="K1519" s="15">
        <v>79.0</v>
      </c>
      <c r="L1519" s="15">
        <v>79.0</v>
      </c>
      <c r="M1519" s="40">
        <v>38447.0</v>
      </c>
      <c r="N1519" s="40">
        <v>39223.0</v>
      </c>
      <c r="O1519" s="15" t="s">
        <v>1554</v>
      </c>
      <c r="Q1519" s="7"/>
    </row>
    <row r="1520">
      <c r="A1520" s="39" t="s">
        <v>7541</v>
      </c>
      <c r="B1520" s="15">
        <v>215167.0</v>
      </c>
      <c r="C1520" s="15" t="s">
        <v>7542</v>
      </c>
      <c r="D1520" s="15">
        <v>15269.0</v>
      </c>
      <c r="E1520" s="15" t="s">
        <v>1557</v>
      </c>
      <c r="F1520" s="15" t="s">
        <v>1833</v>
      </c>
      <c r="G1520" s="7">
        <v>43.095</v>
      </c>
      <c r="H1520" s="15" t="s">
        <v>2219</v>
      </c>
      <c r="I1520" s="15" t="s">
        <v>1586</v>
      </c>
      <c r="J1520" s="15" t="s">
        <v>7543</v>
      </c>
      <c r="K1520" s="15">
        <v>67.0</v>
      </c>
      <c r="L1520" s="15">
        <v>67.0</v>
      </c>
      <c r="M1520" s="40">
        <v>38447.0</v>
      </c>
      <c r="N1520" s="40">
        <v>39222.0</v>
      </c>
      <c r="O1520" s="15" t="s">
        <v>1554</v>
      </c>
      <c r="Q1520" s="7"/>
    </row>
    <row r="1521">
      <c r="A1521" s="39" t="s">
        <v>7545</v>
      </c>
      <c r="B1521" s="15">
        <v>320840.0</v>
      </c>
      <c r="C1521" s="15" t="s">
        <v>7546</v>
      </c>
      <c r="D1521" s="15">
        <v>15271.0</v>
      </c>
      <c r="E1521" s="15" t="s">
        <v>1557</v>
      </c>
      <c r="F1521" s="15" t="s">
        <v>1833</v>
      </c>
      <c r="G1521" s="7">
        <v>43.681</v>
      </c>
      <c r="H1521" s="15" t="s">
        <v>4287</v>
      </c>
      <c r="I1521" s="15" t="s">
        <v>1586</v>
      </c>
      <c r="J1521" s="15" t="s">
        <v>7547</v>
      </c>
      <c r="K1521" s="15">
        <v>70.0</v>
      </c>
      <c r="L1521" s="15">
        <v>70.0</v>
      </c>
      <c r="M1521" s="40">
        <v>38447.0</v>
      </c>
      <c r="N1521" s="41">
        <v>39370.0</v>
      </c>
      <c r="O1521" s="15" t="s">
        <v>1554</v>
      </c>
      <c r="Q1521" s="7"/>
    </row>
    <row r="1522">
      <c r="A1522" s="39" t="s">
        <v>7548</v>
      </c>
      <c r="B1522" s="15">
        <v>320841.0</v>
      </c>
      <c r="C1522" s="15" t="s">
        <v>7549</v>
      </c>
      <c r="D1522" s="15">
        <v>15272.0</v>
      </c>
      <c r="E1522" s="15" t="s">
        <v>1557</v>
      </c>
      <c r="F1522" s="15" t="s">
        <v>1833</v>
      </c>
      <c r="G1522" s="7">
        <v>45.286</v>
      </c>
      <c r="H1522" s="15">
        <v>36.0</v>
      </c>
      <c r="I1522" s="15" t="s">
        <v>1586</v>
      </c>
      <c r="J1522" s="15" t="s">
        <v>7550</v>
      </c>
      <c r="K1522" s="15">
        <v>77.0</v>
      </c>
      <c r="L1522" s="15">
        <v>77.0</v>
      </c>
      <c r="M1522" s="40">
        <v>38447.0</v>
      </c>
      <c r="N1522" s="40">
        <v>39223.0</v>
      </c>
      <c r="O1522" s="15" t="s">
        <v>1554</v>
      </c>
      <c r="Q1522" s="7"/>
    </row>
    <row r="1523">
      <c r="A1523" s="39" t="s">
        <v>7551</v>
      </c>
      <c r="B1523" s="15">
        <v>320843.0</v>
      </c>
      <c r="C1523" s="15" t="s">
        <v>7552</v>
      </c>
      <c r="D1523" s="15">
        <v>15274.0</v>
      </c>
      <c r="E1523" s="15" t="s">
        <v>1557</v>
      </c>
      <c r="F1523" s="15" t="s">
        <v>1833</v>
      </c>
      <c r="G1523" s="7">
        <v>43.155</v>
      </c>
      <c r="H1523" s="15" t="s">
        <v>4287</v>
      </c>
      <c r="I1523" s="15" t="s">
        <v>1586</v>
      </c>
      <c r="J1523" s="15" t="s">
        <v>7554</v>
      </c>
      <c r="K1523" s="15">
        <v>74.0</v>
      </c>
      <c r="L1523" s="15">
        <v>74.0</v>
      </c>
      <c r="M1523" s="40">
        <v>38447.0</v>
      </c>
      <c r="N1523" s="40">
        <v>39223.0</v>
      </c>
      <c r="O1523" s="15" t="s">
        <v>1554</v>
      </c>
      <c r="Q1523" s="7"/>
    </row>
    <row r="1524">
      <c r="A1524" s="39" t="s">
        <v>7555</v>
      </c>
      <c r="B1524" s="15">
        <v>320845.0</v>
      </c>
      <c r="C1524" s="15" t="s">
        <v>7556</v>
      </c>
      <c r="D1524" s="15">
        <v>15276.0</v>
      </c>
      <c r="E1524" s="15" t="s">
        <v>1557</v>
      </c>
      <c r="F1524" s="15" t="s">
        <v>1833</v>
      </c>
      <c r="G1524" s="7">
        <v>41.902</v>
      </c>
      <c r="H1524" s="15" t="s">
        <v>3827</v>
      </c>
      <c r="I1524" s="15" t="s">
        <v>1586</v>
      </c>
      <c r="J1524" s="15" t="s">
        <v>7557</v>
      </c>
      <c r="K1524" s="15">
        <v>77.0</v>
      </c>
      <c r="L1524" s="15">
        <v>77.0</v>
      </c>
      <c r="M1524" s="40">
        <v>38447.0</v>
      </c>
      <c r="N1524" s="40">
        <v>39223.0</v>
      </c>
      <c r="O1524" s="15" t="s">
        <v>1554</v>
      </c>
      <c r="Q1524" s="7"/>
    </row>
    <row r="1525">
      <c r="A1525" s="39" t="s">
        <v>7558</v>
      </c>
      <c r="B1525" s="15">
        <v>12524.0</v>
      </c>
      <c r="C1525" s="15" t="s">
        <v>7559</v>
      </c>
      <c r="D1525" s="15">
        <v>15423.0</v>
      </c>
      <c r="E1525" s="15" t="s">
        <v>1808</v>
      </c>
      <c r="F1525" s="15" t="s">
        <v>2436</v>
      </c>
      <c r="G1525" s="7">
        <v>5.908</v>
      </c>
      <c r="H1525" s="15" t="s">
        <v>2316</v>
      </c>
      <c r="I1525" s="15" t="s">
        <v>1560</v>
      </c>
      <c r="J1525" s="15" t="s">
        <v>7560</v>
      </c>
      <c r="K1525" s="15">
        <v>4.0</v>
      </c>
      <c r="L1525" s="15">
        <v>4.0</v>
      </c>
      <c r="M1525" s="40">
        <v>34097.0</v>
      </c>
      <c r="N1525" s="40">
        <v>40352.0</v>
      </c>
      <c r="O1525" s="15" t="s">
        <v>1554</v>
      </c>
      <c r="Q1525" s="7"/>
    </row>
    <row r="1526">
      <c r="A1526" s="39" t="s">
        <v>7561</v>
      </c>
      <c r="B1526" s="15">
        <v>333769.0</v>
      </c>
      <c r="C1526" s="15" t="s">
        <v>7562</v>
      </c>
      <c r="D1526" s="15">
        <v>15424.0</v>
      </c>
      <c r="E1526" s="15" t="s">
        <v>1557</v>
      </c>
      <c r="F1526" s="15" t="s">
        <v>1822</v>
      </c>
      <c r="G1526" s="7">
        <v>8.033</v>
      </c>
      <c r="H1526" s="15" t="s">
        <v>2686</v>
      </c>
      <c r="I1526" s="15" t="s">
        <v>1686</v>
      </c>
      <c r="J1526" s="15" t="s">
        <v>7564</v>
      </c>
      <c r="K1526" s="15">
        <v>7.0</v>
      </c>
      <c r="L1526" s="15">
        <v>7.0</v>
      </c>
      <c r="M1526" s="40">
        <v>37473.0</v>
      </c>
      <c r="N1526" s="40">
        <v>42045.0</v>
      </c>
      <c r="O1526" s="15" t="s">
        <v>1554</v>
      </c>
      <c r="Q1526" s="7"/>
    </row>
    <row r="1527">
      <c r="A1527" s="39" t="s">
        <v>7565</v>
      </c>
      <c r="B1527" s="15">
        <v>12458.0</v>
      </c>
      <c r="C1527" s="15" t="s">
        <v>7566</v>
      </c>
      <c r="D1527" s="15">
        <v>15426.0</v>
      </c>
      <c r="E1527" s="15" t="s">
        <v>1548</v>
      </c>
      <c r="F1527" s="15" t="s">
        <v>1786</v>
      </c>
      <c r="G1527" s="7">
        <v>8.363</v>
      </c>
      <c r="H1527" s="15" t="s">
        <v>1613</v>
      </c>
      <c r="I1527" s="15" t="s">
        <v>1628</v>
      </c>
      <c r="J1527" s="15" t="s">
        <v>7567</v>
      </c>
      <c r="K1527" s="15">
        <v>6.0</v>
      </c>
      <c r="L1527" s="15">
        <v>6.0</v>
      </c>
      <c r="M1527" s="40">
        <v>37293.0</v>
      </c>
      <c r="N1527" s="40">
        <v>40578.0</v>
      </c>
      <c r="O1527" s="15" t="s">
        <v>1554</v>
      </c>
      <c r="Q1527" s="7"/>
    </row>
    <row r="1528">
      <c r="A1528" s="39" t="s">
        <v>7568</v>
      </c>
      <c r="B1528" s="15">
        <v>10407.0</v>
      </c>
      <c r="C1528" s="15" t="s">
        <v>7569</v>
      </c>
      <c r="D1528" s="15">
        <v>15428.0</v>
      </c>
      <c r="E1528" s="15" t="s">
        <v>1916</v>
      </c>
      <c r="F1528" s="15" t="s">
        <v>3423</v>
      </c>
      <c r="G1528" s="7">
        <v>3.182</v>
      </c>
      <c r="H1528" s="15" t="s">
        <v>4736</v>
      </c>
      <c r="I1528" s="15" t="s">
        <v>1567</v>
      </c>
      <c r="J1528" s="15" t="s">
        <v>7570</v>
      </c>
      <c r="K1528" s="15">
        <v>4.0</v>
      </c>
      <c r="L1528" s="15">
        <v>8.0</v>
      </c>
      <c r="M1528" s="40">
        <v>30111.0</v>
      </c>
      <c r="N1528" s="40">
        <v>43014.0</v>
      </c>
      <c r="O1528" s="15" t="s">
        <v>1554</v>
      </c>
      <c r="Q1528" s="7"/>
    </row>
    <row r="1529">
      <c r="A1529" s="39" t="s">
        <v>7571</v>
      </c>
      <c r="B1529" s="15">
        <v>11021.0</v>
      </c>
      <c r="C1529" s="15" t="s">
        <v>7572</v>
      </c>
      <c r="D1529" s="15">
        <v>15429.0</v>
      </c>
      <c r="E1529" s="15" t="s">
        <v>1548</v>
      </c>
      <c r="F1529" s="15" t="s">
        <v>3181</v>
      </c>
      <c r="G1529" s="7">
        <v>11.675</v>
      </c>
      <c r="H1529" s="15" t="s">
        <v>2901</v>
      </c>
      <c r="I1529" s="15" t="s">
        <v>4737</v>
      </c>
      <c r="J1529" s="15" t="s">
        <v>7573</v>
      </c>
      <c r="K1529" s="15">
        <v>4.0</v>
      </c>
      <c r="L1529" s="15">
        <v>4.0</v>
      </c>
      <c r="M1529" s="41">
        <v>33588.0</v>
      </c>
      <c r="N1529" s="40">
        <v>42045.0</v>
      </c>
      <c r="O1529" s="15" t="s">
        <v>1554</v>
      </c>
      <c r="Q1529" s="7"/>
    </row>
    <row r="1530">
      <c r="A1530" s="39" t="s">
        <v>7575</v>
      </c>
      <c r="B1530" s="15">
        <v>11079.0</v>
      </c>
      <c r="C1530" s="15" t="s">
        <v>7576</v>
      </c>
      <c r="D1530" s="15">
        <v>15430.0</v>
      </c>
      <c r="E1530" s="15" t="s">
        <v>1548</v>
      </c>
      <c r="F1530" s="15" t="s">
        <v>1801</v>
      </c>
      <c r="G1530" s="7">
        <v>11.014</v>
      </c>
      <c r="H1530" s="15" t="s">
        <v>2901</v>
      </c>
      <c r="I1530" s="15" t="s">
        <v>1803</v>
      </c>
      <c r="J1530" s="15" t="s">
        <v>7577</v>
      </c>
      <c r="K1530" s="15">
        <v>2.0</v>
      </c>
      <c r="L1530" s="15">
        <v>2.0</v>
      </c>
      <c r="M1530" s="40">
        <v>36466.0</v>
      </c>
      <c r="N1530" s="41">
        <v>42731.0</v>
      </c>
      <c r="O1530" s="15" t="s">
        <v>1554</v>
      </c>
      <c r="Q1530" s="7"/>
    </row>
    <row r="1531">
      <c r="A1531" s="39" t="s">
        <v>7578</v>
      </c>
      <c r="B1531" s="15">
        <v>139270.0</v>
      </c>
      <c r="C1531" s="15" t="s">
        <v>7579</v>
      </c>
      <c r="D1531" s="15">
        <v>15433.0</v>
      </c>
      <c r="E1531" s="15" t="s">
        <v>1548</v>
      </c>
      <c r="F1531" s="15" t="s">
        <v>4837</v>
      </c>
      <c r="G1531" s="7">
        <v>15.186</v>
      </c>
      <c r="H1531" s="15" t="s">
        <v>1720</v>
      </c>
      <c r="I1531" s="15" t="s">
        <v>1567</v>
      </c>
      <c r="J1531" s="15" t="s">
        <v>7580</v>
      </c>
      <c r="K1531" s="15">
        <v>6.0</v>
      </c>
      <c r="L1531" s="15">
        <v>6.0</v>
      </c>
      <c r="M1531" s="40">
        <v>36862.0</v>
      </c>
      <c r="N1531" s="41">
        <v>40147.0</v>
      </c>
      <c r="O1531" s="15" t="s">
        <v>1554</v>
      </c>
      <c r="Q1531" s="7"/>
    </row>
    <row r="1532">
      <c r="A1532" s="39" t="s">
        <v>7581</v>
      </c>
      <c r="B1532" s="15">
        <v>926844.0</v>
      </c>
      <c r="C1532" s="15" t="s">
        <v>7582</v>
      </c>
      <c r="D1532" s="15">
        <v>15480.0</v>
      </c>
      <c r="E1532" s="15" t="s">
        <v>2014</v>
      </c>
      <c r="F1532" s="15" t="s">
        <v>1578</v>
      </c>
      <c r="G1532" s="7">
        <v>1.367</v>
      </c>
      <c r="H1532" s="15" t="s">
        <v>2777</v>
      </c>
      <c r="I1532" s="15" t="s">
        <v>1628</v>
      </c>
      <c r="J1532" s="15" t="s">
        <v>7583</v>
      </c>
      <c r="K1532" s="15">
        <v>1.0</v>
      </c>
      <c r="L1532" s="15">
        <v>1.0</v>
      </c>
      <c r="M1532" s="40">
        <v>37832.0</v>
      </c>
      <c r="N1532" s="40">
        <v>42457.0</v>
      </c>
      <c r="O1532" s="15" t="s">
        <v>1554</v>
      </c>
      <c r="Q1532" s="7"/>
    </row>
    <row r="1533">
      <c r="A1533" s="39" t="s">
        <v>7585</v>
      </c>
      <c r="B1533" s="15">
        <v>240557.0</v>
      </c>
      <c r="C1533" s="15" t="s">
        <v>7586</v>
      </c>
      <c r="D1533" s="15">
        <v>15481.0</v>
      </c>
      <c r="E1533" s="15" t="s">
        <v>2014</v>
      </c>
      <c r="F1533" s="15" t="s">
        <v>1578</v>
      </c>
      <c r="G1533" s="7">
        <v>1.363</v>
      </c>
      <c r="H1533" s="15" t="s">
        <v>2141</v>
      </c>
      <c r="I1533" s="15" t="s">
        <v>1628</v>
      </c>
      <c r="J1533" s="15" t="s">
        <v>7587</v>
      </c>
      <c r="K1533" s="15">
        <v>1.0</v>
      </c>
      <c r="L1533" s="15">
        <v>1.0</v>
      </c>
      <c r="M1533" s="40">
        <v>37832.0</v>
      </c>
      <c r="N1533" s="40">
        <v>40578.0</v>
      </c>
      <c r="O1533" s="15" t="s">
        <v>1554</v>
      </c>
      <c r="Q1533" s="7"/>
    </row>
    <row r="1534">
      <c r="A1534" s="39" t="s">
        <v>7588</v>
      </c>
      <c r="B1534" s="15">
        <v>299200.0</v>
      </c>
      <c r="C1534" s="15" t="s">
        <v>7589</v>
      </c>
      <c r="D1534" s="15">
        <v>15483.0</v>
      </c>
      <c r="E1534" s="15" t="s">
        <v>1548</v>
      </c>
      <c r="F1534" s="15" t="s">
        <v>1911</v>
      </c>
      <c r="G1534" s="7">
        <v>9.723</v>
      </c>
      <c r="H1534" s="15" t="s">
        <v>1849</v>
      </c>
      <c r="I1534" s="15" t="s">
        <v>1628</v>
      </c>
      <c r="J1534" s="15" t="s">
        <v>7590</v>
      </c>
      <c r="K1534" s="15">
        <v>2.0</v>
      </c>
      <c r="L1534" s="15">
        <v>2.0</v>
      </c>
      <c r="M1534" s="40">
        <v>38530.0</v>
      </c>
      <c r="N1534" s="40">
        <v>42045.0</v>
      </c>
      <c r="O1534" s="15" t="s">
        <v>1554</v>
      </c>
      <c r="Q1534" s="7"/>
    </row>
    <row r="1535">
      <c r="A1535" s="39" t="s">
        <v>7591</v>
      </c>
      <c r="B1535" s="15">
        <v>12618.0</v>
      </c>
      <c r="C1535" s="15" t="s">
        <v>7592</v>
      </c>
      <c r="D1535" s="15">
        <v>15484.0</v>
      </c>
      <c r="E1535" s="15" t="s">
        <v>1808</v>
      </c>
      <c r="F1535" s="15" t="s">
        <v>1998</v>
      </c>
      <c r="G1535" s="7">
        <v>2.319</v>
      </c>
      <c r="H1535" s="15" t="s">
        <v>2131</v>
      </c>
      <c r="I1535" s="15" t="s">
        <v>1686</v>
      </c>
      <c r="J1535" s="15" t="s">
        <v>7593</v>
      </c>
      <c r="K1535" s="15">
        <v>2.0</v>
      </c>
      <c r="L1535" s="15">
        <v>4.0</v>
      </c>
      <c r="M1535" s="40">
        <v>34183.0</v>
      </c>
      <c r="N1535" s="40">
        <v>42045.0</v>
      </c>
      <c r="O1535" s="15" t="s">
        <v>1554</v>
      </c>
      <c r="Q1535" s="7"/>
    </row>
    <row r="1536">
      <c r="A1536" s="39" t="s">
        <v>7595</v>
      </c>
      <c r="B1536" s="15">
        <v>10589.0</v>
      </c>
      <c r="C1536" s="15" t="s">
        <v>7596</v>
      </c>
      <c r="D1536" s="15">
        <v>15485.0</v>
      </c>
      <c r="E1536" s="15" t="s">
        <v>1557</v>
      </c>
      <c r="F1536" s="15" t="s">
        <v>1822</v>
      </c>
      <c r="G1536" s="7">
        <v>7.614</v>
      </c>
      <c r="H1536" s="15" t="s">
        <v>1572</v>
      </c>
      <c r="I1536" s="15" t="s">
        <v>1686</v>
      </c>
      <c r="J1536" s="15" t="s">
        <v>7597</v>
      </c>
      <c r="K1536" s="15">
        <v>11.0</v>
      </c>
      <c r="L1536" s="15">
        <v>11.0</v>
      </c>
      <c r="M1536" s="40">
        <v>33403.0</v>
      </c>
      <c r="N1536" s="40">
        <v>40579.0</v>
      </c>
      <c r="O1536" s="15" t="s">
        <v>1554</v>
      </c>
      <c r="Q1536" s="7"/>
    </row>
    <row r="1537">
      <c r="A1537" s="39" t="s">
        <v>7598</v>
      </c>
      <c r="B1537" s="15">
        <v>28311.0</v>
      </c>
      <c r="C1537" s="15" t="s">
        <v>7599</v>
      </c>
      <c r="D1537" s="15">
        <v>15486.0</v>
      </c>
      <c r="E1537" s="15" t="s">
        <v>1557</v>
      </c>
      <c r="F1537" s="15" t="s">
        <v>1822</v>
      </c>
      <c r="G1537" s="7">
        <v>7.348</v>
      </c>
      <c r="H1537" s="15" t="s">
        <v>2524</v>
      </c>
      <c r="I1537" s="15" t="s">
        <v>1686</v>
      </c>
      <c r="J1537" s="15" t="s">
        <v>7600</v>
      </c>
      <c r="K1537" s="15">
        <v>7.0</v>
      </c>
      <c r="L1537" s="15">
        <v>7.0</v>
      </c>
      <c r="M1537" s="40">
        <v>34135.0</v>
      </c>
      <c r="N1537" s="40">
        <v>40579.0</v>
      </c>
      <c r="O1537" s="15" t="s">
        <v>1554</v>
      </c>
      <c r="Q1537" s="7"/>
    </row>
    <row r="1538">
      <c r="A1538" s="39" t="s">
        <v>7601</v>
      </c>
      <c r="B1538" s="15">
        <v>247269.0</v>
      </c>
      <c r="C1538" s="15" t="s">
        <v>7602</v>
      </c>
      <c r="D1538" s="15">
        <v>15488.0</v>
      </c>
      <c r="E1538" s="15" t="s">
        <v>1557</v>
      </c>
      <c r="F1538" s="15" t="s">
        <v>1822</v>
      </c>
      <c r="G1538" s="7">
        <v>7.438</v>
      </c>
      <c r="H1538" s="15" t="s">
        <v>2640</v>
      </c>
      <c r="I1538" s="15" t="s">
        <v>1567</v>
      </c>
      <c r="J1538" s="15" t="s">
        <v>7604</v>
      </c>
      <c r="K1538" s="15">
        <v>7.0</v>
      </c>
      <c r="L1538" s="15">
        <v>7.0</v>
      </c>
      <c r="M1538" s="40">
        <v>37897.0</v>
      </c>
      <c r="N1538" s="40">
        <v>40263.0</v>
      </c>
      <c r="O1538" s="15" t="s">
        <v>1554</v>
      </c>
      <c r="Q1538" s="7"/>
    </row>
    <row r="1539">
      <c r="A1539" s="39" t="s">
        <v>7605</v>
      </c>
      <c r="B1539" s="15">
        <v>12178.0</v>
      </c>
      <c r="C1539" s="15" t="s">
        <v>7606</v>
      </c>
      <c r="D1539" s="15">
        <v>15490.0</v>
      </c>
      <c r="E1539" s="15" t="s">
        <v>1548</v>
      </c>
      <c r="F1539" s="15" t="s">
        <v>1633</v>
      </c>
      <c r="G1539" s="7">
        <v>6.227</v>
      </c>
      <c r="H1539" s="15" t="s">
        <v>2365</v>
      </c>
      <c r="I1539" s="15" t="s">
        <v>1628</v>
      </c>
      <c r="J1539" s="15" t="s">
        <v>7607</v>
      </c>
      <c r="K1539" s="15">
        <v>5.0</v>
      </c>
      <c r="L1539" s="15">
        <v>5.0</v>
      </c>
      <c r="M1539" s="40">
        <v>35569.0</v>
      </c>
      <c r="N1539" s="40">
        <v>39790.0</v>
      </c>
      <c r="O1539" s="15" t="s">
        <v>1554</v>
      </c>
      <c r="Q1539" s="7"/>
    </row>
    <row r="1540">
      <c r="A1540" s="39" t="s">
        <v>7608</v>
      </c>
      <c r="B1540" s="15">
        <v>10583.0</v>
      </c>
      <c r="C1540" s="15" t="s">
        <v>7609</v>
      </c>
      <c r="D1540" s="15">
        <v>15491.0</v>
      </c>
      <c r="E1540" s="15" t="s">
        <v>1557</v>
      </c>
      <c r="F1540" s="15" t="s">
        <v>1822</v>
      </c>
      <c r="G1540" s="7">
        <v>7.815</v>
      </c>
      <c r="H1540" s="15" t="s">
        <v>2640</v>
      </c>
      <c r="I1540" s="15" t="s">
        <v>1567</v>
      </c>
      <c r="J1540" s="15" t="s">
        <v>7610</v>
      </c>
      <c r="K1540" s="15">
        <v>7.0</v>
      </c>
      <c r="L1540" s="15">
        <v>7.0</v>
      </c>
      <c r="M1540" s="40">
        <v>30258.0</v>
      </c>
      <c r="N1540" s="40">
        <v>42045.0</v>
      </c>
      <c r="O1540" s="15" t="s">
        <v>1554</v>
      </c>
      <c r="Q1540" s="7"/>
    </row>
    <row r="1541">
      <c r="A1541" s="39" t="s">
        <v>7611</v>
      </c>
      <c r="B1541" s="15">
        <v>10617.0</v>
      </c>
      <c r="C1541" s="15" t="s">
        <v>7612</v>
      </c>
      <c r="D1541" s="15">
        <v>15492.0</v>
      </c>
      <c r="E1541" s="15" t="s">
        <v>1557</v>
      </c>
      <c r="F1541" s="15" t="s">
        <v>1822</v>
      </c>
      <c r="G1541" s="7">
        <v>7.353</v>
      </c>
      <c r="H1541" s="15" t="s">
        <v>1823</v>
      </c>
      <c r="I1541" s="15" t="s">
        <v>1686</v>
      </c>
      <c r="J1541" s="15" t="s">
        <v>7613</v>
      </c>
      <c r="K1541" s="15">
        <v>7.0</v>
      </c>
      <c r="L1541" s="15">
        <v>7.0</v>
      </c>
      <c r="M1541" s="40">
        <v>34135.0</v>
      </c>
      <c r="N1541" s="40">
        <v>40579.0</v>
      </c>
      <c r="O1541" s="15" t="s">
        <v>1554</v>
      </c>
      <c r="Q1541" s="7"/>
    </row>
    <row r="1542">
      <c r="A1542" s="39" t="s">
        <v>7614</v>
      </c>
      <c r="B1542" s="15">
        <v>334856.0</v>
      </c>
      <c r="C1542" s="15" t="s">
        <v>7615</v>
      </c>
      <c r="D1542" s="15">
        <v>15493.0</v>
      </c>
      <c r="E1542" s="15" t="s">
        <v>1808</v>
      </c>
      <c r="F1542" s="15" t="s">
        <v>2969</v>
      </c>
      <c r="G1542" s="7">
        <v>6.907</v>
      </c>
      <c r="H1542" s="15" t="s">
        <v>7616</v>
      </c>
      <c r="I1542" s="15" t="s">
        <v>1586</v>
      </c>
      <c r="J1542" s="15" t="s">
        <v>7617</v>
      </c>
      <c r="K1542" s="15">
        <v>7.0</v>
      </c>
      <c r="L1542" s="15">
        <v>7.0</v>
      </c>
      <c r="M1542" s="40">
        <v>38537.0</v>
      </c>
      <c r="N1542" s="41">
        <v>39436.0</v>
      </c>
      <c r="O1542" s="15" t="s">
        <v>1554</v>
      </c>
      <c r="Q1542" s="7"/>
    </row>
    <row r="1543">
      <c r="A1543" s="39" t="s">
        <v>7618</v>
      </c>
      <c r="B1543" s="15">
        <v>12194.0</v>
      </c>
      <c r="C1543" s="15" t="s">
        <v>7619</v>
      </c>
      <c r="D1543" s="15">
        <v>15494.0</v>
      </c>
      <c r="E1543" s="15" t="s">
        <v>1548</v>
      </c>
      <c r="F1543" s="15" t="s">
        <v>1633</v>
      </c>
      <c r="G1543" s="7">
        <v>5.823</v>
      </c>
      <c r="H1543" s="15" t="s">
        <v>1957</v>
      </c>
      <c r="I1543" s="15" t="s">
        <v>1628</v>
      </c>
      <c r="J1543" s="15" t="s">
        <v>7621</v>
      </c>
      <c r="K1543" s="15">
        <v>5.0</v>
      </c>
      <c r="L1543" s="15">
        <v>5.0</v>
      </c>
      <c r="M1543" s="40">
        <v>38538.0</v>
      </c>
      <c r="N1543" s="40">
        <v>39224.0</v>
      </c>
      <c r="O1543" s="15" t="s">
        <v>1554</v>
      </c>
      <c r="Q1543" s="7"/>
    </row>
    <row r="1544">
      <c r="A1544" s="39" t="s">
        <v>7622</v>
      </c>
      <c r="B1544" s="15">
        <v>32624.0</v>
      </c>
      <c r="C1544" s="15" t="s">
        <v>7623</v>
      </c>
      <c r="D1544" s="15">
        <v>15495.0</v>
      </c>
      <c r="E1544" s="15" t="s">
        <v>1548</v>
      </c>
      <c r="F1544" s="15" t="s">
        <v>1911</v>
      </c>
      <c r="G1544" s="7">
        <v>9.644</v>
      </c>
      <c r="H1544" s="15" t="s">
        <v>1844</v>
      </c>
      <c r="I1544" s="15" t="s">
        <v>1628</v>
      </c>
      <c r="J1544" s="15" t="s">
        <v>7624</v>
      </c>
      <c r="K1544" s="15">
        <v>2.0</v>
      </c>
      <c r="L1544" s="15">
        <v>2.0</v>
      </c>
      <c r="M1544" s="40">
        <v>37959.0</v>
      </c>
      <c r="N1544" s="40">
        <v>42045.0</v>
      </c>
      <c r="O1544" s="15" t="s">
        <v>1554</v>
      </c>
      <c r="Q1544" s="7"/>
    </row>
    <row r="1545">
      <c r="A1545" s="39" t="s">
        <v>7625</v>
      </c>
      <c r="B1545" s="15">
        <v>223320.0</v>
      </c>
      <c r="C1545" s="15" t="s">
        <v>7626</v>
      </c>
      <c r="D1545" s="15">
        <v>15496.0</v>
      </c>
      <c r="E1545" s="15" t="s">
        <v>1808</v>
      </c>
      <c r="F1545" s="15" t="s">
        <v>1809</v>
      </c>
      <c r="G1545" s="7">
        <v>2.661</v>
      </c>
      <c r="H1545" s="15" t="s">
        <v>2686</v>
      </c>
      <c r="I1545" s="15" t="s">
        <v>1628</v>
      </c>
      <c r="J1545" s="15" t="s">
        <v>7628</v>
      </c>
      <c r="K1545" s="15">
        <v>6.0</v>
      </c>
      <c r="L1545" s="15">
        <v>6.0</v>
      </c>
      <c r="M1545" s="40">
        <v>37363.0</v>
      </c>
      <c r="N1545" s="40">
        <v>39790.0</v>
      </c>
      <c r="O1545" s="15" t="s">
        <v>1554</v>
      </c>
      <c r="Q1545" s="7"/>
    </row>
    <row r="1546">
      <c r="A1546" s="39" t="s">
        <v>7629</v>
      </c>
      <c r="B1546" s="15">
        <v>162145.0</v>
      </c>
      <c r="C1546" s="15" t="s">
        <v>7630</v>
      </c>
      <c r="D1546" s="15">
        <v>15498.0</v>
      </c>
      <c r="E1546" s="15" t="s">
        <v>1548</v>
      </c>
      <c r="F1546" s="15" t="s">
        <v>4800</v>
      </c>
      <c r="G1546" s="7">
        <v>13.335</v>
      </c>
      <c r="H1546" s="15" t="s">
        <v>2699</v>
      </c>
      <c r="I1546" s="15" t="s">
        <v>5707</v>
      </c>
      <c r="J1546" s="15" t="s">
        <v>7631</v>
      </c>
      <c r="K1546" s="15">
        <v>8.0</v>
      </c>
      <c r="L1546" s="15">
        <v>9.0</v>
      </c>
      <c r="M1546" s="40">
        <v>37059.0</v>
      </c>
      <c r="N1546" s="40">
        <v>39790.0</v>
      </c>
      <c r="O1546" s="15" t="s">
        <v>1554</v>
      </c>
      <c r="Q1546" s="7"/>
    </row>
    <row r="1547">
      <c r="A1547" s="39" t="s">
        <v>7632</v>
      </c>
      <c r="B1547" s="15">
        <v>31604.0</v>
      </c>
      <c r="C1547" s="15" t="s">
        <v>7633</v>
      </c>
      <c r="D1547" s="15">
        <v>15499.0</v>
      </c>
      <c r="E1547" s="15" t="s">
        <v>1548</v>
      </c>
      <c r="F1547" s="15" t="s">
        <v>4837</v>
      </c>
      <c r="G1547" s="7">
        <v>15.948</v>
      </c>
      <c r="H1547" s="15" t="s">
        <v>3823</v>
      </c>
      <c r="I1547" s="15" t="s">
        <v>1567</v>
      </c>
      <c r="J1547" s="15" t="s">
        <v>7635</v>
      </c>
      <c r="K1547" s="15">
        <v>8.0</v>
      </c>
      <c r="L1547" s="15">
        <v>8.0</v>
      </c>
      <c r="M1547" s="41">
        <v>38275.0</v>
      </c>
      <c r="N1547" s="40">
        <v>42084.0</v>
      </c>
      <c r="O1547" s="15" t="s">
        <v>1554</v>
      </c>
      <c r="Q1547" s="7"/>
    </row>
    <row r="1548">
      <c r="A1548" s="39" t="s">
        <v>7636</v>
      </c>
      <c r="B1548" s="15">
        <v>11987.0</v>
      </c>
      <c r="C1548" s="15" t="s">
        <v>7637</v>
      </c>
      <c r="D1548" s="15">
        <v>15502.0</v>
      </c>
      <c r="E1548" s="15" t="s">
        <v>1548</v>
      </c>
      <c r="F1548" s="15" t="s">
        <v>2900</v>
      </c>
      <c r="G1548" s="7">
        <v>4.266</v>
      </c>
      <c r="H1548" s="15" t="s">
        <v>4070</v>
      </c>
      <c r="I1548" s="15" t="s">
        <v>1628</v>
      </c>
      <c r="J1548" s="15" t="s">
        <v>7638</v>
      </c>
      <c r="K1548" s="15">
        <v>6.0</v>
      </c>
      <c r="L1548" s="15">
        <v>6.0</v>
      </c>
      <c r="M1548" s="40">
        <v>34183.0</v>
      </c>
      <c r="N1548" s="40">
        <v>39790.0</v>
      </c>
      <c r="O1548" s="15" t="s">
        <v>1554</v>
      </c>
      <c r="Q1548" s="7"/>
    </row>
    <row r="1549">
      <c r="A1549" s="39" t="s">
        <v>7639</v>
      </c>
      <c r="B1549" s="15">
        <v>12183.0</v>
      </c>
      <c r="C1549" s="15" t="s">
        <v>7640</v>
      </c>
      <c r="D1549" s="15">
        <v>15503.0</v>
      </c>
      <c r="E1549" s="15" t="s">
        <v>1548</v>
      </c>
      <c r="F1549" s="15" t="s">
        <v>1633</v>
      </c>
      <c r="G1549" s="7">
        <v>6.435</v>
      </c>
      <c r="H1549" s="15" t="s">
        <v>2484</v>
      </c>
      <c r="I1549" s="15" t="s">
        <v>1628</v>
      </c>
      <c r="J1549" s="15" t="s">
        <v>7641</v>
      </c>
      <c r="K1549" s="15">
        <v>5.0</v>
      </c>
      <c r="L1549" s="15">
        <v>5.0</v>
      </c>
      <c r="M1549" s="40">
        <v>34088.0</v>
      </c>
      <c r="N1549" s="40">
        <v>42045.0</v>
      </c>
      <c r="O1549" s="15" t="s">
        <v>1554</v>
      </c>
      <c r="Q1549" s="7"/>
    </row>
    <row r="1550">
      <c r="A1550" s="39" t="s">
        <v>7642</v>
      </c>
      <c r="B1550" s="15">
        <v>333759.0</v>
      </c>
      <c r="C1550" s="15" t="s">
        <v>7643</v>
      </c>
      <c r="D1550" s="15">
        <v>15504.0</v>
      </c>
      <c r="E1550" s="15" t="s">
        <v>1557</v>
      </c>
      <c r="F1550" s="15" t="s">
        <v>1822</v>
      </c>
      <c r="G1550" s="7">
        <v>7.919</v>
      </c>
      <c r="H1550" s="15" t="s">
        <v>4070</v>
      </c>
      <c r="I1550" s="15" t="s">
        <v>1686</v>
      </c>
      <c r="J1550" s="15" t="s">
        <v>7645</v>
      </c>
      <c r="K1550" s="15">
        <v>6.0</v>
      </c>
      <c r="L1550" s="15">
        <v>7.0</v>
      </c>
      <c r="M1550" s="40">
        <v>34203.0</v>
      </c>
      <c r="N1550" s="40">
        <v>42577.0</v>
      </c>
      <c r="O1550" s="15" t="s">
        <v>1554</v>
      </c>
      <c r="Q1550" s="7"/>
    </row>
    <row r="1551">
      <c r="A1551" s="39" t="s">
        <v>7646</v>
      </c>
      <c r="B1551" s="15">
        <v>333760.0</v>
      </c>
      <c r="C1551" s="15" t="s">
        <v>7647</v>
      </c>
      <c r="D1551" s="15">
        <v>15505.0</v>
      </c>
      <c r="E1551" s="15" t="s">
        <v>1557</v>
      </c>
      <c r="F1551" s="15" t="s">
        <v>1822</v>
      </c>
      <c r="G1551" s="7">
        <v>7.906</v>
      </c>
      <c r="H1551" s="15" t="s">
        <v>4595</v>
      </c>
      <c r="I1551" s="15" t="s">
        <v>1567</v>
      </c>
      <c r="J1551" s="15" t="s">
        <v>7648</v>
      </c>
      <c r="K1551" s="15">
        <v>8.0</v>
      </c>
      <c r="L1551" s="15">
        <v>9.0</v>
      </c>
      <c r="M1551" s="40">
        <v>34183.0</v>
      </c>
      <c r="N1551" s="41">
        <v>42704.0</v>
      </c>
      <c r="O1551" s="15" t="s">
        <v>1554</v>
      </c>
      <c r="Q1551" s="7"/>
    </row>
    <row r="1552">
      <c r="A1552" s="39" t="s">
        <v>7649</v>
      </c>
      <c r="B1552" s="15">
        <v>333761.0</v>
      </c>
      <c r="C1552" s="15" t="s">
        <v>7650</v>
      </c>
      <c r="D1552" s="15">
        <v>15506.0</v>
      </c>
      <c r="E1552" s="15" t="s">
        <v>1557</v>
      </c>
      <c r="F1552" s="15" t="s">
        <v>1822</v>
      </c>
      <c r="G1552" s="7">
        <v>7.857</v>
      </c>
      <c r="H1552" s="15" t="s">
        <v>2524</v>
      </c>
      <c r="I1552" s="15" t="s">
        <v>1567</v>
      </c>
      <c r="J1552" s="15" t="s">
        <v>7651</v>
      </c>
      <c r="K1552" s="15">
        <v>8.0</v>
      </c>
      <c r="L1552" s="15">
        <v>8.0</v>
      </c>
      <c r="M1552" s="40">
        <v>32039.0</v>
      </c>
      <c r="N1552" s="40">
        <v>42045.0</v>
      </c>
      <c r="O1552" s="15" t="s">
        <v>1554</v>
      </c>
      <c r="Q1552" s="7"/>
    </row>
    <row r="1553">
      <c r="A1553" s="39" t="s">
        <v>7652</v>
      </c>
      <c r="B1553" s="15">
        <v>333762.0</v>
      </c>
      <c r="C1553" s="15" t="s">
        <v>7653</v>
      </c>
      <c r="D1553" s="15">
        <v>15507.0</v>
      </c>
      <c r="E1553" s="15" t="s">
        <v>1557</v>
      </c>
      <c r="F1553" s="15" t="s">
        <v>1822</v>
      </c>
      <c r="G1553" s="7">
        <v>7.855</v>
      </c>
      <c r="H1553" s="15" t="s">
        <v>2857</v>
      </c>
      <c r="I1553" s="15" t="s">
        <v>1686</v>
      </c>
      <c r="J1553" s="15" t="s">
        <v>7654</v>
      </c>
      <c r="K1553" s="15">
        <v>6.0</v>
      </c>
      <c r="L1553" s="15">
        <v>6.0</v>
      </c>
      <c r="M1553" s="40">
        <v>34203.0</v>
      </c>
      <c r="N1553" s="40">
        <v>40579.0</v>
      </c>
      <c r="O1553" s="15" t="s">
        <v>1554</v>
      </c>
      <c r="Q1553" s="7"/>
    </row>
    <row r="1554">
      <c r="A1554" s="39" t="s">
        <v>7655</v>
      </c>
      <c r="B1554" s="15">
        <v>333763.0</v>
      </c>
      <c r="C1554" s="15" t="s">
        <v>7656</v>
      </c>
      <c r="D1554" s="15">
        <v>15508.0</v>
      </c>
      <c r="E1554" s="15" t="s">
        <v>1557</v>
      </c>
      <c r="F1554" s="15" t="s">
        <v>1822</v>
      </c>
      <c r="G1554" s="7">
        <v>7.961</v>
      </c>
      <c r="H1554" s="15">
        <v>41.0</v>
      </c>
      <c r="I1554" s="15" t="s">
        <v>1686</v>
      </c>
      <c r="J1554" s="15" t="s">
        <v>7658</v>
      </c>
      <c r="K1554" s="15">
        <v>6.0</v>
      </c>
      <c r="L1554" s="15">
        <v>6.0</v>
      </c>
      <c r="M1554" s="40">
        <v>34203.0</v>
      </c>
      <c r="N1554" s="40">
        <v>40579.0</v>
      </c>
      <c r="O1554" s="15" t="s">
        <v>1554</v>
      </c>
      <c r="Q1554" s="7"/>
    </row>
    <row r="1555">
      <c r="A1555" s="39" t="s">
        <v>7659</v>
      </c>
      <c r="B1555" s="15">
        <v>333764.0</v>
      </c>
      <c r="C1555" s="15" t="s">
        <v>7660</v>
      </c>
      <c r="D1555" s="15">
        <v>15509.0</v>
      </c>
      <c r="E1555" s="15" t="s">
        <v>1557</v>
      </c>
      <c r="F1555" s="15" t="s">
        <v>1822</v>
      </c>
      <c r="G1555" s="7">
        <v>7.723</v>
      </c>
      <c r="H1555" s="15" t="s">
        <v>2342</v>
      </c>
      <c r="I1555" s="15" t="s">
        <v>1686</v>
      </c>
      <c r="J1555" s="15" t="s">
        <v>7661</v>
      </c>
      <c r="K1555" s="15">
        <v>6.0</v>
      </c>
      <c r="L1555" s="15">
        <v>6.0</v>
      </c>
      <c r="M1555" s="40">
        <v>34203.0</v>
      </c>
      <c r="N1555" s="40">
        <v>40579.0</v>
      </c>
      <c r="O1555" s="15" t="s">
        <v>1554</v>
      </c>
      <c r="Q1555" s="7"/>
    </row>
    <row r="1556">
      <c r="A1556" s="39" t="s">
        <v>7662</v>
      </c>
      <c r="B1556" s="15">
        <v>333765.0</v>
      </c>
      <c r="C1556" s="15" t="s">
        <v>7663</v>
      </c>
      <c r="D1556" s="15">
        <v>15510.0</v>
      </c>
      <c r="E1556" s="15" t="s">
        <v>1557</v>
      </c>
      <c r="F1556" s="15" t="s">
        <v>1822</v>
      </c>
      <c r="G1556" s="7">
        <v>7.856</v>
      </c>
      <c r="H1556" s="15" t="s">
        <v>2451</v>
      </c>
      <c r="I1556" s="15" t="s">
        <v>1686</v>
      </c>
      <c r="J1556" s="15" t="s">
        <v>7664</v>
      </c>
      <c r="K1556" s="15">
        <v>7.0</v>
      </c>
      <c r="L1556" s="15">
        <v>7.0</v>
      </c>
      <c r="M1556" s="40">
        <v>34203.0</v>
      </c>
      <c r="N1556" s="40">
        <v>42045.0</v>
      </c>
      <c r="O1556" s="15" t="s">
        <v>1554</v>
      </c>
      <c r="Q1556" s="7"/>
    </row>
    <row r="1557">
      <c r="A1557" s="39" t="s">
        <v>7665</v>
      </c>
      <c r="B1557" s="15">
        <v>10584.0</v>
      </c>
      <c r="C1557" s="15" t="s">
        <v>7666</v>
      </c>
      <c r="D1557" s="15">
        <v>15512.0</v>
      </c>
      <c r="E1557" s="15" t="s">
        <v>1557</v>
      </c>
      <c r="F1557" s="15" t="s">
        <v>1822</v>
      </c>
      <c r="G1557" s="7">
        <v>7.86</v>
      </c>
      <c r="H1557" s="15" t="s">
        <v>2279</v>
      </c>
      <c r="I1557" s="15" t="s">
        <v>1567</v>
      </c>
      <c r="J1557" s="15" t="s">
        <v>7668</v>
      </c>
      <c r="K1557" s="15">
        <v>7.0</v>
      </c>
      <c r="L1557" s="15">
        <v>7.0</v>
      </c>
      <c r="M1557" s="40">
        <v>33287.0</v>
      </c>
      <c r="N1557" s="40">
        <v>42045.0</v>
      </c>
      <c r="O1557" s="15" t="s">
        <v>1554</v>
      </c>
      <c r="Q1557" s="7"/>
    </row>
    <row r="1558">
      <c r="A1558" s="39" t="s">
        <v>7669</v>
      </c>
      <c r="B1558" s="15">
        <v>291270.0</v>
      </c>
      <c r="C1558" s="15" t="s">
        <v>7670</v>
      </c>
      <c r="D1558" s="15">
        <v>15514.0</v>
      </c>
      <c r="E1558" s="15" t="s">
        <v>2014</v>
      </c>
      <c r="F1558" s="15" t="s">
        <v>2018</v>
      </c>
      <c r="G1558" s="7">
        <v>1.346</v>
      </c>
      <c r="H1558" s="15" t="s">
        <v>2869</v>
      </c>
      <c r="I1558" s="15" t="s">
        <v>1628</v>
      </c>
      <c r="J1558" s="15" t="s">
        <v>7671</v>
      </c>
      <c r="K1558" s="15">
        <v>1.0</v>
      </c>
      <c r="L1558" s="15">
        <v>1.0</v>
      </c>
      <c r="M1558" s="40">
        <v>38217.0</v>
      </c>
      <c r="N1558" s="40">
        <v>39790.0</v>
      </c>
      <c r="O1558" s="15" t="s">
        <v>1554</v>
      </c>
      <c r="Q1558" s="7"/>
    </row>
    <row r="1559">
      <c r="A1559" s="39" t="s">
        <v>7672</v>
      </c>
      <c r="B1559" s="15">
        <v>329288.0</v>
      </c>
      <c r="C1559" s="15" t="s">
        <v>7673</v>
      </c>
      <c r="D1559" s="15">
        <v>15515.0</v>
      </c>
      <c r="E1559" s="15" t="s">
        <v>2014</v>
      </c>
      <c r="F1559" s="15" t="s">
        <v>2018</v>
      </c>
      <c r="G1559" s="7">
        <v>1.323</v>
      </c>
      <c r="H1559" s="15" t="s">
        <v>6303</v>
      </c>
      <c r="I1559" s="15" t="s">
        <v>1628</v>
      </c>
      <c r="J1559" s="15" t="s">
        <v>7674</v>
      </c>
      <c r="K1559" s="15">
        <v>1.0</v>
      </c>
      <c r="L1559" s="15">
        <v>1.0</v>
      </c>
      <c r="M1559" s="40">
        <v>38491.0</v>
      </c>
      <c r="N1559" s="40">
        <v>42457.0</v>
      </c>
      <c r="O1559" s="15" t="s">
        <v>1554</v>
      </c>
      <c r="Q1559" s="7"/>
    </row>
    <row r="1560">
      <c r="A1560" s="39" t="s">
        <v>7675</v>
      </c>
      <c r="B1560" s="15">
        <v>12142.0</v>
      </c>
      <c r="C1560" s="15" t="s">
        <v>7676</v>
      </c>
      <c r="D1560" s="15">
        <v>15517.0</v>
      </c>
      <c r="E1560" s="15" t="s">
        <v>1548</v>
      </c>
      <c r="F1560" s="15" t="s">
        <v>2900</v>
      </c>
      <c r="G1560" s="7">
        <v>4.789</v>
      </c>
      <c r="H1560" s="15" t="s">
        <v>5368</v>
      </c>
      <c r="I1560" s="15" t="s">
        <v>1628</v>
      </c>
      <c r="J1560" s="15" t="s">
        <v>7678</v>
      </c>
      <c r="K1560" s="15">
        <v>7.0</v>
      </c>
      <c r="L1560" s="15">
        <v>5.0</v>
      </c>
      <c r="M1560" s="40">
        <v>33753.0</v>
      </c>
      <c r="N1560" s="40">
        <v>40579.0</v>
      </c>
      <c r="O1560" s="15" t="s">
        <v>1554</v>
      </c>
      <c r="Q1560" s="7"/>
    </row>
    <row r="1561">
      <c r="A1561" s="39" t="s">
        <v>7679</v>
      </c>
      <c r="B1561" s="15">
        <v>11983.0</v>
      </c>
      <c r="C1561" s="15" t="s">
        <v>7680</v>
      </c>
      <c r="D1561" s="15">
        <v>15520.0</v>
      </c>
      <c r="E1561" s="15" t="s">
        <v>1548</v>
      </c>
      <c r="F1561" s="15" t="s">
        <v>4829</v>
      </c>
      <c r="G1561" s="7">
        <v>7.654</v>
      </c>
      <c r="H1561" s="15">
        <v>48.0</v>
      </c>
      <c r="I1561" s="15" t="s">
        <v>1567</v>
      </c>
      <c r="J1561" s="15" t="s">
        <v>7681</v>
      </c>
      <c r="K1561" s="15">
        <v>3.0</v>
      </c>
      <c r="L1561" s="15">
        <v>3.0</v>
      </c>
      <c r="M1561" s="40">
        <v>34183.0</v>
      </c>
      <c r="N1561" s="40">
        <v>42447.0</v>
      </c>
      <c r="O1561" s="15" t="s">
        <v>1554</v>
      </c>
      <c r="Q1561" s="7"/>
    </row>
    <row r="1562">
      <c r="A1562" s="39" t="s">
        <v>7682</v>
      </c>
      <c r="B1562" s="15">
        <v>46473.0</v>
      </c>
      <c r="C1562" s="15" t="s">
        <v>7683</v>
      </c>
      <c r="D1562" s="15">
        <v>15881.0</v>
      </c>
      <c r="E1562" s="15" t="s">
        <v>1548</v>
      </c>
      <c r="F1562" s="15" t="s">
        <v>1684</v>
      </c>
      <c r="G1562" s="7">
        <v>28.475</v>
      </c>
      <c r="H1562" s="15">
        <v>38.0</v>
      </c>
      <c r="I1562" s="15" t="s">
        <v>1686</v>
      </c>
      <c r="J1562" s="15" t="s">
        <v>7684</v>
      </c>
      <c r="K1562" s="15">
        <v>6.0</v>
      </c>
      <c r="L1562" s="15">
        <v>6.0</v>
      </c>
      <c r="M1562" s="40">
        <v>38601.0</v>
      </c>
      <c r="N1562" s="41">
        <v>41621.0</v>
      </c>
      <c r="O1562" s="15" t="s">
        <v>1554</v>
      </c>
      <c r="Q1562" s="7"/>
    </row>
    <row r="1563">
      <c r="A1563" s="39" t="s">
        <v>7685</v>
      </c>
      <c r="B1563" s="15">
        <v>64003.0</v>
      </c>
      <c r="C1563" s="15" t="s">
        <v>7687</v>
      </c>
      <c r="D1563" s="15">
        <v>15884.0</v>
      </c>
      <c r="E1563" s="15" t="s">
        <v>1548</v>
      </c>
      <c r="F1563" s="15" t="s">
        <v>1790</v>
      </c>
      <c r="G1563" s="7">
        <v>16.494</v>
      </c>
      <c r="H1563" s="15">
        <v>46.0</v>
      </c>
      <c r="I1563" s="15" t="s">
        <v>1628</v>
      </c>
      <c r="J1563" s="15" t="s">
        <v>7688</v>
      </c>
      <c r="K1563" s="15">
        <v>9.0</v>
      </c>
      <c r="L1563" s="15">
        <v>9.0</v>
      </c>
      <c r="M1563" s="40">
        <v>38565.0</v>
      </c>
      <c r="N1563" s="40">
        <v>42577.0</v>
      </c>
      <c r="O1563" s="15" t="s">
        <v>1554</v>
      </c>
      <c r="Q1563" s="7"/>
    </row>
    <row r="1564">
      <c r="A1564" s="39" t="s">
        <v>7689</v>
      </c>
      <c r="B1564" s="15">
        <v>322067.0</v>
      </c>
      <c r="C1564" s="15" t="s">
        <v>7690</v>
      </c>
      <c r="D1564" s="15">
        <v>15892.0</v>
      </c>
      <c r="E1564" s="15" t="s">
        <v>1548</v>
      </c>
      <c r="F1564" s="15" t="s">
        <v>4837</v>
      </c>
      <c r="G1564" s="7">
        <v>18.954</v>
      </c>
      <c r="H1564" s="15">
        <v>41.0</v>
      </c>
      <c r="I1564" s="15" t="s">
        <v>1567</v>
      </c>
      <c r="J1564" s="15" t="s">
        <v>7691</v>
      </c>
      <c r="K1564" s="15">
        <v>8.0</v>
      </c>
      <c r="L1564" s="15">
        <v>11.0</v>
      </c>
      <c r="M1564" s="40">
        <v>38567.0</v>
      </c>
      <c r="N1564" s="40">
        <v>40148.0</v>
      </c>
      <c r="O1564" s="15" t="s">
        <v>1554</v>
      </c>
      <c r="Q1564" s="7"/>
    </row>
    <row r="1565">
      <c r="A1565" s="39" t="s">
        <v>7692</v>
      </c>
      <c r="B1565" s="15">
        <v>329641.0</v>
      </c>
      <c r="C1565" s="15" t="s">
        <v>7693</v>
      </c>
      <c r="D1565" s="15">
        <v>15895.0</v>
      </c>
      <c r="E1565" s="15" t="s">
        <v>1808</v>
      </c>
      <c r="F1565" s="15" t="s">
        <v>2436</v>
      </c>
      <c r="G1565" s="7">
        <v>5.299</v>
      </c>
      <c r="H1565" s="15" t="s">
        <v>2023</v>
      </c>
      <c r="I1565" s="15" t="s">
        <v>1567</v>
      </c>
      <c r="J1565" s="15" t="s">
        <v>7694</v>
      </c>
      <c r="K1565" s="15">
        <v>4.0</v>
      </c>
      <c r="L1565" s="15">
        <v>4.0</v>
      </c>
      <c r="M1565" s="40">
        <v>38588.0</v>
      </c>
      <c r="N1565" s="40">
        <v>40206.0</v>
      </c>
      <c r="O1565" s="15" t="s">
        <v>1554</v>
      </c>
      <c r="Q1565" s="7"/>
    </row>
    <row r="1566">
      <c r="A1566" s="39" t="s">
        <v>7695</v>
      </c>
      <c r="B1566" s="15">
        <v>279383.0</v>
      </c>
      <c r="C1566" s="15" t="s">
        <v>7696</v>
      </c>
      <c r="D1566" s="15">
        <v>16076.0</v>
      </c>
      <c r="E1566" s="15" t="s">
        <v>1557</v>
      </c>
      <c r="F1566" s="15" t="s">
        <v>1833</v>
      </c>
      <c r="G1566" s="7">
        <v>63.649</v>
      </c>
      <c r="H1566" s="15" t="s">
        <v>2098</v>
      </c>
      <c r="I1566" s="15" t="s">
        <v>1586</v>
      </c>
      <c r="J1566" s="15" t="s">
        <v>7698</v>
      </c>
      <c r="K1566" s="15">
        <v>90.0</v>
      </c>
      <c r="L1566" s="15">
        <v>90.0</v>
      </c>
      <c r="M1566" s="40">
        <v>38415.0</v>
      </c>
      <c r="N1566" s="40">
        <v>39216.0</v>
      </c>
      <c r="O1566" s="15" t="s">
        <v>1554</v>
      </c>
      <c r="Q1566" s="7"/>
    </row>
    <row r="1567">
      <c r="A1567" s="39" t="s">
        <v>7699</v>
      </c>
      <c r="B1567" s="15">
        <v>348137.0</v>
      </c>
      <c r="C1567" s="15" t="s">
        <v>7700</v>
      </c>
      <c r="D1567" s="15">
        <v>16102.0</v>
      </c>
      <c r="E1567" s="15" t="s">
        <v>1557</v>
      </c>
      <c r="F1567" s="15" t="s">
        <v>1833</v>
      </c>
      <c r="G1567" s="7">
        <v>44.856</v>
      </c>
      <c r="H1567" s="15" t="s">
        <v>2038</v>
      </c>
      <c r="I1567" s="15" t="s">
        <v>1586</v>
      </c>
      <c r="J1567" s="15" t="s">
        <v>7701</v>
      </c>
      <c r="K1567" s="15">
        <v>81.0</v>
      </c>
      <c r="L1567" s="15">
        <v>81.0</v>
      </c>
      <c r="M1567" s="40">
        <v>38634.0</v>
      </c>
      <c r="N1567" s="41">
        <v>41238.0</v>
      </c>
      <c r="O1567" s="15" t="s">
        <v>1554</v>
      </c>
      <c r="Q1567" s="7"/>
    </row>
    <row r="1568">
      <c r="A1568" s="39" t="s">
        <v>7702</v>
      </c>
      <c r="B1568" s="15">
        <v>36427.0</v>
      </c>
      <c r="C1568" s="15" t="s">
        <v>7703</v>
      </c>
      <c r="D1568" s="15">
        <v>16140.0</v>
      </c>
      <c r="E1568" s="15" t="s">
        <v>1638</v>
      </c>
      <c r="F1568" s="15" t="s">
        <v>1863</v>
      </c>
      <c r="G1568" s="7">
        <v>17.91</v>
      </c>
      <c r="H1568" s="15" t="s">
        <v>7704</v>
      </c>
      <c r="I1568" s="15" t="s">
        <v>1567</v>
      </c>
      <c r="J1568" s="15" t="s">
        <v>7705</v>
      </c>
      <c r="K1568" s="15">
        <v>11.0</v>
      </c>
      <c r="L1568" s="15">
        <v>11.0</v>
      </c>
      <c r="M1568" s="40">
        <v>33802.0</v>
      </c>
      <c r="N1568" s="40">
        <v>39790.0</v>
      </c>
      <c r="O1568" s="15" t="s">
        <v>1554</v>
      </c>
      <c r="Q1568" s="7"/>
    </row>
    <row r="1569">
      <c r="A1569" s="39" t="s">
        <v>7706</v>
      </c>
      <c r="B1569" s="15">
        <v>158372.0</v>
      </c>
      <c r="C1569" s="15" t="s">
        <v>7708</v>
      </c>
      <c r="D1569" s="15">
        <v>16141.0</v>
      </c>
      <c r="E1569" s="15" t="s">
        <v>1638</v>
      </c>
      <c r="F1569" s="15" t="s">
        <v>2508</v>
      </c>
      <c r="G1569" s="7">
        <v>12.64</v>
      </c>
      <c r="H1569" s="15" t="s">
        <v>7709</v>
      </c>
      <c r="I1569" s="15" t="s">
        <v>1552</v>
      </c>
      <c r="J1569" s="15" t="s">
        <v>7710</v>
      </c>
      <c r="K1569" s="15">
        <v>4.0</v>
      </c>
      <c r="L1569" s="15">
        <v>4.0</v>
      </c>
      <c r="M1569" s="40">
        <v>37488.0</v>
      </c>
      <c r="N1569" s="41">
        <v>40147.0</v>
      </c>
      <c r="O1569" s="15" t="s">
        <v>1554</v>
      </c>
      <c r="Q1569" s="7"/>
    </row>
    <row r="1570">
      <c r="A1570" s="39" t="s">
        <v>7711</v>
      </c>
      <c r="B1570" s="15">
        <v>210827.0</v>
      </c>
      <c r="C1570" s="15" t="s">
        <v>7712</v>
      </c>
      <c r="D1570" s="15">
        <v>16142.0</v>
      </c>
      <c r="E1570" s="15" t="s">
        <v>1638</v>
      </c>
      <c r="F1570" s="15" t="s">
        <v>1639</v>
      </c>
      <c r="G1570" s="7">
        <v>4.975</v>
      </c>
      <c r="H1570" s="15" t="s">
        <v>6118</v>
      </c>
      <c r="I1570" s="15" t="s">
        <v>1552</v>
      </c>
      <c r="J1570" s="15" t="s">
        <v>7713</v>
      </c>
      <c r="K1570" s="15">
        <v>2.0</v>
      </c>
      <c r="L1570" s="15">
        <v>2.0</v>
      </c>
      <c r="M1570" s="40">
        <v>37622.0</v>
      </c>
      <c r="N1570" s="40">
        <v>40148.0</v>
      </c>
      <c r="O1570" s="15" t="s">
        <v>1554</v>
      </c>
      <c r="Q1570" s="7"/>
    </row>
    <row r="1571">
      <c r="A1571" s="39" t="s">
        <v>7714</v>
      </c>
      <c r="B1571" s="15">
        <v>311229.0</v>
      </c>
      <c r="C1571" s="15" t="s">
        <v>7715</v>
      </c>
      <c r="D1571" s="15">
        <v>16143.0</v>
      </c>
      <c r="E1571" s="15" t="s">
        <v>1638</v>
      </c>
      <c r="F1571" s="15" t="s">
        <v>1863</v>
      </c>
      <c r="G1571" s="7">
        <v>24.755</v>
      </c>
      <c r="H1571" s="15" t="s">
        <v>7716</v>
      </c>
      <c r="I1571" s="15" t="s">
        <v>1552</v>
      </c>
      <c r="J1571" s="15" t="s">
        <v>7717</v>
      </c>
      <c r="K1571" s="15">
        <v>12.0</v>
      </c>
      <c r="L1571" s="15">
        <v>12.0</v>
      </c>
      <c r="M1571" s="40">
        <v>37482.0</v>
      </c>
      <c r="N1571" s="40">
        <v>39210.0</v>
      </c>
      <c r="O1571" s="15" t="s">
        <v>1554</v>
      </c>
      <c r="Q1571" s="7"/>
    </row>
    <row r="1572">
      <c r="A1572" s="39" t="s">
        <v>7718</v>
      </c>
      <c r="B1572" s="15">
        <v>335103.0</v>
      </c>
      <c r="C1572" s="15" t="s">
        <v>7720</v>
      </c>
      <c r="D1572" s="15">
        <v>16144.0</v>
      </c>
      <c r="E1572" s="15" t="s">
        <v>1638</v>
      </c>
      <c r="F1572" s="15" t="s">
        <v>1863</v>
      </c>
      <c r="G1572" s="7">
        <v>17.961</v>
      </c>
      <c r="H1572" s="15" t="s">
        <v>7721</v>
      </c>
      <c r="I1572" s="15" t="s">
        <v>1567</v>
      </c>
      <c r="J1572" s="15" t="s">
        <v>7722</v>
      </c>
      <c r="K1572" s="15">
        <v>11.0</v>
      </c>
      <c r="L1572" s="15">
        <v>11.0</v>
      </c>
      <c r="M1572" s="40">
        <v>38579.0</v>
      </c>
      <c r="N1572" s="40">
        <v>39709.0</v>
      </c>
      <c r="O1572" s="15" t="s">
        <v>1554</v>
      </c>
      <c r="Q1572" s="7"/>
    </row>
    <row r="1573">
      <c r="A1573" s="39" t="s">
        <v>7723</v>
      </c>
      <c r="B1573" s="15">
        <v>352248.0</v>
      </c>
      <c r="C1573" s="15" t="s">
        <v>7724</v>
      </c>
      <c r="D1573" s="15">
        <v>16145.0</v>
      </c>
      <c r="E1573" s="15" t="s">
        <v>1638</v>
      </c>
      <c r="F1573" s="15" t="s">
        <v>1863</v>
      </c>
      <c r="G1573" s="7">
        <v>25.194</v>
      </c>
      <c r="H1573" s="15" t="s">
        <v>7725</v>
      </c>
      <c r="I1573" s="15" t="s">
        <v>1560</v>
      </c>
      <c r="J1573" s="15" t="s">
        <v>7726</v>
      </c>
      <c r="K1573" s="15">
        <v>10.0</v>
      </c>
      <c r="L1573" s="15">
        <v>10.0</v>
      </c>
      <c r="M1573" s="41">
        <v>38654.0</v>
      </c>
      <c r="N1573" s="40">
        <v>40148.0</v>
      </c>
      <c r="O1573" s="15" t="s">
        <v>1554</v>
      </c>
      <c r="Q1573" s="7"/>
    </row>
    <row r="1574">
      <c r="A1574" s="39" t="s">
        <v>7727</v>
      </c>
      <c r="B1574" s="15">
        <v>11080.0</v>
      </c>
      <c r="C1574" s="15" t="s">
        <v>7729</v>
      </c>
      <c r="D1574" s="15">
        <v>16150.0</v>
      </c>
      <c r="E1574" s="15" t="s">
        <v>1548</v>
      </c>
      <c r="F1574" s="15" t="s">
        <v>1801</v>
      </c>
      <c r="G1574" s="7">
        <v>10.94</v>
      </c>
      <c r="H1574" s="15" t="s">
        <v>1670</v>
      </c>
      <c r="I1574" s="15" t="s">
        <v>1803</v>
      </c>
      <c r="J1574" s="15" t="s">
        <v>7730</v>
      </c>
      <c r="K1574" s="15">
        <v>1.0</v>
      </c>
      <c r="L1574" s="15">
        <v>1.0</v>
      </c>
      <c r="M1574" s="40">
        <v>38660.0</v>
      </c>
      <c r="N1574" s="41">
        <v>42726.0</v>
      </c>
      <c r="O1574" s="15" t="s">
        <v>1554</v>
      </c>
      <c r="Q1574" s="7"/>
    </row>
    <row r="1575">
      <c r="A1575" s="39" t="s">
        <v>7731</v>
      </c>
      <c r="B1575" s="15">
        <v>12336.0</v>
      </c>
      <c r="C1575" s="15" t="s">
        <v>7732</v>
      </c>
      <c r="D1575" s="15">
        <v>16151.0</v>
      </c>
      <c r="E1575" s="15" t="s">
        <v>1557</v>
      </c>
      <c r="F1575" s="15" t="s">
        <v>1767</v>
      </c>
      <c r="G1575" s="7">
        <v>185.683</v>
      </c>
      <c r="H1575" s="42">
        <v>43185.0</v>
      </c>
      <c r="I1575" s="15" t="s">
        <v>1586</v>
      </c>
      <c r="J1575" s="15" t="s">
        <v>7733</v>
      </c>
      <c r="K1575" s="15">
        <v>198.0</v>
      </c>
      <c r="L1575" s="15">
        <v>198.0</v>
      </c>
      <c r="M1575" s="40">
        <v>38658.0</v>
      </c>
      <c r="N1575" s="41">
        <v>40534.0</v>
      </c>
      <c r="O1575" s="15" t="s">
        <v>1554</v>
      </c>
      <c r="Q1575" s="7"/>
    </row>
    <row r="1576">
      <c r="A1576" s="39" t="s">
        <v>7735</v>
      </c>
      <c r="B1576" s="15">
        <v>235994.0</v>
      </c>
      <c r="C1576" s="15" t="s">
        <v>7736</v>
      </c>
      <c r="D1576" s="15">
        <v>16156.0</v>
      </c>
      <c r="E1576" s="15" t="s">
        <v>1638</v>
      </c>
      <c r="F1576" s="15" t="s">
        <v>1796</v>
      </c>
      <c r="G1576" s="7">
        <v>4.578</v>
      </c>
      <c r="H1576" s="15" t="s">
        <v>7737</v>
      </c>
      <c r="I1576" s="15" t="s">
        <v>1628</v>
      </c>
      <c r="J1576" s="15" t="s">
        <v>7738</v>
      </c>
      <c r="K1576" s="15">
        <v>2.0</v>
      </c>
      <c r="L1576" s="15">
        <v>2.0</v>
      </c>
      <c r="M1576" s="40">
        <v>38479.0</v>
      </c>
      <c r="N1576" s="40">
        <v>39840.0</v>
      </c>
      <c r="O1576" s="15" t="s">
        <v>1554</v>
      </c>
      <c r="Q1576" s="7"/>
    </row>
    <row r="1577">
      <c r="A1577" s="39" t="s">
        <v>7739</v>
      </c>
      <c r="B1577" s="15">
        <v>173082.0</v>
      </c>
      <c r="C1577" s="15" t="s">
        <v>7740</v>
      </c>
      <c r="D1577" s="15">
        <v>16158.0</v>
      </c>
      <c r="E1577" s="15" t="s">
        <v>1638</v>
      </c>
      <c r="F1577" s="15" t="s">
        <v>1863</v>
      </c>
      <c r="G1577" s="7">
        <v>23.015</v>
      </c>
      <c r="H1577" s="15" t="s">
        <v>7741</v>
      </c>
      <c r="I1577" s="15" t="s">
        <v>1686</v>
      </c>
      <c r="J1577" s="15" t="s">
        <v>7743</v>
      </c>
      <c r="K1577" s="15">
        <v>9.0</v>
      </c>
      <c r="L1577" s="15">
        <v>9.0</v>
      </c>
      <c r="M1577" s="41">
        <v>37209.0</v>
      </c>
      <c r="N1577" s="40">
        <v>40291.0</v>
      </c>
      <c r="O1577" s="15" t="s">
        <v>1554</v>
      </c>
      <c r="Q1577" s="7"/>
    </row>
    <row r="1578">
      <c r="A1578" s="39" t="s">
        <v>7744</v>
      </c>
      <c r="B1578" s="15">
        <v>355246.0</v>
      </c>
      <c r="C1578" s="15" t="s">
        <v>7745</v>
      </c>
      <c r="D1578" s="15">
        <v>16178.0</v>
      </c>
      <c r="E1578" s="15" t="s">
        <v>1557</v>
      </c>
      <c r="F1578" s="15" t="s">
        <v>1833</v>
      </c>
      <c r="G1578" s="7">
        <v>46.219</v>
      </c>
      <c r="H1578" s="15" t="s">
        <v>1818</v>
      </c>
      <c r="I1578" s="15" t="s">
        <v>1586</v>
      </c>
      <c r="J1578" s="15" t="s">
        <v>7746</v>
      </c>
      <c r="K1578" s="15">
        <v>75.0</v>
      </c>
      <c r="L1578" s="15">
        <v>75.0</v>
      </c>
      <c r="M1578" s="40">
        <v>38660.0</v>
      </c>
      <c r="N1578" s="40">
        <v>39209.0</v>
      </c>
      <c r="O1578" s="15" t="s">
        <v>1554</v>
      </c>
      <c r="Q1578" s="7"/>
    </row>
    <row r="1579">
      <c r="A1579" s="39" t="s">
        <v>7748</v>
      </c>
      <c r="B1579" s="15">
        <v>70823.0</v>
      </c>
      <c r="C1579" s="15" t="s">
        <v>7749</v>
      </c>
      <c r="D1579" s="15">
        <v>16188.0</v>
      </c>
      <c r="E1579" s="15" t="s">
        <v>1548</v>
      </c>
      <c r="F1579" s="15" t="s">
        <v>2032</v>
      </c>
      <c r="G1579" s="7">
        <v>6.181</v>
      </c>
      <c r="H1579" s="15" t="s">
        <v>3798</v>
      </c>
      <c r="I1579" s="15" t="s">
        <v>2034</v>
      </c>
      <c r="J1579" s="15" t="s">
        <v>7750</v>
      </c>
      <c r="K1579" s="15">
        <v>3.0</v>
      </c>
      <c r="L1579" s="15">
        <v>3.0</v>
      </c>
      <c r="M1579" s="40">
        <v>38657.0</v>
      </c>
      <c r="N1579" s="40">
        <v>40185.0</v>
      </c>
      <c r="O1579" s="15" t="s">
        <v>1554</v>
      </c>
      <c r="Q1579" s="7"/>
    </row>
    <row r="1580">
      <c r="A1580" s="39" t="s">
        <v>7751</v>
      </c>
      <c r="B1580" s="15">
        <v>46771.0</v>
      </c>
      <c r="C1580" s="15" t="s">
        <v>7752</v>
      </c>
      <c r="D1580" s="15">
        <v>16189.0</v>
      </c>
      <c r="E1580" s="15" t="s">
        <v>1557</v>
      </c>
      <c r="F1580" s="15" t="s">
        <v>2004</v>
      </c>
      <c r="G1580" s="7">
        <v>5.23</v>
      </c>
      <c r="H1580" s="15" t="s">
        <v>2820</v>
      </c>
      <c r="I1580" s="15" t="s">
        <v>1686</v>
      </c>
      <c r="J1580" s="15" t="s">
        <v>7754</v>
      </c>
      <c r="K1580" s="15">
        <v>6.0</v>
      </c>
      <c r="L1580" s="15">
        <v>6.0</v>
      </c>
      <c r="M1580" s="40">
        <v>38628.0</v>
      </c>
      <c r="N1580" s="40">
        <v>42583.0</v>
      </c>
      <c r="O1580" s="15" t="s">
        <v>1554</v>
      </c>
      <c r="Q1580" s="7"/>
    </row>
    <row r="1581">
      <c r="A1581" s="39" t="s">
        <v>7755</v>
      </c>
      <c r="B1581" s="15">
        <v>273133.0</v>
      </c>
      <c r="C1581" s="15" t="s">
        <v>7756</v>
      </c>
      <c r="D1581" s="15">
        <v>16199.0</v>
      </c>
      <c r="E1581" s="15" t="s">
        <v>1557</v>
      </c>
      <c r="F1581" s="15" t="s">
        <v>1767</v>
      </c>
      <c r="G1581" s="7">
        <v>211.215</v>
      </c>
      <c r="H1581" s="15" t="s">
        <v>3798</v>
      </c>
      <c r="I1581" s="15" t="s">
        <v>1586</v>
      </c>
      <c r="J1581" s="15" t="s">
        <v>7757</v>
      </c>
      <c r="K1581" s="15">
        <v>201.0</v>
      </c>
      <c r="L1581" s="15">
        <v>201.0</v>
      </c>
      <c r="M1581" s="41">
        <v>38680.0</v>
      </c>
      <c r="N1581" s="41">
        <v>39436.0</v>
      </c>
      <c r="O1581" s="15" t="s">
        <v>1554</v>
      </c>
      <c r="Q1581" s="7"/>
    </row>
    <row r="1582">
      <c r="A1582" s="39" t="s">
        <v>7758</v>
      </c>
      <c r="B1582" s="15">
        <v>340921.0</v>
      </c>
      <c r="C1582" s="15" t="s">
        <v>7759</v>
      </c>
      <c r="D1582" s="15">
        <v>16201.0</v>
      </c>
      <c r="E1582" s="15" t="s">
        <v>1548</v>
      </c>
      <c r="F1582" s="15" t="s">
        <v>1578</v>
      </c>
      <c r="G1582" s="7">
        <v>11.034</v>
      </c>
      <c r="H1582" s="15" t="s">
        <v>2580</v>
      </c>
      <c r="I1582" s="15" t="s">
        <v>1560</v>
      </c>
      <c r="J1582" s="15" t="s">
        <v>7760</v>
      </c>
      <c r="K1582" s="15">
        <v>1.0</v>
      </c>
      <c r="L1582" s="15">
        <v>1.0</v>
      </c>
      <c r="M1582" s="41">
        <v>38645.0</v>
      </c>
      <c r="N1582" s="40">
        <v>40248.0</v>
      </c>
      <c r="O1582" s="15" t="s">
        <v>1554</v>
      </c>
      <c r="Q1582" s="7"/>
    </row>
    <row r="1583">
      <c r="A1583" s="39" t="s">
        <v>7761</v>
      </c>
      <c r="B1583" s="15">
        <v>1001533.0</v>
      </c>
      <c r="C1583" s="15" t="s">
        <v>7762</v>
      </c>
      <c r="D1583" s="15">
        <v>16202.0</v>
      </c>
      <c r="E1583" s="15" t="s">
        <v>1557</v>
      </c>
      <c r="F1583" s="15" t="s">
        <v>1822</v>
      </c>
      <c r="G1583" s="7">
        <v>7.412</v>
      </c>
      <c r="H1583" s="15" t="s">
        <v>7408</v>
      </c>
      <c r="I1583" s="15" t="s">
        <v>1686</v>
      </c>
      <c r="J1583" s="15" t="s">
        <v>7764</v>
      </c>
      <c r="K1583" s="15">
        <v>7.0</v>
      </c>
      <c r="L1583" s="15">
        <v>7.0</v>
      </c>
      <c r="M1583" s="41">
        <v>38654.0</v>
      </c>
      <c r="N1583" s="40">
        <v>40627.0</v>
      </c>
      <c r="O1583" s="15" t="s">
        <v>1554</v>
      </c>
      <c r="Q1583" s="7"/>
    </row>
    <row r="1584">
      <c r="A1584" s="39" t="s">
        <v>7765</v>
      </c>
      <c r="B1584" s="15">
        <v>152219.0</v>
      </c>
      <c r="C1584" s="15" t="s">
        <v>7766</v>
      </c>
      <c r="D1584" s="15">
        <v>16205.0</v>
      </c>
      <c r="E1584" s="15" t="s">
        <v>1548</v>
      </c>
      <c r="F1584" s="15" t="s">
        <v>4837</v>
      </c>
      <c r="G1584" s="7">
        <v>15.516</v>
      </c>
      <c r="H1584" s="15" t="s">
        <v>2023</v>
      </c>
      <c r="I1584" s="15" t="s">
        <v>1567</v>
      </c>
      <c r="J1584" s="15" t="s">
        <v>7767</v>
      </c>
      <c r="K1584" s="15">
        <v>6.0</v>
      </c>
      <c r="L1584" s="15">
        <v>7.0</v>
      </c>
      <c r="M1584" s="40">
        <v>37056.0</v>
      </c>
      <c r="N1584" s="40">
        <v>40148.0</v>
      </c>
      <c r="O1584" s="15" t="s">
        <v>1554</v>
      </c>
      <c r="Q1584" s="7"/>
    </row>
    <row r="1585">
      <c r="A1585" s="39" t="s">
        <v>7769</v>
      </c>
      <c r="B1585" s="15">
        <v>337823.0</v>
      </c>
      <c r="C1585" s="15" t="s">
        <v>7770</v>
      </c>
      <c r="D1585" s="15">
        <v>16225.0</v>
      </c>
      <c r="E1585" s="15" t="s">
        <v>1808</v>
      </c>
      <c r="F1585" s="15" t="s">
        <v>1809</v>
      </c>
      <c r="G1585" s="7">
        <v>2.757</v>
      </c>
      <c r="H1585" s="15" t="s">
        <v>4401</v>
      </c>
      <c r="I1585" s="15" t="s">
        <v>1628</v>
      </c>
      <c r="J1585" s="15" t="s">
        <v>7771</v>
      </c>
      <c r="K1585" s="15">
        <v>6.0</v>
      </c>
      <c r="L1585" s="15">
        <v>6.0</v>
      </c>
      <c r="M1585" s="40">
        <v>38691.0</v>
      </c>
      <c r="N1585" s="40">
        <v>40578.0</v>
      </c>
      <c r="O1585" s="15" t="s">
        <v>1554</v>
      </c>
      <c r="Q1585" s="7"/>
    </row>
    <row r="1586">
      <c r="A1586" s="39" t="s">
        <v>7772</v>
      </c>
      <c r="B1586" s="15">
        <v>337824.0</v>
      </c>
      <c r="C1586" s="15" t="s">
        <v>7773</v>
      </c>
      <c r="D1586" s="15">
        <v>16226.0</v>
      </c>
      <c r="E1586" s="15" t="s">
        <v>2014</v>
      </c>
      <c r="F1586" s="15" t="s">
        <v>2018</v>
      </c>
      <c r="G1586" s="7">
        <v>1.365</v>
      </c>
      <c r="H1586" s="15" t="s">
        <v>2163</v>
      </c>
      <c r="I1586" s="15" t="s">
        <v>1628</v>
      </c>
      <c r="J1586" s="15" t="s">
        <v>7774</v>
      </c>
      <c r="K1586" s="15">
        <v>1.0</v>
      </c>
      <c r="L1586" s="15">
        <v>1.0</v>
      </c>
      <c r="M1586" s="40">
        <v>38691.0</v>
      </c>
      <c r="N1586" s="40">
        <v>42457.0</v>
      </c>
      <c r="O1586" s="15" t="s">
        <v>1554</v>
      </c>
      <c r="Q1586" s="7"/>
    </row>
    <row r="1587">
      <c r="A1587" s="39" t="s">
        <v>7775</v>
      </c>
      <c r="B1587" s="15">
        <v>337825.0</v>
      </c>
      <c r="C1587" s="15" t="s">
        <v>7776</v>
      </c>
      <c r="D1587" s="15">
        <v>16227.0</v>
      </c>
      <c r="E1587" s="15" t="s">
        <v>2014</v>
      </c>
      <c r="F1587" s="15" t="s">
        <v>1578</v>
      </c>
      <c r="G1587" s="7">
        <v>1.384</v>
      </c>
      <c r="H1587" s="15" t="s">
        <v>2552</v>
      </c>
      <c r="I1587" s="15" t="s">
        <v>1628</v>
      </c>
      <c r="J1587" s="15" t="s">
        <v>7777</v>
      </c>
      <c r="K1587" s="15">
        <v>1.0</v>
      </c>
      <c r="L1587" s="15">
        <v>1.0</v>
      </c>
      <c r="M1587" s="40">
        <v>38691.0</v>
      </c>
      <c r="N1587" s="40">
        <v>40578.0</v>
      </c>
      <c r="O1587" s="15" t="s">
        <v>1554</v>
      </c>
      <c r="Q1587" s="7"/>
    </row>
    <row r="1588">
      <c r="A1588" s="39" t="s">
        <v>7778</v>
      </c>
      <c r="B1588" s="15">
        <v>344022.0</v>
      </c>
      <c r="C1588" s="15" t="s">
        <v>7779</v>
      </c>
      <c r="D1588" s="15">
        <v>16228.0</v>
      </c>
      <c r="E1588" s="15" t="s">
        <v>1557</v>
      </c>
      <c r="F1588" s="15" t="s">
        <v>1611</v>
      </c>
      <c r="G1588" s="7">
        <v>45.251</v>
      </c>
      <c r="H1588" s="15" t="s">
        <v>1792</v>
      </c>
      <c r="I1588" s="15" t="s">
        <v>1586</v>
      </c>
      <c r="J1588" s="15" t="s">
        <v>7780</v>
      </c>
      <c r="K1588" s="15">
        <v>62.0</v>
      </c>
      <c r="L1588" s="15">
        <v>62.0</v>
      </c>
      <c r="M1588" s="40">
        <v>38691.0</v>
      </c>
      <c r="N1588" s="40">
        <v>39920.0</v>
      </c>
      <c r="O1588" s="15" t="s">
        <v>1554</v>
      </c>
      <c r="Q1588" s="7"/>
    </row>
    <row r="1589">
      <c r="A1589" s="39" t="s">
        <v>7781</v>
      </c>
      <c r="B1589" s="15">
        <v>10398.0</v>
      </c>
      <c r="C1589" s="15" t="s">
        <v>7782</v>
      </c>
      <c r="D1589" s="15">
        <v>16234.0</v>
      </c>
      <c r="E1589" s="15" t="s">
        <v>1557</v>
      </c>
      <c r="F1589" s="15" t="s">
        <v>1827</v>
      </c>
      <c r="G1589" s="7">
        <v>135.135</v>
      </c>
      <c r="H1589" s="15" t="s">
        <v>1881</v>
      </c>
      <c r="I1589" s="15" t="s">
        <v>1686</v>
      </c>
      <c r="J1589" s="15" t="s">
        <v>7784</v>
      </c>
      <c r="K1589" s="15">
        <v>73.0</v>
      </c>
      <c r="L1589" s="15">
        <v>73.0</v>
      </c>
      <c r="M1589" s="41">
        <v>38682.0</v>
      </c>
      <c r="N1589" s="40">
        <v>42383.0</v>
      </c>
      <c r="O1589" s="15" t="s">
        <v>1554</v>
      </c>
      <c r="Q1589" s="7"/>
    </row>
    <row r="1590">
      <c r="A1590" s="39" t="s">
        <v>7785</v>
      </c>
      <c r="B1590" s="15">
        <v>32612.0</v>
      </c>
      <c r="C1590" s="15" t="s">
        <v>7786</v>
      </c>
      <c r="D1590" s="15">
        <v>16236.0</v>
      </c>
      <c r="E1590" s="15" t="s">
        <v>1548</v>
      </c>
      <c r="F1590" s="15" t="s">
        <v>1890</v>
      </c>
      <c r="G1590" s="7">
        <v>12.807</v>
      </c>
      <c r="H1590" s="15" t="s">
        <v>1813</v>
      </c>
      <c r="I1590" s="15" t="s">
        <v>2034</v>
      </c>
      <c r="J1590" s="15" t="s">
        <v>7787</v>
      </c>
      <c r="K1590" s="15">
        <v>8.0</v>
      </c>
      <c r="L1590" s="15">
        <v>6.0</v>
      </c>
      <c r="M1590" s="40">
        <v>38693.0</v>
      </c>
      <c r="N1590" s="40">
        <v>40578.0</v>
      </c>
      <c r="O1590" s="15" t="s">
        <v>1554</v>
      </c>
      <c r="Q1590" s="7"/>
    </row>
    <row r="1591">
      <c r="A1591" s="39" t="s">
        <v>7788</v>
      </c>
      <c r="B1591" s="15">
        <v>310749.0</v>
      </c>
      <c r="C1591" s="15" t="s">
        <v>7790</v>
      </c>
      <c r="D1591" s="15">
        <v>16237.0</v>
      </c>
      <c r="E1591" s="15" t="s">
        <v>1638</v>
      </c>
      <c r="F1591" s="15" t="s">
        <v>2849</v>
      </c>
      <c r="G1591" s="7">
        <v>17.635</v>
      </c>
      <c r="H1591" s="15" t="s">
        <v>1782</v>
      </c>
      <c r="I1591" s="15" t="s">
        <v>1628</v>
      </c>
      <c r="J1591" s="15" t="s">
        <v>7791</v>
      </c>
      <c r="K1591" s="15">
        <v>1.0</v>
      </c>
      <c r="L1591" s="15">
        <v>1.0</v>
      </c>
      <c r="M1591" s="40">
        <v>35948.0</v>
      </c>
      <c r="N1591" s="40">
        <v>39220.0</v>
      </c>
      <c r="O1591" s="15" t="s">
        <v>1554</v>
      </c>
      <c r="Q1591" s="7"/>
    </row>
    <row r="1592">
      <c r="A1592" s="39" t="s">
        <v>7792</v>
      </c>
      <c r="B1592" s="15">
        <v>362692.0</v>
      </c>
      <c r="C1592" s="15" t="s">
        <v>7793</v>
      </c>
      <c r="D1592" s="15">
        <v>16238.0</v>
      </c>
      <c r="E1592" s="15" t="s">
        <v>1638</v>
      </c>
      <c r="F1592" s="15" t="s">
        <v>2849</v>
      </c>
      <c r="G1592" s="7">
        <v>13.936</v>
      </c>
      <c r="H1592" s="15">
        <v>35.0</v>
      </c>
      <c r="I1592" s="15" t="s">
        <v>1628</v>
      </c>
      <c r="J1592" s="15" t="s">
        <v>7794</v>
      </c>
      <c r="K1592" s="15">
        <v>2.0</v>
      </c>
      <c r="L1592" s="15">
        <v>1.0</v>
      </c>
      <c r="M1592" s="40">
        <v>35984.0</v>
      </c>
      <c r="N1592" s="40">
        <v>42045.0</v>
      </c>
      <c r="O1592" s="15" t="s">
        <v>1554</v>
      </c>
      <c r="Q1592" s="7"/>
    </row>
    <row r="1593">
      <c r="A1593" s="39" t="s">
        <v>7795</v>
      </c>
      <c r="B1593" s="15">
        <v>362693.0</v>
      </c>
      <c r="C1593" s="15" t="s">
        <v>7796</v>
      </c>
      <c r="D1593" s="15">
        <v>16239.0</v>
      </c>
      <c r="E1593" s="15" t="s">
        <v>1638</v>
      </c>
      <c r="F1593" s="15" t="s">
        <v>2849</v>
      </c>
      <c r="G1593" s="7">
        <v>13.952</v>
      </c>
      <c r="H1593" s="15" t="s">
        <v>2211</v>
      </c>
      <c r="I1593" s="15" t="s">
        <v>1628</v>
      </c>
      <c r="J1593" s="15" t="s">
        <v>7797</v>
      </c>
      <c r="K1593" s="15">
        <v>1.0</v>
      </c>
      <c r="L1593" s="15">
        <v>1.0</v>
      </c>
      <c r="M1593" s="40">
        <v>34534.0</v>
      </c>
      <c r="N1593" s="40">
        <v>39788.0</v>
      </c>
      <c r="O1593" s="15" t="s">
        <v>1554</v>
      </c>
      <c r="Q1593" s="7"/>
    </row>
    <row r="1594">
      <c r="A1594" s="39" t="s">
        <v>7798</v>
      </c>
      <c r="B1594" s="15">
        <v>38525.0</v>
      </c>
      <c r="C1594" s="15" t="s">
        <v>7799</v>
      </c>
      <c r="D1594" s="15">
        <v>16240.0</v>
      </c>
      <c r="E1594" s="15" t="s">
        <v>1548</v>
      </c>
      <c r="F1594" s="15" t="s">
        <v>4800</v>
      </c>
      <c r="G1594" s="7">
        <v>14.071</v>
      </c>
      <c r="H1594" s="15" t="s">
        <v>1912</v>
      </c>
      <c r="I1594" s="15" t="s">
        <v>1686</v>
      </c>
      <c r="J1594" s="15" t="s">
        <v>7800</v>
      </c>
      <c r="K1594" s="15">
        <v>9.0</v>
      </c>
      <c r="L1594" s="15">
        <v>9.0</v>
      </c>
      <c r="M1594" s="41">
        <v>38675.0</v>
      </c>
      <c r="N1594" s="40">
        <v>40248.0</v>
      </c>
      <c r="O1594" s="15" t="s">
        <v>1554</v>
      </c>
      <c r="Q1594" s="7"/>
    </row>
    <row r="1595">
      <c r="A1595" s="39" t="s">
        <v>7801</v>
      </c>
      <c r="B1595" s="15">
        <v>306276.0</v>
      </c>
      <c r="C1595" s="15" t="s">
        <v>7802</v>
      </c>
      <c r="D1595" s="15">
        <v>16242.0</v>
      </c>
      <c r="E1595" s="15" t="s">
        <v>1638</v>
      </c>
      <c r="F1595" s="15" t="s">
        <v>1863</v>
      </c>
      <c r="G1595" s="7">
        <v>19.816</v>
      </c>
      <c r="H1595" s="15" t="s">
        <v>7803</v>
      </c>
      <c r="I1595" s="15" t="s">
        <v>1751</v>
      </c>
      <c r="J1595" s="15" t="s">
        <v>7804</v>
      </c>
      <c r="K1595" s="15">
        <v>11.0</v>
      </c>
      <c r="L1595" s="15">
        <v>11.0</v>
      </c>
      <c r="M1595" s="41">
        <v>38679.0</v>
      </c>
      <c r="N1595" s="40">
        <v>39210.0</v>
      </c>
      <c r="O1595" s="15" t="s">
        <v>1554</v>
      </c>
      <c r="Q1595" s="7"/>
    </row>
    <row r="1596">
      <c r="A1596" s="39" t="s">
        <v>7805</v>
      </c>
      <c r="B1596" s="15">
        <v>341721.0</v>
      </c>
      <c r="C1596" s="15" t="s">
        <v>7806</v>
      </c>
      <c r="D1596" s="15">
        <v>16243.0</v>
      </c>
      <c r="E1596" s="15" t="s">
        <v>1638</v>
      </c>
      <c r="F1596" s="15" t="s">
        <v>1863</v>
      </c>
      <c r="G1596" s="7">
        <v>23.147</v>
      </c>
      <c r="H1596" s="15" t="s">
        <v>7808</v>
      </c>
      <c r="I1596" s="15" t="s">
        <v>1560</v>
      </c>
      <c r="J1596" s="15" t="s">
        <v>7809</v>
      </c>
      <c r="K1596" s="15">
        <v>9.0</v>
      </c>
      <c r="L1596" s="15">
        <v>9.0</v>
      </c>
      <c r="M1596" s="41">
        <v>38679.0</v>
      </c>
      <c r="N1596" s="41">
        <v>39381.0</v>
      </c>
      <c r="O1596" s="15" t="s">
        <v>1554</v>
      </c>
      <c r="Q1596" s="7"/>
    </row>
    <row r="1597">
      <c r="A1597" s="39" t="s">
        <v>7810</v>
      </c>
      <c r="B1597" s="15">
        <v>316106.0</v>
      </c>
      <c r="C1597" s="15" t="s">
        <v>7811</v>
      </c>
      <c r="D1597" s="15">
        <v>16245.0</v>
      </c>
      <c r="E1597" s="15" t="s">
        <v>2014</v>
      </c>
      <c r="F1597" s="15" t="s">
        <v>2018</v>
      </c>
      <c r="G1597" s="7">
        <v>1.354</v>
      </c>
      <c r="H1597" s="15" t="s">
        <v>1559</v>
      </c>
      <c r="I1597" s="15" t="s">
        <v>1628</v>
      </c>
      <c r="J1597" s="15" t="s">
        <v>7812</v>
      </c>
      <c r="K1597" s="15">
        <v>1.0</v>
      </c>
      <c r="L1597" s="15">
        <v>1.0</v>
      </c>
      <c r="M1597" s="40">
        <v>38687.0</v>
      </c>
      <c r="N1597" s="40">
        <v>42583.0</v>
      </c>
      <c r="O1597" s="15" t="s">
        <v>1554</v>
      </c>
      <c r="Q1597" s="7"/>
    </row>
    <row r="1598">
      <c r="A1598" s="39" t="s">
        <v>7813</v>
      </c>
      <c r="B1598" s="15">
        <v>340907.0</v>
      </c>
      <c r="C1598" s="15" t="s">
        <v>7814</v>
      </c>
      <c r="D1598" s="15">
        <v>16246.0</v>
      </c>
      <c r="E1598" s="15" t="s">
        <v>1557</v>
      </c>
      <c r="F1598" s="15" t="s">
        <v>1827</v>
      </c>
      <c r="G1598" s="7">
        <v>156.487</v>
      </c>
      <c r="H1598" s="15" t="s">
        <v>7815</v>
      </c>
      <c r="I1598" s="15" t="s">
        <v>1686</v>
      </c>
      <c r="J1598" s="15" t="s">
        <v>7816</v>
      </c>
      <c r="K1598" s="15">
        <v>75.0</v>
      </c>
      <c r="L1598" s="15">
        <v>75.0</v>
      </c>
      <c r="M1598" s="40">
        <v>38694.0</v>
      </c>
      <c r="N1598" s="40">
        <v>40291.0</v>
      </c>
      <c r="O1598" s="15" t="s">
        <v>1554</v>
      </c>
      <c r="Q1598" s="7"/>
    </row>
    <row r="1599">
      <c r="A1599" s="39" t="s">
        <v>7818</v>
      </c>
      <c r="B1599" s="15">
        <v>348296.0</v>
      </c>
      <c r="C1599" s="15" t="s">
        <v>7819</v>
      </c>
      <c r="D1599" s="15">
        <v>16247.0</v>
      </c>
      <c r="E1599" s="15" t="s">
        <v>1916</v>
      </c>
      <c r="F1599" s="15" t="s">
        <v>2532</v>
      </c>
      <c r="G1599" s="7">
        <v>10.305</v>
      </c>
      <c r="H1599" s="15" t="s">
        <v>3823</v>
      </c>
      <c r="I1599" s="15" t="s">
        <v>1686</v>
      </c>
      <c r="J1599" s="15" t="s">
        <v>7820</v>
      </c>
      <c r="K1599" s="15">
        <v>3.0</v>
      </c>
      <c r="L1599" s="15">
        <v>3.0</v>
      </c>
      <c r="M1599" s="40">
        <v>38687.0</v>
      </c>
      <c r="N1599" s="40">
        <v>40148.0</v>
      </c>
      <c r="O1599" s="15" t="s">
        <v>1554</v>
      </c>
      <c r="Q1599" s="7"/>
    </row>
    <row r="1600">
      <c r="A1600" s="39" t="s">
        <v>7821</v>
      </c>
      <c r="B1600" s="15">
        <v>333348.0</v>
      </c>
      <c r="C1600" s="15" t="s">
        <v>7822</v>
      </c>
      <c r="D1600" s="15">
        <v>16257.0</v>
      </c>
      <c r="E1600" s="15" t="s">
        <v>1548</v>
      </c>
      <c r="F1600" s="15" t="s">
        <v>1633</v>
      </c>
      <c r="G1600" s="7">
        <v>6.582</v>
      </c>
      <c r="H1600" s="15">
        <v>49.0</v>
      </c>
      <c r="I1600" s="15" t="s">
        <v>1628</v>
      </c>
      <c r="J1600" s="15" t="s">
        <v>7823</v>
      </c>
      <c r="K1600" s="15">
        <v>5.0</v>
      </c>
      <c r="L1600" s="15">
        <v>5.0</v>
      </c>
      <c r="M1600" s="41">
        <v>38707.0</v>
      </c>
      <c r="N1600" s="40">
        <v>39224.0</v>
      </c>
      <c r="O1600" s="15" t="s">
        <v>1554</v>
      </c>
      <c r="Q1600" s="7"/>
    </row>
    <row r="1601">
      <c r="A1601" s="39" t="s">
        <v>7824</v>
      </c>
      <c r="B1601" s="15">
        <v>329254.0</v>
      </c>
      <c r="C1601" s="15" t="s">
        <v>7825</v>
      </c>
      <c r="D1601" s="15">
        <v>16299.0</v>
      </c>
      <c r="E1601" s="15" t="s">
        <v>1557</v>
      </c>
      <c r="F1601" s="15" t="s">
        <v>1833</v>
      </c>
      <c r="G1601" s="7">
        <v>43.785</v>
      </c>
      <c r="H1601" s="15" t="s">
        <v>2324</v>
      </c>
      <c r="I1601" s="15" t="s">
        <v>1586</v>
      </c>
      <c r="J1601" s="15" t="s">
        <v>7826</v>
      </c>
      <c r="K1601" s="15">
        <v>59.0</v>
      </c>
      <c r="L1601" s="15">
        <v>59.0</v>
      </c>
      <c r="M1601" s="40">
        <v>38724.0</v>
      </c>
      <c r="N1601" s="40">
        <v>42459.0</v>
      </c>
      <c r="O1601" s="15" t="s">
        <v>1554</v>
      </c>
      <c r="Q1601" s="7"/>
    </row>
    <row r="1602">
      <c r="A1602" s="39" t="s">
        <v>7828</v>
      </c>
      <c r="B1602" s="15">
        <v>331627.0</v>
      </c>
      <c r="C1602" s="15" t="s">
        <v>7829</v>
      </c>
      <c r="D1602" s="15">
        <v>16300.0</v>
      </c>
      <c r="E1602" s="15" t="s">
        <v>1557</v>
      </c>
      <c r="F1602" s="15" t="s">
        <v>1767</v>
      </c>
      <c r="G1602" s="7">
        <v>46.643</v>
      </c>
      <c r="H1602" s="15" t="s">
        <v>4190</v>
      </c>
      <c r="I1602" s="15" t="s">
        <v>1586</v>
      </c>
      <c r="J1602" s="15" t="s">
        <v>7830</v>
      </c>
      <c r="K1602" s="15">
        <v>62.0</v>
      </c>
      <c r="L1602" s="15">
        <v>62.0</v>
      </c>
      <c r="M1602" s="40">
        <v>38724.0</v>
      </c>
      <c r="N1602" s="40">
        <v>42460.0</v>
      </c>
      <c r="O1602" s="15" t="s">
        <v>1554</v>
      </c>
      <c r="Q1602" s="7"/>
    </row>
    <row r="1603">
      <c r="A1603" s="39" t="s">
        <v>7831</v>
      </c>
      <c r="B1603" s="15">
        <v>260479.0</v>
      </c>
      <c r="C1603" s="15" t="s">
        <v>7832</v>
      </c>
      <c r="D1603" s="15">
        <v>16312.0</v>
      </c>
      <c r="E1603" s="15" t="s">
        <v>2014</v>
      </c>
      <c r="F1603" s="15" t="s">
        <v>1578</v>
      </c>
      <c r="G1603" s="7">
        <v>1.35</v>
      </c>
      <c r="H1603" s="15" t="s">
        <v>4287</v>
      </c>
      <c r="I1603" s="15" t="s">
        <v>1628</v>
      </c>
      <c r="J1603" s="15" t="s">
        <v>7833</v>
      </c>
      <c r="K1603" s="15" t="s">
        <v>1722</v>
      </c>
      <c r="L1603" s="15" t="s">
        <v>1722</v>
      </c>
      <c r="M1603" s="40">
        <v>38724.0</v>
      </c>
      <c r="N1603" s="40">
        <v>38806.0</v>
      </c>
      <c r="O1603" s="15" t="s">
        <v>1554</v>
      </c>
      <c r="Q1603" s="7"/>
    </row>
    <row r="1604">
      <c r="A1604" s="39" t="s">
        <v>7834</v>
      </c>
      <c r="B1604" s="15">
        <v>137556.0</v>
      </c>
      <c r="C1604" s="15" t="s">
        <v>7835</v>
      </c>
      <c r="D1604" s="15">
        <v>16323.0</v>
      </c>
      <c r="E1604" s="15" t="s">
        <v>1548</v>
      </c>
      <c r="F1604" s="15" t="s">
        <v>2900</v>
      </c>
      <c r="G1604" s="7">
        <v>4.094</v>
      </c>
      <c r="H1604" s="15" t="s">
        <v>2263</v>
      </c>
      <c r="I1604" s="15" t="s">
        <v>1628</v>
      </c>
      <c r="J1604" s="15" t="s">
        <v>7836</v>
      </c>
      <c r="K1604" s="15">
        <v>7.0</v>
      </c>
      <c r="L1604" s="15">
        <v>5.0</v>
      </c>
      <c r="M1604" s="40">
        <v>36804.0</v>
      </c>
      <c r="N1604" s="40">
        <v>42583.0</v>
      </c>
      <c r="O1604" s="15" t="s">
        <v>1554</v>
      </c>
      <c r="Q1604" s="7"/>
    </row>
    <row r="1605">
      <c r="A1605" s="39" t="s">
        <v>7838</v>
      </c>
      <c r="B1605" s="15">
        <v>309390.0</v>
      </c>
      <c r="C1605" s="15" t="s">
        <v>7839</v>
      </c>
      <c r="D1605" s="15">
        <v>16324.0</v>
      </c>
      <c r="E1605" s="15" t="s">
        <v>1808</v>
      </c>
      <c r="F1605" s="15" t="s">
        <v>1809</v>
      </c>
      <c r="G1605" s="7">
        <v>2.761</v>
      </c>
      <c r="H1605" s="15" t="s">
        <v>1818</v>
      </c>
      <c r="I1605" s="15" t="s">
        <v>1628</v>
      </c>
      <c r="J1605" s="15" t="s">
        <v>7840</v>
      </c>
      <c r="K1605" s="15">
        <v>6.0</v>
      </c>
      <c r="L1605" s="15">
        <v>6.0</v>
      </c>
      <c r="M1605" s="40">
        <v>38730.0</v>
      </c>
      <c r="N1605" s="40">
        <v>40578.0</v>
      </c>
      <c r="O1605" s="15" t="s">
        <v>1554</v>
      </c>
      <c r="Q1605" s="7"/>
    </row>
    <row r="1606">
      <c r="A1606" s="39" t="s">
        <v>7841</v>
      </c>
      <c r="B1606" s="15">
        <v>329291.0</v>
      </c>
      <c r="C1606" s="15" t="s">
        <v>7842</v>
      </c>
      <c r="D1606" s="15">
        <v>16325.0</v>
      </c>
      <c r="E1606" s="15" t="s">
        <v>1808</v>
      </c>
      <c r="F1606" s="15" t="s">
        <v>1809</v>
      </c>
      <c r="G1606" s="7">
        <v>2.745</v>
      </c>
      <c r="H1606" s="15">
        <v>44.0</v>
      </c>
      <c r="I1606" s="15" t="s">
        <v>1628</v>
      </c>
      <c r="J1606" s="15" t="s">
        <v>7843</v>
      </c>
      <c r="K1606" s="15">
        <v>6.0</v>
      </c>
      <c r="L1606" s="15">
        <v>6.0</v>
      </c>
      <c r="M1606" s="40">
        <v>38733.0</v>
      </c>
      <c r="N1606" s="40">
        <v>39790.0</v>
      </c>
      <c r="O1606" s="15" t="s">
        <v>1554</v>
      </c>
      <c r="Q1606" s="7"/>
    </row>
    <row r="1607">
      <c r="A1607" s="39" t="s">
        <v>7844</v>
      </c>
      <c r="B1607" s="15">
        <v>341167.0</v>
      </c>
      <c r="C1607" s="15" t="s">
        <v>7845</v>
      </c>
      <c r="D1607" s="15">
        <v>16326.0</v>
      </c>
      <c r="E1607" s="15" t="s">
        <v>1548</v>
      </c>
      <c r="F1607" s="15" t="s">
        <v>1911</v>
      </c>
      <c r="G1607" s="7">
        <v>10.046</v>
      </c>
      <c r="H1607" s="15" t="s">
        <v>2049</v>
      </c>
      <c r="I1607" s="15" t="s">
        <v>1628</v>
      </c>
      <c r="J1607" s="15" t="s">
        <v>7847</v>
      </c>
      <c r="K1607" s="15">
        <v>2.0</v>
      </c>
      <c r="L1607" s="15">
        <v>2.0</v>
      </c>
      <c r="M1607" s="40">
        <v>38737.0</v>
      </c>
      <c r="N1607" s="40">
        <v>42045.0</v>
      </c>
      <c r="O1607" s="15" t="s">
        <v>1554</v>
      </c>
      <c r="Q1607" s="7"/>
    </row>
    <row r="1608">
      <c r="A1608" s="39" t="s">
        <v>7848</v>
      </c>
      <c r="B1608" s="15">
        <v>365523.0</v>
      </c>
      <c r="C1608" s="15" t="s">
        <v>7849</v>
      </c>
      <c r="D1608" s="15">
        <v>16327.0</v>
      </c>
      <c r="E1608" s="15" t="s">
        <v>1808</v>
      </c>
      <c r="F1608" s="15" t="s">
        <v>1809</v>
      </c>
      <c r="G1608" s="7">
        <v>43164.0</v>
      </c>
      <c r="H1608" s="15" t="s">
        <v>7850</v>
      </c>
      <c r="I1608" s="15" t="s">
        <v>1628</v>
      </c>
      <c r="J1608" s="15" t="s">
        <v>7851</v>
      </c>
      <c r="K1608" s="15">
        <v>6.0</v>
      </c>
      <c r="L1608" s="15">
        <v>6.0</v>
      </c>
      <c r="M1608" s="40">
        <v>38735.0</v>
      </c>
      <c r="N1608" s="41">
        <v>42297.0</v>
      </c>
      <c r="O1608" s="15" t="s">
        <v>1554</v>
      </c>
      <c r="Q1608" s="7"/>
    </row>
    <row r="1609">
      <c r="A1609" s="39" t="s">
        <v>7852</v>
      </c>
      <c r="B1609" s="15">
        <v>359961.0</v>
      </c>
      <c r="C1609" s="15" t="s">
        <v>7853</v>
      </c>
      <c r="D1609" s="15">
        <v>16329.0</v>
      </c>
      <c r="E1609" s="15" t="s">
        <v>1557</v>
      </c>
      <c r="F1609" s="15" t="s">
        <v>1833</v>
      </c>
      <c r="G1609" s="7">
        <v>40.867</v>
      </c>
      <c r="H1609" s="15" t="s">
        <v>3361</v>
      </c>
      <c r="I1609" s="15" t="s">
        <v>1586</v>
      </c>
      <c r="J1609" s="15" t="s">
        <v>7854</v>
      </c>
      <c r="K1609" s="15">
        <v>53.0</v>
      </c>
      <c r="L1609" s="15">
        <v>53.0</v>
      </c>
      <c r="M1609" s="40">
        <v>38732.0</v>
      </c>
      <c r="N1609" s="40">
        <v>39920.0</v>
      </c>
      <c r="O1609" s="15" t="s">
        <v>1554</v>
      </c>
      <c r="Q1609" s="7"/>
    </row>
    <row r="1610">
      <c r="A1610" s="39" t="s">
        <v>7855</v>
      </c>
      <c r="B1610" s="15">
        <v>85454.0</v>
      </c>
      <c r="C1610" s="15" t="s">
        <v>7856</v>
      </c>
      <c r="D1610" s="15">
        <v>16333.0</v>
      </c>
      <c r="E1610" s="15" t="s">
        <v>1548</v>
      </c>
      <c r="F1610" s="15" t="s">
        <v>1633</v>
      </c>
      <c r="G1610" s="7">
        <v>6.607</v>
      </c>
      <c r="H1610" s="15" t="s">
        <v>2324</v>
      </c>
      <c r="I1610" s="15" t="s">
        <v>1628</v>
      </c>
      <c r="J1610" s="15" t="s">
        <v>7858</v>
      </c>
      <c r="K1610" s="15">
        <v>5.0</v>
      </c>
      <c r="L1610" s="15">
        <v>5.0</v>
      </c>
      <c r="M1610" s="41">
        <v>38709.0</v>
      </c>
      <c r="N1610" s="40">
        <v>40248.0</v>
      </c>
      <c r="O1610" s="15" t="s">
        <v>1554</v>
      </c>
      <c r="Q1610" s="7"/>
    </row>
    <row r="1611">
      <c r="A1611" s="39" t="s">
        <v>7859</v>
      </c>
      <c r="B1611" s="15">
        <v>352882.0</v>
      </c>
      <c r="C1611" s="15" t="s">
        <v>7860</v>
      </c>
      <c r="D1611" s="15">
        <v>16334.0</v>
      </c>
      <c r="E1611" s="15" t="s">
        <v>1548</v>
      </c>
      <c r="F1611" s="15" t="s">
        <v>2900</v>
      </c>
      <c r="G1611" s="7">
        <v>3.964</v>
      </c>
      <c r="H1611" s="15" t="s">
        <v>1670</v>
      </c>
      <c r="I1611" s="15" t="s">
        <v>1628</v>
      </c>
      <c r="J1611" s="15" t="s">
        <v>7861</v>
      </c>
      <c r="K1611" s="15">
        <v>6.0</v>
      </c>
      <c r="L1611" s="15">
        <v>6.0</v>
      </c>
      <c r="M1611" s="41">
        <v>38702.0</v>
      </c>
      <c r="N1611" s="40">
        <v>40121.0</v>
      </c>
      <c r="O1611" s="15" t="s">
        <v>1554</v>
      </c>
      <c r="Q1611" s="7"/>
    </row>
    <row r="1612">
      <c r="A1612" s="39" t="s">
        <v>7862</v>
      </c>
      <c r="B1612" s="15">
        <v>367061.0</v>
      </c>
      <c r="C1612" s="15" t="s">
        <v>7863</v>
      </c>
      <c r="D1612" s="15">
        <v>16335.0</v>
      </c>
      <c r="E1612" s="15" t="s">
        <v>1808</v>
      </c>
      <c r="F1612" s="15" t="s">
        <v>1809</v>
      </c>
      <c r="G1612" s="7">
        <v>2.745</v>
      </c>
      <c r="H1612" s="15" t="s">
        <v>2950</v>
      </c>
      <c r="I1612" s="15" t="s">
        <v>1628</v>
      </c>
      <c r="J1612" s="15" t="s">
        <v>7864</v>
      </c>
      <c r="K1612" s="15">
        <v>7.0</v>
      </c>
      <c r="L1612" s="15">
        <v>7.0</v>
      </c>
      <c r="M1612" s="40">
        <v>38735.0</v>
      </c>
      <c r="N1612" s="40">
        <v>40579.0</v>
      </c>
      <c r="O1612" s="15" t="s">
        <v>1554</v>
      </c>
      <c r="Q1612" s="7"/>
    </row>
    <row r="1613">
      <c r="A1613" s="39" t="s">
        <v>7865</v>
      </c>
      <c r="B1613" s="15">
        <v>246280.0</v>
      </c>
      <c r="C1613" s="15" t="s">
        <v>7866</v>
      </c>
      <c r="D1613" s="15">
        <v>16336.0</v>
      </c>
      <c r="E1613" s="15" t="s">
        <v>1638</v>
      </c>
      <c r="F1613" s="15" t="s">
        <v>1863</v>
      </c>
      <c r="G1613" s="7">
        <v>20.739</v>
      </c>
      <c r="H1613" s="15" t="s">
        <v>7867</v>
      </c>
      <c r="I1613" s="15" t="s">
        <v>1803</v>
      </c>
      <c r="J1613" s="15" t="s">
        <v>7868</v>
      </c>
      <c r="K1613" s="15">
        <v>12.0</v>
      </c>
      <c r="L1613" s="15">
        <v>12.0</v>
      </c>
      <c r="M1613" s="41">
        <v>38711.0</v>
      </c>
      <c r="N1613" s="40">
        <v>40148.0</v>
      </c>
      <c r="O1613" s="15" t="s">
        <v>1554</v>
      </c>
      <c r="Q1613" s="7"/>
    </row>
    <row r="1614">
      <c r="A1614" s="39" t="s">
        <v>7870</v>
      </c>
      <c r="B1614" s="15">
        <v>356862.0</v>
      </c>
      <c r="C1614" s="15" t="s">
        <v>7871</v>
      </c>
      <c r="D1614" s="15">
        <v>16337.0</v>
      </c>
      <c r="E1614" s="15" t="s">
        <v>1638</v>
      </c>
      <c r="F1614" s="15" t="s">
        <v>1863</v>
      </c>
      <c r="G1614" s="7">
        <v>19.748</v>
      </c>
      <c r="H1614" s="15" t="s">
        <v>7872</v>
      </c>
      <c r="I1614" s="15" t="s">
        <v>1751</v>
      </c>
      <c r="J1614" s="15" t="s">
        <v>7873</v>
      </c>
      <c r="K1614" s="15">
        <v>11.0</v>
      </c>
      <c r="L1614" s="15">
        <v>11.0</v>
      </c>
      <c r="M1614" s="41">
        <v>38717.0</v>
      </c>
      <c r="N1614" s="40">
        <v>40155.0</v>
      </c>
      <c r="O1614" s="15" t="s">
        <v>1554</v>
      </c>
      <c r="Q1614" s="7"/>
    </row>
    <row r="1615">
      <c r="A1615" s="39" t="s">
        <v>7874</v>
      </c>
      <c r="B1615" s="15">
        <v>366686.0</v>
      </c>
      <c r="C1615" s="15" t="s">
        <v>7875</v>
      </c>
      <c r="D1615" s="15">
        <v>16338.0</v>
      </c>
      <c r="E1615" s="15" t="s">
        <v>2014</v>
      </c>
      <c r="F1615" s="15" t="s">
        <v>2018</v>
      </c>
      <c r="G1615" s="7">
        <v>1.331</v>
      </c>
      <c r="H1615" s="15">
        <v>36.0</v>
      </c>
      <c r="I1615" s="15" t="s">
        <v>1628</v>
      </c>
      <c r="J1615" s="15" t="s">
        <v>7877</v>
      </c>
      <c r="K1615" s="15">
        <v>1.0</v>
      </c>
      <c r="L1615" s="15">
        <v>1.0</v>
      </c>
      <c r="M1615" s="40">
        <v>38740.0</v>
      </c>
      <c r="N1615" s="40">
        <v>40579.0</v>
      </c>
      <c r="O1615" s="15" t="s">
        <v>1554</v>
      </c>
      <c r="Q1615" s="7"/>
    </row>
    <row r="1616">
      <c r="A1616" s="39" t="s">
        <v>7878</v>
      </c>
      <c r="B1616" s="15">
        <v>28288.0</v>
      </c>
      <c r="C1616" s="15" t="s">
        <v>7879</v>
      </c>
      <c r="D1616" s="15">
        <v>16343.0</v>
      </c>
      <c r="E1616" s="15" t="s">
        <v>1557</v>
      </c>
      <c r="F1616" s="15" t="s">
        <v>1992</v>
      </c>
      <c r="G1616" s="7">
        <v>132.959</v>
      </c>
      <c r="H1616" s="15" t="s">
        <v>7408</v>
      </c>
      <c r="I1616" s="15" t="s">
        <v>1560</v>
      </c>
      <c r="J1616" s="15" t="s">
        <v>7880</v>
      </c>
      <c r="K1616" s="15">
        <v>148.0</v>
      </c>
      <c r="L1616" s="15">
        <v>148.0</v>
      </c>
      <c r="M1616" s="40">
        <v>38748.0</v>
      </c>
      <c r="N1616" s="41">
        <v>39800.0</v>
      </c>
      <c r="O1616" s="15" t="s">
        <v>1554</v>
      </c>
      <c r="Q1616" s="7"/>
    </row>
    <row r="1617">
      <c r="A1617" s="39" t="s">
        <v>7881</v>
      </c>
      <c r="B1617" s="15">
        <v>343516.0</v>
      </c>
      <c r="C1617" s="15" t="s">
        <v>7882</v>
      </c>
      <c r="D1617" s="15">
        <v>16381.0</v>
      </c>
      <c r="E1617" s="15" t="s">
        <v>1557</v>
      </c>
      <c r="F1617" s="15" t="s">
        <v>1611</v>
      </c>
      <c r="G1617" s="7">
        <v>39.104</v>
      </c>
      <c r="H1617" s="15">
        <v>49.0</v>
      </c>
      <c r="I1617" s="15" t="s">
        <v>1586</v>
      </c>
      <c r="J1617" s="15" t="s">
        <v>7883</v>
      </c>
      <c r="K1617" s="15">
        <v>55.0</v>
      </c>
      <c r="L1617" s="15">
        <v>55.0</v>
      </c>
      <c r="M1617" s="40">
        <v>38777.0</v>
      </c>
      <c r="N1617" s="40">
        <v>40263.0</v>
      </c>
      <c r="O1617" s="15" t="s">
        <v>1554</v>
      </c>
      <c r="Q1617" s="7"/>
    </row>
    <row r="1618">
      <c r="A1618" s="39" t="s">
        <v>7885</v>
      </c>
      <c r="B1618" s="15">
        <v>345922.0</v>
      </c>
      <c r="C1618" s="15" t="s">
        <v>7886</v>
      </c>
      <c r="D1618" s="15">
        <v>16382.0</v>
      </c>
      <c r="E1618" s="15" t="s">
        <v>1557</v>
      </c>
      <c r="F1618" s="15" t="s">
        <v>1833</v>
      </c>
      <c r="G1618" s="7">
        <v>37.974</v>
      </c>
      <c r="H1618" s="15" t="s">
        <v>7887</v>
      </c>
      <c r="I1618" s="15" t="s">
        <v>1586</v>
      </c>
      <c r="J1618" s="15" t="s">
        <v>7888</v>
      </c>
      <c r="K1618" s="15">
        <v>50.0</v>
      </c>
      <c r="L1618" s="15">
        <v>50.0</v>
      </c>
      <c r="M1618" s="40">
        <v>38751.0</v>
      </c>
      <c r="N1618" s="41">
        <v>39435.0</v>
      </c>
      <c r="O1618" s="15" t="s">
        <v>1554</v>
      </c>
      <c r="Q1618" s="7"/>
    </row>
    <row r="1619">
      <c r="A1619" s="39" t="s">
        <v>7889</v>
      </c>
      <c r="B1619" s="15">
        <v>347324.0</v>
      </c>
      <c r="C1619" s="15" t="s">
        <v>7890</v>
      </c>
      <c r="D1619" s="15">
        <v>16383.0</v>
      </c>
      <c r="E1619" s="15" t="s">
        <v>1557</v>
      </c>
      <c r="F1619" s="15" t="s">
        <v>1833</v>
      </c>
      <c r="G1619" s="7">
        <v>39.199</v>
      </c>
      <c r="H1619" s="15" t="s">
        <v>2098</v>
      </c>
      <c r="I1619" s="15" t="s">
        <v>1586</v>
      </c>
      <c r="J1619" s="15" t="s">
        <v>7891</v>
      </c>
      <c r="K1619" s="15">
        <v>63.0</v>
      </c>
      <c r="L1619" s="15">
        <v>63.0</v>
      </c>
      <c r="M1619" s="40">
        <v>38741.0</v>
      </c>
      <c r="N1619" s="40">
        <v>39939.0</v>
      </c>
      <c r="O1619" s="15" t="s">
        <v>1554</v>
      </c>
      <c r="Q1619" s="7"/>
    </row>
    <row r="1620">
      <c r="A1620" s="39" t="s">
        <v>7892</v>
      </c>
      <c r="B1620" s="15">
        <v>347325.0</v>
      </c>
      <c r="C1620" s="15" t="s">
        <v>7893</v>
      </c>
      <c r="D1620" s="15">
        <v>16384.0</v>
      </c>
      <c r="E1620" s="15" t="s">
        <v>1557</v>
      </c>
      <c r="F1620" s="15" t="s">
        <v>1833</v>
      </c>
      <c r="G1620" s="7">
        <v>42.999</v>
      </c>
      <c r="H1620" s="15" t="s">
        <v>2237</v>
      </c>
      <c r="I1620" s="15" t="s">
        <v>1586</v>
      </c>
      <c r="J1620" s="15" t="s">
        <v>7895</v>
      </c>
      <c r="K1620" s="15">
        <v>52.0</v>
      </c>
      <c r="L1620" s="15">
        <v>52.0</v>
      </c>
      <c r="M1620" s="40">
        <v>38741.0</v>
      </c>
      <c r="N1620" s="40">
        <v>39939.0</v>
      </c>
      <c r="O1620" s="15" t="s">
        <v>1554</v>
      </c>
      <c r="Q1620" s="7"/>
    </row>
    <row r="1621">
      <c r="A1621" s="39" t="s">
        <v>7896</v>
      </c>
      <c r="B1621" s="15">
        <v>347326.0</v>
      </c>
      <c r="C1621" s="15" t="s">
        <v>7897</v>
      </c>
      <c r="D1621" s="15">
        <v>16385.0</v>
      </c>
      <c r="E1621" s="15" t="s">
        <v>1557</v>
      </c>
      <c r="F1621" s="15" t="s">
        <v>1611</v>
      </c>
      <c r="G1621" s="7">
        <v>43.365</v>
      </c>
      <c r="H1621" s="15" t="s">
        <v>1828</v>
      </c>
      <c r="I1621" s="15" t="s">
        <v>1586</v>
      </c>
      <c r="J1621" s="15" t="s">
        <v>7898</v>
      </c>
      <c r="K1621" s="15">
        <v>53.0</v>
      </c>
      <c r="L1621" s="15">
        <v>53.0</v>
      </c>
      <c r="M1621" s="40">
        <v>38741.0</v>
      </c>
      <c r="N1621" s="40">
        <v>39939.0</v>
      </c>
      <c r="O1621" s="15" t="s">
        <v>1554</v>
      </c>
      <c r="Q1621" s="7"/>
    </row>
    <row r="1622">
      <c r="A1622" s="39" t="s">
        <v>7899</v>
      </c>
      <c r="B1622" s="15">
        <v>347327.0</v>
      </c>
      <c r="C1622" s="15" t="s">
        <v>7900</v>
      </c>
      <c r="D1622" s="15">
        <v>16386.0</v>
      </c>
      <c r="E1622" s="15" t="s">
        <v>1557</v>
      </c>
      <c r="F1622" s="15" t="s">
        <v>1578</v>
      </c>
      <c r="G1622" s="7">
        <v>49.639</v>
      </c>
      <c r="H1622" s="15" t="s">
        <v>3097</v>
      </c>
      <c r="I1622" s="15" t="s">
        <v>1586</v>
      </c>
      <c r="J1622" s="15" t="s">
        <v>7901</v>
      </c>
      <c r="K1622" s="15">
        <v>70.0</v>
      </c>
      <c r="L1622" s="15">
        <v>70.0</v>
      </c>
      <c r="M1622" s="40">
        <v>38741.0</v>
      </c>
      <c r="N1622" s="40">
        <v>39939.0</v>
      </c>
      <c r="O1622" s="15" t="s">
        <v>1554</v>
      </c>
      <c r="Q1622" s="7"/>
    </row>
    <row r="1623">
      <c r="A1623" s="39" t="s">
        <v>7903</v>
      </c>
      <c r="B1623" s="15">
        <v>347328.0</v>
      </c>
      <c r="C1623" s="15" t="s">
        <v>7904</v>
      </c>
      <c r="D1623" s="15">
        <v>16387.0</v>
      </c>
      <c r="E1623" s="15" t="s">
        <v>1557</v>
      </c>
      <c r="F1623" s="15" t="s">
        <v>1833</v>
      </c>
      <c r="G1623" s="7">
        <v>59.446</v>
      </c>
      <c r="H1623" s="15" t="s">
        <v>4653</v>
      </c>
      <c r="I1623" s="15" t="s">
        <v>1586</v>
      </c>
      <c r="J1623" s="15" t="s">
        <v>7905</v>
      </c>
      <c r="K1623" s="15">
        <v>85.0</v>
      </c>
      <c r="L1623" s="15">
        <v>85.0</v>
      </c>
      <c r="M1623" s="40">
        <v>38741.0</v>
      </c>
      <c r="N1623" s="40">
        <v>39939.0</v>
      </c>
      <c r="O1623" s="15" t="s">
        <v>1554</v>
      </c>
      <c r="Q1623" s="7"/>
    </row>
    <row r="1624">
      <c r="A1624" s="39" t="s">
        <v>7906</v>
      </c>
      <c r="B1624" s="15">
        <v>347329.0</v>
      </c>
      <c r="C1624" s="15" t="s">
        <v>7907</v>
      </c>
      <c r="D1624" s="15">
        <v>16388.0</v>
      </c>
      <c r="E1624" s="15" t="s">
        <v>1557</v>
      </c>
      <c r="F1624" s="15" t="s">
        <v>1767</v>
      </c>
      <c r="G1624" s="7">
        <v>66.015</v>
      </c>
      <c r="H1624" s="15" t="s">
        <v>3776</v>
      </c>
      <c r="I1624" s="15" t="s">
        <v>1586</v>
      </c>
      <c r="J1624" s="15" t="s">
        <v>7908</v>
      </c>
      <c r="K1624" s="15">
        <v>91.0</v>
      </c>
      <c r="L1624" s="15">
        <v>91.0</v>
      </c>
      <c r="M1624" s="40">
        <v>38741.0</v>
      </c>
      <c r="N1624" s="40">
        <v>39939.0</v>
      </c>
      <c r="O1624" s="15" t="s">
        <v>1554</v>
      </c>
      <c r="Q1624" s="7"/>
    </row>
    <row r="1625">
      <c r="A1625" s="39" t="s">
        <v>7909</v>
      </c>
      <c r="B1625" s="15">
        <v>55097.0</v>
      </c>
      <c r="C1625" s="15" t="s">
        <v>7910</v>
      </c>
      <c r="D1625" s="15">
        <v>16582.0</v>
      </c>
      <c r="E1625" s="15" t="s">
        <v>1548</v>
      </c>
      <c r="F1625" s="15" t="s">
        <v>1838</v>
      </c>
      <c r="G1625" s="7">
        <v>10.705</v>
      </c>
      <c r="H1625" s="15" t="s">
        <v>7911</v>
      </c>
      <c r="I1625" s="15" t="s">
        <v>1567</v>
      </c>
      <c r="J1625" s="15" t="s">
        <v>7913</v>
      </c>
      <c r="K1625" s="15">
        <v>4.0</v>
      </c>
      <c r="L1625" s="15">
        <v>4.0</v>
      </c>
      <c r="M1625" s="40">
        <v>38782.0</v>
      </c>
      <c r="N1625" s="40">
        <v>39674.0</v>
      </c>
      <c r="O1625" s="15" t="s">
        <v>1554</v>
      </c>
      <c r="Q1625" s="7"/>
    </row>
    <row r="1626">
      <c r="A1626" s="39" t="s">
        <v>7914</v>
      </c>
      <c r="B1626" s="15">
        <v>373126.0</v>
      </c>
      <c r="C1626" s="15" t="s">
        <v>7915</v>
      </c>
      <c r="D1626" s="15">
        <v>16583.0</v>
      </c>
      <c r="E1626" s="15" t="s">
        <v>4407</v>
      </c>
      <c r="F1626" s="15" t="s">
        <v>1578</v>
      </c>
      <c r="G1626" s="7">
        <v>52.162</v>
      </c>
      <c r="H1626" s="15" t="s">
        <v>2189</v>
      </c>
      <c r="I1626" s="15" t="s">
        <v>1586</v>
      </c>
      <c r="J1626" s="15" t="s">
        <v>7916</v>
      </c>
      <c r="K1626" s="15">
        <v>47.0</v>
      </c>
      <c r="L1626" s="15">
        <v>47.0</v>
      </c>
      <c r="M1626" s="40">
        <v>38780.0</v>
      </c>
      <c r="N1626" s="40">
        <v>39920.0</v>
      </c>
      <c r="O1626" s="15" t="s">
        <v>1554</v>
      </c>
      <c r="Q1626" s="7"/>
    </row>
    <row r="1627">
      <c r="A1627" s="39" t="s">
        <v>7917</v>
      </c>
      <c r="B1627" s="15">
        <v>10620.0</v>
      </c>
      <c r="C1627" s="15" t="s">
        <v>7918</v>
      </c>
      <c r="D1627" s="15">
        <v>15450.0</v>
      </c>
      <c r="E1627" s="15" t="s">
        <v>1557</v>
      </c>
      <c r="F1627" s="15" t="s">
        <v>1822</v>
      </c>
      <c r="G1627" s="7">
        <v>8.027</v>
      </c>
      <c r="H1627" s="15" t="s">
        <v>6418</v>
      </c>
      <c r="I1627" s="15" t="s">
        <v>1686</v>
      </c>
      <c r="J1627" s="15" t="s">
        <v>7919</v>
      </c>
      <c r="K1627" s="15">
        <v>6.0</v>
      </c>
      <c r="L1627" s="15">
        <v>6.0</v>
      </c>
      <c r="M1627" s="40">
        <v>34203.0</v>
      </c>
      <c r="N1627" s="40">
        <v>42577.0</v>
      </c>
      <c r="O1627" s="15" t="s">
        <v>1554</v>
      </c>
      <c r="Q1627" s="7"/>
    </row>
    <row r="1628">
      <c r="A1628" s="39" t="s">
        <v>7920</v>
      </c>
      <c r="B1628" s="15">
        <v>37116.0</v>
      </c>
      <c r="C1628" s="15" t="s">
        <v>7921</v>
      </c>
      <c r="D1628" s="15">
        <v>15451.0</v>
      </c>
      <c r="E1628" s="15" t="s">
        <v>1557</v>
      </c>
      <c r="F1628" s="15" t="s">
        <v>1822</v>
      </c>
      <c r="G1628" s="7">
        <v>7.989</v>
      </c>
      <c r="H1628" s="15" t="s">
        <v>1551</v>
      </c>
      <c r="I1628" s="15" t="s">
        <v>1686</v>
      </c>
      <c r="J1628" s="15" t="s">
        <v>7923</v>
      </c>
      <c r="K1628" s="15">
        <v>7.0</v>
      </c>
      <c r="L1628" s="15">
        <v>7.0</v>
      </c>
      <c r="M1628" s="41">
        <v>34990.0</v>
      </c>
      <c r="N1628" s="40">
        <v>42045.0</v>
      </c>
      <c r="O1628" s="15" t="s">
        <v>1554</v>
      </c>
      <c r="Q1628" s="7"/>
    </row>
    <row r="1629">
      <c r="A1629" s="39" t="s">
        <v>7924</v>
      </c>
      <c r="B1629" s="15">
        <v>10565.0</v>
      </c>
      <c r="C1629" s="15" t="s">
        <v>7925</v>
      </c>
      <c r="D1629" s="15">
        <v>15453.0</v>
      </c>
      <c r="E1629" s="15" t="s">
        <v>1557</v>
      </c>
      <c r="F1629" s="15" t="s">
        <v>1822</v>
      </c>
      <c r="G1629" s="7">
        <v>8.095</v>
      </c>
      <c r="H1629" s="15" t="s">
        <v>3882</v>
      </c>
      <c r="I1629" s="15" t="s">
        <v>1686</v>
      </c>
      <c r="J1629" s="15" t="s">
        <v>7926</v>
      </c>
      <c r="K1629" s="15">
        <v>15.0</v>
      </c>
      <c r="L1629" s="15">
        <v>15.0</v>
      </c>
      <c r="M1629" s="40">
        <v>34183.0</v>
      </c>
      <c r="N1629" s="40">
        <v>42577.0</v>
      </c>
      <c r="O1629" s="15" t="s">
        <v>1554</v>
      </c>
      <c r="Q1629" s="7"/>
    </row>
    <row r="1630">
      <c r="A1630" s="39" t="s">
        <v>7927</v>
      </c>
      <c r="B1630" s="15">
        <v>149596.0</v>
      </c>
      <c r="C1630" s="15" t="s">
        <v>7928</v>
      </c>
      <c r="D1630" s="15">
        <v>15457.0</v>
      </c>
      <c r="E1630" s="15" t="s">
        <v>1548</v>
      </c>
      <c r="F1630" s="15" t="s">
        <v>1801</v>
      </c>
      <c r="G1630" s="7">
        <v>12.301</v>
      </c>
      <c r="H1630" s="15" t="s">
        <v>2686</v>
      </c>
      <c r="I1630" s="15" t="s">
        <v>1686</v>
      </c>
      <c r="J1630" s="15" t="s">
        <v>7929</v>
      </c>
      <c r="K1630" s="15">
        <v>1.0</v>
      </c>
      <c r="L1630" s="15">
        <v>1.0</v>
      </c>
      <c r="M1630" s="40">
        <v>36919.0</v>
      </c>
      <c r="N1630" s="40">
        <v>42045.0</v>
      </c>
      <c r="O1630" s="15" t="s">
        <v>1554</v>
      </c>
      <c r="Q1630" s="7"/>
    </row>
    <row r="1631">
      <c r="A1631" s="39" t="s">
        <v>7930</v>
      </c>
      <c r="B1631" s="15">
        <v>28300.0</v>
      </c>
      <c r="C1631" s="15" t="s">
        <v>7931</v>
      </c>
      <c r="D1631" s="15">
        <v>15458.0</v>
      </c>
      <c r="E1631" s="15" t="s">
        <v>1916</v>
      </c>
      <c r="F1631" s="15" t="s">
        <v>3423</v>
      </c>
      <c r="G1631" s="7">
        <v>3.027</v>
      </c>
      <c r="H1631" s="15">
        <v>45.0</v>
      </c>
      <c r="I1631" s="15" t="s">
        <v>1686</v>
      </c>
      <c r="J1631" s="15" t="s">
        <v>7932</v>
      </c>
      <c r="K1631" s="15">
        <v>5.0</v>
      </c>
      <c r="L1631" s="15">
        <v>4.0</v>
      </c>
      <c r="M1631" s="40">
        <v>34183.0</v>
      </c>
      <c r="N1631" s="40">
        <v>39906.0</v>
      </c>
      <c r="O1631" s="15" t="s">
        <v>1554</v>
      </c>
      <c r="Q1631" s="7"/>
    </row>
    <row r="1632">
      <c r="A1632" s="39" t="s">
        <v>7933</v>
      </c>
      <c r="B1632" s="15">
        <v>56144.0</v>
      </c>
      <c r="C1632" s="15" t="s">
        <v>7934</v>
      </c>
      <c r="D1632" s="15">
        <v>15460.0</v>
      </c>
      <c r="E1632" s="15" t="s">
        <v>1557</v>
      </c>
      <c r="F1632" s="15" t="s">
        <v>1822</v>
      </c>
      <c r="G1632" s="7">
        <v>7.761</v>
      </c>
      <c r="H1632" s="15" t="s">
        <v>4401</v>
      </c>
      <c r="I1632" s="15" t="s">
        <v>1686</v>
      </c>
      <c r="J1632" s="15" t="s">
        <v>7936</v>
      </c>
      <c r="K1632" s="15">
        <v>5.0</v>
      </c>
      <c r="L1632" s="15">
        <v>5.0</v>
      </c>
      <c r="M1632" s="40">
        <v>35463.0</v>
      </c>
      <c r="N1632" s="40">
        <v>42045.0</v>
      </c>
      <c r="O1632" s="15" t="s">
        <v>1554</v>
      </c>
      <c r="Q1632" s="7"/>
    </row>
    <row r="1633">
      <c r="A1633" s="39" t="s">
        <v>7937</v>
      </c>
      <c r="B1633" s="15">
        <v>100755.0</v>
      </c>
      <c r="C1633" s="15" t="s">
        <v>7938</v>
      </c>
      <c r="D1633" s="15">
        <v>15461.0</v>
      </c>
      <c r="E1633" s="15" t="s">
        <v>1808</v>
      </c>
      <c r="F1633" s="15" t="s">
        <v>1809</v>
      </c>
      <c r="G1633" s="7">
        <v>2.828</v>
      </c>
      <c r="H1633" s="15" t="s">
        <v>2864</v>
      </c>
      <c r="I1633" s="15" t="s">
        <v>1628</v>
      </c>
      <c r="J1633" s="15" t="s">
        <v>7939</v>
      </c>
      <c r="K1633" s="15">
        <v>6.0</v>
      </c>
      <c r="L1633" s="15">
        <v>6.0</v>
      </c>
      <c r="M1633" s="40">
        <v>36377.0</v>
      </c>
      <c r="N1633" s="40">
        <v>42453.0</v>
      </c>
      <c r="O1633" s="15" t="s">
        <v>1554</v>
      </c>
      <c r="Q1633" s="7"/>
    </row>
    <row r="1634">
      <c r="A1634" s="39" t="s">
        <v>7940</v>
      </c>
      <c r="B1634" s="15">
        <v>305674.0</v>
      </c>
      <c r="C1634" s="15" t="s">
        <v>7941</v>
      </c>
      <c r="D1634" s="15">
        <v>15462.0</v>
      </c>
      <c r="E1634" s="15" t="s">
        <v>1557</v>
      </c>
      <c r="F1634" s="15" t="s">
        <v>2028</v>
      </c>
      <c r="G1634" s="7">
        <v>166.259</v>
      </c>
      <c r="H1634" s="42">
        <v>43157.0</v>
      </c>
      <c r="I1634" s="15" t="s">
        <v>1686</v>
      </c>
      <c r="J1634" s="15" t="s">
        <v>7942</v>
      </c>
      <c r="K1634" s="15">
        <v>169.0</v>
      </c>
      <c r="L1634" s="15">
        <v>169.0</v>
      </c>
      <c r="M1634" s="41">
        <v>38348.0</v>
      </c>
      <c r="N1634" s="40">
        <v>42583.0</v>
      </c>
      <c r="O1634" s="15" t="s">
        <v>1554</v>
      </c>
      <c r="Q1634" s="7"/>
    </row>
    <row r="1635">
      <c r="A1635" s="39" t="s">
        <v>7944</v>
      </c>
      <c r="B1635" s="15">
        <v>56948.0</v>
      </c>
      <c r="C1635" s="15" t="s">
        <v>7945</v>
      </c>
      <c r="D1635" s="15">
        <v>15463.0</v>
      </c>
      <c r="E1635" s="15" t="s">
        <v>1548</v>
      </c>
      <c r="F1635" s="15" t="s">
        <v>1801</v>
      </c>
      <c r="G1635" s="7">
        <v>12.333</v>
      </c>
      <c r="H1635" s="15" t="s">
        <v>7408</v>
      </c>
      <c r="I1635" s="15" t="s">
        <v>1686</v>
      </c>
      <c r="J1635" s="15" t="s">
        <v>7946</v>
      </c>
      <c r="K1635" s="15">
        <v>1.0</v>
      </c>
      <c r="L1635" s="15">
        <v>1.0</v>
      </c>
      <c r="M1635" s="40">
        <v>35930.0</v>
      </c>
      <c r="N1635" s="40">
        <v>42045.0</v>
      </c>
      <c r="O1635" s="15" t="s">
        <v>1554</v>
      </c>
      <c r="Q1635" s="7"/>
    </row>
    <row r="1636">
      <c r="A1636" s="39" t="s">
        <v>7947</v>
      </c>
      <c r="B1636" s="15">
        <v>329639.0</v>
      </c>
      <c r="C1636" s="15" t="s">
        <v>7948</v>
      </c>
      <c r="D1636" s="15">
        <v>15465.0</v>
      </c>
      <c r="E1636" s="15" t="s">
        <v>1808</v>
      </c>
      <c r="F1636" s="15" t="s">
        <v>2436</v>
      </c>
      <c r="G1636" s="7">
        <v>5.097</v>
      </c>
      <c r="H1636" s="15" t="s">
        <v>2118</v>
      </c>
      <c r="I1636" s="15" t="s">
        <v>1686</v>
      </c>
      <c r="J1636" s="15" t="s">
        <v>7949</v>
      </c>
      <c r="K1636" s="15">
        <v>4.0</v>
      </c>
      <c r="L1636" s="15">
        <v>4.0</v>
      </c>
      <c r="M1636" s="40">
        <v>37367.0</v>
      </c>
      <c r="N1636" s="40">
        <v>40248.0</v>
      </c>
      <c r="O1636" s="15" t="s">
        <v>1554</v>
      </c>
      <c r="Q1636" s="7"/>
    </row>
    <row r="1637">
      <c r="A1637" s="39" t="s">
        <v>7950</v>
      </c>
      <c r="B1637" s="15">
        <v>1671798.0</v>
      </c>
      <c r="C1637" s="15" t="s">
        <v>7951</v>
      </c>
      <c r="D1637" s="15">
        <v>15466.0</v>
      </c>
      <c r="E1637" s="15" t="s">
        <v>1557</v>
      </c>
      <c r="F1637" s="15" t="s">
        <v>1822</v>
      </c>
      <c r="G1637" s="7">
        <v>7.759</v>
      </c>
      <c r="H1637" s="15" t="s">
        <v>1849</v>
      </c>
      <c r="I1637" s="15" t="s">
        <v>1686</v>
      </c>
      <c r="J1637" s="15" t="s">
        <v>7953</v>
      </c>
      <c r="K1637" s="15">
        <v>7.0</v>
      </c>
      <c r="L1637" s="15">
        <v>7.0</v>
      </c>
      <c r="M1637" s="41">
        <v>34984.0</v>
      </c>
      <c r="N1637" s="40">
        <v>40429.0</v>
      </c>
      <c r="O1637" s="15" t="s">
        <v>1554</v>
      </c>
      <c r="Q1637" s="7"/>
    </row>
    <row r="1638">
      <c r="A1638" s="39" t="s">
        <v>7954</v>
      </c>
      <c r="B1638" s="15">
        <v>54290.0</v>
      </c>
      <c r="C1638" s="15" t="s">
        <v>7955</v>
      </c>
      <c r="D1638" s="15">
        <v>15467.0</v>
      </c>
      <c r="E1638" s="15" t="s">
        <v>1548</v>
      </c>
      <c r="F1638" s="15" t="s">
        <v>1801</v>
      </c>
      <c r="G1638" s="7">
        <v>9.392</v>
      </c>
      <c r="H1638" s="15" t="s">
        <v>7956</v>
      </c>
      <c r="I1638" s="15" t="s">
        <v>1567</v>
      </c>
      <c r="J1638" s="15" t="s">
        <v>7957</v>
      </c>
      <c r="K1638" s="15">
        <v>1.0</v>
      </c>
      <c r="L1638" s="15">
        <v>1.0</v>
      </c>
      <c r="M1638" s="40">
        <v>35091.0</v>
      </c>
      <c r="N1638" s="40">
        <v>39790.0</v>
      </c>
      <c r="O1638" s="15" t="s">
        <v>1554</v>
      </c>
      <c r="Q1638" s="7"/>
    </row>
    <row r="1639">
      <c r="A1639" s="39" t="s">
        <v>7958</v>
      </c>
      <c r="B1639" s="15">
        <v>312349.0</v>
      </c>
      <c r="C1639" s="15" t="s">
        <v>7959</v>
      </c>
      <c r="D1639" s="15">
        <v>15468.0</v>
      </c>
      <c r="E1639" s="15" t="s">
        <v>1557</v>
      </c>
      <c r="F1639" s="15" t="s">
        <v>1822</v>
      </c>
      <c r="G1639" s="7">
        <v>8.17</v>
      </c>
      <c r="H1639" s="15" t="s">
        <v>4070</v>
      </c>
      <c r="I1639" s="15" t="s">
        <v>1686</v>
      </c>
      <c r="J1639" s="15" t="s">
        <v>7960</v>
      </c>
      <c r="K1639" s="15">
        <v>7.0</v>
      </c>
      <c r="L1639" s="15">
        <v>7.0</v>
      </c>
      <c r="M1639" s="40">
        <v>38524.0</v>
      </c>
      <c r="N1639" s="41">
        <v>40534.0</v>
      </c>
      <c r="O1639" s="15" t="s">
        <v>1554</v>
      </c>
      <c r="Q1639" s="7"/>
    </row>
    <row r="1640">
      <c r="A1640" s="39" t="s">
        <v>7962</v>
      </c>
      <c r="B1640" s="15">
        <v>320432.0</v>
      </c>
      <c r="C1640" s="15" t="s">
        <v>7963</v>
      </c>
      <c r="D1640" s="15">
        <v>15469.0</v>
      </c>
      <c r="E1640" s="15" t="s">
        <v>1557</v>
      </c>
      <c r="F1640" s="15" t="s">
        <v>1992</v>
      </c>
      <c r="G1640" s="7">
        <v>149.622</v>
      </c>
      <c r="H1640" s="15">
        <v>39.0</v>
      </c>
      <c r="I1640" s="15" t="s">
        <v>1560</v>
      </c>
      <c r="J1640" s="15" t="s">
        <v>7964</v>
      </c>
      <c r="K1640" s="15">
        <v>151.0</v>
      </c>
      <c r="L1640" s="15">
        <v>151.0</v>
      </c>
      <c r="M1640" s="40">
        <v>38528.0</v>
      </c>
      <c r="N1640" s="40">
        <v>40185.0</v>
      </c>
      <c r="O1640" s="15" t="s">
        <v>1554</v>
      </c>
      <c r="Q1640" s="7"/>
    </row>
    <row r="1641">
      <c r="A1641" s="39" t="s">
        <v>7965</v>
      </c>
      <c r="B1641" s="15">
        <v>12305.0</v>
      </c>
      <c r="C1641" s="15" t="s">
        <v>7966</v>
      </c>
      <c r="D1641" s="15">
        <v>15470.0</v>
      </c>
      <c r="E1641" s="15" t="s">
        <v>1548</v>
      </c>
      <c r="F1641" s="15" t="s">
        <v>1926</v>
      </c>
      <c r="G1641" s="7">
        <v>8.623</v>
      </c>
      <c r="H1641" s="15" t="s">
        <v>7967</v>
      </c>
      <c r="I1641" s="15" t="s">
        <v>1628</v>
      </c>
      <c r="J1641" s="15" t="s">
        <v>7968</v>
      </c>
      <c r="K1641" s="15">
        <v>5.0</v>
      </c>
      <c r="L1641" s="15">
        <v>5.0</v>
      </c>
      <c r="M1641" s="40">
        <v>34088.0</v>
      </c>
      <c r="N1641" s="40">
        <v>39790.0</v>
      </c>
      <c r="O1641" s="15" t="s">
        <v>1554</v>
      </c>
      <c r="Q1641" s="7"/>
    </row>
    <row r="1642">
      <c r="A1642" s="39" t="s">
        <v>7969</v>
      </c>
      <c r="B1642" s="15">
        <v>12313.0</v>
      </c>
      <c r="C1642" s="15" t="s">
        <v>7970</v>
      </c>
      <c r="D1642" s="15">
        <v>15471.0</v>
      </c>
      <c r="E1642" s="15" t="s">
        <v>1548</v>
      </c>
      <c r="F1642" s="15" t="s">
        <v>1926</v>
      </c>
      <c r="G1642" s="7">
        <v>8.492</v>
      </c>
      <c r="H1642" s="15" t="s">
        <v>7971</v>
      </c>
      <c r="I1642" s="15" t="s">
        <v>1628</v>
      </c>
      <c r="J1642" s="15" t="s">
        <v>7973</v>
      </c>
      <c r="K1642" s="15">
        <v>5.0</v>
      </c>
      <c r="L1642" s="15">
        <v>5.0</v>
      </c>
      <c r="M1642" s="40">
        <v>34831.0</v>
      </c>
      <c r="N1642" s="40">
        <v>39790.0</v>
      </c>
      <c r="O1642" s="15" t="s">
        <v>1554</v>
      </c>
      <c r="Q1642" s="7"/>
    </row>
    <row r="1643">
      <c r="A1643" s="39" t="s">
        <v>7974</v>
      </c>
      <c r="B1643" s="15">
        <v>12317.0</v>
      </c>
      <c r="C1643" s="15" t="s">
        <v>7975</v>
      </c>
      <c r="D1643" s="15">
        <v>15472.0</v>
      </c>
      <c r="E1643" s="15" t="s">
        <v>1548</v>
      </c>
      <c r="F1643" s="15" t="s">
        <v>1926</v>
      </c>
      <c r="G1643" s="7">
        <v>8.622</v>
      </c>
      <c r="H1643" s="15" t="s">
        <v>7976</v>
      </c>
      <c r="I1643" s="15" t="s">
        <v>1628</v>
      </c>
      <c r="J1643" s="15" t="s">
        <v>7977</v>
      </c>
      <c r="K1643" s="15">
        <v>5.0</v>
      </c>
      <c r="L1643" s="15">
        <v>5.0</v>
      </c>
      <c r="M1643" s="40">
        <v>30656.0</v>
      </c>
      <c r="N1643" s="40">
        <v>42045.0</v>
      </c>
      <c r="O1643" s="15" t="s">
        <v>1554</v>
      </c>
      <c r="Q1643" s="7"/>
    </row>
    <row r="1644">
      <c r="A1644" s="39" t="s">
        <v>7978</v>
      </c>
      <c r="B1644" s="15">
        <v>77698.0</v>
      </c>
      <c r="C1644" s="15" t="s">
        <v>7979</v>
      </c>
      <c r="D1644" s="15">
        <v>15473.0</v>
      </c>
      <c r="E1644" s="15" t="s">
        <v>1638</v>
      </c>
      <c r="F1644" s="15" t="s">
        <v>1863</v>
      </c>
      <c r="G1644" s="7">
        <v>29.339</v>
      </c>
      <c r="H1644" s="15" t="s">
        <v>7980</v>
      </c>
      <c r="I1644" s="15" t="s">
        <v>2034</v>
      </c>
      <c r="J1644" s="15" t="s">
        <v>7981</v>
      </c>
      <c r="K1644" s="15">
        <v>12.0</v>
      </c>
      <c r="L1644" s="15">
        <v>12.0</v>
      </c>
      <c r="M1644" s="40">
        <v>36032.0</v>
      </c>
      <c r="N1644" s="40">
        <v>39220.0</v>
      </c>
      <c r="O1644" s="15" t="s">
        <v>1554</v>
      </c>
      <c r="Q1644" s="7"/>
    </row>
    <row r="1645">
      <c r="A1645" s="39" t="s">
        <v>7983</v>
      </c>
      <c r="B1645" s="15">
        <v>10632.0</v>
      </c>
      <c r="C1645" s="15" t="s">
        <v>7984</v>
      </c>
      <c r="D1645" s="15">
        <v>15477.0</v>
      </c>
      <c r="E1645" s="15" t="s">
        <v>1557</v>
      </c>
      <c r="F1645" s="15" t="s">
        <v>2004</v>
      </c>
      <c r="G1645" s="7">
        <v>5.13</v>
      </c>
      <c r="H1645" s="15" t="s">
        <v>2524</v>
      </c>
      <c r="I1645" s="15" t="s">
        <v>1567</v>
      </c>
      <c r="J1645" s="15" t="s">
        <v>7985</v>
      </c>
      <c r="K1645" s="15">
        <v>6.0</v>
      </c>
      <c r="L1645" s="15">
        <v>6.0</v>
      </c>
      <c r="M1645" s="40">
        <v>32582.0</v>
      </c>
      <c r="N1645" s="40">
        <v>41004.0</v>
      </c>
      <c r="O1645" s="15" t="s">
        <v>1554</v>
      </c>
      <c r="Q1645" s="7"/>
    </row>
    <row r="1646">
      <c r="A1646" s="39" t="s">
        <v>7986</v>
      </c>
      <c r="B1646" s="15">
        <v>290587.0</v>
      </c>
      <c r="C1646" s="15" t="s">
        <v>7987</v>
      </c>
      <c r="D1646" s="15">
        <v>15478.0</v>
      </c>
      <c r="E1646" s="15" t="s">
        <v>1808</v>
      </c>
      <c r="F1646" s="15" t="s">
        <v>1809</v>
      </c>
      <c r="G1646" s="7">
        <v>2.75</v>
      </c>
      <c r="H1646" s="15" t="s">
        <v>5382</v>
      </c>
      <c r="I1646" s="15" t="s">
        <v>1628</v>
      </c>
      <c r="J1646" s="15" t="s">
        <v>7988</v>
      </c>
      <c r="K1646" s="15">
        <v>4.0</v>
      </c>
      <c r="L1646" s="15">
        <v>4.0</v>
      </c>
      <c r="M1646" s="41">
        <v>37244.0</v>
      </c>
      <c r="N1646" s="40">
        <v>41709.0</v>
      </c>
      <c r="O1646" s="15" t="s">
        <v>1554</v>
      </c>
      <c r="Q1646" s="7"/>
    </row>
    <row r="1647">
      <c r="A1647" s="39" t="s">
        <v>7989</v>
      </c>
      <c r="B1647" s="15">
        <v>75723.0</v>
      </c>
      <c r="C1647" s="15" t="s">
        <v>7990</v>
      </c>
      <c r="D1647" s="15">
        <v>15479.0</v>
      </c>
      <c r="E1647" s="15" t="s">
        <v>1548</v>
      </c>
      <c r="F1647" s="15" t="s">
        <v>4850</v>
      </c>
      <c r="G1647" s="7">
        <v>4.215</v>
      </c>
      <c r="H1647" s="15" t="s">
        <v>4736</v>
      </c>
      <c r="I1647" s="15" t="s">
        <v>1586</v>
      </c>
      <c r="J1647" s="15" t="s">
        <v>7992</v>
      </c>
      <c r="K1647" s="15">
        <v>4.0</v>
      </c>
      <c r="L1647" s="15">
        <v>4.0</v>
      </c>
      <c r="M1647" s="40">
        <v>35910.0</v>
      </c>
      <c r="N1647" s="40">
        <v>42045.0</v>
      </c>
      <c r="O1647" s="15" t="s">
        <v>1554</v>
      </c>
      <c r="Q1647" s="7"/>
    </row>
    <row r="1648">
      <c r="A1648" s="39" t="s">
        <v>7993</v>
      </c>
      <c r="B1648" s="15">
        <v>201862.0</v>
      </c>
      <c r="C1648" s="15" t="s">
        <v>7994</v>
      </c>
      <c r="D1648" s="15">
        <v>15532.0</v>
      </c>
      <c r="E1648" s="15" t="s">
        <v>1548</v>
      </c>
      <c r="F1648" s="15" t="s">
        <v>1911</v>
      </c>
      <c r="G1648" s="7">
        <v>9.695</v>
      </c>
      <c r="H1648" s="15" t="s">
        <v>3895</v>
      </c>
      <c r="I1648" s="15" t="s">
        <v>1628</v>
      </c>
      <c r="J1648" s="15" t="s">
        <v>7995</v>
      </c>
      <c r="K1648" s="15">
        <v>2.0</v>
      </c>
      <c r="L1648" s="15">
        <v>2.0</v>
      </c>
      <c r="M1648" s="40">
        <v>38534.0</v>
      </c>
      <c r="N1648" s="40">
        <v>42045.0</v>
      </c>
      <c r="O1648" s="15" t="s">
        <v>1554</v>
      </c>
      <c r="Q1648" s="7"/>
    </row>
    <row r="1649">
      <c r="A1649" s="39" t="s">
        <v>7996</v>
      </c>
      <c r="B1649" s="15">
        <v>296210.0</v>
      </c>
      <c r="C1649" s="15" t="s">
        <v>7997</v>
      </c>
      <c r="D1649" s="15">
        <v>15533.0</v>
      </c>
      <c r="E1649" s="15" t="s">
        <v>1638</v>
      </c>
      <c r="F1649" s="15" t="s">
        <v>1796</v>
      </c>
      <c r="G1649" s="7">
        <v>3.854</v>
      </c>
      <c r="H1649" s="15" t="s">
        <v>7998</v>
      </c>
      <c r="I1649" s="15" t="s">
        <v>1628</v>
      </c>
      <c r="J1649" s="15" t="s">
        <v>7999</v>
      </c>
      <c r="K1649" s="15">
        <v>2.0</v>
      </c>
      <c r="L1649" s="15">
        <v>2.0</v>
      </c>
      <c r="M1649" s="40">
        <v>38553.0</v>
      </c>
      <c r="N1649" s="40">
        <v>38806.0</v>
      </c>
      <c r="O1649" s="15" t="s">
        <v>1554</v>
      </c>
      <c r="Q1649" s="7"/>
    </row>
    <row r="1650">
      <c r="A1650" s="39" t="s">
        <v>8001</v>
      </c>
      <c r="B1650" s="15">
        <v>54289.0</v>
      </c>
      <c r="C1650" s="15" t="s">
        <v>8002</v>
      </c>
      <c r="D1650" s="15">
        <v>15555.0</v>
      </c>
      <c r="E1650" s="15" t="s">
        <v>1638</v>
      </c>
      <c r="F1650" s="15" t="s">
        <v>1796</v>
      </c>
      <c r="G1650" s="7">
        <v>3.791</v>
      </c>
      <c r="H1650" s="15" t="s">
        <v>8003</v>
      </c>
      <c r="I1650" s="15" t="s">
        <v>1628</v>
      </c>
      <c r="J1650" s="15" t="s">
        <v>8004</v>
      </c>
      <c r="K1650" s="15">
        <v>2.0</v>
      </c>
      <c r="L1650" s="15">
        <v>2.0</v>
      </c>
      <c r="M1650" s="40">
        <v>38534.0</v>
      </c>
      <c r="N1650" s="41">
        <v>42297.0</v>
      </c>
      <c r="O1650" s="15" t="s">
        <v>1554</v>
      </c>
      <c r="Q1650" s="7"/>
    </row>
    <row r="1651">
      <c r="A1651" s="39" t="s">
        <v>8005</v>
      </c>
      <c r="B1651" s="15">
        <v>307111.0</v>
      </c>
      <c r="C1651" s="15" t="s">
        <v>8006</v>
      </c>
      <c r="D1651" s="15">
        <v>15557.0</v>
      </c>
      <c r="E1651" s="15" t="s">
        <v>2014</v>
      </c>
      <c r="F1651" s="15" t="s">
        <v>2018</v>
      </c>
      <c r="G1651" s="7">
        <v>1.355</v>
      </c>
      <c r="H1651" s="15" t="s">
        <v>1912</v>
      </c>
      <c r="I1651" s="15" t="s">
        <v>1628</v>
      </c>
      <c r="J1651" s="15" t="s">
        <v>8007</v>
      </c>
      <c r="K1651" s="15">
        <v>1.0</v>
      </c>
      <c r="L1651" s="15">
        <v>1.0</v>
      </c>
      <c r="M1651" s="40">
        <v>38559.0</v>
      </c>
      <c r="N1651" s="40">
        <v>40148.0</v>
      </c>
      <c r="O1651" s="15" t="s">
        <v>1554</v>
      </c>
      <c r="Q1651" s="7"/>
    </row>
    <row r="1652">
      <c r="A1652" s="39" t="s">
        <v>8008</v>
      </c>
      <c r="B1652" s="15">
        <v>324685.0</v>
      </c>
      <c r="C1652" s="15" t="s">
        <v>8009</v>
      </c>
      <c r="D1652" s="15">
        <v>15558.0</v>
      </c>
      <c r="E1652" s="15" t="s">
        <v>1808</v>
      </c>
      <c r="F1652" s="15" t="s">
        <v>1998</v>
      </c>
      <c r="G1652" s="7">
        <v>1.991</v>
      </c>
      <c r="H1652" s="15" t="s">
        <v>2296</v>
      </c>
      <c r="I1652" s="15" t="s">
        <v>1686</v>
      </c>
      <c r="J1652" s="15" t="s">
        <v>8011</v>
      </c>
      <c r="K1652" s="15">
        <v>4.0</v>
      </c>
      <c r="L1652" s="15">
        <v>4.0</v>
      </c>
      <c r="M1652" s="40">
        <v>38550.0</v>
      </c>
      <c r="N1652" s="40">
        <v>40248.0</v>
      </c>
      <c r="O1652" s="15" t="s">
        <v>1554</v>
      </c>
      <c r="Q1652" s="7"/>
    </row>
    <row r="1653">
      <c r="A1653" s="39" t="s">
        <v>8012</v>
      </c>
      <c r="B1653" s="15">
        <v>325111.0</v>
      </c>
      <c r="C1653" s="15" t="s">
        <v>8013</v>
      </c>
      <c r="D1653" s="15">
        <v>15559.0</v>
      </c>
      <c r="E1653" s="15" t="s">
        <v>1808</v>
      </c>
      <c r="F1653" s="15" t="s">
        <v>1809</v>
      </c>
      <c r="G1653" s="7">
        <v>2.758</v>
      </c>
      <c r="H1653" s="15">
        <v>46.0</v>
      </c>
      <c r="I1653" s="15" t="s">
        <v>1628</v>
      </c>
      <c r="J1653" s="15" t="s">
        <v>8014</v>
      </c>
      <c r="K1653" s="15">
        <v>6.0</v>
      </c>
      <c r="L1653" s="15">
        <v>6.0</v>
      </c>
      <c r="M1653" s="40">
        <v>38554.0</v>
      </c>
      <c r="N1653" s="40">
        <v>40578.0</v>
      </c>
      <c r="O1653" s="15" t="s">
        <v>1554</v>
      </c>
      <c r="Q1653" s="7"/>
    </row>
    <row r="1654">
      <c r="A1654" s="39" t="s">
        <v>8015</v>
      </c>
      <c r="B1654" s="15">
        <v>337826.0</v>
      </c>
      <c r="C1654" s="15" t="s">
        <v>8016</v>
      </c>
      <c r="D1654" s="15">
        <v>15560.0</v>
      </c>
      <c r="E1654" s="15" t="s">
        <v>1808</v>
      </c>
      <c r="F1654" s="15" t="s">
        <v>1809</v>
      </c>
      <c r="G1654" s="7">
        <v>2.745</v>
      </c>
      <c r="H1654" s="15" t="s">
        <v>1613</v>
      </c>
      <c r="I1654" s="15" t="s">
        <v>1628</v>
      </c>
      <c r="J1654" s="15" t="s">
        <v>8017</v>
      </c>
      <c r="K1654" s="15">
        <v>6.0</v>
      </c>
      <c r="L1654" s="15">
        <v>6.0</v>
      </c>
      <c r="M1654" s="40">
        <v>38554.0</v>
      </c>
      <c r="N1654" s="40">
        <v>40578.0</v>
      </c>
      <c r="O1654" s="15" t="s">
        <v>1554</v>
      </c>
      <c r="Q1654" s="7"/>
    </row>
    <row r="1655">
      <c r="A1655" s="39" t="s">
        <v>8018</v>
      </c>
      <c r="B1655" s="15">
        <v>325113.0</v>
      </c>
      <c r="C1655" s="15" t="s">
        <v>8020</v>
      </c>
      <c r="D1655" s="15">
        <v>15561.0</v>
      </c>
      <c r="E1655" s="15" t="s">
        <v>2014</v>
      </c>
      <c r="F1655" s="15" t="s">
        <v>2018</v>
      </c>
      <c r="G1655" s="7">
        <v>1.347</v>
      </c>
      <c r="H1655" s="15" t="s">
        <v>2552</v>
      </c>
      <c r="I1655" s="15" t="s">
        <v>1628</v>
      </c>
      <c r="J1655" s="15" t="s">
        <v>8021</v>
      </c>
      <c r="K1655" s="15">
        <v>1.0</v>
      </c>
      <c r="L1655" s="15">
        <v>1.0</v>
      </c>
      <c r="M1655" s="40">
        <v>38554.0</v>
      </c>
      <c r="N1655" s="40">
        <v>40578.0</v>
      </c>
      <c r="O1655" s="15" t="s">
        <v>1554</v>
      </c>
      <c r="Q1655" s="7"/>
    </row>
    <row r="1656">
      <c r="A1656" s="39" t="s">
        <v>8022</v>
      </c>
      <c r="B1656" s="15">
        <v>326489.0</v>
      </c>
      <c r="C1656" s="15" t="s">
        <v>8023</v>
      </c>
      <c r="D1656" s="15">
        <v>15562.0</v>
      </c>
      <c r="E1656" s="15" t="s">
        <v>2014</v>
      </c>
      <c r="F1656" s="15" t="s">
        <v>2018</v>
      </c>
      <c r="G1656" s="7">
        <v>1.355</v>
      </c>
      <c r="H1656" s="15" t="s">
        <v>1685</v>
      </c>
      <c r="I1656" s="15" t="s">
        <v>1628</v>
      </c>
      <c r="J1656" s="15" t="s">
        <v>8024</v>
      </c>
      <c r="K1656" s="15">
        <v>1.0</v>
      </c>
      <c r="L1656" s="15">
        <v>1.0</v>
      </c>
      <c r="M1656" s="40">
        <v>38559.0</v>
      </c>
      <c r="N1656" s="40">
        <v>40578.0</v>
      </c>
      <c r="O1656" s="15" t="s">
        <v>1554</v>
      </c>
      <c r="Q1656" s="7"/>
    </row>
    <row r="1657">
      <c r="A1657" s="39" t="s">
        <v>8025</v>
      </c>
      <c r="B1657" s="15">
        <v>12169.0</v>
      </c>
      <c r="C1657" s="15" t="s">
        <v>8026</v>
      </c>
      <c r="D1657" s="15">
        <v>15574.0</v>
      </c>
      <c r="E1657" s="15" t="s">
        <v>1548</v>
      </c>
      <c r="F1657" s="15" t="s">
        <v>1786</v>
      </c>
      <c r="G1657" s="7">
        <v>8.478</v>
      </c>
      <c r="H1657" s="15" t="s">
        <v>2279</v>
      </c>
      <c r="I1657" s="15" t="s">
        <v>1628</v>
      </c>
      <c r="J1657" s="15" t="s">
        <v>8027</v>
      </c>
      <c r="K1657" s="15">
        <v>6.0</v>
      </c>
      <c r="L1657" s="15">
        <v>7.0</v>
      </c>
      <c r="M1657" s="40">
        <v>38565.0</v>
      </c>
      <c r="N1657" s="40">
        <v>39790.0</v>
      </c>
      <c r="O1657" s="15" t="s">
        <v>1554</v>
      </c>
      <c r="Q1657" s="7"/>
    </row>
    <row r="1658">
      <c r="A1658" s="39" t="s">
        <v>8029</v>
      </c>
      <c r="B1658" s="15">
        <v>307110.0</v>
      </c>
      <c r="C1658" s="15" t="s">
        <v>8030</v>
      </c>
      <c r="D1658" s="15">
        <v>15575.0</v>
      </c>
      <c r="E1658" s="15" t="s">
        <v>1808</v>
      </c>
      <c r="F1658" s="15" t="s">
        <v>1809</v>
      </c>
      <c r="G1658" s="7">
        <v>2.751</v>
      </c>
      <c r="H1658" s="15" t="s">
        <v>2064</v>
      </c>
      <c r="I1658" s="15" t="s">
        <v>1628</v>
      </c>
      <c r="J1658" s="15" t="s">
        <v>8031</v>
      </c>
      <c r="K1658" s="15">
        <v>6.0</v>
      </c>
      <c r="L1658" s="15">
        <v>6.0</v>
      </c>
      <c r="M1658" s="40">
        <v>38559.0</v>
      </c>
      <c r="N1658" s="40">
        <v>40206.0</v>
      </c>
      <c r="O1658" s="15" t="s">
        <v>1554</v>
      </c>
      <c r="Q1658" s="7"/>
    </row>
    <row r="1659">
      <c r="A1659" s="39" t="s">
        <v>8032</v>
      </c>
      <c r="B1659" s="15">
        <v>67754.0</v>
      </c>
      <c r="C1659" s="15" t="s">
        <v>8033</v>
      </c>
      <c r="D1659" s="15">
        <v>15587.0</v>
      </c>
      <c r="E1659" s="15" t="s">
        <v>1548</v>
      </c>
      <c r="F1659" s="15" t="s">
        <v>1790</v>
      </c>
      <c r="G1659" s="7">
        <v>16.842</v>
      </c>
      <c r="H1659" s="15" t="s">
        <v>8034</v>
      </c>
      <c r="I1659" s="15" t="s">
        <v>1628</v>
      </c>
      <c r="J1659" s="15" t="s">
        <v>8035</v>
      </c>
      <c r="K1659" s="15">
        <v>13.0</v>
      </c>
      <c r="L1659" s="15">
        <v>13.0</v>
      </c>
      <c r="M1659" s="40">
        <v>38534.0</v>
      </c>
      <c r="N1659" s="40">
        <v>40148.0</v>
      </c>
      <c r="O1659" s="15" t="s">
        <v>1554</v>
      </c>
      <c r="Q1659" s="7"/>
    </row>
    <row r="1660">
      <c r="A1660" s="39" t="s">
        <v>8036</v>
      </c>
      <c r="B1660" s="15">
        <v>269275.0</v>
      </c>
      <c r="C1660" s="15" t="s">
        <v>8037</v>
      </c>
      <c r="D1660" s="15">
        <v>15591.0</v>
      </c>
      <c r="E1660" s="15" t="s">
        <v>1808</v>
      </c>
      <c r="F1660" s="15" t="s">
        <v>1809</v>
      </c>
      <c r="G1660" s="7">
        <v>5.455</v>
      </c>
      <c r="H1660" s="15" t="s">
        <v>8038</v>
      </c>
      <c r="I1660" s="15" t="s">
        <v>1628</v>
      </c>
      <c r="J1660" s="15" t="s">
        <v>8039</v>
      </c>
      <c r="K1660" s="15">
        <v>8.0</v>
      </c>
      <c r="L1660" s="15">
        <v>8.0</v>
      </c>
      <c r="M1660" s="40">
        <v>37774.0</v>
      </c>
      <c r="N1660" s="40">
        <v>42045.0</v>
      </c>
      <c r="O1660" s="15" t="s">
        <v>1554</v>
      </c>
      <c r="Q1660" s="7"/>
    </row>
    <row r="1661">
      <c r="A1661" s="39" t="s">
        <v>8041</v>
      </c>
      <c r="B1661" s="15">
        <v>181082.0</v>
      </c>
      <c r="C1661" s="15" t="s">
        <v>8042</v>
      </c>
      <c r="D1661" s="15">
        <v>15618.0</v>
      </c>
      <c r="E1661" s="15" t="s">
        <v>1557</v>
      </c>
      <c r="F1661" s="15" t="s">
        <v>2763</v>
      </c>
      <c r="G1661" s="7">
        <v>407.339</v>
      </c>
      <c r="H1661" s="15" t="s">
        <v>1902</v>
      </c>
      <c r="I1661" s="15" t="s">
        <v>1573</v>
      </c>
      <c r="J1661" s="15" t="s">
        <v>8043</v>
      </c>
      <c r="K1661" s="15">
        <v>478.0</v>
      </c>
      <c r="L1661" s="15">
        <v>472.0</v>
      </c>
      <c r="M1661" s="40">
        <v>38574.0</v>
      </c>
      <c r="N1661" s="40">
        <v>42397.0</v>
      </c>
      <c r="O1661" s="15" t="s">
        <v>1554</v>
      </c>
      <c r="Q1661" s="7"/>
    </row>
    <row r="1662">
      <c r="A1662" s="39" t="s">
        <v>8044</v>
      </c>
      <c r="B1662" s="15">
        <v>332054.0</v>
      </c>
      <c r="C1662" s="15" t="s">
        <v>8045</v>
      </c>
      <c r="D1662" s="15">
        <v>15635.0</v>
      </c>
      <c r="E1662" s="15" t="s">
        <v>1557</v>
      </c>
      <c r="F1662" s="15" t="s">
        <v>1992</v>
      </c>
      <c r="G1662" s="7">
        <v>134.394</v>
      </c>
      <c r="H1662" s="15">
        <v>39.0</v>
      </c>
      <c r="I1662" s="15" t="s">
        <v>1560</v>
      </c>
      <c r="J1662" s="15" t="s">
        <v>8046</v>
      </c>
      <c r="K1662" s="15">
        <v>145.0</v>
      </c>
      <c r="L1662" s="15">
        <v>145.0</v>
      </c>
      <c r="M1662" s="40">
        <v>38564.0</v>
      </c>
      <c r="N1662" s="40">
        <v>39939.0</v>
      </c>
      <c r="O1662" s="15" t="s">
        <v>1554</v>
      </c>
      <c r="Q1662" s="7"/>
    </row>
    <row r="1663">
      <c r="A1663" s="39" t="s">
        <v>8047</v>
      </c>
      <c r="B1663" s="15">
        <v>315953.0</v>
      </c>
      <c r="C1663" s="15" t="s">
        <v>8048</v>
      </c>
      <c r="D1663" s="15">
        <v>15686.0</v>
      </c>
      <c r="E1663" s="15" t="s">
        <v>1557</v>
      </c>
      <c r="F1663" s="15" t="s">
        <v>6500</v>
      </c>
      <c r="G1663" s="7">
        <v>62.73</v>
      </c>
      <c r="H1663" s="15" t="s">
        <v>2820</v>
      </c>
      <c r="I1663" s="15" t="s">
        <v>1618</v>
      </c>
      <c r="J1663" s="15" t="s">
        <v>8049</v>
      </c>
      <c r="K1663" s="15">
        <v>72.0</v>
      </c>
      <c r="L1663" s="15">
        <v>72.0</v>
      </c>
      <c r="M1663" s="40">
        <v>38607.0</v>
      </c>
      <c r="N1663" s="40">
        <v>40263.0</v>
      </c>
      <c r="O1663" s="15" t="s">
        <v>1554</v>
      </c>
      <c r="Q1663" s="7"/>
    </row>
    <row r="1664">
      <c r="A1664" s="39" t="s">
        <v>8051</v>
      </c>
      <c r="B1664" s="15">
        <v>316983.0</v>
      </c>
      <c r="C1664" s="15" t="s">
        <v>8052</v>
      </c>
      <c r="D1664" s="15">
        <v>15687.0</v>
      </c>
      <c r="E1664" s="15" t="s">
        <v>1548</v>
      </c>
      <c r="F1664" s="15" t="s">
        <v>1633</v>
      </c>
      <c r="G1664" s="7">
        <v>7.009</v>
      </c>
      <c r="H1664" s="15" t="s">
        <v>2284</v>
      </c>
      <c r="I1664" s="15" t="s">
        <v>1628</v>
      </c>
      <c r="J1664" s="15" t="s">
        <v>8053</v>
      </c>
      <c r="K1664" s="15">
        <v>5.0</v>
      </c>
      <c r="L1664" s="15">
        <v>5.0</v>
      </c>
      <c r="M1664" s="40">
        <v>38601.0</v>
      </c>
      <c r="N1664" s="40">
        <v>39224.0</v>
      </c>
      <c r="O1664" s="15" t="s">
        <v>1554</v>
      </c>
      <c r="Q1664" s="7"/>
    </row>
    <row r="1665">
      <c r="A1665" s="39" t="s">
        <v>8054</v>
      </c>
      <c r="B1665" s="15">
        <v>213034.0</v>
      </c>
      <c r="C1665" s="15" t="s">
        <v>8055</v>
      </c>
      <c r="D1665" s="15">
        <v>15717.0</v>
      </c>
      <c r="E1665" s="15" t="s">
        <v>1548</v>
      </c>
      <c r="F1665" s="15" t="s">
        <v>1633</v>
      </c>
      <c r="G1665" s="7">
        <v>5.47</v>
      </c>
      <c r="H1665" s="15" t="s">
        <v>2141</v>
      </c>
      <c r="I1665" s="15" t="s">
        <v>1552</v>
      </c>
      <c r="J1665" s="15" t="s">
        <v>8056</v>
      </c>
      <c r="K1665" s="15">
        <v>1.0</v>
      </c>
      <c r="L1665" s="15">
        <v>1.0</v>
      </c>
      <c r="M1665" s="40">
        <v>37865.0</v>
      </c>
      <c r="N1665" s="40">
        <v>39210.0</v>
      </c>
      <c r="O1665" s="15" t="s">
        <v>1554</v>
      </c>
      <c r="Q1665" s="7"/>
    </row>
    <row r="1666">
      <c r="A1666" s="39" t="s">
        <v>8057</v>
      </c>
      <c r="B1666" s="15">
        <v>62059.0</v>
      </c>
      <c r="C1666" s="15" t="s">
        <v>8058</v>
      </c>
      <c r="D1666" s="15">
        <v>15745.0</v>
      </c>
      <c r="E1666" s="15" t="s">
        <v>1548</v>
      </c>
      <c r="F1666" s="15" t="s">
        <v>1911</v>
      </c>
      <c r="G1666" s="7">
        <v>10.429</v>
      </c>
      <c r="H1666" s="15" t="s">
        <v>2320</v>
      </c>
      <c r="I1666" s="15" t="s">
        <v>1628</v>
      </c>
      <c r="J1666" s="15" t="s">
        <v>8059</v>
      </c>
      <c r="K1666" s="15">
        <v>3.0</v>
      </c>
      <c r="L1666" s="15">
        <v>3.0</v>
      </c>
      <c r="M1666" s="40">
        <v>38623.0</v>
      </c>
      <c r="N1666" s="40">
        <v>42045.0</v>
      </c>
      <c r="O1666" s="15" t="s">
        <v>1554</v>
      </c>
      <c r="Q1666" s="7"/>
    </row>
    <row r="1667">
      <c r="A1667" s="39" t="s">
        <v>8060</v>
      </c>
      <c r="B1667" s="15">
        <v>306025.0</v>
      </c>
      <c r="C1667" s="15" t="s">
        <v>8061</v>
      </c>
      <c r="D1667" s="15">
        <v>15780.0</v>
      </c>
      <c r="E1667" s="15" t="s">
        <v>2014</v>
      </c>
      <c r="F1667" s="15" t="s">
        <v>2018</v>
      </c>
      <c r="G1667" s="7">
        <v>1.346</v>
      </c>
      <c r="H1667" s="15" t="s">
        <v>3000</v>
      </c>
      <c r="I1667" s="15" t="s">
        <v>1628</v>
      </c>
      <c r="J1667" s="15" t="s">
        <v>8062</v>
      </c>
      <c r="K1667" s="15">
        <v>1.0</v>
      </c>
      <c r="L1667" s="15">
        <v>1.0</v>
      </c>
      <c r="M1667" s="40">
        <v>39209.0</v>
      </c>
      <c r="N1667" s="41">
        <v>40540.0</v>
      </c>
      <c r="O1667" s="15" t="s">
        <v>1554</v>
      </c>
      <c r="Q1667" s="7"/>
    </row>
    <row r="1668">
      <c r="A1668" s="39" t="s">
        <v>8063</v>
      </c>
      <c r="B1668" s="15">
        <v>313629.0</v>
      </c>
      <c r="C1668" s="15" t="s">
        <v>8064</v>
      </c>
      <c r="D1668" s="15">
        <v>15781.0</v>
      </c>
      <c r="E1668" s="15" t="s">
        <v>1808</v>
      </c>
      <c r="F1668" s="15" t="s">
        <v>3154</v>
      </c>
      <c r="G1668" s="7">
        <v>4.53</v>
      </c>
      <c r="H1668" s="15" t="s">
        <v>2820</v>
      </c>
      <c r="I1668" s="15" t="s">
        <v>1586</v>
      </c>
      <c r="J1668" s="15" t="s">
        <v>8065</v>
      </c>
      <c r="K1668" s="15">
        <v>8.0</v>
      </c>
      <c r="L1668" s="15">
        <v>8.0</v>
      </c>
      <c r="M1668" s="40">
        <v>38595.0</v>
      </c>
      <c r="N1668" s="40">
        <v>40742.0</v>
      </c>
      <c r="O1668" s="15" t="s">
        <v>1554</v>
      </c>
      <c r="Q1668" s="7"/>
    </row>
    <row r="1669">
      <c r="A1669" s="39" t="s">
        <v>8066</v>
      </c>
      <c r="B1669" s="15">
        <v>347962.0</v>
      </c>
      <c r="C1669" s="15" t="s">
        <v>8067</v>
      </c>
      <c r="D1669" s="15">
        <v>15783.0</v>
      </c>
      <c r="E1669" s="15" t="s">
        <v>1557</v>
      </c>
      <c r="F1669" s="15" t="s">
        <v>1833</v>
      </c>
      <c r="G1669" s="7">
        <v>37.253</v>
      </c>
      <c r="H1669" s="15" t="s">
        <v>3550</v>
      </c>
      <c r="I1669" s="15" t="s">
        <v>1586</v>
      </c>
      <c r="J1669" s="15" t="s">
        <v>8068</v>
      </c>
      <c r="K1669" s="15">
        <v>53.0</v>
      </c>
      <c r="L1669" s="15">
        <v>53.0</v>
      </c>
      <c r="M1669" s="40">
        <v>38625.0</v>
      </c>
      <c r="N1669" s="40">
        <v>39790.0</v>
      </c>
      <c r="O1669" s="15" t="s">
        <v>1554</v>
      </c>
      <c r="Q1669" s="7"/>
    </row>
    <row r="1670">
      <c r="A1670" s="39" t="s">
        <v>8069</v>
      </c>
      <c r="B1670" s="15">
        <v>341053.0</v>
      </c>
      <c r="C1670" s="15" t="s">
        <v>8070</v>
      </c>
      <c r="D1670" s="15">
        <v>16630.0</v>
      </c>
      <c r="E1670" s="15" t="s">
        <v>1548</v>
      </c>
      <c r="F1670" s="15" t="s">
        <v>4837</v>
      </c>
      <c r="G1670" s="7">
        <v>19.212</v>
      </c>
      <c r="H1670" s="15" t="s">
        <v>3255</v>
      </c>
      <c r="I1670" s="15" t="s">
        <v>1567</v>
      </c>
      <c r="J1670" s="15" t="s">
        <v>8071</v>
      </c>
      <c r="K1670" s="15">
        <v>8.0</v>
      </c>
      <c r="L1670" s="15">
        <v>11.0</v>
      </c>
      <c r="M1670" s="40">
        <v>38772.0</v>
      </c>
      <c r="N1670" s="40">
        <v>38806.0</v>
      </c>
      <c r="O1670" s="15" t="s">
        <v>1554</v>
      </c>
      <c r="Q1670" s="7"/>
    </row>
    <row r="1671">
      <c r="A1671" s="39" t="s">
        <v>8072</v>
      </c>
      <c r="B1671" s="15">
        <v>55096.0</v>
      </c>
      <c r="C1671" s="15" t="s">
        <v>8073</v>
      </c>
      <c r="D1671" s="15">
        <v>16633.0</v>
      </c>
      <c r="E1671" s="15" t="s">
        <v>1548</v>
      </c>
      <c r="F1671" s="15" t="s">
        <v>1838</v>
      </c>
      <c r="G1671" s="7">
        <v>10.682</v>
      </c>
      <c r="H1671" s="15" t="s">
        <v>8074</v>
      </c>
      <c r="I1671" s="15" t="s">
        <v>1567</v>
      </c>
      <c r="J1671" s="15" t="s">
        <v>8075</v>
      </c>
      <c r="K1671" s="15">
        <v>4.0</v>
      </c>
      <c r="L1671" s="15">
        <v>4.0</v>
      </c>
      <c r="M1671" s="40">
        <v>38782.0</v>
      </c>
      <c r="N1671" s="40">
        <v>39674.0</v>
      </c>
      <c r="O1671" s="15" t="s">
        <v>1554</v>
      </c>
      <c r="Q1671" s="7"/>
    </row>
    <row r="1672">
      <c r="A1672" s="39" t="s">
        <v>8076</v>
      </c>
      <c r="B1672" s="15">
        <v>322053.0</v>
      </c>
      <c r="C1672" s="15" t="s">
        <v>8077</v>
      </c>
      <c r="D1672" s="15">
        <v>16643.0</v>
      </c>
      <c r="E1672" s="15" t="s">
        <v>1548</v>
      </c>
      <c r="F1672" s="15" t="s">
        <v>1911</v>
      </c>
      <c r="G1672" s="7">
        <v>9.544</v>
      </c>
      <c r="H1672" s="15" t="s">
        <v>1685</v>
      </c>
      <c r="I1672" s="15" t="s">
        <v>1628</v>
      </c>
      <c r="J1672" s="15" t="s">
        <v>8078</v>
      </c>
      <c r="K1672" s="15">
        <v>2.0</v>
      </c>
      <c r="L1672" s="15">
        <v>2.0</v>
      </c>
      <c r="M1672" s="40">
        <v>38793.0</v>
      </c>
      <c r="N1672" s="40">
        <v>42045.0</v>
      </c>
      <c r="O1672" s="15" t="s">
        <v>1554</v>
      </c>
      <c r="Q1672" s="7"/>
    </row>
    <row r="1673">
      <c r="A1673" s="39" t="s">
        <v>8079</v>
      </c>
      <c r="B1673" s="15">
        <v>128708.0</v>
      </c>
      <c r="C1673" s="15" t="s">
        <v>8080</v>
      </c>
      <c r="D1673" s="15">
        <v>16650.0</v>
      </c>
      <c r="E1673" s="15" t="s">
        <v>1557</v>
      </c>
      <c r="F1673" s="15" t="s">
        <v>1578</v>
      </c>
      <c r="G1673" s="7">
        <v>14.462</v>
      </c>
      <c r="H1673" s="15" t="s">
        <v>5806</v>
      </c>
      <c r="I1673" s="15" t="s">
        <v>1618</v>
      </c>
      <c r="J1673" s="15" t="s">
        <v>8081</v>
      </c>
      <c r="K1673" s="15">
        <v>35.0</v>
      </c>
      <c r="L1673" s="15">
        <v>35.0</v>
      </c>
      <c r="M1673" s="40">
        <v>38796.0</v>
      </c>
      <c r="N1673" s="40">
        <v>40263.0</v>
      </c>
      <c r="O1673" s="15" t="s">
        <v>1554</v>
      </c>
      <c r="Q1673" s="7"/>
    </row>
    <row r="1674">
      <c r="A1674" s="39" t="s">
        <v>8082</v>
      </c>
      <c r="B1674" s="15">
        <v>128710.0</v>
      </c>
      <c r="C1674" s="15" t="s">
        <v>8083</v>
      </c>
      <c r="D1674" s="15">
        <v>16651.0</v>
      </c>
      <c r="E1674" s="15" t="s">
        <v>1664</v>
      </c>
      <c r="F1674" s="15" t="s">
        <v>1987</v>
      </c>
      <c r="G1674" s="7">
        <v>16.067</v>
      </c>
      <c r="H1674" s="15" t="s">
        <v>2524</v>
      </c>
      <c r="I1674" s="15" t="s">
        <v>1618</v>
      </c>
      <c r="J1674" s="15" t="s">
        <v>8084</v>
      </c>
      <c r="K1674" s="15">
        <v>35.0</v>
      </c>
      <c r="L1674" s="15">
        <v>35.0</v>
      </c>
      <c r="M1674" s="40">
        <v>38796.0</v>
      </c>
      <c r="N1674" s="40">
        <v>40263.0</v>
      </c>
      <c r="O1674" s="15" t="s">
        <v>1554</v>
      </c>
      <c r="Q1674" s="7"/>
    </row>
    <row r="1675">
      <c r="A1675" s="39" t="s">
        <v>8085</v>
      </c>
      <c r="B1675" s="15">
        <v>282786.0</v>
      </c>
      <c r="C1675" s="15" t="s">
        <v>8086</v>
      </c>
      <c r="D1675" s="15">
        <v>16652.0</v>
      </c>
      <c r="E1675" s="15" t="s">
        <v>1638</v>
      </c>
      <c r="F1675" s="15" t="s">
        <v>1639</v>
      </c>
      <c r="G1675" s="7">
        <v>8.226</v>
      </c>
      <c r="H1675" s="15" t="s">
        <v>2857</v>
      </c>
      <c r="I1675" s="15" t="s">
        <v>1560</v>
      </c>
      <c r="J1675" s="15" t="s">
        <v>8087</v>
      </c>
      <c r="K1675" s="15">
        <v>2.0</v>
      </c>
      <c r="L1675" s="15">
        <v>2.0</v>
      </c>
      <c r="M1675" s="40">
        <v>38789.0</v>
      </c>
      <c r="N1675" s="41">
        <v>41960.0</v>
      </c>
      <c r="O1675" s="15" t="s">
        <v>1554</v>
      </c>
      <c r="Q1675" s="7"/>
    </row>
    <row r="1676">
      <c r="A1676" s="39" t="s">
        <v>8088</v>
      </c>
      <c r="B1676" s="15">
        <v>363716.0</v>
      </c>
      <c r="C1676" s="15" t="s">
        <v>8089</v>
      </c>
      <c r="D1676" s="15">
        <v>16656.0</v>
      </c>
      <c r="E1676" s="15" t="s">
        <v>1548</v>
      </c>
      <c r="F1676" s="15" t="s">
        <v>1578</v>
      </c>
      <c r="G1676" s="7">
        <v>12.333</v>
      </c>
      <c r="H1676" s="15" t="s">
        <v>2304</v>
      </c>
      <c r="I1676" s="15" t="s">
        <v>1560</v>
      </c>
      <c r="J1676" s="15" t="s">
        <v>8090</v>
      </c>
      <c r="K1676" s="15">
        <v>4.0</v>
      </c>
      <c r="L1676" s="15">
        <v>4.0</v>
      </c>
      <c r="M1676" s="40">
        <v>38800.0</v>
      </c>
      <c r="N1676" s="40">
        <v>40799.0</v>
      </c>
      <c r="O1676" s="15" t="s">
        <v>1554</v>
      </c>
      <c r="Q1676" s="7"/>
    </row>
    <row r="1677">
      <c r="A1677" s="39" t="s">
        <v>8091</v>
      </c>
      <c r="B1677" s="15">
        <v>374005.0</v>
      </c>
      <c r="C1677" s="15" t="s">
        <v>8092</v>
      </c>
      <c r="D1677" s="15">
        <v>16657.0</v>
      </c>
      <c r="E1677" s="15" t="s">
        <v>1638</v>
      </c>
      <c r="F1677" s="15" t="s">
        <v>2849</v>
      </c>
      <c r="G1677" s="7">
        <v>10.375</v>
      </c>
      <c r="H1677" s="15" t="s">
        <v>2193</v>
      </c>
      <c r="I1677" s="15" t="s">
        <v>1552</v>
      </c>
      <c r="J1677" s="15" t="s">
        <v>8093</v>
      </c>
      <c r="K1677" s="15">
        <v>1.0</v>
      </c>
      <c r="L1677" s="15">
        <v>1.0</v>
      </c>
      <c r="M1677" s="40">
        <v>38794.0</v>
      </c>
      <c r="N1677" s="40">
        <v>40185.0</v>
      </c>
      <c r="O1677" s="15" t="s">
        <v>1554</v>
      </c>
      <c r="Q1677" s="7"/>
    </row>
    <row r="1678">
      <c r="A1678" s="39" t="s">
        <v>8094</v>
      </c>
      <c r="B1678" s="15">
        <v>320122.0</v>
      </c>
      <c r="C1678" s="15" t="s">
        <v>8095</v>
      </c>
      <c r="D1678" s="15">
        <v>16662.0</v>
      </c>
      <c r="E1678" s="15" t="s">
        <v>1557</v>
      </c>
      <c r="F1678" s="15" t="s">
        <v>1767</v>
      </c>
      <c r="G1678" s="7">
        <v>53.325</v>
      </c>
      <c r="H1678" s="42">
        <v>43340.0</v>
      </c>
      <c r="I1678" s="15" t="s">
        <v>1586</v>
      </c>
      <c r="J1678" s="15" t="s">
        <v>8096</v>
      </c>
      <c r="K1678" s="15">
        <v>79.0</v>
      </c>
      <c r="L1678" s="15">
        <v>79.0</v>
      </c>
      <c r="M1678" s="40">
        <v>38797.0</v>
      </c>
      <c r="N1678" s="41">
        <v>39435.0</v>
      </c>
      <c r="O1678" s="15" t="s">
        <v>1554</v>
      </c>
      <c r="Q1678" s="7"/>
    </row>
    <row r="1679">
      <c r="A1679" s="39" t="s">
        <v>8097</v>
      </c>
      <c r="B1679" s="15">
        <v>363555.0</v>
      </c>
      <c r="C1679" s="15" t="s">
        <v>8098</v>
      </c>
      <c r="D1679" s="15">
        <v>16663.0</v>
      </c>
      <c r="E1679" s="15" t="s">
        <v>1557</v>
      </c>
      <c r="F1679" s="15" t="s">
        <v>1767</v>
      </c>
      <c r="G1679" s="7">
        <v>38.239</v>
      </c>
      <c r="H1679" s="15" t="s">
        <v>4331</v>
      </c>
      <c r="I1679" s="15" t="s">
        <v>1586</v>
      </c>
      <c r="J1679" s="15" t="s">
        <v>8099</v>
      </c>
      <c r="K1679" s="15">
        <v>61.0</v>
      </c>
      <c r="L1679" s="15">
        <v>61.0</v>
      </c>
      <c r="M1679" s="40">
        <v>38797.0</v>
      </c>
      <c r="N1679" s="40">
        <v>41110.0</v>
      </c>
      <c r="O1679" s="15" t="s">
        <v>1554</v>
      </c>
      <c r="Q1679" s="7"/>
    </row>
    <row r="1680">
      <c r="A1680" s="39" t="s">
        <v>8100</v>
      </c>
      <c r="B1680" s="15">
        <v>77813.0</v>
      </c>
      <c r="C1680" s="15" t="s">
        <v>8101</v>
      </c>
      <c r="D1680" s="15">
        <v>16699.0</v>
      </c>
      <c r="E1680" s="15" t="s">
        <v>1808</v>
      </c>
      <c r="F1680" s="15" t="s">
        <v>1809</v>
      </c>
      <c r="G1680" s="7">
        <v>5.049</v>
      </c>
      <c r="H1680" s="15" t="s">
        <v>8102</v>
      </c>
      <c r="I1680" s="15" t="s">
        <v>1628</v>
      </c>
      <c r="J1680" s="15" t="s">
        <v>8103</v>
      </c>
      <c r="K1680" s="15">
        <v>6.0</v>
      </c>
      <c r="L1680" s="15">
        <v>6.0</v>
      </c>
      <c r="M1680" s="41">
        <v>36121.0</v>
      </c>
      <c r="N1680" s="40">
        <v>39790.0</v>
      </c>
      <c r="O1680" s="15" t="s">
        <v>1554</v>
      </c>
      <c r="Q1680" s="7"/>
    </row>
    <row r="1681">
      <c r="A1681" s="39" t="s">
        <v>8104</v>
      </c>
      <c r="B1681" s="15">
        <v>370623.0</v>
      </c>
      <c r="C1681" s="15" t="s">
        <v>8105</v>
      </c>
      <c r="D1681" s="15">
        <v>16706.0</v>
      </c>
      <c r="E1681" s="15" t="s">
        <v>1557</v>
      </c>
      <c r="F1681" s="15" t="s">
        <v>1833</v>
      </c>
      <c r="G1681" s="7">
        <v>38.194</v>
      </c>
      <c r="H1681" s="15" t="s">
        <v>8106</v>
      </c>
      <c r="I1681" s="15" t="s">
        <v>1586</v>
      </c>
      <c r="J1681" s="15" t="s">
        <v>8107</v>
      </c>
      <c r="K1681" s="15">
        <v>52.0</v>
      </c>
      <c r="L1681" s="15">
        <v>52.0</v>
      </c>
      <c r="M1681" s="40">
        <v>38808.0</v>
      </c>
      <c r="N1681" s="41">
        <v>40534.0</v>
      </c>
      <c r="O1681" s="15" t="s">
        <v>1554</v>
      </c>
      <c r="Q1681" s="7"/>
    </row>
    <row r="1682">
      <c r="A1682" s="39" t="s">
        <v>8108</v>
      </c>
      <c r="B1682" s="15">
        <v>10484.0</v>
      </c>
      <c r="C1682" s="15" t="s">
        <v>8109</v>
      </c>
      <c r="D1682" s="15">
        <v>16738.0</v>
      </c>
      <c r="E1682" s="15" t="s">
        <v>1557</v>
      </c>
      <c r="F1682" s="15" t="s">
        <v>6477</v>
      </c>
      <c r="G1682" s="7">
        <v>240.596</v>
      </c>
      <c r="H1682" s="15" t="s">
        <v>8110</v>
      </c>
      <c r="I1682" s="15" t="s">
        <v>1560</v>
      </c>
      <c r="J1682" s="15" t="s">
        <v>8111</v>
      </c>
      <c r="K1682" s="15">
        <v>5.0</v>
      </c>
      <c r="L1682" s="15">
        <v>5.0</v>
      </c>
      <c r="M1682" s="41">
        <v>35361.0</v>
      </c>
      <c r="N1682" s="41">
        <v>40147.0</v>
      </c>
      <c r="O1682" s="15" t="s">
        <v>1554</v>
      </c>
      <c r="Q1682" s="7"/>
    </row>
    <row r="1683">
      <c r="A1683" s="39" t="s">
        <v>8112</v>
      </c>
      <c r="B1683" s="15">
        <v>385048.0</v>
      </c>
      <c r="C1683" s="15" t="s">
        <v>8113</v>
      </c>
      <c r="D1683" s="15">
        <v>16745.0</v>
      </c>
      <c r="E1683" s="15" t="s">
        <v>1916</v>
      </c>
      <c r="F1683" s="15" t="s">
        <v>2532</v>
      </c>
      <c r="G1683" s="7">
        <v>5.188</v>
      </c>
      <c r="H1683" s="15" t="s">
        <v>1634</v>
      </c>
      <c r="I1683" s="15" t="s">
        <v>1686</v>
      </c>
      <c r="J1683" s="15" t="s">
        <v>8114</v>
      </c>
      <c r="K1683" s="15">
        <v>2.0</v>
      </c>
      <c r="L1683" s="15">
        <v>1.0</v>
      </c>
      <c r="M1683" s="40">
        <v>34169.0</v>
      </c>
      <c r="N1683" s="40">
        <v>39790.0</v>
      </c>
      <c r="O1683" s="15" t="s">
        <v>1554</v>
      </c>
      <c r="Q1683" s="7"/>
    </row>
    <row r="1684">
      <c r="A1684" s="39" t="s">
        <v>8115</v>
      </c>
      <c r="B1684" s="15">
        <v>334778.0</v>
      </c>
      <c r="C1684" s="15" t="s">
        <v>8116</v>
      </c>
      <c r="D1684" s="15">
        <v>16747.0</v>
      </c>
      <c r="E1684" s="15" t="s">
        <v>1916</v>
      </c>
      <c r="F1684" s="15" t="s">
        <v>1917</v>
      </c>
      <c r="G1684" s="7">
        <v>7.722</v>
      </c>
      <c r="H1684" s="15">
        <v>44.0</v>
      </c>
      <c r="I1684" s="15" t="s">
        <v>1628</v>
      </c>
      <c r="J1684" s="15" t="s">
        <v>8117</v>
      </c>
      <c r="K1684" s="15">
        <v>3.0</v>
      </c>
      <c r="L1684" s="15">
        <v>3.0</v>
      </c>
      <c r="M1684" s="40">
        <v>38543.0</v>
      </c>
      <c r="N1684" s="40">
        <v>42376.0</v>
      </c>
      <c r="O1684" s="15" t="s">
        <v>1554</v>
      </c>
      <c r="Q1684" s="7"/>
    </row>
    <row r="1685">
      <c r="A1685" s="39" t="s">
        <v>8118</v>
      </c>
      <c r="B1685" s="15">
        <v>216614.0</v>
      </c>
      <c r="C1685" s="15" t="s">
        <v>8119</v>
      </c>
      <c r="D1685" s="15">
        <v>16749.0</v>
      </c>
      <c r="E1685" s="15" t="s">
        <v>1548</v>
      </c>
      <c r="F1685" s="15" t="s">
        <v>1786</v>
      </c>
      <c r="G1685" s="7">
        <v>8.739</v>
      </c>
      <c r="H1685" s="15" t="s">
        <v>1792</v>
      </c>
      <c r="I1685" s="15" t="s">
        <v>1628</v>
      </c>
      <c r="J1685" s="15" t="s">
        <v>8120</v>
      </c>
      <c r="K1685" s="15">
        <v>6.0</v>
      </c>
      <c r="L1685" s="15">
        <v>6.0</v>
      </c>
      <c r="M1685" s="40">
        <v>38384.0</v>
      </c>
      <c r="N1685" s="40">
        <v>39224.0</v>
      </c>
      <c r="O1685" s="15" t="s">
        <v>1554</v>
      </c>
      <c r="Q1685" s="7"/>
    </row>
    <row r="1686">
      <c r="A1686" s="39" t="s">
        <v>8121</v>
      </c>
      <c r="B1686" s="15">
        <v>362399.0</v>
      </c>
      <c r="C1686" s="15" t="s">
        <v>8122</v>
      </c>
      <c r="D1686" s="15">
        <v>16750.0</v>
      </c>
      <c r="E1686" s="15" t="s">
        <v>1916</v>
      </c>
      <c r="F1686" s="15" t="s">
        <v>1917</v>
      </c>
      <c r="G1686" s="7">
        <v>7.568</v>
      </c>
      <c r="H1686" s="15" t="s">
        <v>1685</v>
      </c>
      <c r="I1686" s="15" t="s">
        <v>1628</v>
      </c>
      <c r="J1686" s="15" t="s">
        <v>8123</v>
      </c>
      <c r="K1686" s="15">
        <v>3.0</v>
      </c>
      <c r="L1686" s="15">
        <v>3.0</v>
      </c>
      <c r="M1686" s="40">
        <v>34045.0</v>
      </c>
      <c r="N1686" s="40">
        <v>39224.0</v>
      </c>
      <c r="O1686" s="15" t="s">
        <v>1554</v>
      </c>
      <c r="Q1686" s="7"/>
    </row>
    <row r="1687">
      <c r="A1687" s="39" t="s">
        <v>8124</v>
      </c>
      <c r="B1687" s="15">
        <v>161494.0</v>
      </c>
      <c r="C1687" s="15" t="s">
        <v>8125</v>
      </c>
      <c r="D1687" s="15">
        <v>16793.0</v>
      </c>
      <c r="E1687" s="15" t="s">
        <v>1557</v>
      </c>
      <c r="F1687" s="15" t="s">
        <v>1992</v>
      </c>
      <c r="G1687" s="7">
        <v>126.629</v>
      </c>
      <c r="H1687" s="15" t="s">
        <v>1957</v>
      </c>
      <c r="I1687" s="15" t="s">
        <v>1560</v>
      </c>
      <c r="J1687" s="15" t="s">
        <v>8126</v>
      </c>
      <c r="K1687" s="15">
        <v>147.0</v>
      </c>
      <c r="L1687" s="15">
        <v>147.0</v>
      </c>
      <c r="M1687" s="40">
        <v>38851.0</v>
      </c>
      <c r="N1687" s="40">
        <v>39790.0</v>
      </c>
      <c r="O1687" s="15" t="s">
        <v>1554</v>
      </c>
      <c r="Q1687" s="7"/>
    </row>
    <row r="1688">
      <c r="A1688" s="39" t="s">
        <v>8128</v>
      </c>
      <c r="B1688" s="15">
        <v>578107.0</v>
      </c>
      <c r="C1688" s="15" t="s">
        <v>8129</v>
      </c>
      <c r="D1688" s="15">
        <v>16794.0</v>
      </c>
      <c r="E1688" s="15" t="s">
        <v>1548</v>
      </c>
      <c r="F1688" s="15" t="s">
        <v>1911</v>
      </c>
      <c r="G1688" s="7">
        <v>9.548</v>
      </c>
      <c r="H1688" s="15" t="s">
        <v>2107</v>
      </c>
      <c r="I1688" s="15" t="s">
        <v>1628</v>
      </c>
      <c r="J1688" s="15" t="s">
        <v>8130</v>
      </c>
      <c r="K1688" s="15">
        <v>2.0</v>
      </c>
      <c r="L1688" s="15">
        <v>2.0</v>
      </c>
      <c r="M1688" s="40">
        <v>38840.0</v>
      </c>
      <c r="N1688" s="40">
        <v>42045.0</v>
      </c>
      <c r="O1688" s="15" t="s">
        <v>1554</v>
      </c>
      <c r="Q1688" s="7"/>
    </row>
    <row r="1689">
      <c r="A1689" s="39" t="s">
        <v>8131</v>
      </c>
      <c r="B1689" s="15">
        <v>349370.0</v>
      </c>
      <c r="C1689" s="15" t="s">
        <v>8132</v>
      </c>
      <c r="D1689" s="15">
        <v>16796.0</v>
      </c>
      <c r="E1689" s="15" t="s">
        <v>1808</v>
      </c>
      <c r="F1689" s="15" t="s">
        <v>1998</v>
      </c>
      <c r="G1689" s="7">
        <v>2.063</v>
      </c>
      <c r="H1689" s="15" t="s">
        <v>2540</v>
      </c>
      <c r="I1689" s="15" t="s">
        <v>1686</v>
      </c>
      <c r="J1689" s="15" t="s">
        <v>8133</v>
      </c>
      <c r="K1689" s="15">
        <v>3.0</v>
      </c>
      <c r="L1689" s="15">
        <v>3.0</v>
      </c>
      <c r="M1689" s="40">
        <v>38840.0</v>
      </c>
      <c r="N1689" s="40">
        <v>39224.0</v>
      </c>
      <c r="O1689" s="15" t="s">
        <v>1554</v>
      </c>
      <c r="Q1689" s="7"/>
    </row>
    <row r="1690">
      <c r="A1690" s="39" t="s">
        <v>8134</v>
      </c>
      <c r="B1690" s="15">
        <v>359812.0</v>
      </c>
      <c r="C1690" s="15" t="s">
        <v>8135</v>
      </c>
      <c r="D1690" s="15">
        <v>16797.0</v>
      </c>
      <c r="E1690" s="15" t="s">
        <v>1548</v>
      </c>
      <c r="F1690" s="15" t="s">
        <v>2788</v>
      </c>
      <c r="G1690" s="7">
        <v>9.345</v>
      </c>
      <c r="H1690" s="15" t="s">
        <v>2864</v>
      </c>
      <c r="I1690" s="15" t="s">
        <v>1560</v>
      </c>
      <c r="J1690" s="15" t="s">
        <v>8136</v>
      </c>
      <c r="K1690" s="15">
        <v>2.0</v>
      </c>
      <c r="L1690" s="15">
        <v>2.0</v>
      </c>
      <c r="M1690" s="40">
        <v>38840.0</v>
      </c>
      <c r="N1690" s="40">
        <v>42577.0</v>
      </c>
      <c r="O1690" s="15" t="s">
        <v>1554</v>
      </c>
      <c r="Q1690" s="7"/>
    </row>
    <row r="1691">
      <c r="A1691" s="39" t="s">
        <v>8138</v>
      </c>
      <c r="B1691" s="15">
        <v>380669.0</v>
      </c>
      <c r="C1691" s="15" t="s">
        <v>8139</v>
      </c>
      <c r="D1691" s="15">
        <v>16799.0</v>
      </c>
      <c r="E1691" s="15" t="s">
        <v>1916</v>
      </c>
      <c r="F1691" s="15" t="s">
        <v>1917</v>
      </c>
      <c r="G1691" s="7">
        <v>7.531</v>
      </c>
      <c r="H1691" s="15" t="s">
        <v>3297</v>
      </c>
      <c r="I1691" s="15" t="s">
        <v>1628</v>
      </c>
      <c r="J1691" s="15" t="s">
        <v>8140</v>
      </c>
      <c r="K1691" s="15">
        <v>7.0</v>
      </c>
      <c r="L1691" s="15">
        <v>7.0</v>
      </c>
      <c r="M1691" s="40">
        <v>38830.0</v>
      </c>
      <c r="N1691" s="40">
        <v>39293.0</v>
      </c>
      <c r="O1691" s="15" t="s">
        <v>1554</v>
      </c>
      <c r="Q1691" s="7"/>
    </row>
    <row r="1692">
      <c r="A1692" s="39" t="s">
        <v>8141</v>
      </c>
      <c r="B1692" s="15">
        <v>338903.0</v>
      </c>
      <c r="C1692" s="15" t="s">
        <v>8142</v>
      </c>
      <c r="D1692" s="15">
        <v>16815.0</v>
      </c>
      <c r="E1692" s="15" t="s">
        <v>1557</v>
      </c>
      <c r="F1692" s="15" t="s">
        <v>1822</v>
      </c>
      <c r="G1692" s="7">
        <v>7.542</v>
      </c>
      <c r="H1692" s="15" t="s">
        <v>1962</v>
      </c>
      <c r="I1692" s="15" t="s">
        <v>1686</v>
      </c>
      <c r="J1692" s="15" t="s">
        <v>8143</v>
      </c>
      <c r="K1692" s="15">
        <v>7.0</v>
      </c>
      <c r="L1692" s="15">
        <v>7.0</v>
      </c>
      <c r="M1692" s="40">
        <v>38850.0</v>
      </c>
      <c r="N1692" s="40">
        <v>40263.0</v>
      </c>
      <c r="O1692" s="15" t="s">
        <v>1554</v>
      </c>
      <c r="Q1692" s="7"/>
    </row>
    <row r="1693">
      <c r="A1693" s="39" t="s">
        <v>8144</v>
      </c>
      <c r="B1693" s="15">
        <v>33760.0</v>
      </c>
      <c r="C1693" s="15" t="s">
        <v>8145</v>
      </c>
      <c r="D1693" s="15">
        <v>16818.0</v>
      </c>
      <c r="E1693" s="15" t="s">
        <v>1548</v>
      </c>
      <c r="F1693" s="15" t="s">
        <v>1926</v>
      </c>
      <c r="G1693" s="7">
        <v>8.096</v>
      </c>
      <c r="H1693" s="15" t="s">
        <v>8146</v>
      </c>
      <c r="I1693" s="15" t="s">
        <v>1628</v>
      </c>
      <c r="J1693" s="15" t="s">
        <v>8147</v>
      </c>
      <c r="K1693" s="15">
        <v>4.0</v>
      </c>
      <c r="L1693" s="15">
        <v>4.0</v>
      </c>
      <c r="M1693" s="40">
        <v>34368.0</v>
      </c>
      <c r="N1693" s="40">
        <v>39654.0</v>
      </c>
      <c r="O1693" s="15" t="s">
        <v>1554</v>
      </c>
      <c r="Q1693" s="7"/>
    </row>
    <row r="1694">
      <c r="A1694" s="39" t="s">
        <v>8149</v>
      </c>
      <c r="B1694" s="15">
        <v>247507.0</v>
      </c>
      <c r="C1694" s="15" t="s">
        <v>8150</v>
      </c>
      <c r="D1694" s="15">
        <v>16819.0</v>
      </c>
      <c r="E1694" s="15" t="s">
        <v>1548</v>
      </c>
      <c r="F1694" s="15" t="s">
        <v>1948</v>
      </c>
      <c r="G1694" s="7">
        <v>4.539</v>
      </c>
      <c r="H1694" s="15" t="s">
        <v>8151</v>
      </c>
      <c r="I1694" s="15" t="s">
        <v>1686</v>
      </c>
      <c r="J1694" s="15" t="s">
        <v>8152</v>
      </c>
      <c r="K1694" s="15">
        <v>3.0</v>
      </c>
      <c r="L1694" s="15">
        <v>3.0</v>
      </c>
      <c r="M1694" s="40">
        <v>38001.0</v>
      </c>
      <c r="N1694" s="40">
        <v>42457.0</v>
      </c>
      <c r="O1694" s="15" t="s">
        <v>1554</v>
      </c>
      <c r="Q1694" s="7"/>
    </row>
    <row r="1695">
      <c r="A1695" s="39" t="s">
        <v>8153</v>
      </c>
      <c r="B1695" s="15">
        <v>367850.0</v>
      </c>
      <c r="C1695" s="15" t="s">
        <v>8154</v>
      </c>
      <c r="D1695" s="15">
        <v>16937.0</v>
      </c>
      <c r="E1695" s="15" t="s">
        <v>1808</v>
      </c>
      <c r="F1695" s="15" t="s">
        <v>1809</v>
      </c>
      <c r="G1695" s="7">
        <v>5.182</v>
      </c>
      <c r="H1695" s="15" t="s">
        <v>8155</v>
      </c>
      <c r="I1695" s="15" t="s">
        <v>1628</v>
      </c>
      <c r="J1695" s="15" t="s">
        <v>8156</v>
      </c>
      <c r="K1695" s="15">
        <v>7.0</v>
      </c>
      <c r="L1695" s="15">
        <v>7.0</v>
      </c>
      <c r="M1695" s="40">
        <v>38791.0</v>
      </c>
      <c r="N1695" s="40">
        <v>42045.0</v>
      </c>
      <c r="O1695" s="15" t="s">
        <v>1554</v>
      </c>
      <c r="Q1695" s="7"/>
    </row>
    <row r="1696">
      <c r="A1696" s="39" t="s">
        <v>8157</v>
      </c>
      <c r="B1696" s="15">
        <v>187764.0</v>
      </c>
      <c r="C1696" s="15" t="s">
        <v>8158</v>
      </c>
      <c r="D1696" s="15">
        <v>17059.0</v>
      </c>
      <c r="E1696" s="15" t="s">
        <v>1557</v>
      </c>
      <c r="F1696" s="15" t="s">
        <v>1611</v>
      </c>
      <c r="G1696" s="7">
        <v>44.385</v>
      </c>
      <c r="H1696" s="15" t="s">
        <v>3082</v>
      </c>
      <c r="I1696" s="15" t="s">
        <v>1586</v>
      </c>
      <c r="J1696" s="15" t="s">
        <v>8160</v>
      </c>
      <c r="K1696" s="15">
        <v>52.0</v>
      </c>
      <c r="L1696" s="15">
        <v>52.0</v>
      </c>
      <c r="M1696" s="40">
        <v>38019.0</v>
      </c>
      <c r="N1696" s="40">
        <v>41513.0</v>
      </c>
      <c r="O1696" s="15" t="s">
        <v>1554</v>
      </c>
      <c r="Q1696" s="7"/>
    </row>
    <row r="1697">
      <c r="A1697" s="39" t="s">
        <v>8161</v>
      </c>
      <c r="B1697" s="15">
        <v>338781.0</v>
      </c>
      <c r="C1697" s="15" t="s">
        <v>8162</v>
      </c>
      <c r="D1697" s="15">
        <v>17091.0</v>
      </c>
      <c r="E1697" s="15" t="s">
        <v>1638</v>
      </c>
      <c r="F1697" s="15" t="s">
        <v>1863</v>
      </c>
      <c r="G1697" s="7">
        <v>25.563</v>
      </c>
      <c r="H1697" s="15" t="s">
        <v>8163</v>
      </c>
      <c r="I1697" s="15" t="s">
        <v>1573</v>
      </c>
      <c r="J1697" s="15" t="s">
        <v>8164</v>
      </c>
      <c r="K1697" s="15">
        <v>11.0</v>
      </c>
      <c r="L1697" s="15">
        <v>11.0</v>
      </c>
      <c r="M1697" s="40">
        <v>38853.0</v>
      </c>
      <c r="N1697" s="40">
        <v>39210.0</v>
      </c>
      <c r="O1697" s="15" t="s">
        <v>1554</v>
      </c>
      <c r="Q1697" s="7"/>
    </row>
    <row r="1698">
      <c r="A1698" s="39" t="s">
        <v>8165</v>
      </c>
      <c r="B1698" s="15">
        <v>364745.0</v>
      </c>
      <c r="C1698" s="15" t="s">
        <v>8166</v>
      </c>
      <c r="D1698" s="15">
        <v>17097.0</v>
      </c>
      <c r="E1698" s="15" t="s">
        <v>1557</v>
      </c>
      <c r="F1698" s="15" t="s">
        <v>1992</v>
      </c>
      <c r="G1698" s="7">
        <v>104.71</v>
      </c>
      <c r="H1698" s="15" t="s">
        <v>3022</v>
      </c>
      <c r="I1698" s="15" t="s">
        <v>1560</v>
      </c>
      <c r="J1698" s="15" t="s">
        <v>8167</v>
      </c>
      <c r="K1698" s="15">
        <v>116.0</v>
      </c>
      <c r="L1698" s="15">
        <v>116.0</v>
      </c>
      <c r="M1698" s="40">
        <v>38880.0</v>
      </c>
      <c r="N1698" s="40">
        <v>39288.0</v>
      </c>
      <c r="O1698" s="15" t="s">
        <v>1554</v>
      </c>
      <c r="Q1698" s="7"/>
    </row>
    <row r="1699">
      <c r="A1699" s="39" t="s">
        <v>8169</v>
      </c>
      <c r="B1699" s="15">
        <v>386586.0</v>
      </c>
      <c r="C1699" s="15" t="s">
        <v>8170</v>
      </c>
      <c r="D1699" s="15">
        <v>17099.0</v>
      </c>
      <c r="E1699" s="15" t="s">
        <v>1557</v>
      </c>
      <c r="F1699" s="15" t="s">
        <v>3454</v>
      </c>
      <c r="G1699" s="7">
        <v>191.1</v>
      </c>
      <c r="H1699" s="15" t="s">
        <v>2945</v>
      </c>
      <c r="I1699" s="15" t="s">
        <v>1560</v>
      </c>
      <c r="J1699" s="15" t="s">
        <v>8171</v>
      </c>
      <c r="K1699" s="15">
        <v>126.0</v>
      </c>
      <c r="L1699" s="15">
        <v>126.0</v>
      </c>
      <c r="M1699" s="40">
        <v>38874.0</v>
      </c>
      <c r="N1699" s="40">
        <v>39358.0</v>
      </c>
      <c r="O1699" s="15" t="s">
        <v>1554</v>
      </c>
      <c r="Q1699" s="7"/>
    </row>
    <row r="1700">
      <c r="A1700" s="39" t="s">
        <v>8172</v>
      </c>
      <c r="B1700" s="15">
        <v>1572740.0</v>
      </c>
      <c r="D1700" s="15">
        <v>0.0</v>
      </c>
      <c r="E1700" s="15" t="s">
        <v>1557</v>
      </c>
      <c r="F1700" s="15" t="s">
        <v>1767</v>
      </c>
      <c r="G1700" s="7">
        <v>34.565</v>
      </c>
      <c r="H1700" s="15" t="s">
        <v>2118</v>
      </c>
      <c r="I1700" s="15" t="s">
        <v>1586</v>
      </c>
      <c r="J1700" s="15" t="s">
        <v>8173</v>
      </c>
      <c r="K1700" s="15">
        <v>51.0</v>
      </c>
      <c r="L1700" s="15">
        <v>51.0</v>
      </c>
      <c r="M1700" s="40">
        <v>42255.0</v>
      </c>
      <c r="N1700" s="40">
        <v>42255.0</v>
      </c>
      <c r="O1700" s="15" t="s">
        <v>1554</v>
      </c>
      <c r="Q1700" s="7"/>
    </row>
    <row r="1701">
      <c r="A1701" s="39" t="s">
        <v>8174</v>
      </c>
      <c r="B1701" s="15">
        <v>561997.0</v>
      </c>
      <c r="D1701" s="15">
        <v>0.0</v>
      </c>
      <c r="E1701" s="15" t="s">
        <v>1557</v>
      </c>
      <c r="F1701" s="15" t="s">
        <v>1833</v>
      </c>
      <c r="G1701" s="7">
        <v>64.562</v>
      </c>
      <c r="H1701" s="15" t="s">
        <v>4842</v>
      </c>
      <c r="I1701" s="15" t="s">
        <v>1586</v>
      </c>
      <c r="J1701" s="15" t="s">
        <v>8175</v>
      </c>
      <c r="K1701" s="15">
        <v>86.0</v>
      </c>
      <c r="L1701" s="15">
        <v>86.0</v>
      </c>
      <c r="M1701" s="40">
        <v>39715.0</v>
      </c>
      <c r="N1701" s="40">
        <v>39715.0</v>
      </c>
      <c r="O1701" s="15" t="s">
        <v>1554</v>
      </c>
      <c r="Q1701" s="7"/>
    </row>
    <row r="1702">
      <c r="A1702" s="39" t="s">
        <v>8177</v>
      </c>
      <c r="B1702" s="15">
        <v>561998.0</v>
      </c>
      <c r="C1702" s="15" t="s">
        <v>8178</v>
      </c>
      <c r="D1702" s="15">
        <v>32009.0</v>
      </c>
      <c r="E1702" s="15" t="s">
        <v>1557</v>
      </c>
      <c r="F1702" s="15" t="s">
        <v>1833</v>
      </c>
      <c r="G1702" s="7">
        <v>64.807</v>
      </c>
      <c r="H1702" s="15" t="s">
        <v>8179</v>
      </c>
      <c r="I1702" s="15" t="s">
        <v>1586</v>
      </c>
      <c r="J1702" s="15" t="s">
        <v>8180</v>
      </c>
      <c r="K1702" s="15">
        <v>88.0</v>
      </c>
      <c r="L1702" s="15">
        <v>88.0</v>
      </c>
      <c r="M1702" s="40">
        <v>39715.0</v>
      </c>
      <c r="N1702" s="40">
        <v>40263.0</v>
      </c>
      <c r="O1702" s="15" t="s">
        <v>1554</v>
      </c>
      <c r="Q1702" s="7"/>
    </row>
    <row r="1703">
      <c r="A1703" s="39" t="s">
        <v>8181</v>
      </c>
      <c r="B1703" s="15">
        <v>561999.0</v>
      </c>
      <c r="C1703" s="15" t="s">
        <v>8182</v>
      </c>
      <c r="D1703" s="15">
        <v>32011.0</v>
      </c>
      <c r="E1703" s="15" t="s">
        <v>1557</v>
      </c>
      <c r="F1703" s="15" t="s">
        <v>1833</v>
      </c>
      <c r="G1703" s="7">
        <v>64.618</v>
      </c>
      <c r="H1703" s="15" t="s">
        <v>8179</v>
      </c>
      <c r="I1703" s="15" t="s">
        <v>1586</v>
      </c>
      <c r="J1703" s="15" t="s">
        <v>8183</v>
      </c>
      <c r="K1703" s="15">
        <v>84.0</v>
      </c>
      <c r="L1703" s="15">
        <v>84.0</v>
      </c>
      <c r="M1703" s="40">
        <v>39715.0</v>
      </c>
      <c r="N1703" s="40">
        <v>40263.0</v>
      </c>
      <c r="O1703" s="15" t="s">
        <v>1554</v>
      </c>
      <c r="Q1703" s="7"/>
    </row>
    <row r="1704">
      <c r="A1704" s="39" t="s">
        <v>8184</v>
      </c>
      <c r="B1704" s="15">
        <v>563119.0</v>
      </c>
      <c r="C1704" s="15" t="s">
        <v>8185</v>
      </c>
      <c r="D1704" s="15">
        <v>32013.0</v>
      </c>
      <c r="E1704" s="15" t="s">
        <v>1557</v>
      </c>
      <c r="F1704" s="15" t="s">
        <v>1833</v>
      </c>
      <c r="G1704" s="7">
        <v>58.471</v>
      </c>
      <c r="H1704" s="15" t="s">
        <v>2840</v>
      </c>
      <c r="I1704" s="15" t="s">
        <v>1586</v>
      </c>
      <c r="J1704" s="15" t="s">
        <v>8186</v>
      </c>
      <c r="K1704" s="15">
        <v>102.0</v>
      </c>
      <c r="L1704" s="15">
        <v>102.0</v>
      </c>
      <c r="M1704" s="40">
        <v>39715.0</v>
      </c>
      <c r="N1704" s="40">
        <v>40263.0</v>
      </c>
      <c r="O1704" s="15" t="s">
        <v>1554</v>
      </c>
      <c r="Q1704" s="7"/>
    </row>
    <row r="1705">
      <c r="A1705" s="39" t="s">
        <v>8188</v>
      </c>
      <c r="B1705" s="15">
        <v>563121.0</v>
      </c>
      <c r="C1705" s="15" t="s">
        <v>8189</v>
      </c>
      <c r="D1705" s="15">
        <v>32015.0</v>
      </c>
      <c r="E1705" s="15" t="s">
        <v>1557</v>
      </c>
      <c r="F1705" s="15" t="s">
        <v>1833</v>
      </c>
      <c r="G1705" s="7">
        <v>68.952</v>
      </c>
      <c r="H1705" s="15" t="s">
        <v>4113</v>
      </c>
      <c r="I1705" s="15" t="s">
        <v>1586</v>
      </c>
      <c r="J1705" s="15" t="s">
        <v>8190</v>
      </c>
      <c r="K1705" s="15">
        <v>95.0</v>
      </c>
      <c r="L1705" s="15">
        <v>95.0</v>
      </c>
      <c r="M1705" s="40">
        <v>39715.0</v>
      </c>
      <c r="N1705" s="40">
        <v>39716.0</v>
      </c>
      <c r="O1705" s="15" t="s">
        <v>1554</v>
      </c>
      <c r="Q1705" s="7"/>
    </row>
    <row r="1706">
      <c r="A1706" s="39" t="s">
        <v>8191</v>
      </c>
      <c r="B1706" s="15">
        <v>563122.0</v>
      </c>
      <c r="C1706" s="15" t="s">
        <v>8192</v>
      </c>
      <c r="D1706" s="15">
        <v>32017.0</v>
      </c>
      <c r="E1706" s="15" t="s">
        <v>1557</v>
      </c>
      <c r="F1706" s="15" t="s">
        <v>1833</v>
      </c>
      <c r="G1706" s="7">
        <v>58.554</v>
      </c>
      <c r="H1706" s="15" t="s">
        <v>4430</v>
      </c>
      <c r="I1706" s="15" t="s">
        <v>1586</v>
      </c>
      <c r="J1706" s="15" t="s">
        <v>8193</v>
      </c>
      <c r="K1706" s="15">
        <v>101.0</v>
      </c>
      <c r="L1706" s="15">
        <v>101.0</v>
      </c>
      <c r="M1706" s="40">
        <v>39715.0</v>
      </c>
      <c r="N1706" s="40">
        <v>40263.0</v>
      </c>
      <c r="O1706" s="15" t="s">
        <v>1554</v>
      </c>
      <c r="Q1706" s="7"/>
    </row>
    <row r="1707">
      <c r="A1707" s="39" t="s">
        <v>8194</v>
      </c>
      <c r="B1707" s="15">
        <v>563123.0</v>
      </c>
      <c r="C1707" s="15" t="s">
        <v>8195</v>
      </c>
      <c r="D1707" s="15">
        <v>32019.0</v>
      </c>
      <c r="E1707" s="15" t="s">
        <v>1557</v>
      </c>
      <c r="F1707" s="15" t="s">
        <v>1833</v>
      </c>
      <c r="G1707" s="7">
        <v>58.578</v>
      </c>
      <c r="H1707" s="15" t="s">
        <v>2154</v>
      </c>
      <c r="I1707" s="15" t="s">
        <v>1586</v>
      </c>
      <c r="J1707" s="15" t="s">
        <v>8196</v>
      </c>
      <c r="K1707" s="15">
        <v>108.0</v>
      </c>
      <c r="L1707" s="15">
        <v>108.0</v>
      </c>
      <c r="M1707" s="40">
        <v>39715.0</v>
      </c>
      <c r="N1707" s="40">
        <v>40263.0</v>
      </c>
      <c r="O1707" s="15" t="s">
        <v>1554</v>
      </c>
      <c r="Q1707" s="7"/>
    </row>
    <row r="1708">
      <c r="A1708" s="39" t="s">
        <v>8198</v>
      </c>
      <c r="B1708" s="15">
        <v>563124.0</v>
      </c>
      <c r="D1708" s="15">
        <v>0.0</v>
      </c>
      <c r="E1708" s="15" t="s">
        <v>1557</v>
      </c>
      <c r="F1708" s="15" t="s">
        <v>1833</v>
      </c>
      <c r="G1708" s="7">
        <v>68.45</v>
      </c>
      <c r="H1708" s="15" t="s">
        <v>4308</v>
      </c>
      <c r="I1708" s="15" t="s">
        <v>1586</v>
      </c>
      <c r="J1708" s="15" t="s">
        <v>8199</v>
      </c>
      <c r="K1708" s="15">
        <v>104.0</v>
      </c>
      <c r="L1708" s="15">
        <v>104.0</v>
      </c>
      <c r="M1708" s="40">
        <v>39715.0</v>
      </c>
      <c r="N1708" s="40">
        <v>39715.0</v>
      </c>
      <c r="O1708" s="15" t="s">
        <v>1554</v>
      </c>
      <c r="Q1708" s="7"/>
    </row>
    <row r="1709">
      <c r="A1709" s="39" t="s">
        <v>8200</v>
      </c>
      <c r="B1709" s="15">
        <v>560178.0</v>
      </c>
      <c r="C1709" s="15" t="s">
        <v>8201</v>
      </c>
      <c r="D1709" s="15">
        <v>32073.0</v>
      </c>
      <c r="E1709" s="15" t="s">
        <v>1557</v>
      </c>
      <c r="F1709" s="15" t="s">
        <v>1833</v>
      </c>
      <c r="G1709" s="7">
        <v>35.638</v>
      </c>
      <c r="H1709" s="15" t="s">
        <v>2597</v>
      </c>
      <c r="I1709" s="15" t="s">
        <v>1586</v>
      </c>
      <c r="J1709" s="15" t="s">
        <v>8202</v>
      </c>
      <c r="K1709" s="15">
        <v>62.0</v>
      </c>
      <c r="L1709" s="15">
        <v>62.0</v>
      </c>
      <c r="M1709" s="40">
        <v>39721.0</v>
      </c>
      <c r="N1709" s="41">
        <v>40140.0</v>
      </c>
      <c r="O1709" s="15" t="s">
        <v>1554</v>
      </c>
      <c r="Q1709" s="7"/>
    </row>
    <row r="1710">
      <c r="A1710" s="39" t="s">
        <v>8203</v>
      </c>
      <c r="B1710" s="15">
        <v>563180.0</v>
      </c>
      <c r="C1710" s="15" t="s">
        <v>8204</v>
      </c>
      <c r="D1710" s="15">
        <v>32075.0</v>
      </c>
      <c r="E1710" s="15" t="s">
        <v>1808</v>
      </c>
      <c r="F1710" s="15" t="s">
        <v>1809</v>
      </c>
      <c r="G1710" s="7">
        <v>2.757</v>
      </c>
      <c r="H1710" s="15" t="s">
        <v>2648</v>
      </c>
      <c r="I1710" s="15" t="s">
        <v>1628</v>
      </c>
      <c r="J1710" s="15" t="s">
        <v>8205</v>
      </c>
      <c r="K1710" s="15">
        <v>6.0</v>
      </c>
      <c r="L1710" s="15">
        <v>6.0</v>
      </c>
      <c r="M1710" s="40">
        <v>39721.0</v>
      </c>
      <c r="N1710" s="40">
        <v>43012.0</v>
      </c>
      <c r="O1710" s="15" t="s">
        <v>1554</v>
      </c>
      <c r="Q1710" s="7"/>
    </row>
    <row r="1711">
      <c r="A1711" s="39" t="s">
        <v>8206</v>
      </c>
      <c r="B1711" s="15">
        <v>563775.0</v>
      </c>
      <c r="C1711" s="15" t="s">
        <v>8207</v>
      </c>
      <c r="D1711" s="15">
        <v>32077.0</v>
      </c>
      <c r="E1711" s="15" t="s">
        <v>1557</v>
      </c>
      <c r="F1711" s="15" t="s">
        <v>2004</v>
      </c>
      <c r="G1711" s="7">
        <v>5.081</v>
      </c>
      <c r="H1711" s="15" t="s">
        <v>2428</v>
      </c>
      <c r="I1711" s="15" t="s">
        <v>1686</v>
      </c>
      <c r="J1711" s="15" t="s">
        <v>8208</v>
      </c>
      <c r="K1711" s="15">
        <v>6.0</v>
      </c>
      <c r="L1711" s="15">
        <v>6.0</v>
      </c>
      <c r="M1711" s="40">
        <v>39721.0</v>
      </c>
      <c r="N1711" s="40">
        <v>40263.0</v>
      </c>
      <c r="O1711" s="15" t="s">
        <v>1554</v>
      </c>
      <c r="Q1711" s="7"/>
    </row>
    <row r="1712">
      <c r="A1712" s="39" t="s">
        <v>8210</v>
      </c>
      <c r="B1712" s="15">
        <v>487311.0</v>
      </c>
      <c r="C1712" s="15" t="s">
        <v>8211</v>
      </c>
      <c r="D1712" s="15">
        <v>32101.0</v>
      </c>
      <c r="E1712" s="15" t="s">
        <v>1808</v>
      </c>
      <c r="F1712" s="15" t="s">
        <v>2436</v>
      </c>
      <c r="G1712" s="7">
        <v>4.139</v>
      </c>
      <c r="H1712" s="15" t="s">
        <v>2193</v>
      </c>
      <c r="I1712" s="15" t="s">
        <v>1560</v>
      </c>
      <c r="J1712" s="15" t="s">
        <v>8212</v>
      </c>
      <c r="K1712" s="15">
        <v>3.0</v>
      </c>
      <c r="L1712" s="15">
        <v>3.0</v>
      </c>
      <c r="M1712" s="40">
        <v>39722.0</v>
      </c>
      <c r="N1712" s="40">
        <v>42045.0</v>
      </c>
      <c r="O1712" s="15" t="s">
        <v>1554</v>
      </c>
      <c r="Q1712" s="7"/>
    </row>
    <row r="1713">
      <c r="A1713" s="39" t="s">
        <v>8213</v>
      </c>
      <c r="B1713" s="15">
        <v>541865.0</v>
      </c>
      <c r="C1713" s="15" t="s">
        <v>8214</v>
      </c>
      <c r="D1713" s="15">
        <v>32103.0</v>
      </c>
      <c r="E1713" s="15" t="s">
        <v>1557</v>
      </c>
      <c r="F1713" s="15" t="s">
        <v>1833</v>
      </c>
      <c r="G1713" s="7">
        <v>38.753</v>
      </c>
      <c r="H1713" s="42">
        <v>43220.0</v>
      </c>
      <c r="I1713" s="15" t="s">
        <v>1586</v>
      </c>
      <c r="J1713" s="15" t="s">
        <v>8215</v>
      </c>
      <c r="K1713" s="15">
        <v>62.0</v>
      </c>
      <c r="L1713" s="15">
        <v>62.0</v>
      </c>
      <c r="M1713" s="40">
        <v>39722.0</v>
      </c>
      <c r="N1713" s="40">
        <v>40578.0</v>
      </c>
      <c r="O1713" s="15" t="s">
        <v>1554</v>
      </c>
      <c r="Q1713" s="7"/>
    </row>
    <row r="1714">
      <c r="A1714" s="39" t="s">
        <v>8216</v>
      </c>
      <c r="B1714" s="15">
        <v>158683.0</v>
      </c>
      <c r="C1714" s="15" t="s">
        <v>8217</v>
      </c>
      <c r="D1714" s="15">
        <v>32133.0</v>
      </c>
      <c r="E1714" s="15" t="s">
        <v>1557</v>
      </c>
      <c r="F1714" s="15" t="s">
        <v>8218</v>
      </c>
      <c r="G1714" s="7">
        <v>119.343</v>
      </c>
      <c r="H1714" s="15" t="s">
        <v>1670</v>
      </c>
      <c r="I1714" s="15" t="s">
        <v>1560</v>
      </c>
      <c r="J1714" s="15" t="s">
        <v>8219</v>
      </c>
      <c r="K1714" s="15">
        <v>119.0</v>
      </c>
      <c r="L1714" s="15">
        <v>119.0</v>
      </c>
      <c r="M1714" s="40">
        <v>39723.0</v>
      </c>
      <c r="N1714" s="40">
        <v>42384.0</v>
      </c>
      <c r="O1714" s="15" t="s">
        <v>1554</v>
      </c>
      <c r="Q1714" s="7"/>
    </row>
    <row r="1715">
      <c r="A1715" s="39" t="s">
        <v>8220</v>
      </c>
      <c r="B1715" s="15">
        <v>208013.0</v>
      </c>
      <c r="C1715" s="15" t="s">
        <v>8221</v>
      </c>
      <c r="D1715" s="15">
        <v>32171.0</v>
      </c>
      <c r="E1715" s="15" t="s">
        <v>1557</v>
      </c>
      <c r="F1715" s="15" t="s">
        <v>1992</v>
      </c>
      <c r="G1715" s="7">
        <v>155.122</v>
      </c>
      <c r="H1715" s="15" t="s">
        <v>1918</v>
      </c>
      <c r="I1715" s="15" t="s">
        <v>1560</v>
      </c>
      <c r="J1715" s="15" t="s">
        <v>8223</v>
      </c>
      <c r="K1715" s="15">
        <v>163.0</v>
      </c>
      <c r="L1715" s="15">
        <v>163.0</v>
      </c>
      <c r="M1715" s="40">
        <v>39729.0</v>
      </c>
      <c r="N1715" s="40">
        <v>39730.0</v>
      </c>
      <c r="O1715" s="15" t="s">
        <v>1554</v>
      </c>
      <c r="Q1715" s="7"/>
    </row>
    <row r="1716">
      <c r="A1716" s="39" t="s">
        <v>8224</v>
      </c>
      <c r="B1716" s="15">
        <v>430796.0</v>
      </c>
      <c r="C1716" s="15" t="s">
        <v>8225</v>
      </c>
      <c r="D1716" s="15">
        <v>32173.0</v>
      </c>
      <c r="E1716" s="15" t="s">
        <v>4407</v>
      </c>
      <c r="F1716" s="15" t="s">
        <v>1578</v>
      </c>
      <c r="G1716" s="7">
        <v>47.342</v>
      </c>
      <c r="H1716" s="15">
        <v>33.0</v>
      </c>
      <c r="I1716" s="15" t="s">
        <v>1586</v>
      </c>
      <c r="J1716" s="15" t="s">
        <v>8226</v>
      </c>
      <c r="K1716" s="15">
        <v>60.0</v>
      </c>
      <c r="L1716" s="15">
        <v>60.0</v>
      </c>
      <c r="M1716" s="40">
        <v>39729.0</v>
      </c>
      <c r="N1716" s="40">
        <v>39891.0</v>
      </c>
      <c r="O1716" s="15" t="s">
        <v>1554</v>
      </c>
      <c r="Q1716" s="7"/>
    </row>
    <row r="1717">
      <c r="A1717" s="39" t="s">
        <v>8227</v>
      </c>
      <c r="B1717" s="15">
        <v>559878.0</v>
      </c>
      <c r="C1717" s="15" t="s">
        <v>8228</v>
      </c>
      <c r="D1717" s="15">
        <v>32175.0</v>
      </c>
      <c r="E1717" s="15" t="s">
        <v>1808</v>
      </c>
      <c r="F1717" s="15" t="s">
        <v>1809</v>
      </c>
      <c r="G1717" s="7">
        <v>5.515</v>
      </c>
      <c r="H1717" s="15" t="s">
        <v>8229</v>
      </c>
      <c r="I1717" s="15" t="s">
        <v>1628</v>
      </c>
      <c r="J1717" s="15" t="s">
        <v>8231</v>
      </c>
      <c r="K1717" s="15">
        <v>8.0</v>
      </c>
      <c r="L1717" s="15">
        <v>8.0</v>
      </c>
      <c r="M1717" s="40">
        <v>39727.0</v>
      </c>
      <c r="N1717" s="40">
        <v>40206.0</v>
      </c>
      <c r="O1717" s="15" t="s">
        <v>1554</v>
      </c>
      <c r="Q1717" s="7"/>
    </row>
    <row r="1718">
      <c r="A1718" s="39" t="s">
        <v>8232</v>
      </c>
      <c r="B1718" s="15">
        <v>390157.0</v>
      </c>
      <c r="C1718" s="15" t="s">
        <v>8233</v>
      </c>
      <c r="D1718" s="15">
        <v>32193.0</v>
      </c>
      <c r="E1718" s="15" t="s">
        <v>1548</v>
      </c>
      <c r="F1718" s="15" t="s">
        <v>1776</v>
      </c>
      <c r="G1718" s="7">
        <v>7.31</v>
      </c>
      <c r="H1718" s="15" t="s">
        <v>2284</v>
      </c>
      <c r="I1718" s="15" t="s">
        <v>1686</v>
      </c>
      <c r="J1718" s="15" t="s">
        <v>8234</v>
      </c>
      <c r="K1718" s="15">
        <v>1.0</v>
      </c>
      <c r="L1718" s="15">
        <v>1.0</v>
      </c>
      <c r="M1718" s="40">
        <v>38887.0</v>
      </c>
      <c r="N1718" s="41">
        <v>39731.0</v>
      </c>
      <c r="O1718" s="15" t="s">
        <v>1554</v>
      </c>
      <c r="Q1718" s="7"/>
    </row>
    <row r="1719">
      <c r="A1719" s="39" t="s">
        <v>8235</v>
      </c>
      <c r="B1719" s="15">
        <v>563769.0</v>
      </c>
      <c r="C1719" s="15" t="s">
        <v>8236</v>
      </c>
      <c r="D1719" s="15">
        <v>32213.0</v>
      </c>
      <c r="E1719" s="15" t="s">
        <v>1557</v>
      </c>
      <c r="F1719" s="15" t="s">
        <v>1833</v>
      </c>
      <c r="G1719" s="7">
        <v>62.147</v>
      </c>
      <c r="H1719" s="15" t="s">
        <v>2296</v>
      </c>
      <c r="I1719" s="15" t="s">
        <v>1586</v>
      </c>
      <c r="J1719" s="15" t="s">
        <v>8238</v>
      </c>
      <c r="K1719" s="15">
        <v>81.0</v>
      </c>
      <c r="L1719" s="15">
        <v>77.0</v>
      </c>
      <c r="M1719" s="41">
        <v>39735.0</v>
      </c>
      <c r="N1719" s="40">
        <v>40263.0</v>
      </c>
      <c r="O1719" s="15" t="s">
        <v>1554</v>
      </c>
      <c r="Q1719" s="7"/>
    </row>
    <row r="1720">
      <c r="A1720" s="39" t="s">
        <v>8239</v>
      </c>
      <c r="B1720" s="15">
        <v>564886.0</v>
      </c>
      <c r="C1720" s="15" t="s">
        <v>8240</v>
      </c>
      <c r="D1720" s="15">
        <v>32231.0</v>
      </c>
      <c r="E1720" s="15" t="s">
        <v>4407</v>
      </c>
      <c r="F1720" s="15" t="s">
        <v>1578</v>
      </c>
      <c r="G1720" s="7">
        <v>54.896</v>
      </c>
      <c r="H1720" s="15" t="s">
        <v>2324</v>
      </c>
      <c r="I1720" s="15" t="s">
        <v>1586</v>
      </c>
      <c r="J1720" s="15" t="s">
        <v>8241</v>
      </c>
      <c r="K1720" s="15">
        <v>75.0</v>
      </c>
      <c r="L1720" s="15">
        <v>75.0</v>
      </c>
      <c r="M1720" s="41">
        <v>39733.0</v>
      </c>
      <c r="N1720" s="40">
        <v>40263.0</v>
      </c>
      <c r="O1720" s="15" t="s">
        <v>1554</v>
      </c>
      <c r="Q1720" s="7"/>
    </row>
    <row r="1721">
      <c r="A1721" s="39" t="s">
        <v>8242</v>
      </c>
      <c r="B1721" s="15">
        <v>444193.0</v>
      </c>
      <c r="C1721" s="15" t="s">
        <v>8243</v>
      </c>
      <c r="D1721" s="15">
        <v>32247.0</v>
      </c>
      <c r="E1721" s="15" t="s">
        <v>1548</v>
      </c>
      <c r="F1721" s="15" t="s">
        <v>5261</v>
      </c>
      <c r="G1721" s="7">
        <v>2.805</v>
      </c>
      <c r="H1721" s="15" t="s">
        <v>2009</v>
      </c>
      <c r="I1721" s="15" t="s">
        <v>1552</v>
      </c>
      <c r="J1721" s="15" t="s">
        <v>8245</v>
      </c>
      <c r="K1721" s="15">
        <v>1.0</v>
      </c>
      <c r="L1721" s="15">
        <v>1.0</v>
      </c>
      <c r="M1721" s="40">
        <v>39237.0</v>
      </c>
      <c r="N1721" s="41">
        <v>43018.0</v>
      </c>
      <c r="O1721" s="15" t="s">
        <v>1554</v>
      </c>
      <c r="Q1721" s="7"/>
    </row>
    <row r="1722">
      <c r="A1722" s="39" t="s">
        <v>8246</v>
      </c>
      <c r="B1722" s="15">
        <v>504346.0</v>
      </c>
      <c r="C1722" s="15" t="s">
        <v>8247</v>
      </c>
      <c r="D1722" s="15">
        <v>32249.0</v>
      </c>
      <c r="E1722" s="15" t="s">
        <v>1557</v>
      </c>
      <c r="F1722" s="15" t="s">
        <v>1833</v>
      </c>
      <c r="G1722" s="7">
        <v>46.872</v>
      </c>
      <c r="H1722" s="15" t="s">
        <v>1966</v>
      </c>
      <c r="I1722" s="15" t="s">
        <v>1586</v>
      </c>
      <c r="J1722" s="15" t="s">
        <v>8248</v>
      </c>
      <c r="K1722" s="15">
        <v>79.0</v>
      </c>
      <c r="L1722" s="15">
        <v>79.0</v>
      </c>
      <c r="M1722" s="41">
        <v>39737.0</v>
      </c>
      <c r="N1722" s="40">
        <v>39862.0</v>
      </c>
      <c r="O1722" s="15" t="s">
        <v>1554</v>
      </c>
      <c r="Q1722" s="7"/>
    </row>
    <row r="1723">
      <c r="A1723" s="39" t="s">
        <v>8250</v>
      </c>
      <c r="B1723" s="15">
        <v>36343.0</v>
      </c>
      <c r="C1723" s="15" t="s">
        <v>8251</v>
      </c>
      <c r="D1723" s="15">
        <v>32321.0</v>
      </c>
      <c r="E1723" s="15" t="s">
        <v>1557</v>
      </c>
      <c r="F1723" s="15" t="s">
        <v>1833</v>
      </c>
      <c r="G1723" s="7">
        <v>22.195</v>
      </c>
      <c r="H1723" s="15">
        <v>36.0</v>
      </c>
      <c r="I1723" s="15" t="s">
        <v>1586</v>
      </c>
      <c r="J1723" s="15" t="s">
        <v>8252</v>
      </c>
      <c r="K1723" s="15">
        <v>37.0</v>
      </c>
      <c r="L1723" s="15">
        <v>37.0</v>
      </c>
      <c r="M1723" s="40">
        <v>34550.0</v>
      </c>
      <c r="N1723" s="41">
        <v>40892.0</v>
      </c>
      <c r="O1723" s="15" t="s">
        <v>1554</v>
      </c>
      <c r="Q1723" s="7"/>
    </row>
    <row r="1724">
      <c r="A1724" s="39" t="s">
        <v>8253</v>
      </c>
      <c r="B1724" s="15">
        <v>559189.0</v>
      </c>
      <c r="C1724" s="15" t="s">
        <v>8254</v>
      </c>
      <c r="D1724" s="15">
        <v>32323.0</v>
      </c>
      <c r="E1724" s="15" t="s">
        <v>1557</v>
      </c>
      <c r="F1724" s="15" t="s">
        <v>1767</v>
      </c>
      <c r="G1724" s="7">
        <v>50.93</v>
      </c>
      <c r="H1724" s="42">
        <v>43188.0</v>
      </c>
      <c r="I1724" s="15" t="s">
        <v>1586</v>
      </c>
      <c r="J1724" s="15" t="s">
        <v>8255</v>
      </c>
      <c r="K1724" s="15">
        <v>75.0</v>
      </c>
      <c r="L1724" s="15">
        <v>75.0</v>
      </c>
      <c r="M1724" s="41">
        <v>39741.0</v>
      </c>
      <c r="N1724" s="40">
        <v>39756.0</v>
      </c>
      <c r="O1724" s="15" t="s">
        <v>1554</v>
      </c>
      <c r="Q1724" s="7"/>
    </row>
    <row r="1725">
      <c r="A1725" s="39" t="s">
        <v>8256</v>
      </c>
      <c r="B1725" s="15">
        <v>520962.0</v>
      </c>
      <c r="C1725" s="15" t="s">
        <v>8257</v>
      </c>
      <c r="D1725" s="15">
        <v>32325.0</v>
      </c>
      <c r="E1725" s="15" t="s">
        <v>1808</v>
      </c>
      <c r="F1725" s="15" t="s">
        <v>2969</v>
      </c>
      <c r="G1725" s="7">
        <v>8.929</v>
      </c>
      <c r="H1725" s="15" t="s">
        <v>8179</v>
      </c>
      <c r="I1725" s="15" t="s">
        <v>1586</v>
      </c>
      <c r="J1725" s="15" t="s">
        <v>8259</v>
      </c>
      <c r="K1725" s="15">
        <v>14.0</v>
      </c>
      <c r="L1725" s="15">
        <v>14.0</v>
      </c>
      <c r="M1725" s="41">
        <v>39739.0</v>
      </c>
      <c r="N1725" s="40">
        <v>41450.0</v>
      </c>
      <c r="O1725" s="15" t="s">
        <v>1554</v>
      </c>
      <c r="Q1725" s="7"/>
    </row>
    <row r="1726">
      <c r="A1726" s="39" t="s">
        <v>8260</v>
      </c>
      <c r="B1726" s="15">
        <v>393599.0</v>
      </c>
      <c r="C1726" s="15" t="s">
        <v>8261</v>
      </c>
      <c r="D1726" s="15">
        <v>32329.0</v>
      </c>
      <c r="E1726" s="15" t="s">
        <v>1808</v>
      </c>
      <c r="F1726" s="15" t="s">
        <v>1809</v>
      </c>
      <c r="G1726" s="7">
        <v>5.573</v>
      </c>
      <c r="H1726" s="15" t="s">
        <v>8262</v>
      </c>
      <c r="I1726" s="15" t="s">
        <v>1628</v>
      </c>
      <c r="J1726" s="15" t="s">
        <v>8263</v>
      </c>
      <c r="K1726" s="15">
        <v>8.0</v>
      </c>
      <c r="L1726" s="15">
        <v>8.0</v>
      </c>
      <c r="M1726" s="40">
        <v>38785.0</v>
      </c>
      <c r="N1726" s="40">
        <v>42045.0</v>
      </c>
      <c r="O1726" s="15" t="s">
        <v>1554</v>
      </c>
      <c r="Q1726" s="7"/>
    </row>
    <row r="1727">
      <c r="A1727" s="39" t="s">
        <v>8264</v>
      </c>
      <c r="B1727" s="15">
        <v>10685.0</v>
      </c>
      <c r="C1727" s="15" t="s">
        <v>8265</v>
      </c>
      <c r="D1727" s="15">
        <v>32379.0</v>
      </c>
      <c r="E1727" s="15" t="s">
        <v>1557</v>
      </c>
      <c r="F1727" s="15" t="s">
        <v>1767</v>
      </c>
      <c r="G1727" s="7">
        <v>132.562</v>
      </c>
      <c r="H1727" s="15">
        <v>40.0</v>
      </c>
      <c r="I1727" s="15" t="s">
        <v>1586</v>
      </c>
      <c r="J1727" s="15" t="s">
        <v>8266</v>
      </c>
      <c r="K1727" s="15">
        <v>209.0</v>
      </c>
      <c r="L1727" s="15">
        <v>204.0</v>
      </c>
      <c r="M1727" s="41">
        <v>39748.0</v>
      </c>
      <c r="N1727" s="40">
        <v>40029.0</v>
      </c>
      <c r="O1727" s="15" t="s">
        <v>1554</v>
      </c>
      <c r="Q1727" s="7"/>
    </row>
    <row r="1728">
      <c r="A1728" s="39" t="s">
        <v>8268</v>
      </c>
      <c r="B1728" s="15">
        <v>542343.0</v>
      </c>
      <c r="C1728" s="15" t="s">
        <v>8269</v>
      </c>
      <c r="D1728" s="15">
        <v>32387.0</v>
      </c>
      <c r="E1728" s="15" t="s">
        <v>1557</v>
      </c>
      <c r="F1728" s="15" t="s">
        <v>1992</v>
      </c>
      <c r="G1728" s="7">
        <v>111.724</v>
      </c>
      <c r="H1728" s="15">
        <v>35.0</v>
      </c>
      <c r="I1728" s="15" t="s">
        <v>1560</v>
      </c>
      <c r="J1728" s="15" t="s">
        <v>8270</v>
      </c>
      <c r="K1728" s="15">
        <v>121.0</v>
      </c>
      <c r="L1728" s="15">
        <v>121.0</v>
      </c>
      <c r="M1728" s="41">
        <v>39747.0</v>
      </c>
      <c r="N1728" s="40">
        <v>41029.0</v>
      </c>
      <c r="O1728" s="15" t="s">
        <v>1554</v>
      </c>
      <c r="Q1728" s="7"/>
    </row>
    <row r="1729">
      <c r="A1729" s="39" t="s">
        <v>8271</v>
      </c>
      <c r="B1729" s="15">
        <v>28875.0</v>
      </c>
      <c r="C1729" s="15" t="s">
        <v>8272</v>
      </c>
      <c r="D1729" s="15">
        <v>32521.0</v>
      </c>
      <c r="E1729" s="15" t="s">
        <v>1638</v>
      </c>
      <c r="F1729" s="15" t="s">
        <v>1863</v>
      </c>
      <c r="G1729" s="7">
        <v>18.562</v>
      </c>
      <c r="H1729" s="15" t="s">
        <v>8273</v>
      </c>
      <c r="I1729" s="15" t="s">
        <v>1567</v>
      </c>
      <c r="J1729" s="15" t="s">
        <v>8274</v>
      </c>
      <c r="K1729" s="15">
        <v>12.0</v>
      </c>
      <c r="L1729" s="15">
        <v>12.0</v>
      </c>
      <c r="M1729" s="40">
        <v>39112.0</v>
      </c>
      <c r="N1729" s="41">
        <v>40834.0</v>
      </c>
      <c r="O1729" s="15" t="s">
        <v>1554</v>
      </c>
      <c r="Q1729" s="7"/>
    </row>
    <row r="1730">
      <c r="A1730" s="39" t="s">
        <v>8275</v>
      </c>
      <c r="B1730" s="15">
        <v>59563.0</v>
      </c>
      <c r="C1730" s="15" t="s">
        <v>8276</v>
      </c>
      <c r="D1730" s="15">
        <v>18845.0</v>
      </c>
      <c r="E1730" s="15" t="s">
        <v>1548</v>
      </c>
      <c r="F1730" s="15" t="s">
        <v>1801</v>
      </c>
      <c r="G1730" s="7">
        <v>10.755</v>
      </c>
      <c r="H1730" s="15" t="s">
        <v>1756</v>
      </c>
      <c r="I1730" s="15" t="s">
        <v>1803</v>
      </c>
      <c r="J1730" s="15" t="s">
        <v>8278</v>
      </c>
      <c r="K1730" s="15">
        <v>1.0</v>
      </c>
      <c r="L1730" s="15">
        <v>1.0</v>
      </c>
      <c r="M1730" s="41">
        <v>38655.0</v>
      </c>
      <c r="N1730" s="41">
        <v>42732.0</v>
      </c>
      <c r="O1730" s="15" t="s">
        <v>1554</v>
      </c>
      <c r="Q1730" s="7"/>
    </row>
    <row r="1731">
      <c r="A1731" s="39" t="s">
        <v>8279</v>
      </c>
      <c r="B1731" s="15">
        <v>64304.0</v>
      </c>
      <c r="C1731" s="15" t="s">
        <v>8280</v>
      </c>
      <c r="D1731" s="15">
        <v>18847.0</v>
      </c>
      <c r="E1731" s="15" t="s">
        <v>1548</v>
      </c>
      <c r="F1731" s="15" t="s">
        <v>1801</v>
      </c>
      <c r="G1731" s="7">
        <v>10.815</v>
      </c>
      <c r="H1731" s="15" t="s">
        <v>3836</v>
      </c>
      <c r="I1731" s="15" t="s">
        <v>1803</v>
      </c>
      <c r="J1731" s="15" t="s">
        <v>8281</v>
      </c>
      <c r="K1731" s="15">
        <v>1.0</v>
      </c>
      <c r="L1731" s="15">
        <v>1.0</v>
      </c>
      <c r="M1731" s="41">
        <v>38655.0</v>
      </c>
      <c r="N1731" s="41">
        <v>42731.0</v>
      </c>
      <c r="O1731" s="15" t="s">
        <v>1554</v>
      </c>
      <c r="Q1731" s="7"/>
    </row>
    <row r="1732">
      <c r="A1732" s="39" t="s">
        <v>8282</v>
      </c>
      <c r="B1732" s="15">
        <v>261726.0</v>
      </c>
      <c r="C1732" s="15" t="s">
        <v>8283</v>
      </c>
      <c r="D1732" s="15">
        <v>18851.0</v>
      </c>
      <c r="E1732" s="15" t="s">
        <v>1557</v>
      </c>
      <c r="F1732" s="15" t="s">
        <v>1767</v>
      </c>
      <c r="G1732" s="7">
        <v>38.197</v>
      </c>
      <c r="H1732" s="15">
        <v>57.0</v>
      </c>
      <c r="I1732" s="15" t="s">
        <v>1586</v>
      </c>
      <c r="J1732" s="15" t="s">
        <v>8284</v>
      </c>
      <c r="K1732" s="15">
        <v>71.0</v>
      </c>
      <c r="L1732" s="15">
        <v>71.0</v>
      </c>
      <c r="M1732" s="40">
        <v>39106.0</v>
      </c>
      <c r="N1732" s="40">
        <v>40263.0</v>
      </c>
      <c r="O1732" s="15" t="s">
        <v>1554</v>
      </c>
      <c r="Q1732" s="7"/>
    </row>
    <row r="1733">
      <c r="A1733" s="39" t="s">
        <v>8285</v>
      </c>
      <c r="B1733" s="15">
        <v>283876.0</v>
      </c>
      <c r="C1733" s="15" t="s">
        <v>8286</v>
      </c>
      <c r="D1733" s="15">
        <v>18853.0</v>
      </c>
      <c r="E1733" s="15" t="s">
        <v>1548</v>
      </c>
      <c r="F1733" s="15" t="s">
        <v>2900</v>
      </c>
      <c r="G1733" s="7">
        <v>4.172</v>
      </c>
      <c r="H1733" s="15" t="s">
        <v>2000</v>
      </c>
      <c r="I1733" s="15" t="s">
        <v>1628</v>
      </c>
      <c r="J1733" s="15" t="s">
        <v>8288</v>
      </c>
      <c r="K1733" s="15">
        <v>5.0</v>
      </c>
      <c r="L1733" s="15">
        <v>5.0</v>
      </c>
      <c r="M1733" s="40">
        <v>39113.0</v>
      </c>
      <c r="N1733" s="40">
        <v>42570.0</v>
      </c>
      <c r="O1733" s="15" t="s">
        <v>1554</v>
      </c>
      <c r="Q1733" s="7"/>
    </row>
    <row r="1734">
      <c r="A1734" s="39" t="s">
        <v>8289</v>
      </c>
      <c r="B1734" s="15">
        <v>294365.0</v>
      </c>
      <c r="C1734" s="15" t="s">
        <v>8290</v>
      </c>
      <c r="D1734" s="15">
        <v>18855.0</v>
      </c>
      <c r="E1734" s="15" t="s">
        <v>1548</v>
      </c>
      <c r="F1734" s="15" t="s">
        <v>2788</v>
      </c>
      <c r="G1734" s="7">
        <v>9.499</v>
      </c>
      <c r="H1734" s="15" t="s">
        <v>2193</v>
      </c>
      <c r="I1734" s="15" t="s">
        <v>1560</v>
      </c>
      <c r="J1734" s="15" t="s">
        <v>8291</v>
      </c>
      <c r="K1734" s="15">
        <v>3.0</v>
      </c>
      <c r="L1734" s="15">
        <v>3.0</v>
      </c>
      <c r="M1734" s="40">
        <v>39124.0</v>
      </c>
      <c r="N1734" s="40">
        <v>41156.0</v>
      </c>
      <c r="O1734" s="15" t="s">
        <v>1554</v>
      </c>
      <c r="Q1734" s="7"/>
    </row>
    <row r="1735">
      <c r="A1735" s="39" t="s">
        <v>8292</v>
      </c>
      <c r="B1735" s="15">
        <v>417280.0</v>
      </c>
      <c r="C1735" s="15" t="s">
        <v>8293</v>
      </c>
      <c r="D1735" s="15">
        <v>18857.0</v>
      </c>
      <c r="E1735" s="15" t="s">
        <v>1557</v>
      </c>
      <c r="F1735" s="15" t="s">
        <v>1767</v>
      </c>
      <c r="G1735" s="7">
        <v>72.415</v>
      </c>
      <c r="H1735" s="15" t="s">
        <v>5199</v>
      </c>
      <c r="I1735" s="15" t="s">
        <v>1586</v>
      </c>
      <c r="J1735" s="15" t="s">
        <v>8294</v>
      </c>
      <c r="K1735" s="15">
        <v>127.0</v>
      </c>
      <c r="L1735" s="15">
        <v>127.0</v>
      </c>
      <c r="M1735" s="41">
        <v>39077.0</v>
      </c>
      <c r="N1735" s="40">
        <v>39135.0</v>
      </c>
      <c r="O1735" s="15" t="s">
        <v>1554</v>
      </c>
      <c r="Q1735" s="7"/>
    </row>
    <row r="1736">
      <c r="A1736" s="39" t="s">
        <v>8296</v>
      </c>
      <c r="B1736" s="15">
        <v>423476.0</v>
      </c>
      <c r="C1736" s="15" t="s">
        <v>8297</v>
      </c>
      <c r="D1736" s="15">
        <v>18859.0</v>
      </c>
      <c r="E1736" s="15" t="s">
        <v>1557</v>
      </c>
      <c r="F1736" s="15" t="s">
        <v>1833</v>
      </c>
      <c r="G1736" s="7">
        <v>38.528</v>
      </c>
      <c r="H1736" s="15" t="s">
        <v>2375</v>
      </c>
      <c r="I1736" s="15" t="s">
        <v>1586</v>
      </c>
      <c r="J1736" s="15" t="s">
        <v>8298</v>
      </c>
      <c r="K1736" s="15">
        <v>64.0</v>
      </c>
      <c r="L1736" s="15">
        <v>64.0</v>
      </c>
      <c r="M1736" s="40">
        <v>39120.0</v>
      </c>
      <c r="N1736" s="40">
        <v>39167.0</v>
      </c>
      <c r="O1736" s="15" t="s">
        <v>1554</v>
      </c>
      <c r="Q1736" s="7"/>
    </row>
    <row r="1737">
      <c r="A1737" s="39" t="s">
        <v>8299</v>
      </c>
      <c r="B1737" s="15">
        <v>392761.0</v>
      </c>
      <c r="C1737" s="15" t="s">
        <v>8300</v>
      </c>
      <c r="D1737" s="15">
        <v>18861.0</v>
      </c>
      <c r="E1737" s="15" t="s">
        <v>1808</v>
      </c>
      <c r="F1737" s="15" t="s">
        <v>1809</v>
      </c>
      <c r="G1737" s="7">
        <v>2.762</v>
      </c>
      <c r="H1737" s="15" t="s">
        <v>1813</v>
      </c>
      <c r="I1737" s="15" t="s">
        <v>1628</v>
      </c>
      <c r="J1737" s="15" t="s">
        <v>8301</v>
      </c>
      <c r="K1737" s="15">
        <v>6.0</v>
      </c>
      <c r="L1737" s="15">
        <v>6.0</v>
      </c>
      <c r="M1737" s="40">
        <v>39106.0</v>
      </c>
      <c r="N1737" s="40">
        <v>40206.0</v>
      </c>
      <c r="O1737" s="15" t="s">
        <v>1554</v>
      </c>
      <c r="Q1737" s="7"/>
    </row>
    <row r="1738">
      <c r="A1738" s="39" t="s">
        <v>8302</v>
      </c>
      <c r="B1738" s="15">
        <v>424359.0</v>
      </c>
      <c r="C1738" s="15" t="s">
        <v>8303</v>
      </c>
      <c r="D1738" s="15">
        <v>18863.0</v>
      </c>
      <c r="E1738" s="15" t="s">
        <v>1548</v>
      </c>
      <c r="F1738" s="15" t="s">
        <v>1684</v>
      </c>
      <c r="G1738" s="7">
        <v>30.286</v>
      </c>
      <c r="H1738" s="15" t="s">
        <v>2233</v>
      </c>
      <c r="I1738" s="15" t="s">
        <v>1686</v>
      </c>
      <c r="J1738" s="15" t="s">
        <v>8304</v>
      </c>
      <c r="K1738" s="15">
        <v>9.0</v>
      </c>
      <c r="L1738" s="15">
        <v>9.0</v>
      </c>
      <c r="M1738" s="40">
        <v>39120.0</v>
      </c>
      <c r="N1738" s="40">
        <v>42457.0</v>
      </c>
      <c r="O1738" s="15" t="s">
        <v>1554</v>
      </c>
      <c r="Q1738" s="7"/>
    </row>
    <row r="1739">
      <c r="A1739" s="39" t="s">
        <v>8305</v>
      </c>
      <c r="B1739" s="15">
        <v>424363.0</v>
      </c>
      <c r="C1739" s="15" t="s">
        <v>8307</v>
      </c>
      <c r="D1739" s="15">
        <v>18865.0</v>
      </c>
      <c r="E1739" s="15" t="s">
        <v>1548</v>
      </c>
      <c r="F1739" s="15" t="s">
        <v>1684</v>
      </c>
      <c r="G1739" s="7">
        <v>30.482</v>
      </c>
      <c r="H1739" s="15" t="s">
        <v>2178</v>
      </c>
      <c r="I1739" s="15" t="s">
        <v>1686</v>
      </c>
      <c r="J1739" s="15" t="s">
        <v>8308</v>
      </c>
      <c r="K1739" s="15">
        <v>9.0</v>
      </c>
      <c r="L1739" s="15">
        <v>9.0</v>
      </c>
      <c r="M1739" s="40">
        <v>39120.0</v>
      </c>
      <c r="N1739" s="40">
        <v>42457.0</v>
      </c>
      <c r="O1739" s="15" t="s">
        <v>1554</v>
      </c>
      <c r="Q1739" s="7"/>
    </row>
    <row r="1740">
      <c r="A1740" s="39" t="s">
        <v>8309</v>
      </c>
      <c r="B1740" s="15">
        <v>424367.0</v>
      </c>
      <c r="C1740" s="15" t="s">
        <v>8310</v>
      </c>
      <c r="D1740" s="15">
        <v>18867.0</v>
      </c>
      <c r="E1740" s="15" t="s">
        <v>1548</v>
      </c>
      <c r="F1740" s="15" t="s">
        <v>1684</v>
      </c>
      <c r="G1740" s="7">
        <v>29.114</v>
      </c>
      <c r="H1740" s="15">
        <v>41.0</v>
      </c>
      <c r="I1740" s="15" t="s">
        <v>1686</v>
      </c>
      <c r="J1740" s="15" t="s">
        <v>8311</v>
      </c>
      <c r="K1740" s="15">
        <v>8.0</v>
      </c>
      <c r="L1740" s="15">
        <v>8.0</v>
      </c>
      <c r="M1740" s="40">
        <v>39120.0</v>
      </c>
      <c r="N1740" s="40">
        <v>39790.0</v>
      </c>
      <c r="O1740" s="15" t="s">
        <v>1554</v>
      </c>
      <c r="Q1740" s="7"/>
    </row>
    <row r="1741">
      <c r="A1741" s="39" t="s">
        <v>8312</v>
      </c>
      <c r="B1741" s="15">
        <v>425303.0</v>
      </c>
      <c r="C1741" s="15" t="s">
        <v>8313</v>
      </c>
      <c r="D1741" s="15">
        <v>18869.0</v>
      </c>
      <c r="E1741" s="15" t="s">
        <v>1808</v>
      </c>
      <c r="F1741" s="15" t="s">
        <v>1809</v>
      </c>
      <c r="G1741" s="7">
        <v>2.742</v>
      </c>
      <c r="H1741" s="15" t="s">
        <v>1613</v>
      </c>
      <c r="I1741" s="15" t="s">
        <v>1628</v>
      </c>
      <c r="J1741" s="15" t="s">
        <v>8314</v>
      </c>
      <c r="K1741" s="15">
        <v>3.0</v>
      </c>
      <c r="L1741" s="15">
        <v>3.0</v>
      </c>
      <c r="M1741" s="40">
        <v>39123.0</v>
      </c>
      <c r="N1741" s="40">
        <v>40206.0</v>
      </c>
      <c r="O1741" s="15" t="s">
        <v>1554</v>
      </c>
      <c r="Q1741" s="7"/>
    </row>
    <row r="1742">
      <c r="A1742" s="39" t="s">
        <v>8316</v>
      </c>
      <c r="B1742" s="15">
        <v>425279.0</v>
      </c>
      <c r="C1742" s="15" t="s">
        <v>8317</v>
      </c>
      <c r="D1742" s="15">
        <v>18885.0</v>
      </c>
      <c r="E1742" s="15" t="s">
        <v>1548</v>
      </c>
      <c r="F1742" s="15" t="s">
        <v>2615</v>
      </c>
      <c r="G1742" s="7">
        <v>6.395</v>
      </c>
      <c r="H1742" s="15" t="s">
        <v>2648</v>
      </c>
      <c r="I1742" s="15" t="s">
        <v>1628</v>
      </c>
      <c r="J1742" s="15" t="s">
        <v>8318</v>
      </c>
      <c r="K1742" s="15">
        <v>4.0</v>
      </c>
      <c r="L1742" s="15">
        <v>4.0</v>
      </c>
      <c r="M1742" s="40">
        <v>39134.0</v>
      </c>
      <c r="N1742" s="40">
        <v>39520.0</v>
      </c>
      <c r="O1742" s="15" t="s">
        <v>1554</v>
      </c>
      <c r="Q1742" s="7"/>
    </row>
    <row r="1743">
      <c r="A1743" s="39" t="s">
        <v>8319</v>
      </c>
      <c r="B1743" s="15">
        <v>360579.0</v>
      </c>
      <c r="C1743" s="15" t="s">
        <v>8322</v>
      </c>
      <c r="D1743" s="15">
        <v>18967.0</v>
      </c>
      <c r="E1743" s="15" t="s">
        <v>1808</v>
      </c>
      <c r="F1743" s="15" t="s">
        <v>1809</v>
      </c>
      <c r="G1743" s="7">
        <v>2.728</v>
      </c>
      <c r="H1743" s="15" t="s">
        <v>3066</v>
      </c>
      <c r="I1743" s="15" t="s">
        <v>1628</v>
      </c>
      <c r="J1743" s="15" t="s">
        <v>8323</v>
      </c>
      <c r="K1743" s="15">
        <v>6.0</v>
      </c>
      <c r="L1743" s="15">
        <v>6.0</v>
      </c>
      <c r="M1743" s="40">
        <v>39131.0</v>
      </c>
      <c r="N1743" s="40">
        <v>40206.0</v>
      </c>
      <c r="O1743" s="15" t="s">
        <v>1554</v>
      </c>
      <c r="Q1743" s="7"/>
    </row>
    <row r="1744">
      <c r="A1744" s="39" t="s">
        <v>8324</v>
      </c>
      <c r="B1744" s="15">
        <v>12165.0</v>
      </c>
      <c r="C1744" s="15" t="s">
        <v>8325</v>
      </c>
      <c r="D1744" s="15">
        <v>18985.0</v>
      </c>
      <c r="E1744" s="15" t="s">
        <v>1548</v>
      </c>
      <c r="F1744" s="15" t="s">
        <v>1786</v>
      </c>
      <c r="G1744" s="7">
        <v>8.855</v>
      </c>
      <c r="H1744" s="15" t="s">
        <v>3407</v>
      </c>
      <c r="I1744" s="15" t="s">
        <v>1628</v>
      </c>
      <c r="J1744" s="15" t="s">
        <v>8326</v>
      </c>
      <c r="K1744" s="15">
        <v>6.0</v>
      </c>
      <c r="L1744" s="15">
        <v>6.0</v>
      </c>
      <c r="M1744" s="40">
        <v>39140.0</v>
      </c>
      <c r="N1744" s="40">
        <v>41110.0</v>
      </c>
      <c r="O1744" s="15" t="s">
        <v>1554</v>
      </c>
      <c r="Q1744" s="7"/>
    </row>
    <row r="1745">
      <c r="A1745" s="39" t="s">
        <v>8328</v>
      </c>
      <c r="B1745" s="15">
        <v>180230.0</v>
      </c>
      <c r="C1745" s="15" t="s">
        <v>8329</v>
      </c>
      <c r="D1745" s="15">
        <v>19059.0</v>
      </c>
      <c r="E1745" s="15" t="s">
        <v>1557</v>
      </c>
      <c r="F1745" s="15" t="s">
        <v>3278</v>
      </c>
      <c r="G1745" s="7">
        <v>295.146</v>
      </c>
      <c r="H1745" s="15" t="s">
        <v>6118</v>
      </c>
      <c r="I1745" s="15" t="s">
        <v>1686</v>
      </c>
      <c r="J1745" s="15" t="s">
        <v>8330</v>
      </c>
      <c r="K1745" s="15">
        <v>163.0</v>
      </c>
      <c r="L1745" s="15">
        <v>163.0</v>
      </c>
      <c r="M1745" s="40">
        <v>39150.0</v>
      </c>
      <c r="N1745" s="40">
        <v>40987.0</v>
      </c>
      <c r="O1745" s="15" t="s">
        <v>1554</v>
      </c>
      <c r="Q1745" s="7"/>
    </row>
    <row r="1746">
      <c r="A1746" s="39" t="s">
        <v>8331</v>
      </c>
      <c r="B1746" s="15">
        <v>425009.0</v>
      </c>
      <c r="C1746" s="15" t="s">
        <v>8332</v>
      </c>
      <c r="D1746" s="15">
        <v>19133.0</v>
      </c>
      <c r="E1746" s="15" t="s">
        <v>1638</v>
      </c>
      <c r="F1746" s="15" t="s">
        <v>1639</v>
      </c>
      <c r="G1746" s="7">
        <v>5.261</v>
      </c>
      <c r="H1746" s="15" t="s">
        <v>2996</v>
      </c>
      <c r="I1746" s="15" t="s">
        <v>1552</v>
      </c>
      <c r="J1746" s="15" t="s">
        <v>8333</v>
      </c>
      <c r="K1746" s="15">
        <v>2.0</v>
      </c>
      <c r="L1746" s="15">
        <v>2.0</v>
      </c>
      <c r="M1746" s="40">
        <v>39162.0</v>
      </c>
      <c r="N1746" s="40">
        <v>39168.0</v>
      </c>
      <c r="O1746" s="15" t="s">
        <v>1554</v>
      </c>
      <c r="Q1746" s="7"/>
    </row>
    <row r="1747">
      <c r="A1747" s="39" t="s">
        <v>8334</v>
      </c>
      <c r="B1747" s="15">
        <v>10986.0</v>
      </c>
      <c r="C1747" s="15" t="s">
        <v>8336</v>
      </c>
      <c r="D1747" s="15">
        <v>19149.0</v>
      </c>
      <c r="E1747" s="15" t="s">
        <v>1638</v>
      </c>
      <c r="F1747" s="15" t="s">
        <v>1863</v>
      </c>
      <c r="G1747" s="7">
        <v>25.709</v>
      </c>
      <c r="H1747" s="15" t="s">
        <v>8337</v>
      </c>
      <c r="I1747" s="15" t="s">
        <v>2034</v>
      </c>
      <c r="J1747" s="15" t="s">
        <v>8338</v>
      </c>
      <c r="K1747" s="15">
        <v>12.0</v>
      </c>
      <c r="L1747" s="15">
        <v>12.0</v>
      </c>
      <c r="M1747" s="40">
        <v>34088.0</v>
      </c>
      <c r="N1747" s="41">
        <v>42306.0</v>
      </c>
      <c r="O1747" s="15" t="s">
        <v>1554</v>
      </c>
      <c r="Q1747" s="7"/>
    </row>
    <row r="1748">
      <c r="A1748" s="39" t="s">
        <v>8339</v>
      </c>
      <c r="B1748" s="15">
        <v>260797.0</v>
      </c>
      <c r="C1748" s="15" t="s">
        <v>8340</v>
      </c>
      <c r="D1748" s="15">
        <v>19151.0</v>
      </c>
      <c r="E1748" s="15" t="s">
        <v>1557</v>
      </c>
      <c r="F1748" s="15" t="s">
        <v>8218</v>
      </c>
      <c r="G1748" s="7">
        <v>186.262</v>
      </c>
      <c r="H1748" s="15" t="s">
        <v>4070</v>
      </c>
      <c r="I1748" s="15" t="s">
        <v>1560</v>
      </c>
      <c r="J1748" s="15" t="s">
        <v>8341</v>
      </c>
      <c r="K1748" s="15">
        <v>180.0</v>
      </c>
      <c r="L1748" s="15">
        <v>180.0</v>
      </c>
      <c r="M1748" s="40">
        <v>39168.0</v>
      </c>
      <c r="N1748" s="40">
        <v>39688.0</v>
      </c>
      <c r="O1748" s="15" t="s">
        <v>1554</v>
      </c>
      <c r="Q1748" s="7"/>
    </row>
    <row r="1749">
      <c r="A1749" s="39" t="s">
        <v>8342</v>
      </c>
      <c r="B1749" s="15">
        <v>262071.0</v>
      </c>
      <c r="C1749" s="15" t="s">
        <v>8343</v>
      </c>
      <c r="D1749" s="15">
        <v>19153.0</v>
      </c>
      <c r="E1749" s="15" t="s">
        <v>1557</v>
      </c>
      <c r="F1749" s="15" t="s">
        <v>1767</v>
      </c>
      <c r="G1749" s="7">
        <v>56.538</v>
      </c>
      <c r="H1749" s="42">
        <v>43309.0</v>
      </c>
      <c r="I1749" s="15" t="s">
        <v>1586</v>
      </c>
      <c r="J1749" s="15" t="s">
        <v>8345</v>
      </c>
      <c r="K1749" s="15">
        <v>82.0</v>
      </c>
      <c r="L1749" s="15">
        <v>82.0</v>
      </c>
      <c r="M1749" s="40">
        <v>39144.0</v>
      </c>
      <c r="N1749" s="41">
        <v>39407.0</v>
      </c>
      <c r="O1749" s="15" t="s">
        <v>1554</v>
      </c>
      <c r="Q1749" s="7"/>
    </row>
    <row r="1750">
      <c r="A1750" s="39" t="s">
        <v>8346</v>
      </c>
      <c r="B1750" s="15">
        <v>424944.0</v>
      </c>
      <c r="C1750" s="15" t="s">
        <v>8347</v>
      </c>
      <c r="D1750" s="15">
        <v>19157.0</v>
      </c>
      <c r="E1750" s="15" t="s">
        <v>1557</v>
      </c>
      <c r="F1750" s="15" t="s">
        <v>1833</v>
      </c>
      <c r="G1750" s="7">
        <v>42.572</v>
      </c>
      <c r="H1750" s="15" t="s">
        <v>3836</v>
      </c>
      <c r="I1750" s="15" t="s">
        <v>1586</v>
      </c>
      <c r="J1750" s="15" t="s">
        <v>8348</v>
      </c>
      <c r="K1750" s="15">
        <v>63.0</v>
      </c>
      <c r="L1750" s="15">
        <v>63.0</v>
      </c>
      <c r="M1750" s="40">
        <v>39130.0</v>
      </c>
      <c r="N1750" s="40">
        <v>41614.0</v>
      </c>
      <c r="O1750" s="15" t="s">
        <v>1554</v>
      </c>
      <c r="Q1750" s="7"/>
    </row>
    <row r="1751">
      <c r="A1751" s="39" t="s">
        <v>8349</v>
      </c>
      <c r="B1751" s="15">
        <v>432587.0</v>
      </c>
      <c r="C1751" s="15" t="s">
        <v>8350</v>
      </c>
      <c r="D1751" s="15">
        <v>19181.0</v>
      </c>
      <c r="E1751" s="15" t="s">
        <v>1557</v>
      </c>
      <c r="F1751" s="15" t="s">
        <v>3920</v>
      </c>
      <c r="G1751" s="7">
        <v>96.944</v>
      </c>
      <c r="H1751" s="15">
        <v>28.0</v>
      </c>
      <c r="I1751" s="15" t="s">
        <v>1560</v>
      </c>
      <c r="J1751" s="15" t="s">
        <v>8351</v>
      </c>
      <c r="K1751" s="15">
        <v>98.0</v>
      </c>
      <c r="L1751" s="15">
        <v>98.0</v>
      </c>
      <c r="M1751" s="40">
        <v>39168.0</v>
      </c>
      <c r="N1751" s="40">
        <v>39251.0</v>
      </c>
      <c r="O1751" s="15" t="s">
        <v>1554</v>
      </c>
      <c r="Q1751" s="7"/>
    </row>
    <row r="1752">
      <c r="A1752" s="39" t="s">
        <v>8352</v>
      </c>
      <c r="B1752" s="15">
        <v>420255.0</v>
      </c>
      <c r="C1752" s="15" t="s">
        <v>8354</v>
      </c>
      <c r="D1752" s="15">
        <v>19405.0</v>
      </c>
      <c r="E1752" s="15" t="s">
        <v>1808</v>
      </c>
      <c r="F1752" s="15" t="s">
        <v>1809</v>
      </c>
      <c r="G1752" s="7">
        <v>2.753</v>
      </c>
      <c r="H1752" s="15">
        <v>46.0</v>
      </c>
      <c r="I1752" s="15" t="s">
        <v>1628</v>
      </c>
      <c r="J1752" s="15" t="s">
        <v>8355</v>
      </c>
      <c r="K1752" s="15">
        <v>6.0</v>
      </c>
      <c r="L1752" s="15">
        <v>6.0</v>
      </c>
      <c r="M1752" s="40">
        <v>38887.0</v>
      </c>
      <c r="N1752" s="40">
        <v>40578.0</v>
      </c>
      <c r="O1752" s="15" t="s">
        <v>1554</v>
      </c>
      <c r="Q1752" s="7"/>
    </row>
    <row r="1753">
      <c r="A1753" s="39" t="s">
        <v>8356</v>
      </c>
      <c r="B1753" s="15">
        <v>436066.0</v>
      </c>
      <c r="C1753" s="15" t="s">
        <v>8357</v>
      </c>
      <c r="D1753" s="15">
        <v>19427.0</v>
      </c>
      <c r="E1753" s="15" t="s">
        <v>1548</v>
      </c>
      <c r="F1753" s="15" t="s">
        <v>1786</v>
      </c>
      <c r="G1753" s="7">
        <v>8.59</v>
      </c>
      <c r="H1753" s="15" t="s">
        <v>1613</v>
      </c>
      <c r="I1753" s="15" t="s">
        <v>1628</v>
      </c>
      <c r="J1753" s="15" t="s">
        <v>8358</v>
      </c>
      <c r="K1753" s="15">
        <v>6.0</v>
      </c>
      <c r="L1753" s="15">
        <v>6.0</v>
      </c>
      <c r="M1753" s="40">
        <v>39189.0</v>
      </c>
      <c r="N1753" s="40">
        <v>39197.0</v>
      </c>
      <c r="O1753" s="15" t="s">
        <v>1554</v>
      </c>
      <c r="Q1753" s="7"/>
    </row>
    <row r="1754">
      <c r="A1754" s="39" t="s">
        <v>8359</v>
      </c>
      <c r="B1754" s="15">
        <v>406340.0</v>
      </c>
      <c r="C1754" s="15" t="s">
        <v>8360</v>
      </c>
      <c r="D1754" s="15">
        <v>19481.0</v>
      </c>
      <c r="E1754" s="15" t="s">
        <v>1557</v>
      </c>
      <c r="F1754" s="15" t="s">
        <v>1767</v>
      </c>
      <c r="G1754" s="7">
        <v>38.76</v>
      </c>
      <c r="H1754" s="15" t="s">
        <v>6325</v>
      </c>
      <c r="I1754" s="15" t="s">
        <v>1586</v>
      </c>
      <c r="J1754" s="15" t="s">
        <v>8361</v>
      </c>
      <c r="K1754" s="15">
        <v>51.0</v>
      </c>
      <c r="L1754" s="15">
        <v>51.0</v>
      </c>
      <c r="M1754" s="40">
        <v>39175.0</v>
      </c>
      <c r="N1754" s="41">
        <v>43029.0</v>
      </c>
      <c r="O1754" s="15" t="s">
        <v>1554</v>
      </c>
      <c r="Q1754" s="7"/>
    </row>
    <row r="1755">
      <c r="A1755" s="39" t="s">
        <v>8362</v>
      </c>
      <c r="B1755" s="15">
        <v>11970.0</v>
      </c>
      <c r="C1755" s="15" t="s">
        <v>8363</v>
      </c>
      <c r="D1755" s="15">
        <v>19547.0</v>
      </c>
      <c r="E1755" s="15" t="s">
        <v>1916</v>
      </c>
      <c r="F1755" s="15" t="s">
        <v>2532</v>
      </c>
      <c r="G1755" s="7">
        <v>5.159</v>
      </c>
      <c r="H1755" s="15" t="s">
        <v>3468</v>
      </c>
      <c r="I1755" s="15" t="s">
        <v>1686</v>
      </c>
      <c r="J1755" s="15" t="s">
        <v>8364</v>
      </c>
      <c r="K1755" s="15">
        <v>6.0</v>
      </c>
      <c r="L1755" s="15">
        <v>6.0</v>
      </c>
      <c r="M1755" s="40">
        <v>30510.0</v>
      </c>
      <c r="N1755" s="40">
        <v>42577.0</v>
      </c>
      <c r="O1755" s="15" t="s">
        <v>1554</v>
      </c>
      <c r="Q1755" s="7"/>
    </row>
    <row r="1756">
      <c r="A1756" s="39" t="s">
        <v>8366</v>
      </c>
      <c r="B1756" s="15">
        <v>437329.0</v>
      </c>
      <c r="C1756" s="15" t="s">
        <v>8367</v>
      </c>
      <c r="D1756" s="15">
        <v>19579.0</v>
      </c>
      <c r="E1756" s="15" t="s">
        <v>1557</v>
      </c>
      <c r="F1756" s="15" t="s">
        <v>1833</v>
      </c>
      <c r="G1756" s="7">
        <v>52.414</v>
      </c>
      <c r="H1756" s="15" t="s">
        <v>1966</v>
      </c>
      <c r="I1756" s="15" t="s">
        <v>1586</v>
      </c>
      <c r="J1756" s="15" t="s">
        <v>8368</v>
      </c>
      <c r="K1756" s="15">
        <v>75.0</v>
      </c>
      <c r="L1756" s="15">
        <v>75.0</v>
      </c>
      <c r="M1756" s="40">
        <v>39195.0</v>
      </c>
      <c r="N1756" s="40">
        <v>40263.0</v>
      </c>
      <c r="O1756" s="15" t="s">
        <v>1554</v>
      </c>
      <c r="Q1756" s="7"/>
    </row>
    <row r="1757">
      <c r="A1757" s="39" t="s">
        <v>8369</v>
      </c>
      <c r="B1757" s="15">
        <v>326811.0</v>
      </c>
      <c r="C1757" s="15" t="s">
        <v>8370</v>
      </c>
      <c r="D1757" s="15">
        <v>19599.0</v>
      </c>
      <c r="E1757" s="15" t="s">
        <v>1808</v>
      </c>
      <c r="F1757" s="15" t="s">
        <v>1809</v>
      </c>
      <c r="G1757" s="7">
        <v>2.76</v>
      </c>
      <c r="H1757" s="15" t="s">
        <v>2869</v>
      </c>
      <c r="I1757" s="15" t="s">
        <v>1628</v>
      </c>
      <c r="J1757" s="15" t="s">
        <v>8371</v>
      </c>
      <c r="K1757" s="15">
        <v>6.0</v>
      </c>
      <c r="L1757" s="15">
        <v>6.0</v>
      </c>
      <c r="M1757" s="40">
        <v>39195.0</v>
      </c>
      <c r="N1757" s="40">
        <v>40206.0</v>
      </c>
      <c r="O1757" s="15" t="s">
        <v>1554</v>
      </c>
      <c r="Q1757" s="7"/>
    </row>
    <row r="1758">
      <c r="A1758" s="39" t="s">
        <v>8372</v>
      </c>
      <c r="B1758" s="15">
        <v>435486.0</v>
      </c>
      <c r="C1758" s="15" t="s">
        <v>8373</v>
      </c>
      <c r="D1758" s="15">
        <v>19601.0</v>
      </c>
      <c r="E1758" s="15" t="s">
        <v>2014</v>
      </c>
      <c r="F1758" s="15" t="s">
        <v>2018</v>
      </c>
      <c r="G1758" s="7">
        <v>1.336</v>
      </c>
      <c r="H1758" s="15" t="s">
        <v>3000</v>
      </c>
      <c r="I1758" s="15" t="s">
        <v>1628</v>
      </c>
      <c r="J1758" s="15" t="s">
        <v>8375</v>
      </c>
      <c r="K1758" s="15">
        <v>1.0</v>
      </c>
      <c r="L1758" s="15">
        <v>1.0</v>
      </c>
      <c r="M1758" s="40">
        <v>39162.0</v>
      </c>
      <c r="N1758" s="40">
        <v>40612.0</v>
      </c>
      <c r="O1758" s="15" t="s">
        <v>1554</v>
      </c>
      <c r="Q1758" s="7"/>
    </row>
    <row r="1759">
      <c r="A1759" s="39" t="s">
        <v>8376</v>
      </c>
      <c r="B1759" s="15">
        <v>435488.0</v>
      </c>
      <c r="C1759" s="15" t="s">
        <v>8377</v>
      </c>
      <c r="D1759" s="15">
        <v>19603.0</v>
      </c>
      <c r="E1759" s="15" t="s">
        <v>2014</v>
      </c>
      <c r="F1759" s="15" t="s">
        <v>2018</v>
      </c>
      <c r="G1759" s="7">
        <v>1.35</v>
      </c>
      <c r="H1759" s="15" t="s">
        <v>2019</v>
      </c>
      <c r="I1759" s="15" t="s">
        <v>1628</v>
      </c>
      <c r="J1759" s="15" t="s">
        <v>8378</v>
      </c>
      <c r="K1759" s="15">
        <v>1.0</v>
      </c>
      <c r="L1759" s="15">
        <v>1.0</v>
      </c>
      <c r="M1759" s="40">
        <v>39162.0</v>
      </c>
      <c r="N1759" s="40">
        <v>42905.0</v>
      </c>
      <c r="O1759" s="15" t="s">
        <v>1554</v>
      </c>
      <c r="Q1759" s="7"/>
    </row>
    <row r="1760">
      <c r="A1760" s="39" t="s">
        <v>8379</v>
      </c>
      <c r="B1760" s="15">
        <v>359919.0</v>
      </c>
      <c r="C1760" s="15" t="s">
        <v>8380</v>
      </c>
      <c r="D1760" s="15">
        <v>19695.0</v>
      </c>
      <c r="E1760" s="15" t="s">
        <v>1557</v>
      </c>
      <c r="F1760" s="15" t="s">
        <v>1992</v>
      </c>
      <c r="G1760" s="7">
        <v>124.121</v>
      </c>
      <c r="H1760" s="15" t="s">
        <v>6565</v>
      </c>
      <c r="I1760" s="15" t="s">
        <v>1560</v>
      </c>
      <c r="J1760" s="15" t="s">
        <v>8382</v>
      </c>
      <c r="K1760" s="15">
        <v>136.0</v>
      </c>
      <c r="L1760" s="15">
        <v>136.0</v>
      </c>
      <c r="M1760" s="40">
        <v>38693.0</v>
      </c>
      <c r="N1760" s="40">
        <v>40185.0</v>
      </c>
      <c r="O1760" s="15" t="s">
        <v>1554</v>
      </c>
      <c r="Q1760" s="7"/>
    </row>
    <row r="1761">
      <c r="A1761" s="39" t="s">
        <v>8383</v>
      </c>
      <c r="B1761" s="15">
        <v>414970.0</v>
      </c>
      <c r="C1761" s="15" t="s">
        <v>8384</v>
      </c>
      <c r="D1761" s="15">
        <v>19737.0</v>
      </c>
      <c r="E1761" s="15" t="s">
        <v>1557</v>
      </c>
      <c r="F1761" s="15" t="s">
        <v>1833</v>
      </c>
      <c r="G1761" s="7">
        <v>47.021</v>
      </c>
      <c r="H1761" s="15" t="s">
        <v>2000</v>
      </c>
      <c r="I1761" s="15" t="s">
        <v>1586</v>
      </c>
      <c r="J1761" s="15" t="s">
        <v>8385</v>
      </c>
      <c r="K1761" s="15">
        <v>60.0</v>
      </c>
      <c r="L1761" s="15">
        <v>60.0</v>
      </c>
      <c r="M1761" s="40">
        <v>39234.0</v>
      </c>
      <c r="N1761" s="40">
        <v>42458.0</v>
      </c>
      <c r="O1761" s="15" t="s">
        <v>1554</v>
      </c>
      <c r="Q1761" s="7"/>
    </row>
    <row r="1762">
      <c r="A1762" s="39" t="s">
        <v>8386</v>
      </c>
      <c r="B1762" s="15">
        <v>335204.0</v>
      </c>
      <c r="C1762" s="15" t="s">
        <v>8387</v>
      </c>
      <c r="D1762" s="15">
        <v>19741.0</v>
      </c>
      <c r="E1762" s="15" t="s">
        <v>1638</v>
      </c>
      <c r="F1762" s="15" t="s">
        <v>1796</v>
      </c>
      <c r="G1762" s="7">
        <v>4.678</v>
      </c>
      <c r="H1762" s="15" t="s">
        <v>8388</v>
      </c>
      <c r="I1762" s="15" t="s">
        <v>1628</v>
      </c>
      <c r="J1762" s="15" t="s">
        <v>8389</v>
      </c>
      <c r="K1762" s="15">
        <v>3.0</v>
      </c>
      <c r="L1762" s="15">
        <v>3.0</v>
      </c>
      <c r="M1762" s="40">
        <v>38549.0</v>
      </c>
      <c r="N1762" s="40">
        <v>39486.0</v>
      </c>
      <c r="O1762" s="15" t="s">
        <v>1554</v>
      </c>
      <c r="Q1762" s="7"/>
    </row>
    <row r="1763">
      <c r="A1763" s="39" t="s">
        <v>8390</v>
      </c>
      <c r="B1763" s="15">
        <v>37127.0</v>
      </c>
      <c r="C1763" s="15" t="s">
        <v>8391</v>
      </c>
      <c r="D1763" s="15">
        <v>19747.0</v>
      </c>
      <c r="E1763" s="15" t="s">
        <v>1548</v>
      </c>
      <c r="F1763" s="15" t="s">
        <v>1926</v>
      </c>
      <c r="G1763" s="7">
        <v>8.656</v>
      </c>
      <c r="H1763" s="15" t="s">
        <v>8392</v>
      </c>
      <c r="I1763" s="15" t="s">
        <v>1628</v>
      </c>
      <c r="J1763" s="15" t="s">
        <v>8393</v>
      </c>
      <c r="K1763" s="15">
        <v>5.0</v>
      </c>
      <c r="L1763" s="15">
        <v>5.0</v>
      </c>
      <c r="M1763" s="40">
        <v>34794.0</v>
      </c>
      <c r="N1763" s="40">
        <v>41066.0</v>
      </c>
      <c r="O1763" s="15" t="s">
        <v>1554</v>
      </c>
      <c r="Q1763" s="7"/>
    </row>
    <row r="1764">
      <c r="A1764" s="39" t="s">
        <v>8394</v>
      </c>
      <c r="B1764" s="15">
        <v>53369.0</v>
      </c>
      <c r="C1764" s="15" t="s">
        <v>8395</v>
      </c>
      <c r="D1764" s="15">
        <v>19749.0</v>
      </c>
      <c r="E1764" s="15" t="s">
        <v>1557</v>
      </c>
      <c r="F1764" s="15" t="s">
        <v>1833</v>
      </c>
      <c r="G1764" s="7">
        <v>43.864</v>
      </c>
      <c r="H1764" s="15" t="s">
        <v>8397</v>
      </c>
      <c r="I1764" s="15" t="s">
        <v>1586</v>
      </c>
      <c r="J1764" s="15" t="s">
        <v>8398</v>
      </c>
      <c r="K1764" s="15">
        <v>73.0</v>
      </c>
      <c r="L1764" s="15">
        <v>73.0</v>
      </c>
      <c r="M1764" s="40">
        <v>39198.0</v>
      </c>
      <c r="N1764" s="40">
        <v>40578.0</v>
      </c>
      <c r="O1764" s="15" t="s">
        <v>1554</v>
      </c>
      <c r="Q1764" s="7"/>
    </row>
    <row r="1765">
      <c r="A1765" s="39" t="s">
        <v>8399</v>
      </c>
      <c r="B1765" s="15">
        <v>436447.0</v>
      </c>
      <c r="C1765" s="15" t="s">
        <v>8400</v>
      </c>
      <c r="D1765" s="15">
        <v>19753.0</v>
      </c>
      <c r="E1765" s="15" t="s">
        <v>1548</v>
      </c>
      <c r="F1765" s="15" t="s">
        <v>2374</v>
      </c>
      <c r="G1765" s="7">
        <v>10.18</v>
      </c>
      <c r="H1765" s="15" t="s">
        <v>3809</v>
      </c>
      <c r="I1765" s="15" t="s">
        <v>1560</v>
      </c>
      <c r="J1765" s="15" t="s">
        <v>8401</v>
      </c>
      <c r="K1765" s="15">
        <v>1.0</v>
      </c>
      <c r="L1765" s="15">
        <v>1.0</v>
      </c>
      <c r="M1765" s="40">
        <v>39194.0</v>
      </c>
      <c r="N1765" s="40">
        <v>40744.0</v>
      </c>
      <c r="O1765" s="15" t="s">
        <v>1554</v>
      </c>
      <c r="Q1765" s="7"/>
    </row>
    <row r="1766">
      <c r="A1766" s="39" t="s">
        <v>8402</v>
      </c>
      <c r="B1766" s="15">
        <v>445227.0</v>
      </c>
      <c r="C1766" s="15" t="s">
        <v>8403</v>
      </c>
      <c r="D1766" s="15">
        <v>19755.0</v>
      </c>
      <c r="E1766" s="15" t="s">
        <v>1548</v>
      </c>
      <c r="F1766" s="15" t="s">
        <v>2900</v>
      </c>
      <c r="G1766" s="7">
        <v>4.293</v>
      </c>
      <c r="H1766" s="15" t="s">
        <v>5663</v>
      </c>
      <c r="I1766" s="15" t="s">
        <v>1628</v>
      </c>
      <c r="J1766" s="15" t="s">
        <v>8404</v>
      </c>
      <c r="K1766" s="15">
        <v>5.0</v>
      </c>
      <c r="L1766" s="15">
        <v>5.0</v>
      </c>
      <c r="M1766" s="40">
        <v>39237.0</v>
      </c>
      <c r="N1766" s="41">
        <v>40907.0</v>
      </c>
      <c r="O1766" s="15" t="s">
        <v>1554</v>
      </c>
      <c r="Q1766" s="7"/>
    </row>
    <row r="1767">
      <c r="A1767" s="39" t="s">
        <v>8406</v>
      </c>
      <c r="B1767" s="15">
        <v>57482.0</v>
      </c>
      <c r="C1767" s="15" t="s">
        <v>8407</v>
      </c>
      <c r="D1767" s="15">
        <v>19757.0</v>
      </c>
      <c r="E1767" s="15" t="s">
        <v>1548</v>
      </c>
      <c r="F1767" s="15" t="s">
        <v>1890</v>
      </c>
      <c r="G1767" s="7">
        <v>11.966</v>
      </c>
      <c r="H1767" s="15" t="s">
        <v>1962</v>
      </c>
      <c r="I1767" s="15" t="s">
        <v>1567</v>
      </c>
      <c r="J1767" s="15" t="s">
        <v>8408</v>
      </c>
      <c r="K1767" s="15">
        <v>5.0</v>
      </c>
      <c r="L1767" s="15">
        <v>5.0</v>
      </c>
      <c r="M1767" s="40">
        <v>39174.0</v>
      </c>
      <c r="N1767" s="40">
        <v>39790.0</v>
      </c>
      <c r="O1767" s="15" t="s">
        <v>1554</v>
      </c>
      <c r="Q1767" s="7"/>
    </row>
    <row r="1768">
      <c r="A1768" s="39" t="s">
        <v>8409</v>
      </c>
      <c r="B1768" s="15">
        <v>57483.0</v>
      </c>
      <c r="C1768" s="15" t="s">
        <v>8410</v>
      </c>
      <c r="D1768" s="15">
        <v>19759.0</v>
      </c>
      <c r="E1768" s="15" t="s">
        <v>1548</v>
      </c>
      <c r="F1768" s="15" t="s">
        <v>1890</v>
      </c>
      <c r="G1768" s="7">
        <v>11.93</v>
      </c>
      <c r="H1768" s="15" t="s">
        <v>3097</v>
      </c>
      <c r="I1768" s="15" t="s">
        <v>1567</v>
      </c>
      <c r="J1768" s="15" t="s">
        <v>8411</v>
      </c>
      <c r="K1768" s="15">
        <v>5.0</v>
      </c>
      <c r="L1768" s="15">
        <v>5.0</v>
      </c>
      <c r="M1768" s="40">
        <v>39174.0</v>
      </c>
      <c r="N1768" s="40">
        <v>42060.0</v>
      </c>
      <c r="O1768" s="15" t="s">
        <v>1554</v>
      </c>
      <c r="Q1768" s="7"/>
    </row>
    <row r="1769">
      <c r="A1769" s="39" t="s">
        <v>8412</v>
      </c>
      <c r="B1769" s="15">
        <v>70822.0</v>
      </c>
      <c r="C1769" s="15" t="s">
        <v>8413</v>
      </c>
      <c r="D1769" s="15">
        <v>19761.0</v>
      </c>
      <c r="E1769" s="15" t="s">
        <v>1548</v>
      </c>
      <c r="F1769" s="15" t="s">
        <v>2032</v>
      </c>
      <c r="G1769" s="7">
        <v>6.223</v>
      </c>
      <c r="H1769" s="15" t="s">
        <v>4842</v>
      </c>
      <c r="I1769" s="15" t="s">
        <v>2034</v>
      </c>
      <c r="J1769" s="15" t="s">
        <v>8414</v>
      </c>
      <c r="K1769" s="15">
        <v>3.0</v>
      </c>
      <c r="L1769" s="15">
        <v>3.0</v>
      </c>
      <c r="M1769" s="40">
        <v>39224.0</v>
      </c>
      <c r="N1769" s="40">
        <v>39514.0</v>
      </c>
      <c r="O1769" s="15" t="s">
        <v>1554</v>
      </c>
      <c r="Q1769" s="7"/>
    </row>
    <row r="1770">
      <c r="A1770" s="39" t="s">
        <v>8416</v>
      </c>
      <c r="B1770" s="15">
        <v>438482.0</v>
      </c>
      <c r="C1770" s="15" t="s">
        <v>8417</v>
      </c>
      <c r="D1770" s="15">
        <v>19763.0</v>
      </c>
      <c r="E1770" s="15" t="s">
        <v>1557</v>
      </c>
      <c r="F1770" s="15" t="s">
        <v>1611</v>
      </c>
      <c r="G1770" s="7">
        <v>46.214</v>
      </c>
      <c r="H1770" s="15">
        <v>55.0</v>
      </c>
      <c r="I1770" s="15" t="s">
        <v>1586</v>
      </c>
      <c r="J1770" s="15" t="s">
        <v>8418</v>
      </c>
      <c r="K1770" s="15">
        <v>61.0</v>
      </c>
      <c r="L1770" s="15">
        <v>61.0</v>
      </c>
      <c r="M1770" s="40">
        <v>39200.0</v>
      </c>
      <c r="N1770" s="40">
        <v>39920.0</v>
      </c>
      <c r="O1770" s="15" t="s">
        <v>1554</v>
      </c>
      <c r="Q1770" s="7"/>
    </row>
    <row r="1771">
      <c r="A1771" s="39" t="s">
        <v>8419</v>
      </c>
      <c r="B1771" s="15">
        <v>440266.0</v>
      </c>
      <c r="C1771" s="15" t="s">
        <v>8420</v>
      </c>
      <c r="D1771" s="15">
        <v>19765.0</v>
      </c>
      <c r="E1771" s="15" t="s">
        <v>1557</v>
      </c>
      <c r="F1771" s="15" t="s">
        <v>2004</v>
      </c>
      <c r="G1771" s="7">
        <v>5.229</v>
      </c>
      <c r="H1771" s="15" t="s">
        <v>2197</v>
      </c>
      <c r="I1771" s="15" t="s">
        <v>1567</v>
      </c>
      <c r="J1771" s="15" t="s">
        <v>8421</v>
      </c>
      <c r="K1771" s="15">
        <v>5.0</v>
      </c>
      <c r="L1771" s="15">
        <v>5.0</v>
      </c>
      <c r="M1771" s="40">
        <v>39209.0</v>
      </c>
      <c r="N1771" s="40">
        <v>40263.0</v>
      </c>
      <c r="O1771" s="15" t="s">
        <v>1554</v>
      </c>
      <c r="Q1771" s="7"/>
    </row>
    <row r="1772">
      <c r="A1772" s="39" t="s">
        <v>8423</v>
      </c>
      <c r="B1772" s="15">
        <v>376758.0</v>
      </c>
      <c r="C1772" s="15" t="s">
        <v>8424</v>
      </c>
      <c r="D1772" s="15">
        <v>19767.0</v>
      </c>
      <c r="E1772" s="15" t="s">
        <v>1557</v>
      </c>
      <c r="F1772" s="15" t="s">
        <v>1833</v>
      </c>
      <c r="G1772" s="7">
        <v>29.739</v>
      </c>
      <c r="H1772" s="15">
        <v>54.0</v>
      </c>
      <c r="I1772" s="15" t="s">
        <v>1586</v>
      </c>
      <c r="J1772" s="15" t="s">
        <v>8425</v>
      </c>
      <c r="K1772" s="15">
        <v>48.0</v>
      </c>
      <c r="L1772" s="15">
        <v>48.0</v>
      </c>
      <c r="M1772" s="40">
        <v>39173.0</v>
      </c>
      <c r="N1772" s="41">
        <v>39407.0</v>
      </c>
      <c r="O1772" s="15" t="s">
        <v>1554</v>
      </c>
      <c r="Q1772" s="7"/>
    </row>
    <row r="1773">
      <c r="A1773" s="39" t="s">
        <v>8426</v>
      </c>
      <c r="B1773" s="15">
        <v>393598.0</v>
      </c>
      <c r="C1773" s="15" t="s">
        <v>8427</v>
      </c>
      <c r="D1773" s="15">
        <v>19769.0</v>
      </c>
      <c r="E1773" s="15" t="s">
        <v>1557</v>
      </c>
      <c r="F1773" s="15" t="s">
        <v>1767</v>
      </c>
      <c r="G1773" s="7">
        <v>33.985</v>
      </c>
      <c r="H1773" s="15" t="s">
        <v>3086</v>
      </c>
      <c r="I1773" s="15" t="s">
        <v>1586</v>
      </c>
      <c r="J1773" s="15" t="s">
        <v>8428</v>
      </c>
      <c r="K1773" s="15">
        <v>45.0</v>
      </c>
      <c r="L1773" s="15">
        <v>45.0</v>
      </c>
      <c r="M1773" s="40">
        <v>39233.0</v>
      </c>
      <c r="N1773" s="40">
        <v>40263.0</v>
      </c>
      <c r="O1773" s="15" t="s">
        <v>1554</v>
      </c>
      <c r="Q1773" s="7"/>
    </row>
    <row r="1774">
      <c r="A1774" s="39" t="s">
        <v>8430</v>
      </c>
      <c r="B1774" s="15">
        <v>470314.0</v>
      </c>
      <c r="C1774" s="15" t="s">
        <v>8431</v>
      </c>
      <c r="D1774" s="15">
        <v>19771.0</v>
      </c>
      <c r="E1774" s="15" t="s">
        <v>1557</v>
      </c>
      <c r="F1774" s="15" t="s">
        <v>1833</v>
      </c>
      <c r="G1774" s="7">
        <v>44.52</v>
      </c>
      <c r="H1774" s="15" t="s">
        <v>5179</v>
      </c>
      <c r="I1774" s="15" t="s">
        <v>1586</v>
      </c>
      <c r="J1774" s="15" t="s">
        <v>8432</v>
      </c>
      <c r="K1774" s="15">
        <v>58.0</v>
      </c>
      <c r="L1774" s="15">
        <v>58.0</v>
      </c>
      <c r="M1774" s="40">
        <v>39209.0</v>
      </c>
      <c r="N1774" s="40">
        <v>39920.0</v>
      </c>
      <c r="O1774" s="15" t="s">
        <v>1554</v>
      </c>
      <c r="Q1774" s="7"/>
    </row>
    <row r="1775">
      <c r="A1775" s="39" t="s">
        <v>8433</v>
      </c>
      <c r="B1775" s="15">
        <v>439491.0</v>
      </c>
      <c r="C1775" s="15" t="s">
        <v>8434</v>
      </c>
      <c r="D1775" s="15">
        <v>19773.0</v>
      </c>
      <c r="E1775" s="15" t="s">
        <v>1548</v>
      </c>
      <c r="F1775" s="15" t="s">
        <v>1578</v>
      </c>
      <c r="G1775" s="7">
        <v>11.319</v>
      </c>
      <c r="H1775" s="15" t="s">
        <v>2648</v>
      </c>
      <c r="I1775" s="15" t="s">
        <v>1560</v>
      </c>
      <c r="J1775" s="15" t="s">
        <v>8435</v>
      </c>
      <c r="K1775" s="15">
        <v>4.0</v>
      </c>
      <c r="L1775" s="15">
        <v>4.0</v>
      </c>
      <c r="M1775" s="40">
        <v>39209.0</v>
      </c>
      <c r="N1775" s="40">
        <v>39314.0</v>
      </c>
      <c r="O1775" s="15" t="s">
        <v>1554</v>
      </c>
      <c r="Q1775" s="7"/>
    </row>
    <row r="1776">
      <c r="A1776" s="39" t="s">
        <v>8436</v>
      </c>
      <c r="B1776" s="15">
        <v>245685.0</v>
      </c>
      <c r="C1776" s="15" t="s">
        <v>8437</v>
      </c>
      <c r="D1776" s="15">
        <v>19775.0</v>
      </c>
      <c r="E1776" s="15" t="s">
        <v>1557</v>
      </c>
      <c r="F1776" s="15" t="s">
        <v>1833</v>
      </c>
      <c r="G1776" s="7">
        <v>49.902</v>
      </c>
      <c r="H1776" s="15" t="s">
        <v>2005</v>
      </c>
      <c r="I1776" s="15" t="s">
        <v>1586</v>
      </c>
      <c r="J1776" s="15" t="s">
        <v>8438</v>
      </c>
      <c r="K1776" s="15">
        <v>87.0</v>
      </c>
      <c r="L1776" s="15">
        <v>87.0</v>
      </c>
      <c r="M1776" s="40">
        <v>39232.0</v>
      </c>
      <c r="N1776" s="41">
        <v>39792.0</v>
      </c>
      <c r="O1776" s="15" t="s">
        <v>1554</v>
      </c>
      <c r="Q1776" s="7"/>
    </row>
    <row r="1777">
      <c r="A1777" s="39" t="s">
        <v>8440</v>
      </c>
      <c r="B1777" s="15">
        <v>300411.0</v>
      </c>
      <c r="C1777" s="15" t="s">
        <v>8441</v>
      </c>
      <c r="D1777" s="15">
        <v>19777.0</v>
      </c>
      <c r="E1777" s="15" t="s">
        <v>1808</v>
      </c>
      <c r="F1777" s="15" t="s">
        <v>1809</v>
      </c>
      <c r="G1777" s="7">
        <v>2.74</v>
      </c>
      <c r="H1777" s="15" t="s">
        <v>3653</v>
      </c>
      <c r="I1777" s="15" t="s">
        <v>1628</v>
      </c>
      <c r="J1777" s="15" t="s">
        <v>8442</v>
      </c>
      <c r="K1777" s="15">
        <v>6.0</v>
      </c>
      <c r="L1777" s="15">
        <v>6.0</v>
      </c>
      <c r="M1777" s="40">
        <v>39203.0</v>
      </c>
      <c r="N1777" s="40">
        <v>40206.0</v>
      </c>
      <c r="O1777" s="15" t="s">
        <v>1554</v>
      </c>
      <c r="Q1777" s="7"/>
    </row>
    <row r="1778">
      <c r="A1778" s="39" t="s">
        <v>8443</v>
      </c>
      <c r="B1778" s="15">
        <v>390439.0</v>
      </c>
      <c r="C1778" s="15" t="s">
        <v>8444</v>
      </c>
      <c r="D1778" s="15">
        <v>19779.0</v>
      </c>
      <c r="E1778" s="15" t="s">
        <v>1808</v>
      </c>
      <c r="F1778" s="15" t="s">
        <v>1809</v>
      </c>
      <c r="G1778" s="7">
        <v>2.761</v>
      </c>
      <c r="H1778" s="15" t="s">
        <v>2023</v>
      </c>
      <c r="I1778" s="15" t="s">
        <v>1628</v>
      </c>
      <c r="J1778" s="15" t="s">
        <v>8445</v>
      </c>
      <c r="K1778" s="15">
        <v>6.0</v>
      </c>
      <c r="L1778" s="15">
        <v>6.0</v>
      </c>
      <c r="M1778" s="40">
        <v>39203.0</v>
      </c>
      <c r="N1778" s="40">
        <v>40206.0</v>
      </c>
      <c r="O1778" s="15" t="s">
        <v>1554</v>
      </c>
      <c r="Q1778" s="7"/>
    </row>
    <row r="1779">
      <c r="A1779" s="39" t="s">
        <v>8446</v>
      </c>
      <c r="B1779" s="15">
        <v>390440.0</v>
      </c>
      <c r="C1779" s="15" t="s">
        <v>8447</v>
      </c>
      <c r="D1779" s="15">
        <v>19781.0</v>
      </c>
      <c r="E1779" s="15" t="s">
        <v>1808</v>
      </c>
      <c r="F1779" s="15" t="s">
        <v>1809</v>
      </c>
      <c r="G1779" s="7">
        <v>2.757</v>
      </c>
      <c r="H1779" s="15" t="s">
        <v>1813</v>
      </c>
      <c r="I1779" s="15" t="s">
        <v>1628</v>
      </c>
      <c r="J1779" s="15" t="s">
        <v>8449</v>
      </c>
      <c r="K1779" s="15">
        <v>6.0</v>
      </c>
      <c r="L1779" s="15">
        <v>6.0</v>
      </c>
      <c r="M1779" s="40">
        <v>39203.0</v>
      </c>
      <c r="N1779" s="40">
        <v>40206.0</v>
      </c>
      <c r="O1779" s="15" t="s">
        <v>1554</v>
      </c>
      <c r="Q1779" s="7"/>
    </row>
    <row r="1780">
      <c r="A1780" s="39" t="s">
        <v>8450</v>
      </c>
      <c r="B1780" s="15">
        <v>390441.0</v>
      </c>
      <c r="C1780" s="15" t="s">
        <v>8451</v>
      </c>
      <c r="D1780" s="15">
        <v>19783.0</v>
      </c>
      <c r="E1780" s="15" t="s">
        <v>1808</v>
      </c>
      <c r="F1780" s="15" t="s">
        <v>1809</v>
      </c>
      <c r="G1780" s="7">
        <v>2.753</v>
      </c>
      <c r="H1780" s="15" t="s">
        <v>3407</v>
      </c>
      <c r="I1780" s="15" t="s">
        <v>1628</v>
      </c>
      <c r="J1780" s="15" t="s">
        <v>8452</v>
      </c>
      <c r="K1780" s="15">
        <v>6.0</v>
      </c>
      <c r="L1780" s="15">
        <v>6.0</v>
      </c>
      <c r="M1780" s="40">
        <v>39203.0</v>
      </c>
      <c r="N1780" s="40">
        <v>40206.0</v>
      </c>
      <c r="O1780" s="15" t="s">
        <v>1554</v>
      </c>
      <c r="Q1780" s="7"/>
    </row>
    <row r="1781">
      <c r="A1781" s="39" t="s">
        <v>8453</v>
      </c>
      <c r="B1781" s="15">
        <v>390442.0</v>
      </c>
      <c r="C1781" s="15" t="s">
        <v>8454</v>
      </c>
      <c r="D1781" s="15">
        <v>19785.0</v>
      </c>
      <c r="E1781" s="15" t="s">
        <v>1808</v>
      </c>
      <c r="F1781" s="15" t="s">
        <v>1809</v>
      </c>
      <c r="G1781" s="7">
        <v>2.745</v>
      </c>
      <c r="H1781" s="15" t="s">
        <v>2023</v>
      </c>
      <c r="I1781" s="15" t="s">
        <v>1628</v>
      </c>
      <c r="J1781" s="15" t="s">
        <v>8455</v>
      </c>
      <c r="K1781" s="15">
        <v>6.0</v>
      </c>
      <c r="L1781" s="15">
        <v>6.0</v>
      </c>
      <c r="M1781" s="40">
        <v>39203.0</v>
      </c>
      <c r="N1781" s="40">
        <v>40206.0</v>
      </c>
      <c r="O1781" s="15" t="s">
        <v>1554</v>
      </c>
      <c r="Q1781" s="7"/>
    </row>
    <row r="1782">
      <c r="A1782" s="39" t="s">
        <v>8457</v>
      </c>
      <c r="B1782" s="15">
        <v>390443.0</v>
      </c>
      <c r="C1782" s="15" t="s">
        <v>8458</v>
      </c>
      <c r="D1782" s="15">
        <v>19787.0</v>
      </c>
      <c r="E1782" s="15" t="s">
        <v>1808</v>
      </c>
      <c r="F1782" s="15" t="s">
        <v>1809</v>
      </c>
      <c r="G1782" s="7">
        <v>2.751</v>
      </c>
      <c r="H1782" s="15" t="s">
        <v>1813</v>
      </c>
      <c r="I1782" s="15" t="s">
        <v>1628</v>
      </c>
      <c r="J1782" s="15" t="s">
        <v>8459</v>
      </c>
      <c r="K1782" s="15">
        <v>6.0</v>
      </c>
      <c r="L1782" s="15">
        <v>6.0</v>
      </c>
      <c r="M1782" s="40">
        <v>39203.0</v>
      </c>
      <c r="N1782" s="40">
        <v>40206.0</v>
      </c>
      <c r="O1782" s="15" t="s">
        <v>1554</v>
      </c>
      <c r="Q1782" s="7"/>
    </row>
    <row r="1783">
      <c r="A1783" s="39" t="s">
        <v>8460</v>
      </c>
      <c r="B1783" s="15">
        <v>447909.0</v>
      </c>
      <c r="C1783" s="15" t="s">
        <v>8461</v>
      </c>
      <c r="D1783" s="15">
        <v>19797.0</v>
      </c>
      <c r="E1783" s="15" t="s">
        <v>4407</v>
      </c>
      <c r="F1783" s="15" t="s">
        <v>1578</v>
      </c>
      <c r="G1783" s="7">
        <v>40.863</v>
      </c>
      <c r="H1783" s="15" t="s">
        <v>3097</v>
      </c>
      <c r="I1783" s="15" t="s">
        <v>1586</v>
      </c>
      <c r="J1783" s="15" t="s">
        <v>8462</v>
      </c>
      <c r="K1783" s="15">
        <v>71.0</v>
      </c>
      <c r="L1783" s="15">
        <v>71.0</v>
      </c>
      <c r="M1783" s="40">
        <v>39234.0</v>
      </c>
      <c r="N1783" s="40">
        <v>39682.0</v>
      </c>
      <c r="O1783" s="15" t="s">
        <v>1554</v>
      </c>
      <c r="Q1783" s="7"/>
    </row>
    <row r="1784">
      <c r="A1784" s="39" t="s">
        <v>8463</v>
      </c>
      <c r="B1784" s="15">
        <v>409287.0</v>
      </c>
      <c r="C1784" s="15" t="s">
        <v>8465</v>
      </c>
      <c r="D1784" s="15">
        <v>19799.0</v>
      </c>
      <c r="E1784" s="15" t="s">
        <v>1808</v>
      </c>
      <c r="F1784" s="15" t="s">
        <v>1809</v>
      </c>
      <c r="G1784" s="7">
        <v>2.752</v>
      </c>
      <c r="H1784" s="15" t="s">
        <v>2049</v>
      </c>
      <c r="I1784" s="15" t="s">
        <v>1628</v>
      </c>
      <c r="J1784" s="15" t="s">
        <v>8466</v>
      </c>
      <c r="K1784" s="15">
        <v>7.0</v>
      </c>
      <c r="L1784" s="15">
        <v>7.0</v>
      </c>
      <c r="M1784" s="40">
        <v>39202.0</v>
      </c>
      <c r="N1784" s="40">
        <v>40744.0</v>
      </c>
      <c r="O1784" s="15" t="s">
        <v>1554</v>
      </c>
      <c r="Q1784" s="7"/>
    </row>
    <row r="1785">
      <c r="A1785" s="39" t="s">
        <v>8467</v>
      </c>
      <c r="B1785" s="15">
        <v>440250.0</v>
      </c>
      <c r="C1785" s="15" t="s">
        <v>8468</v>
      </c>
      <c r="D1785" s="15">
        <v>19801.0</v>
      </c>
      <c r="E1785" s="15" t="s">
        <v>1557</v>
      </c>
      <c r="F1785" s="15" t="s">
        <v>1611</v>
      </c>
      <c r="G1785" s="7">
        <v>43.249</v>
      </c>
      <c r="H1785" s="15" t="s">
        <v>5934</v>
      </c>
      <c r="I1785" s="15" t="s">
        <v>1586</v>
      </c>
      <c r="J1785" s="15" t="s">
        <v>8469</v>
      </c>
      <c r="K1785" s="15">
        <v>41.0</v>
      </c>
      <c r="L1785" s="15">
        <v>41.0</v>
      </c>
      <c r="M1785" s="40">
        <v>39210.0</v>
      </c>
      <c r="N1785" s="40">
        <v>40708.0</v>
      </c>
      <c r="O1785" s="15" t="s">
        <v>1554</v>
      </c>
      <c r="Q1785" s="7"/>
    </row>
    <row r="1786">
      <c r="A1786" s="39" t="s">
        <v>8470</v>
      </c>
      <c r="B1786" s="15">
        <v>12348.0</v>
      </c>
      <c r="C1786" s="15" t="s">
        <v>8471</v>
      </c>
      <c r="D1786" s="15">
        <v>19803.0</v>
      </c>
      <c r="E1786" s="15" t="s">
        <v>1557</v>
      </c>
      <c r="F1786" s="15" t="s">
        <v>1833</v>
      </c>
      <c r="G1786" s="7">
        <v>34.659</v>
      </c>
      <c r="H1786" s="15" t="s">
        <v>2548</v>
      </c>
      <c r="I1786" s="15" t="s">
        <v>1586</v>
      </c>
      <c r="J1786" s="15" t="s">
        <v>8472</v>
      </c>
      <c r="K1786" s="15">
        <v>51.0</v>
      </c>
      <c r="L1786" s="15">
        <v>51.0</v>
      </c>
      <c r="M1786" s="40">
        <v>39172.0</v>
      </c>
      <c r="N1786" s="40">
        <v>40248.0</v>
      </c>
      <c r="O1786" s="15" t="s">
        <v>1554</v>
      </c>
      <c r="Q1786" s="7"/>
    </row>
    <row r="1787">
      <c r="A1787" s="39" t="s">
        <v>8474</v>
      </c>
      <c r="B1787" s="15">
        <v>447597.0</v>
      </c>
      <c r="C1787" s="15" t="s">
        <v>8475</v>
      </c>
      <c r="D1787" s="15">
        <v>19815.0</v>
      </c>
      <c r="E1787" s="15" t="s">
        <v>2014</v>
      </c>
      <c r="F1787" s="15" t="s">
        <v>1578</v>
      </c>
      <c r="G1787" s="7">
        <v>1.372</v>
      </c>
      <c r="H1787" s="15" t="s">
        <v>1859</v>
      </c>
      <c r="I1787" s="15" t="s">
        <v>1628</v>
      </c>
      <c r="J1787" s="15" t="s">
        <v>8476</v>
      </c>
      <c r="K1787" s="15">
        <v>1.0</v>
      </c>
      <c r="L1787" s="15">
        <v>1.0</v>
      </c>
      <c r="M1787" s="40">
        <v>39203.0</v>
      </c>
      <c r="N1787" s="41">
        <v>39437.0</v>
      </c>
      <c r="O1787" s="15" t="s">
        <v>1554</v>
      </c>
      <c r="Q1787" s="7"/>
    </row>
    <row r="1788">
      <c r="A1788" s="39" t="s">
        <v>8477</v>
      </c>
      <c r="B1788" s="15">
        <v>447598.0</v>
      </c>
      <c r="C1788" s="15" t="s">
        <v>8478</v>
      </c>
      <c r="D1788" s="15">
        <v>19817.0</v>
      </c>
      <c r="E1788" s="15" t="s">
        <v>2014</v>
      </c>
      <c r="F1788" s="15" t="s">
        <v>1578</v>
      </c>
      <c r="G1788" s="7">
        <v>1.378</v>
      </c>
      <c r="H1788" s="15" t="s">
        <v>1613</v>
      </c>
      <c r="I1788" s="15" t="s">
        <v>1628</v>
      </c>
      <c r="J1788" s="15" t="s">
        <v>8479</v>
      </c>
      <c r="K1788" s="15">
        <v>1.0</v>
      </c>
      <c r="L1788" s="15">
        <v>1.0</v>
      </c>
      <c r="M1788" s="40">
        <v>39203.0</v>
      </c>
      <c r="N1788" s="41">
        <v>40533.0</v>
      </c>
      <c r="O1788" s="15" t="s">
        <v>1554</v>
      </c>
      <c r="Q1788" s="7"/>
    </row>
    <row r="1789">
      <c r="A1789" s="39" t="s">
        <v>8480</v>
      </c>
      <c r="B1789" s="15">
        <v>447600.0</v>
      </c>
      <c r="C1789" s="15" t="s">
        <v>8481</v>
      </c>
      <c r="D1789" s="15">
        <v>19821.0</v>
      </c>
      <c r="E1789" s="15" t="s">
        <v>2014</v>
      </c>
      <c r="F1789" s="15" t="s">
        <v>2018</v>
      </c>
      <c r="G1789" s="7">
        <v>1.358</v>
      </c>
      <c r="H1789" s="15" t="s">
        <v>2064</v>
      </c>
      <c r="I1789" s="15" t="s">
        <v>1628</v>
      </c>
      <c r="J1789" s="15" t="s">
        <v>8483</v>
      </c>
      <c r="K1789" s="15">
        <v>1.0</v>
      </c>
      <c r="L1789" s="15">
        <v>1.0</v>
      </c>
      <c r="M1789" s="40">
        <v>39203.0</v>
      </c>
      <c r="N1789" s="41">
        <v>39437.0</v>
      </c>
      <c r="O1789" s="15" t="s">
        <v>1554</v>
      </c>
      <c r="Q1789" s="7"/>
    </row>
    <row r="1790">
      <c r="A1790" s="39" t="s">
        <v>8484</v>
      </c>
      <c r="B1790" s="15">
        <v>447602.0</v>
      </c>
      <c r="C1790" s="15" t="s">
        <v>8485</v>
      </c>
      <c r="D1790" s="15">
        <v>19825.0</v>
      </c>
      <c r="E1790" s="15" t="s">
        <v>2014</v>
      </c>
      <c r="F1790" s="15" t="s">
        <v>2018</v>
      </c>
      <c r="G1790" s="7">
        <v>1.34</v>
      </c>
      <c r="H1790" s="15" t="s">
        <v>3097</v>
      </c>
      <c r="I1790" s="15" t="s">
        <v>1628</v>
      </c>
      <c r="J1790" s="15" t="s">
        <v>8486</v>
      </c>
      <c r="K1790" s="15">
        <v>1.0</v>
      </c>
      <c r="L1790" s="15">
        <v>1.0</v>
      </c>
      <c r="M1790" s="40">
        <v>39203.0</v>
      </c>
      <c r="N1790" s="41">
        <v>39437.0</v>
      </c>
      <c r="O1790" s="15" t="s">
        <v>1554</v>
      </c>
      <c r="Q1790" s="7"/>
    </row>
    <row r="1791">
      <c r="A1791" s="39" t="s">
        <v>8487</v>
      </c>
      <c r="B1791" s="15">
        <v>447603.0</v>
      </c>
      <c r="C1791" s="15" t="s">
        <v>8488</v>
      </c>
      <c r="D1791" s="15">
        <v>19827.0</v>
      </c>
      <c r="E1791" s="15" t="s">
        <v>2014</v>
      </c>
      <c r="F1791" s="15" t="s">
        <v>2018</v>
      </c>
      <c r="G1791" s="7">
        <v>1.342</v>
      </c>
      <c r="H1791" s="15" t="s">
        <v>6418</v>
      </c>
      <c r="I1791" s="15" t="s">
        <v>1628</v>
      </c>
      <c r="J1791" s="15" t="s">
        <v>8490</v>
      </c>
      <c r="K1791" s="15">
        <v>1.0</v>
      </c>
      <c r="L1791" s="15">
        <v>1.0</v>
      </c>
      <c r="M1791" s="40">
        <v>39203.0</v>
      </c>
      <c r="N1791" s="41">
        <v>39437.0</v>
      </c>
      <c r="O1791" s="15" t="s">
        <v>1554</v>
      </c>
      <c r="Q1791" s="7"/>
    </row>
    <row r="1792">
      <c r="A1792" s="39" t="s">
        <v>8491</v>
      </c>
      <c r="B1792" s="15">
        <v>447604.0</v>
      </c>
      <c r="C1792" s="15" t="s">
        <v>8492</v>
      </c>
      <c r="D1792" s="15">
        <v>19829.0</v>
      </c>
      <c r="E1792" s="15" t="s">
        <v>2014</v>
      </c>
      <c r="F1792" s="15" t="s">
        <v>2018</v>
      </c>
      <c r="G1792" s="7">
        <v>1.356</v>
      </c>
      <c r="H1792" s="15" t="s">
        <v>2288</v>
      </c>
      <c r="I1792" s="15" t="s">
        <v>1628</v>
      </c>
      <c r="J1792" s="15" t="s">
        <v>8493</v>
      </c>
      <c r="K1792" s="15">
        <v>1.0</v>
      </c>
      <c r="L1792" s="15">
        <v>1.0</v>
      </c>
      <c r="M1792" s="40">
        <v>39203.0</v>
      </c>
      <c r="N1792" s="40">
        <v>39790.0</v>
      </c>
      <c r="O1792" s="15" t="s">
        <v>1554</v>
      </c>
      <c r="Q1792" s="7"/>
    </row>
    <row r="1793">
      <c r="A1793" s="39" t="s">
        <v>8495</v>
      </c>
      <c r="B1793" s="15">
        <v>447605.0</v>
      </c>
      <c r="C1793" s="15" t="s">
        <v>8496</v>
      </c>
      <c r="D1793" s="15">
        <v>19831.0</v>
      </c>
      <c r="E1793" s="15" t="s">
        <v>2014</v>
      </c>
      <c r="F1793" s="15" t="s">
        <v>2018</v>
      </c>
      <c r="G1793" s="7">
        <v>1.346</v>
      </c>
      <c r="H1793" s="15">
        <v>39.0</v>
      </c>
      <c r="I1793" s="15" t="s">
        <v>1628</v>
      </c>
      <c r="J1793" s="15" t="s">
        <v>8497</v>
      </c>
      <c r="K1793" s="15">
        <v>1.0</v>
      </c>
      <c r="L1793" s="15">
        <v>1.0</v>
      </c>
      <c r="M1793" s="40">
        <v>39203.0</v>
      </c>
      <c r="N1793" s="41">
        <v>39437.0</v>
      </c>
      <c r="O1793" s="15" t="s">
        <v>1554</v>
      </c>
      <c r="Q1793" s="7"/>
    </row>
    <row r="1794">
      <c r="A1794" s="39" t="s">
        <v>8498</v>
      </c>
      <c r="B1794" s="15">
        <v>447606.0</v>
      </c>
      <c r="C1794" s="15" t="s">
        <v>8499</v>
      </c>
      <c r="D1794" s="15">
        <v>19833.0</v>
      </c>
      <c r="E1794" s="15" t="s">
        <v>2014</v>
      </c>
      <c r="F1794" s="15" t="s">
        <v>2018</v>
      </c>
      <c r="G1794" s="7">
        <v>1.344</v>
      </c>
      <c r="H1794" s="15" t="s">
        <v>3809</v>
      </c>
      <c r="I1794" s="15" t="s">
        <v>1628</v>
      </c>
      <c r="J1794" s="15" t="s">
        <v>8500</v>
      </c>
      <c r="K1794" s="15">
        <v>1.0</v>
      </c>
      <c r="L1794" s="15">
        <v>1.0</v>
      </c>
      <c r="M1794" s="40">
        <v>39203.0</v>
      </c>
      <c r="N1794" s="41">
        <v>39437.0</v>
      </c>
      <c r="O1794" s="15" t="s">
        <v>1554</v>
      </c>
      <c r="Q1794" s="7"/>
    </row>
    <row r="1795">
      <c r="A1795" s="39" t="s">
        <v>8501</v>
      </c>
      <c r="B1795" s="15">
        <v>417193.0</v>
      </c>
      <c r="C1795" s="15" t="s">
        <v>8502</v>
      </c>
      <c r="D1795" s="15">
        <v>19863.0</v>
      </c>
      <c r="E1795" s="15" t="s">
        <v>2014</v>
      </c>
      <c r="F1795" s="15" t="s">
        <v>2018</v>
      </c>
      <c r="G1795" s="7">
        <v>1.346</v>
      </c>
      <c r="H1795" s="15" t="s">
        <v>2396</v>
      </c>
      <c r="I1795" s="15" t="s">
        <v>1628</v>
      </c>
      <c r="J1795" s="15" t="s">
        <v>8503</v>
      </c>
      <c r="K1795" s="15">
        <v>1.0</v>
      </c>
      <c r="L1795" s="15">
        <v>1.0</v>
      </c>
      <c r="M1795" s="40">
        <v>39246.0</v>
      </c>
      <c r="N1795" s="40">
        <v>42045.0</v>
      </c>
      <c r="O1795" s="15" t="s">
        <v>1554</v>
      </c>
      <c r="Q1795" s="7"/>
    </row>
    <row r="1796">
      <c r="A1796" s="39" t="s">
        <v>8504</v>
      </c>
      <c r="B1796" s="15">
        <v>446529.0</v>
      </c>
      <c r="C1796" s="15" t="s">
        <v>8505</v>
      </c>
      <c r="D1796" s="15">
        <v>19961.0</v>
      </c>
      <c r="E1796" s="15" t="s">
        <v>1557</v>
      </c>
      <c r="F1796" s="15" t="s">
        <v>1833</v>
      </c>
      <c r="G1796" s="7">
        <v>46.365</v>
      </c>
      <c r="H1796" s="15" t="s">
        <v>6951</v>
      </c>
      <c r="I1796" s="15" t="s">
        <v>1586</v>
      </c>
      <c r="J1796" s="15" t="s">
        <v>8507</v>
      </c>
      <c r="K1796" s="15">
        <v>77.0</v>
      </c>
      <c r="L1796" s="15">
        <v>77.0</v>
      </c>
      <c r="M1796" s="40">
        <v>39250.0</v>
      </c>
      <c r="N1796" s="41">
        <v>39792.0</v>
      </c>
      <c r="O1796" s="15" t="s">
        <v>1554</v>
      </c>
      <c r="Q1796" s="7"/>
    </row>
    <row r="1797">
      <c r="A1797" s="39" t="s">
        <v>8508</v>
      </c>
      <c r="B1797" s="15">
        <v>446807.0</v>
      </c>
      <c r="C1797" s="15" t="s">
        <v>8509</v>
      </c>
      <c r="D1797" s="15">
        <v>19963.0</v>
      </c>
      <c r="E1797" s="15" t="s">
        <v>1557</v>
      </c>
      <c r="F1797" s="15" t="s">
        <v>1767</v>
      </c>
      <c r="G1797" s="7">
        <v>47.382</v>
      </c>
      <c r="H1797" s="15" t="s">
        <v>3542</v>
      </c>
      <c r="I1797" s="15" t="s">
        <v>1586</v>
      </c>
      <c r="J1797" s="15" t="s">
        <v>8510</v>
      </c>
      <c r="K1797" s="15">
        <v>70.0</v>
      </c>
      <c r="L1797" s="15">
        <v>70.0</v>
      </c>
      <c r="M1797" s="40">
        <v>39250.0</v>
      </c>
      <c r="N1797" s="40">
        <v>39920.0</v>
      </c>
      <c r="O1797" s="15" t="s">
        <v>1554</v>
      </c>
      <c r="Q1797" s="7"/>
    </row>
    <row r="1798">
      <c r="A1798" s="39" t="s">
        <v>8511</v>
      </c>
      <c r="B1798" s="15">
        <v>152177.0</v>
      </c>
      <c r="C1798" s="15" t="s">
        <v>8512</v>
      </c>
      <c r="D1798" s="15">
        <v>19969.0</v>
      </c>
      <c r="E1798" s="15" t="s">
        <v>1548</v>
      </c>
      <c r="F1798" s="15" t="s">
        <v>1890</v>
      </c>
      <c r="G1798" s="7">
        <v>12.414</v>
      </c>
      <c r="H1798" s="15" t="s">
        <v>8514</v>
      </c>
      <c r="I1798" s="15" t="s">
        <v>1628</v>
      </c>
      <c r="J1798" s="15" t="s">
        <v>8515</v>
      </c>
      <c r="K1798" s="15">
        <v>6.0</v>
      </c>
      <c r="L1798" s="15">
        <v>6.0</v>
      </c>
      <c r="M1798" s="40">
        <v>38835.0</v>
      </c>
      <c r="N1798" s="40">
        <v>41716.0</v>
      </c>
      <c r="O1798" s="15" t="s">
        <v>1554</v>
      </c>
      <c r="Q1798" s="7"/>
    </row>
    <row r="1799">
      <c r="A1799" s="39" t="s">
        <v>8516</v>
      </c>
      <c r="B1799" s="15">
        <v>71186.0</v>
      </c>
      <c r="C1799" s="15" t="s">
        <v>8517</v>
      </c>
      <c r="D1799" s="15">
        <v>19971.0</v>
      </c>
      <c r="E1799" s="15" t="s">
        <v>1808</v>
      </c>
      <c r="F1799" s="15" t="s">
        <v>1809</v>
      </c>
      <c r="G1799" s="7">
        <v>5.173</v>
      </c>
      <c r="H1799" s="15" t="s">
        <v>8518</v>
      </c>
      <c r="I1799" s="15" t="s">
        <v>1628</v>
      </c>
      <c r="J1799" s="15" t="s">
        <v>8519</v>
      </c>
      <c r="K1799" s="15">
        <v>7.0</v>
      </c>
      <c r="L1799" s="15">
        <v>7.0</v>
      </c>
      <c r="M1799" s="40">
        <v>38254.0</v>
      </c>
      <c r="N1799" s="40">
        <v>40206.0</v>
      </c>
      <c r="O1799" s="15" t="s">
        <v>1554</v>
      </c>
      <c r="Q1799" s="7"/>
    </row>
    <row r="1800">
      <c r="A1800" s="39" t="s">
        <v>8520</v>
      </c>
      <c r="B1800" s="15">
        <v>158463.0</v>
      </c>
      <c r="C1800" s="15" t="s">
        <v>8521</v>
      </c>
      <c r="D1800" s="15">
        <v>19973.0</v>
      </c>
      <c r="E1800" s="15" t="s">
        <v>1808</v>
      </c>
      <c r="F1800" s="15" t="s">
        <v>1809</v>
      </c>
      <c r="G1800" s="7">
        <v>5.164</v>
      </c>
      <c r="H1800" s="15" t="s">
        <v>8522</v>
      </c>
      <c r="I1800" s="15" t="s">
        <v>1628</v>
      </c>
      <c r="J1800" s="15" t="s">
        <v>8524</v>
      </c>
      <c r="K1800" s="15">
        <v>7.0</v>
      </c>
      <c r="L1800" s="15">
        <v>7.0</v>
      </c>
      <c r="M1800" s="41">
        <v>38635.0</v>
      </c>
      <c r="N1800" s="40">
        <v>39542.0</v>
      </c>
      <c r="O1800" s="15" t="s">
        <v>1554</v>
      </c>
      <c r="Q1800" s="7"/>
    </row>
    <row r="1801">
      <c r="A1801" s="39" t="s">
        <v>8525</v>
      </c>
      <c r="B1801" s="15">
        <v>390436.0</v>
      </c>
      <c r="C1801" s="15" t="s">
        <v>8526</v>
      </c>
      <c r="D1801" s="15">
        <v>20051.0</v>
      </c>
      <c r="E1801" s="15" t="s">
        <v>1808</v>
      </c>
      <c r="F1801" s="15" t="s">
        <v>1809</v>
      </c>
      <c r="G1801" s="7">
        <v>5.326</v>
      </c>
      <c r="H1801" s="15" t="s">
        <v>8527</v>
      </c>
      <c r="I1801" s="15" t="s">
        <v>1628</v>
      </c>
      <c r="J1801" s="15" t="s">
        <v>8528</v>
      </c>
      <c r="K1801" s="15">
        <v>7.0</v>
      </c>
      <c r="L1801" s="15">
        <v>7.0</v>
      </c>
      <c r="M1801" s="40">
        <v>39203.0</v>
      </c>
      <c r="N1801" s="41">
        <v>42297.0</v>
      </c>
      <c r="O1801" s="15" t="s">
        <v>1554</v>
      </c>
      <c r="Q1801" s="7"/>
    </row>
    <row r="1802">
      <c r="A1802" s="39" t="s">
        <v>8529</v>
      </c>
      <c r="B1802" s="15">
        <v>390437.0</v>
      </c>
      <c r="C1802" s="15" t="s">
        <v>8530</v>
      </c>
      <c r="D1802" s="15">
        <v>20053.0</v>
      </c>
      <c r="E1802" s="15" t="s">
        <v>1808</v>
      </c>
      <c r="F1802" s="15" t="s">
        <v>1809</v>
      </c>
      <c r="G1802" s="7">
        <v>5.403</v>
      </c>
      <c r="H1802" s="15" t="s">
        <v>8531</v>
      </c>
      <c r="I1802" s="15" t="s">
        <v>1628</v>
      </c>
      <c r="J1802" s="15" t="s">
        <v>8532</v>
      </c>
      <c r="K1802" s="15">
        <v>8.0</v>
      </c>
      <c r="L1802" s="15">
        <v>8.0</v>
      </c>
      <c r="M1802" s="40">
        <v>39203.0</v>
      </c>
      <c r="N1802" s="41">
        <v>42297.0</v>
      </c>
      <c r="O1802" s="15" t="s">
        <v>1554</v>
      </c>
      <c r="Q1802" s="7"/>
    </row>
    <row r="1803">
      <c r="A1803" s="39" t="s">
        <v>8534</v>
      </c>
      <c r="B1803" s="15">
        <v>53179.0</v>
      </c>
      <c r="C1803" s="15" t="s">
        <v>8535</v>
      </c>
      <c r="D1803" s="15">
        <v>20055.0</v>
      </c>
      <c r="E1803" s="15" t="s">
        <v>1548</v>
      </c>
      <c r="F1803" s="15" t="s">
        <v>4837</v>
      </c>
      <c r="G1803" s="7">
        <v>15.18</v>
      </c>
      <c r="H1803" s="15" t="s">
        <v>2686</v>
      </c>
      <c r="I1803" s="15" t="s">
        <v>1567</v>
      </c>
      <c r="J1803" s="15" t="s">
        <v>8536</v>
      </c>
      <c r="K1803" s="15">
        <v>6.0</v>
      </c>
      <c r="L1803" s="15">
        <v>9.0</v>
      </c>
      <c r="M1803" s="40">
        <v>39262.0</v>
      </c>
      <c r="N1803" s="40">
        <v>39287.0</v>
      </c>
      <c r="O1803" s="15" t="s">
        <v>1554</v>
      </c>
      <c r="Q1803" s="7"/>
    </row>
    <row r="1804">
      <c r="A1804" s="39" t="s">
        <v>8537</v>
      </c>
      <c r="B1804" s="15">
        <v>338473.0</v>
      </c>
      <c r="C1804" s="15" t="s">
        <v>8538</v>
      </c>
      <c r="D1804" s="15">
        <v>20057.0</v>
      </c>
      <c r="E1804" s="15" t="s">
        <v>1557</v>
      </c>
      <c r="F1804" s="15" t="s">
        <v>1611</v>
      </c>
      <c r="G1804" s="7">
        <v>17.171</v>
      </c>
      <c r="H1804" s="15" t="s">
        <v>1772</v>
      </c>
      <c r="I1804" s="15" t="s">
        <v>1586</v>
      </c>
      <c r="J1804" s="15" t="s">
        <v>8540</v>
      </c>
      <c r="K1804" s="15">
        <v>23.0</v>
      </c>
      <c r="L1804" s="15">
        <v>22.0</v>
      </c>
      <c r="M1804" s="40">
        <v>38567.0</v>
      </c>
      <c r="N1804" s="40">
        <v>39920.0</v>
      </c>
      <c r="O1804" s="15" t="s">
        <v>1554</v>
      </c>
      <c r="Q1804" s="7"/>
    </row>
    <row r="1805">
      <c r="A1805" s="39" t="s">
        <v>8541</v>
      </c>
      <c r="B1805" s="15">
        <v>368735.0</v>
      </c>
      <c r="C1805" s="15" t="s">
        <v>8542</v>
      </c>
      <c r="D1805" s="15">
        <v>20059.0</v>
      </c>
      <c r="E1805" s="15" t="s">
        <v>1548</v>
      </c>
      <c r="F1805" s="15" t="s">
        <v>2615</v>
      </c>
      <c r="G1805" s="7">
        <v>6.375</v>
      </c>
      <c r="H1805" s="15" t="s">
        <v>1813</v>
      </c>
      <c r="I1805" s="15" t="s">
        <v>1628</v>
      </c>
      <c r="J1805" s="15" t="s">
        <v>8543</v>
      </c>
      <c r="K1805" s="15">
        <v>5.0</v>
      </c>
      <c r="L1805" s="15">
        <v>5.0</v>
      </c>
      <c r="M1805" s="40">
        <v>39266.0</v>
      </c>
      <c r="N1805" s="40">
        <v>42045.0</v>
      </c>
      <c r="O1805" s="15" t="s">
        <v>1554</v>
      </c>
      <c r="Q1805" s="7"/>
    </row>
    <row r="1806">
      <c r="A1806" s="39" t="s">
        <v>8545</v>
      </c>
      <c r="B1806" s="15">
        <v>693999.0</v>
      </c>
      <c r="C1806" s="15" t="s">
        <v>8546</v>
      </c>
      <c r="D1806" s="15">
        <v>20135.0</v>
      </c>
      <c r="E1806" s="15" t="s">
        <v>1548</v>
      </c>
      <c r="F1806" s="15" t="s">
        <v>1684</v>
      </c>
      <c r="G1806" s="7">
        <v>28.203</v>
      </c>
      <c r="H1806" s="15" t="s">
        <v>2451</v>
      </c>
      <c r="I1806" s="15" t="s">
        <v>1686</v>
      </c>
      <c r="J1806" s="15" t="s">
        <v>8547</v>
      </c>
      <c r="K1806" s="15">
        <v>6.0</v>
      </c>
      <c r="L1806" s="15">
        <v>6.0</v>
      </c>
      <c r="M1806" s="40">
        <v>38917.0</v>
      </c>
      <c r="N1806" s="41">
        <v>41240.0</v>
      </c>
      <c r="O1806" s="15" t="s">
        <v>1554</v>
      </c>
      <c r="Q1806" s="7"/>
    </row>
    <row r="1807">
      <c r="A1807" s="39" t="s">
        <v>8548</v>
      </c>
      <c r="B1807" s="15">
        <v>454128.0</v>
      </c>
      <c r="C1807" s="15" t="s">
        <v>8549</v>
      </c>
      <c r="D1807" s="15">
        <v>20323.0</v>
      </c>
      <c r="E1807" s="15" t="s">
        <v>2014</v>
      </c>
      <c r="F1807" s="15" t="s">
        <v>2018</v>
      </c>
      <c r="G1807" s="7">
        <v>1.346</v>
      </c>
      <c r="H1807" s="15" t="s">
        <v>2824</v>
      </c>
      <c r="I1807" s="15" t="s">
        <v>1628</v>
      </c>
      <c r="J1807" s="15" t="s">
        <v>8550</v>
      </c>
      <c r="K1807" s="15">
        <v>1.0</v>
      </c>
      <c r="L1807" s="15">
        <v>1.0</v>
      </c>
      <c r="M1807" s="40">
        <v>39286.0</v>
      </c>
      <c r="N1807" s="40">
        <v>42457.0</v>
      </c>
      <c r="O1807" s="15" t="s">
        <v>1554</v>
      </c>
      <c r="Q1807" s="7"/>
    </row>
    <row r="1808">
      <c r="A1808" s="39" t="s">
        <v>8551</v>
      </c>
      <c r="B1808" s="15">
        <v>396034.0</v>
      </c>
      <c r="C1808" s="15" t="s">
        <v>8553</v>
      </c>
      <c r="D1808" s="15">
        <v>20397.0</v>
      </c>
      <c r="E1808" s="15" t="s">
        <v>1557</v>
      </c>
      <c r="F1808" s="15" t="s">
        <v>1578</v>
      </c>
      <c r="G1808" s="7">
        <v>35.055</v>
      </c>
      <c r="H1808" s="15" t="s">
        <v>3097</v>
      </c>
      <c r="I1808" s="15" t="s">
        <v>1586</v>
      </c>
      <c r="J1808" s="15" t="s">
        <v>8554</v>
      </c>
      <c r="K1808" s="15">
        <v>54.0</v>
      </c>
      <c r="L1808" s="15">
        <v>54.0</v>
      </c>
      <c r="M1808" s="40">
        <v>39264.0</v>
      </c>
      <c r="N1808" s="40">
        <v>39631.0</v>
      </c>
      <c r="O1808" s="15" t="s">
        <v>1554</v>
      </c>
      <c r="Q1808" s="7"/>
    </row>
    <row r="1809">
      <c r="A1809" s="39" t="s">
        <v>8555</v>
      </c>
      <c r="B1809" s="15">
        <v>45661.0</v>
      </c>
      <c r="C1809" s="15" t="s">
        <v>8556</v>
      </c>
      <c r="D1809" s="15">
        <v>20617.0</v>
      </c>
      <c r="E1809" s="15" t="s">
        <v>1548</v>
      </c>
      <c r="F1809" s="15" t="s">
        <v>1911</v>
      </c>
      <c r="G1809" s="7">
        <v>9.711</v>
      </c>
      <c r="H1809" s="15" t="s">
        <v>2777</v>
      </c>
      <c r="I1809" s="15" t="s">
        <v>1628</v>
      </c>
      <c r="J1809" s="15" t="s">
        <v>8557</v>
      </c>
      <c r="K1809" s="15">
        <v>2.0</v>
      </c>
      <c r="L1809" s="15">
        <v>2.0</v>
      </c>
      <c r="M1809" s="40">
        <v>39263.0</v>
      </c>
      <c r="N1809" s="40">
        <v>42045.0</v>
      </c>
      <c r="O1809" s="15" t="s">
        <v>1554</v>
      </c>
      <c r="Q1809" s="7"/>
    </row>
    <row r="1810">
      <c r="A1810" s="39" t="s">
        <v>8558</v>
      </c>
      <c r="B1810" s="15">
        <v>373398.0</v>
      </c>
      <c r="C1810" s="15" t="s">
        <v>8559</v>
      </c>
      <c r="D1810" s="15">
        <v>20619.0</v>
      </c>
      <c r="E1810" s="15" t="s">
        <v>1548</v>
      </c>
      <c r="F1810" s="15" t="s">
        <v>1911</v>
      </c>
      <c r="G1810" s="7">
        <v>9.804</v>
      </c>
      <c r="H1810" s="15" t="s">
        <v>2777</v>
      </c>
      <c r="I1810" s="15" t="s">
        <v>1628</v>
      </c>
      <c r="J1810" s="15" t="s">
        <v>8560</v>
      </c>
      <c r="K1810" s="15">
        <v>2.0</v>
      </c>
      <c r="L1810" s="15">
        <v>2.0</v>
      </c>
      <c r="M1810" s="40">
        <v>39264.0</v>
      </c>
      <c r="N1810" s="40">
        <v>42045.0</v>
      </c>
      <c r="O1810" s="15" t="s">
        <v>1554</v>
      </c>
      <c r="Q1810" s="7"/>
    </row>
    <row r="1811">
      <c r="A1811" s="39" t="s">
        <v>8561</v>
      </c>
      <c r="B1811" s="15">
        <v>400394.0</v>
      </c>
      <c r="C1811" s="15" t="s">
        <v>8562</v>
      </c>
      <c r="D1811" s="15">
        <v>20621.0</v>
      </c>
      <c r="E1811" s="15" t="s">
        <v>1548</v>
      </c>
      <c r="F1811" s="15" t="s">
        <v>1911</v>
      </c>
      <c r="G1811" s="7">
        <v>9.689</v>
      </c>
      <c r="H1811" s="15">
        <v>41.0</v>
      </c>
      <c r="I1811" s="15" t="s">
        <v>1628</v>
      </c>
      <c r="J1811" s="15" t="s">
        <v>8563</v>
      </c>
      <c r="K1811" s="15">
        <v>2.0</v>
      </c>
      <c r="L1811" s="15">
        <v>2.0</v>
      </c>
      <c r="M1811" s="40">
        <v>39263.0</v>
      </c>
      <c r="N1811" s="40">
        <v>42045.0</v>
      </c>
      <c r="O1811" s="15" t="s">
        <v>1554</v>
      </c>
      <c r="Q1811" s="7"/>
    </row>
    <row r="1812">
      <c r="A1812" s="39" t="s">
        <v>8564</v>
      </c>
      <c r="B1812" s="15">
        <v>400396.0</v>
      </c>
      <c r="C1812" s="15" t="s">
        <v>8565</v>
      </c>
      <c r="D1812" s="15">
        <v>20625.0</v>
      </c>
      <c r="E1812" s="15" t="s">
        <v>1548</v>
      </c>
      <c r="F1812" s="15" t="s">
        <v>1911</v>
      </c>
      <c r="G1812" s="7">
        <v>9.659</v>
      </c>
      <c r="H1812" s="15" t="s">
        <v>3070</v>
      </c>
      <c r="I1812" s="15" t="s">
        <v>1628</v>
      </c>
      <c r="J1812" s="15" t="s">
        <v>8566</v>
      </c>
      <c r="K1812" s="15">
        <v>2.0</v>
      </c>
      <c r="L1812" s="15">
        <v>2.0</v>
      </c>
      <c r="M1812" s="40">
        <v>39263.0</v>
      </c>
      <c r="N1812" s="40">
        <v>42045.0</v>
      </c>
      <c r="O1812" s="15" t="s">
        <v>1554</v>
      </c>
      <c r="Q1812" s="7"/>
    </row>
    <row r="1813">
      <c r="A1813" s="39" t="s">
        <v>8567</v>
      </c>
      <c r="B1813" s="15">
        <v>458639.0</v>
      </c>
      <c r="C1813" s="15" t="s">
        <v>8569</v>
      </c>
      <c r="D1813" s="15">
        <v>20653.0</v>
      </c>
      <c r="E1813" s="15" t="s">
        <v>1557</v>
      </c>
      <c r="F1813" s="15" t="s">
        <v>1767</v>
      </c>
      <c r="G1813" s="7">
        <v>218.948</v>
      </c>
      <c r="H1813" s="15" t="s">
        <v>2049</v>
      </c>
      <c r="I1813" s="15" t="s">
        <v>1586</v>
      </c>
      <c r="J1813" s="15" t="s">
        <v>8570</v>
      </c>
      <c r="K1813" s="15">
        <v>246.0</v>
      </c>
      <c r="L1813" s="15">
        <v>246.0</v>
      </c>
      <c r="M1813" s="40">
        <v>39301.0</v>
      </c>
      <c r="N1813" s="41">
        <v>39436.0</v>
      </c>
      <c r="O1813" s="15" t="s">
        <v>1554</v>
      </c>
      <c r="Q1813" s="7"/>
    </row>
    <row r="1814">
      <c r="A1814" s="39" t="s">
        <v>8571</v>
      </c>
      <c r="B1814" s="15">
        <v>106118.0</v>
      </c>
      <c r="C1814" s="15" t="s">
        <v>8572</v>
      </c>
      <c r="D1814" s="15">
        <v>20657.0</v>
      </c>
      <c r="E1814" s="15" t="s">
        <v>1548</v>
      </c>
      <c r="F1814" s="15" t="s">
        <v>1786</v>
      </c>
      <c r="G1814" s="7">
        <v>8.404</v>
      </c>
      <c r="H1814" s="15" t="s">
        <v>1572</v>
      </c>
      <c r="I1814" s="15" t="s">
        <v>1628</v>
      </c>
      <c r="J1814" s="15" t="s">
        <v>8573</v>
      </c>
      <c r="K1814" s="15">
        <v>6.0</v>
      </c>
      <c r="L1814" s="15">
        <v>6.0</v>
      </c>
      <c r="M1814" s="40">
        <v>39301.0</v>
      </c>
      <c r="N1814" s="40">
        <v>42045.0</v>
      </c>
      <c r="O1814" s="15" t="s">
        <v>1554</v>
      </c>
      <c r="Q1814" s="7"/>
    </row>
    <row r="1815">
      <c r="A1815" s="39" t="s">
        <v>8574</v>
      </c>
      <c r="B1815" s="15">
        <v>445515.0</v>
      </c>
      <c r="C1815" s="15" t="s">
        <v>8575</v>
      </c>
      <c r="D1815" s="15">
        <v>20659.0</v>
      </c>
      <c r="E1815" s="15" t="s">
        <v>4407</v>
      </c>
      <c r="F1815" s="15" t="s">
        <v>1578</v>
      </c>
      <c r="G1815" s="7">
        <v>42.232</v>
      </c>
      <c r="H1815" s="15" t="s">
        <v>2219</v>
      </c>
      <c r="I1815" s="15" t="s">
        <v>1586</v>
      </c>
      <c r="J1815" s="15" t="s">
        <v>8576</v>
      </c>
      <c r="K1815" s="15">
        <v>61.0</v>
      </c>
      <c r="L1815" s="15">
        <v>59.0</v>
      </c>
      <c r="M1815" s="40">
        <v>39307.0</v>
      </c>
      <c r="N1815" s="40">
        <v>43013.0</v>
      </c>
      <c r="O1815" s="15" t="s">
        <v>1554</v>
      </c>
      <c r="Q1815" s="7"/>
    </row>
    <row r="1816">
      <c r="A1816" s="39" t="s">
        <v>8578</v>
      </c>
      <c r="B1816" s="15">
        <v>445516.0</v>
      </c>
      <c r="C1816" s="15" t="s">
        <v>8579</v>
      </c>
      <c r="D1816" s="15">
        <v>20661.0</v>
      </c>
      <c r="E1816" s="15" t="s">
        <v>1557</v>
      </c>
      <c r="F1816" s="15" t="s">
        <v>1833</v>
      </c>
      <c r="G1816" s="7">
        <v>47.785</v>
      </c>
      <c r="H1816" s="15" t="s">
        <v>4396</v>
      </c>
      <c r="I1816" s="15" t="s">
        <v>1586</v>
      </c>
      <c r="J1816" s="15" t="s">
        <v>8580</v>
      </c>
      <c r="K1816" s="15">
        <v>69.0</v>
      </c>
      <c r="L1816" s="15">
        <v>67.0</v>
      </c>
      <c r="M1816" s="40">
        <v>39307.0</v>
      </c>
      <c r="N1816" s="40">
        <v>43013.0</v>
      </c>
      <c r="O1816" s="15" t="s">
        <v>1554</v>
      </c>
      <c r="Q1816" s="7"/>
    </row>
    <row r="1817">
      <c r="A1817" s="39" t="s">
        <v>8581</v>
      </c>
      <c r="B1817" s="15">
        <v>445517.0</v>
      </c>
      <c r="C1817" s="15" t="s">
        <v>8582</v>
      </c>
      <c r="D1817" s="15">
        <v>20663.0</v>
      </c>
      <c r="E1817" s="15" t="s">
        <v>4407</v>
      </c>
      <c r="F1817" s="15" t="s">
        <v>1578</v>
      </c>
      <c r="G1817" s="7">
        <v>42.973</v>
      </c>
      <c r="H1817" s="15" t="s">
        <v>2219</v>
      </c>
      <c r="I1817" s="15" t="s">
        <v>1586</v>
      </c>
      <c r="J1817" s="15" t="s">
        <v>8584</v>
      </c>
      <c r="K1817" s="15">
        <v>58.0</v>
      </c>
      <c r="L1817" s="15">
        <v>58.0</v>
      </c>
      <c r="M1817" s="40">
        <v>39307.0</v>
      </c>
      <c r="N1817" s="40">
        <v>43013.0</v>
      </c>
      <c r="O1817" s="15" t="s">
        <v>1554</v>
      </c>
      <c r="Q1817" s="7"/>
    </row>
    <row r="1818">
      <c r="A1818" s="39" t="s">
        <v>8585</v>
      </c>
      <c r="B1818" s="15">
        <v>404404.0</v>
      </c>
      <c r="C1818" s="15" t="s">
        <v>8586</v>
      </c>
      <c r="D1818" s="15">
        <v>20665.0</v>
      </c>
      <c r="E1818" s="15" t="s">
        <v>1548</v>
      </c>
      <c r="F1818" s="15" t="s">
        <v>1786</v>
      </c>
      <c r="G1818" s="7">
        <v>8.727</v>
      </c>
      <c r="H1818" s="15" t="s">
        <v>2836</v>
      </c>
      <c r="I1818" s="15" t="s">
        <v>1628</v>
      </c>
      <c r="J1818" s="15" t="s">
        <v>8587</v>
      </c>
      <c r="K1818" s="15">
        <v>6.0</v>
      </c>
      <c r="L1818" s="15">
        <v>6.0</v>
      </c>
      <c r="M1818" s="40">
        <v>39308.0</v>
      </c>
      <c r="N1818" s="40">
        <v>39486.0</v>
      </c>
      <c r="O1818" s="15" t="s">
        <v>1554</v>
      </c>
      <c r="Q1818" s="7"/>
    </row>
    <row r="1819">
      <c r="A1819" s="39" t="s">
        <v>8588</v>
      </c>
      <c r="B1819" s="15">
        <v>28358.0</v>
      </c>
      <c r="C1819" s="15" t="s">
        <v>8589</v>
      </c>
      <c r="D1819" s="15">
        <v>20757.0</v>
      </c>
      <c r="E1819" s="15" t="s">
        <v>1557</v>
      </c>
      <c r="F1819" s="15" t="s">
        <v>1833</v>
      </c>
      <c r="G1819" s="7">
        <v>42.972</v>
      </c>
      <c r="H1819" s="15" t="s">
        <v>2033</v>
      </c>
      <c r="I1819" s="15" t="s">
        <v>1586</v>
      </c>
      <c r="J1819" s="15" t="s">
        <v>8591</v>
      </c>
      <c r="K1819" s="15">
        <v>54.0</v>
      </c>
      <c r="L1819" s="15">
        <v>54.0</v>
      </c>
      <c r="M1819" s="40">
        <v>36683.0</v>
      </c>
      <c r="N1819" s="40">
        <v>43013.0</v>
      </c>
      <c r="O1819" s="15" t="s">
        <v>1554</v>
      </c>
      <c r="Q1819" s="7"/>
    </row>
    <row r="1820">
      <c r="A1820" s="39" t="s">
        <v>8592</v>
      </c>
      <c r="B1820" s="15">
        <v>460364.0</v>
      </c>
      <c r="C1820" s="15" t="s">
        <v>8593</v>
      </c>
      <c r="D1820" s="15">
        <v>20763.0</v>
      </c>
      <c r="E1820" s="15" t="s">
        <v>1548</v>
      </c>
      <c r="F1820" s="15" t="s">
        <v>1911</v>
      </c>
      <c r="G1820" s="7">
        <v>9.636</v>
      </c>
      <c r="H1820" s="15" t="s">
        <v>3066</v>
      </c>
      <c r="I1820" s="15" t="s">
        <v>1628</v>
      </c>
      <c r="J1820" s="15" t="s">
        <v>8595</v>
      </c>
      <c r="K1820" s="15">
        <v>1.0</v>
      </c>
      <c r="L1820" s="15">
        <v>1.0</v>
      </c>
      <c r="M1820" s="40">
        <v>39336.0</v>
      </c>
      <c r="N1820" s="40">
        <v>42458.0</v>
      </c>
      <c r="O1820" s="15" t="s">
        <v>1554</v>
      </c>
      <c r="Q1820" s="7"/>
    </row>
    <row r="1821">
      <c r="A1821" s="39" t="s">
        <v>8596</v>
      </c>
      <c r="B1821" s="15">
        <v>466051.0</v>
      </c>
      <c r="C1821" s="15" t="s">
        <v>8597</v>
      </c>
      <c r="D1821" s="15">
        <v>20765.0</v>
      </c>
      <c r="E1821" s="15" t="s">
        <v>1557</v>
      </c>
      <c r="F1821" s="15" t="s">
        <v>1833</v>
      </c>
      <c r="G1821" s="7">
        <v>84.201</v>
      </c>
      <c r="H1821" s="15" t="s">
        <v>6856</v>
      </c>
      <c r="I1821" s="15" t="s">
        <v>1586</v>
      </c>
      <c r="J1821" s="15" t="s">
        <v>8598</v>
      </c>
      <c r="K1821" s="15">
        <v>117.0</v>
      </c>
      <c r="L1821" s="15">
        <v>117.0</v>
      </c>
      <c r="M1821" s="40">
        <v>39335.0</v>
      </c>
      <c r="N1821" s="40">
        <v>39920.0</v>
      </c>
      <c r="O1821" s="15" t="s">
        <v>1554</v>
      </c>
      <c r="Q1821" s="7"/>
    </row>
    <row r="1822">
      <c r="A1822" s="39" t="s">
        <v>8600</v>
      </c>
      <c r="B1822" s="15">
        <v>466052.0</v>
      </c>
      <c r="C1822" s="15" t="s">
        <v>8601</v>
      </c>
      <c r="D1822" s="15">
        <v>20767.0</v>
      </c>
      <c r="E1822" s="15" t="s">
        <v>1557</v>
      </c>
      <c r="F1822" s="15" t="s">
        <v>1833</v>
      </c>
      <c r="G1822" s="7">
        <v>83.319</v>
      </c>
      <c r="H1822" s="15" t="s">
        <v>6856</v>
      </c>
      <c r="I1822" s="15" t="s">
        <v>1586</v>
      </c>
      <c r="J1822" s="15" t="s">
        <v>8602</v>
      </c>
      <c r="K1822" s="15">
        <v>116.0</v>
      </c>
      <c r="L1822" s="15">
        <v>116.0</v>
      </c>
      <c r="M1822" s="40">
        <v>39335.0</v>
      </c>
      <c r="N1822" s="40">
        <v>39920.0</v>
      </c>
      <c r="O1822" s="15" t="s">
        <v>1554</v>
      </c>
      <c r="Q1822" s="7"/>
    </row>
    <row r="1823">
      <c r="A1823" s="39" t="s">
        <v>8603</v>
      </c>
      <c r="B1823" s="15">
        <v>384848.0</v>
      </c>
      <c r="C1823" s="15" t="s">
        <v>8604</v>
      </c>
      <c r="D1823" s="15">
        <v>20781.0</v>
      </c>
      <c r="E1823" s="15" t="s">
        <v>1557</v>
      </c>
      <c r="F1823" s="15" t="s">
        <v>1833</v>
      </c>
      <c r="G1823" s="7">
        <v>70.579</v>
      </c>
      <c r="H1823" s="15" t="s">
        <v>2296</v>
      </c>
      <c r="I1823" s="15" t="s">
        <v>1586</v>
      </c>
      <c r="J1823" s="15" t="s">
        <v>8605</v>
      </c>
      <c r="K1823" s="15">
        <v>101.0</v>
      </c>
      <c r="L1823" s="15">
        <v>97.0</v>
      </c>
      <c r="M1823" s="40">
        <v>39294.0</v>
      </c>
      <c r="N1823" s="40">
        <v>39695.0</v>
      </c>
      <c r="O1823" s="15" t="s">
        <v>1554</v>
      </c>
      <c r="Q1823" s="7"/>
    </row>
    <row r="1824">
      <c r="A1824" s="39" t="s">
        <v>8606</v>
      </c>
      <c r="B1824" s="15">
        <v>388452.0</v>
      </c>
      <c r="C1824" s="15" t="s">
        <v>8607</v>
      </c>
      <c r="D1824" s="15">
        <v>20783.0</v>
      </c>
      <c r="E1824" s="15" t="s">
        <v>1557</v>
      </c>
      <c r="F1824" s="15" t="s">
        <v>1611</v>
      </c>
      <c r="G1824" s="7">
        <v>79.232</v>
      </c>
      <c r="H1824" s="15" t="s">
        <v>4287</v>
      </c>
      <c r="I1824" s="15" t="s">
        <v>1586</v>
      </c>
      <c r="J1824" s="15" t="s">
        <v>8608</v>
      </c>
      <c r="K1824" s="15">
        <v>131.0</v>
      </c>
      <c r="L1824" s="15">
        <v>130.0</v>
      </c>
      <c r="M1824" s="40">
        <v>39257.0</v>
      </c>
      <c r="N1824" s="40">
        <v>39920.0</v>
      </c>
      <c r="O1824" s="15" t="s">
        <v>1554</v>
      </c>
      <c r="Q1824" s="7"/>
    </row>
    <row r="1825">
      <c r="A1825" s="39" t="s">
        <v>8610</v>
      </c>
      <c r="B1825" s="15">
        <v>403905.0</v>
      </c>
      <c r="C1825" s="15" t="s">
        <v>8611</v>
      </c>
      <c r="D1825" s="15">
        <v>20785.0</v>
      </c>
      <c r="E1825" s="15" t="s">
        <v>1557</v>
      </c>
      <c r="F1825" s="15" t="s">
        <v>1833</v>
      </c>
      <c r="G1825" s="7">
        <v>40.539</v>
      </c>
      <c r="H1825" s="15" t="s">
        <v>3000</v>
      </c>
      <c r="I1825" s="15" t="s">
        <v>1586</v>
      </c>
      <c r="J1825" s="15" t="s">
        <v>8612</v>
      </c>
      <c r="K1825" s="15">
        <v>53.0</v>
      </c>
      <c r="L1825" s="15">
        <v>53.0</v>
      </c>
      <c r="M1825" s="40">
        <v>39294.0</v>
      </c>
      <c r="N1825" s="40">
        <v>39920.0</v>
      </c>
      <c r="O1825" s="15" t="s">
        <v>1554</v>
      </c>
      <c r="Q1825" s="7"/>
    </row>
    <row r="1826">
      <c r="A1826" s="39" t="s">
        <v>8613</v>
      </c>
      <c r="B1826" s="15">
        <v>439809.0</v>
      </c>
      <c r="C1826" s="15" t="s">
        <v>8614</v>
      </c>
      <c r="D1826" s="15">
        <v>20787.0</v>
      </c>
      <c r="E1826" s="15" t="s">
        <v>1557</v>
      </c>
      <c r="F1826" s="15" t="s">
        <v>1833</v>
      </c>
      <c r="G1826" s="7">
        <v>58.692</v>
      </c>
      <c r="H1826" s="15" t="s">
        <v>3086</v>
      </c>
      <c r="I1826" s="15" t="s">
        <v>1586</v>
      </c>
      <c r="J1826" s="15" t="s">
        <v>8615</v>
      </c>
      <c r="K1826" s="15">
        <v>109.0</v>
      </c>
      <c r="L1826" s="15">
        <v>109.0</v>
      </c>
      <c r="M1826" s="40">
        <v>39242.0</v>
      </c>
      <c r="N1826" s="41">
        <v>42665.0</v>
      </c>
      <c r="O1826" s="15" t="s">
        <v>1554</v>
      </c>
      <c r="Q1826" s="7"/>
    </row>
    <row r="1827">
      <c r="A1827" s="39" t="s">
        <v>8616</v>
      </c>
      <c r="B1827" s="15">
        <v>40522.0</v>
      </c>
      <c r="C1827" s="15" t="s">
        <v>8618</v>
      </c>
      <c r="D1827" s="15">
        <v>20791.0</v>
      </c>
      <c r="E1827" s="15" t="s">
        <v>1557</v>
      </c>
      <c r="F1827" s="15" t="s">
        <v>1833</v>
      </c>
      <c r="G1827" s="7">
        <v>38.867</v>
      </c>
      <c r="H1827" s="15" t="s">
        <v>2158</v>
      </c>
      <c r="I1827" s="15" t="s">
        <v>1586</v>
      </c>
      <c r="J1827" s="15" t="s">
        <v>8619</v>
      </c>
      <c r="K1827" s="15">
        <v>63.0</v>
      </c>
      <c r="L1827" s="15">
        <v>63.0</v>
      </c>
      <c r="M1827" s="40">
        <v>39330.0</v>
      </c>
      <c r="N1827" s="41">
        <v>40140.0</v>
      </c>
      <c r="O1827" s="15" t="s">
        <v>1554</v>
      </c>
      <c r="Q1827" s="7"/>
    </row>
    <row r="1828">
      <c r="A1828" s="39" t="s">
        <v>8620</v>
      </c>
      <c r="B1828" s="15">
        <v>40523.0</v>
      </c>
      <c r="C1828" s="15" t="s">
        <v>8621</v>
      </c>
      <c r="D1828" s="15">
        <v>20793.0</v>
      </c>
      <c r="E1828" s="15" t="s">
        <v>1557</v>
      </c>
      <c r="F1828" s="15" t="s">
        <v>1767</v>
      </c>
      <c r="G1828" s="7">
        <v>137.619</v>
      </c>
      <c r="H1828" s="15" t="s">
        <v>3554</v>
      </c>
      <c r="I1828" s="15" t="s">
        <v>1586</v>
      </c>
      <c r="J1828" s="15" t="s">
        <v>8622</v>
      </c>
      <c r="K1828" s="15">
        <v>206.0</v>
      </c>
      <c r="L1828" s="15">
        <v>190.0</v>
      </c>
      <c r="M1828" s="40">
        <v>39330.0</v>
      </c>
      <c r="N1828" s="40">
        <v>41351.0</v>
      </c>
      <c r="O1828" s="15" t="s">
        <v>1554</v>
      </c>
      <c r="Q1828" s="7"/>
    </row>
    <row r="1829">
      <c r="A1829" s="39" t="s">
        <v>8623</v>
      </c>
      <c r="B1829" s="15">
        <v>330396.0</v>
      </c>
      <c r="C1829" s="15" t="s">
        <v>8624</v>
      </c>
      <c r="D1829" s="15">
        <v>20795.0</v>
      </c>
      <c r="E1829" s="15" t="s">
        <v>1557</v>
      </c>
      <c r="F1829" s="15" t="s">
        <v>1833</v>
      </c>
      <c r="G1829" s="7">
        <v>42.653</v>
      </c>
      <c r="H1829" s="15" t="s">
        <v>4287</v>
      </c>
      <c r="I1829" s="15" t="s">
        <v>1586</v>
      </c>
      <c r="J1829" s="15" t="s">
        <v>8626</v>
      </c>
      <c r="K1829" s="15">
        <v>65.0</v>
      </c>
      <c r="L1829" s="15">
        <v>65.0</v>
      </c>
      <c r="M1829" s="40">
        <v>39330.0</v>
      </c>
      <c r="N1829" s="41">
        <v>40140.0</v>
      </c>
      <c r="O1829" s="15" t="s">
        <v>1554</v>
      </c>
      <c r="Q1829" s="7"/>
    </row>
    <row r="1830">
      <c r="A1830" s="39" t="s">
        <v>8627</v>
      </c>
      <c r="B1830" s="15">
        <v>330397.0</v>
      </c>
      <c r="C1830" s="15" t="s">
        <v>8628</v>
      </c>
      <c r="D1830" s="15">
        <v>20797.0</v>
      </c>
      <c r="E1830" s="15" t="s">
        <v>1557</v>
      </c>
      <c r="F1830" s="15" t="s">
        <v>1833</v>
      </c>
      <c r="G1830" s="7">
        <v>48.172</v>
      </c>
      <c r="H1830" s="15" t="s">
        <v>2288</v>
      </c>
      <c r="I1830" s="15" t="s">
        <v>1586</v>
      </c>
      <c r="J1830" s="15" t="s">
        <v>8629</v>
      </c>
      <c r="K1830" s="15">
        <v>80.0</v>
      </c>
      <c r="L1830" s="15">
        <v>80.0</v>
      </c>
      <c r="M1830" s="40">
        <v>39330.0</v>
      </c>
      <c r="N1830" s="41">
        <v>40140.0</v>
      </c>
      <c r="O1830" s="15" t="s">
        <v>1554</v>
      </c>
      <c r="Q1830" s="7"/>
    </row>
    <row r="1831">
      <c r="A1831" s="39" t="s">
        <v>8630</v>
      </c>
      <c r="B1831" s="15">
        <v>330398.0</v>
      </c>
      <c r="C1831" s="15" t="s">
        <v>8631</v>
      </c>
      <c r="D1831" s="15">
        <v>20799.0</v>
      </c>
      <c r="E1831" s="15" t="s">
        <v>1557</v>
      </c>
      <c r="F1831" s="15" t="s">
        <v>1833</v>
      </c>
      <c r="G1831" s="7">
        <v>35.822</v>
      </c>
      <c r="H1831" s="15" t="s">
        <v>3070</v>
      </c>
      <c r="I1831" s="15" t="s">
        <v>1586</v>
      </c>
      <c r="J1831" s="15" t="s">
        <v>8632</v>
      </c>
      <c r="K1831" s="15">
        <v>56.0</v>
      </c>
      <c r="L1831" s="15">
        <v>56.0</v>
      </c>
      <c r="M1831" s="40">
        <v>39330.0</v>
      </c>
      <c r="N1831" s="41">
        <v>40140.0</v>
      </c>
      <c r="O1831" s="15" t="s">
        <v>1554</v>
      </c>
      <c r="Q1831" s="7"/>
    </row>
    <row r="1832">
      <c r="A1832" s="39" t="s">
        <v>8634</v>
      </c>
      <c r="B1832" s="15">
        <v>330399.0</v>
      </c>
      <c r="C1832" s="15" t="s">
        <v>8635</v>
      </c>
      <c r="D1832" s="15">
        <v>20801.0</v>
      </c>
      <c r="E1832" s="15" t="s">
        <v>1557</v>
      </c>
      <c r="F1832" s="15" t="s">
        <v>1833</v>
      </c>
      <c r="G1832" s="7">
        <v>38.124</v>
      </c>
      <c r="H1832" s="15" t="s">
        <v>2103</v>
      </c>
      <c r="I1832" s="15" t="s">
        <v>1586</v>
      </c>
      <c r="J1832" s="15" t="s">
        <v>8636</v>
      </c>
      <c r="K1832" s="15">
        <v>62.0</v>
      </c>
      <c r="L1832" s="15">
        <v>62.0</v>
      </c>
      <c r="M1832" s="40">
        <v>39330.0</v>
      </c>
      <c r="N1832" s="41">
        <v>40140.0</v>
      </c>
      <c r="O1832" s="15" t="s">
        <v>1554</v>
      </c>
      <c r="Q1832" s="7"/>
    </row>
    <row r="1833">
      <c r="A1833" s="39" t="s">
        <v>8637</v>
      </c>
      <c r="B1833" s="15">
        <v>470865.0</v>
      </c>
      <c r="C1833" s="15" t="s">
        <v>8638</v>
      </c>
      <c r="D1833" s="15">
        <v>20925.0</v>
      </c>
      <c r="E1833" s="15" t="s">
        <v>1557</v>
      </c>
      <c r="F1833" s="15" t="s">
        <v>1611</v>
      </c>
      <c r="G1833" s="7">
        <v>17.938</v>
      </c>
      <c r="H1833" s="42">
        <v>43371.0</v>
      </c>
      <c r="I1833" s="15" t="s">
        <v>1586</v>
      </c>
      <c r="J1833" s="15" t="s">
        <v>8639</v>
      </c>
      <c r="K1833" s="15">
        <v>20.0</v>
      </c>
      <c r="L1833" s="15">
        <v>20.0</v>
      </c>
      <c r="M1833" s="40">
        <v>39348.0</v>
      </c>
      <c r="N1833" s="40">
        <v>40290.0</v>
      </c>
      <c r="O1833" s="15" t="s">
        <v>1554</v>
      </c>
      <c r="Q1833" s="7"/>
    </row>
    <row r="1834">
      <c r="A1834" s="39" t="s">
        <v>8640</v>
      </c>
      <c r="B1834" s="15">
        <v>260120.0</v>
      </c>
      <c r="C1834" s="15" t="s">
        <v>8641</v>
      </c>
      <c r="D1834" s="15">
        <v>20943.0</v>
      </c>
      <c r="E1834" s="15" t="s">
        <v>1557</v>
      </c>
      <c r="F1834" s="15" t="s">
        <v>1833</v>
      </c>
      <c r="G1834" s="7">
        <v>51.277</v>
      </c>
      <c r="H1834" s="15" t="s">
        <v>3029</v>
      </c>
      <c r="I1834" s="15" t="s">
        <v>1586</v>
      </c>
      <c r="J1834" s="15" t="s">
        <v>8642</v>
      </c>
      <c r="K1834" s="15">
        <v>81.0</v>
      </c>
      <c r="L1834" s="15">
        <v>81.0</v>
      </c>
      <c r="M1834" s="40">
        <v>37999.0</v>
      </c>
      <c r="N1834" s="41">
        <v>40876.0</v>
      </c>
      <c r="O1834" s="15" t="s">
        <v>1554</v>
      </c>
      <c r="Q1834" s="7"/>
    </row>
    <row r="1835">
      <c r="A1835" s="39" t="s">
        <v>8643</v>
      </c>
      <c r="B1835" s="15">
        <v>260121.0</v>
      </c>
      <c r="C1835" s="15" t="s">
        <v>8644</v>
      </c>
      <c r="D1835" s="15">
        <v>20945.0</v>
      </c>
      <c r="E1835" s="15" t="s">
        <v>1557</v>
      </c>
      <c r="F1835" s="15" t="s">
        <v>1833</v>
      </c>
      <c r="G1835" s="7">
        <v>52.25</v>
      </c>
      <c r="H1835" s="15" t="s">
        <v>3034</v>
      </c>
      <c r="I1835" s="15" t="s">
        <v>1586</v>
      </c>
      <c r="J1835" s="15" t="s">
        <v>8645</v>
      </c>
      <c r="K1835" s="15">
        <v>87.0</v>
      </c>
      <c r="L1835" s="15">
        <v>87.0</v>
      </c>
      <c r="M1835" s="40">
        <v>37999.0</v>
      </c>
      <c r="N1835" s="40">
        <v>39920.0</v>
      </c>
      <c r="O1835" s="15" t="s">
        <v>1554</v>
      </c>
      <c r="Q1835" s="7"/>
    </row>
    <row r="1836">
      <c r="A1836" s="39" t="s">
        <v>8646</v>
      </c>
      <c r="B1836" s="15">
        <v>397353.0</v>
      </c>
      <c r="C1836" s="15" t="s">
        <v>8647</v>
      </c>
      <c r="D1836" s="15">
        <v>20961.0</v>
      </c>
      <c r="E1836" s="15" t="s">
        <v>1557</v>
      </c>
      <c r="F1836" s="15" t="s">
        <v>1833</v>
      </c>
      <c r="G1836" s="7">
        <v>36.409</v>
      </c>
      <c r="H1836" s="15" t="s">
        <v>4117</v>
      </c>
      <c r="I1836" s="15" t="s">
        <v>1586</v>
      </c>
      <c r="J1836" s="15" t="s">
        <v>8648</v>
      </c>
      <c r="K1836" s="15">
        <v>51.0</v>
      </c>
      <c r="L1836" s="15">
        <v>51.0</v>
      </c>
      <c r="M1836" s="40">
        <v>39325.0</v>
      </c>
      <c r="N1836" s="41">
        <v>41239.0</v>
      </c>
      <c r="O1836" s="15" t="s">
        <v>1554</v>
      </c>
      <c r="Q1836" s="7"/>
    </row>
    <row r="1837">
      <c r="A1837" s="39" t="s">
        <v>8649</v>
      </c>
      <c r="B1837" s="15">
        <v>300186.0</v>
      </c>
      <c r="C1837" s="15" t="s">
        <v>8650</v>
      </c>
      <c r="D1837" s="15">
        <v>20965.0</v>
      </c>
      <c r="E1837" s="15" t="s">
        <v>1557</v>
      </c>
      <c r="F1837" s="15" t="s">
        <v>3628</v>
      </c>
      <c r="G1837" s="7">
        <v>31.787</v>
      </c>
      <c r="H1837" s="15" t="s">
        <v>3827</v>
      </c>
      <c r="I1837" s="15" t="s">
        <v>1618</v>
      </c>
      <c r="J1837" s="15" t="s">
        <v>8651</v>
      </c>
      <c r="K1837" s="15">
        <v>53.0</v>
      </c>
      <c r="L1837" s="15">
        <v>52.0</v>
      </c>
      <c r="M1837" s="40">
        <v>38443.0</v>
      </c>
      <c r="N1837" s="40">
        <v>40263.0</v>
      </c>
      <c r="O1837" s="15" t="s">
        <v>1554</v>
      </c>
      <c r="Q1837" s="7"/>
    </row>
    <row r="1838">
      <c r="A1838" s="39" t="s">
        <v>8652</v>
      </c>
      <c r="B1838" s="15">
        <v>70566.0</v>
      </c>
      <c r="C1838" s="15" t="s">
        <v>8653</v>
      </c>
      <c r="D1838" s="15">
        <v>20971.0</v>
      </c>
      <c r="E1838" s="15" t="s">
        <v>1548</v>
      </c>
      <c r="F1838" s="15" t="s">
        <v>5290</v>
      </c>
      <c r="G1838" s="7">
        <v>12.035</v>
      </c>
      <c r="H1838" s="15" t="s">
        <v>8654</v>
      </c>
      <c r="I1838" s="15" t="s">
        <v>1803</v>
      </c>
      <c r="J1838" s="15" t="s">
        <v>8655</v>
      </c>
      <c r="K1838" s="15">
        <v>4.0</v>
      </c>
      <c r="L1838" s="15">
        <v>4.0</v>
      </c>
      <c r="M1838" s="40">
        <v>35804.0</v>
      </c>
      <c r="N1838" s="40">
        <v>39360.0</v>
      </c>
      <c r="O1838" s="15" t="s">
        <v>1554</v>
      </c>
      <c r="Q1838" s="7"/>
    </row>
    <row r="1839">
      <c r="A1839" s="39" t="s">
        <v>8657</v>
      </c>
      <c r="B1839" s="15">
        <v>463392.0</v>
      </c>
      <c r="C1839" s="15" t="s">
        <v>8658</v>
      </c>
      <c r="D1839" s="15">
        <v>20975.0</v>
      </c>
      <c r="E1839" s="15" t="s">
        <v>1638</v>
      </c>
      <c r="F1839" s="15" t="s">
        <v>1639</v>
      </c>
      <c r="G1839" s="7">
        <v>5.077</v>
      </c>
      <c r="H1839" s="15" t="s">
        <v>7408</v>
      </c>
      <c r="I1839" s="15" t="s">
        <v>1552</v>
      </c>
      <c r="J1839" s="15" t="s">
        <v>8659</v>
      </c>
      <c r="K1839" s="15">
        <v>2.0</v>
      </c>
      <c r="L1839" s="15">
        <v>2.0</v>
      </c>
      <c r="M1839" s="40">
        <v>39321.0</v>
      </c>
      <c r="N1839" s="40">
        <v>39499.0</v>
      </c>
      <c r="O1839" s="15" t="s">
        <v>1554</v>
      </c>
      <c r="Q1839" s="7"/>
    </row>
    <row r="1840">
      <c r="A1840" s="39" t="s">
        <v>8660</v>
      </c>
      <c r="B1840" s="15">
        <v>471498.0</v>
      </c>
      <c r="C1840" s="15" t="s">
        <v>8661</v>
      </c>
      <c r="D1840" s="15">
        <v>20977.0</v>
      </c>
      <c r="E1840" s="15" t="s">
        <v>1548</v>
      </c>
      <c r="F1840" s="15" t="s">
        <v>1786</v>
      </c>
      <c r="G1840" s="7">
        <v>9.005</v>
      </c>
      <c r="H1840" s="15" t="s">
        <v>3066</v>
      </c>
      <c r="I1840" s="15" t="s">
        <v>1628</v>
      </c>
      <c r="J1840" s="15" t="s">
        <v>8662</v>
      </c>
      <c r="K1840" s="15">
        <v>5.0</v>
      </c>
      <c r="L1840" s="15">
        <v>5.0</v>
      </c>
      <c r="M1840" s="40">
        <v>39352.0</v>
      </c>
      <c r="N1840" s="40">
        <v>40744.0</v>
      </c>
      <c r="O1840" s="15" t="s">
        <v>1554</v>
      </c>
      <c r="Q1840" s="7"/>
    </row>
    <row r="1841">
      <c r="A1841" s="39" t="s">
        <v>8663</v>
      </c>
      <c r="B1841" s="15">
        <v>11834.0</v>
      </c>
      <c r="C1841" s="15" t="s">
        <v>8664</v>
      </c>
      <c r="D1841" s="15">
        <v>20979.0</v>
      </c>
      <c r="E1841" s="15" t="s">
        <v>1916</v>
      </c>
      <c r="F1841" s="15" t="s">
        <v>2532</v>
      </c>
      <c r="G1841" s="7">
        <v>8.406</v>
      </c>
      <c r="H1841" s="15" t="s">
        <v>4215</v>
      </c>
      <c r="I1841" s="15" t="s">
        <v>1686</v>
      </c>
      <c r="J1841" s="15" t="s">
        <v>8665</v>
      </c>
      <c r="K1841" s="15">
        <v>2.0</v>
      </c>
      <c r="L1841" s="15">
        <v>2.0</v>
      </c>
      <c r="M1841" s="40">
        <v>39299.0</v>
      </c>
      <c r="N1841" s="40">
        <v>39360.0</v>
      </c>
      <c r="O1841" s="15" t="s">
        <v>1554</v>
      </c>
      <c r="Q1841" s="7"/>
    </row>
    <row r="1842">
      <c r="A1842" s="39" t="s">
        <v>8666</v>
      </c>
      <c r="B1842" s="15">
        <v>427315.0</v>
      </c>
      <c r="C1842" s="15" t="s">
        <v>8667</v>
      </c>
      <c r="D1842" s="15">
        <v>20983.0</v>
      </c>
      <c r="E1842" s="15" t="s">
        <v>2014</v>
      </c>
      <c r="F1842" s="15" t="s">
        <v>2018</v>
      </c>
      <c r="G1842" s="7">
        <v>1.356</v>
      </c>
      <c r="H1842" s="15" t="s">
        <v>1602</v>
      </c>
      <c r="I1842" s="15" t="s">
        <v>1628</v>
      </c>
      <c r="J1842" s="15" t="s">
        <v>8668</v>
      </c>
      <c r="K1842" s="15">
        <v>1.0</v>
      </c>
      <c r="L1842" s="15">
        <v>1.0</v>
      </c>
      <c r="M1842" s="40">
        <v>39316.0</v>
      </c>
      <c r="N1842" s="40">
        <v>39835.0</v>
      </c>
      <c r="O1842" s="15" t="s">
        <v>1554</v>
      </c>
      <c r="Q1842" s="7"/>
    </row>
    <row r="1843">
      <c r="A1843" s="39" t="s">
        <v>8669</v>
      </c>
      <c r="B1843" s="15">
        <v>471728.0</v>
      </c>
      <c r="C1843" s="15" t="s">
        <v>8670</v>
      </c>
      <c r="D1843" s="15">
        <v>20985.0</v>
      </c>
      <c r="E1843" s="15" t="s">
        <v>1548</v>
      </c>
      <c r="F1843" s="15" t="s">
        <v>1776</v>
      </c>
      <c r="G1843" s="7">
        <v>6.718</v>
      </c>
      <c r="H1843" s="15" t="s">
        <v>2869</v>
      </c>
      <c r="I1843" s="15" t="s">
        <v>1686</v>
      </c>
      <c r="J1843" s="15" t="s">
        <v>8671</v>
      </c>
      <c r="K1843" s="15">
        <v>1.0</v>
      </c>
      <c r="L1843" s="15">
        <v>1.0</v>
      </c>
      <c r="M1843" s="40">
        <v>39354.0</v>
      </c>
      <c r="N1843" s="41">
        <v>39437.0</v>
      </c>
      <c r="O1843" s="15" t="s">
        <v>1554</v>
      </c>
      <c r="Q1843" s="7"/>
    </row>
    <row r="1844">
      <c r="A1844" s="39" t="s">
        <v>8672</v>
      </c>
      <c r="B1844" s="15">
        <v>46021.0</v>
      </c>
      <c r="C1844" s="15" t="s">
        <v>8673</v>
      </c>
      <c r="D1844" s="15">
        <v>20989.0</v>
      </c>
      <c r="E1844" s="15" t="s">
        <v>1557</v>
      </c>
      <c r="F1844" s="15" t="s">
        <v>2763</v>
      </c>
      <c r="G1844" s="7">
        <v>368.683</v>
      </c>
      <c r="H1844" s="15" t="s">
        <v>2223</v>
      </c>
      <c r="I1844" s="15" t="s">
        <v>1573</v>
      </c>
      <c r="J1844" s="15" t="s">
        <v>8674</v>
      </c>
      <c r="K1844" s="15">
        <v>886.0</v>
      </c>
      <c r="L1844" s="15">
        <v>886.0</v>
      </c>
      <c r="M1844" s="40">
        <v>38839.0</v>
      </c>
      <c r="N1844" s="40">
        <v>40289.0</v>
      </c>
      <c r="O1844" s="15" t="s">
        <v>1554</v>
      </c>
      <c r="Q1844" s="7"/>
    </row>
    <row r="1845">
      <c r="A1845" s="39" t="s">
        <v>8675</v>
      </c>
      <c r="B1845" s="15">
        <v>380598.0</v>
      </c>
      <c r="C1845" s="15" t="s">
        <v>8676</v>
      </c>
      <c r="D1845" s="15">
        <v>20991.0</v>
      </c>
      <c r="E1845" s="15" t="s">
        <v>1557</v>
      </c>
      <c r="F1845" s="15" t="s">
        <v>2763</v>
      </c>
      <c r="G1845" s="7">
        <v>344.691</v>
      </c>
      <c r="H1845" s="15" t="s">
        <v>3070</v>
      </c>
      <c r="I1845" s="15" t="s">
        <v>1573</v>
      </c>
      <c r="J1845" s="15" t="s">
        <v>8678</v>
      </c>
      <c r="K1845" s="15">
        <v>814.0</v>
      </c>
      <c r="L1845" s="15">
        <v>814.0</v>
      </c>
      <c r="M1845" s="40">
        <v>38839.0</v>
      </c>
      <c r="N1845" s="41">
        <v>39429.0</v>
      </c>
      <c r="O1845" s="15" t="s">
        <v>1554</v>
      </c>
      <c r="Q1845" s="7"/>
    </row>
    <row r="1846">
      <c r="A1846" s="39" t="s">
        <v>8679</v>
      </c>
      <c r="B1846" s="15">
        <v>360580.0</v>
      </c>
      <c r="C1846" s="15" t="s">
        <v>8680</v>
      </c>
      <c r="D1846" s="15">
        <v>21015.0</v>
      </c>
      <c r="E1846" s="15" t="s">
        <v>2014</v>
      </c>
      <c r="F1846" s="15" t="s">
        <v>2018</v>
      </c>
      <c r="G1846" s="7">
        <v>1.354</v>
      </c>
      <c r="H1846" s="15" t="s">
        <v>1710</v>
      </c>
      <c r="I1846" s="15" t="s">
        <v>1628</v>
      </c>
      <c r="J1846" s="15" t="s">
        <v>8681</v>
      </c>
      <c r="K1846" s="15">
        <v>1.0</v>
      </c>
      <c r="L1846" s="15">
        <v>1.0</v>
      </c>
      <c r="M1846" s="41">
        <v>38700.0</v>
      </c>
      <c r="N1846" s="40">
        <v>41214.0</v>
      </c>
      <c r="O1846" s="15" t="s">
        <v>1554</v>
      </c>
      <c r="Q1846" s="7"/>
    </row>
    <row r="1847">
      <c r="A1847" s="39" t="s">
        <v>8682</v>
      </c>
      <c r="B1847" s="15">
        <v>386792.0</v>
      </c>
      <c r="C1847" s="15" t="s">
        <v>8683</v>
      </c>
      <c r="D1847" s="15">
        <v>21043.0</v>
      </c>
      <c r="E1847" s="15" t="s">
        <v>1557</v>
      </c>
      <c r="F1847" s="15" t="s">
        <v>1611</v>
      </c>
      <c r="G1847" s="7">
        <v>43.2</v>
      </c>
      <c r="H1847" s="15" t="s">
        <v>2094</v>
      </c>
      <c r="I1847" s="15" t="s">
        <v>1586</v>
      </c>
      <c r="J1847" s="15" t="s">
        <v>8684</v>
      </c>
      <c r="K1847" s="15">
        <v>53.0</v>
      </c>
      <c r="L1847" s="15">
        <v>53.0</v>
      </c>
      <c r="M1847" s="40">
        <v>38978.0</v>
      </c>
      <c r="N1847" s="40">
        <v>39920.0</v>
      </c>
      <c r="O1847" s="15" t="s">
        <v>1554</v>
      </c>
      <c r="Q1847" s="7"/>
    </row>
    <row r="1848">
      <c r="A1848" s="39" t="s">
        <v>8685</v>
      </c>
      <c r="B1848" s="15">
        <v>386793.0</v>
      </c>
      <c r="C1848" s="15" t="s">
        <v>8686</v>
      </c>
      <c r="D1848" s="15">
        <v>21045.0</v>
      </c>
      <c r="E1848" s="15" t="s">
        <v>1557</v>
      </c>
      <c r="F1848" s="15" t="s">
        <v>1611</v>
      </c>
      <c r="G1848" s="7">
        <v>41.593</v>
      </c>
      <c r="H1848" s="15" t="s">
        <v>4190</v>
      </c>
      <c r="I1848" s="15" t="s">
        <v>1586</v>
      </c>
      <c r="J1848" s="15" t="s">
        <v>8688</v>
      </c>
      <c r="K1848" s="15">
        <v>57.0</v>
      </c>
      <c r="L1848" s="15">
        <v>57.0</v>
      </c>
      <c r="M1848" s="40">
        <v>38978.0</v>
      </c>
      <c r="N1848" s="40">
        <v>42382.0</v>
      </c>
      <c r="O1848" s="15" t="s">
        <v>1554</v>
      </c>
      <c r="Q1848" s="7"/>
    </row>
    <row r="1849">
      <c r="A1849" s="39" t="s">
        <v>8689</v>
      </c>
      <c r="B1849" s="15">
        <v>284687.0</v>
      </c>
      <c r="C1849" s="15" t="s">
        <v>8690</v>
      </c>
      <c r="D1849" s="15">
        <v>21113.0</v>
      </c>
      <c r="E1849" s="15" t="s">
        <v>1638</v>
      </c>
      <c r="F1849" s="15" t="s">
        <v>2508</v>
      </c>
      <c r="G1849" s="7">
        <v>11.858</v>
      </c>
      <c r="H1849" s="15" t="s">
        <v>8691</v>
      </c>
      <c r="I1849" s="15" t="s">
        <v>1552</v>
      </c>
      <c r="J1849" s="15" t="s">
        <v>8692</v>
      </c>
      <c r="K1849" s="15">
        <v>4.0</v>
      </c>
      <c r="L1849" s="15">
        <v>4.0</v>
      </c>
      <c r="M1849" s="40">
        <v>38240.0</v>
      </c>
      <c r="N1849" s="40">
        <v>39790.0</v>
      </c>
      <c r="O1849" s="15" t="s">
        <v>1554</v>
      </c>
      <c r="Q1849" s="7"/>
    </row>
    <row r="1850">
      <c r="A1850" s="39" t="s">
        <v>8693</v>
      </c>
      <c r="B1850" s="15">
        <v>452475.0</v>
      </c>
      <c r="C1850" s="15" t="s">
        <v>8694</v>
      </c>
      <c r="D1850" s="15">
        <v>27775.0</v>
      </c>
      <c r="E1850" s="15" t="s">
        <v>1557</v>
      </c>
      <c r="F1850" s="15" t="s">
        <v>2004</v>
      </c>
      <c r="G1850" s="7">
        <v>5.075</v>
      </c>
      <c r="H1850" s="15" t="s">
        <v>2193</v>
      </c>
      <c r="I1850" s="15" t="s">
        <v>1686</v>
      </c>
      <c r="J1850" s="15" t="s">
        <v>8695</v>
      </c>
      <c r="K1850" s="15">
        <v>6.0</v>
      </c>
      <c r="L1850" s="15">
        <v>6.0</v>
      </c>
      <c r="M1850" s="41">
        <v>39385.0</v>
      </c>
      <c r="N1850" s="40">
        <v>40578.0</v>
      </c>
      <c r="O1850" s="15" t="s">
        <v>1554</v>
      </c>
      <c r="Q1850" s="7"/>
    </row>
    <row r="1851">
      <c r="A1851" s="39" t="s">
        <v>8696</v>
      </c>
      <c r="B1851" s="15">
        <v>309181.0</v>
      </c>
      <c r="C1851" s="15" t="s">
        <v>8697</v>
      </c>
      <c r="D1851" s="15">
        <v>27799.0</v>
      </c>
      <c r="E1851" s="15" t="s">
        <v>1557</v>
      </c>
      <c r="F1851" s="15" t="s">
        <v>6215</v>
      </c>
      <c r="G1851" s="7">
        <v>24.655</v>
      </c>
      <c r="H1851" s="15" t="s">
        <v>3895</v>
      </c>
      <c r="I1851" s="15" t="s">
        <v>1618</v>
      </c>
      <c r="J1851" s="15" t="s">
        <v>8698</v>
      </c>
      <c r="K1851" s="15">
        <v>41.0</v>
      </c>
      <c r="L1851" s="15">
        <v>41.0</v>
      </c>
      <c r="M1851" s="40">
        <v>38482.0</v>
      </c>
      <c r="N1851" s="40">
        <v>40263.0</v>
      </c>
      <c r="O1851" s="15" t="s">
        <v>1554</v>
      </c>
      <c r="Q1851" s="7"/>
    </row>
    <row r="1852">
      <c r="A1852" s="39" t="s">
        <v>8700</v>
      </c>
      <c r="B1852" s="15">
        <v>455649.0</v>
      </c>
      <c r="C1852" s="15" t="s">
        <v>8701</v>
      </c>
      <c r="D1852" s="15">
        <v>27891.0</v>
      </c>
      <c r="E1852" s="15" t="s">
        <v>1808</v>
      </c>
      <c r="F1852" s="15" t="s">
        <v>2969</v>
      </c>
      <c r="G1852" s="7">
        <v>7.87</v>
      </c>
      <c r="H1852" s="42">
        <v>43153.0</v>
      </c>
      <c r="I1852" s="15" t="s">
        <v>1586</v>
      </c>
      <c r="J1852" s="15" t="s">
        <v>8702</v>
      </c>
      <c r="K1852" s="15">
        <v>13.0</v>
      </c>
      <c r="L1852" s="15">
        <v>13.0</v>
      </c>
      <c r="M1852" s="40">
        <v>39387.0</v>
      </c>
      <c r="N1852" s="40">
        <v>40206.0</v>
      </c>
      <c r="O1852" s="15" t="s">
        <v>1554</v>
      </c>
      <c r="Q1852" s="7"/>
    </row>
    <row r="1853">
      <c r="A1853" s="39" t="s">
        <v>8703</v>
      </c>
      <c r="B1853" s="15">
        <v>459290.0</v>
      </c>
      <c r="C1853" s="15" t="s">
        <v>8704</v>
      </c>
      <c r="D1853" s="15">
        <v>27893.0</v>
      </c>
      <c r="E1853" s="15" t="s">
        <v>1557</v>
      </c>
      <c r="F1853" s="15" t="s">
        <v>3164</v>
      </c>
      <c r="G1853" s="7">
        <v>15.135</v>
      </c>
      <c r="H1853" s="15" t="s">
        <v>1823</v>
      </c>
      <c r="I1853" s="15" t="s">
        <v>1618</v>
      </c>
      <c r="J1853" s="15" t="s">
        <v>8705</v>
      </c>
      <c r="K1853" s="15">
        <v>34.0</v>
      </c>
      <c r="L1853" s="15">
        <v>34.0</v>
      </c>
      <c r="M1853" s="41">
        <v>39378.0</v>
      </c>
      <c r="N1853" s="40">
        <v>42577.0</v>
      </c>
      <c r="O1853" s="15" t="s">
        <v>1554</v>
      </c>
      <c r="Q1853" s="7"/>
    </row>
    <row r="1854">
      <c r="A1854" s="39" t="s">
        <v>8706</v>
      </c>
      <c r="B1854" s="15">
        <v>33765.0</v>
      </c>
      <c r="C1854" s="15" t="s">
        <v>8707</v>
      </c>
      <c r="D1854" s="15">
        <v>27895.0</v>
      </c>
      <c r="E1854" s="15" t="s">
        <v>1548</v>
      </c>
      <c r="F1854" s="15" t="s">
        <v>1911</v>
      </c>
      <c r="G1854" s="7">
        <v>9.57</v>
      </c>
      <c r="H1854" s="15" t="s">
        <v>2049</v>
      </c>
      <c r="I1854" s="15" t="s">
        <v>1628</v>
      </c>
      <c r="J1854" s="15" t="s">
        <v>8709</v>
      </c>
      <c r="K1854" s="15">
        <v>2.0</v>
      </c>
      <c r="L1854" s="15">
        <v>2.0</v>
      </c>
      <c r="M1854" s="40">
        <v>39389.0</v>
      </c>
      <c r="N1854" s="40">
        <v>42045.0</v>
      </c>
      <c r="O1854" s="15" t="s">
        <v>1554</v>
      </c>
      <c r="Q1854" s="7"/>
    </row>
    <row r="1855">
      <c r="A1855" s="39" t="s">
        <v>8710</v>
      </c>
      <c r="B1855" s="15">
        <v>167129.0</v>
      </c>
      <c r="C1855" s="15" t="s">
        <v>8711</v>
      </c>
      <c r="D1855" s="15">
        <v>27897.0</v>
      </c>
      <c r="E1855" s="15" t="s">
        <v>1548</v>
      </c>
      <c r="F1855" s="15" t="s">
        <v>1911</v>
      </c>
      <c r="G1855" s="7">
        <v>9.73</v>
      </c>
      <c r="H1855" s="15">
        <v>42.0</v>
      </c>
      <c r="I1855" s="15" t="s">
        <v>1628</v>
      </c>
      <c r="J1855" s="15" t="s">
        <v>8712</v>
      </c>
      <c r="K1855" s="15">
        <v>2.0</v>
      </c>
      <c r="L1855" s="15">
        <v>2.0</v>
      </c>
      <c r="M1855" s="41">
        <v>39379.0</v>
      </c>
      <c r="N1855" s="40">
        <v>42045.0</v>
      </c>
      <c r="O1855" s="15" t="s">
        <v>1554</v>
      </c>
      <c r="Q1855" s="7"/>
    </row>
    <row r="1856">
      <c r="A1856" s="39" t="s">
        <v>8713</v>
      </c>
      <c r="B1856" s="15">
        <v>189830.0</v>
      </c>
      <c r="C1856" s="15" t="s">
        <v>8714</v>
      </c>
      <c r="D1856" s="15">
        <v>27899.0</v>
      </c>
      <c r="E1856" s="15" t="s">
        <v>1557</v>
      </c>
      <c r="F1856" s="15" t="s">
        <v>2628</v>
      </c>
      <c r="G1856" s="7">
        <v>27.751</v>
      </c>
      <c r="H1856" s="15" t="s">
        <v>3304</v>
      </c>
      <c r="I1856" s="15" t="s">
        <v>1686</v>
      </c>
      <c r="J1856" s="15" t="s">
        <v>8715</v>
      </c>
      <c r="K1856" s="15">
        <v>28.0</v>
      </c>
      <c r="L1856" s="15">
        <v>28.0</v>
      </c>
      <c r="M1856" s="40">
        <v>39395.0</v>
      </c>
      <c r="N1856" s="40">
        <v>40977.0</v>
      </c>
      <c r="O1856" s="15" t="s">
        <v>1554</v>
      </c>
      <c r="Q1856" s="7"/>
    </row>
    <row r="1857">
      <c r="A1857" s="39" t="s">
        <v>8716</v>
      </c>
      <c r="B1857" s="15">
        <v>469660.0</v>
      </c>
      <c r="C1857" s="15" t="s">
        <v>8717</v>
      </c>
      <c r="D1857" s="15">
        <v>27903.0</v>
      </c>
      <c r="E1857" s="15" t="s">
        <v>1557</v>
      </c>
      <c r="F1857" s="15" t="s">
        <v>1611</v>
      </c>
      <c r="G1857" s="7">
        <v>37.313</v>
      </c>
      <c r="H1857" s="15" t="s">
        <v>1559</v>
      </c>
      <c r="I1857" s="15" t="s">
        <v>1586</v>
      </c>
      <c r="J1857" s="15" t="s">
        <v>8718</v>
      </c>
      <c r="K1857" s="15">
        <v>47.0</v>
      </c>
      <c r="L1857" s="15">
        <v>47.0</v>
      </c>
      <c r="M1857" s="40">
        <v>39362.0</v>
      </c>
      <c r="N1857" s="40">
        <v>40263.0</v>
      </c>
      <c r="O1857" s="15" t="s">
        <v>1554</v>
      </c>
      <c r="Q1857" s="7"/>
    </row>
    <row r="1858">
      <c r="A1858" s="39" t="s">
        <v>8720</v>
      </c>
      <c r="B1858" s="15">
        <v>475777.0</v>
      </c>
      <c r="C1858" s="15" t="s">
        <v>8721</v>
      </c>
      <c r="D1858" s="15">
        <v>27905.0</v>
      </c>
      <c r="E1858" s="15" t="s">
        <v>1548</v>
      </c>
      <c r="F1858" s="15" t="s">
        <v>1786</v>
      </c>
      <c r="G1858" s="7">
        <v>9.058</v>
      </c>
      <c r="H1858" s="15" t="s">
        <v>3082</v>
      </c>
      <c r="I1858" s="15" t="s">
        <v>1628</v>
      </c>
      <c r="J1858" s="15" t="s">
        <v>8722</v>
      </c>
      <c r="K1858" s="15">
        <v>6.0</v>
      </c>
      <c r="L1858" s="15">
        <v>6.0</v>
      </c>
      <c r="M1858" s="41">
        <v>39365.0</v>
      </c>
      <c r="N1858" s="41">
        <v>39414.0</v>
      </c>
      <c r="O1858" s="15" t="s">
        <v>1554</v>
      </c>
      <c r="Q1858" s="7"/>
    </row>
    <row r="1859">
      <c r="A1859" s="39" t="s">
        <v>8723</v>
      </c>
      <c r="B1859" s="15">
        <v>480808.0</v>
      </c>
      <c r="C1859" s="15" t="s">
        <v>8724</v>
      </c>
      <c r="D1859" s="15">
        <v>27907.0</v>
      </c>
      <c r="E1859" s="15" t="s">
        <v>1557</v>
      </c>
      <c r="F1859" s="15" t="s">
        <v>1833</v>
      </c>
      <c r="G1859" s="7">
        <v>53.746</v>
      </c>
      <c r="H1859" s="15" t="s">
        <v>8725</v>
      </c>
      <c r="I1859" s="15" t="s">
        <v>1586</v>
      </c>
      <c r="J1859" s="15" t="s">
        <v>8726</v>
      </c>
      <c r="K1859" s="15">
        <v>78.0</v>
      </c>
      <c r="L1859" s="15">
        <v>77.0</v>
      </c>
      <c r="M1859" s="41">
        <v>39396.0</v>
      </c>
      <c r="N1859" s="41">
        <v>41261.0</v>
      </c>
      <c r="O1859" s="15" t="s">
        <v>1554</v>
      </c>
      <c r="Q1859" s="7"/>
    </row>
    <row r="1860">
      <c r="A1860" s="39" t="s">
        <v>8727</v>
      </c>
      <c r="B1860" s="15">
        <v>675077.0</v>
      </c>
      <c r="C1860" s="15" t="s">
        <v>8728</v>
      </c>
      <c r="D1860" s="15">
        <v>27909.0</v>
      </c>
      <c r="E1860" s="15" t="s">
        <v>1548</v>
      </c>
      <c r="F1860" s="15" t="s">
        <v>1790</v>
      </c>
      <c r="G1860" s="7">
        <v>14.214</v>
      </c>
      <c r="H1860" s="15" t="s">
        <v>2118</v>
      </c>
      <c r="I1860" s="15" t="s">
        <v>1628</v>
      </c>
      <c r="J1860" s="15" t="s">
        <v>8729</v>
      </c>
      <c r="K1860" s="15">
        <v>6.0</v>
      </c>
      <c r="L1860" s="15">
        <v>7.0</v>
      </c>
      <c r="M1860" s="40">
        <v>39389.0</v>
      </c>
      <c r="N1860" s="40">
        <v>42577.0</v>
      </c>
      <c r="O1860" s="15" t="s">
        <v>1554</v>
      </c>
      <c r="Q1860" s="7"/>
    </row>
    <row r="1861">
      <c r="A1861" s="39" t="s">
        <v>8730</v>
      </c>
      <c r="B1861" s="15">
        <v>693998.0</v>
      </c>
      <c r="C1861" s="15" t="s">
        <v>8732</v>
      </c>
      <c r="D1861" s="15">
        <v>27911.0</v>
      </c>
      <c r="E1861" s="15" t="s">
        <v>1548</v>
      </c>
      <c r="F1861" s="15" t="s">
        <v>1684</v>
      </c>
      <c r="G1861" s="7">
        <v>27.165</v>
      </c>
      <c r="H1861" s="15" t="s">
        <v>2597</v>
      </c>
      <c r="I1861" s="15" t="s">
        <v>1686</v>
      </c>
      <c r="J1861" s="15" t="s">
        <v>8733</v>
      </c>
      <c r="K1861" s="15">
        <v>8.0</v>
      </c>
      <c r="L1861" s="15">
        <v>8.0</v>
      </c>
      <c r="M1861" s="40">
        <v>39364.0</v>
      </c>
      <c r="N1861" s="40">
        <v>39790.0</v>
      </c>
      <c r="O1861" s="15" t="s">
        <v>1554</v>
      </c>
      <c r="Q1861" s="7"/>
    </row>
    <row r="1862">
      <c r="A1862" s="39" t="s">
        <v>8734</v>
      </c>
      <c r="B1862" s="15">
        <v>451705.0</v>
      </c>
      <c r="C1862" s="15" t="s">
        <v>8735</v>
      </c>
      <c r="D1862" s="15">
        <v>27979.0</v>
      </c>
      <c r="E1862" s="15" t="s">
        <v>1557</v>
      </c>
      <c r="F1862" s="15" t="s">
        <v>1767</v>
      </c>
      <c r="G1862" s="7">
        <v>52.975</v>
      </c>
      <c r="H1862" s="15">
        <v>44.0</v>
      </c>
      <c r="I1862" s="15" t="s">
        <v>1586</v>
      </c>
      <c r="J1862" s="15" t="s">
        <v>8736</v>
      </c>
      <c r="K1862" s="15">
        <v>76.0</v>
      </c>
      <c r="L1862" s="15">
        <v>75.0</v>
      </c>
      <c r="M1862" s="41">
        <v>39416.0</v>
      </c>
      <c r="N1862" s="40">
        <v>39465.0</v>
      </c>
      <c r="O1862" s="15" t="s">
        <v>1554</v>
      </c>
      <c r="Q1862" s="7"/>
    </row>
    <row r="1863">
      <c r="A1863" s="39" t="s">
        <v>8737</v>
      </c>
      <c r="B1863" s="15">
        <v>293178.0</v>
      </c>
      <c r="C1863" s="15" t="s">
        <v>8738</v>
      </c>
      <c r="D1863" s="15">
        <v>27983.0</v>
      </c>
      <c r="E1863" s="15" t="s">
        <v>1557</v>
      </c>
      <c r="F1863" s="15" t="s">
        <v>1767</v>
      </c>
      <c r="G1863" s="7">
        <v>170.523</v>
      </c>
      <c r="H1863" s="15" t="s">
        <v>6418</v>
      </c>
      <c r="I1863" s="15" t="s">
        <v>1586</v>
      </c>
      <c r="J1863" s="15" t="s">
        <v>8739</v>
      </c>
      <c r="K1863" s="15">
        <v>269.0</v>
      </c>
      <c r="L1863" s="15">
        <v>266.0</v>
      </c>
      <c r="M1863" s="41">
        <v>39400.0</v>
      </c>
      <c r="N1863" s="40">
        <v>40263.0</v>
      </c>
      <c r="O1863" s="15" t="s">
        <v>1554</v>
      </c>
      <c r="Q1863" s="7"/>
    </row>
    <row r="1864">
      <c r="A1864" s="39" t="s">
        <v>8741</v>
      </c>
      <c r="B1864" s="15">
        <v>479058.0</v>
      </c>
      <c r="C1864" s="15" t="s">
        <v>8742</v>
      </c>
      <c r="D1864" s="15">
        <v>27985.0</v>
      </c>
      <c r="E1864" s="15" t="s">
        <v>1557</v>
      </c>
      <c r="F1864" s="15" t="s">
        <v>1822</v>
      </c>
      <c r="G1864" s="7">
        <v>7.295</v>
      </c>
      <c r="H1864" s="15" t="s">
        <v>2334</v>
      </c>
      <c r="I1864" s="15" t="s">
        <v>1686</v>
      </c>
      <c r="J1864" s="15" t="s">
        <v>8743</v>
      </c>
      <c r="K1864" s="15">
        <v>3.0</v>
      </c>
      <c r="L1864" s="15">
        <v>3.0</v>
      </c>
      <c r="M1864" s="41">
        <v>39415.0</v>
      </c>
      <c r="N1864" s="40">
        <v>40263.0</v>
      </c>
      <c r="O1864" s="15" t="s">
        <v>1554</v>
      </c>
      <c r="Q1864" s="7"/>
    </row>
    <row r="1865">
      <c r="A1865" s="39" t="s">
        <v>8744</v>
      </c>
      <c r="B1865" s="15">
        <v>391090.0</v>
      </c>
      <c r="C1865" s="15" t="s">
        <v>8745</v>
      </c>
      <c r="D1865" s="15">
        <v>28045.0</v>
      </c>
      <c r="E1865" s="15" t="s">
        <v>2014</v>
      </c>
      <c r="F1865" s="15" t="s">
        <v>2018</v>
      </c>
      <c r="G1865" s="7">
        <v>1.371</v>
      </c>
      <c r="H1865" s="15">
        <v>39.0</v>
      </c>
      <c r="I1865" s="15" t="s">
        <v>1628</v>
      </c>
      <c r="J1865" s="15" t="s">
        <v>8746</v>
      </c>
      <c r="K1865" s="15">
        <v>1.0</v>
      </c>
      <c r="L1865" s="15">
        <v>1.0</v>
      </c>
      <c r="M1865" s="40">
        <v>39420.0</v>
      </c>
      <c r="N1865" s="40">
        <v>42583.0</v>
      </c>
      <c r="O1865" s="15" t="s">
        <v>1554</v>
      </c>
      <c r="Q1865" s="7"/>
    </row>
    <row r="1866">
      <c r="A1866" s="39" t="s">
        <v>8748</v>
      </c>
      <c r="B1866" s="15">
        <v>462590.0</v>
      </c>
      <c r="C1866" s="15" t="s">
        <v>8749</v>
      </c>
      <c r="D1866" s="15">
        <v>28053.0</v>
      </c>
      <c r="E1866" s="15" t="s">
        <v>1557</v>
      </c>
      <c r="F1866" s="15" t="s">
        <v>1833</v>
      </c>
      <c r="G1866" s="7">
        <v>58.663</v>
      </c>
      <c r="H1866" s="15" t="s">
        <v>3685</v>
      </c>
      <c r="I1866" s="15" t="s">
        <v>1586</v>
      </c>
      <c r="J1866" s="15" t="s">
        <v>8750</v>
      </c>
      <c r="K1866" s="15">
        <v>77.0</v>
      </c>
      <c r="L1866" s="15">
        <v>77.0</v>
      </c>
      <c r="M1866" s="40">
        <v>39417.0</v>
      </c>
      <c r="N1866" s="40">
        <v>40549.0</v>
      </c>
      <c r="O1866" s="15" t="s">
        <v>1554</v>
      </c>
      <c r="Q1866" s="7"/>
    </row>
    <row r="1867">
      <c r="A1867" s="39" t="s">
        <v>8751</v>
      </c>
      <c r="B1867" s="15">
        <v>379501.0</v>
      </c>
      <c r="C1867" s="15" t="s">
        <v>8752</v>
      </c>
      <c r="D1867" s="15">
        <v>28065.0</v>
      </c>
      <c r="E1867" s="15" t="s">
        <v>1557</v>
      </c>
      <c r="F1867" s="15" t="s">
        <v>1833</v>
      </c>
      <c r="G1867" s="7">
        <v>43.011</v>
      </c>
      <c r="H1867" s="15" t="s">
        <v>4479</v>
      </c>
      <c r="I1867" s="15" t="s">
        <v>1586</v>
      </c>
      <c r="J1867" s="15" t="s">
        <v>8753</v>
      </c>
      <c r="K1867" s="15">
        <v>67.0</v>
      </c>
      <c r="L1867" s="15">
        <v>67.0</v>
      </c>
      <c r="M1867" s="40">
        <v>39423.0</v>
      </c>
      <c r="N1867" s="40">
        <v>39785.0</v>
      </c>
      <c r="O1867" s="15" t="s">
        <v>1554</v>
      </c>
      <c r="Q1867" s="7"/>
    </row>
    <row r="1868">
      <c r="A1868" s="39" t="s">
        <v>8754</v>
      </c>
      <c r="B1868" s="15">
        <v>486898.0</v>
      </c>
      <c r="C1868" s="15" t="s">
        <v>8755</v>
      </c>
      <c r="D1868" s="15">
        <v>28067.0</v>
      </c>
      <c r="E1868" s="15" t="s">
        <v>2014</v>
      </c>
      <c r="F1868" s="15" t="s">
        <v>2018</v>
      </c>
      <c r="G1868" s="7">
        <v>1.361</v>
      </c>
      <c r="H1868" s="15" t="s">
        <v>2885</v>
      </c>
      <c r="I1868" s="15" t="s">
        <v>1628</v>
      </c>
      <c r="J1868" s="15" t="s">
        <v>8757</v>
      </c>
      <c r="K1868" s="15">
        <v>1.0</v>
      </c>
      <c r="L1868" s="15">
        <v>1.0</v>
      </c>
      <c r="M1868" s="40">
        <v>39424.0</v>
      </c>
      <c r="N1868" s="41">
        <v>39428.0</v>
      </c>
      <c r="O1868" s="15" t="s">
        <v>1554</v>
      </c>
      <c r="Q1868" s="7"/>
    </row>
    <row r="1869">
      <c r="A1869" s="39" t="s">
        <v>8758</v>
      </c>
      <c r="B1869" s="15">
        <v>346881.0</v>
      </c>
      <c r="C1869" s="15" t="s">
        <v>8759</v>
      </c>
      <c r="D1869" s="15">
        <v>28073.0</v>
      </c>
      <c r="E1869" s="15" t="s">
        <v>1557</v>
      </c>
      <c r="F1869" s="15" t="s">
        <v>3628</v>
      </c>
      <c r="G1869" s="7">
        <v>40.449</v>
      </c>
      <c r="H1869" s="15" t="s">
        <v>4331</v>
      </c>
      <c r="I1869" s="15" t="s">
        <v>1618</v>
      </c>
      <c r="J1869" s="15" t="s">
        <v>8760</v>
      </c>
      <c r="K1869" s="15">
        <v>68.0</v>
      </c>
      <c r="L1869" s="15">
        <v>68.0</v>
      </c>
      <c r="M1869" s="40">
        <v>39341.0</v>
      </c>
      <c r="N1869" s="40">
        <v>42577.0</v>
      </c>
      <c r="O1869" s="15" t="s">
        <v>1554</v>
      </c>
      <c r="Q1869" s="7"/>
    </row>
    <row r="1870">
      <c r="A1870" s="39" t="s">
        <v>8761</v>
      </c>
      <c r="B1870" s="15">
        <v>346882.0</v>
      </c>
      <c r="C1870" s="15" t="s">
        <v>8762</v>
      </c>
      <c r="D1870" s="15">
        <v>28075.0</v>
      </c>
      <c r="E1870" s="15" t="s">
        <v>1557</v>
      </c>
      <c r="F1870" s="15" t="s">
        <v>3628</v>
      </c>
      <c r="G1870" s="7">
        <v>39.577</v>
      </c>
      <c r="H1870" s="15" t="s">
        <v>4331</v>
      </c>
      <c r="I1870" s="15" t="s">
        <v>1618</v>
      </c>
      <c r="J1870" s="15" t="s">
        <v>8763</v>
      </c>
      <c r="K1870" s="15">
        <v>66.0</v>
      </c>
      <c r="L1870" s="15">
        <v>66.0</v>
      </c>
      <c r="M1870" s="40">
        <v>39341.0</v>
      </c>
      <c r="N1870" s="40">
        <v>40263.0</v>
      </c>
      <c r="O1870" s="15" t="s">
        <v>1554</v>
      </c>
      <c r="Q1870" s="7"/>
    </row>
    <row r="1871">
      <c r="A1871" s="39" t="s">
        <v>8765</v>
      </c>
      <c r="B1871" s="15">
        <v>346883.0</v>
      </c>
      <c r="C1871" s="15" t="s">
        <v>8766</v>
      </c>
      <c r="D1871" s="15">
        <v>28077.0</v>
      </c>
      <c r="E1871" s="15" t="s">
        <v>1557</v>
      </c>
      <c r="F1871" s="15" t="s">
        <v>3628</v>
      </c>
      <c r="G1871" s="7">
        <v>36.895</v>
      </c>
      <c r="H1871" s="15">
        <v>38.0</v>
      </c>
      <c r="I1871" s="15" t="s">
        <v>1618</v>
      </c>
      <c r="J1871" s="15" t="s">
        <v>8767</v>
      </c>
      <c r="K1871" s="15">
        <v>57.0</v>
      </c>
      <c r="L1871" s="15">
        <v>57.0</v>
      </c>
      <c r="M1871" s="40">
        <v>39341.0</v>
      </c>
      <c r="N1871" s="40">
        <v>40263.0</v>
      </c>
      <c r="O1871" s="15" t="s">
        <v>1554</v>
      </c>
      <c r="Q1871" s="7"/>
    </row>
    <row r="1872">
      <c r="A1872" s="39" t="s">
        <v>8768</v>
      </c>
      <c r="B1872" s="15">
        <v>346884.0</v>
      </c>
      <c r="C1872" s="15" t="s">
        <v>8769</v>
      </c>
      <c r="D1872" s="15">
        <v>28079.0</v>
      </c>
      <c r="E1872" s="15" t="s">
        <v>1557</v>
      </c>
      <c r="F1872" s="15" t="s">
        <v>3628</v>
      </c>
      <c r="G1872" s="7">
        <v>38.179</v>
      </c>
      <c r="H1872" s="15" t="s">
        <v>3309</v>
      </c>
      <c r="I1872" s="15" t="s">
        <v>1618</v>
      </c>
      <c r="J1872" s="15" t="s">
        <v>8770</v>
      </c>
      <c r="K1872" s="15">
        <v>61.0</v>
      </c>
      <c r="L1872" s="15">
        <v>61.0</v>
      </c>
      <c r="M1872" s="40">
        <v>39341.0</v>
      </c>
      <c r="N1872" s="40">
        <v>40263.0</v>
      </c>
      <c r="O1872" s="15" t="s">
        <v>1554</v>
      </c>
      <c r="Q1872" s="7"/>
    </row>
    <row r="1873">
      <c r="A1873" s="39" t="s">
        <v>8771</v>
      </c>
      <c r="B1873" s="15">
        <v>139871.0</v>
      </c>
      <c r="C1873" s="15" t="s">
        <v>8772</v>
      </c>
      <c r="D1873" s="15">
        <v>28145.0</v>
      </c>
      <c r="E1873" s="15" t="s">
        <v>4407</v>
      </c>
      <c r="F1873" s="15" t="s">
        <v>1578</v>
      </c>
      <c r="G1873" s="7">
        <v>40.881</v>
      </c>
      <c r="H1873" s="15" t="s">
        <v>2699</v>
      </c>
      <c r="I1873" s="15" t="s">
        <v>1586</v>
      </c>
      <c r="J1873" s="15" t="s">
        <v>8774</v>
      </c>
      <c r="K1873" s="15">
        <v>56.0</v>
      </c>
      <c r="L1873" s="15">
        <v>56.0</v>
      </c>
      <c r="M1873" s="40">
        <v>36982.0</v>
      </c>
      <c r="N1873" s="40">
        <v>39520.0</v>
      </c>
      <c r="O1873" s="15" t="s">
        <v>1554</v>
      </c>
      <c r="Q1873" s="7"/>
    </row>
    <row r="1874">
      <c r="A1874" s="39" t="s">
        <v>8775</v>
      </c>
      <c r="B1874" s="15">
        <v>180903.0</v>
      </c>
      <c r="C1874" s="15" t="s">
        <v>8776</v>
      </c>
      <c r="D1874" s="15">
        <v>28147.0</v>
      </c>
      <c r="E1874" s="15" t="s">
        <v>1548</v>
      </c>
      <c r="F1874" s="15" t="s">
        <v>1790</v>
      </c>
      <c r="G1874" s="7">
        <v>13.071</v>
      </c>
      <c r="H1874" s="15" t="s">
        <v>3584</v>
      </c>
      <c r="I1874" s="15" t="s">
        <v>1628</v>
      </c>
      <c r="J1874" s="15" t="s">
        <v>8777</v>
      </c>
      <c r="K1874" s="15">
        <v>7.0</v>
      </c>
      <c r="L1874" s="15">
        <v>7.0</v>
      </c>
      <c r="M1874" s="40">
        <v>37278.0</v>
      </c>
      <c r="N1874" s="40">
        <v>42577.0</v>
      </c>
      <c r="O1874" s="15" t="s">
        <v>1554</v>
      </c>
      <c r="Q1874" s="7"/>
    </row>
    <row r="1875">
      <c r="A1875" s="39" t="s">
        <v>8778</v>
      </c>
      <c r="B1875" s="15">
        <v>464980.0</v>
      </c>
      <c r="C1875" s="15" t="s">
        <v>8779</v>
      </c>
      <c r="D1875" s="15">
        <v>28243.0</v>
      </c>
      <c r="E1875" s="15" t="s">
        <v>1557</v>
      </c>
      <c r="F1875" s="15" t="s">
        <v>1822</v>
      </c>
      <c r="G1875" s="7">
        <v>7.742</v>
      </c>
      <c r="H1875" s="15" t="s">
        <v>5627</v>
      </c>
      <c r="I1875" s="15" t="s">
        <v>1686</v>
      </c>
      <c r="J1875" s="15" t="s">
        <v>8781</v>
      </c>
      <c r="K1875" s="15">
        <v>6.0</v>
      </c>
      <c r="L1875" s="15">
        <v>6.0</v>
      </c>
      <c r="M1875" s="41">
        <v>39447.0</v>
      </c>
      <c r="N1875" s="40">
        <v>40263.0</v>
      </c>
      <c r="O1875" s="15" t="s">
        <v>1554</v>
      </c>
      <c r="Q1875" s="7"/>
    </row>
    <row r="1876">
      <c r="A1876" s="39" t="s">
        <v>8782</v>
      </c>
      <c r="B1876" s="15">
        <v>436243.0</v>
      </c>
      <c r="C1876" s="15" t="s">
        <v>8783</v>
      </c>
      <c r="D1876" s="15">
        <v>28273.0</v>
      </c>
      <c r="E1876" s="15" t="s">
        <v>2014</v>
      </c>
      <c r="F1876" s="15" t="s">
        <v>2018</v>
      </c>
      <c r="G1876" s="7">
        <v>1.37</v>
      </c>
      <c r="H1876" s="15" t="s">
        <v>2118</v>
      </c>
      <c r="I1876" s="15" t="s">
        <v>1628</v>
      </c>
      <c r="J1876" s="15" t="s">
        <v>8784</v>
      </c>
      <c r="K1876" s="15">
        <v>1.0</v>
      </c>
      <c r="L1876" s="15">
        <v>1.0</v>
      </c>
      <c r="M1876" s="40">
        <v>39448.0</v>
      </c>
      <c r="N1876" s="41">
        <v>40540.0</v>
      </c>
      <c r="O1876" s="15" t="s">
        <v>1554</v>
      </c>
      <c r="Q1876" s="7"/>
    </row>
    <row r="1877">
      <c r="A1877" s="39" t="s">
        <v>8785</v>
      </c>
      <c r="B1877" s="15">
        <v>489830.0</v>
      </c>
      <c r="C1877" s="15" t="s">
        <v>8786</v>
      </c>
      <c r="D1877" s="15">
        <v>28275.0</v>
      </c>
      <c r="E1877" s="15" t="s">
        <v>1557</v>
      </c>
      <c r="F1877" s="15" t="s">
        <v>1992</v>
      </c>
      <c r="G1877" s="7">
        <v>169.794</v>
      </c>
      <c r="H1877" s="15" t="s">
        <v>3070</v>
      </c>
      <c r="I1877" s="15" t="s">
        <v>1560</v>
      </c>
      <c r="J1877" s="15" t="s">
        <v>8787</v>
      </c>
      <c r="K1877" s="15">
        <v>179.0</v>
      </c>
      <c r="L1877" s="15">
        <v>179.0</v>
      </c>
      <c r="M1877" s="40">
        <v>39448.0</v>
      </c>
      <c r="N1877" s="40">
        <v>40744.0</v>
      </c>
      <c r="O1877" s="15" t="s">
        <v>1554</v>
      </c>
      <c r="Q1877" s="7"/>
    </row>
    <row r="1878">
      <c r="A1878" s="39" t="s">
        <v>8788</v>
      </c>
      <c r="B1878" s="15">
        <v>662596.0</v>
      </c>
      <c r="C1878" s="15" t="s">
        <v>8789</v>
      </c>
      <c r="D1878" s="15">
        <v>28281.0</v>
      </c>
      <c r="E1878" s="15" t="s">
        <v>2014</v>
      </c>
      <c r="F1878" s="15" t="s">
        <v>2018</v>
      </c>
      <c r="G1878" s="7">
        <v>1.358</v>
      </c>
      <c r="H1878" s="15" t="s">
        <v>4595</v>
      </c>
      <c r="I1878" s="15" t="s">
        <v>1628</v>
      </c>
      <c r="J1878" s="15" t="s">
        <v>8790</v>
      </c>
      <c r="K1878" s="15">
        <v>1.0</v>
      </c>
      <c r="L1878" s="15">
        <v>1.0</v>
      </c>
      <c r="M1878" s="40">
        <v>39448.0</v>
      </c>
      <c r="N1878" s="41">
        <v>40540.0</v>
      </c>
      <c r="O1878" s="15" t="s">
        <v>1554</v>
      </c>
      <c r="Q1878" s="7"/>
    </row>
    <row r="1879">
      <c r="A1879" s="39" t="s">
        <v>8791</v>
      </c>
      <c r="B1879" s="15">
        <v>436242.0</v>
      </c>
      <c r="C1879" s="15" t="s">
        <v>8792</v>
      </c>
      <c r="D1879" s="15">
        <v>28283.0</v>
      </c>
      <c r="E1879" s="15" t="s">
        <v>2014</v>
      </c>
      <c r="F1879" s="15" t="s">
        <v>2018</v>
      </c>
      <c r="G1879" s="7">
        <v>1.361</v>
      </c>
      <c r="H1879" s="15" t="s">
        <v>1994</v>
      </c>
      <c r="I1879" s="15" t="s">
        <v>1628</v>
      </c>
      <c r="J1879" s="15" t="s">
        <v>8793</v>
      </c>
      <c r="K1879" s="15">
        <v>1.0</v>
      </c>
      <c r="L1879" s="15">
        <v>1.0</v>
      </c>
      <c r="M1879" s="40">
        <v>39448.0</v>
      </c>
      <c r="N1879" s="41">
        <v>40540.0</v>
      </c>
      <c r="O1879" s="15" t="s">
        <v>1554</v>
      </c>
      <c r="Q1879" s="7"/>
    </row>
    <row r="1880">
      <c r="A1880" s="39" t="s">
        <v>8794</v>
      </c>
      <c r="B1880" s="15">
        <v>441999.0</v>
      </c>
      <c r="C1880" s="15" t="s">
        <v>8795</v>
      </c>
      <c r="D1880" s="15">
        <v>28297.0</v>
      </c>
      <c r="E1880" s="15" t="s">
        <v>1638</v>
      </c>
      <c r="F1880" s="15" t="s">
        <v>1639</v>
      </c>
      <c r="G1880" s="7">
        <v>5.193</v>
      </c>
      <c r="H1880" s="15" t="s">
        <v>3890</v>
      </c>
      <c r="I1880" s="15" t="s">
        <v>1552</v>
      </c>
      <c r="J1880" s="15" t="s">
        <v>8796</v>
      </c>
      <c r="K1880" s="15">
        <v>2.0</v>
      </c>
      <c r="L1880" s="15">
        <v>2.0</v>
      </c>
      <c r="M1880" s="40">
        <v>39455.0</v>
      </c>
      <c r="N1880" s="40">
        <v>39840.0</v>
      </c>
      <c r="O1880" s="15" t="s">
        <v>1554</v>
      </c>
      <c r="Q1880" s="7"/>
    </row>
    <row r="1881">
      <c r="A1881" s="39" t="s">
        <v>8797</v>
      </c>
      <c r="B1881" s="15">
        <v>42764.0</v>
      </c>
      <c r="C1881" s="15" t="s">
        <v>8798</v>
      </c>
      <c r="D1881" s="15">
        <v>28319.0</v>
      </c>
      <c r="E1881" s="15" t="s">
        <v>1548</v>
      </c>
      <c r="F1881" s="15" t="s">
        <v>1838</v>
      </c>
      <c r="G1881" s="7">
        <v>10.719</v>
      </c>
      <c r="H1881" s="15" t="s">
        <v>8800</v>
      </c>
      <c r="I1881" s="15" t="s">
        <v>1567</v>
      </c>
      <c r="J1881" s="15" t="s">
        <v>8801</v>
      </c>
      <c r="K1881" s="15">
        <v>4.0</v>
      </c>
      <c r="L1881" s="15">
        <v>4.0</v>
      </c>
      <c r="M1881" s="40">
        <v>35148.0</v>
      </c>
      <c r="N1881" s="40">
        <v>39458.0</v>
      </c>
      <c r="O1881" s="15" t="s">
        <v>1554</v>
      </c>
      <c r="Q1881" s="7"/>
    </row>
    <row r="1882">
      <c r="A1882" s="39" t="s">
        <v>8802</v>
      </c>
      <c r="B1882" s="15">
        <v>45218.0</v>
      </c>
      <c r="C1882" s="15" t="s">
        <v>8803</v>
      </c>
      <c r="D1882" s="15">
        <v>28321.0</v>
      </c>
      <c r="E1882" s="15" t="s">
        <v>1548</v>
      </c>
      <c r="F1882" s="15" t="s">
        <v>1838</v>
      </c>
      <c r="G1882" s="7">
        <v>10.387</v>
      </c>
      <c r="H1882" s="15" t="s">
        <v>8804</v>
      </c>
      <c r="I1882" s="15" t="s">
        <v>1567</v>
      </c>
      <c r="J1882" s="15" t="s">
        <v>8805</v>
      </c>
      <c r="K1882" s="15">
        <v>4.0</v>
      </c>
      <c r="L1882" s="15">
        <v>4.0</v>
      </c>
      <c r="M1882" s="40">
        <v>37515.0</v>
      </c>
      <c r="N1882" s="40">
        <v>39790.0</v>
      </c>
      <c r="O1882" s="15" t="s">
        <v>1554</v>
      </c>
      <c r="Q1882" s="7"/>
    </row>
    <row r="1883">
      <c r="A1883" s="39" t="s">
        <v>8806</v>
      </c>
      <c r="B1883" s="15">
        <v>144752.0</v>
      </c>
      <c r="C1883" s="15" t="s">
        <v>8807</v>
      </c>
      <c r="D1883" s="15">
        <v>28323.0</v>
      </c>
      <c r="E1883" s="15" t="s">
        <v>1548</v>
      </c>
      <c r="F1883" s="15" t="s">
        <v>1838</v>
      </c>
      <c r="G1883" s="7">
        <v>10.396</v>
      </c>
      <c r="H1883" s="15" t="s">
        <v>8808</v>
      </c>
      <c r="I1883" s="15" t="s">
        <v>1567</v>
      </c>
      <c r="J1883" s="15" t="s">
        <v>8809</v>
      </c>
      <c r="K1883" s="15">
        <v>4.0</v>
      </c>
      <c r="L1883" s="15">
        <v>4.0</v>
      </c>
      <c r="M1883" s="40">
        <v>36893.0</v>
      </c>
      <c r="N1883" s="40">
        <v>39458.0</v>
      </c>
      <c r="O1883" s="15" t="s">
        <v>1554</v>
      </c>
      <c r="Q1883" s="7"/>
    </row>
    <row r="1884">
      <c r="A1884" s="39" t="s">
        <v>8810</v>
      </c>
      <c r="B1884" s="15">
        <v>192848.0</v>
      </c>
      <c r="C1884" s="15" t="s">
        <v>8812</v>
      </c>
      <c r="D1884" s="15">
        <v>28325.0</v>
      </c>
      <c r="E1884" s="15" t="s">
        <v>1548</v>
      </c>
      <c r="F1884" s="15" t="s">
        <v>1838</v>
      </c>
      <c r="G1884" s="7">
        <v>10.441</v>
      </c>
      <c r="H1884" s="15" t="s">
        <v>8813</v>
      </c>
      <c r="I1884" s="15" t="s">
        <v>1567</v>
      </c>
      <c r="J1884" s="15" t="s">
        <v>8814</v>
      </c>
      <c r="K1884" s="15">
        <v>4.0</v>
      </c>
      <c r="L1884" s="15">
        <v>4.0</v>
      </c>
      <c r="M1884" s="40">
        <v>39052.0</v>
      </c>
      <c r="N1884" s="40">
        <v>39790.0</v>
      </c>
      <c r="O1884" s="15" t="s">
        <v>1554</v>
      </c>
      <c r="Q1884" s="7"/>
    </row>
    <row r="1885">
      <c r="A1885" s="39" t="s">
        <v>8815</v>
      </c>
      <c r="B1885" s="15">
        <v>208899.0</v>
      </c>
      <c r="C1885" s="15" t="s">
        <v>8816</v>
      </c>
      <c r="D1885" s="15">
        <v>28327.0</v>
      </c>
      <c r="E1885" s="15" t="s">
        <v>1548</v>
      </c>
      <c r="F1885" s="15" t="s">
        <v>1838</v>
      </c>
      <c r="G1885" s="7">
        <v>10.438</v>
      </c>
      <c r="H1885" s="15" t="s">
        <v>8817</v>
      </c>
      <c r="I1885" s="15" t="s">
        <v>1567</v>
      </c>
      <c r="J1885" s="15" t="s">
        <v>8818</v>
      </c>
      <c r="K1885" s="15">
        <v>4.0</v>
      </c>
      <c r="L1885" s="15">
        <v>4.0</v>
      </c>
      <c r="M1885" s="40">
        <v>37531.0</v>
      </c>
      <c r="N1885" s="40">
        <v>39458.0</v>
      </c>
      <c r="O1885" s="15" t="s">
        <v>1554</v>
      </c>
      <c r="Q1885" s="7"/>
    </row>
    <row r="1886">
      <c r="A1886" s="39" t="s">
        <v>8819</v>
      </c>
      <c r="B1886" s="15">
        <v>490711.0</v>
      </c>
      <c r="C1886" s="15" t="s">
        <v>8820</v>
      </c>
      <c r="D1886" s="15">
        <v>28501.0</v>
      </c>
      <c r="E1886" s="15" t="s">
        <v>1557</v>
      </c>
      <c r="F1886" s="15" t="s">
        <v>1992</v>
      </c>
      <c r="G1886" s="7">
        <v>156.179</v>
      </c>
      <c r="H1886" s="15" t="s">
        <v>2320</v>
      </c>
      <c r="I1886" s="15" t="s">
        <v>1560</v>
      </c>
      <c r="J1886" s="15" t="s">
        <v>8821</v>
      </c>
      <c r="K1886" s="15">
        <v>135.0</v>
      </c>
      <c r="L1886" s="15">
        <v>135.0</v>
      </c>
      <c r="M1886" s="40">
        <v>39463.0</v>
      </c>
      <c r="N1886" s="40">
        <v>39560.0</v>
      </c>
      <c r="O1886" s="15" t="s">
        <v>1554</v>
      </c>
      <c r="Q1886" s="7"/>
    </row>
    <row r="1887">
      <c r="A1887" s="39" t="s">
        <v>8822</v>
      </c>
      <c r="B1887" s="15">
        <v>493803.0</v>
      </c>
      <c r="C1887" s="15" t="s">
        <v>8823</v>
      </c>
      <c r="D1887" s="15">
        <v>28509.0</v>
      </c>
      <c r="E1887" s="15" t="s">
        <v>1557</v>
      </c>
      <c r="F1887" s="15" t="s">
        <v>2004</v>
      </c>
      <c r="G1887" s="7">
        <v>5.387</v>
      </c>
      <c r="H1887" s="15" t="s">
        <v>2223</v>
      </c>
      <c r="I1887" s="15" t="s">
        <v>1567</v>
      </c>
      <c r="J1887" s="15" t="s">
        <v>8825</v>
      </c>
      <c r="K1887" s="15">
        <v>4.0</v>
      </c>
      <c r="L1887" s="15">
        <v>4.0</v>
      </c>
      <c r="M1887" s="40">
        <v>39468.0</v>
      </c>
      <c r="N1887" s="41">
        <v>41989.0</v>
      </c>
      <c r="O1887" s="15" t="s">
        <v>1554</v>
      </c>
      <c r="Q1887" s="7"/>
    </row>
    <row r="1888">
      <c r="A1888" s="39" t="s">
        <v>8826</v>
      </c>
      <c r="B1888" s="15">
        <v>457382.0</v>
      </c>
      <c r="C1888" s="15" t="s">
        <v>8827</v>
      </c>
      <c r="D1888" s="15">
        <v>28617.0</v>
      </c>
      <c r="E1888" s="15" t="s">
        <v>1548</v>
      </c>
      <c r="F1888" s="15" t="s">
        <v>1633</v>
      </c>
      <c r="G1888" s="7">
        <v>5.816</v>
      </c>
      <c r="H1888" s="15" t="s">
        <v>2296</v>
      </c>
      <c r="I1888" s="15" t="s">
        <v>1628</v>
      </c>
      <c r="J1888" s="15" t="s">
        <v>8828</v>
      </c>
      <c r="K1888" s="15">
        <v>5.0</v>
      </c>
      <c r="L1888" s="15">
        <v>5.0</v>
      </c>
      <c r="M1888" s="40">
        <v>39473.0</v>
      </c>
      <c r="N1888" s="40">
        <v>39840.0</v>
      </c>
      <c r="O1888" s="15" t="s">
        <v>1554</v>
      </c>
      <c r="Q1888" s="7"/>
    </row>
    <row r="1889">
      <c r="A1889" s="39" t="s">
        <v>8829</v>
      </c>
      <c r="B1889" s="15">
        <v>497865.0</v>
      </c>
      <c r="C1889" s="15" t="s">
        <v>8830</v>
      </c>
      <c r="D1889" s="15">
        <v>28647.0</v>
      </c>
      <c r="E1889" s="15" t="s">
        <v>2014</v>
      </c>
      <c r="F1889" s="15" t="s">
        <v>2018</v>
      </c>
      <c r="G1889" s="7">
        <v>1.338</v>
      </c>
      <c r="H1889" s="15" t="s">
        <v>3317</v>
      </c>
      <c r="I1889" s="15" t="s">
        <v>1628</v>
      </c>
      <c r="J1889" s="15" t="s">
        <v>8831</v>
      </c>
      <c r="K1889" s="15">
        <v>1.0</v>
      </c>
      <c r="L1889" s="15">
        <v>1.0</v>
      </c>
      <c r="M1889" s="40">
        <v>39474.0</v>
      </c>
      <c r="N1889" s="40">
        <v>40579.0</v>
      </c>
      <c r="O1889" s="15" t="s">
        <v>1554</v>
      </c>
      <c r="Q1889" s="7"/>
    </row>
    <row r="1890">
      <c r="A1890" s="39" t="s">
        <v>8832</v>
      </c>
      <c r="B1890" s="15">
        <v>478550.0</v>
      </c>
      <c r="C1890" s="15" t="s">
        <v>8833</v>
      </c>
      <c r="D1890" s="15">
        <v>28681.0</v>
      </c>
      <c r="E1890" s="15" t="s">
        <v>1548</v>
      </c>
      <c r="F1890" s="15" t="s">
        <v>1786</v>
      </c>
      <c r="G1890" s="7">
        <v>8.412</v>
      </c>
      <c r="H1890" s="15" t="s">
        <v>5934</v>
      </c>
      <c r="I1890" s="15" t="s">
        <v>1628</v>
      </c>
      <c r="J1890" s="15" t="s">
        <v>8835</v>
      </c>
      <c r="K1890" s="15">
        <v>6.0</v>
      </c>
      <c r="L1890" s="15">
        <v>6.0</v>
      </c>
      <c r="M1890" s="40">
        <v>39479.0</v>
      </c>
      <c r="N1890" s="40">
        <v>42045.0</v>
      </c>
      <c r="O1890" s="15" t="s">
        <v>1554</v>
      </c>
      <c r="Q1890" s="7"/>
    </row>
    <row r="1891">
      <c r="A1891" s="39" t="s">
        <v>8836</v>
      </c>
      <c r="B1891" s="15">
        <v>498805.0</v>
      </c>
      <c r="C1891" s="15" t="s">
        <v>8837</v>
      </c>
      <c r="D1891" s="15">
        <v>28689.0</v>
      </c>
      <c r="E1891" s="15" t="s">
        <v>1808</v>
      </c>
      <c r="F1891" s="15" t="s">
        <v>1809</v>
      </c>
      <c r="G1891" s="7">
        <v>2.725</v>
      </c>
      <c r="H1891" s="15" t="s">
        <v>3000</v>
      </c>
      <c r="I1891" s="15" t="s">
        <v>1628</v>
      </c>
      <c r="J1891" s="15" t="s">
        <v>8838</v>
      </c>
      <c r="K1891" s="15">
        <v>6.0</v>
      </c>
      <c r="L1891" s="15">
        <v>6.0</v>
      </c>
      <c r="M1891" s="40">
        <v>39481.0</v>
      </c>
      <c r="N1891" s="40">
        <v>40206.0</v>
      </c>
      <c r="O1891" s="15" t="s">
        <v>1554</v>
      </c>
      <c r="Q1891" s="7"/>
    </row>
    <row r="1892">
      <c r="A1892" s="39" t="s">
        <v>8839</v>
      </c>
      <c r="B1892" s="15">
        <v>438782.0</v>
      </c>
      <c r="C1892" s="15" t="s">
        <v>8840</v>
      </c>
      <c r="D1892" s="15">
        <v>28697.0</v>
      </c>
      <c r="E1892" s="15" t="s">
        <v>1808</v>
      </c>
      <c r="F1892" s="15" t="s">
        <v>1854</v>
      </c>
      <c r="G1892" s="7">
        <v>6.422</v>
      </c>
      <c r="H1892" s="15" t="s">
        <v>8841</v>
      </c>
      <c r="I1892" s="15" t="s">
        <v>1628</v>
      </c>
      <c r="J1892" s="15" t="s">
        <v>8842</v>
      </c>
      <c r="K1892" s="15">
        <v>5.0</v>
      </c>
      <c r="L1892" s="15">
        <v>5.0</v>
      </c>
      <c r="M1892" s="40">
        <v>39482.0</v>
      </c>
      <c r="N1892" s="41">
        <v>42297.0</v>
      </c>
      <c r="O1892" s="15" t="s">
        <v>1554</v>
      </c>
      <c r="Q1892" s="7"/>
    </row>
    <row r="1893">
      <c r="A1893" s="39" t="s">
        <v>8843</v>
      </c>
      <c r="B1893" s="15">
        <v>501328.0</v>
      </c>
      <c r="C1893" s="15" t="s">
        <v>8845</v>
      </c>
      <c r="D1893" s="15">
        <v>28699.0</v>
      </c>
      <c r="E1893" s="15" t="s">
        <v>1808</v>
      </c>
      <c r="F1893" s="15" t="s">
        <v>1809</v>
      </c>
      <c r="G1893" s="7">
        <v>2.803</v>
      </c>
      <c r="H1893" s="15" t="s">
        <v>3584</v>
      </c>
      <c r="I1893" s="15" t="s">
        <v>1628</v>
      </c>
      <c r="J1893" s="15" t="s">
        <v>8846</v>
      </c>
      <c r="K1893" s="15">
        <v>6.0</v>
      </c>
      <c r="L1893" s="15">
        <v>6.0</v>
      </c>
      <c r="M1893" s="40">
        <v>39461.0</v>
      </c>
      <c r="N1893" s="40">
        <v>40416.0</v>
      </c>
      <c r="O1893" s="15" t="s">
        <v>1554</v>
      </c>
      <c r="Q1893" s="7"/>
    </row>
    <row r="1894">
      <c r="A1894" s="39" t="s">
        <v>8847</v>
      </c>
      <c r="B1894" s="15">
        <v>488255.0</v>
      </c>
      <c r="C1894" s="15" t="s">
        <v>8848</v>
      </c>
      <c r="D1894" s="15">
        <v>28727.0</v>
      </c>
      <c r="E1894" s="15" t="s">
        <v>2014</v>
      </c>
      <c r="F1894" s="15" t="s">
        <v>2018</v>
      </c>
      <c r="G1894" s="7">
        <v>1.339</v>
      </c>
      <c r="H1894" s="15" t="s">
        <v>1710</v>
      </c>
      <c r="I1894" s="15" t="s">
        <v>1628</v>
      </c>
      <c r="J1894" s="15" t="s">
        <v>8849</v>
      </c>
      <c r="K1894" s="15">
        <v>1.0</v>
      </c>
      <c r="L1894" s="15">
        <v>1.0</v>
      </c>
      <c r="M1894" s="41">
        <v>39434.0</v>
      </c>
      <c r="N1894" s="41">
        <v>40540.0</v>
      </c>
      <c r="O1894" s="15" t="s">
        <v>1554</v>
      </c>
      <c r="Q1894" s="7"/>
    </row>
    <row r="1895">
      <c r="A1895" s="39" t="s">
        <v>8850</v>
      </c>
      <c r="B1895" s="15">
        <v>490103.0</v>
      </c>
      <c r="C1895" s="15" t="s">
        <v>8851</v>
      </c>
      <c r="D1895" s="15">
        <v>28729.0</v>
      </c>
      <c r="E1895" s="15" t="s">
        <v>1557</v>
      </c>
      <c r="F1895" s="15" t="s">
        <v>1611</v>
      </c>
      <c r="G1895" s="7">
        <v>77.554</v>
      </c>
      <c r="H1895" s="15" t="s">
        <v>2023</v>
      </c>
      <c r="I1895" s="15" t="s">
        <v>1586</v>
      </c>
      <c r="J1895" s="15" t="s">
        <v>8852</v>
      </c>
      <c r="K1895" s="15">
        <v>128.0</v>
      </c>
      <c r="L1895" s="15">
        <v>128.0</v>
      </c>
      <c r="M1895" s="40">
        <v>39452.0</v>
      </c>
      <c r="N1895" s="40">
        <v>42458.0</v>
      </c>
      <c r="O1895" s="15" t="s">
        <v>1554</v>
      </c>
      <c r="Q1895" s="7"/>
    </row>
    <row r="1896">
      <c r="A1896" s="39" t="s">
        <v>8853</v>
      </c>
      <c r="B1896" s="15">
        <v>337054.0</v>
      </c>
      <c r="C1896" s="15" t="s">
        <v>8854</v>
      </c>
      <c r="D1896" s="15">
        <v>28737.0</v>
      </c>
      <c r="E1896" s="15" t="s">
        <v>1557</v>
      </c>
      <c r="F1896" s="15" t="s">
        <v>1822</v>
      </c>
      <c r="G1896" s="7">
        <v>7.326</v>
      </c>
      <c r="H1896" s="15" t="s">
        <v>2451</v>
      </c>
      <c r="I1896" s="15" t="s">
        <v>1686</v>
      </c>
      <c r="J1896" s="15" t="s">
        <v>8856</v>
      </c>
      <c r="K1896" s="15">
        <v>7.0</v>
      </c>
      <c r="L1896" s="15">
        <v>7.0</v>
      </c>
      <c r="M1896" s="41">
        <v>39401.0</v>
      </c>
      <c r="N1896" s="40">
        <v>40263.0</v>
      </c>
      <c r="O1896" s="15" t="s">
        <v>1554</v>
      </c>
      <c r="Q1896" s="7"/>
    </row>
    <row r="1897">
      <c r="A1897" s="39" t="s">
        <v>8857</v>
      </c>
      <c r="B1897" s="15">
        <v>484895.0</v>
      </c>
      <c r="C1897" s="15" t="s">
        <v>8858</v>
      </c>
      <c r="D1897" s="15">
        <v>28739.0</v>
      </c>
      <c r="E1897" s="15" t="s">
        <v>1557</v>
      </c>
      <c r="F1897" s="15" t="s">
        <v>1611</v>
      </c>
      <c r="G1897" s="7">
        <v>45.625</v>
      </c>
      <c r="H1897" s="15" t="s">
        <v>4215</v>
      </c>
      <c r="I1897" s="15" t="s">
        <v>1586</v>
      </c>
      <c r="J1897" s="15" t="s">
        <v>8859</v>
      </c>
      <c r="K1897" s="15">
        <v>68.0</v>
      </c>
      <c r="L1897" s="15">
        <v>68.0</v>
      </c>
      <c r="M1897" s="41">
        <v>39413.0</v>
      </c>
      <c r="N1897" s="41">
        <v>40501.0</v>
      </c>
      <c r="O1897" s="15" t="s">
        <v>1554</v>
      </c>
      <c r="Q1897" s="7"/>
    </row>
    <row r="1898">
      <c r="A1898" s="39" t="s">
        <v>8860</v>
      </c>
      <c r="B1898" s="15">
        <v>484896.0</v>
      </c>
      <c r="C1898" s="15" t="s">
        <v>8861</v>
      </c>
      <c r="D1898" s="15">
        <v>28741.0</v>
      </c>
      <c r="E1898" s="15" t="s">
        <v>1557</v>
      </c>
      <c r="F1898" s="15" t="s">
        <v>1611</v>
      </c>
      <c r="G1898" s="7">
        <v>43.548</v>
      </c>
      <c r="H1898" s="15" t="s">
        <v>2094</v>
      </c>
      <c r="I1898" s="15" t="s">
        <v>1586</v>
      </c>
      <c r="J1898" s="15" t="s">
        <v>8862</v>
      </c>
      <c r="K1898" s="15">
        <v>54.0</v>
      </c>
      <c r="L1898" s="15">
        <v>54.0</v>
      </c>
      <c r="M1898" s="41">
        <v>39413.0</v>
      </c>
      <c r="N1898" s="41">
        <v>40501.0</v>
      </c>
      <c r="O1898" s="15" t="s">
        <v>1554</v>
      </c>
      <c r="Q1898" s="7"/>
    </row>
    <row r="1899">
      <c r="A1899" s="39" t="s">
        <v>8863</v>
      </c>
      <c r="B1899" s="15">
        <v>351495.0</v>
      </c>
      <c r="C1899" s="15" t="s">
        <v>8864</v>
      </c>
      <c r="D1899" s="15">
        <v>28757.0</v>
      </c>
      <c r="E1899" s="15" t="s">
        <v>1638</v>
      </c>
      <c r="F1899" s="15" t="s">
        <v>1796</v>
      </c>
      <c r="G1899" s="7">
        <v>4.723</v>
      </c>
      <c r="H1899" s="15" t="s">
        <v>8865</v>
      </c>
      <c r="I1899" s="15" t="s">
        <v>1628</v>
      </c>
      <c r="J1899" s="15" t="s">
        <v>8867</v>
      </c>
      <c r="K1899" s="15">
        <v>3.0</v>
      </c>
      <c r="L1899" s="15">
        <v>3.0</v>
      </c>
      <c r="M1899" s="41">
        <v>38649.0</v>
      </c>
      <c r="N1899" s="40">
        <v>39493.0</v>
      </c>
      <c r="O1899" s="15" t="s">
        <v>1554</v>
      </c>
      <c r="Q1899" s="7"/>
    </row>
    <row r="1900">
      <c r="A1900" s="39" t="s">
        <v>8868</v>
      </c>
      <c r="B1900" s="15">
        <v>425010.0</v>
      </c>
      <c r="C1900" s="15" t="s">
        <v>8869</v>
      </c>
      <c r="D1900" s="15">
        <v>28759.0</v>
      </c>
      <c r="E1900" s="15" t="s">
        <v>1638</v>
      </c>
      <c r="F1900" s="15" t="s">
        <v>1796</v>
      </c>
      <c r="G1900" s="7">
        <v>4.742</v>
      </c>
      <c r="H1900" s="15" t="s">
        <v>8870</v>
      </c>
      <c r="I1900" s="15" t="s">
        <v>1628</v>
      </c>
      <c r="J1900" s="15" t="s">
        <v>8871</v>
      </c>
      <c r="K1900" s="15">
        <v>3.0</v>
      </c>
      <c r="L1900" s="15">
        <v>3.0</v>
      </c>
      <c r="M1900" s="40">
        <v>39162.0</v>
      </c>
      <c r="N1900" s="41">
        <v>42297.0</v>
      </c>
      <c r="O1900" s="15" t="s">
        <v>1554</v>
      </c>
      <c r="Q1900" s="7"/>
    </row>
    <row r="1901">
      <c r="A1901" s="39" t="s">
        <v>8872</v>
      </c>
      <c r="B1901" s="15">
        <v>492502.0</v>
      </c>
      <c r="C1901" s="15" t="s">
        <v>8873</v>
      </c>
      <c r="D1901" s="15">
        <v>28761.0</v>
      </c>
      <c r="E1901" s="15" t="s">
        <v>1638</v>
      </c>
      <c r="F1901" s="15" t="s">
        <v>1796</v>
      </c>
      <c r="G1901" s="7">
        <v>4.68</v>
      </c>
      <c r="H1901" s="15" t="s">
        <v>8874</v>
      </c>
      <c r="I1901" s="15" t="s">
        <v>1628</v>
      </c>
      <c r="J1901" s="15" t="s">
        <v>8875</v>
      </c>
      <c r="K1901" s="15">
        <v>3.0</v>
      </c>
      <c r="L1901" s="15">
        <v>3.0</v>
      </c>
      <c r="M1901" s="40">
        <v>39489.0</v>
      </c>
      <c r="N1901" s="40">
        <v>39791.0</v>
      </c>
      <c r="O1901" s="15" t="s">
        <v>1554</v>
      </c>
      <c r="Q1901" s="7"/>
    </row>
    <row r="1902">
      <c r="A1902" s="39" t="s">
        <v>8877</v>
      </c>
      <c r="B1902" s="15">
        <v>499235.0</v>
      </c>
      <c r="C1902" s="15" t="s">
        <v>8878</v>
      </c>
      <c r="D1902" s="15">
        <v>28763.0</v>
      </c>
      <c r="E1902" s="15" t="s">
        <v>1557</v>
      </c>
      <c r="F1902" s="15" t="s">
        <v>1767</v>
      </c>
      <c r="G1902" s="7">
        <v>39.245</v>
      </c>
      <c r="H1902" s="15">
        <v>59.0</v>
      </c>
      <c r="I1902" s="15" t="s">
        <v>1586</v>
      </c>
      <c r="J1902" s="15" t="s">
        <v>8879</v>
      </c>
      <c r="K1902" s="15">
        <v>46.0</v>
      </c>
      <c r="L1902" s="15">
        <v>46.0</v>
      </c>
      <c r="M1902" s="40">
        <v>39487.0</v>
      </c>
      <c r="N1902" s="40">
        <v>39920.0</v>
      </c>
      <c r="O1902" s="15" t="s">
        <v>1554</v>
      </c>
      <c r="Q1902" s="7"/>
    </row>
    <row r="1903">
      <c r="A1903" s="39" t="s">
        <v>8880</v>
      </c>
      <c r="B1903" s="15">
        <v>496807.0</v>
      </c>
      <c r="C1903" s="15" t="s">
        <v>8881</v>
      </c>
      <c r="D1903" s="15">
        <v>28825.0</v>
      </c>
      <c r="E1903" s="15" t="s">
        <v>1808</v>
      </c>
      <c r="F1903" s="15" t="s">
        <v>1809</v>
      </c>
      <c r="G1903" s="7">
        <v>2.746</v>
      </c>
      <c r="H1903" s="15" t="s">
        <v>5521</v>
      </c>
      <c r="I1903" s="15" t="s">
        <v>1628</v>
      </c>
      <c r="J1903" s="15" t="s">
        <v>8882</v>
      </c>
      <c r="K1903" s="15">
        <v>3.0</v>
      </c>
      <c r="L1903" s="15">
        <v>3.0</v>
      </c>
      <c r="M1903" s="40">
        <v>39493.0</v>
      </c>
      <c r="N1903" s="40">
        <v>40520.0</v>
      </c>
      <c r="O1903" s="15" t="s">
        <v>1554</v>
      </c>
      <c r="Q1903" s="7"/>
    </row>
    <row r="1904">
      <c r="A1904" s="39" t="s">
        <v>8883</v>
      </c>
      <c r="B1904" s="15">
        <v>459845.0</v>
      </c>
      <c r="C1904" s="15" t="s">
        <v>8884</v>
      </c>
      <c r="D1904" s="15">
        <v>28829.0</v>
      </c>
      <c r="E1904" s="15" t="s">
        <v>1557</v>
      </c>
      <c r="F1904" s="15" t="s">
        <v>1833</v>
      </c>
      <c r="G1904" s="7">
        <v>35.543</v>
      </c>
      <c r="H1904" s="15" t="s">
        <v>1994</v>
      </c>
      <c r="I1904" s="15" t="s">
        <v>1586</v>
      </c>
      <c r="J1904" s="15" t="s">
        <v>8885</v>
      </c>
      <c r="K1904" s="15">
        <v>46.0</v>
      </c>
      <c r="L1904" s="15">
        <v>46.0</v>
      </c>
      <c r="M1904" s="40">
        <v>39497.0</v>
      </c>
      <c r="N1904" s="40">
        <v>39500.0</v>
      </c>
      <c r="O1904" s="15" t="s">
        <v>1554</v>
      </c>
      <c r="Q1904" s="7"/>
    </row>
    <row r="1905">
      <c r="A1905" s="39" t="s">
        <v>8887</v>
      </c>
      <c r="B1905" s="15">
        <v>693066.0</v>
      </c>
      <c r="C1905" s="15" t="s">
        <v>8888</v>
      </c>
      <c r="D1905" s="15">
        <v>28835.0</v>
      </c>
      <c r="E1905" s="15" t="s">
        <v>1548</v>
      </c>
      <c r="F1905" s="15" t="s">
        <v>1776</v>
      </c>
      <c r="G1905" s="7">
        <v>7.556</v>
      </c>
      <c r="H1905" s="15" t="s">
        <v>8889</v>
      </c>
      <c r="I1905" s="15" t="s">
        <v>1686</v>
      </c>
      <c r="J1905" s="15" t="s">
        <v>8890</v>
      </c>
      <c r="K1905" s="15">
        <v>1.0</v>
      </c>
      <c r="L1905" s="15">
        <v>1.0</v>
      </c>
      <c r="M1905" s="40">
        <v>39498.0</v>
      </c>
      <c r="N1905" s="41">
        <v>40171.0</v>
      </c>
      <c r="O1905" s="15" t="s">
        <v>1554</v>
      </c>
      <c r="Q1905" s="7"/>
    </row>
    <row r="1906">
      <c r="A1906" s="39" t="s">
        <v>8891</v>
      </c>
      <c r="B1906" s="15">
        <v>379529.0</v>
      </c>
      <c r="C1906" s="15" t="s">
        <v>8892</v>
      </c>
      <c r="D1906" s="15">
        <v>28839.0</v>
      </c>
      <c r="E1906" s="15" t="s">
        <v>1659</v>
      </c>
      <c r="F1906" s="15" t="s">
        <v>8893</v>
      </c>
      <c r="G1906" s="7">
        <v>190.032</v>
      </c>
      <c r="H1906" s="15">
        <v>28.0</v>
      </c>
      <c r="I1906" s="15" t="s">
        <v>1560</v>
      </c>
      <c r="J1906" s="15" t="s">
        <v>8894</v>
      </c>
      <c r="K1906" s="15">
        <v>160.0</v>
      </c>
      <c r="L1906" s="15">
        <v>160.0</v>
      </c>
      <c r="M1906" s="40">
        <v>39499.0</v>
      </c>
      <c r="N1906" s="41">
        <v>41239.0</v>
      </c>
      <c r="O1906" s="15" t="s">
        <v>1554</v>
      </c>
      <c r="Q1906" s="7"/>
    </row>
    <row r="1907">
      <c r="A1907" s="39" t="s">
        <v>8895</v>
      </c>
      <c r="B1907" s="15">
        <v>467481.0</v>
      </c>
      <c r="C1907" s="15" t="s">
        <v>8896</v>
      </c>
      <c r="D1907" s="15">
        <v>28841.0</v>
      </c>
      <c r="E1907" s="15" t="s">
        <v>1557</v>
      </c>
      <c r="F1907" s="15" t="s">
        <v>1833</v>
      </c>
      <c r="G1907" s="7">
        <v>62.337</v>
      </c>
      <c r="H1907" s="15" t="s">
        <v>3286</v>
      </c>
      <c r="I1907" s="15" t="s">
        <v>1586</v>
      </c>
      <c r="J1907" s="15" t="s">
        <v>8898</v>
      </c>
      <c r="K1907" s="15">
        <v>95.0</v>
      </c>
      <c r="L1907" s="15">
        <v>95.0</v>
      </c>
      <c r="M1907" s="40">
        <v>39497.0</v>
      </c>
      <c r="N1907" s="40">
        <v>39822.0</v>
      </c>
      <c r="O1907" s="15" t="s">
        <v>1554</v>
      </c>
      <c r="Q1907" s="7"/>
    </row>
    <row r="1908">
      <c r="A1908" s="39" t="s">
        <v>8899</v>
      </c>
      <c r="B1908" s="15">
        <v>365150.0</v>
      </c>
      <c r="C1908" s="15" t="s">
        <v>8900</v>
      </c>
      <c r="D1908" s="15">
        <v>28971.0</v>
      </c>
      <c r="E1908" s="15" t="s">
        <v>1548</v>
      </c>
      <c r="F1908" s="15" t="s">
        <v>1633</v>
      </c>
      <c r="G1908" s="7">
        <v>7.674</v>
      </c>
      <c r="H1908" s="15" t="s">
        <v>2417</v>
      </c>
      <c r="I1908" s="15" t="s">
        <v>1628</v>
      </c>
      <c r="J1908" s="15" t="s">
        <v>8901</v>
      </c>
      <c r="K1908" s="15">
        <v>6.0</v>
      </c>
      <c r="L1908" s="15">
        <v>6.0</v>
      </c>
      <c r="M1908" s="40">
        <v>39516.0</v>
      </c>
      <c r="N1908" s="40">
        <v>39631.0</v>
      </c>
      <c r="O1908" s="15" t="s">
        <v>1554</v>
      </c>
      <c r="Q1908" s="7"/>
    </row>
    <row r="1909">
      <c r="A1909" s="39" t="s">
        <v>8902</v>
      </c>
      <c r="B1909" s="15">
        <v>501371.0</v>
      </c>
      <c r="C1909" s="15" t="s">
        <v>8903</v>
      </c>
      <c r="D1909" s="15">
        <v>28973.0</v>
      </c>
      <c r="E1909" s="15" t="s">
        <v>1808</v>
      </c>
      <c r="F1909" s="15" t="s">
        <v>1809</v>
      </c>
      <c r="G1909" s="7">
        <v>2.845</v>
      </c>
      <c r="H1909" s="15" t="s">
        <v>2223</v>
      </c>
      <c r="I1909" s="15" t="s">
        <v>1628</v>
      </c>
      <c r="J1909" s="15" t="s">
        <v>8904</v>
      </c>
      <c r="K1909" s="15">
        <v>5.0</v>
      </c>
      <c r="L1909" s="15">
        <v>5.0</v>
      </c>
      <c r="M1909" s="40">
        <v>39510.0</v>
      </c>
      <c r="N1909" s="40">
        <v>42045.0</v>
      </c>
      <c r="O1909" s="15" t="s">
        <v>1554</v>
      </c>
      <c r="Q1909" s="7"/>
    </row>
    <row r="1910">
      <c r="A1910" s="39" t="s">
        <v>8905</v>
      </c>
      <c r="B1910" s="15">
        <v>445435.0</v>
      </c>
      <c r="C1910" s="15" t="s">
        <v>8906</v>
      </c>
      <c r="D1910" s="15">
        <v>15099.0</v>
      </c>
      <c r="E1910" s="15" t="s">
        <v>1548</v>
      </c>
      <c r="F1910" s="15" t="s">
        <v>1633</v>
      </c>
      <c r="G1910" s="7">
        <v>6.985</v>
      </c>
      <c r="H1910" s="15" t="s">
        <v>6070</v>
      </c>
      <c r="I1910" s="15" t="s">
        <v>1628</v>
      </c>
      <c r="J1910" s="15" t="s">
        <v>8908</v>
      </c>
      <c r="K1910" s="15">
        <v>5.0</v>
      </c>
      <c r="L1910" s="15">
        <v>5.0</v>
      </c>
      <c r="M1910" s="40">
        <v>37293.0</v>
      </c>
      <c r="N1910" s="40">
        <v>41918.0</v>
      </c>
      <c r="O1910" s="15" t="s">
        <v>1554</v>
      </c>
      <c r="Q1910" s="7"/>
    </row>
    <row r="1911">
      <c r="A1911" s="39" t="s">
        <v>8909</v>
      </c>
      <c r="B1911" s="15">
        <v>233894.0</v>
      </c>
      <c r="C1911" s="15" t="s">
        <v>8910</v>
      </c>
      <c r="D1911" s="15">
        <v>17105.0</v>
      </c>
      <c r="E1911" s="15" t="s">
        <v>1557</v>
      </c>
      <c r="F1911" s="15" t="s">
        <v>1767</v>
      </c>
      <c r="G1911" s="7">
        <v>161.475</v>
      </c>
      <c r="H1911" s="15">
        <v>41.0</v>
      </c>
      <c r="I1911" s="15" t="s">
        <v>1586</v>
      </c>
      <c r="J1911" s="15" t="s">
        <v>8911</v>
      </c>
      <c r="K1911" s="15">
        <v>242.0</v>
      </c>
      <c r="L1911" s="15">
        <v>242.0</v>
      </c>
      <c r="M1911" s="40">
        <v>38873.0</v>
      </c>
      <c r="N1911" s="40">
        <v>40263.0</v>
      </c>
      <c r="O1911" s="15" t="s">
        <v>1554</v>
      </c>
      <c r="Q1911" s="7"/>
    </row>
    <row r="1912">
      <c r="A1912" s="39" t="s">
        <v>8912</v>
      </c>
      <c r="B1912" s="15">
        <v>342564.0</v>
      </c>
      <c r="C1912" s="15" t="s">
        <v>8913</v>
      </c>
      <c r="D1912" s="15">
        <v>17113.0</v>
      </c>
      <c r="E1912" s="15" t="s">
        <v>1557</v>
      </c>
      <c r="F1912" s="15" t="s">
        <v>1767</v>
      </c>
      <c r="G1912" s="7">
        <v>30.505</v>
      </c>
      <c r="H1912" s="15" t="s">
        <v>2950</v>
      </c>
      <c r="I1912" s="15" t="s">
        <v>1586</v>
      </c>
      <c r="J1912" s="15" t="s">
        <v>8914</v>
      </c>
      <c r="K1912" s="15">
        <v>44.0</v>
      </c>
      <c r="L1912" s="15">
        <v>44.0</v>
      </c>
      <c r="M1912" s="40">
        <v>38854.0</v>
      </c>
      <c r="N1912" s="40">
        <v>39920.0</v>
      </c>
      <c r="O1912" s="15" t="s">
        <v>1554</v>
      </c>
      <c r="Q1912" s="7"/>
    </row>
    <row r="1913">
      <c r="A1913" s="39" t="s">
        <v>8916</v>
      </c>
      <c r="B1913" s="15">
        <v>373403.0</v>
      </c>
      <c r="C1913" s="15" t="s">
        <v>8917</v>
      </c>
      <c r="D1913" s="15">
        <v>17115.0</v>
      </c>
      <c r="E1913" s="15" t="s">
        <v>1557</v>
      </c>
      <c r="F1913" s="15" t="s">
        <v>1833</v>
      </c>
      <c r="G1913" s="7">
        <v>74.483</v>
      </c>
      <c r="H1913" s="15" t="s">
        <v>2517</v>
      </c>
      <c r="I1913" s="15" t="s">
        <v>1586</v>
      </c>
      <c r="J1913" s="15" t="s">
        <v>8918</v>
      </c>
      <c r="K1913" s="15">
        <v>144.0</v>
      </c>
      <c r="L1913" s="15">
        <v>142.0</v>
      </c>
      <c r="M1913" s="40">
        <v>38877.0</v>
      </c>
      <c r="N1913" s="40">
        <v>39920.0</v>
      </c>
      <c r="O1913" s="15" t="s">
        <v>1554</v>
      </c>
      <c r="Q1913" s="7"/>
    </row>
    <row r="1914">
      <c r="A1914" s="39" t="s">
        <v>8919</v>
      </c>
      <c r="B1914" s="15">
        <v>936060.0</v>
      </c>
      <c r="C1914" s="15" t="s">
        <v>8920</v>
      </c>
      <c r="D1914" s="15">
        <v>17117.0</v>
      </c>
      <c r="E1914" s="15" t="s">
        <v>1557</v>
      </c>
      <c r="F1914" s="15" t="s">
        <v>1822</v>
      </c>
      <c r="G1914" s="7">
        <v>7.866</v>
      </c>
      <c r="H1914" s="15">
        <v>46.0</v>
      </c>
      <c r="I1914" s="15" t="s">
        <v>1686</v>
      </c>
      <c r="J1914" s="15" t="s">
        <v>8921</v>
      </c>
      <c r="K1914" s="15">
        <v>7.0</v>
      </c>
      <c r="L1914" s="15">
        <v>7.0</v>
      </c>
      <c r="M1914" s="40">
        <v>38808.0</v>
      </c>
      <c r="N1914" s="40">
        <v>40617.0</v>
      </c>
      <c r="O1914" s="15" t="s">
        <v>1554</v>
      </c>
      <c r="Q1914" s="7"/>
    </row>
    <row r="1915">
      <c r="A1915" s="39" t="s">
        <v>8922</v>
      </c>
      <c r="B1915" s="15">
        <v>348449.0</v>
      </c>
      <c r="C1915" s="15" t="s">
        <v>8923</v>
      </c>
      <c r="D1915" s="15">
        <v>17127.0</v>
      </c>
      <c r="E1915" s="15" t="s">
        <v>1638</v>
      </c>
      <c r="F1915" s="15" t="s">
        <v>1796</v>
      </c>
      <c r="G1915" s="7">
        <v>3.657</v>
      </c>
      <c r="H1915" s="15" t="s">
        <v>8924</v>
      </c>
      <c r="I1915" s="15" t="s">
        <v>1628</v>
      </c>
      <c r="J1915" s="15" t="s">
        <v>8926</v>
      </c>
      <c r="K1915" s="15">
        <v>2.0</v>
      </c>
      <c r="L1915" s="15">
        <v>2.0</v>
      </c>
      <c r="M1915" s="40">
        <v>38460.0</v>
      </c>
      <c r="N1915" s="41">
        <v>39429.0</v>
      </c>
      <c r="O1915" s="15" t="s">
        <v>1554</v>
      </c>
      <c r="Q1915" s="7"/>
    </row>
    <row r="1916">
      <c r="A1916" s="39" t="s">
        <v>8927</v>
      </c>
      <c r="B1916" s="15">
        <v>373404.0</v>
      </c>
      <c r="C1916" s="15" t="s">
        <v>8928</v>
      </c>
      <c r="D1916" s="15">
        <v>17141.0</v>
      </c>
      <c r="E1916" s="15" t="s">
        <v>1557</v>
      </c>
      <c r="F1916" s="15" t="s">
        <v>1767</v>
      </c>
      <c r="G1916" s="7">
        <v>153.766</v>
      </c>
      <c r="H1916" s="15" t="s">
        <v>8929</v>
      </c>
      <c r="I1916" s="15" t="s">
        <v>1586</v>
      </c>
      <c r="J1916" s="15" t="s">
        <v>8930</v>
      </c>
      <c r="K1916" s="15">
        <v>253.0</v>
      </c>
      <c r="L1916" s="15">
        <v>218.0</v>
      </c>
      <c r="M1916" s="40">
        <v>38877.0</v>
      </c>
      <c r="N1916" s="41">
        <v>39435.0</v>
      </c>
      <c r="O1916" s="15" t="s">
        <v>1554</v>
      </c>
      <c r="Q1916" s="7"/>
    </row>
    <row r="1917">
      <c r="A1917" s="39" t="s">
        <v>8931</v>
      </c>
      <c r="B1917" s="15">
        <v>373405.0</v>
      </c>
      <c r="C1917" s="15" t="s">
        <v>8932</v>
      </c>
      <c r="D1917" s="15">
        <v>17143.0</v>
      </c>
      <c r="E1917" s="15" t="s">
        <v>1557</v>
      </c>
      <c r="F1917" s="15" t="s">
        <v>1833</v>
      </c>
      <c r="G1917" s="7">
        <v>52.047</v>
      </c>
      <c r="H1917" s="15" t="s">
        <v>2517</v>
      </c>
      <c r="I1917" s="15" t="s">
        <v>1586</v>
      </c>
      <c r="J1917" s="15" t="s">
        <v>8933</v>
      </c>
      <c r="K1917" s="15">
        <v>101.0</v>
      </c>
      <c r="L1917" s="15">
        <v>98.0</v>
      </c>
      <c r="M1917" s="40">
        <v>38877.0</v>
      </c>
      <c r="N1917" s="41">
        <v>39435.0</v>
      </c>
      <c r="O1917" s="15" t="s">
        <v>1554</v>
      </c>
      <c r="Q1917" s="7"/>
    </row>
    <row r="1918">
      <c r="A1918" s="39" t="s">
        <v>8934</v>
      </c>
      <c r="B1918" s="15">
        <v>373406.0</v>
      </c>
      <c r="C1918" s="15" t="s">
        <v>8936</v>
      </c>
      <c r="D1918" s="15">
        <v>17145.0</v>
      </c>
      <c r="E1918" s="15" t="s">
        <v>1557</v>
      </c>
      <c r="F1918" s="15" t="s">
        <v>1833</v>
      </c>
      <c r="G1918" s="7">
        <v>70.654</v>
      </c>
      <c r="H1918" s="15" t="s">
        <v>8937</v>
      </c>
      <c r="I1918" s="15" t="s">
        <v>1586</v>
      </c>
      <c r="J1918" s="15" t="s">
        <v>8938</v>
      </c>
      <c r="K1918" s="15">
        <v>99.0</v>
      </c>
      <c r="L1918" s="15">
        <v>99.0</v>
      </c>
      <c r="M1918" s="40">
        <v>38877.0</v>
      </c>
      <c r="N1918" s="41">
        <v>39435.0</v>
      </c>
      <c r="O1918" s="15" t="s">
        <v>1554</v>
      </c>
      <c r="Q1918" s="7"/>
    </row>
    <row r="1919">
      <c r="A1919" s="39" t="s">
        <v>8939</v>
      </c>
      <c r="B1919" s="15">
        <v>373407.0</v>
      </c>
      <c r="C1919" s="15" t="s">
        <v>8940</v>
      </c>
      <c r="D1919" s="15">
        <v>17147.0</v>
      </c>
      <c r="E1919" s="15" t="s">
        <v>1557</v>
      </c>
      <c r="F1919" s="15" t="s">
        <v>1833</v>
      </c>
      <c r="G1919" s="7">
        <v>42.289</v>
      </c>
      <c r="H1919" s="15" t="s">
        <v>8941</v>
      </c>
      <c r="I1919" s="15" t="s">
        <v>1586</v>
      </c>
      <c r="J1919" s="15" t="s">
        <v>8942</v>
      </c>
      <c r="K1919" s="15">
        <v>64.0</v>
      </c>
      <c r="L1919" s="15">
        <v>64.0</v>
      </c>
      <c r="M1919" s="40">
        <v>38877.0</v>
      </c>
      <c r="N1919" s="40">
        <v>43013.0</v>
      </c>
      <c r="O1919" s="15" t="s">
        <v>1554</v>
      </c>
      <c r="Q1919" s="7"/>
    </row>
    <row r="1920">
      <c r="A1920" s="39" t="s">
        <v>8943</v>
      </c>
      <c r="B1920" s="15">
        <v>373408.0</v>
      </c>
      <c r="C1920" s="15" t="s">
        <v>8944</v>
      </c>
      <c r="D1920" s="15">
        <v>17149.0</v>
      </c>
      <c r="E1920" s="15" t="s">
        <v>1557</v>
      </c>
      <c r="F1920" s="15" t="s">
        <v>1833</v>
      </c>
      <c r="G1920" s="7">
        <v>56.852</v>
      </c>
      <c r="H1920" s="15" t="s">
        <v>2038</v>
      </c>
      <c r="I1920" s="15" t="s">
        <v>1586</v>
      </c>
      <c r="J1920" s="15" t="s">
        <v>8945</v>
      </c>
      <c r="K1920" s="15">
        <v>100.0</v>
      </c>
      <c r="L1920" s="15">
        <v>100.0</v>
      </c>
      <c r="M1920" s="40">
        <v>38877.0</v>
      </c>
      <c r="N1920" s="40">
        <v>39920.0</v>
      </c>
      <c r="O1920" s="15" t="s">
        <v>1554</v>
      </c>
      <c r="Q1920" s="7"/>
    </row>
    <row r="1921">
      <c r="A1921" s="39" t="s">
        <v>8946</v>
      </c>
      <c r="B1921" s="15">
        <v>373409.0</v>
      </c>
      <c r="C1921" s="15" t="s">
        <v>8948</v>
      </c>
      <c r="D1921" s="15">
        <v>17151.0</v>
      </c>
      <c r="E1921" s="15" t="s">
        <v>1557</v>
      </c>
      <c r="F1921" s="15" t="s">
        <v>1833</v>
      </c>
      <c r="G1921" s="7">
        <v>68.427</v>
      </c>
      <c r="H1921" s="15" t="s">
        <v>4308</v>
      </c>
      <c r="I1921" s="15" t="s">
        <v>1586</v>
      </c>
      <c r="J1921" s="15" t="s">
        <v>8949</v>
      </c>
      <c r="K1921" s="15">
        <v>100.0</v>
      </c>
      <c r="L1921" s="15">
        <v>100.0</v>
      </c>
      <c r="M1921" s="40">
        <v>38877.0</v>
      </c>
      <c r="N1921" s="41">
        <v>39435.0</v>
      </c>
      <c r="O1921" s="15" t="s">
        <v>1554</v>
      </c>
      <c r="Q1921" s="7"/>
    </row>
    <row r="1922">
      <c r="A1922" s="39" t="s">
        <v>8950</v>
      </c>
      <c r="B1922" s="15">
        <v>373410.0</v>
      </c>
      <c r="C1922" s="15" t="s">
        <v>8951</v>
      </c>
      <c r="D1922" s="15">
        <v>17165.0</v>
      </c>
      <c r="E1922" s="15" t="s">
        <v>1557</v>
      </c>
      <c r="F1922" s="15" t="s">
        <v>1833</v>
      </c>
      <c r="G1922" s="7">
        <v>64.494</v>
      </c>
      <c r="H1922" s="15" t="s">
        <v>4842</v>
      </c>
      <c r="I1922" s="15" t="s">
        <v>1586</v>
      </c>
      <c r="J1922" s="15" t="s">
        <v>8952</v>
      </c>
      <c r="K1922" s="15">
        <v>81.0</v>
      </c>
      <c r="L1922" s="15">
        <v>81.0</v>
      </c>
      <c r="M1922" s="40">
        <v>38877.0</v>
      </c>
      <c r="N1922" s="40">
        <v>39920.0</v>
      </c>
      <c r="O1922" s="15" t="s">
        <v>1554</v>
      </c>
      <c r="Q1922" s="7"/>
    </row>
    <row r="1923">
      <c r="A1923" s="39" t="s">
        <v>8953</v>
      </c>
      <c r="B1923" s="15">
        <v>373411.0</v>
      </c>
      <c r="C1923" s="15" t="s">
        <v>8954</v>
      </c>
      <c r="D1923" s="15">
        <v>17167.0</v>
      </c>
      <c r="E1923" s="15" t="s">
        <v>1557</v>
      </c>
      <c r="F1923" s="15" t="s">
        <v>1833</v>
      </c>
      <c r="G1923" s="7">
        <v>64.787</v>
      </c>
      <c r="H1923" s="15" t="s">
        <v>4842</v>
      </c>
      <c r="I1923" s="15" t="s">
        <v>1586</v>
      </c>
      <c r="J1923" s="15" t="s">
        <v>8956</v>
      </c>
      <c r="K1923" s="15">
        <v>89.0</v>
      </c>
      <c r="L1923" s="15">
        <v>89.0</v>
      </c>
      <c r="M1923" s="40">
        <v>38877.0</v>
      </c>
      <c r="N1923" s="40">
        <v>39920.0</v>
      </c>
      <c r="O1923" s="15" t="s">
        <v>1554</v>
      </c>
      <c r="Q1923" s="7"/>
    </row>
    <row r="1924">
      <c r="A1924" s="39" t="s">
        <v>8957</v>
      </c>
      <c r="B1924" s="15">
        <v>373412.0</v>
      </c>
      <c r="C1924" s="15" t="s">
        <v>8958</v>
      </c>
      <c r="D1924" s="15">
        <v>17169.0</v>
      </c>
      <c r="E1924" s="15" t="s">
        <v>1557</v>
      </c>
      <c r="F1924" s="15" t="s">
        <v>1833</v>
      </c>
      <c r="G1924" s="7">
        <v>56.692</v>
      </c>
      <c r="H1924" s="15" t="s">
        <v>4108</v>
      </c>
      <c r="I1924" s="15" t="s">
        <v>1586</v>
      </c>
      <c r="J1924" s="15" t="s">
        <v>8959</v>
      </c>
      <c r="K1924" s="15">
        <v>104.0</v>
      </c>
      <c r="L1924" s="15">
        <v>104.0</v>
      </c>
      <c r="M1924" s="40">
        <v>38877.0</v>
      </c>
      <c r="N1924" s="40">
        <v>39920.0</v>
      </c>
      <c r="O1924" s="15" t="s">
        <v>1554</v>
      </c>
      <c r="Q1924" s="7"/>
    </row>
    <row r="1925">
      <c r="A1925" s="39" t="s">
        <v>8960</v>
      </c>
      <c r="B1925" s="15">
        <v>373413.0</v>
      </c>
      <c r="C1925" s="15" t="s">
        <v>8961</v>
      </c>
      <c r="D1925" s="15">
        <v>17171.0</v>
      </c>
      <c r="E1925" s="15" t="s">
        <v>1557</v>
      </c>
      <c r="F1925" s="15" t="s">
        <v>1833</v>
      </c>
      <c r="G1925" s="7">
        <v>69.059</v>
      </c>
      <c r="H1925" s="15" t="s">
        <v>8962</v>
      </c>
      <c r="I1925" s="15" t="s">
        <v>1586</v>
      </c>
      <c r="J1925" s="15" t="s">
        <v>8963</v>
      </c>
      <c r="K1925" s="15">
        <v>102.0</v>
      </c>
      <c r="L1925" s="15">
        <v>102.0</v>
      </c>
      <c r="M1925" s="40">
        <v>38877.0</v>
      </c>
      <c r="N1925" s="41">
        <v>39435.0</v>
      </c>
      <c r="O1925" s="15" t="s">
        <v>1554</v>
      </c>
      <c r="Q1925" s="7"/>
    </row>
    <row r="1926">
      <c r="A1926" s="39" t="s">
        <v>8964</v>
      </c>
      <c r="B1926" s="15">
        <v>373414.0</v>
      </c>
      <c r="C1926" s="15" t="s">
        <v>8965</v>
      </c>
      <c r="D1926" s="15">
        <v>17173.0</v>
      </c>
      <c r="E1926" s="15" t="s">
        <v>1557</v>
      </c>
      <c r="F1926" s="15" t="s">
        <v>1833</v>
      </c>
      <c r="G1926" s="7">
        <v>67.188</v>
      </c>
      <c r="H1926" s="15">
        <v>69.0</v>
      </c>
      <c r="I1926" s="15" t="s">
        <v>1586</v>
      </c>
      <c r="J1926" s="15" t="s">
        <v>8966</v>
      </c>
      <c r="K1926" s="15">
        <v>81.0</v>
      </c>
      <c r="L1926" s="15">
        <v>81.0</v>
      </c>
      <c r="M1926" s="40">
        <v>38877.0</v>
      </c>
      <c r="N1926" s="41">
        <v>39435.0</v>
      </c>
      <c r="O1926" s="15" t="s">
        <v>1554</v>
      </c>
      <c r="Q1926" s="7"/>
    </row>
    <row r="1927">
      <c r="A1927" s="39" t="s">
        <v>8968</v>
      </c>
      <c r="B1927" s="15">
        <v>373415.0</v>
      </c>
      <c r="C1927" s="15" t="s">
        <v>8969</v>
      </c>
      <c r="D1927" s="15">
        <v>17175.0</v>
      </c>
      <c r="E1927" s="15" t="s">
        <v>1557</v>
      </c>
      <c r="F1927" s="15" t="s">
        <v>1833</v>
      </c>
      <c r="G1927" s="7">
        <v>78.296</v>
      </c>
      <c r="H1927" s="15" t="s">
        <v>2275</v>
      </c>
      <c r="I1927" s="15" t="s">
        <v>1586</v>
      </c>
      <c r="J1927" s="15" t="s">
        <v>8970</v>
      </c>
      <c r="K1927" s="15">
        <v>171.0</v>
      </c>
      <c r="L1927" s="15">
        <v>148.0</v>
      </c>
      <c r="M1927" s="40">
        <v>38877.0</v>
      </c>
      <c r="N1927" s="41">
        <v>42296.0</v>
      </c>
      <c r="O1927" s="15" t="s">
        <v>1554</v>
      </c>
      <c r="Q1927" s="7"/>
    </row>
    <row r="1928">
      <c r="A1928" s="39" t="s">
        <v>8971</v>
      </c>
      <c r="B1928" s="15">
        <v>85655.0</v>
      </c>
      <c r="C1928" s="15" t="s">
        <v>8972</v>
      </c>
      <c r="D1928" s="15">
        <v>17181.0</v>
      </c>
      <c r="E1928" s="15" t="s">
        <v>1557</v>
      </c>
      <c r="F1928" s="15" t="s">
        <v>3278</v>
      </c>
      <c r="G1928" s="7">
        <v>220.859</v>
      </c>
      <c r="H1928" s="15" t="s">
        <v>1634</v>
      </c>
      <c r="I1928" s="15" t="s">
        <v>1686</v>
      </c>
      <c r="J1928" s="15" t="s">
        <v>8973</v>
      </c>
      <c r="K1928" s="15">
        <v>132.0</v>
      </c>
      <c r="L1928" s="15">
        <v>132.0</v>
      </c>
      <c r="M1928" s="40">
        <v>38888.0</v>
      </c>
      <c r="N1928" s="40">
        <v>41346.0</v>
      </c>
      <c r="O1928" s="15" t="s">
        <v>1554</v>
      </c>
      <c r="Q1928" s="7"/>
    </row>
    <row r="1929">
      <c r="A1929" s="39" t="s">
        <v>8974</v>
      </c>
      <c r="B1929" s="15">
        <v>389214.0</v>
      </c>
      <c r="C1929" s="15" t="s">
        <v>8975</v>
      </c>
      <c r="D1929" s="15">
        <v>17183.0</v>
      </c>
      <c r="E1929" s="15" t="s">
        <v>1557</v>
      </c>
      <c r="F1929" s="15" t="s">
        <v>3278</v>
      </c>
      <c r="G1929" s="7">
        <v>231.801</v>
      </c>
      <c r="H1929" s="15" t="s">
        <v>2300</v>
      </c>
      <c r="I1929" s="15" t="s">
        <v>1686</v>
      </c>
      <c r="J1929" s="15" t="s">
        <v>8976</v>
      </c>
      <c r="K1929" s="15">
        <v>147.0</v>
      </c>
      <c r="L1929" s="15">
        <v>147.0</v>
      </c>
      <c r="M1929" s="40">
        <v>38888.0</v>
      </c>
      <c r="N1929" s="40">
        <v>41346.0</v>
      </c>
      <c r="O1929" s="15" t="s">
        <v>1554</v>
      </c>
      <c r="Q1929" s="7"/>
    </row>
    <row r="1930">
      <c r="A1930" s="39" t="s">
        <v>8978</v>
      </c>
      <c r="B1930" s="15">
        <v>371463.0</v>
      </c>
      <c r="C1930" s="15" t="s">
        <v>8979</v>
      </c>
      <c r="D1930" s="15">
        <v>17267.0</v>
      </c>
      <c r="E1930" s="15" t="s">
        <v>1808</v>
      </c>
      <c r="F1930" s="15" t="s">
        <v>1809</v>
      </c>
      <c r="G1930" s="7">
        <v>2.768</v>
      </c>
      <c r="H1930" s="15" t="s">
        <v>2223</v>
      </c>
      <c r="I1930" s="15" t="s">
        <v>1628</v>
      </c>
      <c r="J1930" s="15" t="s">
        <v>8980</v>
      </c>
      <c r="K1930" s="15">
        <v>6.0</v>
      </c>
      <c r="L1930" s="15">
        <v>6.0</v>
      </c>
      <c r="M1930" s="40">
        <v>38898.0</v>
      </c>
      <c r="N1930" s="40">
        <v>42045.0</v>
      </c>
      <c r="O1930" s="15" t="s">
        <v>1554</v>
      </c>
      <c r="Q1930" s="7"/>
    </row>
    <row r="1931">
      <c r="A1931" s="39" t="s">
        <v>8981</v>
      </c>
      <c r="B1931" s="15">
        <v>371411.0</v>
      </c>
      <c r="C1931" s="15" t="s">
        <v>8982</v>
      </c>
      <c r="D1931" s="15">
        <v>17269.0</v>
      </c>
      <c r="E1931" s="15" t="s">
        <v>2014</v>
      </c>
      <c r="F1931" s="15" t="s">
        <v>2018</v>
      </c>
      <c r="G1931" s="7">
        <v>1.358</v>
      </c>
      <c r="H1931" s="15" t="s">
        <v>2197</v>
      </c>
      <c r="I1931" s="15" t="s">
        <v>1628</v>
      </c>
      <c r="J1931" s="15" t="s">
        <v>8983</v>
      </c>
      <c r="K1931" s="15">
        <v>1.0</v>
      </c>
      <c r="L1931" s="15">
        <v>1.0</v>
      </c>
      <c r="M1931" s="40">
        <v>38898.0</v>
      </c>
      <c r="N1931" s="40">
        <v>42045.0</v>
      </c>
      <c r="O1931" s="15" t="s">
        <v>1554</v>
      </c>
      <c r="Q1931" s="7"/>
    </row>
    <row r="1932">
      <c r="A1932" s="39" t="s">
        <v>8984</v>
      </c>
      <c r="B1932" s="15">
        <v>392174.0</v>
      </c>
      <c r="C1932" s="15" t="s">
        <v>8985</v>
      </c>
      <c r="D1932" s="15">
        <v>17349.0</v>
      </c>
      <c r="E1932" s="15" t="s">
        <v>1548</v>
      </c>
      <c r="F1932" s="15" t="s">
        <v>1633</v>
      </c>
      <c r="G1932" s="7">
        <v>6.858</v>
      </c>
      <c r="H1932" s="15" t="s">
        <v>3097</v>
      </c>
      <c r="I1932" s="15" t="s">
        <v>1628</v>
      </c>
      <c r="J1932" s="15" t="s">
        <v>8987</v>
      </c>
      <c r="K1932" s="15">
        <v>5.0</v>
      </c>
      <c r="L1932" s="15">
        <v>5.0</v>
      </c>
      <c r="M1932" s="40">
        <v>38906.0</v>
      </c>
      <c r="N1932" s="41">
        <v>40171.0</v>
      </c>
      <c r="O1932" s="15" t="s">
        <v>1554</v>
      </c>
      <c r="Q1932" s="7"/>
    </row>
    <row r="1933">
      <c r="A1933" s="39" t="s">
        <v>8988</v>
      </c>
      <c r="B1933" s="15">
        <v>204507.0</v>
      </c>
      <c r="C1933" s="15" t="s">
        <v>8989</v>
      </c>
      <c r="D1933" s="15">
        <v>17361.0</v>
      </c>
      <c r="E1933" s="15" t="s">
        <v>1557</v>
      </c>
      <c r="F1933" s="15" t="s">
        <v>1992</v>
      </c>
      <c r="G1933" s="7">
        <v>84.264</v>
      </c>
      <c r="H1933" s="15" t="s">
        <v>2207</v>
      </c>
      <c r="I1933" s="15" t="s">
        <v>1560</v>
      </c>
      <c r="J1933" s="15" t="s">
        <v>8990</v>
      </c>
      <c r="K1933" s="15">
        <v>93.0</v>
      </c>
      <c r="L1933" s="15">
        <v>93.0</v>
      </c>
      <c r="M1933" s="40">
        <v>38898.0</v>
      </c>
      <c r="N1933" s="41">
        <v>40171.0</v>
      </c>
      <c r="O1933" s="15" t="s">
        <v>1554</v>
      </c>
      <c r="Q1933" s="7"/>
    </row>
    <row r="1934">
      <c r="A1934" s="39" t="s">
        <v>8991</v>
      </c>
      <c r="B1934" s="15">
        <v>328430.0</v>
      </c>
      <c r="C1934" s="15" t="s">
        <v>8992</v>
      </c>
      <c r="D1934" s="15">
        <v>17363.0</v>
      </c>
      <c r="E1934" s="15" t="s">
        <v>1548</v>
      </c>
      <c r="F1934" s="15" t="s">
        <v>1771</v>
      </c>
      <c r="G1934" s="7">
        <v>43348.0</v>
      </c>
      <c r="H1934" s="15" t="s">
        <v>1720</v>
      </c>
      <c r="I1934" s="15" t="s">
        <v>1628</v>
      </c>
      <c r="J1934" s="15" t="s">
        <v>8993</v>
      </c>
      <c r="K1934" s="15">
        <v>7.0</v>
      </c>
      <c r="L1934" s="15">
        <v>7.0</v>
      </c>
      <c r="M1934" s="40">
        <v>38890.0</v>
      </c>
      <c r="N1934" s="41">
        <v>42348.0</v>
      </c>
      <c r="O1934" s="15" t="s">
        <v>1554</v>
      </c>
      <c r="Q1934" s="7"/>
    </row>
    <row r="1935">
      <c r="A1935" s="39" t="s">
        <v>8994</v>
      </c>
      <c r="B1935" s="15">
        <v>160844.0</v>
      </c>
      <c r="C1935" s="15" t="s">
        <v>8996</v>
      </c>
      <c r="D1935" s="15">
        <v>17373.0</v>
      </c>
      <c r="E1935" s="15" t="s">
        <v>1548</v>
      </c>
      <c r="F1935" s="15" t="s">
        <v>1786</v>
      </c>
      <c r="G1935" s="7">
        <v>8.539</v>
      </c>
      <c r="H1935" s="15" t="s">
        <v>2279</v>
      </c>
      <c r="I1935" s="15" t="s">
        <v>1628</v>
      </c>
      <c r="J1935" s="15" t="s">
        <v>8997</v>
      </c>
      <c r="K1935" s="15">
        <v>6.0</v>
      </c>
      <c r="L1935" s="15">
        <v>6.0</v>
      </c>
      <c r="M1935" s="40">
        <v>38918.0</v>
      </c>
      <c r="N1935" s="40">
        <v>40578.0</v>
      </c>
      <c r="O1935" s="15" t="s">
        <v>1554</v>
      </c>
      <c r="Q1935" s="7"/>
    </row>
    <row r="1936">
      <c r="A1936" s="39" t="s">
        <v>8998</v>
      </c>
      <c r="B1936" s="15">
        <v>395349.0</v>
      </c>
      <c r="C1936" s="15" t="s">
        <v>8999</v>
      </c>
      <c r="D1936" s="15">
        <v>17387.0</v>
      </c>
      <c r="E1936" s="15" t="s">
        <v>1808</v>
      </c>
      <c r="F1936" s="15" t="s">
        <v>1809</v>
      </c>
      <c r="G1936" s="7">
        <v>2.762</v>
      </c>
      <c r="H1936" s="15" t="s">
        <v>2552</v>
      </c>
      <c r="I1936" s="15" t="s">
        <v>1628</v>
      </c>
      <c r="J1936" s="15" t="s">
        <v>9000</v>
      </c>
      <c r="K1936" s="15">
        <v>6.0</v>
      </c>
      <c r="L1936" s="15">
        <v>6.0</v>
      </c>
      <c r="M1936" s="40">
        <v>36437.0</v>
      </c>
      <c r="N1936" s="40">
        <v>42045.0</v>
      </c>
      <c r="O1936" s="15" t="s">
        <v>1554</v>
      </c>
      <c r="Q1936" s="7"/>
    </row>
    <row r="1937">
      <c r="A1937" s="39" t="s">
        <v>9001</v>
      </c>
      <c r="B1937" s="15">
        <v>292477.0</v>
      </c>
      <c r="C1937" s="15" t="s">
        <v>9002</v>
      </c>
      <c r="D1937" s="15">
        <v>17429.0</v>
      </c>
      <c r="E1937" s="15" t="s">
        <v>1808</v>
      </c>
      <c r="F1937" s="15" t="s">
        <v>1809</v>
      </c>
      <c r="G1937" s="7">
        <v>5.476</v>
      </c>
      <c r="H1937" s="15" t="s">
        <v>9003</v>
      </c>
      <c r="I1937" s="15" t="s">
        <v>1628</v>
      </c>
      <c r="J1937" s="15" t="s">
        <v>9004</v>
      </c>
      <c r="K1937" s="15">
        <v>7.0</v>
      </c>
      <c r="L1937" s="15">
        <v>7.0</v>
      </c>
      <c r="M1937" s="40">
        <v>38937.0</v>
      </c>
      <c r="N1937" s="41">
        <v>42297.0</v>
      </c>
      <c r="O1937" s="15" t="s">
        <v>1554</v>
      </c>
      <c r="Q1937" s="7"/>
    </row>
    <row r="1938">
      <c r="A1938" s="39" t="s">
        <v>9005</v>
      </c>
      <c r="B1938" s="15">
        <v>12024.0</v>
      </c>
      <c r="C1938" s="15" t="s">
        <v>9007</v>
      </c>
      <c r="D1938" s="15">
        <v>17481.0</v>
      </c>
      <c r="E1938" s="15" t="s">
        <v>1548</v>
      </c>
      <c r="F1938" s="15" t="s">
        <v>4850</v>
      </c>
      <c r="G1938" s="7">
        <v>3.573</v>
      </c>
      <c r="H1938" s="15" t="s">
        <v>3604</v>
      </c>
      <c r="I1938" s="15" t="s">
        <v>1586</v>
      </c>
      <c r="J1938" s="15" t="s">
        <v>9008</v>
      </c>
      <c r="K1938" s="15">
        <v>4.0</v>
      </c>
      <c r="L1938" s="15">
        <v>4.0</v>
      </c>
      <c r="M1938" s="40">
        <v>38935.0</v>
      </c>
      <c r="N1938" s="40">
        <v>39920.0</v>
      </c>
      <c r="O1938" s="15" t="s">
        <v>1554</v>
      </c>
      <c r="Q1938" s="7"/>
    </row>
    <row r="1939">
      <c r="A1939" s="39" t="s">
        <v>9009</v>
      </c>
      <c r="B1939" s="15">
        <v>28871.0</v>
      </c>
      <c r="C1939" s="15" t="s">
        <v>9010</v>
      </c>
      <c r="D1939" s="15">
        <v>17483.0</v>
      </c>
      <c r="E1939" s="15" t="s">
        <v>1557</v>
      </c>
      <c r="F1939" s="15" t="s">
        <v>2028</v>
      </c>
      <c r="G1939" s="7">
        <v>198.05</v>
      </c>
      <c r="H1939" s="15" t="s">
        <v>3862</v>
      </c>
      <c r="I1939" s="15" t="s">
        <v>1686</v>
      </c>
      <c r="J1939" s="15" t="s">
        <v>9011</v>
      </c>
      <c r="K1939" s="15">
        <v>225.0</v>
      </c>
      <c r="L1939" s="15">
        <v>225.0</v>
      </c>
      <c r="M1939" s="40">
        <v>38948.0</v>
      </c>
      <c r="N1939" s="41">
        <v>41235.0</v>
      </c>
      <c r="O1939" s="15" t="s">
        <v>1554</v>
      </c>
      <c r="Q1939" s="7"/>
    </row>
    <row r="1940">
      <c r="A1940" s="39" t="s">
        <v>9012</v>
      </c>
      <c r="B1940" s="15">
        <v>1307957.0</v>
      </c>
      <c r="C1940" s="15" t="s">
        <v>9013</v>
      </c>
      <c r="D1940" s="15">
        <v>17485.0</v>
      </c>
      <c r="E1940" s="15" t="s">
        <v>1557</v>
      </c>
      <c r="F1940" s="15" t="s">
        <v>1992</v>
      </c>
      <c r="G1940" s="7">
        <v>135.454</v>
      </c>
      <c r="H1940" s="15" t="s">
        <v>2396</v>
      </c>
      <c r="I1940" s="15" t="s">
        <v>1560</v>
      </c>
      <c r="J1940" s="15" t="s">
        <v>9015</v>
      </c>
      <c r="K1940" s="15">
        <v>129.0</v>
      </c>
      <c r="L1940" s="15">
        <v>129.0</v>
      </c>
      <c r="M1940" s="40">
        <v>38947.0</v>
      </c>
      <c r="N1940" s="40">
        <v>40031.0</v>
      </c>
      <c r="O1940" s="15" t="s">
        <v>1554</v>
      </c>
      <c r="Q1940" s="7"/>
    </row>
    <row r="1941">
      <c r="A1941" s="39" t="s">
        <v>9016</v>
      </c>
      <c r="B1941" s="15">
        <v>379892.0</v>
      </c>
      <c r="C1941" s="15" t="s">
        <v>9017</v>
      </c>
      <c r="D1941" s="15">
        <v>17487.0</v>
      </c>
      <c r="E1941" s="15" t="s">
        <v>1548</v>
      </c>
      <c r="F1941" s="15" t="s">
        <v>1786</v>
      </c>
      <c r="G1941" s="7">
        <v>8.386</v>
      </c>
      <c r="H1941" s="15" t="s">
        <v>5934</v>
      </c>
      <c r="I1941" s="15" t="s">
        <v>1628</v>
      </c>
      <c r="J1941" s="15" t="s">
        <v>9018</v>
      </c>
      <c r="K1941" s="15">
        <v>6.0</v>
      </c>
      <c r="L1941" s="15">
        <v>6.0</v>
      </c>
      <c r="M1941" s="40">
        <v>38930.0</v>
      </c>
      <c r="N1941" s="40">
        <v>40121.0</v>
      </c>
      <c r="O1941" s="15" t="s">
        <v>1554</v>
      </c>
      <c r="Q1941" s="7"/>
    </row>
    <row r="1942">
      <c r="A1942" s="39" t="s">
        <v>9019</v>
      </c>
      <c r="B1942" s="15">
        <v>341711.0</v>
      </c>
      <c r="C1942" s="15" t="s">
        <v>9020</v>
      </c>
      <c r="D1942" s="15">
        <v>17539.0</v>
      </c>
      <c r="E1942" s="15" t="s">
        <v>1808</v>
      </c>
      <c r="F1942" s="15" t="s">
        <v>1809</v>
      </c>
      <c r="G1942" s="7">
        <v>2.759</v>
      </c>
      <c r="H1942" s="15" t="s">
        <v>2064</v>
      </c>
      <c r="I1942" s="15" t="s">
        <v>1628</v>
      </c>
      <c r="J1942" s="15" t="s">
        <v>9021</v>
      </c>
      <c r="K1942" s="15">
        <v>6.0</v>
      </c>
      <c r="L1942" s="15">
        <v>6.0</v>
      </c>
      <c r="M1942" s="40">
        <v>38929.0</v>
      </c>
      <c r="N1942" s="40">
        <v>40206.0</v>
      </c>
      <c r="O1942" s="15" t="s">
        <v>1554</v>
      </c>
      <c r="Q1942" s="7"/>
    </row>
    <row r="1943">
      <c r="A1943" s="39" t="s">
        <v>9022</v>
      </c>
      <c r="B1943" s="15">
        <v>382359.0</v>
      </c>
      <c r="C1943" s="15" t="s">
        <v>9023</v>
      </c>
      <c r="D1943" s="15">
        <v>17541.0</v>
      </c>
      <c r="E1943" s="15" t="s">
        <v>1557</v>
      </c>
      <c r="F1943" s="15" t="s">
        <v>1767</v>
      </c>
      <c r="G1943" s="7">
        <v>177.3</v>
      </c>
      <c r="H1943" s="15" t="s">
        <v>2141</v>
      </c>
      <c r="I1943" s="15" t="s">
        <v>1586</v>
      </c>
      <c r="J1943" s="15" t="s">
        <v>9025</v>
      </c>
      <c r="K1943" s="15">
        <v>232.0</v>
      </c>
      <c r="L1943" s="15">
        <v>226.0</v>
      </c>
      <c r="M1943" s="40">
        <v>38929.0</v>
      </c>
      <c r="N1943" s="40">
        <v>40263.0</v>
      </c>
      <c r="O1943" s="15" t="s">
        <v>1554</v>
      </c>
      <c r="Q1943" s="7"/>
    </row>
    <row r="1944">
      <c r="A1944" s="39" t="s">
        <v>9026</v>
      </c>
      <c r="B1944" s="15">
        <v>89471.0</v>
      </c>
      <c r="C1944" s="15" t="s">
        <v>9027</v>
      </c>
      <c r="D1944" s="15">
        <v>17545.0</v>
      </c>
      <c r="E1944" s="15" t="s">
        <v>1548</v>
      </c>
      <c r="F1944" s="15" t="s">
        <v>5033</v>
      </c>
      <c r="G1944" s="7">
        <v>16.965</v>
      </c>
      <c r="H1944" s="15" t="s">
        <v>9028</v>
      </c>
      <c r="I1944" s="15" t="s">
        <v>2034</v>
      </c>
      <c r="J1944" s="15" t="s">
        <v>9029</v>
      </c>
      <c r="K1944" s="15">
        <v>5.0</v>
      </c>
      <c r="L1944" s="15">
        <v>5.0</v>
      </c>
      <c r="M1944" s="41">
        <v>36852.0</v>
      </c>
      <c r="N1944" s="40">
        <v>39790.0</v>
      </c>
      <c r="O1944" s="15" t="s">
        <v>1554</v>
      </c>
      <c r="Q1944" s="7"/>
    </row>
    <row r="1945">
      <c r="A1945" s="39" t="s">
        <v>9030</v>
      </c>
      <c r="B1945" s="15">
        <v>163325.0</v>
      </c>
      <c r="C1945" s="15" t="s">
        <v>9031</v>
      </c>
      <c r="D1945" s="15">
        <v>17547.0</v>
      </c>
      <c r="E1945" s="15" t="s">
        <v>1548</v>
      </c>
      <c r="F1945" s="15" t="s">
        <v>5033</v>
      </c>
      <c r="G1945" s="7">
        <v>17.212</v>
      </c>
      <c r="H1945" s="15" t="s">
        <v>9032</v>
      </c>
      <c r="I1945" s="15" t="s">
        <v>2034</v>
      </c>
      <c r="J1945" s="15" t="s">
        <v>9033</v>
      </c>
      <c r="K1945" s="15">
        <v>5.0</v>
      </c>
      <c r="L1945" s="15">
        <v>5.0</v>
      </c>
      <c r="M1945" s="40">
        <v>38943.0</v>
      </c>
      <c r="N1945" s="40">
        <v>38954.0</v>
      </c>
      <c r="O1945" s="15" t="s">
        <v>1554</v>
      </c>
      <c r="Q1945" s="7"/>
    </row>
    <row r="1946">
      <c r="A1946" s="39" t="s">
        <v>9034</v>
      </c>
      <c r="B1946" s="15">
        <v>369584.0</v>
      </c>
      <c r="C1946" s="15" t="s">
        <v>9035</v>
      </c>
      <c r="D1946" s="15">
        <v>17549.0</v>
      </c>
      <c r="E1946" s="15" t="s">
        <v>1557</v>
      </c>
      <c r="F1946" s="15" t="s">
        <v>1822</v>
      </c>
      <c r="G1946" s="7">
        <v>7.97</v>
      </c>
      <c r="H1946" s="15" t="s">
        <v>2324</v>
      </c>
      <c r="I1946" s="15" t="s">
        <v>1686</v>
      </c>
      <c r="J1946" s="15" t="s">
        <v>9036</v>
      </c>
      <c r="K1946" s="15">
        <v>7.0</v>
      </c>
      <c r="L1946" s="15">
        <v>7.0</v>
      </c>
      <c r="M1946" s="40">
        <v>38931.0</v>
      </c>
      <c r="N1946" s="40">
        <v>40263.0</v>
      </c>
      <c r="O1946" s="15" t="s">
        <v>1554</v>
      </c>
      <c r="Q1946" s="7"/>
    </row>
    <row r="1947">
      <c r="A1947" s="39" t="s">
        <v>9037</v>
      </c>
      <c r="B1947" s="15">
        <v>429564.0</v>
      </c>
      <c r="C1947" s="15" t="s">
        <v>9039</v>
      </c>
      <c r="D1947" s="15">
        <v>17551.0</v>
      </c>
      <c r="E1947" s="15" t="s">
        <v>1808</v>
      </c>
      <c r="F1947" s="15" t="s">
        <v>1809</v>
      </c>
      <c r="G1947" s="7">
        <v>5.215</v>
      </c>
      <c r="H1947" s="15" t="s">
        <v>9040</v>
      </c>
      <c r="I1947" s="15" t="s">
        <v>1628</v>
      </c>
      <c r="J1947" s="15" t="s">
        <v>9041</v>
      </c>
      <c r="K1947" s="15">
        <v>6.0</v>
      </c>
      <c r="L1947" s="15">
        <v>6.0</v>
      </c>
      <c r="M1947" s="40">
        <v>38926.0</v>
      </c>
      <c r="N1947" s="41">
        <v>41575.0</v>
      </c>
      <c r="O1947" s="15" t="s">
        <v>1554</v>
      </c>
      <c r="Q1947" s="7"/>
    </row>
    <row r="1948">
      <c r="A1948" s="39" t="s">
        <v>9042</v>
      </c>
      <c r="B1948" s="15">
        <v>185955.0</v>
      </c>
      <c r="C1948" s="15" t="s">
        <v>9043</v>
      </c>
      <c r="D1948" s="15">
        <v>17573.0</v>
      </c>
      <c r="E1948" s="15" t="s">
        <v>1548</v>
      </c>
      <c r="F1948" s="15" t="s">
        <v>2615</v>
      </c>
      <c r="G1948" s="7">
        <v>6.485</v>
      </c>
      <c r="H1948" s="15" t="s">
        <v>2428</v>
      </c>
      <c r="I1948" s="15" t="s">
        <v>1628</v>
      </c>
      <c r="J1948" s="15" t="s">
        <v>9044</v>
      </c>
      <c r="K1948" s="15">
        <v>4.0</v>
      </c>
      <c r="L1948" s="15">
        <v>4.0</v>
      </c>
      <c r="M1948" s="41">
        <v>37551.0</v>
      </c>
      <c r="N1948" s="41">
        <v>41960.0</v>
      </c>
      <c r="O1948" s="15" t="s">
        <v>1554</v>
      </c>
      <c r="Q1948" s="7"/>
    </row>
    <row r="1949">
      <c r="A1949" s="39" t="s">
        <v>9045</v>
      </c>
      <c r="B1949" s="15">
        <v>223997.0</v>
      </c>
      <c r="C1949" s="15" t="s">
        <v>9047</v>
      </c>
      <c r="D1949" s="15">
        <v>17577.0</v>
      </c>
      <c r="E1949" s="15" t="s">
        <v>1548</v>
      </c>
      <c r="F1949" s="15" t="s">
        <v>4829</v>
      </c>
      <c r="G1949" s="7">
        <v>7.382</v>
      </c>
      <c r="H1949" s="15" t="s">
        <v>1778</v>
      </c>
      <c r="I1949" s="15" t="s">
        <v>1567</v>
      </c>
      <c r="J1949" s="15" t="s">
        <v>9048</v>
      </c>
      <c r="K1949" s="15">
        <v>4.0</v>
      </c>
      <c r="L1949" s="15">
        <v>4.0</v>
      </c>
      <c r="M1949" s="40">
        <v>38690.0</v>
      </c>
      <c r="N1949" s="40">
        <v>42447.0</v>
      </c>
      <c r="O1949" s="15" t="s">
        <v>1554</v>
      </c>
      <c r="Q1949" s="7"/>
    </row>
    <row r="1950">
      <c r="A1950" s="39" t="s">
        <v>9049</v>
      </c>
      <c r="B1950" s="15">
        <v>377610.0</v>
      </c>
      <c r="C1950" s="15" t="s">
        <v>9050</v>
      </c>
      <c r="D1950" s="15">
        <v>17593.0</v>
      </c>
      <c r="E1950" s="15" t="s">
        <v>1808</v>
      </c>
      <c r="F1950" s="15" t="s">
        <v>1809</v>
      </c>
      <c r="G1950" s="7">
        <v>2.767</v>
      </c>
      <c r="H1950" s="15" t="s">
        <v>3584</v>
      </c>
      <c r="I1950" s="15" t="s">
        <v>1628</v>
      </c>
      <c r="J1950" s="15" t="s">
        <v>9051</v>
      </c>
      <c r="K1950" s="15">
        <v>6.0</v>
      </c>
      <c r="L1950" s="15">
        <v>6.0</v>
      </c>
      <c r="M1950" s="40">
        <v>38959.0</v>
      </c>
      <c r="N1950" s="40">
        <v>40578.0</v>
      </c>
      <c r="O1950" s="15" t="s">
        <v>1554</v>
      </c>
      <c r="Q1950" s="7"/>
    </row>
    <row r="1951">
      <c r="A1951" s="39" t="s">
        <v>9052</v>
      </c>
      <c r="B1951" s="15">
        <v>379728.0</v>
      </c>
      <c r="C1951" s="15" t="s">
        <v>9053</v>
      </c>
      <c r="D1951" s="15">
        <v>17595.0</v>
      </c>
      <c r="E1951" s="15" t="s">
        <v>1808</v>
      </c>
      <c r="F1951" s="15" t="s">
        <v>1809</v>
      </c>
      <c r="G1951" s="7">
        <v>2.784</v>
      </c>
      <c r="H1951" s="15" t="s">
        <v>2440</v>
      </c>
      <c r="I1951" s="15" t="s">
        <v>1628</v>
      </c>
      <c r="J1951" s="15" t="s">
        <v>9054</v>
      </c>
      <c r="K1951" s="15">
        <v>6.0</v>
      </c>
      <c r="L1951" s="15">
        <v>6.0</v>
      </c>
      <c r="M1951" s="40">
        <v>38959.0</v>
      </c>
      <c r="N1951" s="40">
        <v>40578.0</v>
      </c>
      <c r="O1951" s="15" t="s">
        <v>1554</v>
      </c>
      <c r="Q1951" s="7"/>
    </row>
    <row r="1952">
      <c r="A1952" s="39" t="s">
        <v>9055</v>
      </c>
      <c r="B1952" s="15">
        <v>377609.0</v>
      </c>
      <c r="C1952" s="15" t="s">
        <v>9056</v>
      </c>
      <c r="D1952" s="15">
        <v>17607.0</v>
      </c>
      <c r="E1952" s="15" t="s">
        <v>1808</v>
      </c>
      <c r="F1952" s="15" t="s">
        <v>1809</v>
      </c>
      <c r="G1952" s="7">
        <v>2.752</v>
      </c>
      <c r="H1952" s="15" t="s">
        <v>2950</v>
      </c>
      <c r="I1952" s="15" t="s">
        <v>1628</v>
      </c>
      <c r="J1952" s="15" t="s">
        <v>9058</v>
      </c>
      <c r="K1952" s="15">
        <v>6.0</v>
      </c>
      <c r="L1952" s="15">
        <v>6.0</v>
      </c>
      <c r="M1952" s="40">
        <v>38961.0</v>
      </c>
      <c r="N1952" s="40">
        <v>40578.0</v>
      </c>
      <c r="O1952" s="15" t="s">
        <v>1554</v>
      </c>
      <c r="Q1952" s="7"/>
    </row>
    <row r="1953">
      <c r="A1953" s="39" t="s">
        <v>9059</v>
      </c>
      <c r="B1953" s="15">
        <v>1307956.0</v>
      </c>
      <c r="C1953" s="15" t="s">
        <v>9060</v>
      </c>
      <c r="D1953" s="15">
        <v>17669.0</v>
      </c>
      <c r="E1953" s="15" t="s">
        <v>1557</v>
      </c>
      <c r="F1953" s="15" t="s">
        <v>1992</v>
      </c>
      <c r="G1953" s="7">
        <v>168.041</v>
      </c>
      <c r="H1953" s="15" t="s">
        <v>1918</v>
      </c>
      <c r="I1953" s="15" t="s">
        <v>1560</v>
      </c>
      <c r="J1953" s="15" t="s">
        <v>9061</v>
      </c>
      <c r="K1953" s="15">
        <v>169.0</v>
      </c>
      <c r="L1953" s="15">
        <v>169.0</v>
      </c>
      <c r="M1953" s="40">
        <v>38958.0</v>
      </c>
      <c r="N1953" s="40">
        <v>42236.0</v>
      </c>
      <c r="O1953" s="15" t="s">
        <v>1554</v>
      </c>
      <c r="Q1953" s="7"/>
    </row>
    <row r="1954">
      <c r="A1954" s="39" t="s">
        <v>9062</v>
      </c>
      <c r="B1954" s="15">
        <v>113370.0</v>
      </c>
      <c r="C1954" s="15" t="s">
        <v>9063</v>
      </c>
      <c r="D1954" s="15">
        <v>17721.0</v>
      </c>
      <c r="E1954" s="15" t="s">
        <v>1557</v>
      </c>
      <c r="F1954" s="15" t="s">
        <v>8218</v>
      </c>
      <c r="G1954" s="7">
        <v>156.922</v>
      </c>
      <c r="H1954" s="15" t="s">
        <v>3798</v>
      </c>
      <c r="I1954" s="15" t="s">
        <v>1560</v>
      </c>
      <c r="J1954" s="15" t="s">
        <v>9064</v>
      </c>
      <c r="K1954" s="15">
        <v>123.0</v>
      </c>
      <c r="L1954" s="15">
        <v>123.0</v>
      </c>
      <c r="M1954" s="40">
        <v>38973.0</v>
      </c>
      <c r="N1954" s="40">
        <v>42570.0</v>
      </c>
      <c r="O1954" s="15" t="s">
        <v>1554</v>
      </c>
      <c r="Q1954" s="7"/>
    </row>
    <row r="1955">
      <c r="A1955" s="39" t="s">
        <v>9065</v>
      </c>
      <c r="B1955" s="15">
        <v>399314.0</v>
      </c>
      <c r="C1955" s="15" t="s">
        <v>9067</v>
      </c>
      <c r="D1955" s="15">
        <v>17741.0</v>
      </c>
      <c r="E1955" s="15" t="s">
        <v>1548</v>
      </c>
      <c r="F1955" s="15" t="s">
        <v>1790</v>
      </c>
      <c r="G1955" s="7">
        <v>17.039</v>
      </c>
      <c r="H1955" s="15" t="s">
        <v>2440</v>
      </c>
      <c r="I1955" s="15" t="s">
        <v>1628</v>
      </c>
      <c r="J1955" s="15" t="s">
        <v>9068</v>
      </c>
      <c r="K1955" s="15">
        <v>10.0</v>
      </c>
      <c r="L1955" s="15">
        <v>10.0</v>
      </c>
      <c r="M1955" s="40">
        <v>38955.0</v>
      </c>
      <c r="N1955" s="40">
        <v>42570.0</v>
      </c>
      <c r="O1955" s="15" t="s">
        <v>1554</v>
      </c>
      <c r="Q1955" s="7"/>
    </row>
    <row r="1956">
      <c r="A1956" s="39" t="s">
        <v>9069</v>
      </c>
      <c r="B1956" s="15">
        <v>400567.0</v>
      </c>
      <c r="C1956" s="15" t="s">
        <v>9070</v>
      </c>
      <c r="D1956" s="15">
        <v>17743.0</v>
      </c>
      <c r="E1956" s="15" t="s">
        <v>1557</v>
      </c>
      <c r="F1956" s="15" t="s">
        <v>1611</v>
      </c>
      <c r="G1956" s="7">
        <v>40.938</v>
      </c>
      <c r="H1956" s="15" t="s">
        <v>2361</v>
      </c>
      <c r="I1956" s="15" t="s">
        <v>1586</v>
      </c>
      <c r="J1956" s="15" t="s">
        <v>9071</v>
      </c>
      <c r="K1956" s="15">
        <v>45.0</v>
      </c>
      <c r="L1956" s="15">
        <v>45.0</v>
      </c>
      <c r="M1956" s="40">
        <v>38959.0</v>
      </c>
      <c r="N1956" s="41">
        <v>39436.0</v>
      </c>
      <c r="O1956" s="15" t="s">
        <v>1554</v>
      </c>
      <c r="Q1956" s="7"/>
    </row>
    <row r="1957">
      <c r="A1957" s="39" t="s">
        <v>9072</v>
      </c>
      <c r="B1957" s="15">
        <v>345250.0</v>
      </c>
      <c r="C1957" s="15" t="s">
        <v>9073</v>
      </c>
      <c r="D1957" s="15">
        <v>17773.0</v>
      </c>
      <c r="E1957" s="15" t="s">
        <v>1808</v>
      </c>
      <c r="F1957" s="15" t="s">
        <v>1998</v>
      </c>
      <c r="G1957" s="7">
        <v>1.898</v>
      </c>
      <c r="H1957" s="15" t="s">
        <v>1705</v>
      </c>
      <c r="I1957" s="15" t="s">
        <v>1686</v>
      </c>
      <c r="J1957" s="15" t="s">
        <v>9074</v>
      </c>
      <c r="K1957" s="15">
        <v>2.0</v>
      </c>
      <c r="L1957" s="15">
        <v>2.0</v>
      </c>
      <c r="M1957" s="40">
        <v>38951.0</v>
      </c>
      <c r="N1957" s="40">
        <v>42577.0</v>
      </c>
      <c r="O1957" s="15" t="s">
        <v>1554</v>
      </c>
      <c r="Q1957" s="7"/>
    </row>
    <row r="1958">
      <c r="A1958" s="39" t="s">
        <v>9075</v>
      </c>
      <c r="B1958" s="15">
        <v>365048.0</v>
      </c>
      <c r="C1958" s="15" t="s">
        <v>9076</v>
      </c>
      <c r="D1958" s="15">
        <v>17775.0</v>
      </c>
      <c r="E1958" s="15" t="s">
        <v>1557</v>
      </c>
      <c r="F1958" s="15" t="s">
        <v>1578</v>
      </c>
      <c r="G1958" s="7">
        <v>34.683</v>
      </c>
      <c r="H1958" s="15" t="s">
        <v>2107</v>
      </c>
      <c r="I1958" s="15" t="s">
        <v>1586</v>
      </c>
      <c r="J1958" s="15" t="s">
        <v>9078</v>
      </c>
      <c r="K1958" s="15">
        <v>54.0</v>
      </c>
      <c r="L1958" s="15">
        <v>54.0</v>
      </c>
      <c r="M1958" s="40">
        <v>38961.0</v>
      </c>
      <c r="N1958" s="40">
        <v>40031.0</v>
      </c>
      <c r="O1958" s="15" t="s">
        <v>1554</v>
      </c>
      <c r="Q1958" s="7"/>
    </row>
    <row r="1959">
      <c r="A1959" s="39" t="s">
        <v>9079</v>
      </c>
      <c r="B1959" s="15">
        <v>297249.0</v>
      </c>
      <c r="C1959" s="15" t="s">
        <v>9080</v>
      </c>
      <c r="D1959" s="15">
        <v>17801.0</v>
      </c>
      <c r="E1959" s="15" t="s">
        <v>1808</v>
      </c>
      <c r="F1959" s="15" t="s">
        <v>1809</v>
      </c>
      <c r="G1959" s="7">
        <v>2.744</v>
      </c>
      <c r="H1959" s="15" t="s">
        <v>2440</v>
      </c>
      <c r="I1959" s="15" t="s">
        <v>1628</v>
      </c>
      <c r="J1959" s="15" t="s">
        <v>9081</v>
      </c>
      <c r="K1959" s="15">
        <v>6.0</v>
      </c>
      <c r="L1959" s="15">
        <v>6.0</v>
      </c>
      <c r="M1959" s="40">
        <v>38261.0</v>
      </c>
      <c r="N1959" s="41">
        <v>42724.0</v>
      </c>
      <c r="O1959" s="15" t="s">
        <v>1554</v>
      </c>
      <c r="Q1959" s="7"/>
    </row>
    <row r="1960">
      <c r="A1960" s="39" t="s">
        <v>9082</v>
      </c>
      <c r="B1960" s="15">
        <v>335187.0</v>
      </c>
      <c r="C1960" s="15" t="s">
        <v>9083</v>
      </c>
      <c r="D1960" s="15">
        <v>17803.0</v>
      </c>
      <c r="E1960" s="15" t="s">
        <v>1548</v>
      </c>
      <c r="F1960" s="15" t="s">
        <v>2615</v>
      </c>
      <c r="G1960" s="7">
        <v>6.279</v>
      </c>
      <c r="H1960" s="15" t="s">
        <v>2118</v>
      </c>
      <c r="I1960" s="15" t="s">
        <v>1628</v>
      </c>
      <c r="J1960" s="15" t="s">
        <v>9084</v>
      </c>
      <c r="K1960" s="15">
        <v>4.0</v>
      </c>
      <c r="L1960" s="15">
        <v>4.0</v>
      </c>
      <c r="M1960" s="40">
        <v>38806.0</v>
      </c>
      <c r="N1960" s="40">
        <v>38987.0</v>
      </c>
      <c r="O1960" s="15" t="s">
        <v>1554</v>
      </c>
      <c r="Q1960" s="7"/>
    </row>
    <row r="1961">
      <c r="A1961" s="39" t="s">
        <v>9085</v>
      </c>
      <c r="B1961" s="15">
        <v>400835.0</v>
      </c>
      <c r="C1961" s="15" t="s">
        <v>9086</v>
      </c>
      <c r="D1961" s="15">
        <v>17805.0</v>
      </c>
      <c r="E1961" s="15" t="s">
        <v>1808</v>
      </c>
      <c r="F1961" s="15" t="s">
        <v>1809</v>
      </c>
      <c r="G1961" s="7">
        <v>2.744</v>
      </c>
      <c r="H1961" s="15" t="s">
        <v>1591</v>
      </c>
      <c r="I1961" s="15" t="s">
        <v>1628</v>
      </c>
      <c r="J1961" s="15" t="s">
        <v>9088</v>
      </c>
      <c r="K1961" s="15">
        <v>6.0</v>
      </c>
      <c r="L1961" s="15">
        <v>6.0</v>
      </c>
      <c r="M1961" s="40">
        <v>38261.0</v>
      </c>
      <c r="N1961" s="40">
        <v>38988.0</v>
      </c>
      <c r="O1961" s="15" t="s">
        <v>1554</v>
      </c>
      <c r="Q1961" s="7"/>
    </row>
    <row r="1962">
      <c r="A1962" s="39" t="s">
        <v>9089</v>
      </c>
      <c r="B1962" s="15">
        <v>401040.0</v>
      </c>
      <c r="C1962" s="15" t="s">
        <v>9090</v>
      </c>
      <c r="D1962" s="15">
        <v>17807.0</v>
      </c>
      <c r="E1962" s="15" t="s">
        <v>1808</v>
      </c>
      <c r="F1962" s="15" t="s">
        <v>1809</v>
      </c>
      <c r="G1962" s="7">
        <v>2.792</v>
      </c>
      <c r="H1962" s="15" t="s">
        <v>2552</v>
      </c>
      <c r="I1962" s="15" t="s">
        <v>1628</v>
      </c>
      <c r="J1962" s="15" t="s">
        <v>9091</v>
      </c>
      <c r="K1962" s="15">
        <v>6.0</v>
      </c>
      <c r="L1962" s="15">
        <v>6.0</v>
      </c>
      <c r="M1962" s="40">
        <v>38964.0</v>
      </c>
      <c r="N1962" s="40">
        <v>39790.0</v>
      </c>
      <c r="O1962" s="15" t="s">
        <v>1554</v>
      </c>
      <c r="Q1962" s="7"/>
    </row>
    <row r="1963">
      <c r="A1963" s="39" t="s">
        <v>9092</v>
      </c>
      <c r="B1963" s="15">
        <v>12210.0</v>
      </c>
      <c r="C1963" s="15" t="s">
        <v>9093</v>
      </c>
      <c r="D1963" s="15">
        <v>17809.0</v>
      </c>
      <c r="E1963" s="15" t="s">
        <v>1548</v>
      </c>
      <c r="F1963" s="15" t="s">
        <v>1911</v>
      </c>
      <c r="G1963" s="7">
        <v>9.89</v>
      </c>
      <c r="H1963" s="15" t="s">
        <v>1710</v>
      </c>
      <c r="I1963" s="15" t="s">
        <v>1628</v>
      </c>
      <c r="J1963" s="15" t="s">
        <v>9094</v>
      </c>
      <c r="K1963" s="15">
        <v>2.0</v>
      </c>
      <c r="L1963" s="15">
        <v>2.0</v>
      </c>
      <c r="M1963" s="40">
        <v>38982.0</v>
      </c>
      <c r="N1963" s="40">
        <v>42045.0</v>
      </c>
      <c r="O1963" s="15" t="s">
        <v>1554</v>
      </c>
      <c r="Q1963" s="7"/>
    </row>
    <row r="1964">
      <c r="A1964" s="39" t="s">
        <v>9095</v>
      </c>
      <c r="B1964" s="15">
        <v>379329.0</v>
      </c>
      <c r="C1964" s="15" t="s">
        <v>9096</v>
      </c>
      <c r="D1964" s="15">
        <v>17979.0</v>
      </c>
      <c r="E1964" s="15" t="s">
        <v>1557</v>
      </c>
      <c r="F1964" s="15" t="s">
        <v>1611</v>
      </c>
      <c r="G1964" s="7">
        <v>60.238</v>
      </c>
      <c r="H1964" s="15" t="s">
        <v>2000</v>
      </c>
      <c r="I1964" s="15" t="s">
        <v>1586</v>
      </c>
      <c r="J1964" s="15" t="s">
        <v>9097</v>
      </c>
      <c r="K1964" s="15">
        <v>84.0</v>
      </c>
      <c r="L1964" s="15">
        <v>81.0</v>
      </c>
      <c r="M1964" s="40">
        <v>38993.0</v>
      </c>
      <c r="N1964" s="40">
        <v>39920.0</v>
      </c>
      <c r="O1964" s="15" t="s">
        <v>1554</v>
      </c>
      <c r="Q1964" s="7"/>
    </row>
    <row r="1965">
      <c r="A1965" s="39" t="s">
        <v>9099</v>
      </c>
      <c r="B1965" s="15">
        <v>361731.0</v>
      </c>
      <c r="C1965" s="15" t="s">
        <v>9100</v>
      </c>
      <c r="D1965" s="15">
        <v>17991.0</v>
      </c>
      <c r="E1965" s="15" t="s">
        <v>1808</v>
      </c>
      <c r="F1965" s="15" t="s">
        <v>1809</v>
      </c>
      <c r="G1965" s="7">
        <v>5.083</v>
      </c>
      <c r="H1965" s="15" t="s">
        <v>9101</v>
      </c>
      <c r="I1965" s="15" t="s">
        <v>1628</v>
      </c>
      <c r="J1965" s="15" t="s">
        <v>9102</v>
      </c>
      <c r="K1965" s="15">
        <v>6.0</v>
      </c>
      <c r="L1965" s="15">
        <v>6.0</v>
      </c>
      <c r="M1965" s="40">
        <v>38986.0</v>
      </c>
      <c r="N1965" s="40">
        <v>39293.0</v>
      </c>
      <c r="O1965" s="15" t="s">
        <v>1554</v>
      </c>
      <c r="Q1965" s="7"/>
    </row>
    <row r="1966">
      <c r="A1966" s="39" t="s">
        <v>9103</v>
      </c>
      <c r="B1966" s="15">
        <v>403897.0</v>
      </c>
      <c r="C1966" s="15" t="s">
        <v>9104</v>
      </c>
      <c r="D1966" s="15">
        <v>17993.0</v>
      </c>
      <c r="E1966" s="15" t="s">
        <v>1808</v>
      </c>
      <c r="F1966" s="15" t="s">
        <v>1809</v>
      </c>
      <c r="G1966" s="7">
        <v>5.195</v>
      </c>
      <c r="H1966" s="15" t="s">
        <v>9105</v>
      </c>
      <c r="I1966" s="15" t="s">
        <v>1628</v>
      </c>
      <c r="J1966" s="15" t="s">
        <v>9106</v>
      </c>
      <c r="K1966" s="15">
        <v>6.0</v>
      </c>
      <c r="L1966" s="15">
        <v>6.0</v>
      </c>
      <c r="M1966" s="40">
        <v>38986.0</v>
      </c>
      <c r="N1966" s="40">
        <v>39293.0</v>
      </c>
      <c r="O1966" s="15" t="s">
        <v>1554</v>
      </c>
      <c r="Q1966" s="7"/>
    </row>
    <row r="1967">
      <c r="A1967" s="39" t="s">
        <v>9107</v>
      </c>
      <c r="B1967" s="15">
        <v>31507.0</v>
      </c>
      <c r="C1967" s="15" t="s">
        <v>9108</v>
      </c>
      <c r="D1967" s="15">
        <v>17995.0</v>
      </c>
      <c r="E1967" s="15" t="s">
        <v>1557</v>
      </c>
      <c r="F1967" s="15" t="s">
        <v>1992</v>
      </c>
      <c r="G1967" s="7">
        <v>132.239</v>
      </c>
      <c r="H1967" s="15" t="s">
        <v>2877</v>
      </c>
      <c r="I1967" s="15" t="s">
        <v>1560</v>
      </c>
      <c r="J1967" s="15" t="s">
        <v>9110</v>
      </c>
      <c r="K1967" s="15">
        <v>158.0</v>
      </c>
      <c r="L1967" s="15">
        <v>158.0</v>
      </c>
      <c r="M1967" s="40">
        <v>38991.0</v>
      </c>
      <c r="N1967" s="40">
        <v>42158.0</v>
      </c>
      <c r="O1967" s="15" t="s">
        <v>1554</v>
      </c>
      <c r="Q1967" s="7"/>
    </row>
    <row r="1968">
      <c r="A1968" s="39" t="s">
        <v>9111</v>
      </c>
      <c r="B1968" s="15">
        <v>45406.0</v>
      </c>
      <c r="C1968" s="15" t="s">
        <v>9112</v>
      </c>
      <c r="D1968" s="15">
        <v>17997.0</v>
      </c>
      <c r="E1968" s="15" t="s">
        <v>1557</v>
      </c>
      <c r="F1968" s="15" t="s">
        <v>1767</v>
      </c>
      <c r="G1968" s="7">
        <v>165.89</v>
      </c>
      <c r="H1968" s="15" t="s">
        <v>3361</v>
      </c>
      <c r="I1968" s="15" t="s">
        <v>1586</v>
      </c>
      <c r="J1968" s="15" t="s">
        <v>9113</v>
      </c>
      <c r="K1968" s="15">
        <v>270.0</v>
      </c>
      <c r="L1968" s="15">
        <v>270.0</v>
      </c>
      <c r="M1968" s="40">
        <v>38991.0</v>
      </c>
      <c r="N1968" s="40">
        <v>41317.0</v>
      </c>
      <c r="O1968" s="15" t="s">
        <v>1554</v>
      </c>
      <c r="Q1968" s="7"/>
    </row>
    <row r="1969">
      <c r="A1969" s="39" t="s">
        <v>9114</v>
      </c>
      <c r="B1969" s="15">
        <v>315392.0</v>
      </c>
      <c r="C1969" s="15" t="s">
        <v>9115</v>
      </c>
      <c r="D1969" s="15">
        <v>18001.0</v>
      </c>
      <c r="E1969" s="15" t="s">
        <v>2014</v>
      </c>
      <c r="F1969" s="15" t="s">
        <v>2018</v>
      </c>
      <c r="G1969" s="7">
        <v>1.38</v>
      </c>
      <c r="H1969" s="15" t="s">
        <v>2857</v>
      </c>
      <c r="I1969" s="15" t="s">
        <v>1628</v>
      </c>
      <c r="J1969" s="15" t="s">
        <v>9116</v>
      </c>
      <c r="K1969" s="15">
        <v>1.0</v>
      </c>
      <c r="L1969" s="15">
        <v>1.0</v>
      </c>
      <c r="M1969" s="40">
        <v>38991.0</v>
      </c>
      <c r="N1969" s="41">
        <v>40540.0</v>
      </c>
      <c r="O1969" s="15" t="s">
        <v>1554</v>
      </c>
      <c r="Q1969" s="7"/>
    </row>
    <row r="1970">
      <c r="A1970" s="39" t="s">
        <v>9117</v>
      </c>
      <c r="B1970" s="15">
        <v>328615.0</v>
      </c>
      <c r="C1970" s="15" t="s">
        <v>9118</v>
      </c>
      <c r="D1970" s="15">
        <v>18003.0</v>
      </c>
      <c r="E1970" s="15" t="s">
        <v>1557</v>
      </c>
      <c r="F1970" s="15" t="s">
        <v>8218</v>
      </c>
      <c r="G1970" s="7">
        <v>174.059</v>
      </c>
      <c r="H1970" s="15" t="s">
        <v>3550</v>
      </c>
      <c r="I1970" s="15" t="s">
        <v>1560</v>
      </c>
      <c r="J1970" s="15" t="s">
        <v>9120</v>
      </c>
      <c r="K1970" s="15">
        <v>164.0</v>
      </c>
      <c r="L1970" s="15">
        <v>164.0</v>
      </c>
      <c r="M1970" s="40">
        <v>38993.0</v>
      </c>
      <c r="N1970" s="40">
        <v>39224.0</v>
      </c>
      <c r="O1970" s="15" t="s">
        <v>1554</v>
      </c>
      <c r="Q1970" s="7"/>
    </row>
    <row r="1971">
      <c r="A1971" s="39" t="s">
        <v>9121</v>
      </c>
      <c r="B1971" s="15">
        <v>373862.0</v>
      </c>
      <c r="C1971" s="15" t="s">
        <v>9122</v>
      </c>
      <c r="D1971" s="15">
        <v>18009.0</v>
      </c>
      <c r="E1971" s="15" t="s">
        <v>1548</v>
      </c>
      <c r="F1971" s="15" t="s">
        <v>1890</v>
      </c>
      <c r="G1971" s="7">
        <v>11.545</v>
      </c>
      <c r="H1971" s="15" t="s">
        <v>1613</v>
      </c>
      <c r="I1971" s="15" t="s">
        <v>1686</v>
      </c>
      <c r="J1971" s="15" t="s">
        <v>9123</v>
      </c>
      <c r="K1971" s="15">
        <v>6.0</v>
      </c>
      <c r="L1971" s="15">
        <v>6.0</v>
      </c>
      <c r="M1971" s="40">
        <v>38991.0</v>
      </c>
      <c r="N1971" s="40">
        <v>42583.0</v>
      </c>
      <c r="O1971" s="15" t="s">
        <v>1554</v>
      </c>
      <c r="Q1971" s="7"/>
    </row>
    <row r="1972">
      <c r="A1972" s="39" t="s">
        <v>9124</v>
      </c>
      <c r="B1972" s="15">
        <v>407838.0</v>
      </c>
      <c r="C1972" s="15" t="s">
        <v>9125</v>
      </c>
      <c r="D1972" s="15">
        <v>18015.0</v>
      </c>
      <c r="E1972" s="15" t="s">
        <v>1808</v>
      </c>
      <c r="F1972" s="15" t="s">
        <v>1809</v>
      </c>
      <c r="G1972" s="7">
        <v>2.756</v>
      </c>
      <c r="H1972" s="15" t="s">
        <v>1912</v>
      </c>
      <c r="I1972" s="15" t="s">
        <v>1628</v>
      </c>
      <c r="J1972" s="15" t="s">
        <v>9126</v>
      </c>
      <c r="K1972" s="15">
        <v>6.0</v>
      </c>
      <c r="L1972" s="15">
        <v>6.0</v>
      </c>
      <c r="M1972" s="40">
        <v>38991.0</v>
      </c>
      <c r="N1972" s="41">
        <v>39015.0</v>
      </c>
      <c r="O1972" s="15" t="s">
        <v>1554</v>
      </c>
      <c r="Q1972" s="7"/>
    </row>
    <row r="1973">
      <c r="A1973" s="39" t="s">
        <v>9127</v>
      </c>
      <c r="B1973" s="15">
        <v>400121.0</v>
      </c>
      <c r="C1973" s="15" t="s">
        <v>9128</v>
      </c>
      <c r="D1973" s="15">
        <v>18019.0</v>
      </c>
      <c r="E1973" s="15" t="s">
        <v>1808</v>
      </c>
      <c r="F1973" s="15" t="s">
        <v>1998</v>
      </c>
      <c r="G1973" s="7">
        <v>2.035</v>
      </c>
      <c r="H1973" s="15">
        <v>51.0</v>
      </c>
      <c r="I1973" s="15" t="s">
        <v>1686</v>
      </c>
      <c r="J1973" s="15" t="s">
        <v>9129</v>
      </c>
      <c r="K1973" s="15">
        <v>3.0</v>
      </c>
      <c r="L1973" s="15">
        <v>3.0</v>
      </c>
      <c r="M1973" s="40">
        <v>38991.0</v>
      </c>
      <c r="N1973" s="40">
        <v>42045.0</v>
      </c>
      <c r="O1973" s="15" t="s">
        <v>1554</v>
      </c>
      <c r="Q1973" s="7"/>
    </row>
    <row r="1974">
      <c r="A1974" s="39" t="s">
        <v>9131</v>
      </c>
      <c r="B1974" s="15">
        <v>400122.0</v>
      </c>
      <c r="C1974" s="15" t="s">
        <v>9132</v>
      </c>
      <c r="D1974" s="15">
        <v>18021.0</v>
      </c>
      <c r="E1974" s="15" t="s">
        <v>1808</v>
      </c>
      <c r="F1974" s="15" t="s">
        <v>1998</v>
      </c>
      <c r="G1974" s="7">
        <v>1.962</v>
      </c>
      <c r="H1974" s="15" t="s">
        <v>6085</v>
      </c>
      <c r="I1974" s="15" t="s">
        <v>1686</v>
      </c>
      <c r="J1974" s="15" t="s">
        <v>9133</v>
      </c>
      <c r="K1974" s="15">
        <v>3.0</v>
      </c>
      <c r="L1974" s="15">
        <v>3.0</v>
      </c>
      <c r="M1974" s="40">
        <v>38991.0</v>
      </c>
      <c r="N1974" s="40">
        <v>42045.0</v>
      </c>
      <c r="O1974" s="15" t="s">
        <v>1554</v>
      </c>
      <c r="Q1974" s="7"/>
    </row>
    <row r="1975">
      <c r="A1975" s="39" t="s">
        <v>9134</v>
      </c>
      <c r="B1975" s="15">
        <v>367682.0</v>
      </c>
      <c r="C1975" s="15" t="s">
        <v>9135</v>
      </c>
      <c r="D1975" s="15">
        <v>18071.0</v>
      </c>
      <c r="E1975" s="15" t="s">
        <v>1548</v>
      </c>
      <c r="F1975" s="15" t="s">
        <v>1786</v>
      </c>
      <c r="G1975" s="7">
        <v>8.281</v>
      </c>
      <c r="H1975" s="15" t="s">
        <v>1607</v>
      </c>
      <c r="I1975" s="15" t="s">
        <v>1628</v>
      </c>
      <c r="J1975" s="15" t="s">
        <v>9136</v>
      </c>
      <c r="K1975" s="15">
        <v>6.0</v>
      </c>
      <c r="L1975" s="15">
        <v>6.0</v>
      </c>
      <c r="M1975" s="41">
        <v>39014.0</v>
      </c>
      <c r="N1975" s="40">
        <v>39226.0</v>
      </c>
      <c r="O1975" s="15" t="s">
        <v>1554</v>
      </c>
      <c r="Q1975" s="7"/>
    </row>
    <row r="1976">
      <c r="A1976" s="39" t="s">
        <v>9137</v>
      </c>
      <c r="B1976" s="15">
        <v>323118.0</v>
      </c>
      <c r="C1976" s="15" t="s">
        <v>9138</v>
      </c>
      <c r="D1976" s="15">
        <v>18125.0</v>
      </c>
      <c r="E1976" s="15" t="s">
        <v>1548</v>
      </c>
      <c r="F1976" s="15" t="s">
        <v>1911</v>
      </c>
      <c r="G1976" s="7">
        <v>10.851</v>
      </c>
      <c r="H1976" s="15" t="s">
        <v>3653</v>
      </c>
      <c r="I1976" s="15" t="s">
        <v>1628</v>
      </c>
      <c r="J1976" s="15" t="s">
        <v>9139</v>
      </c>
      <c r="K1976" s="15">
        <v>2.0</v>
      </c>
      <c r="L1976" s="15">
        <v>2.0</v>
      </c>
      <c r="M1976" s="41">
        <v>39021.0</v>
      </c>
      <c r="N1976" s="40">
        <v>42045.0</v>
      </c>
      <c r="O1976" s="15" t="s">
        <v>1554</v>
      </c>
      <c r="Q1976" s="7"/>
    </row>
    <row r="1977">
      <c r="A1977" s="39" t="s">
        <v>9141</v>
      </c>
      <c r="B1977" s="15">
        <v>340435.0</v>
      </c>
      <c r="C1977" s="15" t="s">
        <v>9142</v>
      </c>
      <c r="D1977" s="15">
        <v>18127.0</v>
      </c>
      <c r="E1977" s="15" t="s">
        <v>1557</v>
      </c>
      <c r="F1977" s="15" t="s">
        <v>1767</v>
      </c>
      <c r="G1977" s="7">
        <v>162.109</v>
      </c>
      <c r="H1977" s="15">
        <v>46.0</v>
      </c>
      <c r="I1977" s="15" t="s">
        <v>1586</v>
      </c>
      <c r="J1977" s="15" t="s">
        <v>9143</v>
      </c>
      <c r="K1977" s="15">
        <v>186.0</v>
      </c>
      <c r="L1977" s="15">
        <v>184.0</v>
      </c>
      <c r="M1977" s="40">
        <v>39022.0</v>
      </c>
      <c r="N1977" s="40">
        <v>42458.0</v>
      </c>
      <c r="O1977" s="15" t="s">
        <v>1554</v>
      </c>
      <c r="Q1977" s="7"/>
    </row>
    <row r="1978">
      <c r="A1978" s="39" t="s">
        <v>9144</v>
      </c>
      <c r="B1978" s="15">
        <v>377461.0</v>
      </c>
      <c r="C1978" s="15" t="s">
        <v>9145</v>
      </c>
      <c r="D1978" s="15">
        <v>18129.0</v>
      </c>
      <c r="E1978" s="15" t="s">
        <v>2014</v>
      </c>
      <c r="F1978" s="15" t="s">
        <v>1578</v>
      </c>
      <c r="G1978" s="7">
        <v>1.373</v>
      </c>
      <c r="H1978" s="15" t="s">
        <v>1710</v>
      </c>
      <c r="I1978" s="15" t="s">
        <v>1628</v>
      </c>
      <c r="J1978" s="15" t="s">
        <v>9146</v>
      </c>
      <c r="K1978" s="15">
        <v>1.0</v>
      </c>
      <c r="L1978" s="15">
        <v>1.0</v>
      </c>
      <c r="M1978" s="41">
        <v>39020.0</v>
      </c>
      <c r="N1978" s="40">
        <v>39790.0</v>
      </c>
      <c r="O1978" s="15" t="s">
        <v>1554</v>
      </c>
      <c r="Q1978" s="7"/>
    </row>
    <row r="1979">
      <c r="A1979" s="39" t="s">
        <v>9147</v>
      </c>
      <c r="B1979" s="15">
        <v>377462.0</v>
      </c>
      <c r="C1979" s="15" t="s">
        <v>9149</v>
      </c>
      <c r="D1979" s="15">
        <v>18131.0</v>
      </c>
      <c r="E1979" s="15" t="s">
        <v>1808</v>
      </c>
      <c r="F1979" s="15" t="s">
        <v>1809</v>
      </c>
      <c r="G1979" s="7">
        <v>2.728</v>
      </c>
      <c r="H1979" s="15" t="s">
        <v>3066</v>
      </c>
      <c r="I1979" s="15" t="s">
        <v>1628</v>
      </c>
      <c r="J1979" s="15" t="s">
        <v>9150</v>
      </c>
      <c r="K1979" s="15">
        <v>6.0</v>
      </c>
      <c r="L1979" s="15">
        <v>6.0</v>
      </c>
      <c r="M1979" s="41">
        <v>39020.0</v>
      </c>
      <c r="N1979" s="40">
        <v>39790.0</v>
      </c>
      <c r="O1979" s="15" t="s">
        <v>1554</v>
      </c>
      <c r="Q1979" s="7"/>
    </row>
    <row r="1980">
      <c r="A1980" s="39" t="s">
        <v>9151</v>
      </c>
      <c r="B1980" s="15">
        <v>377463.0</v>
      </c>
      <c r="C1980" s="15" t="s">
        <v>9152</v>
      </c>
      <c r="D1980" s="15">
        <v>18133.0</v>
      </c>
      <c r="E1980" s="15" t="s">
        <v>2014</v>
      </c>
      <c r="F1980" s="15" t="s">
        <v>2018</v>
      </c>
      <c r="G1980" s="7">
        <v>1.357</v>
      </c>
      <c r="H1980" s="15" t="s">
        <v>1962</v>
      </c>
      <c r="I1980" s="15" t="s">
        <v>1628</v>
      </c>
      <c r="J1980" s="15" t="s">
        <v>9153</v>
      </c>
      <c r="K1980" s="15">
        <v>1.0</v>
      </c>
      <c r="L1980" s="15">
        <v>1.0</v>
      </c>
      <c r="M1980" s="41">
        <v>39020.0</v>
      </c>
      <c r="N1980" s="40">
        <v>39790.0</v>
      </c>
      <c r="O1980" s="15" t="s">
        <v>1554</v>
      </c>
      <c r="Q1980" s="7"/>
    </row>
    <row r="1981">
      <c r="A1981" s="39" t="s">
        <v>9154</v>
      </c>
      <c r="B1981" s="15">
        <v>384359.0</v>
      </c>
      <c r="C1981" s="15" t="s">
        <v>9155</v>
      </c>
      <c r="D1981" s="15">
        <v>18239.0</v>
      </c>
      <c r="E1981" s="15" t="s">
        <v>1808</v>
      </c>
      <c r="F1981" s="15" t="s">
        <v>2969</v>
      </c>
      <c r="G1981" s="7">
        <v>9.004</v>
      </c>
      <c r="H1981" s="15">
        <v>60.0</v>
      </c>
      <c r="I1981" s="15" t="s">
        <v>1586</v>
      </c>
      <c r="J1981" s="15" t="s">
        <v>9156</v>
      </c>
      <c r="K1981" s="15">
        <v>15.0</v>
      </c>
      <c r="L1981" s="15">
        <v>15.0</v>
      </c>
      <c r="M1981" s="40">
        <v>39024.0</v>
      </c>
      <c r="N1981" s="41">
        <v>41619.0</v>
      </c>
      <c r="O1981" s="15" t="s">
        <v>1554</v>
      </c>
      <c r="Q1981" s="7"/>
    </row>
    <row r="1982">
      <c r="A1982" s="39" t="s">
        <v>9158</v>
      </c>
      <c r="B1982" s="15">
        <v>411248.0</v>
      </c>
      <c r="C1982" s="15" t="s">
        <v>9159</v>
      </c>
      <c r="D1982" s="15">
        <v>18249.0</v>
      </c>
      <c r="E1982" s="15" t="s">
        <v>2014</v>
      </c>
      <c r="F1982" s="15" t="s">
        <v>2018</v>
      </c>
      <c r="G1982" s="7">
        <v>1.346</v>
      </c>
      <c r="H1982" s="15" t="s">
        <v>2316</v>
      </c>
      <c r="I1982" s="15" t="s">
        <v>1628</v>
      </c>
      <c r="J1982" s="15" t="s">
        <v>9160</v>
      </c>
      <c r="K1982" s="15">
        <v>1.0</v>
      </c>
      <c r="L1982" s="15">
        <v>1.0</v>
      </c>
      <c r="M1982" s="40">
        <v>39028.0</v>
      </c>
      <c r="N1982" s="40">
        <v>40694.0</v>
      </c>
      <c r="O1982" s="15" t="s">
        <v>1554</v>
      </c>
      <c r="Q1982" s="7"/>
    </row>
    <row r="1983">
      <c r="A1983" s="39" t="s">
        <v>9161</v>
      </c>
      <c r="B1983" s="15">
        <v>59376.0</v>
      </c>
      <c r="C1983" s="15" t="s">
        <v>9162</v>
      </c>
      <c r="D1983" s="15">
        <v>18273.0</v>
      </c>
      <c r="E1983" s="15" t="s">
        <v>1557</v>
      </c>
      <c r="F1983" s="15" t="s">
        <v>1992</v>
      </c>
      <c r="G1983" s="7">
        <v>131.204</v>
      </c>
      <c r="H1983" s="15" t="s">
        <v>1714</v>
      </c>
      <c r="I1983" s="15" t="s">
        <v>1560</v>
      </c>
      <c r="J1983" s="15" t="s">
        <v>9163</v>
      </c>
      <c r="K1983" s="15">
        <v>126.0</v>
      </c>
      <c r="L1983" s="15">
        <v>126.0</v>
      </c>
      <c r="M1983" s="41">
        <v>39021.0</v>
      </c>
      <c r="N1983" s="40">
        <v>39226.0</v>
      </c>
      <c r="O1983" s="15" t="s">
        <v>1554</v>
      </c>
      <c r="Q1983" s="7"/>
    </row>
    <row r="1984">
      <c r="A1984" s="39" t="s">
        <v>9164</v>
      </c>
      <c r="B1984" s="15">
        <v>326941.0</v>
      </c>
      <c r="C1984" s="15" t="s">
        <v>9165</v>
      </c>
      <c r="D1984" s="15">
        <v>18275.0</v>
      </c>
      <c r="E1984" s="15" t="s">
        <v>1548</v>
      </c>
      <c r="F1984" s="15" t="s">
        <v>1790</v>
      </c>
      <c r="G1984" s="7">
        <v>17.481</v>
      </c>
      <c r="H1984" s="15" t="s">
        <v>3432</v>
      </c>
      <c r="I1984" s="15" t="s">
        <v>1628</v>
      </c>
      <c r="J1984" s="15" t="s">
        <v>9166</v>
      </c>
      <c r="K1984" s="15">
        <v>10.0</v>
      </c>
      <c r="L1984" s="15">
        <v>10.0</v>
      </c>
      <c r="M1984" s="40">
        <v>39023.0</v>
      </c>
      <c r="N1984" s="40">
        <v>42570.0</v>
      </c>
      <c r="O1984" s="15" t="s">
        <v>1554</v>
      </c>
      <c r="Q1984" s="7"/>
    </row>
    <row r="1985">
      <c r="A1985" s="39" t="s">
        <v>9168</v>
      </c>
      <c r="B1985" s="15">
        <v>303317.0</v>
      </c>
      <c r="C1985" s="15" t="s">
        <v>9169</v>
      </c>
      <c r="D1985" s="15">
        <v>18289.0</v>
      </c>
      <c r="E1985" s="15" t="s">
        <v>1548</v>
      </c>
      <c r="F1985" s="15" t="s">
        <v>4829</v>
      </c>
      <c r="G1985" s="7">
        <v>8.38</v>
      </c>
      <c r="H1985" s="15" t="s">
        <v>3882</v>
      </c>
      <c r="I1985" s="15" t="s">
        <v>1686</v>
      </c>
      <c r="J1985" s="15" t="s">
        <v>9170</v>
      </c>
      <c r="K1985" s="15">
        <v>3.0</v>
      </c>
      <c r="L1985" s="15">
        <v>3.0</v>
      </c>
      <c r="M1985" s="40">
        <v>38502.0</v>
      </c>
      <c r="N1985" s="40">
        <v>39870.0</v>
      </c>
      <c r="O1985" s="15" t="s">
        <v>1554</v>
      </c>
      <c r="Q1985" s="7"/>
    </row>
    <row r="1986">
      <c r="A1986" s="39" t="s">
        <v>9171</v>
      </c>
      <c r="B1986" s="15">
        <v>384360.0</v>
      </c>
      <c r="C1986" s="15" t="s">
        <v>9172</v>
      </c>
      <c r="D1986" s="15">
        <v>18291.0</v>
      </c>
      <c r="E1986" s="15" t="s">
        <v>1808</v>
      </c>
      <c r="F1986" s="15" t="s">
        <v>2969</v>
      </c>
      <c r="G1986" s="7">
        <v>6.662</v>
      </c>
      <c r="H1986" s="15" t="s">
        <v>4499</v>
      </c>
      <c r="I1986" s="15" t="s">
        <v>1586</v>
      </c>
      <c r="J1986" s="15" t="s">
        <v>9173</v>
      </c>
      <c r="K1986" s="15">
        <v>12.0</v>
      </c>
      <c r="L1986" s="15">
        <v>12.0</v>
      </c>
      <c r="M1986" s="40">
        <v>39024.0</v>
      </c>
      <c r="N1986" s="40">
        <v>39920.0</v>
      </c>
      <c r="O1986" s="15" t="s">
        <v>1554</v>
      </c>
      <c r="Q1986" s="7"/>
    </row>
    <row r="1987">
      <c r="A1987" s="39" t="s">
        <v>9174</v>
      </c>
      <c r="B1987" s="15">
        <v>390844.0</v>
      </c>
      <c r="C1987" s="15" t="s">
        <v>9175</v>
      </c>
      <c r="D1987" s="15">
        <v>18303.0</v>
      </c>
      <c r="E1987" s="15" t="s">
        <v>1548</v>
      </c>
      <c r="F1987" s="15" t="s">
        <v>1801</v>
      </c>
      <c r="G1987" s="7">
        <v>10.837</v>
      </c>
      <c r="H1987" s="15">
        <v>53.0</v>
      </c>
      <c r="I1987" s="15" t="s">
        <v>1803</v>
      </c>
      <c r="J1987" s="15" t="s">
        <v>9176</v>
      </c>
      <c r="K1987" s="15">
        <v>2.0</v>
      </c>
      <c r="L1987" s="15">
        <v>2.0</v>
      </c>
      <c r="M1987" s="41">
        <v>39036.0</v>
      </c>
      <c r="N1987" s="40">
        <v>42549.0</v>
      </c>
      <c r="O1987" s="15" t="s">
        <v>1554</v>
      </c>
      <c r="Q1987" s="7"/>
    </row>
    <row r="1988">
      <c r="A1988" s="39" t="s">
        <v>9177</v>
      </c>
      <c r="B1988" s="15">
        <v>399781.0</v>
      </c>
      <c r="C1988" s="15" t="s">
        <v>9178</v>
      </c>
      <c r="D1988" s="15">
        <v>18305.0</v>
      </c>
      <c r="E1988" s="15" t="s">
        <v>1557</v>
      </c>
      <c r="F1988" s="15" t="s">
        <v>2763</v>
      </c>
      <c r="G1988" s="7">
        <v>321.24</v>
      </c>
      <c r="H1988" s="15" t="s">
        <v>1962</v>
      </c>
      <c r="I1988" s="15" t="s">
        <v>1573</v>
      </c>
      <c r="J1988" s="15" t="s">
        <v>9179</v>
      </c>
      <c r="K1988" s="15">
        <v>855.0</v>
      </c>
      <c r="L1988" s="15">
        <v>849.0</v>
      </c>
      <c r="M1988" s="41">
        <v>39039.0</v>
      </c>
      <c r="N1988" s="40">
        <v>39790.0</v>
      </c>
      <c r="O1988" s="15" t="s">
        <v>1554</v>
      </c>
      <c r="Q1988" s="7"/>
    </row>
    <row r="1989">
      <c r="A1989" s="39" t="s">
        <v>9181</v>
      </c>
      <c r="B1989" s="15">
        <v>410826.0</v>
      </c>
      <c r="C1989" s="15" t="s">
        <v>9182</v>
      </c>
      <c r="D1989" s="15">
        <v>18323.0</v>
      </c>
      <c r="E1989" s="15" t="s">
        <v>2014</v>
      </c>
      <c r="F1989" s="15" t="s">
        <v>2018</v>
      </c>
      <c r="G1989" s="7">
        <v>1.367</v>
      </c>
      <c r="H1989" s="15" t="s">
        <v>2193</v>
      </c>
      <c r="I1989" s="15" t="s">
        <v>1628</v>
      </c>
      <c r="J1989" s="15" t="s">
        <v>9183</v>
      </c>
      <c r="K1989" s="15">
        <v>1.0</v>
      </c>
      <c r="L1989" s="15">
        <v>1.0</v>
      </c>
      <c r="M1989" s="41">
        <v>39039.0</v>
      </c>
      <c r="N1989" s="40">
        <v>39056.0</v>
      </c>
      <c r="O1989" s="15" t="s">
        <v>1554</v>
      </c>
      <c r="Q1989" s="7"/>
    </row>
    <row r="1990">
      <c r="A1990" s="39" t="s">
        <v>9184</v>
      </c>
      <c r="B1990" s="15">
        <v>387909.0</v>
      </c>
      <c r="C1990" s="15" t="s">
        <v>9185</v>
      </c>
      <c r="D1990" s="15">
        <v>18329.0</v>
      </c>
      <c r="E1990" s="15" t="s">
        <v>1557</v>
      </c>
      <c r="F1990" s="15" t="s">
        <v>1833</v>
      </c>
      <c r="G1990" s="7">
        <v>44.061</v>
      </c>
      <c r="H1990" s="15">
        <v>33.0</v>
      </c>
      <c r="I1990" s="15" t="s">
        <v>1586</v>
      </c>
      <c r="J1990" s="15" t="s">
        <v>9186</v>
      </c>
      <c r="K1990" s="15">
        <v>65.0</v>
      </c>
      <c r="L1990" s="15">
        <v>65.0</v>
      </c>
      <c r="M1990" s="41">
        <v>39021.0</v>
      </c>
      <c r="N1990" s="40">
        <v>40248.0</v>
      </c>
      <c r="O1990" s="15" t="s">
        <v>1554</v>
      </c>
      <c r="Q1990" s="7"/>
    </row>
    <row r="1991">
      <c r="A1991" s="39" t="s">
        <v>9187</v>
      </c>
      <c r="B1991" s="15">
        <v>388038.0</v>
      </c>
      <c r="C1991" s="15" t="s">
        <v>9188</v>
      </c>
      <c r="D1991" s="15">
        <v>18331.0</v>
      </c>
      <c r="E1991" s="15" t="s">
        <v>1548</v>
      </c>
      <c r="F1991" s="15" t="s">
        <v>2615</v>
      </c>
      <c r="G1991" s="7">
        <v>6.485</v>
      </c>
      <c r="H1991" s="15" t="s">
        <v>3066</v>
      </c>
      <c r="I1991" s="15" t="s">
        <v>1628</v>
      </c>
      <c r="J1991" s="15" t="s">
        <v>9190</v>
      </c>
      <c r="K1991" s="15">
        <v>3.0</v>
      </c>
      <c r="L1991" s="15">
        <v>4.0</v>
      </c>
      <c r="M1991" s="40">
        <v>39052.0</v>
      </c>
      <c r="N1991" s="40">
        <v>40429.0</v>
      </c>
      <c r="O1991" s="15" t="s">
        <v>1554</v>
      </c>
      <c r="Q1991" s="7"/>
    </row>
    <row r="1992">
      <c r="A1992" s="39" t="s">
        <v>9191</v>
      </c>
      <c r="B1992" s="15">
        <v>360398.0</v>
      </c>
      <c r="C1992" s="15" t="s">
        <v>9192</v>
      </c>
      <c r="D1992" s="15">
        <v>18463.0</v>
      </c>
      <c r="E1992" s="15" t="s">
        <v>1557</v>
      </c>
      <c r="F1992" s="15" t="s">
        <v>1833</v>
      </c>
      <c r="G1992" s="7">
        <v>44.857</v>
      </c>
      <c r="H1992" s="15" t="s">
        <v>2219</v>
      </c>
      <c r="I1992" s="15" t="s">
        <v>1586</v>
      </c>
      <c r="J1992" s="15" t="s">
        <v>9193</v>
      </c>
      <c r="K1992" s="15">
        <v>59.0</v>
      </c>
      <c r="L1992" s="15">
        <v>59.0</v>
      </c>
      <c r="M1992" s="40">
        <v>39060.0</v>
      </c>
      <c r="N1992" s="40">
        <v>42390.0</v>
      </c>
      <c r="O1992" s="15" t="s">
        <v>1554</v>
      </c>
      <c r="Q1992" s="7"/>
    </row>
    <row r="1993">
      <c r="A1993" s="39" t="s">
        <v>9194</v>
      </c>
      <c r="B1993" s="15">
        <v>369257.0</v>
      </c>
      <c r="C1993" s="15" t="s">
        <v>9195</v>
      </c>
      <c r="D1993" s="15">
        <v>18481.0</v>
      </c>
      <c r="E1993" s="15" t="s">
        <v>1557</v>
      </c>
      <c r="F1993" s="15" t="s">
        <v>1611</v>
      </c>
      <c r="G1993" s="7">
        <v>38.564</v>
      </c>
      <c r="H1993" s="15" t="s">
        <v>1700</v>
      </c>
      <c r="I1993" s="15" t="s">
        <v>1586</v>
      </c>
      <c r="J1993" s="15" t="s">
        <v>9196</v>
      </c>
      <c r="K1993" s="15">
        <v>45.0</v>
      </c>
      <c r="L1993" s="15">
        <v>45.0</v>
      </c>
      <c r="M1993" s="41">
        <v>39064.0</v>
      </c>
      <c r="N1993" s="40">
        <v>39920.0</v>
      </c>
      <c r="O1993" s="15" t="s">
        <v>1554</v>
      </c>
      <c r="Q1993" s="7"/>
    </row>
    <row r="1994">
      <c r="A1994" s="39" t="s">
        <v>9197</v>
      </c>
      <c r="B1994" s="15">
        <v>416419.0</v>
      </c>
      <c r="C1994" s="15" t="s">
        <v>9198</v>
      </c>
      <c r="D1994" s="15">
        <v>18503.0</v>
      </c>
      <c r="E1994" s="15" t="s">
        <v>1557</v>
      </c>
      <c r="F1994" s="15" t="s">
        <v>1833</v>
      </c>
      <c r="G1994" s="7">
        <v>42.271</v>
      </c>
      <c r="H1994" s="15" t="s">
        <v>9199</v>
      </c>
      <c r="I1994" s="15" t="s">
        <v>1618</v>
      </c>
      <c r="J1994" s="15" t="s">
        <v>9200</v>
      </c>
      <c r="K1994" s="15">
        <v>71.0</v>
      </c>
      <c r="L1994" s="15">
        <v>70.0</v>
      </c>
      <c r="M1994" s="41">
        <v>39066.0</v>
      </c>
      <c r="N1994" s="41">
        <v>39072.0</v>
      </c>
      <c r="O1994" s="15" t="s">
        <v>1554</v>
      </c>
      <c r="Q1994" s="7"/>
    </row>
    <row r="1995">
      <c r="A1995" s="39" t="s">
        <v>9202</v>
      </c>
      <c r="B1995" s="15">
        <v>243563.0</v>
      </c>
      <c r="C1995" s="15" t="s">
        <v>9203</v>
      </c>
      <c r="D1995" s="15">
        <v>18507.0</v>
      </c>
      <c r="E1995" s="15" t="s">
        <v>1548</v>
      </c>
      <c r="F1995" s="15" t="s">
        <v>1926</v>
      </c>
      <c r="G1995" s="7">
        <v>8.55</v>
      </c>
      <c r="H1995" s="15" t="s">
        <v>9204</v>
      </c>
      <c r="I1995" s="15" t="s">
        <v>1628</v>
      </c>
      <c r="J1995" s="15" t="s">
        <v>9205</v>
      </c>
      <c r="K1995" s="15">
        <v>4.0</v>
      </c>
      <c r="L1995" s="15">
        <v>5.0</v>
      </c>
      <c r="M1995" s="40">
        <v>37881.0</v>
      </c>
      <c r="N1995" s="40">
        <v>40268.0</v>
      </c>
      <c r="O1995" s="15" t="s">
        <v>1554</v>
      </c>
      <c r="Q1995" s="7"/>
    </row>
    <row r="1996">
      <c r="A1996" s="39" t="s">
        <v>9206</v>
      </c>
      <c r="B1996" s="15">
        <v>10752.0</v>
      </c>
      <c r="C1996" s="15" t="s">
        <v>9207</v>
      </c>
      <c r="D1996" s="15">
        <v>18511.0</v>
      </c>
      <c r="E1996" s="15" t="s">
        <v>1557</v>
      </c>
      <c r="F1996" s="15" t="s">
        <v>1611</v>
      </c>
      <c r="G1996" s="7">
        <v>70.153</v>
      </c>
      <c r="H1996" s="15" t="s">
        <v>1710</v>
      </c>
      <c r="I1996" s="15" t="s">
        <v>1586</v>
      </c>
      <c r="J1996" s="15" t="s">
        <v>9208</v>
      </c>
      <c r="K1996" s="15">
        <v>72.0</v>
      </c>
      <c r="L1996" s="15">
        <v>72.0</v>
      </c>
      <c r="M1996" s="41">
        <v>39036.0</v>
      </c>
      <c r="N1996" s="40">
        <v>39920.0</v>
      </c>
      <c r="O1996" s="15" t="s">
        <v>1554</v>
      </c>
      <c r="Q1996" s="7"/>
    </row>
    <row r="1997">
      <c r="A1997" s="39" t="s">
        <v>9209</v>
      </c>
      <c r="B1997" s="15">
        <v>44026.0</v>
      </c>
      <c r="C1997" s="15" t="s">
        <v>9210</v>
      </c>
      <c r="D1997" s="15">
        <v>18513.0</v>
      </c>
      <c r="E1997" s="15" t="s">
        <v>1548</v>
      </c>
      <c r="F1997" s="15" t="s">
        <v>1801</v>
      </c>
      <c r="G1997" s="7">
        <v>10.793</v>
      </c>
      <c r="H1997" s="15" t="s">
        <v>2075</v>
      </c>
      <c r="I1997" s="15" t="s">
        <v>1803</v>
      </c>
      <c r="J1997" s="15" t="s">
        <v>9211</v>
      </c>
      <c r="K1997" s="15">
        <v>1.0</v>
      </c>
      <c r="L1997" s="15">
        <v>1.0</v>
      </c>
      <c r="M1997" s="41">
        <v>39070.0</v>
      </c>
      <c r="N1997" s="40">
        <v>39790.0</v>
      </c>
      <c r="O1997" s="15" t="s">
        <v>1554</v>
      </c>
      <c r="Q1997" s="7"/>
    </row>
    <row r="1998">
      <c r="A1998" s="39" t="s">
        <v>9212</v>
      </c>
      <c r="B1998" s="15">
        <v>64283.0</v>
      </c>
      <c r="C1998" s="15" t="s">
        <v>9213</v>
      </c>
      <c r="D1998" s="15">
        <v>18515.0</v>
      </c>
      <c r="E1998" s="15" t="s">
        <v>1548</v>
      </c>
      <c r="F1998" s="15" t="s">
        <v>1801</v>
      </c>
      <c r="G1998" s="7">
        <v>10.51</v>
      </c>
      <c r="H1998" s="15" t="s">
        <v>2351</v>
      </c>
      <c r="I1998" s="15" t="s">
        <v>1803</v>
      </c>
      <c r="J1998" s="15" t="s">
        <v>9214</v>
      </c>
      <c r="K1998" s="15">
        <v>1.0</v>
      </c>
      <c r="L1998" s="15">
        <v>1.0</v>
      </c>
      <c r="M1998" s="41">
        <v>39070.0</v>
      </c>
      <c r="N1998" s="40">
        <v>39790.0</v>
      </c>
      <c r="O1998" s="15" t="s">
        <v>1554</v>
      </c>
      <c r="Q1998" s="7"/>
    </row>
    <row r="1999">
      <c r="A1999" s="39" t="s">
        <v>9216</v>
      </c>
      <c r="B1999" s="15">
        <v>263531.0</v>
      </c>
      <c r="C1999" s="15" t="s">
        <v>9217</v>
      </c>
      <c r="D1999" s="15">
        <v>18517.0</v>
      </c>
      <c r="E1999" s="15" t="s">
        <v>1548</v>
      </c>
      <c r="F1999" s="15" t="s">
        <v>1776</v>
      </c>
      <c r="G1999" s="7">
        <v>7.39</v>
      </c>
      <c r="H1999" s="15">
        <v>46.0</v>
      </c>
      <c r="I1999" s="15" t="s">
        <v>1686</v>
      </c>
      <c r="J1999" s="15" t="s">
        <v>9218</v>
      </c>
      <c r="K1999" s="15">
        <v>1.0</v>
      </c>
      <c r="L1999" s="15">
        <v>1.0</v>
      </c>
      <c r="M1999" s="40">
        <v>39052.0</v>
      </c>
      <c r="N1999" s="40">
        <v>42045.0</v>
      </c>
      <c r="O1999" s="15" t="s">
        <v>1554</v>
      </c>
      <c r="Q1999" s="7"/>
    </row>
    <row r="2000">
      <c r="A2000" s="39" t="s">
        <v>9219</v>
      </c>
      <c r="B2000" s="15">
        <v>389469.0</v>
      </c>
      <c r="C2000" s="15" t="s">
        <v>9220</v>
      </c>
      <c r="D2000" s="15">
        <v>18521.0</v>
      </c>
      <c r="E2000" s="15" t="s">
        <v>1557</v>
      </c>
      <c r="F2000" s="15" t="s">
        <v>1833</v>
      </c>
      <c r="G2000" s="7">
        <v>36.415</v>
      </c>
      <c r="H2000" s="15" t="s">
        <v>3685</v>
      </c>
      <c r="I2000" s="15" t="s">
        <v>1586</v>
      </c>
      <c r="J2000" s="15" t="s">
        <v>9221</v>
      </c>
      <c r="K2000" s="15">
        <v>52.0</v>
      </c>
      <c r="L2000" s="15">
        <v>52.0</v>
      </c>
      <c r="M2000" s="40">
        <v>39053.0</v>
      </c>
      <c r="N2000" s="41">
        <v>41239.0</v>
      </c>
      <c r="O2000" s="15" t="s">
        <v>1554</v>
      </c>
      <c r="Q2000" s="7"/>
    </row>
    <row r="2001">
      <c r="A2001" s="39" t="s">
        <v>9222</v>
      </c>
      <c r="B2001" s="15">
        <v>398839.0</v>
      </c>
      <c r="C2001" s="15" t="s">
        <v>9223</v>
      </c>
      <c r="D2001" s="15">
        <v>18523.0</v>
      </c>
      <c r="E2001" s="15" t="s">
        <v>1557</v>
      </c>
      <c r="F2001" s="15" t="s">
        <v>1833</v>
      </c>
      <c r="G2001" s="7">
        <v>43.42</v>
      </c>
      <c r="H2001" s="15" t="s">
        <v>4283</v>
      </c>
      <c r="I2001" s="15" t="s">
        <v>1586</v>
      </c>
      <c r="J2001" s="15" t="s">
        <v>9224</v>
      </c>
      <c r="K2001" s="15">
        <v>65.0</v>
      </c>
      <c r="L2001" s="15">
        <v>65.0</v>
      </c>
      <c r="M2001" s="40">
        <v>39055.0</v>
      </c>
      <c r="N2001" s="40">
        <v>39360.0</v>
      </c>
      <c r="O2001" s="15" t="s">
        <v>1554</v>
      </c>
      <c r="Q2001" s="7"/>
    </row>
    <row r="2002">
      <c r="A2002" s="39" t="s">
        <v>9226</v>
      </c>
      <c r="B2002" s="15">
        <v>399185.0</v>
      </c>
      <c r="C2002" s="15" t="s">
        <v>9227</v>
      </c>
      <c r="D2002" s="15">
        <v>18525.0</v>
      </c>
      <c r="E2002" s="15" t="s">
        <v>1557</v>
      </c>
      <c r="F2002" s="15" t="s">
        <v>1833</v>
      </c>
      <c r="G2002" s="7">
        <v>44.041</v>
      </c>
      <c r="H2002" s="15" t="s">
        <v>7887</v>
      </c>
      <c r="I2002" s="15" t="s">
        <v>1586</v>
      </c>
      <c r="J2002" s="15" t="s">
        <v>9228</v>
      </c>
      <c r="K2002" s="15">
        <v>68.0</v>
      </c>
      <c r="L2002" s="15">
        <v>68.0</v>
      </c>
      <c r="M2002" s="40">
        <v>39055.0</v>
      </c>
      <c r="N2002" s="40">
        <v>39360.0</v>
      </c>
      <c r="O2002" s="15" t="s">
        <v>1554</v>
      </c>
      <c r="Q2002" s="7"/>
    </row>
    <row r="2003">
      <c r="A2003" s="39" t="s">
        <v>9229</v>
      </c>
      <c r="B2003" s="15">
        <v>322019.0</v>
      </c>
      <c r="C2003" s="15" t="s">
        <v>9230</v>
      </c>
      <c r="D2003" s="15">
        <v>18527.0</v>
      </c>
      <c r="E2003" s="15" t="s">
        <v>1557</v>
      </c>
      <c r="F2003" s="15" t="s">
        <v>2763</v>
      </c>
      <c r="G2003" s="7">
        <v>288.047</v>
      </c>
      <c r="H2003" s="15" t="s">
        <v>4821</v>
      </c>
      <c r="I2003" s="15" t="s">
        <v>1573</v>
      </c>
      <c r="J2003" s="15" t="s">
        <v>9231</v>
      </c>
      <c r="K2003" s="15">
        <v>860.0</v>
      </c>
      <c r="L2003" s="15">
        <v>860.0</v>
      </c>
      <c r="M2003" s="41">
        <v>39074.0</v>
      </c>
      <c r="N2003" s="41">
        <v>39371.0</v>
      </c>
      <c r="O2003" s="15" t="s">
        <v>1554</v>
      </c>
      <c r="Q2003" s="7"/>
    </row>
    <row r="2004">
      <c r="A2004" s="39" t="s">
        <v>9232</v>
      </c>
      <c r="B2004" s="15">
        <v>413066.0</v>
      </c>
      <c r="C2004" s="15" t="s">
        <v>9233</v>
      </c>
      <c r="D2004" s="15">
        <v>18529.0</v>
      </c>
      <c r="E2004" s="15" t="s">
        <v>1557</v>
      </c>
      <c r="F2004" s="15" t="s">
        <v>1833</v>
      </c>
      <c r="G2004" s="7">
        <v>36.019</v>
      </c>
      <c r="H2004" s="15" t="s">
        <v>2118</v>
      </c>
      <c r="I2004" s="15" t="s">
        <v>1586</v>
      </c>
      <c r="J2004" s="15" t="s">
        <v>9234</v>
      </c>
      <c r="K2004" s="15">
        <v>48.0</v>
      </c>
      <c r="L2004" s="15">
        <v>48.0</v>
      </c>
      <c r="M2004" s="40">
        <v>39054.0</v>
      </c>
      <c r="N2004" s="40">
        <v>41093.0</v>
      </c>
      <c r="O2004" s="15" t="s">
        <v>1554</v>
      </c>
      <c r="Q2004" s="7"/>
    </row>
    <row r="2005">
      <c r="A2005" s="39" t="s">
        <v>9236</v>
      </c>
      <c r="B2005" s="15">
        <v>368736.0</v>
      </c>
      <c r="C2005" s="15" t="s">
        <v>9237</v>
      </c>
      <c r="D2005" s="15">
        <v>18531.0</v>
      </c>
      <c r="E2005" s="15" t="s">
        <v>1548</v>
      </c>
      <c r="F2005" s="15" t="s">
        <v>2615</v>
      </c>
      <c r="G2005" s="7">
        <v>6.794</v>
      </c>
      <c r="H2005" s="15">
        <v>45.0</v>
      </c>
      <c r="I2005" s="15" t="s">
        <v>1628</v>
      </c>
      <c r="J2005" s="15" t="s">
        <v>9238</v>
      </c>
      <c r="K2005" s="15">
        <v>4.0</v>
      </c>
      <c r="L2005" s="15">
        <v>4.0</v>
      </c>
      <c r="M2005" s="41">
        <v>39048.0</v>
      </c>
      <c r="N2005" s="41">
        <v>39079.0</v>
      </c>
      <c r="O2005" s="15" t="s">
        <v>1554</v>
      </c>
      <c r="Q2005" s="7"/>
    </row>
    <row r="2006">
      <c r="A2006" s="39" t="s">
        <v>9239</v>
      </c>
      <c r="B2006" s="15">
        <v>1307954.0</v>
      </c>
      <c r="C2006" s="15" t="s">
        <v>9240</v>
      </c>
      <c r="D2006" s="15">
        <v>18533.0</v>
      </c>
      <c r="E2006" s="15" t="s">
        <v>1557</v>
      </c>
      <c r="F2006" s="15" t="s">
        <v>1992</v>
      </c>
      <c r="G2006" s="7">
        <v>111.953</v>
      </c>
      <c r="H2006" s="15" t="s">
        <v>2857</v>
      </c>
      <c r="I2006" s="15" t="s">
        <v>1560</v>
      </c>
      <c r="J2006" s="15" t="s">
        <v>9241</v>
      </c>
      <c r="K2006" s="15">
        <v>126.0</v>
      </c>
      <c r="L2006" s="15">
        <v>126.0</v>
      </c>
      <c r="M2006" s="41">
        <v>39074.0</v>
      </c>
      <c r="N2006" s="40">
        <v>39706.0</v>
      </c>
      <c r="O2006" s="15" t="s">
        <v>1554</v>
      </c>
      <c r="Q2006" s="7"/>
    </row>
    <row r="2007">
      <c r="A2007" s="39" t="s">
        <v>9242</v>
      </c>
      <c r="B2007" s="15">
        <v>185954.0</v>
      </c>
      <c r="C2007" s="15" t="s">
        <v>9243</v>
      </c>
      <c r="D2007" s="15">
        <v>18539.0</v>
      </c>
      <c r="E2007" s="15" t="s">
        <v>1638</v>
      </c>
      <c r="F2007" s="15" t="s">
        <v>1863</v>
      </c>
      <c r="G2007" s="7">
        <v>29.096</v>
      </c>
      <c r="H2007" s="15" t="s">
        <v>9245</v>
      </c>
      <c r="I2007" s="15" t="s">
        <v>2034</v>
      </c>
      <c r="J2007" s="15" t="s">
        <v>9246</v>
      </c>
      <c r="K2007" s="15">
        <v>12.0</v>
      </c>
      <c r="L2007" s="15">
        <v>12.0</v>
      </c>
      <c r="M2007" s="40">
        <v>37510.0</v>
      </c>
      <c r="N2007" s="41">
        <v>42306.0</v>
      </c>
      <c r="O2007" s="15" t="s">
        <v>1554</v>
      </c>
      <c r="Q2007" s="7"/>
    </row>
    <row r="2008">
      <c r="A2008" s="39" t="s">
        <v>9247</v>
      </c>
      <c r="B2008" s="15">
        <v>408719.0</v>
      </c>
      <c r="C2008" s="15" t="s">
        <v>9248</v>
      </c>
      <c r="D2008" s="15">
        <v>18625.0</v>
      </c>
      <c r="E2008" s="15" t="s">
        <v>1808</v>
      </c>
      <c r="F2008" s="15" t="s">
        <v>1809</v>
      </c>
      <c r="G2008" s="7">
        <v>5.197</v>
      </c>
      <c r="H2008" s="15" t="s">
        <v>9249</v>
      </c>
      <c r="I2008" s="15" t="s">
        <v>1628</v>
      </c>
      <c r="J2008" s="15" t="s">
        <v>9250</v>
      </c>
      <c r="K2008" s="15">
        <v>6.0</v>
      </c>
      <c r="L2008" s="15">
        <v>6.0</v>
      </c>
      <c r="M2008" s="40">
        <v>38986.0</v>
      </c>
      <c r="N2008" s="40">
        <v>42045.0</v>
      </c>
      <c r="O2008" s="15" t="s">
        <v>1554</v>
      </c>
      <c r="Q2008" s="7"/>
    </row>
    <row r="2009">
      <c r="A2009" s="39" t="s">
        <v>9251</v>
      </c>
      <c r="B2009" s="15">
        <v>1233675.0</v>
      </c>
      <c r="C2009" s="15" t="s">
        <v>9253</v>
      </c>
      <c r="D2009" s="15">
        <v>18657.0</v>
      </c>
      <c r="E2009" s="15" t="s">
        <v>1808</v>
      </c>
      <c r="F2009" s="15" t="s">
        <v>1809</v>
      </c>
      <c r="G2009" s="7">
        <v>2.762</v>
      </c>
      <c r="H2009" s="15" t="s">
        <v>1943</v>
      </c>
      <c r="I2009" s="15" t="s">
        <v>1628</v>
      </c>
      <c r="J2009" s="15" t="s">
        <v>9254</v>
      </c>
      <c r="K2009" s="15">
        <v>6.0</v>
      </c>
      <c r="L2009" s="15">
        <v>6.0</v>
      </c>
      <c r="M2009" s="40">
        <v>38120.0</v>
      </c>
      <c r="N2009" s="41">
        <v>41263.0</v>
      </c>
      <c r="O2009" s="15" t="s">
        <v>1554</v>
      </c>
      <c r="Q2009" s="7"/>
    </row>
    <row r="2010">
      <c r="A2010" s="39" t="s">
        <v>9255</v>
      </c>
      <c r="B2010" s="15">
        <v>417288.0</v>
      </c>
      <c r="C2010" s="15" t="s">
        <v>9256</v>
      </c>
      <c r="D2010" s="15">
        <v>18659.0</v>
      </c>
      <c r="E2010" s="15" t="s">
        <v>1808</v>
      </c>
      <c r="F2010" s="15" t="s">
        <v>1809</v>
      </c>
      <c r="G2010" s="7">
        <v>2.745</v>
      </c>
      <c r="H2010" s="15" t="s">
        <v>3584</v>
      </c>
      <c r="I2010" s="15" t="s">
        <v>1628</v>
      </c>
      <c r="J2010" s="15" t="s">
        <v>9257</v>
      </c>
      <c r="K2010" s="15">
        <v>6.0</v>
      </c>
      <c r="L2010" s="15">
        <v>6.0</v>
      </c>
      <c r="M2010" s="41">
        <v>39077.0</v>
      </c>
      <c r="N2010" s="40">
        <v>40206.0</v>
      </c>
      <c r="O2010" s="15" t="s">
        <v>1554</v>
      </c>
      <c r="Q2010" s="7"/>
    </row>
    <row r="2011">
      <c r="A2011" s="39" t="s">
        <v>9258</v>
      </c>
      <c r="B2011" s="15">
        <v>326036.0</v>
      </c>
      <c r="C2011" s="15" t="s">
        <v>9259</v>
      </c>
      <c r="D2011" s="15">
        <v>18669.0</v>
      </c>
      <c r="E2011" s="15" t="s">
        <v>1557</v>
      </c>
      <c r="F2011" s="15" t="s">
        <v>1833</v>
      </c>
      <c r="G2011" s="7">
        <v>43.265</v>
      </c>
      <c r="H2011" s="15" t="s">
        <v>7532</v>
      </c>
      <c r="I2011" s="15" t="s">
        <v>1586</v>
      </c>
      <c r="J2011" s="15" t="s">
        <v>9260</v>
      </c>
      <c r="K2011" s="15">
        <v>69.0</v>
      </c>
      <c r="L2011" s="15">
        <v>69.0</v>
      </c>
      <c r="M2011" s="40">
        <v>39088.0</v>
      </c>
      <c r="N2011" s="40">
        <v>39785.0</v>
      </c>
      <c r="O2011" s="15" t="s">
        <v>1554</v>
      </c>
      <c r="Q2011" s="7"/>
    </row>
    <row r="2012">
      <c r="A2012" s="39" t="s">
        <v>9261</v>
      </c>
      <c r="B2012" s="15">
        <v>326037.0</v>
      </c>
      <c r="C2012" s="15" t="s">
        <v>9262</v>
      </c>
      <c r="D2012" s="15">
        <v>18671.0</v>
      </c>
      <c r="E2012" s="15" t="s">
        <v>1557</v>
      </c>
      <c r="F2012" s="15" t="s">
        <v>1833</v>
      </c>
      <c r="G2012" s="7">
        <v>43.282</v>
      </c>
      <c r="H2012" s="15" t="s">
        <v>7887</v>
      </c>
      <c r="I2012" s="15" t="s">
        <v>1586</v>
      </c>
      <c r="J2012" s="15" t="s">
        <v>9264</v>
      </c>
      <c r="K2012" s="15">
        <v>68.0</v>
      </c>
      <c r="L2012" s="15">
        <v>68.0</v>
      </c>
      <c r="M2012" s="40">
        <v>39088.0</v>
      </c>
      <c r="N2012" s="40">
        <v>39785.0</v>
      </c>
      <c r="O2012" s="15" t="s">
        <v>1554</v>
      </c>
      <c r="Q2012" s="7"/>
    </row>
    <row r="2013">
      <c r="A2013" s="39" t="s">
        <v>9265</v>
      </c>
      <c r="B2013" s="15">
        <v>394036.0</v>
      </c>
      <c r="C2013" s="15" t="s">
        <v>9266</v>
      </c>
      <c r="D2013" s="15">
        <v>18729.0</v>
      </c>
      <c r="E2013" s="15" t="s">
        <v>1548</v>
      </c>
      <c r="F2013" s="15" t="s">
        <v>1911</v>
      </c>
      <c r="G2013" s="7">
        <v>9.816</v>
      </c>
      <c r="H2013" s="15" t="s">
        <v>1559</v>
      </c>
      <c r="I2013" s="15" t="s">
        <v>1628</v>
      </c>
      <c r="J2013" s="15" t="s">
        <v>9267</v>
      </c>
      <c r="K2013" s="15">
        <v>2.0</v>
      </c>
      <c r="L2013" s="15">
        <v>2.0</v>
      </c>
      <c r="M2013" s="40">
        <v>39105.0</v>
      </c>
      <c r="N2013" s="40">
        <v>42045.0</v>
      </c>
      <c r="O2013" s="15" t="s">
        <v>1554</v>
      </c>
      <c r="Q2013" s="7"/>
    </row>
    <row r="2014">
      <c r="A2014" s="39" t="s">
        <v>9268</v>
      </c>
      <c r="B2014" s="15">
        <v>419435.0</v>
      </c>
      <c r="C2014" s="15" t="s">
        <v>9269</v>
      </c>
      <c r="D2014" s="15">
        <v>18767.0</v>
      </c>
      <c r="E2014" s="15" t="s">
        <v>1557</v>
      </c>
      <c r="F2014" s="15" t="s">
        <v>6477</v>
      </c>
      <c r="G2014" s="7">
        <v>291.597</v>
      </c>
      <c r="H2014" s="15" t="s">
        <v>9270</v>
      </c>
      <c r="I2014" s="15" t="s">
        <v>1560</v>
      </c>
      <c r="J2014" s="15" t="s">
        <v>9272</v>
      </c>
      <c r="K2014" s="15">
        <v>103.0</v>
      </c>
      <c r="L2014" s="15">
        <v>103.0</v>
      </c>
      <c r="M2014" s="40">
        <v>39112.0</v>
      </c>
      <c r="N2014" s="40">
        <v>39639.0</v>
      </c>
      <c r="O2014" s="15" t="s">
        <v>1554</v>
      </c>
      <c r="Q2014" s="7"/>
    </row>
    <row r="2015">
      <c r="A2015" s="39" t="s">
        <v>9273</v>
      </c>
      <c r="B2015" s="15">
        <v>265522.0</v>
      </c>
      <c r="C2015" s="15" t="s">
        <v>9274</v>
      </c>
      <c r="D2015" s="15">
        <v>18779.0</v>
      </c>
      <c r="E2015" s="15" t="s">
        <v>1557</v>
      </c>
      <c r="F2015" s="15" t="s">
        <v>6477</v>
      </c>
      <c r="G2015" s="7">
        <v>246.092</v>
      </c>
      <c r="H2015" s="15" t="s">
        <v>9275</v>
      </c>
      <c r="I2015" s="15" t="s">
        <v>1560</v>
      </c>
      <c r="J2015" s="15" t="s">
        <v>9277</v>
      </c>
      <c r="K2015" s="15">
        <v>135.0</v>
      </c>
      <c r="L2015" s="15">
        <v>143.0</v>
      </c>
      <c r="M2015" s="40">
        <v>38061.0</v>
      </c>
      <c r="N2015" s="40">
        <v>39654.0</v>
      </c>
      <c r="O2015" s="15" t="s">
        <v>1554</v>
      </c>
      <c r="Q2015" s="7"/>
    </row>
    <row r="2016">
      <c r="A2016" s="39" t="s">
        <v>9278</v>
      </c>
      <c r="B2016" s="15">
        <v>10455.0</v>
      </c>
      <c r="C2016" s="15" t="s">
        <v>9279</v>
      </c>
      <c r="D2016" s="15">
        <v>18827.0</v>
      </c>
      <c r="E2016" s="15" t="s">
        <v>1557</v>
      </c>
      <c r="F2016" s="15" t="s">
        <v>1992</v>
      </c>
      <c r="G2016" s="7">
        <v>131.331</v>
      </c>
      <c r="H2016" s="15" t="s">
        <v>1902</v>
      </c>
      <c r="I2016" s="15" t="s">
        <v>1560</v>
      </c>
      <c r="J2016" s="15" t="s">
        <v>9280</v>
      </c>
      <c r="K2016" s="15">
        <v>143.0</v>
      </c>
      <c r="L2016" s="15">
        <v>143.0</v>
      </c>
      <c r="M2016" s="40">
        <v>39092.0</v>
      </c>
      <c r="N2016" s="40">
        <v>40648.0</v>
      </c>
      <c r="O2016" s="15" t="s">
        <v>1554</v>
      </c>
      <c r="Q2016" s="7"/>
    </row>
    <row r="2017">
      <c r="A2017" s="39" t="s">
        <v>9281</v>
      </c>
      <c r="B2017" s="15">
        <v>418443.0</v>
      </c>
      <c r="C2017" s="15" t="s">
        <v>9282</v>
      </c>
      <c r="D2017" s="15">
        <v>18839.0</v>
      </c>
      <c r="E2017" s="15" t="s">
        <v>1557</v>
      </c>
      <c r="F2017" s="15" t="s">
        <v>1611</v>
      </c>
      <c r="G2017" s="7">
        <v>45.445</v>
      </c>
      <c r="H2017" s="15" t="s">
        <v>5042</v>
      </c>
      <c r="I2017" s="15" t="s">
        <v>1586</v>
      </c>
      <c r="J2017" s="15" t="s">
        <v>9284</v>
      </c>
      <c r="K2017" s="15">
        <v>53.0</v>
      </c>
      <c r="L2017" s="15">
        <v>53.0</v>
      </c>
      <c r="M2017" s="40">
        <v>39097.0</v>
      </c>
      <c r="N2017" s="40">
        <v>39920.0</v>
      </c>
      <c r="O2017" s="15" t="s">
        <v>1554</v>
      </c>
      <c r="Q2017" s="7"/>
    </row>
    <row r="2018">
      <c r="A2018" s="39" t="s">
        <v>9285</v>
      </c>
      <c r="B2018" s="15">
        <v>499854.0</v>
      </c>
      <c r="C2018" s="15" t="s">
        <v>9286</v>
      </c>
      <c r="D2018" s="15">
        <v>18843.0</v>
      </c>
      <c r="E2018" s="15" t="s">
        <v>1548</v>
      </c>
      <c r="F2018" s="15" t="s">
        <v>1801</v>
      </c>
      <c r="G2018" s="7">
        <v>10.864</v>
      </c>
      <c r="H2018" s="15" t="s">
        <v>4776</v>
      </c>
      <c r="I2018" s="15" t="s">
        <v>1803</v>
      </c>
      <c r="J2018" s="15" t="s">
        <v>9288</v>
      </c>
      <c r="K2018" s="15">
        <v>1.0</v>
      </c>
      <c r="L2018" s="15">
        <v>1.0</v>
      </c>
      <c r="M2018" s="40">
        <v>41363.0</v>
      </c>
      <c r="N2018" s="41">
        <v>42731.0</v>
      </c>
      <c r="O2018" s="15" t="s">
        <v>1554</v>
      </c>
      <c r="Q2018" s="7"/>
    </row>
    <row r="2019">
      <c r="A2019" s="39" t="s">
        <v>9289</v>
      </c>
      <c r="B2019" s="15">
        <v>518829.0</v>
      </c>
      <c r="C2019" s="15" t="s">
        <v>9290</v>
      </c>
      <c r="D2019" s="15">
        <v>14386.0</v>
      </c>
      <c r="E2019" s="15" t="s">
        <v>2014</v>
      </c>
      <c r="F2019" s="15" t="s">
        <v>1578</v>
      </c>
      <c r="G2019" s="7">
        <v>1.377</v>
      </c>
      <c r="H2019" s="15">
        <v>41.0</v>
      </c>
      <c r="I2019" s="15" t="s">
        <v>1628</v>
      </c>
      <c r="J2019" s="15" t="s">
        <v>9291</v>
      </c>
      <c r="K2019" s="15">
        <v>1.0</v>
      </c>
      <c r="L2019" s="15">
        <v>1.0</v>
      </c>
      <c r="M2019" s="40">
        <v>38163.0</v>
      </c>
      <c r="N2019" s="40">
        <v>42496.0</v>
      </c>
      <c r="O2019" s="15" t="s">
        <v>1554</v>
      </c>
      <c r="Q2019" s="7"/>
    </row>
    <row r="2020">
      <c r="A2020" s="39" t="s">
        <v>9292</v>
      </c>
      <c r="B2020" s="15">
        <v>519015.0</v>
      </c>
      <c r="C2020" s="15" t="s">
        <v>9293</v>
      </c>
      <c r="D2020" s="15">
        <v>29413.0</v>
      </c>
      <c r="E2020" s="15" t="s">
        <v>1808</v>
      </c>
      <c r="F2020" s="15" t="s">
        <v>1809</v>
      </c>
      <c r="G2020" s="7">
        <v>2.747</v>
      </c>
      <c r="H2020" s="15" t="s">
        <v>2428</v>
      </c>
      <c r="I2020" s="15" t="s">
        <v>1628</v>
      </c>
      <c r="J2020" s="15" t="s">
        <v>9294</v>
      </c>
      <c r="K2020" s="15">
        <v>6.0</v>
      </c>
      <c r="L2020" s="15">
        <v>6.0</v>
      </c>
      <c r="M2020" s="40">
        <v>39557.0</v>
      </c>
      <c r="N2020" s="40">
        <v>42045.0</v>
      </c>
      <c r="O2020" s="15" t="s">
        <v>1554</v>
      </c>
      <c r="Q2020" s="7"/>
    </row>
    <row r="2021">
      <c r="A2021" s="39" t="s">
        <v>9296</v>
      </c>
      <c r="B2021" s="15">
        <v>519016.0</v>
      </c>
      <c r="C2021" s="15" t="s">
        <v>9297</v>
      </c>
      <c r="D2021" s="15">
        <v>29415.0</v>
      </c>
      <c r="E2021" s="15" t="s">
        <v>2014</v>
      </c>
      <c r="F2021" s="15" t="s">
        <v>2018</v>
      </c>
      <c r="G2021" s="7">
        <v>1.196</v>
      </c>
      <c r="H2021" s="15">
        <v>39.0</v>
      </c>
      <c r="I2021" s="15" t="s">
        <v>1628</v>
      </c>
      <c r="J2021" s="15" t="s">
        <v>9298</v>
      </c>
      <c r="K2021" s="15">
        <v>1.0</v>
      </c>
      <c r="L2021" s="15">
        <v>1.0</v>
      </c>
      <c r="M2021" s="40">
        <v>39557.0</v>
      </c>
      <c r="N2021" s="41">
        <v>40540.0</v>
      </c>
      <c r="O2021" s="15" t="s">
        <v>1554</v>
      </c>
      <c r="Q2021" s="7"/>
    </row>
    <row r="2022">
      <c r="A2022" s="39" t="s">
        <v>9299</v>
      </c>
      <c r="B2022" s="15">
        <v>694015.0</v>
      </c>
      <c r="C2022" s="15" t="s">
        <v>9300</v>
      </c>
      <c r="D2022" s="15">
        <v>29509.0</v>
      </c>
      <c r="E2022" s="15" t="s">
        <v>1548</v>
      </c>
      <c r="F2022" s="15" t="s">
        <v>1684</v>
      </c>
      <c r="G2022" s="7">
        <v>31.686</v>
      </c>
      <c r="H2022" s="15" t="s">
        <v>2197</v>
      </c>
      <c r="I2022" s="15" t="s">
        <v>1686</v>
      </c>
      <c r="J2022" s="15" t="s">
        <v>9301</v>
      </c>
      <c r="K2022" s="15">
        <v>14.0</v>
      </c>
      <c r="L2022" s="15">
        <v>14.0</v>
      </c>
      <c r="M2022" s="40">
        <v>39546.0</v>
      </c>
      <c r="N2022" s="41">
        <v>40171.0</v>
      </c>
      <c r="O2022" s="15" t="s">
        <v>1554</v>
      </c>
      <c r="Q2022" s="7"/>
    </row>
    <row r="2023">
      <c r="A2023" s="39" t="s">
        <v>9302</v>
      </c>
      <c r="B2023" s="15">
        <v>332585.0</v>
      </c>
      <c r="C2023" s="15" t="s">
        <v>9303</v>
      </c>
      <c r="D2023" s="15">
        <v>29601.0</v>
      </c>
      <c r="E2023" s="15" t="s">
        <v>1638</v>
      </c>
      <c r="F2023" s="15" t="s">
        <v>1863</v>
      </c>
      <c r="G2023" s="7">
        <v>24.818</v>
      </c>
      <c r="H2023" s="15" t="s">
        <v>9304</v>
      </c>
      <c r="I2023" s="15" t="s">
        <v>1560</v>
      </c>
      <c r="J2023" s="15" t="s">
        <v>9305</v>
      </c>
      <c r="K2023" s="15">
        <v>10.0</v>
      </c>
      <c r="L2023" s="15">
        <v>10.0</v>
      </c>
      <c r="M2023" s="40">
        <v>38538.0</v>
      </c>
      <c r="N2023" s="40">
        <v>39577.0</v>
      </c>
      <c r="O2023" s="15" t="s">
        <v>1554</v>
      </c>
      <c r="Q2023" s="7"/>
    </row>
    <row r="2024">
      <c r="A2024" s="39" t="s">
        <v>9307</v>
      </c>
      <c r="B2024" s="15">
        <v>523909.0</v>
      </c>
      <c r="C2024" s="15" t="s">
        <v>9308</v>
      </c>
      <c r="D2024" s="15">
        <v>29631.0</v>
      </c>
      <c r="E2024" s="15" t="s">
        <v>1659</v>
      </c>
      <c r="F2024" s="15" t="s">
        <v>8893</v>
      </c>
      <c r="G2024" s="7">
        <v>124.279</v>
      </c>
      <c r="H2024" s="15" t="s">
        <v>1943</v>
      </c>
      <c r="I2024" s="15" t="s">
        <v>1560</v>
      </c>
      <c r="J2024" s="15" t="s">
        <v>9309</v>
      </c>
      <c r="K2024" s="15">
        <v>108.0</v>
      </c>
      <c r="L2024" s="15">
        <v>108.0</v>
      </c>
      <c r="M2024" s="40">
        <v>39573.0</v>
      </c>
      <c r="N2024" s="40">
        <v>40520.0</v>
      </c>
      <c r="O2024" s="15" t="s">
        <v>1554</v>
      </c>
      <c r="Q2024" s="7"/>
    </row>
    <row r="2025">
      <c r="A2025" s="39" t="s">
        <v>9310</v>
      </c>
      <c r="B2025" s="15">
        <v>45223.0</v>
      </c>
      <c r="C2025" s="15" t="s">
        <v>9311</v>
      </c>
      <c r="D2025" s="15">
        <v>29831.0</v>
      </c>
      <c r="E2025" s="15" t="s">
        <v>1548</v>
      </c>
      <c r="F2025" s="15" t="s">
        <v>1838</v>
      </c>
      <c r="G2025" s="7">
        <v>10.674</v>
      </c>
      <c r="H2025" s="15" t="s">
        <v>9312</v>
      </c>
      <c r="I2025" s="15" t="s">
        <v>1567</v>
      </c>
      <c r="J2025" s="15" t="s">
        <v>9313</v>
      </c>
      <c r="K2025" s="15">
        <v>4.0</v>
      </c>
      <c r="L2025" s="15">
        <v>4.0</v>
      </c>
      <c r="M2025" s="40">
        <v>37515.0</v>
      </c>
      <c r="N2025" s="40">
        <v>39791.0</v>
      </c>
      <c r="O2025" s="15" t="s">
        <v>1554</v>
      </c>
      <c r="Q2025" s="7"/>
    </row>
    <row r="2026">
      <c r="A2026" s="39" t="s">
        <v>9314</v>
      </c>
      <c r="B2026" s="15">
        <v>46919.0</v>
      </c>
      <c r="C2026" s="15" t="s">
        <v>9315</v>
      </c>
      <c r="D2026" s="15">
        <v>29833.0</v>
      </c>
      <c r="E2026" s="15" t="s">
        <v>1548</v>
      </c>
      <c r="F2026" s="15" t="s">
        <v>1838</v>
      </c>
      <c r="G2026" s="7">
        <v>10.448</v>
      </c>
      <c r="H2026" s="15" t="s">
        <v>9316</v>
      </c>
      <c r="I2026" s="15" t="s">
        <v>1567</v>
      </c>
      <c r="J2026" s="15" t="s">
        <v>9318</v>
      </c>
      <c r="K2026" s="15">
        <v>4.0</v>
      </c>
      <c r="L2026" s="15">
        <v>4.0</v>
      </c>
      <c r="M2026" s="40">
        <v>37052.0</v>
      </c>
      <c r="N2026" s="40">
        <v>39791.0</v>
      </c>
      <c r="O2026" s="15" t="s">
        <v>1554</v>
      </c>
      <c r="Q2026" s="7"/>
    </row>
    <row r="2027">
      <c r="A2027" s="39" t="s">
        <v>9319</v>
      </c>
      <c r="B2027" s="15">
        <v>180822.0</v>
      </c>
      <c r="C2027" s="15" t="s">
        <v>9320</v>
      </c>
      <c r="D2027" s="15">
        <v>29839.0</v>
      </c>
      <c r="E2027" s="15" t="s">
        <v>1548</v>
      </c>
      <c r="F2027" s="15" t="s">
        <v>1578</v>
      </c>
      <c r="G2027" s="7">
        <v>5.979</v>
      </c>
      <c r="H2027" s="15" t="s">
        <v>9321</v>
      </c>
      <c r="I2027" s="15" t="s">
        <v>1560</v>
      </c>
      <c r="J2027" s="15" t="s">
        <v>9322</v>
      </c>
      <c r="K2027" s="15">
        <v>7.0</v>
      </c>
      <c r="L2027" s="15">
        <v>7.0</v>
      </c>
      <c r="M2027" s="41">
        <v>39435.0</v>
      </c>
      <c r="N2027" s="40">
        <v>39940.0</v>
      </c>
      <c r="O2027" s="15" t="s">
        <v>1554</v>
      </c>
      <c r="Q2027" s="7"/>
    </row>
    <row r="2028">
      <c r="A2028" s="39" t="s">
        <v>9323</v>
      </c>
      <c r="B2028" s="15">
        <v>328061.0</v>
      </c>
      <c r="C2028" s="15" t="s">
        <v>9324</v>
      </c>
      <c r="D2028" s="15">
        <v>29843.0</v>
      </c>
      <c r="E2028" s="15" t="s">
        <v>1548</v>
      </c>
      <c r="F2028" s="15" t="s">
        <v>1626</v>
      </c>
      <c r="G2028" s="7">
        <v>10.084</v>
      </c>
      <c r="H2028" s="15" t="s">
        <v>9325</v>
      </c>
      <c r="I2028" s="15" t="s">
        <v>1628</v>
      </c>
      <c r="J2028" s="15" t="s">
        <v>9326</v>
      </c>
      <c r="K2028" s="15">
        <v>2.0</v>
      </c>
      <c r="L2028" s="15">
        <v>2.0</v>
      </c>
      <c r="M2028" s="40">
        <v>39312.0</v>
      </c>
      <c r="N2028" s="41">
        <v>42297.0</v>
      </c>
      <c r="O2028" s="15" t="s">
        <v>1554</v>
      </c>
      <c r="Q2028" s="7"/>
    </row>
    <row r="2029">
      <c r="A2029" s="39" t="s">
        <v>9327</v>
      </c>
      <c r="B2029" s="15">
        <v>235434.0</v>
      </c>
      <c r="C2029" s="15" t="s">
        <v>9328</v>
      </c>
      <c r="D2029" s="15">
        <v>29847.0</v>
      </c>
      <c r="E2029" s="15" t="s">
        <v>1638</v>
      </c>
      <c r="F2029" s="15" t="s">
        <v>1796</v>
      </c>
      <c r="G2029" s="7">
        <v>4.567</v>
      </c>
      <c r="H2029" s="15" t="s">
        <v>9330</v>
      </c>
      <c r="I2029" s="15" t="s">
        <v>1628</v>
      </c>
      <c r="J2029" s="15" t="s">
        <v>9331</v>
      </c>
      <c r="K2029" s="15">
        <v>2.0</v>
      </c>
      <c r="L2029" s="15">
        <v>2.0</v>
      </c>
      <c r="M2029" s="41">
        <v>37986.0</v>
      </c>
      <c r="N2029" s="40">
        <v>39791.0</v>
      </c>
      <c r="O2029" s="15" t="s">
        <v>1554</v>
      </c>
      <c r="Q2029" s="7"/>
    </row>
    <row r="2030">
      <c r="A2030" s="39" t="s">
        <v>9332</v>
      </c>
      <c r="B2030" s="15">
        <v>390438.0</v>
      </c>
      <c r="C2030" s="15" t="s">
        <v>9333</v>
      </c>
      <c r="D2030" s="15">
        <v>29849.0</v>
      </c>
      <c r="E2030" s="15" t="s">
        <v>1808</v>
      </c>
      <c r="F2030" s="15" t="s">
        <v>1809</v>
      </c>
      <c r="G2030" s="7">
        <v>5.524</v>
      </c>
      <c r="H2030" s="15" t="s">
        <v>9334</v>
      </c>
      <c r="I2030" s="15" t="s">
        <v>1628</v>
      </c>
      <c r="J2030" s="15" t="s">
        <v>9335</v>
      </c>
      <c r="K2030" s="15">
        <v>8.0</v>
      </c>
      <c r="L2030" s="15">
        <v>8.0</v>
      </c>
      <c r="M2030" s="40">
        <v>39203.0</v>
      </c>
      <c r="N2030" s="40">
        <v>40445.0</v>
      </c>
      <c r="O2030" s="15" t="s">
        <v>1554</v>
      </c>
      <c r="Q2030" s="7"/>
    </row>
    <row r="2031">
      <c r="A2031" s="39" t="s">
        <v>9336</v>
      </c>
      <c r="B2031" s="15">
        <v>192203.0</v>
      </c>
      <c r="C2031" s="15" t="s">
        <v>9337</v>
      </c>
      <c r="D2031" s="15">
        <v>29875.0</v>
      </c>
      <c r="E2031" s="15" t="s">
        <v>1548</v>
      </c>
      <c r="F2031" s="15" t="s">
        <v>1771</v>
      </c>
      <c r="G2031" s="7">
        <v>5.92</v>
      </c>
      <c r="H2031" s="15" t="s">
        <v>2000</v>
      </c>
      <c r="I2031" s="15" t="s">
        <v>1628</v>
      </c>
      <c r="J2031" s="15" t="s">
        <v>9338</v>
      </c>
      <c r="K2031" s="15">
        <v>7.0</v>
      </c>
      <c r="L2031" s="15">
        <v>7.0</v>
      </c>
      <c r="M2031" s="40">
        <v>39539.0</v>
      </c>
      <c r="N2031" s="40">
        <v>42577.0</v>
      </c>
      <c r="O2031" s="15" t="s">
        <v>1554</v>
      </c>
      <c r="Q2031" s="7"/>
    </row>
    <row r="2032">
      <c r="A2032" s="39" t="s">
        <v>9339</v>
      </c>
      <c r="B2032" s="15">
        <v>515320.0</v>
      </c>
      <c r="C2032" s="15" t="s">
        <v>9341</v>
      </c>
      <c r="D2032" s="15">
        <v>29877.0</v>
      </c>
      <c r="E2032" s="15" t="s">
        <v>1916</v>
      </c>
      <c r="F2032" s="15" t="s">
        <v>1917</v>
      </c>
      <c r="G2032" s="7">
        <v>7.713</v>
      </c>
      <c r="H2032" s="15" t="s">
        <v>3550</v>
      </c>
      <c r="I2032" s="15" t="s">
        <v>1628</v>
      </c>
      <c r="J2032" s="15" t="s">
        <v>9342</v>
      </c>
      <c r="K2032" s="15">
        <v>6.0</v>
      </c>
      <c r="L2032" s="15">
        <v>6.0</v>
      </c>
      <c r="M2032" s="40">
        <v>39546.0</v>
      </c>
      <c r="N2032" s="40">
        <v>39595.0</v>
      </c>
      <c r="O2032" s="15" t="s">
        <v>1554</v>
      </c>
      <c r="Q2032" s="7"/>
    </row>
    <row r="2033">
      <c r="A2033" s="39" t="s">
        <v>9343</v>
      </c>
      <c r="B2033" s="15">
        <v>515444.0</v>
      </c>
      <c r="C2033" s="15" t="s">
        <v>9344</v>
      </c>
      <c r="D2033" s="15">
        <v>29879.0</v>
      </c>
      <c r="E2033" s="15" t="s">
        <v>1916</v>
      </c>
      <c r="F2033" s="15" t="s">
        <v>1917</v>
      </c>
      <c r="G2033" s="7">
        <v>8.463</v>
      </c>
      <c r="H2033" s="15" t="s">
        <v>2885</v>
      </c>
      <c r="I2033" s="15" t="s">
        <v>1628</v>
      </c>
      <c r="J2033" s="15" t="s">
        <v>9345</v>
      </c>
      <c r="K2033" s="15">
        <v>6.0</v>
      </c>
      <c r="L2033" s="15">
        <v>6.0</v>
      </c>
      <c r="M2033" s="40">
        <v>39546.0</v>
      </c>
      <c r="N2033" s="40">
        <v>39591.0</v>
      </c>
      <c r="O2033" s="15" t="s">
        <v>1554</v>
      </c>
      <c r="Q2033" s="7"/>
    </row>
    <row r="2034">
      <c r="A2034" s="39" t="s">
        <v>9346</v>
      </c>
      <c r="B2034" s="15">
        <v>515446.0</v>
      </c>
      <c r="C2034" s="15" t="s">
        <v>9347</v>
      </c>
      <c r="D2034" s="15">
        <v>29881.0</v>
      </c>
      <c r="E2034" s="15" t="s">
        <v>1548</v>
      </c>
      <c r="F2034" s="15" t="s">
        <v>1911</v>
      </c>
      <c r="G2034" s="7">
        <v>9.742</v>
      </c>
      <c r="H2034" s="15" t="s">
        <v>1710</v>
      </c>
      <c r="I2034" s="15" t="s">
        <v>1628</v>
      </c>
      <c r="J2034" s="15" t="s">
        <v>9348</v>
      </c>
      <c r="K2034" s="15">
        <v>2.0</v>
      </c>
      <c r="L2034" s="15">
        <v>2.0</v>
      </c>
      <c r="M2034" s="40">
        <v>39546.0</v>
      </c>
      <c r="N2034" s="40">
        <v>42045.0</v>
      </c>
      <c r="O2034" s="15" t="s">
        <v>1554</v>
      </c>
      <c r="Q2034" s="7"/>
    </row>
    <row r="2035">
      <c r="A2035" s="39" t="s">
        <v>9350</v>
      </c>
      <c r="B2035" s="15">
        <v>515575.0</v>
      </c>
      <c r="C2035" s="15" t="s">
        <v>9351</v>
      </c>
      <c r="D2035" s="15">
        <v>29883.0</v>
      </c>
      <c r="E2035" s="15" t="s">
        <v>1548</v>
      </c>
      <c r="F2035" s="15" t="s">
        <v>1911</v>
      </c>
      <c r="G2035" s="7">
        <v>9.842</v>
      </c>
      <c r="H2035" s="15" t="s">
        <v>1859</v>
      </c>
      <c r="I2035" s="15" t="s">
        <v>1628</v>
      </c>
      <c r="J2035" s="15" t="s">
        <v>9352</v>
      </c>
      <c r="K2035" s="15">
        <v>2.0</v>
      </c>
      <c r="L2035" s="15">
        <v>2.0</v>
      </c>
      <c r="M2035" s="40">
        <v>39588.0</v>
      </c>
      <c r="N2035" s="40">
        <v>42045.0</v>
      </c>
      <c r="O2035" s="15" t="s">
        <v>1554</v>
      </c>
      <c r="Q2035" s="7"/>
    </row>
    <row r="2036">
      <c r="A2036" s="39" t="s">
        <v>9353</v>
      </c>
      <c r="B2036" s="15">
        <v>674982.0</v>
      </c>
      <c r="C2036" s="15" t="s">
        <v>9354</v>
      </c>
      <c r="D2036" s="15">
        <v>29901.0</v>
      </c>
      <c r="E2036" s="15" t="s">
        <v>1638</v>
      </c>
      <c r="F2036" s="15" t="s">
        <v>1796</v>
      </c>
      <c r="G2036" s="7">
        <v>4.512</v>
      </c>
      <c r="H2036" s="15" t="s">
        <v>9355</v>
      </c>
      <c r="I2036" s="15" t="s">
        <v>1628</v>
      </c>
      <c r="J2036" s="15" t="s">
        <v>9356</v>
      </c>
      <c r="K2036" s="15">
        <v>2.0</v>
      </c>
      <c r="L2036" s="15">
        <v>2.0</v>
      </c>
      <c r="M2036" s="40">
        <v>38412.0</v>
      </c>
      <c r="N2036" s="40">
        <v>39591.0</v>
      </c>
      <c r="O2036" s="15" t="s">
        <v>1554</v>
      </c>
      <c r="Q2036" s="7"/>
    </row>
    <row r="2037">
      <c r="A2037" s="39" t="s">
        <v>9357</v>
      </c>
      <c r="B2037" s="15">
        <v>45220.0</v>
      </c>
      <c r="C2037" s="15" t="s">
        <v>9358</v>
      </c>
      <c r="D2037" s="15">
        <v>29903.0</v>
      </c>
      <c r="E2037" s="15" t="s">
        <v>1548</v>
      </c>
      <c r="F2037" s="15" t="s">
        <v>1838</v>
      </c>
      <c r="G2037" s="7">
        <v>10.448</v>
      </c>
      <c r="H2037" s="15" t="s">
        <v>9359</v>
      </c>
      <c r="I2037" s="15" t="s">
        <v>1567</v>
      </c>
      <c r="J2037" s="15" t="s">
        <v>9360</v>
      </c>
      <c r="K2037" s="15">
        <v>4.0</v>
      </c>
      <c r="L2037" s="15">
        <v>4.0</v>
      </c>
      <c r="M2037" s="40">
        <v>37531.0</v>
      </c>
      <c r="N2037" s="40">
        <v>39674.0</v>
      </c>
      <c r="O2037" s="15" t="s">
        <v>1554</v>
      </c>
      <c r="Q2037" s="7"/>
    </row>
    <row r="2038">
      <c r="A2038" s="39" t="s">
        <v>9361</v>
      </c>
      <c r="B2038" s="15">
        <v>45221.0</v>
      </c>
      <c r="C2038" s="15" t="s">
        <v>9363</v>
      </c>
      <c r="D2038" s="15">
        <v>29905.0</v>
      </c>
      <c r="E2038" s="15" t="s">
        <v>1548</v>
      </c>
      <c r="F2038" s="15" t="s">
        <v>1838</v>
      </c>
      <c r="G2038" s="7">
        <v>10.648</v>
      </c>
      <c r="H2038" s="15" t="s">
        <v>9364</v>
      </c>
      <c r="I2038" s="15" t="s">
        <v>1567</v>
      </c>
      <c r="J2038" s="15" t="s">
        <v>9365</v>
      </c>
      <c r="K2038" s="15">
        <v>4.0</v>
      </c>
      <c r="L2038" s="15">
        <v>4.0</v>
      </c>
      <c r="M2038" s="40">
        <v>37531.0</v>
      </c>
      <c r="N2038" s="40">
        <v>39674.0</v>
      </c>
      <c r="O2038" s="15" t="s">
        <v>1554</v>
      </c>
      <c r="Q2038" s="7"/>
    </row>
    <row r="2039">
      <c r="A2039" s="39" t="s">
        <v>9366</v>
      </c>
      <c r="B2039" s="15">
        <v>45222.0</v>
      </c>
      <c r="C2039" s="15" t="s">
        <v>9367</v>
      </c>
      <c r="D2039" s="15">
        <v>29907.0</v>
      </c>
      <c r="E2039" s="15" t="s">
        <v>1548</v>
      </c>
      <c r="F2039" s="15" t="s">
        <v>1838</v>
      </c>
      <c r="G2039" s="7">
        <v>10.494</v>
      </c>
      <c r="H2039" s="15" t="s">
        <v>9368</v>
      </c>
      <c r="I2039" s="15" t="s">
        <v>1567</v>
      </c>
      <c r="J2039" s="15" t="s">
        <v>9369</v>
      </c>
      <c r="K2039" s="15">
        <v>4.0</v>
      </c>
      <c r="L2039" s="15">
        <v>4.0</v>
      </c>
      <c r="M2039" s="40">
        <v>37515.0</v>
      </c>
      <c r="N2039" s="40">
        <v>39674.0</v>
      </c>
      <c r="O2039" s="15" t="s">
        <v>1554</v>
      </c>
      <c r="Q2039" s="7"/>
    </row>
    <row r="2040">
      <c r="A2040" s="39" t="s">
        <v>9370</v>
      </c>
      <c r="B2040" s="15">
        <v>230407.0</v>
      </c>
      <c r="C2040" s="15" t="s">
        <v>9371</v>
      </c>
      <c r="D2040" s="15">
        <v>29913.0</v>
      </c>
      <c r="E2040" s="15" t="s">
        <v>1638</v>
      </c>
      <c r="F2040" s="15" t="s">
        <v>1863</v>
      </c>
      <c r="G2040" s="7">
        <v>23.433</v>
      </c>
      <c r="H2040" s="15" t="s">
        <v>9372</v>
      </c>
      <c r="I2040" s="15" t="s">
        <v>1552</v>
      </c>
      <c r="J2040" s="15" t="s">
        <v>9373</v>
      </c>
      <c r="K2040" s="15">
        <v>11.0</v>
      </c>
      <c r="L2040" s="15">
        <v>11.0</v>
      </c>
      <c r="M2040" s="40">
        <v>37802.0</v>
      </c>
      <c r="N2040" s="40">
        <v>39597.0</v>
      </c>
      <c r="O2040" s="15" t="s">
        <v>1554</v>
      </c>
      <c r="Q2040" s="7"/>
    </row>
    <row r="2041">
      <c r="A2041" s="39" t="s">
        <v>9375</v>
      </c>
      <c r="B2041" s="15">
        <v>461322.0</v>
      </c>
      <c r="C2041" s="15" t="s">
        <v>9376</v>
      </c>
      <c r="D2041" s="15">
        <v>29915.0</v>
      </c>
      <c r="E2041" s="15" t="s">
        <v>1557</v>
      </c>
      <c r="F2041" s="15" t="s">
        <v>1822</v>
      </c>
      <c r="G2041" s="7">
        <v>7.582</v>
      </c>
      <c r="H2041" s="15" t="s">
        <v>2279</v>
      </c>
      <c r="I2041" s="15" t="s">
        <v>1686</v>
      </c>
      <c r="J2041" s="15" t="s">
        <v>9377</v>
      </c>
      <c r="K2041" s="15">
        <v>5.0</v>
      </c>
      <c r="L2041" s="15">
        <v>5.0</v>
      </c>
      <c r="M2041" s="40">
        <v>39563.0</v>
      </c>
      <c r="N2041" s="40">
        <v>40617.0</v>
      </c>
      <c r="O2041" s="15" t="s">
        <v>1554</v>
      </c>
      <c r="Q2041" s="7"/>
    </row>
    <row r="2042">
      <c r="A2042" s="39" t="s">
        <v>9378</v>
      </c>
      <c r="B2042" s="15">
        <v>515982.0</v>
      </c>
      <c r="D2042" s="15">
        <v>0.0</v>
      </c>
      <c r="E2042" s="15" t="s">
        <v>1557</v>
      </c>
      <c r="F2042" s="15" t="s">
        <v>1833</v>
      </c>
      <c r="G2042" s="7">
        <v>41.901</v>
      </c>
      <c r="H2042" s="15" t="s">
        <v>6615</v>
      </c>
      <c r="I2042" s="15" t="s">
        <v>1586</v>
      </c>
      <c r="J2042" s="15" t="s">
        <v>9379</v>
      </c>
      <c r="K2042" s="15">
        <v>63.0</v>
      </c>
      <c r="L2042" s="15">
        <v>63.0</v>
      </c>
      <c r="M2042" s="40">
        <v>39545.0</v>
      </c>
      <c r="N2042" s="40">
        <v>40065.0</v>
      </c>
      <c r="O2042" s="15" t="s">
        <v>1554</v>
      </c>
      <c r="Q2042" s="7"/>
    </row>
    <row r="2043">
      <c r="A2043" s="39" t="s">
        <v>9380</v>
      </c>
      <c r="B2043" s="15">
        <v>528321.0</v>
      </c>
      <c r="D2043" s="15">
        <v>0.0</v>
      </c>
      <c r="E2043" s="15" t="s">
        <v>1557</v>
      </c>
      <c r="F2043" s="15" t="s">
        <v>1833</v>
      </c>
      <c r="G2043" s="7">
        <v>64.511</v>
      </c>
      <c r="H2043" s="15" t="s">
        <v>4842</v>
      </c>
      <c r="I2043" s="15" t="s">
        <v>1586</v>
      </c>
      <c r="J2043" s="15" t="s">
        <v>9381</v>
      </c>
      <c r="K2043" s="15">
        <v>86.0</v>
      </c>
      <c r="L2043" s="15">
        <v>86.0</v>
      </c>
      <c r="M2043" s="40">
        <v>39587.0</v>
      </c>
      <c r="N2043" s="40">
        <v>39587.0</v>
      </c>
      <c r="O2043" s="15" t="s">
        <v>1554</v>
      </c>
      <c r="Q2043" s="7"/>
    </row>
    <row r="2044">
      <c r="A2044" s="39" t="s">
        <v>9383</v>
      </c>
      <c r="B2044" s="15">
        <v>486809.0</v>
      </c>
      <c r="C2044" s="15" t="s">
        <v>9384</v>
      </c>
      <c r="D2044" s="15">
        <v>29985.0</v>
      </c>
      <c r="E2044" s="15" t="s">
        <v>1808</v>
      </c>
      <c r="F2044" s="15" t="s">
        <v>1809</v>
      </c>
      <c r="G2044" s="7">
        <v>5.446</v>
      </c>
      <c r="H2044" s="15" t="s">
        <v>9385</v>
      </c>
      <c r="I2044" s="15" t="s">
        <v>1628</v>
      </c>
      <c r="J2044" s="15" t="s">
        <v>9386</v>
      </c>
      <c r="K2044" s="15">
        <v>8.0</v>
      </c>
      <c r="L2044" s="15">
        <v>8.0</v>
      </c>
      <c r="M2044" s="40">
        <v>39566.0</v>
      </c>
      <c r="N2044" s="41">
        <v>42297.0</v>
      </c>
      <c r="O2044" s="15" t="s">
        <v>1554</v>
      </c>
      <c r="Q2044" s="7"/>
    </row>
    <row r="2045">
      <c r="A2045" s="39" t="s">
        <v>9387</v>
      </c>
      <c r="B2045" s="15">
        <v>520848.0</v>
      </c>
      <c r="C2045" s="15" t="s">
        <v>9388</v>
      </c>
      <c r="D2045" s="15">
        <v>30033.0</v>
      </c>
      <c r="E2045" s="15" t="s">
        <v>1808</v>
      </c>
      <c r="F2045" s="15" t="s">
        <v>1809</v>
      </c>
      <c r="G2045" s="7">
        <v>2.736</v>
      </c>
      <c r="H2045" s="15" t="s">
        <v>1640</v>
      </c>
      <c r="I2045" s="15" t="s">
        <v>1628</v>
      </c>
      <c r="J2045" s="15" t="s">
        <v>9389</v>
      </c>
      <c r="K2045" s="15">
        <v>3.0</v>
      </c>
      <c r="L2045" s="15">
        <v>3.0</v>
      </c>
      <c r="M2045" s="40">
        <v>39600.0</v>
      </c>
      <c r="N2045" s="40">
        <v>40206.0</v>
      </c>
      <c r="O2045" s="15" t="s">
        <v>1554</v>
      </c>
      <c r="Q2045" s="7"/>
    </row>
    <row r="2046">
      <c r="A2046" s="39" t="s">
        <v>9390</v>
      </c>
      <c r="B2046" s="15">
        <v>497863.0</v>
      </c>
      <c r="C2046" s="15" t="s">
        <v>9391</v>
      </c>
      <c r="D2046" s="15">
        <v>30037.0</v>
      </c>
      <c r="E2046" s="15" t="s">
        <v>1808</v>
      </c>
      <c r="F2046" s="15" t="s">
        <v>1809</v>
      </c>
      <c r="G2046" s="7">
        <v>2.74</v>
      </c>
      <c r="H2046" s="15" t="s">
        <v>3882</v>
      </c>
      <c r="I2046" s="15" t="s">
        <v>1628</v>
      </c>
      <c r="J2046" s="15" t="s">
        <v>9393</v>
      </c>
      <c r="K2046" s="15">
        <v>5.0</v>
      </c>
      <c r="L2046" s="15">
        <v>4.0</v>
      </c>
      <c r="M2046" s="40">
        <v>39252.0</v>
      </c>
      <c r="N2046" s="40">
        <v>40578.0</v>
      </c>
      <c r="O2046" s="15" t="s">
        <v>1554</v>
      </c>
      <c r="Q2046" s="7"/>
    </row>
    <row r="2047">
      <c r="A2047" s="39" t="s">
        <v>9394</v>
      </c>
      <c r="B2047" s="15">
        <v>471717.0</v>
      </c>
      <c r="C2047" s="15" t="s">
        <v>9395</v>
      </c>
      <c r="D2047" s="15">
        <v>30049.0</v>
      </c>
      <c r="E2047" s="15" t="s">
        <v>1548</v>
      </c>
      <c r="F2047" s="15" t="s">
        <v>1771</v>
      </c>
      <c r="G2047" s="7">
        <v>5.674</v>
      </c>
      <c r="H2047" s="15" t="s">
        <v>2351</v>
      </c>
      <c r="I2047" s="15" t="s">
        <v>1628</v>
      </c>
      <c r="J2047" s="15" t="s">
        <v>9396</v>
      </c>
      <c r="K2047" s="15">
        <v>7.0</v>
      </c>
      <c r="L2047" s="15">
        <v>7.0</v>
      </c>
      <c r="M2047" s="40">
        <v>39600.0</v>
      </c>
      <c r="N2047" s="40">
        <v>42394.0</v>
      </c>
      <c r="O2047" s="15" t="s">
        <v>1554</v>
      </c>
      <c r="Q2047" s="7"/>
    </row>
    <row r="2048">
      <c r="A2048" s="39" t="s">
        <v>9398</v>
      </c>
      <c r="B2048" s="15">
        <v>474454.0</v>
      </c>
      <c r="C2048" s="15" t="s">
        <v>9399</v>
      </c>
      <c r="D2048" s="15">
        <v>30051.0</v>
      </c>
      <c r="E2048" s="15" t="s">
        <v>1548</v>
      </c>
      <c r="F2048" s="15" t="s">
        <v>1771</v>
      </c>
      <c r="G2048" s="7">
        <v>5.808</v>
      </c>
      <c r="H2048" s="15" t="s">
        <v>4736</v>
      </c>
      <c r="I2048" s="15" t="s">
        <v>1628</v>
      </c>
      <c r="J2048" s="15" t="s">
        <v>9400</v>
      </c>
      <c r="K2048" s="15">
        <v>7.0</v>
      </c>
      <c r="L2048" s="15">
        <v>9.0</v>
      </c>
      <c r="M2048" s="40">
        <v>39601.0</v>
      </c>
      <c r="N2048" s="41">
        <v>42320.0</v>
      </c>
      <c r="O2048" s="15" t="s">
        <v>1554</v>
      </c>
      <c r="Q2048" s="7"/>
    </row>
    <row r="2049">
      <c r="A2049" s="39" t="s">
        <v>9401</v>
      </c>
      <c r="B2049" s="15">
        <v>437060.0</v>
      </c>
      <c r="C2049" s="15" t="s">
        <v>9402</v>
      </c>
      <c r="D2049" s="15">
        <v>30057.0</v>
      </c>
      <c r="E2049" s="15" t="s">
        <v>1808</v>
      </c>
      <c r="F2049" s="15" t="s">
        <v>1809</v>
      </c>
      <c r="G2049" s="7">
        <v>2.756</v>
      </c>
      <c r="H2049" s="15" t="s">
        <v>2428</v>
      </c>
      <c r="I2049" s="15" t="s">
        <v>1628</v>
      </c>
      <c r="J2049" s="15" t="s">
        <v>9403</v>
      </c>
      <c r="K2049" s="15">
        <v>6.0</v>
      </c>
      <c r="L2049" s="15">
        <v>6.0</v>
      </c>
      <c r="M2049" s="40">
        <v>38978.0</v>
      </c>
      <c r="N2049" s="40">
        <v>40206.0</v>
      </c>
      <c r="O2049" s="15" t="s">
        <v>1554</v>
      </c>
      <c r="Q2049" s="7"/>
    </row>
    <row r="2050">
      <c r="A2050" s="39" t="s">
        <v>9404</v>
      </c>
      <c r="B2050" s="15">
        <v>487152.0</v>
      </c>
      <c r="C2050" s="15" t="s">
        <v>9405</v>
      </c>
      <c r="D2050" s="15">
        <v>30061.0</v>
      </c>
      <c r="E2050" s="15" t="s">
        <v>1557</v>
      </c>
      <c r="F2050" s="15" t="s">
        <v>1833</v>
      </c>
      <c r="G2050" s="7">
        <v>44.342</v>
      </c>
      <c r="H2050" s="15" t="s">
        <v>7532</v>
      </c>
      <c r="I2050" s="15" t="s">
        <v>1586</v>
      </c>
      <c r="J2050" s="15" t="s">
        <v>9407</v>
      </c>
      <c r="K2050" s="15">
        <v>70.0</v>
      </c>
      <c r="L2050" s="15">
        <v>70.0</v>
      </c>
      <c r="M2050" s="40">
        <v>39603.0</v>
      </c>
      <c r="N2050" s="40">
        <v>40275.0</v>
      </c>
      <c r="O2050" s="15" t="s">
        <v>1554</v>
      </c>
      <c r="Q2050" s="7"/>
    </row>
    <row r="2051">
      <c r="A2051" s="39" t="s">
        <v>9408</v>
      </c>
      <c r="B2051" s="15">
        <v>529929.0</v>
      </c>
      <c r="C2051" s="15" t="s">
        <v>9409</v>
      </c>
      <c r="D2051" s="15">
        <v>30063.0</v>
      </c>
      <c r="E2051" s="15" t="s">
        <v>1557</v>
      </c>
      <c r="F2051" s="15" t="s">
        <v>1611</v>
      </c>
      <c r="G2051" s="7">
        <v>38.815</v>
      </c>
      <c r="H2051" s="15" t="s">
        <v>2296</v>
      </c>
      <c r="I2051" s="15" t="s">
        <v>1586</v>
      </c>
      <c r="J2051" s="15" t="s">
        <v>9410</v>
      </c>
      <c r="K2051" s="15">
        <v>55.0</v>
      </c>
      <c r="L2051" s="15">
        <v>55.0</v>
      </c>
      <c r="M2051" s="40">
        <v>39602.0</v>
      </c>
      <c r="N2051" s="40">
        <v>39920.0</v>
      </c>
      <c r="O2051" s="15" t="s">
        <v>1554</v>
      </c>
      <c r="Q2051" s="7"/>
    </row>
    <row r="2052">
      <c r="A2052" s="39" t="s">
        <v>9411</v>
      </c>
      <c r="B2052" s="15">
        <v>500654.0</v>
      </c>
      <c r="C2052" s="15" t="s">
        <v>9412</v>
      </c>
      <c r="D2052" s="15">
        <v>30081.0</v>
      </c>
      <c r="E2052" s="15" t="s">
        <v>1557</v>
      </c>
      <c r="F2052" s="15" t="s">
        <v>1822</v>
      </c>
      <c r="G2052" s="7">
        <v>7.277</v>
      </c>
      <c r="H2052" s="15" t="s">
        <v>2375</v>
      </c>
      <c r="I2052" s="15" t="s">
        <v>1686</v>
      </c>
      <c r="J2052" s="15" t="s">
        <v>9413</v>
      </c>
      <c r="K2052" s="15">
        <v>3.0</v>
      </c>
      <c r="L2052" s="15">
        <v>3.0</v>
      </c>
      <c r="M2052" s="40">
        <v>39601.0</v>
      </c>
      <c r="N2052" s="40">
        <v>40263.0</v>
      </c>
      <c r="O2052" s="15" t="s">
        <v>1554</v>
      </c>
      <c r="Q2052" s="7"/>
    </row>
    <row r="2053">
      <c r="A2053" s="39" t="s">
        <v>9414</v>
      </c>
      <c r="B2053" s="15">
        <v>508749.0</v>
      </c>
      <c r="C2053" s="15" t="s">
        <v>9415</v>
      </c>
      <c r="D2053" s="15">
        <v>30083.0</v>
      </c>
      <c r="E2053" s="15" t="s">
        <v>1808</v>
      </c>
      <c r="F2053" s="15" t="s">
        <v>1809</v>
      </c>
      <c r="G2053" s="7">
        <v>2.737</v>
      </c>
      <c r="H2053" s="15" t="s">
        <v>3653</v>
      </c>
      <c r="I2053" s="15" t="s">
        <v>1628</v>
      </c>
      <c r="J2053" s="15" t="s">
        <v>9417</v>
      </c>
      <c r="K2053" s="15">
        <v>7.0</v>
      </c>
      <c r="L2053" s="15">
        <v>7.0</v>
      </c>
      <c r="M2053" s="40">
        <v>39511.0</v>
      </c>
      <c r="N2053" s="40">
        <v>42045.0</v>
      </c>
      <c r="O2053" s="15" t="s">
        <v>1554</v>
      </c>
      <c r="Q2053" s="7"/>
    </row>
    <row r="2054">
      <c r="A2054" s="39" t="s">
        <v>9418</v>
      </c>
      <c r="B2054" s="15">
        <v>11965.0</v>
      </c>
      <c r="C2054" s="15" t="s">
        <v>9419</v>
      </c>
      <c r="D2054" s="15">
        <v>30095.0</v>
      </c>
      <c r="E2054" s="15" t="s">
        <v>1916</v>
      </c>
      <c r="F2054" s="15" t="s">
        <v>2532</v>
      </c>
      <c r="G2054" s="7">
        <v>13.111</v>
      </c>
      <c r="H2054" s="15" t="s">
        <v>2233</v>
      </c>
      <c r="I2054" s="15" t="s">
        <v>1686</v>
      </c>
      <c r="J2054" s="15" t="s">
        <v>9420</v>
      </c>
      <c r="K2054" s="15">
        <v>4.0</v>
      </c>
      <c r="L2054" s="15">
        <v>5.0</v>
      </c>
      <c r="M2054" s="40">
        <v>34184.0</v>
      </c>
      <c r="N2054" s="40">
        <v>42045.0</v>
      </c>
      <c r="O2054" s="15" t="s">
        <v>1554</v>
      </c>
      <c r="Q2054" s="7"/>
    </row>
    <row r="2055">
      <c r="A2055" s="39" t="s">
        <v>9421</v>
      </c>
      <c r="B2055" s="15">
        <v>198110.0</v>
      </c>
      <c r="C2055" s="15" t="s">
        <v>9422</v>
      </c>
      <c r="D2055" s="15">
        <v>30097.0</v>
      </c>
      <c r="E2055" s="15" t="s">
        <v>1557</v>
      </c>
      <c r="F2055" s="15" t="s">
        <v>1767</v>
      </c>
      <c r="G2055" s="7">
        <v>316.674</v>
      </c>
      <c r="H2055" s="15" t="s">
        <v>2864</v>
      </c>
      <c r="I2055" s="15" t="s">
        <v>1586</v>
      </c>
      <c r="J2055" s="15" t="s">
        <v>9423</v>
      </c>
      <c r="K2055" s="15">
        <v>462.0</v>
      </c>
      <c r="L2055" s="15">
        <v>461.0</v>
      </c>
      <c r="M2055" s="40">
        <v>39603.0</v>
      </c>
      <c r="N2055" s="40">
        <v>41367.0</v>
      </c>
      <c r="O2055" s="15" t="s">
        <v>1554</v>
      </c>
      <c r="Q2055" s="7"/>
    </row>
    <row r="2056">
      <c r="A2056" s="39" t="s">
        <v>9424</v>
      </c>
      <c r="B2056" s="15">
        <v>338478.0</v>
      </c>
      <c r="C2056" s="15" t="s">
        <v>9425</v>
      </c>
      <c r="D2056" s="15">
        <v>30115.0</v>
      </c>
      <c r="E2056" s="15" t="s">
        <v>1916</v>
      </c>
      <c r="F2056" s="15" t="s">
        <v>2532</v>
      </c>
      <c r="G2056" s="7">
        <v>12.972</v>
      </c>
      <c r="H2056" s="15" t="s">
        <v>2197</v>
      </c>
      <c r="I2056" s="15" t="s">
        <v>1686</v>
      </c>
      <c r="J2056" s="15" t="s">
        <v>9426</v>
      </c>
      <c r="K2056" s="15">
        <v>4.0</v>
      </c>
      <c r="L2056" s="15">
        <v>5.0</v>
      </c>
      <c r="M2056" s="40">
        <v>33458.0</v>
      </c>
      <c r="N2056" s="40">
        <v>42045.0</v>
      </c>
      <c r="O2056" s="15" t="s">
        <v>1554</v>
      </c>
      <c r="Q2056" s="7"/>
    </row>
    <row r="2057">
      <c r="A2057" s="39" t="s">
        <v>9428</v>
      </c>
      <c r="B2057" s="15">
        <v>402399.0</v>
      </c>
      <c r="C2057" s="15" t="s">
        <v>9429</v>
      </c>
      <c r="D2057" s="15">
        <v>30157.0</v>
      </c>
      <c r="E2057" s="15" t="s">
        <v>1548</v>
      </c>
      <c r="F2057" s="15" t="s">
        <v>2615</v>
      </c>
      <c r="G2057" s="7">
        <v>6.381</v>
      </c>
      <c r="H2057" s="15" t="s">
        <v>1685</v>
      </c>
      <c r="I2057" s="15" t="s">
        <v>1628</v>
      </c>
      <c r="J2057" s="15" t="s">
        <v>9430</v>
      </c>
      <c r="K2057" s="15">
        <v>4.0</v>
      </c>
      <c r="L2057" s="15">
        <v>4.0</v>
      </c>
      <c r="M2057" s="40">
        <v>38973.0</v>
      </c>
      <c r="N2057" s="40">
        <v>42045.0</v>
      </c>
      <c r="O2057" s="15" t="s">
        <v>1554</v>
      </c>
      <c r="Q2057" s="7"/>
    </row>
    <row r="2058">
      <c r="A2058" s="39" t="s">
        <v>9431</v>
      </c>
      <c r="B2058" s="15">
        <v>420684.0</v>
      </c>
      <c r="C2058" s="15" t="s">
        <v>9432</v>
      </c>
      <c r="D2058" s="15">
        <v>30159.0</v>
      </c>
      <c r="E2058" s="15" t="s">
        <v>1808</v>
      </c>
      <c r="F2058" s="15" t="s">
        <v>1809</v>
      </c>
      <c r="G2058" s="7">
        <v>2.724</v>
      </c>
      <c r="H2058" s="15" t="s">
        <v>2178</v>
      </c>
      <c r="I2058" s="15" t="s">
        <v>1628</v>
      </c>
      <c r="J2058" s="15" t="s">
        <v>9433</v>
      </c>
      <c r="K2058" s="15">
        <v>6.0</v>
      </c>
      <c r="L2058" s="15">
        <v>6.0</v>
      </c>
      <c r="M2058" s="40">
        <v>39144.0</v>
      </c>
      <c r="N2058" s="40">
        <v>40745.0</v>
      </c>
      <c r="O2058" s="15" t="s">
        <v>1554</v>
      </c>
      <c r="Q2058" s="7"/>
    </row>
    <row r="2059">
      <c r="A2059" s="39" t="s">
        <v>9434</v>
      </c>
      <c r="B2059" s="15">
        <v>537874.0</v>
      </c>
      <c r="C2059" s="15" t="s">
        <v>9435</v>
      </c>
      <c r="D2059" s="15">
        <v>30161.0</v>
      </c>
      <c r="E2059" s="15" t="s">
        <v>1557</v>
      </c>
      <c r="F2059" s="15" t="s">
        <v>1833</v>
      </c>
      <c r="G2059" s="7">
        <v>39.136</v>
      </c>
      <c r="H2059" s="15" t="s">
        <v>2019</v>
      </c>
      <c r="I2059" s="15" t="s">
        <v>1586</v>
      </c>
      <c r="J2059" s="15" t="s">
        <v>9436</v>
      </c>
      <c r="K2059" s="15">
        <v>60.0</v>
      </c>
      <c r="L2059" s="15">
        <v>60.0</v>
      </c>
      <c r="M2059" s="40">
        <v>39608.0</v>
      </c>
      <c r="N2059" s="41">
        <v>39736.0</v>
      </c>
      <c r="O2059" s="15" t="s">
        <v>1554</v>
      </c>
      <c r="Q2059" s="7"/>
    </row>
    <row r="2060">
      <c r="A2060" s="39" t="s">
        <v>9438</v>
      </c>
      <c r="B2060" s="15">
        <v>373593.0</v>
      </c>
      <c r="C2060" s="15" t="s">
        <v>9439</v>
      </c>
      <c r="D2060" s="15">
        <v>30167.0</v>
      </c>
      <c r="E2060" s="15" t="s">
        <v>1808</v>
      </c>
      <c r="F2060" s="15" t="s">
        <v>1809</v>
      </c>
      <c r="G2060" s="7">
        <v>43136.0</v>
      </c>
      <c r="H2060" s="15" t="s">
        <v>9440</v>
      </c>
      <c r="I2060" s="15" t="s">
        <v>1628</v>
      </c>
      <c r="J2060" s="15" t="s">
        <v>9441</v>
      </c>
      <c r="K2060" s="15">
        <v>6.0</v>
      </c>
      <c r="L2060" s="15">
        <v>7.0</v>
      </c>
      <c r="M2060" s="40">
        <v>38781.0</v>
      </c>
      <c r="N2060" s="40">
        <v>42045.0</v>
      </c>
      <c r="O2060" s="15" t="s">
        <v>1554</v>
      </c>
      <c r="Q2060" s="7"/>
    </row>
    <row r="2061">
      <c r="A2061" s="39" t="s">
        <v>9442</v>
      </c>
      <c r="B2061" s="15">
        <v>475627.0</v>
      </c>
      <c r="C2061" s="15" t="s">
        <v>9443</v>
      </c>
      <c r="D2061" s="15">
        <v>30169.0</v>
      </c>
      <c r="E2061" s="15" t="s">
        <v>1808</v>
      </c>
      <c r="F2061" s="15" t="s">
        <v>1809</v>
      </c>
      <c r="G2061" s="7">
        <v>5.158</v>
      </c>
      <c r="H2061" s="15" t="s">
        <v>9444</v>
      </c>
      <c r="I2061" s="15" t="s">
        <v>1628</v>
      </c>
      <c r="J2061" s="15" t="s">
        <v>9445</v>
      </c>
      <c r="K2061" s="15">
        <v>6.0</v>
      </c>
      <c r="L2061" s="15">
        <v>6.0</v>
      </c>
      <c r="M2061" s="41">
        <v>39379.0</v>
      </c>
      <c r="N2061" s="40">
        <v>42045.0</v>
      </c>
      <c r="O2061" s="15" t="s">
        <v>1554</v>
      </c>
      <c r="Q2061" s="7"/>
    </row>
    <row r="2062">
      <c r="A2062" s="39" t="s">
        <v>9446</v>
      </c>
      <c r="B2062" s="15">
        <v>55216.0</v>
      </c>
      <c r="C2062" s="15" t="s">
        <v>9447</v>
      </c>
      <c r="D2062" s="15">
        <v>30171.0</v>
      </c>
      <c r="E2062" s="15" t="s">
        <v>1808</v>
      </c>
      <c r="F2062" s="15" t="s">
        <v>1809</v>
      </c>
      <c r="G2062" s="7">
        <v>5.13</v>
      </c>
      <c r="H2062" s="15" t="s">
        <v>9448</v>
      </c>
      <c r="I2062" s="15" t="s">
        <v>1628</v>
      </c>
      <c r="J2062" s="15" t="s">
        <v>9449</v>
      </c>
      <c r="K2062" s="15">
        <v>7.0</v>
      </c>
      <c r="L2062" s="15">
        <v>7.0</v>
      </c>
      <c r="M2062" s="40">
        <v>39144.0</v>
      </c>
      <c r="N2062" s="41">
        <v>42297.0</v>
      </c>
      <c r="O2062" s="15" t="s">
        <v>1554</v>
      </c>
      <c r="Q2062" s="7"/>
    </row>
    <row r="2063">
      <c r="A2063" s="39" t="s">
        <v>9451</v>
      </c>
      <c r="B2063" s="15">
        <v>204873.0</v>
      </c>
      <c r="C2063" s="15" t="s">
        <v>9452</v>
      </c>
      <c r="D2063" s="15">
        <v>30173.0</v>
      </c>
      <c r="E2063" s="15" t="s">
        <v>1916</v>
      </c>
      <c r="F2063" s="15" t="s">
        <v>2532</v>
      </c>
      <c r="G2063" s="7">
        <v>10.207</v>
      </c>
      <c r="H2063" s="15">
        <v>47.0</v>
      </c>
      <c r="I2063" s="15" t="s">
        <v>1686</v>
      </c>
      <c r="J2063" s="15" t="s">
        <v>9453</v>
      </c>
      <c r="K2063" s="15">
        <v>5.0</v>
      </c>
      <c r="L2063" s="15">
        <v>2.0</v>
      </c>
      <c r="M2063" s="41">
        <v>37613.0</v>
      </c>
      <c r="N2063" s="40">
        <v>40578.0</v>
      </c>
      <c r="O2063" s="15" t="s">
        <v>1554</v>
      </c>
      <c r="Q2063" s="7"/>
    </row>
    <row r="2064">
      <c r="A2064" s="39" t="s">
        <v>9454</v>
      </c>
      <c r="B2064" s="15">
        <v>332471.0</v>
      </c>
      <c r="C2064" s="15" t="s">
        <v>9455</v>
      </c>
      <c r="D2064" s="15">
        <v>30175.0</v>
      </c>
      <c r="E2064" s="15" t="s">
        <v>1548</v>
      </c>
      <c r="F2064" s="15" t="s">
        <v>1911</v>
      </c>
      <c r="G2064" s="7">
        <v>9.656</v>
      </c>
      <c r="H2064" s="15" t="s">
        <v>3255</v>
      </c>
      <c r="I2064" s="15" t="s">
        <v>1628</v>
      </c>
      <c r="J2064" s="15" t="s">
        <v>9456</v>
      </c>
      <c r="K2064" s="15">
        <v>2.0</v>
      </c>
      <c r="L2064" s="15">
        <v>2.0</v>
      </c>
      <c r="M2064" s="40">
        <v>38784.0</v>
      </c>
      <c r="N2064" s="40">
        <v>42045.0</v>
      </c>
      <c r="O2064" s="15" t="s">
        <v>1554</v>
      </c>
      <c r="Q2064" s="7"/>
    </row>
    <row r="2065">
      <c r="A2065" s="39" t="s">
        <v>9457</v>
      </c>
      <c r="B2065" s="15">
        <v>447171.0</v>
      </c>
      <c r="C2065" s="15" t="s">
        <v>9458</v>
      </c>
      <c r="D2065" s="15">
        <v>30177.0</v>
      </c>
      <c r="E2065" s="15" t="s">
        <v>1548</v>
      </c>
      <c r="F2065" s="15" t="s">
        <v>1633</v>
      </c>
      <c r="G2065" s="7">
        <v>7.212</v>
      </c>
      <c r="H2065" s="15" t="s">
        <v>1634</v>
      </c>
      <c r="I2065" s="15" t="s">
        <v>1628</v>
      </c>
      <c r="J2065" s="15" t="s">
        <v>9459</v>
      </c>
      <c r="K2065" s="15">
        <v>5.0</v>
      </c>
      <c r="L2065" s="15">
        <v>5.0</v>
      </c>
      <c r="M2065" s="40">
        <v>39604.0</v>
      </c>
      <c r="N2065" s="40">
        <v>40578.0</v>
      </c>
      <c r="O2065" s="15" t="s">
        <v>1554</v>
      </c>
      <c r="Q2065" s="7"/>
    </row>
    <row r="2066">
      <c r="A2066" s="39" t="s">
        <v>9461</v>
      </c>
      <c r="B2066" s="15">
        <v>452758.0</v>
      </c>
      <c r="C2066" s="15" t="s">
        <v>9462</v>
      </c>
      <c r="D2066" s="15">
        <v>30179.0</v>
      </c>
      <c r="E2066" s="15" t="s">
        <v>1808</v>
      </c>
      <c r="F2066" s="15" t="s">
        <v>1809</v>
      </c>
      <c r="G2066" s="7">
        <v>2.755</v>
      </c>
      <c r="H2066" s="15" t="s">
        <v>2877</v>
      </c>
      <c r="I2066" s="15" t="s">
        <v>1628</v>
      </c>
      <c r="J2066" s="15" t="s">
        <v>9463</v>
      </c>
      <c r="K2066" s="15">
        <v>6.0</v>
      </c>
      <c r="L2066" s="15">
        <v>6.0</v>
      </c>
      <c r="M2066" s="40">
        <v>39288.0</v>
      </c>
      <c r="N2066" s="40">
        <v>40206.0</v>
      </c>
      <c r="O2066" s="15" t="s">
        <v>1554</v>
      </c>
      <c r="Q2066" s="7"/>
    </row>
    <row r="2067">
      <c r="A2067" s="39" t="s">
        <v>9464</v>
      </c>
      <c r="B2067" s="15">
        <v>526476.0</v>
      </c>
      <c r="C2067" s="15" t="s">
        <v>9465</v>
      </c>
      <c r="D2067" s="15">
        <v>30181.0</v>
      </c>
      <c r="E2067" s="15" t="s">
        <v>1808</v>
      </c>
      <c r="F2067" s="15" t="s">
        <v>1809</v>
      </c>
      <c r="G2067" s="7">
        <v>5.481</v>
      </c>
      <c r="H2067" s="15" t="s">
        <v>9466</v>
      </c>
      <c r="I2067" s="15" t="s">
        <v>1628</v>
      </c>
      <c r="J2067" s="15" t="s">
        <v>9467</v>
      </c>
      <c r="K2067" s="15">
        <v>9.0</v>
      </c>
      <c r="L2067" s="15">
        <v>9.0</v>
      </c>
      <c r="M2067" s="40">
        <v>39603.0</v>
      </c>
      <c r="N2067" s="40">
        <v>42992.0</v>
      </c>
      <c r="O2067" s="15" t="s">
        <v>1554</v>
      </c>
      <c r="Q2067" s="7"/>
    </row>
    <row r="2068">
      <c r="A2068" s="39" t="s">
        <v>9468</v>
      </c>
      <c r="B2068" s="15">
        <v>536081.0</v>
      </c>
      <c r="C2068" s="15" t="s">
        <v>9469</v>
      </c>
      <c r="D2068" s="15">
        <v>30183.0</v>
      </c>
      <c r="E2068" s="15" t="s">
        <v>1808</v>
      </c>
      <c r="F2068" s="15" t="s">
        <v>1809</v>
      </c>
      <c r="G2068" s="7">
        <v>43164.0</v>
      </c>
      <c r="H2068" s="15" t="s">
        <v>9471</v>
      </c>
      <c r="I2068" s="15" t="s">
        <v>1628</v>
      </c>
      <c r="J2068" s="15" t="s">
        <v>9472</v>
      </c>
      <c r="K2068" s="15">
        <v>7.0</v>
      </c>
      <c r="L2068" s="15">
        <v>7.0</v>
      </c>
      <c r="M2068" s="40">
        <v>39608.0</v>
      </c>
      <c r="N2068" s="41">
        <v>42297.0</v>
      </c>
      <c r="O2068" s="15" t="s">
        <v>1554</v>
      </c>
      <c r="Q2068" s="7"/>
    </row>
    <row r="2069">
      <c r="A2069" s="39" t="s">
        <v>9473</v>
      </c>
      <c r="B2069" s="15">
        <v>536084.0</v>
      </c>
      <c r="C2069" s="15" t="s">
        <v>9474</v>
      </c>
      <c r="D2069" s="15">
        <v>30185.0</v>
      </c>
      <c r="E2069" s="15" t="s">
        <v>1808</v>
      </c>
      <c r="F2069" s="15" t="s">
        <v>1809</v>
      </c>
      <c r="G2069" s="7">
        <v>5.058</v>
      </c>
      <c r="H2069" s="15" t="s">
        <v>9475</v>
      </c>
      <c r="I2069" s="15" t="s">
        <v>1628</v>
      </c>
      <c r="J2069" s="15" t="s">
        <v>9476</v>
      </c>
      <c r="K2069" s="15">
        <v>7.0</v>
      </c>
      <c r="L2069" s="15">
        <v>7.0</v>
      </c>
      <c r="M2069" s="40">
        <v>39608.0</v>
      </c>
      <c r="N2069" s="41">
        <v>42297.0</v>
      </c>
      <c r="O2069" s="15" t="s">
        <v>1554</v>
      </c>
      <c r="Q2069" s="7"/>
    </row>
    <row r="2070">
      <c r="A2070" s="39" t="s">
        <v>9477</v>
      </c>
      <c r="B2070" s="15">
        <v>536086.0</v>
      </c>
      <c r="C2070" s="15" t="s">
        <v>9478</v>
      </c>
      <c r="D2070" s="15">
        <v>30187.0</v>
      </c>
      <c r="E2070" s="15" t="s">
        <v>1808</v>
      </c>
      <c r="F2070" s="15" t="s">
        <v>1809</v>
      </c>
      <c r="G2070" s="7">
        <v>5.371</v>
      </c>
      <c r="H2070" s="15" t="s">
        <v>9479</v>
      </c>
      <c r="I2070" s="15" t="s">
        <v>1628</v>
      </c>
      <c r="J2070" s="15" t="s">
        <v>9480</v>
      </c>
      <c r="K2070" s="15">
        <v>7.0</v>
      </c>
      <c r="L2070" s="15">
        <v>7.0</v>
      </c>
      <c r="M2070" s="40">
        <v>39608.0</v>
      </c>
      <c r="N2070" s="41">
        <v>42297.0</v>
      </c>
      <c r="O2070" s="15" t="s">
        <v>1554</v>
      </c>
      <c r="Q2070" s="7"/>
    </row>
    <row r="2071">
      <c r="A2071" s="39" t="s">
        <v>9481</v>
      </c>
      <c r="B2071" s="15">
        <v>421976.0</v>
      </c>
      <c r="C2071" s="15" t="s">
        <v>9483</v>
      </c>
      <c r="D2071" s="15">
        <v>30363.0</v>
      </c>
      <c r="E2071" s="15" t="s">
        <v>1638</v>
      </c>
      <c r="F2071" s="15" t="s">
        <v>1578</v>
      </c>
      <c r="G2071" s="7">
        <v>4.035</v>
      </c>
      <c r="H2071" s="15" t="s">
        <v>9484</v>
      </c>
      <c r="I2071" s="15" t="s">
        <v>1552</v>
      </c>
      <c r="J2071" s="15" t="s">
        <v>9485</v>
      </c>
      <c r="K2071" s="15">
        <v>4.0</v>
      </c>
      <c r="L2071" s="15">
        <v>4.0</v>
      </c>
      <c r="M2071" s="40">
        <v>39119.0</v>
      </c>
      <c r="N2071" s="41">
        <v>42297.0</v>
      </c>
      <c r="O2071" s="15" t="s">
        <v>1554</v>
      </c>
      <c r="Q2071" s="7"/>
    </row>
    <row r="2072">
      <c r="A2072" s="39" t="s">
        <v>9486</v>
      </c>
      <c r="B2072" s="15">
        <v>483537.0</v>
      </c>
      <c r="C2072" s="15" t="s">
        <v>9487</v>
      </c>
      <c r="D2072" s="15">
        <v>30367.0</v>
      </c>
      <c r="E2072" s="15" t="s">
        <v>1638</v>
      </c>
      <c r="F2072" s="15" t="s">
        <v>1578</v>
      </c>
      <c r="G2072" s="7">
        <v>10.357</v>
      </c>
      <c r="H2072" s="15" t="s">
        <v>9488</v>
      </c>
      <c r="I2072" s="15" t="s">
        <v>1552</v>
      </c>
      <c r="J2072" s="15" t="s">
        <v>9489</v>
      </c>
      <c r="K2072" s="15">
        <v>4.0</v>
      </c>
      <c r="L2072" s="15">
        <v>4.0</v>
      </c>
      <c r="M2072" s="40">
        <v>39420.0</v>
      </c>
      <c r="N2072" s="40">
        <v>41095.0</v>
      </c>
      <c r="O2072" s="15" t="s">
        <v>1554</v>
      </c>
      <c r="Q2072" s="7"/>
    </row>
    <row r="2073">
      <c r="A2073" s="39" t="s">
        <v>9490</v>
      </c>
      <c r="B2073" s="15">
        <v>540064.0</v>
      </c>
      <c r="C2073" s="15" t="s">
        <v>9491</v>
      </c>
      <c r="D2073" s="15">
        <v>30513.0</v>
      </c>
      <c r="E2073" s="15" t="s">
        <v>1557</v>
      </c>
      <c r="F2073" s="15" t="s">
        <v>1833</v>
      </c>
      <c r="G2073" s="7">
        <v>51.621</v>
      </c>
      <c r="H2073" s="15" t="s">
        <v>2831</v>
      </c>
      <c r="I2073" s="15" t="s">
        <v>1586</v>
      </c>
      <c r="J2073" s="15" t="s">
        <v>9493</v>
      </c>
      <c r="K2073" s="15">
        <v>87.0</v>
      </c>
      <c r="L2073" s="15">
        <v>87.0</v>
      </c>
      <c r="M2073" s="40">
        <v>39622.0</v>
      </c>
      <c r="N2073" s="40">
        <v>40998.0</v>
      </c>
      <c r="O2073" s="15" t="s">
        <v>1554</v>
      </c>
      <c r="Q2073" s="7"/>
    </row>
    <row r="2074">
      <c r="A2074" s="39" t="s">
        <v>9494</v>
      </c>
      <c r="B2074" s="15">
        <v>540065.0</v>
      </c>
      <c r="C2074" s="15" t="s">
        <v>9495</v>
      </c>
      <c r="D2074" s="15">
        <v>30515.0</v>
      </c>
      <c r="E2074" s="15" t="s">
        <v>1557</v>
      </c>
      <c r="F2074" s="15" t="s">
        <v>1833</v>
      </c>
      <c r="G2074" s="7">
        <v>50.968</v>
      </c>
      <c r="H2074" s="15" t="s">
        <v>3029</v>
      </c>
      <c r="I2074" s="15" t="s">
        <v>1586</v>
      </c>
      <c r="J2074" s="15" t="s">
        <v>9496</v>
      </c>
      <c r="K2074" s="15">
        <v>94.0</v>
      </c>
      <c r="L2074" s="15">
        <v>94.0</v>
      </c>
      <c r="M2074" s="40">
        <v>39622.0</v>
      </c>
      <c r="N2074" s="40">
        <v>41110.0</v>
      </c>
      <c r="O2074" s="15" t="s">
        <v>1554</v>
      </c>
      <c r="Q2074" s="7"/>
    </row>
    <row r="2075">
      <c r="A2075" s="39" t="s">
        <v>9497</v>
      </c>
      <c r="B2075" s="15">
        <v>540066.0</v>
      </c>
      <c r="C2075" s="15" t="s">
        <v>9498</v>
      </c>
      <c r="D2075" s="15">
        <v>30517.0</v>
      </c>
      <c r="E2075" s="15" t="s">
        <v>1557</v>
      </c>
      <c r="F2075" s="15" t="s">
        <v>1833</v>
      </c>
      <c r="G2075" s="7">
        <v>53.572</v>
      </c>
      <c r="H2075" s="15" t="s">
        <v>3542</v>
      </c>
      <c r="I2075" s="15" t="s">
        <v>1586</v>
      </c>
      <c r="J2075" s="15" t="s">
        <v>9499</v>
      </c>
      <c r="K2075" s="15">
        <v>89.0</v>
      </c>
      <c r="L2075" s="15">
        <v>89.0</v>
      </c>
      <c r="M2075" s="40">
        <v>39622.0</v>
      </c>
      <c r="N2075" s="40">
        <v>41110.0</v>
      </c>
      <c r="O2075" s="15" t="s">
        <v>1554</v>
      </c>
      <c r="Q2075" s="7"/>
    </row>
    <row r="2076">
      <c r="A2076" s="39" t="s">
        <v>9500</v>
      </c>
      <c r="B2076" s="15">
        <v>540067.0</v>
      </c>
      <c r="C2076" s="15" t="s">
        <v>9501</v>
      </c>
      <c r="D2076" s="15">
        <v>30519.0</v>
      </c>
      <c r="E2076" s="15" t="s">
        <v>1557</v>
      </c>
      <c r="F2076" s="15" t="s">
        <v>1833</v>
      </c>
      <c r="G2076" s="7">
        <v>51.478</v>
      </c>
      <c r="H2076" s="15" t="s">
        <v>2831</v>
      </c>
      <c r="I2076" s="15" t="s">
        <v>1586</v>
      </c>
      <c r="J2076" s="15" t="s">
        <v>9502</v>
      </c>
      <c r="K2076" s="15">
        <v>90.0</v>
      </c>
      <c r="L2076" s="15">
        <v>90.0</v>
      </c>
      <c r="M2076" s="40">
        <v>39622.0</v>
      </c>
      <c r="N2076" s="40">
        <v>39920.0</v>
      </c>
      <c r="O2076" s="15" t="s">
        <v>1554</v>
      </c>
      <c r="Q2076" s="7"/>
    </row>
    <row r="2077">
      <c r="A2077" s="39" t="s">
        <v>9503</v>
      </c>
      <c r="B2077" s="15">
        <v>540068.0</v>
      </c>
      <c r="C2077" s="15" t="s">
        <v>9505</v>
      </c>
      <c r="D2077" s="15">
        <v>30521.0</v>
      </c>
      <c r="E2077" s="15" t="s">
        <v>1557</v>
      </c>
      <c r="F2077" s="15" t="s">
        <v>1833</v>
      </c>
      <c r="G2077" s="7">
        <v>52.892</v>
      </c>
      <c r="H2077" s="15" t="s">
        <v>4467</v>
      </c>
      <c r="I2077" s="15" t="s">
        <v>1586</v>
      </c>
      <c r="J2077" s="15" t="s">
        <v>9506</v>
      </c>
      <c r="K2077" s="15">
        <v>89.0</v>
      </c>
      <c r="L2077" s="15">
        <v>88.0</v>
      </c>
      <c r="M2077" s="40">
        <v>39622.0</v>
      </c>
      <c r="N2077" s="40">
        <v>39626.0</v>
      </c>
      <c r="O2077" s="15" t="s">
        <v>1554</v>
      </c>
      <c r="Q2077" s="7"/>
    </row>
    <row r="2078">
      <c r="A2078" s="39" t="s">
        <v>9507</v>
      </c>
      <c r="B2078" s="15">
        <v>604276.0</v>
      </c>
      <c r="C2078" s="15" t="s">
        <v>9508</v>
      </c>
      <c r="D2078" s="15">
        <v>30523.0</v>
      </c>
      <c r="E2078" s="15" t="s">
        <v>1808</v>
      </c>
      <c r="F2078" s="15" t="s">
        <v>1809</v>
      </c>
      <c r="G2078" s="7">
        <v>2.771</v>
      </c>
      <c r="H2078" s="15" t="s">
        <v>1902</v>
      </c>
      <c r="I2078" s="15" t="s">
        <v>1628</v>
      </c>
      <c r="J2078" s="15" t="s">
        <v>9509</v>
      </c>
      <c r="K2078" s="15">
        <v>6.0</v>
      </c>
      <c r="L2078" s="15">
        <v>6.0</v>
      </c>
      <c r="M2078" s="40">
        <v>39622.0</v>
      </c>
      <c r="N2078" s="41">
        <v>40492.0</v>
      </c>
      <c r="O2078" s="15" t="s">
        <v>1554</v>
      </c>
      <c r="Q2078" s="7"/>
    </row>
    <row r="2079">
      <c r="A2079" s="39" t="s">
        <v>9510</v>
      </c>
      <c r="B2079" s="15">
        <v>543152.0</v>
      </c>
      <c r="C2079" s="15" t="s">
        <v>9511</v>
      </c>
      <c r="D2079" s="15">
        <v>30609.0</v>
      </c>
      <c r="E2079" s="15" t="s">
        <v>1557</v>
      </c>
      <c r="F2079" s="15" t="s">
        <v>1833</v>
      </c>
      <c r="G2079" s="7">
        <v>69.904</v>
      </c>
      <c r="H2079" s="15" t="s">
        <v>6951</v>
      </c>
      <c r="I2079" s="15" t="s">
        <v>1586</v>
      </c>
      <c r="J2079" s="15" t="s">
        <v>9513</v>
      </c>
      <c r="K2079" s="15">
        <v>95.0</v>
      </c>
      <c r="L2079" s="15">
        <v>94.0</v>
      </c>
      <c r="M2079" s="40">
        <v>39628.0</v>
      </c>
      <c r="N2079" s="40">
        <v>39645.0</v>
      </c>
      <c r="O2079" s="15" t="s">
        <v>1554</v>
      </c>
      <c r="Q2079" s="7"/>
    </row>
    <row r="2080">
      <c r="A2080" s="39" t="s">
        <v>9514</v>
      </c>
      <c r="B2080" s="15">
        <v>543153.0</v>
      </c>
      <c r="C2080" s="15" t="s">
        <v>9515</v>
      </c>
      <c r="D2080" s="15">
        <v>30611.0</v>
      </c>
      <c r="E2080" s="15" t="s">
        <v>1557</v>
      </c>
      <c r="F2080" s="15" t="s">
        <v>1833</v>
      </c>
      <c r="G2080" s="7">
        <v>70.11</v>
      </c>
      <c r="H2080" s="15" t="s">
        <v>1966</v>
      </c>
      <c r="I2080" s="15" t="s">
        <v>1586</v>
      </c>
      <c r="J2080" s="15" t="s">
        <v>9516</v>
      </c>
      <c r="K2080" s="15">
        <v>92.0</v>
      </c>
      <c r="L2080" s="15">
        <v>92.0</v>
      </c>
      <c r="M2080" s="40">
        <v>39628.0</v>
      </c>
      <c r="N2080" s="40">
        <v>39642.0</v>
      </c>
      <c r="O2080" s="15" t="s">
        <v>1554</v>
      </c>
      <c r="Q2080" s="7"/>
    </row>
    <row r="2081">
      <c r="A2081" s="39" t="s">
        <v>9517</v>
      </c>
      <c r="B2081" s="15">
        <v>399183.0</v>
      </c>
      <c r="C2081" s="15" t="s">
        <v>9518</v>
      </c>
      <c r="D2081" s="15">
        <v>30613.0</v>
      </c>
      <c r="E2081" s="15" t="s">
        <v>1557</v>
      </c>
      <c r="F2081" s="15" t="s">
        <v>1767</v>
      </c>
      <c r="G2081" s="7">
        <v>137.947</v>
      </c>
      <c r="H2081" s="15" t="s">
        <v>3653</v>
      </c>
      <c r="I2081" s="15" t="s">
        <v>1586</v>
      </c>
      <c r="J2081" s="15" t="s">
        <v>9520</v>
      </c>
      <c r="K2081" s="15">
        <v>239.0</v>
      </c>
      <c r="L2081" s="15">
        <v>233.0</v>
      </c>
      <c r="M2081" s="40">
        <v>39629.0</v>
      </c>
      <c r="N2081" s="40">
        <v>41362.0</v>
      </c>
      <c r="O2081" s="15" t="s">
        <v>1554</v>
      </c>
      <c r="Q2081" s="7"/>
    </row>
    <row r="2082">
      <c r="A2082" s="39" t="s">
        <v>9521</v>
      </c>
      <c r="B2082" s="15">
        <v>10756.0</v>
      </c>
      <c r="C2082" s="15" t="s">
        <v>9522</v>
      </c>
      <c r="D2082" s="15">
        <v>30615.0</v>
      </c>
      <c r="E2082" s="15" t="s">
        <v>1557</v>
      </c>
      <c r="F2082" s="15" t="s">
        <v>1611</v>
      </c>
      <c r="G2082" s="7">
        <v>19.282</v>
      </c>
      <c r="H2082" s="15">
        <v>40.0</v>
      </c>
      <c r="I2082" s="15" t="s">
        <v>1586</v>
      </c>
      <c r="J2082" s="15" t="s">
        <v>9523</v>
      </c>
      <c r="K2082" s="15">
        <v>27.0</v>
      </c>
      <c r="L2082" s="15">
        <v>27.0</v>
      </c>
      <c r="M2082" s="40">
        <v>39624.0</v>
      </c>
      <c r="N2082" s="40">
        <v>40263.0</v>
      </c>
      <c r="O2082" s="15" t="s">
        <v>1554</v>
      </c>
      <c r="Q2082" s="7"/>
    </row>
    <row r="2083">
      <c r="A2083" s="39" t="s">
        <v>9524</v>
      </c>
      <c r="B2083" s="15">
        <v>12456.0</v>
      </c>
      <c r="C2083" s="15" t="s">
        <v>9525</v>
      </c>
      <c r="D2083" s="15">
        <v>15436.0</v>
      </c>
      <c r="E2083" s="15" t="s">
        <v>1548</v>
      </c>
      <c r="F2083" s="15" t="s">
        <v>1848</v>
      </c>
      <c r="G2083" s="7">
        <v>6.813</v>
      </c>
      <c r="H2083" s="15" t="s">
        <v>3097</v>
      </c>
      <c r="I2083" s="15" t="s">
        <v>1567</v>
      </c>
      <c r="J2083" s="15" t="s">
        <v>9526</v>
      </c>
      <c r="K2083" s="15">
        <v>2.0</v>
      </c>
      <c r="L2083" s="15">
        <v>2.0</v>
      </c>
      <c r="M2083" s="40">
        <v>34274.0</v>
      </c>
      <c r="N2083" s="40">
        <v>42635.0</v>
      </c>
      <c r="O2083" s="15" t="s">
        <v>1554</v>
      </c>
      <c r="Q2083" s="7"/>
    </row>
    <row r="2084">
      <c r="A2084" s="39" t="s">
        <v>9528</v>
      </c>
      <c r="B2084" s="15">
        <v>28344.0</v>
      </c>
      <c r="C2084" s="15" t="s">
        <v>9529</v>
      </c>
      <c r="D2084" s="15">
        <v>15437.0</v>
      </c>
      <c r="E2084" s="15" t="s">
        <v>1548</v>
      </c>
      <c r="F2084" s="15" t="s">
        <v>4820</v>
      </c>
      <c r="G2084" s="7">
        <v>15.428</v>
      </c>
      <c r="H2084" s="15">
        <v>53.0</v>
      </c>
      <c r="I2084" s="15" t="s">
        <v>1686</v>
      </c>
      <c r="J2084" s="15" t="s">
        <v>9530</v>
      </c>
      <c r="K2084" s="15">
        <v>11.0</v>
      </c>
      <c r="L2084" s="15">
        <v>11.0</v>
      </c>
      <c r="M2084" s="41">
        <v>36089.0</v>
      </c>
      <c r="N2084" s="40">
        <v>42577.0</v>
      </c>
      <c r="O2084" s="15" t="s">
        <v>1554</v>
      </c>
      <c r="Q2084" s="7"/>
    </row>
    <row r="2085">
      <c r="A2085" s="39" t="s">
        <v>9531</v>
      </c>
      <c r="B2085" s="15">
        <v>1313215.0</v>
      </c>
      <c r="C2085" s="15" t="s">
        <v>9532</v>
      </c>
      <c r="D2085" s="15">
        <v>15441.0</v>
      </c>
      <c r="E2085" s="15" t="s">
        <v>1548</v>
      </c>
      <c r="F2085" s="15" t="s">
        <v>1776</v>
      </c>
      <c r="G2085" s="7">
        <v>8.251</v>
      </c>
      <c r="H2085" s="15" t="s">
        <v>3227</v>
      </c>
      <c r="I2085" s="15" t="s">
        <v>9533</v>
      </c>
      <c r="J2085" s="15" t="s">
        <v>9534</v>
      </c>
      <c r="K2085" s="15">
        <v>1.0</v>
      </c>
      <c r="L2085" s="15">
        <v>1.0</v>
      </c>
      <c r="M2085" s="40">
        <v>35985.0</v>
      </c>
      <c r="N2085" s="40">
        <v>39790.0</v>
      </c>
      <c r="O2085" s="15" t="s">
        <v>1554</v>
      </c>
      <c r="Q2085" s="7"/>
    </row>
    <row r="2086">
      <c r="A2086" s="39" t="s">
        <v>9535</v>
      </c>
      <c r="B2086" s="15">
        <v>121791.0</v>
      </c>
      <c r="C2086" s="15" t="s">
        <v>9536</v>
      </c>
      <c r="D2086" s="15">
        <v>15443.0</v>
      </c>
      <c r="E2086" s="15" t="s">
        <v>1548</v>
      </c>
      <c r="F2086" s="15" t="s">
        <v>4837</v>
      </c>
      <c r="G2086" s="7">
        <v>18.246</v>
      </c>
      <c r="H2086" s="15" t="s">
        <v>2342</v>
      </c>
      <c r="I2086" s="15" t="s">
        <v>1567</v>
      </c>
      <c r="J2086" s="15" t="s">
        <v>9537</v>
      </c>
      <c r="K2086" s="15">
        <v>6.0</v>
      </c>
      <c r="L2086" s="15">
        <v>9.0</v>
      </c>
      <c r="M2086" s="40">
        <v>36678.0</v>
      </c>
      <c r="N2086" s="41">
        <v>41255.0</v>
      </c>
      <c r="O2086" s="15" t="s">
        <v>1554</v>
      </c>
      <c r="Q2086" s="7"/>
    </row>
    <row r="2087">
      <c r="A2087" s="39" t="s">
        <v>9538</v>
      </c>
      <c r="B2087" s="15">
        <v>125788.0</v>
      </c>
      <c r="C2087" s="15" t="s">
        <v>9539</v>
      </c>
      <c r="D2087" s="15">
        <v>15444.0</v>
      </c>
      <c r="E2087" s="15" t="s">
        <v>1808</v>
      </c>
      <c r="F2087" s="15" t="s">
        <v>2436</v>
      </c>
      <c r="G2087" s="7">
        <v>5.078</v>
      </c>
      <c r="H2087" s="15" t="s">
        <v>2597</v>
      </c>
      <c r="I2087" s="15" t="s">
        <v>1560</v>
      </c>
      <c r="J2087" s="15" t="s">
        <v>9541</v>
      </c>
      <c r="K2087" s="15">
        <v>8.0</v>
      </c>
      <c r="L2087" s="15">
        <v>4.0</v>
      </c>
      <c r="M2087" s="40">
        <v>36666.0</v>
      </c>
      <c r="N2087" s="40">
        <v>42045.0</v>
      </c>
      <c r="O2087" s="15" t="s">
        <v>1554</v>
      </c>
      <c r="Q2087" s="7"/>
    </row>
    <row r="2088">
      <c r="A2088" s="39" t="s">
        <v>9542</v>
      </c>
      <c r="B2088" s="15">
        <v>221262.0</v>
      </c>
      <c r="C2088" s="15" t="s">
        <v>9543</v>
      </c>
      <c r="D2088" s="15">
        <v>15447.0</v>
      </c>
      <c r="E2088" s="15" t="s">
        <v>1548</v>
      </c>
      <c r="F2088" s="15" t="s">
        <v>1911</v>
      </c>
      <c r="G2088" s="7">
        <v>9.611</v>
      </c>
      <c r="H2088" s="15" t="s">
        <v>1994</v>
      </c>
      <c r="I2088" s="15" t="s">
        <v>1628</v>
      </c>
      <c r="J2088" s="15" t="s">
        <v>9545</v>
      </c>
      <c r="K2088" s="15">
        <v>2.0</v>
      </c>
      <c r="L2088" s="15">
        <v>2.0</v>
      </c>
      <c r="M2088" s="40">
        <v>38504.0</v>
      </c>
      <c r="N2088" s="40">
        <v>42045.0</v>
      </c>
      <c r="O2088" s="15" t="s">
        <v>1554</v>
      </c>
      <c r="Q2088" s="7"/>
    </row>
    <row r="2089">
      <c r="A2089" s="39" t="s">
        <v>9546</v>
      </c>
      <c r="B2089" s="15">
        <v>329886.0</v>
      </c>
      <c r="C2089" s="15" t="s">
        <v>9547</v>
      </c>
      <c r="D2089" s="15">
        <v>15449.0</v>
      </c>
      <c r="E2089" s="15" t="s">
        <v>1557</v>
      </c>
      <c r="F2089" s="15" t="s">
        <v>1611</v>
      </c>
      <c r="G2089" s="7">
        <v>39.503</v>
      </c>
      <c r="H2089" s="15" t="s">
        <v>3584</v>
      </c>
      <c r="I2089" s="15" t="s">
        <v>1586</v>
      </c>
      <c r="J2089" s="15" t="s">
        <v>9548</v>
      </c>
      <c r="K2089" s="15">
        <v>31.0</v>
      </c>
      <c r="L2089" s="15">
        <v>31.0</v>
      </c>
      <c r="M2089" s="40">
        <v>38501.0</v>
      </c>
      <c r="N2089" s="40">
        <v>42045.0</v>
      </c>
      <c r="O2089" s="15" t="s">
        <v>1554</v>
      </c>
      <c r="Q2089" s="7"/>
    </row>
    <row r="2090">
      <c r="A2090" s="39" t="s">
        <v>9549</v>
      </c>
      <c r="B2090" s="15">
        <v>320831.0</v>
      </c>
      <c r="C2090" s="15" t="s">
        <v>9550</v>
      </c>
      <c r="D2090" s="15">
        <v>15262.0</v>
      </c>
      <c r="E2090" s="15" t="s">
        <v>1557</v>
      </c>
      <c r="F2090" s="15" t="s">
        <v>1578</v>
      </c>
      <c r="G2090" s="7">
        <v>15.603</v>
      </c>
      <c r="H2090" s="15" t="s">
        <v>9551</v>
      </c>
      <c r="I2090" s="15" t="s">
        <v>1586</v>
      </c>
      <c r="J2090" s="15" t="s">
        <v>9552</v>
      </c>
      <c r="K2090" s="15">
        <v>22.0</v>
      </c>
      <c r="L2090" s="15">
        <v>22.0</v>
      </c>
      <c r="M2090" s="40">
        <v>38447.0</v>
      </c>
      <c r="N2090" s="41">
        <v>39435.0</v>
      </c>
      <c r="O2090" s="15" t="s">
        <v>1554</v>
      </c>
      <c r="Q2090" s="7"/>
    </row>
    <row r="2091">
      <c r="A2091" s="39" t="s">
        <v>9553</v>
      </c>
      <c r="B2091" s="15">
        <v>320832.0</v>
      </c>
      <c r="C2091" s="15" t="s">
        <v>9554</v>
      </c>
      <c r="D2091" s="15">
        <v>15263.0</v>
      </c>
      <c r="E2091" s="15" t="s">
        <v>1557</v>
      </c>
      <c r="F2091" s="15" t="s">
        <v>1611</v>
      </c>
      <c r="G2091" s="7">
        <v>18.199</v>
      </c>
      <c r="H2091" s="42">
        <v>43188.0</v>
      </c>
      <c r="I2091" s="15" t="s">
        <v>1586</v>
      </c>
      <c r="J2091" s="15" t="s">
        <v>9555</v>
      </c>
      <c r="K2091" s="15">
        <v>27.0</v>
      </c>
      <c r="L2091" s="15">
        <v>27.0</v>
      </c>
      <c r="M2091" s="40">
        <v>38447.0</v>
      </c>
      <c r="N2091" s="40">
        <v>39920.0</v>
      </c>
      <c r="O2091" s="15" t="s">
        <v>1554</v>
      </c>
      <c r="Q2091" s="7"/>
    </row>
    <row r="2092">
      <c r="A2092" s="39" t="s">
        <v>9556</v>
      </c>
      <c r="B2092" s="15">
        <v>347966.0</v>
      </c>
      <c r="D2092" s="15">
        <v>0.0</v>
      </c>
      <c r="E2092" s="15" t="s">
        <v>1557</v>
      </c>
      <c r="F2092" s="15" t="s">
        <v>1833</v>
      </c>
      <c r="G2092" s="7">
        <v>36.615</v>
      </c>
      <c r="H2092" s="15" t="s">
        <v>3361</v>
      </c>
      <c r="I2092" s="15" t="s">
        <v>1586</v>
      </c>
      <c r="J2092" s="15" t="s">
        <v>9557</v>
      </c>
      <c r="K2092" s="15">
        <v>51.0</v>
      </c>
      <c r="L2092" s="15">
        <v>51.0</v>
      </c>
      <c r="M2092" s="40">
        <v>38625.0</v>
      </c>
      <c r="N2092" s="40">
        <v>38832.0</v>
      </c>
      <c r="O2092" s="15" t="s">
        <v>1554</v>
      </c>
      <c r="Q2092" s="7"/>
    </row>
    <row r="2093">
      <c r="A2093" s="39" t="s">
        <v>9558</v>
      </c>
      <c r="B2093" s="15">
        <v>344021.0</v>
      </c>
      <c r="C2093" s="15" t="s">
        <v>9559</v>
      </c>
      <c r="D2093" s="15">
        <v>15880.0</v>
      </c>
      <c r="E2093" s="15" t="s">
        <v>1557</v>
      </c>
      <c r="F2093" s="15" t="s">
        <v>1611</v>
      </c>
      <c r="G2093" s="7">
        <v>39.704</v>
      </c>
      <c r="H2093" s="15" t="s">
        <v>5042</v>
      </c>
      <c r="I2093" s="15" t="s">
        <v>1586</v>
      </c>
      <c r="J2093" s="15" t="s">
        <v>9560</v>
      </c>
      <c r="K2093" s="15">
        <v>43.0</v>
      </c>
      <c r="L2093" s="15">
        <v>43.0</v>
      </c>
      <c r="M2093" s="40">
        <v>38581.0</v>
      </c>
      <c r="N2093" s="40">
        <v>42045.0</v>
      </c>
      <c r="O2093" s="15" t="s">
        <v>1554</v>
      </c>
      <c r="Q2093" s="7"/>
    </row>
    <row r="2094">
      <c r="A2094" s="39" t="s">
        <v>9561</v>
      </c>
      <c r="B2094" s="15">
        <v>165432.0</v>
      </c>
      <c r="C2094" s="15" t="s">
        <v>9562</v>
      </c>
      <c r="D2094" s="15">
        <v>16590.0</v>
      </c>
      <c r="E2094" s="15" t="s">
        <v>1548</v>
      </c>
      <c r="F2094" s="15" t="s">
        <v>2900</v>
      </c>
      <c r="G2094" s="7">
        <v>4.431</v>
      </c>
      <c r="H2094" s="15" t="s">
        <v>2660</v>
      </c>
      <c r="I2094" s="15" t="s">
        <v>1628</v>
      </c>
      <c r="J2094" s="15" t="s">
        <v>9564</v>
      </c>
      <c r="K2094" s="15">
        <v>5.0</v>
      </c>
      <c r="L2094" s="15">
        <v>5.0</v>
      </c>
      <c r="M2094" s="40">
        <v>38792.0</v>
      </c>
      <c r="N2094" s="40">
        <v>41788.0</v>
      </c>
      <c r="O2094" s="15" t="s">
        <v>1554</v>
      </c>
      <c r="Q2094" s="7"/>
    </row>
    <row r="2095">
      <c r="A2095" s="39" t="s">
        <v>9565</v>
      </c>
      <c r="B2095" s="15">
        <v>511969.0</v>
      </c>
      <c r="C2095" s="15" t="s">
        <v>9566</v>
      </c>
      <c r="D2095" s="15">
        <v>16591.0</v>
      </c>
      <c r="E2095" s="15" t="s">
        <v>1808</v>
      </c>
      <c r="F2095" s="15" t="s">
        <v>3154</v>
      </c>
      <c r="G2095" s="7">
        <v>5.486</v>
      </c>
      <c r="H2095" s="15" t="s">
        <v>1745</v>
      </c>
      <c r="I2095" s="15" t="s">
        <v>1586</v>
      </c>
      <c r="J2095" s="15" t="s">
        <v>9567</v>
      </c>
      <c r="K2095" s="15">
        <v>11.0</v>
      </c>
      <c r="L2095" s="15">
        <v>11.0</v>
      </c>
      <c r="M2095" s="40">
        <v>38741.0</v>
      </c>
      <c r="N2095" s="40">
        <v>39920.0</v>
      </c>
      <c r="O2095" s="15" t="s">
        <v>1554</v>
      </c>
      <c r="Q2095" s="7"/>
    </row>
    <row r="2096">
      <c r="A2096" s="39" t="s">
        <v>9568</v>
      </c>
      <c r="B2096" s="15">
        <v>384643.0</v>
      </c>
      <c r="C2096" s="15" t="s">
        <v>9569</v>
      </c>
      <c r="D2096" s="15">
        <v>16595.0</v>
      </c>
      <c r="E2096" s="15" t="s">
        <v>1808</v>
      </c>
      <c r="F2096" s="15" t="s">
        <v>3154</v>
      </c>
      <c r="G2096" s="7">
        <v>6.068</v>
      </c>
      <c r="H2096" s="15" t="s">
        <v>3097</v>
      </c>
      <c r="I2096" s="15" t="s">
        <v>1586</v>
      </c>
      <c r="J2096" s="15" t="s">
        <v>9570</v>
      </c>
      <c r="K2096" s="15">
        <v>10.0</v>
      </c>
      <c r="L2096" s="15">
        <v>10.0</v>
      </c>
      <c r="M2096" s="40">
        <v>38741.0</v>
      </c>
      <c r="N2096" s="40">
        <v>42045.0</v>
      </c>
      <c r="O2096" s="15" t="s">
        <v>1554</v>
      </c>
      <c r="Q2096" s="7"/>
    </row>
    <row r="2097">
      <c r="A2097" s="39" t="s">
        <v>9572</v>
      </c>
      <c r="B2097" s="15">
        <v>503388.0</v>
      </c>
      <c r="C2097" s="15" t="s">
        <v>9573</v>
      </c>
      <c r="D2097" s="15">
        <v>28985.0</v>
      </c>
      <c r="E2097" s="15" t="s">
        <v>1557</v>
      </c>
      <c r="F2097" s="15" t="s">
        <v>1611</v>
      </c>
      <c r="G2097" s="7">
        <v>18.762</v>
      </c>
      <c r="H2097" s="15" t="s">
        <v>4553</v>
      </c>
      <c r="I2097" s="15" t="s">
        <v>1586</v>
      </c>
      <c r="J2097" s="15" t="s">
        <v>9574</v>
      </c>
      <c r="K2097" s="15">
        <v>28.0</v>
      </c>
      <c r="L2097" s="15">
        <v>28.0</v>
      </c>
      <c r="M2097" s="40">
        <v>39503.0</v>
      </c>
      <c r="N2097" s="40">
        <v>39920.0</v>
      </c>
      <c r="O2097" s="15" t="s">
        <v>1554</v>
      </c>
      <c r="Q2097" s="7"/>
    </row>
    <row r="2098">
      <c r="A2098" s="39" t="s">
        <v>9575</v>
      </c>
      <c r="B2098" s="15">
        <v>507474.0</v>
      </c>
      <c r="C2098" s="15" t="s">
        <v>9576</v>
      </c>
      <c r="D2098" s="15">
        <v>28987.0</v>
      </c>
      <c r="E2098" s="15" t="s">
        <v>1808</v>
      </c>
      <c r="F2098" s="15" t="s">
        <v>1809</v>
      </c>
      <c r="G2098" s="7">
        <v>2.723</v>
      </c>
      <c r="H2098" s="15" t="s">
        <v>1559</v>
      </c>
      <c r="I2098" s="15" t="s">
        <v>1628</v>
      </c>
      <c r="J2098" s="15" t="s">
        <v>9577</v>
      </c>
      <c r="K2098" s="15">
        <v>6.0</v>
      </c>
      <c r="L2098" s="15">
        <v>6.0</v>
      </c>
      <c r="M2098" s="40">
        <v>39518.0</v>
      </c>
      <c r="N2098" s="41">
        <v>41228.0</v>
      </c>
      <c r="O2098" s="15" t="s">
        <v>1554</v>
      </c>
      <c r="Q2098" s="7"/>
    </row>
    <row r="2099">
      <c r="A2099" s="39" t="s">
        <v>9578</v>
      </c>
      <c r="B2099" s="15">
        <v>507475.0</v>
      </c>
      <c r="C2099" s="15" t="s">
        <v>9579</v>
      </c>
      <c r="D2099" s="15">
        <v>28989.0</v>
      </c>
      <c r="E2099" s="15" t="s">
        <v>1808</v>
      </c>
      <c r="F2099" s="15" t="s">
        <v>1809</v>
      </c>
      <c r="G2099" s="7">
        <v>2.75</v>
      </c>
      <c r="H2099" s="15" t="s">
        <v>2428</v>
      </c>
      <c r="I2099" s="15" t="s">
        <v>1628</v>
      </c>
      <c r="J2099" s="15" t="s">
        <v>9581</v>
      </c>
      <c r="K2099" s="15">
        <v>6.0</v>
      </c>
      <c r="L2099" s="15">
        <v>6.0</v>
      </c>
      <c r="M2099" s="40">
        <v>39518.0</v>
      </c>
      <c r="N2099" s="41">
        <v>41228.0</v>
      </c>
      <c r="O2099" s="15" t="s">
        <v>1554</v>
      </c>
      <c r="Q2099" s="7"/>
    </row>
    <row r="2100">
      <c r="A2100" s="39" t="s">
        <v>9582</v>
      </c>
      <c r="B2100" s="15">
        <v>508750.0</v>
      </c>
      <c r="C2100" s="15" t="s">
        <v>9583</v>
      </c>
      <c r="D2100" s="15">
        <v>28991.0</v>
      </c>
      <c r="E2100" s="15" t="s">
        <v>1808</v>
      </c>
      <c r="F2100" s="15" t="s">
        <v>1809</v>
      </c>
      <c r="G2100" s="7">
        <v>2.74</v>
      </c>
      <c r="H2100" s="15" t="s">
        <v>1813</v>
      </c>
      <c r="I2100" s="15" t="s">
        <v>1628</v>
      </c>
      <c r="J2100" s="15" t="s">
        <v>9584</v>
      </c>
      <c r="K2100" s="15">
        <v>7.0</v>
      </c>
      <c r="L2100" s="15">
        <v>7.0</v>
      </c>
      <c r="M2100" s="40">
        <v>39517.0</v>
      </c>
      <c r="N2100" s="40">
        <v>40206.0</v>
      </c>
      <c r="O2100" s="15" t="s">
        <v>1554</v>
      </c>
      <c r="Q2100" s="7"/>
    </row>
    <row r="2101">
      <c r="A2101" s="39" t="s">
        <v>9585</v>
      </c>
      <c r="B2101" s="15">
        <v>507476.0</v>
      </c>
      <c r="C2101" s="15" t="s">
        <v>9586</v>
      </c>
      <c r="D2101" s="15">
        <v>29011.0</v>
      </c>
      <c r="E2101" s="15" t="s">
        <v>1808</v>
      </c>
      <c r="F2101" s="15" t="s">
        <v>1809</v>
      </c>
      <c r="G2101" s="7">
        <v>2.761</v>
      </c>
      <c r="H2101" s="15" t="s">
        <v>2777</v>
      </c>
      <c r="I2101" s="15" t="s">
        <v>1628</v>
      </c>
      <c r="J2101" s="15" t="s">
        <v>9587</v>
      </c>
      <c r="K2101" s="15">
        <v>6.0</v>
      </c>
      <c r="L2101" s="15">
        <v>6.0</v>
      </c>
      <c r="M2101" s="40">
        <v>39518.0</v>
      </c>
      <c r="N2101" s="41">
        <v>41228.0</v>
      </c>
      <c r="O2101" s="15" t="s">
        <v>1554</v>
      </c>
      <c r="Q2101" s="7"/>
    </row>
    <row r="2102">
      <c r="A2102" s="39" t="s">
        <v>9589</v>
      </c>
      <c r="B2102" s="15">
        <v>424716.0</v>
      </c>
      <c r="C2102" s="15" t="s">
        <v>9590</v>
      </c>
      <c r="D2102" s="15">
        <v>29079.0</v>
      </c>
      <c r="E2102" s="15" t="s">
        <v>1557</v>
      </c>
      <c r="F2102" s="15" t="s">
        <v>1833</v>
      </c>
      <c r="G2102" s="7">
        <v>45.051</v>
      </c>
      <c r="H2102" s="15" t="s">
        <v>3538</v>
      </c>
      <c r="I2102" s="15" t="s">
        <v>1586</v>
      </c>
      <c r="J2102" s="15" t="s">
        <v>9591</v>
      </c>
      <c r="K2102" s="15">
        <v>52.0</v>
      </c>
      <c r="L2102" s="15">
        <v>51.0</v>
      </c>
      <c r="M2102" s="40">
        <v>39526.0</v>
      </c>
      <c r="N2102" s="41">
        <v>39745.0</v>
      </c>
      <c r="O2102" s="15" t="s">
        <v>1554</v>
      </c>
      <c r="Q2102" s="7"/>
    </row>
    <row r="2103">
      <c r="A2103" s="39" t="s">
        <v>9592</v>
      </c>
      <c r="B2103" s="15">
        <v>460926.0</v>
      </c>
      <c r="C2103" s="15" t="s">
        <v>9593</v>
      </c>
      <c r="D2103" s="15">
        <v>29091.0</v>
      </c>
      <c r="E2103" s="15" t="s">
        <v>1548</v>
      </c>
      <c r="F2103" s="15" t="s">
        <v>5033</v>
      </c>
      <c r="G2103" s="7">
        <v>17.143</v>
      </c>
      <c r="H2103" s="15" t="s">
        <v>9594</v>
      </c>
      <c r="I2103" s="15" t="s">
        <v>2034</v>
      </c>
      <c r="J2103" s="15" t="s">
        <v>9595</v>
      </c>
      <c r="K2103" s="15">
        <v>5.0</v>
      </c>
      <c r="L2103" s="15">
        <v>5.0</v>
      </c>
      <c r="M2103" s="40">
        <v>39526.0</v>
      </c>
      <c r="N2103" s="40">
        <v>39562.0</v>
      </c>
      <c r="O2103" s="15" t="s">
        <v>1554</v>
      </c>
      <c r="Q2103" s="7"/>
    </row>
    <row r="2104">
      <c r="A2104" s="39" t="s">
        <v>9596</v>
      </c>
      <c r="B2104" s="15">
        <v>397544.0</v>
      </c>
      <c r="C2104" s="15" t="s">
        <v>9597</v>
      </c>
      <c r="D2104" s="15">
        <v>29107.0</v>
      </c>
      <c r="E2104" s="15" t="s">
        <v>1548</v>
      </c>
      <c r="F2104" s="15" t="s">
        <v>1911</v>
      </c>
      <c r="G2104" s="7">
        <v>9.836</v>
      </c>
      <c r="H2104" s="15" t="s">
        <v>2820</v>
      </c>
      <c r="I2104" s="15" t="s">
        <v>1628</v>
      </c>
      <c r="J2104" s="15" t="s">
        <v>9598</v>
      </c>
      <c r="K2104" s="15">
        <v>2.0</v>
      </c>
      <c r="L2104" s="15">
        <v>2.0</v>
      </c>
      <c r="M2104" s="40">
        <v>39531.0</v>
      </c>
      <c r="N2104" s="40">
        <v>42045.0</v>
      </c>
      <c r="O2104" s="15" t="s">
        <v>1554</v>
      </c>
      <c r="Q2104" s="7"/>
    </row>
    <row r="2105">
      <c r="A2105" s="39" t="s">
        <v>9600</v>
      </c>
      <c r="B2105" s="15">
        <v>489779.0</v>
      </c>
      <c r="C2105" s="15" t="s">
        <v>9601</v>
      </c>
      <c r="D2105" s="15">
        <v>29143.0</v>
      </c>
      <c r="E2105" s="15" t="s">
        <v>1557</v>
      </c>
      <c r="F2105" s="15" t="s">
        <v>1611</v>
      </c>
      <c r="G2105" s="7">
        <v>63.395</v>
      </c>
      <c r="H2105" s="15" t="s">
        <v>1772</v>
      </c>
      <c r="I2105" s="15" t="s">
        <v>1586</v>
      </c>
      <c r="J2105" s="15" t="s">
        <v>9602</v>
      </c>
      <c r="K2105" s="15">
        <v>86.0</v>
      </c>
      <c r="L2105" s="15">
        <v>83.0</v>
      </c>
      <c r="M2105" s="40">
        <v>39449.0</v>
      </c>
      <c r="N2105" s="40">
        <v>40270.0</v>
      </c>
      <c r="O2105" s="15" t="s">
        <v>1554</v>
      </c>
      <c r="Q2105" s="7"/>
    </row>
    <row r="2106">
      <c r="A2106" s="39" t="s">
        <v>9603</v>
      </c>
      <c r="B2106" s="15">
        <v>142843.0</v>
      </c>
      <c r="C2106" s="15" t="s">
        <v>9604</v>
      </c>
      <c r="D2106" s="15">
        <v>29191.0</v>
      </c>
      <c r="E2106" s="15" t="s">
        <v>1548</v>
      </c>
      <c r="F2106" s="15" t="s">
        <v>1786</v>
      </c>
      <c r="G2106" s="7">
        <v>8.55</v>
      </c>
      <c r="H2106" s="15" t="s">
        <v>4736</v>
      </c>
      <c r="I2106" s="15" t="s">
        <v>1628</v>
      </c>
      <c r="J2106" s="15" t="s">
        <v>9605</v>
      </c>
      <c r="K2106" s="15">
        <v>6.0</v>
      </c>
      <c r="L2106" s="15">
        <v>6.0</v>
      </c>
      <c r="M2106" s="40">
        <v>39537.0</v>
      </c>
      <c r="N2106" s="40">
        <v>42045.0</v>
      </c>
      <c r="O2106" s="15" t="s">
        <v>1554</v>
      </c>
      <c r="Q2106" s="7"/>
    </row>
    <row r="2107">
      <c r="A2107" s="39" t="s">
        <v>9606</v>
      </c>
      <c r="B2107" s="15">
        <v>512792.0</v>
      </c>
      <c r="C2107" s="15" t="s">
        <v>9607</v>
      </c>
      <c r="D2107" s="15">
        <v>29195.0</v>
      </c>
      <c r="E2107" s="15" t="s">
        <v>1557</v>
      </c>
      <c r="F2107" s="15" t="s">
        <v>3628</v>
      </c>
      <c r="G2107" s="7">
        <v>41.172</v>
      </c>
      <c r="H2107" s="15" t="s">
        <v>1696</v>
      </c>
      <c r="I2107" s="15" t="s">
        <v>1618</v>
      </c>
      <c r="J2107" s="15" t="s">
        <v>9608</v>
      </c>
      <c r="K2107" s="15">
        <v>73.0</v>
      </c>
      <c r="L2107" s="15">
        <v>73.0</v>
      </c>
      <c r="M2107" s="40">
        <v>39537.0</v>
      </c>
      <c r="N2107" s="40">
        <v>40263.0</v>
      </c>
      <c r="O2107" s="15" t="s">
        <v>1554</v>
      </c>
      <c r="Q2107" s="7"/>
    </row>
    <row r="2108">
      <c r="A2108" s="39" t="s">
        <v>9609</v>
      </c>
      <c r="B2108" s="15">
        <v>499556.0</v>
      </c>
      <c r="C2108" s="15" t="s">
        <v>9610</v>
      </c>
      <c r="D2108" s="15">
        <v>29223.0</v>
      </c>
      <c r="E2108" s="15" t="s">
        <v>1548</v>
      </c>
      <c r="F2108" s="15" t="s">
        <v>1838</v>
      </c>
      <c r="G2108" s="7">
        <v>10.464</v>
      </c>
      <c r="H2108" s="15" t="s">
        <v>9612</v>
      </c>
      <c r="I2108" s="15" t="s">
        <v>1567</v>
      </c>
      <c r="J2108" s="15" t="s">
        <v>9613</v>
      </c>
      <c r="K2108" s="15">
        <v>4.0</v>
      </c>
      <c r="L2108" s="15">
        <v>4.0</v>
      </c>
      <c r="M2108" s="40">
        <v>39540.0</v>
      </c>
      <c r="N2108" s="41">
        <v>42297.0</v>
      </c>
      <c r="O2108" s="15" t="s">
        <v>1554</v>
      </c>
      <c r="Q2108" s="7"/>
    </row>
    <row r="2109">
      <c r="A2109" s="39" t="s">
        <v>9614</v>
      </c>
      <c r="B2109" s="15">
        <v>570832.0</v>
      </c>
      <c r="C2109" s="15" t="s">
        <v>9615</v>
      </c>
      <c r="D2109" s="15">
        <v>29233.0</v>
      </c>
      <c r="E2109" s="15" t="s">
        <v>2014</v>
      </c>
      <c r="F2109" s="15" t="s">
        <v>2018</v>
      </c>
      <c r="G2109" s="7">
        <v>1.362</v>
      </c>
      <c r="H2109" s="15" t="s">
        <v>1591</v>
      </c>
      <c r="I2109" s="15" t="s">
        <v>1628</v>
      </c>
      <c r="J2109" s="15" t="s">
        <v>9616</v>
      </c>
      <c r="K2109" s="15">
        <v>1.0</v>
      </c>
      <c r="L2109" s="15">
        <v>1.0</v>
      </c>
      <c r="M2109" s="40">
        <v>39543.0</v>
      </c>
      <c r="N2109" s="40">
        <v>39791.0</v>
      </c>
      <c r="O2109" s="15" t="s">
        <v>1554</v>
      </c>
      <c r="Q2109" s="7"/>
    </row>
    <row r="2110">
      <c r="A2110" s="39" t="s">
        <v>9617</v>
      </c>
      <c r="B2110" s="15">
        <v>267970.0</v>
      </c>
      <c r="C2110" s="15" t="s">
        <v>9618</v>
      </c>
      <c r="D2110" s="15">
        <v>29237.0</v>
      </c>
      <c r="E2110" s="15" t="s">
        <v>1548</v>
      </c>
      <c r="F2110" s="15" t="s">
        <v>1790</v>
      </c>
      <c r="G2110" s="7">
        <v>17.495</v>
      </c>
      <c r="H2110" s="15" t="s">
        <v>9619</v>
      </c>
      <c r="I2110" s="15" t="s">
        <v>1628</v>
      </c>
      <c r="J2110" s="15" t="s">
        <v>9620</v>
      </c>
      <c r="K2110" s="15">
        <v>13.0</v>
      </c>
      <c r="L2110" s="15">
        <v>13.0</v>
      </c>
      <c r="M2110" s="40">
        <v>39539.0</v>
      </c>
      <c r="N2110" s="40">
        <v>39549.0</v>
      </c>
      <c r="O2110" s="15" t="s">
        <v>1554</v>
      </c>
      <c r="Q2110" s="7"/>
    </row>
    <row r="2111">
      <c r="A2111" s="39" t="s">
        <v>9621</v>
      </c>
      <c r="B2111" s="15">
        <v>694001.0</v>
      </c>
      <c r="C2111" s="15" t="s">
        <v>9622</v>
      </c>
      <c r="D2111" s="15">
        <v>29245.0</v>
      </c>
      <c r="E2111" s="15" t="s">
        <v>1548</v>
      </c>
      <c r="F2111" s="15" t="s">
        <v>1684</v>
      </c>
      <c r="G2111" s="7">
        <v>28.773</v>
      </c>
      <c r="H2111" s="15" t="s">
        <v>2049</v>
      </c>
      <c r="I2111" s="15" t="s">
        <v>1686</v>
      </c>
      <c r="J2111" s="15" t="s">
        <v>9623</v>
      </c>
      <c r="K2111" s="15">
        <v>7.0</v>
      </c>
      <c r="L2111" s="15">
        <v>8.0</v>
      </c>
      <c r="M2111" s="40">
        <v>39516.0</v>
      </c>
      <c r="N2111" s="40">
        <v>42457.0</v>
      </c>
      <c r="O2111" s="15" t="s">
        <v>1554</v>
      </c>
      <c r="Q2111" s="7"/>
    </row>
    <row r="2112">
      <c r="A2112" s="39" t="s">
        <v>9625</v>
      </c>
      <c r="B2112" s="15">
        <v>393767.0</v>
      </c>
      <c r="C2112" s="15" t="s">
        <v>9626</v>
      </c>
      <c r="D2112" s="15">
        <v>29247.0</v>
      </c>
      <c r="E2112" s="15" t="s">
        <v>1548</v>
      </c>
      <c r="F2112" s="15" t="s">
        <v>1684</v>
      </c>
      <c r="G2112" s="7">
        <v>28.326</v>
      </c>
      <c r="H2112" s="15" t="s">
        <v>2668</v>
      </c>
      <c r="I2112" s="15" t="s">
        <v>1686</v>
      </c>
      <c r="J2112" s="15" t="s">
        <v>9627</v>
      </c>
      <c r="K2112" s="15">
        <v>6.0</v>
      </c>
      <c r="L2112" s="15">
        <v>7.0</v>
      </c>
      <c r="M2112" s="40">
        <v>39516.0</v>
      </c>
      <c r="N2112" s="40">
        <v>42457.0</v>
      </c>
      <c r="O2112" s="15" t="s">
        <v>1554</v>
      </c>
      <c r="Q2112" s="7"/>
    </row>
    <row r="2113">
      <c r="A2113" s="39" t="s">
        <v>9628</v>
      </c>
      <c r="B2113" s="15">
        <v>475178.0</v>
      </c>
      <c r="C2113" s="15" t="s">
        <v>9629</v>
      </c>
      <c r="D2113" s="15">
        <v>29283.0</v>
      </c>
      <c r="E2113" s="15" t="s">
        <v>1557</v>
      </c>
      <c r="F2113" s="15" t="s">
        <v>1833</v>
      </c>
      <c r="G2113" s="7">
        <v>55.597</v>
      </c>
      <c r="H2113" s="15" t="s">
        <v>4553</v>
      </c>
      <c r="I2113" s="15" t="s">
        <v>1586</v>
      </c>
      <c r="J2113" s="15" t="s">
        <v>9630</v>
      </c>
      <c r="K2113" s="15">
        <v>76.0</v>
      </c>
      <c r="L2113" s="15">
        <v>76.0</v>
      </c>
      <c r="M2113" s="40">
        <v>39547.0</v>
      </c>
      <c r="N2113" s="40">
        <v>39553.0</v>
      </c>
      <c r="O2113" s="15" t="s">
        <v>1554</v>
      </c>
      <c r="Q2113" s="7"/>
    </row>
    <row r="2114">
      <c r="A2114" s="39" t="s">
        <v>9631</v>
      </c>
      <c r="B2114" s="15">
        <v>465447.0</v>
      </c>
      <c r="C2114" s="15" t="s">
        <v>9632</v>
      </c>
      <c r="D2114" s="15">
        <v>29285.0</v>
      </c>
      <c r="E2114" s="15" t="s">
        <v>1638</v>
      </c>
      <c r="F2114" s="15" t="s">
        <v>1863</v>
      </c>
      <c r="G2114" s="7">
        <v>23.576</v>
      </c>
      <c r="H2114" s="15" t="s">
        <v>9633</v>
      </c>
      <c r="I2114" s="15" t="s">
        <v>1686</v>
      </c>
      <c r="J2114" s="15" t="s">
        <v>9635</v>
      </c>
      <c r="K2114" s="15">
        <v>12.0</v>
      </c>
      <c r="L2114" s="15">
        <v>12.0</v>
      </c>
      <c r="M2114" s="40">
        <v>39547.0</v>
      </c>
      <c r="N2114" s="41">
        <v>42297.0</v>
      </c>
      <c r="O2114" s="15" t="s">
        <v>1554</v>
      </c>
      <c r="Q2114" s="7"/>
    </row>
    <row r="2115">
      <c r="A2115" s="39" t="s">
        <v>9636</v>
      </c>
      <c r="B2115" s="15">
        <v>436911.0</v>
      </c>
      <c r="C2115" s="15" t="s">
        <v>9637</v>
      </c>
      <c r="D2115" s="15">
        <v>30663.0</v>
      </c>
      <c r="E2115" s="15" t="s">
        <v>1548</v>
      </c>
      <c r="F2115" s="15" t="s">
        <v>4829</v>
      </c>
      <c r="G2115" s="7">
        <v>8.305</v>
      </c>
      <c r="H2115" s="15" t="s">
        <v>1918</v>
      </c>
      <c r="I2115" s="15" t="s">
        <v>1686</v>
      </c>
      <c r="J2115" s="15" t="s">
        <v>9638</v>
      </c>
      <c r="K2115" s="15">
        <v>3.0</v>
      </c>
      <c r="L2115" s="15">
        <v>3.0</v>
      </c>
      <c r="M2115" s="40">
        <v>39621.0</v>
      </c>
      <c r="N2115" s="40">
        <v>39911.0</v>
      </c>
      <c r="O2115" s="15" t="s">
        <v>1554</v>
      </c>
      <c r="Q2115" s="7"/>
    </row>
    <row r="2116">
      <c r="A2116" s="39" t="s">
        <v>9639</v>
      </c>
      <c r="B2116" s="15">
        <v>470214.0</v>
      </c>
      <c r="C2116" s="15" t="s">
        <v>9640</v>
      </c>
      <c r="D2116" s="15">
        <v>30665.0</v>
      </c>
      <c r="E2116" s="15" t="s">
        <v>1557</v>
      </c>
      <c r="F2116" s="15" t="s">
        <v>1822</v>
      </c>
      <c r="G2116" s="7">
        <v>8.032</v>
      </c>
      <c r="H2116" s="15" t="s">
        <v>2075</v>
      </c>
      <c r="I2116" s="15" t="s">
        <v>1686</v>
      </c>
      <c r="J2116" s="15" t="s">
        <v>9641</v>
      </c>
      <c r="K2116" s="15">
        <v>8.0</v>
      </c>
      <c r="L2116" s="15">
        <v>8.0</v>
      </c>
      <c r="M2116" s="40">
        <v>39630.0</v>
      </c>
      <c r="N2116" s="40">
        <v>40546.0</v>
      </c>
      <c r="O2116" s="15" t="s">
        <v>1554</v>
      </c>
      <c r="Q2116" s="7"/>
    </row>
    <row r="2117">
      <c r="A2117" s="39" t="s">
        <v>9643</v>
      </c>
      <c r="B2117" s="15">
        <v>652717.0</v>
      </c>
      <c r="C2117" s="15" t="s">
        <v>9644</v>
      </c>
      <c r="D2117" s="15">
        <v>30673.0</v>
      </c>
      <c r="E2117" s="15" t="s">
        <v>1808</v>
      </c>
      <c r="F2117" s="15" t="s">
        <v>1809</v>
      </c>
      <c r="G2117" s="7">
        <v>2.78</v>
      </c>
      <c r="H2117" s="15" t="s">
        <v>3066</v>
      </c>
      <c r="I2117" s="15" t="s">
        <v>1628</v>
      </c>
      <c r="J2117" s="15" t="s">
        <v>9645</v>
      </c>
      <c r="K2117" s="15">
        <v>6.0</v>
      </c>
      <c r="L2117" s="15">
        <v>6.0</v>
      </c>
      <c r="M2117" s="40">
        <v>39630.0</v>
      </c>
      <c r="N2117" s="40">
        <v>40520.0</v>
      </c>
      <c r="O2117" s="15" t="s">
        <v>1554</v>
      </c>
      <c r="Q2117" s="7"/>
    </row>
    <row r="2118">
      <c r="A2118" s="39" t="s">
        <v>9646</v>
      </c>
      <c r="B2118" s="15">
        <v>546182.0</v>
      </c>
      <c r="C2118" s="15" t="s">
        <v>9647</v>
      </c>
      <c r="D2118" s="15">
        <v>30693.0</v>
      </c>
      <c r="E2118" s="15" t="s">
        <v>1557</v>
      </c>
      <c r="F2118" s="15" t="s">
        <v>1833</v>
      </c>
      <c r="G2118" s="7">
        <v>58.037</v>
      </c>
      <c r="H2118" s="15" t="s">
        <v>9648</v>
      </c>
      <c r="I2118" s="15" t="s">
        <v>1586</v>
      </c>
      <c r="J2118" s="15" t="s">
        <v>9649</v>
      </c>
      <c r="K2118" s="15">
        <v>105.0</v>
      </c>
      <c r="L2118" s="15">
        <v>105.0</v>
      </c>
      <c r="M2118" s="40">
        <v>39645.0</v>
      </c>
      <c r="N2118" s="40">
        <v>39646.0</v>
      </c>
      <c r="O2118" s="15" t="s">
        <v>1554</v>
      </c>
      <c r="Q2118" s="7"/>
    </row>
    <row r="2119">
      <c r="A2119" s="39" t="s">
        <v>9650</v>
      </c>
      <c r="B2119" s="15">
        <v>546183.0</v>
      </c>
      <c r="C2119" s="15" t="s">
        <v>9651</v>
      </c>
      <c r="D2119" s="15">
        <v>30695.0</v>
      </c>
      <c r="E2119" s="15" t="s">
        <v>1557</v>
      </c>
      <c r="F2119" s="15" t="s">
        <v>1833</v>
      </c>
      <c r="G2119" s="7">
        <v>75.811</v>
      </c>
      <c r="H2119" s="15" t="s">
        <v>2517</v>
      </c>
      <c r="I2119" s="15" t="s">
        <v>1586</v>
      </c>
      <c r="J2119" s="15" t="s">
        <v>9652</v>
      </c>
      <c r="K2119" s="15">
        <v>145.0</v>
      </c>
      <c r="L2119" s="15">
        <v>143.0</v>
      </c>
      <c r="M2119" s="40">
        <v>39645.0</v>
      </c>
      <c r="N2119" s="40">
        <v>39920.0</v>
      </c>
      <c r="O2119" s="15" t="s">
        <v>1554</v>
      </c>
      <c r="Q2119" s="7"/>
    </row>
    <row r="2120">
      <c r="A2120" s="39" t="s">
        <v>9654</v>
      </c>
      <c r="B2120" s="15">
        <v>546184.0</v>
      </c>
      <c r="C2120" s="15" t="s">
        <v>9655</v>
      </c>
      <c r="D2120" s="15">
        <v>30697.0</v>
      </c>
      <c r="E2120" s="15" t="s">
        <v>1557</v>
      </c>
      <c r="F2120" s="15" t="s">
        <v>1833</v>
      </c>
      <c r="G2120" s="7">
        <v>68.09</v>
      </c>
      <c r="H2120" s="15" t="s">
        <v>9656</v>
      </c>
      <c r="I2120" s="15" t="s">
        <v>1586</v>
      </c>
      <c r="J2120" s="15" t="s">
        <v>9657</v>
      </c>
      <c r="K2120" s="15">
        <v>98.0</v>
      </c>
      <c r="L2120" s="15">
        <v>98.0</v>
      </c>
      <c r="M2120" s="40">
        <v>39645.0</v>
      </c>
      <c r="N2120" s="40">
        <v>39652.0</v>
      </c>
      <c r="O2120" s="15" t="s">
        <v>1554</v>
      </c>
      <c r="Q2120" s="7"/>
    </row>
    <row r="2121">
      <c r="A2121" s="39" t="s">
        <v>9658</v>
      </c>
      <c r="B2121" s="15">
        <v>546185.0</v>
      </c>
      <c r="C2121" s="15" t="s">
        <v>9659</v>
      </c>
      <c r="D2121" s="15">
        <v>30699.0</v>
      </c>
      <c r="E2121" s="15" t="s">
        <v>1557</v>
      </c>
      <c r="F2121" s="15" t="s">
        <v>1833</v>
      </c>
      <c r="G2121" s="7">
        <v>76.312</v>
      </c>
      <c r="H2121" s="15" t="s">
        <v>6271</v>
      </c>
      <c r="I2121" s="15" t="s">
        <v>1586</v>
      </c>
      <c r="J2121" s="15" t="s">
        <v>9660</v>
      </c>
      <c r="K2121" s="15">
        <v>149.0</v>
      </c>
      <c r="L2121" s="15">
        <v>147.0</v>
      </c>
      <c r="M2121" s="40">
        <v>39645.0</v>
      </c>
      <c r="N2121" s="40">
        <v>39920.0</v>
      </c>
      <c r="O2121" s="15" t="s">
        <v>1554</v>
      </c>
      <c r="Q2121" s="7"/>
    </row>
    <row r="2122">
      <c r="A2122" s="39" t="s">
        <v>9662</v>
      </c>
      <c r="B2122" s="15">
        <v>463360.0</v>
      </c>
      <c r="C2122" s="15" t="s">
        <v>9663</v>
      </c>
      <c r="D2122" s="15">
        <v>30715.0</v>
      </c>
      <c r="E2122" s="15" t="s">
        <v>1808</v>
      </c>
      <c r="F2122" s="15" t="s">
        <v>1809</v>
      </c>
      <c r="G2122" s="7">
        <v>2.584</v>
      </c>
      <c r="H2122" s="15" t="s">
        <v>3082</v>
      </c>
      <c r="I2122" s="15" t="s">
        <v>1628</v>
      </c>
      <c r="J2122" s="15" t="s">
        <v>9664</v>
      </c>
      <c r="K2122" s="15">
        <v>4.0</v>
      </c>
      <c r="L2122" s="15">
        <v>4.0</v>
      </c>
      <c r="M2122" s="40">
        <v>39646.0</v>
      </c>
      <c r="N2122" s="40">
        <v>41709.0</v>
      </c>
      <c r="O2122" s="15" t="s">
        <v>1554</v>
      </c>
      <c r="Q2122" s="7"/>
    </row>
    <row r="2123">
      <c r="A2123" s="39" t="s">
        <v>9665</v>
      </c>
      <c r="B2123" s="15">
        <v>36403.0</v>
      </c>
      <c r="C2123" s="15" t="s">
        <v>9666</v>
      </c>
      <c r="D2123" s="15">
        <v>30735.0</v>
      </c>
      <c r="E2123" s="15" t="s">
        <v>1548</v>
      </c>
      <c r="F2123" s="15" t="s">
        <v>1786</v>
      </c>
      <c r="G2123" s="7">
        <v>6.539</v>
      </c>
      <c r="H2123" s="15" t="s">
        <v>2118</v>
      </c>
      <c r="I2123" s="15" t="s">
        <v>1628</v>
      </c>
      <c r="J2123" s="15" t="s">
        <v>9667</v>
      </c>
      <c r="K2123" s="15">
        <v>3.0</v>
      </c>
      <c r="L2123" s="15">
        <v>3.0</v>
      </c>
      <c r="M2123" s="40">
        <v>39650.0</v>
      </c>
      <c r="N2123" s="40">
        <v>40744.0</v>
      </c>
      <c r="O2123" s="15" t="s">
        <v>1554</v>
      </c>
      <c r="Q2123" s="7"/>
    </row>
    <row r="2124">
      <c r="A2124" s="39" t="s">
        <v>9668</v>
      </c>
      <c r="B2124" s="15">
        <v>526118.0</v>
      </c>
      <c r="C2124" s="15" t="s">
        <v>9669</v>
      </c>
      <c r="D2124" s="15">
        <v>30793.0</v>
      </c>
      <c r="E2124" s="15" t="s">
        <v>1557</v>
      </c>
      <c r="F2124" s="15" t="s">
        <v>1611</v>
      </c>
      <c r="G2124" s="7">
        <v>38.457</v>
      </c>
      <c r="H2124" s="15" t="s">
        <v>5934</v>
      </c>
      <c r="I2124" s="15" t="s">
        <v>1586</v>
      </c>
      <c r="J2124" s="15" t="s">
        <v>9670</v>
      </c>
      <c r="K2124" s="15">
        <v>49.0</v>
      </c>
      <c r="L2124" s="15">
        <v>49.0</v>
      </c>
      <c r="M2124" s="40">
        <v>39652.0</v>
      </c>
      <c r="N2124" s="40">
        <v>43013.0</v>
      </c>
      <c r="O2124" s="15" t="s">
        <v>1554</v>
      </c>
      <c r="Q2124" s="7"/>
    </row>
    <row r="2125">
      <c r="A2125" s="39" t="s">
        <v>9672</v>
      </c>
      <c r="B2125" s="15">
        <v>547467.0</v>
      </c>
      <c r="C2125" s="15" t="s">
        <v>9673</v>
      </c>
      <c r="D2125" s="15">
        <v>30795.0</v>
      </c>
      <c r="E2125" s="15" t="s">
        <v>1548</v>
      </c>
      <c r="F2125" s="15" t="s">
        <v>2032</v>
      </c>
      <c r="G2125" s="7">
        <v>6.29</v>
      </c>
      <c r="H2125" s="15" t="s">
        <v>2089</v>
      </c>
      <c r="I2125" s="15" t="s">
        <v>2034</v>
      </c>
      <c r="J2125" s="15" t="s">
        <v>9674</v>
      </c>
      <c r="K2125" s="15">
        <v>3.0</v>
      </c>
      <c r="L2125" s="15">
        <v>3.0</v>
      </c>
      <c r="M2125" s="40">
        <v>39651.0</v>
      </c>
      <c r="N2125" s="40">
        <v>40745.0</v>
      </c>
      <c r="O2125" s="15" t="s">
        <v>1554</v>
      </c>
      <c r="Q2125" s="7"/>
    </row>
    <row r="2126">
      <c r="A2126" s="39" t="s">
        <v>9675</v>
      </c>
      <c r="B2126" s="15">
        <v>549205.0</v>
      </c>
      <c r="C2126" s="15" t="s">
        <v>9676</v>
      </c>
      <c r="D2126" s="15">
        <v>30835.0</v>
      </c>
      <c r="E2126" s="15" t="s">
        <v>1916</v>
      </c>
      <c r="F2126" s="15" t="s">
        <v>1917</v>
      </c>
      <c r="G2126" s="7">
        <v>9.205</v>
      </c>
      <c r="H2126" s="15" t="s">
        <v>1792</v>
      </c>
      <c r="I2126" s="15" t="s">
        <v>1628</v>
      </c>
      <c r="J2126" s="15" t="s">
        <v>9677</v>
      </c>
      <c r="K2126" s="15">
        <v>3.0</v>
      </c>
      <c r="L2126" s="15">
        <v>3.0</v>
      </c>
      <c r="M2126" s="40">
        <v>39658.0</v>
      </c>
      <c r="N2126" s="40">
        <v>40745.0</v>
      </c>
      <c r="O2126" s="15" t="s">
        <v>1554</v>
      </c>
      <c r="Q2126" s="7"/>
    </row>
    <row r="2127">
      <c r="A2127" s="39" t="s">
        <v>9678</v>
      </c>
      <c r="B2127" s="15">
        <v>548915.0</v>
      </c>
      <c r="C2127" s="15" t="s">
        <v>9679</v>
      </c>
      <c r="D2127" s="15">
        <v>30837.0</v>
      </c>
      <c r="E2127" s="15" t="s">
        <v>1808</v>
      </c>
      <c r="F2127" s="15" t="s">
        <v>1809</v>
      </c>
      <c r="G2127" s="7">
        <v>2.794</v>
      </c>
      <c r="H2127" s="15" t="s">
        <v>3255</v>
      </c>
      <c r="I2127" s="15" t="s">
        <v>1628</v>
      </c>
      <c r="J2127" s="15" t="s">
        <v>9680</v>
      </c>
      <c r="K2127" s="15">
        <v>6.0</v>
      </c>
      <c r="L2127" s="15">
        <v>6.0</v>
      </c>
      <c r="M2127" s="40">
        <v>39658.0</v>
      </c>
      <c r="N2127" s="40">
        <v>42457.0</v>
      </c>
      <c r="O2127" s="15" t="s">
        <v>1554</v>
      </c>
      <c r="Q2127" s="7"/>
    </row>
    <row r="2128">
      <c r="A2128" s="39" t="s">
        <v>9682</v>
      </c>
      <c r="B2128" s="15">
        <v>10704.0</v>
      </c>
      <c r="C2128" s="15" t="s">
        <v>9683</v>
      </c>
      <c r="D2128" s="15">
        <v>30845.0</v>
      </c>
      <c r="E2128" s="15" t="s">
        <v>1557</v>
      </c>
      <c r="F2128" s="15" t="s">
        <v>1833</v>
      </c>
      <c r="G2128" s="7">
        <v>60.195</v>
      </c>
      <c r="H2128" s="15">
        <v>59.0</v>
      </c>
      <c r="I2128" s="15" t="s">
        <v>1586</v>
      </c>
      <c r="J2128" s="15" t="s">
        <v>9684</v>
      </c>
      <c r="K2128" s="15">
        <v>109.0</v>
      </c>
      <c r="L2128" s="15">
        <v>110.0</v>
      </c>
      <c r="M2128" s="40">
        <v>39660.0</v>
      </c>
      <c r="N2128" s="40">
        <v>40674.0</v>
      </c>
      <c r="O2128" s="15" t="s">
        <v>1554</v>
      </c>
      <c r="Q2128" s="7"/>
    </row>
    <row r="2129">
      <c r="A2129" s="39" t="s">
        <v>9685</v>
      </c>
      <c r="B2129" s="15">
        <v>476523.0</v>
      </c>
      <c r="D2129" s="15">
        <v>0.0</v>
      </c>
      <c r="E2129" s="15" t="s">
        <v>1557</v>
      </c>
      <c r="F2129" s="15" t="s">
        <v>1611</v>
      </c>
      <c r="G2129" s="7">
        <v>42.954</v>
      </c>
      <c r="H2129" s="15" t="s">
        <v>2094</v>
      </c>
      <c r="I2129" s="15" t="s">
        <v>1586</v>
      </c>
      <c r="J2129" s="15" t="s">
        <v>9686</v>
      </c>
      <c r="K2129" s="15" t="s">
        <v>1722</v>
      </c>
      <c r="L2129" s="15">
        <v>52.0</v>
      </c>
      <c r="M2129" s="40">
        <v>39660.0</v>
      </c>
      <c r="N2129" s="40">
        <v>39660.0</v>
      </c>
      <c r="O2129" s="15" t="s">
        <v>1554</v>
      </c>
      <c r="Q2129" s="7"/>
    </row>
    <row r="2130">
      <c r="A2130" s="39" t="s">
        <v>9687</v>
      </c>
      <c r="B2130" s="15">
        <v>479060.0</v>
      </c>
      <c r="C2130" s="15" t="s">
        <v>9688</v>
      </c>
      <c r="D2130" s="15">
        <v>30849.0</v>
      </c>
      <c r="E2130" s="15" t="s">
        <v>1548</v>
      </c>
      <c r="F2130" s="15" t="s">
        <v>2900</v>
      </c>
      <c r="G2130" s="7">
        <v>4.198</v>
      </c>
      <c r="H2130" s="15" t="s">
        <v>5627</v>
      </c>
      <c r="I2130" s="15" t="s">
        <v>1628</v>
      </c>
      <c r="J2130" s="15" t="s">
        <v>9690</v>
      </c>
      <c r="K2130" s="15">
        <v>6.0</v>
      </c>
      <c r="L2130" s="15">
        <v>6.0</v>
      </c>
      <c r="M2130" s="40">
        <v>39661.0</v>
      </c>
      <c r="N2130" s="41">
        <v>41239.0</v>
      </c>
      <c r="O2130" s="15" t="s">
        <v>1554</v>
      </c>
      <c r="Q2130" s="7"/>
    </row>
    <row r="2131">
      <c r="A2131" s="39" t="s">
        <v>9691</v>
      </c>
      <c r="B2131" s="15">
        <v>496396.0</v>
      </c>
      <c r="C2131" s="15" t="s">
        <v>9692</v>
      </c>
      <c r="D2131" s="15">
        <v>30851.0</v>
      </c>
      <c r="E2131" s="15" t="s">
        <v>1557</v>
      </c>
      <c r="F2131" s="15" t="s">
        <v>1611</v>
      </c>
      <c r="G2131" s="7">
        <v>42.961</v>
      </c>
      <c r="H2131" s="15" t="s">
        <v>9693</v>
      </c>
      <c r="I2131" s="15" t="s">
        <v>1586</v>
      </c>
      <c r="J2131" s="15" t="s">
        <v>9694</v>
      </c>
      <c r="K2131" s="15">
        <v>54.0</v>
      </c>
      <c r="L2131" s="15">
        <v>54.0</v>
      </c>
      <c r="M2131" s="40">
        <v>39660.0</v>
      </c>
      <c r="N2131" s="40">
        <v>39920.0</v>
      </c>
      <c r="O2131" s="15" t="s">
        <v>1554</v>
      </c>
      <c r="Q2131" s="7"/>
    </row>
    <row r="2132">
      <c r="A2132" s="39" t="s">
        <v>9695</v>
      </c>
      <c r="B2132" s="15">
        <v>516956.0</v>
      </c>
      <c r="C2132" s="15" t="s">
        <v>9696</v>
      </c>
      <c r="D2132" s="15">
        <v>30853.0</v>
      </c>
      <c r="E2132" s="15" t="s">
        <v>1548</v>
      </c>
      <c r="F2132" s="15" t="s">
        <v>1786</v>
      </c>
      <c r="G2132" s="7">
        <v>7.564</v>
      </c>
      <c r="H2132" s="15" t="s">
        <v>1828</v>
      </c>
      <c r="I2132" s="15" t="s">
        <v>1628</v>
      </c>
      <c r="J2132" s="15" t="s">
        <v>9697</v>
      </c>
      <c r="K2132" s="15">
        <v>5.0</v>
      </c>
      <c r="L2132" s="15">
        <v>5.0</v>
      </c>
      <c r="M2132" s="40">
        <v>39662.0</v>
      </c>
      <c r="N2132" s="40">
        <v>40745.0</v>
      </c>
      <c r="O2132" s="15" t="s">
        <v>1554</v>
      </c>
      <c r="Q2132" s="7"/>
    </row>
    <row r="2133">
      <c r="A2133" s="39" t="s">
        <v>9698</v>
      </c>
      <c r="B2133" s="15">
        <v>496874.0</v>
      </c>
      <c r="C2133" s="15" t="s">
        <v>9699</v>
      </c>
      <c r="D2133" s="15">
        <v>30879.0</v>
      </c>
      <c r="E2133" s="15" t="s">
        <v>1557</v>
      </c>
      <c r="F2133" s="15" t="s">
        <v>1833</v>
      </c>
      <c r="G2133" s="7">
        <v>39.989</v>
      </c>
      <c r="H2133" s="15" t="s">
        <v>7408</v>
      </c>
      <c r="I2133" s="15" t="s">
        <v>1586</v>
      </c>
      <c r="J2133" s="15" t="s">
        <v>9701</v>
      </c>
      <c r="K2133" s="15">
        <v>54.0</v>
      </c>
      <c r="L2133" s="15">
        <v>54.0</v>
      </c>
      <c r="M2133" s="40">
        <v>39661.0</v>
      </c>
      <c r="N2133" s="40">
        <v>39666.0</v>
      </c>
      <c r="O2133" s="15" t="s">
        <v>1554</v>
      </c>
      <c r="Q2133" s="7"/>
    </row>
    <row r="2134">
      <c r="A2134" s="39" t="s">
        <v>9702</v>
      </c>
      <c r="B2134" s="15">
        <v>551531.0</v>
      </c>
      <c r="C2134" s="15" t="s">
        <v>9703</v>
      </c>
      <c r="D2134" s="15">
        <v>30935.0</v>
      </c>
      <c r="E2134" s="15" t="s">
        <v>1808</v>
      </c>
      <c r="F2134" s="15" t="s">
        <v>1809</v>
      </c>
      <c r="G2134" s="7">
        <v>2.767</v>
      </c>
      <c r="H2134" s="15" t="s">
        <v>1859</v>
      </c>
      <c r="I2134" s="15" t="s">
        <v>1628</v>
      </c>
      <c r="J2134" s="15" t="s">
        <v>9704</v>
      </c>
      <c r="K2134" s="15">
        <v>6.0</v>
      </c>
      <c r="L2134" s="15">
        <v>6.0</v>
      </c>
      <c r="M2134" s="40">
        <v>39670.0</v>
      </c>
      <c r="N2134" s="40">
        <v>40206.0</v>
      </c>
      <c r="O2134" s="15" t="s">
        <v>1554</v>
      </c>
      <c r="Q2134" s="7"/>
    </row>
    <row r="2135">
      <c r="A2135" s="39" t="s">
        <v>9705</v>
      </c>
      <c r="B2135" s="15">
        <v>549445.0</v>
      </c>
      <c r="C2135" s="15" t="s">
        <v>9706</v>
      </c>
      <c r="D2135" s="15">
        <v>31053.0</v>
      </c>
      <c r="E2135" s="15" t="s">
        <v>1557</v>
      </c>
      <c r="F2135" s="15" t="s">
        <v>1767</v>
      </c>
      <c r="G2135" s="7">
        <v>64.427</v>
      </c>
      <c r="H2135" s="15" t="s">
        <v>9707</v>
      </c>
      <c r="I2135" s="15" t="s">
        <v>1586</v>
      </c>
      <c r="J2135" s="15" t="s">
        <v>9708</v>
      </c>
      <c r="K2135" s="15">
        <v>88.0</v>
      </c>
      <c r="L2135" s="15">
        <v>88.0</v>
      </c>
      <c r="M2135" s="40">
        <v>39682.0</v>
      </c>
      <c r="N2135" s="40">
        <v>40578.0</v>
      </c>
      <c r="O2135" s="15" t="s">
        <v>1554</v>
      </c>
      <c r="Q2135" s="7"/>
    </row>
    <row r="2136">
      <c r="A2136" s="39" t="s">
        <v>9710</v>
      </c>
      <c r="B2136" s="15">
        <v>549446.0</v>
      </c>
      <c r="C2136" s="15" t="s">
        <v>9711</v>
      </c>
      <c r="D2136" s="15">
        <v>31055.0</v>
      </c>
      <c r="E2136" s="15" t="s">
        <v>1557</v>
      </c>
      <c r="F2136" s="15" t="s">
        <v>1767</v>
      </c>
      <c r="G2136" s="7">
        <v>66.53</v>
      </c>
      <c r="H2136" s="15" t="s">
        <v>4563</v>
      </c>
      <c r="I2136" s="15" t="s">
        <v>1586</v>
      </c>
      <c r="J2136" s="15" t="s">
        <v>9712</v>
      </c>
      <c r="K2136" s="15">
        <v>94.0</v>
      </c>
      <c r="L2136" s="15">
        <v>94.0</v>
      </c>
      <c r="M2136" s="40">
        <v>39682.0</v>
      </c>
      <c r="N2136" s="40">
        <v>40578.0</v>
      </c>
      <c r="O2136" s="15" t="s">
        <v>1554</v>
      </c>
      <c r="Q2136" s="7"/>
    </row>
    <row r="2137">
      <c r="A2137" s="39" t="s">
        <v>9713</v>
      </c>
      <c r="B2137" s="15">
        <v>552525.0</v>
      </c>
      <c r="C2137" s="15" t="s">
        <v>9714</v>
      </c>
      <c r="D2137" s="15">
        <v>31057.0</v>
      </c>
      <c r="E2137" s="15" t="s">
        <v>1557</v>
      </c>
      <c r="F2137" s="15" t="s">
        <v>1833</v>
      </c>
      <c r="G2137" s="7">
        <v>53.104</v>
      </c>
      <c r="H2137" s="15" t="s">
        <v>2699</v>
      </c>
      <c r="I2137" s="15" t="s">
        <v>1586</v>
      </c>
      <c r="J2137" s="15" t="s">
        <v>9715</v>
      </c>
      <c r="K2137" s="15">
        <v>86.0</v>
      </c>
      <c r="L2137" s="15">
        <v>86.0</v>
      </c>
      <c r="M2137" s="40">
        <v>39684.0</v>
      </c>
      <c r="N2137" s="40">
        <v>39688.0</v>
      </c>
      <c r="O2137" s="15" t="s">
        <v>1554</v>
      </c>
      <c r="Q2137" s="7"/>
    </row>
    <row r="2138">
      <c r="A2138" s="39" t="s">
        <v>9716</v>
      </c>
      <c r="B2138" s="15">
        <v>39420.0</v>
      </c>
      <c r="C2138" s="15" t="s">
        <v>9717</v>
      </c>
      <c r="D2138" s="15">
        <v>31093.0</v>
      </c>
      <c r="E2138" s="15" t="s">
        <v>1557</v>
      </c>
      <c r="F2138" s="15" t="s">
        <v>2763</v>
      </c>
      <c r="G2138" s="7">
        <v>154.641</v>
      </c>
      <c r="H2138" s="15" t="s">
        <v>2361</v>
      </c>
      <c r="I2138" s="15" t="s">
        <v>1573</v>
      </c>
      <c r="J2138" s="15" t="s">
        <v>9718</v>
      </c>
      <c r="K2138" s="15">
        <v>150.0</v>
      </c>
      <c r="L2138" s="15">
        <v>150.0</v>
      </c>
      <c r="M2138" s="40">
        <v>39686.0</v>
      </c>
      <c r="N2138" s="41">
        <v>40138.0</v>
      </c>
      <c r="O2138" s="15" t="s">
        <v>1554</v>
      </c>
      <c r="Q2138" s="7"/>
    </row>
    <row r="2139">
      <c r="A2139" s="39" t="s">
        <v>9719</v>
      </c>
      <c r="B2139" s="15">
        <v>555460.0</v>
      </c>
      <c r="C2139" s="15" t="s">
        <v>9720</v>
      </c>
      <c r="D2139" s="15">
        <v>31095.0</v>
      </c>
      <c r="E2139" s="15" t="s">
        <v>1808</v>
      </c>
      <c r="F2139" s="15" t="s">
        <v>1809</v>
      </c>
      <c r="G2139" s="7">
        <v>5.313</v>
      </c>
      <c r="H2139" s="15" t="s">
        <v>9722</v>
      </c>
      <c r="I2139" s="15" t="s">
        <v>1628</v>
      </c>
      <c r="J2139" s="15" t="s">
        <v>9723</v>
      </c>
      <c r="K2139" s="15">
        <v>6.0</v>
      </c>
      <c r="L2139" s="15">
        <v>6.0</v>
      </c>
      <c r="M2139" s="40">
        <v>39686.0</v>
      </c>
      <c r="N2139" s="40">
        <v>41302.0</v>
      </c>
      <c r="O2139" s="15" t="s">
        <v>1554</v>
      </c>
      <c r="Q2139" s="7"/>
    </row>
    <row r="2140">
      <c r="A2140" s="39" t="s">
        <v>9724</v>
      </c>
      <c r="B2140" s="15">
        <v>487492.0</v>
      </c>
      <c r="C2140" s="15" t="s">
        <v>9725</v>
      </c>
      <c r="D2140" s="15">
        <v>31113.0</v>
      </c>
      <c r="E2140" s="15" t="s">
        <v>1548</v>
      </c>
      <c r="F2140" s="15" t="s">
        <v>1626</v>
      </c>
      <c r="G2140" s="7">
        <v>9.28</v>
      </c>
      <c r="H2140" s="15" t="s">
        <v>9726</v>
      </c>
      <c r="I2140" s="15" t="s">
        <v>1628</v>
      </c>
      <c r="J2140" s="15" t="s">
        <v>9727</v>
      </c>
      <c r="K2140" s="15">
        <v>2.0</v>
      </c>
      <c r="L2140" s="15">
        <v>2.0</v>
      </c>
      <c r="M2140" s="40">
        <v>39689.0</v>
      </c>
      <c r="N2140" s="41">
        <v>42297.0</v>
      </c>
      <c r="O2140" s="15" t="s">
        <v>1554</v>
      </c>
      <c r="Q2140" s="7"/>
    </row>
    <row r="2141">
      <c r="A2141" s="39" t="s">
        <v>9728</v>
      </c>
      <c r="B2141" s="15">
        <v>378833.0</v>
      </c>
      <c r="C2141" s="15" t="s">
        <v>9729</v>
      </c>
      <c r="D2141" s="15">
        <v>31125.0</v>
      </c>
      <c r="E2141" s="15" t="s">
        <v>1548</v>
      </c>
      <c r="F2141" s="15" t="s">
        <v>1578</v>
      </c>
      <c r="G2141" s="7">
        <v>3.983</v>
      </c>
      <c r="H2141" s="15" t="s">
        <v>3798</v>
      </c>
      <c r="I2141" s="15" t="s">
        <v>1628</v>
      </c>
      <c r="J2141" s="15" t="s">
        <v>9730</v>
      </c>
      <c r="K2141" s="15">
        <v>4.0</v>
      </c>
      <c r="L2141" s="15">
        <v>5.0</v>
      </c>
      <c r="M2141" s="40">
        <v>39692.0</v>
      </c>
      <c r="N2141" s="40">
        <v>42045.0</v>
      </c>
      <c r="O2141" s="15" t="s">
        <v>1554</v>
      </c>
      <c r="Q2141" s="7"/>
    </row>
    <row r="2142">
      <c r="A2142" s="39" t="s">
        <v>9731</v>
      </c>
      <c r="B2142" s="15">
        <v>551790.0</v>
      </c>
      <c r="C2142" s="15" t="s">
        <v>9732</v>
      </c>
      <c r="D2142" s="15">
        <v>31163.0</v>
      </c>
      <c r="E2142" s="15" t="s">
        <v>1557</v>
      </c>
      <c r="F2142" s="15" t="s">
        <v>1611</v>
      </c>
      <c r="G2142" s="7">
        <v>43.079</v>
      </c>
      <c r="H2142" s="15" t="s">
        <v>3086</v>
      </c>
      <c r="I2142" s="15" t="s">
        <v>1586</v>
      </c>
      <c r="J2142" s="15" t="s">
        <v>9734</v>
      </c>
      <c r="K2142" s="15">
        <v>47.0</v>
      </c>
      <c r="L2142" s="15">
        <v>47.0</v>
      </c>
      <c r="M2142" s="40">
        <v>39695.0</v>
      </c>
      <c r="N2142" s="40">
        <v>40263.0</v>
      </c>
      <c r="O2142" s="15" t="s">
        <v>1554</v>
      </c>
      <c r="Q2142" s="7"/>
    </row>
    <row r="2143">
      <c r="A2143" s="39" t="s">
        <v>9735</v>
      </c>
      <c r="B2143" s="15">
        <v>459291.0</v>
      </c>
      <c r="C2143" s="15" t="s">
        <v>9736</v>
      </c>
      <c r="D2143" s="15">
        <v>31219.0</v>
      </c>
      <c r="E2143" s="15" t="s">
        <v>1557</v>
      </c>
      <c r="F2143" s="15" t="s">
        <v>3164</v>
      </c>
      <c r="G2143" s="7">
        <v>15.33</v>
      </c>
      <c r="H2143" s="15" t="s">
        <v>1823</v>
      </c>
      <c r="I2143" s="15" t="s">
        <v>1618</v>
      </c>
      <c r="J2143" s="15" t="s">
        <v>9737</v>
      </c>
      <c r="K2143" s="15">
        <v>34.0</v>
      </c>
      <c r="L2143" s="15">
        <v>34.0</v>
      </c>
      <c r="M2143" s="40">
        <v>39696.0</v>
      </c>
      <c r="N2143" s="40">
        <v>42577.0</v>
      </c>
      <c r="O2143" s="15" t="s">
        <v>1554</v>
      </c>
      <c r="Q2143" s="7"/>
    </row>
    <row r="2144">
      <c r="A2144" s="39" t="s">
        <v>9738</v>
      </c>
      <c r="B2144" s="15">
        <v>557289.0</v>
      </c>
      <c r="C2144" s="15" t="s">
        <v>9739</v>
      </c>
      <c r="D2144" s="15">
        <v>31221.0</v>
      </c>
      <c r="E2144" s="15" t="s">
        <v>1557</v>
      </c>
      <c r="F2144" s="15" t="s">
        <v>1767</v>
      </c>
      <c r="G2144" s="7">
        <v>37.635</v>
      </c>
      <c r="H2144" s="15" t="s">
        <v>2517</v>
      </c>
      <c r="I2144" s="15" t="s">
        <v>1586</v>
      </c>
      <c r="J2144" s="15" t="s">
        <v>9740</v>
      </c>
      <c r="K2144" s="15">
        <v>49.0</v>
      </c>
      <c r="L2144" s="15">
        <v>49.0</v>
      </c>
      <c r="M2144" s="40">
        <v>39699.0</v>
      </c>
      <c r="N2144" s="41">
        <v>41240.0</v>
      </c>
      <c r="O2144" s="15" t="s">
        <v>1554</v>
      </c>
      <c r="Q2144" s="7"/>
    </row>
    <row r="2145">
      <c r="A2145" s="39" t="s">
        <v>9741</v>
      </c>
      <c r="B2145" s="15">
        <v>99179.0</v>
      </c>
      <c r="C2145" s="15" t="s">
        <v>9742</v>
      </c>
      <c r="D2145" s="15">
        <v>31249.0</v>
      </c>
      <c r="E2145" s="15" t="s">
        <v>1557</v>
      </c>
      <c r="F2145" s="15" t="s">
        <v>1833</v>
      </c>
      <c r="G2145" s="7">
        <v>44.929</v>
      </c>
      <c r="H2145" s="15" t="s">
        <v>2857</v>
      </c>
      <c r="I2145" s="15" t="s">
        <v>1586</v>
      </c>
      <c r="J2145" s="15" t="s">
        <v>9744</v>
      </c>
      <c r="K2145" s="15">
        <v>46.0</v>
      </c>
      <c r="L2145" s="15">
        <v>46.0</v>
      </c>
      <c r="M2145" s="40">
        <v>39701.0</v>
      </c>
      <c r="N2145" s="40">
        <v>39703.0</v>
      </c>
      <c r="O2145" s="15" t="s">
        <v>1554</v>
      </c>
      <c r="Q2145" s="7"/>
    </row>
    <row r="2146">
      <c r="A2146" s="39" t="s">
        <v>9745</v>
      </c>
      <c r="B2146" s="15">
        <v>543876.0</v>
      </c>
      <c r="C2146" s="15" t="s">
        <v>9746</v>
      </c>
      <c r="D2146" s="15">
        <v>31277.0</v>
      </c>
      <c r="E2146" s="15" t="s">
        <v>1808</v>
      </c>
      <c r="F2146" s="15" t="s">
        <v>1809</v>
      </c>
      <c r="G2146" s="7">
        <v>2.743</v>
      </c>
      <c r="H2146" s="15" t="s">
        <v>1745</v>
      </c>
      <c r="I2146" s="15" t="s">
        <v>1628</v>
      </c>
      <c r="J2146" s="15" t="s">
        <v>9747</v>
      </c>
      <c r="K2146" s="15">
        <v>6.0</v>
      </c>
      <c r="L2146" s="15">
        <v>6.0</v>
      </c>
      <c r="M2146" s="40">
        <v>39678.0</v>
      </c>
      <c r="N2146" s="41">
        <v>41240.0</v>
      </c>
      <c r="O2146" s="15" t="s">
        <v>1554</v>
      </c>
      <c r="Q2146" s="7"/>
    </row>
    <row r="2147">
      <c r="A2147" s="39" t="s">
        <v>9748</v>
      </c>
      <c r="B2147" s="15">
        <v>546805.0</v>
      </c>
      <c r="C2147" s="15" t="s">
        <v>9749</v>
      </c>
      <c r="D2147" s="15">
        <v>31279.0</v>
      </c>
      <c r="E2147" s="15" t="s">
        <v>1557</v>
      </c>
      <c r="F2147" s="15" t="s">
        <v>1767</v>
      </c>
      <c r="G2147" s="7">
        <v>164.602</v>
      </c>
      <c r="H2147" s="15" t="s">
        <v>4100</v>
      </c>
      <c r="I2147" s="15" t="s">
        <v>1586</v>
      </c>
      <c r="J2147" s="15" t="s">
        <v>9750</v>
      </c>
      <c r="K2147" s="15">
        <v>270.0</v>
      </c>
      <c r="L2147" s="15">
        <v>229.0</v>
      </c>
      <c r="M2147" s="40">
        <v>39692.0</v>
      </c>
      <c r="N2147" s="40">
        <v>40788.0</v>
      </c>
      <c r="O2147" s="15" t="s">
        <v>1554</v>
      </c>
      <c r="Q2147" s="7"/>
    </row>
    <row r="2148">
      <c r="A2148" s="39" t="s">
        <v>9751</v>
      </c>
      <c r="B2148" s="15">
        <v>546806.0</v>
      </c>
      <c r="C2148" s="15" t="s">
        <v>9752</v>
      </c>
      <c r="D2148" s="15">
        <v>31281.0</v>
      </c>
      <c r="E2148" s="15" t="s">
        <v>1557</v>
      </c>
      <c r="F2148" s="15" t="s">
        <v>1767</v>
      </c>
      <c r="G2148" s="7">
        <v>153.894</v>
      </c>
      <c r="H2148" s="15" t="s">
        <v>8929</v>
      </c>
      <c r="I2148" s="15" t="s">
        <v>1586</v>
      </c>
      <c r="J2148" s="15" t="s">
        <v>9754</v>
      </c>
      <c r="K2148" s="15">
        <v>255.0</v>
      </c>
      <c r="L2148" s="15">
        <v>220.0</v>
      </c>
      <c r="M2148" s="40">
        <v>39692.0</v>
      </c>
      <c r="N2148" s="40">
        <v>39708.0</v>
      </c>
      <c r="O2148" s="15" t="s">
        <v>1554</v>
      </c>
      <c r="Q2148" s="7"/>
    </row>
    <row r="2149">
      <c r="A2149" s="39" t="s">
        <v>9755</v>
      </c>
      <c r="B2149" s="15">
        <v>546807.0</v>
      </c>
      <c r="C2149" s="15" t="s">
        <v>9756</v>
      </c>
      <c r="D2149" s="15">
        <v>31283.0</v>
      </c>
      <c r="E2149" s="15" t="s">
        <v>1557</v>
      </c>
      <c r="F2149" s="15" t="s">
        <v>1767</v>
      </c>
      <c r="G2149" s="7">
        <v>154.017</v>
      </c>
      <c r="H2149" s="15" t="s">
        <v>4171</v>
      </c>
      <c r="I2149" s="15" t="s">
        <v>1586</v>
      </c>
      <c r="J2149" s="15" t="s">
        <v>9757</v>
      </c>
      <c r="K2149" s="15">
        <v>257.0</v>
      </c>
      <c r="L2149" s="15">
        <v>221.0</v>
      </c>
      <c r="M2149" s="40">
        <v>39692.0</v>
      </c>
      <c r="N2149" s="40">
        <v>39708.0</v>
      </c>
      <c r="O2149" s="15" t="s">
        <v>1554</v>
      </c>
      <c r="Q2149" s="7"/>
    </row>
    <row r="2150">
      <c r="A2150" s="39" t="s">
        <v>9758</v>
      </c>
      <c r="B2150" s="15">
        <v>546808.0</v>
      </c>
      <c r="C2150" s="15" t="s">
        <v>9759</v>
      </c>
      <c r="D2150" s="15">
        <v>31285.0</v>
      </c>
      <c r="E2150" s="15" t="s">
        <v>1557</v>
      </c>
      <c r="F2150" s="15" t="s">
        <v>1767</v>
      </c>
      <c r="G2150" s="7">
        <v>154.906</v>
      </c>
      <c r="H2150" s="15" t="s">
        <v>4171</v>
      </c>
      <c r="I2150" s="15" t="s">
        <v>1586</v>
      </c>
      <c r="J2150" s="15" t="s">
        <v>9760</v>
      </c>
      <c r="K2150" s="15">
        <v>257.0</v>
      </c>
      <c r="L2150" s="15">
        <v>222.0</v>
      </c>
      <c r="M2150" s="40">
        <v>39692.0</v>
      </c>
      <c r="N2150" s="40">
        <v>39708.0</v>
      </c>
      <c r="O2150" s="15" t="s">
        <v>1554</v>
      </c>
      <c r="Q2150" s="7"/>
    </row>
    <row r="2151">
      <c r="A2151" s="39" t="s">
        <v>9761</v>
      </c>
      <c r="B2151" s="15">
        <v>555603.0</v>
      </c>
      <c r="C2151" s="15" t="s">
        <v>9762</v>
      </c>
      <c r="D2151" s="15">
        <v>31287.0</v>
      </c>
      <c r="E2151" s="15" t="s">
        <v>1557</v>
      </c>
      <c r="F2151" s="15" t="s">
        <v>1833</v>
      </c>
      <c r="G2151" s="7">
        <v>49.487</v>
      </c>
      <c r="H2151" s="15" t="s">
        <v>6661</v>
      </c>
      <c r="I2151" s="15" t="s">
        <v>1586</v>
      </c>
      <c r="J2151" s="15" t="s">
        <v>9764</v>
      </c>
      <c r="K2151" s="15">
        <v>86.0</v>
      </c>
      <c r="L2151" s="15">
        <v>86.0</v>
      </c>
      <c r="M2151" s="40">
        <v>39692.0</v>
      </c>
      <c r="N2151" s="41">
        <v>40876.0</v>
      </c>
      <c r="O2151" s="15" t="s">
        <v>1554</v>
      </c>
      <c r="Q2151" s="7"/>
    </row>
    <row r="2152">
      <c r="A2152" s="39" t="s">
        <v>9765</v>
      </c>
      <c r="B2152" s="15">
        <v>546803.0</v>
      </c>
      <c r="C2152" s="15" t="s">
        <v>9766</v>
      </c>
      <c r="D2152" s="15">
        <v>31291.0</v>
      </c>
      <c r="E2152" s="15" t="s">
        <v>1557</v>
      </c>
      <c r="F2152" s="15" t="s">
        <v>1767</v>
      </c>
      <c r="G2152" s="7">
        <v>155.372</v>
      </c>
      <c r="H2152" s="15" t="s">
        <v>8929</v>
      </c>
      <c r="I2152" s="15" t="s">
        <v>1586</v>
      </c>
      <c r="J2152" s="15" t="s">
        <v>9767</v>
      </c>
      <c r="K2152" s="15">
        <v>257.0</v>
      </c>
      <c r="L2152" s="15">
        <v>222.0</v>
      </c>
      <c r="M2152" s="40">
        <v>39692.0</v>
      </c>
      <c r="N2152" s="40">
        <v>39709.0</v>
      </c>
      <c r="O2152" s="15" t="s">
        <v>1554</v>
      </c>
      <c r="Q2152" s="7"/>
    </row>
    <row r="2153">
      <c r="A2153" s="39" t="s">
        <v>9768</v>
      </c>
      <c r="B2153" s="15">
        <v>446138.0</v>
      </c>
      <c r="C2153" s="15" t="s">
        <v>9769</v>
      </c>
      <c r="D2153" s="15">
        <v>32003.0</v>
      </c>
      <c r="E2153" s="15" t="s">
        <v>1557</v>
      </c>
      <c r="F2153" s="15" t="s">
        <v>1822</v>
      </c>
      <c r="G2153" s="7">
        <v>7.26</v>
      </c>
      <c r="H2153" s="15" t="s">
        <v>2271</v>
      </c>
      <c r="I2153" s="15" t="s">
        <v>1686</v>
      </c>
      <c r="J2153" s="15" t="s">
        <v>9770</v>
      </c>
      <c r="K2153" s="15">
        <v>6.0</v>
      </c>
      <c r="L2153" s="15">
        <v>6.0</v>
      </c>
      <c r="M2153" s="40">
        <v>39714.0</v>
      </c>
      <c r="N2153" s="40">
        <v>40263.0</v>
      </c>
      <c r="O2153" s="15" t="s">
        <v>1554</v>
      </c>
      <c r="Q2153" s="7"/>
    </row>
    <row r="2154">
      <c r="A2154" s="39" t="s">
        <v>9772</v>
      </c>
      <c r="B2154" s="15">
        <v>561996.0</v>
      </c>
      <c r="C2154" s="15" t="s">
        <v>9773</v>
      </c>
      <c r="D2154" s="15">
        <v>32005.0</v>
      </c>
      <c r="E2154" s="15" t="s">
        <v>1557</v>
      </c>
      <c r="F2154" s="15" t="s">
        <v>1833</v>
      </c>
      <c r="G2154" s="7">
        <v>47.057</v>
      </c>
      <c r="H2154" s="15" t="s">
        <v>9774</v>
      </c>
      <c r="I2154" s="15" t="s">
        <v>1586</v>
      </c>
      <c r="J2154" s="15" t="s">
        <v>9775</v>
      </c>
      <c r="K2154" s="15">
        <v>74.0</v>
      </c>
      <c r="L2154" s="15">
        <v>74.0</v>
      </c>
      <c r="M2154" s="40">
        <v>39715.0</v>
      </c>
      <c r="N2154" s="40">
        <v>42748.0</v>
      </c>
      <c r="O2154" s="15" t="s">
        <v>1554</v>
      </c>
      <c r="Q2154" s="7"/>
    </row>
    <row r="2155">
      <c r="A2155" s="39" t="s">
        <v>9776</v>
      </c>
      <c r="B2155" s="15">
        <v>513550.0</v>
      </c>
      <c r="C2155" s="15" t="s">
        <v>9777</v>
      </c>
      <c r="D2155" s="15">
        <v>32599.0</v>
      </c>
      <c r="E2155" s="15" t="s">
        <v>1557</v>
      </c>
      <c r="F2155" s="15" t="s">
        <v>3844</v>
      </c>
      <c r="G2155" s="7">
        <v>14.398</v>
      </c>
      <c r="H2155" s="15" t="s">
        <v>1607</v>
      </c>
      <c r="I2155" s="15" t="s">
        <v>1586</v>
      </c>
      <c r="J2155" s="15" t="s">
        <v>9778</v>
      </c>
      <c r="K2155" s="15">
        <v>31.0</v>
      </c>
      <c r="L2155" s="15">
        <v>31.0</v>
      </c>
      <c r="M2155" s="40">
        <v>39757.0</v>
      </c>
      <c r="N2155" s="40">
        <v>40263.0</v>
      </c>
      <c r="O2155" s="15" t="s">
        <v>1554</v>
      </c>
      <c r="Q2155" s="7"/>
    </row>
    <row r="2156">
      <c r="A2156" s="39" t="s">
        <v>9779</v>
      </c>
      <c r="B2156" s="15">
        <v>138982.0</v>
      </c>
      <c r="C2156" s="15" t="s">
        <v>9780</v>
      </c>
      <c r="D2156" s="15">
        <v>32629.0</v>
      </c>
      <c r="E2156" s="15" t="s">
        <v>1548</v>
      </c>
      <c r="F2156" s="15" t="s">
        <v>1786</v>
      </c>
      <c r="G2156" s="7">
        <v>7.89</v>
      </c>
      <c r="H2156" s="15" t="s">
        <v>8889</v>
      </c>
      <c r="I2156" s="15" t="s">
        <v>1628</v>
      </c>
      <c r="J2156" s="15" t="s">
        <v>9781</v>
      </c>
      <c r="K2156" s="15">
        <v>6.0</v>
      </c>
      <c r="L2156" s="15">
        <v>6.0</v>
      </c>
      <c r="M2156" s="40">
        <v>39498.0</v>
      </c>
      <c r="N2156" s="41">
        <v>40134.0</v>
      </c>
      <c r="O2156" s="15" t="s">
        <v>1554</v>
      </c>
      <c r="Q2156" s="7"/>
    </row>
    <row r="2157">
      <c r="A2157" s="39" t="s">
        <v>9783</v>
      </c>
      <c r="B2157" s="15">
        <v>471285.0</v>
      </c>
      <c r="C2157" s="15" t="s">
        <v>9784</v>
      </c>
      <c r="D2157" s="15">
        <v>32669.0</v>
      </c>
      <c r="E2157" s="15" t="s">
        <v>1548</v>
      </c>
      <c r="F2157" s="15" t="s">
        <v>1890</v>
      </c>
      <c r="G2157" s="7">
        <v>12.926</v>
      </c>
      <c r="H2157" s="15">
        <v>43.0</v>
      </c>
      <c r="I2157" s="15" t="s">
        <v>2034</v>
      </c>
      <c r="J2157" s="15" t="s">
        <v>9785</v>
      </c>
      <c r="K2157" s="15">
        <v>6.0</v>
      </c>
      <c r="L2157" s="15">
        <v>6.0</v>
      </c>
      <c r="M2157" s="40">
        <v>39506.0</v>
      </c>
      <c r="N2157" s="40">
        <v>42045.0</v>
      </c>
      <c r="O2157" s="15" t="s">
        <v>1554</v>
      </c>
      <c r="Q2157" s="7"/>
    </row>
    <row r="2158">
      <c r="A2158" s="39" t="s">
        <v>9786</v>
      </c>
      <c r="B2158" s="15">
        <v>47049.0</v>
      </c>
      <c r="C2158" s="15" t="s">
        <v>9787</v>
      </c>
      <c r="D2158" s="15">
        <v>32673.0</v>
      </c>
      <c r="E2158" s="15" t="s">
        <v>1557</v>
      </c>
      <c r="F2158" s="15" t="s">
        <v>1611</v>
      </c>
      <c r="G2158" s="7">
        <v>39.472</v>
      </c>
      <c r="H2158" s="15" t="s">
        <v>1918</v>
      </c>
      <c r="I2158" s="15" t="s">
        <v>1586</v>
      </c>
      <c r="J2158" s="15" t="s">
        <v>9788</v>
      </c>
      <c r="K2158" s="15">
        <v>48.0</v>
      </c>
      <c r="L2158" s="15">
        <v>47.0</v>
      </c>
      <c r="M2158" s="41">
        <v>39763.0</v>
      </c>
      <c r="N2158" s="40">
        <v>42045.0</v>
      </c>
      <c r="O2158" s="15" t="s">
        <v>1554</v>
      </c>
      <c r="Q2158" s="7"/>
    </row>
    <row r="2159">
      <c r="A2159" s="39" t="s">
        <v>9789</v>
      </c>
      <c r="B2159" s="15">
        <v>208084.0</v>
      </c>
      <c r="C2159" s="15" t="s">
        <v>9790</v>
      </c>
      <c r="D2159" s="15">
        <v>32675.0</v>
      </c>
      <c r="E2159" s="15" t="s">
        <v>1548</v>
      </c>
      <c r="F2159" s="15" t="s">
        <v>2900</v>
      </c>
      <c r="G2159" s="7">
        <v>4.731</v>
      </c>
      <c r="H2159" s="15" t="s">
        <v>2000</v>
      </c>
      <c r="I2159" s="15" t="s">
        <v>1628</v>
      </c>
      <c r="J2159" s="15" t="s">
        <v>9791</v>
      </c>
      <c r="K2159" s="15">
        <v>5.0</v>
      </c>
      <c r="L2159" s="15">
        <v>5.0</v>
      </c>
      <c r="M2159" s="40">
        <v>38502.0</v>
      </c>
      <c r="N2159" s="40">
        <v>42045.0</v>
      </c>
      <c r="O2159" s="15" t="s">
        <v>1554</v>
      </c>
      <c r="Q2159" s="7"/>
    </row>
    <row r="2160">
      <c r="A2160" s="39" t="s">
        <v>9793</v>
      </c>
      <c r="B2160" s="15">
        <v>524023.0</v>
      </c>
      <c r="C2160" s="15" t="s">
        <v>9794</v>
      </c>
      <c r="D2160" s="15">
        <v>32677.0</v>
      </c>
      <c r="E2160" s="15" t="s">
        <v>1548</v>
      </c>
      <c r="F2160" s="15" t="s">
        <v>1578</v>
      </c>
      <c r="G2160" s="7">
        <v>4.547</v>
      </c>
      <c r="H2160" s="15" t="s">
        <v>5955</v>
      </c>
      <c r="I2160" s="15" t="s">
        <v>1628</v>
      </c>
      <c r="J2160" s="15" t="s">
        <v>9795</v>
      </c>
      <c r="K2160" s="15">
        <v>5.0</v>
      </c>
      <c r="L2160" s="15">
        <v>5.0</v>
      </c>
      <c r="M2160" s="40">
        <v>39721.0</v>
      </c>
      <c r="N2160" s="40">
        <v>42045.0</v>
      </c>
      <c r="O2160" s="15" t="s">
        <v>1554</v>
      </c>
      <c r="Q2160" s="7"/>
    </row>
    <row r="2161">
      <c r="A2161" s="39" t="s">
        <v>9796</v>
      </c>
      <c r="B2161" s="15">
        <v>312273.0</v>
      </c>
      <c r="C2161" s="15" t="s">
        <v>9797</v>
      </c>
      <c r="D2161" s="15">
        <v>32679.0</v>
      </c>
      <c r="E2161" s="15" t="s">
        <v>1548</v>
      </c>
      <c r="F2161" s="15" t="s">
        <v>2032</v>
      </c>
      <c r="G2161" s="7">
        <v>6.206</v>
      </c>
      <c r="H2161" s="15" t="s">
        <v>5391</v>
      </c>
      <c r="I2161" s="15" t="s">
        <v>2034</v>
      </c>
      <c r="J2161" s="15" t="s">
        <v>9798</v>
      </c>
      <c r="K2161" s="15">
        <v>3.0</v>
      </c>
      <c r="L2161" s="15">
        <v>3.0</v>
      </c>
      <c r="M2161" s="41">
        <v>38648.0</v>
      </c>
      <c r="N2161" s="40">
        <v>42045.0</v>
      </c>
      <c r="O2161" s="15" t="s">
        <v>1554</v>
      </c>
      <c r="Q2161" s="7"/>
    </row>
    <row r="2162">
      <c r="A2162" s="39" t="s">
        <v>9799</v>
      </c>
      <c r="B2162" s="15">
        <v>312009.0</v>
      </c>
      <c r="C2162" s="15" t="s">
        <v>9800</v>
      </c>
      <c r="D2162" s="15">
        <v>32681.0</v>
      </c>
      <c r="E2162" s="15" t="s">
        <v>1548</v>
      </c>
      <c r="F2162" s="15" t="s">
        <v>2032</v>
      </c>
      <c r="G2162" s="7">
        <v>6.285</v>
      </c>
      <c r="H2162" s="15" t="s">
        <v>2089</v>
      </c>
      <c r="I2162" s="15" t="s">
        <v>2034</v>
      </c>
      <c r="J2162" s="15" t="s">
        <v>9801</v>
      </c>
      <c r="K2162" s="15">
        <v>3.0</v>
      </c>
      <c r="L2162" s="15">
        <v>3.0</v>
      </c>
      <c r="M2162" s="40">
        <v>38616.0</v>
      </c>
      <c r="N2162" s="40">
        <v>42045.0</v>
      </c>
      <c r="O2162" s="15" t="s">
        <v>1554</v>
      </c>
      <c r="Q2162" s="7"/>
    </row>
    <row r="2163">
      <c r="A2163" s="39" t="s">
        <v>9803</v>
      </c>
      <c r="B2163" s="15">
        <v>312274.0</v>
      </c>
      <c r="C2163" s="15" t="s">
        <v>9804</v>
      </c>
      <c r="D2163" s="15">
        <v>32683.0</v>
      </c>
      <c r="E2163" s="15" t="s">
        <v>1548</v>
      </c>
      <c r="F2163" s="15" t="s">
        <v>2032</v>
      </c>
      <c r="G2163" s="7">
        <v>6.154</v>
      </c>
      <c r="H2163" s="15" t="s">
        <v>2324</v>
      </c>
      <c r="I2163" s="15" t="s">
        <v>2034</v>
      </c>
      <c r="J2163" s="15" t="s">
        <v>9805</v>
      </c>
      <c r="K2163" s="15">
        <v>3.0</v>
      </c>
      <c r="L2163" s="15">
        <v>3.0</v>
      </c>
      <c r="M2163" s="41">
        <v>38648.0</v>
      </c>
      <c r="N2163" s="40">
        <v>42045.0</v>
      </c>
      <c r="O2163" s="15" t="s">
        <v>1554</v>
      </c>
      <c r="Q2163" s="7"/>
    </row>
    <row r="2164">
      <c r="A2164" s="39" t="s">
        <v>9806</v>
      </c>
      <c r="B2164" s="15">
        <v>335963.0</v>
      </c>
      <c r="C2164" s="15" t="s">
        <v>9807</v>
      </c>
      <c r="D2164" s="15">
        <v>32685.0</v>
      </c>
      <c r="E2164" s="15" t="s">
        <v>1548</v>
      </c>
      <c r="F2164" s="15" t="s">
        <v>1786</v>
      </c>
      <c r="G2164" s="7">
        <v>43228.0</v>
      </c>
      <c r="H2164" s="15">
        <v>47.0</v>
      </c>
      <c r="I2164" s="15" t="s">
        <v>1628</v>
      </c>
      <c r="J2164" s="15" t="s">
        <v>9808</v>
      </c>
      <c r="K2164" s="15">
        <v>6.0</v>
      </c>
      <c r="L2164" s="15">
        <v>6.0</v>
      </c>
      <c r="M2164" s="40">
        <v>38553.0</v>
      </c>
      <c r="N2164" s="40">
        <v>42045.0</v>
      </c>
      <c r="O2164" s="15" t="s">
        <v>1554</v>
      </c>
      <c r="Q2164" s="7"/>
    </row>
    <row r="2165">
      <c r="A2165" s="39" t="s">
        <v>9809</v>
      </c>
      <c r="B2165" s="15">
        <v>160843.0</v>
      </c>
      <c r="C2165" s="15" t="s">
        <v>9810</v>
      </c>
      <c r="D2165" s="15">
        <v>32687.0</v>
      </c>
      <c r="E2165" s="15" t="s">
        <v>1548</v>
      </c>
      <c r="F2165" s="15" t="s">
        <v>1911</v>
      </c>
      <c r="G2165" s="7">
        <v>9.65</v>
      </c>
      <c r="H2165" s="15" t="s">
        <v>2178</v>
      </c>
      <c r="I2165" s="15" t="s">
        <v>1628</v>
      </c>
      <c r="J2165" s="15" t="s">
        <v>9811</v>
      </c>
      <c r="K2165" s="15">
        <v>2.0</v>
      </c>
      <c r="L2165" s="15">
        <v>2.0</v>
      </c>
      <c r="M2165" s="40">
        <v>38918.0</v>
      </c>
      <c r="N2165" s="40">
        <v>42045.0</v>
      </c>
      <c r="O2165" s="15" t="s">
        <v>1554</v>
      </c>
      <c r="Q2165" s="7"/>
    </row>
    <row r="2166">
      <c r="A2166" s="39" t="s">
        <v>9813</v>
      </c>
      <c r="B2166" s="15">
        <v>348823.0</v>
      </c>
      <c r="C2166" s="15" t="s">
        <v>9814</v>
      </c>
      <c r="D2166" s="15">
        <v>32689.0</v>
      </c>
      <c r="E2166" s="15" t="s">
        <v>1548</v>
      </c>
      <c r="F2166" s="15" t="s">
        <v>1890</v>
      </c>
      <c r="G2166" s="7">
        <v>12.381</v>
      </c>
      <c r="H2166" s="15" t="s">
        <v>3538</v>
      </c>
      <c r="I2166" s="15" t="s">
        <v>2034</v>
      </c>
      <c r="J2166" s="15" t="s">
        <v>9815</v>
      </c>
      <c r="K2166" s="15">
        <v>6.0</v>
      </c>
      <c r="L2166" s="15">
        <v>6.0</v>
      </c>
      <c r="M2166" s="40">
        <v>39681.0</v>
      </c>
      <c r="N2166" s="40">
        <v>42045.0</v>
      </c>
      <c r="O2166" s="15" t="s">
        <v>1554</v>
      </c>
      <c r="Q2166" s="7"/>
    </row>
    <row r="2167">
      <c r="A2167" s="39" t="s">
        <v>9816</v>
      </c>
      <c r="B2167" s="15">
        <v>214439.0</v>
      </c>
      <c r="C2167" s="15" t="s">
        <v>9817</v>
      </c>
      <c r="D2167" s="15">
        <v>32693.0</v>
      </c>
      <c r="E2167" s="15" t="s">
        <v>1548</v>
      </c>
      <c r="F2167" s="15" t="s">
        <v>1633</v>
      </c>
      <c r="G2167" s="7">
        <v>6.528</v>
      </c>
      <c r="H2167" s="15" t="s">
        <v>1756</v>
      </c>
      <c r="I2167" s="15" t="s">
        <v>1628</v>
      </c>
      <c r="J2167" s="15" t="s">
        <v>9818</v>
      </c>
      <c r="K2167" s="15">
        <v>5.0</v>
      </c>
      <c r="L2167" s="15">
        <v>5.0</v>
      </c>
      <c r="M2167" s="40">
        <v>38384.0</v>
      </c>
      <c r="N2167" s="40">
        <v>42045.0</v>
      </c>
      <c r="O2167" s="15" t="s">
        <v>1554</v>
      </c>
      <c r="Q2167" s="7"/>
    </row>
    <row r="2168">
      <c r="A2168" s="39" t="s">
        <v>9819</v>
      </c>
      <c r="B2168" s="15">
        <v>481147.0</v>
      </c>
      <c r="C2168" s="15" t="s">
        <v>9820</v>
      </c>
      <c r="D2168" s="15">
        <v>32697.0</v>
      </c>
      <c r="E2168" s="15" t="s">
        <v>1916</v>
      </c>
      <c r="F2168" s="15" t="s">
        <v>2532</v>
      </c>
      <c r="G2168" s="7">
        <v>8.913</v>
      </c>
      <c r="H2168" s="15" t="s">
        <v>5179</v>
      </c>
      <c r="I2168" s="15" t="s">
        <v>1686</v>
      </c>
      <c r="J2168" s="15" t="s">
        <v>9822</v>
      </c>
      <c r="K2168" s="15">
        <v>6.0</v>
      </c>
      <c r="L2168" s="15">
        <v>6.0</v>
      </c>
      <c r="M2168" s="41">
        <v>39762.0</v>
      </c>
      <c r="N2168" s="40">
        <v>42577.0</v>
      </c>
      <c r="O2168" s="15" t="s">
        <v>1554</v>
      </c>
      <c r="Q2168" s="7"/>
    </row>
    <row r="2169">
      <c r="A2169" s="39" t="s">
        <v>9823</v>
      </c>
      <c r="B2169" s="15">
        <v>340054.0</v>
      </c>
      <c r="C2169" s="15" t="s">
        <v>9824</v>
      </c>
      <c r="D2169" s="15">
        <v>32705.0</v>
      </c>
      <c r="E2169" s="15" t="s">
        <v>1557</v>
      </c>
      <c r="F2169" s="15" t="s">
        <v>1611</v>
      </c>
      <c r="G2169" s="7">
        <v>39.867</v>
      </c>
      <c r="H2169" s="15" t="s">
        <v>1813</v>
      </c>
      <c r="I2169" s="15" t="s">
        <v>1586</v>
      </c>
      <c r="J2169" s="15" t="s">
        <v>9825</v>
      </c>
      <c r="K2169" s="15">
        <v>42.0</v>
      </c>
      <c r="L2169" s="15">
        <v>41.0</v>
      </c>
      <c r="M2169" s="40">
        <v>39760.0</v>
      </c>
      <c r="N2169" s="40">
        <v>40263.0</v>
      </c>
      <c r="O2169" s="15" t="s">
        <v>1554</v>
      </c>
      <c r="Q2169" s="7"/>
    </row>
    <row r="2170">
      <c r="A2170" s="39" t="s">
        <v>9826</v>
      </c>
      <c r="B2170" s="15">
        <v>339420.0</v>
      </c>
      <c r="C2170" s="15" t="s">
        <v>9827</v>
      </c>
      <c r="D2170" s="15">
        <v>32707.0</v>
      </c>
      <c r="E2170" s="15" t="s">
        <v>1548</v>
      </c>
      <c r="F2170" s="15" t="s">
        <v>1926</v>
      </c>
      <c r="G2170" s="7">
        <v>8.647</v>
      </c>
      <c r="H2170" s="15" t="s">
        <v>9828</v>
      </c>
      <c r="I2170" s="15" t="s">
        <v>1628</v>
      </c>
      <c r="J2170" s="15" t="s">
        <v>9829</v>
      </c>
      <c r="K2170" s="15">
        <v>5.0</v>
      </c>
      <c r="L2170" s="15">
        <v>5.0</v>
      </c>
      <c r="M2170" s="40">
        <v>38718.0</v>
      </c>
      <c r="N2170" s="40">
        <v>40276.0</v>
      </c>
      <c r="O2170" s="15" t="s">
        <v>1554</v>
      </c>
      <c r="Q2170" s="7"/>
    </row>
    <row r="2171">
      <c r="A2171" s="39" t="s">
        <v>9830</v>
      </c>
      <c r="B2171" s="15">
        <v>509923.0</v>
      </c>
      <c r="C2171" s="15" t="s">
        <v>9832</v>
      </c>
      <c r="D2171" s="15">
        <v>32709.0</v>
      </c>
      <c r="E2171" s="15" t="s">
        <v>1638</v>
      </c>
      <c r="F2171" s="15" t="s">
        <v>1796</v>
      </c>
      <c r="G2171" s="7">
        <v>3.791</v>
      </c>
      <c r="H2171" s="15" t="s">
        <v>9833</v>
      </c>
      <c r="I2171" s="15" t="s">
        <v>1628</v>
      </c>
      <c r="J2171" s="15" t="s">
        <v>9834</v>
      </c>
      <c r="K2171" s="15">
        <v>2.0</v>
      </c>
      <c r="L2171" s="15">
        <v>2.0</v>
      </c>
      <c r="M2171" s="40">
        <v>39538.0</v>
      </c>
      <c r="N2171" s="40">
        <v>40276.0</v>
      </c>
      <c r="O2171" s="15" t="s">
        <v>1554</v>
      </c>
      <c r="Q2171" s="7"/>
    </row>
    <row r="2172">
      <c r="A2172" s="39" t="s">
        <v>9835</v>
      </c>
      <c r="B2172" s="15">
        <v>312275.0</v>
      </c>
      <c r="C2172" s="15" t="s">
        <v>9836</v>
      </c>
      <c r="D2172" s="15">
        <v>32713.0</v>
      </c>
      <c r="E2172" s="15" t="s">
        <v>1548</v>
      </c>
      <c r="F2172" s="15" t="s">
        <v>2032</v>
      </c>
      <c r="G2172" s="7">
        <v>6.151</v>
      </c>
      <c r="H2172" s="15" t="s">
        <v>2296</v>
      </c>
      <c r="I2172" s="15" t="s">
        <v>2034</v>
      </c>
      <c r="J2172" s="15" t="s">
        <v>9837</v>
      </c>
      <c r="K2172" s="15">
        <v>3.0</v>
      </c>
      <c r="L2172" s="15">
        <v>3.0</v>
      </c>
      <c r="M2172" s="41">
        <v>38648.0</v>
      </c>
      <c r="N2172" s="40">
        <v>42045.0</v>
      </c>
      <c r="O2172" s="15" t="s">
        <v>1554</v>
      </c>
      <c r="Q2172" s="7"/>
    </row>
    <row r="2173">
      <c r="A2173" s="39" t="s">
        <v>9838</v>
      </c>
      <c r="B2173" s="15">
        <v>270478.0</v>
      </c>
      <c r="C2173" s="15" t="s">
        <v>9839</v>
      </c>
      <c r="D2173" s="15">
        <v>32715.0</v>
      </c>
      <c r="E2173" s="15" t="s">
        <v>1548</v>
      </c>
      <c r="F2173" s="15" t="s">
        <v>1911</v>
      </c>
      <c r="G2173" s="7">
        <v>9.973</v>
      </c>
      <c r="H2173" s="15" t="s">
        <v>1613</v>
      </c>
      <c r="I2173" s="15" t="s">
        <v>1628</v>
      </c>
      <c r="J2173" s="15" t="s">
        <v>9840</v>
      </c>
      <c r="K2173" s="15">
        <v>2.0</v>
      </c>
      <c r="L2173" s="15">
        <v>2.0</v>
      </c>
      <c r="M2173" s="40">
        <v>38500.0</v>
      </c>
      <c r="N2173" s="40">
        <v>42045.0</v>
      </c>
      <c r="O2173" s="15" t="s">
        <v>1554</v>
      </c>
      <c r="Q2173" s="7"/>
    </row>
    <row r="2174">
      <c r="A2174" s="39" t="s">
        <v>9842</v>
      </c>
      <c r="B2174" s="15">
        <v>183585.0</v>
      </c>
      <c r="C2174" s="15" t="s">
        <v>9843</v>
      </c>
      <c r="D2174" s="15">
        <v>32727.0</v>
      </c>
      <c r="E2174" s="15" t="s">
        <v>1548</v>
      </c>
      <c r="F2174" s="15" t="s">
        <v>1786</v>
      </c>
      <c r="G2174" s="7">
        <v>7.988</v>
      </c>
      <c r="H2174" s="15" t="s">
        <v>1710</v>
      </c>
      <c r="I2174" s="15" t="s">
        <v>1628</v>
      </c>
      <c r="J2174" s="15" t="s">
        <v>9844</v>
      </c>
      <c r="K2174" s="15">
        <v>4.0</v>
      </c>
      <c r="L2174" s="15">
        <v>4.0</v>
      </c>
      <c r="M2174" s="40">
        <v>38819.0</v>
      </c>
      <c r="N2174" s="40">
        <v>39833.0</v>
      </c>
      <c r="O2174" s="15" t="s">
        <v>1554</v>
      </c>
      <c r="Q2174" s="7"/>
    </row>
    <row r="2175">
      <c r="A2175" s="39" t="s">
        <v>9845</v>
      </c>
      <c r="B2175" s="15">
        <v>33706.0</v>
      </c>
      <c r="C2175" s="15" t="s">
        <v>9846</v>
      </c>
      <c r="D2175" s="15">
        <v>188730.0</v>
      </c>
      <c r="E2175" s="15" t="s">
        <v>1557</v>
      </c>
      <c r="F2175" s="15" t="s">
        <v>1827</v>
      </c>
      <c r="G2175" s="7">
        <v>233.501</v>
      </c>
      <c r="H2175" s="15">
        <v>55.0</v>
      </c>
      <c r="I2175" s="15" t="s">
        <v>1686</v>
      </c>
      <c r="J2175" s="15" t="s">
        <v>9847</v>
      </c>
      <c r="K2175" s="15">
        <v>110.0</v>
      </c>
      <c r="L2175" s="15">
        <v>110.0</v>
      </c>
      <c r="M2175" s="40">
        <v>41311.0</v>
      </c>
      <c r="N2175" s="40">
        <v>41383.0</v>
      </c>
      <c r="O2175" s="15" t="s">
        <v>1554</v>
      </c>
      <c r="Q2175" s="7"/>
    </row>
    <row r="2176">
      <c r="A2176" s="39" t="s">
        <v>9848</v>
      </c>
      <c r="B2176" s="15">
        <v>92521.0</v>
      </c>
      <c r="C2176" s="15" t="s">
        <v>9849</v>
      </c>
      <c r="D2176" s="15">
        <v>32781.0</v>
      </c>
      <c r="E2176" s="15" t="s">
        <v>1557</v>
      </c>
      <c r="F2176" s="15" t="s">
        <v>3920</v>
      </c>
      <c r="G2176" s="7">
        <v>127.615</v>
      </c>
      <c r="H2176" s="15" t="s">
        <v>2118</v>
      </c>
      <c r="I2176" s="15" t="s">
        <v>1560</v>
      </c>
      <c r="J2176" s="15" t="s">
        <v>9851</v>
      </c>
      <c r="K2176" s="15">
        <v>139.0</v>
      </c>
      <c r="L2176" s="15">
        <v>139.0</v>
      </c>
      <c r="M2176" s="41">
        <v>39767.0</v>
      </c>
      <c r="N2176" s="41">
        <v>39770.0</v>
      </c>
      <c r="O2176" s="15" t="s">
        <v>1554</v>
      </c>
      <c r="Q2176" s="7"/>
    </row>
    <row r="2177">
      <c r="A2177" s="39" t="s">
        <v>9852</v>
      </c>
      <c r="B2177" s="15">
        <v>573591.0</v>
      </c>
      <c r="C2177" s="15" t="s">
        <v>9853</v>
      </c>
      <c r="D2177" s="15">
        <v>32787.0</v>
      </c>
      <c r="E2177" s="15" t="s">
        <v>1557</v>
      </c>
      <c r="F2177" s="15" t="s">
        <v>1833</v>
      </c>
      <c r="G2177" s="7">
        <v>40.287</v>
      </c>
      <c r="H2177" s="15" t="s">
        <v>3029</v>
      </c>
      <c r="I2177" s="15" t="s">
        <v>1586</v>
      </c>
      <c r="J2177" s="15" t="s">
        <v>9854</v>
      </c>
      <c r="K2177" s="15">
        <v>48.0</v>
      </c>
      <c r="L2177" s="15">
        <v>48.0</v>
      </c>
      <c r="M2177" s="41">
        <v>39767.0</v>
      </c>
      <c r="N2177" s="40">
        <v>40263.0</v>
      </c>
      <c r="O2177" s="15" t="s">
        <v>1554</v>
      </c>
      <c r="Q2177" s="7"/>
    </row>
    <row r="2178">
      <c r="A2178" s="39" t="s">
        <v>9855</v>
      </c>
      <c r="B2178" s="15">
        <v>591166.0</v>
      </c>
      <c r="C2178" s="15" t="s">
        <v>9856</v>
      </c>
      <c r="D2178" s="15">
        <v>32821.0</v>
      </c>
      <c r="E2178" s="15" t="s">
        <v>1638</v>
      </c>
      <c r="F2178" s="15" t="s">
        <v>2539</v>
      </c>
      <c r="G2178" s="7">
        <v>3.437</v>
      </c>
      <c r="H2178" s="15" t="s">
        <v>2279</v>
      </c>
      <c r="I2178" s="15" t="s">
        <v>1628</v>
      </c>
      <c r="J2178" s="15" t="s">
        <v>9857</v>
      </c>
      <c r="K2178" s="15">
        <v>2.0</v>
      </c>
      <c r="L2178" s="15">
        <v>2.0</v>
      </c>
      <c r="M2178" s="41">
        <v>39371.0</v>
      </c>
      <c r="N2178" s="40">
        <v>40228.0</v>
      </c>
      <c r="O2178" s="15" t="s">
        <v>1554</v>
      </c>
      <c r="Q2178" s="7"/>
    </row>
    <row r="2179">
      <c r="A2179" s="39" t="s">
        <v>9858</v>
      </c>
      <c r="B2179" s="15">
        <v>263892.0</v>
      </c>
      <c r="C2179" s="15" t="s">
        <v>9859</v>
      </c>
      <c r="D2179" s="15">
        <v>32823.0</v>
      </c>
      <c r="E2179" s="15" t="s">
        <v>1916</v>
      </c>
      <c r="F2179" s="15" t="s">
        <v>1917</v>
      </c>
      <c r="G2179" s="7">
        <v>8.759</v>
      </c>
      <c r="H2179" s="15" t="s">
        <v>2950</v>
      </c>
      <c r="I2179" s="15" t="s">
        <v>1628</v>
      </c>
      <c r="J2179" s="15" t="s">
        <v>9860</v>
      </c>
      <c r="K2179" s="15">
        <v>4.0</v>
      </c>
      <c r="L2179" s="15">
        <v>4.0</v>
      </c>
      <c r="M2179" s="40">
        <v>39300.0</v>
      </c>
      <c r="N2179" s="41">
        <v>39776.0</v>
      </c>
      <c r="O2179" s="15" t="s">
        <v>1554</v>
      </c>
      <c r="Q2179" s="7"/>
    </row>
    <row r="2180">
      <c r="A2180" s="39" t="s">
        <v>9862</v>
      </c>
      <c r="B2180" s="15">
        <v>505292.0</v>
      </c>
      <c r="C2180" s="15" t="s">
        <v>9863</v>
      </c>
      <c r="D2180" s="15">
        <v>32995.0</v>
      </c>
      <c r="E2180" s="15" t="s">
        <v>1557</v>
      </c>
      <c r="F2180" s="15" t="s">
        <v>1833</v>
      </c>
      <c r="G2180" s="7">
        <v>36.885</v>
      </c>
      <c r="H2180" s="15" t="s">
        <v>4653</v>
      </c>
      <c r="I2180" s="15" t="s">
        <v>1586</v>
      </c>
      <c r="J2180" s="15" t="s">
        <v>9864</v>
      </c>
      <c r="K2180" s="15">
        <v>51.0</v>
      </c>
      <c r="L2180" s="15">
        <v>51.0</v>
      </c>
      <c r="M2180" s="41">
        <v>39782.0</v>
      </c>
      <c r="N2180" s="40">
        <v>40263.0</v>
      </c>
      <c r="O2180" s="15" t="s">
        <v>1554</v>
      </c>
      <c r="Q2180" s="7"/>
    </row>
    <row r="2181">
      <c r="A2181" s="39" t="s">
        <v>9865</v>
      </c>
      <c r="B2181" s="15">
        <v>575610.0</v>
      </c>
      <c r="C2181" s="15" t="s">
        <v>9866</v>
      </c>
      <c r="D2181" s="15">
        <v>32997.0</v>
      </c>
      <c r="E2181" s="15" t="s">
        <v>1557</v>
      </c>
      <c r="F2181" s="15" t="s">
        <v>1833</v>
      </c>
      <c r="G2181" s="7">
        <v>45.344</v>
      </c>
      <c r="H2181" s="15" t="s">
        <v>2009</v>
      </c>
      <c r="I2181" s="15" t="s">
        <v>1586</v>
      </c>
      <c r="J2181" s="15" t="s">
        <v>9867</v>
      </c>
      <c r="K2181" s="15">
        <v>62.0</v>
      </c>
      <c r="L2181" s="15">
        <v>62.0</v>
      </c>
      <c r="M2181" s="40">
        <v>39783.0</v>
      </c>
      <c r="N2181" s="41">
        <v>40162.0</v>
      </c>
      <c r="O2181" s="15" t="s">
        <v>1554</v>
      </c>
      <c r="Q2181" s="7"/>
    </row>
    <row r="2182">
      <c r="A2182" s="39" t="s">
        <v>9868</v>
      </c>
      <c r="B2182" s="15">
        <v>505291.0</v>
      </c>
      <c r="C2182" s="15" t="s">
        <v>9869</v>
      </c>
      <c r="D2182" s="15">
        <v>32999.0</v>
      </c>
      <c r="E2182" s="15" t="s">
        <v>1557</v>
      </c>
      <c r="F2182" s="15" t="s">
        <v>1833</v>
      </c>
      <c r="G2182" s="7">
        <v>36.632</v>
      </c>
      <c r="H2182" s="15" t="s">
        <v>3685</v>
      </c>
      <c r="I2182" s="15" t="s">
        <v>1586</v>
      </c>
      <c r="J2182" s="15" t="s">
        <v>9870</v>
      </c>
      <c r="K2182" s="15">
        <v>51.0</v>
      </c>
      <c r="L2182" s="15">
        <v>51.0</v>
      </c>
      <c r="M2182" s="41">
        <v>39782.0</v>
      </c>
      <c r="N2182" s="40">
        <v>41110.0</v>
      </c>
      <c r="O2182" s="15" t="s">
        <v>1554</v>
      </c>
      <c r="Q2182" s="7"/>
    </row>
    <row r="2183">
      <c r="A2183" s="39" t="s">
        <v>9871</v>
      </c>
      <c r="B2183" s="15">
        <v>575608.0</v>
      </c>
      <c r="C2183" s="15" t="s">
        <v>9873</v>
      </c>
      <c r="D2183" s="15">
        <v>33001.0</v>
      </c>
      <c r="E2183" s="15" t="s">
        <v>1557</v>
      </c>
      <c r="F2183" s="15" t="s">
        <v>1833</v>
      </c>
      <c r="G2183" s="7">
        <v>42.526</v>
      </c>
      <c r="H2183" s="15" t="s">
        <v>7887</v>
      </c>
      <c r="I2183" s="15" t="s">
        <v>1586</v>
      </c>
      <c r="J2183" s="15" t="s">
        <v>9874</v>
      </c>
      <c r="K2183" s="15">
        <v>61.0</v>
      </c>
      <c r="L2183" s="15">
        <v>60.0</v>
      </c>
      <c r="M2183" s="40">
        <v>39783.0</v>
      </c>
      <c r="N2183" s="41">
        <v>40162.0</v>
      </c>
      <c r="O2183" s="15" t="s">
        <v>1554</v>
      </c>
      <c r="Q2183" s="7"/>
    </row>
    <row r="2184">
      <c r="A2184" s="39" t="s">
        <v>9875</v>
      </c>
      <c r="B2184" s="15">
        <v>566270.0</v>
      </c>
      <c r="C2184" s="15" t="s">
        <v>9876</v>
      </c>
      <c r="D2184" s="15">
        <v>33005.0</v>
      </c>
      <c r="E2184" s="15" t="s">
        <v>1557</v>
      </c>
      <c r="F2184" s="15" t="s">
        <v>1992</v>
      </c>
      <c r="G2184" s="7">
        <v>148.634</v>
      </c>
      <c r="H2184" s="15">
        <v>45.0</v>
      </c>
      <c r="I2184" s="15" t="s">
        <v>1560</v>
      </c>
      <c r="J2184" s="15" t="s">
        <v>9877</v>
      </c>
      <c r="K2184" s="15">
        <v>147.0</v>
      </c>
      <c r="L2184" s="15">
        <v>147.0</v>
      </c>
      <c r="M2184" s="41">
        <v>39782.0</v>
      </c>
      <c r="N2184" s="40">
        <v>39784.0</v>
      </c>
      <c r="O2184" s="15" t="s">
        <v>1554</v>
      </c>
      <c r="Q2184" s="7"/>
    </row>
    <row r="2185">
      <c r="A2185" s="39" t="s">
        <v>9878</v>
      </c>
      <c r="B2185" s="15">
        <v>578361.0</v>
      </c>
      <c r="C2185" s="15" t="s">
        <v>9879</v>
      </c>
      <c r="D2185" s="15">
        <v>33135.0</v>
      </c>
      <c r="E2185" s="15" t="s">
        <v>1548</v>
      </c>
      <c r="F2185" s="15" t="s">
        <v>2900</v>
      </c>
      <c r="G2185" s="7">
        <v>4.009</v>
      </c>
      <c r="H2185" s="15" t="s">
        <v>3304</v>
      </c>
      <c r="I2185" s="15" t="s">
        <v>1628</v>
      </c>
      <c r="J2185" s="15" t="s">
        <v>9881</v>
      </c>
      <c r="K2185" s="15">
        <v>5.0</v>
      </c>
      <c r="L2185" s="15">
        <v>5.0</v>
      </c>
      <c r="M2185" s="40">
        <v>39790.0</v>
      </c>
      <c r="N2185" s="41">
        <v>40127.0</v>
      </c>
      <c r="O2185" s="15" t="s">
        <v>1554</v>
      </c>
      <c r="Q2185" s="7"/>
    </row>
    <row r="2186">
      <c r="A2186" s="39" t="s">
        <v>9882</v>
      </c>
      <c r="B2186" s="15">
        <v>55744.0</v>
      </c>
      <c r="C2186" s="15" t="s">
        <v>9883</v>
      </c>
      <c r="D2186" s="15">
        <v>33137.0</v>
      </c>
      <c r="E2186" s="15" t="s">
        <v>1557</v>
      </c>
      <c r="F2186" s="15" t="s">
        <v>1827</v>
      </c>
      <c r="G2186" s="7">
        <v>148.371</v>
      </c>
      <c r="H2186" s="15" t="s">
        <v>4902</v>
      </c>
      <c r="I2186" s="15" t="s">
        <v>1686</v>
      </c>
      <c r="J2186" s="15" t="s">
        <v>9884</v>
      </c>
      <c r="K2186" s="15">
        <v>80.0</v>
      </c>
      <c r="L2186" s="15">
        <v>80.0</v>
      </c>
      <c r="M2186" s="40">
        <v>39788.0</v>
      </c>
      <c r="N2186" s="40">
        <v>40291.0</v>
      </c>
      <c r="O2186" s="15" t="s">
        <v>1554</v>
      </c>
      <c r="Q2186" s="7"/>
    </row>
    <row r="2187">
      <c r="A2187" s="39" t="s">
        <v>9886</v>
      </c>
      <c r="B2187" s="15">
        <v>565140.0</v>
      </c>
      <c r="C2187" s="15" t="s">
        <v>9887</v>
      </c>
      <c r="D2187" s="15">
        <v>33139.0</v>
      </c>
      <c r="E2187" s="15" t="s">
        <v>1557</v>
      </c>
      <c r="F2187" s="15" t="s">
        <v>1833</v>
      </c>
      <c r="G2187" s="7">
        <v>37.456</v>
      </c>
      <c r="H2187" s="15" t="s">
        <v>2233</v>
      </c>
      <c r="I2187" s="15" t="s">
        <v>1586</v>
      </c>
      <c r="J2187" s="15" t="s">
        <v>9888</v>
      </c>
      <c r="K2187" s="15">
        <v>56.0</v>
      </c>
      <c r="L2187" s="15">
        <v>56.0</v>
      </c>
      <c r="M2187" s="40">
        <v>39791.0</v>
      </c>
      <c r="N2187" s="40">
        <v>40620.0</v>
      </c>
      <c r="O2187" s="15" t="s">
        <v>1554</v>
      </c>
      <c r="Q2187" s="7"/>
    </row>
    <row r="2188">
      <c r="A2188" s="39" t="s">
        <v>9889</v>
      </c>
      <c r="B2188" s="15">
        <v>491893.0</v>
      </c>
      <c r="C2188" s="15" t="s">
        <v>9890</v>
      </c>
      <c r="D2188" s="15">
        <v>33141.0</v>
      </c>
      <c r="E2188" s="15" t="s">
        <v>1557</v>
      </c>
      <c r="F2188" s="15" t="s">
        <v>1578</v>
      </c>
      <c r="G2188" s="7">
        <v>34.952</v>
      </c>
      <c r="H2188" s="15" t="s">
        <v>6418</v>
      </c>
      <c r="I2188" s="15" t="s">
        <v>1560</v>
      </c>
      <c r="J2188" s="15" t="s">
        <v>9891</v>
      </c>
      <c r="K2188" s="15">
        <v>31.0</v>
      </c>
      <c r="L2188" s="15">
        <v>31.0</v>
      </c>
      <c r="M2188" s="40">
        <v>39461.0</v>
      </c>
      <c r="N2188" s="41">
        <v>39792.0</v>
      </c>
      <c r="O2188" s="15" t="s">
        <v>1554</v>
      </c>
      <c r="Q2188" s="7"/>
    </row>
    <row r="2189">
      <c r="A2189" s="39" t="s">
        <v>9893</v>
      </c>
      <c r="B2189" s="15">
        <v>253700.0</v>
      </c>
      <c r="C2189" s="15" t="s">
        <v>9894</v>
      </c>
      <c r="D2189" s="15">
        <v>33189.0</v>
      </c>
      <c r="E2189" s="15" t="s">
        <v>1548</v>
      </c>
      <c r="F2189" s="15" t="s">
        <v>1633</v>
      </c>
      <c r="G2189" s="7">
        <v>6.633</v>
      </c>
      <c r="H2189" s="15" t="s">
        <v>2836</v>
      </c>
      <c r="I2189" s="15" t="s">
        <v>1628</v>
      </c>
      <c r="J2189" s="15" t="s">
        <v>9895</v>
      </c>
      <c r="K2189" s="15">
        <v>5.0</v>
      </c>
      <c r="L2189" s="15">
        <v>5.0</v>
      </c>
      <c r="M2189" s="40">
        <v>38100.0</v>
      </c>
      <c r="N2189" s="40">
        <v>42045.0</v>
      </c>
      <c r="O2189" s="15" t="s">
        <v>1554</v>
      </c>
      <c r="Q2189" s="7"/>
    </row>
    <row r="2190">
      <c r="A2190" s="39" t="s">
        <v>9896</v>
      </c>
      <c r="B2190" s="15">
        <v>367121.0</v>
      </c>
      <c r="C2190" s="15" t="s">
        <v>9897</v>
      </c>
      <c r="D2190" s="15">
        <v>33263.0</v>
      </c>
      <c r="E2190" s="15" t="s">
        <v>1548</v>
      </c>
      <c r="F2190" s="15" t="s">
        <v>1790</v>
      </c>
      <c r="G2190" s="7">
        <v>13.696</v>
      </c>
      <c r="H2190" s="15" t="s">
        <v>2877</v>
      </c>
      <c r="I2190" s="15" t="s">
        <v>1628</v>
      </c>
      <c r="J2190" s="15" t="s">
        <v>9898</v>
      </c>
      <c r="K2190" s="15">
        <v>7.0</v>
      </c>
      <c r="L2190" s="15">
        <v>7.0</v>
      </c>
      <c r="M2190" s="40">
        <v>39623.0</v>
      </c>
      <c r="N2190" s="40">
        <v>42575.0</v>
      </c>
      <c r="O2190" s="15" t="s">
        <v>1554</v>
      </c>
      <c r="Q2190" s="7"/>
    </row>
    <row r="2191">
      <c r="A2191" s="39" t="s">
        <v>9899</v>
      </c>
      <c r="B2191" s="15">
        <v>581037.0</v>
      </c>
      <c r="C2191" s="15" t="s">
        <v>9900</v>
      </c>
      <c r="D2191" s="15">
        <v>33265.0</v>
      </c>
      <c r="E2191" s="15" t="s">
        <v>1557</v>
      </c>
      <c r="F2191" s="15" t="s">
        <v>1767</v>
      </c>
      <c r="G2191" s="7">
        <v>66.235</v>
      </c>
      <c r="H2191" s="15" t="s">
        <v>4563</v>
      </c>
      <c r="I2191" s="15" t="s">
        <v>1586</v>
      </c>
      <c r="J2191" s="15" t="s">
        <v>9901</v>
      </c>
      <c r="K2191" s="15">
        <v>90.0</v>
      </c>
      <c r="L2191" s="15">
        <v>90.0</v>
      </c>
      <c r="M2191" s="41">
        <v>39796.0</v>
      </c>
      <c r="N2191" s="40">
        <v>40578.0</v>
      </c>
      <c r="O2191" s="15" t="s">
        <v>1554</v>
      </c>
      <c r="Q2191" s="7"/>
    </row>
    <row r="2192">
      <c r="A2192" s="39" t="s">
        <v>9903</v>
      </c>
      <c r="B2192" s="15">
        <v>576948.0</v>
      </c>
      <c r="C2192" s="15" t="s">
        <v>9904</v>
      </c>
      <c r="D2192" s="15">
        <v>33267.0</v>
      </c>
      <c r="E2192" s="15" t="s">
        <v>1548</v>
      </c>
      <c r="F2192" s="15" t="s">
        <v>4829</v>
      </c>
      <c r="G2192" s="7">
        <v>7.422</v>
      </c>
      <c r="H2192" s="15" t="s">
        <v>2945</v>
      </c>
      <c r="I2192" s="15" t="s">
        <v>1686</v>
      </c>
      <c r="J2192" s="15" t="s">
        <v>9905</v>
      </c>
      <c r="K2192" s="15">
        <v>2.0</v>
      </c>
      <c r="L2192" s="15">
        <v>2.0</v>
      </c>
      <c r="M2192" s="41">
        <v>39794.0</v>
      </c>
      <c r="N2192" s="40">
        <v>39871.0</v>
      </c>
      <c r="O2192" s="15" t="s">
        <v>1554</v>
      </c>
      <c r="Q2192" s="7"/>
    </row>
    <row r="2193">
      <c r="A2193" s="39" t="s">
        <v>9906</v>
      </c>
      <c r="B2193" s="15">
        <v>580254.0</v>
      </c>
      <c r="C2193" s="15" t="s">
        <v>9907</v>
      </c>
      <c r="D2193" s="15">
        <v>33269.0</v>
      </c>
      <c r="E2193" s="15" t="s">
        <v>1638</v>
      </c>
      <c r="F2193" s="15" t="s">
        <v>1796</v>
      </c>
      <c r="G2193" s="7">
        <v>3.19</v>
      </c>
      <c r="H2193" s="15" t="s">
        <v>9908</v>
      </c>
      <c r="I2193" s="15" t="s">
        <v>1628</v>
      </c>
      <c r="J2193" s="15" t="s">
        <v>9909</v>
      </c>
      <c r="K2193" s="15">
        <v>2.0</v>
      </c>
      <c r="L2193" s="15">
        <v>2.0</v>
      </c>
      <c r="M2193" s="41">
        <v>39797.0</v>
      </c>
      <c r="N2193" s="41">
        <v>39799.0</v>
      </c>
      <c r="O2193" s="15" t="s">
        <v>1554</v>
      </c>
      <c r="Q2193" s="7"/>
    </row>
    <row r="2194">
      <c r="A2194" s="39" t="s">
        <v>9911</v>
      </c>
      <c r="B2194" s="15">
        <v>582382.0</v>
      </c>
      <c r="C2194" s="15" t="s">
        <v>9912</v>
      </c>
      <c r="D2194" s="15">
        <v>33327.0</v>
      </c>
      <c r="E2194" s="15" t="s">
        <v>1557</v>
      </c>
      <c r="F2194" s="15" t="s">
        <v>1767</v>
      </c>
      <c r="G2194" s="7">
        <v>66.39</v>
      </c>
      <c r="H2194" s="15" t="s">
        <v>4563</v>
      </c>
      <c r="I2194" s="15" t="s">
        <v>1586</v>
      </c>
      <c r="J2194" s="15" t="s">
        <v>9913</v>
      </c>
      <c r="K2194" s="15">
        <v>92.0</v>
      </c>
      <c r="L2194" s="15">
        <v>92.0</v>
      </c>
      <c r="M2194" s="41">
        <v>39798.0</v>
      </c>
      <c r="N2194" s="40">
        <v>40578.0</v>
      </c>
      <c r="O2194" s="15" t="s">
        <v>1554</v>
      </c>
      <c r="Q2194" s="7"/>
    </row>
    <row r="2195">
      <c r="A2195" s="39" t="s">
        <v>9914</v>
      </c>
      <c r="B2195" s="15">
        <v>445217.0</v>
      </c>
      <c r="C2195" s="15" t="s">
        <v>9915</v>
      </c>
      <c r="D2195" s="15">
        <v>33407.0</v>
      </c>
      <c r="E2195" s="15" t="s">
        <v>1557</v>
      </c>
      <c r="F2195" s="15" t="s">
        <v>1822</v>
      </c>
      <c r="G2195" s="7">
        <v>8.256</v>
      </c>
      <c r="H2195" s="15" t="s">
        <v>2049</v>
      </c>
      <c r="I2195" s="15" t="s">
        <v>1686</v>
      </c>
      <c r="J2195" s="15" t="s">
        <v>9916</v>
      </c>
      <c r="K2195" s="15">
        <v>7.0</v>
      </c>
      <c r="L2195" s="15">
        <v>7.0</v>
      </c>
      <c r="M2195" s="41">
        <v>39804.0</v>
      </c>
      <c r="N2195" s="40">
        <v>42575.0</v>
      </c>
      <c r="O2195" s="15" t="s">
        <v>1554</v>
      </c>
      <c r="Q2195" s="7"/>
    </row>
    <row r="2196">
      <c r="A2196" s="39" t="s">
        <v>9917</v>
      </c>
      <c r="B2196" s="15">
        <v>318279.0</v>
      </c>
      <c r="C2196" s="15" t="s">
        <v>9918</v>
      </c>
      <c r="D2196" s="15">
        <v>33481.0</v>
      </c>
      <c r="E2196" s="15" t="s">
        <v>1916</v>
      </c>
      <c r="F2196" s="15" t="s">
        <v>2532</v>
      </c>
      <c r="G2196" s="7">
        <v>8.791</v>
      </c>
      <c r="H2196" s="15" t="s">
        <v>1966</v>
      </c>
      <c r="I2196" s="15" t="s">
        <v>1686</v>
      </c>
      <c r="J2196" s="15" t="s">
        <v>9920</v>
      </c>
      <c r="K2196" s="15">
        <v>6.0</v>
      </c>
      <c r="L2196" s="15">
        <v>6.0</v>
      </c>
      <c r="M2196" s="41">
        <v>39813.0</v>
      </c>
      <c r="N2196" s="40">
        <v>39818.0</v>
      </c>
      <c r="O2196" s="15" t="s">
        <v>1554</v>
      </c>
      <c r="Q2196" s="7"/>
    </row>
    <row r="2197">
      <c r="A2197" s="39" t="s">
        <v>9921</v>
      </c>
      <c r="B2197" s="15">
        <v>329864.0</v>
      </c>
      <c r="C2197" s="15" t="s">
        <v>9922</v>
      </c>
      <c r="D2197" s="15">
        <v>33483.0</v>
      </c>
      <c r="E2197" s="15" t="s">
        <v>1557</v>
      </c>
      <c r="F2197" s="15" t="s">
        <v>1611</v>
      </c>
      <c r="G2197" s="7">
        <v>41.941</v>
      </c>
      <c r="H2197" s="15">
        <v>47.0</v>
      </c>
      <c r="I2197" s="15" t="s">
        <v>1586</v>
      </c>
      <c r="J2197" s="15" t="s">
        <v>9923</v>
      </c>
      <c r="K2197" s="15">
        <v>67.0</v>
      </c>
      <c r="L2197" s="15">
        <v>67.0</v>
      </c>
      <c r="M2197" s="41">
        <v>39813.0</v>
      </c>
      <c r="N2197" s="40">
        <v>40263.0</v>
      </c>
      <c r="O2197" s="15" t="s">
        <v>1554</v>
      </c>
      <c r="Q2197" s="7"/>
    </row>
    <row r="2198">
      <c r="A2198" s="39" t="s">
        <v>9924</v>
      </c>
      <c r="B2198" s="15">
        <v>229030.0</v>
      </c>
      <c r="C2198" s="15" t="s">
        <v>9925</v>
      </c>
      <c r="D2198" s="15">
        <v>33485.0</v>
      </c>
      <c r="E2198" s="15" t="s">
        <v>1548</v>
      </c>
      <c r="F2198" s="15" t="s">
        <v>2615</v>
      </c>
      <c r="G2198" s="7">
        <v>6.449</v>
      </c>
      <c r="H2198" s="15" t="s">
        <v>1813</v>
      </c>
      <c r="I2198" s="15" t="s">
        <v>1628</v>
      </c>
      <c r="J2198" s="15" t="s">
        <v>9926</v>
      </c>
      <c r="K2198" s="15">
        <v>4.0</v>
      </c>
      <c r="L2198" s="15">
        <v>4.0</v>
      </c>
      <c r="M2198" s="41">
        <v>39813.0</v>
      </c>
      <c r="N2198" s="40">
        <v>41002.0</v>
      </c>
      <c r="O2198" s="15" t="s">
        <v>1554</v>
      </c>
      <c r="Q2198" s="7"/>
    </row>
    <row r="2199">
      <c r="A2199" s="39" t="s">
        <v>9927</v>
      </c>
      <c r="B2199" s="15">
        <v>509531.0</v>
      </c>
      <c r="C2199" s="15" t="s">
        <v>9928</v>
      </c>
      <c r="D2199" s="15">
        <v>33487.0</v>
      </c>
      <c r="E2199" s="15" t="s">
        <v>1808</v>
      </c>
      <c r="F2199" s="15" t="s">
        <v>1809</v>
      </c>
      <c r="G2199" s="7">
        <v>2.74</v>
      </c>
      <c r="H2199" s="15" t="s">
        <v>3653</v>
      </c>
      <c r="I2199" s="15" t="s">
        <v>1628</v>
      </c>
      <c r="J2199" s="15" t="s">
        <v>9929</v>
      </c>
      <c r="K2199" s="15">
        <v>6.0</v>
      </c>
      <c r="L2199" s="15">
        <v>6.0</v>
      </c>
      <c r="M2199" s="40">
        <v>39814.0</v>
      </c>
      <c r="N2199" s="40">
        <v>42045.0</v>
      </c>
      <c r="O2199" s="15" t="s">
        <v>1554</v>
      </c>
      <c r="Q2199" s="7"/>
    </row>
    <row r="2200">
      <c r="A2200" s="39" t="s">
        <v>9930</v>
      </c>
      <c r="B2200" s="15">
        <v>509532.0</v>
      </c>
      <c r="C2200" s="15" t="s">
        <v>9931</v>
      </c>
      <c r="D2200" s="15">
        <v>33489.0</v>
      </c>
      <c r="E2200" s="15" t="s">
        <v>1808</v>
      </c>
      <c r="F2200" s="15" t="s">
        <v>1809</v>
      </c>
      <c r="G2200" s="7">
        <v>5.462</v>
      </c>
      <c r="H2200" s="15" t="s">
        <v>9932</v>
      </c>
      <c r="I2200" s="15" t="s">
        <v>1628</v>
      </c>
      <c r="J2200" s="15" t="s">
        <v>9933</v>
      </c>
      <c r="K2200" s="15">
        <v>8.0</v>
      </c>
      <c r="L2200" s="15">
        <v>8.0</v>
      </c>
      <c r="M2200" s="40">
        <v>39814.0</v>
      </c>
      <c r="N2200" s="40">
        <v>40206.0</v>
      </c>
      <c r="O2200" s="15" t="s">
        <v>1554</v>
      </c>
      <c r="Q2200" s="7"/>
    </row>
    <row r="2201">
      <c r="A2201" s="39" t="s">
        <v>9934</v>
      </c>
      <c r="B2201" s="15">
        <v>39681.0</v>
      </c>
      <c r="C2201" s="15" t="s">
        <v>9935</v>
      </c>
      <c r="D2201" s="15">
        <v>33493.0</v>
      </c>
      <c r="E2201" s="15" t="s">
        <v>1548</v>
      </c>
      <c r="F2201" s="15" t="s">
        <v>1926</v>
      </c>
      <c r="G2201" s="7">
        <v>8.654</v>
      </c>
      <c r="H2201" s="15" t="s">
        <v>9937</v>
      </c>
      <c r="I2201" s="15" t="s">
        <v>1628</v>
      </c>
      <c r="J2201" s="15" t="s">
        <v>9938</v>
      </c>
      <c r="K2201" s="15">
        <v>5.0</v>
      </c>
      <c r="L2201" s="15">
        <v>5.0</v>
      </c>
      <c r="M2201" s="40">
        <v>34809.0</v>
      </c>
      <c r="N2201" s="40">
        <v>40065.0</v>
      </c>
      <c r="O2201" s="15" t="s">
        <v>1554</v>
      </c>
      <c r="Q2201" s="7"/>
    </row>
    <row r="2202">
      <c r="A2202" s="39" t="s">
        <v>9939</v>
      </c>
      <c r="B2202" s="15">
        <v>538398.0</v>
      </c>
      <c r="C2202" s="15" t="s">
        <v>9940</v>
      </c>
      <c r="D2202" s="15">
        <v>33499.0</v>
      </c>
      <c r="E2202" s="15" t="s">
        <v>1557</v>
      </c>
      <c r="F2202" s="15" t="s">
        <v>1767</v>
      </c>
      <c r="G2202" s="7">
        <v>65.764</v>
      </c>
      <c r="H2202" s="15" t="s">
        <v>3776</v>
      </c>
      <c r="I2202" s="15" t="s">
        <v>1586</v>
      </c>
      <c r="J2202" s="15" t="s">
        <v>9941</v>
      </c>
      <c r="K2202" s="15">
        <v>94.0</v>
      </c>
      <c r="L2202" s="15">
        <v>93.0</v>
      </c>
      <c r="M2202" s="40">
        <v>39818.0</v>
      </c>
      <c r="N2202" s="40">
        <v>40578.0</v>
      </c>
      <c r="O2202" s="15" t="s">
        <v>1554</v>
      </c>
      <c r="Q2202" s="7"/>
    </row>
    <row r="2203">
      <c r="A2203" s="39" t="s">
        <v>9942</v>
      </c>
      <c r="B2203" s="15">
        <v>578234.0</v>
      </c>
      <c r="C2203" s="15" t="s">
        <v>9943</v>
      </c>
      <c r="D2203" s="15">
        <v>33535.0</v>
      </c>
      <c r="E2203" s="15" t="s">
        <v>1557</v>
      </c>
      <c r="F2203" s="15" t="s">
        <v>1833</v>
      </c>
      <c r="G2203" s="7">
        <v>38.934</v>
      </c>
      <c r="H2203" s="15">
        <v>37.0</v>
      </c>
      <c r="I2203" s="15" t="s">
        <v>1586</v>
      </c>
      <c r="J2203" s="15" t="s">
        <v>9944</v>
      </c>
      <c r="K2203" s="15">
        <v>47.0</v>
      </c>
      <c r="L2203" s="15">
        <v>47.0</v>
      </c>
      <c r="M2203" s="40">
        <v>39814.0</v>
      </c>
      <c r="N2203" s="40">
        <v>39819.0</v>
      </c>
      <c r="O2203" s="15" t="s">
        <v>1554</v>
      </c>
      <c r="Q2203" s="7"/>
    </row>
    <row r="2204">
      <c r="A2204" s="39" t="s">
        <v>9945</v>
      </c>
      <c r="B2204" s="15">
        <v>557393.0</v>
      </c>
      <c r="C2204" s="15" t="s">
        <v>9946</v>
      </c>
      <c r="D2204" s="15">
        <v>33537.0</v>
      </c>
      <c r="E2204" s="15" t="s">
        <v>1557</v>
      </c>
      <c r="F2204" s="15" t="s">
        <v>1767</v>
      </c>
      <c r="G2204" s="7">
        <v>84.576</v>
      </c>
      <c r="H2204" s="15" t="s">
        <v>3066</v>
      </c>
      <c r="I2204" s="15" t="s">
        <v>1586</v>
      </c>
      <c r="J2204" s="15" t="s">
        <v>9948</v>
      </c>
      <c r="K2204" s="15">
        <v>144.0</v>
      </c>
      <c r="L2204" s="15">
        <v>118.0</v>
      </c>
      <c r="M2204" s="40">
        <v>39818.0</v>
      </c>
      <c r="N2204" s="40">
        <v>40263.0</v>
      </c>
      <c r="O2204" s="15" t="s">
        <v>1554</v>
      </c>
      <c r="Q2204" s="7"/>
    </row>
    <row r="2205">
      <c r="A2205" s="39" t="s">
        <v>9949</v>
      </c>
      <c r="B2205" s="15">
        <v>255066.0</v>
      </c>
      <c r="C2205" s="15" t="s">
        <v>9950</v>
      </c>
      <c r="D2205" s="15">
        <v>33675.0</v>
      </c>
      <c r="E2205" s="15" t="s">
        <v>1548</v>
      </c>
      <c r="F2205" s="15" t="s">
        <v>1911</v>
      </c>
      <c r="G2205" s="7">
        <v>9.792</v>
      </c>
      <c r="H2205" s="15">
        <v>42.0</v>
      </c>
      <c r="I2205" s="15" t="s">
        <v>1628</v>
      </c>
      <c r="J2205" s="15" t="s">
        <v>9951</v>
      </c>
      <c r="K2205" s="15">
        <v>2.0</v>
      </c>
      <c r="L2205" s="15">
        <v>2.0</v>
      </c>
      <c r="M2205" s="40">
        <v>39827.0</v>
      </c>
      <c r="N2205" s="40">
        <v>42045.0</v>
      </c>
      <c r="O2205" s="15" t="s">
        <v>1554</v>
      </c>
      <c r="Q2205" s="7"/>
    </row>
    <row r="2206">
      <c r="A2206" s="39" t="s">
        <v>9952</v>
      </c>
      <c r="B2206" s="15">
        <v>587620.0</v>
      </c>
      <c r="C2206" s="15" t="s">
        <v>9953</v>
      </c>
      <c r="D2206" s="15">
        <v>33677.0</v>
      </c>
      <c r="E2206" s="15" t="s">
        <v>1808</v>
      </c>
      <c r="F2206" s="15" t="s">
        <v>1809</v>
      </c>
      <c r="G2206" s="7">
        <v>2.751</v>
      </c>
      <c r="H2206" s="15" t="s">
        <v>2877</v>
      </c>
      <c r="I2206" s="15" t="s">
        <v>1628</v>
      </c>
      <c r="J2206" s="15" t="s">
        <v>9954</v>
      </c>
      <c r="K2206" s="15">
        <v>7.0</v>
      </c>
      <c r="L2206" s="15">
        <v>7.0</v>
      </c>
      <c r="M2206" s="40">
        <v>39826.0</v>
      </c>
      <c r="N2206" s="41">
        <v>42297.0</v>
      </c>
      <c r="O2206" s="15" t="s">
        <v>1554</v>
      </c>
      <c r="Q2206" s="7"/>
    </row>
    <row r="2207">
      <c r="A2207" s="39" t="s">
        <v>9955</v>
      </c>
      <c r="B2207" s="15">
        <v>587370.0</v>
      </c>
      <c r="C2207" s="15" t="s">
        <v>9956</v>
      </c>
      <c r="D2207" s="15">
        <v>33679.0</v>
      </c>
      <c r="E2207" s="15" t="s">
        <v>1916</v>
      </c>
      <c r="F2207" s="15" t="s">
        <v>1917</v>
      </c>
      <c r="G2207" s="7">
        <v>8.222</v>
      </c>
      <c r="H2207" s="15" t="s">
        <v>4595</v>
      </c>
      <c r="I2207" s="15" t="s">
        <v>1628</v>
      </c>
      <c r="J2207" s="15" t="s">
        <v>9958</v>
      </c>
      <c r="K2207" s="15">
        <v>7.0</v>
      </c>
      <c r="L2207" s="15">
        <v>7.0</v>
      </c>
      <c r="M2207" s="40">
        <v>39826.0</v>
      </c>
      <c r="N2207" s="40">
        <v>42045.0</v>
      </c>
      <c r="O2207" s="15" t="s">
        <v>1554</v>
      </c>
      <c r="Q2207" s="7"/>
    </row>
    <row r="2208">
      <c r="A2208" s="39" t="s">
        <v>9959</v>
      </c>
      <c r="B2208" s="15">
        <v>348058.0</v>
      </c>
      <c r="C2208" s="15" t="s">
        <v>9960</v>
      </c>
      <c r="D2208" s="15">
        <v>33779.0</v>
      </c>
      <c r="E2208" s="15" t="s">
        <v>1557</v>
      </c>
      <c r="F2208" s="15" t="s">
        <v>1611</v>
      </c>
      <c r="G2208" s="7">
        <v>43.016</v>
      </c>
      <c r="H2208" s="15" t="s">
        <v>2075</v>
      </c>
      <c r="I2208" s="15" t="s">
        <v>1586</v>
      </c>
      <c r="J2208" s="15" t="s">
        <v>9961</v>
      </c>
      <c r="K2208" s="15">
        <v>74.0</v>
      </c>
      <c r="L2208" s="15">
        <v>73.0</v>
      </c>
      <c r="M2208" s="40">
        <v>39839.0</v>
      </c>
      <c r="N2208" s="40">
        <v>40263.0</v>
      </c>
      <c r="O2208" s="15" t="s">
        <v>1554</v>
      </c>
      <c r="Q2208" s="7"/>
    </row>
    <row r="2209">
      <c r="A2209" s="39" t="s">
        <v>9963</v>
      </c>
      <c r="B2209" s="15">
        <v>591487.0</v>
      </c>
      <c r="C2209" s="15" t="s">
        <v>9964</v>
      </c>
      <c r="D2209" s="15">
        <v>33871.0</v>
      </c>
      <c r="E2209" s="15" t="s">
        <v>1557</v>
      </c>
      <c r="F2209" s="15" t="s">
        <v>1833</v>
      </c>
      <c r="G2209" s="7">
        <v>69.378</v>
      </c>
      <c r="H2209" s="15" t="s">
        <v>9965</v>
      </c>
      <c r="I2209" s="15" t="s">
        <v>1586</v>
      </c>
      <c r="J2209" s="15" t="s">
        <v>9966</v>
      </c>
      <c r="K2209" s="15">
        <v>103.0</v>
      </c>
      <c r="L2209" s="15">
        <v>103.0</v>
      </c>
      <c r="M2209" s="40">
        <v>39846.0</v>
      </c>
      <c r="N2209" s="40">
        <v>39847.0</v>
      </c>
      <c r="O2209" s="15" t="s">
        <v>1554</v>
      </c>
      <c r="Q2209" s="7"/>
    </row>
    <row r="2210">
      <c r="A2210" s="39" t="s">
        <v>9967</v>
      </c>
      <c r="B2210" s="15">
        <v>592206.0</v>
      </c>
      <c r="C2210" s="15" t="s">
        <v>9968</v>
      </c>
      <c r="D2210" s="15">
        <v>33877.0</v>
      </c>
      <c r="E2210" s="15" t="s">
        <v>1548</v>
      </c>
      <c r="F2210" s="15" t="s">
        <v>1786</v>
      </c>
      <c r="G2210" s="7">
        <v>8.542</v>
      </c>
      <c r="H2210" s="15" t="s">
        <v>1792</v>
      </c>
      <c r="I2210" s="15" t="s">
        <v>1628</v>
      </c>
      <c r="J2210" s="15" t="s">
        <v>9970</v>
      </c>
      <c r="K2210" s="15">
        <v>6.0</v>
      </c>
      <c r="L2210" s="15">
        <v>6.0</v>
      </c>
      <c r="M2210" s="40">
        <v>39847.0</v>
      </c>
      <c r="N2210" s="40">
        <v>40764.0</v>
      </c>
      <c r="O2210" s="15" t="s">
        <v>1554</v>
      </c>
      <c r="Q2210" s="7"/>
    </row>
    <row r="2211">
      <c r="A2211" s="39" t="s">
        <v>9971</v>
      </c>
      <c r="B2211" s="15">
        <v>591160.0</v>
      </c>
      <c r="C2211" s="15" t="s">
        <v>9972</v>
      </c>
      <c r="D2211" s="15">
        <v>33885.0</v>
      </c>
      <c r="E2211" s="15" t="s">
        <v>1808</v>
      </c>
      <c r="F2211" s="15" t="s">
        <v>1809</v>
      </c>
      <c r="G2211" s="7">
        <v>2.757</v>
      </c>
      <c r="H2211" s="15" t="s">
        <v>2552</v>
      </c>
      <c r="I2211" s="15" t="s">
        <v>1628</v>
      </c>
      <c r="J2211" s="15" t="s">
        <v>9973</v>
      </c>
      <c r="K2211" s="15">
        <v>7.0</v>
      </c>
      <c r="L2211" s="15">
        <v>7.0</v>
      </c>
      <c r="M2211" s="40">
        <v>39847.0</v>
      </c>
      <c r="N2211" s="40">
        <v>42045.0</v>
      </c>
      <c r="O2211" s="15" t="s">
        <v>1554</v>
      </c>
      <c r="Q2211" s="7"/>
    </row>
    <row r="2212">
      <c r="A2212" s="39" t="s">
        <v>9975</v>
      </c>
      <c r="B2212" s="15">
        <v>593131.0</v>
      </c>
      <c r="C2212" s="15" t="s">
        <v>9976</v>
      </c>
      <c r="D2212" s="15">
        <v>34533.0</v>
      </c>
      <c r="E2212" s="15" t="s">
        <v>1638</v>
      </c>
      <c r="F2212" s="15" t="s">
        <v>4925</v>
      </c>
      <c r="G2212" s="7">
        <v>12.685</v>
      </c>
      <c r="H2212" s="15" t="s">
        <v>9977</v>
      </c>
      <c r="I2212" s="15" t="s">
        <v>1586</v>
      </c>
      <c r="J2212" s="15" t="s">
        <v>9978</v>
      </c>
      <c r="K2212" s="15">
        <v>14.0</v>
      </c>
      <c r="L2212" s="15">
        <v>14.0</v>
      </c>
      <c r="M2212" s="40">
        <v>39862.0</v>
      </c>
      <c r="N2212" s="40">
        <v>40935.0</v>
      </c>
      <c r="O2212" s="15" t="s">
        <v>1554</v>
      </c>
      <c r="Q2212" s="7"/>
    </row>
    <row r="2213">
      <c r="A2213" s="39" t="s">
        <v>9979</v>
      </c>
      <c r="B2213" s="15">
        <v>575913.0</v>
      </c>
      <c r="C2213" s="15" t="s">
        <v>9980</v>
      </c>
      <c r="D2213" s="15">
        <v>34541.0</v>
      </c>
      <c r="E2213" s="15" t="s">
        <v>1808</v>
      </c>
      <c r="F2213" s="15" t="s">
        <v>1578</v>
      </c>
      <c r="G2213" s="7">
        <v>1.898</v>
      </c>
      <c r="H2213" s="15" t="s">
        <v>2361</v>
      </c>
      <c r="I2213" s="15" t="s">
        <v>1686</v>
      </c>
      <c r="J2213" s="15" t="s">
        <v>9982</v>
      </c>
      <c r="K2213" s="15">
        <v>3.0</v>
      </c>
      <c r="L2213" s="15">
        <v>3.0</v>
      </c>
      <c r="M2213" s="40">
        <v>39861.0</v>
      </c>
      <c r="N2213" s="40">
        <v>42458.0</v>
      </c>
      <c r="O2213" s="15" t="s">
        <v>1554</v>
      </c>
      <c r="Q2213" s="7"/>
    </row>
    <row r="2214">
      <c r="A2214" s="39" t="s">
        <v>9983</v>
      </c>
      <c r="B2214" s="15">
        <v>587313.0</v>
      </c>
      <c r="C2214" s="15" t="s">
        <v>9984</v>
      </c>
      <c r="D2214" s="15">
        <v>34665.0</v>
      </c>
      <c r="E2214" s="15" t="s">
        <v>1808</v>
      </c>
      <c r="F2214" s="15" t="s">
        <v>1809</v>
      </c>
      <c r="G2214" s="7">
        <v>2.764</v>
      </c>
      <c r="H2214" s="15" t="s">
        <v>3066</v>
      </c>
      <c r="I2214" s="15" t="s">
        <v>1628</v>
      </c>
      <c r="J2214" s="15" t="s">
        <v>9985</v>
      </c>
      <c r="K2214" s="15">
        <v>6.0</v>
      </c>
      <c r="L2214" s="15">
        <v>6.0</v>
      </c>
      <c r="M2214" s="40">
        <v>39823.0</v>
      </c>
      <c r="N2214" s="40">
        <v>42045.0</v>
      </c>
      <c r="O2214" s="15" t="s">
        <v>1554</v>
      </c>
      <c r="Q2214" s="7"/>
    </row>
    <row r="2215">
      <c r="A2215" s="39" t="s">
        <v>9986</v>
      </c>
      <c r="B2215" s="15">
        <v>526413.0</v>
      </c>
      <c r="C2215" s="15" t="s">
        <v>9987</v>
      </c>
      <c r="D2215" s="15">
        <v>34709.0</v>
      </c>
      <c r="E2215" s="15" t="s">
        <v>1557</v>
      </c>
      <c r="F2215" s="15" t="s">
        <v>1822</v>
      </c>
      <c r="G2215" s="7">
        <v>7.802</v>
      </c>
      <c r="H2215" s="15" t="s">
        <v>4902</v>
      </c>
      <c r="I2215" s="15" t="s">
        <v>1686</v>
      </c>
      <c r="J2215" s="15" t="s">
        <v>9988</v>
      </c>
      <c r="K2215" s="15">
        <v>6.0</v>
      </c>
      <c r="L2215" s="15">
        <v>6.0</v>
      </c>
      <c r="M2215" s="40">
        <v>39872.0</v>
      </c>
      <c r="N2215" s="40">
        <v>41029.0</v>
      </c>
      <c r="O2215" s="15" t="s">
        <v>1554</v>
      </c>
      <c r="Q2215" s="7"/>
    </row>
    <row r="2216">
      <c r="A2216" s="39" t="s">
        <v>9990</v>
      </c>
      <c r="B2216" s="15">
        <v>1218490.0</v>
      </c>
      <c r="C2216" s="15" t="s">
        <v>9991</v>
      </c>
      <c r="D2216" s="15">
        <v>34735.0</v>
      </c>
      <c r="E2216" s="15" t="s">
        <v>1808</v>
      </c>
      <c r="F2216" s="15" t="s">
        <v>2232</v>
      </c>
      <c r="G2216" s="7">
        <v>2.14</v>
      </c>
      <c r="H2216" s="15" t="s">
        <v>2064</v>
      </c>
      <c r="I2216" s="15" t="s">
        <v>1567</v>
      </c>
      <c r="J2216" s="15" t="s">
        <v>9992</v>
      </c>
      <c r="K2216" s="15">
        <v>3.0</v>
      </c>
      <c r="L2216" s="15">
        <v>3.0</v>
      </c>
      <c r="M2216" s="40">
        <v>39875.0</v>
      </c>
      <c r="N2216" s="40">
        <v>40206.0</v>
      </c>
      <c r="O2216" s="15" t="s">
        <v>1554</v>
      </c>
      <c r="Q2216" s="7"/>
    </row>
    <row r="2217">
      <c r="A2217" s="39" t="s">
        <v>9993</v>
      </c>
      <c r="B2217" s="15">
        <v>578305.0</v>
      </c>
      <c r="C2217" s="15" t="s">
        <v>9994</v>
      </c>
      <c r="D2217" s="15">
        <v>34755.0</v>
      </c>
      <c r="E2217" s="15" t="s">
        <v>1548</v>
      </c>
      <c r="F2217" s="15" t="s">
        <v>1926</v>
      </c>
      <c r="G2217" s="7">
        <v>8.499</v>
      </c>
      <c r="H2217" s="15" t="s">
        <v>9995</v>
      </c>
      <c r="I2217" s="15" t="s">
        <v>1628</v>
      </c>
      <c r="J2217" s="15" t="s">
        <v>9996</v>
      </c>
      <c r="K2217" s="15">
        <v>5.0</v>
      </c>
      <c r="L2217" s="15">
        <v>5.0</v>
      </c>
      <c r="M2217" s="40">
        <v>39875.0</v>
      </c>
      <c r="N2217" s="40">
        <v>39884.0</v>
      </c>
      <c r="O2217" s="15" t="s">
        <v>1554</v>
      </c>
      <c r="Q2217" s="7"/>
    </row>
    <row r="2218">
      <c r="A2218" s="39" t="s">
        <v>9997</v>
      </c>
      <c r="B2218" s="15">
        <v>418448.0</v>
      </c>
      <c r="C2218" s="15" t="s">
        <v>9998</v>
      </c>
      <c r="D2218" s="15">
        <v>34757.0</v>
      </c>
      <c r="E2218" s="15" t="s">
        <v>1808</v>
      </c>
      <c r="F2218" s="15" t="s">
        <v>1809</v>
      </c>
      <c r="G2218" s="7">
        <v>2.759</v>
      </c>
      <c r="H2218" s="15" t="s">
        <v>1685</v>
      </c>
      <c r="I2218" s="15" t="s">
        <v>1628</v>
      </c>
      <c r="J2218" s="15" t="s">
        <v>10000</v>
      </c>
      <c r="K2218" s="15">
        <v>5.0</v>
      </c>
      <c r="L2218" s="15">
        <v>5.0</v>
      </c>
      <c r="M2218" s="40">
        <v>39823.0</v>
      </c>
      <c r="N2218" s="40">
        <v>40401.0</v>
      </c>
      <c r="O2218" s="15" t="s">
        <v>1554</v>
      </c>
      <c r="Q2218" s="7"/>
    </row>
    <row r="2219">
      <c r="A2219" s="39" t="s">
        <v>10001</v>
      </c>
      <c r="B2219" s="15">
        <v>614034.0</v>
      </c>
      <c r="C2219" s="15" t="s">
        <v>10002</v>
      </c>
      <c r="D2219" s="15">
        <v>34815.0</v>
      </c>
      <c r="E2219" s="15" t="s">
        <v>1808</v>
      </c>
      <c r="F2219" s="15" t="s">
        <v>1809</v>
      </c>
      <c r="G2219" s="7">
        <v>2.784</v>
      </c>
      <c r="H2219" s="15" t="s">
        <v>2648</v>
      </c>
      <c r="I2219" s="15" t="s">
        <v>1628</v>
      </c>
      <c r="J2219" s="15" t="s">
        <v>10003</v>
      </c>
      <c r="K2219" s="15">
        <v>6.0</v>
      </c>
      <c r="L2219" s="15">
        <v>6.0</v>
      </c>
      <c r="M2219" s="40">
        <v>39879.0</v>
      </c>
      <c r="N2219" s="40">
        <v>42045.0</v>
      </c>
      <c r="O2219" s="15" t="s">
        <v>1554</v>
      </c>
      <c r="Q2219" s="7"/>
    </row>
    <row r="2220">
      <c r="A2220" s="39" t="s">
        <v>10004</v>
      </c>
      <c r="B2220" s="15">
        <v>590403.0</v>
      </c>
      <c r="C2220" s="15" t="s">
        <v>10005</v>
      </c>
      <c r="D2220" s="15">
        <v>34841.0</v>
      </c>
      <c r="E2220" s="15" t="s">
        <v>1548</v>
      </c>
      <c r="F2220" s="15" t="s">
        <v>1786</v>
      </c>
      <c r="G2220" s="7">
        <v>8.604</v>
      </c>
      <c r="H2220" s="15" t="s">
        <v>3653</v>
      </c>
      <c r="I2220" s="15" t="s">
        <v>1628</v>
      </c>
      <c r="J2220" s="15" t="s">
        <v>10006</v>
      </c>
      <c r="K2220" s="15">
        <v>6.0</v>
      </c>
      <c r="L2220" s="15">
        <v>6.0</v>
      </c>
      <c r="M2220" s="40">
        <v>39882.0</v>
      </c>
      <c r="N2220" s="40">
        <v>40064.0</v>
      </c>
      <c r="O2220" s="15" t="s">
        <v>1554</v>
      </c>
      <c r="Q2220" s="7"/>
    </row>
    <row r="2221">
      <c r="A2221" s="39" t="s">
        <v>10008</v>
      </c>
      <c r="B2221" s="15">
        <v>317027.0</v>
      </c>
      <c r="C2221" s="15" t="s">
        <v>10009</v>
      </c>
      <c r="D2221" s="15">
        <v>34843.0</v>
      </c>
      <c r="E2221" s="15" t="s">
        <v>1548</v>
      </c>
      <c r="F2221" s="15" t="s">
        <v>1633</v>
      </c>
      <c r="G2221" s="7">
        <v>7.118</v>
      </c>
      <c r="H2221" s="15" t="s">
        <v>2296</v>
      </c>
      <c r="I2221" s="15" t="s">
        <v>1628</v>
      </c>
      <c r="J2221" s="15" t="s">
        <v>10010</v>
      </c>
      <c r="K2221" s="15">
        <v>5.0</v>
      </c>
      <c r="L2221" s="15">
        <v>5.0</v>
      </c>
      <c r="M2221" s="40">
        <v>39882.0</v>
      </c>
      <c r="N2221" s="41">
        <v>40865.0</v>
      </c>
      <c r="O2221" s="15" t="s">
        <v>1554</v>
      </c>
      <c r="Q2221" s="7"/>
    </row>
    <row r="2222">
      <c r="A2222" s="39" t="s">
        <v>10011</v>
      </c>
      <c r="B2222" s="15">
        <v>624134.0</v>
      </c>
      <c r="C2222" s="15" t="s">
        <v>10012</v>
      </c>
      <c r="D2222" s="15">
        <v>34919.0</v>
      </c>
      <c r="E2222" s="15" t="s">
        <v>1557</v>
      </c>
      <c r="F2222" s="15" t="s">
        <v>1833</v>
      </c>
      <c r="G2222" s="7">
        <v>44.899</v>
      </c>
      <c r="H2222" s="15" t="s">
        <v>2996</v>
      </c>
      <c r="I2222" s="15" t="s">
        <v>1586</v>
      </c>
      <c r="J2222" s="15" t="s">
        <v>10013</v>
      </c>
      <c r="K2222" s="15">
        <v>67.0</v>
      </c>
      <c r="L2222" s="15">
        <v>67.0</v>
      </c>
      <c r="M2222" s="40">
        <v>39890.0</v>
      </c>
      <c r="N2222" s="40">
        <v>42384.0</v>
      </c>
      <c r="O2222" s="15" t="s">
        <v>1554</v>
      </c>
      <c r="Q2222" s="7"/>
    </row>
    <row r="2223">
      <c r="A2223" s="39" t="s">
        <v>10014</v>
      </c>
      <c r="B2223" s="15">
        <v>627480.0</v>
      </c>
      <c r="C2223" s="15" t="s">
        <v>10015</v>
      </c>
      <c r="D2223" s="15">
        <v>36373.0</v>
      </c>
      <c r="E2223" s="15" t="s">
        <v>1557</v>
      </c>
      <c r="F2223" s="15" t="s">
        <v>1611</v>
      </c>
      <c r="G2223" s="7">
        <v>43.152</v>
      </c>
      <c r="H2223" s="15" t="s">
        <v>2517</v>
      </c>
      <c r="I2223" s="15" t="s">
        <v>1586</v>
      </c>
      <c r="J2223" s="15" t="s">
        <v>10017</v>
      </c>
      <c r="K2223" s="15">
        <v>53.0</v>
      </c>
      <c r="L2223" s="15">
        <v>53.0</v>
      </c>
      <c r="M2223" s="40">
        <v>39895.0</v>
      </c>
      <c r="N2223" s="40">
        <v>40263.0</v>
      </c>
      <c r="O2223" s="15" t="s">
        <v>1554</v>
      </c>
      <c r="Q2223" s="7"/>
    </row>
    <row r="2224">
      <c r="A2224" s="39" t="s">
        <v>10018</v>
      </c>
      <c r="B2224" s="15">
        <v>627087.0</v>
      </c>
      <c r="C2224" s="15" t="s">
        <v>10019</v>
      </c>
      <c r="D2224" s="15">
        <v>36375.0</v>
      </c>
      <c r="E2224" s="15" t="s">
        <v>1557</v>
      </c>
      <c r="F2224" s="15" t="s">
        <v>1833</v>
      </c>
      <c r="G2224" s="7">
        <v>21.115</v>
      </c>
      <c r="H2224" s="15" t="s">
        <v>2158</v>
      </c>
      <c r="I2224" s="15" t="s">
        <v>1586</v>
      </c>
      <c r="J2224" s="15" t="s">
        <v>10020</v>
      </c>
      <c r="K2224" s="15">
        <v>24.0</v>
      </c>
      <c r="L2224" s="15">
        <v>24.0</v>
      </c>
      <c r="M2224" s="40">
        <v>39896.0</v>
      </c>
      <c r="N2224" s="40">
        <v>40282.0</v>
      </c>
      <c r="O2224" s="15" t="s">
        <v>1554</v>
      </c>
      <c r="Q2224" s="7"/>
    </row>
    <row r="2225">
      <c r="A2225" s="39" t="s">
        <v>10021</v>
      </c>
      <c r="B2225" s="15">
        <v>457286.0</v>
      </c>
      <c r="C2225" s="15" t="s">
        <v>10022</v>
      </c>
      <c r="D2225" s="15">
        <v>36505.0</v>
      </c>
      <c r="E2225" s="15" t="s">
        <v>1808</v>
      </c>
      <c r="F2225" s="15" t="s">
        <v>1809</v>
      </c>
      <c r="G2225" s="7">
        <v>5.139</v>
      </c>
      <c r="H2225" s="15" t="s">
        <v>10023</v>
      </c>
      <c r="I2225" s="15" t="s">
        <v>1628</v>
      </c>
      <c r="J2225" s="15" t="s">
        <v>10024</v>
      </c>
      <c r="K2225" s="15">
        <v>6.0</v>
      </c>
      <c r="L2225" s="15">
        <v>6.0</v>
      </c>
      <c r="M2225" s="40">
        <v>39298.0</v>
      </c>
      <c r="N2225" s="40">
        <v>42045.0</v>
      </c>
      <c r="O2225" s="15" t="s">
        <v>1554</v>
      </c>
      <c r="Q2225" s="7"/>
    </row>
    <row r="2226">
      <c r="A2226" s="39" t="s">
        <v>10026</v>
      </c>
      <c r="B2226" s="15">
        <v>630199.0</v>
      </c>
      <c r="C2226" s="15" t="s">
        <v>10027</v>
      </c>
      <c r="D2226" s="15">
        <v>36515.0</v>
      </c>
      <c r="E2226" s="15" t="s">
        <v>1548</v>
      </c>
      <c r="F2226" s="15" t="s">
        <v>2032</v>
      </c>
      <c r="G2226" s="7">
        <v>6.506</v>
      </c>
      <c r="H2226" s="15" t="s">
        <v>10028</v>
      </c>
      <c r="I2226" s="15" t="s">
        <v>2034</v>
      </c>
      <c r="J2226" s="15" t="s">
        <v>10029</v>
      </c>
      <c r="K2226" s="15">
        <v>2.0</v>
      </c>
      <c r="L2226" s="15">
        <v>2.0</v>
      </c>
      <c r="M2226" s="40">
        <v>39903.0</v>
      </c>
      <c r="N2226" s="40">
        <v>42045.0</v>
      </c>
      <c r="O2226" s="15" t="s">
        <v>1554</v>
      </c>
      <c r="Q2226" s="7"/>
    </row>
    <row r="2227">
      <c r="A2227" s="39" t="s">
        <v>10030</v>
      </c>
      <c r="B2227" s="15">
        <v>915426.0</v>
      </c>
      <c r="C2227" s="15" t="s">
        <v>10031</v>
      </c>
      <c r="D2227" s="15">
        <v>36519.0</v>
      </c>
      <c r="E2227" s="15" t="s">
        <v>1557</v>
      </c>
      <c r="F2227" s="15" t="s">
        <v>1822</v>
      </c>
      <c r="G2227" s="7">
        <v>7.346</v>
      </c>
      <c r="H2227" s="15" t="s">
        <v>2824</v>
      </c>
      <c r="I2227" s="15" t="s">
        <v>1686</v>
      </c>
      <c r="J2227" s="15" t="s">
        <v>10032</v>
      </c>
      <c r="K2227" s="15">
        <v>7.0</v>
      </c>
      <c r="L2227" s="15">
        <v>7.0</v>
      </c>
      <c r="M2227" s="40">
        <v>39903.0</v>
      </c>
      <c r="N2227" s="41">
        <v>40527.0</v>
      </c>
      <c r="O2227" s="15" t="s">
        <v>1554</v>
      </c>
      <c r="Q2227" s="7"/>
    </row>
    <row r="2228">
      <c r="A2228" s="39" t="s">
        <v>10033</v>
      </c>
      <c r="B2228" s="15">
        <v>575917.0</v>
      </c>
      <c r="C2228" s="15" t="s">
        <v>10034</v>
      </c>
      <c r="D2228" s="15">
        <v>36527.0</v>
      </c>
      <c r="E2228" s="15" t="s">
        <v>1808</v>
      </c>
      <c r="F2228" s="15" t="s">
        <v>1809</v>
      </c>
      <c r="G2228" s="7">
        <v>2.752</v>
      </c>
      <c r="H2228" s="15" t="s">
        <v>2950</v>
      </c>
      <c r="I2228" s="15" t="s">
        <v>1628</v>
      </c>
      <c r="J2228" s="15" t="s">
        <v>10036</v>
      </c>
      <c r="K2228" s="15">
        <v>7.0</v>
      </c>
      <c r="L2228" s="15">
        <v>7.0</v>
      </c>
      <c r="M2228" s="40">
        <v>39904.0</v>
      </c>
      <c r="N2228" s="40">
        <v>42045.0</v>
      </c>
      <c r="O2228" s="15" t="s">
        <v>1554</v>
      </c>
      <c r="Q2228" s="7"/>
    </row>
    <row r="2229">
      <c r="A2229" s="39" t="s">
        <v>10037</v>
      </c>
      <c r="B2229" s="15">
        <v>575918.0</v>
      </c>
      <c r="C2229" s="15" t="s">
        <v>10038</v>
      </c>
      <c r="D2229" s="15">
        <v>36541.0</v>
      </c>
      <c r="E2229" s="15" t="s">
        <v>2014</v>
      </c>
      <c r="F2229" s="15" t="s">
        <v>2018</v>
      </c>
      <c r="G2229" s="7">
        <v>1.349</v>
      </c>
      <c r="H2229" s="15" t="s">
        <v>2597</v>
      </c>
      <c r="I2229" s="15" t="s">
        <v>1628</v>
      </c>
      <c r="J2229" s="15" t="s">
        <v>10039</v>
      </c>
      <c r="K2229" s="15">
        <v>1.0</v>
      </c>
      <c r="L2229" s="15">
        <v>1.0</v>
      </c>
      <c r="M2229" s="40">
        <v>39904.0</v>
      </c>
      <c r="N2229" s="40">
        <v>42045.0</v>
      </c>
      <c r="O2229" s="15" t="s">
        <v>1554</v>
      </c>
      <c r="Q2229" s="7"/>
    </row>
    <row r="2230">
      <c r="A2230" s="39" t="s">
        <v>10040</v>
      </c>
      <c r="B2230" s="15">
        <v>185218.0</v>
      </c>
      <c r="C2230" s="15" t="s">
        <v>10041</v>
      </c>
      <c r="D2230" s="15">
        <v>36557.0</v>
      </c>
      <c r="E2230" s="15" t="s">
        <v>1548</v>
      </c>
      <c r="F2230" s="15" t="s">
        <v>1786</v>
      </c>
      <c r="G2230" s="7">
        <v>7.781</v>
      </c>
      <c r="H2230" s="15" t="s">
        <v>2107</v>
      </c>
      <c r="I2230" s="15" t="s">
        <v>1628</v>
      </c>
      <c r="J2230" s="15" t="s">
        <v>10042</v>
      </c>
      <c r="K2230" s="15">
        <v>5.0</v>
      </c>
      <c r="L2230" s="15">
        <v>5.0</v>
      </c>
      <c r="M2230" s="40">
        <v>37290.0</v>
      </c>
      <c r="N2230" s="40">
        <v>42045.0</v>
      </c>
      <c r="O2230" s="15" t="s">
        <v>1554</v>
      </c>
      <c r="Q2230" s="7"/>
    </row>
    <row r="2231">
      <c r="A2231" s="39" t="s">
        <v>10044</v>
      </c>
      <c r="B2231" s="15">
        <v>632112.0</v>
      </c>
      <c r="C2231" s="15" t="s">
        <v>10045</v>
      </c>
      <c r="D2231" s="15">
        <v>36611.0</v>
      </c>
      <c r="E2231" s="15" t="s">
        <v>1557</v>
      </c>
      <c r="F2231" s="15" t="s">
        <v>1767</v>
      </c>
      <c r="G2231" s="7">
        <v>142.111</v>
      </c>
      <c r="H2231" s="15" t="s">
        <v>2334</v>
      </c>
      <c r="I2231" s="15" t="s">
        <v>1586</v>
      </c>
      <c r="J2231" s="15" t="s">
        <v>10046</v>
      </c>
      <c r="K2231" s="15">
        <v>199.0</v>
      </c>
      <c r="L2231" s="15">
        <v>199.0</v>
      </c>
      <c r="M2231" s="40">
        <v>39908.0</v>
      </c>
      <c r="N2231" s="41">
        <v>40140.0</v>
      </c>
      <c r="O2231" s="15" t="s">
        <v>1554</v>
      </c>
      <c r="Q2231" s="7"/>
    </row>
    <row r="2232">
      <c r="A2232" s="39" t="s">
        <v>10047</v>
      </c>
      <c r="B2232" s="15">
        <v>631345.0</v>
      </c>
      <c r="C2232" s="15" t="s">
        <v>10048</v>
      </c>
      <c r="D2232" s="15">
        <v>36613.0</v>
      </c>
      <c r="E2232" s="15" t="s">
        <v>1659</v>
      </c>
      <c r="F2232" s="15" t="s">
        <v>10049</v>
      </c>
      <c r="G2232" s="7">
        <v>10.411</v>
      </c>
      <c r="H2232" s="15">
        <v>29.0</v>
      </c>
      <c r="I2232" s="15" t="s">
        <v>1560</v>
      </c>
      <c r="J2232" s="15" t="s">
        <v>10050</v>
      </c>
      <c r="K2232" s="15">
        <v>2.0</v>
      </c>
      <c r="L2232" s="15">
        <v>2.0</v>
      </c>
      <c r="M2232" s="40">
        <v>39908.0</v>
      </c>
      <c r="N2232" s="41">
        <v>42296.0</v>
      </c>
      <c r="O2232" s="15" t="s">
        <v>1554</v>
      </c>
      <c r="Q2232" s="7"/>
    </row>
    <row r="2233">
      <c r="A2233" s="39" t="s">
        <v>10051</v>
      </c>
      <c r="B2233" s="15">
        <v>64320.0</v>
      </c>
      <c r="C2233" s="15" t="s">
        <v>10053</v>
      </c>
      <c r="D2233" s="15">
        <v>36615.0</v>
      </c>
      <c r="E2233" s="15" t="s">
        <v>1548</v>
      </c>
      <c r="F2233" s="15" t="s">
        <v>1801</v>
      </c>
      <c r="G2233" s="7">
        <v>10.794</v>
      </c>
      <c r="H2233" s="15" t="s">
        <v>2296</v>
      </c>
      <c r="I2233" s="15" t="s">
        <v>1803</v>
      </c>
      <c r="J2233" s="15" t="s">
        <v>10054</v>
      </c>
      <c r="K2233" s="15">
        <v>1.0</v>
      </c>
      <c r="L2233" s="15">
        <v>1.0</v>
      </c>
      <c r="M2233" s="41">
        <v>38655.0</v>
      </c>
      <c r="N2233" s="40">
        <v>43009.0</v>
      </c>
      <c r="O2233" s="15" t="s">
        <v>1554</v>
      </c>
      <c r="Q2233" s="7"/>
    </row>
    <row r="2234">
      <c r="A2234" s="39" t="s">
        <v>10055</v>
      </c>
      <c r="B2234" s="15">
        <v>197310.0</v>
      </c>
      <c r="C2234" s="15" t="s">
        <v>10056</v>
      </c>
      <c r="D2234" s="15">
        <v>37825.0</v>
      </c>
      <c r="E2234" s="15" t="s">
        <v>1557</v>
      </c>
      <c r="F2234" s="15" t="s">
        <v>1767</v>
      </c>
      <c r="G2234" s="7">
        <v>165.429</v>
      </c>
      <c r="H2234" s="15" t="s">
        <v>3361</v>
      </c>
      <c r="I2234" s="15" t="s">
        <v>1586</v>
      </c>
      <c r="J2234" s="15" t="s">
        <v>10057</v>
      </c>
      <c r="K2234" s="15">
        <v>274.0</v>
      </c>
      <c r="L2234" s="15">
        <v>274.0</v>
      </c>
      <c r="M2234" s="40">
        <v>39931.0</v>
      </c>
      <c r="N2234" s="40">
        <v>40263.0</v>
      </c>
      <c r="O2234" s="15" t="s">
        <v>1554</v>
      </c>
      <c r="Q2234" s="7"/>
    </row>
    <row r="2235">
      <c r="A2235" s="39" t="s">
        <v>10058</v>
      </c>
      <c r="B2235" s="15">
        <v>307467.0</v>
      </c>
      <c r="C2235" s="15" t="s">
        <v>10059</v>
      </c>
      <c r="D2235" s="15">
        <v>37827.0</v>
      </c>
      <c r="E2235" s="15" t="s">
        <v>1557</v>
      </c>
      <c r="F2235" s="15" t="s">
        <v>1992</v>
      </c>
      <c r="G2235" s="7">
        <v>141.291</v>
      </c>
      <c r="H2235" s="15" t="s">
        <v>2640</v>
      </c>
      <c r="I2235" s="15" t="s">
        <v>1560</v>
      </c>
      <c r="J2235" s="15" t="s">
        <v>10061</v>
      </c>
      <c r="K2235" s="15">
        <v>139.0</v>
      </c>
      <c r="L2235" s="15">
        <v>139.0</v>
      </c>
      <c r="M2235" s="40">
        <v>39931.0</v>
      </c>
      <c r="N2235" s="40">
        <v>39934.0</v>
      </c>
      <c r="O2235" s="15" t="s">
        <v>1554</v>
      </c>
      <c r="Q2235" s="7"/>
    </row>
    <row r="2236">
      <c r="A2236" s="39" t="s">
        <v>10062</v>
      </c>
      <c r="B2236" s="15">
        <v>641832.0</v>
      </c>
      <c r="C2236" s="15" t="s">
        <v>10063</v>
      </c>
      <c r="D2236" s="15">
        <v>37885.0</v>
      </c>
      <c r="E2236" s="15" t="s">
        <v>1557</v>
      </c>
      <c r="F2236" s="15" t="s">
        <v>1611</v>
      </c>
      <c r="G2236" s="7">
        <v>43.931</v>
      </c>
      <c r="H2236" s="15" t="s">
        <v>2000</v>
      </c>
      <c r="I2236" s="15" t="s">
        <v>1586</v>
      </c>
      <c r="J2236" s="15" t="s">
        <v>10064</v>
      </c>
      <c r="K2236" s="15">
        <v>44.0</v>
      </c>
      <c r="L2236" s="15">
        <v>44.0</v>
      </c>
      <c r="M2236" s="40">
        <v>39936.0</v>
      </c>
      <c r="N2236" s="40">
        <v>40291.0</v>
      </c>
      <c r="O2236" s="15" t="s">
        <v>1554</v>
      </c>
      <c r="Q2236" s="7"/>
    </row>
    <row r="2237">
      <c r="A2237" s="39" t="s">
        <v>10065</v>
      </c>
      <c r="B2237" s="15">
        <v>641487.0</v>
      </c>
      <c r="C2237" s="15" t="s">
        <v>10066</v>
      </c>
      <c r="D2237" s="15">
        <v>37887.0</v>
      </c>
      <c r="E2237" s="15" t="s">
        <v>1557</v>
      </c>
      <c r="F2237" s="15" t="s">
        <v>1833</v>
      </c>
      <c r="G2237" s="7">
        <v>60.074</v>
      </c>
      <c r="H2237" s="15" t="s">
        <v>10067</v>
      </c>
      <c r="I2237" s="15" t="s">
        <v>1586</v>
      </c>
      <c r="J2237" s="15" t="s">
        <v>10068</v>
      </c>
      <c r="K2237" s="15">
        <v>93.0</v>
      </c>
      <c r="L2237" s="15">
        <v>88.0</v>
      </c>
      <c r="M2237" s="40">
        <v>39935.0</v>
      </c>
      <c r="N2237" s="40">
        <v>39944.0</v>
      </c>
      <c r="O2237" s="15" t="s">
        <v>1554</v>
      </c>
      <c r="Q2237" s="7"/>
    </row>
    <row r="2238">
      <c r="A2238" s="39" t="s">
        <v>10070</v>
      </c>
      <c r="B2238" s="15">
        <v>638358.0</v>
      </c>
      <c r="C2238" s="15" t="s">
        <v>10071</v>
      </c>
      <c r="D2238" s="15">
        <v>37889.0</v>
      </c>
      <c r="E2238" s="15" t="s">
        <v>1808</v>
      </c>
      <c r="F2238" s="15" t="s">
        <v>1809</v>
      </c>
      <c r="G2238" s="7">
        <v>2.754</v>
      </c>
      <c r="H2238" s="15" t="s">
        <v>2365</v>
      </c>
      <c r="I2238" s="15" t="s">
        <v>1628</v>
      </c>
      <c r="J2238" s="15" t="s">
        <v>10072</v>
      </c>
      <c r="K2238" s="15">
        <v>3.0</v>
      </c>
      <c r="L2238" s="15">
        <v>3.0</v>
      </c>
      <c r="M2238" s="40">
        <v>39923.0</v>
      </c>
      <c r="N2238" s="41">
        <v>41240.0</v>
      </c>
      <c r="O2238" s="15" t="s">
        <v>1554</v>
      </c>
      <c r="Q2238" s="7"/>
    </row>
    <row r="2239">
      <c r="A2239" s="39" t="s">
        <v>10073</v>
      </c>
      <c r="B2239" s="15">
        <v>642493.0</v>
      </c>
      <c r="C2239" s="15" t="s">
        <v>10074</v>
      </c>
      <c r="D2239" s="15">
        <v>37891.0</v>
      </c>
      <c r="E2239" s="15" t="s">
        <v>1808</v>
      </c>
      <c r="F2239" s="15" t="s">
        <v>1809</v>
      </c>
      <c r="G2239" s="7">
        <v>2.743</v>
      </c>
      <c r="H2239" s="15" t="s">
        <v>2877</v>
      </c>
      <c r="I2239" s="15" t="s">
        <v>1628</v>
      </c>
      <c r="J2239" s="15" t="s">
        <v>10075</v>
      </c>
      <c r="K2239" s="15">
        <v>6.0</v>
      </c>
      <c r="L2239" s="15">
        <v>6.0</v>
      </c>
      <c r="M2239" s="40">
        <v>39933.0</v>
      </c>
      <c r="N2239" s="40">
        <v>40579.0</v>
      </c>
      <c r="O2239" s="15" t="s">
        <v>1554</v>
      </c>
      <c r="Q2239" s="7"/>
    </row>
    <row r="2240">
      <c r="A2240" s="39" t="s">
        <v>10076</v>
      </c>
      <c r="B2240" s="15">
        <v>640136.0</v>
      </c>
      <c r="C2240" s="15" t="s">
        <v>10078</v>
      </c>
      <c r="D2240" s="15">
        <v>37893.0</v>
      </c>
      <c r="E2240" s="15" t="s">
        <v>2014</v>
      </c>
      <c r="F2240" s="15" t="s">
        <v>2018</v>
      </c>
      <c r="G2240" s="7">
        <v>1.337</v>
      </c>
      <c r="H2240" s="15" t="s">
        <v>2580</v>
      </c>
      <c r="I2240" s="15" t="s">
        <v>1628</v>
      </c>
      <c r="J2240" s="15" t="s">
        <v>10079</v>
      </c>
      <c r="K2240" s="15">
        <v>1.0</v>
      </c>
      <c r="L2240" s="15">
        <v>1.0</v>
      </c>
      <c r="M2240" s="40">
        <v>39932.0</v>
      </c>
      <c r="N2240" s="40">
        <v>42045.0</v>
      </c>
      <c r="O2240" s="15" t="s">
        <v>1554</v>
      </c>
      <c r="Q2240" s="7"/>
    </row>
    <row r="2241">
      <c r="A2241" s="39" t="s">
        <v>10080</v>
      </c>
      <c r="B2241" s="15">
        <v>643132.0</v>
      </c>
      <c r="C2241" s="15" t="s">
        <v>10081</v>
      </c>
      <c r="D2241" s="15">
        <v>37969.0</v>
      </c>
      <c r="E2241" s="15" t="s">
        <v>1548</v>
      </c>
      <c r="F2241" s="15" t="s">
        <v>1801</v>
      </c>
      <c r="G2241" s="7">
        <v>10.865</v>
      </c>
      <c r="H2241" s="15" t="s">
        <v>3242</v>
      </c>
      <c r="I2241" s="15" t="s">
        <v>1803</v>
      </c>
      <c r="J2241" s="15" t="s">
        <v>10082</v>
      </c>
      <c r="K2241" s="15">
        <v>2.0</v>
      </c>
      <c r="L2241" s="15">
        <v>2.0</v>
      </c>
      <c r="M2241" s="40">
        <v>39939.0</v>
      </c>
      <c r="N2241" s="40">
        <v>42549.0</v>
      </c>
      <c r="O2241" s="15" t="s">
        <v>1554</v>
      </c>
      <c r="Q2241" s="7"/>
    </row>
    <row r="2242">
      <c r="A2242" s="39" t="s">
        <v>10083</v>
      </c>
      <c r="B2242" s="15">
        <v>185638.0</v>
      </c>
      <c r="C2242" s="15" t="s">
        <v>10084</v>
      </c>
      <c r="D2242" s="15">
        <v>37995.0</v>
      </c>
      <c r="E2242" s="15" t="s">
        <v>1808</v>
      </c>
      <c r="F2242" s="15" t="s">
        <v>2436</v>
      </c>
      <c r="G2242" s="7">
        <v>5.759</v>
      </c>
      <c r="H2242" s="15" t="s">
        <v>2396</v>
      </c>
      <c r="I2242" s="15" t="s">
        <v>1560</v>
      </c>
      <c r="J2242" s="15" t="s">
        <v>10085</v>
      </c>
      <c r="K2242" s="15">
        <v>6.0</v>
      </c>
      <c r="L2242" s="15">
        <v>4.0</v>
      </c>
      <c r="M2242" s="40">
        <v>39944.0</v>
      </c>
      <c r="N2242" s="40">
        <v>39979.0</v>
      </c>
      <c r="O2242" s="15" t="s">
        <v>1554</v>
      </c>
      <c r="Q2242" s="7"/>
    </row>
    <row r="2243">
      <c r="A2243" s="39" t="s">
        <v>10086</v>
      </c>
      <c r="B2243" s="15">
        <v>490913.0</v>
      </c>
      <c r="C2243" s="15" t="s">
        <v>10088</v>
      </c>
      <c r="D2243" s="15">
        <v>38079.0</v>
      </c>
      <c r="E2243" s="15" t="s">
        <v>1557</v>
      </c>
      <c r="F2243" s="15" t="s">
        <v>1611</v>
      </c>
      <c r="G2243" s="7">
        <v>73.325</v>
      </c>
      <c r="H2243" s="15">
        <v>47.0</v>
      </c>
      <c r="I2243" s="15" t="s">
        <v>1586</v>
      </c>
      <c r="J2243" s="15" t="s">
        <v>10089</v>
      </c>
      <c r="K2243" s="15">
        <v>79.0</v>
      </c>
      <c r="L2243" s="15">
        <v>79.0</v>
      </c>
      <c r="M2243" s="40">
        <v>39945.0</v>
      </c>
      <c r="N2243" s="40">
        <v>40263.0</v>
      </c>
      <c r="O2243" s="15" t="s">
        <v>1554</v>
      </c>
      <c r="Q2243" s="7"/>
    </row>
    <row r="2244">
      <c r="A2244" s="39" t="s">
        <v>10090</v>
      </c>
      <c r="B2244" s="15">
        <v>490912.0</v>
      </c>
      <c r="C2244" s="15" t="s">
        <v>10091</v>
      </c>
      <c r="D2244" s="15">
        <v>38081.0</v>
      </c>
      <c r="E2244" s="15" t="s">
        <v>1557</v>
      </c>
      <c r="F2244" s="15" t="s">
        <v>1611</v>
      </c>
      <c r="G2244" s="7">
        <v>74.611</v>
      </c>
      <c r="H2244" s="15" t="s">
        <v>2945</v>
      </c>
      <c r="I2244" s="15" t="s">
        <v>1586</v>
      </c>
      <c r="J2244" s="15" t="s">
        <v>10092</v>
      </c>
      <c r="K2244" s="15">
        <v>81.0</v>
      </c>
      <c r="L2244" s="15">
        <v>81.0</v>
      </c>
      <c r="M2244" s="40">
        <v>39945.0</v>
      </c>
      <c r="N2244" s="40">
        <v>40263.0</v>
      </c>
      <c r="O2244" s="15" t="s">
        <v>1554</v>
      </c>
      <c r="Q2244" s="7"/>
    </row>
    <row r="2245">
      <c r="A2245" s="39" t="s">
        <v>10093</v>
      </c>
      <c r="B2245" s="15">
        <v>137758.0</v>
      </c>
      <c r="C2245" s="15" t="s">
        <v>10094</v>
      </c>
      <c r="D2245" s="15">
        <v>38085.0</v>
      </c>
      <c r="E2245" s="15" t="s">
        <v>1548</v>
      </c>
      <c r="F2245" s="15" t="s">
        <v>1911</v>
      </c>
      <c r="G2245" s="7">
        <v>8.995</v>
      </c>
      <c r="H2245" s="15" t="s">
        <v>2451</v>
      </c>
      <c r="I2245" s="15" t="s">
        <v>1628</v>
      </c>
      <c r="J2245" s="15" t="s">
        <v>10095</v>
      </c>
      <c r="K2245" s="15">
        <v>2.0</v>
      </c>
      <c r="L2245" s="15">
        <v>2.0</v>
      </c>
      <c r="M2245" s="40">
        <v>39951.0</v>
      </c>
      <c r="N2245" s="40">
        <v>41246.0</v>
      </c>
      <c r="O2245" s="15" t="s">
        <v>1554</v>
      </c>
      <c r="Q2245" s="7"/>
    </row>
    <row r="2246">
      <c r="A2246" s="39" t="s">
        <v>10096</v>
      </c>
      <c r="B2246" s="15">
        <v>520973.0</v>
      </c>
      <c r="C2246" s="15" t="s">
        <v>10097</v>
      </c>
      <c r="D2246" s="15">
        <v>38093.0</v>
      </c>
      <c r="E2246" s="15" t="s">
        <v>1548</v>
      </c>
      <c r="F2246" s="15" t="s">
        <v>4829</v>
      </c>
      <c r="G2246" s="7">
        <v>6.434</v>
      </c>
      <c r="H2246" s="15" t="s">
        <v>5663</v>
      </c>
      <c r="I2246" s="15" t="s">
        <v>1686</v>
      </c>
      <c r="J2246" s="15" t="s">
        <v>10098</v>
      </c>
      <c r="K2246" s="15">
        <v>2.0</v>
      </c>
      <c r="L2246" s="15">
        <v>2.0</v>
      </c>
      <c r="M2246" s="40">
        <v>39948.0</v>
      </c>
      <c r="N2246" s="40">
        <v>40186.0</v>
      </c>
      <c r="O2246" s="15" t="s">
        <v>1554</v>
      </c>
      <c r="Q2246" s="7"/>
    </row>
    <row r="2247">
      <c r="A2247" s="39" t="s">
        <v>10100</v>
      </c>
      <c r="B2247" s="15">
        <v>647294.0</v>
      </c>
      <c r="C2247" s="15" t="s">
        <v>10101</v>
      </c>
      <c r="D2247" s="15">
        <v>38241.0</v>
      </c>
      <c r="E2247" s="15" t="s">
        <v>1916</v>
      </c>
      <c r="F2247" s="15" t="s">
        <v>1917</v>
      </c>
      <c r="G2247" s="7">
        <v>7.961</v>
      </c>
      <c r="H2247" s="15" t="s">
        <v>2392</v>
      </c>
      <c r="I2247" s="15" t="s">
        <v>1628</v>
      </c>
      <c r="J2247" s="15" t="s">
        <v>10102</v>
      </c>
      <c r="K2247" s="15">
        <v>5.0</v>
      </c>
      <c r="L2247" s="15">
        <v>5.0</v>
      </c>
      <c r="M2247" s="40">
        <v>39957.0</v>
      </c>
      <c r="N2247" s="41">
        <v>41240.0</v>
      </c>
      <c r="O2247" s="15" t="s">
        <v>1554</v>
      </c>
      <c r="Q2247" s="7"/>
    </row>
    <row r="2248">
      <c r="A2248" s="39" t="s">
        <v>10103</v>
      </c>
      <c r="B2248" s="15">
        <v>576789.0</v>
      </c>
      <c r="C2248" s="15" t="s">
        <v>10104</v>
      </c>
      <c r="D2248" s="15">
        <v>38263.0</v>
      </c>
      <c r="E2248" s="15" t="s">
        <v>1557</v>
      </c>
      <c r="F2248" s="15" t="s">
        <v>1767</v>
      </c>
      <c r="G2248" s="7">
        <v>166.418</v>
      </c>
      <c r="H2248" s="15" t="s">
        <v>2019</v>
      </c>
      <c r="I2248" s="15" t="s">
        <v>1586</v>
      </c>
      <c r="J2248" s="15" t="s">
        <v>10105</v>
      </c>
      <c r="K2248" s="15">
        <v>277.0</v>
      </c>
      <c r="L2248" s="15">
        <v>277.0</v>
      </c>
      <c r="M2248" s="40">
        <v>39957.0</v>
      </c>
      <c r="N2248" s="40">
        <v>40263.0</v>
      </c>
      <c r="O2248" s="15" t="s">
        <v>1554</v>
      </c>
      <c r="Q2248" s="7"/>
    </row>
    <row r="2249">
      <c r="A2249" s="39" t="s">
        <v>10106</v>
      </c>
      <c r="B2249" s="15">
        <v>576790.0</v>
      </c>
      <c r="C2249" s="15" t="s">
        <v>10107</v>
      </c>
      <c r="D2249" s="15">
        <v>38265.0</v>
      </c>
      <c r="E2249" s="15" t="s">
        <v>1557</v>
      </c>
      <c r="F2249" s="15" t="s">
        <v>1767</v>
      </c>
      <c r="G2249" s="7">
        <v>171.451</v>
      </c>
      <c r="H2249" s="15" t="s">
        <v>6418</v>
      </c>
      <c r="I2249" s="15" t="s">
        <v>1586</v>
      </c>
      <c r="J2249" s="15" t="s">
        <v>10109</v>
      </c>
      <c r="K2249" s="15">
        <v>268.0</v>
      </c>
      <c r="L2249" s="15">
        <v>265.0</v>
      </c>
      <c r="M2249" s="40">
        <v>39957.0</v>
      </c>
      <c r="N2249" s="40">
        <v>40263.0</v>
      </c>
      <c r="O2249" s="15" t="s">
        <v>1554</v>
      </c>
      <c r="Q2249" s="7"/>
    </row>
    <row r="2250">
      <c r="A2250" s="39" t="s">
        <v>10110</v>
      </c>
      <c r="B2250" s="15">
        <v>538979.0</v>
      </c>
      <c r="C2250" s="15" t="s">
        <v>10111</v>
      </c>
      <c r="D2250" s="15">
        <v>38267.0</v>
      </c>
      <c r="E2250" s="15" t="s">
        <v>1557</v>
      </c>
      <c r="F2250" s="15" t="s">
        <v>1833</v>
      </c>
      <c r="G2250" s="7">
        <v>44.08</v>
      </c>
      <c r="H2250" s="15" t="s">
        <v>4563</v>
      </c>
      <c r="I2250" s="15" t="s">
        <v>1586</v>
      </c>
      <c r="J2250" s="15" t="s">
        <v>10112</v>
      </c>
      <c r="K2250" s="15">
        <v>58.0</v>
      </c>
      <c r="L2250" s="15">
        <v>58.0</v>
      </c>
      <c r="M2250" s="40">
        <v>39964.0</v>
      </c>
      <c r="N2250" s="40">
        <v>40263.0</v>
      </c>
      <c r="O2250" s="15" t="s">
        <v>1554</v>
      </c>
      <c r="Q2250" s="7"/>
    </row>
    <row r="2251">
      <c r="A2251" s="39" t="s">
        <v>10113</v>
      </c>
      <c r="B2251" s="15">
        <v>576791.0</v>
      </c>
      <c r="C2251" s="15" t="s">
        <v>10114</v>
      </c>
      <c r="D2251" s="15">
        <v>38281.0</v>
      </c>
      <c r="E2251" s="15" t="s">
        <v>1557</v>
      </c>
      <c r="F2251" s="15" t="s">
        <v>1767</v>
      </c>
      <c r="G2251" s="7">
        <v>88.487</v>
      </c>
      <c r="H2251" s="15" t="s">
        <v>5806</v>
      </c>
      <c r="I2251" s="15" t="s">
        <v>1586</v>
      </c>
      <c r="J2251" s="15" t="s">
        <v>10115</v>
      </c>
      <c r="K2251" s="15">
        <v>162.0</v>
      </c>
      <c r="L2251" s="15">
        <v>140.0</v>
      </c>
      <c r="M2251" s="40">
        <v>39965.0</v>
      </c>
      <c r="N2251" s="40">
        <v>40263.0</v>
      </c>
      <c r="O2251" s="15" t="s">
        <v>1554</v>
      </c>
      <c r="Q2251" s="7"/>
    </row>
    <row r="2252">
      <c r="A2252" s="39" t="s">
        <v>10116</v>
      </c>
      <c r="B2252" s="15">
        <v>164416.0</v>
      </c>
      <c r="C2252" s="15" t="s">
        <v>10118</v>
      </c>
      <c r="D2252" s="15">
        <v>38295.0</v>
      </c>
      <c r="E2252" s="15" t="s">
        <v>1548</v>
      </c>
      <c r="F2252" s="15" t="s">
        <v>1801</v>
      </c>
      <c r="G2252" s="7">
        <v>10.814</v>
      </c>
      <c r="H2252" s="15" t="s">
        <v>3882</v>
      </c>
      <c r="I2252" s="15" t="s">
        <v>1803</v>
      </c>
      <c r="J2252" s="15" t="s">
        <v>10119</v>
      </c>
      <c r="K2252" s="15">
        <v>1.0</v>
      </c>
      <c r="L2252" s="15">
        <v>1.0</v>
      </c>
      <c r="M2252" s="40">
        <v>39965.0</v>
      </c>
      <c r="N2252" s="40">
        <v>40185.0</v>
      </c>
      <c r="O2252" s="15" t="s">
        <v>1554</v>
      </c>
      <c r="Q2252" s="7"/>
    </row>
    <row r="2253">
      <c r="A2253" s="39" t="s">
        <v>10120</v>
      </c>
      <c r="B2253" s="15">
        <v>644524.0</v>
      </c>
      <c r="C2253" s="15" t="s">
        <v>10121</v>
      </c>
      <c r="D2253" s="15">
        <v>38297.0</v>
      </c>
      <c r="E2253" s="15" t="s">
        <v>1557</v>
      </c>
      <c r="F2253" s="15" t="s">
        <v>1611</v>
      </c>
      <c r="G2253" s="7">
        <v>62.715</v>
      </c>
      <c r="H2253" s="15" t="s">
        <v>6204</v>
      </c>
      <c r="I2253" s="15" t="s">
        <v>1586</v>
      </c>
      <c r="J2253" s="15" t="s">
        <v>10122</v>
      </c>
      <c r="K2253" s="15">
        <v>76.0</v>
      </c>
      <c r="L2253" s="15">
        <v>76.0</v>
      </c>
      <c r="M2253" s="40">
        <v>39956.0</v>
      </c>
      <c r="N2253" s="40">
        <v>40812.0</v>
      </c>
      <c r="O2253" s="15" t="s">
        <v>1554</v>
      </c>
      <c r="Q2253" s="7"/>
    </row>
    <row r="2254">
      <c r="A2254" s="39" t="s">
        <v>10123</v>
      </c>
      <c r="B2254" s="15">
        <v>646413.0</v>
      </c>
      <c r="C2254" s="15" t="s">
        <v>10124</v>
      </c>
      <c r="D2254" s="15">
        <v>38299.0</v>
      </c>
      <c r="E2254" s="15" t="s">
        <v>1557</v>
      </c>
      <c r="F2254" s="15" t="s">
        <v>1833</v>
      </c>
      <c r="G2254" s="7">
        <v>37.184</v>
      </c>
      <c r="H2254" s="15">
        <v>38.0</v>
      </c>
      <c r="I2254" s="15" t="s">
        <v>1586</v>
      </c>
      <c r="J2254" s="15" t="s">
        <v>10126</v>
      </c>
      <c r="K2254" s="15">
        <v>48.0</v>
      </c>
      <c r="L2254" s="15">
        <v>48.0</v>
      </c>
      <c r="M2254" s="40">
        <v>39966.0</v>
      </c>
      <c r="N2254" s="40">
        <v>41110.0</v>
      </c>
      <c r="O2254" s="15" t="s">
        <v>1554</v>
      </c>
      <c r="Q2254" s="7"/>
    </row>
    <row r="2255">
      <c r="A2255" s="39" t="s">
        <v>10127</v>
      </c>
      <c r="B2255" s="15">
        <v>644007.0</v>
      </c>
      <c r="C2255" s="15" t="s">
        <v>10128</v>
      </c>
      <c r="D2255" s="15">
        <v>38365.0</v>
      </c>
      <c r="E2255" s="15" t="s">
        <v>1557</v>
      </c>
      <c r="F2255" s="15" t="s">
        <v>1833</v>
      </c>
      <c r="G2255" s="7">
        <v>31.276</v>
      </c>
      <c r="H2255" s="15" t="s">
        <v>6418</v>
      </c>
      <c r="I2255" s="15" t="s">
        <v>1586</v>
      </c>
      <c r="J2255" s="15" t="s">
        <v>10129</v>
      </c>
      <c r="K2255" s="15">
        <v>54.0</v>
      </c>
      <c r="L2255" s="15">
        <v>54.0</v>
      </c>
      <c r="M2255" s="40">
        <v>39966.0</v>
      </c>
      <c r="N2255" s="40">
        <v>40578.0</v>
      </c>
      <c r="O2255" s="15" t="s">
        <v>1554</v>
      </c>
      <c r="Q2255" s="7"/>
    </row>
    <row r="2256">
      <c r="A2256" s="39" t="s">
        <v>10130</v>
      </c>
      <c r="B2256" s="15">
        <v>642111.0</v>
      </c>
      <c r="C2256" s="15" t="s">
        <v>10131</v>
      </c>
      <c r="D2256" s="15">
        <v>38367.0</v>
      </c>
      <c r="E2256" s="15" t="s">
        <v>1808</v>
      </c>
      <c r="F2256" s="15" t="s">
        <v>2969</v>
      </c>
      <c r="G2256" s="7">
        <v>6.842</v>
      </c>
      <c r="H2256" s="15">
        <v>43.0</v>
      </c>
      <c r="I2256" s="15" t="s">
        <v>1586</v>
      </c>
      <c r="J2256" s="15" t="s">
        <v>10132</v>
      </c>
      <c r="K2256" s="15">
        <v>11.0</v>
      </c>
      <c r="L2256" s="15">
        <v>11.0</v>
      </c>
      <c r="M2256" s="40">
        <v>39938.0</v>
      </c>
      <c r="N2256" s="40">
        <v>40263.0</v>
      </c>
      <c r="O2256" s="15" t="s">
        <v>1554</v>
      </c>
      <c r="Q2256" s="7"/>
    </row>
    <row r="2257">
      <c r="A2257" s="39" t="s">
        <v>10133</v>
      </c>
      <c r="B2257" s="15">
        <v>64311.0</v>
      </c>
      <c r="C2257" s="15" t="s">
        <v>10134</v>
      </c>
      <c r="D2257" s="15">
        <v>36617.0</v>
      </c>
      <c r="E2257" s="15" t="s">
        <v>1548</v>
      </c>
      <c r="F2257" s="15" t="s">
        <v>1801</v>
      </c>
      <c r="G2257" s="7">
        <v>10.723</v>
      </c>
      <c r="H2257" s="15" t="s">
        <v>2300</v>
      </c>
      <c r="I2257" s="15" t="s">
        <v>1803</v>
      </c>
      <c r="J2257" s="15" t="s">
        <v>10135</v>
      </c>
      <c r="K2257" s="15">
        <v>1.0</v>
      </c>
      <c r="L2257" s="15">
        <v>1.0</v>
      </c>
      <c r="M2257" s="41">
        <v>38655.0</v>
      </c>
      <c r="N2257" s="41">
        <v>42731.0</v>
      </c>
      <c r="O2257" s="15" t="s">
        <v>1554</v>
      </c>
      <c r="Q2257" s="7"/>
    </row>
    <row r="2258">
      <c r="A2258" s="39" t="s">
        <v>10137</v>
      </c>
      <c r="B2258" s="15">
        <v>64290.0</v>
      </c>
      <c r="C2258" s="15" t="s">
        <v>10138</v>
      </c>
      <c r="D2258" s="15">
        <v>36619.0</v>
      </c>
      <c r="E2258" s="15" t="s">
        <v>1548</v>
      </c>
      <c r="F2258" s="15" t="s">
        <v>1801</v>
      </c>
      <c r="G2258" s="7">
        <v>10.941</v>
      </c>
      <c r="H2258" s="15" t="s">
        <v>1772</v>
      </c>
      <c r="I2258" s="15" t="s">
        <v>1803</v>
      </c>
      <c r="J2258" s="15" t="s">
        <v>10139</v>
      </c>
      <c r="K2258" s="15">
        <v>1.0</v>
      </c>
      <c r="L2258" s="15">
        <v>1.0</v>
      </c>
      <c r="M2258" s="41">
        <v>38655.0</v>
      </c>
      <c r="N2258" s="41">
        <v>42731.0</v>
      </c>
      <c r="O2258" s="15" t="s">
        <v>1554</v>
      </c>
      <c r="Q2258" s="7"/>
    </row>
    <row r="2259">
      <c r="A2259" s="39" t="s">
        <v>10140</v>
      </c>
      <c r="B2259" s="15">
        <v>411854.0</v>
      </c>
      <c r="C2259" s="15" t="s">
        <v>10141</v>
      </c>
      <c r="D2259" s="15">
        <v>36621.0</v>
      </c>
      <c r="E2259" s="15" t="s">
        <v>1638</v>
      </c>
      <c r="F2259" s="15" t="s">
        <v>1863</v>
      </c>
      <c r="G2259" s="7">
        <v>25.724</v>
      </c>
      <c r="H2259" s="15" t="s">
        <v>10142</v>
      </c>
      <c r="I2259" s="15" t="s">
        <v>2034</v>
      </c>
      <c r="J2259" s="15" t="s">
        <v>10143</v>
      </c>
      <c r="K2259" s="15">
        <v>13.0</v>
      </c>
      <c r="L2259" s="15">
        <v>13.0</v>
      </c>
      <c r="M2259" s="40">
        <v>39908.0</v>
      </c>
      <c r="N2259" s="41">
        <v>42306.0</v>
      </c>
      <c r="O2259" s="15" t="s">
        <v>1554</v>
      </c>
      <c r="Q2259" s="7"/>
    </row>
    <row r="2260">
      <c r="A2260" s="39" t="s">
        <v>10144</v>
      </c>
      <c r="B2260" s="15">
        <v>598494.0</v>
      </c>
      <c r="C2260" s="15" t="s">
        <v>10145</v>
      </c>
      <c r="D2260" s="15">
        <v>36655.0</v>
      </c>
      <c r="E2260" s="15" t="s">
        <v>1808</v>
      </c>
      <c r="F2260" s="15" t="s">
        <v>1809</v>
      </c>
      <c r="G2260" s="7">
        <v>5.187</v>
      </c>
      <c r="H2260" s="15" t="s">
        <v>10146</v>
      </c>
      <c r="I2260" s="15" t="s">
        <v>1628</v>
      </c>
      <c r="J2260" s="15" t="s">
        <v>10147</v>
      </c>
      <c r="K2260" s="15">
        <v>6.0</v>
      </c>
      <c r="L2260" s="15">
        <v>6.0</v>
      </c>
      <c r="M2260" s="40">
        <v>39908.0</v>
      </c>
      <c r="N2260" s="40">
        <v>42045.0</v>
      </c>
      <c r="O2260" s="15" t="s">
        <v>1554</v>
      </c>
      <c r="Q2260" s="7"/>
    </row>
    <row r="2261">
      <c r="A2261" s="39" t="s">
        <v>10148</v>
      </c>
      <c r="B2261" s="15">
        <v>635076.0</v>
      </c>
      <c r="C2261" s="15" t="s">
        <v>10149</v>
      </c>
      <c r="D2261" s="15">
        <v>36669.0</v>
      </c>
      <c r="E2261" s="15" t="s">
        <v>2014</v>
      </c>
      <c r="F2261" s="15" t="s">
        <v>2018</v>
      </c>
      <c r="G2261" s="7">
        <v>1.389</v>
      </c>
      <c r="H2261" s="15" t="s">
        <v>4479</v>
      </c>
      <c r="I2261" s="15" t="s">
        <v>1628</v>
      </c>
      <c r="J2261" s="15" t="s">
        <v>10150</v>
      </c>
      <c r="K2261" s="15">
        <v>1.0</v>
      </c>
      <c r="L2261" s="15">
        <v>1.0</v>
      </c>
      <c r="M2261" s="40">
        <v>39912.0</v>
      </c>
      <c r="N2261" s="40">
        <v>42045.0</v>
      </c>
      <c r="O2261" s="15" t="s">
        <v>1554</v>
      </c>
      <c r="Q2261" s="7"/>
    </row>
    <row r="2262">
      <c r="A2262" s="39" t="s">
        <v>10151</v>
      </c>
      <c r="B2262" s="15">
        <v>634168.0</v>
      </c>
      <c r="C2262" s="15" t="s">
        <v>10153</v>
      </c>
      <c r="D2262" s="15">
        <v>36677.0</v>
      </c>
      <c r="E2262" s="15" t="s">
        <v>1664</v>
      </c>
      <c r="F2262" s="15" t="s">
        <v>1987</v>
      </c>
      <c r="G2262" s="7">
        <v>7.048</v>
      </c>
      <c r="H2262" s="15" t="s">
        <v>5483</v>
      </c>
      <c r="I2262" s="15" t="s">
        <v>1586</v>
      </c>
      <c r="J2262" s="15" t="s">
        <v>10154</v>
      </c>
      <c r="K2262" s="15">
        <v>9.0</v>
      </c>
      <c r="L2262" s="15">
        <v>9.0</v>
      </c>
      <c r="M2262" s="40">
        <v>39915.0</v>
      </c>
      <c r="N2262" s="40">
        <v>39941.0</v>
      </c>
      <c r="O2262" s="15" t="s">
        <v>1554</v>
      </c>
      <c r="Q2262" s="7"/>
    </row>
    <row r="2263">
      <c r="A2263" s="39" t="s">
        <v>10155</v>
      </c>
      <c r="B2263" s="15">
        <v>11024.0</v>
      </c>
      <c r="C2263" s="15" t="s">
        <v>10156</v>
      </c>
      <c r="D2263" s="15">
        <v>37281.0</v>
      </c>
      <c r="E2263" s="15" t="s">
        <v>1548</v>
      </c>
      <c r="F2263" s="15" t="s">
        <v>3181</v>
      </c>
      <c r="G2263" s="7">
        <v>11.526</v>
      </c>
      <c r="H2263" s="15" t="s">
        <v>2000</v>
      </c>
      <c r="I2263" s="15" t="s">
        <v>1751</v>
      </c>
      <c r="J2263" s="15" t="s">
        <v>10157</v>
      </c>
      <c r="K2263" s="15">
        <v>3.0</v>
      </c>
      <c r="L2263" s="15">
        <v>3.0</v>
      </c>
      <c r="M2263" s="40">
        <v>39918.0</v>
      </c>
      <c r="N2263" s="40">
        <v>41087.0</v>
      </c>
      <c r="O2263" s="15" t="s">
        <v>1554</v>
      </c>
      <c r="Q2263" s="7"/>
    </row>
    <row r="2264">
      <c r="A2264" s="39" t="s">
        <v>10158</v>
      </c>
      <c r="B2264" s="15">
        <v>638313.0</v>
      </c>
      <c r="C2264" s="15" t="s">
        <v>10159</v>
      </c>
      <c r="D2264" s="15">
        <v>37291.0</v>
      </c>
      <c r="E2264" s="15" t="s">
        <v>1808</v>
      </c>
      <c r="F2264" s="15" t="s">
        <v>2436</v>
      </c>
      <c r="G2264" s="7">
        <v>5.242</v>
      </c>
      <c r="H2264" s="15" t="s">
        <v>1591</v>
      </c>
      <c r="I2264" s="15" t="s">
        <v>1567</v>
      </c>
      <c r="J2264" s="15" t="s">
        <v>10160</v>
      </c>
      <c r="K2264" s="15">
        <v>4.0</v>
      </c>
      <c r="L2264" s="15">
        <v>4.0</v>
      </c>
      <c r="M2264" s="40">
        <v>39918.0</v>
      </c>
      <c r="N2264" s="40">
        <v>39920.0</v>
      </c>
      <c r="O2264" s="15" t="s">
        <v>1554</v>
      </c>
      <c r="Q2264" s="7"/>
    </row>
    <row r="2265">
      <c r="A2265" s="39" t="s">
        <v>10161</v>
      </c>
      <c r="B2265" s="15">
        <v>573199.0</v>
      </c>
      <c r="C2265" s="15" t="s">
        <v>10162</v>
      </c>
      <c r="D2265" s="15">
        <v>37713.0</v>
      </c>
      <c r="E2265" s="15" t="s">
        <v>1557</v>
      </c>
      <c r="F2265" s="15" t="s">
        <v>2628</v>
      </c>
      <c r="G2265" s="7">
        <v>30.57</v>
      </c>
      <c r="H2265" s="15" t="s">
        <v>1700</v>
      </c>
      <c r="I2265" s="15" t="s">
        <v>1686</v>
      </c>
      <c r="J2265" s="15" t="s">
        <v>10164</v>
      </c>
      <c r="K2265" s="15">
        <v>28.0</v>
      </c>
      <c r="L2265" s="15">
        <v>28.0</v>
      </c>
      <c r="M2265" s="40">
        <v>39924.0</v>
      </c>
      <c r="N2265" s="40">
        <v>39925.0</v>
      </c>
      <c r="O2265" s="15" t="s">
        <v>1554</v>
      </c>
      <c r="Q2265" s="7"/>
    </row>
    <row r="2266">
      <c r="A2266" s="39" t="s">
        <v>10165</v>
      </c>
      <c r="B2266" s="15">
        <v>274584.0</v>
      </c>
      <c r="C2266" s="15" t="s">
        <v>10166</v>
      </c>
      <c r="D2266" s="15">
        <v>37715.0</v>
      </c>
      <c r="E2266" s="15" t="s">
        <v>1548</v>
      </c>
      <c r="F2266" s="15" t="s">
        <v>5261</v>
      </c>
      <c r="G2266" s="7">
        <v>2.896</v>
      </c>
      <c r="H2266" s="15" t="s">
        <v>10167</v>
      </c>
      <c r="I2266" s="15" t="s">
        <v>1552</v>
      </c>
      <c r="J2266" s="15" t="s">
        <v>10168</v>
      </c>
      <c r="K2266" s="15">
        <v>1.0</v>
      </c>
      <c r="L2266" s="15">
        <v>1.0</v>
      </c>
      <c r="M2266" s="40">
        <v>38117.0</v>
      </c>
      <c r="N2266" s="40">
        <v>40357.0</v>
      </c>
      <c r="O2266" s="15" t="s">
        <v>1554</v>
      </c>
      <c r="Q2266" s="7"/>
    </row>
    <row r="2267">
      <c r="A2267" s="39" t="s">
        <v>10169</v>
      </c>
      <c r="B2267" s="15">
        <v>10693.0</v>
      </c>
      <c r="C2267" s="15" t="s">
        <v>10170</v>
      </c>
      <c r="D2267" s="15">
        <v>37819.0</v>
      </c>
      <c r="E2267" s="15" t="s">
        <v>1557</v>
      </c>
      <c r="F2267" s="15" t="s">
        <v>1767</v>
      </c>
      <c r="G2267" s="7">
        <v>168.394</v>
      </c>
      <c r="H2267" s="15" t="s">
        <v>3361</v>
      </c>
      <c r="I2267" s="15" t="s">
        <v>1586</v>
      </c>
      <c r="J2267" s="15" t="s">
        <v>10171</v>
      </c>
      <c r="K2267" s="15">
        <v>274.0</v>
      </c>
      <c r="L2267" s="15">
        <v>273.0</v>
      </c>
      <c r="M2267" s="40">
        <v>39931.0</v>
      </c>
      <c r="N2267" s="40">
        <v>40263.0</v>
      </c>
      <c r="O2267" s="15" t="s">
        <v>1554</v>
      </c>
      <c r="Q2267" s="7"/>
    </row>
    <row r="2268">
      <c r="A2268" s="39" t="s">
        <v>10172</v>
      </c>
      <c r="B2268" s="15">
        <v>648017.0</v>
      </c>
      <c r="C2268" s="15" t="s">
        <v>10173</v>
      </c>
      <c r="D2268" s="15">
        <v>38431.0</v>
      </c>
      <c r="E2268" s="15" t="s">
        <v>1557</v>
      </c>
      <c r="F2268" s="15" t="s">
        <v>1578</v>
      </c>
      <c r="G2268" s="7">
        <v>44.492</v>
      </c>
      <c r="H2268" s="15" t="s">
        <v>3809</v>
      </c>
      <c r="I2268" s="15" t="s">
        <v>1586</v>
      </c>
      <c r="J2268" s="15" t="s">
        <v>10174</v>
      </c>
      <c r="K2268" s="15">
        <v>65.0</v>
      </c>
      <c r="L2268" s="15">
        <v>65.0</v>
      </c>
      <c r="M2268" s="40">
        <v>39970.0</v>
      </c>
      <c r="N2268" s="40">
        <v>40214.0</v>
      </c>
      <c r="O2268" s="15" t="s">
        <v>1554</v>
      </c>
      <c r="Q2268" s="7"/>
    </row>
    <row r="2269">
      <c r="A2269" s="39" t="s">
        <v>10175</v>
      </c>
      <c r="B2269" s="15">
        <v>648801.0</v>
      </c>
      <c r="C2269" s="15" t="s">
        <v>10176</v>
      </c>
      <c r="D2269" s="15">
        <v>38459.0</v>
      </c>
      <c r="E2269" s="15" t="s">
        <v>1808</v>
      </c>
      <c r="F2269" s="15" t="s">
        <v>1809</v>
      </c>
      <c r="G2269" s="7">
        <v>5.316</v>
      </c>
      <c r="H2269" s="15" t="s">
        <v>10177</v>
      </c>
      <c r="I2269" s="15" t="s">
        <v>1628</v>
      </c>
      <c r="J2269" s="15" t="s">
        <v>10178</v>
      </c>
      <c r="K2269" s="15">
        <v>7.0</v>
      </c>
      <c r="L2269" s="15">
        <v>7.0</v>
      </c>
      <c r="M2269" s="40">
        <v>39970.0</v>
      </c>
      <c r="N2269" s="41">
        <v>42297.0</v>
      </c>
      <c r="O2269" s="15" t="s">
        <v>1554</v>
      </c>
      <c r="Q2269" s="7"/>
    </row>
    <row r="2270">
      <c r="A2270" s="39" t="s">
        <v>10179</v>
      </c>
      <c r="B2270" s="15">
        <v>649688.0</v>
      </c>
      <c r="C2270" s="15" t="s">
        <v>10180</v>
      </c>
      <c r="D2270" s="15">
        <v>38461.0</v>
      </c>
      <c r="E2270" s="15" t="s">
        <v>1557</v>
      </c>
      <c r="F2270" s="15" t="s">
        <v>1833</v>
      </c>
      <c r="G2270" s="7">
        <v>41.441</v>
      </c>
      <c r="H2270" s="15" t="s">
        <v>8941</v>
      </c>
      <c r="I2270" s="15" t="s">
        <v>1586</v>
      </c>
      <c r="J2270" s="15" t="s">
        <v>10182</v>
      </c>
      <c r="K2270" s="15">
        <v>61.0</v>
      </c>
      <c r="L2270" s="15">
        <v>61.0</v>
      </c>
      <c r="M2270" s="40">
        <v>39973.0</v>
      </c>
      <c r="N2270" s="40">
        <v>40186.0</v>
      </c>
      <c r="O2270" s="15" t="s">
        <v>1554</v>
      </c>
      <c r="Q2270" s="7"/>
    </row>
    <row r="2271">
      <c r="A2271" s="39" t="s">
        <v>10183</v>
      </c>
      <c r="B2271" s="15">
        <v>538004.0</v>
      </c>
      <c r="C2271" s="15" t="s">
        <v>10184</v>
      </c>
      <c r="D2271" s="15">
        <v>38463.0</v>
      </c>
      <c r="E2271" s="15" t="s">
        <v>2014</v>
      </c>
      <c r="F2271" s="15" t="s">
        <v>1578</v>
      </c>
      <c r="G2271" s="7">
        <v>1.384</v>
      </c>
      <c r="H2271" s="15" t="s">
        <v>1912</v>
      </c>
      <c r="I2271" s="15" t="s">
        <v>1628</v>
      </c>
      <c r="J2271" s="15" t="s">
        <v>10185</v>
      </c>
      <c r="K2271" s="15">
        <v>1.0</v>
      </c>
      <c r="L2271" s="15">
        <v>1.0</v>
      </c>
      <c r="M2271" s="40">
        <v>39964.0</v>
      </c>
      <c r="N2271" s="40">
        <v>40579.0</v>
      </c>
      <c r="O2271" s="15" t="s">
        <v>1554</v>
      </c>
      <c r="Q2271" s="7"/>
    </row>
    <row r="2272">
      <c r="A2272" s="39" t="s">
        <v>10186</v>
      </c>
      <c r="B2272" s="15">
        <v>431317.0</v>
      </c>
      <c r="C2272" s="15" t="s">
        <v>10187</v>
      </c>
      <c r="D2272" s="15">
        <v>38495.0</v>
      </c>
      <c r="E2272" s="15" t="s">
        <v>1548</v>
      </c>
      <c r="F2272" s="15" t="s">
        <v>1911</v>
      </c>
      <c r="G2272" s="7">
        <v>10.282</v>
      </c>
      <c r="H2272" s="15" t="s">
        <v>2777</v>
      </c>
      <c r="I2272" s="15" t="s">
        <v>1628</v>
      </c>
      <c r="J2272" s="15" t="s">
        <v>10188</v>
      </c>
      <c r="K2272" s="15">
        <v>2.0</v>
      </c>
      <c r="L2272" s="15">
        <v>2.0</v>
      </c>
      <c r="M2272" s="40">
        <v>39974.0</v>
      </c>
      <c r="N2272" s="40">
        <v>42045.0</v>
      </c>
      <c r="O2272" s="15" t="s">
        <v>1554</v>
      </c>
      <c r="Q2272" s="7"/>
    </row>
    <row r="2273">
      <c r="A2273" s="39" t="s">
        <v>10189</v>
      </c>
      <c r="B2273" s="15">
        <v>402584.0</v>
      </c>
      <c r="C2273" s="15" t="s">
        <v>10190</v>
      </c>
      <c r="D2273" s="15">
        <v>38557.0</v>
      </c>
      <c r="E2273" s="15" t="s">
        <v>1548</v>
      </c>
      <c r="F2273" s="15" t="s">
        <v>1801</v>
      </c>
      <c r="G2273" s="7">
        <v>12.337</v>
      </c>
      <c r="H2273" s="15" t="s">
        <v>1720</v>
      </c>
      <c r="I2273" s="15" t="s">
        <v>1686</v>
      </c>
      <c r="J2273" s="15" t="s">
        <v>10191</v>
      </c>
      <c r="K2273" s="15">
        <v>1.0</v>
      </c>
      <c r="L2273" s="15">
        <v>1.0</v>
      </c>
      <c r="M2273" s="40">
        <v>39981.0</v>
      </c>
      <c r="N2273" s="40">
        <v>40185.0</v>
      </c>
      <c r="O2273" s="15" t="s">
        <v>1554</v>
      </c>
      <c r="Q2273" s="7"/>
    </row>
    <row r="2274">
      <c r="A2274" s="39" t="s">
        <v>10193</v>
      </c>
      <c r="B2274" s="15">
        <v>10845.0</v>
      </c>
      <c r="C2274" s="15" t="s">
        <v>10194</v>
      </c>
      <c r="D2274" s="15">
        <v>38669.0</v>
      </c>
      <c r="E2274" s="15" t="s">
        <v>1808</v>
      </c>
      <c r="F2274" s="15" t="s">
        <v>3154</v>
      </c>
      <c r="G2274" s="7">
        <v>6.094</v>
      </c>
      <c r="H2274" s="15" t="s">
        <v>3082</v>
      </c>
      <c r="I2274" s="15" t="s">
        <v>1586</v>
      </c>
      <c r="J2274" s="15" t="s">
        <v>10195</v>
      </c>
      <c r="K2274" s="15">
        <v>11.0</v>
      </c>
      <c r="L2274" s="15">
        <v>11.0</v>
      </c>
      <c r="M2274" s="40">
        <v>39987.0</v>
      </c>
      <c r="N2274" s="40">
        <v>40263.0</v>
      </c>
      <c r="O2274" s="15" t="s">
        <v>1554</v>
      </c>
      <c r="Q2274" s="7"/>
    </row>
    <row r="2275">
      <c r="A2275" s="39" t="s">
        <v>10196</v>
      </c>
      <c r="B2275" s="15">
        <v>375546.0</v>
      </c>
      <c r="C2275" s="15" t="s">
        <v>10197</v>
      </c>
      <c r="D2275" s="15">
        <v>38689.0</v>
      </c>
      <c r="E2275" s="15" t="s">
        <v>1548</v>
      </c>
      <c r="F2275" s="15" t="s">
        <v>1786</v>
      </c>
      <c r="G2275" s="7">
        <v>8.433</v>
      </c>
      <c r="H2275" s="15" t="s">
        <v>4070</v>
      </c>
      <c r="I2275" s="15" t="s">
        <v>1628</v>
      </c>
      <c r="J2275" s="15" t="s">
        <v>10199</v>
      </c>
      <c r="K2275" s="15">
        <v>6.0</v>
      </c>
      <c r="L2275" s="15">
        <v>6.0</v>
      </c>
      <c r="M2275" s="40">
        <v>39620.0</v>
      </c>
      <c r="N2275" s="40">
        <v>40248.0</v>
      </c>
      <c r="O2275" s="15" t="s">
        <v>1554</v>
      </c>
      <c r="Q2275" s="7"/>
    </row>
    <row r="2276">
      <c r="A2276" s="39" t="s">
        <v>10200</v>
      </c>
      <c r="B2276" s="15">
        <v>372457.0</v>
      </c>
      <c r="C2276" s="15" t="s">
        <v>10201</v>
      </c>
      <c r="D2276" s="15">
        <v>38845.0</v>
      </c>
      <c r="E2276" s="15" t="s">
        <v>1557</v>
      </c>
      <c r="F2276" s="15" t="s">
        <v>1833</v>
      </c>
      <c r="G2276" s="7">
        <v>31.147</v>
      </c>
      <c r="H2276" s="15" t="s">
        <v>2197</v>
      </c>
      <c r="I2276" s="15" t="s">
        <v>1586</v>
      </c>
      <c r="J2276" s="15" t="s">
        <v>10202</v>
      </c>
      <c r="K2276" s="15">
        <v>41.0</v>
      </c>
      <c r="L2276" s="15">
        <v>41.0</v>
      </c>
      <c r="M2276" s="40">
        <v>39293.0</v>
      </c>
      <c r="N2276" s="40">
        <v>40578.0</v>
      </c>
      <c r="O2276" s="15" t="s">
        <v>1554</v>
      </c>
      <c r="Q2276" s="7"/>
    </row>
    <row r="2277">
      <c r="A2277" s="39" t="s">
        <v>10203</v>
      </c>
      <c r="B2277" s="15">
        <v>642478.0</v>
      </c>
      <c r="C2277" s="15" t="s">
        <v>10204</v>
      </c>
      <c r="D2277" s="15">
        <v>38899.0</v>
      </c>
      <c r="E2277" s="15" t="s">
        <v>1548</v>
      </c>
      <c r="F2277" s="15" t="s">
        <v>1790</v>
      </c>
      <c r="G2277" s="7">
        <v>17.147</v>
      </c>
      <c r="H2277" s="15" t="s">
        <v>10206</v>
      </c>
      <c r="I2277" s="15" t="s">
        <v>1628</v>
      </c>
      <c r="J2277" s="15" t="s">
        <v>10207</v>
      </c>
      <c r="K2277" s="15">
        <v>14.0</v>
      </c>
      <c r="L2277" s="15">
        <v>14.0</v>
      </c>
      <c r="M2277" s="40">
        <v>39995.0</v>
      </c>
      <c r="N2277" s="41">
        <v>42297.0</v>
      </c>
      <c r="O2277" s="15" t="s">
        <v>1554</v>
      </c>
      <c r="Q2277" s="7"/>
    </row>
    <row r="2278">
      <c r="A2278" s="39" t="s">
        <v>10208</v>
      </c>
      <c r="B2278" s="15">
        <v>656028.0</v>
      </c>
      <c r="C2278" s="15" t="s">
        <v>10209</v>
      </c>
      <c r="D2278" s="15">
        <v>39589.0</v>
      </c>
      <c r="E2278" s="15" t="s">
        <v>2014</v>
      </c>
      <c r="F2278" s="15" t="s">
        <v>1578</v>
      </c>
      <c r="G2278" s="7">
        <v>1.315</v>
      </c>
      <c r="H2278" s="15" t="s">
        <v>2820</v>
      </c>
      <c r="I2278" s="15" t="s">
        <v>1628</v>
      </c>
      <c r="J2278" s="15" t="s">
        <v>10210</v>
      </c>
      <c r="K2278" s="15">
        <v>1.0</v>
      </c>
      <c r="L2278" s="15">
        <v>1.0</v>
      </c>
      <c r="M2278" s="40">
        <v>39845.0</v>
      </c>
      <c r="N2278" s="41">
        <v>40533.0</v>
      </c>
      <c r="O2278" s="15" t="s">
        <v>1554</v>
      </c>
      <c r="Q2278" s="7"/>
    </row>
    <row r="2279">
      <c r="A2279" s="39" t="s">
        <v>10211</v>
      </c>
      <c r="B2279" s="15">
        <v>656025.0</v>
      </c>
      <c r="C2279" s="15" t="s">
        <v>10212</v>
      </c>
      <c r="D2279" s="15">
        <v>39593.0</v>
      </c>
      <c r="E2279" s="15" t="s">
        <v>2014</v>
      </c>
      <c r="F2279" s="15" t="s">
        <v>1578</v>
      </c>
      <c r="G2279" s="7">
        <v>1.378</v>
      </c>
      <c r="H2279" s="15" t="s">
        <v>2049</v>
      </c>
      <c r="I2279" s="15" t="s">
        <v>1628</v>
      </c>
      <c r="J2279" s="15" t="s">
        <v>10213</v>
      </c>
      <c r="K2279" s="15">
        <v>1.0</v>
      </c>
      <c r="L2279" s="15">
        <v>1.0</v>
      </c>
      <c r="M2279" s="40">
        <v>39845.0</v>
      </c>
      <c r="N2279" s="41">
        <v>40533.0</v>
      </c>
      <c r="O2279" s="15" t="s">
        <v>1554</v>
      </c>
      <c r="Q2279" s="7"/>
    </row>
    <row r="2280">
      <c r="A2280" s="39" t="s">
        <v>10215</v>
      </c>
      <c r="B2280" s="15">
        <v>642259.0</v>
      </c>
      <c r="C2280" s="15" t="s">
        <v>10216</v>
      </c>
      <c r="D2280" s="15">
        <v>39607.0</v>
      </c>
      <c r="E2280" s="15" t="s">
        <v>1808</v>
      </c>
      <c r="F2280" s="15" t="s">
        <v>1578</v>
      </c>
      <c r="G2280" s="7">
        <v>1.833</v>
      </c>
      <c r="H2280" s="15" t="s">
        <v>2648</v>
      </c>
      <c r="I2280" s="15" t="s">
        <v>1706</v>
      </c>
      <c r="J2280" s="15" t="s">
        <v>10217</v>
      </c>
      <c r="K2280" s="15">
        <v>2.0</v>
      </c>
      <c r="L2280" s="15">
        <v>2.0</v>
      </c>
      <c r="M2280" s="40">
        <v>40003.0</v>
      </c>
      <c r="N2280" s="40">
        <v>40206.0</v>
      </c>
      <c r="O2280" s="15" t="s">
        <v>1554</v>
      </c>
      <c r="Q2280" s="7"/>
    </row>
    <row r="2281">
      <c r="A2281" s="39" t="s">
        <v>10218</v>
      </c>
      <c r="B2281" s="15">
        <v>642260.0</v>
      </c>
      <c r="C2281" s="15" t="s">
        <v>10219</v>
      </c>
      <c r="D2281" s="15">
        <v>39611.0</v>
      </c>
      <c r="E2281" s="15" t="s">
        <v>1808</v>
      </c>
      <c r="F2281" s="15" t="s">
        <v>1578</v>
      </c>
      <c r="G2281" s="7">
        <v>1.815</v>
      </c>
      <c r="H2281" s="15" t="s">
        <v>10220</v>
      </c>
      <c r="I2281" s="15" t="s">
        <v>1706</v>
      </c>
      <c r="J2281" s="15" t="s">
        <v>10221</v>
      </c>
      <c r="K2281" s="15">
        <v>2.0</v>
      </c>
      <c r="L2281" s="15">
        <v>2.0</v>
      </c>
      <c r="M2281" s="40">
        <v>40003.0</v>
      </c>
      <c r="N2281" s="40">
        <v>40206.0</v>
      </c>
      <c r="O2281" s="15" t="s">
        <v>1554</v>
      </c>
      <c r="Q2281" s="7"/>
    </row>
    <row r="2282">
      <c r="A2282" s="39" t="s">
        <v>10223</v>
      </c>
      <c r="B2282" s="15">
        <v>642251.0</v>
      </c>
      <c r="C2282" s="15" t="s">
        <v>10224</v>
      </c>
      <c r="D2282" s="15">
        <v>39617.0</v>
      </c>
      <c r="E2282" s="15" t="s">
        <v>1808</v>
      </c>
      <c r="F2282" s="15" t="s">
        <v>1578</v>
      </c>
      <c r="G2282" s="7">
        <v>2.162</v>
      </c>
      <c r="H2282" s="15" t="s">
        <v>4776</v>
      </c>
      <c r="I2282" s="15" t="s">
        <v>1706</v>
      </c>
      <c r="J2282" s="15" t="s">
        <v>10225</v>
      </c>
      <c r="K2282" s="15">
        <v>3.0</v>
      </c>
      <c r="L2282" s="15">
        <v>3.0</v>
      </c>
      <c r="M2282" s="40">
        <v>40003.0</v>
      </c>
      <c r="N2282" s="40">
        <v>40206.0</v>
      </c>
      <c r="O2282" s="15" t="s">
        <v>1554</v>
      </c>
      <c r="Q2282" s="7"/>
    </row>
    <row r="2283">
      <c r="A2283" s="39" t="s">
        <v>10226</v>
      </c>
      <c r="B2283" s="15">
        <v>642252.0</v>
      </c>
      <c r="C2283" s="15" t="s">
        <v>10227</v>
      </c>
      <c r="D2283" s="15">
        <v>39619.0</v>
      </c>
      <c r="E2283" s="15" t="s">
        <v>1808</v>
      </c>
      <c r="F2283" s="15" t="s">
        <v>1578</v>
      </c>
      <c r="G2283" s="7">
        <v>2.819</v>
      </c>
      <c r="H2283" s="15" t="s">
        <v>1918</v>
      </c>
      <c r="I2283" s="15" t="s">
        <v>1706</v>
      </c>
      <c r="J2283" s="15" t="s">
        <v>10228</v>
      </c>
      <c r="K2283" s="15">
        <v>2.0</v>
      </c>
      <c r="L2283" s="15">
        <v>2.0</v>
      </c>
      <c r="M2283" s="40">
        <v>40003.0</v>
      </c>
      <c r="N2283" s="40">
        <v>40206.0</v>
      </c>
      <c r="O2283" s="15" t="s">
        <v>1554</v>
      </c>
      <c r="Q2283" s="7"/>
    </row>
    <row r="2284">
      <c r="A2284" s="39" t="s">
        <v>10229</v>
      </c>
      <c r="B2284" s="15">
        <v>642253.0</v>
      </c>
      <c r="C2284" s="15" t="s">
        <v>10230</v>
      </c>
      <c r="D2284" s="15">
        <v>39621.0</v>
      </c>
      <c r="E2284" s="15" t="s">
        <v>1808</v>
      </c>
      <c r="F2284" s="15" t="s">
        <v>1578</v>
      </c>
      <c r="G2284" s="7">
        <v>1.803</v>
      </c>
      <c r="H2284" s="15" t="s">
        <v>3022</v>
      </c>
      <c r="I2284" s="15" t="s">
        <v>1706</v>
      </c>
      <c r="J2284" s="15" t="s">
        <v>10231</v>
      </c>
      <c r="K2284" s="15">
        <v>2.0</v>
      </c>
      <c r="L2284" s="15">
        <v>2.0</v>
      </c>
      <c r="M2284" s="40">
        <v>40003.0</v>
      </c>
      <c r="N2284" s="40">
        <v>40206.0</v>
      </c>
      <c r="O2284" s="15" t="s">
        <v>1554</v>
      </c>
      <c r="Q2284" s="7"/>
    </row>
    <row r="2285">
      <c r="A2285" s="39" t="s">
        <v>10232</v>
      </c>
      <c r="B2285" s="15">
        <v>642254.0</v>
      </c>
      <c r="C2285" s="15" t="s">
        <v>10233</v>
      </c>
      <c r="D2285" s="15">
        <v>39623.0</v>
      </c>
      <c r="E2285" s="15" t="s">
        <v>1808</v>
      </c>
      <c r="F2285" s="15" t="s">
        <v>1578</v>
      </c>
      <c r="G2285" s="7">
        <v>2.072</v>
      </c>
      <c r="H2285" s="15" t="s">
        <v>6418</v>
      </c>
      <c r="I2285" s="15" t="s">
        <v>1706</v>
      </c>
      <c r="J2285" s="15" t="s">
        <v>10234</v>
      </c>
      <c r="K2285" s="15">
        <v>2.0</v>
      </c>
      <c r="L2285" s="15">
        <v>2.0</v>
      </c>
      <c r="M2285" s="40">
        <v>40003.0</v>
      </c>
      <c r="N2285" s="40">
        <v>40206.0</v>
      </c>
      <c r="O2285" s="15" t="s">
        <v>1554</v>
      </c>
      <c r="Q2285" s="7"/>
    </row>
    <row r="2286">
      <c r="A2286" s="39" t="s">
        <v>10235</v>
      </c>
      <c r="B2286" s="15">
        <v>642255.0</v>
      </c>
      <c r="C2286" s="15" t="s">
        <v>10236</v>
      </c>
      <c r="D2286" s="15">
        <v>39625.0</v>
      </c>
      <c r="E2286" s="15" t="s">
        <v>1808</v>
      </c>
      <c r="F2286" s="15" t="s">
        <v>1578</v>
      </c>
      <c r="G2286" s="7">
        <v>2.782</v>
      </c>
      <c r="H2286" s="15" t="s">
        <v>2524</v>
      </c>
      <c r="I2286" s="15" t="s">
        <v>1706</v>
      </c>
      <c r="J2286" s="15" t="s">
        <v>10237</v>
      </c>
      <c r="K2286" s="15">
        <v>2.0</v>
      </c>
      <c r="L2286" s="15">
        <v>2.0</v>
      </c>
      <c r="M2286" s="40">
        <v>40003.0</v>
      </c>
      <c r="N2286" s="40">
        <v>40206.0</v>
      </c>
      <c r="O2286" s="15" t="s">
        <v>1554</v>
      </c>
      <c r="Q2286" s="7"/>
    </row>
    <row r="2287">
      <c r="A2287" s="39" t="s">
        <v>10238</v>
      </c>
      <c r="B2287" s="15">
        <v>642256.0</v>
      </c>
      <c r="C2287" s="15" t="s">
        <v>10239</v>
      </c>
      <c r="D2287" s="15">
        <v>39627.0</v>
      </c>
      <c r="E2287" s="15" t="s">
        <v>1808</v>
      </c>
      <c r="F2287" s="15" t="s">
        <v>1578</v>
      </c>
      <c r="G2287" s="7">
        <v>2.16</v>
      </c>
      <c r="H2287" s="15" t="s">
        <v>3653</v>
      </c>
      <c r="I2287" s="15" t="s">
        <v>1706</v>
      </c>
      <c r="J2287" s="15" t="s">
        <v>10241</v>
      </c>
      <c r="K2287" s="15">
        <v>2.0</v>
      </c>
      <c r="L2287" s="15">
        <v>2.0</v>
      </c>
      <c r="M2287" s="40">
        <v>40003.0</v>
      </c>
      <c r="N2287" s="40">
        <v>40206.0</v>
      </c>
      <c r="O2287" s="15" t="s">
        <v>1554</v>
      </c>
      <c r="Q2287" s="7"/>
    </row>
    <row r="2288">
      <c r="A2288" s="39" t="s">
        <v>10242</v>
      </c>
      <c r="B2288" s="15">
        <v>642257.0</v>
      </c>
      <c r="C2288" s="15" t="s">
        <v>10243</v>
      </c>
      <c r="D2288" s="15">
        <v>39629.0</v>
      </c>
      <c r="E2288" s="15" t="s">
        <v>1808</v>
      </c>
      <c r="F2288" s="15" t="s">
        <v>1578</v>
      </c>
      <c r="G2288" s="7">
        <v>2.757</v>
      </c>
      <c r="H2288" s="15" t="s">
        <v>1670</v>
      </c>
      <c r="I2288" s="15" t="s">
        <v>1706</v>
      </c>
      <c r="J2288" s="15" t="s">
        <v>10244</v>
      </c>
      <c r="K2288" s="15">
        <v>4.0</v>
      </c>
      <c r="L2288" s="15">
        <v>3.0</v>
      </c>
      <c r="M2288" s="40">
        <v>40003.0</v>
      </c>
      <c r="N2288" s="40">
        <v>40206.0</v>
      </c>
      <c r="O2288" s="15" t="s">
        <v>1554</v>
      </c>
      <c r="Q2288" s="7"/>
    </row>
    <row r="2289">
      <c r="A2289" s="39" t="s">
        <v>10245</v>
      </c>
      <c r="B2289" s="15">
        <v>642258.0</v>
      </c>
      <c r="C2289" s="15" t="s">
        <v>10246</v>
      </c>
      <c r="D2289" s="15">
        <v>39631.0</v>
      </c>
      <c r="E2289" s="15" t="s">
        <v>1808</v>
      </c>
      <c r="F2289" s="15" t="s">
        <v>1578</v>
      </c>
      <c r="G2289" s="7">
        <v>1.739</v>
      </c>
      <c r="H2289" s="15" t="s">
        <v>2118</v>
      </c>
      <c r="I2289" s="15" t="s">
        <v>1706</v>
      </c>
      <c r="J2289" s="15" t="s">
        <v>10247</v>
      </c>
      <c r="K2289" s="15">
        <v>1.0</v>
      </c>
      <c r="L2289" s="15">
        <v>2.0</v>
      </c>
      <c r="M2289" s="40">
        <v>40003.0</v>
      </c>
      <c r="N2289" s="40">
        <v>40206.0</v>
      </c>
      <c r="O2289" s="15" t="s">
        <v>1554</v>
      </c>
      <c r="Q2289" s="7"/>
    </row>
    <row r="2290">
      <c r="A2290" s="39" t="s">
        <v>10248</v>
      </c>
      <c r="B2290" s="15">
        <v>661101.0</v>
      </c>
      <c r="C2290" s="15" t="s">
        <v>10249</v>
      </c>
      <c r="D2290" s="15">
        <v>39867.0</v>
      </c>
      <c r="E2290" s="15" t="s">
        <v>1548</v>
      </c>
      <c r="F2290" s="15" t="s">
        <v>1626</v>
      </c>
      <c r="G2290" s="7">
        <v>12.601</v>
      </c>
      <c r="H2290" s="15" t="s">
        <v>10250</v>
      </c>
      <c r="I2290" s="15" t="s">
        <v>1628</v>
      </c>
      <c r="J2290" s="15" t="s">
        <v>10251</v>
      </c>
      <c r="K2290" s="15">
        <v>3.0</v>
      </c>
      <c r="L2290" s="15">
        <v>3.0</v>
      </c>
      <c r="M2290" s="40">
        <v>40026.0</v>
      </c>
      <c r="N2290" s="41">
        <v>42297.0</v>
      </c>
      <c r="O2290" s="15" t="s">
        <v>1554</v>
      </c>
      <c r="Q2290" s="7"/>
    </row>
    <row r="2291">
      <c r="A2291" s="39" t="s">
        <v>10253</v>
      </c>
      <c r="B2291" s="15">
        <v>661505.0</v>
      </c>
      <c r="C2291" s="15" t="s">
        <v>10254</v>
      </c>
      <c r="D2291" s="15">
        <v>39933.0</v>
      </c>
      <c r="E2291" s="15" t="s">
        <v>2014</v>
      </c>
      <c r="F2291" s="15" t="s">
        <v>1578</v>
      </c>
      <c r="G2291" s="7">
        <v>1.369</v>
      </c>
      <c r="H2291" s="15" t="s">
        <v>2223</v>
      </c>
      <c r="I2291" s="15" t="s">
        <v>1628</v>
      </c>
      <c r="J2291" s="15" t="s">
        <v>10255</v>
      </c>
      <c r="K2291" s="15">
        <v>1.0</v>
      </c>
      <c r="L2291" s="15">
        <v>1.0</v>
      </c>
      <c r="M2291" s="40">
        <v>39869.0</v>
      </c>
      <c r="N2291" s="40">
        <v>40579.0</v>
      </c>
      <c r="O2291" s="15" t="s">
        <v>1554</v>
      </c>
      <c r="Q2291" s="7"/>
    </row>
    <row r="2292">
      <c r="A2292" s="39" t="s">
        <v>10256</v>
      </c>
      <c r="B2292" s="15">
        <v>640897.0</v>
      </c>
      <c r="C2292" s="15" t="s">
        <v>10257</v>
      </c>
      <c r="D2292" s="15">
        <v>40329.0</v>
      </c>
      <c r="E2292" s="15" t="s">
        <v>1548</v>
      </c>
      <c r="F2292" s="15" t="s">
        <v>1578</v>
      </c>
      <c r="G2292" s="7">
        <v>6.116</v>
      </c>
      <c r="H2292" s="15" t="s">
        <v>10258</v>
      </c>
      <c r="I2292" s="15" t="s">
        <v>1552</v>
      </c>
      <c r="J2292" s="15" t="s">
        <v>10259</v>
      </c>
      <c r="K2292" s="15">
        <v>3.0</v>
      </c>
      <c r="L2292" s="15">
        <v>3.0</v>
      </c>
      <c r="M2292" s="40">
        <v>40062.0</v>
      </c>
      <c r="N2292" s="41">
        <v>42297.0</v>
      </c>
      <c r="O2292" s="15" t="s">
        <v>1554</v>
      </c>
      <c r="Q2292" s="7"/>
    </row>
    <row r="2293">
      <c r="A2293" s="39" t="s">
        <v>10260</v>
      </c>
      <c r="B2293" s="15">
        <v>340187.0</v>
      </c>
      <c r="C2293" s="15" t="s">
        <v>10262</v>
      </c>
      <c r="D2293" s="15">
        <v>40357.0</v>
      </c>
      <c r="E2293" s="15" t="s">
        <v>1548</v>
      </c>
      <c r="F2293" s="15" t="s">
        <v>1578</v>
      </c>
      <c r="G2293" s="7">
        <v>10.035</v>
      </c>
      <c r="H2293" s="15" t="s">
        <v>4595</v>
      </c>
      <c r="I2293" s="15" t="s">
        <v>1560</v>
      </c>
      <c r="J2293" s="15" t="s">
        <v>10263</v>
      </c>
      <c r="K2293" s="15">
        <v>2.0</v>
      </c>
      <c r="L2293" s="15">
        <v>2.0</v>
      </c>
      <c r="M2293" s="40">
        <v>35773.0</v>
      </c>
      <c r="N2293" s="40">
        <v>42576.0</v>
      </c>
      <c r="O2293" s="15" t="s">
        <v>1554</v>
      </c>
      <c r="Q2293" s="7"/>
    </row>
    <row r="2294">
      <c r="A2294" s="39" t="s">
        <v>10264</v>
      </c>
      <c r="B2294" s="15">
        <v>642926.0</v>
      </c>
      <c r="C2294" s="15" t="s">
        <v>10265</v>
      </c>
      <c r="D2294" s="15">
        <v>36523.0</v>
      </c>
      <c r="E2294" s="15" t="s">
        <v>1557</v>
      </c>
      <c r="F2294" s="15" t="s">
        <v>2763</v>
      </c>
      <c r="G2294" s="7">
        <v>191.761</v>
      </c>
      <c r="H2294" s="15" t="s">
        <v>2877</v>
      </c>
      <c r="I2294" s="15" t="s">
        <v>1573</v>
      </c>
      <c r="J2294" s="15" t="s">
        <v>10266</v>
      </c>
      <c r="K2294" s="15">
        <v>233.0</v>
      </c>
      <c r="L2294" s="15">
        <v>230.0</v>
      </c>
      <c r="M2294" s="40">
        <v>40065.0</v>
      </c>
      <c r="N2294" s="40">
        <v>42088.0</v>
      </c>
      <c r="O2294" s="15" t="s">
        <v>1554</v>
      </c>
      <c r="Q2294" s="7"/>
    </row>
    <row r="2295">
      <c r="A2295" s="39" t="s">
        <v>10267</v>
      </c>
      <c r="B2295" s="15">
        <v>666635.0</v>
      </c>
      <c r="C2295" s="15" t="s">
        <v>10268</v>
      </c>
      <c r="D2295" s="15">
        <v>41303.0</v>
      </c>
      <c r="E2295" s="15" t="s">
        <v>2014</v>
      </c>
      <c r="F2295" s="15" t="s">
        <v>2018</v>
      </c>
      <c r="G2295" s="7">
        <v>1.364</v>
      </c>
      <c r="H2295" s="15" t="s">
        <v>2158</v>
      </c>
      <c r="I2295" s="15" t="s">
        <v>1628</v>
      </c>
      <c r="J2295" s="15" t="s">
        <v>10269</v>
      </c>
      <c r="K2295" s="15">
        <v>1.0</v>
      </c>
      <c r="L2295" s="15">
        <v>1.0</v>
      </c>
      <c r="M2295" s="41">
        <v>40098.0</v>
      </c>
      <c r="N2295" s="40">
        <v>40579.0</v>
      </c>
      <c r="O2295" s="15" t="s">
        <v>1554</v>
      </c>
      <c r="Q2295" s="7"/>
    </row>
    <row r="2296">
      <c r="A2296" s="39" t="s">
        <v>10271</v>
      </c>
      <c r="B2296" s="15">
        <v>670251.0</v>
      </c>
      <c r="C2296" s="15" t="s">
        <v>10272</v>
      </c>
      <c r="D2296" s="15">
        <v>41305.0</v>
      </c>
      <c r="E2296" s="15" t="s">
        <v>2014</v>
      </c>
      <c r="F2296" s="15" t="s">
        <v>2018</v>
      </c>
      <c r="G2296" s="7">
        <v>1.363</v>
      </c>
      <c r="H2296" s="15" t="s">
        <v>2580</v>
      </c>
      <c r="I2296" s="15" t="s">
        <v>1628</v>
      </c>
      <c r="J2296" s="15" t="s">
        <v>10273</v>
      </c>
      <c r="K2296" s="15">
        <v>1.0</v>
      </c>
      <c r="L2296" s="15">
        <v>1.0</v>
      </c>
      <c r="M2296" s="40">
        <v>40069.0</v>
      </c>
      <c r="N2296" s="41">
        <v>40540.0</v>
      </c>
      <c r="O2296" s="15" t="s">
        <v>1554</v>
      </c>
      <c r="Q2296" s="7"/>
    </row>
    <row r="2297">
      <c r="A2297" s="39" t="s">
        <v>10274</v>
      </c>
      <c r="B2297" s="15">
        <v>675833.0</v>
      </c>
      <c r="C2297" s="15" t="s">
        <v>10275</v>
      </c>
      <c r="D2297" s="15">
        <v>41437.0</v>
      </c>
      <c r="E2297" s="15" t="s">
        <v>1638</v>
      </c>
      <c r="F2297" s="15" t="s">
        <v>2849</v>
      </c>
      <c r="G2297" s="7">
        <v>16.614</v>
      </c>
      <c r="H2297" s="15">
        <v>47.0</v>
      </c>
      <c r="I2297" s="15" t="s">
        <v>1628</v>
      </c>
      <c r="J2297" s="15" t="s">
        <v>10276</v>
      </c>
      <c r="K2297" s="15">
        <v>1.0</v>
      </c>
      <c r="L2297" s="15">
        <v>1.0</v>
      </c>
      <c r="M2297" s="40">
        <v>38856.0</v>
      </c>
      <c r="N2297" s="40">
        <v>40825.0</v>
      </c>
      <c r="O2297" s="15" t="s">
        <v>1554</v>
      </c>
      <c r="Q2297" s="7"/>
    </row>
    <row r="2298">
      <c r="A2298" s="39" t="s">
        <v>10277</v>
      </c>
      <c r="B2298" s="15">
        <v>658904.0</v>
      </c>
      <c r="C2298" s="15" t="s">
        <v>10278</v>
      </c>
      <c r="D2298" s="15">
        <v>41609.0</v>
      </c>
      <c r="E2298" s="15" t="s">
        <v>1659</v>
      </c>
      <c r="F2298" s="15" t="s">
        <v>10279</v>
      </c>
      <c r="G2298" s="7">
        <v>16.111</v>
      </c>
      <c r="H2298" s="15" t="s">
        <v>10280</v>
      </c>
      <c r="I2298" s="15" t="s">
        <v>1552</v>
      </c>
      <c r="J2298" s="15" t="s">
        <v>10281</v>
      </c>
      <c r="K2298" s="15">
        <v>4.0</v>
      </c>
      <c r="L2298" s="15">
        <v>4.0</v>
      </c>
      <c r="M2298" s="41">
        <v>40115.0</v>
      </c>
      <c r="N2298" s="41">
        <v>41240.0</v>
      </c>
      <c r="O2298" s="15" t="s">
        <v>1554</v>
      </c>
      <c r="Q2298" s="7"/>
    </row>
    <row r="2299">
      <c r="A2299" s="39" t="s">
        <v>10283</v>
      </c>
      <c r="B2299" s="15">
        <v>687917.0</v>
      </c>
      <c r="C2299" s="15" t="s">
        <v>10284</v>
      </c>
      <c r="D2299" s="15">
        <v>41629.0</v>
      </c>
      <c r="E2299" s="15" t="s">
        <v>1638</v>
      </c>
      <c r="F2299" s="15" t="s">
        <v>1578</v>
      </c>
      <c r="G2299" s="7">
        <v>9.098</v>
      </c>
      <c r="H2299" s="15" t="s">
        <v>2361</v>
      </c>
      <c r="I2299" s="15" t="s">
        <v>1552</v>
      </c>
      <c r="J2299" s="15" t="s">
        <v>10285</v>
      </c>
      <c r="K2299" s="15">
        <v>2.0</v>
      </c>
      <c r="L2299" s="15">
        <v>2.0</v>
      </c>
      <c r="M2299" s="40">
        <v>40122.0</v>
      </c>
      <c r="N2299" s="40">
        <v>40186.0</v>
      </c>
      <c r="O2299" s="15" t="s">
        <v>1554</v>
      </c>
      <c r="Q2299" s="7"/>
    </row>
    <row r="2300">
      <c r="A2300" s="39" t="s">
        <v>10286</v>
      </c>
      <c r="B2300" s="15">
        <v>687918.0</v>
      </c>
      <c r="C2300" s="15" t="s">
        <v>10287</v>
      </c>
      <c r="D2300" s="15">
        <v>41631.0</v>
      </c>
      <c r="E2300" s="15" t="s">
        <v>1638</v>
      </c>
      <c r="F2300" s="15" t="s">
        <v>1578</v>
      </c>
      <c r="G2300" s="7">
        <v>4.122</v>
      </c>
      <c r="H2300" s="15" t="s">
        <v>10288</v>
      </c>
      <c r="I2300" s="15" t="s">
        <v>1552</v>
      </c>
      <c r="J2300" s="15" t="s">
        <v>10289</v>
      </c>
      <c r="K2300" s="15">
        <v>3.0</v>
      </c>
      <c r="L2300" s="15">
        <v>3.0</v>
      </c>
      <c r="M2300" s="40">
        <v>40122.0</v>
      </c>
      <c r="N2300" s="41">
        <v>42297.0</v>
      </c>
      <c r="O2300" s="15" t="s">
        <v>1554</v>
      </c>
      <c r="Q2300" s="7"/>
    </row>
    <row r="2301">
      <c r="A2301" s="39" t="s">
        <v>10290</v>
      </c>
      <c r="B2301" s="15">
        <v>459770.0</v>
      </c>
      <c r="C2301" s="15" t="s">
        <v>10291</v>
      </c>
      <c r="D2301" s="15">
        <v>43007.0</v>
      </c>
      <c r="E2301" s="15" t="s">
        <v>1638</v>
      </c>
      <c r="F2301" s="15" t="s">
        <v>1578</v>
      </c>
      <c r="G2301" s="7">
        <v>5.018</v>
      </c>
      <c r="H2301" s="15" t="s">
        <v>10292</v>
      </c>
      <c r="I2301" s="15" t="s">
        <v>1552</v>
      </c>
      <c r="J2301" s="15" t="s">
        <v>10294</v>
      </c>
      <c r="K2301" s="15">
        <v>2.0</v>
      </c>
      <c r="L2301" s="15">
        <v>2.0</v>
      </c>
      <c r="M2301" s="41">
        <v>40177.0</v>
      </c>
      <c r="N2301" s="40">
        <v>40638.0</v>
      </c>
      <c r="O2301" s="15" t="s">
        <v>1554</v>
      </c>
      <c r="Q2301" s="7"/>
    </row>
    <row r="2302">
      <c r="A2302" s="39" t="s">
        <v>10295</v>
      </c>
      <c r="B2302" s="15">
        <v>1006583.0</v>
      </c>
      <c r="C2302" s="15" t="s">
        <v>10296</v>
      </c>
      <c r="D2302" s="15">
        <v>66333.0</v>
      </c>
      <c r="E2302" s="15" t="s">
        <v>1548</v>
      </c>
      <c r="F2302" s="15" t="s">
        <v>3116</v>
      </c>
      <c r="G2302" s="7">
        <v>12.408</v>
      </c>
      <c r="H2302" s="15" t="s">
        <v>10297</v>
      </c>
      <c r="I2302" s="15" t="s">
        <v>1803</v>
      </c>
      <c r="J2302" s="15" t="s">
        <v>10298</v>
      </c>
      <c r="K2302" s="15">
        <v>4.0</v>
      </c>
      <c r="L2302" s="15">
        <v>4.0</v>
      </c>
      <c r="M2302" s="40">
        <v>40653.0</v>
      </c>
      <c r="N2302" s="40">
        <v>40689.0</v>
      </c>
      <c r="O2302" s="15" t="s">
        <v>1554</v>
      </c>
      <c r="Q2302" s="7"/>
    </row>
    <row r="2303">
      <c r="A2303" s="39" t="s">
        <v>10299</v>
      </c>
      <c r="B2303" s="15">
        <v>504553.0</v>
      </c>
      <c r="C2303" s="15" t="s">
        <v>10300</v>
      </c>
      <c r="D2303" s="15">
        <v>66339.0</v>
      </c>
      <c r="E2303" s="15" t="s">
        <v>1557</v>
      </c>
      <c r="F2303" s="15" t="s">
        <v>1833</v>
      </c>
      <c r="G2303" s="7">
        <v>29.017</v>
      </c>
      <c r="H2303" s="15">
        <v>54.0</v>
      </c>
      <c r="I2303" s="15" t="s">
        <v>1586</v>
      </c>
      <c r="J2303" s="15" t="s">
        <v>10302</v>
      </c>
      <c r="K2303" s="15">
        <v>46.0</v>
      </c>
      <c r="L2303" s="15">
        <v>46.0</v>
      </c>
      <c r="M2303" s="40">
        <v>40659.0</v>
      </c>
      <c r="N2303" s="40">
        <v>40660.0</v>
      </c>
      <c r="O2303" s="15" t="s">
        <v>1554</v>
      </c>
      <c r="Q2303" s="7"/>
    </row>
    <row r="2304">
      <c r="A2304" s="39" t="s">
        <v>10303</v>
      </c>
      <c r="B2304" s="15">
        <v>504501.0</v>
      </c>
      <c r="C2304" s="15" t="s">
        <v>10304</v>
      </c>
      <c r="D2304" s="15">
        <v>66341.0</v>
      </c>
      <c r="E2304" s="15" t="s">
        <v>1557</v>
      </c>
      <c r="F2304" s="15" t="s">
        <v>1833</v>
      </c>
      <c r="G2304" s="7">
        <v>29.074</v>
      </c>
      <c r="H2304" s="15" t="s">
        <v>3246</v>
      </c>
      <c r="I2304" s="15" t="s">
        <v>1586</v>
      </c>
      <c r="J2304" s="15" t="s">
        <v>10305</v>
      </c>
      <c r="K2304" s="15">
        <v>45.0</v>
      </c>
      <c r="L2304" s="15">
        <v>45.0</v>
      </c>
      <c r="M2304" s="40">
        <v>40659.0</v>
      </c>
      <c r="N2304" s="40">
        <v>40660.0</v>
      </c>
      <c r="O2304" s="15" t="s">
        <v>1554</v>
      </c>
      <c r="Q2304" s="7"/>
    </row>
    <row r="2305">
      <c r="A2305" s="39" t="s">
        <v>10306</v>
      </c>
      <c r="B2305" s="15">
        <v>1520002.0</v>
      </c>
      <c r="C2305" s="15" t="s">
        <v>10307</v>
      </c>
      <c r="D2305" s="15">
        <v>66343.0</v>
      </c>
      <c r="E2305" s="15" t="s">
        <v>1557</v>
      </c>
      <c r="F2305" s="15" t="s">
        <v>2628</v>
      </c>
      <c r="G2305" s="7">
        <v>26.284</v>
      </c>
      <c r="H2305" s="15" t="s">
        <v>1823</v>
      </c>
      <c r="I2305" s="15" t="s">
        <v>1686</v>
      </c>
      <c r="J2305" s="15" t="s">
        <v>10308</v>
      </c>
      <c r="K2305" s="15">
        <v>23.0</v>
      </c>
      <c r="L2305" s="15">
        <v>23.0</v>
      </c>
      <c r="M2305" s="41">
        <v>39752.0</v>
      </c>
      <c r="N2305" s="40">
        <v>40662.0</v>
      </c>
      <c r="O2305" s="15" t="s">
        <v>1554</v>
      </c>
      <c r="Q2305" s="7"/>
    </row>
    <row r="2306">
      <c r="A2306" s="39" t="s">
        <v>10310</v>
      </c>
      <c r="B2306" s="15">
        <v>1002724.0</v>
      </c>
      <c r="C2306" s="15" t="s">
        <v>10311</v>
      </c>
      <c r="D2306" s="15">
        <v>66345.0</v>
      </c>
      <c r="E2306" s="15" t="s">
        <v>1557</v>
      </c>
      <c r="F2306" s="15" t="s">
        <v>1833</v>
      </c>
      <c r="G2306" s="7">
        <v>50.661</v>
      </c>
      <c r="H2306" s="15" t="s">
        <v>3407</v>
      </c>
      <c r="I2306" s="15" t="s">
        <v>1586</v>
      </c>
      <c r="J2306" s="15" t="s">
        <v>10312</v>
      </c>
      <c r="K2306" s="15">
        <v>80.0</v>
      </c>
      <c r="L2306" s="15">
        <v>80.0</v>
      </c>
      <c r="M2306" s="40">
        <v>40639.0</v>
      </c>
      <c r="N2306" s="40">
        <v>40660.0</v>
      </c>
      <c r="O2306" s="15" t="s">
        <v>1554</v>
      </c>
      <c r="Q2306" s="7"/>
    </row>
    <row r="2307">
      <c r="A2307" s="39" t="s">
        <v>10313</v>
      </c>
      <c r="B2307" s="15">
        <v>1002725.0</v>
      </c>
      <c r="C2307" s="15" t="s">
        <v>10314</v>
      </c>
      <c r="D2307" s="15">
        <v>66347.0</v>
      </c>
      <c r="E2307" s="15" t="s">
        <v>1557</v>
      </c>
      <c r="F2307" s="15" t="s">
        <v>1767</v>
      </c>
      <c r="G2307" s="7">
        <v>165.919</v>
      </c>
      <c r="H2307" s="15" t="s">
        <v>4479</v>
      </c>
      <c r="I2307" s="15" t="s">
        <v>1586</v>
      </c>
      <c r="J2307" s="15" t="s">
        <v>10315</v>
      </c>
      <c r="K2307" s="15">
        <v>265.0</v>
      </c>
      <c r="L2307" s="15">
        <v>265.0</v>
      </c>
      <c r="M2307" s="40">
        <v>40639.0</v>
      </c>
      <c r="N2307" s="40">
        <v>40660.0</v>
      </c>
      <c r="O2307" s="15" t="s">
        <v>1554</v>
      </c>
      <c r="Q2307" s="7"/>
    </row>
    <row r="2308">
      <c r="A2308" s="39" t="s">
        <v>10316</v>
      </c>
      <c r="B2308" s="15">
        <v>753084.0</v>
      </c>
      <c r="C2308" s="15" t="s">
        <v>10317</v>
      </c>
      <c r="D2308" s="15">
        <v>66393.0</v>
      </c>
      <c r="E2308" s="15" t="s">
        <v>1557</v>
      </c>
      <c r="F2308" s="15" t="s">
        <v>1833</v>
      </c>
      <c r="G2308" s="7">
        <v>72.332</v>
      </c>
      <c r="H2308" s="15" t="s">
        <v>4673</v>
      </c>
      <c r="I2308" s="15" t="s">
        <v>1586</v>
      </c>
      <c r="J2308" s="15" t="s">
        <v>10318</v>
      </c>
      <c r="K2308" s="15">
        <v>102.0</v>
      </c>
      <c r="L2308" s="15">
        <v>102.0</v>
      </c>
      <c r="M2308" s="40">
        <v>40653.0</v>
      </c>
      <c r="N2308" s="40">
        <v>40948.0</v>
      </c>
      <c r="O2308" s="15" t="s">
        <v>1554</v>
      </c>
      <c r="Q2308" s="7"/>
    </row>
    <row r="2309">
      <c r="A2309" s="39" t="s">
        <v>10319</v>
      </c>
      <c r="B2309" s="15">
        <v>934027.0</v>
      </c>
      <c r="C2309" s="15" t="s">
        <v>10321</v>
      </c>
      <c r="D2309" s="15">
        <v>66395.0</v>
      </c>
      <c r="E2309" s="15" t="s">
        <v>1557</v>
      </c>
      <c r="F2309" s="15" t="s">
        <v>1767</v>
      </c>
      <c r="G2309" s="7">
        <v>135.041</v>
      </c>
      <c r="H2309" s="42">
        <v>43157.0</v>
      </c>
      <c r="I2309" s="15" t="s">
        <v>1586</v>
      </c>
      <c r="J2309" s="15" t="s">
        <v>10322</v>
      </c>
      <c r="K2309" s="15">
        <v>174.0</v>
      </c>
      <c r="L2309" s="15">
        <v>166.0</v>
      </c>
      <c r="M2309" s="40">
        <v>40643.0</v>
      </c>
      <c r="N2309" s="41">
        <v>40876.0</v>
      </c>
      <c r="O2309" s="15" t="s">
        <v>1554</v>
      </c>
      <c r="Q2309" s="7"/>
    </row>
    <row r="2310">
      <c r="A2310" s="39" t="s">
        <v>10323</v>
      </c>
      <c r="B2310" s="15">
        <v>753085.0</v>
      </c>
      <c r="C2310" s="15" t="s">
        <v>10324</v>
      </c>
      <c r="D2310" s="15">
        <v>66397.0</v>
      </c>
      <c r="E2310" s="15" t="s">
        <v>1557</v>
      </c>
      <c r="F2310" s="15" t="s">
        <v>1833</v>
      </c>
      <c r="G2310" s="7">
        <v>33.004</v>
      </c>
      <c r="H2310" s="15" t="s">
        <v>1834</v>
      </c>
      <c r="I2310" s="15" t="s">
        <v>1586</v>
      </c>
      <c r="J2310" s="15" t="s">
        <v>10325</v>
      </c>
      <c r="K2310" s="15">
        <v>46.0</v>
      </c>
      <c r="L2310" s="15">
        <v>46.0</v>
      </c>
      <c r="M2310" s="40">
        <v>40653.0</v>
      </c>
      <c r="N2310" s="40">
        <v>40948.0</v>
      </c>
      <c r="O2310" s="15" t="s">
        <v>1554</v>
      </c>
      <c r="Q2310" s="7"/>
    </row>
    <row r="2311">
      <c r="A2311" s="39" t="s">
        <v>10326</v>
      </c>
      <c r="B2311" s="15">
        <v>562742.0</v>
      </c>
      <c r="C2311" s="15" t="s">
        <v>10327</v>
      </c>
      <c r="D2311" s="15">
        <v>66399.0</v>
      </c>
      <c r="E2311" s="15" t="s">
        <v>1557</v>
      </c>
      <c r="F2311" s="15" t="s">
        <v>1833</v>
      </c>
      <c r="G2311" s="7">
        <v>62.668</v>
      </c>
      <c r="H2311" s="15" t="s">
        <v>1566</v>
      </c>
      <c r="I2311" s="15" t="s">
        <v>1586</v>
      </c>
      <c r="J2311" s="15" t="s">
        <v>10329</v>
      </c>
      <c r="K2311" s="15">
        <v>87.0</v>
      </c>
      <c r="L2311" s="15">
        <v>87.0</v>
      </c>
      <c r="M2311" s="40">
        <v>40657.0</v>
      </c>
      <c r="N2311" s="40">
        <v>40661.0</v>
      </c>
      <c r="O2311" s="15" t="s">
        <v>1554</v>
      </c>
      <c r="Q2311" s="7"/>
    </row>
    <row r="2312">
      <c r="A2312" s="39" t="s">
        <v>10330</v>
      </c>
      <c r="B2312" s="15">
        <v>1027232.0</v>
      </c>
      <c r="C2312" s="15" t="s">
        <v>10331</v>
      </c>
      <c r="D2312" s="15">
        <v>66459.0</v>
      </c>
      <c r="E2312" s="15" t="s">
        <v>1548</v>
      </c>
      <c r="F2312" s="15" t="s">
        <v>5033</v>
      </c>
      <c r="G2312" s="7">
        <v>16.791</v>
      </c>
      <c r="H2312" s="15" t="s">
        <v>10332</v>
      </c>
      <c r="I2312" s="15" t="s">
        <v>2034</v>
      </c>
      <c r="J2312" s="15" t="s">
        <v>10333</v>
      </c>
      <c r="K2312" s="15">
        <v>5.0</v>
      </c>
      <c r="L2312" s="15">
        <v>5.0</v>
      </c>
      <c r="M2312" s="40">
        <v>40657.0</v>
      </c>
      <c r="N2312" s="41">
        <v>42297.0</v>
      </c>
      <c r="O2312" s="15" t="s">
        <v>1554</v>
      </c>
      <c r="Q2312" s="7"/>
    </row>
    <row r="2313">
      <c r="A2313" s="39" t="s">
        <v>10334</v>
      </c>
      <c r="B2313" s="15">
        <v>714310.0</v>
      </c>
      <c r="C2313" s="15" t="s">
        <v>10335</v>
      </c>
      <c r="D2313" s="15">
        <v>66545.0</v>
      </c>
      <c r="E2313" s="15" t="s">
        <v>1808</v>
      </c>
      <c r="F2313" s="15" t="s">
        <v>1809</v>
      </c>
      <c r="G2313" s="7">
        <v>2.641</v>
      </c>
      <c r="H2313" s="15">
        <v>47.0</v>
      </c>
      <c r="I2313" s="15" t="s">
        <v>1628</v>
      </c>
      <c r="J2313" s="15" t="s">
        <v>10336</v>
      </c>
      <c r="K2313" s="15">
        <v>4.0</v>
      </c>
      <c r="L2313" s="15">
        <v>4.0</v>
      </c>
      <c r="M2313" s="40">
        <v>40664.0</v>
      </c>
      <c r="N2313" s="40">
        <v>42045.0</v>
      </c>
      <c r="O2313" s="15" t="s">
        <v>1554</v>
      </c>
      <c r="Q2313" s="7"/>
    </row>
    <row r="2314">
      <c r="A2314" s="39" t="s">
        <v>10338</v>
      </c>
      <c r="B2314" s="15">
        <v>714308.0</v>
      </c>
      <c r="C2314" s="15" t="s">
        <v>10339</v>
      </c>
      <c r="D2314" s="15">
        <v>66547.0</v>
      </c>
      <c r="E2314" s="15" t="s">
        <v>1808</v>
      </c>
      <c r="F2314" s="15" t="s">
        <v>1809</v>
      </c>
      <c r="G2314" s="7">
        <v>5.162</v>
      </c>
      <c r="H2314" s="15" t="s">
        <v>10340</v>
      </c>
      <c r="I2314" s="15" t="s">
        <v>1628</v>
      </c>
      <c r="J2314" s="15" t="s">
        <v>10341</v>
      </c>
      <c r="K2314" s="15">
        <v>6.0</v>
      </c>
      <c r="L2314" s="15">
        <v>6.0</v>
      </c>
      <c r="M2314" s="40">
        <v>40664.0</v>
      </c>
      <c r="N2314" s="40">
        <v>42045.0</v>
      </c>
      <c r="O2314" s="15" t="s">
        <v>1554</v>
      </c>
      <c r="Q2314" s="7"/>
    </row>
    <row r="2315">
      <c r="A2315" s="39" t="s">
        <v>10342</v>
      </c>
      <c r="B2315" s="15">
        <v>714309.0</v>
      </c>
      <c r="C2315" s="15" t="s">
        <v>10343</v>
      </c>
      <c r="D2315" s="15">
        <v>66549.0</v>
      </c>
      <c r="E2315" s="15" t="s">
        <v>1808</v>
      </c>
      <c r="F2315" s="15" t="s">
        <v>1809</v>
      </c>
      <c r="G2315" s="7">
        <v>5.225</v>
      </c>
      <c r="H2315" s="15" t="s">
        <v>10344</v>
      </c>
      <c r="I2315" s="15" t="s">
        <v>1628</v>
      </c>
      <c r="J2315" s="15" t="s">
        <v>10345</v>
      </c>
      <c r="K2315" s="15">
        <v>6.0</v>
      </c>
      <c r="L2315" s="15">
        <v>6.0</v>
      </c>
      <c r="M2315" s="40">
        <v>40664.0</v>
      </c>
      <c r="N2315" s="40">
        <v>42045.0</v>
      </c>
      <c r="O2315" s="15" t="s">
        <v>1554</v>
      </c>
      <c r="Q2315" s="7"/>
    </row>
    <row r="2316">
      <c r="A2316" s="39" t="s">
        <v>10347</v>
      </c>
      <c r="B2316" s="15">
        <v>748667.0</v>
      </c>
      <c r="C2316" s="15" t="s">
        <v>10348</v>
      </c>
      <c r="D2316" s="15">
        <v>66553.0</v>
      </c>
      <c r="E2316" s="15" t="s">
        <v>1548</v>
      </c>
      <c r="F2316" s="15" t="s">
        <v>1626</v>
      </c>
      <c r="G2316" s="7">
        <v>13.273</v>
      </c>
      <c r="H2316" s="15" t="s">
        <v>10349</v>
      </c>
      <c r="I2316" s="15" t="s">
        <v>1628</v>
      </c>
      <c r="J2316" s="15" t="s">
        <v>10350</v>
      </c>
      <c r="K2316" s="15">
        <v>2.0</v>
      </c>
      <c r="L2316" s="15">
        <v>2.0</v>
      </c>
      <c r="M2316" s="40">
        <v>40631.0</v>
      </c>
      <c r="N2316" s="41">
        <v>42297.0</v>
      </c>
      <c r="O2316" s="15" t="s">
        <v>1554</v>
      </c>
      <c r="Q2316" s="7"/>
    </row>
    <row r="2317">
      <c r="A2317" s="39" t="s">
        <v>10351</v>
      </c>
      <c r="B2317" s="15">
        <v>882768.0</v>
      </c>
      <c r="C2317" s="15" t="s">
        <v>10352</v>
      </c>
      <c r="D2317" s="15">
        <v>66565.0</v>
      </c>
      <c r="E2317" s="15" t="s">
        <v>1638</v>
      </c>
      <c r="F2317" s="15" t="s">
        <v>1796</v>
      </c>
      <c r="G2317" s="7">
        <v>3.111</v>
      </c>
      <c r="H2317" s="15" t="s">
        <v>10353</v>
      </c>
      <c r="I2317" s="15" t="s">
        <v>1628</v>
      </c>
      <c r="J2317" s="15" t="s">
        <v>10354</v>
      </c>
      <c r="K2317" s="15">
        <v>2.0</v>
      </c>
      <c r="L2317" s="15">
        <v>2.0</v>
      </c>
      <c r="M2317" s="40">
        <v>40667.0</v>
      </c>
      <c r="N2317" s="41">
        <v>42297.0</v>
      </c>
      <c r="O2317" s="15" t="s">
        <v>1554</v>
      </c>
      <c r="Q2317" s="7"/>
    </row>
    <row r="2318">
      <c r="A2318" s="39" t="s">
        <v>10356</v>
      </c>
      <c r="B2318" s="15">
        <v>1016854.0</v>
      </c>
      <c r="C2318" s="15" t="s">
        <v>10357</v>
      </c>
      <c r="D2318" s="15">
        <v>66609.0</v>
      </c>
      <c r="E2318" s="15" t="s">
        <v>1916</v>
      </c>
      <c r="F2318" s="15" t="s">
        <v>1917</v>
      </c>
      <c r="G2318" s="7">
        <v>7.519</v>
      </c>
      <c r="H2318" s="15" t="s">
        <v>2118</v>
      </c>
      <c r="I2318" s="15" t="s">
        <v>1628</v>
      </c>
      <c r="J2318" s="15" t="s">
        <v>10358</v>
      </c>
      <c r="K2318" s="15">
        <v>3.0</v>
      </c>
      <c r="L2318" s="15">
        <v>3.0</v>
      </c>
      <c r="M2318" s="40">
        <v>40667.0</v>
      </c>
      <c r="N2318" s="40">
        <v>42045.0</v>
      </c>
      <c r="O2318" s="15" t="s">
        <v>1554</v>
      </c>
      <c r="Q2318" s="7"/>
    </row>
    <row r="2319">
      <c r="A2319" s="39" t="s">
        <v>10359</v>
      </c>
      <c r="B2319" s="15">
        <v>1016855.0</v>
      </c>
      <c r="C2319" s="15" t="s">
        <v>10360</v>
      </c>
      <c r="D2319" s="15">
        <v>66611.0</v>
      </c>
      <c r="E2319" s="15" t="s">
        <v>1916</v>
      </c>
      <c r="F2319" s="15" t="s">
        <v>1917</v>
      </c>
      <c r="G2319" s="7">
        <v>7.458</v>
      </c>
      <c r="H2319" s="15" t="s">
        <v>2524</v>
      </c>
      <c r="I2319" s="15" t="s">
        <v>1628</v>
      </c>
      <c r="J2319" s="15" t="s">
        <v>10362</v>
      </c>
      <c r="K2319" s="15">
        <v>3.0</v>
      </c>
      <c r="L2319" s="15">
        <v>3.0</v>
      </c>
      <c r="M2319" s="40">
        <v>40667.0</v>
      </c>
      <c r="N2319" s="40">
        <v>42045.0</v>
      </c>
      <c r="O2319" s="15" t="s">
        <v>1554</v>
      </c>
      <c r="Q2319" s="7"/>
    </row>
    <row r="2320">
      <c r="A2320" s="39" t="s">
        <v>10363</v>
      </c>
      <c r="B2320" s="15">
        <v>1016856.0</v>
      </c>
      <c r="C2320" s="15" t="s">
        <v>10364</v>
      </c>
      <c r="D2320" s="15">
        <v>66613.0</v>
      </c>
      <c r="E2320" s="15" t="s">
        <v>1916</v>
      </c>
      <c r="F2320" s="15" t="s">
        <v>1917</v>
      </c>
      <c r="G2320" s="7">
        <v>7.401</v>
      </c>
      <c r="H2320" s="15">
        <v>40.0</v>
      </c>
      <c r="I2320" s="15" t="s">
        <v>1628</v>
      </c>
      <c r="J2320" s="15" t="s">
        <v>10365</v>
      </c>
      <c r="K2320" s="15">
        <v>3.0</v>
      </c>
      <c r="L2320" s="15">
        <v>3.0</v>
      </c>
      <c r="M2320" s="40">
        <v>40667.0</v>
      </c>
      <c r="N2320" s="40">
        <v>42045.0</v>
      </c>
      <c r="O2320" s="15" t="s">
        <v>1554</v>
      </c>
      <c r="Q2320" s="7"/>
    </row>
    <row r="2321">
      <c r="A2321" s="39" t="s">
        <v>10366</v>
      </c>
      <c r="B2321" s="15">
        <v>1016857.0</v>
      </c>
      <c r="C2321" s="15" t="s">
        <v>10367</v>
      </c>
      <c r="D2321" s="15">
        <v>66615.0</v>
      </c>
      <c r="E2321" s="15" t="s">
        <v>1916</v>
      </c>
      <c r="F2321" s="15" t="s">
        <v>1917</v>
      </c>
      <c r="G2321" s="7">
        <v>7.532</v>
      </c>
      <c r="H2321" s="15" t="s">
        <v>1859</v>
      </c>
      <c r="I2321" s="15" t="s">
        <v>1628</v>
      </c>
      <c r="J2321" s="15" t="s">
        <v>10368</v>
      </c>
      <c r="K2321" s="15">
        <v>3.0</v>
      </c>
      <c r="L2321" s="15">
        <v>3.0</v>
      </c>
      <c r="M2321" s="40">
        <v>40667.0</v>
      </c>
      <c r="N2321" s="40">
        <v>42045.0</v>
      </c>
      <c r="O2321" s="15" t="s">
        <v>1554</v>
      </c>
      <c r="Q2321" s="7"/>
    </row>
    <row r="2322">
      <c r="A2322" s="39" t="s">
        <v>10370</v>
      </c>
      <c r="B2322" s="15">
        <v>1016852.0</v>
      </c>
      <c r="C2322" s="15" t="s">
        <v>10371</v>
      </c>
      <c r="D2322" s="15">
        <v>66617.0</v>
      </c>
      <c r="E2322" s="15" t="s">
        <v>1916</v>
      </c>
      <c r="F2322" s="15" t="s">
        <v>1917</v>
      </c>
      <c r="G2322" s="7">
        <v>7.408</v>
      </c>
      <c r="H2322" s="15" t="s">
        <v>1559</v>
      </c>
      <c r="I2322" s="15" t="s">
        <v>1628</v>
      </c>
      <c r="J2322" s="15" t="s">
        <v>10372</v>
      </c>
      <c r="K2322" s="15">
        <v>3.0</v>
      </c>
      <c r="L2322" s="15">
        <v>3.0</v>
      </c>
      <c r="M2322" s="40">
        <v>40667.0</v>
      </c>
      <c r="N2322" s="40">
        <v>42045.0</v>
      </c>
      <c r="O2322" s="15" t="s">
        <v>1554</v>
      </c>
      <c r="Q2322" s="7"/>
    </row>
    <row r="2323">
      <c r="A2323" s="39" t="s">
        <v>10373</v>
      </c>
      <c r="B2323" s="15">
        <v>1016853.0</v>
      </c>
      <c r="C2323" s="15" t="s">
        <v>10374</v>
      </c>
      <c r="D2323" s="15">
        <v>66619.0</v>
      </c>
      <c r="E2323" s="15" t="s">
        <v>1916</v>
      </c>
      <c r="F2323" s="15" t="s">
        <v>1917</v>
      </c>
      <c r="G2323" s="7">
        <v>7.769</v>
      </c>
      <c r="H2323" s="15" t="s">
        <v>2163</v>
      </c>
      <c r="I2323" s="15" t="s">
        <v>1628</v>
      </c>
      <c r="J2323" s="15" t="s">
        <v>10375</v>
      </c>
      <c r="K2323" s="15">
        <v>3.0</v>
      </c>
      <c r="L2323" s="15">
        <v>3.0</v>
      </c>
      <c r="M2323" s="40">
        <v>40667.0</v>
      </c>
      <c r="N2323" s="40">
        <v>42045.0</v>
      </c>
      <c r="O2323" s="15" t="s">
        <v>1554</v>
      </c>
      <c r="Q2323" s="7"/>
    </row>
    <row r="2324">
      <c r="A2324" s="39" t="s">
        <v>10376</v>
      </c>
      <c r="B2324" s="15">
        <v>649188.0</v>
      </c>
      <c r="C2324" s="15" t="s">
        <v>10377</v>
      </c>
      <c r="D2324" s="15">
        <v>38405.0</v>
      </c>
      <c r="E2324" s="15" t="s">
        <v>1548</v>
      </c>
      <c r="F2324" s="15" t="s">
        <v>1838</v>
      </c>
      <c r="G2324" s="7">
        <v>10.352</v>
      </c>
      <c r="H2324" s="15" t="s">
        <v>10378</v>
      </c>
      <c r="I2324" s="15" t="s">
        <v>1567</v>
      </c>
      <c r="J2324" s="15" t="s">
        <v>10379</v>
      </c>
      <c r="K2324" s="15">
        <v>4.0</v>
      </c>
      <c r="L2324" s="15">
        <v>4.0</v>
      </c>
      <c r="M2324" s="40">
        <v>39968.0</v>
      </c>
      <c r="N2324" s="40">
        <v>40186.0</v>
      </c>
      <c r="O2324" s="15" t="s">
        <v>1554</v>
      </c>
      <c r="Q2324" s="7"/>
    </row>
    <row r="2325">
      <c r="A2325" s="39" t="s">
        <v>10380</v>
      </c>
      <c r="B2325" s="15">
        <v>50292.0</v>
      </c>
      <c r="C2325" s="15" t="s">
        <v>10381</v>
      </c>
      <c r="D2325" s="15">
        <v>38429.0</v>
      </c>
      <c r="E2325" s="15" t="s">
        <v>1557</v>
      </c>
      <c r="F2325" s="15" t="s">
        <v>1827</v>
      </c>
      <c r="G2325" s="7">
        <v>226.205</v>
      </c>
      <c r="H2325" s="15" t="s">
        <v>2189</v>
      </c>
      <c r="I2325" s="15" t="s">
        <v>1686</v>
      </c>
      <c r="J2325" s="15" t="s">
        <v>10382</v>
      </c>
      <c r="K2325" s="15">
        <v>177.0</v>
      </c>
      <c r="L2325" s="15">
        <v>177.0</v>
      </c>
      <c r="M2325" s="40">
        <v>39970.0</v>
      </c>
      <c r="N2325" s="40">
        <v>42200.0</v>
      </c>
      <c r="O2325" s="15" t="s">
        <v>1554</v>
      </c>
      <c r="Q2325" s="7"/>
    </row>
    <row r="2326">
      <c r="A2326" s="39" t="s">
        <v>10383</v>
      </c>
      <c r="B2326" s="15">
        <v>1016879.0</v>
      </c>
      <c r="C2326" s="15" t="s">
        <v>10384</v>
      </c>
      <c r="D2326" s="15">
        <v>66895.0</v>
      </c>
      <c r="E2326" s="15" t="s">
        <v>1548</v>
      </c>
      <c r="F2326" s="15" t="s">
        <v>1565</v>
      </c>
      <c r="G2326" s="7">
        <v>7.31</v>
      </c>
      <c r="H2326" s="15" t="s">
        <v>4821</v>
      </c>
      <c r="I2326" s="15" t="s">
        <v>1567</v>
      </c>
      <c r="J2326" s="15" t="s">
        <v>10385</v>
      </c>
      <c r="K2326" s="15">
        <v>3.0</v>
      </c>
      <c r="L2326" s="15">
        <v>3.0</v>
      </c>
      <c r="M2326" s="40">
        <v>40670.0</v>
      </c>
      <c r="N2326" s="40">
        <v>40703.0</v>
      </c>
      <c r="O2326" s="15" t="s">
        <v>1554</v>
      </c>
      <c r="Q2326" s="7"/>
    </row>
    <row r="2327">
      <c r="A2327" s="39" t="s">
        <v>10386</v>
      </c>
      <c r="B2327" s="15">
        <v>1027869.0</v>
      </c>
      <c r="C2327" s="15" t="s">
        <v>10387</v>
      </c>
      <c r="D2327" s="15">
        <v>66897.0</v>
      </c>
      <c r="E2327" s="15" t="s">
        <v>1548</v>
      </c>
      <c r="F2327" s="15" t="s">
        <v>2032</v>
      </c>
      <c r="G2327" s="7">
        <v>6.423</v>
      </c>
      <c r="H2327" s="15" t="s">
        <v>2038</v>
      </c>
      <c r="I2327" s="15" t="s">
        <v>2034</v>
      </c>
      <c r="J2327" s="15" t="s">
        <v>10389</v>
      </c>
      <c r="K2327" s="15">
        <v>3.0</v>
      </c>
      <c r="L2327" s="15">
        <v>3.0</v>
      </c>
      <c r="M2327" s="40">
        <v>40673.0</v>
      </c>
      <c r="N2327" s="40">
        <v>41088.0</v>
      </c>
      <c r="O2327" s="15" t="s">
        <v>1554</v>
      </c>
      <c r="Q2327" s="7"/>
    </row>
    <row r="2328">
      <c r="A2328" s="39" t="s">
        <v>10390</v>
      </c>
      <c r="B2328" s="15">
        <v>1027880.0</v>
      </c>
      <c r="C2328" s="15" t="s">
        <v>10391</v>
      </c>
      <c r="D2328" s="15">
        <v>66899.0</v>
      </c>
      <c r="E2328" s="15" t="s">
        <v>1548</v>
      </c>
      <c r="F2328" s="15" t="s">
        <v>2032</v>
      </c>
      <c r="G2328" s="7">
        <v>6.175</v>
      </c>
      <c r="H2328" s="15" t="s">
        <v>1881</v>
      </c>
      <c r="I2328" s="15" t="s">
        <v>2034</v>
      </c>
      <c r="J2328" s="15" t="s">
        <v>10392</v>
      </c>
      <c r="K2328" s="15">
        <v>3.0</v>
      </c>
      <c r="L2328" s="15">
        <v>3.0</v>
      </c>
      <c r="M2328" s="40">
        <v>40672.0</v>
      </c>
      <c r="N2328" s="40">
        <v>41298.0</v>
      </c>
      <c r="O2328" s="15" t="s">
        <v>1554</v>
      </c>
      <c r="Q2328" s="7"/>
    </row>
    <row r="2329">
      <c r="A2329" s="39" t="s">
        <v>10393</v>
      </c>
      <c r="B2329" s="15">
        <v>288456.0</v>
      </c>
      <c r="C2329" s="15" t="s">
        <v>10394</v>
      </c>
      <c r="D2329" s="15">
        <v>66973.0</v>
      </c>
      <c r="E2329" s="15" t="s">
        <v>1548</v>
      </c>
      <c r="F2329" s="15" t="s">
        <v>2032</v>
      </c>
      <c r="G2329" s="7">
        <v>6.519</v>
      </c>
      <c r="H2329" s="15" t="s">
        <v>2901</v>
      </c>
      <c r="I2329" s="15" t="s">
        <v>1628</v>
      </c>
      <c r="J2329" s="15" t="s">
        <v>10395</v>
      </c>
      <c r="K2329" s="15">
        <v>3.0</v>
      </c>
      <c r="L2329" s="15">
        <v>3.0</v>
      </c>
      <c r="M2329" s="40">
        <v>40677.0</v>
      </c>
      <c r="N2329" s="40">
        <v>40947.0</v>
      </c>
      <c r="O2329" s="15" t="s">
        <v>1554</v>
      </c>
      <c r="Q2329" s="7"/>
    </row>
    <row r="2330">
      <c r="A2330" s="39" t="s">
        <v>10397</v>
      </c>
      <c r="B2330" s="15">
        <v>68402.0</v>
      </c>
      <c r="C2330" s="15" t="s">
        <v>10398</v>
      </c>
      <c r="D2330" s="15">
        <v>14170.0</v>
      </c>
      <c r="E2330" s="15" t="s">
        <v>10399</v>
      </c>
      <c r="F2330" s="15" t="s">
        <v>10400</v>
      </c>
      <c r="G2330" s="7">
        <v>0.399</v>
      </c>
      <c r="H2330" s="15" t="s">
        <v>10401</v>
      </c>
      <c r="I2330" s="15" t="s">
        <v>1628</v>
      </c>
      <c r="J2330" s="15" t="s">
        <v>10402</v>
      </c>
      <c r="K2330" s="15" t="s">
        <v>1722</v>
      </c>
      <c r="L2330" s="15" t="s">
        <v>1722</v>
      </c>
      <c r="M2330" s="41">
        <v>35764.0</v>
      </c>
      <c r="N2330" s="40">
        <v>42045.0</v>
      </c>
      <c r="O2330" s="15" t="s">
        <v>1554</v>
      </c>
      <c r="Q2330" s="7"/>
    </row>
    <row r="2331">
      <c r="A2331" s="39" t="s">
        <v>10403</v>
      </c>
      <c r="B2331" s="15">
        <v>36453.0</v>
      </c>
      <c r="C2331" s="15" t="s">
        <v>10404</v>
      </c>
      <c r="D2331" s="15">
        <v>14629.0</v>
      </c>
      <c r="E2331" s="15" t="s">
        <v>10405</v>
      </c>
      <c r="F2331" s="15" t="s">
        <v>10406</v>
      </c>
      <c r="G2331" s="7">
        <v>0.246</v>
      </c>
      <c r="H2331" s="15" t="s">
        <v>10407</v>
      </c>
      <c r="I2331" s="15" t="s">
        <v>1628</v>
      </c>
      <c r="J2331" s="15" t="s">
        <v>10408</v>
      </c>
      <c r="K2331" s="15" t="s">
        <v>1722</v>
      </c>
      <c r="L2331" s="15" t="s">
        <v>1722</v>
      </c>
      <c r="M2331" s="40">
        <v>31100.0</v>
      </c>
      <c r="N2331" s="40">
        <v>39790.0</v>
      </c>
      <c r="O2331" s="15" t="s">
        <v>1554</v>
      </c>
      <c r="Q2331" s="7"/>
    </row>
    <row r="2332">
      <c r="A2332" s="39" t="s">
        <v>10409</v>
      </c>
      <c r="B2332" s="15">
        <v>12890.0</v>
      </c>
      <c r="C2332" s="15" t="s">
        <v>10410</v>
      </c>
      <c r="D2332" s="15">
        <v>14637.0</v>
      </c>
      <c r="E2332" s="15" t="s">
        <v>10405</v>
      </c>
      <c r="F2332" s="15" t="s">
        <v>10411</v>
      </c>
      <c r="G2332" s="7">
        <v>0.371</v>
      </c>
      <c r="H2332" s="15" t="s">
        <v>10412</v>
      </c>
      <c r="I2332" s="15" t="s">
        <v>1628</v>
      </c>
      <c r="J2332" s="15" t="s">
        <v>10413</v>
      </c>
      <c r="K2332" s="15" t="s">
        <v>1722</v>
      </c>
      <c r="L2332" s="15" t="s">
        <v>1722</v>
      </c>
      <c r="M2332" s="40">
        <v>31100.0</v>
      </c>
      <c r="N2332" s="40">
        <v>39790.0</v>
      </c>
      <c r="O2332" s="15" t="s">
        <v>1554</v>
      </c>
      <c r="Q2332" s="7"/>
    </row>
    <row r="2333">
      <c r="A2333" s="39" t="s">
        <v>10415</v>
      </c>
      <c r="B2333" s="15">
        <v>12889.0</v>
      </c>
      <c r="C2333" s="15" t="s">
        <v>10416</v>
      </c>
      <c r="D2333" s="15">
        <v>14662.0</v>
      </c>
      <c r="E2333" s="15" t="s">
        <v>10405</v>
      </c>
      <c r="F2333" s="15" t="s">
        <v>10406</v>
      </c>
      <c r="G2333" s="7">
        <v>0.254</v>
      </c>
      <c r="H2333" s="15" t="s">
        <v>10417</v>
      </c>
      <c r="I2333" s="15" t="s">
        <v>1628</v>
      </c>
      <c r="J2333" s="15" t="s">
        <v>10418</v>
      </c>
      <c r="K2333" s="15" t="s">
        <v>1722</v>
      </c>
      <c r="L2333" s="15" t="s">
        <v>1722</v>
      </c>
      <c r="M2333" s="40">
        <v>32582.0</v>
      </c>
      <c r="N2333" s="40">
        <v>39639.0</v>
      </c>
      <c r="O2333" s="15" t="s">
        <v>1554</v>
      </c>
      <c r="Q2333" s="7"/>
    </row>
    <row r="2334">
      <c r="A2334" s="39" t="s">
        <v>10419</v>
      </c>
      <c r="B2334" s="15">
        <v>12885.0</v>
      </c>
      <c r="C2334" s="15" t="s">
        <v>10420</v>
      </c>
      <c r="D2334" s="15">
        <v>14670.0</v>
      </c>
      <c r="E2334" s="15" t="s">
        <v>10405</v>
      </c>
      <c r="F2334" s="15" t="s">
        <v>10411</v>
      </c>
      <c r="G2334" s="7">
        <v>0.36</v>
      </c>
      <c r="H2334" s="15" t="s">
        <v>4563</v>
      </c>
      <c r="I2334" s="15" t="s">
        <v>1628</v>
      </c>
      <c r="J2334" s="15" t="s">
        <v>10421</v>
      </c>
      <c r="K2334" s="15" t="s">
        <v>1722</v>
      </c>
      <c r="L2334" s="15" t="s">
        <v>1722</v>
      </c>
      <c r="M2334" s="40">
        <v>32582.0</v>
      </c>
      <c r="N2334" s="40">
        <v>39790.0</v>
      </c>
      <c r="O2334" s="15" t="s">
        <v>1554</v>
      </c>
      <c r="Q2334" s="7"/>
    </row>
    <row r="2335">
      <c r="A2335" s="39" t="s">
        <v>10423</v>
      </c>
      <c r="B2335" s="15">
        <v>12893.0</v>
      </c>
      <c r="C2335" s="15" t="s">
        <v>10424</v>
      </c>
      <c r="D2335" s="15">
        <v>14720.0</v>
      </c>
      <c r="E2335" s="15" t="s">
        <v>10405</v>
      </c>
      <c r="F2335" s="15" t="s">
        <v>10425</v>
      </c>
      <c r="G2335" s="7">
        <v>0.302</v>
      </c>
      <c r="H2335" s="15" t="s">
        <v>4563</v>
      </c>
      <c r="I2335" s="15" t="s">
        <v>1628</v>
      </c>
      <c r="J2335" s="15" t="s">
        <v>10426</v>
      </c>
      <c r="K2335" s="15" t="s">
        <v>1722</v>
      </c>
      <c r="L2335" s="15" t="s">
        <v>1722</v>
      </c>
      <c r="M2335" s="41">
        <v>32442.0</v>
      </c>
      <c r="N2335" s="40">
        <v>42045.0</v>
      </c>
      <c r="O2335" s="15" t="s">
        <v>1554</v>
      </c>
      <c r="Q2335" s="7"/>
    </row>
    <row r="2336">
      <c r="A2336" s="39" t="s">
        <v>10427</v>
      </c>
      <c r="B2336" s="15">
        <v>12901.0</v>
      </c>
      <c r="C2336" s="15" t="s">
        <v>10428</v>
      </c>
      <c r="D2336" s="15">
        <v>14756.0</v>
      </c>
      <c r="E2336" s="15" t="s">
        <v>10405</v>
      </c>
      <c r="F2336" s="15" t="s">
        <v>10411</v>
      </c>
      <c r="G2336" s="7">
        <v>0.37</v>
      </c>
      <c r="H2336" s="15" t="s">
        <v>4237</v>
      </c>
      <c r="I2336" s="15" t="s">
        <v>1628</v>
      </c>
      <c r="J2336" s="15" t="s">
        <v>10429</v>
      </c>
      <c r="K2336" s="15" t="s">
        <v>1722</v>
      </c>
      <c r="L2336" s="15" t="s">
        <v>1722</v>
      </c>
      <c r="M2336" s="41">
        <v>32854.0</v>
      </c>
      <c r="N2336" s="40">
        <v>42045.0</v>
      </c>
      <c r="O2336" s="15" t="s">
        <v>1554</v>
      </c>
      <c r="Q2336" s="7"/>
    </row>
    <row r="2337">
      <c r="A2337" s="39" t="s">
        <v>10430</v>
      </c>
      <c r="B2337" s="15">
        <v>12898.0</v>
      </c>
      <c r="C2337" s="15" t="s">
        <v>10431</v>
      </c>
      <c r="D2337" s="15">
        <v>14757.0</v>
      </c>
      <c r="E2337" s="15" t="s">
        <v>10405</v>
      </c>
      <c r="F2337" s="15" t="s">
        <v>10406</v>
      </c>
      <c r="G2337" s="7">
        <v>0.284</v>
      </c>
      <c r="H2337" s="15" t="s">
        <v>4563</v>
      </c>
      <c r="I2337" s="15" t="s">
        <v>1628</v>
      </c>
      <c r="J2337" s="15" t="s">
        <v>10432</v>
      </c>
      <c r="K2337" s="15" t="s">
        <v>1722</v>
      </c>
      <c r="L2337" s="15" t="s">
        <v>1722</v>
      </c>
      <c r="M2337" s="41">
        <v>33582.0</v>
      </c>
      <c r="N2337" s="40">
        <v>42045.0</v>
      </c>
      <c r="O2337" s="15" t="s">
        <v>1554</v>
      </c>
      <c r="Q2337" s="7"/>
    </row>
    <row r="2338">
      <c r="A2338" s="39" t="s">
        <v>10434</v>
      </c>
      <c r="B2338" s="15">
        <v>46342.0</v>
      </c>
      <c r="C2338" s="15" t="s">
        <v>10435</v>
      </c>
      <c r="D2338" s="15">
        <v>14764.0</v>
      </c>
      <c r="E2338" s="15" t="s">
        <v>10405</v>
      </c>
      <c r="F2338" s="15" t="s">
        <v>10436</v>
      </c>
      <c r="G2338" s="7">
        <v>0.363</v>
      </c>
      <c r="H2338" s="15" t="s">
        <v>10437</v>
      </c>
      <c r="I2338" s="15" t="s">
        <v>1628</v>
      </c>
      <c r="J2338" s="15" t="s">
        <v>10438</v>
      </c>
      <c r="K2338" s="15" t="s">
        <v>1722</v>
      </c>
      <c r="L2338" s="15" t="s">
        <v>1722</v>
      </c>
      <c r="M2338" s="40">
        <v>34183.0</v>
      </c>
      <c r="N2338" s="40">
        <v>39790.0</v>
      </c>
      <c r="O2338" s="15" t="s">
        <v>1554</v>
      </c>
      <c r="Q2338" s="7"/>
    </row>
    <row r="2339">
      <c r="A2339" s="39" t="s">
        <v>10439</v>
      </c>
      <c r="B2339" s="15">
        <v>53193.0</v>
      </c>
      <c r="C2339" s="15" t="s">
        <v>10441</v>
      </c>
      <c r="D2339" s="15">
        <v>14765.0</v>
      </c>
      <c r="E2339" s="15" t="s">
        <v>10405</v>
      </c>
      <c r="F2339" s="15" t="s">
        <v>10411</v>
      </c>
      <c r="G2339" s="7">
        <v>0.37</v>
      </c>
      <c r="H2339" s="15" t="s">
        <v>10442</v>
      </c>
      <c r="I2339" s="15" t="s">
        <v>1628</v>
      </c>
      <c r="J2339" s="15" t="s">
        <v>10443</v>
      </c>
      <c r="K2339" s="15" t="s">
        <v>1722</v>
      </c>
      <c r="L2339" s="15" t="s">
        <v>1722</v>
      </c>
      <c r="M2339" s="40">
        <v>35438.0</v>
      </c>
      <c r="N2339" s="40">
        <v>42045.0</v>
      </c>
      <c r="O2339" s="15" t="s">
        <v>1554</v>
      </c>
      <c r="Q2339" s="7"/>
    </row>
    <row r="2340">
      <c r="A2340" s="39" t="s">
        <v>10444</v>
      </c>
      <c r="B2340" s="15">
        <v>12894.0</v>
      </c>
      <c r="C2340" s="15" t="s">
        <v>10445</v>
      </c>
      <c r="D2340" s="15">
        <v>14772.0</v>
      </c>
      <c r="E2340" s="15" t="s">
        <v>10399</v>
      </c>
      <c r="F2340" s="15" t="s">
        <v>10400</v>
      </c>
      <c r="G2340" s="7">
        <v>0.337</v>
      </c>
      <c r="H2340" s="15" t="s">
        <v>4521</v>
      </c>
      <c r="I2340" s="15" t="s">
        <v>1628</v>
      </c>
      <c r="J2340" s="15" t="s">
        <v>10446</v>
      </c>
      <c r="K2340" s="15" t="s">
        <v>1722</v>
      </c>
      <c r="L2340" s="15" t="s">
        <v>1722</v>
      </c>
      <c r="M2340" s="40">
        <v>33752.0</v>
      </c>
      <c r="N2340" s="40">
        <v>42045.0</v>
      </c>
      <c r="O2340" s="15" t="s">
        <v>1554</v>
      </c>
      <c r="Q2340" s="7"/>
    </row>
    <row r="2341">
      <c r="A2341" s="39" t="s">
        <v>10447</v>
      </c>
      <c r="B2341" s="15">
        <v>79450.0</v>
      </c>
      <c r="C2341" s="15" t="s">
        <v>10448</v>
      </c>
      <c r="D2341" s="15">
        <v>14773.0</v>
      </c>
      <c r="E2341" s="15" t="s">
        <v>10405</v>
      </c>
      <c r="F2341" s="15" t="s">
        <v>10411</v>
      </c>
      <c r="G2341" s="7">
        <v>0.36</v>
      </c>
      <c r="H2341" s="15" t="s">
        <v>3227</v>
      </c>
      <c r="I2341" s="15" t="s">
        <v>1628</v>
      </c>
      <c r="J2341" s="15" t="s">
        <v>10450</v>
      </c>
      <c r="K2341" s="15" t="s">
        <v>1722</v>
      </c>
      <c r="L2341" s="15" t="s">
        <v>1722</v>
      </c>
      <c r="M2341" s="40">
        <v>35999.0</v>
      </c>
      <c r="N2341" s="40">
        <v>39790.0</v>
      </c>
      <c r="O2341" s="15" t="s">
        <v>1554</v>
      </c>
      <c r="Q2341" s="7"/>
    </row>
    <row r="2342">
      <c r="A2342" s="39" t="s">
        <v>10451</v>
      </c>
      <c r="B2342" s="15">
        <v>192025.0</v>
      </c>
      <c r="C2342" s="15" t="s">
        <v>10452</v>
      </c>
      <c r="D2342" s="15">
        <v>14782.0</v>
      </c>
      <c r="E2342" s="15" t="s">
        <v>10405</v>
      </c>
      <c r="F2342" s="15" t="s">
        <v>10453</v>
      </c>
      <c r="G2342" s="7">
        <v>0.248</v>
      </c>
      <c r="H2342" s="15" t="s">
        <v>6716</v>
      </c>
      <c r="I2342" s="15" t="s">
        <v>1628</v>
      </c>
      <c r="J2342" s="15" t="s">
        <v>10454</v>
      </c>
      <c r="K2342" s="15" t="s">
        <v>1722</v>
      </c>
      <c r="L2342" s="15" t="s">
        <v>1722</v>
      </c>
      <c r="M2342" s="40">
        <v>33067.0</v>
      </c>
      <c r="N2342" s="40">
        <v>42045.0</v>
      </c>
      <c r="O2342" s="15" t="s">
        <v>1554</v>
      </c>
      <c r="Q2342" s="7"/>
    </row>
    <row r="2343">
      <c r="A2343" s="39" t="s">
        <v>10455</v>
      </c>
      <c r="B2343" s="15">
        <v>53188.0</v>
      </c>
      <c r="C2343" s="15" t="s">
        <v>10456</v>
      </c>
      <c r="D2343" s="15">
        <v>14783.0</v>
      </c>
      <c r="E2343" s="15" t="s">
        <v>10405</v>
      </c>
      <c r="F2343" s="15" t="s">
        <v>10453</v>
      </c>
      <c r="G2343" s="7">
        <v>0.301</v>
      </c>
      <c r="H2343" s="15" t="s">
        <v>10437</v>
      </c>
      <c r="I2343" s="15" t="s">
        <v>1628</v>
      </c>
      <c r="J2343" s="15" t="s">
        <v>10457</v>
      </c>
      <c r="K2343" s="15" t="s">
        <v>1722</v>
      </c>
      <c r="L2343" s="15" t="s">
        <v>1722</v>
      </c>
      <c r="M2343" s="40">
        <v>35438.0</v>
      </c>
      <c r="N2343" s="40">
        <v>42045.0</v>
      </c>
      <c r="O2343" s="15" t="s">
        <v>1554</v>
      </c>
      <c r="Q2343" s="7"/>
    </row>
    <row r="2344">
      <c r="A2344" s="39" t="s">
        <v>10458</v>
      </c>
      <c r="B2344" s="15">
        <v>53190.0</v>
      </c>
      <c r="C2344" s="15" t="s">
        <v>10459</v>
      </c>
      <c r="D2344" s="15">
        <v>14784.0</v>
      </c>
      <c r="E2344" s="15" t="s">
        <v>10405</v>
      </c>
      <c r="F2344" s="15" t="s">
        <v>10453</v>
      </c>
      <c r="G2344" s="7">
        <v>0.364</v>
      </c>
      <c r="H2344" s="15" t="s">
        <v>9707</v>
      </c>
      <c r="I2344" s="15" t="s">
        <v>1628</v>
      </c>
      <c r="J2344" s="15" t="s">
        <v>10461</v>
      </c>
      <c r="K2344" s="15" t="s">
        <v>1722</v>
      </c>
      <c r="L2344" s="15" t="s">
        <v>1722</v>
      </c>
      <c r="M2344" s="40">
        <v>35438.0</v>
      </c>
      <c r="N2344" s="40">
        <v>42045.0</v>
      </c>
      <c r="O2344" s="15" t="s">
        <v>1554</v>
      </c>
      <c r="Q2344" s="7"/>
    </row>
    <row r="2345">
      <c r="A2345" s="39" t="s">
        <v>10462</v>
      </c>
      <c r="B2345" s="15">
        <v>12899.0</v>
      </c>
      <c r="C2345" s="15" t="s">
        <v>10463</v>
      </c>
      <c r="D2345" s="15">
        <v>14826.0</v>
      </c>
      <c r="E2345" s="15" t="s">
        <v>10405</v>
      </c>
      <c r="F2345" s="15" t="s">
        <v>10453</v>
      </c>
      <c r="G2345" s="7">
        <v>0.295</v>
      </c>
      <c r="H2345" s="15" t="s">
        <v>1881</v>
      </c>
      <c r="I2345" s="15" t="s">
        <v>1628</v>
      </c>
      <c r="J2345" s="15" t="s">
        <v>10464</v>
      </c>
      <c r="K2345" s="15" t="s">
        <v>1722</v>
      </c>
      <c r="L2345" s="15" t="s">
        <v>1722</v>
      </c>
      <c r="M2345" s="40">
        <v>35438.0</v>
      </c>
      <c r="N2345" s="40">
        <v>39639.0</v>
      </c>
      <c r="O2345" s="15" t="s">
        <v>1554</v>
      </c>
      <c r="Q2345" s="7"/>
    </row>
    <row r="2346">
      <c r="A2346" s="39" t="s">
        <v>10465</v>
      </c>
      <c r="B2346" s="15">
        <v>12896.0</v>
      </c>
      <c r="C2346" s="15" t="s">
        <v>10466</v>
      </c>
      <c r="D2346" s="15">
        <v>14908.0</v>
      </c>
      <c r="E2346" s="15" t="s">
        <v>10399</v>
      </c>
      <c r="F2346" s="15" t="s">
        <v>10467</v>
      </c>
      <c r="G2346" s="7">
        <v>0.247</v>
      </c>
      <c r="H2346" s="15" t="s">
        <v>2668</v>
      </c>
      <c r="I2346" s="15" t="s">
        <v>1628</v>
      </c>
      <c r="J2346" s="15" t="s">
        <v>10468</v>
      </c>
      <c r="K2346" s="15" t="s">
        <v>1722</v>
      </c>
      <c r="L2346" s="15" t="s">
        <v>1722</v>
      </c>
      <c r="M2346" s="40">
        <v>31100.0</v>
      </c>
      <c r="N2346" s="40">
        <v>39790.0</v>
      </c>
      <c r="O2346" s="15" t="s">
        <v>1554</v>
      </c>
      <c r="Q2346" s="7"/>
    </row>
    <row r="2347">
      <c r="A2347" s="39" t="s">
        <v>10470</v>
      </c>
      <c r="B2347" s="15">
        <v>12904.0</v>
      </c>
      <c r="C2347" s="15" t="s">
        <v>10471</v>
      </c>
      <c r="D2347" s="15">
        <v>14963.0</v>
      </c>
      <c r="E2347" s="15" t="s">
        <v>10405</v>
      </c>
      <c r="F2347" s="15" t="s">
        <v>10436</v>
      </c>
      <c r="G2347" s="7">
        <v>0.366</v>
      </c>
      <c r="H2347" s="15" t="s">
        <v>10437</v>
      </c>
      <c r="I2347" s="15" t="s">
        <v>1628</v>
      </c>
      <c r="J2347" s="15" t="s">
        <v>10472</v>
      </c>
      <c r="K2347" s="15" t="s">
        <v>1722</v>
      </c>
      <c r="L2347" s="15" t="s">
        <v>1722</v>
      </c>
      <c r="M2347" s="40">
        <v>35992.0</v>
      </c>
      <c r="N2347" s="40">
        <v>39790.0</v>
      </c>
      <c r="O2347" s="15" t="s">
        <v>1554</v>
      </c>
      <c r="Q2347" s="7"/>
    </row>
    <row r="2348">
      <c r="A2348" s="39" t="s">
        <v>10473</v>
      </c>
      <c r="B2348" s="15">
        <v>190808.0</v>
      </c>
      <c r="C2348" s="15" t="s">
        <v>10474</v>
      </c>
      <c r="D2348" s="15">
        <v>14964.0</v>
      </c>
      <c r="E2348" s="15" t="s">
        <v>10475</v>
      </c>
      <c r="F2348" s="15" t="s">
        <v>10473</v>
      </c>
      <c r="G2348" s="7">
        <v>0.371</v>
      </c>
      <c r="H2348" s="15" t="s">
        <v>4614</v>
      </c>
      <c r="I2348" s="15" t="s">
        <v>1628</v>
      </c>
      <c r="J2348" s="15" t="s">
        <v>10476</v>
      </c>
      <c r="K2348" s="15" t="s">
        <v>1722</v>
      </c>
      <c r="L2348" s="15" t="s">
        <v>1722</v>
      </c>
      <c r="M2348" s="40">
        <v>36929.0</v>
      </c>
      <c r="N2348" s="40">
        <v>39790.0</v>
      </c>
      <c r="O2348" s="15" t="s">
        <v>1554</v>
      </c>
      <c r="Q2348" s="7"/>
    </row>
    <row r="2349">
      <c r="A2349" s="39" t="s">
        <v>10477</v>
      </c>
      <c r="B2349" s="15">
        <v>12783.0</v>
      </c>
      <c r="C2349" s="15" t="s">
        <v>10478</v>
      </c>
      <c r="D2349" s="15">
        <v>14965.0</v>
      </c>
      <c r="E2349" s="15" t="s">
        <v>10405</v>
      </c>
      <c r="F2349" s="15" t="s">
        <v>10436</v>
      </c>
      <c r="G2349" s="7">
        <v>0.315</v>
      </c>
      <c r="H2349" s="15" t="s">
        <v>4160</v>
      </c>
      <c r="I2349" s="15" t="s">
        <v>1628</v>
      </c>
      <c r="J2349" s="15" t="s">
        <v>10479</v>
      </c>
      <c r="K2349" s="15" t="s">
        <v>1722</v>
      </c>
      <c r="L2349" s="15" t="s">
        <v>1722</v>
      </c>
      <c r="M2349" s="40">
        <v>35663.0</v>
      </c>
      <c r="N2349" s="40">
        <v>39790.0</v>
      </c>
      <c r="O2349" s="15" t="s">
        <v>1554</v>
      </c>
      <c r="Q2349" s="7"/>
    </row>
    <row r="2350">
      <c r="A2350" s="39" t="s">
        <v>10481</v>
      </c>
      <c r="B2350" s="15">
        <v>12892.0</v>
      </c>
      <c r="C2350" s="15" t="s">
        <v>10482</v>
      </c>
      <c r="D2350" s="15">
        <v>14966.0</v>
      </c>
      <c r="E2350" s="15" t="s">
        <v>10405</v>
      </c>
      <c r="F2350" s="15" t="s">
        <v>10411</v>
      </c>
      <c r="G2350" s="7">
        <v>0.359</v>
      </c>
      <c r="H2350" s="15" t="s">
        <v>2965</v>
      </c>
      <c r="I2350" s="15" t="s">
        <v>1628</v>
      </c>
      <c r="J2350" s="15" t="s">
        <v>10483</v>
      </c>
      <c r="K2350" s="15" t="s">
        <v>1722</v>
      </c>
      <c r="L2350" s="15" t="s">
        <v>1722</v>
      </c>
      <c r="M2350" s="40">
        <v>30111.0</v>
      </c>
      <c r="N2350" s="40">
        <v>39790.0</v>
      </c>
      <c r="O2350" s="15" t="s">
        <v>1554</v>
      </c>
      <c r="Q2350" s="7"/>
    </row>
    <row r="2351">
      <c r="A2351" s="39" t="s">
        <v>10484</v>
      </c>
      <c r="B2351" s="15">
        <v>12895.0</v>
      </c>
      <c r="C2351" s="15" t="s">
        <v>10485</v>
      </c>
      <c r="D2351" s="15">
        <v>14967.0</v>
      </c>
      <c r="E2351" s="15" t="s">
        <v>10405</v>
      </c>
      <c r="F2351" s="15" t="s">
        <v>10436</v>
      </c>
      <c r="G2351" s="7">
        <v>0.329</v>
      </c>
      <c r="H2351" s="15" t="s">
        <v>10486</v>
      </c>
      <c r="I2351" s="15" t="s">
        <v>1628</v>
      </c>
      <c r="J2351" s="15" t="s">
        <v>10487</v>
      </c>
      <c r="K2351" s="15" t="s">
        <v>1722</v>
      </c>
      <c r="L2351" s="15" t="s">
        <v>1722</v>
      </c>
      <c r="M2351" s="40">
        <v>33074.0</v>
      </c>
      <c r="N2351" s="40">
        <v>39790.0</v>
      </c>
      <c r="O2351" s="15" t="s">
        <v>1554</v>
      </c>
      <c r="Q2351" s="7"/>
    </row>
    <row r="2352">
      <c r="A2352" s="39" t="s">
        <v>10488</v>
      </c>
      <c r="B2352" s="15">
        <v>12897.0</v>
      </c>
      <c r="C2352" s="15" t="s">
        <v>10489</v>
      </c>
      <c r="D2352" s="15">
        <v>14968.0</v>
      </c>
      <c r="E2352" s="15" t="s">
        <v>10405</v>
      </c>
      <c r="F2352" s="15" t="s">
        <v>10411</v>
      </c>
      <c r="G2352" s="7">
        <v>0.356</v>
      </c>
      <c r="H2352" s="15" t="s">
        <v>2300</v>
      </c>
      <c r="I2352" s="15" t="s">
        <v>1628</v>
      </c>
      <c r="J2352" s="15" t="s">
        <v>10490</v>
      </c>
      <c r="K2352" s="15" t="s">
        <v>1722</v>
      </c>
      <c r="L2352" s="15" t="s">
        <v>1722</v>
      </c>
      <c r="M2352" s="40">
        <v>30258.0</v>
      </c>
      <c r="N2352" s="40">
        <v>39790.0</v>
      </c>
      <c r="O2352" s="15" t="s">
        <v>1554</v>
      </c>
      <c r="Q2352" s="7"/>
    </row>
    <row r="2353">
      <c r="A2353" s="39" t="s">
        <v>10492</v>
      </c>
      <c r="B2353" s="15">
        <v>12906.0</v>
      </c>
      <c r="C2353" s="15" t="s">
        <v>10493</v>
      </c>
      <c r="D2353" s="15">
        <v>14969.0</v>
      </c>
      <c r="E2353" s="15" t="s">
        <v>10405</v>
      </c>
      <c r="F2353" s="15" t="s">
        <v>10436</v>
      </c>
      <c r="G2353" s="7">
        <v>0.315</v>
      </c>
      <c r="H2353" s="15" t="s">
        <v>2309</v>
      </c>
      <c r="I2353" s="15" t="s">
        <v>1628</v>
      </c>
      <c r="J2353" s="15" t="s">
        <v>10494</v>
      </c>
      <c r="K2353" s="15" t="s">
        <v>1722</v>
      </c>
      <c r="L2353" s="15" t="s">
        <v>1722</v>
      </c>
      <c r="M2353" s="40">
        <v>34773.0</v>
      </c>
      <c r="N2353" s="40">
        <v>42583.0</v>
      </c>
      <c r="O2353" s="15" t="s">
        <v>1554</v>
      </c>
      <c r="Q2353" s="7"/>
    </row>
    <row r="2354">
      <c r="A2354" s="39" t="s">
        <v>10495</v>
      </c>
      <c r="B2354" s="15">
        <v>12907.0</v>
      </c>
      <c r="C2354" s="15" t="s">
        <v>10496</v>
      </c>
      <c r="D2354" s="15">
        <v>14970.0</v>
      </c>
      <c r="E2354" s="15" t="s">
        <v>10405</v>
      </c>
      <c r="F2354" s="15" t="s">
        <v>10406</v>
      </c>
      <c r="G2354" s="7">
        <v>0.256</v>
      </c>
      <c r="H2354" s="15">
        <v>57.0</v>
      </c>
      <c r="I2354" s="15" t="s">
        <v>1628</v>
      </c>
      <c r="J2354" s="15" t="s">
        <v>10497</v>
      </c>
      <c r="K2354" s="15" t="s">
        <v>1722</v>
      </c>
      <c r="L2354" s="15" t="s">
        <v>1722</v>
      </c>
      <c r="M2354" s="40">
        <v>32307.0</v>
      </c>
      <c r="N2354" s="40">
        <v>42045.0</v>
      </c>
      <c r="O2354" s="15" t="s">
        <v>1554</v>
      </c>
      <c r="Q2354" s="7"/>
    </row>
    <row r="2355">
      <c r="A2355" s="39" t="s">
        <v>10498</v>
      </c>
      <c r="B2355" s="15">
        <v>73494.0</v>
      </c>
      <c r="C2355" s="15" t="s">
        <v>10499</v>
      </c>
      <c r="D2355" s="15">
        <v>14971.0</v>
      </c>
      <c r="E2355" s="15" t="s">
        <v>10405</v>
      </c>
      <c r="F2355" s="15" t="s">
        <v>10436</v>
      </c>
      <c r="G2355" s="7">
        <v>0.306</v>
      </c>
      <c r="H2355" s="15" t="s">
        <v>3101</v>
      </c>
      <c r="I2355" s="15" t="s">
        <v>1628</v>
      </c>
      <c r="J2355" s="15" t="s">
        <v>10501</v>
      </c>
      <c r="K2355" s="15" t="s">
        <v>1722</v>
      </c>
      <c r="L2355" s="15" t="s">
        <v>1722</v>
      </c>
      <c r="M2355" s="40">
        <v>35438.0</v>
      </c>
      <c r="N2355" s="40">
        <v>39790.0</v>
      </c>
      <c r="O2355" s="15" t="s">
        <v>1554</v>
      </c>
      <c r="Q2355" s="7"/>
    </row>
    <row r="2356">
      <c r="A2356" s="39" t="s">
        <v>10502</v>
      </c>
      <c r="B2356" s="15">
        <v>100785.0</v>
      </c>
      <c r="C2356" s="15" t="s">
        <v>10503</v>
      </c>
      <c r="D2356" s="15">
        <v>14973.0</v>
      </c>
      <c r="E2356" s="15" t="s">
        <v>10405</v>
      </c>
      <c r="F2356" s="15" t="s">
        <v>10411</v>
      </c>
      <c r="G2356" s="7">
        <v>0.36</v>
      </c>
      <c r="H2356" s="15" t="s">
        <v>1778</v>
      </c>
      <c r="I2356" s="15" t="s">
        <v>1628</v>
      </c>
      <c r="J2356" s="15" t="s">
        <v>10504</v>
      </c>
      <c r="K2356" s="15" t="s">
        <v>1722</v>
      </c>
      <c r="L2356" s="15" t="s">
        <v>1722</v>
      </c>
      <c r="M2356" s="40">
        <v>36381.0</v>
      </c>
      <c r="N2356" s="40">
        <v>40262.0</v>
      </c>
      <c r="O2356" s="15" t="s">
        <v>1554</v>
      </c>
      <c r="Q2356" s="7"/>
    </row>
    <row r="2357">
      <c r="A2357" s="39" t="s">
        <v>10505</v>
      </c>
      <c r="B2357" s="15">
        <v>551523.0</v>
      </c>
      <c r="C2357" s="15" t="s">
        <v>10506</v>
      </c>
      <c r="D2357" s="15">
        <v>14974.0</v>
      </c>
      <c r="E2357" s="15" t="s">
        <v>10405</v>
      </c>
      <c r="F2357" s="15" t="s">
        <v>10436</v>
      </c>
      <c r="G2357" s="7">
        <v>0.292</v>
      </c>
      <c r="H2357" s="15" t="s">
        <v>3055</v>
      </c>
      <c r="I2357" s="15" t="s">
        <v>1628</v>
      </c>
      <c r="J2357" s="15" t="s">
        <v>10507</v>
      </c>
      <c r="K2357" s="15" t="s">
        <v>1722</v>
      </c>
      <c r="L2357" s="15" t="s">
        <v>1722</v>
      </c>
      <c r="M2357" s="41">
        <v>37224.0</v>
      </c>
      <c r="N2357" s="40">
        <v>42045.0</v>
      </c>
      <c r="O2357" s="15" t="s">
        <v>1554</v>
      </c>
      <c r="Q2357" s="7"/>
    </row>
    <row r="2358">
      <c r="A2358" s="39" t="s">
        <v>10508</v>
      </c>
      <c r="B2358" s="15">
        <v>190810.0</v>
      </c>
      <c r="C2358" s="15" t="s">
        <v>10509</v>
      </c>
      <c r="D2358" s="15">
        <v>14976.0</v>
      </c>
      <c r="E2358" s="15" t="s">
        <v>10405</v>
      </c>
      <c r="F2358" s="15" t="s">
        <v>10436</v>
      </c>
      <c r="G2358" s="7">
        <v>0.369</v>
      </c>
      <c r="H2358" s="15">
        <v>58.0</v>
      </c>
      <c r="I2358" s="15" t="s">
        <v>1628</v>
      </c>
      <c r="J2358" s="15" t="s">
        <v>10511</v>
      </c>
      <c r="K2358" s="15" t="s">
        <v>1722</v>
      </c>
      <c r="L2358" s="15" t="s">
        <v>1722</v>
      </c>
      <c r="M2358" s="40">
        <v>32932.0</v>
      </c>
      <c r="N2358" s="40">
        <v>39790.0</v>
      </c>
      <c r="O2358" s="15" t="s">
        <v>1554</v>
      </c>
      <c r="Q2358" s="7"/>
    </row>
    <row r="2359">
      <c r="A2359" s="39" t="s">
        <v>10512</v>
      </c>
      <c r="B2359" s="15">
        <v>219174.0</v>
      </c>
      <c r="C2359" s="15" t="s">
        <v>10513</v>
      </c>
      <c r="D2359" s="15">
        <v>14977.0</v>
      </c>
      <c r="E2359" s="15" t="s">
        <v>10399</v>
      </c>
      <c r="F2359" s="15" t="s">
        <v>10514</v>
      </c>
      <c r="G2359" s="7">
        <v>0.335</v>
      </c>
      <c r="H2359" s="15">
        <v>54.0</v>
      </c>
      <c r="I2359" s="15" t="s">
        <v>1628</v>
      </c>
      <c r="J2359" s="15" t="s">
        <v>10515</v>
      </c>
      <c r="K2359" s="15">
        <v>2.0</v>
      </c>
      <c r="L2359" s="15" t="s">
        <v>1722</v>
      </c>
      <c r="M2359" s="40">
        <v>37724.0</v>
      </c>
      <c r="N2359" s="41">
        <v>39796.0</v>
      </c>
      <c r="O2359" s="15" t="s">
        <v>1554</v>
      </c>
      <c r="Q2359" s="7"/>
    </row>
    <row r="2360">
      <c r="A2360" s="39" t="s">
        <v>10516</v>
      </c>
      <c r="B2360" s="15">
        <v>12888.0</v>
      </c>
      <c r="C2360" s="15" t="s">
        <v>10517</v>
      </c>
      <c r="D2360" s="15">
        <v>15000.0</v>
      </c>
      <c r="E2360" s="15" t="s">
        <v>10405</v>
      </c>
      <c r="F2360" s="15" t="s">
        <v>10411</v>
      </c>
      <c r="G2360" s="7">
        <v>0.36</v>
      </c>
      <c r="H2360" s="15" t="s">
        <v>4415</v>
      </c>
      <c r="I2360" s="15" t="s">
        <v>1628</v>
      </c>
      <c r="J2360" s="15" t="s">
        <v>10518</v>
      </c>
      <c r="K2360" s="15" t="s">
        <v>1722</v>
      </c>
      <c r="L2360" s="15" t="s">
        <v>1722</v>
      </c>
      <c r="M2360" s="40">
        <v>31121.0</v>
      </c>
      <c r="N2360" s="40">
        <v>39639.0</v>
      </c>
      <c r="O2360" s="15" t="s">
        <v>1554</v>
      </c>
      <c r="Q2360" s="7"/>
    </row>
    <row r="2361">
      <c r="A2361" s="39" t="s">
        <v>10520</v>
      </c>
      <c r="B2361" s="15">
        <v>459949.0</v>
      </c>
      <c r="C2361" s="15" t="s">
        <v>10521</v>
      </c>
      <c r="D2361" s="15">
        <v>28115.0</v>
      </c>
      <c r="E2361" s="15" t="s">
        <v>10405</v>
      </c>
      <c r="F2361" s="15" t="s">
        <v>10436</v>
      </c>
      <c r="G2361" s="7">
        <v>0.294</v>
      </c>
      <c r="H2361" s="15" t="s">
        <v>10417</v>
      </c>
      <c r="I2361" s="15" t="s">
        <v>1628</v>
      </c>
      <c r="J2361" s="15" t="s">
        <v>10522</v>
      </c>
      <c r="K2361" s="15" t="s">
        <v>1722</v>
      </c>
      <c r="L2361" s="15" t="s">
        <v>1722</v>
      </c>
      <c r="M2361" s="40">
        <v>39326.0</v>
      </c>
      <c r="N2361" s="41">
        <v>39433.0</v>
      </c>
      <c r="O2361" s="15" t="s">
        <v>1554</v>
      </c>
      <c r="Q2361" s="7"/>
    </row>
    <row r="2362">
      <c r="A2362" s="39" t="s">
        <v>10523</v>
      </c>
      <c r="B2362" s="15">
        <v>481311.0</v>
      </c>
      <c r="C2362" s="15" t="s">
        <v>10524</v>
      </c>
      <c r="D2362" s="15">
        <v>28683.0</v>
      </c>
      <c r="E2362" s="15" t="s">
        <v>10475</v>
      </c>
      <c r="F2362" s="15" t="s">
        <v>10523</v>
      </c>
      <c r="G2362" s="7">
        <v>0.396</v>
      </c>
      <c r="H2362" s="15" t="s">
        <v>6856</v>
      </c>
      <c r="I2362" s="15" t="s">
        <v>1628</v>
      </c>
      <c r="J2362" s="15" t="s">
        <v>10525</v>
      </c>
      <c r="K2362" s="15" t="s">
        <v>1722</v>
      </c>
      <c r="L2362" s="15" t="s">
        <v>1722</v>
      </c>
      <c r="M2362" s="40">
        <v>39480.0</v>
      </c>
      <c r="N2362" s="40">
        <v>39840.0</v>
      </c>
      <c r="O2362" s="15" t="s">
        <v>1554</v>
      </c>
      <c r="Q2362" s="7"/>
    </row>
    <row r="2363">
      <c r="A2363" s="39" t="s">
        <v>10526</v>
      </c>
      <c r="B2363" s="15">
        <v>529840.0</v>
      </c>
      <c r="C2363" s="15" t="s">
        <v>10527</v>
      </c>
      <c r="D2363" s="15">
        <v>32241.0</v>
      </c>
      <c r="E2363" s="15" t="s">
        <v>10475</v>
      </c>
      <c r="F2363" s="15" t="s">
        <v>10526</v>
      </c>
      <c r="G2363" s="7">
        <v>0.356</v>
      </c>
      <c r="H2363" s="15" t="s">
        <v>2284</v>
      </c>
      <c r="I2363" s="15" t="s">
        <v>1628</v>
      </c>
      <c r="J2363" s="15" t="s">
        <v>10529</v>
      </c>
      <c r="K2363" s="15" t="s">
        <v>1722</v>
      </c>
      <c r="L2363" s="15" t="s">
        <v>1722</v>
      </c>
      <c r="M2363" s="41">
        <v>39736.0</v>
      </c>
      <c r="N2363" s="41">
        <v>39736.0</v>
      </c>
      <c r="O2363" s="15" t="s">
        <v>1554</v>
      </c>
      <c r="Q2363" s="7"/>
    </row>
    <row r="2364">
      <c r="A2364" s="39" t="s">
        <v>10530</v>
      </c>
      <c r="B2364" s="15">
        <v>574040.0</v>
      </c>
      <c r="C2364" s="15" t="s">
        <v>10531</v>
      </c>
      <c r="D2364" s="15">
        <v>32817.0</v>
      </c>
      <c r="E2364" s="15" t="s">
        <v>10405</v>
      </c>
      <c r="F2364" s="15" t="s">
        <v>10411</v>
      </c>
      <c r="G2364" s="7">
        <v>0.348</v>
      </c>
      <c r="H2364" s="15" t="s">
        <v>6118</v>
      </c>
      <c r="I2364" s="15" t="s">
        <v>1628</v>
      </c>
      <c r="J2364" s="15" t="s">
        <v>10532</v>
      </c>
      <c r="K2364" s="15" t="s">
        <v>1722</v>
      </c>
      <c r="L2364" s="15" t="s">
        <v>1722</v>
      </c>
      <c r="M2364" s="41">
        <v>39771.0</v>
      </c>
      <c r="N2364" s="41">
        <v>40533.0</v>
      </c>
      <c r="O2364" s="15" t="s">
        <v>1554</v>
      </c>
      <c r="Q2364" s="7"/>
    </row>
    <row r="2365">
      <c r="A2365" s="39" t="s">
        <v>10533</v>
      </c>
      <c r="B2365" s="15">
        <v>598747.0</v>
      </c>
      <c r="C2365" s="15" t="s">
        <v>10534</v>
      </c>
      <c r="D2365" s="15">
        <v>34737.0</v>
      </c>
      <c r="E2365" s="15" t="s">
        <v>10405</v>
      </c>
      <c r="F2365" s="15" t="s">
        <v>10453</v>
      </c>
      <c r="G2365" s="7">
        <v>0.274</v>
      </c>
      <c r="H2365" s="15" t="s">
        <v>2275</v>
      </c>
      <c r="I2365" s="15" t="s">
        <v>1628</v>
      </c>
      <c r="J2365" s="15" t="s">
        <v>10535</v>
      </c>
      <c r="K2365" s="15" t="s">
        <v>1722</v>
      </c>
      <c r="L2365" s="15" t="s">
        <v>1722</v>
      </c>
      <c r="M2365" s="40">
        <v>39873.0</v>
      </c>
      <c r="N2365" s="40">
        <v>39876.0</v>
      </c>
      <c r="O2365" s="15" t="s">
        <v>1554</v>
      </c>
      <c r="Q2365" s="7"/>
    </row>
    <row r="2366">
      <c r="A2366" s="39" t="s">
        <v>10537</v>
      </c>
      <c r="B2366" s="15">
        <v>651134.0</v>
      </c>
      <c r="C2366" s="15" t="s">
        <v>10538</v>
      </c>
      <c r="D2366" s="15">
        <v>38541.0</v>
      </c>
      <c r="E2366" s="15" t="s">
        <v>10405</v>
      </c>
      <c r="F2366" s="15" t="s">
        <v>10453</v>
      </c>
      <c r="G2366" s="7">
        <v>0.342</v>
      </c>
      <c r="H2366" s="15" t="s">
        <v>8179</v>
      </c>
      <c r="I2366" s="15" t="s">
        <v>1628</v>
      </c>
      <c r="J2366" s="15" t="s">
        <v>10539</v>
      </c>
      <c r="K2366" s="15" t="s">
        <v>1722</v>
      </c>
      <c r="L2366" s="15" t="s">
        <v>1722</v>
      </c>
      <c r="M2366" s="40">
        <v>39979.0</v>
      </c>
      <c r="N2366" s="40">
        <v>40406.0</v>
      </c>
      <c r="O2366" s="15" t="s">
        <v>1554</v>
      </c>
      <c r="Q2366" s="7"/>
    </row>
    <row r="2367">
      <c r="A2367" s="39" t="s">
        <v>10540</v>
      </c>
      <c r="B2367" s="15">
        <v>697192.0</v>
      </c>
      <c r="C2367" s="15" t="s">
        <v>10541</v>
      </c>
      <c r="D2367" s="15">
        <v>42701.0</v>
      </c>
      <c r="E2367" s="15" t="s">
        <v>10405</v>
      </c>
      <c r="F2367" s="15" t="s">
        <v>10436</v>
      </c>
      <c r="G2367" s="7">
        <v>0.33</v>
      </c>
      <c r="H2367" s="15">
        <v>60.0</v>
      </c>
      <c r="I2367" s="15" t="s">
        <v>1628</v>
      </c>
      <c r="J2367" s="15" t="s">
        <v>10542</v>
      </c>
      <c r="K2367" s="15" t="s">
        <v>1722</v>
      </c>
      <c r="L2367" s="15" t="s">
        <v>1722</v>
      </c>
      <c r="M2367" s="40">
        <v>36984.0</v>
      </c>
      <c r="N2367" s="40">
        <v>40198.0</v>
      </c>
      <c r="O2367" s="15" t="s">
        <v>1554</v>
      </c>
      <c r="Q2367" s="7"/>
    </row>
    <row r="2368">
      <c r="A2368" s="39" t="s">
        <v>10543</v>
      </c>
      <c r="B2368" s="15">
        <v>758918.0</v>
      </c>
      <c r="C2368" s="15" t="s">
        <v>10544</v>
      </c>
      <c r="D2368" s="15">
        <v>48423.0</v>
      </c>
      <c r="E2368" s="15" t="s">
        <v>10475</v>
      </c>
      <c r="F2368" s="15" t="s">
        <v>10543</v>
      </c>
      <c r="G2368" s="7">
        <v>0.361</v>
      </c>
      <c r="H2368" s="15" t="s">
        <v>10545</v>
      </c>
      <c r="I2368" s="15" t="s">
        <v>1628</v>
      </c>
      <c r="J2368" s="15" t="s">
        <v>10547</v>
      </c>
      <c r="K2368" s="15" t="s">
        <v>1722</v>
      </c>
      <c r="L2368" s="15" t="s">
        <v>1722</v>
      </c>
      <c r="M2368" s="40">
        <v>40302.0</v>
      </c>
      <c r="N2368" s="41">
        <v>40498.0</v>
      </c>
      <c r="O2368" s="15" t="s">
        <v>1554</v>
      </c>
      <c r="Q2368" s="7"/>
    </row>
    <row r="2369">
      <c r="A2369" s="39" t="s">
        <v>10548</v>
      </c>
      <c r="B2369" s="15">
        <v>1034125.0</v>
      </c>
      <c r="C2369" s="15" t="s">
        <v>10549</v>
      </c>
      <c r="D2369" s="15">
        <v>67415.0</v>
      </c>
      <c r="E2369" s="15" t="s">
        <v>1557</v>
      </c>
      <c r="F2369" s="15" t="s">
        <v>1833</v>
      </c>
      <c r="G2369" s="7">
        <v>75.96</v>
      </c>
      <c r="H2369" s="15" t="s">
        <v>3227</v>
      </c>
      <c r="I2369" s="15" t="s">
        <v>1586</v>
      </c>
      <c r="J2369" s="15" t="s">
        <v>10550</v>
      </c>
      <c r="K2369" s="15">
        <v>141.0</v>
      </c>
      <c r="L2369" s="15">
        <v>129.0</v>
      </c>
      <c r="M2369" s="40">
        <v>40688.0</v>
      </c>
      <c r="N2369" s="40">
        <v>40942.0</v>
      </c>
      <c r="O2369" s="15" t="s">
        <v>1554</v>
      </c>
      <c r="Q2369" s="7"/>
    </row>
    <row r="2370">
      <c r="A2370" s="39" t="s">
        <v>10551</v>
      </c>
      <c r="B2370" s="15">
        <v>1032457.0</v>
      </c>
      <c r="C2370" s="15" t="s">
        <v>10552</v>
      </c>
      <c r="D2370" s="15">
        <v>67109.0</v>
      </c>
      <c r="E2370" s="15" t="s">
        <v>1548</v>
      </c>
      <c r="F2370" s="15" t="s">
        <v>2615</v>
      </c>
      <c r="G2370" s="7">
        <v>6.791</v>
      </c>
      <c r="H2370" s="15" t="s">
        <v>1792</v>
      </c>
      <c r="I2370" s="15" t="s">
        <v>1628</v>
      </c>
      <c r="J2370" s="15" t="s">
        <v>10553</v>
      </c>
      <c r="K2370" s="15">
        <v>4.0</v>
      </c>
      <c r="L2370" s="15">
        <v>4.0</v>
      </c>
      <c r="M2370" s="40">
        <v>40681.0</v>
      </c>
      <c r="N2370" s="40">
        <v>41002.0</v>
      </c>
      <c r="O2370" s="15" t="s">
        <v>1554</v>
      </c>
      <c r="Q2370" s="7"/>
    </row>
    <row r="2371">
      <c r="A2371" s="39" t="s">
        <v>10555</v>
      </c>
      <c r="B2371" s="15">
        <v>1030595.0</v>
      </c>
      <c r="C2371" s="15" t="s">
        <v>10556</v>
      </c>
      <c r="D2371" s="15">
        <v>67111.0</v>
      </c>
      <c r="E2371" s="15" t="s">
        <v>1808</v>
      </c>
      <c r="F2371" s="15" t="s">
        <v>1809</v>
      </c>
      <c r="G2371" s="7">
        <v>2.689</v>
      </c>
      <c r="H2371" s="15" t="s">
        <v>1705</v>
      </c>
      <c r="I2371" s="15" t="s">
        <v>1628</v>
      </c>
      <c r="J2371" s="15" t="s">
        <v>10557</v>
      </c>
      <c r="K2371" s="15">
        <v>4.0</v>
      </c>
      <c r="L2371" s="15">
        <v>4.0</v>
      </c>
      <c r="M2371" s="40">
        <v>40680.0</v>
      </c>
      <c r="N2371" s="40">
        <v>40683.0</v>
      </c>
      <c r="O2371" s="15" t="s">
        <v>1554</v>
      </c>
      <c r="Q2371" s="7"/>
    </row>
    <row r="2372">
      <c r="A2372" s="39" t="s">
        <v>10558</v>
      </c>
      <c r="B2372" s="15">
        <v>943335.0</v>
      </c>
      <c r="C2372" s="15" t="s">
        <v>10559</v>
      </c>
      <c r="D2372" s="15">
        <v>67417.0</v>
      </c>
      <c r="E2372" s="15" t="s">
        <v>1557</v>
      </c>
      <c r="F2372" s="15" t="s">
        <v>1611</v>
      </c>
      <c r="G2372" s="7">
        <v>43.032</v>
      </c>
      <c r="H2372" s="15" t="s">
        <v>10401</v>
      </c>
      <c r="I2372" s="15" t="s">
        <v>1586</v>
      </c>
      <c r="J2372" s="15" t="s">
        <v>10561</v>
      </c>
      <c r="K2372" s="15">
        <v>57.0</v>
      </c>
      <c r="L2372" s="15">
        <v>57.0</v>
      </c>
      <c r="M2372" s="40">
        <v>40675.0</v>
      </c>
      <c r="N2372" s="40">
        <v>40723.0</v>
      </c>
      <c r="O2372" s="15" t="s">
        <v>1554</v>
      </c>
      <c r="Q2372" s="7"/>
    </row>
    <row r="2373">
      <c r="A2373" s="39" t="s">
        <v>10562</v>
      </c>
      <c r="B2373" s="15">
        <v>1027253.0</v>
      </c>
      <c r="C2373" s="15" t="s">
        <v>10563</v>
      </c>
      <c r="D2373" s="15">
        <v>67419.0</v>
      </c>
      <c r="E2373" s="15" t="s">
        <v>1808</v>
      </c>
      <c r="F2373" s="15" t="s">
        <v>2969</v>
      </c>
      <c r="G2373" s="7">
        <v>5.819</v>
      </c>
      <c r="H2373" s="15" t="s">
        <v>2038</v>
      </c>
      <c r="I2373" s="15" t="s">
        <v>1586</v>
      </c>
      <c r="J2373" s="15" t="s">
        <v>10564</v>
      </c>
      <c r="K2373" s="15">
        <v>9.0</v>
      </c>
      <c r="L2373" s="15">
        <v>9.0</v>
      </c>
      <c r="M2373" s="40">
        <v>40667.0</v>
      </c>
      <c r="N2373" s="41">
        <v>40892.0</v>
      </c>
      <c r="O2373" s="15" t="s">
        <v>1554</v>
      </c>
      <c r="Q2373" s="7"/>
    </row>
    <row r="2374">
      <c r="A2374" s="39" t="s">
        <v>10566</v>
      </c>
      <c r="B2374" s="15">
        <v>928289.0</v>
      </c>
      <c r="C2374" s="15" t="s">
        <v>10567</v>
      </c>
      <c r="D2374" s="15">
        <v>67691.0</v>
      </c>
      <c r="E2374" s="15" t="s">
        <v>1548</v>
      </c>
      <c r="F2374" s="15" t="s">
        <v>1776</v>
      </c>
      <c r="G2374" s="7">
        <v>7.801</v>
      </c>
      <c r="H2374" s="15" t="s">
        <v>1720</v>
      </c>
      <c r="I2374" s="15" t="s">
        <v>1686</v>
      </c>
      <c r="J2374" s="15" t="s">
        <v>10568</v>
      </c>
      <c r="K2374" s="15">
        <v>1.0</v>
      </c>
      <c r="L2374" s="15">
        <v>1.0</v>
      </c>
      <c r="M2374" s="40">
        <v>40695.0</v>
      </c>
      <c r="N2374" s="40">
        <v>40850.0</v>
      </c>
      <c r="O2374" s="15" t="s">
        <v>1554</v>
      </c>
      <c r="Q2374" s="7"/>
    </row>
    <row r="2375">
      <c r="A2375" s="39" t="s">
        <v>10569</v>
      </c>
      <c r="B2375" s="15">
        <v>1032362.0</v>
      </c>
      <c r="C2375" s="15" t="s">
        <v>10570</v>
      </c>
      <c r="D2375" s="15">
        <v>67249.0</v>
      </c>
      <c r="E2375" s="15" t="s">
        <v>1557</v>
      </c>
      <c r="F2375" s="15" t="s">
        <v>1833</v>
      </c>
      <c r="G2375" s="7">
        <v>41.09</v>
      </c>
      <c r="H2375" s="42">
        <v>43342.0</v>
      </c>
      <c r="I2375" s="15" t="s">
        <v>1586</v>
      </c>
      <c r="J2375" s="15" t="s">
        <v>10571</v>
      </c>
      <c r="K2375" s="15">
        <v>55.0</v>
      </c>
      <c r="L2375" s="15">
        <v>55.0</v>
      </c>
      <c r="M2375" s="40">
        <v>40683.0</v>
      </c>
      <c r="N2375" s="40">
        <v>40686.0</v>
      </c>
      <c r="O2375" s="15" t="s">
        <v>1554</v>
      </c>
      <c r="Q2375" s="7"/>
    </row>
    <row r="2376">
      <c r="A2376" s="39" t="s">
        <v>10572</v>
      </c>
      <c r="B2376" s="15">
        <v>1026955.0</v>
      </c>
      <c r="C2376" s="15" t="s">
        <v>10573</v>
      </c>
      <c r="D2376" s="15">
        <v>67251.0</v>
      </c>
      <c r="E2376" s="15" t="s">
        <v>1557</v>
      </c>
      <c r="F2376" s="15" t="s">
        <v>1767</v>
      </c>
      <c r="G2376" s="7">
        <v>178.563</v>
      </c>
      <c r="H2376" s="15" t="s">
        <v>3000</v>
      </c>
      <c r="I2376" s="15" t="s">
        <v>1586</v>
      </c>
      <c r="J2376" s="15" t="s">
        <v>10574</v>
      </c>
      <c r="K2376" s="15">
        <v>297.0</v>
      </c>
      <c r="L2376" s="15">
        <v>297.0</v>
      </c>
      <c r="M2376" s="40">
        <v>40667.0</v>
      </c>
      <c r="N2376" s="40">
        <v>40744.0</v>
      </c>
      <c r="O2376" s="15" t="s">
        <v>1554</v>
      </c>
      <c r="Q2376" s="7"/>
    </row>
    <row r="2377">
      <c r="A2377" s="39" t="s">
        <v>10576</v>
      </c>
      <c r="B2377" s="15">
        <v>1037523.0</v>
      </c>
      <c r="C2377" s="15" t="s">
        <v>10577</v>
      </c>
      <c r="D2377" s="15">
        <v>67889.0</v>
      </c>
      <c r="E2377" s="15" t="s">
        <v>1548</v>
      </c>
      <c r="F2377" s="15" t="s">
        <v>5261</v>
      </c>
      <c r="G2377" s="7">
        <v>3.48</v>
      </c>
      <c r="H2377" s="15" t="s">
        <v>2320</v>
      </c>
      <c r="I2377" s="15" t="s">
        <v>1552</v>
      </c>
      <c r="J2377" s="15" t="s">
        <v>10578</v>
      </c>
      <c r="K2377" s="15">
        <v>1.0</v>
      </c>
      <c r="L2377" s="15">
        <v>1.0</v>
      </c>
      <c r="M2377" s="40">
        <v>40700.0</v>
      </c>
      <c r="N2377" s="41">
        <v>40847.0</v>
      </c>
      <c r="O2377" s="15" t="s">
        <v>1554</v>
      </c>
      <c r="Q2377" s="7"/>
    </row>
    <row r="2378">
      <c r="A2378" s="39" t="s">
        <v>10580</v>
      </c>
      <c r="B2378" s="15">
        <v>945250.0</v>
      </c>
      <c r="C2378" s="15" t="s">
        <v>10581</v>
      </c>
      <c r="D2378" s="15">
        <v>67961.0</v>
      </c>
      <c r="E2378" s="15" t="s">
        <v>2014</v>
      </c>
      <c r="F2378" s="15" t="s">
        <v>1578</v>
      </c>
      <c r="G2378" s="7">
        <v>1.395</v>
      </c>
      <c r="H2378" s="15" t="s">
        <v>2648</v>
      </c>
      <c r="I2378" s="15" t="s">
        <v>1628</v>
      </c>
      <c r="J2378" s="15" t="s">
        <v>10582</v>
      </c>
      <c r="K2378" s="15" t="s">
        <v>1722</v>
      </c>
      <c r="L2378" s="15" t="s">
        <v>1722</v>
      </c>
      <c r="M2378" s="40">
        <v>40566.0</v>
      </c>
      <c r="N2378" s="40">
        <v>40707.0</v>
      </c>
      <c r="O2378" s="15" t="s">
        <v>1554</v>
      </c>
      <c r="Q2378" s="7"/>
    </row>
    <row r="2379">
      <c r="A2379" s="39" t="s">
        <v>10583</v>
      </c>
      <c r="B2379" s="15">
        <v>912320.0</v>
      </c>
      <c r="C2379" s="15" t="s">
        <v>10584</v>
      </c>
      <c r="D2379" s="15">
        <v>67963.0</v>
      </c>
      <c r="E2379" s="15" t="s">
        <v>1638</v>
      </c>
      <c r="F2379" s="15" t="s">
        <v>1639</v>
      </c>
      <c r="G2379" s="7">
        <v>6.688</v>
      </c>
      <c r="H2379" s="15" t="s">
        <v>1670</v>
      </c>
      <c r="I2379" s="15" t="s">
        <v>1740</v>
      </c>
      <c r="J2379" s="15" t="s">
        <v>10585</v>
      </c>
      <c r="K2379" s="15">
        <v>3.0</v>
      </c>
      <c r="L2379" s="15">
        <v>3.0</v>
      </c>
      <c r="M2379" s="40">
        <v>40489.0</v>
      </c>
      <c r="N2379" s="40">
        <v>40708.0</v>
      </c>
      <c r="O2379" s="15" t="s">
        <v>1554</v>
      </c>
      <c r="Q2379" s="7"/>
    </row>
    <row r="2380">
      <c r="A2380" s="39" t="s">
        <v>10586</v>
      </c>
      <c r="B2380" s="15">
        <v>1041929.0</v>
      </c>
      <c r="C2380" s="15" t="s">
        <v>10587</v>
      </c>
      <c r="D2380" s="15">
        <v>68059.0</v>
      </c>
      <c r="E2380" s="15" t="s">
        <v>1548</v>
      </c>
      <c r="F2380" s="15" t="s">
        <v>10589</v>
      </c>
      <c r="G2380" s="7">
        <v>20.128</v>
      </c>
      <c r="H2380" s="15" t="s">
        <v>2396</v>
      </c>
      <c r="I2380" s="15" t="s">
        <v>1560</v>
      </c>
      <c r="J2380" s="15" t="s">
        <v>10590</v>
      </c>
      <c r="K2380" s="15">
        <v>7.0</v>
      </c>
      <c r="L2380" s="15">
        <v>7.0</v>
      </c>
      <c r="M2380" s="40">
        <v>40708.0</v>
      </c>
      <c r="N2380" s="41">
        <v>41625.0</v>
      </c>
      <c r="O2380" s="15" t="s">
        <v>1554</v>
      </c>
      <c r="Q2380" s="7"/>
    </row>
    <row r="2381">
      <c r="A2381" s="39" t="s">
        <v>10591</v>
      </c>
      <c r="B2381" s="15">
        <v>915424.0</v>
      </c>
      <c r="C2381" s="15" t="s">
        <v>10592</v>
      </c>
      <c r="D2381" s="15">
        <v>68287.0</v>
      </c>
      <c r="E2381" s="15" t="s">
        <v>1557</v>
      </c>
      <c r="F2381" s="15" t="s">
        <v>1822</v>
      </c>
      <c r="G2381" s="7">
        <v>7.632</v>
      </c>
      <c r="H2381" s="15" t="s">
        <v>2901</v>
      </c>
      <c r="I2381" s="15" t="s">
        <v>1567</v>
      </c>
      <c r="J2381" s="15" t="s">
        <v>10593</v>
      </c>
      <c r="K2381" s="15">
        <v>7.0</v>
      </c>
      <c r="L2381" s="15">
        <v>7.0</v>
      </c>
      <c r="M2381" s="40">
        <v>40706.0</v>
      </c>
      <c r="N2381" s="40">
        <v>40718.0</v>
      </c>
      <c r="O2381" s="15" t="s">
        <v>1554</v>
      </c>
      <c r="Q2381" s="7"/>
    </row>
    <row r="2382">
      <c r="A2382" s="39" t="s">
        <v>10594</v>
      </c>
      <c r="B2382" s="15">
        <v>889813.0</v>
      </c>
      <c r="C2382" s="15" t="s">
        <v>10595</v>
      </c>
      <c r="D2382" s="15">
        <v>68289.0</v>
      </c>
      <c r="E2382" s="15" t="s">
        <v>1557</v>
      </c>
      <c r="F2382" s="15" t="s">
        <v>1822</v>
      </c>
      <c r="G2382" s="7">
        <v>7.686</v>
      </c>
      <c r="H2382" s="15" t="s">
        <v>2836</v>
      </c>
      <c r="I2382" s="15" t="s">
        <v>1567</v>
      </c>
      <c r="J2382" s="15" t="s">
        <v>10596</v>
      </c>
      <c r="K2382" s="15">
        <v>7.0</v>
      </c>
      <c r="L2382" s="15">
        <v>6.0</v>
      </c>
      <c r="M2382" s="40">
        <v>40706.0</v>
      </c>
      <c r="N2382" s="40">
        <v>40718.0</v>
      </c>
      <c r="O2382" s="15" t="s">
        <v>1554</v>
      </c>
      <c r="Q2382" s="7"/>
    </row>
    <row r="2383">
      <c r="A2383" s="39" t="s">
        <v>10597</v>
      </c>
      <c r="B2383" s="15">
        <v>1043184.0</v>
      </c>
      <c r="C2383" s="15" t="s">
        <v>10598</v>
      </c>
      <c r="D2383" s="15">
        <v>68409.0</v>
      </c>
      <c r="E2383" s="15" t="s">
        <v>1548</v>
      </c>
      <c r="F2383" s="15" t="s">
        <v>1633</v>
      </c>
      <c r="G2383" s="7">
        <v>7.718</v>
      </c>
      <c r="H2383" s="15" t="s">
        <v>5627</v>
      </c>
      <c r="I2383" s="15" t="s">
        <v>1628</v>
      </c>
      <c r="J2383" s="15" t="s">
        <v>10599</v>
      </c>
      <c r="K2383" s="15">
        <v>5.0</v>
      </c>
      <c r="L2383" s="15">
        <v>5.0</v>
      </c>
      <c r="M2383" s="40">
        <v>40714.0</v>
      </c>
      <c r="N2383" s="40">
        <v>40800.0</v>
      </c>
      <c r="O2383" s="15" t="s">
        <v>1554</v>
      </c>
      <c r="Q2383" s="7"/>
    </row>
    <row r="2384">
      <c r="A2384" s="39" t="s">
        <v>10600</v>
      </c>
      <c r="B2384" s="15">
        <v>1041524.0</v>
      </c>
      <c r="C2384" s="15" t="s">
        <v>10601</v>
      </c>
      <c r="D2384" s="15">
        <v>68413.0</v>
      </c>
      <c r="E2384" s="15" t="s">
        <v>1557</v>
      </c>
      <c r="F2384" s="15" t="s">
        <v>1611</v>
      </c>
      <c r="G2384" s="7">
        <v>40.94</v>
      </c>
      <c r="H2384" s="15" t="s">
        <v>2284</v>
      </c>
      <c r="I2384" s="15" t="s">
        <v>1586</v>
      </c>
      <c r="J2384" s="15" t="s">
        <v>10603</v>
      </c>
      <c r="K2384" s="15">
        <v>49.0</v>
      </c>
      <c r="L2384" s="15">
        <v>49.0</v>
      </c>
      <c r="M2384" s="40">
        <v>40708.0</v>
      </c>
      <c r="N2384" s="40">
        <v>40723.0</v>
      </c>
      <c r="O2384" s="15" t="s">
        <v>1554</v>
      </c>
      <c r="Q2384" s="7"/>
    </row>
    <row r="2385">
      <c r="A2385" s="39" t="s">
        <v>10604</v>
      </c>
      <c r="B2385" s="15">
        <v>981323.0</v>
      </c>
      <c r="C2385" s="15" t="s">
        <v>10605</v>
      </c>
      <c r="D2385" s="15">
        <v>68415.0</v>
      </c>
      <c r="E2385" s="15" t="s">
        <v>1557</v>
      </c>
      <c r="F2385" s="15" t="s">
        <v>1833</v>
      </c>
      <c r="G2385" s="7">
        <v>45.53</v>
      </c>
      <c r="H2385" s="15" t="s">
        <v>2309</v>
      </c>
      <c r="I2385" s="15" t="s">
        <v>1586</v>
      </c>
      <c r="J2385" s="15" t="s">
        <v>10606</v>
      </c>
      <c r="K2385" s="15">
        <v>57.0</v>
      </c>
      <c r="L2385" s="15">
        <v>57.0</v>
      </c>
      <c r="M2385" s="40">
        <v>40709.0</v>
      </c>
      <c r="N2385" s="40">
        <v>40725.0</v>
      </c>
      <c r="O2385" s="15" t="s">
        <v>1554</v>
      </c>
      <c r="Q2385" s="7"/>
    </row>
    <row r="2386">
      <c r="A2386" s="39" t="s">
        <v>10607</v>
      </c>
      <c r="B2386" s="15">
        <v>1035662.0</v>
      </c>
      <c r="C2386" s="15" t="s">
        <v>10608</v>
      </c>
      <c r="D2386" s="15">
        <v>68417.0</v>
      </c>
      <c r="E2386" s="15" t="s">
        <v>1557</v>
      </c>
      <c r="F2386" s="15" t="s">
        <v>1767</v>
      </c>
      <c r="G2386" s="7">
        <v>23.931</v>
      </c>
      <c r="H2386" s="15" t="s">
        <v>5391</v>
      </c>
      <c r="I2386" s="15" t="s">
        <v>1586</v>
      </c>
      <c r="J2386" s="15" t="s">
        <v>10609</v>
      </c>
      <c r="K2386" s="15">
        <v>42.0</v>
      </c>
      <c r="L2386" s="15">
        <v>42.0</v>
      </c>
      <c r="M2386" s="40">
        <v>40693.0</v>
      </c>
      <c r="N2386" s="40">
        <v>40723.0</v>
      </c>
      <c r="O2386" s="15" t="s">
        <v>1554</v>
      </c>
      <c r="Q2386" s="7"/>
    </row>
    <row r="2387">
      <c r="A2387" s="39" t="s">
        <v>10610</v>
      </c>
      <c r="B2387" s="15">
        <v>1045778.0</v>
      </c>
      <c r="C2387" s="15" t="s">
        <v>10612</v>
      </c>
      <c r="D2387" s="15">
        <v>68437.0</v>
      </c>
      <c r="E2387" s="15" t="s">
        <v>1808</v>
      </c>
      <c r="F2387" s="15" t="s">
        <v>2436</v>
      </c>
      <c r="G2387" s="7">
        <v>4.926</v>
      </c>
      <c r="H2387" s="15" t="s">
        <v>2857</v>
      </c>
      <c r="I2387" s="15" t="s">
        <v>1560</v>
      </c>
      <c r="J2387" s="15" t="s">
        <v>10613</v>
      </c>
      <c r="K2387" s="15">
        <v>3.0</v>
      </c>
      <c r="L2387" s="15">
        <v>3.0</v>
      </c>
      <c r="M2387" s="40">
        <v>40715.0</v>
      </c>
      <c r="N2387" s="40">
        <v>41780.0</v>
      </c>
      <c r="O2387" s="15" t="s">
        <v>1554</v>
      </c>
      <c r="Q2387" s="7"/>
    </row>
    <row r="2388">
      <c r="A2388" s="39" t="s">
        <v>10614</v>
      </c>
      <c r="B2388" s="15">
        <v>46015.0</v>
      </c>
      <c r="C2388" s="15" t="s">
        <v>10615</v>
      </c>
      <c r="D2388" s="15">
        <v>14023.0</v>
      </c>
      <c r="E2388" s="15" t="s">
        <v>1557</v>
      </c>
      <c r="F2388" s="15" t="s">
        <v>1992</v>
      </c>
      <c r="G2388" s="7">
        <v>133.894</v>
      </c>
      <c r="H2388" s="15" t="s">
        <v>2223</v>
      </c>
      <c r="I2388" s="15" t="s">
        <v>1560</v>
      </c>
      <c r="J2388" s="15" t="s">
        <v>10616</v>
      </c>
      <c r="K2388" s="15">
        <v>156.0</v>
      </c>
      <c r="L2388" s="15">
        <v>156.0</v>
      </c>
      <c r="M2388" s="40">
        <v>34531.0</v>
      </c>
      <c r="N2388" s="40">
        <v>42457.0</v>
      </c>
      <c r="O2388" s="15" t="s">
        <v>1554</v>
      </c>
      <c r="Q2388" s="7"/>
    </row>
    <row r="2389">
      <c r="A2389" s="39" t="s">
        <v>10617</v>
      </c>
      <c r="B2389" s="15">
        <v>10570.0</v>
      </c>
      <c r="C2389" s="15" t="s">
        <v>10618</v>
      </c>
      <c r="D2389" s="15">
        <v>14025.0</v>
      </c>
      <c r="E2389" s="15" t="s">
        <v>1557</v>
      </c>
      <c r="F2389" s="15" t="s">
        <v>1822</v>
      </c>
      <c r="G2389" s="7">
        <v>8.028</v>
      </c>
      <c r="H2389" s="15">
        <v>48.0</v>
      </c>
      <c r="I2389" s="15" t="s">
        <v>1686</v>
      </c>
      <c r="J2389" s="15" t="s">
        <v>10619</v>
      </c>
      <c r="K2389" s="15">
        <v>8.0</v>
      </c>
      <c r="L2389" s="15">
        <v>8.0</v>
      </c>
      <c r="M2389" s="40">
        <v>34184.0</v>
      </c>
      <c r="N2389" s="40">
        <v>40550.0</v>
      </c>
      <c r="O2389" s="15" t="s">
        <v>1554</v>
      </c>
      <c r="Q2389" s="7"/>
    </row>
    <row r="2390">
      <c r="A2390" s="39" t="s">
        <v>10621</v>
      </c>
      <c r="B2390" s="15">
        <v>97081.0</v>
      </c>
      <c r="C2390" s="15" t="s">
        <v>10622</v>
      </c>
      <c r="D2390" s="15">
        <v>14480.0</v>
      </c>
      <c r="E2390" s="15" t="s">
        <v>1557</v>
      </c>
      <c r="F2390" s="15" t="s">
        <v>1611</v>
      </c>
      <c r="G2390" s="7">
        <v>60.942</v>
      </c>
      <c r="H2390" s="15" t="s">
        <v>3836</v>
      </c>
      <c r="I2390" s="15" t="s">
        <v>1586</v>
      </c>
      <c r="J2390" s="15" t="s">
        <v>10623</v>
      </c>
      <c r="K2390" s="15">
        <v>86.0</v>
      </c>
      <c r="L2390" s="15">
        <v>83.0</v>
      </c>
      <c r="M2390" s="40">
        <v>36418.0</v>
      </c>
      <c r="N2390" s="40">
        <v>41513.0</v>
      </c>
      <c r="O2390" s="15" t="s">
        <v>1554</v>
      </c>
      <c r="Q2390" s="7"/>
    </row>
    <row r="2391">
      <c r="A2391" s="39" t="s">
        <v>10624</v>
      </c>
      <c r="B2391" s="15">
        <v>382685.0</v>
      </c>
      <c r="C2391" s="15" t="s">
        <v>10625</v>
      </c>
      <c r="D2391" s="15">
        <v>17739.0</v>
      </c>
      <c r="E2391" s="15" t="s">
        <v>1557</v>
      </c>
      <c r="F2391" s="15" t="s">
        <v>1833</v>
      </c>
      <c r="G2391" s="7">
        <v>26.537</v>
      </c>
      <c r="H2391" s="15" t="s">
        <v>2316</v>
      </c>
      <c r="I2391" s="15" t="s">
        <v>1586</v>
      </c>
      <c r="J2391" s="15" t="s">
        <v>10626</v>
      </c>
      <c r="K2391" s="15">
        <v>47.0</v>
      </c>
      <c r="L2391" s="15">
        <v>47.0</v>
      </c>
      <c r="M2391" s="40">
        <v>38951.0</v>
      </c>
      <c r="N2391" s="40">
        <v>39220.0</v>
      </c>
      <c r="O2391" s="15" t="s">
        <v>1554</v>
      </c>
      <c r="Q2391" s="7"/>
    </row>
    <row r="2392">
      <c r="A2392" s="39" t="s">
        <v>10627</v>
      </c>
      <c r="B2392" s="15">
        <v>333920.0</v>
      </c>
      <c r="C2392" s="15" t="s">
        <v>10629</v>
      </c>
      <c r="D2392" s="15">
        <v>15487.0</v>
      </c>
      <c r="E2392" s="15" t="s">
        <v>1557</v>
      </c>
      <c r="F2392" s="15" t="s">
        <v>1822</v>
      </c>
      <c r="G2392" s="7">
        <v>7.61</v>
      </c>
      <c r="H2392" s="15">
        <v>53.0</v>
      </c>
      <c r="I2392" s="15" t="s">
        <v>1686</v>
      </c>
      <c r="J2392" s="15" t="s">
        <v>10630</v>
      </c>
      <c r="K2392" s="15">
        <v>7.0</v>
      </c>
      <c r="L2392" s="15">
        <v>7.0</v>
      </c>
      <c r="M2392" s="40">
        <v>37374.0</v>
      </c>
      <c r="N2392" s="40">
        <v>42578.0</v>
      </c>
      <c r="O2392" s="15" t="s">
        <v>1554</v>
      </c>
      <c r="Q2392" s="7"/>
    </row>
    <row r="2393">
      <c r="A2393" s="39" t="s">
        <v>10631</v>
      </c>
      <c r="B2393" s="15">
        <v>40537.0</v>
      </c>
      <c r="C2393" s="15" t="s">
        <v>10632</v>
      </c>
      <c r="D2393" s="15">
        <v>14220.0</v>
      </c>
      <c r="E2393" s="15" t="s">
        <v>1557</v>
      </c>
      <c r="F2393" s="15" t="s">
        <v>1822</v>
      </c>
      <c r="G2393" s="7">
        <v>7.841</v>
      </c>
      <c r="H2393" s="15" t="s">
        <v>2392</v>
      </c>
      <c r="I2393" s="15" t="s">
        <v>1686</v>
      </c>
      <c r="J2393" s="15" t="s">
        <v>10633</v>
      </c>
      <c r="K2393" s="15">
        <v>6.0</v>
      </c>
      <c r="L2393" s="15">
        <v>6.0</v>
      </c>
      <c r="M2393" s="40">
        <v>37515.0</v>
      </c>
      <c r="N2393" s="40">
        <v>42045.0</v>
      </c>
      <c r="O2393" s="15" t="s">
        <v>1554</v>
      </c>
      <c r="Q2393" s="7"/>
    </row>
    <row r="2394">
      <c r="A2394" s="39" t="s">
        <v>10634</v>
      </c>
      <c r="B2394" s="15">
        <v>871521.0</v>
      </c>
      <c r="C2394" s="15" t="s">
        <v>10635</v>
      </c>
      <c r="D2394" s="15">
        <v>51627.0</v>
      </c>
      <c r="E2394" s="15" t="s">
        <v>1808</v>
      </c>
      <c r="F2394" s="15" t="s">
        <v>1809</v>
      </c>
      <c r="G2394" s="7">
        <v>5.186</v>
      </c>
      <c r="H2394" s="15" t="s">
        <v>10636</v>
      </c>
      <c r="I2394" s="15" t="s">
        <v>1628</v>
      </c>
      <c r="J2394" s="15" t="s">
        <v>10637</v>
      </c>
      <c r="K2394" s="15">
        <v>7.0</v>
      </c>
      <c r="L2394" s="15">
        <v>7.0</v>
      </c>
      <c r="M2394" s="40">
        <v>40404.0</v>
      </c>
      <c r="N2394" s="41">
        <v>42297.0</v>
      </c>
      <c r="O2394" s="15" t="s">
        <v>1554</v>
      </c>
      <c r="Q2394" s="7"/>
    </row>
    <row r="2395">
      <c r="A2395" s="39" t="s">
        <v>10638</v>
      </c>
      <c r="B2395" s="15">
        <v>89623.0</v>
      </c>
      <c r="C2395" s="15" t="s">
        <v>10639</v>
      </c>
      <c r="D2395" s="15">
        <v>14403.0</v>
      </c>
      <c r="E2395" s="15" t="s">
        <v>1916</v>
      </c>
      <c r="F2395" s="15" t="s">
        <v>3423</v>
      </c>
      <c r="G2395" s="7">
        <v>3.024</v>
      </c>
      <c r="H2395" s="15" t="s">
        <v>3255</v>
      </c>
      <c r="I2395" s="15" t="s">
        <v>1686</v>
      </c>
      <c r="J2395" s="15" t="s">
        <v>10640</v>
      </c>
      <c r="K2395" s="15">
        <v>5.0</v>
      </c>
      <c r="L2395" s="15">
        <v>5.0</v>
      </c>
      <c r="M2395" s="40">
        <v>36248.0</v>
      </c>
      <c r="N2395" s="40">
        <v>39790.0</v>
      </c>
      <c r="O2395" s="15" t="s">
        <v>1554</v>
      </c>
      <c r="Q2395" s="7"/>
    </row>
    <row r="2396">
      <c r="A2396" s="39" t="s">
        <v>10642</v>
      </c>
      <c r="B2396" s="15">
        <v>196094.0</v>
      </c>
      <c r="C2396" s="15" t="s">
        <v>10643</v>
      </c>
      <c r="D2396" s="15">
        <v>14433.0</v>
      </c>
      <c r="E2396" s="15" t="s">
        <v>2014</v>
      </c>
      <c r="F2396" s="15" t="s">
        <v>1578</v>
      </c>
      <c r="G2396" s="7">
        <v>0.23</v>
      </c>
      <c r="H2396" s="15">
        <v>53.0</v>
      </c>
      <c r="I2396" s="15" t="s">
        <v>1628</v>
      </c>
      <c r="J2396" s="15" t="s">
        <v>10644</v>
      </c>
      <c r="K2396" s="15" t="s">
        <v>1722</v>
      </c>
      <c r="L2396" s="15" t="s">
        <v>1722</v>
      </c>
      <c r="M2396" s="40">
        <v>32601.0</v>
      </c>
      <c r="N2396" s="40">
        <v>39645.0</v>
      </c>
      <c r="O2396" s="15" t="s">
        <v>1554</v>
      </c>
      <c r="Q2396" s="7"/>
    </row>
    <row r="2397">
      <c r="A2397" s="39" t="s">
        <v>10645</v>
      </c>
      <c r="B2397" s="15">
        <v>10760.0</v>
      </c>
      <c r="C2397" s="15" t="s">
        <v>10646</v>
      </c>
      <c r="D2397" s="15">
        <v>14460.0</v>
      </c>
      <c r="E2397" s="15" t="s">
        <v>1557</v>
      </c>
      <c r="F2397" s="15" t="s">
        <v>1611</v>
      </c>
      <c r="G2397" s="7">
        <v>39.937</v>
      </c>
      <c r="H2397" s="15" t="s">
        <v>2279</v>
      </c>
      <c r="I2397" s="15" t="s">
        <v>1586</v>
      </c>
      <c r="J2397" s="15" t="s">
        <v>10647</v>
      </c>
      <c r="K2397" s="15">
        <v>60.0</v>
      </c>
      <c r="L2397" s="15">
        <v>60.0</v>
      </c>
      <c r="M2397" s="40">
        <v>30258.0</v>
      </c>
      <c r="N2397" s="40">
        <v>42045.0</v>
      </c>
      <c r="O2397" s="15" t="s">
        <v>1554</v>
      </c>
      <c r="Q2397" s="7"/>
    </row>
    <row r="2398">
      <c r="A2398" s="39" t="s">
        <v>10648</v>
      </c>
      <c r="B2398" s="15">
        <v>10600.0</v>
      </c>
      <c r="C2398" s="15" t="s">
        <v>10649</v>
      </c>
      <c r="D2398" s="15">
        <v>15454.0</v>
      </c>
      <c r="E2398" s="15" t="s">
        <v>1557</v>
      </c>
      <c r="F2398" s="15" t="s">
        <v>1822</v>
      </c>
      <c r="G2398" s="7">
        <v>7.902</v>
      </c>
      <c r="H2398" s="15" t="s">
        <v>1559</v>
      </c>
      <c r="I2398" s="15" t="s">
        <v>1686</v>
      </c>
      <c r="J2398" s="15" t="s">
        <v>10651</v>
      </c>
      <c r="K2398" s="15">
        <v>9.0</v>
      </c>
      <c r="L2398" s="15">
        <v>9.0</v>
      </c>
      <c r="M2398" s="40">
        <v>31098.0</v>
      </c>
      <c r="N2398" s="40">
        <v>41500.0</v>
      </c>
      <c r="O2398" s="15" t="s">
        <v>1554</v>
      </c>
      <c r="Q2398" s="7"/>
    </row>
    <row r="2399">
      <c r="A2399" s="39" t="s">
        <v>10652</v>
      </c>
      <c r="B2399" s="15">
        <v>10376.0</v>
      </c>
      <c r="C2399" s="15" t="s">
        <v>10653</v>
      </c>
      <c r="D2399" s="15">
        <v>20959.0</v>
      </c>
      <c r="E2399" s="15" t="s">
        <v>1557</v>
      </c>
      <c r="F2399" s="15" t="s">
        <v>1827</v>
      </c>
      <c r="G2399" s="7">
        <v>172.764</v>
      </c>
      <c r="H2399" s="15" t="s">
        <v>10654</v>
      </c>
      <c r="I2399" s="15" t="s">
        <v>1567</v>
      </c>
      <c r="J2399" s="15" t="s">
        <v>10655</v>
      </c>
      <c r="K2399" s="15">
        <v>82.0</v>
      </c>
      <c r="L2399" s="15">
        <v>80.0</v>
      </c>
      <c r="M2399" s="40">
        <v>38844.0</v>
      </c>
      <c r="N2399" s="40">
        <v>40263.0</v>
      </c>
      <c r="O2399" s="15" t="s">
        <v>1554</v>
      </c>
      <c r="Q2399" s="7"/>
    </row>
    <row r="2400">
      <c r="A2400" s="39" t="s">
        <v>10656</v>
      </c>
      <c r="B2400" s="15">
        <v>279281.0</v>
      </c>
      <c r="C2400" s="15" t="s">
        <v>10657</v>
      </c>
      <c r="D2400" s="15">
        <v>14475.0</v>
      </c>
      <c r="E2400" s="15" t="s">
        <v>1557</v>
      </c>
      <c r="F2400" s="15" t="s">
        <v>1833</v>
      </c>
      <c r="G2400" s="7">
        <v>39.166</v>
      </c>
      <c r="H2400" s="15" t="s">
        <v>1962</v>
      </c>
      <c r="I2400" s="15" t="s">
        <v>1586</v>
      </c>
      <c r="J2400" s="15" t="s">
        <v>10658</v>
      </c>
      <c r="K2400" s="15">
        <v>55.0</v>
      </c>
      <c r="L2400" s="15">
        <v>55.0</v>
      </c>
      <c r="M2400" s="40">
        <v>38137.0</v>
      </c>
      <c r="N2400" s="40">
        <v>39920.0</v>
      </c>
      <c r="O2400" s="15" t="s">
        <v>1554</v>
      </c>
      <c r="Q2400" s="7"/>
    </row>
    <row r="2401">
      <c r="A2401" s="39" t="s">
        <v>10660</v>
      </c>
      <c r="B2401" s="15">
        <v>114429.0</v>
      </c>
      <c r="C2401" s="15" t="s">
        <v>10661</v>
      </c>
      <c r="D2401" s="15">
        <v>14497.0</v>
      </c>
      <c r="E2401" s="15" t="s">
        <v>1557</v>
      </c>
      <c r="F2401" s="15" t="s">
        <v>2628</v>
      </c>
      <c r="G2401" s="7">
        <v>33.034</v>
      </c>
      <c r="H2401" s="15" t="s">
        <v>3653</v>
      </c>
      <c r="I2401" s="15" t="s">
        <v>1686</v>
      </c>
      <c r="J2401" s="15" t="s">
        <v>10662</v>
      </c>
      <c r="K2401" s="15">
        <v>11.0</v>
      </c>
      <c r="L2401" s="15">
        <v>11.0</v>
      </c>
      <c r="M2401" s="40">
        <v>36753.0</v>
      </c>
      <c r="N2401" s="40">
        <v>42459.0</v>
      </c>
      <c r="O2401" s="15" t="s">
        <v>1554</v>
      </c>
      <c r="Q2401" s="7"/>
    </row>
    <row r="2402">
      <c r="A2402" s="39" t="s">
        <v>10663</v>
      </c>
      <c r="B2402" s="15">
        <v>10510.0</v>
      </c>
      <c r="C2402" s="15" t="s">
        <v>10664</v>
      </c>
      <c r="D2402" s="15">
        <v>14515.0</v>
      </c>
      <c r="E2402" s="15" t="s">
        <v>1557</v>
      </c>
      <c r="F2402" s="15" t="s">
        <v>2628</v>
      </c>
      <c r="G2402" s="7">
        <v>34.446</v>
      </c>
      <c r="H2402" s="15">
        <v>54.0</v>
      </c>
      <c r="I2402" s="15" t="s">
        <v>1686</v>
      </c>
      <c r="J2402" s="15" t="s">
        <v>10665</v>
      </c>
      <c r="K2402" s="15">
        <v>29.0</v>
      </c>
      <c r="L2402" s="15">
        <v>28.0</v>
      </c>
      <c r="M2402" s="40">
        <v>35860.0</v>
      </c>
      <c r="N2402" s="40">
        <v>42459.0</v>
      </c>
      <c r="O2402" s="15" t="s">
        <v>1554</v>
      </c>
      <c r="Q2402" s="7"/>
    </row>
    <row r="2403">
      <c r="A2403" s="39" t="s">
        <v>10666</v>
      </c>
      <c r="B2403" s="15">
        <v>10512.0</v>
      </c>
      <c r="C2403" s="15" t="s">
        <v>10667</v>
      </c>
      <c r="D2403" s="15">
        <v>14516.0</v>
      </c>
      <c r="E2403" s="15" t="s">
        <v>1557</v>
      </c>
      <c r="F2403" s="15" t="s">
        <v>2628</v>
      </c>
      <c r="G2403" s="7">
        <v>30.536</v>
      </c>
      <c r="H2403" s="15">
        <v>47.0</v>
      </c>
      <c r="I2403" s="15" t="s">
        <v>1686</v>
      </c>
      <c r="J2403" s="15" t="s">
        <v>10669</v>
      </c>
      <c r="K2403" s="15">
        <v>30.0</v>
      </c>
      <c r="L2403" s="15">
        <v>30.0</v>
      </c>
      <c r="M2403" s="40">
        <v>35313.0</v>
      </c>
      <c r="N2403" s="40">
        <v>39790.0</v>
      </c>
      <c r="O2403" s="15" t="s">
        <v>1554</v>
      </c>
      <c r="Q2403" s="7"/>
    </row>
    <row r="2404">
      <c r="A2404" s="39" t="s">
        <v>10670</v>
      </c>
      <c r="B2404" s="15">
        <v>28282.0</v>
      </c>
      <c r="C2404" s="15" t="s">
        <v>10671</v>
      </c>
      <c r="D2404" s="15">
        <v>14517.0</v>
      </c>
      <c r="E2404" s="15" t="s">
        <v>1557</v>
      </c>
      <c r="F2404" s="15" t="s">
        <v>2628</v>
      </c>
      <c r="G2404" s="7">
        <v>34.125</v>
      </c>
      <c r="H2404" s="15" t="s">
        <v>5934</v>
      </c>
      <c r="I2404" s="15" t="s">
        <v>1567</v>
      </c>
      <c r="J2404" s="15" t="s">
        <v>10672</v>
      </c>
      <c r="K2404" s="15">
        <v>16.0</v>
      </c>
      <c r="L2404" s="15">
        <v>36.0</v>
      </c>
      <c r="M2404" s="40">
        <v>34156.0</v>
      </c>
      <c r="N2404" s="40">
        <v>41023.0</v>
      </c>
      <c r="O2404" s="15" t="s">
        <v>1554</v>
      </c>
      <c r="Q2404" s="7"/>
    </row>
    <row r="2405">
      <c r="A2405" s="39" t="s">
        <v>10673</v>
      </c>
      <c r="B2405" s="15">
        <v>10515.0</v>
      </c>
      <c r="C2405" s="15" t="s">
        <v>10674</v>
      </c>
      <c r="D2405" s="15">
        <v>14518.0</v>
      </c>
      <c r="E2405" s="15" t="s">
        <v>1557</v>
      </c>
      <c r="F2405" s="15" t="s">
        <v>2628</v>
      </c>
      <c r="G2405" s="7">
        <v>35.937</v>
      </c>
      <c r="H2405" s="15" t="s">
        <v>6716</v>
      </c>
      <c r="I2405" s="15" t="s">
        <v>1567</v>
      </c>
      <c r="J2405" s="15" t="s">
        <v>10675</v>
      </c>
      <c r="K2405" s="15">
        <v>18.0</v>
      </c>
      <c r="L2405" s="15">
        <v>38.0</v>
      </c>
      <c r="M2405" s="40">
        <v>34086.0</v>
      </c>
      <c r="N2405" s="40">
        <v>40612.0</v>
      </c>
      <c r="O2405" s="15" t="s">
        <v>1554</v>
      </c>
      <c r="Q2405" s="7"/>
    </row>
    <row r="2406">
      <c r="A2406" s="39" t="s">
        <v>10677</v>
      </c>
      <c r="B2406" s="15">
        <v>10530.0</v>
      </c>
      <c r="C2406" s="15" t="s">
        <v>10678</v>
      </c>
      <c r="D2406" s="15">
        <v>14519.0</v>
      </c>
      <c r="E2406" s="15" t="s">
        <v>1557</v>
      </c>
      <c r="F2406" s="15" t="s">
        <v>2628</v>
      </c>
      <c r="G2406" s="7">
        <v>30.944</v>
      </c>
      <c r="H2406" s="15" t="s">
        <v>2548</v>
      </c>
      <c r="I2406" s="15" t="s">
        <v>1686</v>
      </c>
      <c r="J2406" s="15" t="s">
        <v>10679</v>
      </c>
      <c r="K2406" s="15">
        <v>27.0</v>
      </c>
      <c r="L2406" s="15">
        <v>26.0</v>
      </c>
      <c r="M2406" s="41">
        <v>33560.0</v>
      </c>
      <c r="N2406" s="40">
        <v>42045.0</v>
      </c>
      <c r="O2406" s="15" t="s">
        <v>1554</v>
      </c>
      <c r="Q2406" s="7"/>
    </row>
    <row r="2407">
      <c r="A2407" s="39" t="s">
        <v>10680</v>
      </c>
      <c r="B2407" s="15">
        <v>130329.0</v>
      </c>
      <c r="C2407" s="15" t="s">
        <v>10681</v>
      </c>
      <c r="D2407" s="15">
        <v>14520.0</v>
      </c>
      <c r="E2407" s="15" t="s">
        <v>1557</v>
      </c>
      <c r="F2407" s="15" t="s">
        <v>2628</v>
      </c>
      <c r="G2407" s="7">
        <v>33.213</v>
      </c>
      <c r="H2407" s="15">
        <v>43.0</v>
      </c>
      <c r="I2407" s="15" t="s">
        <v>1686</v>
      </c>
      <c r="J2407" s="15" t="s">
        <v>10682</v>
      </c>
      <c r="K2407" s="15">
        <v>30.0</v>
      </c>
      <c r="L2407" s="15">
        <v>29.0</v>
      </c>
      <c r="M2407" s="40">
        <v>35581.0</v>
      </c>
      <c r="N2407" s="40">
        <v>39639.0</v>
      </c>
      <c r="O2407" s="15" t="s">
        <v>1554</v>
      </c>
      <c r="Q2407" s="7"/>
    </row>
    <row r="2408">
      <c r="A2408" s="39" t="s">
        <v>10684</v>
      </c>
      <c r="B2408" s="15">
        <v>45370.0</v>
      </c>
      <c r="C2408" s="15" t="s">
        <v>10685</v>
      </c>
      <c r="D2408" s="15">
        <v>14521.0</v>
      </c>
      <c r="E2408" s="15" t="s">
        <v>1557</v>
      </c>
      <c r="F2408" s="15" t="s">
        <v>2628</v>
      </c>
      <c r="G2408" s="7">
        <v>32.621</v>
      </c>
      <c r="H2408" s="15" t="s">
        <v>2351</v>
      </c>
      <c r="I2408" s="15" t="s">
        <v>1686</v>
      </c>
      <c r="J2408" s="15" t="s">
        <v>10686</v>
      </c>
      <c r="K2408" s="15">
        <v>28.0</v>
      </c>
      <c r="L2408" s="15">
        <v>28.0</v>
      </c>
      <c r="M2408" s="40">
        <v>36976.0</v>
      </c>
      <c r="N2408" s="40">
        <v>42459.0</v>
      </c>
      <c r="O2408" s="15" t="s">
        <v>1554</v>
      </c>
      <c r="Q2408" s="7"/>
    </row>
    <row r="2409">
      <c r="A2409" s="39" t="s">
        <v>10687</v>
      </c>
      <c r="B2409" s="15">
        <v>10553.0</v>
      </c>
      <c r="C2409" s="15" t="s">
        <v>10688</v>
      </c>
      <c r="D2409" s="15">
        <v>14522.0</v>
      </c>
      <c r="E2409" s="15" t="s">
        <v>1557</v>
      </c>
      <c r="F2409" s="15" t="s">
        <v>2628</v>
      </c>
      <c r="G2409" s="7">
        <v>43.804</v>
      </c>
      <c r="H2409" s="15" t="s">
        <v>5663</v>
      </c>
      <c r="I2409" s="15" t="s">
        <v>1686</v>
      </c>
      <c r="J2409" s="15" t="s">
        <v>10689</v>
      </c>
      <c r="K2409" s="15">
        <v>31.0</v>
      </c>
      <c r="L2409" s="15">
        <v>39.0</v>
      </c>
      <c r="M2409" s="40">
        <v>35201.0</v>
      </c>
      <c r="N2409" s="40">
        <v>42045.0</v>
      </c>
      <c r="O2409" s="15" t="s">
        <v>1554</v>
      </c>
      <c r="Q2409" s="7"/>
    </row>
    <row r="2410">
      <c r="A2410" s="39" t="s">
        <v>10690</v>
      </c>
      <c r="B2410" s="15">
        <v>172864.0</v>
      </c>
      <c r="C2410" s="15" t="s">
        <v>10691</v>
      </c>
      <c r="D2410" s="15">
        <v>14523.0</v>
      </c>
      <c r="E2410" s="15" t="s">
        <v>1557</v>
      </c>
      <c r="F2410" s="15" t="s">
        <v>2628</v>
      </c>
      <c r="G2410" s="7">
        <v>45.063</v>
      </c>
      <c r="H2410" s="15" t="s">
        <v>2271</v>
      </c>
      <c r="I2410" s="15" t="s">
        <v>1686</v>
      </c>
      <c r="J2410" s="15" t="s">
        <v>10693</v>
      </c>
      <c r="K2410" s="15">
        <v>29.0</v>
      </c>
      <c r="L2410" s="15">
        <v>29.0</v>
      </c>
      <c r="M2410" s="40">
        <v>36391.0</v>
      </c>
      <c r="N2410" s="40">
        <v>42045.0</v>
      </c>
      <c r="O2410" s="15" t="s">
        <v>1554</v>
      </c>
      <c r="Q2410" s="7"/>
    </row>
    <row r="2411">
      <c r="A2411" s="39" t="s">
        <v>10694</v>
      </c>
      <c r="B2411" s="15">
        <v>41678.0</v>
      </c>
      <c r="C2411" s="15" t="s">
        <v>10695</v>
      </c>
      <c r="D2411" s="15">
        <v>14524.0</v>
      </c>
      <c r="E2411" s="15" t="s">
        <v>1557</v>
      </c>
      <c r="F2411" s="15" t="s">
        <v>2628</v>
      </c>
      <c r="G2411" s="7">
        <v>26.263</v>
      </c>
      <c r="H2411" s="15" t="s">
        <v>7887</v>
      </c>
      <c r="I2411" s="15" t="s">
        <v>1686</v>
      </c>
      <c r="J2411" s="15" t="s">
        <v>10696</v>
      </c>
      <c r="K2411" s="15">
        <v>24.0</v>
      </c>
      <c r="L2411" s="15">
        <v>24.0</v>
      </c>
      <c r="M2411" s="41">
        <v>36087.0</v>
      </c>
      <c r="N2411" s="40">
        <v>42459.0</v>
      </c>
      <c r="O2411" s="15" t="s">
        <v>1554</v>
      </c>
      <c r="Q2411" s="7"/>
    </row>
    <row r="2412">
      <c r="A2412" s="39" t="s">
        <v>10697</v>
      </c>
      <c r="B2412" s="15">
        <v>10527.0</v>
      </c>
      <c r="C2412" s="15" t="s">
        <v>10698</v>
      </c>
      <c r="D2412" s="15">
        <v>14535.0</v>
      </c>
      <c r="E2412" s="15" t="s">
        <v>1557</v>
      </c>
      <c r="F2412" s="15" t="s">
        <v>2628</v>
      </c>
      <c r="G2412" s="7">
        <v>35.083</v>
      </c>
      <c r="H2412" s="15" t="s">
        <v>4614</v>
      </c>
      <c r="I2412" s="15" t="s">
        <v>1567</v>
      </c>
      <c r="J2412" s="15" t="s">
        <v>10699</v>
      </c>
      <c r="K2412" s="15">
        <v>17.0</v>
      </c>
      <c r="L2412" s="15">
        <v>38.0</v>
      </c>
      <c r="M2412" s="41">
        <v>38317.0</v>
      </c>
      <c r="N2412" s="40">
        <v>39791.0</v>
      </c>
      <c r="O2412" s="15" t="s">
        <v>1554</v>
      </c>
      <c r="Q2412" s="7"/>
    </row>
    <row r="2413">
      <c r="A2413" s="39" t="s">
        <v>10700</v>
      </c>
      <c r="B2413" s="15">
        <v>132475.0</v>
      </c>
      <c r="C2413" s="15" t="s">
        <v>10701</v>
      </c>
      <c r="D2413" s="15">
        <v>14595.0</v>
      </c>
      <c r="E2413" s="15" t="s">
        <v>1557</v>
      </c>
      <c r="F2413" s="15" t="s">
        <v>2028</v>
      </c>
      <c r="G2413" s="7">
        <v>144.575</v>
      </c>
      <c r="H2413" s="15">
        <v>27.0</v>
      </c>
      <c r="I2413" s="15" t="s">
        <v>1686</v>
      </c>
      <c r="J2413" s="15" t="s">
        <v>10703</v>
      </c>
      <c r="K2413" s="15">
        <v>152.0</v>
      </c>
      <c r="L2413" s="15">
        <v>152.0</v>
      </c>
      <c r="M2413" s="40">
        <v>36897.0</v>
      </c>
      <c r="N2413" s="40">
        <v>42452.0</v>
      </c>
      <c r="O2413" s="15" t="s">
        <v>1554</v>
      </c>
      <c r="Q2413" s="7"/>
    </row>
    <row r="2414">
      <c r="A2414" s="39" t="s">
        <v>10704</v>
      </c>
      <c r="B2414" s="15">
        <v>10541.0</v>
      </c>
      <c r="C2414" s="15" t="s">
        <v>10705</v>
      </c>
      <c r="D2414" s="15">
        <v>15150.0</v>
      </c>
      <c r="E2414" s="15" t="s">
        <v>1557</v>
      </c>
      <c r="F2414" s="15" t="s">
        <v>2628</v>
      </c>
      <c r="G2414" s="7">
        <v>34.794</v>
      </c>
      <c r="H2414" s="15" t="s">
        <v>2365</v>
      </c>
      <c r="I2414" s="15" t="s">
        <v>1567</v>
      </c>
      <c r="J2414" s="15" t="s">
        <v>10706</v>
      </c>
      <c r="K2414" s="15">
        <v>16.0</v>
      </c>
      <c r="L2414" s="15">
        <v>38.0</v>
      </c>
      <c r="M2414" s="40">
        <v>37566.0</v>
      </c>
      <c r="N2414" s="40">
        <v>42136.0</v>
      </c>
      <c r="O2414" s="15" t="s">
        <v>1554</v>
      </c>
      <c r="Q2414" s="7"/>
    </row>
    <row r="2415">
      <c r="A2415" s="39" t="s">
        <v>10707</v>
      </c>
      <c r="B2415" s="15">
        <v>175567.0</v>
      </c>
      <c r="C2415" s="15" t="s">
        <v>10708</v>
      </c>
      <c r="D2415" s="15">
        <v>14608.0</v>
      </c>
      <c r="E2415" s="15" t="s">
        <v>1557</v>
      </c>
      <c r="F2415" s="15" t="s">
        <v>2628</v>
      </c>
      <c r="G2415" s="7">
        <v>36.519</v>
      </c>
      <c r="H2415" s="15" t="s">
        <v>3227</v>
      </c>
      <c r="I2415" s="15" t="s">
        <v>1686</v>
      </c>
      <c r="J2415" s="15" t="s">
        <v>10709</v>
      </c>
      <c r="K2415" s="15" t="s">
        <v>1722</v>
      </c>
      <c r="L2415" s="15">
        <v>38.0</v>
      </c>
      <c r="M2415" s="40">
        <v>38322.0</v>
      </c>
      <c r="N2415" s="40">
        <v>39790.0</v>
      </c>
      <c r="O2415" s="15" t="s">
        <v>1554</v>
      </c>
      <c r="Q2415" s="7"/>
    </row>
    <row r="2416">
      <c r="A2416" s="39" t="s">
        <v>10710</v>
      </c>
      <c r="B2416" s="15">
        <v>51313.0</v>
      </c>
      <c r="C2416" s="15" t="s">
        <v>10711</v>
      </c>
      <c r="D2416" s="15">
        <v>14615.0</v>
      </c>
      <c r="E2416" s="15" t="s">
        <v>1557</v>
      </c>
      <c r="F2416" s="15" t="s">
        <v>1992</v>
      </c>
      <c r="G2416" s="7">
        <v>130.759</v>
      </c>
      <c r="H2416" s="15" t="s">
        <v>5806</v>
      </c>
      <c r="I2416" s="15" t="s">
        <v>1560</v>
      </c>
      <c r="J2416" s="15" t="s">
        <v>10712</v>
      </c>
      <c r="K2416" s="15">
        <v>137.0</v>
      </c>
      <c r="L2416" s="15">
        <v>137.0</v>
      </c>
      <c r="M2416" s="40">
        <v>37134.0</v>
      </c>
      <c r="N2416" s="40">
        <v>40148.0</v>
      </c>
      <c r="O2416" s="15" t="s">
        <v>1554</v>
      </c>
      <c r="Q2416" s="7"/>
    </row>
    <row r="2417">
      <c r="A2417" s="39" t="s">
        <v>10713</v>
      </c>
      <c r="B2417" s="15">
        <v>363745.0</v>
      </c>
      <c r="C2417" s="15" t="s">
        <v>10714</v>
      </c>
      <c r="D2417" s="15">
        <v>14633.0</v>
      </c>
      <c r="E2417" s="15" t="s">
        <v>1916</v>
      </c>
      <c r="F2417" s="15" t="s">
        <v>2532</v>
      </c>
      <c r="G2417" s="7">
        <v>7.286</v>
      </c>
      <c r="H2417" s="15" t="s">
        <v>5627</v>
      </c>
      <c r="I2417" s="15" t="s">
        <v>1686</v>
      </c>
      <c r="J2417" s="15" t="s">
        <v>10716</v>
      </c>
      <c r="K2417" s="15">
        <v>11.0</v>
      </c>
      <c r="L2417" s="15">
        <v>3.0</v>
      </c>
      <c r="M2417" s="40">
        <v>34087.0</v>
      </c>
      <c r="N2417" s="40">
        <v>42578.0</v>
      </c>
      <c r="O2417" s="15" t="s">
        <v>1554</v>
      </c>
      <c r="Q2417" s="7"/>
    </row>
    <row r="2418">
      <c r="A2418" s="39" t="s">
        <v>10717</v>
      </c>
      <c r="B2418" s="15">
        <v>106333.0</v>
      </c>
      <c r="C2418" s="15" t="s">
        <v>10718</v>
      </c>
      <c r="D2418" s="15">
        <v>14653.0</v>
      </c>
      <c r="E2418" s="15" t="s">
        <v>1548</v>
      </c>
      <c r="F2418" s="15" t="s">
        <v>4829</v>
      </c>
      <c r="G2418" s="7">
        <v>7.32</v>
      </c>
      <c r="H2418" s="15" t="s">
        <v>1957</v>
      </c>
      <c r="I2418" s="15" t="s">
        <v>1567</v>
      </c>
      <c r="J2418" s="15" t="s">
        <v>10719</v>
      </c>
      <c r="K2418" s="15">
        <v>2.0</v>
      </c>
      <c r="L2418" s="15">
        <v>2.0</v>
      </c>
      <c r="M2418" s="41">
        <v>36464.0</v>
      </c>
      <c r="N2418" s="40">
        <v>42457.0</v>
      </c>
      <c r="O2418" s="15" t="s">
        <v>1554</v>
      </c>
      <c r="Q2418" s="7"/>
    </row>
    <row r="2419">
      <c r="A2419" s="39" t="s">
        <v>10720</v>
      </c>
      <c r="B2419" s="15">
        <v>11909.0</v>
      </c>
      <c r="C2419" s="15" t="s">
        <v>10721</v>
      </c>
      <c r="D2419" s="15">
        <v>14663.0</v>
      </c>
      <c r="E2419" s="15" t="s">
        <v>1916</v>
      </c>
      <c r="F2419" s="15" t="s">
        <v>2532</v>
      </c>
      <c r="G2419" s="7">
        <v>8.952</v>
      </c>
      <c r="H2419" s="15" t="s">
        <v>2271</v>
      </c>
      <c r="I2419" s="15" t="s">
        <v>1686</v>
      </c>
      <c r="J2419" s="15" t="s">
        <v>10722</v>
      </c>
      <c r="K2419" s="15">
        <v>5.0</v>
      </c>
      <c r="L2419" s="15">
        <v>5.0</v>
      </c>
      <c r="M2419" s="40">
        <v>34183.0</v>
      </c>
      <c r="N2419" s="40">
        <v>42650.0</v>
      </c>
      <c r="O2419" s="15" t="s">
        <v>1554</v>
      </c>
      <c r="Q2419" s="7"/>
    </row>
    <row r="2420">
      <c r="A2420" s="39" t="s">
        <v>10723</v>
      </c>
      <c r="B2420" s="15">
        <v>192021.0</v>
      </c>
      <c r="C2420" s="15" t="s">
        <v>10724</v>
      </c>
      <c r="D2420" s="15">
        <v>14798.0</v>
      </c>
      <c r="E2420" s="15" t="s">
        <v>2014</v>
      </c>
      <c r="F2420" s="15" t="s">
        <v>1578</v>
      </c>
      <c r="G2420" s="7">
        <v>1.165</v>
      </c>
      <c r="H2420" s="15" t="s">
        <v>3973</v>
      </c>
      <c r="I2420" s="15" t="s">
        <v>1628</v>
      </c>
      <c r="J2420" s="15" t="s">
        <v>10725</v>
      </c>
      <c r="K2420" s="15">
        <v>1.0</v>
      </c>
      <c r="L2420" s="15">
        <v>1.0</v>
      </c>
      <c r="M2420" s="40">
        <v>34088.0</v>
      </c>
      <c r="N2420" s="40">
        <v>41500.0</v>
      </c>
      <c r="O2420" s="15" t="s">
        <v>1554</v>
      </c>
      <c r="Q2420" s="7"/>
    </row>
    <row r="2421">
      <c r="A2421" s="39" t="s">
        <v>10727</v>
      </c>
      <c r="B2421" s="15">
        <v>190239.0</v>
      </c>
      <c r="C2421" s="15" t="s">
        <v>10728</v>
      </c>
      <c r="D2421" s="15">
        <v>14845.0</v>
      </c>
      <c r="E2421" s="15" t="s">
        <v>1548</v>
      </c>
      <c r="F2421" s="15" t="s">
        <v>4829</v>
      </c>
      <c r="G2421" s="7">
        <v>7.453</v>
      </c>
      <c r="H2421" s="15" t="s">
        <v>4542</v>
      </c>
      <c r="I2421" s="15" t="s">
        <v>1686</v>
      </c>
      <c r="J2421" s="15" t="s">
        <v>10729</v>
      </c>
      <c r="K2421" s="15">
        <v>2.0</v>
      </c>
      <c r="L2421" s="15">
        <v>2.0</v>
      </c>
      <c r="M2421" s="40">
        <v>37438.0</v>
      </c>
      <c r="N2421" s="40">
        <v>42458.0</v>
      </c>
      <c r="O2421" s="15" t="s">
        <v>1554</v>
      </c>
      <c r="Q2421" s="7"/>
    </row>
    <row r="2422">
      <c r="A2422" s="39" t="s">
        <v>10730</v>
      </c>
      <c r="B2422" s="15">
        <v>538123.0</v>
      </c>
      <c r="C2422" s="15" t="s">
        <v>10731</v>
      </c>
      <c r="D2422" s="15">
        <v>262089.0</v>
      </c>
      <c r="E2422" s="15" t="s">
        <v>1638</v>
      </c>
      <c r="F2422" s="15" t="s">
        <v>1863</v>
      </c>
      <c r="G2422" s="7">
        <v>23.176</v>
      </c>
      <c r="H2422" s="15" t="s">
        <v>10732</v>
      </c>
      <c r="I2422" s="15" t="s">
        <v>1686</v>
      </c>
      <c r="J2422" s="15" t="s">
        <v>10733</v>
      </c>
      <c r="K2422" s="15">
        <v>11.0</v>
      </c>
      <c r="L2422" s="15">
        <v>11.0</v>
      </c>
      <c r="M2422" s="40">
        <v>40065.0</v>
      </c>
      <c r="N2422" s="41">
        <v>42320.0</v>
      </c>
      <c r="O2422" s="15" t="s">
        <v>1554</v>
      </c>
      <c r="Q2422" s="7"/>
    </row>
    <row r="2423">
      <c r="A2423" s="39" t="s">
        <v>10734</v>
      </c>
      <c r="B2423" s="15">
        <v>11723.0</v>
      </c>
      <c r="C2423" s="15" t="s">
        <v>10735</v>
      </c>
      <c r="D2423" s="15">
        <v>15501.0</v>
      </c>
      <c r="E2423" s="15" t="s">
        <v>1916</v>
      </c>
      <c r="F2423" s="15" t="s">
        <v>2532</v>
      </c>
      <c r="G2423" s="7">
        <v>9.623</v>
      </c>
      <c r="H2423" s="15" t="s">
        <v>2107</v>
      </c>
      <c r="I2423" s="15" t="s">
        <v>1686</v>
      </c>
      <c r="J2423" s="15" t="s">
        <v>10736</v>
      </c>
      <c r="K2423" s="15">
        <v>7.0</v>
      </c>
      <c r="L2423" s="15">
        <v>6.0</v>
      </c>
      <c r="M2423" s="40">
        <v>33298.0</v>
      </c>
      <c r="N2423" s="40">
        <v>41315.0</v>
      </c>
      <c r="O2423" s="15" t="s">
        <v>1554</v>
      </c>
      <c r="Q2423" s="7"/>
    </row>
    <row r="2424">
      <c r="A2424" s="39" t="s">
        <v>10737</v>
      </c>
      <c r="B2424" s="15">
        <v>335341.0</v>
      </c>
      <c r="C2424" s="15" t="s">
        <v>10738</v>
      </c>
      <c r="D2424" s="15">
        <v>15622.0</v>
      </c>
      <c r="E2424" s="15" t="s">
        <v>1548</v>
      </c>
      <c r="F2424" s="15" t="s">
        <v>5756</v>
      </c>
      <c r="G2424" s="7">
        <v>13.627</v>
      </c>
      <c r="H2424" s="15" t="s">
        <v>10739</v>
      </c>
      <c r="I2424" s="15" t="s">
        <v>1567</v>
      </c>
      <c r="J2424" s="15" t="s">
        <v>10740</v>
      </c>
      <c r="K2424" s="15">
        <v>12.0</v>
      </c>
      <c r="L2424" s="15">
        <v>12.0</v>
      </c>
      <c r="M2424" s="40">
        <v>38565.0</v>
      </c>
      <c r="N2424" s="40">
        <v>42041.0</v>
      </c>
      <c r="O2424" s="15" t="s">
        <v>1554</v>
      </c>
      <c r="Q2424" s="7"/>
    </row>
    <row r="2425">
      <c r="A2425" s="39" t="s">
        <v>10741</v>
      </c>
      <c r="B2425" s="15">
        <v>12118.0</v>
      </c>
      <c r="C2425" s="15" t="s">
        <v>10743</v>
      </c>
      <c r="D2425" s="15">
        <v>15378.0</v>
      </c>
      <c r="E2425" s="15" t="s">
        <v>1548</v>
      </c>
      <c r="F2425" s="15" t="s">
        <v>1776</v>
      </c>
      <c r="G2425" s="7">
        <v>8.134</v>
      </c>
      <c r="H2425" s="15" t="s">
        <v>5488</v>
      </c>
      <c r="I2425" s="15" t="s">
        <v>1686</v>
      </c>
      <c r="J2425" s="15" t="s">
        <v>10744</v>
      </c>
      <c r="K2425" s="15">
        <v>1.0</v>
      </c>
      <c r="L2425" s="15">
        <v>1.0</v>
      </c>
      <c r="M2425" s="40">
        <v>36894.0</v>
      </c>
      <c r="N2425" s="40">
        <v>41401.0</v>
      </c>
      <c r="O2425" s="15" t="s">
        <v>1554</v>
      </c>
      <c r="Q2425" s="7"/>
    </row>
    <row r="2426">
      <c r="A2426" s="39" t="s">
        <v>10745</v>
      </c>
      <c r="B2426" s="15">
        <v>11135.0</v>
      </c>
      <c r="C2426" s="15" t="s">
        <v>10746</v>
      </c>
      <c r="D2426" s="15">
        <v>15097.0</v>
      </c>
      <c r="E2426" s="15" t="s">
        <v>1548</v>
      </c>
      <c r="F2426" s="15" t="s">
        <v>1684</v>
      </c>
      <c r="G2426" s="7">
        <v>29.355</v>
      </c>
      <c r="H2426" s="15" t="s">
        <v>2668</v>
      </c>
      <c r="I2426" s="15" t="s">
        <v>1686</v>
      </c>
      <c r="J2426" s="15" t="s">
        <v>10747</v>
      </c>
      <c r="K2426" s="15">
        <v>10.0</v>
      </c>
      <c r="L2426" s="15">
        <v>9.0</v>
      </c>
      <c r="M2426" s="40">
        <v>36657.0</v>
      </c>
      <c r="N2426" s="41">
        <v>41621.0</v>
      </c>
      <c r="O2426" s="15" t="s">
        <v>1554</v>
      </c>
      <c r="Q2426" s="7"/>
    </row>
    <row r="2427">
      <c r="A2427" s="39" t="s">
        <v>10748</v>
      </c>
      <c r="B2427" s="15">
        <v>268748.0</v>
      </c>
      <c r="C2427" s="15" t="s">
        <v>10749</v>
      </c>
      <c r="D2427" s="15">
        <v>15134.0</v>
      </c>
      <c r="E2427" s="15" t="s">
        <v>1557</v>
      </c>
      <c r="F2427" s="15" t="s">
        <v>1611</v>
      </c>
      <c r="G2427" s="7">
        <v>45.176</v>
      </c>
      <c r="H2427" s="15" t="s">
        <v>6565</v>
      </c>
      <c r="I2427" s="15" t="s">
        <v>1586</v>
      </c>
      <c r="J2427" s="15" t="s">
        <v>10750</v>
      </c>
      <c r="K2427" s="15">
        <v>58.0</v>
      </c>
      <c r="L2427" s="15">
        <v>58.0</v>
      </c>
      <c r="M2427" s="40">
        <v>38432.0</v>
      </c>
      <c r="N2427" s="40">
        <v>41060.0</v>
      </c>
      <c r="O2427" s="15" t="s">
        <v>1554</v>
      </c>
      <c r="Q2427" s="7"/>
    </row>
    <row r="2428">
      <c r="A2428" s="39" t="s">
        <v>10751</v>
      </c>
      <c r="B2428" s="15">
        <v>268746.0</v>
      </c>
      <c r="C2428" s="15" t="s">
        <v>10752</v>
      </c>
      <c r="D2428" s="15">
        <v>15135.0</v>
      </c>
      <c r="E2428" s="15" t="s">
        <v>1557</v>
      </c>
      <c r="F2428" s="15" t="s">
        <v>1767</v>
      </c>
      <c r="G2428" s="7">
        <v>252.401</v>
      </c>
      <c r="H2428" s="15" t="s">
        <v>2103</v>
      </c>
      <c r="I2428" s="15" t="s">
        <v>1586</v>
      </c>
      <c r="J2428" s="15" t="s">
        <v>10753</v>
      </c>
      <c r="K2428" s="15">
        <v>335.0</v>
      </c>
      <c r="L2428" s="15">
        <v>334.0</v>
      </c>
      <c r="M2428" s="40">
        <v>38432.0</v>
      </c>
      <c r="N2428" s="41">
        <v>40889.0</v>
      </c>
      <c r="O2428" s="15" t="s">
        <v>1554</v>
      </c>
      <c r="Q2428" s="7"/>
    </row>
    <row r="2429">
      <c r="A2429" s="39" t="s">
        <v>10755</v>
      </c>
      <c r="B2429" s="15">
        <v>11801.0</v>
      </c>
      <c r="C2429" s="15" t="s">
        <v>10756</v>
      </c>
      <c r="D2429" s="15">
        <v>15030.0</v>
      </c>
      <c r="E2429" s="15" t="s">
        <v>1916</v>
      </c>
      <c r="F2429" s="15" t="s">
        <v>2532</v>
      </c>
      <c r="G2429" s="7">
        <v>8.332</v>
      </c>
      <c r="H2429" s="15">
        <v>53.0</v>
      </c>
      <c r="I2429" s="15" t="s">
        <v>1686</v>
      </c>
      <c r="J2429" s="15" t="s">
        <v>10757</v>
      </c>
      <c r="K2429" s="15">
        <v>3.0</v>
      </c>
      <c r="L2429" s="15">
        <v>3.0</v>
      </c>
      <c r="M2429" s="40">
        <v>35816.0</v>
      </c>
      <c r="N2429" s="41">
        <v>42720.0</v>
      </c>
      <c r="O2429" s="15" t="s">
        <v>1554</v>
      </c>
      <c r="Q2429" s="7"/>
    </row>
    <row r="2430">
      <c r="A2430" s="39" t="s">
        <v>10758</v>
      </c>
      <c r="B2430" s="15">
        <v>11138.0</v>
      </c>
      <c r="C2430" s="15" t="s">
        <v>10759</v>
      </c>
      <c r="D2430" s="15">
        <v>15350.0</v>
      </c>
      <c r="E2430" s="15" t="s">
        <v>1548</v>
      </c>
      <c r="F2430" s="15" t="s">
        <v>1684</v>
      </c>
      <c r="G2430" s="7">
        <v>31.357</v>
      </c>
      <c r="H2430" s="15" t="s">
        <v>2049</v>
      </c>
      <c r="I2430" s="15" t="s">
        <v>1686</v>
      </c>
      <c r="J2430" s="15" t="s">
        <v>10760</v>
      </c>
      <c r="K2430" s="15">
        <v>4.0</v>
      </c>
      <c r="L2430" s="15">
        <v>5.0</v>
      </c>
      <c r="M2430" s="41">
        <v>35756.0</v>
      </c>
      <c r="N2430" s="40">
        <v>42458.0</v>
      </c>
      <c r="O2430" s="15" t="s">
        <v>1554</v>
      </c>
      <c r="Q2430" s="7"/>
    </row>
    <row r="2431">
      <c r="A2431" s="39" t="s">
        <v>10761</v>
      </c>
      <c r="B2431" s="15">
        <v>47001.0</v>
      </c>
      <c r="C2431" s="15" t="s">
        <v>10762</v>
      </c>
      <c r="D2431" s="15">
        <v>15206.0</v>
      </c>
      <c r="E2431" s="15" t="s">
        <v>1548</v>
      </c>
      <c r="F2431" s="15" t="s">
        <v>1776</v>
      </c>
      <c r="G2431" s="7">
        <v>8.828</v>
      </c>
      <c r="H2431" s="15" t="s">
        <v>3297</v>
      </c>
      <c r="I2431" s="15" t="s">
        <v>1686</v>
      </c>
      <c r="J2431" s="15" t="s">
        <v>10764</v>
      </c>
      <c r="K2431" s="15">
        <v>1.0</v>
      </c>
      <c r="L2431" s="15">
        <v>1.0</v>
      </c>
      <c r="M2431" s="40">
        <v>35167.0</v>
      </c>
      <c r="N2431" s="40">
        <v>41422.0</v>
      </c>
      <c r="O2431" s="15" t="s">
        <v>1554</v>
      </c>
      <c r="Q2431" s="7"/>
    </row>
    <row r="2432">
      <c r="A2432" s="39" t="s">
        <v>10765</v>
      </c>
      <c r="B2432" s="15">
        <v>10310.0</v>
      </c>
      <c r="C2432" s="15" t="s">
        <v>10766</v>
      </c>
      <c r="D2432" s="15">
        <v>15218.0</v>
      </c>
      <c r="E2432" s="15" t="s">
        <v>1557</v>
      </c>
      <c r="F2432" s="15" t="s">
        <v>1827</v>
      </c>
      <c r="G2432" s="7">
        <v>154.675</v>
      </c>
      <c r="H2432" s="15" t="s">
        <v>4380</v>
      </c>
      <c r="I2432" s="15" t="s">
        <v>1567</v>
      </c>
      <c r="J2432" s="15" t="s">
        <v>10767</v>
      </c>
      <c r="K2432" s="15">
        <v>79.0</v>
      </c>
      <c r="L2432" s="15">
        <v>77.0</v>
      </c>
      <c r="M2432" s="40">
        <v>35488.0</v>
      </c>
      <c r="N2432" s="40">
        <v>42506.0</v>
      </c>
      <c r="O2432" s="15" t="s">
        <v>1554</v>
      </c>
      <c r="Q2432" s="7"/>
    </row>
    <row r="2433">
      <c r="A2433" s="39" t="s">
        <v>10768</v>
      </c>
      <c r="B2433" s="15">
        <v>10497.0</v>
      </c>
      <c r="C2433" s="15" t="s">
        <v>10769</v>
      </c>
      <c r="D2433" s="15">
        <v>15242.0</v>
      </c>
      <c r="E2433" s="15" t="s">
        <v>1557</v>
      </c>
      <c r="F2433" s="15" t="s">
        <v>10770</v>
      </c>
      <c r="G2433" s="7">
        <v>170.101</v>
      </c>
      <c r="H2433" s="15" t="s">
        <v>5806</v>
      </c>
      <c r="I2433" s="15" t="s">
        <v>1751</v>
      </c>
      <c r="J2433" s="15" t="s">
        <v>10771</v>
      </c>
      <c r="K2433" s="15">
        <v>152.0</v>
      </c>
      <c r="L2433" s="15">
        <v>152.0</v>
      </c>
      <c r="M2433" s="40">
        <v>34811.0</v>
      </c>
      <c r="N2433" s="41">
        <v>41962.0</v>
      </c>
      <c r="O2433" s="15" t="s">
        <v>1554</v>
      </c>
      <c r="Q2433" s="7"/>
    </row>
    <row r="2434">
      <c r="A2434" s="39" t="s">
        <v>10773</v>
      </c>
      <c r="B2434" s="15">
        <v>289366.0</v>
      </c>
      <c r="C2434" s="15" t="s">
        <v>10774</v>
      </c>
      <c r="D2434" s="15">
        <v>15252.0</v>
      </c>
      <c r="E2434" s="15" t="s">
        <v>1808</v>
      </c>
      <c r="F2434" s="15" t="s">
        <v>2232</v>
      </c>
      <c r="G2434" s="7">
        <v>2.249</v>
      </c>
      <c r="H2434" s="15" t="s">
        <v>2342</v>
      </c>
      <c r="I2434" s="15" t="s">
        <v>1567</v>
      </c>
      <c r="J2434" s="15" t="s">
        <v>10775</v>
      </c>
      <c r="K2434" s="15">
        <v>3.0</v>
      </c>
      <c r="L2434" s="15">
        <v>3.0</v>
      </c>
      <c r="M2434" s="40">
        <v>38473.0</v>
      </c>
      <c r="N2434" s="40">
        <v>39224.0</v>
      </c>
      <c r="O2434" s="15" t="s">
        <v>1554</v>
      </c>
      <c r="Q2434" s="7"/>
    </row>
    <row r="2435">
      <c r="A2435" s="39" t="s">
        <v>10776</v>
      </c>
      <c r="B2435" s="15">
        <v>12081.0</v>
      </c>
      <c r="C2435" s="15" t="s">
        <v>10777</v>
      </c>
      <c r="D2435" s="15">
        <v>15288.0</v>
      </c>
      <c r="E2435" s="15" t="s">
        <v>1548</v>
      </c>
      <c r="F2435" s="15" t="s">
        <v>1776</v>
      </c>
      <c r="G2435" s="7">
        <v>7.44</v>
      </c>
      <c r="H2435" s="15" t="s">
        <v>1551</v>
      </c>
      <c r="I2435" s="15" t="s">
        <v>1567</v>
      </c>
      <c r="J2435" s="15" t="s">
        <v>10778</v>
      </c>
      <c r="K2435" s="15">
        <v>1.0</v>
      </c>
      <c r="L2435" s="15">
        <v>1.0</v>
      </c>
      <c r="M2435" s="40">
        <v>30258.0</v>
      </c>
      <c r="N2435" s="41">
        <v>42663.0</v>
      </c>
      <c r="O2435" s="15" t="s">
        <v>1554</v>
      </c>
      <c r="Q2435" s="7"/>
    </row>
    <row r="2436">
      <c r="A2436" s="39" t="s">
        <v>10779</v>
      </c>
      <c r="B2436" s="15">
        <v>11120.0</v>
      </c>
      <c r="C2436" s="15" t="s">
        <v>10780</v>
      </c>
      <c r="D2436" s="15">
        <v>15303.0</v>
      </c>
      <c r="E2436" s="15" t="s">
        <v>1548</v>
      </c>
      <c r="F2436" s="15" t="s">
        <v>1684</v>
      </c>
      <c r="G2436" s="7">
        <v>27.608</v>
      </c>
      <c r="H2436" s="15" t="s">
        <v>2193</v>
      </c>
      <c r="I2436" s="15" t="s">
        <v>1686</v>
      </c>
      <c r="J2436" s="15" t="s">
        <v>10781</v>
      </c>
      <c r="K2436" s="15">
        <v>6.0</v>
      </c>
      <c r="L2436" s="15">
        <v>10.0</v>
      </c>
      <c r="M2436" s="40">
        <v>34132.0</v>
      </c>
      <c r="N2436" s="40">
        <v>42045.0</v>
      </c>
      <c r="O2436" s="15" t="s">
        <v>1554</v>
      </c>
      <c r="Q2436" s="7"/>
    </row>
    <row r="2437">
      <c r="A2437" s="39" t="s">
        <v>10782</v>
      </c>
      <c r="B2437" s="15">
        <v>31634.0</v>
      </c>
      <c r="C2437" s="15" t="s">
        <v>10783</v>
      </c>
      <c r="D2437" s="15">
        <v>20183.0</v>
      </c>
      <c r="E2437" s="15" t="s">
        <v>1548</v>
      </c>
      <c r="F2437" s="15" t="s">
        <v>1801</v>
      </c>
      <c r="G2437" s="7">
        <v>10.723</v>
      </c>
      <c r="H2437" s="15" t="s">
        <v>1745</v>
      </c>
      <c r="I2437" s="15" t="s">
        <v>1803</v>
      </c>
      <c r="J2437" s="15" t="s">
        <v>10784</v>
      </c>
      <c r="K2437" s="15">
        <v>1.0</v>
      </c>
      <c r="L2437" s="15">
        <v>1.0</v>
      </c>
      <c r="M2437" s="40">
        <v>34183.0</v>
      </c>
      <c r="N2437" s="40">
        <v>42262.0</v>
      </c>
      <c r="O2437" s="15" t="s">
        <v>1554</v>
      </c>
      <c r="Q2437" s="7"/>
    </row>
    <row r="2438">
      <c r="A2438" s="39" t="s">
        <v>10786</v>
      </c>
      <c r="B2438" s="15">
        <v>12071.0</v>
      </c>
      <c r="C2438" s="15" t="s">
        <v>10787</v>
      </c>
      <c r="D2438" s="15">
        <v>15321.0</v>
      </c>
      <c r="E2438" s="15" t="s">
        <v>1548</v>
      </c>
      <c r="F2438" s="15" t="s">
        <v>1776</v>
      </c>
      <c r="G2438" s="7">
        <v>7.389</v>
      </c>
      <c r="H2438" s="15" t="s">
        <v>1700</v>
      </c>
      <c r="I2438" s="15" t="s">
        <v>1567</v>
      </c>
      <c r="J2438" s="15" t="s">
        <v>10788</v>
      </c>
      <c r="K2438" s="15">
        <v>2.0</v>
      </c>
      <c r="L2438" s="15">
        <v>1.0</v>
      </c>
      <c r="M2438" s="40">
        <v>32674.0</v>
      </c>
      <c r="N2438" s="40">
        <v>41722.0</v>
      </c>
      <c r="O2438" s="15" t="s">
        <v>1554</v>
      </c>
      <c r="Q2438" s="7"/>
    </row>
    <row r="2439">
      <c r="A2439" s="39" t="s">
        <v>10789</v>
      </c>
      <c r="B2439" s="15">
        <v>11128.0</v>
      </c>
      <c r="C2439" s="15" t="s">
        <v>10790</v>
      </c>
      <c r="D2439" s="15">
        <v>15385.0</v>
      </c>
      <c r="E2439" s="15" t="s">
        <v>1548</v>
      </c>
      <c r="F2439" s="15" t="s">
        <v>1684</v>
      </c>
      <c r="G2439" s="7">
        <v>31.028</v>
      </c>
      <c r="H2439" s="15" t="s">
        <v>2316</v>
      </c>
      <c r="I2439" s="15" t="s">
        <v>1686</v>
      </c>
      <c r="J2439" s="15" t="s">
        <v>10791</v>
      </c>
      <c r="K2439" s="15">
        <v>10.0</v>
      </c>
      <c r="L2439" s="15">
        <v>12.0</v>
      </c>
      <c r="M2439" s="40">
        <v>37105.0</v>
      </c>
      <c r="N2439" s="40">
        <v>42045.0</v>
      </c>
      <c r="O2439" s="15" t="s">
        <v>1554</v>
      </c>
      <c r="Q2439" s="7"/>
    </row>
    <row r="2440">
      <c r="A2440" s="39" t="s">
        <v>10792</v>
      </c>
      <c r="B2440" s="15">
        <v>304222.0</v>
      </c>
      <c r="C2440" s="15" t="s">
        <v>10793</v>
      </c>
      <c r="D2440" s="15">
        <v>15166.0</v>
      </c>
      <c r="E2440" s="15" t="s">
        <v>2014</v>
      </c>
      <c r="F2440" s="15" t="s">
        <v>2018</v>
      </c>
      <c r="G2440" s="7">
        <v>1.348</v>
      </c>
      <c r="H2440" s="15" t="s">
        <v>1714</v>
      </c>
      <c r="I2440" s="15" t="s">
        <v>1628</v>
      </c>
      <c r="J2440" s="15" t="s">
        <v>10794</v>
      </c>
      <c r="K2440" s="15">
        <v>1.0</v>
      </c>
      <c r="L2440" s="15">
        <v>1.0</v>
      </c>
      <c r="M2440" s="40">
        <v>37653.0</v>
      </c>
      <c r="N2440" s="40">
        <v>42457.0</v>
      </c>
      <c r="O2440" s="15" t="s">
        <v>1554</v>
      </c>
      <c r="Q2440" s="7"/>
    </row>
    <row r="2441">
      <c r="A2441" s="39" t="s">
        <v>10796</v>
      </c>
      <c r="B2441" s="15">
        <v>84589.0</v>
      </c>
      <c r="C2441" s="15" t="s">
        <v>10797</v>
      </c>
      <c r="D2441" s="15">
        <v>15187.0</v>
      </c>
      <c r="E2441" s="15" t="s">
        <v>1548</v>
      </c>
      <c r="F2441" s="15" t="s">
        <v>3181</v>
      </c>
      <c r="G2441" s="7">
        <v>11.919</v>
      </c>
      <c r="H2441" s="15" t="s">
        <v>7049</v>
      </c>
      <c r="I2441" s="15" t="s">
        <v>1751</v>
      </c>
      <c r="J2441" s="15" t="s">
        <v>10798</v>
      </c>
      <c r="K2441" s="15">
        <v>12.0</v>
      </c>
      <c r="L2441" s="15">
        <v>3.0</v>
      </c>
      <c r="M2441" s="40">
        <v>37404.0</v>
      </c>
      <c r="N2441" s="40">
        <v>41087.0</v>
      </c>
      <c r="O2441" s="15" t="s">
        <v>1554</v>
      </c>
      <c r="Q2441" s="7"/>
    </row>
    <row r="2442">
      <c r="A2442" s="39" t="s">
        <v>10799</v>
      </c>
      <c r="B2442" s="15">
        <v>11082.0</v>
      </c>
      <c r="C2442" s="15" t="s">
        <v>10800</v>
      </c>
      <c r="D2442" s="15">
        <v>15431.0</v>
      </c>
      <c r="E2442" s="15" t="s">
        <v>1548</v>
      </c>
      <c r="F2442" s="15" t="s">
        <v>1801</v>
      </c>
      <c r="G2442" s="7">
        <v>10.962</v>
      </c>
      <c r="H2442" s="15" t="s">
        <v>2324</v>
      </c>
      <c r="I2442" s="15" t="s">
        <v>1803</v>
      </c>
      <c r="J2442" s="15" t="s">
        <v>10801</v>
      </c>
      <c r="K2442" s="15">
        <v>1.0</v>
      </c>
      <c r="L2442" s="15">
        <v>2.0</v>
      </c>
      <c r="M2442" s="40">
        <v>34016.0</v>
      </c>
      <c r="N2442" s="40">
        <v>42606.0</v>
      </c>
      <c r="O2442" s="15" t="s">
        <v>1554</v>
      </c>
      <c r="Q2442" s="7"/>
    </row>
    <row r="2443">
      <c r="A2443" s="39" t="s">
        <v>10802</v>
      </c>
      <c r="B2443" s="15">
        <v>31646.0</v>
      </c>
      <c r="C2443" s="15" t="s">
        <v>10803</v>
      </c>
      <c r="D2443" s="15">
        <v>15432.0</v>
      </c>
      <c r="E2443" s="15" t="s">
        <v>1548</v>
      </c>
      <c r="F2443" s="15" t="s">
        <v>1801</v>
      </c>
      <c r="G2443" s="7">
        <v>9.646</v>
      </c>
      <c r="H2443" s="15" t="s">
        <v>2965</v>
      </c>
      <c r="I2443" s="15" t="s">
        <v>1567</v>
      </c>
      <c r="J2443" s="15" t="s">
        <v>10804</v>
      </c>
      <c r="K2443" s="15">
        <v>2.0</v>
      </c>
      <c r="L2443" s="15">
        <v>2.0</v>
      </c>
      <c r="M2443" s="40">
        <v>35651.0</v>
      </c>
      <c r="N2443" s="40">
        <v>42538.0</v>
      </c>
      <c r="O2443" s="15" t="s">
        <v>1554</v>
      </c>
      <c r="Q2443" s="7"/>
    </row>
    <row r="2444">
      <c r="A2444" s="39" t="s">
        <v>10806</v>
      </c>
      <c r="B2444" s="15">
        <v>33747.0</v>
      </c>
      <c r="C2444" s="15" t="s">
        <v>10807</v>
      </c>
      <c r="D2444" s="15">
        <v>15439.0</v>
      </c>
      <c r="E2444" s="15" t="s">
        <v>1916</v>
      </c>
      <c r="F2444" s="15" t="s">
        <v>2532</v>
      </c>
      <c r="G2444" s="7">
        <v>9.028</v>
      </c>
      <c r="H2444" s="15" t="s">
        <v>2271</v>
      </c>
      <c r="I2444" s="15" t="s">
        <v>1686</v>
      </c>
      <c r="J2444" s="15" t="s">
        <v>10808</v>
      </c>
      <c r="K2444" s="15">
        <v>4.0</v>
      </c>
      <c r="L2444" s="15">
        <v>4.0</v>
      </c>
      <c r="M2444" s="40">
        <v>36331.0</v>
      </c>
      <c r="N2444" s="40">
        <v>40248.0</v>
      </c>
      <c r="O2444" s="15" t="s">
        <v>1554</v>
      </c>
      <c r="Q2444" s="7"/>
    </row>
    <row r="2445">
      <c r="A2445" s="39" t="s">
        <v>10809</v>
      </c>
      <c r="B2445" s="15">
        <v>85708.0</v>
      </c>
      <c r="C2445" s="15" t="s">
        <v>10810</v>
      </c>
      <c r="D2445" s="15">
        <v>15442.0</v>
      </c>
      <c r="E2445" s="15" t="s">
        <v>1808</v>
      </c>
      <c r="F2445" s="15" t="s">
        <v>1998</v>
      </c>
      <c r="G2445" s="7">
        <v>1.768</v>
      </c>
      <c r="H2445" s="15" t="s">
        <v>4736</v>
      </c>
      <c r="I2445" s="15" t="s">
        <v>1686</v>
      </c>
      <c r="J2445" s="15" t="s">
        <v>10811</v>
      </c>
      <c r="K2445" s="15">
        <v>3.0</v>
      </c>
      <c r="L2445" s="15">
        <v>3.0</v>
      </c>
      <c r="M2445" s="41">
        <v>37920.0</v>
      </c>
      <c r="N2445" s="40">
        <v>41061.0</v>
      </c>
      <c r="O2445" s="15" t="s">
        <v>1554</v>
      </c>
      <c r="Q2445" s="7"/>
    </row>
    <row r="2446">
      <c r="A2446" s="39" t="s">
        <v>10812</v>
      </c>
      <c r="B2446" s="15">
        <v>31704.0</v>
      </c>
      <c r="C2446" s="15" t="s">
        <v>10813</v>
      </c>
      <c r="D2446" s="15">
        <v>15445.0</v>
      </c>
      <c r="E2446" s="15" t="s">
        <v>1548</v>
      </c>
      <c r="F2446" s="15" t="s">
        <v>1776</v>
      </c>
      <c r="G2446" s="7">
        <v>7.413</v>
      </c>
      <c r="H2446" s="15" t="s">
        <v>2945</v>
      </c>
      <c r="I2446" s="15" t="s">
        <v>1567</v>
      </c>
      <c r="J2446" s="15" t="s">
        <v>10815</v>
      </c>
      <c r="K2446" s="15">
        <v>1.0</v>
      </c>
      <c r="L2446" s="15">
        <v>1.0</v>
      </c>
      <c r="M2446" s="40">
        <v>34401.0</v>
      </c>
      <c r="N2446" s="40">
        <v>41722.0</v>
      </c>
      <c r="O2446" s="15" t="s">
        <v>1554</v>
      </c>
      <c r="Q2446" s="7"/>
    </row>
    <row r="2447">
      <c r="A2447" s="39" t="s">
        <v>10816</v>
      </c>
      <c r="B2447" s="15">
        <v>10561.0</v>
      </c>
      <c r="C2447" s="15" t="s">
        <v>10817</v>
      </c>
      <c r="D2447" s="15">
        <v>15452.0</v>
      </c>
      <c r="E2447" s="15" t="s">
        <v>1557</v>
      </c>
      <c r="F2447" s="15" t="s">
        <v>1822</v>
      </c>
      <c r="G2447" s="7">
        <v>7.276</v>
      </c>
      <c r="H2447" s="15" t="s">
        <v>2648</v>
      </c>
      <c r="I2447" s="15" t="s">
        <v>1686</v>
      </c>
      <c r="J2447" s="15" t="s">
        <v>10818</v>
      </c>
      <c r="K2447" s="15">
        <v>8.0</v>
      </c>
      <c r="L2447" s="15">
        <v>8.0</v>
      </c>
      <c r="M2447" s="40">
        <v>37515.0</v>
      </c>
      <c r="N2447" s="40">
        <v>42045.0</v>
      </c>
      <c r="O2447" s="15" t="s">
        <v>1554</v>
      </c>
      <c r="Q2447" s="7"/>
    </row>
    <row r="2448">
      <c r="A2448" s="39" t="s">
        <v>10819</v>
      </c>
      <c r="B2448" s="15">
        <v>10616.0</v>
      </c>
      <c r="C2448" s="15" t="s">
        <v>10820</v>
      </c>
      <c r="D2448" s="15">
        <v>15455.0</v>
      </c>
      <c r="E2448" s="15" t="s">
        <v>1557</v>
      </c>
      <c r="F2448" s="15" t="s">
        <v>1822</v>
      </c>
      <c r="G2448" s="7">
        <v>7.56</v>
      </c>
      <c r="H2448" s="15" t="s">
        <v>2440</v>
      </c>
      <c r="I2448" s="15" t="s">
        <v>1567</v>
      </c>
      <c r="J2448" s="15" t="s">
        <v>10821</v>
      </c>
      <c r="K2448" s="15">
        <v>6.0</v>
      </c>
      <c r="L2448" s="15">
        <v>6.0</v>
      </c>
      <c r="M2448" s="40">
        <v>34203.0</v>
      </c>
      <c r="N2448" s="40">
        <v>40550.0</v>
      </c>
      <c r="O2448" s="15" t="s">
        <v>1554</v>
      </c>
      <c r="Q2448" s="7"/>
    </row>
    <row r="2449">
      <c r="A2449" s="39" t="s">
        <v>10822</v>
      </c>
      <c r="B2449" s="15">
        <v>10621.0</v>
      </c>
      <c r="C2449" s="15" t="s">
        <v>10823</v>
      </c>
      <c r="D2449" s="15">
        <v>15456.0</v>
      </c>
      <c r="E2449" s="15" t="s">
        <v>1557</v>
      </c>
      <c r="F2449" s="15" t="s">
        <v>1822</v>
      </c>
      <c r="G2449" s="7">
        <v>7.434</v>
      </c>
      <c r="H2449" s="15">
        <v>41.0</v>
      </c>
      <c r="I2449" s="15" t="s">
        <v>1567</v>
      </c>
      <c r="J2449" s="15" t="s">
        <v>10825</v>
      </c>
      <c r="K2449" s="15">
        <v>6.0</v>
      </c>
      <c r="L2449" s="15">
        <v>7.0</v>
      </c>
      <c r="M2449" s="40">
        <v>34203.0</v>
      </c>
      <c r="N2449" s="40">
        <v>40579.0</v>
      </c>
      <c r="O2449" s="15" t="s">
        <v>1554</v>
      </c>
      <c r="Q2449" s="7"/>
    </row>
    <row r="2450">
      <c r="A2450" s="39" t="s">
        <v>10826</v>
      </c>
      <c r="B2450" s="15">
        <v>11676.0</v>
      </c>
      <c r="C2450" s="15" t="s">
        <v>10827</v>
      </c>
      <c r="D2450" s="15">
        <v>15476.0</v>
      </c>
      <c r="E2450" s="15" t="s">
        <v>1916</v>
      </c>
      <c r="F2450" s="15" t="s">
        <v>2532</v>
      </c>
      <c r="G2450" s="7">
        <v>9.181</v>
      </c>
      <c r="H2450" s="15" t="s">
        <v>2950</v>
      </c>
      <c r="I2450" s="15" t="s">
        <v>1567</v>
      </c>
      <c r="J2450" s="15" t="s">
        <v>10828</v>
      </c>
      <c r="K2450" s="15">
        <v>10.0</v>
      </c>
      <c r="L2450" s="15">
        <v>10.0</v>
      </c>
      <c r="M2450" s="40">
        <v>35817.0</v>
      </c>
      <c r="N2450" s="40">
        <v>42577.0</v>
      </c>
      <c r="O2450" s="15" t="s">
        <v>1554</v>
      </c>
      <c r="Q2450" s="7"/>
    </row>
    <row r="2451">
      <c r="A2451" s="39" t="s">
        <v>10829</v>
      </c>
      <c r="B2451" s="15">
        <v>227984.0</v>
      </c>
      <c r="C2451" s="15" t="s">
        <v>10830</v>
      </c>
      <c r="D2451" s="15">
        <v>15500.0</v>
      </c>
      <c r="E2451" s="15" t="s">
        <v>1548</v>
      </c>
      <c r="F2451" s="15" t="s">
        <v>1684</v>
      </c>
      <c r="G2451" s="7">
        <v>29.751</v>
      </c>
      <c r="H2451" s="15" t="s">
        <v>3070</v>
      </c>
      <c r="I2451" s="15" t="s">
        <v>1567</v>
      </c>
      <c r="J2451" s="15" t="s">
        <v>10831</v>
      </c>
      <c r="K2451" s="15">
        <v>13.0</v>
      </c>
      <c r="L2451" s="15">
        <v>14.0</v>
      </c>
      <c r="M2451" s="40">
        <v>37725.0</v>
      </c>
      <c r="N2451" s="40">
        <v>42457.0</v>
      </c>
      <c r="O2451" s="15" t="s">
        <v>1554</v>
      </c>
      <c r="Q2451" s="7"/>
    </row>
    <row r="2452">
      <c r="A2452" s="39" t="s">
        <v>10833</v>
      </c>
      <c r="B2452" s="15">
        <v>333923.0</v>
      </c>
      <c r="C2452" s="15" t="s">
        <v>10834</v>
      </c>
      <c r="D2452" s="15">
        <v>15511.0</v>
      </c>
      <c r="E2452" s="15" t="s">
        <v>1557</v>
      </c>
      <c r="F2452" s="15" t="s">
        <v>1822</v>
      </c>
      <c r="G2452" s="7">
        <v>7.746</v>
      </c>
      <c r="H2452" s="15" t="s">
        <v>1859</v>
      </c>
      <c r="I2452" s="15" t="s">
        <v>1567</v>
      </c>
      <c r="J2452" s="15" t="s">
        <v>10835</v>
      </c>
      <c r="K2452" s="15">
        <v>8.0</v>
      </c>
      <c r="L2452" s="15">
        <v>8.0</v>
      </c>
      <c r="M2452" s="40">
        <v>34183.0</v>
      </c>
      <c r="N2452" s="40">
        <v>42577.0</v>
      </c>
      <c r="O2452" s="15" t="s">
        <v>1554</v>
      </c>
      <c r="Q2452" s="7"/>
    </row>
    <row r="2453">
      <c r="A2453" s="39" t="s">
        <v>10836</v>
      </c>
      <c r="B2453" s="15">
        <v>339965.0</v>
      </c>
      <c r="C2453" s="15" t="s">
        <v>10837</v>
      </c>
      <c r="D2453" s="15">
        <v>16301.0</v>
      </c>
      <c r="E2453" s="15" t="s">
        <v>2014</v>
      </c>
      <c r="F2453" s="15" t="s">
        <v>2018</v>
      </c>
      <c r="G2453" s="7">
        <v>1.354</v>
      </c>
      <c r="H2453" s="15" t="s">
        <v>3255</v>
      </c>
      <c r="I2453" s="15" t="s">
        <v>1628</v>
      </c>
      <c r="J2453" s="15" t="s">
        <v>10838</v>
      </c>
      <c r="K2453" s="15">
        <v>1.0</v>
      </c>
      <c r="L2453" s="15">
        <v>1.0</v>
      </c>
      <c r="M2453" s="40">
        <v>38724.0</v>
      </c>
      <c r="N2453" s="40">
        <v>40578.0</v>
      </c>
      <c r="O2453" s="15" t="s">
        <v>1554</v>
      </c>
      <c r="Q2453" s="7"/>
    </row>
    <row r="2454">
      <c r="A2454" s="39" t="s">
        <v>10839</v>
      </c>
      <c r="B2454" s="15">
        <v>1006061.0</v>
      </c>
      <c r="C2454" s="15" t="s">
        <v>10840</v>
      </c>
      <c r="D2454" s="15">
        <v>17347.0</v>
      </c>
      <c r="E2454" s="15" t="s">
        <v>1548</v>
      </c>
      <c r="F2454" s="15" t="s">
        <v>1776</v>
      </c>
      <c r="G2454" s="7">
        <v>7.711</v>
      </c>
      <c r="H2454" s="15" t="s">
        <v>1943</v>
      </c>
      <c r="I2454" s="15" t="s">
        <v>1686</v>
      </c>
      <c r="J2454" s="15" t="s">
        <v>10841</v>
      </c>
      <c r="K2454" s="15">
        <v>1.0</v>
      </c>
      <c r="L2454" s="15">
        <v>1.0</v>
      </c>
      <c r="M2454" s="40">
        <v>38919.0</v>
      </c>
      <c r="N2454" s="40">
        <v>41436.0</v>
      </c>
      <c r="O2454" s="15" t="s">
        <v>1554</v>
      </c>
      <c r="Q2454" s="7"/>
    </row>
    <row r="2455">
      <c r="A2455" s="39" t="s">
        <v>10843</v>
      </c>
      <c r="B2455" s="15">
        <v>360397.0</v>
      </c>
      <c r="C2455" s="15" t="s">
        <v>10844</v>
      </c>
      <c r="D2455" s="15">
        <v>17543.0</v>
      </c>
      <c r="E2455" s="15" t="s">
        <v>1557</v>
      </c>
      <c r="F2455" s="15" t="s">
        <v>1822</v>
      </c>
      <c r="G2455" s="7">
        <v>7.801</v>
      </c>
      <c r="H2455" s="15" t="s">
        <v>4776</v>
      </c>
      <c r="I2455" s="15" t="s">
        <v>1686</v>
      </c>
      <c r="J2455" s="15" t="s">
        <v>10845</v>
      </c>
      <c r="K2455" s="15">
        <v>6.0</v>
      </c>
      <c r="L2455" s="15">
        <v>6.0</v>
      </c>
      <c r="M2455" s="40">
        <v>38930.0</v>
      </c>
      <c r="N2455" s="40">
        <v>41500.0</v>
      </c>
      <c r="O2455" s="15" t="s">
        <v>1554</v>
      </c>
      <c r="Q2455" s="7"/>
    </row>
    <row r="2456">
      <c r="A2456" s="39" t="s">
        <v>10846</v>
      </c>
      <c r="B2456" s="15">
        <v>431891.0</v>
      </c>
      <c r="C2456" s="15" t="s">
        <v>10847</v>
      </c>
      <c r="D2456" s="15">
        <v>17749.0</v>
      </c>
      <c r="E2456" s="15" t="s">
        <v>1557</v>
      </c>
      <c r="F2456" s="15" t="s">
        <v>1833</v>
      </c>
      <c r="G2456" s="7">
        <v>48.674</v>
      </c>
      <c r="H2456" s="15" t="s">
        <v>10848</v>
      </c>
      <c r="I2456" s="15" t="s">
        <v>1586</v>
      </c>
      <c r="J2456" s="15" t="s">
        <v>10849</v>
      </c>
      <c r="K2456" s="15">
        <v>71.0</v>
      </c>
      <c r="L2456" s="15">
        <v>71.0</v>
      </c>
      <c r="M2456" s="40">
        <v>39168.0</v>
      </c>
      <c r="N2456" s="40">
        <v>41104.0</v>
      </c>
      <c r="O2456" s="15" t="s">
        <v>1554</v>
      </c>
      <c r="Q2456" s="7"/>
    </row>
    <row r="2457">
      <c r="A2457" s="39" t="s">
        <v>10850</v>
      </c>
      <c r="B2457" s="15">
        <v>431892.0</v>
      </c>
      <c r="C2457" s="15" t="s">
        <v>10851</v>
      </c>
      <c r="D2457" s="15">
        <v>17751.0</v>
      </c>
      <c r="E2457" s="15" t="s">
        <v>1557</v>
      </c>
      <c r="F2457" s="15" t="s">
        <v>1767</v>
      </c>
      <c r="G2457" s="7">
        <v>36.69</v>
      </c>
      <c r="H2457" s="15" t="s">
        <v>3251</v>
      </c>
      <c r="I2457" s="15" t="s">
        <v>1586</v>
      </c>
      <c r="J2457" s="15" t="s">
        <v>10853</v>
      </c>
      <c r="K2457" s="15">
        <v>50.0</v>
      </c>
      <c r="L2457" s="15">
        <v>50.0</v>
      </c>
      <c r="M2457" s="40">
        <v>39168.0</v>
      </c>
      <c r="N2457" s="40">
        <v>41104.0</v>
      </c>
      <c r="O2457" s="15" t="s">
        <v>1554</v>
      </c>
      <c r="Q2457" s="7"/>
    </row>
    <row r="2458">
      <c r="A2458" s="39" t="s">
        <v>10854</v>
      </c>
      <c r="B2458" s="15">
        <v>431893.0</v>
      </c>
      <c r="C2458" s="15" t="s">
        <v>10855</v>
      </c>
      <c r="D2458" s="15">
        <v>17755.0</v>
      </c>
      <c r="E2458" s="15" t="s">
        <v>1557</v>
      </c>
      <c r="F2458" s="15" t="s">
        <v>1767</v>
      </c>
      <c r="G2458" s="7">
        <v>35.741</v>
      </c>
      <c r="H2458" s="15" t="s">
        <v>4100</v>
      </c>
      <c r="I2458" s="15" t="s">
        <v>1586</v>
      </c>
      <c r="J2458" s="15" t="s">
        <v>10856</v>
      </c>
      <c r="K2458" s="15">
        <v>48.0</v>
      </c>
      <c r="L2458" s="15">
        <v>48.0</v>
      </c>
      <c r="M2458" s="40">
        <v>39168.0</v>
      </c>
      <c r="N2458" s="40">
        <v>41104.0</v>
      </c>
      <c r="O2458" s="15" t="s">
        <v>1554</v>
      </c>
      <c r="Q2458" s="7"/>
    </row>
    <row r="2459">
      <c r="A2459" s="39" t="s">
        <v>10857</v>
      </c>
      <c r="B2459" s="15">
        <v>431894.0</v>
      </c>
      <c r="C2459" s="15" t="s">
        <v>10858</v>
      </c>
      <c r="D2459" s="15">
        <v>17777.0</v>
      </c>
      <c r="E2459" s="15" t="s">
        <v>1557</v>
      </c>
      <c r="F2459" s="15" t="s">
        <v>1767</v>
      </c>
      <c r="G2459" s="7">
        <v>37.446</v>
      </c>
      <c r="H2459" s="15" t="s">
        <v>4096</v>
      </c>
      <c r="I2459" s="15" t="s">
        <v>1586</v>
      </c>
      <c r="J2459" s="15" t="s">
        <v>10860</v>
      </c>
      <c r="K2459" s="15">
        <v>55.0</v>
      </c>
      <c r="L2459" s="15">
        <v>55.0</v>
      </c>
      <c r="M2459" s="40">
        <v>39168.0</v>
      </c>
      <c r="N2459" s="40">
        <v>41104.0</v>
      </c>
      <c r="O2459" s="15" t="s">
        <v>1554</v>
      </c>
      <c r="Q2459" s="7"/>
    </row>
    <row r="2460">
      <c r="A2460" s="39" t="s">
        <v>10861</v>
      </c>
      <c r="B2460" s="15">
        <v>10568.0</v>
      </c>
      <c r="C2460" s="15" t="s">
        <v>10862</v>
      </c>
      <c r="D2460" s="15">
        <v>18259.0</v>
      </c>
      <c r="E2460" s="15" t="s">
        <v>1557</v>
      </c>
      <c r="F2460" s="15" t="s">
        <v>1822</v>
      </c>
      <c r="G2460" s="7">
        <v>7.393</v>
      </c>
      <c r="H2460" s="15" t="s">
        <v>1943</v>
      </c>
      <c r="I2460" s="15" t="s">
        <v>1686</v>
      </c>
      <c r="J2460" s="15" t="s">
        <v>10863</v>
      </c>
      <c r="K2460" s="15">
        <v>7.0</v>
      </c>
      <c r="L2460" s="15">
        <v>7.0</v>
      </c>
      <c r="M2460" s="40">
        <v>39022.0</v>
      </c>
      <c r="N2460" s="40">
        <v>42577.0</v>
      </c>
      <c r="O2460" s="15" t="s">
        <v>1554</v>
      </c>
      <c r="Q2460" s="7"/>
    </row>
    <row r="2461">
      <c r="A2461" s="39" t="s">
        <v>10864</v>
      </c>
      <c r="B2461" s="15">
        <v>463676.0</v>
      </c>
      <c r="C2461" s="15" t="s">
        <v>10865</v>
      </c>
      <c r="D2461" s="15">
        <v>27901.0</v>
      </c>
      <c r="E2461" s="15" t="s">
        <v>1548</v>
      </c>
      <c r="F2461" s="15" t="s">
        <v>1776</v>
      </c>
      <c r="G2461" s="7">
        <v>7.099</v>
      </c>
      <c r="H2461" s="15" t="s">
        <v>3255</v>
      </c>
      <c r="I2461" s="15" t="s">
        <v>1686</v>
      </c>
      <c r="J2461" s="15" t="s">
        <v>10866</v>
      </c>
      <c r="K2461" s="15">
        <v>1.0</v>
      </c>
      <c r="L2461" s="15">
        <v>1.0</v>
      </c>
      <c r="M2461" s="41">
        <v>39397.0</v>
      </c>
      <c r="N2461" s="40">
        <v>41722.0</v>
      </c>
      <c r="O2461" s="15" t="s">
        <v>1554</v>
      </c>
      <c r="Q2461" s="7"/>
    </row>
    <row r="2462">
      <c r="A2462" s="39" t="s">
        <v>10867</v>
      </c>
      <c r="B2462" s="15">
        <v>491003.0</v>
      </c>
      <c r="C2462" s="15" t="s">
        <v>10869</v>
      </c>
      <c r="D2462" s="15">
        <v>28123.0</v>
      </c>
      <c r="E2462" s="15" t="s">
        <v>1557</v>
      </c>
      <c r="F2462" s="15" t="s">
        <v>1833</v>
      </c>
      <c r="G2462" s="7">
        <v>111.382</v>
      </c>
      <c r="H2462" s="15" t="s">
        <v>2320</v>
      </c>
      <c r="I2462" s="15" t="s">
        <v>1586</v>
      </c>
      <c r="J2462" s="15" t="s">
        <v>10870</v>
      </c>
      <c r="K2462" s="15">
        <v>171.0</v>
      </c>
      <c r="L2462" s="15">
        <v>170.0</v>
      </c>
      <c r="M2462" s="40">
        <v>39549.0</v>
      </c>
      <c r="N2462" s="40">
        <v>40282.0</v>
      </c>
      <c r="O2462" s="15" t="s">
        <v>1554</v>
      </c>
      <c r="Q2462" s="7"/>
    </row>
    <row r="2463">
      <c r="A2463" s="39" t="s">
        <v>10871</v>
      </c>
      <c r="B2463" s="15">
        <v>435646.0</v>
      </c>
      <c r="C2463" s="15" t="s">
        <v>10872</v>
      </c>
      <c r="D2463" s="15">
        <v>28279.0</v>
      </c>
      <c r="E2463" s="15" t="s">
        <v>1808</v>
      </c>
      <c r="F2463" s="15" t="s">
        <v>1809</v>
      </c>
      <c r="G2463" s="7">
        <v>2.756</v>
      </c>
      <c r="H2463" s="15" t="s">
        <v>2023</v>
      </c>
      <c r="I2463" s="15" t="s">
        <v>1628</v>
      </c>
      <c r="J2463" s="15" t="s">
        <v>10873</v>
      </c>
      <c r="K2463" s="15">
        <v>7.0</v>
      </c>
      <c r="L2463" s="15">
        <v>7.0</v>
      </c>
      <c r="M2463" s="40">
        <v>39448.0</v>
      </c>
      <c r="N2463" s="40">
        <v>40424.0</v>
      </c>
      <c r="O2463" s="15" t="s">
        <v>1554</v>
      </c>
      <c r="Q2463" s="7"/>
    </row>
    <row r="2464">
      <c r="A2464" s="39" t="s">
        <v>10874</v>
      </c>
      <c r="B2464" s="15">
        <v>444860.0</v>
      </c>
      <c r="C2464" s="15" t="s">
        <v>10875</v>
      </c>
      <c r="D2464" s="15">
        <v>29093.0</v>
      </c>
      <c r="E2464" s="15" t="s">
        <v>1557</v>
      </c>
      <c r="F2464" s="15" t="s">
        <v>1767</v>
      </c>
      <c r="G2464" s="7">
        <v>190.789</v>
      </c>
      <c r="H2464" s="15" t="s">
        <v>2524</v>
      </c>
      <c r="I2464" s="15" t="s">
        <v>1586</v>
      </c>
      <c r="J2464" s="15" t="s">
        <v>10876</v>
      </c>
      <c r="K2464" s="15">
        <v>278.0</v>
      </c>
      <c r="L2464" s="15">
        <v>267.0</v>
      </c>
      <c r="M2464" s="41">
        <v>40481.0</v>
      </c>
      <c r="N2464" s="40">
        <v>41107.0</v>
      </c>
      <c r="O2464" s="15" t="s">
        <v>1554</v>
      </c>
      <c r="Q2464" s="7"/>
    </row>
    <row r="2465">
      <c r="A2465" s="39" t="s">
        <v>10878</v>
      </c>
      <c r="B2465" s="15">
        <v>445685.0</v>
      </c>
      <c r="C2465" s="15" t="s">
        <v>10879</v>
      </c>
      <c r="D2465" s="15">
        <v>29095.0</v>
      </c>
      <c r="E2465" s="15" t="s">
        <v>1557</v>
      </c>
      <c r="F2465" s="15" t="s">
        <v>1767</v>
      </c>
      <c r="G2465" s="7">
        <v>176.184</v>
      </c>
      <c r="H2465" s="15">
        <v>40.0</v>
      </c>
      <c r="I2465" s="15" t="s">
        <v>1586</v>
      </c>
      <c r="J2465" s="15" t="s">
        <v>10880</v>
      </c>
      <c r="K2465" s="15">
        <v>229.0</v>
      </c>
      <c r="L2465" s="15">
        <v>225.0</v>
      </c>
      <c r="M2465" s="41">
        <v>40481.0</v>
      </c>
      <c r="N2465" s="40">
        <v>41107.0</v>
      </c>
      <c r="O2465" s="15" t="s">
        <v>1554</v>
      </c>
      <c r="Q2465" s="7"/>
    </row>
    <row r="2466">
      <c r="A2466" s="39" t="s">
        <v>10881</v>
      </c>
      <c r="B2466" s="15">
        <v>445683.0</v>
      </c>
      <c r="C2466" s="15" t="s">
        <v>10882</v>
      </c>
      <c r="D2466" s="15">
        <v>29097.0</v>
      </c>
      <c r="E2466" s="15" t="s">
        <v>1557</v>
      </c>
      <c r="F2466" s="15" t="s">
        <v>1767</v>
      </c>
      <c r="G2466" s="7">
        <v>179.563</v>
      </c>
      <c r="H2466" s="15" t="s">
        <v>2440</v>
      </c>
      <c r="I2466" s="15" t="s">
        <v>1586</v>
      </c>
      <c r="J2466" s="15" t="s">
        <v>10884</v>
      </c>
      <c r="K2466" s="15">
        <v>231.0</v>
      </c>
      <c r="L2466" s="15">
        <v>230.0</v>
      </c>
      <c r="M2466" s="41">
        <v>40481.0</v>
      </c>
      <c r="N2466" s="40">
        <v>41107.0</v>
      </c>
      <c r="O2466" s="15" t="s">
        <v>1554</v>
      </c>
      <c r="Q2466" s="7"/>
    </row>
    <row r="2467">
      <c r="A2467" s="39" t="s">
        <v>10885</v>
      </c>
      <c r="B2467" s="15">
        <v>445686.0</v>
      </c>
      <c r="C2467" s="15" t="s">
        <v>10886</v>
      </c>
      <c r="D2467" s="15">
        <v>29099.0</v>
      </c>
      <c r="E2467" s="15" t="s">
        <v>1557</v>
      </c>
      <c r="F2467" s="15" t="s">
        <v>1767</v>
      </c>
      <c r="G2467" s="7">
        <v>232.878</v>
      </c>
      <c r="H2467" s="15" t="s">
        <v>3895</v>
      </c>
      <c r="I2467" s="15" t="s">
        <v>1586</v>
      </c>
      <c r="J2467" s="15" t="s">
        <v>10887</v>
      </c>
      <c r="K2467" s="15">
        <v>324.0</v>
      </c>
      <c r="L2467" s="15">
        <v>319.0</v>
      </c>
      <c r="M2467" s="41">
        <v>40481.0</v>
      </c>
      <c r="N2467" s="40">
        <v>41107.0</v>
      </c>
      <c r="O2467" s="15" t="s">
        <v>1554</v>
      </c>
      <c r="Q2467" s="7"/>
    </row>
    <row r="2468">
      <c r="A2468" s="39" t="s">
        <v>10888</v>
      </c>
      <c r="B2468" s="15">
        <v>444862.0</v>
      </c>
      <c r="C2468" s="15" t="s">
        <v>10889</v>
      </c>
      <c r="D2468" s="15">
        <v>29101.0</v>
      </c>
      <c r="E2468" s="15" t="s">
        <v>1557</v>
      </c>
      <c r="F2468" s="15" t="s">
        <v>1767</v>
      </c>
      <c r="G2468" s="7">
        <v>176.428</v>
      </c>
      <c r="H2468" s="15" t="s">
        <v>1714</v>
      </c>
      <c r="I2468" s="15" t="s">
        <v>1586</v>
      </c>
      <c r="J2468" s="15" t="s">
        <v>10890</v>
      </c>
      <c r="K2468" s="15">
        <v>242.0</v>
      </c>
      <c r="L2468" s="15">
        <v>239.0</v>
      </c>
      <c r="M2468" s="41">
        <v>40481.0</v>
      </c>
      <c r="N2468" s="40">
        <v>41107.0</v>
      </c>
      <c r="O2468" s="15" t="s">
        <v>1554</v>
      </c>
      <c r="Q2468" s="7"/>
    </row>
    <row r="2469">
      <c r="A2469" s="39" t="s">
        <v>10892</v>
      </c>
      <c r="B2469" s="15">
        <v>445700.0</v>
      </c>
      <c r="C2469" s="15" t="s">
        <v>10893</v>
      </c>
      <c r="D2469" s="15">
        <v>29103.0</v>
      </c>
      <c r="E2469" s="15" t="s">
        <v>1557</v>
      </c>
      <c r="F2469" s="15" t="s">
        <v>1767</v>
      </c>
      <c r="G2469" s="7">
        <v>181.044</v>
      </c>
      <c r="H2469" s="15" t="s">
        <v>2233</v>
      </c>
      <c r="I2469" s="15" t="s">
        <v>1586</v>
      </c>
      <c r="J2469" s="15" t="s">
        <v>10894</v>
      </c>
      <c r="K2469" s="15">
        <v>241.0</v>
      </c>
      <c r="L2469" s="15">
        <v>241.0</v>
      </c>
      <c r="M2469" s="41">
        <v>40481.0</v>
      </c>
      <c r="N2469" s="40">
        <v>41107.0</v>
      </c>
      <c r="O2469" s="15" t="s">
        <v>1554</v>
      </c>
      <c r="Q2469" s="7"/>
    </row>
    <row r="2470">
      <c r="A2470" s="39" t="s">
        <v>10895</v>
      </c>
      <c r="B2470" s="15">
        <v>445696.0</v>
      </c>
      <c r="C2470" s="15" t="s">
        <v>10896</v>
      </c>
      <c r="D2470" s="15">
        <v>29105.0</v>
      </c>
      <c r="E2470" s="15" t="s">
        <v>1557</v>
      </c>
      <c r="F2470" s="15" t="s">
        <v>1767</v>
      </c>
      <c r="G2470" s="7">
        <v>183.806</v>
      </c>
      <c r="H2470" s="15" t="s">
        <v>2668</v>
      </c>
      <c r="I2470" s="15" t="s">
        <v>1586</v>
      </c>
      <c r="J2470" s="15" t="s">
        <v>10897</v>
      </c>
      <c r="K2470" s="15">
        <v>242.0</v>
      </c>
      <c r="L2470" s="15">
        <v>242.0</v>
      </c>
      <c r="M2470" s="41">
        <v>40481.0</v>
      </c>
      <c r="N2470" s="40">
        <v>41107.0</v>
      </c>
      <c r="O2470" s="15" t="s">
        <v>1554</v>
      </c>
      <c r="Q2470" s="7"/>
    </row>
    <row r="2471">
      <c r="A2471" s="39" t="s">
        <v>10898</v>
      </c>
      <c r="B2471" s="15">
        <v>445688.0</v>
      </c>
      <c r="C2471" s="15" t="s">
        <v>10899</v>
      </c>
      <c r="D2471" s="15">
        <v>29113.0</v>
      </c>
      <c r="E2471" s="15" t="s">
        <v>1557</v>
      </c>
      <c r="F2471" s="15" t="s">
        <v>1767</v>
      </c>
      <c r="G2471" s="7">
        <v>182.18</v>
      </c>
      <c r="H2471" s="15" t="s">
        <v>2316</v>
      </c>
      <c r="I2471" s="15" t="s">
        <v>1586</v>
      </c>
      <c r="J2471" s="15" t="s">
        <v>10901</v>
      </c>
      <c r="K2471" s="15">
        <v>241.0</v>
      </c>
      <c r="L2471" s="15">
        <v>237.0</v>
      </c>
      <c r="M2471" s="41">
        <v>40481.0</v>
      </c>
      <c r="N2471" s="40">
        <v>41107.0</v>
      </c>
      <c r="O2471" s="15" t="s">
        <v>1554</v>
      </c>
      <c r="Q2471" s="7"/>
    </row>
    <row r="2472">
      <c r="A2472" s="39" t="s">
        <v>10902</v>
      </c>
      <c r="B2472" s="15">
        <v>444861.0</v>
      </c>
      <c r="C2472" s="15" t="s">
        <v>10903</v>
      </c>
      <c r="D2472" s="15">
        <v>29117.0</v>
      </c>
      <c r="E2472" s="15" t="s">
        <v>1557</v>
      </c>
      <c r="F2472" s="15" t="s">
        <v>1578</v>
      </c>
      <c r="G2472" s="7">
        <v>191.195</v>
      </c>
      <c r="H2472" s="15" t="s">
        <v>2141</v>
      </c>
      <c r="I2472" s="15" t="s">
        <v>1586</v>
      </c>
      <c r="J2472" s="15" t="s">
        <v>10904</v>
      </c>
      <c r="K2472" s="15">
        <v>240.0</v>
      </c>
      <c r="L2472" s="15">
        <v>234.0</v>
      </c>
      <c r="M2472" s="41">
        <v>40481.0</v>
      </c>
      <c r="N2472" s="40">
        <v>41107.0</v>
      </c>
      <c r="O2472" s="15" t="s">
        <v>1554</v>
      </c>
      <c r="Q2472" s="7"/>
    </row>
    <row r="2473">
      <c r="A2473" s="39" t="s">
        <v>10905</v>
      </c>
      <c r="B2473" s="15">
        <v>445684.0</v>
      </c>
      <c r="C2473" s="15" t="s">
        <v>10906</v>
      </c>
      <c r="D2473" s="15">
        <v>29119.0</v>
      </c>
      <c r="E2473" s="15" t="s">
        <v>1557</v>
      </c>
      <c r="F2473" s="15" t="s">
        <v>1767</v>
      </c>
      <c r="G2473" s="7">
        <v>175.23</v>
      </c>
      <c r="H2473" s="15" t="s">
        <v>1710</v>
      </c>
      <c r="I2473" s="15" t="s">
        <v>1586</v>
      </c>
      <c r="J2473" s="15" t="s">
        <v>10908</v>
      </c>
      <c r="K2473" s="15">
        <v>221.0</v>
      </c>
      <c r="L2473" s="15">
        <v>215.0</v>
      </c>
      <c r="M2473" s="41">
        <v>40481.0</v>
      </c>
      <c r="N2473" s="40">
        <v>41107.0</v>
      </c>
      <c r="O2473" s="15" t="s">
        <v>1554</v>
      </c>
      <c r="Q2473" s="7"/>
    </row>
    <row r="2474">
      <c r="A2474" s="39" t="s">
        <v>10909</v>
      </c>
      <c r="B2474" s="15">
        <v>444878.0</v>
      </c>
      <c r="C2474" s="15" t="s">
        <v>10910</v>
      </c>
      <c r="D2474" s="15">
        <v>29123.0</v>
      </c>
      <c r="E2474" s="15" t="s">
        <v>1557</v>
      </c>
      <c r="F2474" s="15" t="s">
        <v>1578</v>
      </c>
      <c r="G2474" s="7">
        <v>174.285</v>
      </c>
      <c r="H2474" s="15" t="s">
        <v>1602</v>
      </c>
      <c r="I2474" s="15" t="s">
        <v>1586</v>
      </c>
      <c r="J2474" s="15" t="s">
        <v>10911</v>
      </c>
      <c r="K2474" s="15">
        <v>232.0</v>
      </c>
      <c r="L2474" s="15">
        <v>227.0</v>
      </c>
      <c r="M2474" s="41">
        <v>40481.0</v>
      </c>
      <c r="N2474" s="40">
        <v>41107.0</v>
      </c>
      <c r="O2474" s="15" t="s">
        <v>1554</v>
      </c>
      <c r="Q2474" s="7"/>
    </row>
    <row r="2475">
      <c r="A2475" s="39" t="s">
        <v>10912</v>
      </c>
      <c r="B2475" s="15">
        <v>444859.0</v>
      </c>
      <c r="C2475" s="15" t="s">
        <v>10913</v>
      </c>
      <c r="D2475" s="15">
        <v>29125.0</v>
      </c>
      <c r="E2475" s="15" t="s">
        <v>1557</v>
      </c>
      <c r="F2475" s="15" t="s">
        <v>1767</v>
      </c>
      <c r="G2475" s="7">
        <v>174.079</v>
      </c>
      <c r="H2475" s="15" t="s">
        <v>2440</v>
      </c>
      <c r="I2475" s="15" t="s">
        <v>1586</v>
      </c>
      <c r="J2475" s="15" t="s">
        <v>10914</v>
      </c>
      <c r="K2475" s="15">
        <v>240.0</v>
      </c>
      <c r="L2475" s="15">
        <v>234.0</v>
      </c>
      <c r="M2475" s="41">
        <v>40481.0</v>
      </c>
      <c r="N2475" s="40">
        <v>41107.0</v>
      </c>
      <c r="O2475" s="15" t="s">
        <v>1554</v>
      </c>
      <c r="Q2475" s="7"/>
    </row>
    <row r="2476">
      <c r="A2476" s="39" t="s">
        <v>10915</v>
      </c>
      <c r="B2476" s="15">
        <v>532076.0</v>
      </c>
      <c r="C2476" s="15" t="s">
        <v>10916</v>
      </c>
      <c r="D2476" s="15">
        <v>29819.0</v>
      </c>
      <c r="E2476" s="15" t="s">
        <v>1557</v>
      </c>
      <c r="F2476" s="15" t="s">
        <v>1611</v>
      </c>
      <c r="G2476" s="7">
        <v>38.841</v>
      </c>
      <c r="H2476" s="15" t="s">
        <v>2279</v>
      </c>
      <c r="I2476" s="15" t="s">
        <v>1586</v>
      </c>
      <c r="J2476" s="15" t="s">
        <v>10918</v>
      </c>
      <c r="K2476" s="15">
        <v>55.0</v>
      </c>
      <c r="L2476" s="15">
        <v>55.0</v>
      </c>
      <c r="M2476" s="40">
        <v>39631.0</v>
      </c>
      <c r="N2476" s="40">
        <v>41108.0</v>
      </c>
      <c r="O2476" s="15" t="s">
        <v>1554</v>
      </c>
      <c r="Q2476" s="7"/>
    </row>
    <row r="2477">
      <c r="A2477" s="39" t="s">
        <v>10919</v>
      </c>
      <c r="B2477" s="15">
        <v>532074.0</v>
      </c>
      <c r="C2477" s="15" t="s">
        <v>10920</v>
      </c>
      <c r="D2477" s="15">
        <v>29821.0</v>
      </c>
      <c r="E2477" s="15" t="s">
        <v>1557</v>
      </c>
      <c r="F2477" s="15" t="s">
        <v>1611</v>
      </c>
      <c r="G2477" s="7">
        <v>39.816</v>
      </c>
      <c r="H2477" s="15" t="s">
        <v>3297</v>
      </c>
      <c r="I2477" s="15" t="s">
        <v>1586</v>
      </c>
      <c r="J2477" s="15" t="s">
        <v>10921</v>
      </c>
      <c r="K2477" s="15">
        <v>52.0</v>
      </c>
      <c r="L2477" s="15">
        <v>52.0</v>
      </c>
      <c r="M2477" s="40">
        <v>39631.0</v>
      </c>
      <c r="N2477" s="40">
        <v>39920.0</v>
      </c>
      <c r="O2477" s="15" t="s">
        <v>1554</v>
      </c>
      <c r="Q2477" s="7"/>
    </row>
    <row r="2478">
      <c r="A2478" s="39" t="s">
        <v>10922</v>
      </c>
      <c r="B2478" s="15">
        <v>532075.0</v>
      </c>
      <c r="C2478" s="15" t="s">
        <v>10923</v>
      </c>
      <c r="D2478" s="15">
        <v>29823.0</v>
      </c>
      <c r="E2478" s="15" t="s">
        <v>1557</v>
      </c>
      <c r="F2478" s="15" t="s">
        <v>1611</v>
      </c>
      <c r="G2478" s="7">
        <v>39.252</v>
      </c>
      <c r="H2478" s="15" t="s">
        <v>3836</v>
      </c>
      <c r="I2478" s="15" t="s">
        <v>1586</v>
      </c>
      <c r="J2478" s="15" t="s">
        <v>10924</v>
      </c>
      <c r="K2478" s="15">
        <v>53.0</v>
      </c>
      <c r="L2478" s="15">
        <v>53.0</v>
      </c>
      <c r="M2478" s="40">
        <v>39631.0</v>
      </c>
      <c r="N2478" s="40">
        <v>41108.0</v>
      </c>
      <c r="O2478" s="15" t="s">
        <v>1554</v>
      </c>
      <c r="Q2478" s="7"/>
    </row>
    <row r="2479">
      <c r="A2479" s="39" t="s">
        <v>10925</v>
      </c>
      <c r="B2479" s="15">
        <v>532077.0</v>
      </c>
      <c r="C2479" s="15" t="s">
        <v>10927</v>
      </c>
      <c r="D2479" s="15">
        <v>29825.0</v>
      </c>
      <c r="E2479" s="15" t="s">
        <v>1557</v>
      </c>
      <c r="F2479" s="15" t="s">
        <v>1611</v>
      </c>
      <c r="G2479" s="7">
        <v>41.181</v>
      </c>
      <c r="H2479" s="15" t="s">
        <v>1977</v>
      </c>
      <c r="I2479" s="15" t="s">
        <v>1586</v>
      </c>
      <c r="J2479" s="15" t="s">
        <v>10928</v>
      </c>
      <c r="K2479" s="15">
        <v>51.0</v>
      </c>
      <c r="L2479" s="15">
        <v>51.0</v>
      </c>
      <c r="M2479" s="40">
        <v>39631.0</v>
      </c>
      <c r="N2479" s="40">
        <v>41108.0</v>
      </c>
      <c r="O2479" s="15" t="s">
        <v>1554</v>
      </c>
      <c r="Q2479" s="7"/>
    </row>
    <row r="2480">
      <c r="A2480" s="39" t="s">
        <v>10929</v>
      </c>
      <c r="B2480" s="15">
        <v>532078.0</v>
      </c>
      <c r="C2480" s="15" t="s">
        <v>10930</v>
      </c>
      <c r="D2480" s="15">
        <v>29827.0</v>
      </c>
      <c r="E2480" s="15" t="s">
        <v>1557</v>
      </c>
      <c r="F2480" s="15" t="s">
        <v>1611</v>
      </c>
      <c r="G2480" s="7">
        <v>38.677</v>
      </c>
      <c r="H2480" s="15" t="s">
        <v>2075</v>
      </c>
      <c r="I2480" s="15" t="s">
        <v>1586</v>
      </c>
      <c r="J2480" s="15" t="s">
        <v>10931</v>
      </c>
      <c r="K2480" s="15">
        <v>46.0</v>
      </c>
      <c r="L2480" s="15">
        <v>46.0</v>
      </c>
      <c r="M2480" s="40">
        <v>39631.0</v>
      </c>
      <c r="N2480" s="40">
        <v>40588.0</v>
      </c>
      <c r="O2480" s="15" t="s">
        <v>1554</v>
      </c>
      <c r="Q2480" s="7"/>
    </row>
    <row r="2481">
      <c r="A2481" s="39" t="s">
        <v>10932</v>
      </c>
      <c r="B2481" s="15">
        <v>551895.0</v>
      </c>
      <c r="C2481" s="15" t="s">
        <v>10933</v>
      </c>
      <c r="D2481" s="15">
        <v>30463.0</v>
      </c>
      <c r="E2481" s="15" t="s">
        <v>1557</v>
      </c>
      <c r="F2481" s="15" t="s">
        <v>1767</v>
      </c>
      <c r="G2481" s="7">
        <v>47.453</v>
      </c>
      <c r="H2481" s="15" t="s">
        <v>3538</v>
      </c>
      <c r="I2481" s="15" t="s">
        <v>1586</v>
      </c>
      <c r="J2481" s="15" t="s">
        <v>10934</v>
      </c>
      <c r="K2481" s="15">
        <v>84.0</v>
      </c>
      <c r="L2481" s="15">
        <v>84.0</v>
      </c>
      <c r="M2481" s="40">
        <v>39673.0</v>
      </c>
      <c r="N2481" s="40">
        <v>41108.0</v>
      </c>
      <c r="O2481" s="15" t="s">
        <v>1554</v>
      </c>
      <c r="Q2481" s="7"/>
    </row>
    <row r="2482">
      <c r="A2482" s="39" t="s">
        <v>10936</v>
      </c>
      <c r="B2482" s="15">
        <v>936059.0</v>
      </c>
      <c r="C2482" s="15" t="s">
        <v>10937</v>
      </c>
      <c r="D2482" s="15">
        <v>30875.0</v>
      </c>
      <c r="E2482" s="15" t="s">
        <v>1557</v>
      </c>
      <c r="F2482" s="15" t="s">
        <v>1822</v>
      </c>
      <c r="G2482" s="7">
        <v>8.089</v>
      </c>
      <c r="H2482" s="15">
        <v>42.0</v>
      </c>
      <c r="I2482" s="15" t="s">
        <v>1686</v>
      </c>
      <c r="J2482" s="15" t="s">
        <v>10938</v>
      </c>
      <c r="K2482" s="15">
        <v>7.0</v>
      </c>
      <c r="L2482" s="15">
        <v>7.0</v>
      </c>
      <c r="M2482" s="40">
        <v>39659.0</v>
      </c>
      <c r="N2482" s="40">
        <v>42578.0</v>
      </c>
      <c r="O2482" s="15" t="s">
        <v>1554</v>
      </c>
      <c r="Q2482" s="7"/>
    </row>
    <row r="2483">
      <c r="A2483" s="39" t="s">
        <v>10939</v>
      </c>
      <c r="B2483" s="15">
        <v>555387.0</v>
      </c>
      <c r="C2483" s="15" t="s">
        <v>10940</v>
      </c>
      <c r="D2483" s="15">
        <v>30947.0</v>
      </c>
      <c r="E2483" s="15" t="s">
        <v>1557</v>
      </c>
      <c r="F2483" s="15" t="s">
        <v>1767</v>
      </c>
      <c r="G2483" s="7">
        <v>194.454</v>
      </c>
      <c r="H2483" s="15" t="s">
        <v>2440</v>
      </c>
      <c r="I2483" s="15" t="s">
        <v>1586</v>
      </c>
      <c r="J2483" s="15" t="s">
        <v>10941</v>
      </c>
      <c r="K2483" s="15">
        <v>249.0</v>
      </c>
      <c r="L2483" s="15">
        <v>237.0</v>
      </c>
      <c r="M2483" s="40">
        <v>40035.0</v>
      </c>
      <c r="N2483" s="40">
        <v>40578.0</v>
      </c>
      <c r="O2483" s="15" t="s">
        <v>1554</v>
      </c>
      <c r="Q2483" s="7"/>
    </row>
    <row r="2484">
      <c r="A2484" s="39" t="s">
        <v>10942</v>
      </c>
      <c r="B2484" s="15">
        <v>568715.0</v>
      </c>
      <c r="C2484" s="15" t="s">
        <v>10943</v>
      </c>
      <c r="D2484" s="15">
        <v>32327.0</v>
      </c>
      <c r="E2484" s="15" t="s">
        <v>1548</v>
      </c>
      <c r="F2484" s="15" t="s">
        <v>1848</v>
      </c>
      <c r="G2484" s="7">
        <v>6.171</v>
      </c>
      <c r="H2484" s="15" t="s">
        <v>1559</v>
      </c>
      <c r="I2484" s="15" t="s">
        <v>1686</v>
      </c>
      <c r="J2484" s="15" t="s">
        <v>10944</v>
      </c>
      <c r="K2484" s="15">
        <v>3.0</v>
      </c>
      <c r="L2484" s="15">
        <v>3.0</v>
      </c>
      <c r="M2484" s="41">
        <v>39742.0</v>
      </c>
      <c r="N2484" s="40">
        <v>42578.0</v>
      </c>
      <c r="O2484" s="15" t="s">
        <v>1554</v>
      </c>
      <c r="Q2484" s="7"/>
    </row>
    <row r="2485">
      <c r="A2485" s="39" t="s">
        <v>10946</v>
      </c>
      <c r="B2485" s="15">
        <v>565052.0</v>
      </c>
      <c r="C2485" s="15" t="s">
        <v>10947</v>
      </c>
      <c r="D2485" s="15">
        <v>67693.0</v>
      </c>
      <c r="E2485" s="15" t="s">
        <v>1808</v>
      </c>
      <c r="F2485" s="15" t="s">
        <v>1809</v>
      </c>
      <c r="G2485" s="7">
        <v>5.154</v>
      </c>
      <c r="H2485" s="15" t="s">
        <v>10948</v>
      </c>
      <c r="I2485" s="15" t="s">
        <v>1628</v>
      </c>
      <c r="J2485" s="15" t="s">
        <v>10949</v>
      </c>
      <c r="K2485" s="15">
        <v>7.0</v>
      </c>
      <c r="L2485" s="15">
        <v>7.0</v>
      </c>
      <c r="M2485" s="41">
        <v>39735.0</v>
      </c>
      <c r="N2485" s="40">
        <v>42045.0</v>
      </c>
      <c r="O2485" s="15" t="s">
        <v>1554</v>
      </c>
      <c r="Q2485" s="7"/>
    </row>
    <row r="2486">
      <c r="A2486" s="39" t="s">
        <v>10950</v>
      </c>
      <c r="B2486" s="15">
        <v>485241.0</v>
      </c>
      <c r="C2486" s="15" t="s">
        <v>10951</v>
      </c>
      <c r="D2486" s="15">
        <v>32633.0</v>
      </c>
      <c r="E2486" s="15" t="s">
        <v>1557</v>
      </c>
      <c r="F2486" s="15" t="s">
        <v>1822</v>
      </c>
      <c r="G2486" s="7">
        <v>43138.0</v>
      </c>
      <c r="H2486" s="15" t="s">
        <v>2836</v>
      </c>
      <c r="I2486" s="15" t="s">
        <v>1686</v>
      </c>
      <c r="J2486" s="15" t="s">
        <v>10952</v>
      </c>
      <c r="K2486" s="15">
        <v>7.0</v>
      </c>
      <c r="L2486" s="15">
        <v>7.0</v>
      </c>
      <c r="M2486" s="40">
        <v>39758.0</v>
      </c>
      <c r="N2486" s="40">
        <v>41500.0</v>
      </c>
      <c r="O2486" s="15" t="s">
        <v>1554</v>
      </c>
      <c r="Q2486" s="7"/>
    </row>
    <row r="2487">
      <c r="A2487" s="39" t="s">
        <v>10953</v>
      </c>
      <c r="B2487" s="15">
        <v>1156769.0</v>
      </c>
      <c r="C2487" s="15" t="s">
        <v>10954</v>
      </c>
      <c r="D2487" s="15">
        <v>284019.0</v>
      </c>
      <c r="E2487" s="15" t="s">
        <v>1548</v>
      </c>
      <c r="F2487" s="15" t="s">
        <v>1776</v>
      </c>
      <c r="G2487" s="7">
        <v>8.121</v>
      </c>
      <c r="H2487" s="15" t="s">
        <v>4215</v>
      </c>
      <c r="I2487" s="15" t="s">
        <v>1686</v>
      </c>
      <c r="J2487" s="15" t="s">
        <v>10956</v>
      </c>
      <c r="K2487" s="15">
        <v>1.0</v>
      </c>
      <c r="L2487" s="15">
        <v>1.0</v>
      </c>
      <c r="M2487" s="40">
        <v>42128.0</v>
      </c>
      <c r="N2487" s="40">
        <v>42138.0</v>
      </c>
      <c r="O2487" s="15" t="s">
        <v>1554</v>
      </c>
      <c r="Q2487" s="7"/>
    </row>
    <row r="2488">
      <c r="A2488" s="39" t="s">
        <v>10957</v>
      </c>
      <c r="B2488" s="15">
        <v>915427.0</v>
      </c>
      <c r="C2488" s="15" t="s">
        <v>10958</v>
      </c>
      <c r="D2488" s="15">
        <v>36517.0</v>
      </c>
      <c r="E2488" s="15" t="s">
        <v>1557</v>
      </c>
      <c r="F2488" s="15" t="s">
        <v>1822</v>
      </c>
      <c r="G2488" s="7">
        <v>7.227</v>
      </c>
      <c r="H2488" s="15" t="s">
        <v>2375</v>
      </c>
      <c r="I2488" s="15" t="s">
        <v>1686</v>
      </c>
      <c r="J2488" s="15" t="s">
        <v>10959</v>
      </c>
      <c r="K2488" s="15">
        <v>7.0</v>
      </c>
      <c r="L2488" s="15">
        <v>7.0</v>
      </c>
      <c r="M2488" s="40">
        <v>39903.0</v>
      </c>
      <c r="N2488" s="41">
        <v>40524.0</v>
      </c>
      <c r="O2488" s="15" t="s">
        <v>1554</v>
      </c>
      <c r="Q2488" s="7"/>
    </row>
    <row r="2489">
      <c r="A2489" s="39" t="s">
        <v>10960</v>
      </c>
      <c r="B2489" s="15">
        <v>658401.0</v>
      </c>
      <c r="C2489" s="15" t="s">
        <v>10961</v>
      </c>
      <c r="D2489" s="15">
        <v>39613.0</v>
      </c>
      <c r="E2489" s="15" t="s">
        <v>1557</v>
      </c>
      <c r="F2489" s="15" t="s">
        <v>1833</v>
      </c>
      <c r="G2489" s="7">
        <v>107.53</v>
      </c>
      <c r="H2489" s="15" t="s">
        <v>1756</v>
      </c>
      <c r="I2489" s="15" t="s">
        <v>1586</v>
      </c>
      <c r="J2489" s="15" t="s">
        <v>10963</v>
      </c>
      <c r="K2489" s="15">
        <v>131.0</v>
      </c>
      <c r="L2489" s="15">
        <v>131.0</v>
      </c>
      <c r="M2489" s="40">
        <v>40016.0</v>
      </c>
      <c r="N2489" s="41">
        <v>40140.0</v>
      </c>
      <c r="O2489" s="15" t="s">
        <v>1554</v>
      </c>
      <c r="Q2489" s="7"/>
    </row>
    <row r="2490">
      <c r="A2490" s="39" t="s">
        <v>10964</v>
      </c>
      <c r="B2490" s="15">
        <v>663241.0</v>
      </c>
      <c r="C2490" s="15" t="s">
        <v>10965</v>
      </c>
      <c r="D2490" s="15">
        <v>39721.0</v>
      </c>
      <c r="E2490" s="15" t="s">
        <v>1557</v>
      </c>
      <c r="F2490" s="15" t="s">
        <v>1833</v>
      </c>
      <c r="G2490" s="7">
        <v>42.822</v>
      </c>
      <c r="H2490" s="15" t="s">
        <v>10067</v>
      </c>
      <c r="I2490" s="15" t="s">
        <v>1586</v>
      </c>
      <c r="J2490" s="15" t="s">
        <v>10966</v>
      </c>
      <c r="K2490" s="15">
        <v>65.0</v>
      </c>
      <c r="L2490" s="15">
        <v>65.0</v>
      </c>
      <c r="M2490" s="40">
        <v>40077.0</v>
      </c>
      <c r="N2490" s="40">
        <v>41113.0</v>
      </c>
      <c r="O2490" s="15" t="s">
        <v>1554</v>
      </c>
      <c r="Q2490" s="7"/>
    </row>
    <row r="2491">
      <c r="A2491" s="39" t="s">
        <v>10968</v>
      </c>
      <c r="B2491" s="15">
        <v>669008.0</v>
      </c>
      <c r="C2491" s="15" t="s">
        <v>10969</v>
      </c>
      <c r="D2491" s="15">
        <v>64539.0</v>
      </c>
      <c r="E2491" s="15" t="s">
        <v>1557</v>
      </c>
      <c r="F2491" s="15" t="s">
        <v>1611</v>
      </c>
      <c r="G2491" s="7">
        <v>39.27</v>
      </c>
      <c r="H2491" s="15" t="s">
        <v>2901</v>
      </c>
      <c r="I2491" s="15" t="s">
        <v>1586</v>
      </c>
      <c r="J2491" s="15" t="s">
        <v>10970</v>
      </c>
      <c r="K2491" s="15">
        <v>47.0</v>
      </c>
      <c r="L2491" s="15">
        <v>47.0</v>
      </c>
      <c r="M2491" s="40">
        <v>40238.0</v>
      </c>
      <c r="N2491" s="40">
        <v>40662.0</v>
      </c>
      <c r="O2491" s="15" t="s">
        <v>1554</v>
      </c>
      <c r="Q2491" s="7"/>
    </row>
    <row r="2492">
      <c r="A2492" s="39" t="s">
        <v>10971</v>
      </c>
      <c r="B2492" s="15">
        <v>765765.0</v>
      </c>
      <c r="C2492" s="15" t="s">
        <v>10972</v>
      </c>
      <c r="D2492" s="15">
        <v>42179.0</v>
      </c>
      <c r="E2492" s="15" t="s">
        <v>1557</v>
      </c>
      <c r="F2492" s="15" t="s">
        <v>1833</v>
      </c>
      <c r="G2492" s="7">
        <v>104.936</v>
      </c>
      <c r="H2492" s="15" t="s">
        <v>2752</v>
      </c>
      <c r="I2492" s="15" t="s">
        <v>1586</v>
      </c>
      <c r="J2492" s="15" t="s">
        <v>10973</v>
      </c>
      <c r="K2492" s="15">
        <v>149.0</v>
      </c>
      <c r="L2492" s="15">
        <v>149.0</v>
      </c>
      <c r="M2492" s="40">
        <v>41059.0</v>
      </c>
      <c r="N2492" s="40">
        <v>41508.0</v>
      </c>
      <c r="O2492" s="15" t="s">
        <v>1554</v>
      </c>
      <c r="Q2492" s="7"/>
    </row>
    <row r="2493">
      <c r="A2493" s="39" t="s">
        <v>10974</v>
      </c>
      <c r="B2493" s="15">
        <v>754038.0</v>
      </c>
      <c r="C2493" s="15" t="s">
        <v>10976</v>
      </c>
      <c r="D2493" s="15">
        <v>47617.0</v>
      </c>
      <c r="E2493" s="15" t="s">
        <v>1557</v>
      </c>
      <c r="F2493" s="15" t="s">
        <v>1767</v>
      </c>
      <c r="G2493" s="7">
        <v>171.407</v>
      </c>
      <c r="H2493" s="15" t="s">
        <v>2597</v>
      </c>
      <c r="I2493" s="15" t="s">
        <v>1586</v>
      </c>
      <c r="J2493" s="15" t="s">
        <v>10977</v>
      </c>
      <c r="K2493" s="15">
        <v>209.0</v>
      </c>
      <c r="L2493" s="15">
        <v>204.0</v>
      </c>
      <c r="M2493" s="40">
        <v>41435.0</v>
      </c>
      <c r="N2493" s="40">
        <v>41745.0</v>
      </c>
      <c r="O2493" s="15" t="s">
        <v>1554</v>
      </c>
      <c r="Q2493" s="7"/>
    </row>
    <row r="2494">
      <c r="A2494" s="39" t="s">
        <v>10978</v>
      </c>
      <c r="B2494" s="15">
        <v>869662.0</v>
      </c>
      <c r="C2494" s="15" t="s">
        <v>10979</v>
      </c>
      <c r="D2494" s="15">
        <v>47643.0</v>
      </c>
      <c r="E2494" s="15" t="s">
        <v>1557</v>
      </c>
      <c r="F2494" s="15" t="s">
        <v>1767</v>
      </c>
      <c r="G2494" s="7">
        <v>175.43</v>
      </c>
      <c r="H2494" s="15" t="s">
        <v>1591</v>
      </c>
      <c r="I2494" s="15" t="s">
        <v>1586</v>
      </c>
      <c r="J2494" s="15" t="s">
        <v>10980</v>
      </c>
      <c r="K2494" s="15">
        <v>216.0</v>
      </c>
      <c r="L2494" s="15">
        <v>210.0</v>
      </c>
      <c r="M2494" s="40">
        <v>41350.0</v>
      </c>
      <c r="N2494" s="40">
        <v>41745.0</v>
      </c>
      <c r="O2494" s="15" t="s">
        <v>1554</v>
      </c>
      <c r="Q2494" s="7"/>
    </row>
    <row r="2495">
      <c r="A2495" s="39" t="s">
        <v>10981</v>
      </c>
      <c r="B2495" s="15">
        <v>869724.0</v>
      </c>
      <c r="C2495" s="15" t="s">
        <v>10982</v>
      </c>
      <c r="D2495" s="15">
        <v>47623.0</v>
      </c>
      <c r="E2495" s="15" t="s">
        <v>1557</v>
      </c>
      <c r="F2495" s="15" t="s">
        <v>1767</v>
      </c>
      <c r="G2495" s="7">
        <v>171.211</v>
      </c>
      <c r="H2495" s="15" t="s">
        <v>2141</v>
      </c>
      <c r="I2495" s="15" t="s">
        <v>1586</v>
      </c>
      <c r="J2495" s="15" t="s">
        <v>10983</v>
      </c>
      <c r="K2495" s="15">
        <v>219.0</v>
      </c>
      <c r="L2495" s="15">
        <v>211.0</v>
      </c>
      <c r="M2495" s="40">
        <v>40955.0</v>
      </c>
      <c r="N2495" s="40">
        <v>41345.0</v>
      </c>
      <c r="O2495" s="15" t="s">
        <v>1554</v>
      </c>
      <c r="Q2495" s="7"/>
    </row>
    <row r="2496">
      <c r="A2496" s="39" t="s">
        <v>10984</v>
      </c>
      <c r="B2496" s="15">
        <v>338323.0</v>
      </c>
      <c r="C2496" s="15" t="s">
        <v>10986</v>
      </c>
      <c r="D2496" s="15">
        <v>17119.0</v>
      </c>
      <c r="E2496" s="15" t="s">
        <v>1557</v>
      </c>
      <c r="F2496" s="15" t="s">
        <v>1822</v>
      </c>
      <c r="G2496" s="7">
        <v>7.263</v>
      </c>
      <c r="H2496" s="15" t="s">
        <v>2118</v>
      </c>
      <c r="I2496" s="15" t="s">
        <v>1686</v>
      </c>
      <c r="J2496" s="15" t="s">
        <v>10987</v>
      </c>
      <c r="K2496" s="15">
        <v>6.0</v>
      </c>
      <c r="L2496" s="15">
        <v>6.0</v>
      </c>
      <c r="M2496" s="40">
        <v>38868.0</v>
      </c>
      <c r="N2496" s="40">
        <v>40263.0</v>
      </c>
      <c r="O2496" s="15" t="s">
        <v>1554</v>
      </c>
      <c r="Q2496" s="7"/>
    </row>
    <row r="2497">
      <c r="A2497" s="39" t="s">
        <v>10988</v>
      </c>
      <c r="B2497" s="15">
        <v>448384.0</v>
      </c>
      <c r="C2497" s="15" t="s">
        <v>10989</v>
      </c>
      <c r="D2497" s="15">
        <v>18763.0</v>
      </c>
      <c r="E2497" s="15" t="s">
        <v>1557</v>
      </c>
      <c r="F2497" s="15" t="s">
        <v>1767</v>
      </c>
      <c r="G2497" s="7">
        <v>164.27</v>
      </c>
      <c r="H2497" s="15" t="s">
        <v>2019</v>
      </c>
      <c r="I2497" s="15" t="s">
        <v>1586</v>
      </c>
      <c r="J2497" s="15" t="s">
        <v>10990</v>
      </c>
      <c r="K2497" s="15">
        <v>276.0</v>
      </c>
      <c r="L2497" s="15">
        <v>276.0</v>
      </c>
      <c r="M2497" s="40">
        <v>39326.0</v>
      </c>
      <c r="N2497" s="40">
        <v>40759.0</v>
      </c>
      <c r="O2497" s="15" t="s">
        <v>1554</v>
      </c>
      <c r="Q2497" s="7"/>
    </row>
    <row r="2498">
      <c r="A2498" s="39" t="s">
        <v>10991</v>
      </c>
      <c r="B2498" s="15">
        <v>442493.0</v>
      </c>
      <c r="C2498" s="15" t="s">
        <v>10992</v>
      </c>
      <c r="D2498" s="15">
        <v>19567.0</v>
      </c>
      <c r="E2498" s="15" t="s">
        <v>1557</v>
      </c>
      <c r="F2498" s="15" t="s">
        <v>1767</v>
      </c>
      <c r="G2498" s="7">
        <v>142.072</v>
      </c>
      <c r="H2498" s="15" t="s">
        <v>3827</v>
      </c>
      <c r="I2498" s="15" t="s">
        <v>1586</v>
      </c>
      <c r="J2498" s="15" t="s">
        <v>10994</v>
      </c>
      <c r="K2498" s="15">
        <v>226.0</v>
      </c>
      <c r="L2498" s="15">
        <v>221.0</v>
      </c>
      <c r="M2498" s="40">
        <v>39357.0</v>
      </c>
      <c r="N2498" s="40">
        <v>41132.0</v>
      </c>
      <c r="O2498" s="15" t="s">
        <v>1554</v>
      </c>
      <c r="Q2498" s="7"/>
    </row>
    <row r="2499">
      <c r="A2499" s="39" t="s">
        <v>10995</v>
      </c>
      <c r="B2499" s="15">
        <v>68347.0</v>
      </c>
      <c r="C2499" s="15" t="s">
        <v>10996</v>
      </c>
      <c r="D2499" s="15">
        <v>69999.0</v>
      </c>
      <c r="E2499" s="15" t="s">
        <v>1557</v>
      </c>
      <c r="F2499" s="15" t="s">
        <v>3454</v>
      </c>
      <c r="G2499" s="7">
        <v>205.791</v>
      </c>
      <c r="H2499" s="42">
        <v>43373.0</v>
      </c>
      <c r="I2499" s="15" t="s">
        <v>1560</v>
      </c>
      <c r="J2499" s="15" t="s">
        <v>10997</v>
      </c>
      <c r="K2499" s="15">
        <v>193.0</v>
      </c>
      <c r="L2499" s="15">
        <v>193.0</v>
      </c>
      <c r="M2499" s="40">
        <v>40730.0</v>
      </c>
      <c r="N2499" s="40">
        <v>40745.0</v>
      </c>
      <c r="O2499" s="15" t="s">
        <v>1554</v>
      </c>
      <c r="Q2499" s="7"/>
    </row>
    <row r="2500">
      <c r="A2500" s="39" t="s">
        <v>10998</v>
      </c>
      <c r="B2500" s="15">
        <v>354328.0</v>
      </c>
      <c r="C2500" s="15" t="s">
        <v>10999</v>
      </c>
      <c r="D2500" s="15">
        <v>70001.0</v>
      </c>
      <c r="E2500" s="15" t="s">
        <v>1638</v>
      </c>
      <c r="F2500" s="15" t="s">
        <v>2849</v>
      </c>
      <c r="G2500" s="7">
        <v>14.728</v>
      </c>
      <c r="H2500" s="15" t="s">
        <v>2524</v>
      </c>
      <c r="I2500" s="15" t="s">
        <v>1628</v>
      </c>
      <c r="J2500" s="15" t="s">
        <v>11001</v>
      </c>
      <c r="K2500" s="15">
        <v>1.0</v>
      </c>
      <c r="L2500" s="15">
        <v>1.0</v>
      </c>
      <c r="M2500" s="40">
        <v>40738.0</v>
      </c>
      <c r="N2500" s="41">
        <v>40835.0</v>
      </c>
      <c r="O2500" s="15" t="s">
        <v>1554</v>
      </c>
      <c r="Q2500" s="7"/>
    </row>
    <row r="2501">
      <c r="A2501" s="39" t="s">
        <v>11002</v>
      </c>
      <c r="B2501" s="15">
        <v>1051792.0</v>
      </c>
      <c r="C2501" s="15" t="s">
        <v>11003</v>
      </c>
      <c r="D2501" s="15">
        <v>70003.0</v>
      </c>
      <c r="E2501" s="15" t="s">
        <v>1548</v>
      </c>
      <c r="F2501" s="15" t="s">
        <v>1786</v>
      </c>
      <c r="G2501" s="7">
        <v>7.275</v>
      </c>
      <c r="H2501" s="15" t="s">
        <v>2197</v>
      </c>
      <c r="I2501" s="15" t="s">
        <v>1628</v>
      </c>
      <c r="J2501" s="15" t="s">
        <v>11004</v>
      </c>
      <c r="K2501" s="15">
        <v>3.0</v>
      </c>
      <c r="L2501" s="15">
        <v>3.0</v>
      </c>
      <c r="M2501" s="40">
        <v>40728.0</v>
      </c>
      <c r="N2501" s="40">
        <v>40956.0</v>
      </c>
      <c r="O2501" s="15" t="s">
        <v>1554</v>
      </c>
      <c r="Q2501" s="7"/>
    </row>
    <row r="2502">
      <c r="A2502" s="39" t="s">
        <v>11005</v>
      </c>
      <c r="B2502" s="15">
        <v>68887.0</v>
      </c>
      <c r="C2502" s="15" t="s">
        <v>11006</v>
      </c>
      <c r="D2502" s="15">
        <v>15247.0</v>
      </c>
      <c r="E2502" s="15" t="s">
        <v>1808</v>
      </c>
      <c r="F2502" s="15" t="s">
        <v>2232</v>
      </c>
      <c r="G2502" s="7">
        <v>3.852</v>
      </c>
      <c r="H2502" s="15" t="s">
        <v>2000</v>
      </c>
      <c r="I2502" s="15" t="s">
        <v>1567</v>
      </c>
      <c r="J2502" s="15" t="s">
        <v>11007</v>
      </c>
      <c r="K2502" s="15">
        <v>3.0</v>
      </c>
      <c r="L2502" s="15">
        <v>3.0</v>
      </c>
      <c r="M2502" s="40">
        <v>35867.0</v>
      </c>
      <c r="N2502" s="40">
        <v>40296.0</v>
      </c>
      <c r="O2502" s="15" t="s">
        <v>1554</v>
      </c>
      <c r="Q2502" s="7"/>
    </row>
    <row r="2503">
      <c r="A2503" s="39" t="s">
        <v>11009</v>
      </c>
      <c r="B2503" s="15">
        <v>1050407.0</v>
      </c>
      <c r="C2503" s="15" t="s">
        <v>11010</v>
      </c>
      <c r="D2503" s="15">
        <v>70007.0</v>
      </c>
      <c r="E2503" s="15" t="s">
        <v>1916</v>
      </c>
      <c r="F2503" s="15" t="s">
        <v>1917</v>
      </c>
      <c r="G2503" s="7">
        <v>7.753</v>
      </c>
      <c r="H2503" s="15" t="s">
        <v>2484</v>
      </c>
      <c r="I2503" s="15" t="s">
        <v>1628</v>
      </c>
      <c r="J2503" s="15" t="s">
        <v>11011</v>
      </c>
      <c r="K2503" s="15">
        <v>3.0</v>
      </c>
      <c r="L2503" s="15">
        <v>3.0</v>
      </c>
      <c r="M2503" s="40">
        <v>40727.0</v>
      </c>
      <c r="N2503" s="40">
        <v>41410.0</v>
      </c>
      <c r="O2503" s="15" t="s">
        <v>1554</v>
      </c>
      <c r="Q2503" s="7"/>
    </row>
    <row r="2504">
      <c r="A2504" s="39" t="s">
        <v>11012</v>
      </c>
      <c r="B2504" s="15">
        <v>64293.0</v>
      </c>
      <c r="C2504" s="15" t="s">
        <v>11013</v>
      </c>
      <c r="D2504" s="15">
        <v>70159.0</v>
      </c>
      <c r="E2504" s="15" t="s">
        <v>1548</v>
      </c>
      <c r="F2504" s="15" t="s">
        <v>1801</v>
      </c>
      <c r="G2504" s="7">
        <v>10.99</v>
      </c>
      <c r="H2504" s="15">
        <v>49.0</v>
      </c>
      <c r="I2504" s="15" t="s">
        <v>1803</v>
      </c>
      <c r="J2504" s="15" t="s">
        <v>11014</v>
      </c>
      <c r="K2504" s="15">
        <v>1.0</v>
      </c>
      <c r="L2504" s="15">
        <v>1.0</v>
      </c>
      <c r="M2504" s="40">
        <v>40737.0</v>
      </c>
      <c r="N2504" s="41">
        <v>42732.0</v>
      </c>
      <c r="O2504" s="15" t="s">
        <v>1554</v>
      </c>
      <c r="Q2504" s="7"/>
    </row>
    <row r="2505">
      <c r="A2505" s="39" t="s">
        <v>11016</v>
      </c>
      <c r="B2505" s="15">
        <v>11234.0</v>
      </c>
      <c r="C2505" s="15" t="s">
        <v>11017</v>
      </c>
      <c r="D2505" s="15">
        <v>15025.0</v>
      </c>
      <c r="E2505" s="15" t="s">
        <v>1548</v>
      </c>
      <c r="F2505" s="15" t="s">
        <v>4837</v>
      </c>
      <c r="G2505" s="7">
        <v>15.894</v>
      </c>
      <c r="H2505" s="15" t="s">
        <v>1844</v>
      </c>
      <c r="I2505" s="15" t="s">
        <v>1567</v>
      </c>
      <c r="J2505" s="15" t="s">
        <v>11018</v>
      </c>
      <c r="K2505" s="15">
        <v>6.0</v>
      </c>
      <c r="L2505" s="15">
        <v>8.0</v>
      </c>
      <c r="M2505" s="40">
        <v>36138.0</v>
      </c>
      <c r="N2505" s="40">
        <v>41340.0</v>
      </c>
      <c r="O2505" s="15" t="s">
        <v>1554</v>
      </c>
      <c r="Q2505" s="7"/>
    </row>
    <row r="2506">
      <c r="A2506" s="39" t="s">
        <v>11019</v>
      </c>
      <c r="B2506" s="15">
        <v>11041.0</v>
      </c>
      <c r="C2506" s="15" t="s">
        <v>11020</v>
      </c>
      <c r="D2506" s="15">
        <v>15315.0</v>
      </c>
      <c r="E2506" s="15" t="s">
        <v>1548</v>
      </c>
      <c r="F2506" s="15" t="s">
        <v>3181</v>
      </c>
      <c r="G2506" s="7">
        <v>9.762</v>
      </c>
      <c r="H2506" s="15" t="s">
        <v>2974</v>
      </c>
      <c r="I2506" s="15" t="s">
        <v>1567</v>
      </c>
      <c r="J2506" s="15" t="s">
        <v>11021</v>
      </c>
      <c r="K2506" s="15">
        <v>2.0</v>
      </c>
      <c r="L2506" s="15">
        <v>2.0</v>
      </c>
      <c r="M2506" s="40">
        <v>34184.0</v>
      </c>
      <c r="N2506" s="40">
        <v>42045.0</v>
      </c>
      <c r="O2506" s="15" t="s">
        <v>1554</v>
      </c>
      <c r="Q2506" s="7"/>
    </row>
    <row r="2507">
      <c r="A2507" s="39" t="s">
        <v>11022</v>
      </c>
      <c r="B2507" s="15">
        <v>325676.0</v>
      </c>
      <c r="C2507" s="15" t="s">
        <v>11023</v>
      </c>
      <c r="D2507" s="15">
        <v>71143.0</v>
      </c>
      <c r="E2507" s="15" t="s">
        <v>1548</v>
      </c>
      <c r="F2507" s="15" t="s">
        <v>10589</v>
      </c>
      <c r="G2507" s="7">
        <v>20.192</v>
      </c>
      <c r="H2507" s="15" t="s">
        <v>1714</v>
      </c>
      <c r="I2507" s="15" t="s">
        <v>1560</v>
      </c>
      <c r="J2507" s="15" t="s">
        <v>11024</v>
      </c>
      <c r="K2507" s="15">
        <v>6.0</v>
      </c>
      <c r="L2507" s="15">
        <v>6.0</v>
      </c>
      <c r="M2507" s="40">
        <v>39173.0</v>
      </c>
      <c r="N2507" s="40">
        <v>41032.0</v>
      </c>
      <c r="O2507" s="15" t="s">
        <v>1554</v>
      </c>
      <c r="Q2507" s="7"/>
    </row>
    <row r="2508">
      <c r="A2508" s="39" t="s">
        <v>11026</v>
      </c>
      <c r="B2508" s="15">
        <v>75888.0</v>
      </c>
      <c r="C2508" s="15" t="s">
        <v>11027</v>
      </c>
      <c r="D2508" s="15">
        <v>71165.0</v>
      </c>
      <c r="E2508" s="15" t="s">
        <v>1638</v>
      </c>
      <c r="F2508" s="15" t="s">
        <v>1863</v>
      </c>
      <c r="G2508" s="7">
        <v>22.435</v>
      </c>
      <c r="H2508" s="15" t="s">
        <v>11028</v>
      </c>
      <c r="I2508" s="15" t="s">
        <v>1686</v>
      </c>
      <c r="J2508" s="15" t="s">
        <v>11029</v>
      </c>
      <c r="K2508" s="15">
        <v>11.0</v>
      </c>
      <c r="L2508" s="15">
        <v>11.0</v>
      </c>
      <c r="M2508" s="40">
        <v>35948.0</v>
      </c>
      <c r="N2508" s="40">
        <v>40761.0</v>
      </c>
      <c r="O2508" s="15" t="s">
        <v>1554</v>
      </c>
      <c r="Q2508" s="7"/>
    </row>
    <row r="2509">
      <c r="A2509" s="39" t="s">
        <v>11030</v>
      </c>
      <c r="B2509" s="15">
        <v>407392.0</v>
      </c>
      <c r="C2509" s="15" t="s">
        <v>11031</v>
      </c>
      <c r="D2509" s="15">
        <v>18277.0</v>
      </c>
      <c r="E2509" s="15" t="s">
        <v>1557</v>
      </c>
      <c r="F2509" s="15" t="s">
        <v>1767</v>
      </c>
      <c r="G2509" s="7">
        <v>152.372</v>
      </c>
      <c r="H2509" s="15" t="s">
        <v>10167</v>
      </c>
      <c r="I2509" s="15" t="s">
        <v>1586</v>
      </c>
      <c r="J2509" s="15" t="s">
        <v>11032</v>
      </c>
      <c r="K2509" s="15">
        <v>170.0</v>
      </c>
      <c r="L2509" s="15">
        <v>170.0</v>
      </c>
      <c r="M2509" s="41">
        <v>39013.0</v>
      </c>
      <c r="N2509" s="40">
        <v>40263.0</v>
      </c>
      <c r="O2509" s="15" t="s">
        <v>1554</v>
      </c>
      <c r="Q2509" s="7"/>
    </row>
    <row r="2510">
      <c r="A2510" s="39" t="s">
        <v>11034</v>
      </c>
      <c r="B2510" s="15">
        <v>1072178.0</v>
      </c>
      <c r="C2510" s="15" t="s">
        <v>11035</v>
      </c>
      <c r="D2510" s="15">
        <v>72145.0</v>
      </c>
      <c r="E2510" s="15" t="s">
        <v>2014</v>
      </c>
      <c r="F2510" s="15" t="s">
        <v>1578</v>
      </c>
      <c r="G2510" s="7">
        <v>1.343</v>
      </c>
      <c r="H2510" s="15" t="s">
        <v>3000</v>
      </c>
      <c r="I2510" s="15" t="s">
        <v>1628</v>
      </c>
      <c r="J2510" s="15" t="s">
        <v>11036</v>
      </c>
      <c r="K2510" s="15">
        <v>1.0</v>
      </c>
      <c r="L2510" s="15">
        <v>1.0</v>
      </c>
      <c r="M2510" s="40">
        <v>40762.0</v>
      </c>
      <c r="N2510" s="40">
        <v>40767.0</v>
      </c>
      <c r="O2510" s="15" t="s">
        <v>1554</v>
      </c>
      <c r="Q2510" s="7"/>
    </row>
    <row r="2511">
      <c r="A2511" s="39" t="s">
        <v>11037</v>
      </c>
      <c r="B2511" s="15">
        <v>74724.0</v>
      </c>
      <c r="C2511" s="15" t="s">
        <v>11038</v>
      </c>
      <c r="D2511" s="15">
        <v>14875.0</v>
      </c>
      <c r="E2511" s="15" t="s">
        <v>1548</v>
      </c>
      <c r="F2511" s="15" t="s">
        <v>4829</v>
      </c>
      <c r="G2511" s="7">
        <v>8.513</v>
      </c>
      <c r="H2511" s="15" t="s">
        <v>4070</v>
      </c>
      <c r="I2511" s="15" t="s">
        <v>1686</v>
      </c>
      <c r="J2511" s="15" t="s">
        <v>11039</v>
      </c>
      <c r="K2511" s="15">
        <v>3.0</v>
      </c>
      <c r="L2511" s="15">
        <v>3.0</v>
      </c>
      <c r="M2511" s="40">
        <v>37261.0</v>
      </c>
      <c r="N2511" s="40">
        <v>42045.0</v>
      </c>
      <c r="O2511" s="15" t="s">
        <v>1554</v>
      </c>
      <c r="Q2511" s="7"/>
    </row>
    <row r="2512">
      <c r="A2512" s="39" t="s">
        <v>11040</v>
      </c>
      <c r="B2512" s="15">
        <v>696069.0</v>
      </c>
      <c r="C2512" s="15" t="s">
        <v>11041</v>
      </c>
      <c r="D2512" s="15">
        <v>72369.0</v>
      </c>
      <c r="E2512" s="15" t="s">
        <v>1557</v>
      </c>
      <c r="F2512" s="15" t="s">
        <v>2628</v>
      </c>
      <c r="G2512" s="7">
        <v>31.616</v>
      </c>
      <c r="H2512" s="15" t="s">
        <v>1957</v>
      </c>
      <c r="I2512" s="15" t="s">
        <v>1686</v>
      </c>
      <c r="J2512" s="15" t="s">
        <v>11042</v>
      </c>
      <c r="K2512" s="15">
        <v>30.0</v>
      </c>
      <c r="L2512" s="15">
        <v>30.0</v>
      </c>
      <c r="M2512" s="40">
        <v>40770.0</v>
      </c>
      <c r="N2512" s="40">
        <v>40942.0</v>
      </c>
      <c r="O2512" s="15" t="s">
        <v>1554</v>
      </c>
      <c r="Q2512" s="7"/>
    </row>
    <row r="2513">
      <c r="A2513" s="39" t="s">
        <v>11044</v>
      </c>
      <c r="B2513" s="15">
        <v>1054461.0</v>
      </c>
      <c r="C2513" s="15" t="s">
        <v>11045</v>
      </c>
      <c r="D2513" s="15">
        <v>72371.0</v>
      </c>
      <c r="E2513" s="15" t="s">
        <v>1557</v>
      </c>
      <c r="F2513" s="15" t="s">
        <v>1611</v>
      </c>
      <c r="G2513" s="7">
        <v>72.917</v>
      </c>
      <c r="H2513" s="15" t="s">
        <v>2552</v>
      </c>
      <c r="I2513" s="15" t="s">
        <v>1586</v>
      </c>
      <c r="J2513" s="15" t="s">
        <v>11046</v>
      </c>
      <c r="K2513" s="15">
        <v>79.0</v>
      </c>
      <c r="L2513" s="15">
        <v>79.0</v>
      </c>
      <c r="M2513" s="40">
        <v>40765.0</v>
      </c>
      <c r="N2513" s="40">
        <v>41368.0</v>
      </c>
      <c r="O2513" s="15" t="s">
        <v>1554</v>
      </c>
      <c r="Q2513" s="7"/>
    </row>
    <row r="2514">
      <c r="A2514" s="39" t="s">
        <v>11047</v>
      </c>
      <c r="B2514" s="15">
        <v>1074865.0</v>
      </c>
      <c r="C2514" s="15" t="s">
        <v>11048</v>
      </c>
      <c r="D2514" s="15">
        <v>72379.0</v>
      </c>
      <c r="E2514" s="15" t="s">
        <v>1548</v>
      </c>
      <c r="F2514" s="15" t="s">
        <v>1776</v>
      </c>
      <c r="G2514" s="7">
        <v>7.749</v>
      </c>
      <c r="H2514" s="15" t="s">
        <v>3304</v>
      </c>
      <c r="I2514" s="15" t="s">
        <v>1686</v>
      </c>
      <c r="J2514" s="15" t="s">
        <v>11049</v>
      </c>
      <c r="K2514" s="15">
        <v>1.0</v>
      </c>
      <c r="L2514" s="15">
        <v>1.0</v>
      </c>
      <c r="M2514" s="40">
        <v>40771.0</v>
      </c>
      <c r="N2514" s="40">
        <v>40788.0</v>
      </c>
      <c r="O2514" s="15" t="s">
        <v>1554</v>
      </c>
      <c r="Q2514" s="7"/>
    </row>
    <row r="2515">
      <c r="A2515" s="39" t="s">
        <v>11051</v>
      </c>
      <c r="B2515" s="15">
        <v>1074210.0</v>
      </c>
      <c r="C2515" s="15" t="s">
        <v>11052</v>
      </c>
      <c r="D2515" s="15">
        <v>72381.0</v>
      </c>
      <c r="E2515" s="15" t="s">
        <v>1548</v>
      </c>
      <c r="F2515" s="15" t="s">
        <v>1848</v>
      </c>
      <c r="G2515" s="7">
        <v>6.543</v>
      </c>
      <c r="H2515" s="15" t="s">
        <v>2197</v>
      </c>
      <c r="I2515" s="15" t="s">
        <v>1686</v>
      </c>
      <c r="J2515" s="15" t="s">
        <v>11053</v>
      </c>
      <c r="K2515" s="15">
        <v>2.0</v>
      </c>
      <c r="L2515" s="15">
        <v>2.0</v>
      </c>
      <c r="M2515" s="40">
        <v>40770.0</v>
      </c>
      <c r="N2515" s="40">
        <v>40813.0</v>
      </c>
      <c r="O2515" s="15" t="s">
        <v>1554</v>
      </c>
      <c r="Q2515" s="7"/>
    </row>
    <row r="2516">
      <c r="A2516" s="39" t="s">
        <v>11054</v>
      </c>
      <c r="B2516" s="15">
        <v>1054968.0</v>
      </c>
      <c r="C2516" s="15" t="s">
        <v>11055</v>
      </c>
      <c r="D2516" s="15">
        <v>72387.0</v>
      </c>
      <c r="E2516" s="15" t="s">
        <v>1557</v>
      </c>
      <c r="F2516" s="15" t="s">
        <v>1611</v>
      </c>
      <c r="G2516" s="7">
        <v>89.916</v>
      </c>
      <c r="H2516" s="15" t="s">
        <v>2064</v>
      </c>
      <c r="I2516" s="15" t="s">
        <v>1586</v>
      </c>
      <c r="J2516" s="15" t="s">
        <v>11057</v>
      </c>
      <c r="K2516" s="15">
        <v>157.0</v>
      </c>
      <c r="L2516" s="15">
        <v>151.0</v>
      </c>
      <c r="M2516" s="40">
        <v>40754.0</v>
      </c>
      <c r="N2516" s="40">
        <v>40788.0</v>
      </c>
      <c r="O2516" s="15" t="s">
        <v>1554</v>
      </c>
      <c r="Q2516" s="7"/>
    </row>
    <row r="2517">
      <c r="A2517" s="39" t="s">
        <v>11058</v>
      </c>
      <c r="B2517" s="15">
        <v>1074863.0</v>
      </c>
      <c r="C2517" s="15" t="s">
        <v>11059</v>
      </c>
      <c r="D2517" s="15">
        <v>72391.0</v>
      </c>
      <c r="E2517" s="15" t="s">
        <v>1548</v>
      </c>
      <c r="F2517" s="15" t="s">
        <v>1776</v>
      </c>
      <c r="G2517" s="7">
        <v>7.753</v>
      </c>
      <c r="H2517" s="15" t="s">
        <v>3097</v>
      </c>
      <c r="I2517" s="15" t="s">
        <v>1686</v>
      </c>
      <c r="J2517" s="15" t="s">
        <v>11060</v>
      </c>
      <c r="K2517" s="15">
        <v>1.0</v>
      </c>
      <c r="L2517" s="15">
        <v>1.0</v>
      </c>
      <c r="M2517" s="40">
        <v>40771.0</v>
      </c>
      <c r="N2517" s="40">
        <v>40788.0</v>
      </c>
      <c r="O2517" s="15" t="s">
        <v>1554</v>
      </c>
      <c r="Q2517" s="7"/>
    </row>
    <row r="2518">
      <c r="A2518" s="39" t="s">
        <v>11062</v>
      </c>
      <c r="B2518" s="15">
        <v>1074864.0</v>
      </c>
      <c r="C2518" s="15" t="s">
        <v>11063</v>
      </c>
      <c r="D2518" s="15">
        <v>72393.0</v>
      </c>
      <c r="E2518" s="15" t="s">
        <v>1548</v>
      </c>
      <c r="F2518" s="15" t="s">
        <v>1776</v>
      </c>
      <c r="G2518" s="7">
        <v>7.693</v>
      </c>
      <c r="H2518" s="15" t="s">
        <v>2648</v>
      </c>
      <c r="I2518" s="15" t="s">
        <v>1686</v>
      </c>
      <c r="J2518" s="15" t="s">
        <v>11064</v>
      </c>
      <c r="K2518" s="15">
        <v>1.0</v>
      </c>
      <c r="L2518" s="15">
        <v>1.0</v>
      </c>
      <c r="M2518" s="40">
        <v>40771.0</v>
      </c>
      <c r="N2518" s="40">
        <v>40788.0</v>
      </c>
      <c r="O2518" s="15" t="s">
        <v>1554</v>
      </c>
      <c r="Q2518" s="7"/>
    </row>
    <row r="2519">
      <c r="A2519" s="39" t="s">
        <v>11065</v>
      </c>
      <c r="B2519" s="15">
        <v>699370.0</v>
      </c>
      <c r="C2519" s="15" t="s">
        <v>11066</v>
      </c>
      <c r="D2519" s="15">
        <v>42491.0</v>
      </c>
      <c r="E2519" s="15" t="s">
        <v>1557</v>
      </c>
      <c r="F2519" s="15" t="s">
        <v>1767</v>
      </c>
      <c r="G2519" s="7">
        <v>151.483</v>
      </c>
      <c r="H2519" s="15" t="s">
        <v>10167</v>
      </c>
      <c r="I2519" s="15" t="s">
        <v>1586</v>
      </c>
      <c r="J2519" s="15" t="s">
        <v>11068</v>
      </c>
      <c r="K2519" s="15">
        <v>171.0</v>
      </c>
      <c r="L2519" s="15">
        <v>168.0</v>
      </c>
      <c r="M2519" s="40">
        <v>40752.0</v>
      </c>
      <c r="N2519" s="40">
        <v>41113.0</v>
      </c>
      <c r="O2519" s="15" t="s">
        <v>1554</v>
      </c>
      <c r="Q2519" s="7"/>
    </row>
    <row r="2520">
      <c r="A2520" s="39" t="s">
        <v>11069</v>
      </c>
      <c r="B2520" s="15">
        <v>68033.0</v>
      </c>
      <c r="C2520" s="15" t="s">
        <v>11070</v>
      </c>
      <c r="D2520" s="15">
        <v>72859.0</v>
      </c>
      <c r="E2520" s="15" t="s">
        <v>1548</v>
      </c>
      <c r="F2520" s="15" t="s">
        <v>2900</v>
      </c>
      <c r="G2520" s="7">
        <v>4.193</v>
      </c>
      <c r="H2520" s="15">
        <v>54.0</v>
      </c>
      <c r="I2520" s="15" t="s">
        <v>1628</v>
      </c>
      <c r="J2520" s="15" t="s">
        <v>11071</v>
      </c>
      <c r="K2520" s="15">
        <v>3.0</v>
      </c>
      <c r="L2520" s="15">
        <v>3.0</v>
      </c>
      <c r="M2520" s="40">
        <v>39753.0</v>
      </c>
      <c r="N2520" s="40">
        <v>42739.0</v>
      </c>
      <c r="O2520" s="15" t="s">
        <v>1554</v>
      </c>
      <c r="Q2520" s="7"/>
    </row>
    <row r="2521">
      <c r="A2521" s="39" t="s">
        <v>11073</v>
      </c>
      <c r="B2521" s="15">
        <v>1076255.0</v>
      </c>
      <c r="C2521" s="15" t="s">
        <v>11074</v>
      </c>
      <c r="D2521" s="15">
        <v>72715.0</v>
      </c>
      <c r="E2521" s="15" t="s">
        <v>1557</v>
      </c>
      <c r="F2521" s="15" t="s">
        <v>2028</v>
      </c>
      <c r="G2521" s="7">
        <v>175.699</v>
      </c>
      <c r="H2521" s="42">
        <v>43276.0</v>
      </c>
      <c r="I2521" s="15" t="s">
        <v>1686</v>
      </c>
      <c r="J2521" s="15" t="s">
        <v>11075</v>
      </c>
      <c r="K2521" s="15">
        <v>186.0</v>
      </c>
      <c r="L2521" s="15">
        <v>186.0</v>
      </c>
      <c r="M2521" s="40">
        <v>40785.0</v>
      </c>
      <c r="N2521" s="40">
        <v>40786.0</v>
      </c>
      <c r="O2521" s="15" t="s">
        <v>1554</v>
      </c>
      <c r="Q2521" s="7"/>
    </row>
    <row r="2522">
      <c r="A2522" s="39" t="s">
        <v>11077</v>
      </c>
      <c r="B2522" s="15">
        <v>1081702.0</v>
      </c>
      <c r="C2522" s="15" t="s">
        <v>11078</v>
      </c>
      <c r="D2522" s="15">
        <v>73083.0</v>
      </c>
      <c r="E2522" s="15" t="s">
        <v>1548</v>
      </c>
      <c r="F2522" s="15" t="s">
        <v>1633</v>
      </c>
      <c r="G2522" s="7">
        <v>6.495</v>
      </c>
      <c r="H2522" s="15" t="s">
        <v>2901</v>
      </c>
      <c r="I2522" s="15" t="s">
        <v>1628</v>
      </c>
      <c r="J2522" s="15" t="s">
        <v>11079</v>
      </c>
      <c r="K2522" s="15">
        <v>5.0</v>
      </c>
      <c r="L2522" s="15">
        <v>5.0</v>
      </c>
      <c r="M2522" s="40">
        <v>40798.0</v>
      </c>
      <c r="N2522" s="40">
        <v>41715.0</v>
      </c>
      <c r="O2522" s="15" t="s">
        <v>1554</v>
      </c>
      <c r="Q2522" s="7"/>
    </row>
    <row r="2523">
      <c r="A2523" s="39" t="s">
        <v>11080</v>
      </c>
      <c r="B2523" s="15">
        <v>1081054.0</v>
      </c>
      <c r="C2523" s="15" t="s">
        <v>11081</v>
      </c>
      <c r="D2523" s="15">
        <v>73439.0</v>
      </c>
      <c r="E2523" s="15" t="s">
        <v>1557</v>
      </c>
      <c r="F2523" s="15" t="s">
        <v>1822</v>
      </c>
      <c r="G2523" s="7">
        <v>7.048</v>
      </c>
      <c r="H2523" s="15" t="s">
        <v>1559</v>
      </c>
      <c r="I2523" s="15" t="s">
        <v>1686</v>
      </c>
      <c r="J2523" s="15" t="s">
        <v>11082</v>
      </c>
      <c r="K2523" s="15">
        <v>7.0</v>
      </c>
      <c r="L2523" s="15">
        <v>7.0</v>
      </c>
      <c r="M2523" s="40">
        <v>40806.0</v>
      </c>
      <c r="N2523" s="40">
        <v>42577.0</v>
      </c>
      <c r="O2523" s="15" t="s">
        <v>1554</v>
      </c>
      <c r="Q2523" s="7"/>
    </row>
    <row r="2524">
      <c r="A2524" s="39" t="s">
        <v>11083</v>
      </c>
      <c r="B2524" s="15">
        <v>1081055.0</v>
      </c>
      <c r="C2524" s="15" t="s">
        <v>11084</v>
      </c>
      <c r="D2524" s="15">
        <v>73441.0</v>
      </c>
      <c r="E2524" s="15" t="s">
        <v>1557</v>
      </c>
      <c r="F2524" s="15" t="s">
        <v>1822</v>
      </c>
      <c r="G2524" s="7">
        <v>7.784</v>
      </c>
      <c r="H2524" s="15" t="s">
        <v>2263</v>
      </c>
      <c r="I2524" s="15" t="s">
        <v>1686</v>
      </c>
      <c r="J2524" s="15" t="s">
        <v>11086</v>
      </c>
      <c r="K2524" s="15">
        <v>7.0</v>
      </c>
      <c r="L2524" s="15">
        <v>7.0</v>
      </c>
      <c r="M2524" s="40">
        <v>40806.0</v>
      </c>
      <c r="N2524" s="40">
        <v>40812.0</v>
      </c>
      <c r="O2524" s="15" t="s">
        <v>1554</v>
      </c>
      <c r="Q2524" s="7"/>
    </row>
    <row r="2525">
      <c r="A2525" s="39" t="s">
        <v>11087</v>
      </c>
      <c r="B2525" s="15">
        <v>1084715.0</v>
      </c>
      <c r="C2525" s="15" t="s">
        <v>11088</v>
      </c>
      <c r="D2525" s="15">
        <v>73547.0</v>
      </c>
      <c r="E2525" s="15" t="s">
        <v>1808</v>
      </c>
      <c r="F2525" s="15" t="s">
        <v>2436</v>
      </c>
      <c r="G2525" s="7">
        <v>5.278</v>
      </c>
      <c r="H2525" s="15" t="s">
        <v>1750</v>
      </c>
      <c r="I2525" s="15" t="s">
        <v>1686</v>
      </c>
      <c r="J2525" s="15" t="s">
        <v>11089</v>
      </c>
      <c r="K2525" s="15">
        <v>4.0</v>
      </c>
      <c r="L2525" s="15">
        <v>4.0</v>
      </c>
      <c r="M2525" s="40">
        <v>40804.0</v>
      </c>
      <c r="N2525" s="40">
        <v>40812.0</v>
      </c>
      <c r="O2525" s="15" t="s">
        <v>1554</v>
      </c>
      <c r="Q2525" s="7"/>
    </row>
    <row r="2526">
      <c r="A2526" s="39" t="s">
        <v>11090</v>
      </c>
      <c r="B2526" s="15">
        <v>1084717.0</v>
      </c>
      <c r="C2526" s="15" t="s">
        <v>11091</v>
      </c>
      <c r="D2526" s="15">
        <v>73549.0</v>
      </c>
      <c r="E2526" s="15" t="s">
        <v>1808</v>
      </c>
      <c r="F2526" s="15" t="s">
        <v>2436</v>
      </c>
      <c r="G2526" s="7">
        <v>5.177</v>
      </c>
      <c r="H2526" s="15" t="s">
        <v>5521</v>
      </c>
      <c r="I2526" s="15" t="s">
        <v>1686</v>
      </c>
      <c r="J2526" s="15" t="s">
        <v>11092</v>
      </c>
      <c r="K2526" s="15">
        <v>4.0</v>
      </c>
      <c r="L2526" s="15">
        <v>4.0</v>
      </c>
      <c r="M2526" s="40">
        <v>40804.0</v>
      </c>
      <c r="N2526" s="40">
        <v>40812.0</v>
      </c>
      <c r="O2526" s="15" t="s">
        <v>1554</v>
      </c>
      <c r="Q2526" s="7"/>
    </row>
    <row r="2527">
      <c r="A2527" s="39" t="s">
        <v>11094</v>
      </c>
      <c r="B2527" s="15">
        <v>1080798.0</v>
      </c>
      <c r="C2527" s="15" t="s">
        <v>11095</v>
      </c>
      <c r="D2527" s="15">
        <v>73551.0</v>
      </c>
      <c r="E2527" s="15" t="s">
        <v>1548</v>
      </c>
      <c r="F2527" s="15" t="s">
        <v>1578</v>
      </c>
      <c r="G2527" s="7">
        <v>4.152</v>
      </c>
      <c r="H2527" s="15" t="s">
        <v>3973</v>
      </c>
      <c r="I2527" s="15" t="s">
        <v>1628</v>
      </c>
      <c r="J2527" s="15" t="s">
        <v>11096</v>
      </c>
      <c r="K2527" s="15">
        <v>5.0</v>
      </c>
      <c r="L2527" s="15">
        <v>5.0</v>
      </c>
      <c r="M2527" s="40">
        <v>40803.0</v>
      </c>
      <c r="N2527" s="41">
        <v>41627.0</v>
      </c>
      <c r="O2527" s="15" t="s">
        <v>1554</v>
      </c>
      <c r="Q2527" s="7"/>
    </row>
    <row r="2528">
      <c r="A2528" s="39" t="s">
        <v>11097</v>
      </c>
      <c r="B2528" s="15">
        <v>1046403.0</v>
      </c>
      <c r="C2528" s="15" t="s">
        <v>11098</v>
      </c>
      <c r="D2528" s="15">
        <v>73689.0</v>
      </c>
      <c r="E2528" s="15" t="s">
        <v>1548</v>
      </c>
      <c r="F2528" s="15" t="s">
        <v>1771</v>
      </c>
      <c r="G2528" s="7">
        <v>5.666</v>
      </c>
      <c r="H2528" s="15" t="s">
        <v>5382</v>
      </c>
      <c r="I2528" s="15" t="s">
        <v>1628</v>
      </c>
      <c r="J2528" s="15" t="s">
        <v>11099</v>
      </c>
      <c r="K2528" s="15">
        <v>7.0</v>
      </c>
      <c r="L2528" s="15">
        <v>7.0</v>
      </c>
      <c r="M2528" s="40">
        <v>40808.0</v>
      </c>
      <c r="N2528" s="40">
        <v>42347.0</v>
      </c>
      <c r="O2528" s="15" t="s">
        <v>1554</v>
      </c>
      <c r="Q2528" s="7"/>
    </row>
    <row r="2529">
      <c r="A2529" s="39" t="s">
        <v>11100</v>
      </c>
      <c r="B2529" s="15">
        <v>11620.0</v>
      </c>
      <c r="C2529" s="15" t="s">
        <v>11101</v>
      </c>
      <c r="D2529" s="15">
        <v>14864.0</v>
      </c>
      <c r="E2529" s="15" t="s">
        <v>1548</v>
      </c>
      <c r="F2529" s="15" t="s">
        <v>1838</v>
      </c>
      <c r="G2529" s="7">
        <v>10.681</v>
      </c>
      <c r="H2529" s="15" t="s">
        <v>11102</v>
      </c>
      <c r="I2529" s="15" t="s">
        <v>1567</v>
      </c>
      <c r="J2529" s="15" t="s">
        <v>11103</v>
      </c>
      <c r="K2529" s="15">
        <v>4.0</v>
      </c>
      <c r="L2529" s="15">
        <v>4.0</v>
      </c>
      <c r="M2529" s="40">
        <v>32674.0</v>
      </c>
      <c r="N2529" s="41">
        <v>42297.0</v>
      </c>
      <c r="O2529" s="15" t="s">
        <v>1554</v>
      </c>
      <c r="Q2529" s="7"/>
    </row>
    <row r="2530">
      <c r="A2530" s="39" t="s">
        <v>11105</v>
      </c>
      <c r="B2530" s="15">
        <v>440576.0</v>
      </c>
      <c r="D2530" s="15">
        <v>0.0</v>
      </c>
      <c r="E2530" s="15" t="s">
        <v>4407</v>
      </c>
      <c r="F2530" s="15" t="s">
        <v>1578</v>
      </c>
      <c r="G2530" s="7">
        <v>2.435</v>
      </c>
      <c r="H2530" s="15" t="s">
        <v>3862</v>
      </c>
      <c r="I2530" s="15" t="s">
        <v>1586</v>
      </c>
      <c r="J2530" s="15" t="s">
        <v>11106</v>
      </c>
      <c r="K2530" s="15" t="s">
        <v>1722</v>
      </c>
      <c r="L2530" s="15" t="s">
        <v>1722</v>
      </c>
      <c r="M2530" s="40">
        <v>34131.0</v>
      </c>
      <c r="N2530" s="40">
        <v>39204.0</v>
      </c>
      <c r="O2530" s="15" t="s">
        <v>1554</v>
      </c>
      <c r="Q2530" s="7"/>
    </row>
    <row r="2531">
      <c r="A2531" s="39" t="s">
        <v>11107</v>
      </c>
      <c r="B2531" s="15">
        <v>445693.0</v>
      </c>
      <c r="C2531" s="15" t="s">
        <v>11108</v>
      </c>
      <c r="D2531" s="15">
        <v>29115.0</v>
      </c>
      <c r="E2531" s="15" t="s">
        <v>1557</v>
      </c>
      <c r="F2531" s="15" t="s">
        <v>1611</v>
      </c>
      <c r="G2531" s="7">
        <v>47.741</v>
      </c>
      <c r="H2531" s="15" t="s">
        <v>1607</v>
      </c>
      <c r="I2531" s="15" t="s">
        <v>1586</v>
      </c>
      <c r="J2531" s="15" t="s">
        <v>11109</v>
      </c>
      <c r="K2531" s="15">
        <v>69.0</v>
      </c>
      <c r="L2531" s="15">
        <v>65.0</v>
      </c>
      <c r="M2531" s="41">
        <v>40481.0</v>
      </c>
      <c r="N2531" s="40">
        <v>41107.0</v>
      </c>
      <c r="O2531" s="15" t="s">
        <v>1554</v>
      </c>
      <c r="Q2531" s="7"/>
    </row>
    <row r="2532">
      <c r="A2532" s="39" t="s">
        <v>11111</v>
      </c>
      <c r="B2532" s="15">
        <v>444876.0</v>
      </c>
      <c r="C2532" s="15" t="s">
        <v>11112</v>
      </c>
      <c r="D2532" s="15">
        <v>29121.0</v>
      </c>
      <c r="E2532" s="15" t="s">
        <v>1557</v>
      </c>
      <c r="F2532" s="15" t="s">
        <v>1578</v>
      </c>
      <c r="G2532" s="7">
        <v>45.89</v>
      </c>
      <c r="H2532" s="15" t="s">
        <v>2193</v>
      </c>
      <c r="I2532" s="15" t="s">
        <v>1586</v>
      </c>
      <c r="J2532" s="15" t="s">
        <v>11113</v>
      </c>
      <c r="K2532" s="15">
        <v>59.0</v>
      </c>
      <c r="L2532" s="15">
        <v>56.0</v>
      </c>
      <c r="M2532" s="41">
        <v>40481.0</v>
      </c>
      <c r="N2532" s="40">
        <v>41745.0</v>
      </c>
      <c r="O2532" s="15" t="s">
        <v>1554</v>
      </c>
      <c r="Q2532" s="7"/>
    </row>
    <row r="2533">
      <c r="A2533" s="39" t="s">
        <v>11114</v>
      </c>
      <c r="B2533" s="15">
        <v>444875.0</v>
      </c>
      <c r="C2533" s="15" t="s">
        <v>11115</v>
      </c>
      <c r="D2533" s="15">
        <v>31171.0</v>
      </c>
      <c r="E2533" s="15" t="s">
        <v>1557</v>
      </c>
      <c r="F2533" s="15" t="s">
        <v>1611</v>
      </c>
      <c r="G2533" s="7">
        <v>47.055</v>
      </c>
      <c r="H2533" s="15" t="s">
        <v>2197</v>
      </c>
      <c r="I2533" s="15" t="s">
        <v>1586</v>
      </c>
      <c r="J2533" s="15" t="s">
        <v>11116</v>
      </c>
      <c r="K2533" s="15">
        <v>56.0</v>
      </c>
      <c r="L2533" s="15">
        <v>55.0</v>
      </c>
      <c r="M2533" s="41">
        <v>40481.0</v>
      </c>
      <c r="N2533" s="40">
        <v>42577.0</v>
      </c>
      <c r="O2533" s="15" t="s">
        <v>1554</v>
      </c>
      <c r="Q2533" s="7"/>
    </row>
    <row r="2534">
      <c r="A2534" s="39" t="s">
        <v>11117</v>
      </c>
      <c r="B2534" s="15">
        <v>445692.0</v>
      </c>
      <c r="C2534" s="15" t="s">
        <v>11118</v>
      </c>
      <c r="D2534" s="15">
        <v>31173.0</v>
      </c>
      <c r="E2534" s="15" t="s">
        <v>1557</v>
      </c>
      <c r="F2534" s="15" t="s">
        <v>1611</v>
      </c>
      <c r="G2534" s="7">
        <v>47.536</v>
      </c>
      <c r="H2534" s="15" t="s">
        <v>2320</v>
      </c>
      <c r="I2534" s="15" t="s">
        <v>1586</v>
      </c>
      <c r="J2534" s="15" t="s">
        <v>11120</v>
      </c>
      <c r="K2534" s="15">
        <v>66.0</v>
      </c>
      <c r="L2534" s="15">
        <v>62.0</v>
      </c>
      <c r="M2534" s="41">
        <v>40481.0</v>
      </c>
      <c r="N2534" s="40">
        <v>41109.0</v>
      </c>
      <c r="O2534" s="15" t="s">
        <v>1554</v>
      </c>
      <c r="Q2534" s="7"/>
    </row>
    <row r="2535">
      <c r="A2535" s="39" t="s">
        <v>11121</v>
      </c>
      <c r="B2535" s="15">
        <v>66711.0</v>
      </c>
      <c r="C2535" s="15" t="s">
        <v>11122</v>
      </c>
      <c r="D2535" s="15">
        <v>32381.0</v>
      </c>
      <c r="E2535" s="15" t="s">
        <v>1557</v>
      </c>
      <c r="F2535" s="15" t="s">
        <v>1767</v>
      </c>
      <c r="G2535" s="7">
        <v>167.435</v>
      </c>
      <c r="H2535" s="15" t="s">
        <v>3361</v>
      </c>
      <c r="I2535" s="15" t="s">
        <v>1586</v>
      </c>
      <c r="J2535" s="15" t="s">
        <v>11123</v>
      </c>
      <c r="K2535" s="15">
        <v>291.0</v>
      </c>
      <c r="L2535" s="15">
        <v>281.0</v>
      </c>
      <c r="M2535" s="40">
        <v>40257.0</v>
      </c>
      <c r="N2535" s="41">
        <v>42287.0</v>
      </c>
      <c r="O2535" s="15" t="s">
        <v>1554</v>
      </c>
      <c r="Q2535" s="7"/>
    </row>
    <row r="2536">
      <c r="A2536" s="39" t="s">
        <v>11124</v>
      </c>
      <c r="B2536" s="15">
        <v>669875.0</v>
      </c>
      <c r="C2536" s="15" t="s">
        <v>11125</v>
      </c>
      <c r="D2536" s="15">
        <v>40177.0</v>
      </c>
      <c r="E2536" s="15" t="s">
        <v>1557</v>
      </c>
      <c r="F2536" s="15" t="s">
        <v>1767</v>
      </c>
      <c r="G2536" s="7">
        <v>41.666</v>
      </c>
      <c r="H2536" s="15" t="s">
        <v>1597</v>
      </c>
      <c r="I2536" s="15" t="s">
        <v>1586</v>
      </c>
      <c r="J2536" s="15" t="s">
        <v>11126</v>
      </c>
      <c r="K2536" s="15">
        <v>56.0</v>
      </c>
      <c r="L2536" s="15">
        <v>56.0</v>
      </c>
      <c r="M2536" s="40">
        <v>40282.0</v>
      </c>
      <c r="N2536" s="40">
        <v>42285.0</v>
      </c>
      <c r="O2536" s="15" t="s">
        <v>1554</v>
      </c>
      <c r="Q2536" s="7"/>
    </row>
    <row r="2537">
      <c r="A2537" s="39" t="s">
        <v>11128</v>
      </c>
      <c r="B2537" s="15">
        <v>682650.0</v>
      </c>
      <c r="D2537" s="15">
        <v>0.0</v>
      </c>
      <c r="E2537" s="15" t="s">
        <v>1557</v>
      </c>
      <c r="F2537" s="15" t="s">
        <v>1767</v>
      </c>
      <c r="G2537" s="7">
        <v>232.883</v>
      </c>
      <c r="H2537" s="15" t="s">
        <v>3895</v>
      </c>
      <c r="I2537" s="15" t="s">
        <v>1586</v>
      </c>
      <c r="J2537" s="15" t="s">
        <v>11129</v>
      </c>
      <c r="K2537" s="15">
        <v>310.0</v>
      </c>
      <c r="L2537" s="15">
        <v>304.0</v>
      </c>
      <c r="M2537" s="40">
        <v>41350.0</v>
      </c>
      <c r="N2537" s="40">
        <v>41350.0</v>
      </c>
      <c r="O2537" s="15" t="s">
        <v>1554</v>
      </c>
      <c r="Q2537" s="7"/>
    </row>
    <row r="2538">
      <c r="A2538" s="39" t="s">
        <v>11130</v>
      </c>
      <c r="B2538" s="15">
        <v>682651.0</v>
      </c>
      <c r="D2538" s="15">
        <v>0.0</v>
      </c>
      <c r="E2538" s="15" t="s">
        <v>1557</v>
      </c>
      <c r="F2538" s="15" t="s">
        <v>1767</v>
      </c>
      <c r="G2538" s="7">
        <v>182.368</v>
      </c>
      <c r="H2538" s="15" t="s">
        <v>2304</v>
      </c>
      <c r="I2538" s="15" t="s">
        <v>1586</v>
      </c>
      <c r="J2538" s="15" t="s">
        <v>11131</v>
      </c>
      <c r="K2538" s="15">
        <v>221.0</v>
      </c>
      <c r="L2538" s="15">
        <v>218.0</v>
      </c>
      <c r="M2538" s="40">
        <v>41343.0</v>
      </c>
      <c r="N2538" s="40">
        <v>41343.0</v>
      </c>
      <c r="O2538" s="15" t="s">
        <v>1554</v>
      </c>
      <c r="Q2538" s="7"/>
    </row>
    <row r="2539">
      <c r="A2539" s="39" t="s">
        <v>11132</v>
      </c>
      <c r="B2539" s="15">
        <v>885867.0</v>
      </c>
      <c r="C2539" s="15" t="s">
        <v>11133</v>
      </c>
      <c r="D2539" s="15">
        <v>52443.0</v>
      </c>
      <c r="E2539" s="15" t="s">
        <v>1557</v>
      </c>
      <c r="F2539" s="15" t="s">
        <v>1611</v>
      </c>
      <c r="G2539" s="7">
        <v>47.325</v>
      </c>
      <c r="H2539" s="15" t="s">
        <v>2197</v>
      </c>
      <c r="I2539" s="15" t="s">
        <v>1586</v>
      </c>
      <c r="J2539" s="15" t="s">
        <v>11134</v>
      </c>
      <c r="K2539" s="15">
        <v>52.0</v>
      </c>
      <c r="L2539" s="15">
        <v>49.0</v>
      </c>
      <c r="M2539" s="40">
        <v>41343.0</v>
      </c>
      <c r="N2539" s="40">
        <v>41363.0</v>
      </c>
      <c r="O2539" s="15" t="s">
        <v>1554</v>
      </c>
      <c r="Q2539" s="7"/>
    </row>
    <row r="2540">
      <c r="A2540" s="39" t="s">
        <v>11136</v>
      </c>
      <c r="B2540" s="15">
        <v>929835.0</v>
      </c>
      <c r="C2540" s="15" t="s">
        <v>11137</v>
      </c>
      <c r="D2540" s="15">
        <v>60461.0</v>
      </c>
      <c r="E2540" s="15" t="s">
        <v>1557</v>
      </c>
      <c r="F2540" s="15" t="s">
        <v>1833</v>
      </c>
      <c r="G2540" s="7">
        <v>37.324</v>
      </c>
      <c r="H2540" s="15" t="s">
        <v>2648</v>
      </c>
      <c r="I2540" s="15" t="s">
        <v>1586</v>
      </c>
      <c r="J2540" s="15" t="s">
        <v>11138</v>
      </c>
      <c r="K2540" s="15">
        <v>57.0</v>
      </c>
      <c r="L2540" s="15">
        <v>57.0</v>
      </c>
      <c r="M2540" s="40">
        <v>41435.0</v>
      </c>
      <c r="N2540" s="40">
        <v>41469.0</v>
      </c>
      <c r="O2540" s="15" t="s">
        <v>1554</v>
      </c>
      <c r="Q2540" s="7"/>
    </row>
    <row r="2541">
      <c r="A2541" s="39" t="s">
        <v>11139</v>
      </c>
      <c r="B2541" s="15">
        <v>929834.0</v>
      </c>
      <c r="C2541" s="15" t="s">
        <v>11140</v>
      </c>
      <c r="D2541" s="15">
        <v>60463.0</v>
      </c>
      <c r="E2541" s="15" t="s">
        <v>1557</v>
      </c>
      <c r="F2541" s="15" t="s">
        <v>1767</v>
      </c>
      <c r="G2541" s="7">
        <v>37.378</v>
      </c>
      <c r="H2541" s="15" t="s">
        <v>5273</v>
      </c>
      <c r="I2541" s="15" t="s">
        <v>1586</v>
      </c>
      <c r="J2541" s="15" t="s">
        <v>11141</v>
      </c>
      <c r="K2541" s="15">
        <v>52.0</v>
      </c>
      <c r="L2541" s="15">
        <v>52.0</v>
      </c>
      <c r="M2541" s="40">
        <v>41435.0</v>
      </c>
      <c r="N2541" s="40">
        <v>41469.0</v>
      </c>
      <c r="O2541" s="15" t="s">
        <v>1554</v>
      </c>
      <c r="Q2541" s="7"/>
    </row>
    <row r="2542">
      <c r="A2542" s="39" t="s">
        <v>11142</v>
      </c>
      <c r="B2542" s="15">
        <v>977801.0</v>
      </c>
      <c r="C2542" s="15" t="s">
        <v>11143</v>
      </c>
      <c r="D2542" s="15">
        <v>61185.0</v>
      </c>
      <c r="E2542" s="15" t="s">
        <v>4407</v>
      </c>
      <c r="F2542" s="15" t="s">
        <v>1578</v>
      </c>
      <c r="G2542" s="7">
        <v>30.505</v>
      </c>
      <c r="H2542" s="15" t="s">
        <v>3022</v>
      </c>
      <c r="I2542" s="15" t="s">
        <v>1586</v>
      </c>
      <c r="J2542" s="15" t="s">
        <v>11145</v>
      </c>
      <c r="K2542" s="15">
        <v>48.0</v>
      </c>
      <c r="L2542" s="15">
        <v>48.0</v>
      </c>
      <c r="M2542" s="40">
        <v>40590.0</v>
      </c>
      <c r="N2542" s="40">
        <v>41674.0</v>
      </c>
      <c r="O2542" s="15" t="s">
        <v>1554</v>
      </c>
      <c r="Q2542" s="7"/>
    </row>
    <row r="2543">
      <c r="A2543" s="39" t="s">
        <v>11146</v>
      </c>
      <c r="B2543" s="15">
        <v>1051631.0</v>
      </c>
      <c r="C2543" s="15" t="s">
        <v>11147</v>
      </c>
      <c r="D2543" s="15">
        <v>68129.0</v>
      </c>
      <c r="E2543" s="15" t="s">
        <v>1557</v>
      </c>
      <c r="F2543" s="15" t="s">
        <v>1833</v>
      </c>
      <c r="G2543" s="7">
        <v>40.758</v>
      </c>
      <c r="H2543" s="15" t="s">
        <v>2820</v>
      </c>
      <c r="I2543" s="15" t="s">
        <v>1586</v>
      </c>
      <c r="J2543" s="15" t="s">
        <v>11148</v>
      </c>
      <c r="K2543" s="15">
        <v>55.0</v>
      </c>
      <c r="L2543" s="15">
        <v>55.0</v>
      </c>
      <c r="M2543" s="40">
        <v>40729.0</v>
      </c>
      <c r="N2543" s="40">
        <v>41674.0</v>
      </c>
      <c r="O2543" s="15" t="s">
        <v>1554</v>
      </c>
      <c r="Q2543" s="7"/>
    </row>
    <row r="2544">
      <c r="A2544" s="39" t="s">
        <v>11149</v>
      </c>
      <c r="B2544" s="15">
        <v>913970.0</v>
      </c>
      <c r="C2544" s="15" t="s">
        <v>11150</v>
      </c>
      <c r="D2544" s="15">
        <v>70009.0</v>
      </c>
      <c r="E2544" s="15" t="s">
        <v>1808</v>
      </c>
      <c r="F2544" s="15" t="s">
        <v>3154</v>
      </c>
      <c r="G2544" s="7">
        <v>5.514</v>
      </c>
      <c r="H2544" s="15" t="s">
        <v>3000</v>
      </c>
      <c r="I2544" s="15" t="s">
        <v>1586</v>
      </c>
      <c r="J2544" s="15" t="s">
        <v>11151</v>
      </c>
      <c r="K2544" s="15">
        <v>10.0</v>
      </c>
      <c r="L2544" s="15">
        <v>10.0</v>
      </c>
      <c r="M2544" s="40">
        <v>40723.0</v>
      </c>
      <c r="N2544" s="40">
        <v>41093.0</v>
      </c>
      <c r="O2544" s="15" t="s">
        <v>1554</v>
      </c>
      <c r="Q2544" s="7"/>
    </row>
    <row r="2545">
      <c r="A2545" s="39" t="s">
        <v>11153</v>
      </c>
      <c r="B2545" s="15">
        <v>994672.0</v>
      </c>
      <c r="C2545" s="15" t="s">
        <v>11154</v>
      </c>
      <c r="D2545" s="15">
        <v>70951.0</v>
      </c>
      <c r="E2545" s="15" t="s">
        <v>1557</v>
      </c>
      <c r="F2545" s="15" t="s">
        <v>2628</v>
      </c>
      <c r="G2545" s="7">
        <v>36.838</v>
      </c>
      <c r="H2545" s="15" t="s">
        <v>8179</v>
      </c>
      <c r="I2545" s="15" t="s">
        <v>1686</v>
      </c>
      <c r="J2545" s="15" t="s">
        <v>11155</v>
      </c>
      <c r="K2545" s="15">
        <v>35.0</v>
      </c>
      <c r="L2545" s="15">
        <v>35.0</v>
      </c>
      <c r="M2545" s="40">
        <v>40745.0</v>
      </c>
      <c r="N2545" s="40">
        <v>41404.0</v>
      </c>
      <c r="O2545" s="15" t="s">
        <v>1554</v>
      </c>
      <c r="Q2545" s="7"/>
    </row>
    <row r="2546">
      <c r="A2546" s="39" t="s">
        <v>11156</v>
      </c>
      <c r="B2546" s="15">
        <v>1074213.0</v>
      </c>
      <c r="C2546" s="15" t="s">
        <v>11157</v>
      </c>
      <c r="D2546" s="15">
        <v>72383.0</v>
      </c>
      <c r="E2546" s="15" t="s">
        <v>1548</v>
      </c>
      <c r="F2546" s="15" t="s">
        <v>1776</v>
      </c>
      <c r="G2546" s="7">
        <v>8.198</v>
      </c>
      <c r="H2546" s="15" t="s">
        <v>4614</v>
      </c>
      <c r="I2546" s="15" t="s">
        <v>1686</v>
      </c>
      <c r="J2546" s="15" t="s">
        <v>11158</v>
      </c>
      <c r="K2546" s="15">
        <v>1.0</v>
      </c>
      <c r="L2546" s="15">
        <v>1.0</v>
      </c>
      <c r="M2546" s="40">
        <v>40770.0</v>
      </c>
      <c r="N2546" s="40">
        <v>41093.0</v>
      </c>
      <c r="O2546" s="15" t="s">
        <v>1554</v>
      </c>
      <c r="Q2546" s="7"/>
    </row>
    <row r="2547">
      <c r="A2547" s="39" t="s">
        <v>11159</v>
      </c>
      <c r="B2547" s="15">
        <v>1074325.0</v>
      </c>
      <c r="C2547" s="15" t="s">
        <v>11160</v>
      </c>
      <c r="D2547" s="15">
        <v>72389.0</v>
      </c>
      <c r="E2547" s="15" t="s">
        <v>1638</v>
      </c>
      <c r="F2547" s="15" t="s">
        <v>4692</v>
      </c>
      <c r="G2547" s="7">
        <v>10.438</v>
      </c>
      <c r="H2547" s="15">
        <v>43.0</v>
      </c>
      <c r="I2547" s="15" t="s">
        <v>1552</v>
      </c>
      <c r="J2547" s="15" t="s">
        <v>11162</v>
      </c>
      <c r="K2547" s="15">
        <v>1.0</v>
      </c>
      <c r="L2547" s="15">
        <v>1.0</v>
      </c>
      <c r="M2547" s="40">
        <v>40769.0</v>
      </c>
      <c r="N2547" s="41">
        <v>40896.0</v>
      </c>
      <c r="O2547" s="15" t="s">
        <v>1554</v>
      </c>
      <c r="Q2547" s="7"/>
    </row>
    <row r="2548">
      <c r="A2548" s="39" t="s">
        <v>11163</v>
      </c>
      <c r="B2548" s="15">
        <v>983437.0</v>
      </c>
      <c r="C2548" s="15" t="s">
        <v>11164</v>
      </c>
      <c r="D2548" s="15">
        <v>72721.0</v>
      </c>
      <c r="E2548" s="15" t="s">
        <v>1808</v>
      </c>
      <c r="F2548" s="15" t="s">
        <v>1809</v>
      </c>
      <c r="G2548" s="7">
        <v>5.23</v>
      </c>
      <c r="H2548" s="15" t="s">
        <v>11165</v>
      </c>
      <c r="I2548" s="15" t="s">
        <v>1628</v>
      </c>
      <c r="J2548" s="15" t="s">
        <v>11166</v>
      </c>
      <c r="K2548" s="15">
        <v>6.0</v>
      </c>
      <c r="L2548" s="15">
        <v>6.0</v>
      </c>
      <c r="M2548" s="40">
        <v>40589.0</v>
      </c>
      <c r="N2548" s="41">
        <v>42297.0</v>
      </c>
      <c r="O2548" s="15" t="s">
        <v>1554</v>
      </c>
      <c r="Q2548" s="7"/>
    </row>
    <row r="2549">
      <c r="A2549" s="39" t="s">
        <v>11168</v>
      </c>
      <c r="B2549" s="15">
        <v>414528.0</v>
      </c>
      <c r="C2549" s="15" t="s">
        <v>11169</v>
      </c>
      <c r="D2549" s="15">
        <v>73825.0</v>
      </c>
      <c r="E2549" s="15" t="s">
        <v>1548</v>
      </c>
      <c r="F2549" s="15" t="s">
        <v>1911</v>
      </c>
      <c r="G2549" s="7">
        <v>9.595</v>
      </c>
      <c r="H2549" s="15" t="s">
        <v>2049</v>
      </c>
      <c r="I2549" s="15" t="s">
        <v>1628</v>
      </c>
      <c r="J2549" s="15" t="s">
        <v>11170</v>
      </c>
      <c r="K2549" s="15">
        <v>2.0</v>
      </c>
      <c r="L2549" s="15">
        <v>2.0</v>
      </c>
      <c r="M2549" s="40">
        <v>40819.0</v>
      </c>
      <c r="N2549" s="40">
        <v>42045.0</v>
      </c>
      <c r="O2549" s="15" t="s">
        <v>1554</v>
      </c>
      <c r="Q2549" s="7"/>
    </row>
    <row r="2550">
      <c r="A2550" s="39" t="s">
        <v>11171</v>
      </c>
      <c r="B2550" s="15">
        <v>889338.0</v>
      </c>
      <c r="C2550" s="15" t="s">
        <v>11172</v>
      </c>
      <c r="D2550" s="15">
        <v>74359.0</v>
      </c>
      <c r="E2550" s="15" t="s">
        <v>1557</v>
      </c>
      <c r="F2550" s="15" t="s">
        <v>1767</v>
      </c>
      <c r="G2550" s="7">
        <v>145.964</v>
      </c>
      <c r="H2550" s="15" t="s">
        <v>8889</v>
      </c>
      <c r="I2550" s="15" t="s">
        <v>1586</v>
      </c>
      <c r="J2550" s="15" t="s">
        <v>11173</v>
      </c>
      <c r="K2550" s="15">
        <v>268.0</v>
      </c>
      <c r="L2550" s="15">
        <v>244.0</v>
      </c>
      <c r="M2550" s="40">
        <v>40784.0</v>
      </c>
      <c r="N2550" s="41">
        <v>40892.0</v>
      </c>
      <c r="O2550" s="15" t="s">
        <v>1554</v>
      </c>
      <c r="Q2550" s="7"/>
    </row>
    <row r="2551">
      <c r="A2551" s="39" t="s">
        <v>11175</v>
      </c>
      <c r="B2551" s="15">
        <v>1094892.0</v>
      </c>
      <c r="C2551" s="15" t="s">
        <v>11176</v>
      </c>
      <c r="D2551" s="15">
        <v>74349.0</v>
      </c>
      <c r="E2551" s="15" t="s">
        <v>1557</v>
      </c>
      <c r="F2551" s="15" t="s">
        <v>2679</v>
      </c>
      <c r="G2551" s="7">
        <v>-234087.0</v>
      </c>
      <c r="H2551" s="42">
        <v>43156.0</v>
      </c>
      <c r="I2551" s="15" t="s">
        <v>1740</v>
      </c>
      <c r="J2551" s="15" t="s">
        <v>11177</v>
      </c>
      <c r="K2551" s="15">
        <v>1123.0</v>
      </c>
      <c r="L2551" s="15">
        <v>1120.0</v>
      </c>
      <c r="M2551" s="41">
        <v>40828.0</v>
      </c>
      <c r="N2551" s="40">
        <v>42583.0</v>
      </c>
      <c r="O2551" s="15" t="s">
        <v>2353</v>
      </c>
      <c r="Q2551" s="7"/>
    </row>
    <row r="2552">
      <c r="A2552" s="39" t="s">
        <v>11178</v>
      </c>
      <c r="B2552" s="15">
        <v>1080800.0</v>
      </c>
      <c r="C2552" s="15" t="s">
        <v>11179</v>
      </c>
      <c r="D2552" s="15">
        <v>74351.0</v>
      </c>
      <c r="E2552" s="15" t="s">
        <v>1557</v>
      </c>
      <c r="F2552" s="15" t="s">
        <v>1767</v>
      </c>
      <c r="G2552" s="7">
        <v>157.95</v>
      </c>
      <c r="H2552" s="15" t="s">
        <v>2877</v>
      </c>
      <c r="I2552" s="15" t="s">
        <v>1586</v>
      </c>
      <c r="J2552" s="15" t="s">
        <v>11180</v>
      </c>
      <c r="K2552" s="15">
        <v>201.0</v>
      </c>
      <c r="L2552" s="15">
        <v>201.0</v>
      </c>
      <c r="M2552" s="40">
        <v>40816.0</v>
      </c>
      <c r="N2552" s="41">
        <v>40905.0</v>
      </c>
      <c r="O2552" s="15" t="s">
        <v>1554</v>
      </c>
      <c r="Q2552" s="7"/>
    </row>
    <row r="2553">
      <c r="A2553" s="39" t="s">
        <v>11181</v>
      </c>
      <c r="B2553" s="15">
        <v>1087108.0</v>
      </c>
      <c r="C2553" s="15" t="s">
        <v>11182</v>
      </c>
      <c r="D2553" s="15">
        <v>74353.0</v>
      </c>
      <c r="E2553" s="15" t="s">
        <v>1557</v>
      </c>
      <c r="F2553" s="15" t="s">
        <v>1822</v>
      </c>
      <c r="G2553" s="7">
        <v>7.873</v>
      </c>
      <c r="H2553" s="15">
        <v>51.0</v>
      </c>
      <c r="I2553" s="15" t="s">
        <v>1686</v>
      </c>
      <c r="J2553" s="15" t="s">
        <v>11183</v>
      </c>
      <c r="K2553" s="15">
        <v>7.0</v>
      </c>
      <c r="L2553" s="15">
        <v>7.0</v>
      </c>
      <c r="M2553" s="40">
        <v>40824.0</v>
      </c>
      <c r="N2553" s="40">
        <v>41115.0</v>
      </c>
      <c r="O2553" s="15" t="s">
        <v>1554</v>
      </c>
      <c r="Q2553" s="7"/>
    </row>
    <row r="2554">
      <c r="A2554" s="39" t="s">
        <v>11185</v>
      </c>
      <c r="B2554" s="15">
        <v>1087109.0</v>
      </c>
      <c r="C2554" s="15" t="s">
        <v>11186</v>
      </c>
      <c r="D2554" s="15">
        <v>74355.0</v>
      </c>
      <c r="E2554" s="15" t="s">
        <v>1557</v>
      </c>
      <c r="F2554" s="15" t="s">
        <v>1822</v>
      </c>
      <c r="G2554" s="7">
        <v>7.774</v>
      </c>
      <c r="H2554" s="15" t="s">
        <v>5521</v>
      </c>
      <c r="I2554" s="15" t="s">
        <v>1686</v>
      </c>
      <c r="J2554" s="15" t="s">
        <v>11187</v>
      </c>
      <c r="K2554" s="15">
        <v>7.0</v>
      </c>
      <c r="L2554" s="15">
        <v>7.0</v>
      </c>
      <c r="M2554" s="40">
        <v>40824.0</v>
      </c>
      <c r="N2554" s="41">
        <v>40892.0</v>
      </c>
      <c r="O2554" s="15" t="s">
        <v>1554</v>
      </c>
      <c r="Q2554" s="7"/>
    </row>
    <row r="2555">
      <c r="A2555" s="39" t="s">
        <v>11188</v>
      </c>
      <c r="B2555" s="15">
        <v>195060.0</v>
      </c>
      <c r="C2555" s="15" t="s">
        <v>11189</v>
      </c>
      <c r="D2555" s="15">
        <v>74995.0</v>
      </c>
      <c r="E2555" s="15" t="s">
        <v>1548</v>
      </c>
      <c r="F2555" s="15" t="s">
        <v>1890</v>
      </c>
      <c r="G2555" s="7">
        <v>12.875</v>
      </c>
      <c r="H2555" s="15" t="s">
        <v>1943</v>
      </c>
      <c r="I2555" s="15" t="s">
        <v>2034</v>
      </c>
      <c r="J2555" s="15" t="s">
        <v>11190</v>
      </c>
      <c r="K2555" s="15">
        <v>9.0</v>
      </c>
      <c r="L2555" s="15">
        <v>7.0</v>
      </c>
      <c r="M2555" s="40">
        <v>40275.0</v>
      </c>
      <c r="N2555" s="40">
        <v>42045.0</v>
      </c>
      <c r="O2555" s="15" t="s">
        <v>1554</v>
      </c>
      <c r="Q2555" s="7"/>
    </row>
    <row r="2556">
      <c r="A2556" s="39" t="s">
        <v>11191</v>
      </c>
      <c r="B2556" s="15">
        <v>1093773.0</v>
      </c>
      <c r="C2556" s="15" t="s">
        <v>11192</v>
      </c>
      <c r="D2556" s="15">
        <v>74427.0</v>
      </c>
      <c r="E2556" s="15" t="s">
        <v>1548</v>
      </c>
      <c r="F2556" s="15" t="s">
        <v>1786</v>
      </c>
      <c r="G2556" s="7">
        <v>8.315</v>
      </c>
      <c r="H2556" s="15" t="s">
        <v>2000</v>
      </c>
      <c r="I2556" s="15" t="s">
        <v>1628</v>
      </c>
      <c r="J2556" s="15" t="s">
        <v>11194</v>
      </c>
      <c r="K2556" s="15">
        <v>6.0</v>
      </c>
      <c r="L2556" s="15">
        <v>6.0</v>
      </c>
      <c r="M2556" s="41">
        <v>40833.0</v>
      </c>
      <c r="N2556" s="41">
        <v>40861.0</v>
      </c>
      <c r="O2556" s="15" t="s">
        <v>1554</v>
      </c>
      <c r="Q2556" s="7"/>
    </row>
    <row r="2557">
      <c r="A2557" s="39" t="s">
        <v>11195</v>
      </c>
      <c r="B2557" s="15">
        <v>71032.0</v>
      </c>
      <c r="C2557" s="15" t="s">
        <v>11196</v>
      </c>
      <c r="D2557" s="15">
        <v>74429.0</v>
      </c>
      <c r="E2557" s="15" t="s">
        <v>1548</v>
      </c>
      <c r="F2557" s="15" t="s">
        <v>1790</v>
      </c>
      <c r="G2557" s="7">
        <v>13.384</v>
      </c>
      <c r="H2557" s="15" t="s">
        <v>1818</v>
      </c>
      <c r="I2557" s="15" t="s">
        <v>1628</v>
      </c>
      <c r="J2557" s="15" t="s">
        <v>11197</v>
      </c>
      <c r="K2557" s="15">
        <v>7.0</v>
      </c>
      <c r="L2557" s="15">
        <v>7.0</v>
      </c>
      <c r="M2557" s="41">
        <v>40826.0</v>
      </c>
      <c r="N2557" s="40">
        <v>40956.0</v>
      </c>
      <c r="O2557" s="15" t="s">
        <v>1554</v>
      </c>
      <c r="Q2557" s="7"/>
    </row>
    <row r="2558">
      <c r="A2558" s="39" t="s">
        <v>11198</v>
      </c>
      <c r="B2558" s="15">
        <v>1093958.0</v>
      </c>
      <c r="C2558" s="15" t="s">
        <v>11199</v>
      </c>
      <c r="D2558" s="15">
        <v>74527.0</v>
      </c>
      <c r="E2558" s="15" t="s">
        <v>1808</v>
      </c>
      <c r="F2558" s="15" t="s">
        <v>1809</v>
      </c>
      <c r="G2558" s="7">
        <v>5.222</v>
      </c>
      <c r="H2558" s="15" t="s">
        <v>11200</v>
      </c>
      <c r="I2558" s="15" t="s">
        <v>1628</v>
      </c>
      <c r="J2558" s="15" t="s">
        <v>11201</v>
      </c>
      <c r="K2558" s="15">
        <v>7.0</v>
      </c>
      <c r="L2558" s="15">
        <v>7.0</v>
      </c>
      <c r="M2558" s="41">
        <v>40834.0</v>
      </c>
      <c r="N2558" s="41">
        <v>42297.0</v>
      </c>
      <c r="O2558" s="15" t="s">
        <v>1554</v>
      </c>
      <c r="Q2558" s="7"/>
    </row>
    <row r="2559">
      <c r="A2559" s="39" t="s">
        <v>11202</v>
      </c>
      <c r="B2559" s="15">
        <v>1094249.0</v>
      </c>
      <c r="C2559" s="15" t="s">
        <v>11203</v>
      </c>
      <c r="D2559" s="15">
        <v>74579.0</v>
      </c>
      <c r="E2559" s="15" t="s">
        <v>1548</v>
      </c>
      <c r="F2559" s="15" t="s">
        <v>1578</v>
      </c>
      <c r="G2559" s="7">
        <v>14.153</v>
      </c>
      <c r="H2559" s="15" t="s">
        <v>11205</v>
      </c>
      <c r="I2559" s="15" t="s">
        <v>1628</v>
      </c>
      <c r="J2559" s="15" t="s">
        <v>11206</v>
      </c>
      <c r="K2559" s="15">
        <v>7.0</v>
      </c>
      <c r="L2559" s="15">
        <v>7.0</v>
      </c>
      <c r="M2559" s="41">
        <v>40835.0</v>
      </c>
      <c r="N2559" s="41">
        <v>42297.0</v>
      </c>
      <c r="O2559" s="15" t="s">
        <v>1554</v>
      </c>
      <c r="Q2559" s="7"/>
    </row>
    <row r="2560">
      <c r="A2560" s="39" t="s">
        <v>11207</v>
      </c>
      <c r="B2560" s="15">
        <v>883876.0</v>
      </c>
      <c r="C2560" s="15" t="s">
        <v>11208</v>
      </c>
      <c r="D2560" s="15">
        <v>76617.0</v>
      </c>
      <c r="E2560" s="15" t="s">
        <v>1548</v>
      </c>
      <c r="F2560" s="15" t="s">
        <v>1838</v>
      </c>
      <c r="G2560" s="7">
        <v>10.607</v>
      </c>
      <c r="H2560" s="15" t="s">
        <v>11209</v>
      </c>
      <c r="I2560" s="15" t="s">
        <v>1567</v>
      </c>
      <c r="J2560" s="15" t="s">
        <v>11210</v>
      </c>
      <c r="K2560" s="15">
        <v>4.0</v>
      </c>
      <c r="L2560" s="15">
        <v>4.0</v>
      </c>
      <c r="M2560" s="40">
        <v>40822.0</v>
      </c>
      <c r="N2560" s="40">
        <v>40935.0</v>
      </c>
      <c r="O2560" s="15" t="s">
        <v>1554</v>
      </c>
      <c r="Q2560" s="7"/>
    </row>
    <row r="2561">
      <c r="A2561" s="39" t="s">
        <v>11212</v>
      </c>
      <c r="B2561" s="15">
        <v>683172.0</v>
      </c>
      <c r="C2561" s="15" t="s">
        <v>11213</v>
      </c>
      <c r="D2561" s="15">
        <v>76723.0</v>
      </c>
      <c r="E2561" s="15" t="s">
        <v>1548</v>
      </c>
      <c r="F2561" s="15" t="s">
        <v>1848</v>
      </c>
      <c r="G2561" s="7">
        <v>6.119</v>
      </c>
      <c r="H2561" s="15" t="s">
        <v>2019</v>
      </c>
      <c r="I2561" s="15" t="s">
        <v>1686</v>
      </c>
      <c r="J2561" s="15" t="s">
        <v>11214</v>
      </c>
      <c r="K2561" s="15">
        <v>3.0</v>
      </c>
      <c r="L2561" s="15">
        <v>3.0</v>
      </c>
      <c r="M2561" s="40">
        <v>40852.0</v>
      </c>
      <c r="N2561" s="40">
        <v>40980.0</v>
      </c>
      <c r="O2561" s="15" t="s">
        <v>1554</v>
      </c>
      <c r="Q2561" s="7"/>
    </row>
    <row r="2562">
      <c r="A2562" s="39" t="s">
        <v>11215</v>
      </c>
      <c r="B2562" s="15">
        <v>1108810.0</v>
      </c>
      <c r="C2562" s="15" t="s">
        <v>11216</v>
      </c>
      <c r="D2562" s="15">
        <v>76725.0</v>
      </c>
      <c r="E2562" s="15" t="s">
        <v>1548</v>
      </c>
      <c r="F2562" s="15" t="s">
        <v>1776</v>
      </c>
      <c r="G2562" s="7">
        <v>7.391</v>
      </c>
      <c r="H2562" s="15" t="s">
        <v>2263</v>
      </c>
      <c r="I2562" s="15" t="s">
        <v>1686</v>
      </c>
      <c r="J2562" s="15" t="s">
        <v>11217</v>
      </c>
      <c r="K2562" s="15">
        <v>1.0</v>
      </c>
      <c r="L2562" s="15">
        <v>1.0</v>
      </c>
      <c r="M2562" s="40">
        <v>40854.0</v>
      </c>
      <c r="N2562" s="41">
        <v>40892.0</v>
      </c>
      <c r="O2562" s="15" t="s">
        <v>1554</v>
      </c>
      <c r="Q2562" s="7"/>
    </row>
    <row r="2563">
      <c r="A2563" s="39" t="s">
        <v>11218</v>
      </c>
      <c r="B2563" s="15">
        <v>1055684.0</v>
      </c>
      <c r="C2563" s="15" t="s">
        <v>11220</v>
      </c>
      <c r="D2563" s="15">
        <v>76727.0</v>
      </c>
      <c r="E2563" s="15" t="s">
        <v>1557</v>
      </c>
      <c r="F2563" s="15" t="s">
        <v>1822</v>
      </c>
      <c r="G2563" s="7">
        <v>7.326</v>
      </c>
      <c r="H2563" s="15">
        <v>38.0</v>
      </c>
      <c r="I2563" s="15" t="s">
        <v>1686</v>
      </c>
      <c r="J2563" s="15" t="s">
        <v>11221</v>
      </c>
      <c r="K2563" s="15">
        <v>7.0</v>
      </c>
      <c r="L2563" s="15">
        <v>7.0</v>
      </c>
      <c r="M2563" s="40">
        <v>40855.0</v>
      </c>
      <c r="N2563" s="41">
        <v>40877.0</v>
      </c>
      <c r="O2563" s="15" t="s">
        <v>1554</v>
      </c>
      <c r="Q2563" s="7"/>
    </row>
    <row r="2564">
      <c r="A2564" s="39" t="s">
        <v>11222</v>
      </c>
      <c r="B2564" s="15">
        <v>906669.0</v>
      </c>
      <c r="C2564" s="15" t="s">
        <v>11223</v>
      </c>
      <c r="D2564" s="15">
        <v>76729.0</v>
      </c>
      <c r="E2564" s="15" t="s">
        <v>1557</v>
      </c>
      <c r="F2564" s="15" t="s">
        <v>1833</v>
      </c>
      <c r="G2564" s="7">
        <v>49.576</v>
      </c>
      <c r="H2564" s="15" t="s">
        <v>4521</v>
      </c>
      <c r="I2564" s="15" t="s">
        <v>1586</v>
      </c>
      <c r="J2564" s="15" t="s">
        <v>11224</v>
      </c>
      <c r="K2564" s="15">
        <v>76.0</v>
      </c>
      <c r="L2564" s="15">
        <v>76.0</v>
      </c>
      <c r="M2564" s="41">
        <v>40838.0</v>
      </c>
      <c r="N2564" s="41">
        <v>40857.0</v>
      </c>
      <c r="O2564" s="15" t="s">
        <v>1554</v>
      </c>
      <c r="Q2564" s="7"/>
    </row>
    <row r="2565">
      <c r="A2565" s="39" t="s">
        <v>11225</v>
      </c>
      <c r="B2565" s="15">
        <v>1080799.0</v>
      </c>
      <c r="C2565" s="15" t="s">
        <v>11226</v>
      </c>
      <c r="D2565" s="15">
        <v>76731.0</v>
      </c>
      <c r="E2565" s="15" t="s">
        <v>1548</v>
      </c>
      <c r="F2565" s="15" t="s">
        <v>1911</v>
      </c>
      <c r="G2565" s="7">
        <v>9.626</v>
      </c>
      <c r="H2565" s="15" t="s">
        <v>1943</v>
      </c>
      <c r="I2565" s="15" t="s">
        <v>1628</v>
      </c>
      <c r="J2565" s="15" t="s">
        <v>11227</v>
      </c>
      <c r="K2565" s="15">
        <v>1.0</v>
      </c>
      <c r="L2565" s="15">
        <v>1.0</v>
      </c>
      <c r="M2565" s="40">
        <v>40854.0</v>
      </c>
      <c r="N2565" s="40">
        <v>41494.0</v>
      </c>
      <c r="O2565" s="15" t="s">
        <v>1554</v>
      </c>
      <c r="Q2565" s="7"/>
    </row>
    <row r="2566">
      <c r="A2566" s="39" t="s">
        <v>11229</v>
      </c>
      <c r="B2566" s="15">
        <v>906668.0</v>
      </c>
      <c r="C2566" s="15" t="s">
        <v>11230</v>
      </c>
      <c r="D2566" s="15">
        <v>76733.0</v>
      </c>
      <c r="E2566" s="15" t="s">
        <v>1557</v>
      </c>
      <c r="F2566" s="15" t="s">
        <v>1833</v>
      </c>
      <c r="G2566" s="7">
        <v>36.661</v>
      </c>
      <c r="H2566" s="15" t="s">
        <v>3304</v>
      </c>
      <c r="I2566" s="15" t="s">
        <v>1586</v>
      </c>
      <c r="J2566" s="15" t="s">
        <v>11231</v>
      </c>
      <c r="K2566" s="15">
        <v>58.0</v>
      </c>
      <c r="L2566" s="15">
        <v>58.0</v>
      </c>
      <c r="M2566" s="41">
        <v>40838.0</v>
      </c>
      <c r="N2566" s="41">
        <v>40857.0</v>
      </c>
      <c r="O2566" s="15" t="s">
        <v>1554</v>
      </c>
      <c r="Q2566" s="7"/>
    </row>
    <row r="2567">
      <c r="A2567" s="39" t="s">
        <v>11232</v>
      </c>
      <c r="B2567" s="15">
        <v>1108070.0</v>
      </c>
      <c r="C2567" s="15" t="s">
        <v>11233</v>
      </c>
      <c r="D2567" s="15">
        <v>76735.0</v>
      </c>
      <c r="E2567" s="15" t="s">
        <v>1557</v>
      </c>
      <c r="F2567" s="15" t="s">
        <v>1833</v>
      </c>
      <c r="G2567" s="7">
        <v>38.013</v>
      </c>
      <c r="H2567" s="15" t="s">
        <v>1782</v>
      </c>
      <c r="I2567" s="15" t="s">
        <v>1586</v>
      </c>
      <c r="J2567" s="15" t="s">
        <v>11234</v>
      </c>
      <c r="K2567" s="15">
        <v>57.0</v>
      </c>
      <c r="L2567" s="15">
        <v>57.0</v>
      </c>
      <c r="M2567" s="40">
        <v>40854.0</v>
      </c>
      <c r="N2567" s="40">
        <v>41123.0</v>
      </c>
      <c r="O2567" s="15" t="s">
        <v>1554</v>
      </c>
      <c r="Q2567" s="7"/>
    </row>
    <row r="2568">
      <c r="A2568" s="39" t="s">
        <v>11235</v>
      </c>
      <c r="B2568" s="15">
        <v>1105327.0</v>
      </c>
      <c r="C2568" s="15" t="s">
        <v>11237</v>
      </c>
      <c r="D2568" s="15">
        <v>76737.0</v>
      </c>
      <c r="E2568" s="15" t="s">
        <v>1808</v>
      </c>
      <c r="F2568" s="15" t="s">
        <v>2969</v>
      </c>
      <c r="G2568" s="7">
        <v>7.103</v>
      </c>
      <c r="H2568" s="15" t="s">
        <v>1912</v>
      </c>
      <c r="I2568" s="15" t="s">
        <v>1586</v>
      </c>
      <c r="J2568" s="15" t="s">
        <v>11238</v>
      </c>
      <c r="K2568" s="15">
        <v>11.0</v>
      </c>
      <c r="L2568" s="15">
        <v>11.0</v>
      </c>
      <c r="M2568" s="40">
        <v>40852.0</v>
      </c>
      <c r="N2568" s="41">
        <v>40876.0</v>
      </c>
      <c r="O2568" s="15" t="s">
        <v>1554</v>
      </c>
      <c r="Q2568" s="7"/>
    </row>
    <row r="2569">
      <c r="A2569" s="39" t="s">
        <v>11239</v>
      </c>
      <c r="B2569" s="15">
        <v>331278.0</v>
      </c>
      <c r="C2569" s="15" t="s">
        <v>11240</v>
      </c>
      <c r="D2569" s="15">
        <v>76739.0</v>
      </c>
      <c r="E2569" s="15" t="s">
        <v>1557</v>
      </c>
      <c r="F2569" s="15" t="s">
        <v>1767</v>
      </c>
      <c r="G2569" s="7">
        <v>262.391</v>
      </c>
      <c r="H2569" s="15" t="s">
        <v>11241</v>
      </c>
      <c r="I2569" s="15" t="s">
        <v>1586</v>
      </c>
      <c r="J2569" s="15" t="s">
        <v>11242</v>
      </c>
      <c r="K2569" s="15">
        <v>372.0</v>
      </c>
      <c r="L2569" s="15">
        <v>367.0</v>
      </c>
      <c r="M2569" s="40">
        <v>38505.0</v>
      </c>
      <c r="N2569" s="40">
        <v>41075.0</v>
      </c>
      <c r="O2569" s="15" t="s">
        <v>1554</v>
      </c>
      <c r="Q2569" s="7"/>
    </row>
    <row r="2570">
      <c r="A2570" s="39" t="s">
        <v>11243</v>
      </c>
      <c r="B2570" s="15">
        <v>909297.0</v>
      </c>
      <c r="C2570" s="15" t="s">
        <v>11244</v>
      </c>
      <c r="D2570" s="15">
        <v>76741.0</v>
      </c>
      <c r="E2570" s="15" t="s">
        <v>1557</v>
      </c>
      <c r="F2570" s="15" t="s">
        <v>1833</v>
      </c>
      <c r="G2570" s="7">
        <v>30.332</v>
      </c>
      <c r="H2570" s="15" t="s">
        <v>6183</v>
      </c>
      <c r="I2570" s="15" t="s">
        <v>1586</v>
      </c>
      <c r="J2570" s="15" t="s">
        <v>11246</v>
      </c>
      <c r="K2570" s="15">
        <v>43.0</v>
      </c>
      <c r="L2570" s="15">
        <v>43.0</v>
      </c>
      <c r="M2570" s="40">
        <v>40848.0</v>
      </c>
      <c r="N2570" s="40">
        <v>40948.0</v>
      </c>
      <c r="O2570" s="15" t="s">
        <v>1554</v>
      </c>
      <c r="Q2570" s="7"/>
    </row>
    <row r="2571">
      <c r="A2571" s="39" t="s">
        <v>11247</v>
      </c>
      <c r="B2571" s="15">
        <v>1105286.0</v>
      </c>
      <c r="C2571" s="15" t="s">
        <v>11248</v>
      </c>
      <c r="D2571" s="15">
        <v>76743.0</v>
      </c>
      <c r="E2571" s="15" t="s">
        <v>1557</v>
      </c>
      <c r="F2571" s="15" t="s">
        <v>1833</v>
      </c>
      <c r="G2571" s="7">
        <v>39.283</v>
      </c>
      <c r="H2571" s="15" t="s">
        <v>9199</v>
      </c>
      <c r="I2571" s="15" t="s">
        <v>1586</v>
      </c>
      <c r="J2571" s="15" t="s">
        <v>11249</v>
      </c>
      <c r="K2571" s="15">
        <v>58.0</v>
      </c>
      <c r="L2571" s="15">
        <v>58.0</v>
      </c>
      <c r="M2571" s="40">
        <v>40849.0</v>
      </c>
      <c r="N2571" s="41">
        <v>40857.0</v>
      </c>
      <c r="O2571" s="15" t="s">
        <v>1554</v>
      </c>
      <c r="Q2571" s="7"/>
    </row>
    <row r="2572">
      <c r="A2572" s="39" t="s">
        <v>11250</v>
      </c>
      <c r="B2572" s="15">
        <v>1100814.0</v>
      </c>
      <c r="C2572" s="15" t="s">
        <v>11251</v>
      </c>
      <c r="D2572" s="15">
        <v>76745.0</v>
      </c>
      <c r="E2572" s="15" t="s">
        <v>1557</v>
      </c>
      <c r="F2572" s="15" t="s">
        <v>1833</v>
      </c>
      <c r="G2572" s="7">
        <v>74.431</v>
      </c>
      <c r="H2572" s="15" t="s">
        <v>3220</v>
      </c>
      <c r="I2572" s="15" t="s">
        <v>1586</v>
      </c>
      <c r="J2572" s="15" t="s">
        <v>11252</v>
      </c>
      <c r="K2572" s="15">
        <v>104.0</v>
      </c>
      <c r="L2572" s="15">
        <v>103.0</v>
      </c>
      <c r="M2572" s="41">
        <v>40847.0</v>
      </c>
      <c r="N2572" s="41">
        <v>40876.0</v>
      </c>
      <c r="O2572" s="15" t="s">
        <v>1554</v>
      </c>
      <c r="Q2572" s="7"/>
    </row>
    <row r="2573">
      <c r="A2573" s="39" t="s">
        <v>11253</v>
      </c>
      <c r="B2573" s="15">
        <v>1089138.0</v>
      </c>
      <c r="C2573" s="15" t="s">
        <v>11254</v>
      </c>
      <c r="D2573" s="15">
        <v>77133.0</v>
      </c>
      <c r="E2573" s="15" t="s">
        <v>1548</v>
      </c>
      <c r="F2573" s="15" t="s">
        <v>1776</v>
      </c>
      <c r="G2573" s="7">
        <v>8.159</v>
      </c>
      <c r="H2573" s="15" t="s">
        <v>8889</v>
      </c>
      <c r="I2573" s="15" t="s">
        <v>1686</v>
      </c>
      <c r="J2573" s="15" t="s">
        <v>11256</v>
      </c>
      <c r="K2573" s="15">
        <v>1.0</v>
      </c>
      <c r="L2573" s="15">
        <v>1.0</v>
      </c>
      <c r="M2573" s="41">
        <v>40862.0</v>
      </c>
      <c r="N2573" s="40">
        <v>41305.0</v>
      </c>
      <c r="O2573" s="15" t="s">
        <v>1554</v>
      </c>
      <c r="Q2573" s="7"/>
    </row>
    <row r="2574">
      <c r="A2574" s="39" t="s">
        <v>11257</v>
      </c>
      <c r="B2574" s="15">
        <v>1111710.0</v>
      </c>
      <c r="C2574" s="15" t="s">
        <v>11258</v>
      </c>
      <c r="D2574" s="15">
        <v>77135.0</v>
      </c>
      <c r="E2574" s="15" t="s">
        <v>1548</v>
      </c>
      <c r="F2574" s="15" t="s">
        <v>2374</v>
      </c>
      <c r="G2574" s="7">
        <v>10.347</v>
      </c>
      <c r="H2574" s="15" t="s">
        <v>3895</v>
      </c>
      <c r="I2574" s="15" t="s">
        <v>1560</v>
      </c>
      <c r="J2574" s="15" t="s">
        <v>11259</v>
      </c>
      <c r="K2574" s="15">
        <v>1.0</v>
      </c>
      <c r="L2574" s="15">
        <v>1.0</v>
      </c>
      <c r="M2574" s="41">
        <v>40862.0</v>
      </c>
      <c r="N2574" s="41">
        <v>40865.0</v>
      </c>
      <c r="O2574" s="15" t="s">
        <v>1554</v>
      </c>
      <c r="Q2574" s="7"/>
    </row>
    <row r="2575">
      <c r="A2575" s="39" t="s">
        <v>11261</v>
      </c>
      <c r="B2575" s="15">
        <v>1112770.0</v>
      </c>
      <c r="C2575" s="15" t="s">
        <v>11262</v>
      </c>
      <c r="D2575" s="15">
        <v>77137.0</v>
      </c>
      <c r="E2575" s="15" t="s">
        <v>1548</v>
      </c>
      <c r="F2575" s="15" t="s">
        <v>1786</v>
      </c>
      <c r="G2575" s="7">
        <v>7.488</v>
      </c>
      <c r="H2575" s="15" t="s">
        <v>5934</v>
      </c>
      <c r="I2575" s="15" t="s">
        <v>1628</v>
      </c>
      <c r="J2575" s="15" t="s">
        <v>11263</v>
      </c>
      <c r="K2575" s="15">
        <v>5.0</v>
      </c>
      <c r="L2575" s="15">
        <v>5.0</v>
      </c>
      <c r="M2575" s="41">
        <v>40862.0</v>
      </c>
      <c r="N2575" s="40">
        <v>41003.0</v>
      </c>
      <c r="O2575" s="15" t="s">
        <v>1554</v>
      </c>
      <c r="Q2575" s="7"/>
    </row>
    <row r="2576">
      <c r="A2576" s="39" t="s">
        <v>11264</v>
      </c>
      <c r="B2576" s="15">
        <v>70177.0</v>
      </c>
      <c r="C2576" s="15" t="s">
        <v>11265</v>
      </c>
      <c r="D2576" s="15">
        <v>77935.0</v>
      </c>
      <c r="E2576" s="15" t="s">
        <v>1548</v>
      </c>
      <c r="F2576" s="15" t="s">
        <v>1790</v>
      </c>
      <c r="G2576" s="7">
        <v>13.83</v>
      </c>
      <c r="H2576" s="15" t="s">
        <v>2178</v>
      </c>
      <c r="I2576" s="15" t="s">
        <v>1628</v>
      </c>
      <c r="J2576" s="15" t="s">
        <v>11266</v>
      </c>
      <c r="K2576" s="15">
        <v>6.0</v>
      </c>
      <c r="L2576" s="15">
        <v>6.0</v>
      </c>
      <c r="M2576" s="41">
        <v>40869.0</v>
      </c>
      <c r="N2576" s="40">
        <v>40954.0</v>
      </c>
      <c r="O2576" s="15" t="s">
        <v>1554</v>
      </c>
      <c r="Q2576" s="7"/>
    </row>
    <row r="2577">
      <c r="A2577" s="39" t="s">
        <v>11267</v>
      </c>
      <c r="B2577" s="15">
        <v>203168.0</v>
      </c>
      <c r="C2577" s="15" t="s">
        <v>11268</v>
      </c>
      <c r="D2577" s="15">
        <v>77937.0</v>
      </c>
      <c r="E2577" s="15" t="s">
        <v>1548</v>
      </c>
      <c r="F2577" s="15" t="s">
        <v>1790</v>
      </c>
      <c r="G2577" s="7">
        <v>13.807</v>
      </c>
      <c r="H2577" s="15" t="s">
        <v>1962</v>
      </c>
      <c r="I2577" s="15" t="s">
        <v>1628</v>
      </c>
      <c r="J2577" s="15" t="s">
        <v>11269</v>
      </c>
      <c r="K2577" s="15">
        <v>6.0</v>
      </c>
      <c r="L2577" s="15">
        <v>6.0</v>
      </c>
      <c r="M2577" s="41">
        <v>40869.0</v>
      </c>
      <c r="N2577" s="40">
        <v>40954.0</v>
      </c>
      <c r="O2577" s="15" t="s">
        <v>1554</v>
      </c>
      <c r="Q2577" s="7"/>
    </row>
    <row r="2578">
      <c r="A2578" s="39" t="s">
        <v>11270</v>
      </c>
      <c r="B2578" s="15">
        <v>1088890.0</v>
      </c>
      <c r="C2578" s="15" t="s">
        <v>11271</v>
      </c>
      <c r="D2578" s="15">
        <v>77939.0</v>
      </c>
      <c r="E2578" s="15" t="s">
        <v>1548</v>
      </c>
      <c r="F2578" s="15" t="s">
        <v>1578</v>
      </c>
      <c r="G2578" s="7">
        <v>9.565</v>
      </c>
      <c r="H2578" s="15" t="s">
        <v>3882</v>
      </c>
      <c r="I2578" s="15" t="s">
        <v>1686</v>
      </c>
      <c r="J2578" s="15" t="s">
        <v>11272</v>
      </c>
      <c r="K2578" s="15">
        <v>2.0</v>
      </c>
      <c r="L2578" s="15">
        <v>2.0</v>
      </c>
      <c r="M2578" s="41">
        <v>40870.0</v>
      </c>
      <c r="N2578" s="41">
        <v>40905.0</v>
      </c>
      <c r="O2578" s="15" t="s">
        <v>1554</v>
      </c>
      <c r="Q2578" s="7"/>
    </row>
    <row r="2579">
      <c r="A2579" s="39" t="s">
        <v>11273</v>
      </c>
      <c r="B2579" s="15">
        <v>1109710.0</v>
      </c>
      <c r="C2579" s="15" t="s">
        <v>11274</v>
      </c>
      <c r="D2579" s="15">
        <v>78691.0</v>
      </c>
      <c r="E2579" s="15" t="s">
        <v>1557</v>
      </c>
      <c r="F2579" s="15" t="s">
        <v>1833</v>
      </c>
      <c r="G2579" s="7">
        <v>65.766</v>
      </c>
      <c r="H2579" s="15" t="s">
        <v>11275</v>
      </c>
      <c r="I2579" s="15" t="s">
        <v>1586</v>
      </c>
      <c r="J2579" s="15" t="s">
        <v>11276</v>
      </c>
      <c r="K2579" s="15">
        <v>94.0</v>
      </c>
      <c r="L2579" s="15">
        <v>94.0</v>
      </c>
      <c r="M2579" s="41">
        <v>40859.0</v>
      </c>
      <c r="N2579" s="40">
        <v>40886.0</v>
      </c>
      <c r="O2579" s="15" t="s">
        <v>1554</v>
      </c>
      <c r="Q2579" s="7"/>
    </row>
    <row r="2580">
      <c r="A2580" s="39" t="s">
        <v>11277</v>
      </c>
      <c r="B2580" s="15">
        <v>319522.0</v>
      </c>
      <c r="C2580" s="15" t="s">
        <v>11278</v>
      </c>
      <c r="D2580" s="15">
        <v>78693.0</v>
      </c>
      <c r="E2580" s="15" t="s">
        <v>1557</v>
      </c>
      <c r="F2580" s="15" t="s">
        <v>1833</v>
      </c>
      <c r="G2580" s="7">
        <v>65.839</v>
      </c>
      <c r="H2580" s="15" t="s">
        <v>2126</v>
      </c>
      <c r="I2580" s="15" t="s">
        <v>1586</v>
      </c>
      <c r="J2580" s="15" t="s">
        <v>11279</v>
      </c>
      <c r="K2580" s="15">
        <v>92.0</v>
      </c>
      <c r="L2580" s="15">
        <v>92.0</v>
      </c>
      <c r="M2580" s="41">
        <v>40859.0</v>
      </c>
      <c r="N2580" s="40">
        <v>40886.0</v>
      </c>
      <c r="O2580" s="15" t="s">
        <v>1554</v>
      </c>
      <c r="Q2580" s="7"/>
    </row>
    <row r="2581">
      <c r="A2581" s="39" t="s">
        <v>11281</v>
      </c>
      <c r="B2581" s="15">
        <v>217615.0</v>
      </c>
      <c r="C2581" s="15" t="s">
        <v>11282</v>
      </c>
      <c r="D2581" s="15">
        <v>78707.0</v>
      </c>
      <c r="E2581" s="15" t="s">
        <v>1548</v>
      </c>
      <c r="F2581" s="15" t="s">
        <v>1790</v>
      </c>
      <c r="G2581" s="7">
        <v>16.404</v>
      </c>
      <c r="H2581" s="15" t="s">
        <v>3827</v>
      </c>
      <c r="I2581" s="15" t="s">
        <v>1628</v>
      </c>
      <c r="J2581" s="15" t="s">
        <v>11283</v>
      </c>
      <c r="K2581" s="15">
        <v>10.0</v>
      </c>
      <c r="L2581" s="15">
        <v>10.0</v>
      </c>
      <c r="M2581" s="40">
        <v>40801.0</v>
      </c>
      <c r="N2581" s="40">
        <v>40884.0</v>
      </c>
      <c r="O2581" s="15" t="s">
        <v>1554</v>
      </c>
      <c r="Q2581" s="7"/>
    </row>
    <row r="2582">
      <c r="A2582" s="39" t="s">
        <v>11284</v>
      </c>
      <c r="B2582" s="15">
        <v>1520004.0</v>
      </c>
      <c r="C2582" s="15" t="s">
        <v>11285</v>
      </c>
      <c r="D2582" s="15">
        <v>78801.0</v>
      </c>
      <c r="E2582" s="15" t="s">
        <v>1557</v>
      </c>
      <c r="F2582" s="15" t="s">
        <v>2628</v>
      </c>
      <c r="G2582" s="7">
        <v>26.34</v>
      </c>
      <c r="H2582" s="15" t="s">
        <v>3870</v>
      </c>
      <c r="I2582" s="15" t="s">
        <v>1686</v>
      </c>
      <c r="J2582" s="15" t="s">
        <v>11286</v>
      </c>
      <c r="K2582" s="15">
        <v>23.0</v>
      </c>
      <c r="L2582" s="15">
        <v>23.0</v>
      </c>
      <c r="M2582" s="40">
        <v>40881.0</v>
      </c>
      <c r="N2582" s="41">
        <v>40892.0</v>
      </c>
      <c r="O2582" s="15" t="s">
        <v>1554</v>
      </c>
      <c r="Q2582" s="7"/>
    </row>
    <row r="2583">
      <c r="A2583" s="39" t="s">
        <v>11287</v>
      </c>
      <c r="B2583" s="15">
        <v>47900.0</v>
      </c>
      <c r="C2583" s="15" t="s">
        <v>11288</v>
      </c>
      <c r="D2583" s="15">
        <v>78925.0</v>
      </c>
      <c r="E2583" s="15" t="s">
        <v>1548</v>
      </c>
      <c r="F2583" s="15" t="s">
        <v>1786</v>
      </c>
      <c r="G2583" s="7">
        <v>8.638</v>
      </c>
      <c r="H2583" s="15" t="s">
        <v>1962</v>
      </c>
      <c r="I2583" s="15" t="s">
        <v>1628</v>
      </c>
      <c r="J2583" s="15" t="s">
        <v>11290</v>
      </c>
      <c r="K2583" s="15">
        <v>6.0</v>
      </c>
      <c r="L2583" s="15">
        <v>6.0</v>
      </c>
      <c r="M2583" s="41">
        <v>40889.0</v>
      </c>
      <c r="N2583" s="40">
        <v>40962.0</v>
      </c>
      <c r="O2583" s="15" t="s">
        <v>1554</v>
      </c>
      <c r="Q2583" s="7"/>
    </row>
    <row r="2584">
      <c r="A2584" s="39" t="s">
        <v>11291</v>
      </c>
      <c r="B2584" s="15">
        <v>1123754.0</v>
      </c>
      <c r="C2584" s="15" t="s">
        <v>11292</v>
      </c>
      <c r="D2584" s="15">
        <v>78929.0</v>
      </c>
      <c r="E2584" s="15" t="s">
        <v>1548</v>
      </c>
      <c r="F2584" s="15" t="s">
        <v>2615</v>
      </c>
      <c r="G2584" s="7">
        <v>6.506</v>
      </c>
      <c r="H2584" s="15" t="s">
        <v>1983</v>
      </c>
      <c r="I2584" s="15" t="s">
        <v>1628</v>
      </c>
      <c r="J2584" s="15" t="s">
        <v>11293</v>
      </c>
      <c r="K2584" s="15">
        <v>4.0</v>
      </c>
      <c r="L2584" s="15">
        <v>4.0</v>
      </c>
      <c r="M2584" s="41">
        <v>40889.0</v>
      </c>
      <c r="N2584" s="40">
        <v>40962.0</v>
      </c>
      <c r="O2584" s="15" t="s">
        <v>1554</v>
      </c>
      <c r="Q2584" s="7"/>
    </row>
    <row r="2585">
      <c r="A2585" s="39" t="s">
        <v>11294</v>
      </c>
      <c r="B2585" s="15">
        <v>1120751.0</v>
      </c>
      <c r="C2585" s="15" t="s">
        <v>11295</v>
      </c>
      <c r="D2585" s="15">
        <v>78931.0</v>
      </c>
      <c r="E2585" s="15" t="s">
        <v>1548</v>
      </c>
      <c r="F2585" s="15" t="s">
        <v>1626</v>
      </c>
      <c r="G2585" s="7">
        <v>10.874</v>
      </c>
      <c r="H2585" s="15" t="s">
        <v>11296</v>
      </c>
      <c r="I2585" s="15" t="s">
        <v>1628</v>
      </c>
      <c r="J2585" s="15" t="s">
        <v>11297</v>
      </c>
      <c r="K2585" s="15">
        <v>2.0</v>
      </c>
      <c r="L2585" s="15">
        <v>2.0</v>
      </c>
      <c r="M2585" s="41">
        <v>40888.0</v>
      </c>
      <c r="N2585" s="41">
        <v>42297.0</v>
      </c>
      <c r="O2585" s="15" t="s">
        <v>1554</v>
      </c>
      <c r="Q2585" s="7"/>
    </row>
    <row r="2586">
      <c r="A2586" s="39" t="s">
        <v>11298</v>
      </c>
      <c r="B2586" s="15">
        <v>50290.0</v>
      </c>
      <c r="C2586" s="15" t="s">
        <v>11300</v>
      </c>
      <c r="D2586" s="15">
        <v>78945.0</v>
      </c>
      <c r="E2586" s="15" t="s">
        <v>1557</v>
      </c>
      <c r="F2586" s="15" t="s">
        <v>1827</v>
      </c>
      <c r="G2586" s="7">
        <v>219.474</v>
      </c>
      <c r="H2586" s="15" t="s">
        <v>1966</v>
      </c>
      <c r="I2586" s="15" t="s">
        <v>1686</v>
      </c>
      <c r="J2586" s="15" t="s">
        <v>11301</v>
      </c>
      <c r="K2586" s="15">
        <v>146.0</v>
      </c>
      <c r="L2586" s="15">
        <v>146.0</v>
      </c>
      <c r="M2586" s="40">
        <v>39970.0</v>
      </c>
      <c r="N2586" s="40">
        <v>41403.0</v>
      </c>
      <c r="O2586" s="15" t="s">
        <v>1554</v>
      </c>
      <c r="Q2586" s="7"/>
    </row>
    <row r="2587">
      <c r="A2587" s="39" t="s">
        <v>11302</v>
      </c>
      <c r="B2587" s="15">
        <v>47985.0</v>
      </c>
      <c r="C2587" s="15" t="s">
        <v>11303</v>
      </c>
      <c r="D2587" s="15">
        <v>80677.0</v>
      </c>
      <c r="E2587" s="15" t="s">
        <v>1548</v>
      </c>
      <c r="F2587" s="15" t="s">
        <v>1790</v>
      </c>
      <c r="G2587" s="7">
        <v>18.659</v>
      </c>
      <c r="H2587" s="15" t="s">
        <v>1828</v>
      </c>
      <c r="I2587" s="15" t="s">
        <v>1628</v>
      </c>
      <c r="J2587" s="15" t="s">
        <v>11304</v>
      </c>
      <c r="K2587" s="15">
        <v>10.0</v>
      </c>
      <c r="L2587" s="15">
        <v>10.0</v>
      </c>
      <c r="M2587" s="41">
        <v>40897.0</v>
      </c>
      <c r="N2587" s="40">
        <v>40909.0</v>
      </c>
      <c r="O2587" s="15" t="s">
        <v>1554</v>
      </c>
      <c r="Q2587" s="7"/>
    </row>
    <row r="2588">
      <c r="A2588" s="39" t="s">
        <v>11305</v>
      </c>
      <c r="B2588" s="15">
        <v>1127767.0</v>
      </c>
      <c r="C2588" s="15" t="s">
        <v>11306</v>
      </c>
      <c r="D2588" s="15">
        <v>80737.0</v>
      </c>
      <c r="E2588" s="15" t="s">
        <v>1638</v>
      </c>
      <c r="F2588" s="15" t="s">
        <v>5304</v>
      </c>
      <c r="G2588" s="7">
        <v>6.677</v>
      </c>
      <c r="H2588" s="15" t="s">
        <v>11307</v>
      </c>
      <c r="I2588" s="15" t="s">
        <v>1686</v>
      </c>
      <c r="J2588" s="15" t="s">
        <v>11308</v>
      </c>
      <c r="K2588" s="15">
        <v>3.0</v>
      </c>
      <c r="L2588" s="15">
        <v>3.0</v>
      </c>
      <c r="M2588" s="41">
        <v>40905.0</v>
      </c>
      <c r="N2588" s="40">
        <v>40911.0</v>
      </c>
      <c r="O2588" s="15" t="s">
        <v>1554</v>
      </c>
      <c r="Q2588" s="7"/>
    </row>
    <row r="2589">
      <c r="A2589" s="39" t="s">
        <v>11310</v>
      </c>
      <c r="B2589" s="15">
        <v>1128119.0</v>
      </c>
      <c r="C2589" s="15" t="s">
        <v>11311</v>
      </c>
      <c r="D2589" s="15">
        <v>80771.0</v>
      </c>
      <c r="E2589" s="15" t="s">
        <v>1548</v>
      </c>
      <c r="F2589" s="15" t="s">
        <v>2615</v>
      </c>
      <c r="G2589" s="7">
        <v>6.514</v>
      </c>
      <c r="H2589" s="15" t="s">
        <v>2178</v>
      </c>
      <c r="I2589" s="15" t="s">
        <v>1628</v>
      </c>
      <c r="J2589" s="15" t="s">
        <v>11312</v>
      </c>
      <c r="K2589" s="15">
        <v>4.0</v>
      </c>
      <c r="L2589" s="15">
        <v>4.0</v>
      </c>
      <c r="M2589" s="41">
        <v>40903.0</v>
      </c>
      <c r="N2589" s="40">
        <v>41002.0</v>
      </c>
      <c r="O2589" s="15" t="s">
        <v>1554</v>
      </c>
      <c r="Q2589" s="7"/>
    </row>
    <row r="2590">
      <c r="A2590" s="39" t="s">
        <v>11313</v>
      </c>
      <c r="B2590" s="15">
        <v>706122.0</v>
      </c>
      <c r="C2590" s="15" t="s">
        <v>11314</v>
      </c>
      <c r="D2590" s="15">
        <v>80873.0</v>
      </c>
      <c r="E2590" s="15" t="s">
        <v>2014</v>
      </c>
      <c r="F2590" s="15" t="s">
        <v>2018</v>
      </c>
      <c r="G2590" s="7">
        <v>0.662</v>
      </c>
      <c r="H2590" s="15" t="s">
        <v>3895</v>
      </c>
      <c r="I2590" s="15" t="s">
        <v>1628</v>
      </c>
      <c r="J2590" s="15" t="s">
        <v>11315</v>
      </c>
      <c r="K2590" s="15" t="s">
        <v>1722</v>
      </c>
      <c r="L2590" s="15" t="s">
        <v>1722</v>
      </c>
      <c r="M2590" s="40">
        <v>40910.0</v>
      </c>
      <c r="N2590" s="40">
        <v>40913.0</v>
      </c>
      <c r="O2590" s="15" t="s">
        <v>1554</v>
      </c>
      <c r="Q2590" s="7"/>
    </row>
    <row r="2591">
      <c r="A2591" s="39" t="s">
        <v>11316</v>
      </c>
      <c r="B2591" s="15">
        <v>1128118.0</v>
      </c>
      <c r="C2591" s="15" t="s">
        <v>11317</v>
      </c>
      <c r="D2591" s="15">
        <v>80909.0</v>
      </c>
      <c r="E2591" s="15" t="s">
        <v>1916</v>
      </c>
      <c r="F2591" s="15" t="s">
        <v>3423</v>
      </c>
      <c r="G2591" s="7">
        <v>3.048</v>
      </c>
      <c r="H2591" s="15" t="s">
        <v>2118</v>
      </c>
      <c r="I2591" s="15" t="s">
        <v>1686</v>
      </c>
      <c r="J2591" s="15" t="s">
        <v>11319</v>
      </c>
      <c r="K2591" s="15">
        <v>5.0</v>
      </c>
      <c r="L2591" s="15">
        <v>5.0</v>
      </c>
      <c r="M2591" s="41">
        <v>40903.0</v>
      </c>
      <c r="N2591" s="40">
        <v>40983.0</v>
      </c>
      <c r="O2591" s="15" t="s">
        <v>1554</v>
      </c>
      <c r="Q2591" s="7"/>
    </row>
    <row r="2592">
      <c r="A2592" s="39" t="s">
        <v>11320</v>
      </c>
      <c r="B2592" s="15">
        <v>1110702.0</v>
      </c>
      <c r="C2592" s="15" t="s">
        <v>11321</v>
      </c>
      <c r="D2592" s="15">
        <v>80911.0</v>
      </c>
      <c r="E2592" s="15" t="s">
        <v>1557</v>
      </c>
      <c r="F2592" s="15" t="s">
        <v>1767</v>
      </c>
      <c r="G2592" s="7">
        <v>132.662</v>
      </c>
      <c r="H2592" s="15">
        <v>26.0</v>
      </c>
      <c r="I2592" s="15" t="s">
        <v>1586</v>
      </c>
      <c r="J2592" s="15" t="s">
        <v>11322</v>
      </c>
      <c r="K2592" s="15">
        <v>154.0</v>
      </c>
      <c r="L2592" s="15">
        <v>149.0</v>
      </c>
      <c r="M2592" s="41">
        <v>40862.0</v>
      </c>
      <c r="N2592" s="40">
        <v>42577.0</v>
      </c>
      <c r="O2592" s="15" t="s">
        <v>1554</v>
      </c>
      <c r="Q2592" s="7"/>
    </row>
    <row r="2593">
      <c r="A2593" s="39" t="s">
        <v>11323</v>
      </c>
      <c r="B2593" s="15">
        <v>764595.0</v>
      </c>
      <c r="C2593" s="15" t="s">
        <v>11324</v>
      </c>
      <c r="D2593" s="15">
        <v>80913.0</v>
      </c>
      <c r="E2593" s="15" t="s">
        <v>1557</v>
      </c>
      <c r="F2593" s="15" t="s">
        <v>1767</v>
      </c>
      <c r="G2593" s="7">
        <v>156.897</v>
      </c>
      <c r="H2593" s="15" t="s">
        <v>2699</v>
      </c>
      <c r="I2593" s="15" t="s">
        <v>1586</v>
      </c>
      <c r="J2593" s="15" t="s">
        <v>11325</v>
      </c>
      <c r="K2593" s="15">
        <v>274.0</v>
      </c>
      <c r="L2593" s="15">
        <v>274.0</v>
      </c>
      <c r="M2593" s="41">
        <v>40892.0</v>
      </c>
      <c r="N2593" s="40">
        <v>41316.0</v>
      </c>
      <c r="O2593" s="15" t="s">
        <v>1554</v>
      </c>
      <c r="Q2593" s="7"/>
    </row>
    <row r="2594">
      <c r="A2594" s="39" t="s">
        <v>11327</v>
      </c>
      <c r="B2594" s="15">
        <v>994601.0</v>
      </c>
      <c r="C2594" s="15" t="s">
        <v>11328</v>
      </c>
      <c r="D2594" s="15">
        <v>80915.0</v>
      </c>
      <c r="E2594" s="15" t="s">
        <v>1557</v>
      </c>
      <c r="F2594" s="15" t="s">
        <v>1611</v>
      </c>
      <c r="G2594" s="7">
        <v>95.299</v>
      </c>
      <c r="H2594" s="15" t="s">
        <v>1912</v>
      </c>
      <c r="I2594" s="15" t="s">
        <v>1586</v>
      </c>
      <c r="J2594" s="15" t="s">
        <v>11329</v>
      </c>
      <c r="K2594" s="15">
        <v>142.0</v>
      </c>
      <c r="L2594" s="15">
        <v>142.0</v>
      </c>
      <c r="M2594" s="41">
        <v>40908.0</v>
      </c>
      <c r="N2594" s="40">
        <v>40914.0</v>
      </c>
      <c r="O2594" s="15" t="s">
        <v>1554</v>
      </c>
      <c r="Q2594" s="7"/>
    </row>
    <row r="2595">
      <c r="A2595" s="39" t="s">
        <v>11330</v>
      </c>
      <c r="B2595" s="15">
        <v>1010614.0</v>
      </c>
      <c r="C2595" s="15" t="s">
        <v>11331</v>
      </c>
      <c r="D2595" s="15">
        <v>80917.0</v>
      </c>
      <c r="E2595" s="15" t="s">
        <v>1557</v>
      </c>
      <c r="F2595" s="15" t="s">
        <v>1611</v>
      </c>
      <c r="G2595" s="7">
        <v>18.168</v>
      </c>
      <c r="H2595" s="42">
        <v>43371.0</v>
      </c>
      <c r="I2595" s="15" t="s">
        <v>1586</v>
      </c>
      <c r="J2595" s="15" t="s">
        <v>11332</v>
      </c>
      <c r="K2595" s="15">
        <v>21.0</v>
      </c>
      <c r="L2595" s="15">
        <v>21.0</v>
      </c>
      <c r="M2595" s="41">
        <v>40899.0</v>
      </c>
      <c r="N2595" s="40">
        <v>40918.0</v>
      </c>
      <c r="O2595" s="15" t="s">
        <v>1554</v>
      </c>
      <c r="Q2595" s="7"/>
    </row>
    <row r="2596">
      <c r="A2596" s="39" t="s">
        <v>11333</v>
      </c>
      <c r="B2596" s="15">
        <v>1109721.0</v>
      </c>
      <c r="C2596" s="15" t="s">
        <v>11334</v>
      </c>
      <c r="D2596" s="15">
        <v>80919.0</v>
      </c>
      <c r="E2596" s="15" t="s">
        <v>1557</v>
      </c>
      <c r="F2596" s="15" t="s">
        <v>1833</v>
      </c>
      <c r="G2596" s="7">
        <v>44.077</v>
      </c>
      <c r="H2596" s="15" t="s">
        <v>6085</v>
      </c>
      <c r="I2596" s="15" t="s">
        <v>1586</v>
      </c>
      <c r="J2596" s="15" t="s">
        <v>11335</v>
      </c>
      <c r="K2596" s="15">
        <v>57.0</v>
      </c>
      <c r="L2596" s="15">
        <v>57.0</v>
      </c>
      <c r="M2596" s="41">
        <v>40894.0</v>
      </c>
      <c r="N2596" s="40">
        <v>41176.0</v>
      </c>
      <c r="O2596" s="15" t="s">
        <v>1554</v>
      </c>
      <c r="Q2596" s="7"/>
    </row>
    <row r="2597">
      <c r="A2597" s="39" t="s">
        <v>11336</v>
      </c>
      <c r="B2597" s="15">
        <v>1109711.0</v>
      </c>
      <c r="C2597" s="15" t="s">
        <v>11338</v>
      </c>
      <c r="D2597" s="15">
        <v>80925.0</v>
      </c>
      <c r="E2597" s="15" t="s">
        <v>1557</v>
      </c>
      <c r="F2597" s="15" t="s">
        <v>1833</v>
      </c>
      <c r="G2597" s="7">
        <v>46.14</v>
      </c>
      <c r="H2597" s="15" t="s">
        <v>9965</v>
      </c>
      <c r="I2597" s="15" t="s">
        <v>1586</v>
      </c>
      <c r="J2597" s="15" t="s">
        <v>11339</v>
      </c>
      <c r="K2597" s="15">
        <v>68.0</v>
      </c>
      <c r="L2597" s="15">
        <v>68.0</v>
      </c>
      <c r="M2597" s="41">
        <v>40889.0</v>
      </c>
      <c r="N2597" s="40">
        <v>40921.0</v>
      </c>
      <c r="O2597" s="15" t="s">
        <v>1554</v>
      </c>
      <c r="Q2597" s="7"/>
    </row>
    <row r="2598">
      <c r="A2598" s="39" t="s">
        <v>11340</v>
      </c>
      <c r="B2598" s="15">
        <v>1124849.0</v>
      </c>
      <c r="C2598" s="15" t="s">
        <v>11341</v>
      </c>
      <c r="D2598" s="15">
        <v>81003.0</v>
      </c>
      <c r="E2598" s="15" t="s">
        <v>1557</v>
      </c>
      <c r="F2598" s="15" t="s">
        <v>1767</v>
      </c>
      <c r="G2598" s="7">
        <v>284.757</v>
      </c>
      <c r="H2598" s="15" t="s">
        <v>1943</v>
      </c>
      <c r="I2598" s="15" t="s">
        <v>1586</v>
      </c>
      <c r="J2598" s="15" t="s">
        <v>11342</v>
      </c>
      <c r="K2598" s="15">
        <v>309.0</v>
      </c>
      <c r="L2598" s="15">
        <v>309.0</v>
      </c>
      <c r="M2598" s="41">
        <v>40894.0</v>
      </c>
      <c r="N2598" s="40">
        <v>40942.0</v>
      </c>
      <c r="O2598" s="15" t="s">
        <v>1554</v>
      </c>
      <c r="Q2598" s="7"/>
    </row>
    <row r="2599">
      <c r="A2599" s="39" t="s">
        <v>11343</v>
      </c>
      <c r="B2599" s="15">
        <v>666144.0</v>
      </c>
      <c r="C2599" s="15" t="s">
        <v>11344</v>
      </c>
      <c r="D2599" s="15">
        <v>81005.0</v>
      </c>
      <c r="E2599" s="15" t="s">
        <v>1808</v>
      </c>
      <c r="F2599" s="15" t="s">
        <v>1809</v>
      </c>
      <c r="G2599" s="7">
        <v>5.386</v>
      </c>
      <c r="H2599" s="15" t="s">
        <v>11345</v>
      </c>
      <c r="I2599" s="15" t="s">
        <v>1628</v>
      </c>
      <c r="J2599" s="15" t="s">
        <v>11346</v>
      </c>
      <c r="K2599" s="15">
        <v>7.0</v>
      </c>
      <c r="L2599" s="15">
        <v>7.0</v>
      </c>
      <c r="M2599" s="40">
        <v>40909.0</v>
      </c>
      <c r="N2599" s="41">
        <v>42297.0</v>
      </c>
      <c r="O2599" s="15" t="s">
        <v>1554</v>
      </c>
      <c r="Q2599" s="7"/>
    </row>
    <row r="2600">
      <c r="A2600" s="39" t="s">
        <v>11348</v>
      </c>
      <c r="B2600" s="15">
        <v>1046571.0</v>
      </c>
      <c r="C2600" s="15" t="s">
        <v>11349</v>
      </c>
      <c r="D2600" s="15">
        <v>81007.0</v>
      </c>
      <c r="E2600" s="15" t="s">
        <v>1808</v>
      </c>
      <c r="F2600" s="15" t="s">
        <v>1809</v>
      </c>
      <c r="G2600" s="7">
        <v>5.292</v>
      </c>
      <c r="H2600" s="15" t="s">
        <v>11350</v>
      </c>
      <c r="I2600" s="15" t="s">
        <v>1628</v>
      </c>
      <c r="J2600" s="15" t="s">
        <v>11351</v>
      </c>
      <c r="K2600" s="15">
        <v>7.0</v>
      </c>
      <c r="L2600" s="15">
        <v>7.0</v>
      </c>
      <c r="M2600" s="40">
        <v>40909.0</v>
      </c>
      <c r="N2600" s="41">
        <v>42297.0</v>
      </c>
      <c r="O2600" s="15" t="s">
        <v>1554</v>
      </c>
      <c r="Q2600" s="7"/>
    </row>
    <row r="2601">
      <c r="A2601" s="39" t="s">
        <v>11352</v>
      </c>
      <c r="B2601" s="15">
        <v>1046572.0</v>
      </c>
      <c r="C2601" s="15" t="s">
        <v>11353</v>
      </c>
      <c r="D2601" s="15">
        <v>81009.0</v>
      </c>
      <c r="E2601" s="15" t="s">
        <v>1808</v>
      </c>
      <c r="F2601" s="15" t="s">
        <v>1809</v>
      </c>
      <c r="G2601" s="7">
        <v>5.282</v>
      </c>
      <c r="H2601" s="15" t="s">
        <v>11354</v>
      </c>
      <c r="I2601" s="15" t="s">
        <v>1628</v>
      </c>
      <c r="J2601" s="15" t="s">
        <v>11356</v>
      </c>
      <c r="K2601" s="15">
        <v>7.0</v>
      </c>
      <c r="L2601" s="15">
        <v>7.0</v>
      </c>
      <c r="M2601" s="40">
        <v>40909.0</v>
      </c>
      <c r="N2601" s="41">
        <v>42297.0</v>
      </c>
      <c r="O2601" s="15" t="s">
        <v>1554</v>
      </c>
      <c r="Q2601" s="7"/>
    </row>
    <row r="2602">
      <c r="A2602" s="39" t="s">
        <v>11357</v>
      </c>
      <c r="B2602" s="15">
        <v>1046573.0</v>
      </c>
      <c r="C2602" s="15" t="s">
        <v>11358</v>
      </c>
      <c r="D2602" s="15">
        <v>81011.0</v>
      </c>
      <c r="E2602" s="15" t="s">
        <v>1808</v>
      </c>
      <c r="F2602" s="15" t="s">
        <v>1809</v>
      </c>
      <c r="G2602" s="7">
        <v>5.388</v>
      </c>
      <c r="H2602" s="15" t="s">
        <v>11359</v>
      </c>
      <c r="I2602" s="15" t="s">
        <v>1628</v>
      </c>
      <c r="J2602" s="15" t="s">
        <v>11360</v>
      </c>
      <c r="K2602" s="15">
        <v>8.0</v>
      </c>
      <c r="L2602" s="15">
        <v>8.0</v>
      </c>
      <c r="M2602" s="40">
        <v>40909.0</v>
      </c>
      <c r="N2602" s="41">
        <v>42297.0</v>
      </c>
      <c r="O2602" s="15" t="s">
        <v>1554</v>
      </c>
      <c r="Q2602" s="7"/>
    </row>
    <row r="2603">
      <c r="A2603" s="39" t="s">
        <v>11361</v>
      </c>
      <c r="B2603" s="15">
        <v>1195378.0</v>
      </c>
      <c r="C2603" s="15" t="s">
        <v>11362</v>
      </c>
      <c r="D2603" s="15">
        <v>81031.0</v>
      </c>
      <c r="E2603" s="15" t="s">
        <v>1808</v>
      </c>
      <c r="F2603" s="15" t="s">
        <v>1809</v>
      </c>
      <c r="G2603" s="7">
        <v>5.034</v>
      </c>
      <c r="H2603" s="15" t="s">
        <v>11364</v>
      </c>
      <c r="I2603" s="15" t="s">
        <v>1628</v>
      </c>
      <c r="J2603" s="15" t="s">
        <v>11365</v>
      </c>
      <c r="K2603" s="15">
        <v>7.0</v>
      </c>
      <c r="L2603" s="15">
        <v>7.0</v>
      </c>
      <c r="M2603" s="40">
        <v>40916.0</v>
      </c>
      <c r="N2603" s="41">
        <v>42297.0</v>
      </c>
      <c r="O2603" s="15" t="s">
        <v>1554</v>
      </c>
      <c r="Q2603" s="7"/>
    </row>
    <row r="2604">
      <c r="A2604" s="39" t="s">
        <v>11366</v>
      </c>
      <c r="B2604" s="15">
        <v>1131622.0</v>
      </c>
      <c r="C2604" s="15" t="s">
        <v>11367</v>
      </c>
      <c r="D2604" s="15">
        <v>81033.0</v>
      </c>
      <c r="E2604" s="15" t="s">
        <v>1808</v>
      </c>
      <c r="F2604" s="15" t="s">
        <v>2436</v>
      </c>
      <c r="G2604" s="7">
        <v>5.076</v>
      </c>
      <c r="H2604" s="15" t="s">
        <v>2540</v>
      </c>
      <c r="I2604" s="15" t="s">
        <v>1686</v>
      </c>
      <c r="J2604" s="15" t="s">
        <v>11368</v>
      </c>
      <c r="K2604" s="15">
        <v>4.0</v>
      </c>
      <c r="L2604" s="15">
        <v>4.0</v>
      </c>
      <c r="M2604" s="40">
        <v>40919.0</v>
      </c>
      <c r="N2604" s="40">
        <v>42045.0</v>
      </c>
      <c r="O2604" s="15" t="s">
        <v>1554</v>
      </c>
      <c r="Q2604" s="7"/>
    </row>
    <row r="2605">
      <c r="A2605" s="39" t="s">
        <v>11369</v>
      </c>
      <c r="B2605" s="15">
        <v>1131702.0</v>
      </c>
      <c r="C2605" s="15" t="s">
        <v>11370</v>
      </c>
      <c r="D2605" s="15">
        <v>81035.0</v>
      </c>
      <c r="E2605" s="15" t="s">
        <v>1638</v>
      </c>
      <c r="F2605" s="15" t="s">
        <v>2849</v>
      </c>
      <c r="G2605" s="7">
        <v>13.459</v>
      </c>
      <c r="H2605" s="15" t="s">
        <v>1902</v>
      </c>
      <c r="I2605" s="15" t="s">
        <v>1628</v>
      </c>
      <c r="J2605" s="15" t="s">
        <v>11371</v>
      </c>
      <c r="K2605" s="15">
        <v>1.0</v>
      </c>
      <c r="L2605" s="15">
        <v>1.0</v>
      </c>
      <c r="M2605" s="40">
        <v>40919.0</v>
      </c>
      <c r="N2605" s="40">
        <v>42045.0</v>
      </c>
      <c r="O2605" s="15" t="s">
        <v>1554</v>
      </c>
      <c r="Q2605" s="7"/>
    </row>
    <row r="2606">
      <c r="A2606" s="39" t="s">
        <v>11373</v>
      </c>
      <c r="B2606" s="15">
        <v>944994.0</v>
      </c>
      <c r="C2606" s="15" t="s">
        <v>11374</v>
      </c>
      <c r="D2606" s="15">
        <v>81151.0</v>
      </c>
      <c r="E2606" s="15" t="s">
        <v>1808</v>
      </c>
      <c r="F2606" s="15" t="s">
        <v>1809</v>
      </c>
      <c r="G2606" s="7">
        <v>2.75</v>
      </c>
      <c r="H2606" s="15" t="s">
        <v>3653</v>
      </c>
      <c r="I2606" s="15" t="s">
        <v>1628</v>
      </c>
      <c r="J2606" s="15" t="s">
        <v>11375</v>
      </c>
      <c r="K2606" s="15">
        <v>6.0</v>
      </c>
      <c r="L2606" s="15">
        <v>6.0</v>
      </c>
      <c r="M2606" s="40">
        <v>40918.0</v>
      </c>
      <c r="N2606" s="40">
        <v>42045.0</v>
      </c>
      <c r="O2606" s="15" t="s">
        <v>1554</v>
      </c>
      <c r="Q2606" s="7"/>
    </row>
    <row r="2607">
      <c r="A2607" s="39" t="s">
        <v>11376</v>
      </c>
      <c r="B2607" s="15">
        <v>1109716.0</v>
      </c>
      <c r="C2607" s="15" t="s">
        <v>11377</v>
      </c>
      <c r="D2607" s="15">
        <v>81167.0</v>
      </c>
      <c r="E2607" s="15" t="s">
        <v>1557</v>
      </c>
      <c r="F2607" s="15" t="s">
        <v>1833</v>
      </c>
      <c r="G2607" s="7">
        <v>48.072</v>
      </c>
      <c r="H2607" s="15" t="s">
        <v>2149</v>
      </c>
      <c r="I2607" s="15" t="s">
        <v>1586</v>
      </c>
      <c r="J2607" s="15" t="s">
        <v>11378</v>
      </c>
      <c r="K2607" s="15">
        <v>69.0</v>
      </c>
      <c r="L2607" s="15">
        <v>66.0</v>
      </c>
      <c r="M2607" s="41">
        <v>40889.0</v>
      </c>
      <c r="N2607" s="40">
        <v>41348.0</v>
      </c>
      <c r="O2607" s="15" t="s">
        <v>1554</v>
      </c>
      <c r="Q2607" s="7"/>
    </row>
    <row r="2608">
      <c r="A2608" s="39" t="s">
        <v>11380</v>
      </c>
      <c r="B2608" s="15">
        <v>1109717.0</v>
      </c>
      <c r="C2608" s="15" t="s">
        <v>11381</v>
      </c>
      <c r="D2608" s="15">
        <v>81169.0</v>
      </c>
      <c r="E2608" s="15" t="s">
        <v>1557</v>
      </c>
      <c r="F2608" s="15" t="s">
        <v>1833</v>
      </c>
      <c r="G2608" s="7">
        <v>14.27</v>
      </c>
      <c r="H2608" s="15" t="s">
        <v>1666</v>
      </c>
      <c r="I2608" s="15" t="s">
        <v>1586</v>
      </c>
      <c r="J2608" s="15" t="s">
        <v>11382</v>
      </c>
      <c r="K2608" s="15">
        <v>20.0</v>
      </c>
      <c r="L2608" s="15">
        <v>20.0</v>
      </c>
      <c r="M2608" s="41">
        <v>40889.0</v>
      </c>
      <c r="N2608" s="40">
        <v>40925.0</v>
      </c>
      <c r="O2608" s="15" t="s">
        <v>1554</v>
      </c>
      <c r="Q2608" s="7"/>
    </row>
    <row r="2609">
      <c r="A2609" s="39" t="s">
        <v>11383</v>
      </c>
      <c r="B2609" s="15">
        <v>1109713.0</v>
      </c>
      <c r="C2609" s="15" t="s">
        <v>11384</v>
      </c>
      <c r="D2609" s="15">
        <v>81171.0</v>
      </c>
      <c r="E2609" s="15" t="s">
        <v>1557</v>
      </c>
      <c r="F2609" s="15" t="s">
        <v>1833</v>
      </c>
      <c r="G2609" s="7">
        <v>49.33</v>
      </c>
      <c r="H2609" s="15" t="s">
        <v>4100</v>
      </c>
      <c r="I2609" s="15" t="s">
        <v>1586</v>
      </c>
      <c r="J2609" s="15" t="s">
        <v>11385</v>
      </c>
      <c r="K2609" s="15">
        <v>82.0</v>
      </c>
      <c r="L2609" s="15">
        <v>82.0</v>
      </c>
      <c r="M2609" s="41">
        <v>40889.0</v>
      </c>
      <c r="N2609" s="40">
        <v>40925.0</v>
      </c>
      <c r="O2609" s="15" t="s">
        <v>1554</v>
      </c>
      <c r="Q2609" s="7"/>
    </row>
    <row r="2610">
      <c r="A2610" s="39" t="s">
        <v>11386</v>
      </c>
      <c r="B2610" s="15">
        <v>1109715.0</v>
      </c>
      <c r="C2610" s="15" t="s">
        <v>11387</v>
      </c>
      <c r="D2610" s="15">
        <v>81173.0</v>
      </c>
      <c r="E2610" s="15" t="s">
        <v>1557</v>
      </c>
      <c r="F2610" s="15" t="s">
        <v>1833</v>
      </c>
      <c r="G2610" s="7">
        <v>46.586</v>
      </c>
      <c r="H2610" s="15" t="s">
        <v>10292</v>
      </c>
      <c r="I2610" s="15" t="s">
        <v>1586</v>
      </c>
      <c r="J2610" s="15" t="s">
        <v>11388</v>
      </c>
      <c r="K2610" s="15">
        <v>69.0</v>
      </c>
      <c r="L2610" s="15">
        <v>66.0</v>
      </c>
      <c r="M2610" s="41">
        <v>40889.0</v>
      </c>
      <c r="N2610" s="40">
        <v>41348.0</v>
      </c>
      <c r="O2610" s="15" t="s">
        <v>1554</v>
      </c>
      <c r="Q2610" s="7"/>
    </row>
    <row r="2611">
      <c r="A2611" s="39" t="s">
        <v>11390</v>
      </c>
      <c r="B2611" s="15">
        <v>1109714.0</v>
      </c>
      <c r="C2611" s="15" t="s">
        <v>11391</v>
      </c>
      <c r="D2611" s="15">
        <v>81175.0</v>
      </c>
      <c r="E2611" s="15" t="s">
        <v>4407</v>
      </c>
      <c r="F2611" s="15" t="s">
        <v>1578</v>
      </c>
      <c r="G2611" s="7">
        <v>39.474</v>
      </c>
      <c r="H2611" s="15" t="s">
        <v>11392</v>
      </c>
      <c r="I2611" s="15" t="s">
        <v>1586</v>
      </c>
      <c r="J2611" s="15" t="s">
        <v>11393</v>
      </c>
      <c r="K2611" s="15">
        <v>60.0</v>
      </c>
      <c r="L2611" s="15">
        <v>60.0</v>
      </c>
      <c r="M2611" s="41">
        <v>40889.0</v>
      </c>
      <c r="N2611" s="40">
        <v>40925.0</v>
      </c>
      <c r="O2611" s="15" t="s">
        <v>1554</v>
      </c>
      <c r="Q2611" s="7"/>
    </row>
    <row r="2612">
      <c r="A2612" s="39" t="s">
        <v>11394</v>
      </c>
      <c r="B2612" s="15">
        <v>1109712.0</v>
      </c>
      <c r="C2612" s="15" t="s">
        <v>11395</v>
      </c>
      <c r="D2612" s="15">
        <v>81177.0</v>
      </c>
      <c r="E2612" s="15" t="s">
        <v>1557</v>
      </c>
      <c r="F2612" s="15" t="s">
        <v>1833</v>
      </c>
      <c r="G2612" s="7">
        <v>51.342</v>
      </c>
      <c r="H2612" s="15" t="s">
        <v>2400</v>
      </c>
      <c r="I2612" s="15" t="s">
        <v>1586</v>
      </c>
      <c r="J2612" s="15" t="s">
        <v>11396</v>
      </c>
      <c r="K2612" s="15">
        <v>85.0</v>
      </c>
      <c r="L2612" s="15">
        <v>85.0</v>
      </c>
      <c r="M2612" s="41">
        <v>40889.0</v>
      </c>
      <c r="N2612" s="40">
        <v>41431.0</v>
      </c>
      <c r="O2612" s="15" t="s">
        <v>1554</v>
      </c>
      <c r="Q2612" s="7"/>
    </row>
    <row r="2613">
      <c r="A2613" s="39" t="s">
        <v>11398</v>
      </c>
      <c r="B2613" s="15">
        <v>875324.0</v>
      </c>
      <c r="C2613" s="15" t="s">
        <v>11399</v>
      </c>
      <c r="D2613" s="15">
        <v>81215.0</v>
      </c>
      <c r="E2613" s="15" t="s">
        <v>1808</v>
      </c>
      <c r="F2613" s="15" t="s">
        <v>1809</v>
      </c>
      <c r="G2613" s="7">
        <v>2.74</v>
      </c>
      <c r="H2613" s="15" t="s">
        <v>2392</v>
      </c>
      <c r="I2613" s="15" t="s">
        <v>1628</v>
      </c>
      <c r="J2613" s="15" t="s">
        <v>11400</v>
      </c>
      <c r="K2613" s="15">
        <v>6.0</v>
      </c>
      <c r="L2613" s="15">
        <v>6.0</v>
      </c>
      <c r="M2613" s="40">
        <v>40756.0</v>
      </c>
      <c r="N2613" s="40">
        <v>41469.0</v>
      </c>
      <c r="O2613" s="15" t="s">
        <v>1554</v>
      </c>
      <c r="Q2613" s="7"/>
    </row>
    <row r="2614">
      <c r="A2614" s="39" t="s">
        <v>11401</v>
      </c>
      <c r="B2614" s="15">
        <v>1131483.0</v>
      </c>
      <c r="C2614" s="15" t="s">
        <v>11402</v>
      </c>
      <c r="D2614" s="15">
        <v>81567.0</v>
      </c>
      <c r="E2614" s="15" t="s">
        <v>1808</v>
      </c>
      <c r="F2614" s="15" t="s">
        <v>2436</v>
      </c>
      <c r="G2614" s="7">
        <v>5.065</v>
      </c>
      <c r="H2614" s="15" t="s">
        <v>4606</v>
      </c>
      <c r="I2614" s="15" t="s">
        <v>1686</v>
      </c>
      <c r="J2614" s="15" t="s">
        <v>11403</v>
      </c>
      <c r="K2614" s="15">
        <v>4.0</v>
      </c>
      <c r="L2614" s="15">
        <v>4.0</v>
      </c>
      <c r="M2614" s="40">
        <v>40923.0</v>
      </c>
      <c r="N2614" s="40">
        <v>40965.0</v>
      </c>
      <c r="O2614" s="15" t="s">
        <v>1554</v>
      </c>
      <c r="Q2614" s="7"/>
    </row>
    <row r="2615">
      <c r="A2615" s="39" t="s">
        <v>11404</v>
      </c>
      <c r="B2615" s="15">
        <v>1131485.0</v>
      </c>
      <c r="C2615" s="15" t="s">
        <v>11405</v>
      </c>
      <c r="D2615" s="15">
        <v>81739.0</v>
      </c>
      <c r="E2615" s="15" t="s">
        <v>1808</v>
      </c>
      <c r="F2615" s="15" t="s">
        <v>2436</v>
      </c>
      <c r="G2615" s="7">
        <v>4.595</v>
      </c>
      <c r="H2615" s="15" t="s">
        <v>2000</v>
      </c>
      <c r="I2615" s="15" t="s">
        <v>1686</v>
      </c>
      <c r="J2615" s="15" t="s">
        <v>11406</v>
      </c>
      <c r="K2615" s="15">
        <v>2.0</v>
      </c>
      <c r="L2615" s="15">
        <v>2.0</v>
      </c>
      <c r="M2615" s="40">
        <v>40923.0</v>
      </c>
      <c r="N2615" s="40">
        <v>40945.0</v>
      </c>
      <c r="O2615" s="15" t="s">
        <v>1554</v>
      </c>
      <c r="Q2615" s="7"/>
    </row>
    <row r="2616">
      <c r="A2616" s="39" t="s">
        <v>11408</v>
      </c>
      <c r="B2616" s="15">
        <v>1000373.0</v>
      </c>
      <c r="C2616" s="15" t="s">
        <v>11409</v>
      </c>
      <c r="D2616" s="15">
        <v>82351.0</v>
      </c>
      <c r="E2616" s="15" t="s">
        <v>1638</v>
      </c>
      <c r="F2616" s="15" t="s">
        <v>11410</v>
      </c>
      <c r="G2616" s="7">
        <v>17.078</v>
      </c>
      <c r="H2616" s="15" t="s">
        <v>11411</v>
      </c>
      <c r="I2616" s="15" t="s">
        <v>1552</v>
      </c>
      <c r="J2616" s="15" t="s">
        <v>11412</v>
      </c>
      <c r="K2616" s="15">
        <v>4.0</v>
      </c>
      <c r="L2616" s="15">
        <v>4.0</v>
      </c>
      <c r="M2616" s="40">
        <v>40932.0</v>
      </c>
      <c r="N2616" s="40">
        <v>41051.0</v>
      </c>
      <c r="O2616" s="15" t="s">
        <v>1554</v>
      </c>
      <c r="Q2616" s="7"/>
    </row>
    <row r="2617">
      <c r="A2617" s="39" t="s">
        <v>11413</v>
      </c>
      <c r="B2617" s="15">
        <v>1125653.0</v>
      </c>
      <c r="C2617" s="15" t="s">
        <v>11414</v>
      </c>
      <c r="D2617" s="15">
        <v>82639.0</v>
      </c>
      <c r="E2617" s="15" t="s">
        <v>1557</v>
      </c>
      <c r="F2617" s="15" t="s">
        <v>1611</v>
      </c>
      <c r="G2617" s="7">
        <v>38.684</v>
      </c>
      <c r="H2617" s="15" t="s">
        <v>3304</v>
      </c>
      <c r="I2617" s="15" t="s">
        <v>1586</v>
      </c>
      <c r="J2617" s="15" t="s">
        <v>11415</v>
      </c>
      <c r="K2617" s="15">
        <v>52.0</v>
      </c>
      <c r="L2617" s="15">
        <v>52.0</v>
      </c>
      <c r="M2617" s="40">
        <v>40918.0</v>
      </c>
      <c r="N2617" s="40">
        <v>40941.0</v>
      </c>
      <c r="O2617" s="15" t="s">
        <v>1554</v>
      </c>
      <c r="Q2617" s="7"/>
    </row>
    <row r="2618">
      <c r="A2618" s="39" t="s">
        <v>11417</v>
      </c>
      <c r="B2618" s="15">
        <v>1129145.0</v>
      </c>
      <c r="C2618" s="15" t="s">
        <v>11418</v>
      </c>
      <c r="D2618" s="15">
        <v>82641.0</v>
      </c>
      <c r="E2618" s="15" t="s">
        <v>1557</v>
      </c>
      <c r="F2618" s="15" t="s">
        <v>1833</v>
      </c>
      <c r="G2618" s="7">
        <v>49.135</v>
      </c>
      <c r="H2618" s="15" t="s">
        <v>2098</v>
      </c>
      <c r="I2618" s="15" t="s">
        <v>1586</v>
      </c>
      <c r="J2618" s="15" t="s">
        <v>11419</v>
      </c>
      <c r="K2618" s="15">
        <v>69.0</v>
      </c>
      <c r="L2618" s="15">
        <v>69.0</v>
      </c>
      <c r="M2618" s="40">
        <v>40923.0</v>
      </c>
      <c r="N2618" s="40">
        <v>40941.0</v>
      </c>
      <c r="O2618" s="15" t="s">
        <v>1554</v>
      </c>
      <c r="Q2618" s="7"/>
    </row>
    <row r="2619">
      <c r="A2619" s="39" t="s">
        <v>11420</v>
      </c>
      <c r="B2619" s="15">
        <v>1115478.0</v>
      </c>
      <c r="C2619" s="15" t="s">
        <v>11421</v>
      </c>
      <c r="D2619" s="15">
        <v>82643.0</v>
      </c>
      <c r="E2619" s="15" t="s">
        <v>1557</v>
      </c>
      <c r="F2619" s="15" t="s">
        <v>1833</v>
      </c>
      <c r="G2619" s="7">
        <v>43.221</v>
      </c>
      <c r="H2619" s="15" t="s">
        <v>5475</v>
      </c>
      <c r="I2619" s="15" t="s">
        <v>1586</v>
      </c>
      <c r="J2619" s="15" t="s">
        <v>11423</v>
      </c>
      <c r="K2619" s="15">
        <v>61.0</v>
      </c>
      <c r="L2619" s="15">
        <v>61.0</v>
      </c>
      <c r="M2619" s="40">
        <v>40923.0</v>
      </c>
      <c r="N2619" s="40">
        <v>41981.0</v>
      </c>
      <c r="O2619" s="15" t="s">
        <v>1554</v>
      </c>
      <c r="Q2619" s="7"/>
    </row>
    <row r="2620">
      <c r="A2620" s="39" t="s">
        <v>11424</v>
      </c>
      <c r="B2620" s="15">
        <v>1100790.0</v>
      </c>
      <c r="C2620" s="15" t="s">
        <v>11425</v>
      </c>
      <c r="D2620" s="15">
        <v>82647.0</v>
      </c>
      <c r="E2620" s="15" t="s">
        <v>1557</v>
      </c>
      <c r="F2620" s="15" t="s">
        <v>1611</v>
      </c>
      <c r="G2620" s="7">
        <v>40.058</v>
      </c>
      <c r="H2620" s="15" t="s">
        <v>10545</v>
      </c>
      <c r="I2620" s="15" t="s">
        <v>1586</v>
      </c>
      <c r="J2620" s="15" t="s">
        <v>11426</v>
      </c>
      <c r="K2620" s="15">
        <v>46.0</v>
      </c>
      <c r="L2620" s="15">
        <v>46.0</v>
      </c>
      <c r="M2620" s="40">
        <v>40925.0</v>
      </c>
      <c r="N2620" s="40">
        <v>41108.0</v>
      </c>
      <c r="O2620" s="15" t="s">
        <v>1554</v>
      </c>
      <c r="Q2620" s="7"/>
    </row>
    <row r="2621">
      <c r="A2621" s="39" t="s">
        <v>11427</v>
      </c>
      <c r="B2621" s="15">
        <v>1129146.0</v>
      </c>
      <c r="C2621" s="15" t="s">
        <v>11429</v>
      </c>
      <c r="D2621" s="15">
        <v>82649.0</v>
      </c>
      <c r="E2621" s="15" t="s">
        <v>1557</v>
      </c>
      <c r="F2621" s="15" t="s">
        <v>1833</v>
      </c>
      <c r="G2621" s="7">
        <v>54.024</v>
      </c>
      <c r="H2621" s="15" t="s">
        <v>4415</v>
      </c>
      <c r="I2621" s="15" t="s">
        <v>1586</v>
      </c>
      <c r="J2621" s="15" t="s">
        <v>11430</v>
      </c>
      <c r="K2621" s="15">
        <v>96.0</v>
      </c>
      <c r="L2621" s="15">
        <v>96.0</v>
      </c>
      <c r="M2621" s="40">
        <v>40923.0</v>
      </c>
      <c r="N2621" s="40">
        <v>40941.0</v>
      </c>
      <c r="O2621" s="15" t="s">
        <v>1554</v>
      </c>
      <c r="Q2621" s="7"/>
    </row>
    <row r="2622">
      <c r="A2622" s="39" t="s">
        <v>11431</v>
      </c>
      <c r="B2622" s="15">
        <v>1131315.0</v>
      </c>
      <c r="C2622" s="15" t="s">
        <v>11432</v>
      </c>
      <c r="D2622" s="15">
        <v>82653.0</v>
      </c>
      <c r="E2622" s="15" t="s">
        <v>1557</v>
      </c>
      <c r="F2622" s="15" t="s">
        <v>1611</v>
      </c>
      <c r="G2622" s="7">
        <v>60.714</v>
      </c>
      <c r="H2622" s="15" t="s">
        <v>6271</v>
      </c>
      <c r="I2622" s="15" t="s">
        <v>1586</v>
      </c>
      <c r="J2622" s="15" t="s">
        <v>11434</v>
      </c>
      <c r="K2622" s="15">
        <v>64.0</v>
      </c>
      <c r="L2622" s="15">
        <v>64.0</v>
      </c>
      <c r="M2622" s="40">
        <v>40933.0</v>
      </c>
      <c r="N2622" s="40">
        <v>40941.0</v>
      </c>
      <c r="O2622" s="15" t="s">
        <v>1554</v>
      </c>
      <c r="Q2622" s="7"/>
    </row>
    <row r="2623">
      <c r="A2623" s="39" t="s">
        <v>11435</v>
      </c>
      <c r="B2623" s="15">
        <v>1136133.0</v>
      </c>
      <c r="C2623" s="15" t="s">
        <v>11436</v>
      </c>
      <c r="D2623" s="15">
        <v>82751.0</v>
      </c>
      <c r="E2623" s="15" t="s">
        <v>1548</v>
      </c>
      <c r="F2623" s="15" t="s">
        <v>1776</v>
      </c>
      <c r="G2623" s="7">
        <v>8.21</v>
      </c>
      <c r="H2623" s="15" t="s">
        <v>2417</v>
      </c>
      <c r="I2623" s="15" t="s">
        <v>1686</v>
      </c>
      <c r="J2623" s="15" t="s">
        <v>11437</v>
      </c>
      <c r="K2623" s="15">
        <v>1.0</v>
      </c>
      <c r="L2623" s="15">
        <v>1.0</v>
      </c>
      <c r="M2623" s="40">
        <v>40937.0</v>
      </c>
      <c r="N2623" s="40">
        <v>40983.0</v>
      </c>
      <c r="O2623" s="15" t="s">
        <v>1554</v>
      </c>
      <c r="Q2623" s="7"/>
    </row>
    <row r="2624">
      <c r="A2624" s="39" t="s">
        <v>11438</v>
      </c>
      <c r="B2624" s="15">
        <v>1105171.0</v>
      </c>
      <c r="C2624" s="15" t="s">
        <v>11439</v>
      </c>
      <c r="D2624" s="15">
        <v>82753.0</v>
      </c>
      <c r="E2624" s="15" t="s">
        <v>1557</v>
      </c>
      <c r="F2624" s="15" t="s">
        <v>1833</v>
      </c>
      <c r="G2624" s="7">
        <v>47.159</v>
      </c>
      <c r="H2624" s="15" t="s">
        <v>1607</v>
      </c>
      <c r="I2624" s="15" t="s">
        <v>1586</v>
      </c>
      <c r="J2624" s="15" t="s">
        <v>11440</v>
      </c>
      <c r="K2624" s="15">
        <v>68.0</v>
      </c>
      <c r="L2624" s="15">
        <v>68.0</v>
      </c>
      <c r="M2624" s="40">
        <v>40918.0</v>
      </c>
      <c r="N2624" s="40">
        <v>41040.0</v>
      </c>
      <c r="O2624" s="15" t="s">
        <v>1554</v>
      </c>
      <c r="Q2624" s="7"/>
    </row>
    <row r="2625">
      <c r="A2625" s="39" t="s">
        <v>11442</v>
      </c>
      <c r="B2625" s="15">
        <v>1004049.0</v>
      </c>
      <c r="C2625" s="15" t="s">
        <v>11443</v>
      </c>
      <c r="D2625" s="15">
        <v>83187.0</v>
      </c>
      <c r="E2625" s="15" t="s">
        <v>1638</v>
      </c>
      <c r="F2625" s="15" t="s">
        <v>1863</v>
      </c>
      <c r="G2625" s="7">
        <v>25.139</v>
      </c>
      <c r="H2625" s="15" t="s">
        <v>11444</v>
      </c>
      <c r="I2625" s="15" t="s">
        <v>1686</v>
      </c>
      <c r="J2625" s="15" t="s">
        <v>11445</v>
      </c>
      <c r="K2625" s="15">
        <v>10.0</v>
      </c>
      <c r="L2625" s="15">
        <v>10.0</v>
      </c>
      <c r="M2625" s="40">
        <v>40942.0</v>
      </c>
      <c r="N2625" s="41">
        <v>42297.0</v>
      </c>
      <c r="O2625" s="15" t="s">
        <v>1554</v>
      </c>
      <c r="Q2625" s="7"/>
    </row>
    <row r="2626">
      <c r="A2626" s="39" t="s">
        <v>11446</v>
      </c>
      <c r="B2626" s="15">
        <v>995022.0</v>
      </c>
      <c r="C2626" s="15" t="s">
        <v>11447</v>
      </c>
      <c r="D2626" s="15">
        <v>64487.0</v>
      </c>
      <c r="E2626" s="15" t="s">
        <v>1557</v>
      </c>
      <c r="F2626" s="15" t="s">
        <v>2628</v>
      </c>
      <c r="G2626" s="7">
        <v>35.499</v>
      </c>
      <c r="H2626" s="15" t="s">
        <v>6271</v>
      </c>
      <c r="I2626" s="15" t="s">
        <v>1686</v>
      </c>
      <c r="J2626" s="15" t="s">
        <v>11448</v>
      </c>
      <c r="K2626" s="15">
        <v>32.0</v>
      </c>
      <c r="L2626" s="15">
        <v>32.0</v>
      </c>
      <c r="M2626" s="40">
        <v>40617.0</v>
      </c>
      <c r="N2626" s="40">
        <v>40991.0</v>
      </c>
      <c r="O2626" s="15" t="s">
        <v>1554</v>
      </c>
      <c r="Q2626" s="7"/>
    </row>
    <row r="2627">
      <c r="A2627" s="39" t="s">
        <v>11449</v>
      </c>
      <c r="B2627" s="15">
        <v>727977.0</v>
      </c>
      <c r="C2627" s="15" t="s">
        <v>11450</v>
      </c>
      <c r="D2627" s="15">
        <v>84399.0</v>
      </c>
      <c r="E2627" s="15" t="s">
        <v>1557</v>
      </c>
      <c r="F2627" s="15" t="s">
        <v>2628</v>
      </c>
      <c r="G2627" s="7">
        <v>31.806</v>
      </c>
      <c r="H2627" s="15" t="s">
        <v>2275</v>
      </c>
      <c r="I2627" s="15" t="s">
        <v>1686</v>
      </c>
      <c r="J2627" s="15" t="s">
        <v>11452</v>
      </c>
      <c r="K2627" s="15">
        <v>30.0</v>
      </c>
      <c r="L2627" s="15">
        <v>30.0</v>
      </c>
      <c r="M2627" s="40">
        <v>40243.0</v>
      </c>
      <c r="N2627" s="41">
        <v>42731.0</v>
      </c>
      <c r="O2627" s="15" t="s">
        <v>1554</v>
      </c>
      <c r="Q2627" s="7"/>
    </row>
    <row r="2628">
      <c r="A2628" s="39" t="s">
        <v>11453</v>
      </c>
      <c r="B2628" s="15">
        <v>1137931.0</v>
      </c>
      <c r="C2628" s="15" t="s">
        <v>11454</v>
      </c>
      <c r="D2628" s="15">
        <v>84401.0</v>
      </c>
      <c r="E2628" s="15" t="s">
        <v>1548</v>
      </c>
      <c r="F2628" s="15" t="s">
        <v>1848</v>
      </c>
      <c r="G2628" s="7">
        <v>6.707</v>
      </c>
      <c r="H2628" s="15" t="s">
        <v>3407</v>
      </c>
      <c r="I2628" s="15" t="s">
        <v>1686</v>
      </c>
      <c r="J2628" s="15" t="s">
        <v>11455</v>
      </c>
      <c r="K2628" s="15">
        <v>3.0</v>
      </c>
      <c r="L2628" s="15">
        <v>3.0</v>
      </c>
      <c r="M2628" s="40">
        <v>40951.0</v>
      </c>
      <c r="N2628" s="40">
        <v>41064.0</v>
      </c>
      <c r="O2628" s="15" t="s">
        <v>1554</v>
      </c>
      <c r="Q2628" s="7"/>
    </row>
    <row r="2629">
      <c r="A2629" s="39" t="s">
        <v>11457</v>
      </c>
      <c r="B2629" s="15">
        <v>1144379.0</v>
      </c>
      <c r="C2629" s="15" t="s">
        <v>11458</v>
      </c>
      <c r="D2629" s="15">
        <v>84405.0</v>
      </c>
      <c r="E2629" s="15" t="s">
        <v>1557</v>
      </c>
      <c r="F2629" s="15" t="s">
        <v>1822</v>
      </c>
      <c r="G2629" s="7">
        <v>7.855</v>
      </c>
      <c r="H2629" s="15" t="s">
        <v>3836</v>
      </c>
      <c r="I2629" s="15" t="s">
        <v>1686</v>
      </c>
      <c r="J2629" s="15" t="s">
        <v>11459</v>
      </c>
      <c r="K2629" s="15">
        <v>7.0</v>
      </c>
      <c r="L2629" s="15">
        <v>7.0</v>
      </c>
      <c r="M2629" s="40">
        <v>40952.0</v>
      </c>
      <c r="N2629" s="40">
        <v>40972.0</v>
      </c>
      <c r="O2629" s="15" t="s">
        <v>1554</v>
      </c>
      <c r="Q2629" s="7"/>
    </row>
    <row r="2630">
      <c r="A2630" s="39" t="s">
        <v>11460</v>
      </c>
      <c r="B2630" s="15">
        <v>1115696.0</v>
      </c>
      <c r="C2630" s="15" t="s">
        <v>11461</v>
      </c>
      <c r="D2630" s="15">
        <v>84407.0</v>
      </c>
      <c r="E2630" s="15" t="s">
        <v>2416</v>
      </c>
      <c r="F2630" s="15" t="s">
        <v>1578</v>
      </c>
      <c r="G2630" s="7">
        <v>21.592</v>
      </c>
      <c r="H2630" s="15" t="s">
        <v>1772</v>
      </c>
      <c r="I2630" s="15" t="s">
        <v>1618</v>
      </c>
      <c r="J2630" s="15" t="s">
        <v>11462</v>
      </c>
      <c r="K2630" s="15">
        <v>28.0</v>
      </c>
      <c r="L2630" s="15">
        <v>28.0</v>
      </c>
      <c r="M2630" s="40">
        <v>40957.0</v>
      </c>
      <c r="N2630" s="40">
        <v>40965.0</v>
      </c>
      <c r="O2630" s="15" t="s">
        <v>1554</v>
      </c>
      <c r="Q2630" s="7"/>
    </row>
    <row r="2631">
      <c r="A2631" s="39" t="s">
        <v>11463</v>
      </c>
      <c r="B2631" s="15">
        <v>930275.0</v>
      </c>
      <c r="C2631" s="15" t="s">
        <v>11464</v>
      </c>
      <c r="D2631" s="15">
        <v>85563.0</v>
      </c>
      <c r="E2631" s="15" t="s">
        <v>1557</v>
      </c>
      <c r="F2631" s="15" t="s">
        <v>2028</v>
      </c>
      <c r="G2631" s="7">
        <v>185.139</v>
      </c>
      <c r="H2631" s="42">
        <v>43274.0</v>
      </c>
      <c r="I2631" s="15" t="s">
        <v>1686</v>
      </c>
      <c r="J2631" s="15" t="s">
        <v>11466</v>
      </c>
      <c r="K2631" s="15">
        <v>185.0</v>
      </c>
      <c r="L2631" s="15">
        <v>185.0</v>
      </c>
      <c r="M2631" s="40">
        <v>40956.0</v>
      </c>
      <c r="N2631" s="40">
        <v>41017.0</v>
      </c>
      <c r="O2631" s="15" t="s">
        <v>1554</v>
      </c>
      <c r="Q2631" s="7"/>
    </row>
    <row r="2632">
      <c r="A2632" s="39" t="s">
        <v>11467</v>
      </c>
      <c r="B2632" s="15">
        <v>59302.0</v>
      </c>
      <c r="C2632" s="15" t="s">
        <v>11468</v>
      </c>
      <c r="D2632" s="15">
        <v>88115.0</v>
      </c>
      <c r="E2632" s="15" t="s">
        <v>1548</v>
      </c>
      <c r="F2632" s="15" t="s">
        <v>3181</v>
      </c>
      <c r="G2632" s="7">
        <v>11.688</v>
      </c>
      <c r="H2632" s="15">
        <v>50.0</v>
      </c>
      <c r="I2632" s="15" t="s">
        <v>1751</v>
      </c>
      <c r="J2632" s="15" t="s">
        <v>11469</v>
      </c>
      <c r="K2632" s="15">
        <v>4.0</v>
      </c>
      <c r="L2632" s="15">
        <v>4.0</v>
      </c>
      <c r="M2632" s="40">
        <v>40966.0</v>
      </c>
      <c r="N2632" s="41">
        <v>41620.0</v>
      </c>
      <c r="O2632" s="15" t="s">
        <v>1554</v>
      </c>
      <c r="Q2632" s="7"/>
    </row>
    <row r="2633">
      <c r="A2633" s="39" t="s">
        <v>11470</v>
      </c>
      <c r="B2633" s="15">
        <v>1159195.0</v>
      </c>
      <c r="C2633" s="15" t="s">
        <v>11471</v>
      </c>
      <c r="D2633" s="15">
        <v>88117.0</v>
      </c>
      <c r="E2633" s="15" t="s">
        <v>1548</v>
      </c>
      <c r="F2633" s="15" t="s">
        <v>3181</v>
      </c>
      <c r="G2633" s="7">
        <v>11.245</v>
      </c>
      <c r="H2633" s="15" t="s">
        <v>1918</v>
      </c>
      <c r="I2633" s="15" t="s">
        <v>1751</v>
      </c>
      <c r="J2633" s="15" t="s">
        <v>11472</v>
      </c>
      <c r="K2633" s="15">
        <v>4.0</v>
      </c>
      <c r="L2633" s="15">
        <v>4.0</v>
      </c>
      <c r="M2633" s="40">
        <v>40966.0</v>
      </c>
      <c r="N2633" s="40">
        <v>42045.0</v>
      </c>
      <c r="O2633" s="15" t="s">
        <v>1554</v>
      </c>
      <c r="Q2633" s="7"/>
    </row>
    <row r="2634">
      <c r="A2634" s="39" t="s">
        <v>11473</v>
      </c>
      <c r="B2634" s="15">
        <v>48543.0</v>
      </c>
      <c r="C2634" s="15" t="s">
        <v>11474</v>
      </c>
      <c r="D2634" s="15">
        <v>88119.0</v>
      </c>
      <c r="E2634" s="15" t="s">
        <v>1548</v>
      </c>
      <c r="F2634" s="15" t="s">
        <v>3181</v>
      </c>
      <c r="G2634" s="7">
        <v>11.616</v>
      </c>
      <c r="H2634" s="15" t="s">
        <v>3798</v>
      </c>
      <c r="I2634" s="15" t="s">
        <v>1751</v>
      </c>
      <c r="J2634" s="15" t="s">
        <v>11476</v>
      </c>
      <c r="K2634" s="15">
        <v>4.0</v>
      </c>
      <c r="L2634" s="15">
        <v>4.0</v>
      </c>
      <c r="M2634" s="40">
        <v>40966.0</v>
      </c>
      <c r="N2634" s="40">
        <v>42045.0</v>
      </c>
      <c r="O2634" s="15" t="s">
        <v>1554</v>
      </c>
      <c r="Q2634" s="7"/>
    </row>
    <row r="2635">
      <c r="A2635" s="39" t="s">
        <v>11477</v>
      </c>
      <c r="B2635" s="15">
        <v>59305.0</v>
      </c>
      <c r="C2635" s="15" t="s">
        <v>11478</v>
      </c>
      <c r="D2635" s="15">
        <v>88121.0</v>
      </c>
      <c r="E2635" s="15" t="s">
        <v>1548</v>
      </c>
      <c r="F2635" s="15" t="s">
        <v>3181</v>
      </c>
      <c r="G2635" s="7">
        <v>11.877</v>
      </c>
      <c r="H2635" s="15" t="s">
        <v>4776</v>
      </c>
      <c r="I2635" s="15" t="s">
        <v>1751</v>
      </c>
      <c r="J2635" s="15" t="s">
        <v>11479</v>
      </c>
      <c r="K2635" s="15">
        <v>3.0</v>
      </c>
      <c r="L2635" s="15">
        <v>3.0</v>
      </c>
      <c r="M2635" s="40">
        <v>40966.0</v>
      </c>
      <c r="N2635" s="40">
        <v>42045.0</v>
      </c>
      <c r="O2635" s="15" t="s">
        <v>1554</v>
      </c>
      <c r="Q2635" s="7"/>
    </row>
    <row r="2636">
      <c r="A2636" s="39" t="s">
        <v>11480</v>
      </c>
      <c r="B2636" s="15">
        <v>1149871.0</v>
      </c>
      <c r="C2636" s="15" t="s">
        <v>11481</v>
      </c>
      <c r="D2636" s="15">
        <v>88123.0</v>
      </c>
      <c r="E2636" s="15" t="s">
        <v>2014</v>
      </c>
      <c r="F2636" s="15" t="s">
        <v>1578</v>
      </c>
      <c r="G2636" s="7">
        <v>0.689</v>
      </c>
      <c r="H2636" s="15" t="s">
        <v>2428</v>
      </c>
      <c r="I2636" s="15" t="s">
        <v>1628</v>
      </c>
      <c r="J2636" s="15" t="s">
        <v>11482</v>
      </c>
      <c r="K2636" s="15" t="s">
        <v>1722</v>
      </c>
      <c r="L2636" s="15" t="s">
        <v>1722</v>
      </c>
      <c r="M2636" s="40">
        <v>40965.0</v>
      </c>
      <c r="N2636" s="40">
        <v>40970.0</v>
      </c>
      <c r="O2636" s="15" t="s">
        <v>1554</v>
      </c>
      <c r="Q2636" s="7"/>
    </row>
    <row r="2637">
      <c r="A2637" s="39" t="s">
        <v>11484</v>
      </c>
      <c r="B2637" s="15">
        <v>1196647.0</v>
      </c>
      <c r="C2637" s="15" t="s">
        <v>11485</v>
      </c>
      <c r="D2637" s="15">
        <v>89397.0</v>
      </c>
      <c r="E2637" s="15" t="s">
        <v>1548</v>
      </c>
      <c r="F2637" s="15" t="s">
        <v>1578</v>
      </c>
      <c r="G2637" s="7">
        <v>7.948</v>
      </c>
      <c r="H2637" s="15" t="s">
        <v>2223</v>
      </c>
      <c r="I2637" s="15" t="s">
        <v>1686</v>
      </c>
      <c r="J2637" s="15" t="s">
        <v>11486</v>
      </c>
      <c r="K2637" s="15">
        <v>1.0</v>
      </c>
      <c r="L2637" s="15">
        <v>1.0</v>
      </c>
      <c r="M2637" s="40">
        <v>40967.0</v>
      </c>
      <c r="N2637" s="40">
        <v>41065.0</v>
      </c>
      <c r="O2637" s="15" t="s">
        <v>1554</v>
      </c>
      <c r="Q2637" s="7"/>
    </row>
    <row r="2638">
      <c r="A2638" s="39" t="s">
        <v>11487</v>
      </c>
      <c r="B2638" s="15">
        <v>938276.0</v>
      </c>
      <c r="C2638" s="15" t="s">
        <v>11488</v>
      </c>
      <c r="D2638" s="15">
        <v>89399.0</v>
      </c>
      <c r="E2638" s="15" t="s">
        <v>1808</v>
      </c>
      <c r="F2638" s="15" t="s">
        <v>1809</v>
      </c>
      <c r="G2638" s="7">
        <v>2.762</v>
      </c>
      <c r="H2638" s="15" t="s">
        <v>2777</v>
      </c>
      <c r="I2638" s="15" t="s">
        <v>1628</v>
      </c>
      <c r="J2638" s="15" t="s">
        <v>11489</v>
      </c>
      <c r="K2638" s="15">
        <v>7.0</v>
      </c>
      <c r="L2638" s="15">
        <v>7.0</v>
      </c>
      <c r="M2638" s="41">
        <v>40534.0</v>
      </c>
      <c r="N2638" s="40">
        <v>40977.0</v>
      </c>
      <c r="O2638" s="15" t="s">
        <v>1554</v>
      </c>
      <c r="Q2638" s="7"/>
    </row>
    <row r="2639">
      <c r="A2639" s="39" t="s">
        <v>11491</v>
      </c>
      <c r="B2639" s="15">
        <v>884612.0</v>
      </c>
      <c r="C2639" s="15" t="s">
        <v>11492</v>
      </c>
      <c r="D2639" s="15">
        <v>89655.0</v>
      </c>
      <c r="E2639" s="15" t="s">
        <v>1808</v>
      </c>
      <c r="F2639" s="15" t="s">
        <v>1809</v>
      </c>
      <c r="G2639" s="7">
        <v>2.747</v>
      </c>
      <c r="H2639" s="15" t="s">
        <v>2107</v>
      </c>
      <c r="I2639" s="15" t="s">
        <v>1628</v>
      </c>
      <c r="J2639" s="15" t="s">
        <v>11493</v>
      </c>
      <c r="K2639" s="15">
        <v>6.0</v>
      </c>
      <c r="L2639" s="15">
        <v>6.0</v>
      </c>
      <c r="M2639" s="40">
        <v>39823.0</v>
      </c>
      <c r="N2639" s="40">
        <v>40983.0</v>
      </c>
      <c r="O2639" s="15" t="s">
        <v>1554</v>
      </c>
      <c r="Q2639" s="7"/>
    </row>
    <row r="2640">
      <c r="A2640" s="39" t="s">
        <v>11494</v>
      </c>
      <c r="B2640" s="15">
        <v>1159906.0</v>
      </c>
      <c r="C2640" s="15" t="s">
        <v>11495</v>
      </c>
      <c r="D2640" s="15">
        <v>17048.0</v>
      </c>
      <c r="E2640" s="15" t="s">
        <v>1548</v>
      </c>
      <c r="F2640" s="15" t="s">
        <v>1684</v>
      </c>
      <c r="G2640" s="7">
        <v>26.083</v>
      </c>
      <c r="H2640" s="15" t="s">
        <v>1962</v>
      </c>
      <c r="I2640" s="15" t="s">
        <v>1686</v>
      </c>
      <c r="J2640" s="15" t="s">
        <v>11496</v>
      </c>
      <c r="K2640" s="15">
        <v>9.0</v>
      </c>
      <c r="L2640" s="15">
        <v>9.0</v>
      </c>
      <c r="M2640" s="40">
        <v>40987.0</v>
      </c>
      <c r="N2640" s="41">
        <v>43024.0</v>
      </c>
      <c r="O2640" s="15" t="s">
        <v>1554</v>
      </c>
      <c r="Q2640" s="7"/>
    </row>
    <row r="2641">
      <c r="A2641" s="39" t="s">
        <v>11498</v>
      </c>
      <c r="B2641" s="15">
        <v>1154689.0</v>
      </c>
      <c r="C2641" s="15" t="s">
        <v>11499</v>
      </c>
      <c r="D2641" s="15">
        <v>109269.0</v>
      </c>
      <c r="E2641" s="15" t="s">
        <v>1664</v>
      </c>
      <c r="F2641" s="15" t="s">
        <v>1665</v>
      </c>
      <c r="G2641" s="7">
        <v>30.578</v>
      </c>
      <c r="H2641" s="15" t="s">
        <v>4308</v>
      </c>
      <c r="I2641" s="15" t="s">
        <v>1618</v>
      </c>
      <c r="J2641" s="15" t="s">
        <v>11500</v>
      </c>
      <c r="K2641" s="15">
        <v>43.0</v>
      </c>
      <c r="L2641" s="15">
        <v>43.0</v>
      </c>
      <c r="M2641" s="40">
        <v>40980.0</v>
      </c>
      <c r="N2641" s="40">
        <v>41310.0</v>
      </c>
      <c r="O2641" s="15" t="s">
        <v>1554</v>
      </c>
      <c r="Q2641" s="7"/>
    </row>
    <row r="2642">
      <c r="A2642" s="39" t="s">
        <v>11501</v>
      </c>
      <c r="B2642" s="15">
        <v>1159905.0</v>
      </c>
      <c r="C2642" s="15" t="s">
        <v>11502</v>
      </c>
      <c r="D2642" s="15">
        <v>109271.0</v>
      </c>
      <c r="E2642" s="15" t="s">
        <v>1548</v>
      </c>
      <c r="F2642" s="15" t="s">
        <v>1684</v>
      </c>
      <c r="G2642" s="7">
        <v>25.43</v>
      </c>
      <c r="H2642" s="15" t="s">
        <v>2648</v>
      </c>
      <c r="I2642" s="15" t="s">
        <v>1686</v>
      </c>
      <c r="J2642" s="15" t="s">
        <v>11504</v>
      </c>
      <c r="K2642" s="15">
        <v>7.0</v>
      </c>
      <c r="L2642" s="15">
        <v>7.0</v>
      </c>
      <c r="M2642" s="40">
        <v>40987.0</v>
      </c>
      <c r="N2642" s="40">
        <v>42506.0</v>
      </c>
      <c r="O2642" s="15" t="s">
        <v>1554</v>
      </c>
      <c r="Q2642" s="7"/>
    </row>
    <row r="2643">
      <c r="A2643" s="39" t="s">
        <v>11505</v>
      </c>
      <c r="B2643" s="15">
        <v>1159907.0</v>
      </c>
      <c r="C2643" s="15" t="s">
        <v>11506</v>
      </c>
      <c r="D2643" s="15">
        <v>109273.0</v>
      </c>
      <c r="E2643" s="15" t="s">
        <v>1548</v>
      </c>
      <c r="F2643" s="15" t="s">
        <v>1684</v>
      </c>
      <c r="G2643" s="7">
        <v>26.041</v>
      </c>
      <c r="H2643" s="15" t="s">
        <v>1994</v>
      </c>
      <c r="I2643" s="15" t="s">
        <v>1686</v>
      </c>
      <c r="J2643" s="15" t="s">
        <v>11507</v>
      </c>
      <c r="K2643" s="15">
        <v>8.0</v>
      </c>
      <c r="L2643" s="15">
        <v>8.0</v>
      </c>
      <c r="M2643" s="40">
        <v>40987.0</v>
      </c>
      <c r="N2643" s="40">
        <v>40998.0</v>
      </c>
      <c r="O2643" s="15" t="s">
        <v>1554</v>
      </c>
      <c r="Q2643" s="7"/>
    </row>
    <row r="2644">
      <c r="A2644" s="39" t="s">
        <v>11508</v>
      </c>
      <c r="B2644" s="15">
        <v>1159903.0</v>
      </c>
      <c r="C2644" s="15" t="s">
        <v>11509</v>
      </c>
      <c r="D2644" s="15">
        <v>109275.0</v>
      </c>
      <c r="E2644" s="15" t="s">
        <v>1548</v>
      </c>
      <c r="F2644" s="15" t="s">
        <v>1684</v>
      </c>
      <c r="G2644" s="7">
        <v>26.689</v>
      </c>
      <c r="H2644" s="15" t="s">
        <v>2686</v>
      </c>
      <c r="I2644" s="15" t="s">
        <v>1686</v>
      </c>
      <c r="J2644" s="15" t="s">
        <v>11510</v>
      </c>
      <c r="K2644" s="15">
        <v>9.0</v>
      </c>
      <c r="L2644" s="15">
        <v>9.0</v>
      </c>
      <c r="M2644" s="40">
        <v>40987.0</v>
      </c>
      <c r="N2644" s="40">
        <v>40998.0</v>
      </c>
      <c r="O2644" s="15" t="s">
        <v>1554</v>
      </c>
      <c r="Q2644" s="7"/>
    </row>
    <row r="2645">
      <c r="A2645" s="39" t="s">
        <v>11512</v>
      </c>
      <c r="B2645" s="15">
        <v>1159904.0</v>
      </c>
      <c r="C2645" s="15" t="s">
        <v>11513</v>
      </c>
      <c r="D2645" s="15">
        <v>109277.0</v>
      </c>
      <c r="E2645" s="15" t="s">
        <v>1548</v>
      </c>
      <c r="F2645" s="15" t="s">
        <v>1684</v>
      </c>
      <c r="G2645" s="7">
        <v>26.077</v>
      </c>
      <c r="H2645" s="15" t="s">
        <v>2668</v>
      </c>
      <c r="I2645" s="15" t="s">
        <v>1686</v>
      </c>
      <c r="J2645" s="15" t="s">
        <v>11514</v>
      </c>
      <c r="K2645" s="15">
        <v>8.0</v>
      </c>
      <c r="L2645" s="15">
        <v>8.0</v>
      </c>
      <c r="M2645" s="40">
        <v>40987.0</v>
      </c>
      <c r="N2645" s="40">
        <v>40998.0</v>
      </c>
      <c r="O2645" s="15" t="s">
        <v>1554</v>
      </c>
      <c r="Q2645" s="7"/>
    </row>
    <row r="2646">
      <c r="A2646" s="39" t="s">
        <v>11515</v>
      </c>
      <c r="B2646" s="15">
        <v>1159908.0</v>
      </c>
      <c r="C2646" s="15" t="s">
        <v>11516</v>
      </c>
      <c r="D2646" s="15">
        <v>109279.0</v>
      </c>
      <c r="E2646" s="15" t="s">
        <v>1548</v>
      </c>
      <c r="F2646" s="15" t="s">
        <v>1684</v>
      </c>
      <c r="G2646" s="7">
        <v>26.227</v>
      </c>
      <c r="H2646" s="15" t="s">
        <v>2304</v>
      </c>
      <c r="I2646" s="15" t="s">
        <v>1686</v>
      </c>
      <c r="J2646" s="15" t="s">
        <v>11517</v>
      </c>
      <c r="K2646" s="15">
        <v>10.0</v>
      </c>
      <c r="L2646" s="15">
        <v>10.0</v>
      </c>
      <c r="M2646" s="40">
        <v>40987.0</v>
      </c>
      <c r="N2646" s="40">
        <v>40998.0</v>
      </c>
      <c r="O2646" s="15" t="s">
        <v>1554</v>
      </c>
      <c r="Q2646" s="7"/>
    </row>
    <row r="2647">
      <c r="A2647" s="39" t="s">
        <v>11518</v>
      </c>
      <c r="B2647" s="15">
        <v>1159902.0</v>
      </c>
      <c r="C2647" s="15" t="s">
        <v>11519</v>
      </c>
      <c r="D2647" s="15">
        <v>109281.0</v>
      </c>
      <c r="E2647" s="15" t="s">
        <v>1548</v>
      </c>
      <c r="F2647" s="15" t="s">
        <v>1684</v>
      </c>
      <c r="G2647" s="7">
        <v>26.223</v>
      </c>
      <c r="H2647" s="15" t="s">
        <v>4287</v>
      </c>
      <c r="I2647" s="15" t="s">
        <v>1686</v>
      </c>
      <c r="J2647" s="15" t="s">
        <v>11521</v>
      </c>
      <c r="K2647" s="15">
        <v>9.0</v>
      </c>
      <c r="L2647" s="15">
        <v>9.0</v>
      </c>
      <c r="M2647" s="40">
        <v>40987.0</v>
      </c>
      <c r="N2647" s="40">
        <v>40998.0</v>
      </c>
      <c r="O2647" s="15" t="s">
        <v>1554</v>
      </c>
      <c r="Q2647" s="7"/>
    </row>
    <row r="2648">
      <c r="A2648" s="39" t="s">
        <v>11522</v>
      </c>
      <c r="B2648" s="15">
        <v>985683.0</v>
      </c>
      <c r="C2648" s="15" t="s">
        <v>11523</v>
      </c>
      <c r="D2648" s="15">
        <v>115527.0</v>
      </c>
      <c r="E2648" s="15" t="s">
        <v>1548</v>
      </c>
      <c r="F2648" s="15" t="s">
        <v>1801</v>
      </c>
      <c r="G2648" s="7">
        <v>10.791</v>
      </c>
      <c r="H2648" s="15" t="s">
        <v>5382</v>
      </c>
      <c r="I2648" s="15" t="s">
        <v>1803</v>
      </c>
      <c r="J2648" s="15" t="s">
        <v>11524</v>
      </c>
      <c r="K2648" s="15">
        <v>1.0</v>
      </c>
      <c r="L2648" s="15">
        <v>2.0</v>
      </c>
      <c r="M2648" s="40">
        <v>40988.0</v>
      </c>
      <c r="N2648" s="40">
        <v>42553.0</v>
      </c>
      <c r="O2648" s="15" t="s">
        <v>1554</v>
      </c>
      <c r="Q2648" s="7"/>
    </row>
    <row r="2649">
      <c r="A2649" s="39" t="s">
        <v>11525</v>
      </c>
      <c r="B2649" s="15">
        <v>1129032.0</v>
      </c>
      <c r="C2649" s="15" t="s">
        <v>11526</v>
      </c>
      <c r="D2649" s="15">
        <v>124057.0</v>
      </c>
      <c r="E2649" s="15" t="s">
        <v>1808</v>
      </c>
      <c r="F2649" s="15" t="s">
        <v>1809</v>
      </c>
      <c r="G2649" s="7">
        <v>2.675</v>
      </c>
      <c r="H2649" s="15">
        <v>46.0</v>
      </c>
      <c r="I2649" s="15" t="s">
        <v>1628</v>
      </c>
      <c r="J2649" s="15" t="s">
        <v>11528</v>
      </c>
      <c r="K2649" s="15">
        <v>5.0</v>
      </c>
      <c r="L2649" s="15">
        <v>5.0</v>
      </c>
      <c r="M2649" s="40">
        <v>40988.0</v>
      </c>
      <c r="N2649" s="40">
        <v>40991.0</v>
      </c>
      <c r="O2649" s="15" t="s">
        <v>1554</v>
      </c>
      <c r="Q2649" s="7"/>
    </row>
    <row r="2650">
      <c r="A2650" s="39" t="s">
        <v>11529</v>
      </c>
      <c r="B2650" s="15">
        <v>1129034.0</v>
      </c>
      <c r="C2650" s="15" t="s">
        <v>11530</v>
      </c>
      <c r="D2650" s="15">
        <v>124059.0</v>
      </c>
      <c r="E2650" s="15" t="s">
        <v>1808</v>
      </c>
      <c r="F2650" s="15" t="s">
        <v>1809</v>
      </c>
      <c r="G2650" s="7">
        <v>2.66</v>
      </c>
      <c r="H2650" s="15" t="s">
        <v>1685</v>
      </c>
      <c r="I2650" s="15" t="s">
        <v>1628</v>
      </c>
      <c r="J2650" s="15" t="s">
        <v>11531</v>
      </c>
      <c r="K2650" s="15">
        <v>5.0</v>
      </c>
      <c r="L2650" s="15">
        <v>5.0</v>
      </c>
      <c r="M2650" s="40">
        <v>40988.0</v>
      </c>
      <c r="N2650" s="40">
        <v>42589.0</v>
      </c>
      <c r="O2650" s="15" t="s">
        <v>1554</v>
      </c>
      <c r="Q2650" s="7"/>
    </row>
    <row r="2651">
      <c r="A2651" s="39" t="s">
        <v>11532</v>
      </c>
      <c r="B2651" s="15">
        <v>1129035.0</v>
      </c>
      <c r="C2651" s="15" t="s">
        <v>11533</v>
      </c>
      <c r="D2651" s="15">
        <v>124061.0</v>
      </c>
      <c r="E2651" s="15" t="s">
        <v>1808</v>
      </c>
      <c r="F2651" s="15" t="s">
        <v>1809</v>
      </c>
      <c r="G2651" s="7">
        <v>2.656</v>
      </c>
      <c r="H2651" s="15" t="s">
        <v>2869</v>
      </c>
      <c r="I2651" s="15" t="s">
        <v>1628</v>
      </c>
      <c r="J2651" s="15" t="s">
        <v>11534</v>
      </c>
      <c r="K2651" s="15">
        <v>5.0</v>
      </c>
      <c r="L2651" s="15">
        <v>5.0</v>
      </c>
      <c r="M2651" s="40">
        <v>40988.0</v>
      </c>
      <c r="N2651" s="40">
        <v>42045.0</v>
      </c>
      <c r="O2651" s="15" t="s">
        <v>1554</v>
      </c>
      <c r="Q2651" s="7"/>
    </row>
    <row r="2652">
      <c r="A2652" s="39" t="s">
        <v>11536</v>
      </c>
      <c r="B2652" s="15">
        <v>1129033.0</v>
      </c>
      <c r="C2652" s="15" t="s">
        <v>11537</v>
      </c>
      <c r="D2652" s="15">
        <v>124063.0</v>
      </c>
      <c r="E2652" s="15" t="s">
        <v>1808</v>
      </c>
      <c r="F2652" s="15" t="s">
        <v>1809</v>
      </c>
      <c r="G2652" s="7">
        <v>5.197</v>
      </c>
      <c r="H2652" s="15" t="s">
        <v>11538</v>
      </c>
      <c r="I2652" s="15" t="s">
        <v>1628</v>
      </c>
      <c r="J2652" s="15" t="s">
        <v>11539</v>
      </c>
      <c r="K2652" s="15">
        <v>7.0</v>
      </c>
      <c r="L2652" s="15">
        <v>7.0</v>
      </c>
      <c r="M2652" s="40">
        <v>40988.0</v>
      </c>
      <c r="N2652" s="40">
        <v>42045.0</v>
      </c>
      <c r="O2652" s="15" t="s">
        <v>1554</v>
      </c>
      <c r="Q2652" s="7"/>
    </row>
    <row r="2653">
      <c r="A2653" s="39" t="s">
        <v>11540</v>
      </c>
      <c r="B2653" s="15">
        <v>1162083.0</v>
      </c>
      <c r="C2653" s="15" t="s">
        <v>11541</v>
      </c>
      <c r="D2653" s="15">
        <v>129589.0</v>
      </c>
      <c r="E2653" s="15" t="s">
        <v>1548</v>
      </c>
      <c r="F2653" s="15" t="s">
        <v>5261</v>
      </c>
      <c r="G2653" s="7">
        <v>3.765</v>
      </c>
      <c r="H2653" s="15" t="s">
        <v>3255</v>
      </c>
      <c r="I2653" s="15" t="s">
        <v>1552</v>
      </c>
      <c r="J2653" s="15" t="s">
        <v>11542</v>
      </c>
      <c r="K2653" s="15">
        <v>1.0</v>
      </c>
      <c r="L2653" s="15">
        <v>1.0</v>
      </c>
      <c r="M2653" s="40">
        <v>40982.0</v>
      </c>
      <c r="N2653" s="40">
        <v>41089.0</v>
      </c>
      <c r="O2653" s="15" t="s">
        <v>1554</v>
      </c>
      <c r="Q2653" s="7"/>
    </row>
    <row r="2654">
      <c r="A2654" s="39" t="s">
        <v>11544</v>
      </c>
      <c r="B2654" s="15">
        <v>1125764.0</v>
      </c>
      <c r="C2654" s="15" t="s">
        <v>11545</v>
      </c>
      <c r="D2654" s="15">
        <v>129597.0</v>
      </c>
      <c r="E2654" s="15" t="s">
        <v>1808</v>
      </c>
      <c r="F2654" s="15" t="s">
        <v>1809</v>
      </c>
      <c r="G2654" s="7">
        <v>5.51</v>
      </c>
      <c r="H2654" s="15" t="s">
        <v>11546</v>
      </c>
      <c r="I2654" s="15" t="s">
        <v>1628</v>
      </c>
      <c r="J2654" s="15" t="s">
        <v>11547</v>
      </c>
      <c r="K2654" s="15">
        <v>8.0</v>
      </c>
      <c r="L2654" s="15">
        <v>8.0</v>
      </c>
      <c r="M2654" s="40">
        <v>40979.0</v>
      </c>
      <c r="N2654" s="40">
        <v>40991.0</v>
      </c>
      <c r="O2654" s="15" t="s">
        <v>1554</v>
      </c>
      <c r="Q2654" s="7"/>
    </row>
    <row r="2655">
      <c r="A2655" s="39" t="s">
        <v>11548</v>
      </c>
      <c r="B2655" s="15">
        <v>1160968.0</v>
      </c>
      <c r="C2655" s="15" t="s">
        <v>11549</v>
      </c>
      <c r="D2655" s="15">
        <v>157249.0</v>
      </c>
      <c r="E2655" s="15" t="s">
        <v>1548</v>
      </c>
      <c r="F2655" s="15" t="s">
        <v>1684</v>
      </c>
      <c r="G2655" s="7">
        <v>43131.0</v>
      </c>
      <c r="H2655" s="15" t="s">
        <v>1714</v>
      </c>
      <c r="I2655" s="15" t="s">
        <v>1686</v>
      </c>
      <c r="J2655" s="15" t="s">
        <v>11550</v>
      </c>
      <c r="K2655" s="15">
        <v>11.0</v>
      </c>
      <c r="L2655" s="15">
        <v>11.0</v>
      </c>
      <c r="M2655" s="40">
        <v>40994.0</v>
      </c>
      <c r="N2655" s="40">
        <v>41100.0</v>
      </c>
      <c r="O2655" s="15" t="s">
        <v>1554</v>
      </c>
      <c r="Q2655" s="7"/>
    </row>
    <row r="2656">
      <c r="A2656" s="39" t="s">
        <v>11552</v>
      </c>
      <c r="B2656" s="15">
        <v>1163537.0</v>
      </c>
      <c r="C2656" s="15" t="s">
        <v>11553</v>
      </c>
      <c r="D2656" s="15">
        <v>157251.0</v>
      </c>
      <c r="E2656" s="15" t="s">
        <v>1638</v>
      </c>
      <c r="F2656" s="15" t="s">
        <v>1639</v>
      </c>
      <c r="G2656" s="7">
        <v>7.611</v>
      </c>
      <c r="H2656" s="15" t="s">
        <v>2000</v>
      </c>
      <c r="I2656" s="15" t="s">
        <v>1740</v>
      </c>
      <c r="J2656" s="15" t="s">
        <v>11554</v>
      </c>
      <c r="K2656" s="15">
        <v>2.0</v>
      </c>
      <c r="L2656" s="15">
        <v>2.0</v>
      </c>
      <c r="M2656" s="40">
        <v>40993.0</v>
      </c>
      <c r="N2656" s="40">
        <v>41100.0</v>
      </c>
      <c r="O2656" s="15" t="s">
        <v>1554</v>
      </c>
      <c r="Q2656" s="7"/>
    </row>
    <row r="2657">
      <c r="A2657" s="39" t="s">
        <v>11555</v>
      </c>
      <c r="B2657" s="15">
        <v>881945.0</v>
      </c>
      <c r="C2657" s="15" t="s">
        <v>11556</v>
      </c>
      <c r="D2657" s="15">
        <v>157253.0</v>
      </c>
      <c r="E2657" s="15" t="s">
        <v>1557</v>
      </c>
      <c r="F2657" s="15" t="s">
        <v>2004</v>
      </c>
      <c r="G2657" s="7">
        <v>5.421</v>
      </c>
      <c r="H2657" s="15" t="s">
        <v>2000</v>
      </c>
      <c r="I2657" s="15" t="s">
        <v>1686</v>
      </c>
      <c r="J2657" s="15" t="s">
        <v>11557</v>
      </c>
      <c r="K2657" s="15">
        <v>5.0</v>
      </c>
      <c r="L2657" s="15">
        <v>5.0</v>
      </c>
      <c r="M2657" s="40">
        <v>40434.0</v>
      </c>
      <c r="N2657" s="40">
        <v>41100.0</v>
      </c>
      <c r="O2657" s="15" t="s">
        <v>1554</v>
      </c>
      <c r="Q2657" s="7"/>
    </row>
    <row r="2658">
      <c r="A2658" s="39" t="s">
        <v>11559</v>
      </c>
      <c r="B2658" s="15">
        <v>631267.0</v>
      </c>
      <c r="C2658" s="15" t="s">
        <v>11560</v>
      </c>
      <c r="D2658" s="15">
        <v>157255.0</v>
      </c>
      <c r="E2658" s="15" t="s">
        <v>1548</v>
      </c>
      <c r="F2658" s="15" t="s">
        <v>1801</v>
      </c>
      <c r="G2658" s="7">
        <v>10.733</v>
      </c>
      <c r="H2658" s="15" t="s">
        <v>2279</v>
      </c>
      <c r="I2658" s="15" t="s">
        <v>1803</v>
      </c>
      <c r="J2658" s="15" t="s">
        <v>11561</v>
      </c>
      <c r="K2658" s="15">
        <v>1.0</v>
      </c>
      <c r="L2658" s="15">
        <v>2.0</v>
      </c>
      <c r="M2658" s="40">
        <v>40995.0</v>
      </c>
      <c r="N2658" s="40">
        <v>42560.0</v>
      </c>
      <c r="O2658" s="15" t="s">
        <v>1554</v>
      </c>
      <c r="Q2658" s="7"/>
    </row>
    <row r="2659">
      <c r="A2659" s="39" t="s">
        <v>11562</v>
      </c>
      <c r="B2659" s="15">
        <v>1156719.0</v>
      </c>
      <c r="C2659" s="15" t="s">
        <v>11563</v>
      </c>
      <c r="D2659" s="15">
        <v>157257.0</v>
      </c>
      <c r="E2659" s="15" t="s">
        <v>1664</v>
      </c>
      <c r="F2659" s="15" t="s">
        <v>1987</v>
      </c>
      <c r="G2659" s="7">
        <v>10.656</v>
      </c>
      <c r="H2659" s="15" t="s">
        <v>3029</v>
      </c>
      <c r="I2659" s="15" t="s">
        <v>1618</v>
      </c>
      <c r="J2659" s="15" t="s">
        <v>11564</v>
      </c>
      <c r="K2659" s="15">
        <v>15.0</v>
      </c>
      <c r="L2659" s="15">
        <v>15.0</v>
      </c>
      <c r="M2659" s="40">
        <v>40981.0</v>
      </c>
      <c r="N2659" s="40">
        <v>41250.0</v>
      </c>
      <c r="O2659" s="15" t="s">
        <v>1554</v>
      </c>
      <c r="Q2659" s="7"/>
    </row>
    <row r="2660">
      <c r="A2660" s="39" t="s">
        <v>11565</v>
      </c>
      <c r="B2660" s="15">
        <v>1156720.0</v>
      </c>
      <c r="C2660" s="15" t="s">
        <v>11567</v>
      </c>
      <c r="D2660" s="15">
        <v>157259.0</v>
      </c>
      <c r="E2660" s="15" t="s">
        <v>1664</v>
      </c>
      <c r="F2660" s="15" t="s">
        <v>1987</v>
      </c>
      <c r="G2660" s="7">
        <v>8.77</v>
      </c>
      <c r="H2660" s="15" t="s">
        <v>5273</v>
      </c>
      <c r="I2660" s="15" t="s">
        <v>1618</v>
      </c>
      <c r="J2660" s="15" t="s">
        <v>11568</v>
      </c>
      <c r="K2660" s="15">
        <v>12.0</v>
      </c>
      <c r="L2660" s="15">
        <v>12.0</v>
      </c>
      <c r="M2660" s="40">
        <v>40981.0</v>
      </c>
      <c r="N2660" s="40">
        <v>41250.0</v>
      </c>
      <c r="O2660" s="15" t="s">
        <v>1554</v>
      </c>
      <c r="Q2660" s="7"/>
    </row>
    <row r="2661">
      <c r="A2661" s="39" t="s">
        <v>11569</v>
      </c>
      <c r="B2661" s="15">
        <v>1156721.0</v>
      </c>
      <c r="C2661" s="15" t="s">
        <v>11570</v>
      </c>
      <c r="D2661" s="15">
        <v>157261.0</v>
      </c>
      <c r="E2661" s="15" t="s">
        <v>1664</v>
      </c>
      <c r="F2661" s="15" t="s">
        <v>1987</v>
      </c>
      <c r="G2661" s="7">
        <v>8.549</v>
      </c>
      <c r="H2661" s="15" t="s">
        <v>2149</v>
      </c>
      <c r="I2661" s="15" t="s">
        <v>1618</v>
      </c>
      <c r="J2661" s="15" t="s">
        <v>11571</v>
      </c>
      <c r="K2661" s="15">
        <v>10.0</v>
      </c>
      <c r="L2661" s="15">
        <v>10.0</v>
      </c>
      <c r="M2661" s="40">
        <v>40981.0</v>
      </c>
      <c r="N2661" s="40">
        <v>41250.0</v>
      </c>
      <c r="O2661" s="15" t="s">
        <v>1554</v>
      </c>
      <c r="Q2661" s="7"/>
    </row>
    <row r="2662">
      <c r="A2662" s="39" t="s">
        <v>11572</v>
      </c>
      <c r="B2662" s="15">
        <v>1156722.0</v>
      </c>
      <c r="C2662" s="15" t="s">
        <v>11573</v>
      </c>
      <c r="D2662" s="15">
        <v>157263.0</v>
      </c>
      <c r="E2662" s="15" t="s">
        <v>1664</v>
      </c>
      <c r="F2662" s="15" t="s">
        <v>1987</v>
      </c>
      <c r="G2662" s="7">
        <v>9.694</v>
      </c>
      <c r="H2662" s="15" t="s">
        <v>10442</v>
      </c>
      <c r="I2662" s="15" t="s">
        <v>1618</v>
      </c>
      <c r="J2662" s="15" t="s">
        <v>11574</v>
      </c>
      <c r="K2662" s="15">
        <v>15.0</v>
      </c>
      <c r="L2662" s="15">
        <v>15.0</v>
      </c>
      <c r="M2662" s="40">
        <v>40981.0</v>
      </c>
      <c r="N2662" s="40">
        <v>41250.0</v>
      </c>
      <c r="O2662" s="15" t="s">
        <v>1554</v>
      </c>
      <c r="Q2662" s="7"/>
    </row>
    <row r="2663">
      <c r="A2663" s="39" t="s">
        <v>11575</v>
      </c>
      <c r="B2663" s="15">
        <v>1163715.0</v>
      </c>
      <c r="C2663" s="15" t="s">
        <v>11576</v>
      </c>
      <c r="D2663" s="15">
        <v>157265.0</v>
      </c>
      <c r="E2663" s="15" t="s">
        <v>1808</v>
      </c>
      <c r="F2663" s="15" t="s">
        <v>1998</v>
      </c>
      <c r="G2663" s="7">
        <v>2.359</v>
      </c>
      <c r="H2663" s="15" t="s">
        <v>2300</v>
      </c>
      <c r="I2663" s="15" t="s">
        <v>1686</v>
      </c>
      <c r="J2663" s="15" t="s">
        <v>11578</v>
      </c>
      <c r="K2663" s="15">
        <v>3.0</v>
      </c>
      <c r="L2663" s="15">
        <v>3.0</v>
      </c>
      <c r="M2663" s="40">
        <v>40994.0</v>
      </c>
      <c r="N2663" s="40">
        <v>41100.0</v>
      </c>
      <c r="O2663" s="15" t="s">
        <v>1554</v>
      </c>
      <c r="Q2663" s="7"/>
    </row>
    <row r="2664">
      <c r="A2664" s="39" t="s">
        <v>11579</v>
      </c>
      <c r="B2664" s="15">
        <v>1129873.0</v>
      </c>
      <c r="C2664" s="15" t="s">
        <v>11580</v>
      </c>
      <c r="D2664" s="15">
        <v>157807.0</v>
      </c>
      <c r="E2664" s="15" t="s">
        <v>1638</v>
      </c>
      <c r="F2664" s="15" t="s">
        <v>4692</v>
      </c>
      <c r="G2664" s="7">
        <v>9.543</v>
      </c>
      <c r="H2664" s="15">
        <v>47.0</v>
      </c>
      <c r="I2664" s="15" t="s">
        <v>1552</v>
      </c>
      <c r="J2664" s="15" t="s">
        <v>11581</v>
      </c>
      <c r="K2664" s="15">
        <v>1.0</v>
      </c>
      <c r="L2664" s="15">
        <v>1.0</v>
      </c>
      <c r="M2664" s="40">
        <v>41002.0</v>
      </c>
      <c r="N2664" s="40">
        <v>41038.0</v>
      </c>
      <c r="O2664" s="15" t="s">
        <v>1554</v>
      </c>
      <c r="Q2664" s="7"/>
    </row>
    <row r="2665">
      <c r="A2665" s="39" t="s">
        <v>11582</v>
      </c>
      <c r="B2665" s="15">
        <v>380160.0</v>
      </c>
      <c r="C2665" s="15" t="s">
        <v>11583</v>
      </c>
      <c r="D2665" s="15">
        <v>159049.0</v>
      </c>
      <c r="E2665" s="15" t="s">
        <v>1548</v>
      </c>
      <c r="F2665" s="15" t="s">
        <v>1890</v>
      </c>
      <c r="G2665" s="7">
        <v>14.717</v>
      </c>
      <c r="H2665" s="15" t="s">
        <v>2219</v>
      </c>
      <c r="I2665" s="15" t="s">
        <v>1560</v>
      </c>
      <c r="J2665" s="15" t="s">
        <v>11585</v>
      </c>
      <c r="K2665" s="15">
        <v>8.0</v>
      </c>
      <c r="L2665" s="15">
        <v>9.0</v>
      </c>
      <c r="M2665" s="40">
        <v>40983.0</v>
      </c>
      <c r="N2665" s="40">
        <v>41093.0</v>
      </c>
      <c r="O2665" s="15" t="s">
        <v>1554</v>
      </c>
      <c r="Q2665" s="7"/>
    </row>
    <row r="2666">
      <c r="A2666" s="39" t="s">
        <v>11586</v>
      </c>
      <c r="B2666" s="15">
        <v>318836.0</v>
      </c>
      <c r="C2666" s="15" t="s">
        <v>11587</v>
      </c>
      <c r="D2666" s="15">
        <v>159107.0</v>
      </c>
      <c r="E2666" s="15" t="s">
        <v>1548</v>
      </c>
      <c r="F2666" s="15" t="s">
        <v>1890</v>
      </c>
      <c r="G2666" s="7">
        <v>15.867</v>
      </c>
      <c r="H2666" s="15" t="s">
        <v>7532</v>
      </c>
      <c r="I2666" s="15" t="s">
        <v>4554</v>
      </c>
      <c r="J2666" s="15" t="s">
        <v>11588</v>
      </c>
      <c r="K2666" s="15">
        <v>10.0</v>
      </c>
      <c r="L2666" s="15">
        <v>11.0</v>
      </c>
      <c r="M2666" s="40">
        <v>40983.0</v>
      </c>
      <c r="N2666" s="40">
        <v>41093.0</v>
      </c>
      <c r="O2666" s="15" t="s">
        <v>1554</v>
      </c>
      <c r="Q2666" s="7"/>
    </row>
    <row r="2667">
      <c r="A2667" s="39" t="s">
        <v>11589</v>
      </c>
      <c r="B2667" s="15">
        <v>990303.0</v>
      </c>
      <c r="C2667" s="15" t="s">
        <v>11590</v>
      </c>
      <c r="D2667" s="15">
        <v>159111.0</v>
      </c>
      <c r="E2667" s="15" t="s">
        <v>1557</v>
      </c>
      <c r="F2667" s="15" t="s">
        <v>1822</v>
      </c>
      <c r="G2667" s="7">
        <v>8.008</v>
      </c>
      <c r="H2667" s="15" t="s">
        <v>4821</v>
      </c>
      <c r="I2667" s="15" t="s">
        <v>1686</v>
      </c>
      <c r="J2667" s="15" t="s">
        <v>11591</v>
      </c>
      <c r="K2667" s="15">
        <v>8.0</v>
      </c>
      <c r="L2667" s="15">
        <v>8.0</v>
      </c>
      <c r="M2667" s="40">
        <v>41012.0</v>
      </c>
      <c r="N2667" s="40">
        <v>41033.0</v>
      </c>
      <c r="O2667" s="15" t="s">
        <v>1554</v>
      </c>
      <c r="Q2667" s="7"/>
    </row>
    <row r="2668">
      <c r="A2668" s="39" t="s">
        <v>11592</v>
      </c>
      <c r="B2668" s="15">
        <v>1174526.0</v>
      </c>
      <c r="C2668" s="15" t="s">
        <v>11593</v>
      </c>
      <c r="D2668" s="15">
        <v>162491.0</v>
      </c>
      <c r="E2668" s="15" t="s">
        <v>1808</v>
      </c>
      <c r="F2668" s="15" t="s">
        <v>1809</v>
      </c>
      <c r="G2668" s="7">
        <v>2.783</v>
      </c>
      <c r="H2668" s="15" t="s">
        <v>5042</v>
      </c>
      <c r="I2668" s="15" t="s">
        <v>1628</v>
      </c>
      <c r="J2668" s="15" t="s">
        <v>11595</v>
      </c>
      <c r="K2668" s="15">
        <v>4.0</v>
      </c>
      <c r="L2668" s="15">
        <v>4.0</v>
      </c>
      <c r="M2668" s="40">
        <v>41022.0</v>
      </c>
      <c r="N2668" s="40">
        <v>41214.0</v>
      </c>
      <c r="O2668" s="15" t="s">
        <v>1554</v>
      </c>
      <c r="Q2668" s="7"/>
    </row>
    <row r="2669">
      <c r="A2669" s="39" t="s">
        <v>11596</v>
      </c>
      <c r="B2669" s="15">
        <v>189515.0</v>
      </c>
      <c r="C2669" s="15" t="s">
        <v>11597</v>
      </c>
      <c r="D2669" s="15">
        <v>162497.0</v>
      </c>
      <c r="E2669" s="15" t="s">
        <v>2014</v>
      </c>
      <c r="F2669" s="15" t="s">
        <v>2018</v>
      </c>
      <c r="G2669" s="7">
        <v>1.436</v>
      </c>
      <c r="H2669" s="15" t="s">
        <v>6418</v>
      </c>
      <c r="I2669" s="15" t="s">
        <v>1628</v>
      </c>
      <c r="J2669" s="15" t="s">
        <v>11598</v>
      </c>
      <c r="K2669" s="15">
        <v>1.0</v>
      </c>
      <c r="L2669" s="15">
        <v>1.0</v>
      </c>
      <c r="M2669" s="40">
        <v>41026.0</v>
      </c>
      <c r="N2669" s="40">
        <v>41032.0</v>
      </c>
      <c r="O2669" s="15" t="s">
        <v>1554</v>
      </c>
      <c r="Q2669" s="7"/>
    </row>
    <row r="2670">
      <c r="A2670" s="39" t="s">
        <v>11599</v>
      </c>
      <c r="B2670" s="15">
        <v>1034096.0</v>
      </c>
      <c r="C2670" s="15" t="s">
        <v>11600</v>
      </c>
      <c r="D2670" s="15">
        <v>162487.0</v>
      </c>
      <c r="E2670" s="15" t="s">
        <v>1916</v>
      </c>
      <c r="F2670" s="15" t="s">
        <v>1917</v>
      </c>
      <c r="G2670" s="7">
        <v>7.14</v>
      </c>
      <c r="H2670" s="15" t="s">
        <v>3255</v>
      </c>
      <c r="I2670" s="15" t="s">
        <v>1628</v>
      </c>
      <c r="J2670" s="15" t="s">
        <v>11601</v>
      </c>
      <c r="K2670" s="15">
        <v>3.0</v>
      </c>
      <c r="L2670" s="15">
        <v>3.0</v>
      </c>
      <c r="M2670" s="40">
        <v>40969.0</v>
      </c>
      <c r="N2670" s="40">
        <v>41113.0</v>
      </c>
      <c r="O2670" s="15" t="s">
        <v>1554</v>
      </c>
      <c r="Q2670" s="7"/>
    </row>
    <row r="2671">
      <c r="A2671" s="39" t="s">
        <v>11603</v>
      </c>
      <c r="B2671" s="15">
        <v>1174530.0</v>
      </c>
      <c r="C2671" s="15" t="s">
        <v>11604</v>
      </c>
      <c r="D2671" s="15">
        <v>162493.0</v>
      </c>
      <c r="E2671" s="15" t="s">
        <v>1808</v>
      </c>
      <c r="F2671" s="15" t="s">
        <v>2436</v>
      </c>
      <c r="G2671" s="7">
        <v>5.331</v>
      </c>
      <c r="H2671" s="15" t="s">
        <v>1813</v>
      </c>
      <c r="I2671" s="15" t="s">
        <v>1686</v>
      </c>
      <c r="J2671" s="15" t="s">
        <v>11605</v>
      </c>
      <c r="K2671" s="15">
        <v>4.0</v>
      </c>
      <c r="L2671" s="15">
        <v>4.0</v>
      </c>
      <c r="M2671" s="40">
        <v>41022.0</v>
      </c>
      <c r="N2671" s="40">
        <v>41085.0</v>
      </c>
      <c r="O2671" s="15" t="s">
        <v>1554</v>
      </c>
      <c r="Q2671" s="7"/>
    </row>
    <row r="2672">
      <c r="A2672" s="39" t="s">
        <v>11606</v>
      </c>
      <c r="B2672" s="15">
        <v>1176153.0</v>
      </c>
      <c r="C2672" s="15" t="s">
        <v>11607</v>
      </c>
      <c r="D2672" s="15">
        <v>162495.0</v>
      </c>
      <c r="E2672" s="15" t="s">
        <v>1548</v>
      </c>
      <c r="F2672" s="15" t="s">
        <v>1911</v>
      </c>
      <c r="G2672" s="7">
        <v>10.057</v>
      </c>
      <c r="H2672" s="15" t="s">
        <v>2023</v>
      </c>
      <c r="I2672" s="15" t="s">
        <v>1628</v>
      </c>
      <c r="J2672" s="15" t="s">
        <v>11608</v>
      </c>
      <c r="K2672" s="15">
        <v>2.0</v>
      </c>
      <c r="L2672" s="15">
        <v>2.0</v>
      </c>
      <c r="M2672" s="40">
        <v>41024.0</v>
      </c>
      <c r="N2672" s="40">
        <v>42045.0</v>
      </c>
      <c r="O2672" s="15" t="s">
        <v>1554</v>
      </c>
      <c r="Q2672" s="7"/>
    </row>
    <row r="2673">
      <c r="A2673" s="39" t="s">
        <v>11609</v>
      </c>
      <c r="B2673" s="15">
        <v>39637.0</v>
      </c>
      <c r="C2673" s="15" t="s">
        <v>11610</v>
      </c>
      <c r="D2673" s="15">
        <v>162499.0</v>
      </c>
      <c r="E2673" s="15" t="s">
        <v>1557</v>
      </c>
      <c r="F2673" s="15" t="s">
        <v>1827</v>
      </c>
      <c r="G2673" s="7">
        <v>149.332</v>
      </c>
      <c r="H2673" s="15" t="s">
        <v>6085</v>
      </c>
      <c r="I2673" s="15" t="s">
        <v>1686</v>
      </c>
      <c r="J2673" s="15" t="s">
        <v>11612</v>
      </c>
      <c r="K2673" s="15">
        <v>81.0</v>
      </c>
      <c r="L2673" s="15">
        <v>81.0</v>
      </c>
      <c r="M2673" s="40">
        <v>41024.0</v>
      </c>
      <c r="N2673" s="40">
        <v>41033.0</v>
      </c>
      <c r="O2673" s="15" t="s">
        <v>2353</v>
      </c>
      <c r="Q2673" s="7"/>
    </row>
    <row r="2674">
      <c r="A2674" s="39" t="s">
        <v>11613</v>
      </c>
      <c r="B2674" s="15">
        <v>53010.0</v>
      </c>
      <c r="C2674" s="15" t="s">
        <v>11614</v>
      </c>
      <c r="D2674" s="15">
        <v>352736.0</v>
      </c>
      <c r="E2674" s="15" t="s">
        <v>1808</v>
      </c>
      <c r="F2674" s="15" t="s">
        <v>1809</v>
      </c>
      <c r="G2674" s="7">
        <v>2.753</v>
      </c>
      <c r="H2674" s="15" t="s">
        <v>3255</v>
      </c>
      <c r="I2674" s="15" t="s">
        <v>1628</v>
      </c>
      <c r="J2674" s="15" t="s">
        <v>11615</v>
      </c>
      <c r="K2674" s="15">
        <v>7.0</v>
      </c>
      <c r="L2674" s="15">
        <v>7.0</v>
      </c>
      <c r="M2674" s="41">
        <v>42662.0</v>
      </c>
      <c r="N2674" s="41">
        <v>42684.0</v>
      </c>
      <c r="O2674" s="15" t="s">
        <v>1554</v>
      </c>
      <c r="Q2674" s="7"/>
    </row>
    <row r="2675">
      <c r="A2675" s="39" t="s">
        <v>11616</v>
      </c>
      <c r="B2675" s="15">
        <v>1177630.0</v>
      </c>
      <c r="C2675" s="15" t="s">
        <v>11617</v>
      </c>
      <c r="D2675" s="15">
        <v>163147.0</v>
      </c>
      <c r="E2675" s="15" t="s">
        <v>1548</v>
      </c>
      <c r="F2675" s="15" t="s">
        <v>1786</v>
      </c>
      <c r="G2675" s="7">
        <v>8.601</v>
      </c>
      <c r="H2675" s="15" t="s">
        <v>1782</v>
      </c>
      <c r="I2675" s="15" t="s">
        <v>1628</v>
      </c>
      <c r="J2675" s="15" t="s">
        <v>11618</v>
      </c>
      <c r="K2675" s="15">
        <v>6.0</v>
      </c>
      <c r="L2675" s="15">
        <v>6.0</v>
      </c>
      <c r="M2675" s="40">
        <v>41031.0</v>
      </c>
      <c r="N2675" s="40">
        <v>41034.0</v>
      </c>
      <c r="O2675" s="15" t="s">
        <v>1554</v>
      </c>
      <c r="Q2675" s="7"/>
    </row>
    <row r="2676">
      <c r="A2676" s="39" t="s">
        <v>11619</v>
      </c>
      <c r="B2676" s="15">
        <v>940834.0</v>
      </c>
      <c r="C2676" s="15" t="s">
        <v>11620</v>
      </c>
      <c r="D2676" s="15">
        <v>163309.0</v>
      </c>
      <c r="E2676" s="15" t="s">
        <v>1557</v>
      </c>
      <c r="F2676" s="15" t="s">
        <v>1822</v>
      </c>
      <c r="G2676" s="7">
        <v>7.582</v>
      </c>
      <c r="H2676" s="15" t="s">
        <v>2296</v>
      </c>
      <c r="I2676" s="15" t="s">
        <v>1686</v>
      </c>
      <c r="J2676" s="15" t="s">
        <v>11621</v>
      </c>
      <c r="K2676" s="15">
        <v>7.0</v>
      </c>
      <c r="L2676" s="15">
        <v>7.0</v>
      </c>
      <c r="M2676" s="40">
        <v>40555.0</v>
      </c>
      <c r="N2676" s="40">
        <v>41035.0</v>
      </c>
      <c r="O2676" s="15" t="s">
        <v>1554</v>
      </c>
      <c r="Q2676" s="7"/>
    </row>
    <row r="2677">
      <c r="A2677" s="39" t="s">
        <v>11622</v>
      </c>
      <c r="B2677" s="15">
        <v>1114942.0</v>
      </c>
      <c r="C2677" s="15" t="s">
        <v>11623</v>
      </c>
      <c r="D2677" s="15">
        <v>165737.0</v>
      </c>
      <c r="E2677" s="15" t="s">
        <v>1808</v>
      </c>
      <c r="F2677" s="15" t="s">
        <v>1578</v>
      </c>
      <c r="G2677" s="7">
        <v>2.459</v>
      </c>
      <c r="H2677" s="15" t="s">
        <v>2686</v>
      </c>
      <c r="I2677" s="15" t="s">
        <v>1706</v>
      </c>
      <c r="J2677" s="15" t="s">
        <v>11624</v>
      </c>
      <c r="K2677" s="15">
        <v>5.0</v>
      </c>
      <c r="L2677" s="15">
        <v>5.0</v>
      </c>
      <c r="M2677" s="40">
        <v>41042.0</v>
      </c>
      <c r="N2677" s="40">
        <v>41044.0</v>
      </c>
      <c r="O2677" s="15" t="s">
        <v>1554</v>
      </c>
      <c r="Q2677" s="7"/>
    </row>
    <row r="2678">
      <c r="A2678" s="39" t="s">
        <v>11626</v>
      </c>
      <c r="B2678" s="15">
        <v>1133751.0</v>
      </c>
      <c r="C2678" s="15" t="s">
        <v>11627</v>
      </c>
      <c r="D2678" s="15">
        <v>165739.0</v>
      </c>
      <c r="E2678" s="15" t="s">
        <v>1548</v>
      </c>
      <c r="F2678" s="15" t="s">
        <v>1578</v>
      </c>
      <c r="G2678" s="7">
        <v>4.138</v>
      </c>
      <c r="H2678" s="15" t="s">
        <v>1700</v>
      </c>
      <c r="I2678" s="15" t="s">
        <v>1628</v>
      </c>
      <c r="J2678" s="15" t="s">
        <v>11628</v>
      </c>
      <c r="K2678" s="15">
        <v>5.0</v>
      </c>
      <c r="L2678" s="15">
        <v>5.0</v>
      </c>
      <c r="M2678" s="40">
        <v>41035.0</v>
      </c>
      <c r="N2678" s="41">
        <v>41627.0</v>
      </c>
      <c r="O2678" s="15" t="s">
        <v>1554</v>
      </c>
      <c r="Q2678" s="7"/>
    </row>
    <row r="2679">
      <c r="A2679" s="39" t="s">
        <v>11629</v>
      </c>
      <c r="B2679" s="15">
        <v>1181310.0</v>
      </c>
      <c r="C2679" s="15" t="s">
        <v>11630</v>
      </c>
      <c r="D2679" s="15">
        <v>165743.0</v>
      </c>
      <c r="E2679" s="15" t="s">
        <v>1638</v>
      </c>
      <c r="F2679" s="15" t="s">
        <v>1578</v>
      </c>
      <c r="G2679" s="7">
        <v>9.124</v>
      </c>
      <c r="H2679" s="15">
        <v>47.0</v>
      </c>
      <c r="I2679" s="15" t="s">
        <v>1552</v>
      </c>
      <c r="J2679" s="15" t="s">
        <v>11631</v>
      </c>
      <c r="K2679" s="15">
        <v>2.0</v>
      </c>
      <c r="L2679" s="15">
        <v>2.0</v>
      </c>
      <c r="M2679" s="40">
        <v>41036.0</v>
      </c>
      <c r="N2679" s="40">
        <v>41141.0</v>
      </c>
      <c r="O2679" s="15" t="s">
        <v>1554</v>
      </c>
      <c r="Q2679" s="7"/>
    </row>
    <row r="2680">
      <c r="A2680" s="39" t="s">
        <v>11632</v>
      </c>
      <c r="B2680" s="15">
        <v>1182518.0</v>
      </c>
      <c r="C2680" s="15" t="s">
        <v>11633</v>
      </c>
      <c r="D2680" s="15">
        <v>165745.0</v>
      </c>
      <c r="E2680" s="15" t="s">
        <v>1808</v>
      </c>
      <c r="F2680" s="15" t="s">
        <v>1809</v>
      </c>
      <c r="G2680" s="7">
        <v>2.882</v>
      </c>
      <c r="H2680" s="15" t="s">
        <v>4521</v>
      </c>
      <c r="I2680" s="15" t="s">
        <v>1628</v>
      </c>
      <c r="J2680" s="15" t="s">
        <v>11634</v>
      </c>
      <c r="K2680" s="15">
        <v>4.0</v>
      </c>
      <c r="L2680" s="15">
        <v>4.0</v>
      </c>
      <c r="M2680" s="40">
        <v>41037.0</v>
      </c>
      <c r="N2680" s="40">
        <v>41129.0</v>
      </c>
      <c r="O2680" s="15" t="s">
        <v>1554</v>
      </c>
      <c r="Q2680" s="7"/>
    </row>
    <row r="2681">
      <c r="A2681" s="39" t="s">
        <v>11635</v>
      </c>
      <c r="B2681" s="15">
        <v>649996.0</v>
      </c>
      <c r="C2681" s="15" t="s">
        <v>11636</v>
      </c>
      <c r="D2681" s="15">
        <v>165747.0</v>
      </c>
      <c r="E2681" s="15" t="s">
        <v>1808</v>
      </c>
      <c r="F2681" s="15" t="s">
        <v>1809</v>
      </c>
      <c r="G2681" s="7">
        <v>5.219</v>
      </c>
      <c r="H2681" s="15" t="s">
        <v>11637</v>
      </c>
      <c r="I2681" s="15" t="s">
        <v>1628</v>
      </c>
      <c r="J2681" s="15" t="s">
        <v>11638</v>
      </c>
      <c r="K2681" s="15">
        <v>7.0</v>
      </c>
      <c r="L2681" s="15">
        <v>7.0</v>
      </c>
      <c r="M2681" s="40">
        <v>39729.0</v>
      </c>
      <c r="N2681" s="40">
        <v>41044.0</v>
      </c>
      <c r="O2681" s="15" t="s">
        <v>1554</v>
      </c>
      <c r="Q2681" s="7"/>
    </row>
    <row r="2682">
      <c r="A2682" s="39" t="s">
        <v>11639</v>
      </c>
      <c r="B2682" s="15">
        <v>1141525.0</v>
      </c>
      <c r="C2682" s="15" t="s">
        <v>11640</v>
      </c>
      <c r="D2682" s="15">
        <v>167051.0</v>
      </c>
      <c r="E2682" s="15" t="s">
        <v>1557</v>
      </c>
      <c r="F2682" s="15" t="s">
        <v>1611</v>
      </c>
      <c r="G2682" s="7">
        <v>42.966</v>
      </c>
      <c r="H2682" s="15" t="s">
        <v>2094</v>
      </c>
      <c r="I2682" s="15" t="s">
        <v>1586</v>
      </c>
      <c r="J2682" s="15" t="s">
        <v>11642</v>
      </c>
      <c r="K2682" s="15">
        <v>51.0</v>
      </c>
      <c r="L2682" s="15">
        <v>51.0</v>
      </c>
      <c r="M2682" s="40">
        <v>40968.0</v>
      </c>
      <c r="N2682" s="40">
        <v>41054.0</v>
      </c>
      <c r="O2682" s="15" t="s">
        <v>1554</v>
      </c>
      <c r="Q2682" s="7"/>
    </row>
    <row r="2683">
      <c r="A2683" s="39" t="s">
        <v>11643</v>
      </c>
      <c r="B2683" s="15">
        <v>1141526.0</v>
      </c>
      <c r="C2683" s="15" t="s">
        <v>11644</v>
      </c>
      <c r="D2683" s="15">
        <v>167052.0</v>
      </c>
      <c r="E2683" s="15" t="s">
        <v>1557</v>
      </c>
      <c r="F2683" s="15" t="s">
        <v>1833</v>
      </c>
      <c r="G2683" s="7">
        <v>42.844</v>
      </c>
      <c r="H2683" s="15" t="s">
        <v>2271</v>
      </c>
      <c r="I2683" s="15" t="s">
        <v>1586</v>
      </c>
      <c r="J2683" s="15" t="s">
        <v>11645</v>
      </c>
      <c r="K2683" s="15">
        <v>58.0</v>
      </c>
      <c r="L2683" s="15">
        <v>58.0</v>
      </c>
      <c r="M2683" s="40">
        <v>40968.0</v>
      </c>
      <c r="N2683" s="40">
        <v>41054.0</v>
      </c>
      <c r="O2683" s="15" t="s">
        <v>1554</v>
      </c>
      <c r="Q2683" s="7"/>
    </row>
    <row r="2684">
      <c r="A2684" s="39" t="s">
        <v>11646</v>
      </c>
      <c r="B2684" s="15">
        <v>1185359.0</v>
      </c>
      <c r="C2684" s="15" t="s">
        <v>11647</v>
      </c>
      <c r="D2684" s="15">
        <v>167111.0</v>
      </c>
      <c r="E2684" s="15" t="s">
        <v>1548</v>
      </c>
      <c r="F2684" s="15" t="s">
        <v>4829</v>
      </c>
      <c r="G2684" s="7">
        <v>7.696</v>
      </c>
      <c r="H2684" s="15" t="s">
        <v>10437</v>
      </c>
      <c r="I2684" s="15" t="s">
        <v>1567</v>
      </c>
      <c r="J2684" s="15" t="s">
        <v>11649</v>
      </c>
      <c r="K2684" s="15">
        <v>2.0</v>
      </c>
      <c r="L2684" s="15">
        <v>2.0</v>
      </c>
      <c r="M2684" s="40">
        <v>41043.0</v>
      </c>
      <c r="N2684" s="40">
        <v>41047.0</v>
      </c>
      <c r="O2684" s="15" t="s">
        <v>1554</v>
      </c>
      <c r="Q2684" s="7"/>
    </row>
    <row r="2685">
      <c r="A2685" s="39" t="s">
        <v>11650</v>
      </c>
      <c r="B2685" s="15">
        <v>590647.0</v>
      </c>
      <c r="C2685" s="15" t="s">
        <v>11651</v>
      </c>
      <c r="D2685" s="15">
        <v>167112.0</v>
      </c>
      <c r="E2685" s="15" t="s">
        <v>1548</v>
      </c>
      <c r="F2685" s="15" t="s">
        <v>4837</v>
      </c>
      <c r="G2685" s="7">
        <v>15.276</v>
      </c>
      <c r="H2685" s="15" t="s">
        <v>1818</v>
      </c>
      <c r="I2685" s="15" t="s">
        <v>1567</v>
      </c>
      <c r="J2685" s="15" t="s">
        <v>11652</v>
      </c>
      <c r="K2685" s="15">
        <v>6.0</v>
      </c>
      <c r="L2685" s="15">
        <v>8.0</v>
      </c>
      <c r="M2685" s="40">
        <v>39834.0</v>
      </c>
      <c r="N2685" s="40">
        <v>41047.0</v>
      </c>
      <c r="O2685" s="15" t="s">
        <v>1554</v>
      </c>
      <c r="Q2685" s="7"/>
    </row>
    <row r="2686">
      <c r="A2686" s="39" t="s">
        <v>11653</v>
      </c>
      <c r="B2686" s="15">
        <v>233784.0</v>
      </c>
      <c r="C2686" s="15" t="s">
        <v>11654</v>
      </c>
      <c r="D2686" s="15">
        <v>167162.0</v>
      </c>
      <c r="E2686" s="15" t="s">
        <v>1548</v>
      </c>
      <c r="F2686" s="15" t="s">
        <v>1626</v>
      </c>
      <c r="G2686" s="7">
        <v>11.139</v>
      </c>
      <c r="H2686" s="15" t="s">
        <v>11655</v>
      </c>
      <c r="I2686" s="15" t="s">
        <v>1628</v>
      </c>
      <c r="J2686" s="15" t="s">
        <v>11656</v>
      </c>
      <c r="K2686" s="15">
        <v>2.0</v>
      </c>
      <c r="L2686" s="15">
        <v>2.0</v>
      </c>
      <c r="M2686" s="40">
        <v>38139.0</v>
      </c>
      <c r="N2686" s="41">
        <v>42297.0</v>
      </c>
      <c r="O2686" s="15" t="s">
        <v>1554</v>
      </c>
      <c r="Q2686" s="7"/>
    </row>
    <row r="2687">
      <c r="A2687" s="39" t="s">
        <v>11658</v>
      </c>
      <c r="B2687" s="15">
        <v>84739.0</v>
      </c>
      <c r="C2687" s="15" t="s">
        <v>11659</v>
      </c>
      <c r="D2687" s="15">
        <v>167164.0</v>
      </c>
      <c r="E2687" s="15" t="s">
        <v>1557</v>
      </c>
      <c r="F2687" s="15" t="s">
        <v>3454</v>
      </c>
      <c r="G2687" s="7">
        <v>127.732</v>
      </c>
      <c r="H2687" s="15" t="s">
        <v>5483</v>
      </c>
      <c r="I2687" s="15" t="s">
        <v>1686</v>
      </c>
      <c r="J2687" s="15" t="s">
        <v>11660</v>
      </c>
      <c r="K2687" s="15">
        <v>136.0</v>
      </c>
      <c r="L2687" s="15">
        <v>136.0</v>
      </c>
      <c r="M2687" s="40">
        <v>41044.0</v>
      </c>
      <c r="N2687" s="40">
        <v>41051.0</v>
      </c>
      <c r="O2687" s="15" t="s">
        <v>1554</v>
      </c>
      <c r="Q2687" s="7"/>
    </row>
    <row r="2688">
      <c r="A2688" s="39" t="s">
        <v>11661</v>
      </c>
      <c r="B2688" s="15">
        <v>1162295.0</v>
      </c>
      <c r="C2688" s="15" t="s">
        <v>11662</v>
      </c>
      <c r="D2688" s="15">
        <v>167658.0</v>
      </c>
      <c r="E2688" s="15" t="s">
        <v>1557</v>
      </c>
      <c r="F2688" s="15" t="s">
        <v>1767</v>
      </c>
      <c r="G2688" s="7">
        <v>149.273</v>
      </c>
      <c r="H2688" s="15" t="s">
        <v>2296</v>
      </c>
      <c r="I2688" s="15" t="s">
        <v>1586</v>
      </c>
      <c r="J2688" s="15" t="s">
        <v>11664</v>
      </c>
      <c r="K2688" s="15">
        <v>283.0</v>
      </c>
      <c r="L2688" s="15">
        <v>265.0</v>
      </c>
      <c r="M2688" s="40">
        <v>41044.0</v>
      </c>
      <c r="N2688" s="40">
        <v>41060.0</v>
      </c>
      <c r="O2688" s="15" t="s">
        <v>1554</v>
      </c>
      <c r="Q2688" s="7"/>
    </row>
    <row r="2689">
      <c r="A2689" s="39" t="s">
        <v>11665</v>
      </c>
      <c r="B2689" s="15">
        <v>1129194.0</v>
      </c>
      <c r="C2689" s="15" t="s">
        <v>11666</v>
      </c>
      <c r="D2689" s="15">
        <v>167661.0</v>
      </c>
      <c r="E2689" s="15" t="s">
        <v>1557</v>
      </c>
      <c r="F2689" s="15" t="s">
        <v>1767</v>
      </c>
      <c r="G2689" s="7">
        <v>49.981</v>
      </c>
      <c r="H2689" s="15" t="s">
        <v>3242</v>
      </c>
      <c r="I2689" s="15" t="s">
        <v>1586</v>
      </c>
      <c r="J2689" s="15" t="s">
        <v>11667</v>
      </c>
      <c r="K2689" s="15">
        <v>81.0</v>
      </c>
      <c r="L2689" s="15">
        <v>81.0</v>
      </c>
      <c r="M2689" s="40">
        <v>41054.0</v>
      </c>
      <c r="N2689" s="40">
        <v>41060.0</v>
      </c>
      <c r="O2689" s="15" t="s">
        <v>1554</v>
      </c>
      <c r="Q2689" s="7"/>
    </row>
    <row r="2690">
      <c r="A2690" s="39" t="s">
        <v>11668</v>
      </c>
      <c r="B2690" s="15">
        <v>1161901.0</v>
      </c>
      <c r="C2690" s="15" t="s">
        <v>11669</v>
      </c>
      <c r="D2690" s="15">
        <v>167662.0</v>
      </c>
      <c r="E2690" s="15" t="s">
        <v>1557</v>
      </c>
      <c r="F2690" s="15" t="s">
        <v>1833</v>
      </c>
      <c r="G2690" s="7">
        <v>41.164</v>
      </c>
      <c r="H2690" s="15" t="s">
        <v>2428</v>
      </c>
      <c r="I2690" s="15" t="s">
        <v>1586</v>
      </c>
      <c r="J2690" s="15" t="s">
        <v>11670</v>
      </c>
      <c r="K2690" s="15">
        <v>50.0</v>
      </c>
      <c r="L2690" s="15">
        <v>50.0</v>
      </c>
      <c r="M2690" s="40">
        <v>41044.0</v>
      </c>
      <c r="N2690" s="40">
        <v>41060.0</v>
      </c>
      <c r="O2690" s="15" t="s">
        <v>1554</v>
      </c>
      <c r="Q2690" s="7"/>
    </row>
    <row r="2691">
      <c r="A2691" s="39" t="s">
        <v>11672</v>
      </c>
      <c r="B2691" s="15">
        <v>1162304.0</v>
      </c>
      <c r="C2691" s="15" t="s">
        <v>11673</v>
      </c>
      <c r="D2691" s="15">
        <v>167663.0</v>
      </c>
      <c r="E2691" s="15" t="s">
        <v>1557</v>
      </c>
      <c r="F2691" s="15" t="s">
        <v>1611</v>
      </c>
      <c r="G2691" s="7">
        <v>18.397</v>
      </c>
      <c r="H2691" s="15" t="s">
        <v>11674</v>
      </c>
      <c r="I2691" s="15" t="s">
        <v>1586</v>
      </c>
      <c r="J2691" s="15" t="s">
        <v>11675</v>
      </c>
      <c r="K2691" s="15">
        <v>26.0</v>
      </c>
      <c r="L2691" s="15">
        <v>26.0</v>
      </c>
      <c r="M2691" s="40">
        <v>41054.0</v>
      </c>
      <c r="N2691" s="40">
        <v>41060.0</v>
      </c>
      <c r="O2691" s="15" t="s">
        <v>1554</v>
      </c>
      <c r="Q2691" s="7"/>
    </row>
    <row r="2692">
      <c r="A2692" s="39" t="s">
        <v>11676</v>
      </c>
      <c r="B2692" s="15">
        <v>1173297.0</v>
      </c>
      <c r="C2692" s="15" t="s">
        <v>11677</v>
      </c>
      <c r="D2692" s="15">
        <v>167664.0</v>
      </c>
      <c r="E2692" s="15" t="s">
        <v>1557</v>
      </c>
      <c r="F2692" s="15" t="s">
        <v>1767</v>
      </c>
      <c r="G2692" s="7">
        <v>167.292</v>
      </c>
      <c r="H2692" s="15" t="s">
        <v>3568</v>
      </c>
      <c r="I2692" s="15" t="s">
        <v>1586</v>
      </c>
      <c r="J2692" s="15" t="s">
        <v>11678</v>
      </c>
      <c r="K2692" s="15">
        <v>175.0</v>
      </c>
      <c r="L2692" s="15">
        <v>173.0</v>
      </c>
      <c r="M2692" s="40">
        <v>41029.0</v>
      </c>
      <c r="N2692" s="40">
        <v>41135.0</v>
      </c>
      <c r="O2692" s="15" t="s">
        <v>1554</v>
      </c>
      <c r="Q2692" s="7"/>
    </row>
    <row r="2693">
      <c r="A2693" s="39" t="s">
        <v>11680</v>
      </c>
      <c r="B2693" s="15">
        <v>1127357.0</v>
      </c>
      <c r="C2693" s="15" t="s">
        <v>11681</v>
      </c>
      <c r="D2693" s="15">
        <v>167665.0</v>
      </c>
      <c r="E2693" s="15" t="s">
        <v>1557</v>
      </c>
      <c r="F2693" s="15" t="s">
        <v>1611</v>
      </c>
      <c r="G2693" s="7">
        <v>40.128</v>
      </c>
      <c r="H2693" s="15" t="s">
        <v>2075</v>
      </c>
      <c r="I2693" s="15" t="s">
        <v>1586</v>
      </c>
      <c r="J2693" s="15" t="s">
        <v>11682</v>
      </c>
      <c r="K2693" s="15">
        <v>64.0</v>
      </c>
      <c r="L2693" s="15">
        <v>62.0</v>
      </c>
      <c r="M2693" s="40">
        <v>41029.0</v>
      </c>
      <c r="N2693" s="41">
        <v>41631.0</v>
      </c>
      <c r="O2693" s="15" t="s">
        <v>1554</v>
      </c>
      <c r="Q2693" s="7"/>
    </row>
    <row r="2694">
      <c r="A2694" s="39" t="s">
        <v>11683</v>
      </c>
      <c r="B2694" s="15">
        <v>1112008.0</v>
      </c>
      <c r="C2694" s="15" t="s">
        <v>11684</v>
      </c>
      <c r="D2694" s="15">
        <v>167572.0</v>
      </c>
      <c r="E2694" s="15" t="s">
        <v>1557</v>
      </c>
      <c r="F2694" s="15" t="s">
        <v>1833</v>
      </c>
      <c r="G2694" s="7">
        <v>108.853</v>
      </c>
      <c r="H2694" s="15" t="s">
        <v>5806</v>
      </c>
      <c r="I2694" s="15" t="s">
        <v>1586</v>
      </c>
      <c r="J2694" s="15" t="s">
        <v>11686</v>
      </c>
      <c r="K2694" s="15">
        <v>184.0</v>
      </c>
      <c r="L2694" s="15">
        <v>160.0</v>
      </c>
      <c r="M2694" s="40">
        <v>41042.0</v>
      </c>
      <c r="N2694" s="40">
        <v>41058.0</v>
      </c>
      <c r="O2694" s="15" t="s">
        <v>1554</v>
      </c>
      <c r="Q2694" s="7"/>
    </row>
    <row r="2695">
      <c r="A2695" s="39" t="s">
        <v>11687</v>
      </c>
      <c r="B2695" s="15">
        <v>1168613.0</v>
      </c>
      <c r="C2695" s="15" t="s">
        <v>11688</v>
      </c>
      <c r="D2695" s="15">
        <v>167573.0</v>
      </c>
      <c r="E2695" s="15" t="s">
        <v>1557</v>
      </c>
      <c r="F2695" s="15" t="s">
        <v>1833</v>
      </c>
      <c r="G2695" s="7">
        <v>43.786</v>
      </c>
      <c r="H2695" s="15">
        <v>34.0</v>
      </c>
      <c r="I2695" s="15" t="s">
        <v>1586</v>
      </c>
      <c r="J2695" s="15" t="s">
        <v>11689</v>
      </c>
      <c r="K2695" s="15">
        <v>43.0</v>
      </c>
      <c r="L2695" s="15">
        <v>43.0</v>
      </c>
      <c r="M2695" s="40">
        <v>41031.0</v>
      </c>
      <c r="N2695" s="40">
        <v>41058.0</v>
      </c>
      <c r="O2695" s="15" t="s">
        <v>1554</v>
      </c>
      <c r="Q2695" s="7"/>
    </row>
    <row r="2696">
      <c r="A2696" s="39" t="s">
        <v>11690</v>
      </c>
      <c r="B2696" s="15">
        <v>1175504.0</v>
      </c>
      <c r="C2696" s="15" t="s">
        <v>11691</v>
      </c>
      <c r="D2696" s="15">
        <v>167574.0</v>
      </c>
      <c r="E2696" s="15" t="s">
        <v>1557</v>
      </c>
      <c r="F2696" s="15" t="s">
        <v>1833</v>
      </c>
      <c r="G2696" s="7">
        <v>52.474</v>
      </c>
      <c r="H2696" s="15" t="s">
        <v>7616</v>
      </c>
      <c r="I2696" s="15" t="s">
        <v>1586</v>
      </c>
      <c r="J2696" s="15" t="s">
        <v>11693</v>
      </c>
      <c r="K2696" s="15">
        <v>97.0</v>
      </c>
      <c r="L2696" s="15">
        <v>94.0</v>
      </c>
      <c r="M2696" s="40">
        <v>41045.0</v>
      </c>
      <c r="N2696" s="40">
        <v>41148.0</v>
      </c>
      <c r="O2696" s="15" t="s">
        <v>1554</v>
      </c>
      <c r="Q2696" s="7"/>
    </row>
    <row r="2697">
      <c r="A2697" s="39" t="s">
        <v>11694</v>
      </c>
      <c r="B2697" s="15">
        <v>1183239.0</v>
      </c>
      <c r="C2697" s="15" t="s">
        <v>11695</v>
      </c>
      <c r="D2697" s="15">
        <v>167575.0</v>
      </c>
      <c r="E2697" s="15" t="s">
        <v>1557</v>
      </c>
      <c r="F2697" s="15" t="s">
        <v>1578</v>
      </c>
      <c r="G2697" s="7">
        <v>43.788</v>
      </c>
      <c r="H2697" s="15" t="s">
        <v>2089</v>
      </c>
      <c r="I2697" s="15" t="s">
        <v>1586</v>
      </c>
      <c r="J2697" s="15" t="s">
        <v>11696</v>
      </c>
      <c r="K2697" s="15">
        <v>57.0</v>
      </c>
      <c r="L2697" s="15">
        <v>57.0</v>
      </c>
      <c r="M2697" s="40">
        <v>41042.0</v>
      </c>
      <c r="N2697" s="40">
        <v>41058.0</v>
      </c>
      <c r="O2697" s="15" t="s">
        <v>1554</v>
      </c>
      <c r="Q2697" s="7"/>
    </row>
    <row r="2698">
      <c r="A2698" s="39" t="s">
        <v>11697</v>
      </c>
      <c r="B2698" s="15">
        <v>1187128.0</v>
      </c>
      <c r="C2698" s="15" t="s">
        <v>11698</v>
      </c>
      <c r="D2698" s="15">
        <v>167576.0</v>
      </c>
      <c r="E2698" s="15" t="s">
        <v>1557</v>
      </c>
      <c r="F2698" s="15" t="s">
        <v>1767</v>
      </c>
      <c r="G2698" s="7">
        <v>46.387</v>
      </c>
      <c r="H2698" s="15" t="s">
        <v>2396</v>
      </c>
      <c r="I2698" s="15" t="s">
        <v>1586</v>
      </c>
      <c r="J2698" s="15" t="s">
        <v>11699</v>
      </c>
      <c r="K2698" s="15">
        <v>89.0</v>
      </c>
      <c r="L2698" s="15">
        <v>89.0</v>
      </c>
      <c r="M2698" s="40">
        <v>41043.0</v>
      </c>
      <c r="N2698" s="40">
        <v>41058.0</v>
      </c>
      <c r="O2698" s="15" t="s">
        <v>1554</v>
      </c>
      <c r="Q2698" s="7"/>
    </row>
    <row r="2699">
      <c r="A2699" s="39" t="s">
        <v>11700</v>
      </c>
      <c r="B2699" s="15">
        <v>1187894.0</v>
      </c>
      <c r="C2699" s="15" t="s">
        <v>11701</v>
      </c>
      <c r="D2699" s="15">
        <v>167577.0</v>
      </c>
      <c r="E2699" s="15" t="s">
        <v>1557</v>
      </c>
      <c r="F2699" s="15" t="s">
        <v>1833</v>
      </c>
      <c r="G2699" s="7">
        <v>33.609</v>
      </c>
      <c r="H2699" s="42">
        <v>43247.0</v>
      </c>
      <c r="I2699" s="15" t="s">
        <v>1586</v>
      </c>
      <c r="J2699" s="15" t="s">
        <v>11703</v>
      </c>
      <c r="K2699" s="15">
        <v>43.0</v>
      </c>
      <c r="L2699" s="15">
        <v>43.0</v>
      </c>
      <c r="M2699" s="40">
        <v>41050.0</v>
      </c>
      <c r="N2699" s="40">
        <v>41058.0</v>
      </c>
      <c r="O2699" s="15" t="s">
        <v>1554</v>
      </c>
      <c r="Q2699" s="7"/>
    </row>
    <row r="2700">
      <c r="A2700" s="39" t="s">
        <v>11704</v>
      </c>
      <c r="B2700" s="15">
        <v>1193422.0</v>
      </c>
      <c r="C2700" s="15" t="s">
        <v>11705</v>
      </c>
      <c r="D2700" s="15">
        <v>167579.0</v>
      </c>
      <c r="E2700" s="15" t="s">
        <v>1557</v>
      </c>
      <c r="F2700" s="15" t="s">
        <v>2628</v>
      </c>
      <c r="G2700" s="7">
        <v>43.376</v>
      </c>
      <c r="H2700" s="15" t="s">
        <v>1983</v>
      </c>
      <c r="I2700" s="15" t="s">
        <v>1686</v>
      </c>
      <c r="J2700" s="15" t="s">
        <v>11706</v>
      </c>
      <c r="K2700" s="15">
        <v>35.0</v>
      </c>
      <c r="L2700" s="15">
        <v>34.0</v>
      </c>
      <c r="M2700" s="40">
        <v>41052.0</v>
      </c>
      <c r="N2700" s="40">
        <v>41214.0</v>
      </c>
      <c r="O2700" s="15" t="s">
        <v>1554</v>
      </c>
      <c r="Q2700" s="7"/>
    </row>
    <row r="2701">
      <c r="A2701" s="39" t="s">
        <v>11708</v>
      </c>
      <c r="B2701" s="15">
        <v>421010.0</v>
      </c>
      <c r="C2701" s="15" t="s">
        <v>11709</v>
      </c>
      <c r="D2701" s="15">
        <v>167580.0</v>
      </c>
      <c r="E2701" s="15" t="s">
        <v>1548</v>
      </c>
      <c r="F2701" s="15" t="s">
        <v>1911</v>
      </c>
      <c r="G2701" s="7">
        <v>9.66</v>
      </c>
      <c r="H2701" s="15">
        <v>43.0</v>
      </c>
      <c r="I2701" s="15" t="s">
        <v>1628</v>
      </c>
      <c r="J2701" s="15" t="s">
        <v>11710</v>
      </c>
      <c r="K2701" s="15">
        <v>2.0</v>
      </c>
      <c r="L2701" s="15">
        <v>2.0</v>
      </c>
      <c r="M2701" s="40">
        <v>41049.0</v>
      </c>
      <c r="N2701" s="40">
        <v>42817.0</v>
      </c>
      <c r="O2701" s="15" t="s">
        <v>1554</v>
      </c>
      <c r="Q2701" s="7"/>
    </row>
    <row r="2702">
      <c r="A2702" s="39" t="s">
        <v>11711</v>
      </c>
      <c r="B2702" s="15">
        <v>453050.0</v>
      </c>
      <c r="C2702" s="15" t="s">
        <v>11712</v>
      </c>
      <c r="D2702" s="15">
        <v>167581.0</v>
      </c>
      <c r="E2702" s="15" t="s">
        <v>1548</v>
      </c>
      <c r="F2702" s="15" t="s">
        <v>1911</v>
      </c>
      <c r="G2702" s="7">
        <v>10.731</v>
      </c>
      <c r="H2702" s="15" t="s">
        <v>1559</v>
      </c>
      <c r="I2702" s="15" t="s">
        <v>1628</v>
      </c>
      <c r="J2702" s="15" t="s">
        <v>11713</v>
      </c>
      <c r="K2702" s="15">
        <v>2.0</v>
      </c>
      <c r="L2702" s="15">
        <v>2.0</v>
      </c>
      <c r="M2702" s="40">
        <v>41047.0</v>
      </c>
      <c r="N2702" s="40">
        <v>42817.0</v>
      </c>
      <c r="O2702" s="15" t="s">
        <v>1554</v>
      </c>
      <c r="Q2702" s="7"/>
    </row>
    <row r="2703">
      <c r="A2703" s="39" t="s">
        <v>11715</v>
      </c>
      <c r="B2703" s="15">
        <v>1114179.0</v>
      </c>
      <c r="C2703" s="15" t="s">
        <v>11716</v>
      </c>
      <c r="D2703" s="15">
        <v>167604.0</v>
      </c>
      <c r="E2703" s="15" t="s">
        <v>1557</v>
      </c>
      <c r="F2703" s="15" t="s">
        <v>1611</v>
      </c>
      <c r="G2703" s="7">
        <v>46.271</v>
      </c>
      <c r="H2703" s="15" t="s">
        <v>1977</v>
      </c>
      <c r="I2703" s="15" t="s">
        <v>1586</v>
      </c>
      <c r="J2703" s="15" t="s">
        <v>11717</v>
      </c>
      <c r="K2703" s="15">
        <v>86.0</v>
      </c>
      <c r="L2703" s="15">
        <v>72.0</v>
      </c>
      <c r="M2703" s="40">
        <v>41039.0</v>
      </c>
      <c r="N2703" s="41">
        <v>41264.0</v>
      </c>
      <c r="O2703" s="15" t="s">
        <v>1554</v>
      </c>
      <c r="Q2703" s="7"/>
    </row>
    <row r="2704">
      <c r="A2704" s="39" t="s">
        <v>11718</v>
      </c>
      <c r="B2704" s="15">
        <v>1161927.0</v>
      </c>
      <c r="C2704" s="15" t="s">
        <v>11719</v>
      </c>
      <c r="D2704" s="15">
        <v>167656.0</v>
      </c>
      <c r="E2704" s="15" t="s">
        <v>1557</v>
      </c>
      <c r="F2704" s="15" t="s">
        <v>1767</v>
      </c>
      <c r="G2704" s="7">
        <v>280.538</v>
      </c>
      <c r="H2704" s="15" t="s">
        <v>2296</v>
      </c>
      <c r="I2704" s="15" t="s">
        <v>1586</v>
      </c>
      <c r="J2704" s="15" t="s">
        <v>11721</v>
      </c>
      <c r="K2704" s="15">
        <v>391.0</v>
      </c>
      <c r="L2704" s="15">
        <v>391.0</v>
      </c>
      <c r="M2704" s="40">
        <v>41044.0</v>
      </c>
      <c r="N2704" s="40">
        <v>41059.0</v>
      </c>
      <c r="O2704" s="15" t="s">
        <v>1554</v>
      </c>
      <c r="Q2704" s="7"/>
    </row>
    <row r="2705">
      <c r="A2705" s="39" t="s">
        <v>11722</v>
      </c>
      <c r="B2705" s="15">
        <v>1183241.0</v>
      </c>
      <c r="C2705" s="15" t="s">
        <v>11723</v>
      </c>
      <c r="D2705" s="15">
        <v>167734.0</v>
      </c>
      <c r="E2705" s="15" t="s">
        <v>1638</v>
      </c>
      <c r="F2705" s="15" t="s">
        <v>1796</v>
      </c>
      <c r="G2705" s="7">
        <v>3.068</v>
      </c>
      <c r="H2705" s="15" t="s">
        <v>11724</v>
      </c>
      <c r="I2705" s="15" t="s">
        <v>1628</v>
      </c>
      <c r="J2705" s="15" t="s">
        <v>11725</v>
      </c>
      <c r="K2705" s="15">
        <v>2.0</v>
      </c>
      <c r="L2705" s="15">
        <v>2.0</v>
      </c>
      <c r="M2705" s="40">
        <v>41059.0</v>
      </c>
      <c r="N2705" s="40">
        <v>42238.0</v>
      </c>
      <c r="O2705" s="15" t="s">
        <v>1554</v>
      </c>
      <c r="Q2705" s="7"/>
    </row>
    <row r="2706">
      <c r="A2706" s="39" t="s">
        <v>11726</v>
      </c>
      <c r="B2706" s="15">
        <v>290090.0</v>
      </c>
      <c r="C2706" s="15" t="s">
        <v>11727</v>
      </c>
      <c r="D2706" s="15">
        <v>167735.0</v>
      </c>
      <c r="E2706" s="15" t="s">
        <v>1808</v>
      </c>
      <c r="F2706" s="15" t="s">
        <v>1809</v>
      </c>
      <c r="G2706" s="7">
        <v>2.751</v>
      </c>
      <c r="H2706" s="15" t="s">
        <v>2107</v>
      </c>
      <c r="I2706" s="15" t="s">
        <v>1628</v>
      </c>
      <c r="J2706" s="15" t="s">
        <v>11728</v>
      </c>
      <c r="K2706" s="15">
        <v>6.0</v>
      </c>
      <c r="L2706" s="15">
        <v>6.0</v>
      </c>
      <c r="M2706" s="40">
        <v>38547.0</v>
      </c>
      <c r="N2706" s="40">
        <v>41731.0</v>
      </c>
      <c r="O2706" s="15" t="s">
        <v>1554</v>
      </c>
      <c r="Q2706" s="7"/>
    </row>
    <row r="2707">
      <c r="A2707" s="39" t="s">
        <v>11730</v>
      </c>
      <c r="B2707" s="15">
        <v>1070408.0</v>
      </c>
      <c r="C2707" s="15" t="s">
        <v>11731</v>
      </c>
      <c r="D2707" s="15">
        <v>167865.0</v>
      </c>
      <c r="E2707" s="15" t="s">
        <v>1557</v>
      </c>
      <c r="F2707" s="15" t="s">
        <v>1822</v>
      </c>
      <c r="G2707" s="7">
        <v>7.293</v>
      </c>
      <c r="H2707" s="15" t="s">
        <v>3309</v>
      </c>
      <c r="I2707" s="15" t="s">
        <v>1686</v>
      </c>
      <c r="J2707" s="15" t="s">
        <v>11732</v>
      </c>
      <c r="K2707" s="15">
        <v>7.0</v>
      </c>
      <c r="L2707" s="15">
        <v>7.0</v>
      </c>
      <c r="M2707" s="40">
        <v>41061.0</v>
      </c>
      <c r="N2707" s="40">
        <v>41064.0</v>
      </c>
      <c r="O2707" s="15" t="s">
        <v>1554</v>
      </c>
      <c r="Q2707" s="7"/>
    </row>
    <row r="2708">
      <c r="A2708" s="39" t="s">
        <v>11733</v>
      </c>
      <c r="B2708" s="15">
        <v>1070409.0</v>
      </c>
      <c r="C2708" s="15" t="s">
        <v>11734</v>
      </c>
      <c r="D2708" s="15">
        <v>167866.0</v>
      </c>
      <c r="E2708" s="15" t="s">
        <v>1557</v>
      </c>
      <c r="F2708" s="15" t="s">
        <v>1822</v>
      </c>
      <c r="G2708" s="7">
        <v>7.319</v>
      </c>
      <c r="H2708" s="15" t="s">
        <v>1823</v>
      </c>
      <c r="I2708" s="15" t="s">
        <v>1567</v>
      </c>
      <c r="J2708" s="15" t="s">
        <v>11735</v>
      </c>
      <c r="K2708" s="15">
        <v>7.0</v>
      </c>
      <c r="L2708" s="15">
        <v>7.0</v>
      </c>
      <c r="M2708" s="40">
        <v>41061.0</v>
      </c>
      <c r="N2708" s="40">
        <v>41064.0</v>
      </c>
      <c r="O2708" s="15" t="s">
        <v>1554</v>
      </c>
      <c r="Q2708" s="7"/>
    </row>
    <row r="2709">
      <c r="A2709" s="39" t="s">
        <v>11736</v>
      </c>
      <c r="B2709" s="15">
        <v>1070410.0</v>
      </c>
      <c r="C2709" s="15" t="s">
        <v>11738</v>
      </c>
      <c r="D2709" s="15">
        <v>167867.0</v>
      </c>
      <c r="E2709" s="15" t="s">
        <v>1557</v>
      </c>
      <c r="F2709" s="15" t="s">
        <v>1822</v>
      </c>
      <c r="G2709" s="7">
        <v>7.236</v>
      </c>
      <c r="H2709" s="15" t="s">
        <v>1714</v>
      </c>
      <c r="I2709" s="15" t="s">
        <v>1686</v>
      </c>
      <c r="J2709" s="15" t="s">
        <v>11739</v>
      </c>
      <c r="K2709" s="15">
        <v>7.0</v>
      </c>
      <c r="L2709" s="15">
        <v>7.0</v>
      </c>
      <c r="M2709" s="40">
        <v>41061.0</v>
      </c>
      <c r="N2709" s="40">
        <v>41064.0</v>
      </c>
      <c r="O2709" s="15" t="s">
        <v>1554</v>
      </c>
      <c r="Q2709" s="7"/>
    </row>
    <row r="2710">
      <c r="A2710" s="39" t="s">
        <v>11740</v>
      </c>
      <c r="B2710" s="15">
        <v>1070413.0</v>
      </c>
      <c r="C2710" s="15" t="s">
        <v>11741</v>
      </c>
      <c r="D2710" s="15">
        <v>167868.0</v>
      </c>
      <c r="E2710" s="15" t="s">
        <v>1557</v>
      </c>
      <c r="F2710" s="15" t="s">
        <v>1822</v>
      </c>
      <c r="G2710" s="7">
        <v>7.341</v>
      </c>
      <c r="H2710" s="15" t="s">
        <v>3000</v>
      </c>
      <c r="I2710" s="15" t="s">
        <v>1567</v>
      </c>
      <c r="J2710" s="15" t="s">
        <v>11742</v>
      </c>
      <c r="K2710" s="15">
        <v>7.0</v>
      </c>
      <c r="L2710" s="15">
        <v>7.0</v>
      </c>
      <c r="M2710" s="40">
        <v>41061.0</v>
      </c>
      <c r="N2710" s="40">
        <v>41064.0</v>
      </c>
      <c r="O2710" s="15" t="s">
        <v>1554</v>
      </c>
      <c r="Q2710" s="7"/>
    </row>
    <row r="2711">
      <c r="A2711" s="39" t="s">
        <v>11743</v>
      </c>
      <c r="B2711" s="15">
        <v>1070417.0</v>
      </c>
      <c r="C2711" s="15" t="s">
        <v>11744</v>
      </c>
      <c r="D2711" s="15">
        <v>167869.0</v>
      </c>
      <c r="E2711" s="15" t="s">
        <v>1557</v>
      </c>
      <c r="F2711" s="15" t="s">
        <v>1822</v>
      </c>
      <c r="G2711" s="7">
        <v>7.271</v>
      </c>
      <c r="H2711" s="15" t="s">
        <v>2342</v>
      </c>
      <c r="I2711" s="15" t="s">
        <v>1686</v>
      </c>
      <c r="J2711" s="15" t="s">
        <v>11745</v>
      </c>
      <c r="K2711" s="15">
        <v>7.0</v>
      </c>
      <c r="L2711" s="15">
        <v>7.0</v>
      </c>
      <c r="M2711" s="40">
        <v>41061.0</v>
      </c>
      <c r="N2711" s="40">
        <v>41064.0</v>
      </c>
      <c r="O2711" s="15" t="s">
        <v>1554</v>
      </c>
      <c r="Q2711" s="7"/>
    </row>
    <row r="2712">
      <c r="A2712" s="39" t="s">
        <v>11747</v>
      </c>
      <c r="B2712" s="15">
        <v>1033976.0</v>
      </c>
      <c r="C2712" s="15" t="s">
        <v>11748</v>
      </c>
      <c r="D2712" s="15">
        <v>168523.0</v>
      </c>
      <c r="E2712" s="15" t="s">
        <v>1548</v>
      </c>
      <c r="F2712" s="15" t="s">
        <v>5033</v>
      </c>
      <c r="G2712" s="7">
        <v>16.51</v>
      </c>
      <c r="H2712" s="15" t="s">
        <v>11749</v>
      </c>
      <c r="I2712" s="15" t="s">
        <v>2034</v>
      </c>
      <c r="J2712" s="15" t="s">
        <v>11750</v>
      </c>
      <c r="K2712" s="15">
        <v>5.0</v>
      </c>
      <c r="L2712" s="15">
        <v>5.0</v>
      </c>
      <c r="M2712" s="40">
        <v>40712.0</v>
      </c>
      <c r="N2712" s="40">
        <v>41367.0</v>
      </c>
      <c r="O2712" s="15" t="s">
        <v>1554</v>
      </c>
      <c r="Q2712" s="7"/>
    </row>
    <row r="2713">
      <c r="A2713" s="39" t="s">
        <v>11751</v>
      </c>
      <c r="B2713" s="15">
        <v>706525.0</v>
      </c>
      <c r="C2713" s="15" t="s">
        <v>11752</v>
      </c>
      <c r="D2713" s="15">
        <v>168666.0</v>
      </c>
      <c r="E2713" s="15" t="s">
        <v>1557</v>
      </c>
      <c r="F2713" s="15" t="s">
        <v>1822</v>
      </c>
      <c r="G2713" s="7">
        <v>7.596</v>
      </c>
      <c r="H2713" s="15" t="s">
        <v>3882</v>
      </c>
      <c r="I2713" s="15" t="s">
        <v>1686</v>
      </c>
      <c r="J2713" s="15" t="s">
        <v>11753</v>
      </c>
      <c r="K2713" s="15">
        <v>6.0</v>
      </c>
      <c r="L2713" s="15">
        <v>6.0</v>
      </c>
      <c r="M2713" s="40">
        <v>40636.0</v>
      </c>
      <c r="N2713" s="40">
        <v>42577.0</v>
      </c>
      <c r="O2713" s="15" t="s">
        <v>1554</v>
      </c>
      <c r="Q2713" s="7"/>
    </row>
    <row r="2714">
      <c r="A2714" s="39" t="s">
        <v>11754</v>
      </c>
      <c r="B2714" s="15">
        <v>706526.0</v>
      </c>
      <c r="C2714" s="15" t="s">
        <v>11756</v>
      </c>
      <c r="D2714" s="15">
        <v>168667.0</v>
      </c>
      <c r="E2714" s="15" t="s">
        <v>1557</v>
      </c>
      <c r="F2714" s="15" t="s">
        <v>1822</v>
      </c>
      <c r="G2714" s="7">
        <v>7.635</v>
      </c>
      <c r="H2714" s="15">
        <v>44.0</v>
      </c>
      <c r="I2714" s="15" t="s">
        <v>1686</v>
      </c>
      <c r="J2714" s="15" t="s">
        <v>11757</v>
      </c>
      <c r="K2714" s="15">
        <v>6.0</v>
      </c>
      <c r="L2714" s="15">
        <v>6.0</v>
      </c>
      <c r="M2714" s="40">
        <v>40636.0</v>
      </c>
      <c r="N2714" s="40">
        <v>42577.0</v>
      </c>
      <c r="O2714" s="15" t="s">
        <v>1554</v>
      </c>
      <c r="Q2714" s="7"/>
    </row>
    <row r="2715">
      <c r="A2715" s="39" t="s">
        <v>11758</v>
      </c>
      <c r="B2715" s="15">
        <v>706527.0</v>
      </c>
      <c r="C2715" s="15" t="s">
        <v>11759</v>
      </c>
      <c r="D2715" s="15">
        <v>168668.0</v>
      </c>
      <c r="E2715" s="15" t="s">
        <v>1557</v>
      </c>
      <c r="F2715" s="15" t="s">
        <v>1822</v>
      </c>
      <c r="G2715" s="7">
        <v>7.348</v>
      </c>
      <c r="H2715" s="15" t="s">
        <v>1613</v>
      </c>
      <c r="I2715" s="15" t="s">
        <v>1686</v>
      </c>
      <c r="J2715" s="15" t="s">
        <v>11760</v>
      </c>
      <c r="K2715" s="15">
        <v>6.0</v>
      </c>
      <c r="L2715" s="15">
        <v>6.0</v>
      </c>
      <c r="M2715" s="40">
        <v>40636.0</v>
      </c>
      <c r="N2715" s="40">
        <v>42577.0</v>
      </c>
      <c r="O2715" s="15" t="s">
        <v>1554</v>
      </c>
      <c r="Q2715" s="7"/>
    </row>
    <row r="2716">
      <c r="A2716" s="39" t="s">
        <v>11761</v>
      </c>
      <c r="B2716" s="15">
        <v>1048668.0</v>
      </c>
      <c r="C2716" s="15" t="s">
        <v>11762</v>
      </c>
      <c r="D2716" s="15">
        <v>169228.0</v>
      </c>
      <c r="E2716" s="15" t="s">
        <v>2014</v>
      </c>
      <c r="F2716" s="15" t="s">
        <v>1578</v>
      </c>
      <c r="G2716" s="7">
        <v>1.376</v>
      </c>
      <c r="H2716" s="15" t="s">
        <v>3070</v>
      </c>
      <c r="I2716" s="15" t="s">
        <v>1628</v>
      </c>
      <c r="J2716" s="15" t="s">
        <v>11764</v>
      </c>
      <c r="K2716" s="15">
        <v>1.0</v>
      </c>
      <c r="L2716" s="15">
        <v>1.0</v>
      </c>
      <c r="M2716" s="40">
        <v>41081.0</v>
      </c>
      <c r="N2716" s="40">
        <v>41087.0</v>
      </c>
      <c r="O2716" s="15" t="s">
        <v>1554</v>
      </c>
      <c r="Q2716" s="7"/>
    </row>
    <row r="2717">
      <c r="A2717" s="39" t="s">
        <v>11765</v>
      </c>
      <c r="B2717" s="15">
        <v>1173135.0</v>
      </c>
      <c r="C2717" s="15" t="s">
        <v>11766</v>
      </c>
      <c r="D2717" s="15">
        <v>169229.0</v>
      </c>
      <c r="E2717" s="15" t="s">
        <v>1557</v>
      </c>
      <c r="F2717" s="15" t="s">
        <v>1833</v>
      </c>
      <c r="G2717" s="7">
        <v>53.996</v>
      </c>
      <c r="H2717" s="15" t="s">
        <v>2524</v>
      </c>
      <c r="I2717" s="15" t="s">
        <v>1586</v>
      </c>
      <c r="J2717" s="15" t="s">
        <v>11767</v>
      </c>
      <c r="K2717" s="15">
        <v>88.0</v>
      </c>
      <c r="L2717" s="15">
        <v>87.0</v>
      </c>
      <c r="M2717" s="40">
        <v>41062.0</v>
      </c>
      <c r="N2717" s="40">
        <v>41310.0</v>
      </c>
      <c r="O2717" s="15" t="s">
        <v>1554</v>
      </c>
      <c r="Q2717" s="7"/>
    </row>
    <row r="2718">
      <c r="A2718" s="39" t="s">
        <v>11768</v>
      </c>
      <c r="B2718" s="15">
        <v>1049283.0</v>
      </c>
      <c r="C2718" s="15" t="s">
        <v>11769</v>
      </c>
      <c r="D2718" s="15">
        <v>169230.0</v>
      </c>
      <c r="E2718" s="15" t="s">
        <v>1557</v>
      </c>
      <c r="F2718" s="15" t="s">
        <v>1767</v>
      </c>
      <c r="G2718" s="7">
        <v>166.687</v>
      </c>
      <c r="H2718" s="15" t="s">
        <v>10067</v>
      </c>
      <c r="I2718" s="15" t="s">
        <v>1586</v>
      </c>
      <c r="J2718" s="15" t="s">
        <v>11770</v>
      </c>
      <c r="K2718" s="15">
        <v>264.0</v>
      </c>
      <c r="L2718" s="15">
        <v>256.0</v>
      </c>
      <c r="M2718" s="40">
        <v>40740.0</v>
      </c>
      <c r="N2718" s="40">
        <v>43012.0</v>
      </c>
      <c r="O2718" s="15" t="s">
        <v>1554</v>
      </c>
      <c r="Q2718" s="7"/>
    </row>
    <row r="2719">
      <c r="A2719" s="39" t="s">
        <v>11772</v>
      </c>
      <c r="B2719" s="15">
        <v>1162305.0</v>
      </c>
      <c r="C2719" s="15" t="s">
        <v>11773</v>
      </c>
      <c r="D2719" s="15">
        <v>169231.0</v>
      </c>
      <c r="E2719" s="15" t="s">
        <v>1557</v>
      </c>
      <c r="F2719" s="15" t="s">
        <v>1611</v>
      </c>
      <c r="G2719" s="7">
        <v>17.972</v>
      </c>
      <c r="H2719" s="15" t="s">
        <v>3260</v>
      </c>
      <c r="I2719" s="15" t="s">
        <v>1586</v>
      </c>
      <c r="J2719" s="15" t="s">
        <v>11774</v>
      </c>
      <c r="K2719" s="15">
        <v>28.0</v>
      </c>
      <c r="L2719" s="15">
        <v>28.0</v>
      </c>
      <c r="M2719" s="40">
        <v>41054.0</v>
      </c>
      <c r="N2719" s="40">
        <v>41087.0</v>
      </c>
      <c r="O2719" s="15" t="s">
        <v>1554</v>
      </c>
      <c r="Q2719" s="7"/>
    </row>
    <row r="2720">
      <c r="A2720" s="39" t="s">
        <v>11775</v>
      </c>
      <c r="B2720" s="15">
        <v>1162306.0</v>
      </c>
      <c r="C2720" s="15" t="s">
        <v>11776</v>
      </c>
      <c r="D2720" s="15">
        <v>169232.0</v>
      </c>
      <c r="E2720" s="15" t="s">
        <v>1557</v>
      </c>
      <c r="F2720" s="15" t="s">
        <v>1611</v>
      </c>
      <c r="G2720" s="7">
        <v>18.078</v>
      </c>
      <c r="H2720" s="15" t="s">
        <v>3260</v>
      </c>
      <c r="I2720" s="15" t="s">
        <v>1586</v>
      </c>
      <c r="J2720" s="15" t="s">
        <v>11777</v>
      </c>
      <c r="K2720" s="15">
        <v>27.0</v>
      </c>
      <c r="L2720" s="15">
        <v>27.0</v>
      </c>
      <c r="M2720" s="40">
        <v>41054.0</v>
      </c>
      <c r="N2720" s="40">
        <v>41087.0</v>
      </c>
      <c r="O2720" s="15" t="s">
        <v>1554</v>
      </c>
      <c r="Q2720" s="7"/>
    </row>
    <row r="2721">
      <c r="A2721" s="39" t="s">
        <v>11778</v>
      </c>
      <c r="B2721" s="15">
        <v>1194641.0</v>
      </c>
      <c r="C2721" s="15" t="s">
        <v>11780</v>
      </c>
      <c r="D2721" s="15">
        <v>169233.0</v>
      </c>
      <c r="E2721" s="15" t="s">
        <v>1557</v>
      </c>
      <c r="F2721" s="15" t="s">
        <v>1833</v>
      </c>
      <c r="G2721" s="7">
        <v>41.992</v>
      </c>
      <c r="H2721" s="15" t="s">
        <v>3550</v>
      </c>
      <c r="I2721" s="15" t="s">
        <v>1586</v>
      </c>
      <c r="J2721" s="15" t="s">
        <v>11781</v>
      </c>
      <c r="K2721" s="15">
        <v>57.0</v>
      </c>
      <c r="L2721" s="15">
        <v>57.0</v>
      </c>
      <c r="M2721" s="40">
        <v>41070.0</v>
      </c>
      <c r="N2721" s="40">
        <v>41087.0</v>
      </c>
      <c r="O2721" s="15" t="s">
        <v>1554</v>
      </c>
      <c r="Q2721" s="7"/>
    </row>
    <row r="2722">
      <c r="A2722" s="39" t="s">
        <v>11782</v>
      </c>
      <c r="B2722" s="15">
        <v>1200971.0</v>
      </c>
      <c r="C2722" s="15" t="s">
        <v>11783</v>
      </c>
      <c r="D2722" s="15">
        <v>169556.0</v>
      </c>
      <c r="E2722" s="15" t="s">
        <v>2014</v>
      </c>
      <c r="F2722" s="15" t="s">
        <v>2018</v>
      </c>
      <c r="G2722" s="7">
        <v>1.379</v>
      </c>
      <c r="H2722" s="15">
        <v>43.0</v>
      </c>
      <c r="I2722" s="15" t="s">
        <v>1628</v>
      </c>
      <c r="J2722" s="15" t="s">
        <v>11784</v>
      </c>
      <c r="K2722" s="15">
        <v>1.0</v>
      </c>
      <c r="L2722" s="15">
        <v>1.0</v>
      </c>
      <c r="M2722" s="40">
        <v>41087.0</v>
      </c>
      <c r="N2722" s="40">
        <v>41088.0</v>
      </c>
      <c r="O2722" s="15" t="s">
        <v>1554</v>
      </c>
      <c r="Q2722" s="7"/>
    </row>
    <row r="2723">
      <c r="A2723" s="39" t="s">
        <v>11785</v>
      </c>
      <c r="B2723" s="15">
        <v>46619.0</v>
      </c>
      <c r="C2723" s="15" t="s">
        <v>11786</v>
      </c>
      <c r="D2723" s="15">
        <v>169624.0</v>
      </c>
      <c r="E2723" s="15" t="s">
        <v>1548</v>
      </c>
      <c r="F2723" s="15" t="s">
        <v>1911</v>
      </c>
      <c r="G2723" s="7">
        <v>10.798</v>
      </c>
      <c r="H2723" s="15" t="s">
        <v>2118</v>
      </c>
      <c r="I2723" s="15" t="s">
        <v>1628</v>
      </c>
      <c r="J2723" s="15" t="s">
        <v>11788</v>
      </c>
      <c r="K2723" s="15">
        <v>3.0</v>
      </c>
      <c r="L2723" s="15">
        <v>3.0</v>
      </c>
      <c r="M2723" s="40">
        <v>41078.0</v>
      </c>
      <c r="N2723" s="40">
        <v>42957.0</v>
      </c>
      <c r="O2723" s="15" t="s">
        <v>1554</v>
      </c>
      <c r="Q2723" s="7"/>
    </row>
    <row r="2724">
      <c r="A2724" s="39" t="s">
        <v>11789</v>
      </c>
      <c r="B2724" s="15">
        <v>1203539.0</v>
      </c>
      <c r="C2724" s="15" t="s">
        <v>11790</v>
      </c>
      <c r="D2724" s="15">
        <v>170047.0</v>
      </c>
      <c r="E2724" s="15" t="s">
        <v>1557</v>
      </c>
      <c r="F2724" s="15" t="s">
        <v>2004</v>
      </c>
      <c r="G2724" s="7">
        <v>4.927</v>
      </c>
      <c r="H2724" s="15" t="s">
        <v>4331</v>
      </c>
      <c r="I2724" s="15" t="s">
        <v>1686</v>
      </c>
      <c r="J2724" s="15" t="s">
        <v>11791</v>
      </c>
      <c r="K2724" s="15">
        <v>5.0</v>
      </c>
      <c r="L2724" s="15">
        <v>5.0</v>
      </c>
      <c r="M2724" s="40">
        <v>41093.0</v>
      </c>
      <c r="N2724" s="40">
        <v>41780.0</v>
      </c>
      <c r="O2724" s="15" t="s">
        <v>1554</v>
      </c>
      <c r="Q2724" s="7"/>
    </row>
    <row r="2725">
      <c r="A2725" s="39" t="s">
        <v>11792</v>
      </c>
      <c r="B2725" s="15">
        <v>157270.0</v>
      </c>
      <c r="C2725" s="15" t="s">
        <v>11793</v>
      </c>
      <c r="D2725" s="15">
        <v>170172.0</v>
      </c>
      <c r="E2725" s="15" t="s">
        <v>1916</v>
      </c>
      <c r="F2725" s="15" t="s">
        <v>1917</v>
      </c>
      <c r="G2725" s="7">
        <v>7.659</v>
      </c>
      <c r="H2725" s="15" t="s">
        <v>1802</v>
      </c>
      <c r="I2725" s="15" t="s">
        <v>1628</v>
      </c>
      <c r="J2725" s="15" t="s">
        <v>11794</v>
      </c>
      <c r="K2725" s="15">
        <v>3.0</v>
      </c>
      <c r="L2725" s="15">
        <v>3.0</v>
      </c>
      <c r="M2725" s="40">
        <v>41091.0</v>
      </c>
      <c r="N2725" s="40">
        <v>41100.0</v>
      </c>
      <c r="O2725" s="15" t="s">
        <v>1554</v>
      </c>
      <c r="Q2725" s="7"/>
    </row>
    <row r="2726">
      <c r="A2726" s="39" t="s">
        <v>11795</v>
      </c>
      <c r="B2726" s="15">
        <v>1202142.0</v>
      </c>
      <c r="C2726" s="15" t="s">
        <v>11797</v>
      </c>
      <c r="D2726" s="15">
        <v>170854.0</v>
      </c>
      <c r="E2726" s="15" t="s">
        <v>1808</v>
      </c>
      <c r="F2726" s="15" t="s">
        <v>1809</v>
      </c>
      <c r="G2726" s="7">
        <v>3.64</v>
      </c>
      <c r="H2726" s="15" t="s">
        <v>2392</v>
      </c>
      <c r="I2726" s="15" t="s">
        <v>1628</v>
      </c>
      <c r="J2726" s="15" t="s">
        <v>11798</v>
      </c>
      <c r="K2726" s="15">
        <v>5.0</v>
      </c>
      <c r="L2726" s="15">
        <v>5.0</v>
      </c>
      <c r="M2726" s="40">
        <v>41105.0</v>
      </c>
      <c r="N2726" s="40">
        <v>41115.0</v>
      </c>
      <c r="O2726" s="15" t="s">
        <v>1554</v>
      </c>
      <c r="Q2726" s="7"/>
    </row>
    <row r="2727">
      <c r="A2727" s="39" t="s">
        <v>11799</v>
      </c>
      <c r="B2727" s="15">
        <v>558690.0</v>
      </c>
      <c r="C2727" s="15" t="s">
        <v>11800</v>
      </c>
      <c r="D2727" s="15">
        <v>170929.0</v>
      </c>
      <c r="E2727" s="15" t="s">
        <v>1548</v>
      </c>
      <c r="F2727" s="15" t="s">
        <v>1790</v>
      </c>
      <c r="G2727" s="7">
        <v>16.648</v>
      </c>
      <c r="H2727" s="15" t="s">
        <v>11801</v>
      </c>
      <c r="I2727" s="15" t="s">
        <v>1628</v>
      </c>
      <c r="J2727" s="15" t="s">
        <v>11802</v>
      </c>
      <c r="K2727" s="15">
        <v>11.0</v>
      </c>
      <c r="L2727" s="15">
        <v>11.0</v>
      </c>
      <c r="M2727" s="40">
        <v>40233.0</v>
      </c>
      <c r="N2727" s="40">
        <v>41458.0</v>
      </c>
      <c r="O2727" s="15" t="s">
        <v>1554</v>
      </c>
      <c r="Q2727" s="7"/>
    </row>
    <row r="2728">
      <c r="A2728" s="39" t="s">
        <v>11803</v>
      </c>
      <c r="B2728" s="15">
        <v>1046402.0</v>
      </c>
      <c r="C2728" s="15" t="s">
        <v>11804</v>
      </c>
      <c r="D2728" s="15">
        <v>171010.0</v>
      </c>
      <c r="E2728" s="15" t="s">
        <v>1548</v>
      </c>
      <c r="F2728" s="15" t="s">
        <v>1786</v>
      </c>
      <c r="G2728" s="7">
        <v>8.41</v>
      </c>
      <c r="H2728" s="15" t="s">
        <v>2365</v>
      </c>
      <c r="I2728" s="15" t="s">
        <v>1628</v>
      </c>
      <c r="J2728" s="15" t="s">
        <v>11806</v>
      </c>
      <c r="K2728" s="15">
        <v>6.0</v>
      </c>
      <c r="L2728" s="15">
        <v>6.0</v>
      </c>
      <c r="M2728" s="40">
        <v>41108.0</v>
      </c>
      <c r="N2728" s="40">
        <v>41456.0</v>
      </c>
      <c r="O2728" s="15" t="s">
        <v>1554</v>
      </c>
      <c r="Q2728" s="7"/>
    </row>
    <row r="2729">
      <c r="A2729" s="39" t="s">
        <v>11807</v>
      </c>
      <c r="B2729" s="15">
        <v>405558.0</v>
      </c>
      <c r="C2729" s="15" t="s">
        <v>11808</v>
      </c>
      <c r="D2729" s="15">
        <v>171011.0</v>
      </c>
      <c r="E2729" s="15" t="s">
        <v>1548</v>
      </c>
      <c r="F2729" s="15" t="s">
        <v>1911</v>
      </c>
      <c r="G2729" s="7">
        <v>9.63</v>
      </c>
      <c r="H2729" s="15" t="s">
        <v>1902</v>
      </c>
      <c r="I2729" s="15" t="s">
        <v>1628</v>
      </c>
      <c r="J2729" s="15" t="s">
        <v>11809</v>
      </c>
      <c r="K2729" s="15">
        <v>1.0</v>
      </c>
      <c r="L2729" s="15">
        <v>1.0</v>
      </c>
      <c r="M2729" s="40">
        <v>38994.0</v>
      </c>
      <c r="N2729" s="40">
        <v>41110.0</v>
      </c>
      <c r="O2729" s="15" t="s">
        <v>1554</v>
      </c>
      <c r="Q2729" s="7"/>
    </row>
    <row r="2730">
      <c r="A2730" s="39" t="s">
        <v>11810</v>
      </c>
      <c r="B2730" s="15">
        <v>948870.0</v>
      </c>
      <c r="C2730" s="15" t="s">
        <v>11811</v>
      </c>
      <c r="D2730" s="15">
        <v>62157.0</v>
      </c>
      <c r="E2730" s="15" t="s">
        <v>1557</v>
      </c>
      <c r="F2730" s="15" t="s">
        <v>1767</v>
      </c>
      <c r="G2730" s="7">
        <v>148.612</v>
      </c>
      <c r="H2730" s="15" t="s">
        <v>2334</v>
      </c>
      <c r="I2730" s="15" t="s">
        <v>1586</v>
      </c>
      <c r="J2730" s="15" t="s">
        <v>11812</v>
      </c>
      <c r="K2730" s="15">
        <v>309.0</v>
      </c>
      <c r="L2730" s="15">
        <v>250.0</v>
      </c>
      <c r="M2730" s="40">
        <v>41106.0</v>
      </c>
      <c r="N2730" s="40">
        <v>42384.0</v>
      </c>
      <c r="O2730" s="15" t="s">
        <v>1554</v>
      </c>
      <c r="Q2730" s="7"/>
    </row>
    <row r="2731">
      <c r="A2731" s="39" t="s">
        <v>11814</v>
      </c>
      <c r="B2731" s="15">
        <v>1118063.0</v>
      </c>
      <c r="C2731" s="15" t="s">
        <v>11815</v>
      </c>
      <c r="D2731" s="15">
        <v>171956.0</v>
      </c>
      <c r="E2731" s="15" t="s">
        <v>1557</v>
      </c>
      <c r="F2731" s="15" t="s">
        <v>1833</v>
      </c>
      <c r="G2731" s="7">
        <v>42.784</v>
      </c>
      <c r="H2731" s="15" t="s">
        <v>4479</v>
      </c>
      <c r="I2731" s="15" t="s">
        <v>1586</v>
      </c>
      <c r="J2731" s="15" t="s">
        <v>11816</v>
      </c>
      <c r="K2731" s="15">
        <v>63.0</v>
      </c>
      <c r="L2731" s="15">
        <v>63.0</v>
      </c>
      <c r="M2731" s="40">
        <v>41113.0</v>
      </c>
      <c r="N2731" s="40">
        <v>41126.0</v>
      </c>
      <c r="O2731" s="15" t="s">
        <v>1554</v>
      </c>
      <c r="Q2731" s="7"/>
    </row>
    <row r="2732">
      <c r="A2732" s="39" t="s">
        <v>11817</v>
      </c>
      <c r="B2732" s="15">
        <v>1168548.0</v>
      </c>
      <c r="C2732" s="15" t="s">
        <v>11818</v>
      </c>
      <c r="D2732" s="15">
        <v>171957.0</v>
      </c>
      <c r="E2732" s="15" t="s">
        <v>1557</v>
      </c>
      <c r="F2732" s="15" t="s">
        <v>1611</v>
      </c>
      <c r="G2732" s="7">
        <v>39.783</v>
      </c>
      <c r="H2732" s="15" t="s">
        <v>3882</v>
      </c>
      <c r="I2732" s="15" t="s">
        <v>1586</v>
      </c>
      <c r="J2732" s="15" t="s">
        <v>11819</v>
      </c>
      <c r="K2732" s="15">
        <v>70.0</v>
      </c>
      <c r="L2732" s="15">
        <v>70.0</v>
      </c>
      <c r="M2732" s="40">
        <v>41084.0</v>
      </c>
      <c r="N2732" s="40">
        <v>41126.0</v>
      </c>
      <c r="O2732" s="15" t="s">
        <v>1554</v>
      </c>
      <c r="Q2732" s="7"/>
    </row>
    <row r="2733">
      <c r="A2733" s="39" t="s">
        <v>11820</v>
      </c>
      <c r="B2733" s="15">
        <v>1132026.0</v>
      </c>
      <c r="C2733" s="15" t="s">
        <v>11821</v>
      </c>
      <c r="D2733" s="15">
        <v>171970.0</v>
      </c>
      <c r="E2733" s="15" t="s">
        <v>1557</v>
      </c>
      <c r="F2733" s="15" t="s">
        <v>1833</v>
      </c>
      <c r="G2733" s="7">
        <v>42.832</v>
      </c>
      <c r="H2733" s="15" t="s">
        <v>1634</v>
      </c>
      <c r="I2733" s="15" t="s">
        <v>1586</v>
      </c>
      <c r="J2733" s="15" t="s">
        <v>11822</v>
      </c>
      <c r="K2733" s="15">
        <v>55.0</v>
      </c>
      <c r="L2733" s="15">
        <v>55.0</v>
      </c>
      <c r="M2733" s="40">
        <v>41107.0</v>
      </c>
      <c r="N2733" s="40">
        <v>41127.0</v>
      </c>
      <c r="O2733" s="15" t="s">
        <v>1554</v>
      </c>
      <c r="Q2733" s="7"/>
    </row>
    <row r="2734">
      <c r="A2734" s="39" t="s">
        <v>11823</v>
      </c>
      <c r="B2734" s="15">
        <v>1133022.0</v>
      </c>
      <c r="C2734" s="15" t="s">
        <v>11824</v>
      </c>
      <c r="D2734" s="15">
        <v>171971.0</v>
      </c>
      <c r="E2734" s="15" t="s">
        <v>1557</v>
      </c>
      <c r="F2734" s="15" t="s">
        <v>1833</v>
      </c>
      <c r="G2734" s="7">
        <v>58.065</v>
      </c>
      <c r="H2734" s="15" t="s">
        <v>4430</v>
      </c>
      <c r="I2734" s="15" t="s">
        <v>1586</v>
      </c>
      <c r="J2734" s="15" t="s">
        <v>11826</v>
      </c>
      <c r="K2734" s="15">
        <v>78.0</v>
      </c>
      <c r="L2734" s="15">
        <v>78.0</v>
      </c>
      <c r="M2734" s="40">
        <v>41107.0</v>
      </c>
      <c r="N2734" s="40">
        <v>41127.0</v>
      </c>
      <c r="O2734" s="15" t="s">
        <v>1554</v>
      </c>
      <c r="Q2734" s="7"/>
    </row>
    <row r="2735">
      <c r="A2735" s="39" t="s">
        <v>11827</v>
      </c>
      <c r="B2735" s="15">
        <v>1161903.0</v>
      </c>
      <c r="C2735" s="15" t="s">
        <v>11828</v>
      </c>
      <c r="D2735" s="15">
        <v>171972.0</v>
      </c>
      <c r="E2735" s="15" t="s">
        <v>1557</v>
      </c>
      <c r="F2735" s="15" t="s">
        <v>1833</v>
      </c>
      <c r="G2735" s="7">
        <v>36.847</v>
      </c>
      <c r="H2735" s="15" t="s">
        <v>4117</v>
      </c>
      <c r="I2735" s="15" t="s">
        <v>1586</v>
      </c>
      <c r="J2735" s="15" t="s">
        <v>11829</v>
      </c>
      <c r="K2735" s="15">
        <v>53.0</v>
      </c>
      <c r="L2735" s="15">
        <v>53.0</v>
      </c>
      <c r="M2735" s="40">
        <v>41115.0</v>
      </c>
      <c r="N2735" s="40">
        <v>41127.0</v>
      </c>
      <c r="O2735" s="15" t="s">
        <v>1554</v>
      </c>
      <c r="Q2735" s="7"/>
    </row>
    <row r="2736">
      <c r="A2736" s="39" t="s">
        <v>11830</v>
      </c>
      <c r="B2736" s="15">
        <v>1161906.0</v>
      </c>
      <c r="C2736" s="15" t="s">
        <v>11831</v>
      </c>
      <c r="D2736" s="15">
        <v>171973.0</v>
      </c>
      <c r="E2736" s="15" t="s">
        <v>1557</v>
      </c>
      <c r="F2736" s="15" t="s">
        <v>1611</v>
      </c>
      <c r="G2736" s="7">
        <v>33.594</v>
      </c>
      <c r="H2736" s="15" t="s">
        <v>1613</v>
      </c>
      <c r="I2736" s="15" t="s">
        <v>1586</v>
      </c>
      <c r="J2736" s="15" t="s">
        <v>11832</v>
      </c>
      <c r="K2736" s="15">
        <v>48.0</v>
      </c>
      <c r="L2736" s="15">
        <v>48.0</v>
      </c>
      <c r="M2736" s="40">
        <v>41123.0</v>
      </c>
      <c r="N2736" s="40">
        <v>41183.0</v>
      </c>
      <c r="O2736" s="15" t="s">
        <v>1554</v>
      </c>
      <c r="Q2736" s="7"/>
    </row>
    <row r="2737">
      <c r="A2737" s="39" t="s">
        <v>11834</v>
      </c>
      <c r="B2737" s="15">
        <v>1161930.0</v>
      </c>
      <c r="C2737" s="15" t="s">
        <v>11835</v>
      </c>
      <c r="D2737" s="15">
        <v>171974.0</v>
      </c>
      <c r="E2737" s="15" t="s">
        <v>1557</v>
      </c>
      <c r="F2737" s="15" t="s">
        <v>1833</v>
      </c>
      <c r="G2737" s="7">
        <v>26.201</v>
      </c>
      <c r="H2737" s="15" t="s">
        <v>2699</v>
      </c>
      <c r="I2737" s="15" t="s">
        <v>1586</v>
      </c>
      <c r="J2737" s="15" t="s">
        <v>11836</v>
      </c>
      <c r="K2737" s="15">
        <v>40.0</v>
      </c>
      <c r="L2737" s="15">
        <v>40.0</v>
      </c>
      <c r="M2737" s="40">
        <v>41117.0</v>
      </c>
      <c r="N2737" s="40">
        <v>41127.0</v>
      </c>
      <c r="O2737" s="15" t="s">
        <v>1554</v>
      </c>
      <c r="Q2737" s="7"/>
    </row>
    <row r="2738">
      <c r="A2738" s="39" t="s">
        <v>11837</v>
      </c>
      <c r="B2738" s="15">
        <v>1168478.0</v>
      </c>
      <c r="C2738" s="15" t="s">
        <v>11838</v>
      </c>
      <c r="D2738" s="15">
        <v>171975.0</v>
      </c>
      <c r="E2738" s="15" t="s">
        <v>1557</v>
      </c>
      <c r="F2738" s="15" t="s">
        <v>1833</v>
      </c>
      <c r="G2738" s="7">
        <v>35.7</v>
      </c>
      <c r="H2738" s="15" t="s">
        <v>2103</v>
      </c>
      <c r="I2738" s="15" t="s">
        <v>1586</v>
      </c>
      <c r="J2738" s="15" t="s">
        <v>11839</v>
      </c>
      <c r="K2738" s="15">
        <v>59.0</v>
      </c>
      <c r="L2738" s="15">
        <v>59.0</v>
      </c>
      <c r="M2738" s="40">
        <v>41084.0</v>
      </c>
      <c r="N2738" s="40">
        <v>41127.0</v>
      </c>
      <c r="O2738" s="15" t="s">
        <v>1554</v>
      </c>
      <c r="Q2738" s="7"/>
    </row>
    <row r="2739">
      <c r="A2739" s="39" t="s">
        <v>11841</v>
      </c>
      <c r="B2739" s="15">
        <v>1168479.0</v>
      </c>
      <c r="C2739" s="15" t="s">
        <v>11842</v>
      </c>
      <c r="D2739" s="15">
        <v>171976.0</v>
      </c>
      <c r="E2739" s="15" t="s">
        <v>1557</v>
      </c>
      <c r="F2739" s="15" t="s">
        <v>1833</v>
      </c>
      <c r="G2739" s="7">
        <v>35.652</v>
      </c>
      <c r="H2739" s="15" t="s">
        <v>3554</v>
      </c>
      <c r="I2739" s="15" t="s">
        <v>1586</v>
      </c>
      <c r="J2739" s="15" t="s">
        <v>11843</v>
      </c>
      <c r="K2739" s="15">
        <v>58.0</v>
      </c>
      <c r="L2739" s="15">
        <v>58.0</v>
      </c>
      <c r="M2739" s="40">
        <v>41084.0</v>
      </c>
      <c r="N2739" s="40">
        <v>41127.0</v>
      </c>
      <c r="O2739" s="15" t="s">
        <v>1554</v>
      </c>
      <c r="Q2739" s="7"/>
    </row>
    <row r="2740">
      <c r="A2740" s="39" t="s">
        <v>11844</v>
      </c>
      <c r="B2740" s="15">
        <v>1168549.0</v>
      </c>
      <c r="C2740" s="15" t="s">
        <v>11845</v>
      </c>
      <c r="D2740" s="15">
        <v>171977.0</v>
      </c>
      <c r="E2740" s="15" t="s">
        <v>1557</v>
      </c>
      <c r="F2740" s="15" t="s">
        <v>1833</v>
      </c>
      <c r="G2740" s="7">
        <v>49.116</v>
      </c>
      <c r="H2740" s="15" t="s">
        <v>2901</v>
      </c>
      <c r="I2740" s="15" t="s">
        <v>1586</v>
      </c>
      <c r="J2740" s="15" t="s">
        <v>11846</v>
      </c>
      <c r="K2740" s="15">
        <v>81.0</v>
      </c>
      <c r="L2740" s="15">
        <v>79.0</v>
      </c>
      <c r="M2740" s="40">
        <v>41084.0</v>
      </c>
      <c r="N2740" s="40">
        <v>41127.0</v>
      </c>
      <c r="O2740" s="15" t="s">
        <v>1554</v>
      </c>
      <c r="Q2740" s="7"/>
    </row>
    <row r="2741">
      <c r="A2741" s="39" t="s">
        <v>11848</v>
      </c>
      <c r="B2741" s="15">
        <v>1176422.0</v>
      </c>
      <c r="C2741" s="15" t="s">
        <v>11849</v>
      </c>
      <c r="D2741" s="15">
        <v>171978.0</v>
      </c>
      <c r="E2741" s="15" t="s">
        <v>1557</v>
      </c>
      <c r="F2741" s="15" t="s">
        <v>1833</v>
      </c>
      <c r="G2741" s="7">
        <v>44.988</v>
      </c>
      <c r="H2741" s="15" t="s">
        <v>1849</v>
      </c>
      <c r="I2741" s="15" t="s">
        <v>1586</v>
      </c>
      <c r="J2741" s="15" t="s">
        <v>11850</v>
      </c>
      <c r="K2741" s="15">
        <v>68.0</v>
      </c>
      <c r="L2741" s="15">
        <v>68.0</v>
      </c>
      <c r="M2741" s="40">
        <v>41084.0</v>
      </c>
      <c r="N2741" s="40">
        <v>41127.0</v>
      </c>
      <c r="O2741" s="15" t="s">
        <v>1554</v>
      </c>
      <c r="Q2741" s="7"/>
    </row>
    <row r="2742">
      <c r="A2742" s="39" t="s">
        <v>11851</v>
      </c>
      <c r="B2742" s="15">
        <v>1176423.0</v>
      </c>
      <c r="C2742" s="15" t="s">
        <v>11852</v>
      </c>
      <c r="D2742" s="15">
        <v>171979.0</v>
      </c>
      <c r="E2742" s="15" t="s">
        <v>1557</v>
      </c>
      <c r="F2742" s="15" t="s">
        <v>1578</v>
      </c>
      <c r="G2742" s="7">
        <v>31.766</v>
      </c>
      <c r="H2742" s="15" t="s">
        <v>2484</v>
      </c>
      <c r="I2742" s="15" t="s">
        <v>1586</v>
      </c>
      <c r="J2742" s="15" t="s">
        <v>11853</v>
      </c>
      <c r="K2742" s="15">
        <v>54.0</v>
      </c>
      <c r="L2742" s="15">
        <v>54.0</v>
      </c>
      <c r="M2742" s="40">
        <v>41084.0</v>
      </c>
      <c r="N2742" s="40">
        <v>41127.0</v>
      </c>
      <c r="O2742" s="15" t="s">
        <v>1554</v>
      </c>
      <c r="Q2742" s="7"/>
    </row>
    <row r="2743">
      <c r="A2743" s="39" t="s">
        <v>11854</v>
      </c>
      <c r="B2743" s="15">
        <v>1197951.0</v>
      </c>
      <c r="C2743" s="15" t="s">
        <v>11855</v>
      </c>
      <c r="D2743" s="15">
        <v>171980.0</v>
      </c>
      <c r="E2743" s="15" t="s">
        <v>1557</v>
      </c>
      <c r="F2743" s="15" t="s">
        <v>1578</v>
      </c>
      <c r="G2743" s="7">
        <v>38.889</v>
      </c>
      <c r="H2743" s="15" t="s">
        <v>3538</v>
      </c>
      <c r="I2743" s="15" t="s">
        <v>1586</v>
      </c>
      <c r="J2743" s="15" t="s">
        <v>11856</v>
      </c>
      <c r="K2743" s="15">
        <v>56.0</v>
      </c>
      <c r="L2743" s="15">
        <v>56.0</v>
      </c>
      <c r="M2743" s="40">
        <v>41084.0</v>
      </c>
      <c r="N2743" s="40">
        <v>41127.0</v>
      </c>
      <c r="O2743" s="15" t="s">
        <v>1554</v>
      </c>
      <c r="Q2743" s="7"/>
    </row>
    <row r="2744">
      <c r="A2744" s="39" t="s">
        <v>11857</v>
      </c>
      <c r="B2744" s="15">
        <v>1197952.0</v>
      </c>
      <c r="C2744" s="15" t="s">
        <v>11858</v>
      </c>
      <c r="D2744" s="15">
        <v>171981.0</v>
      </c>
      <c r="E2744" s="15" t="s">
        <v>1557</v>
      </c>
      <c r="F2744" s="15" t="s">
        <v>1833</v>
      </c>
      <c r="G2744" s="7">
        <v>43.581</v>
      </c>
      <c r="H2744" s="15" t="s">
        <v>4283</v>
      </c>
      <c r="I2744" s="15" t="s">
        <v>1586</v>
      </c>
      <c r="J2744" s="15" t="s">
        <v>11859</v>
      </c>
      <c r="K2744" s="15">
        <v>67.0</v>
      </c>
      <c r="L2744" s="15">
        <v>66.0</v>
      </c>
      <c r="M2744" s="40">
        <v>41114.0</v>
      </c>
      <c r="N2744" s="40">
        <v>41138.0</v>
      </c>
      <c r="O2744" s="15" t="s">
        <v>1554</v>
      </c>
      <c r="Q2744" s="7"/>
    </row>
    <row r="2745">
      <c r="A2745" s="39" t="s">
        <v>11860</v>
      </c>
      <c r="B2745" s="15">
        <v>1197953.0</v>
      </c>
      <c r="C2745" s="15" t="s">
        <v>11861</v>
      </c>
      <c r="D2745" s="15">
        <v>171982.0</v>
      </c>
      <c r="E2745" s="15" t="s">
        <v>1557</v>
      </c>
      <c r="F2745" s="15" t="s">
        <v>1833</v>
      </c>
      <c r="G2745" s="7">
        <v>42.123</v>
      </c>
      <c r="H2745" s="15" t="s">
        <v>11674</v>
      </c>
      <c r="I2745" s="15" t="s">
        <v>1586</v>
      </c>
      <c r="J2745" s="15" t="s">
        <v>11863</v>
      </c>
      <c r="K2745" s="15">
        <v>59.0</v>
      </c>
      <c r="L2745" s="15">
        <v>59.0</v>
      </c>
      <c r="M2745" s="40">
        <v>41114.0</v>
      </c>
      <c r="N2745" s="40">
        <v>41138.0</v>
      </c>
      <c r="O2745" s="15" t="s">
        <v>1554</v>
      </c>
      <c r="Q2745" s="7"/>
    </row>
    <row r="2746">
      <c r="A2746" s="39" t="s">
        <v>11864</v>
      </c>
      <c r="B2746" s="15">
        <v>1204517.0</v>
      </c>
      <c r="C2746" s="15" t="s">
        <v>11865</v>
      </c>
      <c r="D2746" s="15">
        <v>171983.0</v>
      </c>
      <c r="E2746" s="15" t="s">
        <v>1557</v>
      </c>
      <c r="F2746" s="15" t="s">
        <v>1833</v>
      </c>
      <c r="G2746" s="7">
        <v>61.167</v>
      </c>
      <c r="H2746" s="15" t="s">
        <v>3685</v>
      </c>
      <c r="I2746" s="15" t="s">
        <v>1586</v>
      </c>
      <c r="J2746" s="15" t="s">
        <v>11866</v>
      </c>
      <c r="K2746" s="15">
        <v>77.0</v>
      </c>
      <c r="L2746" s="15">
        <v>77.0</v>
      </c>
      <c r="M2746" s="40">
        <v>41104.0</v>
      </c>
      <c r="N2746" s="40">
        <v>41134.0</v>
      </c>
      <c r="O2746" s="15" t="s">
        <v>1554</v>
      </c>
      <c r="Q2746" s="7"/>
    </row>
    <row r="2747">
      <c r="A2747" s="39" t="s">
        <v>11867</v>
      </c>
      <c r="B2747" s="15">
        <v>1195163.0</v>
      </c>
      <c r="C2747" s="15" t="s">
        <v>11868</v>
      </c>
      <c r="D2747" s="15">
        <v>172456.0</v>
      </c>
      <c r="E2747" s="15" t="s">
        <v>1548</v>
      </c>
      <c r="F2747" s="15" t="s">
        <v>1926</v>
      </c>
      <c r="G2747" s="7">
        <v>8.206</v>
      </c>
      <c r="H2747" s="15" t="s">
        <v>11869</v>
      </c>
      <c r="I2747" s="15" t="s">
        <v>1628</v>
      </c>
      <c r="J2747" s="15" t="s">
        <v>11870</v>
      </c>
      <c r="K2747" s="15">
        <v>4.0</v>
      </c>
      <c r="L2747" s="15">
        <v>4.0</v>
      </c>
      <c r="M2747" s="40">
        <v>41121.0</v>
      </c>
      <c r="N2747" s="40">
        <v>41740.0</v>
      </c>
      <c r="O2747" s="15" t="s">
        <v>1554</v>
      </c>
      <c r="Q2747" s="7"/>
    </row>
    <row r="2748">
      <c r="A2748" s="39" t="s">
        <v>11871</v>
      </c>
      <c r="B2748" s="15">
        <v>1211480.0</v>
      </c>
      <c r="C2748" s="15" t="s">
        <v>11872</v>
      </c>
      <c r="D2748" s="15">
        <v>172457.0</v>
      </c>
      <c r="E2748" s="15" t="s">
        <v>1548</v>
      </c>
      <c r="F2748" s="15" t="s">
        <v>1890</v>
      </c>
      <c r="G2748" s="7">
        <v>13.467</v>
      </c>
      <c r="H2748" s="15" t="s">
        <v>2141</v>
      </c>
      <c r="I2748" s="15" t="s">
        <v>2034</v>
      </c>
      <c r="J2748" s="15" t="s">
        <v>11873</v>
      </c>
      <c r="K2748" s="15">
        <v>6.0</v>
      </c>
      <c r="L2748" s="15">
        <v>6.0</v>
      </c>
      <c r="M2748" s="40">
        <v>41129.0</v>
      </c>
      <c r="N2748" s="40">
        <v>41472.0</v>
      </c>
      <c r="O2748" s="15" t="s">
        <v>1554</v>
      </c>
      <c r="Q2748" s="7"/>
    </row>
    <row r="2749">
      <c r="A2749" s="39" t="s">
        <v>11874</v>
      </c>
      <c r="B2749" s="15">
        <v>1214230.0</v>
      </c>
      <c r="C2749" s="15" t="s">
        <v>11875</v>
      </c>
      <c r="D2749" s="15">
        <v>172458.0</v>
      </c>
      <c r="E2749" s="15" t="s">
        <v>1548</v>
      </c>
      <c r="F2749" s="15" t="s">
        <v>1776</v>
      </c>
      <c r="G2749" s="7">
        <v>8.496</v>
      </c>
      <c r="H2749" s="15" t="s">
        <v>5382</v>
      </c>
      <c r="I2749" s="15" t="s">
        <v>1686</v>
      </c>
      <c r="J2749" s="15" t="s">
        <v>11876</v>
      </c>
      <c r="K2749" s="15">
        <v>1.0</v>
      </c>
      <c r="L2749" s="15">
        <v>1.0</v>
      </c>
      <c r="M2749" s="40">
        <v>41122.0</v>
      </c>
      <c r="N2749" s="41">
        <v>41228.0</v>
      </c>
      <c r="O2749" s="15" t="s">
        <v>1554</v>
      </c>
      <c r="Q2749" s="7"/>
    </row>
    <row r="2750">
      <c r="A2750" s="39" t="s">
        <v>11877</v>
      </c>
      <c r="B2750" s="15">
        <v>1214955.0</v>
      </c>
      <c r="C2750" s="15" t="s">
        <v>11878</v>
      </c>
      <c r="D2750" s="15">
        <v>172459.0</v>
      </c>
      <c r="E2750" s="15" t="s">
        <v>1808</v>
      </c>
      <c r="F2750" s="15" t="s">
        <v>1998</v>
      </c>
      <c r="G2750" s="7">
        <v>2.034</v>
      </c>
      <c r="H2750" s="15" t="s">
        <v>1772</v>
      </c>
      <c r="I2750" s="15" t="s">
        <v>1686</v>
      </c>
      <c r="J2750" s="15" t="s">
        <v>11879</v>
      </c>
      <c r="K2750" s="15">
        <v>2.0</v>
      </c>
      <c r="L2750" s="15">
        <v>2.0</v>
      </c>
      <c r="M2750" s="40">
        <v>41122.0</v>
      </c>
      <c r="N2750" s="40">
        <v>41214.0</v>
      </c>
      <c r="O2750" s="15" t="s">
        <v>1554</v>
      </c>
      <c r="Q2750" s="7"/>
    </row>
    <row r="2751">
      <c r="A2751" s="39" t="s">
        <v>11880</v>
      </c>
      <c r="B2751" s="15">
        <v>1217821.0</v>
      </c>
      <c r="C2751" s="15" t="s">
        <v>11881</v>
      </c>
      <c r="D2751" s="15">
        <v>172461.0</v>
      </c>
      <c r="E2751" s="15" t="s">
        <v>1808</v>
      </c>
      <c r="F2751" s="15" t="s">
        <v>2436</v>
      </c>
      <c r="G2751" s="7">
        <v>5.012</v>
      </c>
      <c r="H2751" s="15" t="s">
        <v>2233</v>
      </c>
      <c r="I2751" s="15" t="s">
        <v>1560</v>
      </c>
      <c r="J2751" s="15" t="s">
        <v>11882</v>
      </c>
      <c r="K2751" s="15">
        <v>3.0</v>
      </c>
      <c r="L2751" s="15">
        <v>3.0</v>
      </c>
      <c r="M2751" s="40">
        <v>41129.0</v>
      </c>
      <c r="N2751" s="40">
        <v>41134.0</v>
      </c>
      <c r="O2751" s="15" t="s">
        <v>1554</v>
      </c>
      <c r="Q2751" s="7"/>
    </row>
    <row r="2752">
      <c r="A2752" s="39" t="s">
        <v>11884</v>
      </c>
      <c r="B2752" s="15">
        <v>223769.0</v>
      </c>
      <c r="C2752" s="15" t="s">
        <v>11885</v>
      </c>
      <c r="D2752" s="15">
        <v>172462.0</v>
      </c>
      <c r="E2752" s="15" t="s">
        <v>1548</v>
      </c>
      <c r="F2752" s="15" t="s">
        <v>1626</v>
      </c>
      <c r="G2752" s="7">
        <v>11.895</v>
      </c>
      <c r="H2752" s="15" t="s">
        <v>11886</v>
      </c>
      <c r="I2752" s="15" t="s">
        <v>1628</v>
      </c>
      <c r="J2752" s="15" t="s">
        <v>11887</v>
      </c>
      <c r="K2752" s="15">
        <v>2.0</v>
      </c>
      <c r="L2752" s="15">
        <v>2.0</v>
      </c>
      <c r="M2752" s="40">
        <v>38139.0</v>
      </c>
      <c r="N2752" s="40">
        <v>41134.0</v>
      </c>
      <c r="O2752" s="15" t="s">
        <v>1554</v>
      </c>
      <c r="Q2752" s="7"/>
    </row>
    <row r="2753">
      <c r="A2753" s="39" t="s">
        <v>11888</v>
      </c>
      <c r="B2753" s="15">
        <v>1136535.0</v>
      </c>
      <c r="C2753" s="15" t="s">
        <v>11889</v>
      </c>
      <c r="D2753" s="15">
        <v>173047.0</v>
      </c>
      <c r="E2753" s="15" t="s">
        <v>1557</v>
      </c>
      <c r="F2753" s="15" t="s">
        <v>1611</v>
      </c>
      <c r="G2753" s="7">
        <v>61.847</v>
      </c>
      <c r="H2753" s="15" t="s">
        <v>6204</v>
      </c>
      <c r="I2753" s="15" t="s">
        <v>1586</v>
      </c>
      <c r="J2753" s="15" t="s">
        <v>11890</v>
      </c>
      <c r="K2753" s="15">
        <v>74.0</v>
      </c>
      <c r="L2753" s="15">
        <v>73.0</v>
      </c>
      <c r="M2753" s="40">
        <v>41128.0</v>
      </c>
      <c r="N2753" s="40">
        <v>41141.0</v>
      </c>
      <c r="O2753" s="15" t="s">
        <v>1554</v>
      </c>
      <c r="Q2753" s="7"/>
    </row>
    <row r="2754">
      <c r="A2754" s="39" t="s">
        <v>11891</v>
      </c>
      <c r="B2754" s="15">
        <v>1307958.0</v>
      </c>
      <c r="C2754" s="15" t="s">
        <v>11892</v>
      </c>
      <c r="D2754" s="15">
        <v>173048.0</v>
      </c>
      <c r="E2754" s="15" t="s">
        <v>1548</v>
      </c>
      <c r="F2754" s="15" t="s">
        <v>1786</v>
      </c>
      <c r="G2754" s="7">
        <v>8.857</v>
      </c>
      <c r="H2754" s="15" t="s">
        <v>2320</v>
      </c>
      <c r="I2754" s="15" t="s">
        <v>1628</v>
      </c>
      <c r="J2754" s="15" t="s">
        <v>11893</v>
      </c>
      <c r="K2754" s="15">
        <v>5.0</v>
      </c>
      <c r="L2754" s="15">
        <v>5.0</v>
      </c>
      <c r="M2754" s="40">
        <v>41136.0</v>
      </c>
      <c r="N2754" s="40">
        <v>41141.0</v>
      </c>
      <c r="O2754" s="15" t="s">
        <v>1554</v>
      </c>
      <c r="Q2754" s="7"/>
    </row>
    <row r="2755">
      <c r="A2755" s="39" t="s">
        <v>11895</v>
      </c>
      <c r="B2755" s="15">
        <v>1221208.0</v>
      </c>
      <c r="C2755" s="15" t="s">
        <v>11896</v>
      </c>
      <c r="D2755" s="15">
        <v>173049.0</v>
      </c>
      <c r="E2755" s="15" t="s">
        <v>1808</v>
      </c>
      <c r="F2755" s="15" t="s">
        <v>2436</v>
      </c>
      <c r="G2755" s="7">
        <v>5.053</v>
      </c>
      <c r="H2755" s="15" t="s">
        <v>2375</v>
      </c>
      <c r="I2755" s="15" t="s">
        <v>1560</v>
      </c>
      <c r="J2755" s="15" t="s">
        <v>11897</v>
      </c>
      <c r="K2755" s="15">
        <v>3.0</v>
      </c>
      <c r="L2755" s="15">
        <v>3.0</v>
      </c>
      <c r="M2755" s="40">
        <v>41136.0</v>
      </c>
      <c r="N2755" s="40">
        <v>41141.0</v>
      </c>
      <c r="O2755" s="15" t="s">
        <v>1554</v>
      </c>
      <c r="Q2755" s="7"/>
    </row>
    <row r="2756">
      <c r="A2756" s="39" t="s">
        <v>11898</v>
      </c>
      <c r="B2756" s="15">
        <v>685899.0</v>
      </c>
      <c r="C2756" s="15" t="s">
        <v>11899</v>
      </c>
      <c r="D2756" s="15">
        <v>173050.0</v>
      </c>
      <c r="E2756" s="15" t="s">
        <v>1548</v>
      </c>
      <c r="F2756" s="15" t="s">
        <v>1578</v>
      </c>
      <c r="G2756" s="7">
        <v>4.145</v>
      </c>
      <c r="H2756" s="15" t="s">
        <v>2981</v>
      </c>
      <c r="I2756" s="15" t="s">
        <v>1628</v>
      </c>
      <c r="J2756" s="15" t="s">
        <v>11901</v>
      </c>
      <c r="K2756" s="15">
        <v>5.0</v>
      </c>
      <c r="L2756" s="15">
        <v>5.0</v>
      </c>
      <c r="M2756" s="40">
        <v>41135.0</v>
      </c>
      <c r="N2756" s="41">
        <v>41627.0</v>
      </c>
      <c r="O2756" s="15" t="s">
        <v>1554</v>
      </c>
      <c r="Q2756" s="7"/>
    </row>
    <row r="2757">
      <c r="A2757" s="39" t="s">
        <v>11902</v>
      </c>
      <c r="B2757" s="15">
        <v>857288.0</v>
      </c>
      <c r="C2757" s="15" t="s">
        <v>11903</v>
      </c>
      <c r="D2757" s="15">
        <v>173051.0</v>
      </c>
      <c r="E2757" s="15" t="s">
        <v>2014</v>
      </c>
      <c r="F2757" s="15" t="s">
        <v>1578</v>
      </c>
      <c r="G2757" s="7">
        <v>0.301</v>
      </c>
      <c r="H2757" s="15" t="s">
        <v>4215</v>
      </c>
      <c r="I2757" s="15" t="s">
        <v>1628</v>
      </c>
      <c r="J2757" s="15" t="s">
        <v>11904</v>
      </c>
      <c r="K2757" s="15" t="s">
        <v>1722</v>
      </c>
      <c r="L2757" s="15" t="s">
        <v>1722</v>
      </c>
      <c r="M2757" s="40">
        <v>41122.0</v>
      </c>
      <c r="N2757" s="40">
        <v>41141.0</v>
      </c>
      <c r="O2757" s="15" t="s">
        <v>1554</v>
      </c>
      <c r="Q2757" s="7"/>
    </row>
    <row r="2758">
      <c r="A2758" s="39" t="s">
        <v>11906</v>
      </c>
      <c r="B2758" s="15">
        <v>1168280.0</v>
      </c>
      <c r="C2758" s="15" t="s">
        <v>11907</v>
      </c>
      <c r="D2758" s="15">
        <v>173212.0</v>
      </c>
      <c r="E2758" s="15" t="s">
        <v>1557</v>
      </c>
      <c r="F2758" s="15" t="s">
        <v>1833</v>
      </c>
      <c r="G2758" s="7">
        <v>39.974</v>
      </c>
      <c r="H2758" s="15" t="s">
        <v>1957</v>
      </c>
      <c r="I2758" s="15" t="s">
        <v>1586</v>
      </c>
      <c r="J2758" s="15" t="s">
        <v>11908</v>
      </c>
      <c r="K2758" s="15">
        <v>52.0</v>
      </c>
      <c r="L2758" s="15">
        <v>52.0</v>
      </c>
      <c r="M2758" s="40">
        <v>41094.0</v>
      </c>
      <c r="N2758" s="40">
        <v>41142.0</v>
      </c>
      <c r="O2758" s="15" t="s">
        <v>1554</v>
      </c>
      <c r="Q2758" s="7"/>
    </row>
    <row r="2759">
      <c r="A2759" s="39" t="s">
        <v>11909</v>
      </c>
      <c r="B2759" s="15">
        <v>1218727.0</v>
      </c>
      <c r="C2759" s="15" t="s">
        <v>11911</v>
      </c>
      <c r="D2759" s="15">
        <v>173213.0</v>
      </c>
      <c r="E2759" s="15" t="s">
        <v>1808</v>
      </c>
      <c r="F2759" s="15" t="s">
        <v>1809</v>
      </c>
      <c r="G2759" s="7">
        <v>2.771</v>
      </c>
      <c r="H2759" s="15" t="s">
        <v>1559</v>
      </c>
      <c r="I2759" s="15" t="s">
        <v>1628</v>
      </c>
      <c r="J2759" s="15" t="s">
        <v>11912</v>
      </c>
      <c r="K2759" s="15">
        <v>2.0</v>
      </c>
      <c r="L2759" s="15">
        <v>2.0</v>
      </c>
      <c r="M2759" s="40">
        <v>41134.0</v>
      </c>
      <c r="N2759" s="40">
        <v>41142.0</v>
      </c>
      <c r="O2759" s="15" t="s">
        <v>1554</v>
      </c>
      <c r="Q2759" s="7"/>
    </row>
    <row r="2760">
      <c r="A2760" s="39" t="s">
        <v>11913</v>
      </c>
      <c r="B2760" s="15">
        <v>1221206.0</v>
      </c>
      <c r="C2760" s="15" t="s">
        <v>11914</v>
      </c>
      <c r="D2760" s="15">
        <v>173351.0</v>
      </c>
      <c r="E2760" s="15" t="s">
        <v>1808</v>
      </c>
      <c r="F2760" s="15" t="s">
        <v>1809</v>
      </c>
      <c r="G2760" s="7">
        <v>5.208</v>
      </c>
      <c r="H2760" s="15" t="s">
        <v>11915</v>
      </c>
      <c r="I2760" s="15" t="s">
        <v>1628</v>
      </c>
      <c r="J2760" s="15" t="s">
        <v>11917</v>
      </c>
      <c r="K2760" s="15">
        <v>6.0</v>
      </c>
      <c r="L2760" s="15">
        <v>6.0</v>
      </c>
      <c r="M2760" s="40">
        <v>41140.0</v>
      </c>
      <c r="N2760" s="41">
        <v>42297.0</v>
      </c>
      <c r="O2760" s="15" t="s">
        <v>1554</v>
      </c>
      <c r="Q2760" s="7"/>
    </row>
    <row r="2761">
      <c r="A2761" s="39" t="s">
        <v>11918</v>
      </c>
      <c r="B2761" s="15">
        <v>1221437.0</v>
      </c>
      <c r="C2761" s="15" t="s">
        <v>11919</v>
      </c>
      <c r="D2761" s="15">
        <v>173352.0</v>
      </c>
      <c r="E2761" s="15" t="s">
        <v>1548</v>
      </c>
      <c r="F2761" s="15" t="s">
        <v>1786</v>
      </c>
      <c r="G2761" s="7">
        <v>7.551</v>
      </c>
      <c r="H2761" s="15" t="s">
        <v>2484</v>
      </c>
      <c r="I2761" s="15" t="s">
        <v>1628</v>
      </c>
      <c r="J2761" s="15" t="s">
        <v>11920</v>
      </c>
      <c r="K2761" s="15">
        <v>5.0</v>
      </c>
      <c r="L2761" s="15">
        <v>5.0</v>
      </c>
      <c r="M2761" s="40">
        <v>41142.0</v>
      </c>
      <c r="N2761" s="40">
        <v>41142.0</v>
      </c>
      <c r="O2761" s="15" t="s">
        <v>1554</v>
      </c>
      <c r="Q2761" s="7"/>
    </row>
    <row r="2762">
      <c r="A2762" s="39" t="s">
        <v>11922</v>
      </c>
      <c r="B2762" s="15">
        <v>1223561.0</v>
      </c>
      <c r="C2762" s="15" t="s">
        <v>11923</v>
      </c>
      <c r="D2762" s="15">
        <v>173353.0</v>
      </c>
      <c r="E2762" s="15" t="s">
        <v>1548</v>
      </c>
      <c r="F2762" s="15" t="s">
        <v>1838</v>
      </c>
      <c r="G2762" s="7">
        <v>10.18</v>
      </c>
      <c r="H2762" s="15" t="s">
        <v>11924</v>
      </c>
      <c r="I2762" s="15" t="s">
        <v>1567</v>
      </c>
      <c r="J2762" s="15" t="s">
        <v>11925</v>
      </c>
      <c r="K2762" s="15">
        <v>4.0</v>
      </c>
      <c r="L2762" s="15">
        <v>4.0</v>
      </c>
      <c r="M2762" s="40">
        <v>41142.0</v>
      </c>
      <c r="N2762" s="40">
        <v>41187.0</v>
      </c>
      <c r="O2762" s="15" t="s">
        <v>1554</v>
      </c>
      <c r="Q2762" s="7"/>
    </row>
    <row r="2763">
      <c r="A2763" s="39" t="s">
        <v>11926</v>
      </c>
      <c r="B2763" s="15">
        <v>1223562.0</v>
      </c>
      <c r="C2763" s="15" t="s">
        <v>11928</v>
      </c>
      <c r="D2763" s="15">
        <v>173354.0</v>
      </c>
      <c r="E2763" s="15" t="s">
        <v>1548</v>
      </c>
      <c r="F2763" s="15" t="s">
        <v>1838</v>
      </c>
      <c r="G2763" s="7">
        <v>10.404</v>
      </c>
      <c r="H2763" s="15" t="s">
        <v>11929</v>
      </c>
      <c r="I2763" s="15" t="s">
        <v>1567</v>
      </c>
      <c r="J2763" s="15" t="s">
        <v>11930</v>
      </c>
      <c r="K2763" s="15">
        <v>4.0</v>
      </c>
      <c r="L2763" s="15">
        <v>4.0</v>
      </c>
      <c r="M2763" s="40">
        <v>41142.0</v>
      </c>
      <c r="N2763" s="40">
        <v>41187.0</v>
      </c>
      <c r="O2763" s="15" t="s">
        <v>1554</v>
      </c>
      <c r="Q2763" s="7"/>
    </row>
    <row r="2764">
      <c r="A2764" s="39" t="s">
        <v>11931</v>
      </c>
      <c r="B2764" s="15">
        <v>128818.0</v>
      </c>
      <c r="C2764" s="15" t="s">
        <v>11932</v>
      </c>
      <c r="D2764" s="15">
        <v>173355.0</v>
      </c>
      <c r="E2764" s="15" t="s">
        <v>1548</v>
      </c>
      <c r="F2764" s="15" t="s">
        <v>1911</v>
      </c>
      <c r="G2764" s="7">
        <v>8.224</v>
      </c>
      <c r="H2764" s="15" t="s">
        <v>1591</v>
      </c>
      <c r="I2764" s="15" t="s">
        <v>1628</v>
      </c>
      <c r="J2764" s="15" t="s">
        <v>11933</v>
      </c>
      <c r="K2764" s="15">
        <v>10.0</v>
      </c>
      <c r="L2764" s="15">
        <v>1.0</v>
      </c>
      <c r="M2764" s="40">
        <v>41138.0</v>
      </c>
      <c r="N2764" s="41">
        <v>41243.0</v>
      </c>
      <c r="O2764" s="15" t="s">
        <v>1554</v>
      </c>
      <c r="Q2764" s="7"/>
    </row>
    <row r="2765">
      <c r="A2765" s="39" t="s">
        <v>11935</v>
      </c>
      <c r="B2765" s="15">
        <v>159141.0</v>
      </c>
      <c r="C2765" s="15" t="s">
        <v>11936</v>
      </c>
      <c r="D2765" s="15">
        <v>173356.0</v>
      </c>
      <c r="E2765" s="15" t="s">
        <v>1548</v>
      </c>
      <c r="F2765" s="15" t="s">
        <v>5290</v>
      </c>
      <c r="G2765" s="7">
        <v>12.034</v>
      </c>
      <c r="H2765" s="15" t="s">
        <v>11937</v>
      </c>
      <c r="I2765" s="15" t="s">
        <v>1803</v>
      </c>
      <c r="J2765" s="15" t="s">
        <v>11938</v>
      </c>
      <c r="K2765" s="15">
        <v>4.0</v>
      </c>
      <c r="L2765" s="15">
        <v>4.0</v>
      </c>
      <c r="M2765" s="40">
        <v>41141.0</v>
      </c>
      <c r="N2765" s="40">
        <v>41584.0</v>
      </c>
      <c r="O2765" s="15" t="s">
        <v>1554</v>
      </c>
      <c r="Q2765" s="7"/>
    </row>
    <row r="2766">
      <c r="A2766" s="39" t="s">
        <v>11939</v>
      </c>
      <c r="B2766" s="15">
        <v>11582.0</v>
      </c>
      <c r="C2766" s="15" t="s">
        <v>11940</v>
      </c>
      <c r="D2766" s="15">
        <v>173357.0</v>
      </c>
      <c r="E2766" s="15" t="s">
        <v>1548</v>
      </c>
      <c r="F2766" s="15" t="s">
        <v>5290</v>
      </c>
      <c r="G2766" s="7">
        <v>12.135</v>
      </c>
      <c r="H2766" s="15" t="s">
        <v>11941</v>
      </c>
      <c r="I2766" s="15" t="s">
        <v>1803</v>
      </c>
      <c r="J2766" s="15" t="s">
        <v>11942</v>
      </c>
      <c r="K2766" s="15">
        <v>4.0</v>
      </c>
      <c r="L2766" s="15">
        <v>4.0</v>
      </c>
      <c r="M2766" s="40">
        <v>41141.0</v>
      </c>
      <c r="N2766" s="40">
        <v>41584.0</v>
      </c>
      <c r="O2766" s="15" t="s">
        <v>1554</v>
      </c>
      <c r="Q2766" s="7"/>
    </row>
    <row r="2767">
      <c r="A2767" s="39" t="s">
        <v>11943</v>
      </c>
      <c r="B2767" s="15">
        <v>159150.0</v>
      </c>
      <c r="C2767" s="15" t="s">
        <v>11944</v>
      </c>
      <c r="D2767" s="15">
        <v>173358.0</v>
      </c>
      <c r="E2767" s="15" t="s">
        <v>1548</v>
      </c>
      <c r="F2767" s="15" t="s">
        <v>5290</v>
      </c>
      <c r="G2767" s="7">
        <v>12.104</v>
      </c>
      <c r="H2767" s="15" t="s">
        <v>11946</v>
      </c>
      <c r="I2767" s="15" t="s">
        <v>1803</v>
      </c>
      <c r="J2767" s="15" t="s">
        <v>11947</v>
      </c>
      <c r="K2767" s="15">
        <v>4.0</v>
      </c>
      <c r="L2767" s="15">
        <v>4.0</v>
      </c>
      <c r="M2767" s="40">
        <v>41141.0</v>
      </c>
      <c r="N2767" s="40">
        <v>41584.0</v>
      </c>
      <c r="O2767" s="15" t="s">
        <v>1554</v>
      </c>
      <c r="Q2767" s="7"/>
    </row>
    <row r="2768">
      <c r="A2768" s="39" t="s">
        <v>11948</v>
      </c>
      <c r="B2768" s="15">
        <v>35306.0</v>
      </c>
      <c r="C2768" s="15" t="s">
        <v>11949</v>
      </c>
      <c r="D2768" s="15">
        <v>173359.0</v>
      </c>
      <c r="E2768" s="15" t="s">
        <v>1548</v>
      </c>
      <c r="F2768" s="15" t="s">
        <v>5290</v>
      </c>
      <c r="G2768" s="7">
        <v>12.172</v>
      </c>
      <c r="H2768" s="15" t="s">
        <v>11950</v>
      </c>
      <c r="I2768" s="15" t="s">
        <v>1803</v>
      </c>
      <c r="J2768" s="15" t="s">
        <v>11951</v>
      </c>
      <c r="K2768" s="15">
        <v>4.0</v>
      </c>
      <c r="L2768" s="15">
        <v>4.0</v>
      </c>
      <c r="M2768" s="40">
        <v>41141.0</v>
      </c>
      <c r="N2768" s="40">
        <v>41584.0</v>
      </c>
      <c r="O2768" s="15" t="s">
        <v>1554</v>
      </c>
      <c r="Q2768" s="7"/>
    </row>
    <row r="2769">
      <c r="A2769" s="39" t="s">
        <v>11952</v>
      </c>
      <c r="B2769" s="15">
        <v>1221449.0</v>
      </c>
      <c r="C2769" s="15" t="s">
        <v>11953</v>
      </c>
      <c r="D2769" s="15">
        <v>173861.0</v>
      </c>
      <c r="E2769" s="15" t="s">
        <v>1916</v>
      </c>
      <c r="F2769" s="15" t="s">
        <v>1917</v>
      </c>
      <c r="G2769" s="7">
        <v>7.757</v>
      </c>
      <c r="H2769" s="15" t="s">
        <v>4595</v>
      </c>
      <c r="I2769" s="15" t="s">
        <v>1628</v>
      </c>
      <c r="J2769" s="15" t="s">
        <v>11954</v>
      </c>
      <c r="K2769" s="15">
        <v>6.0</v>
      </c>
      <c r="L2769" s="15">
        <v>6.0</v>
      </c>
      <c r="M2769" s="40">
        <v>41142.0</v>
      </c>
      <c r="N2769" s="40">
        <v>41149.0</v>
      </c>
      <c r="O2769" s="15" t="s">
        <v>1554</v>
      </c>
      <c r="Q2769" s="7"/>
    </row>
    <row r="2770">
      <c r="A2770" s="39" t="s">
        <v>11955</v>
      </c>
      <c r="B2770" s="15">
        <v>1223302.0</v>
      </c>
      <c r="C2770" s="15" t="s">
        <v>11956</v>
      </c>
      <c r="D2770" s="15">
        <v>173862.0</v>
      </c>
      <c r="E2770" s="15" t="s">
        <v>1548</v>
      </c>
      <c r="F2770" s="15" t="s">
        <v>1776</v>
      </c>
      <c r="G2770" s="7">
        <v>43228.0</v>
      </c>
      <c r="H2770" s="15">
        <v>44.0</v>
      </c>
      <c r="I2770" s="15" t="s">
        <v>1686</v>
      </c>
      <c r="J2770" s="15" t="s">
        <v>11957</v>
      </c>
      <c r="K2770" s="15">
        <v>1.0</v>
      </c>
      <c r="L2770" s="15">
        <v>1.0</v>
      </c>
      <c r="M2770" s="40">
        <v>41143.0</v>
      </c>
      <c r="N2770" s="40">
        <v>41696.0</v>
      </c>
      <c r="O2770" s="15" t="s">
        <v>1554</v>
      </c>
      <c r="Q2770" s="7"/>
    </row>
    <row r="2771">
      <c r="A2771" s="39" t="s">
        <v>11959</v>
      </c>
      <c r="B2771" s="15">
        <v>307461.0</v>
      </c>
      <c r="C2771" s="15" t="s">
        <v>11960</v>
      </c>
      <c r="D2771" s="15">
        <v>173863.0</v>
      </c>
      <c r="E2771" s="15" t="s">
        <v>1557</v>
      </c>
      <c r="F2771" s="15" t="s">
        <v>1992</v>
      </c>
      <c r="G2771" s="7">
        <v>123.876</v>
      </c>
      <c r="H2771" s="15" t="s">
        <v>2207</v>
      </c>
      <c r="I2771" s="15" t="s">
        <v>1560</v>
      </c>
      <c r="J2771" s="15" t="s">
        <v>11961</v>
      </c>
      <c r="K2771" s="15">
        <v>117.0</v>
      </c>
      <c r="L2771" s="15">
        <v>117.0</v>
      </c>
      <c r="M2771" s="40">
        <v>40330.0</v>
      </c>
      <c r="N2771" s="40">
        <v>41149.0</v>
      </c>
      <c r="O2771" s="15" t="s">
        <v>1554</v>
      </c>
      <c r="Q2771" s="7"/>
    </row>
    <row r="2772">
      <c r="A2772" s="39" t="s">
        <v>11962</v>
      </c>
      <c r="B2772" s="15">
        <v>1206566.0</v>
      </c>
      <c r="C2772" s="15" t="s">
        <v>11963</v>
      </c>
      <c r="D2772" s="15">
        <v>173920.0</v>
      </c>
      <c r="E2772" s="15" t="s">
        <v>1548</v>
      </c>
      <c r="F2772" s="15" t="s">
        <v>1790</v>
      </c>
      <c r="G2772" s="7">
        <v>17.798</v>
      </c>
      <c r="H2772" s="15" t="s">
        <v>8889</v>
      </c>
      <c r="I2772" s="15" t="s">
        <v>1628</v>
      </c>
      <c r="J2772" s="15" t="s">
        <v>11964</v>
      </c>
      <c r="K2772" s="15">
        <v>10.0</v>
      </c>
      <c r="L2772" s="15">
        <v>10.0</v>
      </c>
      <c r="M2772" s="40">
        <v>41145.0</v>
      </c>
      <c r="N2772" s="40">
        <v>41366.0</v>
      </c>
      <c r="O2772" s="15" t="s">
        <v>1554</v>
      </c>
      <c r="Q2772" s="7"/>
    </row>
    <row r="2773">
      <c r="A2773" s="39" t="s">
        <v>11966</v>
      </c>
      <c r="B2773" s="15">
        <v>1072672.0</v>
      </c>
      <c r="C2773" s="15" t="s">
        <v>11967</v>
      </c>
      <c r="D2773" s="15">
        <v>174510.0</v>
      </c>
      <c r="E2773" s="15" t="s">
        <v>1808</v>
      </c>
      <c r="F2773" s="15" t="s">
        <v>1809</v>
      </c>
      <c r="G2773" s="7">
        <v>2.816</v>
      </c>
      <c r="H2773" s="15" t="s">
        <v>4821</v>
      </c>
      <c r="I2773" s="15" t="s">
        <v>1628</v>
      </c>
      <c r="J2773" s="15" t="s">
        <v>11968</v>
      </c>
      <c r="K2773" s="15">
        <v>4.0</v>
      </c>
      <c r="L2773" s="15">
        <v>4.0</v>
      </c>
      <c r="M2773" s="40">
        <v>40760.0</v>
      </c>
      <c r="N2773" s="40">
        <v>41162.0</v>
      </c>
      <c r="O2773" s="15" t="s">
        <v>1554</v>
      </c>
      <c r="Q2773" s="7"/>
    </row>
    <row r="2774">
      <c r="A2774" s="39" t="s">
        <v>11969</v>
      </c>
      <c r="B2774" s="15">
        <v>1027947.0</v>
      </c>
      <c r="C2774" s="15" t="s">
        <v>11970</v>
      </c>
      <c r="D2774" s="15">
        <v>174773.0</v>
      </c>
      <c r="E2774" s="15" t="s">
        <v>1548</v>
      </c>
      <c r="F2774" s="15" t="s">
        <v>2788</v>
      </c>
      <c r="G2774" s="7">
        <v>10.303</v>
      </c>
      <c r="H2774" s="15" t="s">
        <v>2524</v>
      </c>
      <c r="I2774" s="15" t="s">
        <v>1560</v>
      </c>
      <c r="J2774" s="15" t="s">
        <v>11971</v>
      </c>
      <c r="K2774" s="15">
        <v>2.0</v>
      </c>
      <c r="L2774" s="15">
        <v>2.0</v>
      </c>
      <c r="M2774" s="40">
        <v>41153.0</v>
      </c>
      <c r="N2774" s="40">
        <v>42895.0</v>
      </c>
      <c r="O2774" s="15" t="s">
        <v>1554</v>
      </c>
      <c r="Q2774" s="7"/>
    </row>
    <row r="2775">
      <c r="A2775" s="39" t="s">
        <v>11972</v>
      </c>
      <c r="B2775" s="15">
        <v>1104917.0</v>
      </c>
      <c r="C2775" s="15" t="s">
        <v>11974</v>
      </c>
      <c r="D2775" s="15">
        <v>174774.0</v>
      </c>
      <c r="E2775" s="15" t="s">
        <v>1557</v>
      </c>
      <c r="F2775" s="15" t="s">
        <v>1822</v>
      </c>
      <c r="G2775" s="7">
        <v>8.344</v>
      </c>
      <c r="H2775" s="15" t="s">
        <v>6633</v>
      </c>
      <c r="I2775" s="15" t="s">
        <v>1686</v>
      </c>
      <c r="J2775" s="15" t="s">
        <v>11975</v>
      </c>
      <c r="K2775" s="15">
        <v>7.0</v>
      </c>
      <c r="L2775" s="15">
        <v>7.0</v>
      </c>
      <c r="M2775" s="40">
        <v>41153.0</v>
      </c>
      <c r="N2775" s="40">
        <v>41346.0</v>
      </c>
      <c r="O2775" s="15" t="s">
        <v>1554</v>
      </c>
      <c r="Q2775" s="7"/>
    </row>
    <row r="2776">
      <c r="A2776" s="39" t="s">
        <v>11976</v>
      </c>
      <c r="B2776" s="15">
        <v>1302849.0</v>
      </c>
      <c r="C2776" s="15" t="s">
        <v>11977</v>
      </c>
      <c r="D2776" s="15">
        <v>174775.0</v>
      </c>
      <c r="E2776" s="15" t="s">
        <v>1808</v>
      </c>
      <c r="F2776" s="15" t="s">
        <v>1809</v>
      </c>
      <c r="G2776" s="7">
        <v>2.789</v>
      </c>
      <c r="H2776" s="15" t="s">
        <v>6085</v>
      </c>
      <c r="I2776" s="15" t="s">
        <v>1628</v>
      </c>
      <c r="J2776" s="15" t="s">
        <v>11979</v>
      </c>
      <c r="K2776" s="15">
        <v>4.0</v>
      </c>
      <c r="L2776" s="15">
        <v>4.0</v>
      </c>
      <c r="M2776" s="40">
        <v>41146.0</v>
      </c>
      <c r="N2776" s="40">
        <v>41214.0</v>
      </c>
      <c r="O2776" s="15" t="s">
        <v>1554</v>
      </c>
      <c r="Q2776" s="7"/>
    </row>
    <row r="2777">
      <c r="A2777" s="39" t="s">
        <v>11980</v>
      </c>
      <c r="B2777" s="15">
        <v>1302850.0</v>
      </c>
      <c r="C2777" s="15" t="s">
        <v>11981</v>
      </c>
      <c r="D2777" s="15">
        <v>174776.0</v>
      </c>
      <c r="E2777" s="15" t="s">
        <v>1808</v>
      </c>
      <c r="F2777" s="15" t="s">
        <v>1809</v>
      </c>
      <c r="G2777" s="7">
        <v>2.716</v>
      </c>
      <c r="H2777" s="15" t="s">
        <v>3304</v>
      </c>
      <c r="I2777" s="15" t="s">
        <v>1628</v>
      </c>
      <c r="J2777" s="15" t="s">
        <v>11982</v>
      </c>
      <c r="K2777" s="15">
        <v>4.0</v>
      </c>
      <c r="L2777" s="15">
        <v>4.0</v>
      </c>
      <c r="M2777" s="40">
        <v>41146.0</v>
      </c>
      <c r="N2777" s="40">
        <v>41214.0</v>
      </c>
      <c r="O2777" s="15" t="s">
        <v>1554</v>
      </c>
      <c r="Q2777" s="7"/>
    </row>
    <row r="2778">
      <c r="A2778" s="39" t="s">
        <v>11983</v>
      </c>
      <c r="B2778" s="15">
        <v>1196236.0</v>
      </c>
      <c r="C2778" s="15" t="s">
        <v>11985</v>
      </c>
      <c r="D2778" s="15">
        <v>174777.0</v>
      </c>
      <c r="E2778" s="15" t="s">
        <v>1808</v>
      </c>
      <c r="F2778" s="15" t="s">
        <v>1809</v>
      </c>
      <c r="G2778" s="7">
        <v>2.806</v>
      </c>
      <c r="H2778" s="15">
        <v>52.0</v>
      </c>
      <c r="I2778" s="15" t="s">
        <v>1628</v>
      </c>
      <c r="J2778" s="15" t="s">
        <v>11986</v>
      </c>
      <c r="K2778" s="15">
        <v>4.0</v>
      </c>
      <c r="L2778" s="15">
        <v>4.0</v>
      </c>
      <c r="M2778" s="40">
        <v>41146.0</v>
      </c>
      <c r="N2778" s="40">
        <v>41214.0</v>
      </c>
      <c r="O2778" s="15" t="s">
        <v>1554</v>
      </c>
      <c r="Q2778" s="7"/>
    </row>
    <row r="2779">
      <c r="A2779" s="39" t="s">
        <v>11987</v>
      </c>
      <c r="B2779" s="15">
        <v>1196237.0</v>
      </c>
      <c r="C2779" s="15" t="s">
        <v>11988</v>
      </c>
      <c r="D2779" s="15">
        <v>174778.0</v>
      </c>
      <c r="E2779" s="15" t="s">
        <v>1808</v>
      </c>
      <c r="F2779" s="15" t="s">
        <v>1809</v>
      </c>
      <c r="G2779" s="7">
        <v>2.816</v>
      </c>
      <c r="H2779" s="15" t="s">
        <v>2300</v>
      </c>
      <c r="I2779" s="15" t="s">
        <v>1628</v>
      </c>
      <c r="J2779" s="15" t="s">
        <v>11989</v>
      </c>
      <c r="K2779" s="15">
        <v>4.0</v>
      </c>
      <c r="L2779" s="15">
        <v>4.0</v>
      </c>
      <c r="M2779" s="40">
        <v>41146.0</v>
      </c>
      <c r="N2779" s="40">
        <v>41214.0</v>
      </c>
      <c r="O2779" s="15" t="s">
        <v>1554</v>
      </c>
      <c r="Q2779" s="7"/>
    </row>
    <row r="2780">
      <c r="A2780" s="39" t="s">
        <v>11990</v>
      </c>
      <c r="B2780" s="15">
        <v>1198147.0</v>
      </c>
      <c r="C2780" s="15" t="s">
        <v>11991</v>
      </c>
      <c r="D2780" s="15">
        <v>174779.0</v>
      </c>
      <c r="E2780" s="15" t="s">
        <v>1548</v>
      </c>
      <c r="F2780" s="15" t="s">
        <v>1911</v>
      </c>
      <c r="G2780" s="7">
        <v>9.847</v>
      </c>
      <c r="H2780" s="15" t="s">
        <v>3255</v>
      </c>
      <c r="I2780" s="15" t="s">
        <v>1628</v>
      </c>
      <c r="J2780" s="15" t="s">
        <v>11992</v>
      </c>
      <c r="K2780" s="15">
        <v>1.0</v>
      </c>
      <c r="L2780" s="15">
        <v>1.0</v>
      </c>
      <c r="M2780" s="40">
        <v>41157.0</v>
      </c>
      <c r="N2780" s="41">
        <v>41241.0</v>
      </c>
      <c r="O2780" s="15" t="s">
        <v>1554</v>
      </c>
      <c r="Q2780" s="7"/>
    </row>
    <row r="2781">
      <c r="A2781" s="39" t="s">
        <v>11994</v>
      </c>
      <c r="B2781" s="15">
        <v>1225643.0</v>
      </c>
      <c r="C2781" s="15" t="s">
        <v>11995</v>
      </c>
      <c r="D2781" s="15">
        <v>174780.0</v>
      </c>
      <c r="E2781" s="15" t="s">
        <v>2014</v>
      </c>
      <c r="F2781" s="15" t="s">
        <v>1578</v>
      </c>
      <c r="G2781" s="7">
        <v>1.358</v>
      </c>
      <c r="H2781" s="15" t="s">
        <v>2524</v>
      </c>
      <c r="I2781" s="15" t="s">
        <v>1628</v>
      </c>
      <c r="J2781" s="15" t="s">
        <v>11996</v>
      </c>
      <c r="K2781" s="15">
        <v>1.0</v>
      </c>
      <c r="L2781" s="15">
        <v>1.0</v>
      </c>
      <c r="M2781" s="40">
        <v>41156.0</v>
      </c>
      <c r="N2781" s="40">
        <v>41162.0</v>
      </c>
      <c r="O2781" s="15" t="s">
        <v>1554</v>
      </c>
      <c r="Q2781" s="7"/>
    </row>
    <row r="2782">
      <c r="A2782" s="39" t="s">
        <v>11997</v>
      </c>
      <c r="B2782" s="15">
        <v>1225644.0</v>
      </c>
      <c r="C2782" s="15" t="s">
        <v>11998</v>
      </c>
      <c r="D2782" s="15">
        <v>174781.0</v>
      </c>
      <c r="E2782" s="15" t="s">
        <v>2014</v>
      </c>
      <c r="F2782" s="15" t="s">
        <v>1578</v>
      </c>
      <c r="G2782" s="7">
        <v>1.316</v>
      </c>
      <c r="H2782" s="15" t="s">
        <v>2640</v>
      </c>
      <c r="I2782" s="15" t="s">
        <v>1628</v>
      </c>
      <c r="J2782" s="15" t="s">
        <v>12000</v>
      </c>
      <c r="K2782" s="15">
        <v>1.0</v>
      </c>
      <c r="L2782" s="15">
        <v>1.0</v>
      </c>
      <c r="M2782" s="40">
        <v>41156.0</v>
      </c>
      <c r="N2782" s="40">
        <v>41162.0</v>
      </c>
      <c r="O2782" s="15" t="s">
        <v>1554</v>
      </c>
      <c r="Q2782" s="7"/>
    </row>
    <row r="2783">
      <c r="A2783" s="39" t="s">
        <v>12001</v>
      </c>
      <c r="B2783" s="15">
        <v>646010.0</v>
      </c>
      <c r="C2783" s="15" t="s">
        <v>12002</v>
      </c>
      <c r="D2783" s="15">
        <v>174782.0</v>
      </c>
      <c r="E2783" s="15" t="s">
        <v>1548</v>
      </c>
      <c r="F2783" s="15" t="s">
        <v>1771</v>
      </c>
      <c r="G2783" s="7">
        <v>5.843</v>
      </c>
      <c r="H2783" s="15" t="s">
        <v>5475</v>
      </c>
      <c r="I2783" s="15" t="s">
        <v>1628</v>
      </c>
      <c r="J2783" s="15" t="s">
        <v>12003</v>
      </c>
      <c r="K2783" s="15">
        <v>7.0</v>
      </c>
      <c r="L2783" s="15">
        <v>7.0</v>
      </c>
      <c r="M2783" s="40">
        <v>41152.0</v>
      </c>
      <c r="N2783" s="40">
        <v>42347.0</v>
      </c>
      <c r="O2783" s="15" t="s">
        <v>1554</v>
      </c>
      <c r="Q2783" s="7"/>
    </row>
    <row r="2784">
      <c r="A2784" s="39" t="s">
        <v>12004</v>
      </c>
      <c r="B2784" s="15">
        <v>1231334.0</v>
      </c>
      <c r="C2784" s="15" t="s">
        <v>12006</v>
      </c>
      <c r="D2784" s="15">
        <v>175587.0</v>
      </c>
      <c r="E2784" s="15" t="s">
        <v>2014</v>
      </c>
      <c r="F2784" s="15" t="s">
        <v>2018</v>
      </c>
      <c r="G2784" s="7">
        <v>1.362</v>
      </c>
      <c r="H2784" s="15" t="s">
        <v>3895</v>
      </c>
      <c r="I2784" s="15" t="s">
        <v>1628</v>
      </c>
      <c r="J2784" s="15" t="s">
        <v>12007</v>
      </c>
      <c r="K2784" s="15">
        <v>1.0</v>
      </c>
      <c r="L2784" s="15">
        <v>1.0</v>
      </c>
      <c r="M2784" s="40">
        <v>41169.0</v>
      </c>
      <c r="N2784" s="40">
        <v>41428.0</v>
      </c>
      <c r="O2784" s="15" t="s">
        <v>1554</v>
      </c>
      <c r="Q2784" s="7"/>
    </row>
    <row r="2785">
      <c r="A2785" s="39" t="s">
        <v>12008</v>
      </c>
      <c r="B2785" s="15">
        <v>1231903.0</v>
      </c>
      <c r="C2785" s="15" t="s">
        <v>12009</v>
      </c>
      <c r="D2785" s="15">
        <v>175588.0</v>
      </c>
      <c r="E2785" s="15" t="s">
        <v>1548</v>
      </c>
      <c r="F2785" s="15" t="s">
        <v>3181</v>
      </c>
      <c r="G2785" s="7">
        <v>11.634</v>
      </c>
      <c r="H2785" s="15" t="s">
        <v>1957</v>
      </c>
      <c r="I2785" s="15" t="s">
        <v>1751</v>
      </c>
      <c r="J2785" s="15" t="s">
        <v>12010</v>
      </c>
      <c r="K2785" s="15">
        <v>3.0</v>
      </c>
      <c r="L2785" s="15">
        <v>3.0</v>
      </c>
      <c r="M2785" s="40">
        <v>41171.0</v>
      </c>
      <c r="N2785" s="40">
        <v>42045.0</v>
      </c>
      <c r="O2785" s="15" t="s">
        <v>1554</v>
      </c>
      <c r="Q2785" s="7"/>
    </row>
    <row r="2786">
      <c r="A2786" s="39" t="s">
        <v>12011</v>
      </c>
      <c r="B2786" s="15">
        <v>213888.0</v>
      </c>
      <c r="C2786" s="15" t="s">
        <v>12012</v>
      </c>
      <c r="D2786" s="15">
        <v>175589.0</v>
      </c>
      <c r="E2786" s="15" t="s">
        <v>1916</v>
      </c>
      <c r="F2786" s="15" t="s">
        <v>1917</v>
      </c>
      <c r="G2786" s="7">
        <v>7.916</v>
      </c>
      <c r="H2786" s="15" t="s">
        <v>2396</v>
      </c>
      <c r="I2786" s="15" t="s">
        <v>1628</v>
      </c>
      <c r="J2786" s="15" t="s">
        <v>12014</v>
      </c>
      <c r="K2786" s="15">
        <v>8.0</v>
      </c>
      <c r="L2786" s="15">
        <v>8.0</v>
      </c>
      <c r="M2786" s="40">
        <v>41171.0</v>
      </c>
      <c r="N2786" s="40">
        <v>42262.0</v>
      </c>
      <c r="O2786" s="15" t="s">
        <v>1554</v>
      </c>
      <c r="Q2786" s="7"/>
    </row>
    <row r="2787">
      <c r="A2787" s="39" t="s">
        <v>12015</v>
      </c>
      <c r="B2787" s="15">
        <v>359987.0</v>
      </c>
      <c r="C2787" s="15" t="s">
        <v>12016</v>
      </c>
      <c r="D2787" s="15">
        <v>175590.0</v>
      </c>
      <c r="E2787" s="15" t="s">
        <v>1548</v>
      </c>
      <c r="F2787" s="15" t="s">
        <v>1578</v>
      </c>
      <c r="G2787" s="7">
        <v>8.877</v>
      </c>
      <c r="H2787" s="15" t="s">
        <v>3317</v>
      </c>
      <c r="I2787" s="15" t="s">
        <v>1573</v>
      </c>
      <c r="J2787" s="15" t="s">
        <v>12017</v>
      </c>
      <c r="K2787" s="15">
        <v>2.0</v>
      </c>
      <c r="L2787" s="15">
        <v>2.0</v>
      </c>
      <c r="M2787" s="40">
        <v>38766.0</v>
      </c>
      <c r="N2787" s="40">
        <v>41172.0</v>
      </c>
      <c r="O2787" s="15" t="s">
        <v>1554</v>
      </c>
      <c r="Q2787" s="7"/>
    </row>
    <row r="2788">
      <c r="A2788" s="39" t="s">
        <v>12018</v>
      </c>
      <c r="B2788" s="15">
        <v>1167696.0</v>
      </c>
      <c r="C2788" s="15" t="s">
        <v>12019</v>
      </c>
      <c r="D2788" s="15">
        <v>175665.0</v>
      </c>
      <c r="E2788" s="15" t="s">
        <v>1548</v>
      </c>
      <c r="F2788" s="15" t="s">
        <v>1890</v>
      </c>
      <c r="G2788" s="7">
        <v>11.902</v>
      </c>
      <c r="H2788" s="15" t="s">
        <v>2223</v>
      </c>
      <c r="I2788" s="15" t="s">
        <v>1567</v>
      </c>
      <c r="J2788" s="15" t="s">
        <v>12021</v>
      </c>
      <c r="K2788" s="15">
        <v>5.0</v>
      </c>
      <c r="L2788" s="15">
        <v>5.0</v>
      </c>
      <c r="M2788" s="40">
        <v>41151.0</v>
      </c>
      <c r="N2788" s="40">
        <v>41173.0</v>
      </c>
      <c r="O2788" s="15" t="s">
        <v>1554</v>
      </c>
      <c r="Q2788" s="7"/>
    </row>
    <row r="2789">
      <c r="A2789" s="39" t="s">
        <v>12022</v>
      </c>
      <c r="B2789" s="15">
        <v>1231298.0</v>
      </c>
      <c r="C2789" s="15" t="s">
        <v>12023</v>
      </c>
      <c r="D2789" s="15">
        <v>175666.0</v>
      </c>
      <c r="E2789" s="15" t="s">
        <v>2014</v>
      </c>
      <c r="F2789" s="15" t="s">
        <v>1578</v>
      </c>
      <c r="G2789" s="7">
        <v>1.478</v>
      </c>
      <c r="H2789" s="15" t="s">
        <v>1828</v>
      </c>
      <c r="I2789" s="15" t="s">
        <v>1628</v>
      </c>
      <c r="J2789" s="15" t="s">
        <v>12024</v>
      </c>
      <c r="K2789" s="15">
        <v>1.0</v>
      </c>
      <c r="L2789" s="15">
        <v>1.0</v>
      </c>
      <c r="M2789" s="40">
        <v>41168.0</v>
      </c>
      <c r="N2789" s="40">
        <v>41496.0</v>
      </c>
      <c r="O2789" s="15" t="s">
        <v>1554</v>
      </c>
      <c r="Q2789" s="7"/>
    </row>
    <row r="2790">
      <c r="A2790" s="39" t="s">
        <v>12026</v>
      </c>
      <c r="B2790" s="15">
        <v>1141625.0</v>
      </c>
      <c r="C2790" s="15" t="s">
        <v>12027</v>
      </c>
      <c r="D2790" s="15">
        <v>176429.0</v>
      </c>
      <c r="E2790" s="15" t="s">
        <v>1548</v>
      </c>
      <c r="F2790" s="15" t="s">
        <v>1848</v>
      </c>
      <c r="G2790" s="7">
        <v>6.838</v>
      </c>
      <c r="H2790" s="15" t="s">
        <v>5199</v>
      </c>
      <c r="I2790" s="15" t="s">
        <v>1686</v>
      </c>
      <c r="J2790" s="15" t="s">
        <v>12028</v>
      </c>
      <c r="K2790" s="15">
        <v>3.0</v>
      </c>
      <c r="L2790" s="15">
        <v>3.0</v>
      </c>
      <c r="M2790" s="40">
        <v>41184.0</v>
      </c>
      <c r="N2790" s="40">
        <v>41214.0</v>
      </c>
      <c r="O2790" s="15" t="s">
        <v>1554</v>
      </c>
      <c r="Q2790" s="7"/>
    </row>
    <row r="2791">
      <c r="A2791" s="39" t="s">
        <v>12030</v>
      </c>
      <c r="B2791" s="15">
        <v>1234171.0</v>
      </c>
      <c r="C2791" s="15" t="s">
        <v>12031</v>
      </c>
      <c r="D2791" s="15">
        <v>176433.0</v>
      </c>
      <c r="E2791" s="15" t="s">
        <v>2014</v>
      </c>
      <c r="F2791" s="15" t="s">
        <v>2018</v>
      </c>
      <c r="G2791" s="7">
        <v>0.692</v>
      </c>
      <c r="H2791" s="15" t="s">
        <v>2648</v>
      </c>
      <c r="I2791" s="15" t="s">
        <v>1628</v>
      </c>
      <c r="J2791" s="15" t="s">
        <v>12032</v>
      </c>
      <c r="K2791" s="15" t="s">
        <v>1722</v>
      </c>
      <c r="L2791" s="15" t="s">
        <v>1722</v>
      </c>
      <c r="M2791" s="40">
        <v>41178.0</v>
      </c>
      <c r="N2791" s="40">
        <v>41184.0</v>
      </c>
      <c r="O2791" s="15" t="s">
        <v>1554</v>
      </c>
      <c r="Q2791" s="7"/>
    </row>
    <row r="2792">
      <c r="A2792" s="39" t="s">
        <v>12033</v>
      </c>
      <c r="B2792" s="15">
        <v>1236047.0</v>
      </c>
      <c r="C2792" s="15" t="s">
        <v>12035</v>
      </c>
      <c r="D2792" s="15">
        <v>176434.0</v>
      </c>
      <c r="E2792" s="15" t="s">
        <v>1548</v>
      </c>
      <c r="F2792" s="15" t="s">
        <v>2032</v>
      </c>
      <c r="G2792" s="7">
        <v>6.471</v>
      </c>
      <c r="H2792" s="15">
        <v>54.0</v>
      </c>
      <c r="I2792" s="15" t="s">
        <v>1628</v>
      </c>
      <c r="J2792" s="15" t="s">
        <v>12036</v>
      </c>
      <c r="K2792" s="15">
        <v>2.0</v>
      </c>
      <c r="L2792" s="15">
        <v>2.0</v>
      </c>
      <c r="M2792" s="40">
        <v>41184.0</v>
      </c>
      <c r="N2792" s="40">
        <v>41214.0</v>
      </c>
      <c r="O2792" s="15" t="s">
        <v>1554</v>
      </c>
      <c r="Q2792" s="7"/>
    </row>
    <row r="2793">
      <c r="A2793" s="39" t="s">
        <v>12037</v>
      </c>
      <c r="B2793" s="15">
        <v>64292.0</v>
      </c>
      <c r="C2793" s="15" t="s">
        <v>12038</v>
      </c>
      <c r="D2793" s="15">
        <v>176549.0</v>
      </c>
      <c r="E2793" s="15" t="s">
        <v>1548</v>
      </c>
      <c r="F2793" s="15" t="s">
        <v>1801</v>
      </c>
      <c r="G2793" s="7">
        <v>10.943</v>
      </c>
      <c r="H2793" s="15" t="s">
        <v>5382</v>
      </c>
      <c r="I2793" s="15" t="s">
        <v>1803</v>
      </c>
      <c r="J2793" s="15" t="s">
        <v>12040</v>
      </c>
      <c r="K2793" s="15">
        <v>1.0</v>
      </c>
      <c r="L2793" s="15">
        <v>1.0</v>
      </c>
      <c r="M2793" s="40">
        <v>41184.0</v>
      </c>
      <c r="N2793" s="41">
        <v>42732.0</v>
      </c>
      <c r="O2793" s="15" t="s">
        <v>1554</v>
      </c>
      <c r="Q2793" s="7"/>
    </row>
    <row r="2794">
      <c r="A2794" s="39" t="s">
        <v>12041</v>
      </c>
      <c r="B2794" s="15">
        <v>1134579.0</v>
      </c>
      <c r="C2794" s="15" t="s">
        <v>12042</v>
      </c>
      <c r="D2794" s="15">
        <v>176605.0</v>
      </c>
      <c r="E2794" s="15" t="s">
        <v>1548</v>
      </c>
      <c r="F2794" s="15" t="s">
        <v>1838</v>
      </c>
      <c r="G2794" s="7">
        <v>10.614</v>
      </c>
      <c r="H2794" s="15" t="s">
        <v>12043</v>
      </c>
      <c r="I2794" s="15" t="s">
        <v>1567</v>
      </c>
      <c r="J2794" s="15" t="s">
        <v>12044</v>
      </c>
      <c r="K2794" s="15">
        <v>4.0</v>
      </c>
      <c r="L2794" s="15">
        <v>4.0</v>
      </c>
      <c r="M2794" s="40">
        <v>41181.0</v>
      </c>
      <c r="N2794" s="40">
        <v>41188.0</v>
      </c>
      <c r="O2794" s="15" t="s">
        <v>1554</v>
      </c>
      <c r="Q2794" s="7"/>
    </row>
    <row r="2795">
      <c r="A2795" s="39" t="s">
        <v>12045</v>
      </c>
      <c r="B2795" s="15">
        <v>1211388.0</v>
      </c>
      <c r="C2795" s="15" t="s">
        <v>12046</v>
      </c>
      <c r="D2795" s="15">
        <v>176615.0</v>
      </c>
      <c r="E2795" s="15" t="s">
        <v>1548</v>
      </c>
      <c r="F2795" s="15" t="s">
        <v>1786</v>
      </c>
      <c r="G2795" s="7">
        <v>9.266</v>
      </c>
      <c r="H2795" s="15" t="s">
        <v>2005</v>
      </c>
      <c r="I2795" s="15" t="s">
        <v>1628</v>
      </c>
      <c r="J2795" s="15" t="s">
        <v>12047</v>
      </c>
      <c r="K2795" s="15">
        <v>5.0</v>
      </c>
      <c r="L2795" s="15">
        <v>5.0</v>
      </c>
      <c r="M2795" s="40">
        <v>41179.0</v>
      </c>
      <c r="N2795" s="40">
        <v>41517.0</v>
      </c>
      <c r="O2795" s="15" t="s">
        <v>1554</v>
      </c>
      <c r="Q2795" s="7"/>
    </row>
    <row r="2796">
      <c r="A2796" s="39" t="s">
        <v>12049</v>
      </c>
      <c r="B2796" s="15">
        <v>1227356.0</v>
      </c>
      <c r="C2796" s="15" t="s">
        <v>12050</v>
      </c>
      <c r="D2796" s="15">
        <v>176616.0</v>
      </c>
      <c r="E2796" s="15" t="s">
        <v>1808</v>
      </c>
      <c r="F2796" s="15" t="s">
        <v>1809</v>
      </c>
      <c r="G2796" s="7">
        <v>5.214</v>
      </c>
      <c r="H2796" s="15" t="s">
        <v>12051</v>
      </c>
      <c r="I2796" s="15" t="s">
        <v>1628</v>
      </c>
      <c r="J2796" s="15" t="s">
        <v>12052</v>
      </c>
      <c r="K2796" s="15">
        <v>7.0</v>
      </c>
      <c r="L2796" s="15">
        <v>7.0</v>
      </c>
      <c r="M2796" s="40">
        <v>41184.0</v>
      </c>
      <c r="N2796" s="41">
        <v>42297.0</v>
      </c>
      <c r="O2796" s="15" t="s">
        <v>1554</v>
      </c>
      <c r="Q2796" s="7"/>
    </row>
    <row r="2797">
      <c r="A2797" s="39" t="s">
        <v>12053</v>
      </c>
      <c r="B2797" s="15">
        <v>1227357.0</v>
      </c>
      <c r="C2797" s="15" t="s">
        <v>12054</v>
      </c>
      <c r="D2797" s="15">
        <v>176617.0</v>
      </c>
      <c r="E2797" s="15" t="s">
        <v>1808</v>
      </c>
      <c r="F2797" s="15" t="s">
        <v>1809</v>
      </c>
      <c r="G2797" s="7">
        <v>5.163</v>
      </c>
      <c r="H2797" s="15" t="s">
        <v>12055</v>
      </c>
      <c r="I2797" s="15" t="s">
        <v>1628</v>
      </c>
      <c r="J2797" s="15" t="s">
        <v>12056</v>
      </c>
      <c r="K2797" s="15">
        <v>7.0</v>
      </c>
      <c r="L2797" s="15">
        <v>7.0</v>
      </c>
      <c r="M2797" s="40">
        <v>41184.0</v>
      </c>
      <c r="N2797" s="41">
        <v>42297.0</v>
      </c>
      <c r="O2797" s="15" t="s">
        <v>1554</v>
      </c>
      <c r="Q2797" s="7"/>
    </row>
    <row r="2798">
      <c r="A2798" s="39" t="s">
        <v>12058</v>
      </c>
      <c r="B2798" s="15">
        <v>1234809.0</v>
      </c>
      <c r="C2798" s="15" t="s">
        <v>12059</v>
      </c>
      <c r="D2798" s="15">
        <v>176618.0</v>
      </c>
      <c r="E2798" s="15" t="s">
        <v>1548</v>
      </c>
      <c r="F2798" s="15" t="s">
        <v>1801</v>
      </c>
      <c r="G2798" s="7">
        <v>12.292</v>
      </c>
      <c r="H2798" s="15" t="s">
        <v>1745</v>
      </c>
      <c r="I2798" s="15" t="s">
        <v>1686</v>
      </c>
      <c r="J2798" s="15" t="s">
        <v>12060</v>
      </c>
      <c r="K2798" s="15">
        <v>1.0</v>
      </c>
      <c r="L2798" s="15">
        <v>1.0</v>
      </c>
      <c r="M2798" s="40">
        <v>41182.0</v>
      </c>
      <c r="N2798" s="40">
        <v>41186.0</v>
      </c>
      <c r="O2798" s="15" t="s">
        <v>1554</v>
      </c>
      <c r="Q2798" s="7"/>
    </row>
    <row r="2799">
      <c r="A2799" s="39" t="s">
        <v>12061</v>
      </c>
      <c r="B2799" s="15">
        <v>1126950.0</v>
      </c>
      <c r="C2799" s="15" t="s">
        <v>12062</v>
      </c>
      <c r="D2799" s="15">
        <v>177518.0</v>
      </c>
      <c r="E2799" s="15" t="s">
        <v>1557</v>
      </c>
      <c r="F2799" s="15" t="s">
        <v>1767</v>
      </c>
      <c r="G2799" s="7">
        <v>156.176</v>
      </c>
      <c r="H2799" s="15" t="s">
        <v>2320</v>
      </c>
      <c r="I2799" s="15" t="s">
        <v>1586</v>
      </c>
      <c r="J2799" s="15" t="s">
        <v>12063</v>
      </c>
      <c r="K2799" s="15">
        <v>245.0</v>
      </c>
      <c r="L2799" s="15">
        <v>227.0</v>
      </c>
      <c r="M2799" s="41">
        <v>40902.0</v>
      </c>
      <c r="N2799" s="40">
        <v>41214.0</v>
      </c>
      <c r="O2799" s="15" t="s">
        <v>1554</v>
      </c>
      <c r="Q2799" s="7"/>
    </row>
    <row r="2800">
      <c r="A2800" s="39" t="s">
        <v>12064</v>
      </c>
      <c r="B2800" s="15">
        <v>1136731.0</v>
      </c>
      <c r="C2800" s="15" t="s">
        <v>12065</v>
      </c>
      <c r="D2800" s="15">
        <v>177519.0</v>
      </c>
      <c r="E2800" s="15" t="s">
        <v>1557</v>
      </c>
      <c r="F2800" s="15" t="s">
        <v>1767</v>
      </c>
      <c r="G2800" s="7">
        <v>158.305</v>
      </c>
      <c r="H2800" s="15" t="s">
        <v>6565</v>
      </c>
      <c r="I2800" s="15" t="s">
        <v>1586</v>
      </c>
      <c r="J2800" s="15" t="s">
        <v>12067</v>
      </c>
      <c r="K2800" s="15">
        <v>268.0</v>
      </c>
      <c r="L2800" s="15">
        <v>268.0</v>
      </c>
      <c r="M2800" s="40">
        <v>41182.0</v>
      </c>
      <c r="N2800" s="40">
        <v>41214.0</v>
      </c>
      <c r="O2800" s="15" t="s">
        <v>1554</v>
      </c>
      <c r="Q2800" s="7"/>
    </row>
    <row r="2801">
      <c r="A2801" s="39" t="s">
        <v>12068</v>
      </c>
      <c r="B2801" s="15">
        <v>1141133.0</v>
      </c>
      <c r="C2801" s="15" t="s">
        <v>12069</v>
      </c>
      <c r="D2801" s="15">
        <v>177520.0</v>
      </c>
      <c r="E2801" s="15" t="s">
        <v>1557</v>
      </c>
      <c r="F2801" s="15" t="s">
        <v>1767</v>
      </c>
      <c r="G2801" s="7">
        <v>162.596</v>
      </c>
      <c r="H2801" s="15" t="s">
        <v>2396</v>
      </c>
      <c r="I2801" s="15" t="s">
        <v>1586</v>
      </c>
      <c r="J2801" s="15" t="s">
        <v>12070</v>
      </c>
      <c r="K2801" s="15">
        <v>277.0</v>
      </c>
      <c r="L2801" s="15">
        <v>277.0</v>
      </c>
      <c r="M2801" s="40">
        <v>41179.0</v>
      </c>
      <c r="N2801" s="41">
        <v>41568.0</v>
      </c>
      <c r="O2801" s="15" t="s">
        <v>1554</v>
      </c>
      <c r="Q2801" s="7"/>
    </row>
    <row r="2802">
      <c r="A2802" s="39" t="s">
        <v>12071</v>
      </c>
      <c r="B2802" s="15">
        <v>1177632.0</v>
      </c>
      <c r="C2802" s="15" t="s">
        <v>12072</v>
      </c>
      <c r="D2802" s="15">
        <v>177521.0</v>
      </c>
      <c r="E2802" s="15" t="s">
        <v>1557</v>
      </c>
      <c r="F2802" s="15" t="s">
        <v>1833</v>
      </c>
      <c r="G2802" s="7">
        <v>103.299</v>
      </c>
      <c r="H2802" s="15" t="s">
        <v>2324</v>
      </c>
      <c r="I2802" s="15" t="s">
        <v>1586</v>
      </c>
      <c r="J2802" s="15" t="s">
        <v>12073</v>
      </c>
      <c r="K2802" s="15">
        <v>131.0</v>
      </c>
      <c r="L2802" s="15">
        <v>130.0</v>
      </c>
      <c r="M2802" s="40">
        <v>41168.0</v>
      </c>
      <c r="N2802" s="40">
        <v>41214.0</v>
      </c>
      <c r="O2802" s="15" t="s">
        <v>1554</v>
      </c>
      <c r="Q2802" s="7"/>
    </row>
    <row r="2803">
      <c r="A2803" s="39" t="s">
        <v>12075</v>
      </c>
      <c r="B2803" s="15">
        <v>1204524.0</v>
      </c>
      <c r="C2803" s="15" t="s">
        <v>12076</v>
      </c>
      <c r="D2803" s="15">
        <v>177522.0</v>
      </c>
      <c r="E2803" s="15" t="s">
        <v>1557</v>
      </c>
      <c r="F2803" s="15" t="s">
        <v>1833</v>
      </c>
      <c r="G2803" s="7">
        <v>50.255</v>
      </c>
      <c r="H2803" s="15" t="s">
        <v>12077</v>
      </c>
      <c r="I2803" s="15" t="s">
        <v>1586</v>
      </c>
      <c r="J2803" s="15" t="s">
        <v>12078</v>
      </c>
      <c r="K2803" s="15">
        <v>73.0</v>
      </c>
      <c r="L2803" s="15">
        <v>72.0</v>
      </c>
      <c r="M2803" s="41">
        <v>41192.0</v>
      </c>
      <c r="N2803" s="40">
        <v>41214.0</v>
      </c>
      <c r="O2803" s="15" t="s">
        <v>1554</v>
      </c>
      <c r="Q2803" s="7"/>
    </row>
    <row r="2804">
      <c r="A2804" s="39" t="s">
        <v>12079</v>
      </c>
      <c r="B2804" s="15">
        <v>1204525.0</v>
      </c>
      <c r="C2804" s="15" t="s">
        <v>12080</v>
      </c>
      <c r="D2804" s="15">
        <v>177523.0</v>
      </c>
      <c r="E2804" s="15" t="s">
        <v>1557</v>
      </c>
      <c r="F2804" s="15" t="s">
        <v>1833</v>
      </c>
      <c r="G2804" s="7">
        <v>37.612</v>
      </c>
      <c r="H2804" s="15" t="s">
        <v>12081</v>
      </c>
      <c r="I2804" s="15" t="s">
        <v>1586</v>
      </c>
      <c r="J2804" s="15" t="s">
        <v>12082</v>
      </c>
      <c r="K2804" s="15">
        <v>55.0</v>
      </c>
      <c r="L2804" s="15">
        <v>55.0</v>
      </c>
      <c r="M2804" s="41">
        <v>41192.0</v>
      </c>
      <c r="N2804" s="40">
        <v>41214.0</v>
      </c>
      <c r="O2804" s="15" t="s">
        <v>1554</v>
      </c>
      <c r="Q2804" s="7"/>
    </row>
    <row r="2805">
      <c r="A2805" s="39" t="s">
        <v>12083</v>
      </c>
      <c r="B2805" s="15">
        <v>1204526.0</v>
      </c>
      <c r="C2805" s="15" t="s">
        <v>12084</v>
      </c>
      <c r="D2805" s="15">
        <v>177524.0</v>
      </c>
      <c r="E2805" s="15" t="s">
        <v>1557</v>
      </c>
      <c r="F2805" s="15" t="s">
        <v>1833</v>
      </c>
      <c r="G2805" s="7">
        <v>40.474</v>
      </c>
      <c r="H2805" s="15" t="s">
        <v>3251</v>
      </c>
      <c r="I2805" s="15" t="s">
        <v>1586</v>
      </c>
      <c r="J2805" s="15" t="s">
        <v>12085</v>
      </c>
      <c r="K2805" s="15">
        <v>55.0</v>
      </c>
      <c r="L2805" s="15">
        <v>54.0</v>
      </c>
      <c r="M2805" s="41">
        <v>41192.0</v>
      </c>
      <c r="N2805" s="40">
        <v>41214.0</v>
      </c>
      <c r="O2805" s="15" t="s">
        <v>1554</v>
      </c>
      <c r="Q2805" s="7"/>
    </row>
    <row r="2806">
      <c r="A2806" s="39" t="s">
        <v>12087</v>
      </c>
      <c r="B2806" s="15">
        <v>1204539.0</v>
      </c>
      <c r="C2806" s="15" t="s">
        <v>12088</v>
      </c>
      <c r="D2806" s="15">
        <v>177525.0</v>
      </c>
      <c r="E2806" s="15" t="s">
        <v>1557</v>
      </c>
      <c r="F2806" s="15" t="s">
        <v>1833</v>
      </c>
      <c r="G2806" s="7">
        <v>122.024</v>
      </c>
      <c r="H2806" s="15" t="s">
        <v>2141</v>
      </c>
      <c r="I2806" s="15" t="s">
        <v>1586</v>
      </c>
      <c r="J2806" s="15" t="s">
        <v>12089</v>
      </c>
      <c r="K2806" s="15">
        <v>169.0</v>
      </c>
      <c r="L2806" s="15">
        <v>149.0</v>
      </c>
      <c r="M2806" s="40">
        <v>41177.0</v>
      </c>
      <c r="N2806" s="40">
        <v>41214.0</v>
      </c>
      <c r="O2806" s="15" t="s">
        <v>1554</v>
      </c>
      <c r="Q2806" s="7"/>
    </row>
    <row r="2807">
      <c r="A2807" s="39" t="s">
        <v>12090</v>
      </c>
      <c r="B2807" s="15">
        <v>1225800.0</v>
      </c>
      <c r="C2807" s="15" t="s">
        <v>12091</v>
      </c>
      <c r="D2807" s="15">
        <v>177526.0</v>
      </c>
      <c r="E2807" s="15" t="s">
        <v>1557</v>
      </c>
      <c r="F2807" s="15" t="s">
        <v>1833</v>
      </c>
      <c r="G2807" s="7">
        <v>67.17</v>
      </c>
      <c r="H2807" s="15" t="s">
        <v>4595</v>
      </c>
      <c r="I2807" s="15" t="s">
        <v>1586</v>
      </c>
      <c r="J2807" s="15" t="s">
        <v>12092</v>
      </c>
      <c r="K2807" s="15">
        <v>119.0</v>
      </c>
      <c r="L2807" s="15">
        <v>119.0</v>
      </c>
      <c r="M2807" s="40">
        <v>41174.0</v>
      </c>
      <c r="N2807" s="40">
        <v>41218.0</v>
      </c>
      <c r="O2807" s="15" t="s">
        <v>1554</v>
      </c>
      <c r="Q2807" s="7"/>
    </row>
    <row r="2808">
      <c r="A2808" s="39" t="s">
        <v>12093</v>
      </c>
      <c r="B2808" s="15">
        <v>1229782.0</v>
      </c>
      <c r="C2808" s="15" t="s">
        <v>12094</v>
      </c>
      <c r="D2808" s="15">
        <v>177529.0</v>
      </c>
      <c r="E2808" s="15" t="s">
        <v>1557</v>
      </c>
      <c r="F2808" s="15" t="s">
        <v>1833</v>
      </c>
      <c r="G2808" s="7">
        <v>29.214</v>
      </c>
      <c r="H2808" s="15" t="s">
        <v>3246</v>
      </c>
      <c r="I2808" s="15" t="s">
        <v>1586</v>
      </c>
      <c r="J2808" s="15" t="s">
        <v>12096</v>
      </c>
      <c r="K2808" s="15">
        <v>45.0</v>
      </c>
      <c r="L2808" s="15">
        <v>45.0</v>
      </c>
      <c r="M2808" s="41">
        <v>41193.0</v>
      </c>
      <c r="N2808" s="40">
        <v>41214.0</v>
      </c>
      <c r="O2808" s="15" t="s">
        <v>1554</v>
      </c>
      <c r="Q2808" s="7"/>
    </row>
    <row r="2809">
      <c r="A2809" s="39" t="s">
        <v>12097</v>
      </c>
      <c r="B2809" s="15">
        <v>1229784.0</v>
      </c>
      <c r="C2809" s="15" t="s">
        <v>12098</v>
      </c>
      <c r="D2809" s="15">
        <v>177530.0</v>
      </c>
      <c r="E2809" s="15" t="s">
        <v>1557</v>
      </c>
      <c r="F2809" s="15" t="s">
        <v>1833</v>
      </c>
      <c r="G2809" s="7">
        <v>29.729</v>
      </c>
      <c r="H2809" s="15" t="s">
        <v>3246</v>
      </c>
      <c r="I2809" s="15" t="s">
        <v>1586</v>
      </c>
      <c r="J2809" s="15" t="s">
        <v>12099</v>
      </c>
      <c r="K2809" s="15">
        <v>47.0</v>
      </c>
      <c r="L2809" s="15">
        <v>47.0</v>
      </c>
      <c r="M2809" s="41">
        <v>41193.0</v>
      </c>
      <c r="N2809" s="40">
        <v>41214.0</v>
      </c>
      <c r="O2809" s="15" t="s">
        <v>1554</v>
      </c>
      <c r="Q2809" s="7"/>
    </row>
    <row r="2810">
      <c r="A2810" s="39" t="s">
        <v>12100</v>
      </c>
      <c r="B2810" s="15">
        <v>1229786.0</v>
      </c>
      <c r="C2810" s="15" t="s">
        <v>12101</v>
      </c>
      <c r="D2810" s="15">
        <v>177531.0</v>
      </c>
      <c r="E2810" s="15" t="s">
        <v>1557</v>
      </c>
      <c r="F2810" s="15" t="s">
        <v>1833</v>
      </c>
      <c r="G2810" s="7">
        <v>29.574</v>
      </c>
      <c r="H2810" s="15" t="s">
        <v>3246</v>
      </c>
      <c r="I2810" s="15" t="s">
        <v>1586</v>
      </c>
      <c r="J2810" s="15" t="s">
        <v>12102</v>
      </c>
      <c r="K2810" s="15">
        <v>47.0</v>
      </c>
      <c r="L2810" s="15">
        <v>47.0</v>
      </c>
      <c r="M2810" s="41">
        <v>41193.0</v>
      </c>
      <c r="N2810" s="40">
        <v>41214.0</v>
      </c>
      <c r="O2810" s="15" t="s">
        <v>1554</v>
      </c>
      <c r="Q2810" s="7"/>
    </row>
    <row r="2811">
      <c r="A2811" s="39" t="s">
        <v>12104</v>
      </c>
      <c r="B2811" s="15">
        <v>1229787.0</v>
      </c>
      <c r="C2811" s="15" t="s">
        <v>12105</v>
      </c>
      <c r="D2811" s="15">
        <v>177532.0</v>
      </c>
      <c r="E2811" s="15" t="s">
        <v>1557</v>
      </c>
      <c r="F2811" s="15" t="s">
        <v>1833</v>
      </c>
      <c r="G2811" s="7">
        <v>29.371</v>
      </c>
      <c r="H2811" s="15">
        <v>54.0</v>
      </c>
      <c r="I2811" s="15" t="s">
        <v>1586</v>
      </c>
      <c r="J2811" s="15" t="s">
        <v>12106</v>
      </c>
      <c r="K2811" s="15">
        <v>45.0</v>
      </c>
      <c r="L2811" s="15">
        <v>45.0</v>
      </c>
      <c r="M2811" s="41">
        <v>41193.0</v>
      </c>
      <c r="N2811" s="40">
        <v>41214.0</v>
      </c>
      <c r="O2811" s="15" t="s">
        <v>1554</v>
      </c>
      <c r="Q2811" s="7"/>
    </row>
    <row r="2812">
      <c r="A2812" s="39" t="s">
        <v>12107</v>
      </c>
      <c r="B2812" s="15">
        <v>1229788.0</v>
      </c>
      <c r="C2812" s="15" t="s">
        <v>12108</v>
      </c>
      <c r="D2812" s="15">
        <v>177533.0</v>
      </c>
      <c r="E2812" s="15" t="s">
        <v>1557</v>
      </c>
      <c r="F2812" s="15" t="s">
        <v>1833</v>
      </c>
      <c r="G2812" s="7">
        <v>29.202</v>
      </c>
      <c r="H2812" s="15" t="s">
        <v>5483</v>
      </c>
      <c r="I2812" s="15" t="s">
        <v>1586</v>
      </c>
      <c r="J2812" s="15" t="s">
        <v>12109</v>
      </c>
      <c r="K2812" s="15">
        <v>45.0</v>
      </c>
      <c r="L2812" s="15">
        <v>45.0</v>
      </c>
      <c r="M2812" s="41">
        <v>41193.0</v>
      </c>
      <c r="N2812" s="40">
        <v>41214.0</v>
      </c>
      <c r="O2812" s="15" t="s">
        <v>1554</v>
      </c>
      <c r="Q2812" s="7"/>
    </row>
    <row r="2813">
      <c r="A2813" s="39" t="s">
        <v>12110</v>
      </c>
      <c r="B2813" s="15">
        <v>1229789.0</v>
      </c>
      <c r="C2813" s="15" t="s">
        <v>12111</v>
      </c>
      <c r="D2813" s="15">
        <v>177534.0</v>
      </c>
      <c r="E2813" s="15" t="s">
        <v>1557</v>
      </c>
      <c r="F2813" s="15" t="s">
        <v>1833</v>
      </c>
      <c r="G2813" s="7">
        <v>29.506</v>
      </c>
      <c r="H2813" s="15" t="s">
        <v>2271</v>
      </c>
      <c r="I2813" s="15" t="s">
        <v>1586</v>
      </c>
      <c r="J2813" s="15" t="s">
        <v>12113</v>
      </c>
      <c r="K2813" s="15">
        <v>47.0</v>
      </c>
      <c r="L2813" s="15">
        <v>47.0</v>
      </c>
      <c r="M2813" s="41">
        <v>41193.0</v>
      </c>
      <c r="N2813" s="40">
        <v>41214.0</v>
      </c>
      <c r="O2813" s="15" t="s">
        <v>1554</v>
      </c>
      <c r="Q2813" s="7"/>
    </row>
    <row r="2814">
      <c r="A2814" s="39" t="s">
        <v>12114</v>
      </c>
      <c r="B2814" s="15">
        <v>1229790.0</v>
      </c>
      <c r="C2814" s="15" t="s">
        <v>12115</v>
      </c>
      <c r="D2814" s="15">
        <v>177535.0</v>
      </c>
      <c r="E2814" s="15" t="s">
        <v>1557</v>
      </c>
      <c r="F2814" s="15" t="s">
        <v>1833</v>
      </c>
      <c r="G2814" s="7">
        <v>29.505</v>
      </c>
      <c r="H2814" s="15" t="s">
        <v>2271</v>
      </c>
      <c r="I2814" s="15" t="s">
        <v>1586</v>
      </c>
      <c r="J2814" s="15" t="s">
        <v>12116</v>
      </c>
      <c r="K2814" s="15">
        <v>45.0</v>
      </c>
      <c r="L2814" s="15">
        <v>45.0</v>
      </c>
      <c r="M2814" s="41">
        <v>41193.0</v>
      </c>
      <c r="N2814" s="40">
        <v>41214.0</v>
      </c>
      <c r="O2814" s="15" t="s">
        <v>1554</v>
      </c>
      <c r="Q2814" s="7"/>
    </row>
    <row r="2815">
      <c r="A2815" s="39" t="s">
        <v>12117</v>
      </c>
      <c r="B2815" s="15">
        <v>1229791.0</v>
      </c>
      <c r="C2815" s="15" t="s">
        <v>12118</v>
      </c>
      <c r="D2815" s="15">
        <v>177536.0</v>
      </c>
      <c r="E2815" s="15" t="s">
        <v>1557</v>
      </c>
      <c r="F2815" s="15" t="s">
        <v>1833</v>
      </c>
      <c r="G2815" s="7">
        <v>29.612</v>
      </c>
      <c r="H2815" s="15" t="s">
        <v>3246</v>
      </c>
      <c r="I2815" s="15" t="s">
        <v>1586</v>
      </c>
      <c r="J2815" s="15" t="s">
        <v>12119</v>
      </c>
      <c r="K2815" s="15">
        <v>47.0</v>
      </c>
      <c r="L2815" s="15">
        <v>47.0</v>
      </c>
      <c r="M2815" s="41">
        <v>41193.0</v>
      </c>
      <c r="N2815" s="40">
        <v>41214.0</v>
      </c>
      <c r="O2815" s="15" t="s">
        <v>1554</v>
      </c>
      <c r="Q2815" s="7"/>
    </row>
    <row r="2816">
      <c r="A2816" s="39" t="s">
        <v>12121</v>
      </c>
      <c r="B2816" s="15">
        <v>1229792.0</v>
      </c>
      <c r="C2816" s="15" t="s">
        <v>12122</v>
      </c>
      <c r="D2816" s="15">
        <v>177537.0</v>
      </c>
      <c r="E2816" s="15" t="s">
        <v>1557</v>
      </c>
      <c r="F2816" s="15" t="s">
        <v>1833</v>
      </c>
      <c r="G2816" s="7">
        <v>29.348</v>
      </c>
      <c r="H2816" s="15" t="s">
        <v>6085</v>
      </c>
      <c r="I2816" s="15" t="s">
        <v>1586</v>
      </c>
      <c r="J2816" s="15" t="s">
        <v>12123</v>
      </c>
      <c r="K2816" s="15">
        <v>45.0</v>
      </c>
      <c r="L2816" s="15">
        <v>45.0</v>
      </c>
      <c r="M2816" s="41">
        <v>41193.0</v>
      </c>
      <c r="N2816" s="40">
        <v>41214.0</v>
      </c>
      <c r="O2816" s="15" t="s">
        <v>1554</v>
      </c>
      <c r="Q2816" s="7"/>
    </row>
    <row r="2817">
      <c r="A2817" s="39" t="s">
        <v>12124</v>
      </c>
      <c r="B2817" s="15">
        <v>1229793.0</v>
      </c>
      <c r="C2817" s="15" t="s">
        <v>12125</v>
      </c>
      <c r="D2817" s="15">
        <v>177538.0</v>
      </c>
      <c r="E2817" s="15" t="s">
        <v>1557</v>
      </c>
      <c r="F2817" s="15" t="s">
        <v>1833</v>
      </c>
      <c r="G2817" s="7">
        <v>29.516</v>
      </c>
      <c r="H2817" s="15">
        <v>54.0</v>
      </c>
      <c r="I2817" s="15" t="s">
        <v>1586</v>
      </c>
      <c r="J2817" s="15" t="s">
        <v>12126</v>
      </c>
      <c r="K2817" s="15">
        <v>46.0</v>
      </c>
      <c r="L2817" s="15">
        <v>46.0</v>
      </c>
      <c r="M2817" s="41">
        <v>41193.0</v>
      </c>
      <c r="N2817" s="40">
        <v>41214.0</v>
      </c>
      <c r="O2817" s="15" t="s">
        <v>1554</v>
      </c>
      <c r="Q2817" s="7"/>
    </row>
    <row r="2818">
      <c r="A2818" s="39" t="s">
        <v>12127</v>
      </c>
      <c r="B2818" s="15">
        <v>1229794.0</v>
      </c>
      <c r="C2818" s="15" t="s">
        <v>12129</v>
      </c>
      <c r="D2818" s="15">
        <v>177539.0</v>
      </c>
      <c r="E2818" s="15" t="s">
        <v>1557</v>
      </c>
      <c r="F2818" s="15" t="s">
        <v>1833</v>
      </c>
      <c r="G2818" s="7">
        <v>29.516</v>
      </c>
      <c r="H2818" s="15">
        <v>54.0</v>
      </c>
      <c r="I2818" s="15" t="s">
        <v>1586</v>
      </c>
      <c r="J2818" s="15" t="s">
        <v>12130</v>
      </c>
      <c r="K2818" s="15">
        <v>46.0</v>
      </c>
      <c r="L2818" s="15">
        <v>46.0</v>
      </c>
      <c r="M2818" s="41">
        <v>41193.0</v>
      </c>
      <c r="N2818" s="40">
        <v>41214.0</v>
      </c>
      <c r="O2818" s="15" t="s">
        <v>1554</v>
      </c>
      <c r="Q2818" s="7"/>
    </row>
    <row r="2819">
      <c r="A2819" s="39" t="s">
        <v>12131</v>
      </c>
      <c r="B2819" s="15">
        <v>1235559.0</v>
      </c>
      <c r="C2819" s="15" t="s">
        <v>12132</v>
      </c>
      <c r="D2819" s="15">
        <v>177540.0</v>
      </c>
      <c r="E2819" s="15" t="s">
        <v>1557</v>
      </c>
      <c r="F2819" s="15" t="s">
        <v>1578</v>
      </c>
      <c r="G2819" s="7">
        <v>58.104</v>
      </c>
      <c r="H2819" s="15" t="s">
        <v>1772</v>
      </c>
      <c r="I2819" s="15" t="s">
        <v>1586</v>
      </c>
      <c r="J2819" s="15" t="s">
        <v>12133</v>
      </c>
      <c r="K2819" s="15">
        <v>41.0</v>
      </c>
      <c r="L2819" s="15">
        <v>41.0</v>
      </c>
      <c r="M2819" s="41">
        <v>41192.0</v>
      </c>
      <c r="N2819" s="40">
        <v>41390.0</v>
      </c>
      <c r="O2819" s="15" t="s">
        <v>1554</v>
      </c>
      <c r="Q2819" s="7"/>
    </row>
    <row r="2820">
      <c r="A2820" s="39" t="s">
        <v>12134</v>
      </c>
      <c r="B2820" s="15">
        <v>1237159.0</v>
      </c>
      <c r="C2820" s="15" t="s">
        <v>12135</v>
      </c>
      <c r="D2820" s="15">
        <v>177541.0</v>
      </c>
      <c r="E2820" s="15" t="s">
        <v>1557</v>
      </c>
      <c r="F2820" s="15" t="s">
        <v>1611</v>
      </c>
      <c r="G2820" s="7">
        <v>77.448</v>
      </c>
      <c r="H2820" s="15">
        <v>42.0</v>
      </c>
      <c r="I2820" s="15" t="s">
        <v>1586</v>
      </c>
      <c r="J2820" s="15" t="s">
        <v>12136</v>
      </c>
      <c r="K2820" s="15">
        <v>109.0</v>
      </c>
      <c r="L2820" s="15">
        <v>109.0</v>
      </c>
      <c r="M2820" s="41">
        <v>41192.0</v>
      </c>
      <c r="N2820" s="41">
        <v>41234.0</v>
      </c>
      <c r="O2820" s="15" t="s">
        <v>1554</v>
      </c>
      <c r="Q2820" s="7"/>
    </row>
    <row r="2821">
      <c r="A2821" s="39" t="s">
        <v>12137</v>
      </c>
      <c r="B2821" s="15">
        <v>1237364.0</v>
      </c>
      <c r="C2821" s="15" t="s">
        <v>12138</v>
      </c>
      <c r="D2821" s="15">
        <v>177542.0</v>
      </c>
      <c r="E2821" s="15" t="s">
        <v>1557</v>
      </c>
      <c r="F2821" s="15" t="s">
        <v>1767</v>
      </c>
      <c r="G2821" s="7">
        <v>169.158</v>
      </c>
      <c r="H2821" s="15" t="s">
        <v>1714</v>
      </c>
      <c r="I2821" s="15" t="s">
        <v>1586</v>
      </c>
      <c r="J2821" s="15" t="s">
        <v>12140</v>
      </c>
      <c r="K2821" s="15">
        <v>62.0</v>
      </c>
      <c r="L2821" s="15">
        <v>62.0</v>
      </c>
      <c r="M2821" s="40">
        <v>41188.0</v>
      </c>
      <c r="N2821" s="41">
        <v>41234.0</v>
      </c>
      <c r="O2821" s="15" t="s">
        <v>1554</v>
      </c>
      <c r="Q2821" s="7"/>
    </row>
    <row r="2822">
      <c r="A2822" s="39" t="s">
        <v>12141</v>
      </c>
      <c r="B2822" s="15">
        <v>1150869.0</v>
      </c>
      <c r="C2822" s="15" t="s">
        <v>12142</v>
      </c>
      <c r="D2822" s="15">
        <v>177543.0</v>
      </c>
      <c r="E2822" s="15" t="s">
        <v>1557</v>
      </c>
      <c r="F2822" s="15" t="s">
        <v>1611</v>
      </c>
      <c r="G2822" s="7">
        <v>60.894</v>
      </c>
      <c r="H2822" s="15" t="s">
        <v>3304</v>
      </c>
      <c r="I2822" s="15" t="s">
        <v>1586</v>
      </c>
      <c r="J2822" s="15" t="s">
        <v>12143</v>
      </c>
      <c r="K2822" s="15">
        <v>79.0</v>
      </c>
      <c r="L2822" s="15">
        <v>79.0</v>
      </c>
      <c r="M2822" s="40">
        <v>41169.0</v>
      </c>
      <c r="N2822" s="40">
        <v>41214.0</v>
      </c>
      <c r="O2822" s="15" t="s">
        <v>1554</v>
      </c>
      <c r="Q2822" s="7"/>
    </row>
    <row r="2823">
      <c r="A2823" s="39" t="s">
        <v>12144</v>
      </c>
      <c r="B2823" s="15">
        <v>204478.0</v>
      </c>
      <c r="C2823" s="15" t="s">
        <v>12145</v>
      </c>
      <c r="D2823" s="15">
        <v>177544.0</v>
      </c>
      <c r="E2823" s="15" t="s">
        <v>1548</v>
      </c>
      <c r="F2823" s="15" t="s">
        <v>1911</v>
      </c>
      <c r="G2823" s="7">
        <v>9.544</v>
      </c>
      <c r="H2823" s="15" t="s">
        <v>3070</v>
      </c>
      <c r="I2823" s="15" t="s">
        <v>1628</v>
      </c>
      <c r="J2823" s="15" t="s">
        <v>12146</v>
      </c>
      <c r="K2823" s="15">
        <v>1.0</v>
      </c>
      <c r="L2823" s="15">
        <v>1.0</v>
      </c>
      <c r="M2823" s="40">
        <v>41191.0</v>
      </c>
      <c r="N2823" s="40">
        <v>41214.0</v>
      </c>
      <c r="O2823" s="15" t="s">
        <v>1554</v>
      </c>
      <c r="Q2823" s="7"/>
    </row>
    <row r="2824">
      <c r="A2824" s="39" t="s">
        <v>12147</v>
      </c>
      <c r="B2824" s="15">
        <v>1229752.0</v>
      </c>
      <c r="C2824" s="15" t="s">
        <v>12149</v>
      </c>
      <c r="D2824" s="15">
        <v>177545.0</v>
      </c>
      <c r="E2824" s="15" t="s">
        <v>1557</v>
      </c>
      <c r="F2824" s="15" t="s">
        <v>1767</v>
      </c>
      <c r="G2824" s="7">
        <v>133.572</v>
      </c>
      <c r="H2824" s="42">
        <v>43126.0</v>
      </c>
      <c r="I2824" s="15" t="s">
        <v>1586</v>
      </c>
      <c r="J2824" s="15" t="s">
        <v>12150</v>
      </c>
      <c r="K2824" s="15">
        <v>162.0</v>
      </c>
      <c r="L2824" s="15">
        <v>162.0</v>
      </c>
      <c r="M2824" s="40">
        <v>41167.0</v>
      </c>
      <c r="N2824" s="40">
        <v>42237.0</v>
      </c>
      <c r="O2824" s="15" t="s">
        <v>1554</v>
      </c>
      <c r="Q2824" s="7"/>
    </row>
    <row r="2825">
      <c r="A2825" s="39" t="s">
        <v>12151</v>
      </c>
      <c r="B2825" s="15">
        <v>1234888.0</v>
      </c>
      <c r="C2825" s="15" t="s">
        <v>12152</v>
      </c>
      <c r="D2825" s="15">
        <v>177547.0</v>
      </c>
      <c r="E2825" s="15" t="s">
        <v>1808</v>
      </c>
      <c r="F2825" s="15" t="s">
        <v>1578</v>
      </c>
      <c r="G2825" s="7">
        <v>4.472</v>
      </c>
      <c r="H2825" s="15" t="s">
        <v>10292</v>
      </c>
      <c r="I2825" s="15" t="s">
        <v>1560</v>
      </c>
      <c r="J2825" s="15" t="s">
        <v>12153</v>
      </c>
      <c r="K2825" s="15">
        <v>5.0</v>
      </c>
      <c r="L2825" s="15">
        <v>5.0</v>
      </c>
      <c r="M2825" s="40">
        <v>41183.0</v>
      </c>
      <c r="N2825" s="41">
        <v>41234.0</v>
      </c>
      <c r="O2825" s="15" t="s">
        <v>1554</v>
      </c>
      <c r="Q2825" s="7"/>
    </row>
    <row r="2826">
      <c r="A2826" s="39" t="s">
        <v>12154</v>
      </c>
      <c r="B2826" s="15">
        <v>1235661.0</v>
      </c>
      <c r="C2826" s="15" t="s">
        <v>12155</v>
      </c>
      <c r="D2826" s="15">
        <v>177548.0</v>
      </c>
      <c r="E2826" s="15" t="s">
        <v>1557</v>
      </c>
      <c r="F2826" s="15" t="s">
        <v>1611</v>
      </c>
      <c r="G2826" s="7">
        <v>45.517</v>
      </c>
      <c r="H2826" s="15" t="s">
        <v>4776</v>
      </c>
      <c r="I2826" s="15" t="s">
        <v>1586</v>
      </c>
      <c r="J2826" s="15" t="s">
        <v>12157</v>
      </c>
      <c r="K2826" s="15">
        <v>75.0</v>
      </c>
      <c r="L2826" s="15">
        <v>75.0</v>
      </c>
      <c r="M2826" s="40">
        <v>41187.0</v>
      </c>
      <c r="N2826" s="40">
        <v>41404.0</v>
      </c>
      <c r="O2826" s="15" t="s">
        <v>1554</v>
      </c>
      <c r="Q2826" s="7"/>
    </row>
    <row r="2827">
      <c r="A2827" s="39" t="s">
        <v>12158</v>
      </c>
      <c r="B2827" s="15">
        <v>264076.0</v>
      </c>
      <c r="C2827" s="15" t="s">
        <v>12159</v>
      </c>
      <c r="D2827" s="15">
        <v>177549.0</v>
      </c>
      <c r="E2827" s="15" t="s">
        <v>1916</v>
      </c>
      <c r="F2827" s="15" t="s">
        <v>1917</v>
      </c>
      <c r="G2827" s="7">
        <v>7.954</v>
      </c>
      <c r="H2827" s="15">
        <v>41.0</v>
      </c>
      <c r="I2827" s="15" t="s">
        <v>1628</v>
      </c>
      <c r="J2827" s="15" t="s">
        <v>12160</v>
      </c>
      <c r="K2827" s="15">
        <v>8.0</v>
      </c>
      <c r="L2827" s="15">
        <v>8.0</v>
      </c>
      <c r="M2827" s="40">
        <v>41185.0</v>
      </c>
      <c r="N2827" s="40">
        <v>41214.0</v>
      </c>
      <c r="O2827" s="15" t="s">
        <v>1554</v>
      </c>
      <c r="Q2827" s="7"/>
    </row>
    <row r="2828">
      <c r="A2828" s="39" t="s">
        <v>12161</v>
      </c>
      <c r="B2828" s="15">
        <v>57477.0</v>
      </c>
      <c r="C2828" s="15" t="s">
        <v>12162</v>
      </c>
      <c r="D2828" s="15">
        <v>177550.0</v>
      </c>
      <c r="E2828" s="15" t="s">
        <v>1557</v>
      </c>
      <c r="F2828" s="15" t="s">
        <v>1767</v>
      </c>
      <c r="G2828" s="7">
        <v>153.962</v>
      </c>
      <c r="H2828" s="15" t="s">
        <v>2668</v>
      </c>
      <c r="I2828" s="15" t="s">
        <v>1586</v>
      </c>
      <c r="J2828" s="15" t="s">
        <v>12164</v>
      </c>
      <c r="K2828" s="15">
        <v>280.0</v>
      </c>
      <c r="L2828" s="15">
        <v>273.0</v>
      </c>
      <c r="M2828" s="40">
        <v>41186.0</v>
      </c>
      <c r="N2828" s="40">
        <v>41320.0</v>
      </c>
      <c r="O2828" s="15" t="s">
        <v>1554</v>
      </c>
      <c r="Q2828" s="7"/>
    </row>
    <row r="2829">
      <c r="A2829" s="39" t="s">
        <v>12165</v>
      </c>
      <c r="B2829" s="15">
        <v>1176156.0</v>
      </c>
      <c r="C2829" s="15" t="s">
        <v>12166</v>
      </c>
      <c r="D2829" s="15">
        <v>177643.0</v>
      </c>
      <c r="E2829" s="15" t="s">
        <v>2014</v>
      </c>
      <c r="F2829" s="15" t="s">
        <v>2018</v>
      </c>
      <c r="G2829" s="7">
        <v>1.352</v>
      </c>
      <c r="H2829" s="15">
        <v>39.0</v>
      </c>
      <c r="I2829" s="15" t="s">
        <v>1628</v>
      </c>
      <c r="J2829" s="15" t="s">
        <v>12167</v>
      </c>
      <c r="K2829" s="15">
        <v>1.0</v>
      </c>
      <c r="L2829" s="15">
        <v>1.0</v>
      </c>
      <c r="M2829" s="40">
        <v>41060.0</v>
      </c>
      <c r="N2829" s="40">
        <v>42583.0</v>
      </c>
      <c r="O2829" s="15" t="s">
        <v>1554</v>
      </c>
      <c r="Q2829" s="7"/>
    </row>
    <row r="2830">
      <c r="A2830" s="39" t="s">
        <v>12168</v>
      </c>
      <c r="B2830" s="15">
        <v>1238162.0</v>
      </c>
      <c r="C2830" s="15" t="s">
        <v>12169</v>
      </c>
      <c r="D2830" s="15">
        <v>177773.0</v>
      </c>
      <c r="E2830" s="15" t="s">
        <v>2014</v>
      </c>
      <c r="F2830" s="15" t="s">
        <v>2018</v>
      </c>
      <c r="G2830" s="7">
        <v>1.36</v>
      </c>
      <c r="H2830" s="15" t="s">
        <v>3407</v>
      </c>
      <c r="I2830" s="15" t="s">
        <v>1628</v>
      </c>
      <c r="J2830" s="15" t="s">
        <v>12171</v>
      </c>
      <c r="K2830" s="15">
        <v>1.0</v>
      </c>
      <c r="L2830" s="15">
        <v>1.0</v>
      </c>
      <c r="M2830" s="41">
        <v>41198.0</v>
      </c>
      <c r="N2830" s="40">
        <v>41214.0</v>
      </c>
      <c r="O2830" s="15" t="s">
        <v>1554</v>
      </c>
      <c r="Q2830" s="7"/>
    </row>
    <row r="2831">
      <c r="A2831" s="39" t="s">
        <v>12172</v>
      </c>
      <c r="B2831" s="15">
        <v>1220025.0</v>
      </c>
      <c r="C2831" s="15" t="s">
        <v>12173</v>
      </c>
      <c r="D2831" s="15">
        <v>177901.0</v>
      </c>
      <c r="E2831" s="15" t="s">
        <v>1548</v>
      </c>
      <c r="F2831" s="15" t="s">
        <v>1911</v>
      </c>
      <c r="G2831" s="7">
        <v>9.512</v>
      </c>
      <c r="H2831" s="15" t="s">
        <v>2552</v>
      </c>
      <c r="I2831" s="15" t="s">
        <v>1628</v>
      </c>
      <c r="J2831" s="15" t="s">
        <v>12174</v>
      </c>
      <c r="K2831" s="15">
        <v>1.0</v>
      </c>
      <c r="L2831" s="15">
        <v>1.0</v>
      </c>
      <c r="M2831" s="40">
        <v>41135.0</v>
      </c>
      <c r="N2831" s="41">
        <v>41577.0</v>
      </c>
      <c r="O2831" s="15" t="s">
        <v>1554</v>
      </c>
      <c r="Q2831" s="7"/>
    </row>
    <row r="2832">
      <c r="A2832" s="39" t="s">
        <v>12175</v>
      </c>
      <c r="B2832" s="15">
        <v>1241933.0</v>
      </c>
      <c r="C2832" s="15" t="s">
        <v>12176</v>
      </c>
      <c r="D2832" s="15">
        <v>177902.0</v>
      </c>
      <c r="E2832" s="15" t="s">
        <v>1548</v>
      </c>
      <c r="F2832" s="15" t="s">
        <v>1684</v>
      </c>
      <c r="G2832" s="7">
        <v>28.494</v>
      </c>
      <c r="H2832" s="15" t="s">
        <v>1823</v>
      </c>
      <c r="I2832" s="15" t="s">
        <v>1686</v>
      </c>
      <c r="J2832" s="15" t="s">
        <v>12177</v>
      </c>
      <c r="K2832" s="15">
        <v>9.0</v>
      </c>
      <c r="L2832" s="15">
        <v>9.0</v>
      </c>
      <c r="M2832" s="41">
        <v>41199.0</v>
      </c>
      <c r="N2832" s="41">
        <v>41621.0</v>
      </c>
      <c r="O2832" s="15" t="s">
        <v>1554</v>
      </c>
      <c r="Q2832" s="7"/>
    </row>
    <row r="2833">
      <c r="A2833" s="39" t="s">
        <v>12179</v>
      </c>
      <c r="B2833" s="15">
        <v>166056.0</v>
      </c>
      <c r="C2833" s="15" t="s">
        <v>12180</v>
      </c>
      <c r="D2833" s="15">
        <v>177904.0</v>
      </c>
      <c r="E2833" s="15" t="s">
        <v>1557</v>
      </c>
      <c r="F2833" s="15" t="s">
        <v>1992</v>
      </c>
      <c r="G2833" s="7">
        <v>119.082</v>
      </c>
      <c r="H2833" s="15" t="s">
        <v>2777</v>
      </c>
      <c r="I2833" s="15" t="s">
        <v>1560</v>
      </c>
      <c r="J2833" s="15" t="s">
        <v>12181</v>
      </c>
      <c r="K2833" s="15">
        <v>132.0</v>
      </c>
      <c r="L2833" s="15">
        <v>132.0</v>
      </c>
      <c r="M2833" s="41">
        <v>41199.0</v>
      </c>
      <c r="N2833" s="40">
        <v>41214.0</v>
      </c>
      <c r="O2833" s="15" t="s">
        <v>1554</v>
      </c>
      <c r="Q2833" s="7"/>
    </row>
    <row r="2834">
      <c r="A2834" s="39" t="s">
        <v>12182</v>
      </c>
      <c r="B2834" s="15">
        <v>1241371.0</v>
      </c>
      <c r="C2834" s="15" t="s">
        <v>12183</v>
      </c>
      <c r="D2834" s="15">
        <v>177933.0</v>
      </c>
      <c r="E2834" s="15" t="s">
        <v>1557</v>
      </c>
      <c r="F2834" s="15" t="s">
        <v>1578</v>
      </c>
      <c r="G2834" s="7">
        <v>211.518</v>
      </c>
      <c r="H2834" s="15" t="s">
        <v>2981</v>
      </c>
      <c r="I2834" s="15" t="s">
        <v>1560</v>
      </c>
      <c r="J2834" s="15" t="s">
        <v>12184</v>
      </c>
      <c r="K2834" s="15">
        <v>118.0</v>
      </c>
      <c r="L2834" s="15">
        <v>118.0</v>
      </c>
      <c r="M2834" s="41">
        <v>41199.0</v>
      </c>
      <c r="N2834" s="40">
        <v>41528.0</v>
      </c>
      <c r="O2834" s="15" t="s">
        <v>1554</v>
      </c>
      <c r="Q2834" s="7"/>
    </row>
    <row r="2835">
      <c r="A2835" s="39" t="s">
        <v>12185</v>
      </c>
      <c r="B2835" s="15">
        <v>1213187.0</v>
      </c>
      <c r="C2835" s="15" t="s">
        <v>12186</v>
      </c>
      <c r="D2835" s="15">
        <v>178075.0</v>
      </c>
      <c r="E2835" s="15" t="s">
        <v>2014</v>
      </c>
      <c r="F2835" s="15" t="s">
        <v>2018</v>
      </c>
      <c r="G2835" s="7">
        <v>1.345</v>
      </c>
      <c r="H2835" s="15" t="s">
        <v>2304</v>
      </c>
      <c r="I2835" s="15" t="s">
        <v>1628</v>
      </c>
      <c r="J2835" s="15" t="s">
        <v>12188</v>
      </c>
      <c r="K2835" s="15">
        <v>1.0</v>
      </c>
      <c r="L2835" s="15">
        <v>1.0</v>
      </c>
      <c r="M2835" s="40">
        <v>41120.0</v>
      </c>
      <c r="N2835" s="40">
        <v>41302.0</v>
      </c>
      <c r="O2835" s="15" t="s">
        <v>1554</v>
      </c>
      <c r="Q2835" s="7"/>
    </row>
    <row r="2836">
      <c r="A2836" s="39" t="s">
        <v>12189</v>
      </c>
      <c r="B2836" s="15">
        <v>10566.0</v>
      </c>
      <c r="C2836" s="15" t="s">
        <v>12190</v>
      </c>
      <c r="D2836" s="15">
        <v>293723.0</v>
      </c>
      <c r="E2836" s="15" t="s">
        <v>1557</v>
      </c>
      <c r="F2836" s="15" t="s">
        <v>1822</v>
      </c>
      <c r="G2836" s="7">
        <v>7.32</v>
      </c>
      <c r="H2836" s="15" t="s">
        <v>2375</v>
      </c>
      <c r="I2836" s="15" t="s">
        <v>1567</v>
      </c>
      <c r="J2836" s="15" t="s">
        <v>12191</v>
      </c>
      <c r="K2836" s="15">
        <v>6.0</v>
      </c>
      <c r="L2836" s="15">
        <v>6.0</v>
      </c>
      <c r="M2836" s="40">
        <v>42235.0</v>
      </c>
      <c r="N2836" s="40">
        <v>42551.0</v>
      </c>
      <c r="O2836" s="15" t="s">
        <v>1554</v>
      </c>
      <c r="Q2836" s="7"/>
    </row>
    <row r="2837">
      <c r="A2837" s="39" t="s">
        <v>12192</v>
      </c>
      <c r="B2837" s="15">
        <v>1188812.0</v>
      </c>
      <c r="C2837" s="15" t="s">
        <v>12193</v>
      </c>
      <c r="D2837" s="15">
        <v>178459.0</v>
      </c>
      <c r="E2837" s="15" t="s">
        <v>1808</v>
      </c>
      <c r="F2837" s="15" t="s">
        <v>1809</v>
      </c>
      <c r="G2837" s="7">
        <v>2.598</v>
      </c>
      <c r="H2837" s="15" t="s">
        <v>4287</v>
      </c>
      <c r="I2837" s="15" t="s">
        <v>1628</v>
      </c>
      <c r="J2837" s="15" t="s">
        <v>12194</v>
      </c>
      <c r="K2837" s="15">
        <v>2.0</v>
      </c>
      <c r="L2837" s="15">
        <v>2.0</v>
      </c>
      <c r="M2837" s="41">
        <v>41208.0</v>
      </c>
      <c r="N2837" s="40">
        <v>41911.0</v>
      </c>
      <c r="O2837" s="15" t="s">
        <v>1554</v>
      </c>
      <c r="Q2837" s="7"/>
    </row>
    <row r="2838">
      <c r="A2838" s="39" t="s">
        <v>12196</v>
      </c>
      <c r="B2838" s="15">
        <v>1243178.0</v>
      </c>
      <c r="C2838" s="15" t="s">
        <v>12197</v>
      </c>
      <c r="D2838" s="15">
        <v>178460.0</v>
      </c>
      <c r="E2838" s="15" t="s">
        <v>1548</v>
      </c>
      <c r="F2838" s="15" t="s">
        <v>1786</v>
      </c>
      <c r="G2838" s="7">
        <v>8.328</v>
      </c>
      <c r="H2838" s="15" t="s">
        <v>2141</v>
      </c>
      <c r="I2838" s="15" t="s">
        <v>1628</v>
      </c>
      <c r="J2838" s="15" t="s">
        <v>12198</v>
      </c>
      <c r="K2838" s="15">
        <v>5.0</v>
      </c>
      <c r="L2838" s="15">
        <v>5.0</v>
      </c>
      <c r="M2838" s="41">
        <v>41206.0</v>
      </c>
      <c r="N2838" s="40">
        <v>41302.0</v>
      </c>
      <c r="O2838" s="15" t="s">
        <v>1554</v>
      </c>
      <c r="Q2838" s="7"/>
    </row>
    <row r="2839">
      <c r="A2839" s="39" t="s">
        <v>12199</v>
      </c>
      <c r="B2839" s="15">
        <v>1247113.0</v>
      </c>
      <c r="C2839" s="15" t="s">
        <v>12200</v>
      </c>
      <c r="D2839" s="15">
        <v>178562.0</v>
      </c>
      <c r="E2839" s="15" t="s">
        <v>1548</v>
      </c>
      <c r="F2839" s="15" t="s">
        <v>1848</v>
      </c>
      <c r="G2839" s="7">
        <v>6.518</v>
      </c>
      <c r="H2839" s="15">
        <v>43.0</v>
      </c>
      <c r="I2839" s="15" t="s">
        <v>1686</v>
      </c>
      <c r="J2839" s="15" t="s">
        <v>12201</v>
      </c>
      <c r="K2839" s="15">
        <v>3.0</v>
      </c>
      <c r="L2839" s="15">
        <v>3.0</v>
      </c>
      <c r="M2839" s="41">
        <v>41213.0</v>
      </c>
      <c r="N2839" s="40">
        <v>41290.0</v>
      </c>
      <c r="O2839" s="15" t="s">
        <v>1554</v>
      </c>
      <c r="Q2839" s="7"/>
    </row>
    <row r="2840">
      <c r="A2840" s="39" t="s">
        <v>12202</v>
      </c>
      <c r="B2840" s="15">
        <v>1247114.0</v>
      </c>
      <c r="C2840" s="15" t="s">
        <v>12203</v>
      </c>
      <c r="D2840" s="15">
        <v>178563.0</v>
      </c>
      <c r="E2840" s="15" t="s">
        <v>1548</v>
      </c>
      <c r="F2840" s="15" t="s">
        <v>1848</v>
      </c>
      <c r="G2840" s="7">
        <v>6.124</v>
      </c>
      <c r="H2840" s="15">
        <v>40.0</v>
      </c>
      <c r="I2840" s="15" t="s">
        <v>1686</v>
      </c>
      <c r="J2840" s="15" t="s">
        <v>12204</v>
      </c>
      <c r="K2840" s="15">
        <v>3.0</v>
      </c>
      <c r="L2840" s="15">
        <v>3.0</v>
      </c>
      <c r="M2840" s="41">
        <v>41213.0</v>
      </c>
      <c r="N2840" s="40">
        <v>41290.0</v>
      </c>
      <c r="O2840" s="15" t="s">
        <v>1554</v>
      </c>
      <c r="Q2840" s="7"/>
    </row>
    <row r="2841">
      <c r="A2841" s="39" t="s">
        <v>12205</v>
      </c>
      <c r="B2841" s="15">
        <v>683174.0</v>
      </c>
      <c r="C2841" s="15" t="s">
        <v>12207</v>
      </c>
      <c r="D2841" s="15">
        <v>178564.0</v>
      </c>
      <c r="E2841" s="15" t="s">
        <v>1548</v>
      </c>
      <c r="F2841" s="15" t="s">
        <v>1848</v>
      </c>
      <c r="G2841" s="7">
        <v>6.581</v>
      </c>
      <c r="H2841" s="15" t="s">
        <v>2049</v>
      </c>
      <c r="I2841" s="15" t="s">
        <v>1686</v>
      </c>
      <c r="J2841" s="15" t="s">
        <v>12208</v>
      </c>
      <c r="K2841" s="15">
        <v>3.0</v>
      </c>
      <c r="L2841" s="15">
        <v>3.0</v>
      </c>
      <c r="M2841" s="41">
        <v>41213.0</v>
      </c>
      <c r="N2841" s="40">
        <v>41290.0</v>
      </c>
      <c r="O2841" s="15" t="s">
        <v>1554</v>
      </c>
      <c r="Q2841" s="7"/>
    </row>
    <row r="2842">
      <c r="A2842" s="39" t="s">
        <v>12209</v>
      </c>
      <c r="B2842" s="15">
        <v>1048434.0</v>
      </c>
      <c r="C2842" s="15" t="s">
        <v>12210</v>
      </c>
      <c r="D2842" s="15">
        <v>178589.0</v>
      </c>
      <c r="E2842" s="15" t="s">
        <v>1548</v>
      </c>
      <c r="F2842" s="15" t="s">
        <v>1911</v>
      </c>
      <c r="G2842" s="7">
        <v>9.508</v>
      </c>
      <c r="H2842" s="15" t="s">
        <v>1943</v>
      </c>
      <c r="I2842" s="15" t="s">
        <v>1628</v>
      </c>
      <c r="J2842" s="15" t="s">
        <v>12211</v>
      </c>
      <c r="K2842" s="15">
        <v>1.0</v>
      </c>
      <c r="L2842" s="15">
        <v>1.0</v>
      </c>
      <c r="M2842" s="40">
        <v>40721.0</v>
      </c>
      <c r="N2842" s="40">
        <v>41214.0</v>
      </c>
      <c r="O2842" s="15" t="s">
        <v>1554</v>
      </c>
      <c r="Q2842" s="7"/>
    </row>
    <row r="2843">
      <c r="A2843" s="39" t="s">
        <v>12212</v>
      </c>
      <c r="B2843" s="15">
        <v>1247115.0</v>
      </c>
      <c r="C2843" s="15" t="s">
        <v>12213</v>
      </c>
      <c r="D2843" s="15">
        <v>178591.0</v>
      </c>
      <c r="E2843" s="15" t="s">
        <v>1548</v>
      </c>
      <c r="F2843" s="15" t="s">
        <v>1786</v>
      </c>
      <c r="G2843" s="7">
        <v>6.956</v>
      </c>
      <c r="H2843" s="15" t="s">
        <v>4331</v>
      </c>
      <c r="I2843" s="15" t="s">
        <v>1628</v>
      </c>
      <c r="J2843" s="15" t="s">
        <v>12215</v>
      </c>
      <c r="K2843" s="15">
        <v>2.0</v>
      </c>
      <c r="L2843" s="15">
        <v>2.0</v>
      </c>
      <c r="M2843" s="41">
        <v>41212.0</v>
      </c>
      <c r="N2843" s="40">
        <v>41341.0</v>
      </c>
      <c r="O2843" s="15" t="s">
        <v>1554</v>
      </c>
      <c r="Q2843" s="7"/>
    </row>
    <row r="2844">
      <c r="A2844" s="39" t="s">
        <v>12216</v>
      </c>
      <c r="B2844" s="15">
        <v>1247116.0</v>
      </c>
      <c r="C2844" s="15" t="s">
        <v>12217</v>
      </c>
      <c r="D2844" s="15">
        <v>178592.0</v>
      </c>
      <c r="E2844" s="15" t="s">
        <v>1548</v>
      </c>
      <c r="F2844" s="15" t="s">
        <v>1786</v>
      </c>
      <c r="G2844" s="7">
        <v>7.001</v>
      </c>
      <c r="H2844" s="15" t="s">
        <v>2885</v>
      </c>
      <c r="I2844" s="15" t="s">
        <v>1628</v>
      </c>
      <c r="J2844" s="15" t="s">
        <v>12218</v>
      </c>
      <c r="K2844" s="15">
        <v>2.0</v>
      </c>
      <c r="L2844" s="15">
        <v>2.0</v>
      </c>
      <c r="M2844" s="41">
        <v>41212.0</v>
      </c>
      <c r="N2844" s="40">
        <v>41341.0</v>
      </c>
      <c r="O2844" s="15" t="s">
        <v>1554</v>
      </c>
      <c r="Q2844" s="7"/>
    </row>
    <row r="2845">
      <c r="A2845" s="39" t="s">
        <v>12219</v>
      </c>
      <c r="B2845" s="15">
        <v>1213406.0</v>
      </c>
      <c r="C2845" s="15" t="s">
        <v>12220</v>
      </c>
      <c r="D2845" s="15">
        <v>178634.0</v>
      </c>
      <c r="E2845" s="15" t="s">
        <v>1808</v>
      </c>
      <c r="F2845" s="15" t="s">
        <v>1809</v>
      </c>
      <c r="G2845" s="7">
        <v>2.781</v>
      </c>
      <c r="H2845" s="15" t="s">
        <v>1745</v>
      </c>
      <c r="I2845" s="15" t="s">
        <v>1628</v>
      </c>
      <c r="J2845" s="15" t="s">
        <v>12221</v>
      </c>
      <c r="K2845" s="15">
        <v>6.0</v>
      </c>
      <c r="L2845" s="15">
        <v>6.0</v>
      </c>
      <c r="M2845" s="40">
        <v>41119.0</v>
      </c>
      <c r="N2845" s="40">
        <v>41302.0</v>
      </c>
      <c r="O2845" s="15" t="s">
        <v>1554</v>
      </c>
      <c r="Q2845" s="7"/>
    </row>
    <row r="2846">
      <c r="A2846" s="39" t="s">
        <v>12222</v>
      </c>
      <c r="B2846" s="15">
        <v>1246650.0</v>
      </c>
      <c r="C2846" s="15" t="s">
        <v>12223</v>
      </c>
      <c r="D2846" s="15">
        <v>178635.0</v>
      </c>
      <c r="E2846" s="15" t="s">
        <v>1808</v>
      </c>
      <c r="F2846" s="15" t="s">
        <v>1809</v>
      </c>
      <c r="G2846" s="7">
        <v>5.285</v>
      </c>
      <c r="H2846" s="15" t="s">
        <v>12224</v>
      </c>
      <c r="I2846" s="15" t="s">
        <v>1628</v>
      </c>
      <c r="J2846" s="15" t="s">
        <v>12225</v>
      </c>
      <c r="K2846" s="15">
        <v>7.0</v>
      </c>
      <c r="L2846" s="15">
        <v>7.0</v>
      </c>
      <c r="M2846" s="41">
        <v>41212.0</v>
      </c>
      <c r="N2846" s="40">
        <v>41214.0</v>
      </c>
      <c r="O2846" s="15" t="s">
        <v>1554</v>
      </c>
      <c r="Q2846" s="7"/>
    </row>
    <row r="2847">
      <c r="A2847" s="39" t="s">
        <v>12226</v>
      </c>
      <c r="B2847" s="15">
        <v>1141134.0</v>
      </c>
      <c r="C2847" s="15" t="s">
        <v>12227</v>
      </c>
      <c r="D2847" s="15">
        <v>179408.0</v>
      </c>
      <c r="E2847" s="15" t="s">
        <v>1557</v>
      </c>
      <c r="F2847" s="15" t="s">
        <v>1833</v>
      </c>
      <c r="G2847" s="7">
        <v>59.203</v>
      </c>
      <c r="H2847" s="15" t="s">
        <v>7049</v>
      </c>
      <c r="I2847" s="15" t="s">
        <v>1586</v>
      </c>
      <c r="J2847" s="15" t="s">
        <v>12228</v>
      </c>
      <c r="K2847" s="15">
        <v>72.0</v>
      </c>
      <c r="L2847" s="15">
        <v>72.0</v>
      </c>
      <c r="M2847" s="41">
        <v>41213.0</v>
      </c>
      <c r="N2847" s="41">
        <v>41226.0</v>
      </c>
      <c r="O2847" s="15" t="s">
        <v>1554</v>
      </c>
      <c r="Q2847" s="7"/>
    </row>
    <row r="2848">
      <c r="A2848" s="39" t="s">
        <v>12230</v>
      </c>
      <c r="B2848" s="15">
        <v>1141135.0</v>
      </c>
      <c r="C2848" s="15" t="s">
        <v>12231</v>
      </c>
      <c r="D2848" s="15">
        <v>179409.0</v>
      </c>
      <c r="E2848" s="15" t="s">
        <v>1557</v>
      </c>
      <c r="F2848" s="15" t="s">
        <v>1767</v>
      </c>
      <c r="G2848" s="7">
        <v>147.94</v>
      </c>
      <c r="H2848" s="15" t="s">
        <v>1551</v>
      </c>
      <c r="I2848" s="15" t="s">
        <v>1586</v>
      </c>
      <c r="J2848" s="15" t="s">
        <v>12232</v>
      </c>
      <c r="K2848" s="15">
        <v>295.0</v>
      </c>
      <c r="L2848" s="15">
        <v>269.0</v>
      </c>
      <c r="M2848" s="41">
        <v>41201.0</v>
      </c>
      <c r="N2848" s="41">
        <v>41234.0</v>
      </c>
      <c r="O2848" s="15" t="s">
        <v>1554</v>
      </c>
      <c r="Q2848" s="7"/>
    </row>
    <row r="2849">
      <c r="A2849" s="39" t="s">
        <v>12233</v>
      </c>
      <c r="B2849" s="15">
        <v>1141136.0</v>
      </c>
      <c r="C2849" s="15" t="s">
        <v>12234</v>
      </c>
      <c r="D2849" s="15">
        <v>179410.0</v>
      </c>
      <c r="E2849" s="15" t="s">
        <v>1557</v>
      </c>
      <c r="F2849" s="15" t="s">
        <v>1767</v>
      </c>
      <c r="G2849" s="7">
        <v>358.663</v>
      </c>
      <c r="H2849" s="15" t="s">
        <v>4479</v>
      </c>
      <c r="I2849" s="15" t="s">
        <v>1586</v>
      </c>
      <c r="J2849" s="15" t="s">
        <v>12235</v>
      </c>
      <c r="K2849" s="15">
        <v>571.0</v>
      </c>
      <c r="L2849" s="15">
        <v>545.0</v>
      </c>
      <c r="M2849" s="41">
        <v>41201.0</v>
      </c>
      <c r="N2849" s="40">
        <v>41829.0</v>
      </c>
      <c r="O2849" s="15" t="s">
        <v>1554</v>
      </c>
      <c r="Q2849" s="7"/>
    </row>
    <row r="2850">
      <c r="A2850" s="39" t="s">
        <v>12236</v>
      </c>
      <c r="B2850" s="15">
        <v>1141137.0</v>
      </c>
      <c r="C2850" s="15" t="s">
        <v>12237</v>
      </c>
      <c r="D2850" s="15">
        <v>179411.0</v>
      </c>
      <c r="E2850" s="15" t="s">
        <v>1557</v>
      </c>
      <c r="F2850" s="15" t="s">
        <v>1611</v>
      </c>
      <c r="G2850" s="7">
        <v>76.631</v>
      </c>
      <c r="H2850" s="15" t="s">
        <v>2392</v>
      </c>
      <c r="I2850" s="15" t="s">
        <v>1586</v>
      </c>
      <c r="J2850" s="15" t="s">
        <v>12239</v>
      </c>
      <c r="K2850" s="15">
        <v>117.0</v>
      </c>
      <c r="L2850" s="15">
        <v>115.0</v>
      </c>
      <c r="M2850" s="41">
        <v>41201.0</v>
      </c>
      <c r="N2850" s="41">
        <v>41226.0</v>
      </c>
      <c r="O2850" s="15" t="s">
        <v>1554</v>
      </c>
      <c r="Q2850" s="7"/>
    </row>
    <row r="2851">
      <c r="A2851" s="39" t="s">
        <v>12240</v>
      </c>
      <c r="B2851" s="15">
        <v>1141138.0</v>
      </c>
      <c r="C2851" s="15" t="s">
        <v>12241</v>
      </c>
      <c r="D2851" s="15">
        <v>179412.0</v>
      </c>
      <c r="E2851" s="15" t="s">
        <v>1557</v>
      </c>
      <c r="F2851" s="15" t="s">
        <v>1767</v>
      </c>
      <c r="G2851" s="7">
        <v>178.193</v>
      </c>
      <c r="H2851" s="15" t="s">
        <v>2877</v>
      </c>
      <c r="I2851" s="15" t="s">
        <v>1586</v>
      </c>
      <c r="J2851" s="15" t="s">
        <v>12242</v>
      </c>
      <c r="K2851" s="15">
        <v>277.0</v>
      </c>
      <c r="L2851" s="15">
        <v>275.0</v>
      </c>
      <c r="M2851" s="41">
        <v>41201.0</v>
      </c>
      <c r="N2851" s="41">
        <v>41234.0</v>
      </c>
      <c r="O2851" s="15" t="s">
        <v>1554</v>
      </c>
      <c r="Q2851" s="7"/>
    </row>
    <row r="2852">
      <c r="A2852" s="39" t="s">
        <v>12243</v>
      </c>
      <c r="B2852" s="15">
        <v>1141139.0</v>
      </c>
      <c r="C2852" s="15" t="s">
        <v>12244</v>
      </c>
      <c r="D2852" s="15">
        <v>179413.0</v>
      </c>
      <c r="E2852" s="15" t="s">
        <v>1557</v>
      </c>
      <c r="F2852" s="15" t="s">
        <v>1611</v>
      </c>
      <c r="G2852" s="7">
        <v>43.731</v>
      </c>
      <c r="H2852" s="15" t="s">
        <v>2864</v>
      </c>
      <c r="I2852" s="15" t="s">
        <v>1586</v>
      </c>
      <c r="J2852" s="15" t="s">
        <v>12245</v>
      </c>
      <c r="K2852" s="15">
        <v>56.0</v>
      </c>
      <c r="L2852" s="15">
        <v>56.0</v>
      </c>
      <c r="M2852" s="40">
        <v>41214.0</v>
      </c>
      <c r="N2852" s="41">
        <v>41226.0</v>
      </c>
      <c r="O2852" s="15" t="s">
        <v>1554</v>
      </c>
      <c r="Q2852" s="7"/>
    </row>
    <row r="2853">
      <c r="A2853" s="39" t="s">
        <v>12247</v>
      </c>
      <c r="B2853" s="15">
        <v>1141140.0</v>
      </c>
      <c r="C2853" s="15" t="s">
        <v>12248</v>
      </c>
      <c r="D2853" s="15">
        <v>179414.0</v>
      </c>
      <c r="E2853" s="15" t="s">
        <v>1557</v>
      </c>
      <c r="F2853" s="15" t="s">
        <v>1833</v>
      </c>
      <c r="G2853" s="7">
        <v>46.054</v>
      </c>
      <c r="H2853" s="15" t="s">
        <v>1943</v>
      </c>
      <c r="I2853" s="15" t="s">
        <v>1586</v>
      </c>
      <c r="J2853" s="15" t="s">
        <v>12249</v>
      </c>
      <c r="K2853" s="15">
        <v>79.0</v>
      </c>
      <c r="L2853" s="15">
        <v>78.0</v>
      </c>
      <c r="M2853" s="40">
        <v>41214.0</v>
      </c>
      <c r="N2853" s="41">
        <v>41226.0</v>
      </c>
      <c r="O2853" s="15" t="s">
        <v>1554</v>
      </c>
      <c r="Q2853" s="7"/>
    </row>
    <row r="2854">
      <c r="A2854" s="39" t="s">
        <v>12250</v>
      </c>
      <c r="B2854" s="15">
        <v>1141141.0</v>
      </c>
      <c r="C2854" s="15" t="s">
        <v>12251</v>
      </c>
      <c r="D2854" s="15">
        <v>179415.0</v>
      </c>
      <c r="E2854" s="15" t="s">
        <v>1557</v>
      </c>
      <c r="F2854" s="15" t="s">
        <v>1767</v>
      </c>
      <c r="G2854" s="7">
        <v>167.396</v>
      </c>
      <c r="H2854" s="15" t="s">
        <v>3550</v>
      </c>
      <c r="I2854" s="15" t="s">
        <v>1586</v>
      </c>
      <c r="J2854" s="15" t="s">
        <v>12252</v>
      </c>
      <c r="K2854" s="15">
        <v>292.0</v>
      </c>
      <c r="L2854" s="15">
        <v>282.0</v>
      </c>
      <c r="M2854" s="40">
        <v>41214.0</v>
      </c>
      <c r="N2854" s="41">
        <v>41226.0</v>
      </c>
      <c r="O2854" s="15" t="s">
        <v>1554</v>
      </c>
      <c r="Q2854" s="7"/>
    </row>
    <row r="2855">
      <c r="A2855" s="39" t="s">
        <v>12253</v>
      </c>
      <c r="B2855" s="15">
        <v>1204534.0</v>
      </c>
      <c r="C2855" s="15" t="s">
        <v>12255</v>
      </c>
      <c r="D2855" s="15">
        <v>179416.0</v>
      </c>
      <c r="E2855" s="15" t="s">
        <v>1557</v>
      </c>
      <c r="F2855" s="15" t="s">
        <v>1767</v>
      </c>
      <c r="G2855" s="7">
        <v>48.396</v>
      </c>
      <c r="H2855" s="42">
        <v>43280.0</v>
      </c>
      <c r="I2855" s="15" t="s">
        <v>1586</v>
      </c>
      <c r="J2855" s="15" t="s">
        <v>12256</v>
      </c>
      <c r="K2855" s="15">
        <v>76.0</v>
      </c>
      <c r="L2855" s="15">
        <v>76.0</v>
      </c>
      <c r="M2855" s="40">
        <v>41179.0</v>
      </c>
      <c r="N2855" s="41">
        <v>41226.0</v>
      </c>
      <c r="O2855" s="15" t="s">
        <v>1554</v>
      </c>
      <c r="Q2855" s="7"/>
    </row>
    <row r="2856">
      <c r="A2856" s="39" t="s">
        <v>12257</v>
      </c>
      <c r="B2856" s="15">
        <v>1204535.0</v>
      </c>
      <c r="C2856" s="15" t="s">
        <v>12258</v>
      </c>
      <c r="D2856" s="15">
        <v>179417.0</v>
      </c>
      <c r="E2856" s="15" t="s">
        <v>1557</v>
      </c>
      <c r="F2856" s="15" t="s">
        <v>1767</v>
      </c>
      <c r="G2856" s="7">
        <v>31.674</v>
      </c>
      <c r="H2856" s="15">
        <v>30.0</v>
      </c>
      <c r="I2856" s="15" t="s">
        <v>1586</v>
      </c>
      <c r="J2856" s="15" t="s">
        <v>12260</v>
      </c>
      <c r="K2856" s="15">
        <v>51.0</v>
      </c>
      <c r="L2856" s="15">
        <v>51.0</v>
      </c>
      <c r="M2856" s="40">
        <v>41179.0</v>
      </c>
      <c r="N2856" s="41">
        <v>41226.0</v>
      </c>
      <c r="O2856" s="15" t="s">
        <v>1554</v>
      </c>
      <c r="Q2856" s="7"/>
    </row>
    <row r="2857">
      <c r="A2857" s="39" t="s">
        <v>12261</v>
      </c>
      <c r="B2857" s="15">
        <v>1204537.0</v>
      </c>
      <c r="C2857" s="15" t="s">
        <v>12262</v>
      </c>
      <c r="D2857" s="15">
        <v>222858.0</v>
      </c>
      <c r="E2857" s="15" t="s">
        <v>1557</v>
      </c>
      <c r="F2857" s="15" t="s">
        <v>1833</v>
      </c>
      <c r="G2857" s="7">
        <v>215.71</v>
      </c>
      <c r="H2857" s="15" t="s">
        <v>6204</v>
      </c>
      <c r="I2857" s="15" t="s">
        <v>1586</v>
      </c>
      <c r="J2857" s="15" t="s">
        <v>12263</v>
      </c>
      <c r="K2857" s="15">
        <v>364.0</v>
      </c>
      <c r="L2857" s="15">
        <v>338.0</v>
      </c>
      <c r="M2857" s="41">
        <v>41198.0</v>
      </c>
      <c r="N2857" s="40">
        <v>41828.0</v>
      </c>
      <c r="O2857" s="15" t="s">
        <v>1554</v>
      </c>
      <c r="Q2857" s="7"/>
    </row>
    <row r="2858">
      <c r="A2858" s="39" t="s">
        <v>12265</v>
      </c>
      <c r="B2858" s="15">
        <v>1211640.0</v>
      </c>
      <c r="C2858" s="15" t="s">
        <v>12262</v>
      </c>
      <c r="D2858" s="15">
        <v>222858.0</v>
      </c>
      <c r="E2858" s="15" t="s">
        <v>1557</v>
      </c>
      <c r="F2858" s="15" t="s">
        <v>1833</v>
      </c>
      <c r="G2858" s="7">
        <v>279.967</v>
      </c>
      <c r="H2858" s="15" t="s">
        <v>9693</v>
      </c>
      <c r="I2858" s="15" t="s">
        <v>1586</v>
      </c>
      <c r="J2858" s="15" t="s">
        <v>12266</v>
      </c>
      <c r="K2858" s="15">
        <v>476.0</v>
      </c>
      <c r="L2858" s="15">
        <v>448.0</v>
      </c>
      <c r="M2858" s="41">
        <v>41198.0</v>
      </c>
      <c r="N2858" s="40">
        <v>41828.0</v>
      </c>
      <c r="O2858" s="15" t="s">
        <v>1554</v>
      </c>
      <c r="Q2858" s="7"/>
    </row>
    <row r="2859">
      <c r="A2859" s="39" t="s">
        <v>12267</v>
      </c>
      <c r="B2859" s="15">
        <v>1211641.0</v>
      </c>
      <c r="C2859" s="15" t="s">
        <v>12262</v>
      </c>
      <c r="D2859" s="15">
        <v>222858.0</v>
      </c>
      <c r="E2859" s="15" t="s">
        <v>1557</v>
      </c>
      <c r="F2859" s="15" t="s">
        <v>1833</v>
      </c>
      <c r="G2859" s="7">
        <v>221.828</v>
      </c>
      <c r="H2859" s="15" t="s">
        <v>6204</v>
      </c>
      <c r="I2859" s="15" t="s">
        <v>1586</v>
      </c>
      <c r="J2859" s="15" t="s">
        <v>12268</v>
      </c>
      <c r="K2859" s="15">
        <v>379.0</v>
      </c>
      <c r="L2859" s="15">
        <v>353.0</v>
      </c>
      <c r="M2859" s="41">
        <v>41198.0</v>
      </c>
      <c r="N2859" s="40">
        <v>41828.0</v>
      </c>
      <c r="O2859" s="15" t="s">
        <v>1554</v>
      </c>
      <c r="Q2859" s="7"/>
    </row>
    <row r="2860">
      <c r="A2860" s="39" t="s">
        <v>12269</v>
      </c>
      <c r="B2860" s="15">
        <v>1211642.0</v>
      </c>
      <c r="C2860" s="15" t="s">
        <v>12262</v>
      </c>
      <c r="D2860" s="15">
        <v>222858.0</v>
      </c>
      <c r="E2860" s="15" t="s">
        <v>1557</v>
      </c>
      <c r="F2860" s="15" t="s">
        <v>1833</v>
      </c>
      <c r="G2860" s="7">
        <v>218.929</v>
      </c>
      <c r="H2860" s="15" t="s">
        <v>12271</v>
      </c>
      <c r="I2860" s="15" t="s">
        <v>1586</v>
      </c>
      <c r="J2860" s="15" t="s">
        <v>12272</v>
      </c>
      <c r="K2860" s="15">
        <v>374.0</v>
      </c>
      <c r="L2860" s="15">
        <v>347.0</v>
      </c>
      <c r="M2860" s="41">
        <v>41198.0</v>
      </c>
      <c r="N2860" s="40">
        <v>41828.0</v>
      </c>
      <c r="O2860" s="15" t="s">
        <v>1554</v>
      </c>
      <c r="Q2860" s="7"/>
    </row>
    <row r="2861">
      <c r="A2861" s="39" t="s">
        <v>12273</v>
      </c>
      <c r="B2861" s="15">
        <v>1211643.0</v>
      </c>
      <c r="C2861" s="15" t="s">
        <v>12262</v>
      </c>
      <c r="D2861" s="15">
        <v>222858.0</v>
      </c>
      <c r="E2861" s="15" t="s">
        <v>1557</v>
      </c>
      <c r="F2861" s="15" t="s">
        <v>1833</v>
      </c>
      <c r="G2861" s="7">
        <v>223.72</v>
      </c>
      <c r="H2861" s="15" t="s">
        <v>12271</v>
      </c>
      <c r="I2861" s="15" t="s">
        <v>1586</v>
      </c>
      <c r="J2861" s="15" t="s">
        <v>12274</v>
      </c>
      <c r="K2861" s="15">
        <v>373.0</v>
      </c>
      <c r="L2861" s="15">
        <v>350.0</v>
      </c>
      <c r="M2861" s="41">
        <v>41198.0</v>
      </c>
      <c r="N2861" s="40">
        <v>41828.0</v>
      </c>
      <c r="O2861" s="15" t="s">
        <v>1554</v>
      </c>
      <c r="Q2861" s="7"/>
    </row>
    <row r="2862">
      <c r="A2862" s="39" t="s">
        <v>12276</v>
      </c>
      <c r="B2862" s="15">
        <v>1211644.0</v>
      </c>
      <c r="C2862" s="15" t="s">
        <v>12262</v>
      </c>
      <c r="D2862" s="15">
        <v>222858.0</v>
      </c>
      <c r="E2862" s="15" t="s">
        <v>1557</v>
      </c>
      <c r="F2862" s="15" t="s">
        <v>1833</v>
      </c>
      <c r="G2862" s="7">
        <v>219.216</v>
      </c>
      <c r="H2862" s="15" t="s">
        <v>12271</v>
      </c>
      <c r="I2862" s="15" t="s">
        <v>1586</v>
      </c>
      <c r="J2862" s="15" t="s">
        <v>12277</v>
      </c>
      <c r="K2862" s="15">
        <v>370.0</v>
      </c>
      <c r="L2862" s="15">
        <v>343.0</v>
      </c>
      <c r="M2862" s="41">
        <v>41198.0</v>
      </c>
      <c r="N2862" s="40">
        <v>41828.0</v>
      </c>
      <c r="O2862" s="15" t="s">
        <v>1554</v>
      </c>
      <c r="Q2862" s="7"/>
    </row>
    <row r="2863">
      <c r="A2863" s="39" t="s">
        <v>12278</v>
      </c>
      <c r="B2863" s="15">
        <v>1239381.0</v>
      </c>
      <c r="C2863" s="15" t="s">
        <v>12279</v>
      </c>
      <c r="D2863" s="15">
        <v>179424.0</v>
      </c>
      <c r="E2863" s="15" t="s">
        <v>1557</v>
      </c>
      <c r="F2863" s="15" t="s">
        <v>1833</v>
      </c>
      <c r="G2863" s="7">
        <v>37.282</v>
      </c>
      <c r="H2863" s="15" t="s">
        <v>2304</v>
      </c>
      <c r="I2863" s="15" t="s">
        <v>1586</v>
      </c>
      <c r="J2863" s="15" t="s">
        <v>12281</v>
      </c>
      <c r="K2863" s="15">
        <v>55.0</v>
      </c>
      <c r="L2863" s="15">
        <v>55.0</v>
      </c>
      <c r="M2863" s="41">
        <v>41198.0</v>
      </c>
      <c r="N2863" s="40">
        <v>41465.0</v>
      </c>
      <c r="O2863" s="15" t="s">
        <v>1554</v>
      </c>
      <c r="Q2863" s="7"/>
    </row>
    <row r="2864">
      <c r="A2864" s="39" t="s">
        <v>12282</v>
      </c>
      <c r="B2864" s="15">
        <v>1239384.0</v>
      </c>
      <c r="C2864" s="15" t="s">
        <v>12283</v>
      </c>
      <c r="D2864" s="15">
        <v>179425.0</v>
      </c>
      <c r="E2864" s="15" t="s">
        <v>1557</v>
      </c>
      <c r="F2864" s="15" t="s">
        <v>1611</v>
      </c>
      <c r="G2864" s="7">
        <v>72.57</v>
      </c>
      <c r="H2864" s="15" t="s">
        <v>2648</v>
      </c>
      <c r="I2864" s="15" t="s">
        <v>1586</v>
      </c>
      <c r="J2864" s="15" t="s">
        <v>12284</v>
      </c>
      <c r="K2864" s="15">
        <v>91.0</v>
      </c>
      <c r="L2864" s="15">
        <v>91.0</v>
      </c>
      <c r="M2864" s="41">
        <v>41205.0</v>
      </c>
      <c r="N2864" s="41">
        <v>41234.0</v>
      </c>
      <c r="O2864" s="15" t="s">
        <v>1554</v>
      </c>
      <c r="Q2864" s="7"/>
    </row>
    <row r="2865">
      <c r="A2865" s="39" t="s">
        <v>12286</v>
      </c>
      <c r="B2865" s="15">
        <v>1245890.0</v>
      </c>
      <c r="C2865" s="15" t="s">
        <v>12287</v>
      </c>
      <c r="D2865" s="15">
        <v>179426.0</v>
      </c>
      <c r="E2865" s="15" t="s">
        <v>1557</v>
      </c>
      <c r="F2865" s="15" t="s">
        <v>1833</v>
      </c>
      <c r="G2865" s="7">
        <v>43.457</v>
      </c>
      <c r="H2865" s="15" t="s">
        <v>3055</v>
      </c>
      <c r="I2865" s="15" t="s">
        <v>1586</v>
      </c>
      <c r="J2865" s="15" t="s">
        <v>12288</v>
      </c>
      <c r="K2865" s="15">
        <v>60.0</v>
      </c>
      <c r="L2865" s="15">
        <v>60.0</v>
      </c>
      <c r="M2865" s="41">
        <v>41212.0</v>
      </c>
      <c r="N2865" s="40">
        <v>41579.0</v>
      </c>
      <c r="O2865" s="15" t="s">
        <v>1554</v>
      </c>
      <c r="Q2865" s="7"/>
    </row>
    <row r="2866">
      <c r="A2866" s="39" t="s">
        <v>12290</v>
      </c>
      <c r="B2866" s="15">
        <v>1072517.0</v>
      </c>
      <c r="C2866" s="15" t="s">
        <v>12291</v>
      </c>
      <c r="D2866" s="15">
        <v>179427.0</v>
      </c>
      <c r="E2866" s="15" t="s">
        <v>1548</v>
      </c>
      <c r="F2866" s="15" t="s">
        <v>1911</v>
      </c>
      <c r="G2866" s="7">
        <v>9.842</v>
      </c>
      <c r="H2866" s="15" t="s">
        <v>2178</v>
      </c>
      <c r="I2866" s="15" t="s">
        <v>1628</v>
      </c>
      <c r="J2866" s="15" t="s">
        <v>12292</v>
      </c>
      <c r="K2866" s="15">
        <v>1.0</v>
      </c>
      <c r="L2866" s="15">
        <v>1.0</v>
      </c>
      <c r="M2866" s="40">
        <v>41217.0</v>
      </c>
      <c r="N2866" s="41">
        <v>41226.0</v>
      </c>
      <c r="O2866" s="15" t="s">
        <v>1554</v>
      </c>
      <c r="Q2866" s="7"/>
    </row>
    <row r="2867">
      <c r="A2867" s="39" t="s">
        <v>12293</v>
      </c>
      <c r="B2867" s="15">
        <v>12204.0</v>
      </c>
      <c r="C2867" s="15" t="s">
        <v>12294</v>
      </c>
      <c r="D2867" s="15">
        <v>179428.0</v>
      </c>
      <c r="E2867" s="15" t="s">
        <v>1548</v>
      </c>
      <c r="F2867" s="15" t="s">
        <v>1911</v>
      </c>
      <c r="G2867" s="7">
        <v>9.445</v>
      </c>
      <c r="H2867" s="15" t="s">
        <v>2118</v>
      </c>
      <c r="I2867" s="15" t="s">
        <v>1628</v>
      </c>
      <c r="J2867" s="15" t="s">
        <v>12295</v>
      </c>
      <c r="K2867" s="15">
        <v>1.0</v>
      </c>
      <c r="L2867" s="15">
        <v>1.0</v>
      </c>
      <c r="M2867" s="40">
        <v>41217.0</v>
      </c>
      <c r="N2867" s="41">
        <v>41226.0</v>
      </c>
      <c r="O2867" s="15" t="s">
        <v>1554</v>
      </c>
      <c r="Q2867" s="7"/>
    </row>
    <row r="2868">
      <c r="A2868" s="39" t="s">
        <v>12296</v>
      </c>
      <c r="B2868" s="15">
        <v>1239382.0</v>
      </c>
      <c r="C2868" s="15" t="s">
        <v>12297</v>
      </c>
      <c r="D2868" s="15">
        <v>179429.0</v>
      </c>
      <c r="E2868" s="15" t="s">
        <v>1557</v>
      </c>
      <c r="F2868" s="15" t="s">
        <v>1611</v>
      </c>
      <c r="G2868" s="7">
        <v>38.513</v>
      </c>
      <c r="H2868" s="15" t="s">
        <v>5955</v>
      </c>
      <c r="I2868" s="15" t="s">
        <v>1586</v>
      </c>
      <c r="J2868" s="15" t="s">
        <v>12298</v>
      </c>
      <c r="K2868" s="15">
        <v>45.0</v>
      </c>
      <c r="L2868" s="15">
        <v>45.0</v>
      </c>
      <c r="M2868" s="41">
        <v>41212.0</v>
      </c>
      <c r="N2868" s="41">
        <v>41234.0</v>
      </c>
      <c r="O2868" s="15" t="s">
        <v>1554</v>
      </c>
      <c r="Q2868" s="7"/>
    </row>
    <row r="2869">
      <c r="A2869" s="39" t="s">
        <v>12299</v>
      </c>
      <c r="B2869" s="15">
        <v>1244856.0</v>
      </c>
      <c r="C2869" s="15" t="s">
        <v>12300</v>
      </c>
      <c r="D2869" s="15">
        <v>179430.0</v>
      </c>
      <c r="E2869" s="15" t="s">
        <v>1557</v>
      </c>
      <c r="F2869" s="15" t="s">
        <v>1611</v>
      </c>
      <c r="G2869" s="7">
        <v>41.549</v>
      </c>
      <c r="H2869" s="15" t="s">
        <v>5382</v>
      </c>
      <c r="I2869" s="15" t="s">
        <v>1586</v>
      </c>
      <c r="J2869" s="15" t="s">
        <v>12302</v>
      </c>
      <c r="K2869" s="15">
        <v>48.0</v>
      </c>
      <c r="L2869" s="15">
        <v>48.0</v>
      </c>
      <c r="M2869" s="41">
        <v>41202.0</v>
      </c>
      <c r="N2869" s="40">
        <v>41389.0</v>
      </c>
      <c r="O2869" s="15" t="s">
        <v>1554</v>
      </c>
      <c r="Q2869" s="7"/>
    </row>
    <row r="2870">
      <c r="A2870" s="39" t="s">
        <v>12303</v>
      </c>
      <c r="B2870" s="15">
        <v>1245909.0</v>
      </c>
      <c r="C2870" s="15" t="s">
        <v>12304</v>
      </c>
      <c r="D2870" s="15">
        <v>179431.0</v>
      </c>
      <c r="E2870" s="15" t="s">
        <v>1557</v>
      </c>
      <c r="F2870" s="15" t="s">
        <v>6215</v>
      </c>
      <c r="G2870" s="7">
        <v>27.431</v>
      </c>
      <c r="H2870" s="15" t="s">
        <v>2484</v>
      </c>
      <c r="I2870" s="15" t="s">
        <v>1618</v>
      </c>
      <c r="J2870" s="15" t="s">
        <v>12305</v>
      </c>
      <c r="K2870" s="15">
        <v>37.0</v>
      </c>
      <c r="L2870" s="15">
        <v>37.0</v>
      </c>
      <c r="M2870" s="41">
        <v>41208.0</v>
      </c>
      <c r="N2870" s="40">
        <v>41346.0</v>
      </c>
      <c r="O2870" s="15" t="s">
        <v>1554</v>
      </c>
      <c r="Q2870" s="7"/>
    </row>
    <row r="2871">
      <c r="A2871" s="39" t="s">
        <v>12306</v>
      </c>
      <c r="B2871" s="15">
        <v>87097.0</v>
      </c>
      <c r="C2871" s="15" t="s">
        <v>12307</v>
      </c>
      <c r="D2871" s="15">
        <v>179432.0</v>
      </c>
      <c r="E2871" s="15" t="s">
        <v>1548</v>
      </c>
      <c r="F2871" s="15" t="s">
        <v>1911</v>
      </c>
      <c r="G2871" s="7">
        <v>9.538</v>
      </c>
      <c r="H2871" s="15" t="s">
        <v>2640</v>
      </c>
      <c r="I2871" s="15" t="s">
        <v>1628</v>
      </c>
      <c r="J2871" s="15" t="s">
        <v>12308</v>
      </c>
      <c r="K2871" s="15">
        <v>2.0</v>
      </c>
      <c r="L2871" s="15">
        <v>2.0</v>
      </c>
      <c r="M2871" s="40">
        <v>41220.0</v>
      </c>
      <c r="N2871" s="40">
        <v>41302.0</v>
      </c>
      <c r="O2871" s="15" t="s">
        <v>1554</v>
      </c>
      <c r="Q2871" s="7"/>
    </row>
    <row r="2872">
      <c r="A2872" s="39" t="s">
        <v>12309</v>
      </c>
      <c r="B2872" s="15">
        <v>10732.0</v>
      </c>
      <c r="C2872" s="15" t="s">
        <v>12310</v>
      </c>
      <c r="D2872" s="15">
        <v>179407.0</v>
      </c>
      <c r="E2872" s="15" t="s">
        <v>1557</v>
      </c>
      <c r="F2872" s="15" t="s">
        <v>1833</v>
      </c>
      <c r="G2872" s="7">
        <v>51.071</v>
      </c>
      <c r="H2872" s="15">
        <v>67.0</v>
      </c>
      <c r="I2872" s="15" t="s">
        <v>1586</v>
      </c>
      <c r="J2872" s="15" t="s">
        <v>12311</v>
      </c>
      <c r="K2872" s="15">
        <v>87.0</v>
      </c>
      <c r="L2872" s="15">
        <v>86.0</v>
      </c>
      <c r="M2872" s="41">
        <v>41192.0</v>
      </c>
      <c r="N2872" s="41">
        <v>41226.0</v>
      </c>
      <c r="O2872" s="15" t="s">
        <v>1554</v>
      </c>
      <c r="Q2872" s="7"/>
    </row>
    <row r="2873">
      <c r="A2873" s="39" t="s">
        <v>12312</v>
      </c>
      <c r="B2873" s="15">
        <v>1243183.0</v>
      </c>
      <c r="D2873" s="15">
        <v>0.0</v>
      </c>
      <c r="E2873" s="15" t="s">
        <v>1557</v>
      </c>
      <c r="F2873" s="15" t="s">
        <v>1767</v>
      </c>
      <c r="G2873" s="7">
        <v>43.665</v>
      </c>
      <c r="H2873" s="15" t="s">
        <v>2375</v>
      </c>
      <c r="I2873" s="15" t="s">
        <v>1586</v>
      </c>
      <c r="J2873" s="15" t="s">
        <v>12313</v>
      </c>
      <c r="K2873" s="15">
        <v>82.0</v>
      </c>
      <c r="L2873" s="15">
        <v>82.0</v>
      </c>
      <c r="M2873" s="41">
        <v>41212.0</v>
      </c>
      <c r="N2873" s="40">
        <v>41837.0</v>
      </c>
      <c r="O2873" s="15" t="s">
        <v>1554</v>
      </c>
      <c r="Q2873" s="7"/>
    </row>
    <row r="2874">
      <c r="A2874" s="39" t="s">
        <v>12315</v>
      </c>
      <c r="B2874" s="15">
        <v>1206558.0</v>
      </c>
      <c r="C2874" s="15" t="s">
        <v>12316</v>
      </c>
      <c r="D2874" s="15">
        <v>171528.0</v>
      </c>
      <c r="E2874" s="15" t="s">
        <v>1557</v>
      </c>
      <c r="F2874" s="15" t="s">
        <v>1767</v>
      </c>
      <c r="G2874" s="7">
        <v>168.809</v>
      </c>
      <c r="H2874" s="15" t="s">
        <v>3260</v>
      </c>
      <c r="I2874" s="15" t="s">
        <v>1586</v>
      </c>
      <c r="J2874" s="15" t="s">
        <v>12317</v>
      </c>
      <c r="K2874" s="15">
        <v>266.0</v>
      </c>
      <c r="L2874" s="15">
        <v>262.0</v>
      </c>
      <c r="M2874" s="40">
        <v>41119.0</v>
      </c>
      <c r="N2874" s="41">
        <v>41262.0</v>
      </c>
      <c r="O2874" s="15" t="s">
        <v>1554</v>
      </c>
      <c r="Q2874" s="7"/>
    </row>
    <row r="2875">
      <c r="A2875" s="39" t="s">
        <v>12318</v>
      </c>
      <c r="B2875" s="15">
        <v>1206557.0</v>
      </c>
      <c r="C2875" s="15" t="s">
        <v>12319</v>
      </c>
      <c r="D2875" s="15">
        <v>171529.0</v>
      </c>
      <c r="E2875" s="15" t="s">
        <v>1557</v>
      </c>
      <c r="F2875" s="15" t="s">
        <v>1833</v>
      </c>
      <c r="G2875" s="7">
        <v>122.696</v>
      </c>
      <c r="H2875" s="15" t="s">
        <v>2019</v>
      </c>
      <c r="I2875" s="15" t="s">
        <v>1586</v>
      </c>
      <c r="J2875" s="15" t="s">
        <v>12320</v>
      </c>
      <c r="K2875" s="15">
        <v>185.0</v>
      </c>
      <c r="L2875" s="15">
        <v>166.0</v>
      </c>
      <c r="M2875" s="40">
        <v>41119.0</v>
      </c>
      <c r="N2875" s="40">
        <v>42446.0</v>
      </c>
      <c r="O2875" s="15" t="s">
        <v>1554</v>
      </c>
      <c r="Q2875" s="7"/>
    </row>
    <row r="2876">
      <c r="A2876" s="39" t="s">
        <v>12321</v>
      </c>
      <c r="B2876" s="15">
        <v>1206560.0</v>
      </c>
      <c r="C2876" s="15" t="s">
        <v>12322</v>
      </c>
      <c r="D2876" s="15">
        <v>171530.0</v>
      </c>
      <c r="E2876" s="15" t="s">
        <v>1557</v>
      </c>
      <c r="F2876" s="15" t="s">
        <v>1767</v>
      </c>
      <c r="G2876" s="7">
        <v>167.063</v>
      </c>
      <c r="H2876" s="15" t="s">
        <v>2103</v>
      </c>
      <c r="I2876" s="15" t="s">
        <v>1586</v>
      </c>
      <c r="J2876" s="15" t="s">
        <v>12323</v>
      </c>
      <c r="K2876" s="15">
        <v>277.0</v>
      </c>
      <c r="L2876" s="15">
        <v>277.0</v>
      </c>
      <c r="M2876" s="40">
        <v>41119.0</v>
      </c>
      <c r="N2876" s="40">
        <v>42179.0</v>
      </c>
      <c r="O2876" s="15" t="s">
        <v>1554</v>
      </c>
      <c r="Q2876" s="7"/>
    </row>
    <row r="2877">
      <c r="A2877" s="39" t="s">
        <v>12325</v>
      </c>
      <c r="B2877" s="15">
        <v>1206559.0</v>
      </c>
      <c r="C2877" s="15" t="s">
        <v>12326</v>
      </c>
      <c r="D2877" s="15">
        <v>171531.0</v>
      </c>
      <c r="E2877" s="15" t="s">
        <v>1557</v>
      </c>
      <c r="F2877" s="15" t="s">
        <v>1611</v>
      </c>
      <c r="G2877" s="7">
        <v>42.081</v>
      </c>
      <c r="H2877" s="15" t="s">
        <v>1782</v>
      </c>
      <c r="I2877" s="15" t="s">
        <v>1586</v>
      </c>
      <c r="J2877" s="15" t="s">
        <v>12327</v>
      </c>
      <c r="K2877" s="15">
        <v>55.0</v>
      </c>
      <c r="L2877" s="15">
        <v>55.0</v>
      </c>
      <c r="M2877" s="40">
        <v>41119.0</v>
      </c>
      <c r="N2877" s="41">
        <v>41262.0</v>
      </c>
      <c r="O2877" s="15" t="s">
        <v>1554</v>
      </c>
      <c r="Q2877" s="7"/>
    </row>
    <row r="2878">
      <c r="A2878" s="39" t="s">
        <v>12328</v>
      </c>
      <c r="B2878" s="15">
        <v>1231048.0</v>
      </c>
      <c r="C2878" s="15" t="s">
        <v>12329</v>
      </c>
      <c r="D2878" s="15">
        <v>178268.0</v>
      </c>
      <c r="E2878" s="15" t="s">
        <v>1557</v>
      </c>
      <c r="F2878" s="15" t="s">
        <v>1767</v>
      </c>
      <c r="G2878" s="7">
        <v>92.777</v>
      </c>
      <c r="H2878" s="15" t="s">
        <v>3798</v>
      </c>
      <c r="I2878" s="15" t="s">
        <v>1586</v>
      </c>
      <c r="J2878" s="15" t="s">
        <v>12330</v>
      </c>
      <c r="K2878" s="15">
        <v>169.0</v>
      </c>
      <c r="L2878" s="15">
        <v>158.0</v>
      </c>
      <c r="M2878" s="41">
        <v>41206.0</v>
      </c>
      <c r="N2878" s="40">
        <v>41408.0</v>
      </c>
      <c r="O2878" s="15" t="s">
        <v>1554</v>
      </c>
      <c r="Q2878" s="7"/>
    </row>
    <row r="2879">
      <c r="A2879" s="39" t="s">
        <v>12332</v>
      </c>
      <c r="B2879" s="15">
        <v>10689.0</v>
      </c>
      <c r="C2879" s="15" t="s">
        <v>12333</v>
      </c>
      <c r="D2879" s="15">
        <v>181062.0</v>
      </c>
      <c r="E2879" s="15" t="s">
        <v>1557</v>
      </c>
      <c r="F2879" s="15" t="s">
        <v>1767</v>
      </c>
      <c r="G2879" s="7">
        <v>44.492</v>
      </c>
      <c r="H2879" s="15" t="s">
        <v>3407</v>
      </c>
      <c r="I2879" s="15" t="s">
        <v>1586</v>
      </c>
      <c r="J2879" s="15" t="s">
        <v>12334</v>
      </c>
      <c r="K2879" s="15">
        <v>70.0</v>
      </c>
      <c r="L2879" s="15">
        <v>70.0</v>
      </c>
      <c r="M2879" s="40">
        <v>40971.0</v>
      </c>
      <c r="N2879" s="41">
        <v>41229.0</v>
      </c>
      <c r="O2879" s="15" t="s">
        <v>1554</v>
      </c>
      <c r="Q2879" s="7"/>
    </row>
    <row r="2880">
      <c r="A2880" s="39" t="s">
        <v>12335</v>
      </c>
      <c r="B2880" s="15">
        <v>1079999.0</v>
      </c>
      <c r="C2880" s="15" t="s">
        <v>12336</v>
      </c>
      <c r="D2880" s="15">
        <v>181073.0</v>
      </c>
      <c r="E2880" s="15" t="s">
        <v>1557</v>
      </c>
      <c r="F2880" s="15" t="s">
        <v>1767</v>
      </c>
      <c r="G2880" s="7">
        <v>172.879</v>
      </c>
      <c r="H2880" s="15" t="s">
        <v>1994</v>
      </c>
      <c r="I2880" s="15" t="s">
        <v>1586</v>
      </c>
      <c r="J2880" s="15" t="s">
        <v>12338</v>
      </c>
      <c r="K2880" s="15">
        <v>234.0</v>
      </c>
      <c r="L2880" s="15">
        <v>234.0</v>
      </c>
      <c r="M2880" s="40">
        <v>40980.0</v>
      </c>
      <c r="N2880" s="40">
        <v>42011.0</v>
      </c>
      <c r="O2880" s="15" t="s">
        <v>1554</v>
      </c>
      <c r="Q2880" s="7"/>
    </row>
    <row r="2881">
      <c r="A2881" s="39" t="s">
        <v>12339</v>
      </c>
      <c r="B2881" s="15">
        <v>1124654.0</v>
      </c>
      <c r="C2881" s="15" t="s">
        <v>12340</v>
      </c>
      <c r="D2881" s="15">
        <v>181074.0</v>
      </c>
      <c r="E2881" s="15" t="s">
        <v>1557</v>
      </c>
      <c r="F2881" s="15" t="s">
        <v>1611</v>
      </c>
      <c r="G2881" s="7">
        <v>44.784</v>
      </c>
      <c r="H2881" s="15" t="s">
        <v>2836</v>
      </c>
      <c r="I2881" s="15" t="s">
        <v>1586</v>
      </c>
      <c r="J2881" s="15" t="s">
        <v>12341</v>
      </c>
      <c r="K2881" s="15">
        <v>57.0</v>
      </c>
      <c r="L2881" s="15">
        <v>57.0</v>
      </c>
      <c r="M2881" s="41">
        <v>40897.0</v>
      </c>
      <c r="N2881" s="41">
        <v>41229.0</v>
      </c>
      <c r="O2881" s="15" t="s">
        <v>1554</v>
      </c>
      <c r="Q2881" s="7"/>
    </row>
    <row r="2882">
      <c r="A2882" s="39" t="s">
        <v>12343</v>
      </c>
      <c r="B2882" s="15">
        <v>1124655.0</v>
      </c>
      <c r="C2882" s="15" t="s">
        <v>12344</v>
      </c>
      <c r="D2882" s="15">
        <v>181075.0</v>
      </c>
      <c r="E2882" s="15" t="s">
        <v>1557</v>
      </c>
      <c r="F2882" s="15" t="s">
        <v>1611</v>
      </c>
      <c r="G2882" s="7">
        <v>60.523</v>
      </c>
      <c r="H2882" s="15" t="s">
        <v>5391</v>
      </c>
      <c r="I2882" s="15" t="s">
        <v>1586</v>
      </c>
      <c r="J2882" s="15" t="s">
        <v>12345</v>
      </c>
      <c r="K2882" s="15">
        <v>72.0</v>
      </c>
      <c r="L2882" s="15">
        <v>72.0</v>
      </c>
      <c r="M2882" s="41">
        <v>40897.0</v>
      </c>
      <c r="N2882" s="41">
        <v>41229.0</v>
      </c>
      <c r="O2882" s="15" t="s">
        <v>1554</v>
      </c>
      <c r="Q2882" s="7"/>
    </row>
    <row r="2883">
      <c r="A2883" s="39" t="s">
        <v>12346</v>
      </c>
      <c r="B2883" s="15">
        <v>37105.0</v>
      </c>
      <c r="C2883" s="15" t="s">
        <v>12348</v>
      </c>
      <c r="D2883" s="15">
        <v>181076.0</v>
      </c>
      <c r="E2883" s="15" t="s">
        <v>1557</v>
      </c>
      <c r="F2883" s="15" t="s">
        <v>1833</v>
      </c>
      <c r="G2883" s="7">
        <v>49.433</v>
      </c>
      <c r="H2883" s="15" t="s">
        <v>2392</v>
      </c>
      <c r="I2883" s="15" t="s">
        <v>1586</v>
      </c>
      <c r="J2883" s="15" t="s">
        <v>12349</v>
      </c>
      <c r="K2883" s="15">
        <v>77.0</v>
      </c>
      <c r="L2883" s="15">
        <v>77.0</v>
      </c>
      <c r="M2883" s="40">
        <v>40729.0</v>
      </c>
      <c r="N2883" s="41">
        <v>41229.0</v>
      </c>
      <c r="O2883" s="15" t="s">
        <v>1554</v>
      </c>
      <c r="Q2883" s="7"/>
    </row>
    <row r="2884">
      <c r="A2884" s="39" t="s">
        <v>12350</v>
      </c>
      <c r="B2884" s="15">
        <v>508419.0</v>
      </c>
      <c r="C2884" s="15" t="s">
        <v>12351</v>
      </c>
      <c r="D2884" s="15">
        <v>181077.0</v>
      </c>
      <c r="E2884" s="15" t="s">
        <v>1557</v>
      </c>
      <c r="F2884" s="15" t="s">
        <v>1833</v>
      </c>
      <c r="G2884" s="7">
        <v>31.841</v>
      </c>
      <c r="H2884" s="15">
        <v>42.0</v>
      </c>
      <c r="I2884" s="15" t="s">
        <v>1586</v>
      </c>
      <c r="J2884" s="15" t="s">
        <v>12353</v>
      </c>
      <c r="K2884" s="15">
        <v>50.0</v>
      </c>
      <c r="L2884" s="15">
        <v>50.0</v>
      </c>
      <c r="M2884" s="40">
        <v>40727.0</v>
      </c>
      <c r="N2884" s="40">
        <v>41320.0</v>
      </c>
      <c r="O2884" s="15" t="s">
        <v>1554</v>
      </c>
      <c r="Q2884" s="7"/>
    </row>
    <row r="2885">
      <c r="A2885" s="39" t="s">
        <v>12354</v>
      </c>
      <c r="B2885" s="15">
        <v>767473.0</v>
      </c>
      <c r="C2885" s="15" t="s">
        <v>12355</v>
      </c>
      <c r="D2885" s="15">
        <v>181078.0</v>
      </c>
      <c r="E2885" s="15" t="s">
        <v>1548</v>
      </c>
      <c r="F2885" s="15" t="s">
        <v>4850</v>
      </c>
      <c r="G2885" s="7">
        <v>3.762</v>
      </c>
      <c r="H2885" s="15" t="s">
        <v>2351</v>
      </c>
      <c r="I2885" s="15" t="s">
        <v>1586</v>
      </c>
      <c r="J2885" s="15" t="s">
        <v>12356</v>
      </c>
      <c r="K2885" s="15">
        <v>4.0</v>
      </c>
      <c r="L2885" s="15">
        <v>4.0</v>
      </c>
      <c r="M2885" s="40">
        <v>40329.0</v>
      </c>
      <c r="N2885" s="41">
        <v>41229.0</v>
      </c>
      <c r="O2885" s="15" t="s">
        <v>1554</v>
      </c>
      <c r="Q2885" s="7"/>
    </row>
    <row r="2886">
      <c r="A2886" s="39" t="s">
        <v>12358</v>
      </c>
      <c r="B2886" s="15">
        <v>881915.0</v>
      </c>
      <c r="C2886" s="15" t="s">
        <v>12359</v>
      </c>
      <c r="D2886" s="15">
        <v>181079.0</v>
      </c>
      <c r="E2886" s="15" t="s">
        <v>1557</v>
      </c>
      <c r="F2886" s="15" t="s">
        <v>1611</v>
      </c>
      <c r="G2886" s="7">
        <v>44.546</v>
      </c>
      <c r="H2886" s="15">
        <v>54.0</v>
      </c>
      <c r="I2886" s="15" t="s">
        <v>1586</v>
      </c>
      <c r="J2886" s="15" t="s">
        <v>12360</v>
      </c>
      <c r="K2886" s="15">
        <v>55.0</v>
      </c>
      <c r="L2886" s="15">
        <v>55.0</v>
      </c>
      <c r="M2886" s="40">
        <v>40452.0</v>
      </c>
      <c r="N2886" s="41">
        <v>41229.0</v>
      </c>
      <c r="O2886" s="15" t="s">
        <v>1554</v>
      </c>
      <c r="Q2886" s="7"/>
    </row>
    <row r="2887">
      <c r="A2887" s="39" t="s">
        <v>12362</v>
      </c>
      <c r="B2887" s="15">
        <v>926589.0</v>
      </c>
      <c r="C2887" s="15" t="s">
        <v>12363</v>
      </c>
      <c r="D2887" s="15">
        <v>181080.0</v>
      </c>
      <c r="E2887" s="15" t="s">
        <v>1557</v>
      </c>
      <c r="F2887" s="15" t="s">
        <v>1767</v>
      </c>
      <c r="G2887" s="7">
        <v>156.628</v>
      </c>
      <c r="H2887" s="15" t="s">
        <v>2877</v>
      </c>
      <c r="I2887" s="15" t="s">
        <v>1586</v>
      </c>
      <c r="J2887" s="15" t="s">
        <v>12364</v>
      </c>
      <c r="K2887" s="15">
        <v>213.0</v>
      </c>
      <c r="L2887" s="15">
        <v>209.0</v>
      </c>
      <c r="M2887" s="41">
        <v>40897.0</v>
      </c>
      <c r="N2887" s="40">
        <v>41502.0</v>
      </c>
      <c r="O2887" s="15" t="s">
        <v>1554</v>
      </c>
      <c r="Q2887" s="7"/>
    </row>
    <row r="2888">
      <c r="A2888" s="39" t="s">
        <v>12365</v>
      </c>
      <c r="B2888" s="15">
        <v>936152.0</v>
      </c>
      <c r="C2888" s="15" t="s">
        <v>12366</v>
      </c>
      <c r="D2888" s="15">
        <v>181081.0</v>
      </c>
      <c r="E2888" s="15" t="s">
        <v>1557</v>
      </c>
      <c r="F2888" s="15" t="s">
        <v>1833</v>
      </c>
      <c r="G2888" s="7">
        <v>49.329</v>
      </c>
      <c r="H2888" s="15" t="s">
        <v>4283</v>
      </c>
      <c r="I2888" s="15" t="s">
        <v>1586</v>
      </c>
      <c r="J2888" s="15" t="s">
        <v>12368</v>
      </c>
      <c r="K2888" s="15">
        <v>80.0</v>
      </c>
      <c r="L2888" s="15">
        <v>80.0</v>
      </c>
      <c r="M2888" s="40">
        <v>40653.0</v>
      </c>
      <c r="N2888" s="41">
        <v>41229.0</v>
      </c>
      <c r="O2888" s="15" t="s">
        <v>1554</v>
      </c>
      <c r="Q2888" s="7"/>
    </row>
    <row r="2889">
      <c r="A2889" s="39" t="s">
        <v>12369</v>
      </c>
      <c r="B2889" s="15">
        <v>941058.0</v>
      </c>
      <c r="C2889" s="15" t="s">
        <v>12370</v>
      </c>
      <c r="D2889" s="15">
        <v>181082.0</v>
      </c>
      <c r="E2889" s="15" t="s">
        <v>1557</v>
      </c>
      <c r="F2889" s="15" t="s">
        <v>1767</v>
      </c>
      <c r="G2889" s="7">
        <v>143.986</v>
      </c>
      <c r="H2889" s="15" t="s">
        <v>2019</v>
      </c>
      <c r="I2889" s="15" t="s">
        <v>1586</v>
      </c>
      <c r="J2889" s="15" t="s">
        <v>12372</v>
      </c>
      <c r="K2889" s="15">
        <v>236.0</v>
      </c>
      <c r="L2889" s="15">
        <v>236.0</v>
      </c>
      <c r="M2889" s="40">
        <v>40744.0</v>
      </c>
      <c r="N2889" s="41">
        <v>41229.0</v>
      </c>
      <c r="O2889" s="15" t="s">
        <v>1554</v>
      </c>
      <c r="Q2889" s="7"/>
    </row>
    <row r="2890">
      <c r="A2890" s="39" t="s">
        <v>12373</v>
      </c>
      <c r="B2890" s="15">
        <v>947980.0</v>
      </c>
      <c r="C2890" s="15" t="s">
        <v>12374</v>
      </c>
      <c r="D2890" s="15">
        <v>181083.0</v>
      </c>
      <c r="E2890" s="15" t="s">
        <v>1557</v>
      </c>
      <c r="F2890" s="15" t="s">
        <v>1833</v>
      </c>
      <c r="G2890" s="7">
        <v>42.606</v>
      </c>
      <c r="H2890" s="15">
        <v>45.0</v>
      </c>
      <c r="I2890" s="15" t="s">
        <v>1586</v>
      </c>
      <c r="J2890" s="15" t="s">
        <v>12375</v>
      </c>
      <c r="K2890" s="15">
        <v>57.0</v>
      </c>
      <c r="L2890" s="15">
        <v>57.0</v>
      </c>
      <c r="M2890" s="40">
        <v>40573.0</v>
      </c>
      <c r="N2890" s="41">
        <v>41229.0</v>
      </c>
      <c r="O2890" s="15" t="s">
        <v>1554</v>
      </c>
      <c r="Q2890" s="7"/>
    </row>
    <row r="2891">
      <c r="A2891" s="39" t="s">
        <v>12377</v>
      </c>
      <c r="B2891" s="15">
        <v>947981.0</v>
      </c>
      <c r="C2891" s="15" t="s">
        <v>12378</v>
      </c>
      <c r="D2891" s="15">
        <v>181084.0</v>
      </c>
      <c r="E2891" s="15" t="s">
        <v>1557</v>
      </c>
      <c r="F2891" s="15" t="s">
        <v>1833</v>
      </c>
      <c r="G2891" s="7">
        <v>41.726</v>
      </c>
      <c r="H2891" s="15" t="s">
        <v>2141</v>
      </c>
      <c r="I2891" s="15" t="s">
        <v>1586</v>
      </c>
      <c r="J2891" s="15" t="s">
        <v>12379</v>
      </c>
      <c r="K2891" s="15">
        <v>58.0</v>
      </c>
      <c r="L2891" s="15">
        <v>58.0</v>
      </c>
      <c r="M2891" s="40">
        <v>40573.0</v>
      </c>
      <c r="N2891" s="41">
        <v>41229.0</v>
      </c>
      <c r="O2891" s="15" t="s">
        <v>1554</v>
      </c>
      <c r="Q2891" s="7"/>
    </row>
    <row r="2892">
      <c r="A2892" s="39" t="s">
        <v>12381</v>
      </c>
      <c r="B2892" s="15">
        <v>1133293.0</v>
      </c>
      <c r="C2892" s="15" t="s">
        <v>12382</v>
      </c>
      <c r="D2892" s="15">
        <v>181064.0</v>
      </c>
      <c r="E2892" s="15" t="s">
        <v>1557</v>
      </c>
      <c r="F2892" s="15" t="s">
        <v>1611</v>
      </c>
      <c r="G2892" s="7">
        <v>38.253</v>
      </c>
      <c r="H2892" s="15" t="s">
        <v>5368</v>
      </c>
      <c r="I2892" s="15" t="s">
        <v>1586</v>
      </c>
      <c r="J2892" s="15" t="s">
        <v>12383</v>
      </c>
      <c r="K2892" s="15">
        <v>57.0</v>
      </c>
      <c r="L2892" s="15">
        <v>57.0</v>
      </c>
      <c r="M2892" s="40">
        <v>40933.0</v>
      </c>
      <c r="N2892" s="41">
        <v>41229.0</v>
      </c>
      <c r="O2892" s="15" t="s">
        <v>1554</v>
      </c>
      <c r="Q2892" s="7"/>
    </row>
    <row r="2893">
      <c r="A2893" s="39" t="s">
        <v>12384</v>
      </c>
      <c r="B2893" s="15">
        <v>1158680.0</v>
      </c>
      <c r="C2893" s="15" t="s">
        <v>12385</v>
      </c>
      <c r="D2893" s="15">
        <v>181065.0</v>
      </c>
      <c r="E2893" s="15" t="s">
        <v>1557</v>
      </c>
      <c r="F2893" s="15" t="s">
        <v>1767</v>
      </c>
      <c r="G2893" s="7">
        <v>66.116</v>
      </c>
      <c r="H2893" s="15" t="s">
        <v>9707</v>
      </c>
      <c r="I2893" s="15" t="s">
        <v>1586</v>
      </c>
      <c r="J2893" s="15" t="s">
        <v>12387</v>
      </c>
      <c r="K2893" s="15">
        <v>94.0</v>
      </c>
      <c r="L2893" s="15">
        <v>94.0</v>
      </c>
      <c r="M2893" s="40">
        <v>40981.0</v>
      </c>
      <c r="N2893" s="41">
        <v>41229.0</v>
      </c>
      <c r="O2893" s="15" t="s">
        <v>1554</v>
      </c>
      <c r="Q2893" s="7"/>
    </row>
    <row r="2894">
      <c r="A2894" s="39" t="s">
        <v>12388</v>
      </c>
      <c r="B2894" s="15">
        <v>483266.0</v>
      </c>
      <c r="C2894" s="15" t="s">
        <v>12389</v>
      </c>
      <c r="D2894" s="15">
        <v>181066.0</v>
      </c>
      <c r="E2894" s="15" t="s">
        <v>1557</v>
      </c>
      <c r="F2894" s="15" t="s">
        <v>1767</v>
      </c>
      <c r="G2894" s="7">
        <v>37.151</v>
      </c>
      <c r="H2894" s="15" t="s">
        <v>1849</v>
      </c>
      <c r="I2894" s="15" t="s">
        <v>1586</v>
      </c>
      <c r="J2894" s="15" t="s">
        <v>12391</v>
      </c>
      <c r="K2894" s="15">
        <v>55.0</v>
      </c>
      <c r="L2894" s="15">
        <v>55.0</v>
      </c>
      <c r="M2894" s="40">
        <v>40693.0</v>
      </c>
      <c r="N2894" s="41">
        <v>41229.0</v>
      </c>
      <c r="O2894" s="15" t="s">
        <v>1554</v>
      </c>
      <c r="Q2894" s="7"/>
    </row>
    <row r="2895">
      <c r="A2895" s="39" t="s">
        <v>12392</v>
      </c>
      <c r="B2895" s="15">
        <v>749447.0</v>
      </c>
      <c r="C2895" s="15" t="s">
        <v>12393</v>
      </c>
      <c r="D2895" s="15">
        <v>181067.0</v>
      </c>
      <c r="E2895" s="15" t="s">
        <v>1557</v>
      </c>
      <c r="F2895" s="15" t="s">
        <v>1767</v>
      </c>
      <c r="G2895" s="7">
        <v>66.275</v>
      </c>
      <c r="H2895" s="15" t="s">
        <v>4563</v>
      </c>
      <c r="I2895" s="15" t="s">
        <v>1586</v>
      </c>
      <c r="J2895" s="15" t="s">
        <v>12394</v>
      </c>
      <c r="K2895" s="15">
        <v>93.0</v>
      </c>
      <c r="L2895" s="15">
        <v>93.0</v>
      </c>
      <c r="M2895" s="41">
        <v>40499.0</v>
      </c>
      <c r="N2895" s="41">
        <v>41229.0</v>
      </c>
      <c r="O2895" s="15" t="s">
        <v>1554</v>
      </c>
      <c r="Q2895" s="7"/>
    </row>
    <row r="2896">
      <c r="A2896" s="39" t="s">
        <v>12395</v>
      </c>
      <c r="B2896" s="15">
        <v>757342.0</v>
      </c>
      <c r="C2896" s="15" t="s">
        <v>12396</v>
      </c>
      <c r="D2896" s="15">
        <v>181068.0</v>
      </c>
      <c r="E2896" s="15" t="s">
        <v>1557</v>
      </c>
      <c r="F2896" s="15" t="s">
        <v>1767</v>
      </c>
      <c r="G2896" s="7">
        <v>93.017</v>
      </c>
      <c r="H2896" s="15" t="s">
        <v>3798</v>
      </c>
      <c r="I2896" s="15" t="s">
        <v>1586</v>
      </c>
      <c r="J2896" s="15" t="s">
        <v>12397</v>
      </c>
      <c r="K2896" s="15">
        <v>173.0</v>
      </c>
      <c r="L2896" s="15">
        <v>161.0</v>
      </c>
      <c r="M2896" s="40">
        <v>40656.0</v>
      </c>
      <c r="N2896" s="40">
        <v>41320.0</v>
      </c>
      <c r="O2896" s="15" t="s">
        <v>1554</v>
      </c>
      <c r="Q2896" s="7"/>
    </row>
    <row r="2897">
      <c r="A2897" s="39" t="s">
        <v>12399</v>
      </c>
      <c r="B2897" s="15">
        <v>760530.0</v>
      </c>
      <c r="C2897" s="15" t="s">
        <v>12400</v>
      </c>
      <c r="D2897" s="15">
        <v>181069.0</v>
      </c>
      <c r="E2897" s="15" t="s">
        <v>1557</v>
      </c>
      <c r="F2897" s="15" t="s">
        <v>1767</v>
      </c>
      <c r="G2897" s="7">
        <v>139.806</v>
      </c>
      <c r="H2897" s="15" t="s">
        <v>2215</v>
      </c>
      <c r="I2897" s="15" t="s">
        <v>1586</v>
      </c>
      <c r="J2897" s="15" t="s">
        <v>12401</v>
      </c>
      <c r="K2897" s="15">
        <v>214.0</v>
      </c>
      <c r="L2897" s="15">
        <v>214.0</v>
      </c>
      <c r="M2897" s="40">
        <v>41129.0</v>
      </c>
      <c r="N2897" s="41">
        <v>41229.0</v>
      </c>
      <c r="O2897" s="15" t="s">
        <v>1554</v>
      </c>
      <c r="Q2897" s="7"/>
    </row>
    <row r="2898">
      <c r="A2898" s="39" t="s">
        <v>12402</v>
      </c>
      <c r="B2898" s="15">
        <v>929814.0</v>
      </c>
      <c r="C2898" s="15" t="s">
        <v>12403</v>
      </c>
      <c r="D2898" s="15">
        <v>181070.0</v>
      </c>
      <c r="E2898" s="15" t="s">
        <v>1557</v>
      </c>
      <c r="F2898" s="15" t="s">
        <v>1767</v>
      </c>
      <c r="G2898" s="7">
        <v>34.117</v>
      </c>
      <c r="H2898" s="15">
        <v>51.0</v>
      </c>
      <c r="I2898" s="15" t="s">
        <v>1586</v>
      </c>
      <c r="J2898" s="15" t="s">
        <v>12404</v>
      </c>
      <c r="K2898" s="15">
        <v>47.0</v>
      </c>
      <c r="L2898" s="15">
        <v>47.0</v>
      </c>
      <c r="M2898" s="41">
        <v>40511.0</v>
      </c>
      <c r="N2898" s="41">
        <v>41229.0</v>
      </c>
      <c r="O2898" s="15" t="s">
        <v>1554</v>
      </c>
      <c r="Q2898" s="7"/>
    </row>
    <row r="2899">
      <c r="A2899" s="39" t="s">
        <v>12406</v>
      </c>
      <c r="B2899" s="15">
        <v>942016.0</v>
      </c>
      <c r="C2899" s="15" t="s">
        <v>12407</v>
      </c>
      <c r="D2899" s="15">
        <v>181071.0</v>
      </c>
      <c r="E2899" s="15" t="s">
        <v>1557</v>
      </c>
      <c r="F2899" s="15" t="s">
        <v>1611</v>
      </c>
      <c r="G2899" s="7">
        <v>59.08</v>
      </c>
      <c r="H2899" s="15" t="s">
        <v>4331</v>
      </c>
      <c r="I2899" s="15" t="s">
        <v>1586</v>
      </c>
      <c r="J2899" s="15" t="s">
        <v>12408</v>
      </c>
      <c r="K2899" s="15">
        <v>80.0</v>
      </c>
      <c r="L2899" s="15">
        <v>77.0</v>
      </c>
      <c r="M2899" s="40">
        <v>40553.0</v>
      </c>
      <c r="N2899" s="41">
        <v>41229.0</v>
      </c>
      <c r="O2899" s="15" t="s">
        <v>1554</v>
      </c>
      <c r="Q2899" s="7"/>
    </row>
    <row r="2900">
      <c r="A2900" s="39" t="s">
        <v>12409</v>
      </c>
      <c r="B2900" s="15">
        <v>1079998.0</v>
      </c>
      <c r="C2900" s="15" t="s">
        <v>12410</v>
      </c>
      <c r="D2900" s="15">
        <v>181072.0</v>
      </c>
      <c r="E2900" s="15" t="s">
        <v>1557</v>
      </c>
      <c r="F2900" s="15" t="s">
        <v>1767</v>
      </c>
      <c r="G2900" s="7">
        <v>176.043</v>
      </c>
      <c r="H2900" s="15" t="s">
        <v>3895</v>
      </c>
      <c r="I2900" s="15" t="s">
        <v>1586</v>
      </c>
      <c r="J2900" s="15" t="s">
        <v>12411</v>
      </c>
      <c r="K2900" s="15">
        <v>225.0</v>
      </c>
      <c r="L2900" s="15">
        <v>225.0</v>
      </c>
      <c r="M2900" s="40">
        <v>40980.0</v>
      </c>
      <c r="N2900" s="40">
        <v>41949.0</v>
      </c>
      <c r="O2900" s="15" t="s">
        <v>1554</v>
      </c>
      <c r="Q2900" s="7"/>
    </row>
    <row r="2901">
      <c r="A2901" s="39" t="s">
        <v>12412</v>
      </c>
      <c r="B2901" s="15">
        <v>1133292.0</v>
      </c>
      <c r="C2901" s="15" t="s">
        <v>12414</v>
      </c>
      <c r="D2901" s="15">
        <v>181063.0</v>
      </c>
      <c r="E2901" s="15" t="s">
        <v>1557</v>
      </c>
      <c r="F2901" s="15" t="s">
        <v>1611</v>
      </c>
      <c r="G2901" s="7">
        <v>41.148</v>
      </c>
      <c r="H2901" s="15" t="s">
        <v>5368</v>
      </c>
      <c r="I2901" s="15" t="s">
        <v>1586</v>
      </c>
      <c r="J2901" s="15" t="s">
        <v>12415</v>
      </c>
      <c r="K2901" s="15">
        <v>58.0</v>
      </c>
      <c r="L2901" s="15">
        <v>58.0</v>
      </c>
      <c r="M2901" s="40">
        <v>40933.0</v>
      </c>
      <c r="N2901" s="41">
        <v>41229.0</v>
      </c>
      <c r="O2901" s="15" t="s">
        <v>1554</v>
      </c>
      <c r="Q2901" s="7"/>
    </row>
    <row r="2902">
      <c r="A2902" s="39" t="s">
        <v>12416</v>
      </c>
      <c r="B2902" s="15">
        <v>1042122.0</v>
      </c>
      <c r="C2902" s="15" t="s">
        <v>12417</v>
      </c>
      <c r="D2902" s="15">
        <v>181210.0</v>
      </c>
      <c r="E2902" s="15" t="s">
        <v>1557</v>
      </c>
      <c r="F2902" s="15" t="s">
        <v>1833</v>
      </c>
      <c r="G2902" s="7">
        <v>38.329</v>
      </c>
      <c r="H2902" s="42">
        <v>43220.0</v>
      </c>
      <c r="I2902" s="15" t="s">
        <v>1586</v>
      </c>
      <c r="J2902" s="15" t="s">
        <v>12418</v>
      </c>
      <c r="K2902" s="15">
        <v>55.0</v>
      </c>
      <c r="L2902" s="15">
        <v>55.0</v>
      </c>
      <c r="M2902" s="40">
        <v>40723.0</v>
      </c>
      <c r="N2902" s="41">
        <v>41234.0</v>
      </c>
      <c r="O2902" s="15" t="s">
        <v>1554</v>
      </c>
      <c r="Q2902" s="7"/>
    </row>
    <row r="2903">
      <c r="A2903" s="39" t="s">
        <v>12419</v>
      </c>
      <c r="B2903" s="15">
        <v>1042123.0</v>
      </c>
      <c r="C2903" s="15" t="s">
        <v>12421</v>
      </c>
      <c r="D2903" s="15">
        <v>181211.0</v>
      </c>
      <c r="E2903" s="15" t="s">
        <v>1557</v>
      </c>
      <c r="F2903" s="15" t="s">
        <v>1833</v>
      </c>
      <c r="G2903" s="7">
        <v>38.309</v>
      </c>
      <c r="H2903" s="42">
        <v>43250.0</v>
      </c>
      <c r="I2903" s="15" t="s">
        <v>1586</v>
      </c>
      <c r="J2903" s="15" t="s">
        <v>12422</v>
      </c>
      <c r="K2903" s="15">
        <v>52.0</v>
      </c>
      <c r="L2903" s="15">
        <v>52.0</v>
      </c>
      <c r="M2903" s="40">
        <v>40723.0</v>
      </c>
      <c r="N2903" s="41">
        <v>41234.0</v>
      </c>
      <c r="O2903" s="15" t="s">
        <v>1554</v>
      </c>
      <c r="Q2903" s="7"/>
    </row>
    <row r="2904">
      <c r="A2904" s="39" t="s">
        <v>12423</v>
      </c>
      <c r="B2904" s="15">
        <v>1052121.0</v>
      </c>
      <c r="C2904" s="15" t="s">
        <v>12424</v>
      </c>
      <c r="D2904" s="15">
        <v>181212.0</v>
      </c>
      <c r="E2904" s="15" t="s">
        <v>1557</v>
      </c>
      <c r="F2904" s="15" t="s">
        <v>1767</v>
      </c>
      <c r="G2904" s="7">
        <v>168.066</v>
      </c>
      <c r="H2904" s="15" t="s">
        <v>6418</v>
      </c>
      <c r="I2904" s="15" t="s">
        <v>1586</v>
      </c>
      <c r="J2904" s="15" t="s">
        <v>12425</v>
      </c>
      <c r="K2904" s="15">
        <v>264.0</v>
      </c>
      <c r="L2904" s="15">
        <v>263.0</v>
      </c>
      <c r="M2904" s="40">
        <v>40793.0</v>
      </c>
      <c r="N2904" s="41">
        <v>41234.0</v>
      </c>
      <c r="O2904" s="15" t="s">
        <v>1554</v>
      </c>
      <c r="Q2904" s="7"/>
    </row>
    <row r="2905">
      <c r="A2905" s="39" t="s">
        <v>12427</v>
      </c>
      <c r="B2905" s="15">
        <v>1124578.0</v>
      </c>
      <c r="C2905" s="15" t="s">
        <v>12428</v>
      </c>
      <c r="D2905" s="15">
        <v>181213.0</v>
      </c>
      <c r="E2905" s="15" t="s">
        <v>1557</v>
      </c>
      <c r="F2905" s="15" t="s">
        <v>1833</v>
      </c>
      <c r="G2905" s="7">
        <v>44.401</v>
      </c>
      <c r="H2905" s="15" t="s">
        <v>7887</v>
      </c>
      <c r="I2905" s="15" t="s">
        <v>1586</v>
      </c>
      <c r="J2905" s="15" t="s">
        <v>12429</v>
      </c>
      <c r="K2905" s="15">
        <v>53.0</v>
      </c>
      <c r="L2905" s="15">
        <v>51.0</v>
      </c>
      <c r="M2905" s="41">
        <v>40893.0</v>
      </c>
      <c r="N2905" s="41">
        <v>41234.0</v>
      </c>
      <c r="O2905" s="15" t="s">
        <v>1554</v>
      </c>
      <c r="Q2905" s="7"/>
    </row>
    <row r="2906">
      <c r="A2906" s="39" t="s">
        <v>12430</v>
      </c>
      <c r="B2906" s="15">
        <v>1127514.0</v>
      </c>
      <c r="C2906" s="15" t="s">
        <v>12431</v>
      </c>
      <c r="D2906" s="15">
        <v>181214.0</v>
      </c>
      <c r="E2906" s="15" t="s">
        <v>1557</v>
      </c>
      <c r="F2906" s="15" t="s">
        <v>1767</v>
      </c>
      <c r="G2906" s="7">
        <v>43.551</v>
      </c>
      <c r="H2906" s="15" t="s">
        <v>10401</v>
      </c>
      <c r="I2906" s="15" t="s">
        <v>1586</v>
      </c>
      <c r="J2906" s="15" t="s">
        <v>12432</v>
      </c>
      <c r="K2906" s="15">
        <v>83.0</v>
      </c>
      <c r="L2906" s="15">
        <v>83.0</v>
      </c>
      <c r="M2906" s="40">
        <v>40971.0</v>
      </c>
      <c r="N2906" s="41">
        <v>41234.0</v>
      </c>
      <c r="O2906" s="15" t="s">
        <v>1554</v>
      </c>
      <c r="Q2906" s="7"/>
    </row>
    <row r="2907">
      <c r="A2907" s="39" t="s">
        <v>12434</v>
      </c>
      <c r="B2907" s="15">
        <v>1127515.0</v>
      </c>
      <c r="C2907" s="15" t="s">
        <v>12435</v>
      </c>
      <c r="D2907" s="15">
        <v>181215.0</v>
      </c>
      <c r="E2907" s="15" t="s">
        <v>1557</v>
      </c>
      <c r="F2907" s="15" t="s">
        <v>1767</v>
      </c>
      <c r="G2907" s="7">
        <v>45.354</v>
      </c>
      <c r="H2907" s="15" t="s">
        <v>1818</v>
      </c>
      <c r="I2907" s="15" t="s">
        <v>1586</v>
      </c>
      <c r="J2907" s="15" t="s">
        <v>12436</v>
      </c>
      <c r="K2907" s="15">
        <v>76.0</v>
      </c>
      <c r="L2907" s="15">
        <v>76.0</v>
      </c>
      <c r="M2907" s="40">
        <v>40971.0</v>
      </c>
      <c r="N2907" s="41">
        <v>41234.0</v>
      </c>
      <c r="O2907" s="15" t="s">
        <v>1554</v>
      </c>
      <c r="Q2907" s="7"/>
    </row>
    <row r="2908">
      <c r="A2908" s="39" t="s">
        <v>12437</v>
      </c>
      <c r="B2908" s="15">
        <v>1127516.0</v>
      </c>
      <c r="C2908" s="15" t="s">
        <v>12438</v>
      </c>
      <c r="D2908" s="15">
        <v>181216.0</v>
      </c>
      <c r="E2908" s="15" t="s">
        <v>1557</v>
      </c>
      <c r="F2908" s="15" t="s">
        <v>1767</v>
      </c>
      <c r="G2908" s="7">
        <v>48.454</v>
      </c>
      <c r="H2908" s="15" t="s">
        <v>3304</v>
      </c>
      <c r="I2908" s="15" t="s">
        <v>1586</v>
      </c>
      <c r="J2908" s="15" t="s">
        <v>12439</v>
      </c>
      <c r="K2908" s="15">
        <v>68.0</v>
      </c>
      <c r="L2908" s="15">
        <v>68.0</v>
      </c>
      <c r="M2908" s="40">
        <v>40971.0</v>
      </c>
      <c r="N2908" s="41">
        <v>41234.0</v>
      </c>
      <c r="O2908" s="15" t="s">
        <v>1554</v>
      </c>
      <c r="Q2908" s="7"/>
    </row>
    <row r="2909">
      <c r="A2909" s="39" t="s">
        <v>12440</v>
      </c>
      <c r="B2909" s="15">
        <v>1127518.0</v>
      </c>
      <c r="C2909" s="15" t="s">
        <v>12442</v>
      </c>
      <c r="D2909" s="15">
        <v>181217.0</v>
      </c>
      <c r="E2909" s="15" t="s">
        <v>1557</v>
      </c>
      <c r="F2909" s="15" t="s">
        <v>1767</v>
      </c>
      <c r="G2909" s="7">
        <v>44.485</v>
      </c>
      <c r="H2909" s="15" t="s">
        <v>8889</v>
      </c>
      <c r="I2909" s="15" t="s">
        <v>1586</v>
      </c>
      <c r="J2909" s="15" t="s">
        <v>12443</v>
      </c>
      <c r="K2909" s="15">
        <v>67.0</v>
      </c>
      <c r="L2909" s="15">
        <v>67.0</v>
      </c>
      <c r="M2909" s="40">
        <v>40971.0</v>
      </c>
      <c r="N2909" s="41">
        <v>41234.0</v>
      </c>
      <c r="O2909" s="15" t="s">
        <v>1554</v>
      </c>
      <c r="Q2909" s="7"/>
    </row>
    <row r="2910">
      <c r="A2910" s="39" t="s">
        <v>12444</v>
      </c>
      <c r="B2910" s="15">
        <v>1128071.0</v>
      </c>
      <c r="C2910" s="15" t="s">
        <v>12445</v>
      </c>
      <c r="D2910" s="15">
        <v>181218.0</v>
      </c>
      <c r="E2910" s="15" t="s">
        <v>1557</v>
      </c>
      <c r="F2910" s="15" t="s">
        <v>1611</v>
      </c>
      <c r="G2910" s="7">
        <v>18.919</v>
      </c>
      <c r="H2910" s="42">
        <v>43339.0</v>
      </c>
      <c r="I2910" s="15" t="s">
        <v>1586</v>
      </c>
      <c r="J2910" s="15" t="s">
        <v>12446</v>
      </c>
      <c r="K2910" s="15">
        <v>22.0</v>
      </c>
      <c r="L2910" s="15">
        <v>22.0</v>
      </c>
      <c r="M2910" s="41">
        <v>40902.0</v>
      </c>
      <c r="N2910" s="41">
        <v>41234.0</v>
      </c>
      <c r="O2910" s="15" t="s">
        <v>1554</v>
      </c>
      <c r="Q2910" s="7"/>
    </row>
    <row r="2911">
      <c r="A2911" s="39" t="s">
        <v>12447</v>
      </c>
      <c r="B2911" s="15">
        <v>1131317.0</v>
      </c>
      <c r="C2911" s="15" t="s">
        <v>12448</v>
      </c>
      <c r="D2911" s="15">
        <v>181219.0</v>
      </c>
      <c r="E2911" s="15" t="s">
        <v>1557</v>
      </c>
      <c r="F2911" s="15" t="s">
        <v>1767</v>
      </c>
      <c r="G2911" s="7">
        <v>136.947</v>
      </c>
      <c r="H2911" s="15" t="s">
        <v>2869</v>
      </c>
      <c r="I2911" s="15" t="s">
        <v>1586</v>
      </c>
      <c r="J2911" s="15" t="s">
        <v>12450</v>
      </c>
      <c r="K2911" s="15">
        <v>223.0</v>
      </c>
      <c r="L2911" s="15">
        <v>218.0</v>
      </c>
      <c r="M2911" s="40">
        <v>40950.0</v>
      </c>
      <c r="N2911" s="41">
        <v>41241.0</v>
      </c>
      <c r="O2911" s="15" t="s">
        <v>1554</v>
      </c>
      <c r="Q2911" s="7"/>
    </row>
    <row r="2912">
      <c r="A2912" s="39" t="s">
        <v>12451</v>
      </c>
      <c r="B2912" s="15">
        <v>1136534.0</v>
      </c>
      <c r="C2912" s="15" t="s">
        <v>12452</v>
      </c>
      <c r="D2912" s="15">
        <v>181220.0</v>
      </c>
      <c r="E2912" s="15" t="s">
        <v>1557</v>
      </c>
      <c r="F2912" s="15" t="s">
        <v>1767</v>
      </c>
      <c r="G2912" s="7">
        <v>93.839</v>
      </c>
      <c r="H2912" s="15">
        <v>38.0</v>
      </c>
      <c r="I2912" s="15" t="s">
        <v>1586</v>
      </c>
      <c r="J2912" s="15" t="s">
        <v>12453</v>
      </c>
      <c r="K2912" s="15">
        <v>140.0</v>
      </c>
      <c r="L2912" s="15">
        <v>140.0</v>
      </c>
      <c r="M2912" s="40">
        <v>41182.0</v>
      </c>
      <c r="N2912" s="41">
        <v>41234.0</v>
      </c>
      <c r="O2912" s="15" t="s">
        <v>1554</v>
      </c>
      <c r="Q2912" s="7"/>
    </row>
    <row r="2913">
      <c r="A2913" s="39" t="s">
        <v>12454</v>
      </c>
      <c r="B2913" s="15">
        <v>1141132.0</v>
      </c>
      <c r="C2913" s="15" t="s">
        <v>12455</v>
      </c>
      <c r="D2913" s="15">
        <v>181221.0</v>
      </c>
      <c r="E2913" s="15" t="s">
        <v>1557</v>
      </c>
      <c r="F2913" s="15" t="s">
        <v>1611</v>
      </c>
      <c r="G2913" s="7">
        <v>41.572</v>
      </c>
      <c r="H2913" s="15" t="s">
        <v>2275</v>
      </c>
      <c r="I2913" s="15" t="s">
        <v>1586</v>
      </c>
      <c r="J2913" s="15" t="s">
        <v>12457</v>
      </c>
      <c r="K2913" s="15">
        <v>51.0</v>
      </c>
      <c r="L2913" s="15">
        <v>51.0</v>
      </c>
      <c r="M2913" s="40">
        <v>40950.0</v>
      </c>
      <c r="N2913" s="41">
        <v>41234.0</v>
      </c>
      <c r="O2913" s="15" t="s">
        <v>1554</v>
      </c>
      <c r="Q2913" s="7"/>
    </row>
    <row r="2914">
      <c r="A2914" s="39" t="s">
        <v>12458</v>
      </c>
      <c r="B2914" s="15">
        <v>1141519.0</v>
      </c>
      <c r="C2914" s="15" t="s">
        <v>12459</v>
      </c>
      <c r="D2914" s="15">
        <v>181222.0</v>
      </c>
      <c r="E2914" s="15" t="s">
        <v>1557</v>
      </c>
      <c r="F2914" s="15" t="s">
        <v>1611</v>
      </c>
      <c r="G2914" s="7">
        <v>42.608</v>
      </c>
      <c r="H2914" s="15" t="s">
        <v>2241</v>
      </c>
      <c r="I2914" s="15" t="s">
        <v>1586</v>
      </c>
      <c r="J2914" s="15" t="s">
        <v>12460</v>
      </c>
      <c r="K2914" s="15">
        <v>31.0</v>
      </c>
      <c r="L2914" s="15">
        <v>31.0</v>
      </c>
      <c r="M2914" s="40">
        <v>40950.0</v>
      </c>
      <c r="N2914" s="41">
        <v>41234.0</v>
      </c>
      <c r="O2914" s="15" t="s">
        <v>1554</v>
      </c>
      <c r="Q2914" s="7"/>
    </row>
    <row r="2915">
      <c r="A2915" s="39" t="s">
        <v>12461</v>
      </c>
      <c r="B2915" s="15">
        <v>1147094.0</v>
      </c>
      <c r="C2915" s="15" t="s">
        <v>12462</v>
      </c>
      <c r="D2915" s="15">
        <v>181223.0</v>
      </c>
      <c r="E2915" s="15" t="s">
        <v>1557</v>
      </c>
      <c r="F2915" s="15" t="s">
        <v>1767</v>
      </c>
      <c r="G2915" s="7">
        <v>345.809</v>
      </c>
      <c r="H2915" s="42">
        <v>43312.0</v>
      </c>
      <c r="I2915" s="15" t="s">
        <v>1586</v>
      </c>
      <c r="J2915" s="15" t="s">
        <v>12464</v>
      </c>
      <c r="K2915" s="15">
        <v>541.0</v>
      </c>
      <c r="L2915" s="15">
        <v>534.0</v>
      </c>
      <c r="M2915" s="40">
        <v>40957.0</v>
      </c>
      <c r="N2915" s="41">
        <v>41234.0</v>
      </c>
      <c r="O2915" s="15" t="s">
        <v>1554</v>
      </c>
      <c r="Q2915" s="7"/>
    </row>
    <row r="2916">
      <c r="A2916" s="39" t="s">
        <v>12465</v>
      </c>
      <c r="B2916" s="15">
        <v>1150989.0</v>
      </c>
      <c r="C2916" s="15" t="s">
        <v>12466</v>
      </c>
      <c r="D2916" s="15">
        <v>181224.0</v>
      </c>
      <c r="E2916" s="15" t="s">
        <v>1557</v>
      </c>
      <c r="F2916" s="15" t="s">
        <v>1833</v>
      </c>
      <c r="G2916" s="7">
        <v>111.506</v>
      </c>
      <c r="H2916" s="15" t="s">
        <v>3000</v>
      </c>
      <c r="I2916" s="15" t="s">
        <v>1586</v>
      </c>
      <c r="J2916" s="15" t="s">
        <v>12467</v>
      </c>
      <c r="K2916" s="15">
        <v>157.0</v>
      </c>
      <c r="L2916" s="15">
        <v>157.0</v>
      </c>
      <c r="M2916" s="40">
        <v>40968.0</v>
      </c>
      <c r="N2916" s="41">
        <v>41234.0</v>
      </c>
      <c r="O2916" s="15" t="s">
        <v>1554</v>
      </c>
      <c r="Q2916" s="7"/>
    </row>
    <row r="2917">
      <c r="A2917" s="39" t="s">
        <v>12468</v>
      </c>
      <c r="B2917" s="15">
        <v>1150991.0</v>
      </c>
      <c r="C2917" s="15" t="s">
        <v>12469</v>
      </c>
      <c r="D2917" s="15">
        <v>181225.0</v>
      </c>
      <c r="E2917" s="15" t="s">
        <v>1557</v>
      </c>
      <c r="F2917" s="15" t="s">
        <v>1767</v>
      </c>
      <c r="G2917" s="7">
        <v>219.372</v>
      </c>
      <c r="H2917" s="42">
        <v>43190.0</v>
      </c>
      <c r="I2917" s="15" t="s">
        <v>1586</v>
      </c>
      <c r="J2917" s="15" t="s">
        <v>12471</v>
      </c>
      <c r="K2917" s="15">
        <v>302.0</v>
      </c>
      <c r="L2917" s="15">
        <v>295.0</v>
      </c>
      <c r="M2917" s="40">
        <v>40996.0</v>
      </c>
      <c r="N2917" s="41">
        <v>41274.0</v>
      </c>
      <c r="O2917" s="15" t="s">
        <v>1554</v>
      </c>
      <c r="Q2917" s="7"/>
    </row>
    <row r="2918">
      <c r="A2918" s="39" t="s">
        <v>12472</v>
      </c>
      <c r="B2918" s="15">
        <v>1161931.0</v>
      </c>
      <c r="C2918" s="15" t="s">
        <v>12473</v>
      </c>
      <c r="D2918" s="15">
        <v>181226.0</v>
      </c>
      <c r="E2918" s="15" t="s">
        <v>1557</v>
      </c>
      <c r="F2918" s="15" t="s">
        <v>1767</v>
      </c>
      <c r="G2918" s="7">
        <v>69.391</v>
      </c>
      <c r="H2918" s="15" t="s">
        <v>3242</v>
      </c>
      <c r="I2918" s="15" t="s">
        <v>1586</v>
      </c>
      <c r="J2918" s="15" t="s">
        <v>12475</v>
      </c>
      <c r="K2918" s="15">
        <v>127.0</v>
      </c>
      <c r="L2918" s="15">
        <v>127.0</v>
      </c>
      <c r="M2918" s="40">
        <v>41155.0</v>
      </c>
      <c r="N2918" s="41">
        <v>41274.0</v>
      </c>
      <c r="O2918" s="15" t="s">
        <v>1554</v>
      </c>
      <c r="Q2918" s="7"/>
    </row>
    <row r="2919">
      <c r="A2919" s="39" t="s">
        <v>12476</v>
      </c>
      <c r="B2919" s="15">
        <v>317858.0</v>
      </c>
      <c r="C2919" s="15" t="s">
        <v>12477</v>
      </c>
      <c r="D2919" s="15">
        <v>181227.0</v>
      </c>
      <c r="E2919" s="15" t="s">
        <v>1557</v>
      </c>
      <c r="F2919" s="15" t="s">
        <v>3278</v>
      </c>
      <c r="G2919" s="7">
        <v>291.144</v>
      </c>
      <c r="H2919" s="15" t="s">
        <v>5521</v>
      </c>
      <c r="I2919" s="15" t="s">
        <v>1686</v>
      </c>
      <c r="J2919" s="15" t="s">
        <v>12478</v>
      </c>
      <c r="K2919" s="15">
        <v>143.0</v>
      </c>
      <c r="L2919" s="15">
        <v>143.0</v>
      </c>
      <c r="M2919" s="41">
        <v>41228.0</v>
      </c>
      <c r="N2919" s="40">
        <v>41341.0</v>
      </c>
      <c r="O2919" s="15" t="s">
        <v>1554</v>
      </c>
      <c r="Q2919" s="7"/>
    </row>
    <row r="2920">
      <c r="A2920" s="39" t="s">
        <v>12480</v>
      </c>
      <c r="B2920" s="15">
        <v>317878.0</v>
      </c>
      <c r="C2920" s="15" t="s">
        <v>12481</v>
      </c>
      <c r="D2920" s="15">
        <v>181228.0</v>
      </c>
      <c r="E2920" s="15" t="s">
        <v>1557</v>
      </c>
      <c r="F2920" s="15" t="s">
        <v>3278</v>
      </c>
      <c r="G2920" s="7">
        <v>290.304</v>
      </c>
      <c r="H2920" s="15" t="s">
        <v>1705</v>
      </c>
      <c r="I2920" s="15" t="s">
        <v>1686</v>
      </c>
      <c r="J2920" s="15" t="s">
        <v>12482</v>
      </c>
      <c r="K2920" s="15">
        <v>154.0</v>
      </c>
      <c r="L2920" s="15">
        <v>154.0</v>
      </c>
      <c r="M2920" s="41">
        <v>41228.0</v>
      </c>
      <c r="N2920" s="40">
        <v>41341.0</v>
      </c>
      <c r="O2920" s="15" t="s">
        <v>1554</v>
      </c>
      <c r="Q2920" s="7"/>
    </row>
    <row r="2921">
      <c r="A2921" s="39" t="s">
        <v>12483</v>
      </c>
      <c r="B2921" s="15">
        <v>1051673.0</v>
      </c>
      <c r="C2921" s="15" t="s">
        <v>12484</v>
      </c>
      <c r="D2921" s="15">
        <v>181229.0</v>
      </c>
      <c r="E2921" s="15" t="s">
        <v>1557</v>
      </c>
      <c r="F2921" s="15" t="s">
        <v>1611</v>
      </c>
      <c r="G2921" s="7">
        <v>39.282</v>
      </c>
      <c r="H2921" s="15" t="s">
        <v>5179</v>
      </c>
      <c r="I2921" s="15" t="s">
        <v>1586</v>
      </c>
      <c r="J2921" s="15" t="s">
        <v>12485</v>
      </c>
      <c r="K2921" s="15">
        <v>51.0</v>
      </c>
      <c r="L2921" s="15">
        <v>51.0</v>
      </c>
      <c r="M2921" s="40">
        <v>40735.0</v>
      </c>
      <c r="N2921" s="40">
        <v>42577.0</v>
      </c>
      <c r="O2921" s="15" t="s">
        <v>1554</v>
      </c>
      <c r="Q2921" s="7"/>
    </row>
    <row r="2922">
      <c r="A2922" s="39" t="s">
        <v>12486</v>
      </c>
      <c r="B2922" s="15">
        <v>1051675.0</v>
      </c>
      <c r="C2922" s="15" t="s">
        <v>12487</v>
      </c>
      <c r="D2922" s="15">
        <v>181230.0</v>
      </c>
      <c r="E2922" s="15" t="s">
        <v>1557</v>
      </c>
      <c r="F2922" s="15" t="s">
        <v>1611</v>
      </c>
      <c r="G2922" s="7">
        <v>74.669</v>
      </c>
      <c r="H2922" s="15" t="s">
        <v>2417</v>
      </c>
      <c r="I2922" s="15" t="s">
        <v>1586</v>
      </c>
      <c r="J2922" s="15" t="s">
        <v>12488</v>
      </c>
      <c r="K2922" s="15">
        <v>115.0</v>
      </c>
      <c r="L2922" s="15">
        <v>115.0</v>
      </c>
      <c r="M2922" s="40">
        <v>40735.0</v>
      </c>
      <c r="N2922" s="41">
        <v>41234.0</v>
      </c>
      <c r="O2922" s="15" t="s">
        <v>1554</v>
      </c>
      <c r="Q2922" s="7"/>
    </row>
    <row r="2923">
      <c r="A2923" s="39" t="s">
        <v>12489</v>
      </c>
      <c r="B2923" s="15">
        <v>1051676.0</v>
      </c>
      <c r="C2923" s="15" t="s">
        <v>12490</v>
      </c>
      <c r="D2923" s="15">
        <v>181231.0</v>
      </c>
      <c r="E2923" s="15" t="s">
        <v>1557</v>
      </c>
      <c r="F2923" s="15" t="s">
        <v>1767</v>
      </c>
      <c r="G2923" s="7">
        <v>56.621</v>
      </c>
      <c r="H2923" s="15" t="s">
        <v>2392</v>
      </c>
      <c r="I2923" s="15" t="s">
        <v>1586</v>
      </c>
      <c r="J2923" s="15" t="s">
        <v>12491</v>
      </c>
      <c r="K2923" s="15">
        <v>92.0</v>
      </c>
      <c r="L2923" s="15">
        <v>92.0</v>
      </c>
      <c r="M2923" s="40">
        <v>40735.0</v>
      </c>
      <c r="N2923" s="41">
        <v>41234.0</v>
      </c>
      <c r="O2923" s="15" t="s">
        <v>1554</v>
      </c>
      <c r="Q2923" s="7"/>
    </row>
    <row r="2924">
      <c r="A2924" s="39" t="s">
        <v>12492</v>
      </c>
      <c r="B2924" s="15">
        <v>1054480.0</v>
      </c>
      <c r="C2924" s="15" t="s">
        <v>12493</v>
      </c>
      <c r="D2924" s="15">
        <v>181232.0</v>
      </c>
      <c r="E2924" s="15" t="s">
        <v>1557</v>
      </c>
      <c r="F2924" s="15" t="s">
        <v>1767</v>
      </c>
      <c r="G2924" s="7">
        <v>166.452</v>
      </c>
      <c r="H2924" s="15" t="s">
        <v>3568</v>
      </c>
      <c r="I2924" s="15" t="s">
        <v>1586</v>
      </c>
      <c r="J2924" s="15" t="s">
        <v>12494</v>
      </c>
      <c r="K2924" s="15">
        <v>284.0</v>
      </c>
      <c r="L2924" s="15">
        <v>273.0</v>
      </c>
      <c r="M2924" s="40">
        <v>40769.0</v>
      </c>
      <c r="N2924" s="41">
        <v>41234.0</v>
      </c>
      <c r="O2924" s="15" t="s">
        <v>1554</v>
      </c>
      <c r="Q2924" s="7"/>
    </row>
    <row r="2925">
      <c r="A2925" s="39" t="s">
        <v>12495</v>
      </c>
      <c r="B2925" s="15">
        <v>1054834.0</v>
      </c>
      <c r="C2925" s="15" t="s">
        <v>12496</v>
      </c>
      <c r="D2925" s="15">
        <v>181233.0</v>
      </c>
      <c r="E2925" s="15" t="s">
        <v>1557</v>
      </c>
      <c r="F2925" s="15" t="s">
        <v>1767</v>
      </c>
      <c r="G2925" s="7">
        <v>166.499</v>
      </c>
      <c r="H2925" s="15" t="s">
        <v>3827</v>
      </c>
      <c r="I2925" s="15" t="s">
        <v>1586</v>
      </c>
      <c r="J2925" s="15" t="s">
        <v>12497</v>
      </c>
      <c r="K2925" s="15">
        <v>277.0</v>
      </c>
      <c r="L2925" s="15">
        <v>268.0</v>
      </c>
      <c r="M2925" s="40">
        <v>40742.0</v>
      </c>
      <c r="N2925" s="41">
        <v>41234.0</v>
      </c>
      <c r="O2925" s="15" t="s">
        <v>1554</v>
      </c>
      <c r="Q2925" s="7"/>
    </row>
    <row r="2926">
      <c r="A2926" s="39" t="s">
        <v>12498</v>
      </c>
      <c r="B2926" s="15">
        <v>1073767.0</v>
      </c>
      <c r="C2926" s="15" t="s">
        <v>12499</v>
      </c>
      <c r="D2926" s="15">
        <v>181234.0</v>
      </c>
      <c r="E2926" s="15" t="s">
        <v>1557</v>
      </c>
      <c r="F2926" s="15" t="s">
        <v>1833</v>
      </c>
      <c r="G2926" s="7">
        <v>49.116</v>
      </c>
      <c r="H2926" s="15" t="s">
        <v>1802</v>
      </c>
      <c r="I2926" s="15" t="s">
        <v>1586</v>
      </c>
      <c r="J2926" s="15" t="s">
        <v>12500</v>
      </c>
      <c r="K2926" s="15">
        <v>45.0</v>
      </c>
      <c r="L2926" s="15">
        <v>45.0</v>
      </c>
      <c r="M2926" s="40">
        <v>40771.0</v>
      </c>
      <c r="N2926" s="41">
        <v>41234.0</v>
      </c>
      <c r="O2926" s="15" t="s">
        <v>1554</v>
      </c>
      <c r="Q2926" s="7"/>
    </row>
    <row r="2927">
      <c r="A2927" s="39" t="s">
        <v>12501</v>
      </c>
      <c r="B2927" s="15">
        <v>1090133.0</v>
      </c>
      <c r="C2927" s="15" t="s">
        <v>12502</v>
      </c>
      <c r="D2927" s="15">
        <v>181235.0</v>
      </c>
      <c r="E2927" s="15" t="s">
        <v>1557</v>
      </c>
      <c r="F2927" s="15" t="s">
        <v>1611</v>
      </c>
      <c r="G2927" s="7">
        <v>39.646</v>
      </c>
      <c r="H2927" s="15" t="s">
        <v>3432</v>
      </c>
      <c r="I2927" s="15" t="s">
        <v>1586</v>
      </c>
      <c r="J2927" s="15" t="s">
        <v>12503</v>
      </c>
      <c r="K2927" s="15">
        <v>27.0</v>
      </c>
      <c r="L2927" s="15">
        <v>27.0</v>
      </c>
      <c r="M2927" s="40">
        <v>40848.0</v>
      </c>
      <c r="N2927" s="41">
        <v>41234.0</v>
      </c>
      <c r="O2927" s="15" t="s">
        <v>1554</v>
      </c>
      <c r="Q2927" s="7"/>
    </row>
    <row r="2928">
      <c r="A2928" s="39" t="s">
        <v>12504</v>
      </c>
      <c r="B2928" s="15">
        <v>1108865.0</v>
      </c>
      <c r="C2928" s="15" t="s">
        <v>12505</v>
      </c>
      <c r="D2928" s="15">
        <v>181236.0</v>
      </c>
      <c r="E2928" s="15" t="s">
        <v>1557</v>
      </c>
      <c r="F2928" s="15" t="s">
        <v>1767</v>
      </c>
      <c r="G2928" s="7">
        <v>157.785</v>
      </c>
      <c r="H2928" s="15" t="s">
        <v>1983</v>
      </c>
      <c r="I2928" s="15" t="s">
        <v>1586</v>
      </c>
      <c r="J2928" s="15" t="s">
        <v>12506</v>
      </c>
      <c r="K2928" s="15">
        <v>166.0</v>
      </c>
      <c r="L2928" s="15">
        <v>166.0</v>
      </c>
      <c r="M2928" s="40">
        <v>40855.0</v>
      </c>
      <c r="N2928" s="41">
        <v>41234.0</v>
      </c>
      <c r="O2928" s="15" t="s">
        <v>1554</v>
      </c>
      <c r="Q2928" s="7"/>
    </row>
    <row r="2929">
      <c r="A2929" s="39" t="s">
        <v>12507</v>
      </c>
      <c r="B2929" s="15">
        <v>1137745.0</v>
      </c>
      <c r="C2929" s="15" t="s">
        <v>12508</v>
      </c>
      <c r="D2929" s="15">
        <v>181237.0</v>
      </c>
      <c r="E2929" s="15" t="s">
        <v>1557</v>
      </c>
      <c r="F2929" s="15" t="s">
        <v>1767</v>
      </c>
      <c r="G2929" s="7">
        <v>161.44</v>
      </c>
      <c r="H2929" s="15" t="s">
        <v>2019</v>
      </c>
      <c r="I2929" s="15" t="s">
        <v>1586</v>
      </c>
      <c r="J2929" s="15" t="s">
        <v>12510</v>
      </c>
      <c r="K2929" s="15">
        <v>190.0</v>
      </c>
      <c r="L2929" s="15">
        <v>180.0</v>
      </c>
      <c r="M2929" s="40">
        <v>40950.0</v>
      </c>
      <c r="N2929" s="41">
        <v>41234.0</v>
      </c>
      <c r="O2929" s="15" t="s">
        <v>1554</v>
      </c>
      <c r="Q2929" s="7"/>
    </row>
    <row r="2930">
      <c r="A2930" s="39" t="s">
        <v>12511</v>
      </c>
      <c r="B2930" s="15">
        <v>1150990.0</v>
      </c>
      <c r="C2930" s="15" t="s">
        <v>12512</v>
      </c>
      <c r="D2930" s="15">
        <v>181238.0</v>
      </c>
      <c r="E2930" s="15" t="s">
        <v>1557</v>
      </c>
      <c r="F2930" s="15" t="s">
        <v>1833</v>
      </c>
      <c r="G2930" s="7">
        <v>60.364</v>
      </c>
      <c r="H2930" s="15" t="s">
        <v>2324</v>
      </c>
      <c r="I2930" s="15" t="s">
        <v>1586</v>
      </c>
      <c r="J2930" s="15" t="s">
        <v>12513</v>
      </c>
      <c r="K2930" s="15">
        <v>80.0</v>
      </c>
      <c r="L2930" s="15">
        <v>80.0</v>
      </c>
      <c r="M2930" s="40">
        <v>40968.0</v>
      </c>
      <c r="N2930" s="41">
        <v>41234.0</v>
      </c>
      <c r="O2930" s="15" t="s">
        <v>1554</v>
      </c>
      <c r="Q2930" s="7"/>
    </row>
    <row r="2931">
      <c r="A2931" s="39" t="s">
        <v>12514</v>
      </c>
      <c r="B2931" s="15">
        <v>1154995.0</v>
      </c>
      <c r="C2931" s="15" t="s">
        <v>12515</v>
      </c>
      <c r="D2931" s="15">
        <v>181239.0</v>
      </c>
      <c r="E2931" s="15" t="s">
        <v>1557</v>
      </c>
      <c r="F2931" s="15" t="s">
        <v>1611</v>
      </c>
      <c r="G2931" s="7">
        <v>26.836</v>
      </c>
      <c r="H2931" s="15" t="s">
        <v>2103</v>
      </c>
      <c r="I2931" s="15" t="s">
        <v>1586</v>
      </c>
      <c r="J2931" s="15" t="s">
        <v>12516</v>
      </c>
      <c r="K2931" s="15">
        <v>33.0</v>
      </c>
      <c r="L2931" s="15">
        <v>33.0</v>
      </c>
      <c r="M2931" s="40">
        <v>41122.0</v>
      </c>
      <c r="N2931" s="41">
        <v>41234.0</v>
      </c>
      <c r="O2931" s="15" t="s">
        <v>1554</v>
      </c>
      <c r="Q2931" s="7"/>
    </row>
    <row r="2932">
      <c r="A2932" s="39" t="s">
        <v>12517</v>
      </c>
      <c r="B2932" s="15">
        <v>1168612.0</v>
      </c>
      <c r="C2932" s="15" t="s">
        <v>12518</v>
      </c>
      <c r="D2932" s="15">
        <v>181240.0</v>
      </c>
      <c r="E2932" s="15" t="s">
        <v>1557</v>
      </c>
      <c r="F2932" s="15" t="s">
        <v>1833</v>
      </c>
      <c r="G2932" s="7">
        <v>45.552</v>
      </c>
      <c r="H2932" s="15" t="s">
        <v>2207</v>
      </c>
      <c r="I2932" s="15" t="s">
        <v>1586</v>
      </c>
      <c r="J2932" s="15" t="s">
        <v>12519</v>
      </c>
      <c r="K2932" s="15">
        <v>42.0</v>
      </c>
      <c r="L2932" s="15">
        <v>42.0</v>
      </c>
      <c r="M2932" s="40">
        <v>41031.0</v>
      </c>
      <c r="N2932" s="40">
        <v>42390.0</v>
      </c>
      <c r="O2932" s="15" t="s">
        <v>1554</v>
      </c>
      <c r="Q2932" s="7"/>
    </row>
    <row r="2933">
      <c r="A2933" s="39" t="s">
        <v>12520</v>
      </c>
      <c r="B2933" s="15">
        <v>1190451.0</v>
      </c>
      <c r="C2933" s="15" t="s">
        <v>12521</v>
      </c>
      <c r="D2933" s="15">
        <v>181241.0</v>
      </c>
      <c r="E2933" s="15" t="s">
        <v>1557</v>
      </c>
      <c r="F2933" s="15" t="s">
        <v>1767</v>
      </c>
      <c r="G2933" s="7">
        <v>182.833</v>
      </c>
      <c r="H2933" s="42">
        <v>43158.0</v>
      </c>
      <c r="I2933" s="15" t="s">
        <v>1586</v>
      </c>
      <c r="J2933" s="15" t="s">
        <v>12522</v>
      </c>
      <c r="K2933" s="15">
        <v>259.0</v>
      </c>
      <c r="L2933" s="15">
        <v>257.0</v>
      </c>
      <c r="M2933" s="40">
        <v>41124.0</v>
      </c>
      <c r="N2933" s="41">
        <v>41234.0</v>
      </c>
      <c r="O2933" s="15" t="s">
        <v>1554</v>
      </c>
      <c r="Q2933" s="7"/>
    </row>
    <row r="2934">
      <c r="A2934" s="39" t="s">
        <v>12523</v>
      </c>
      <c r="B2934" s="15">
        <v>1204543.0</v>
      </c>
      <c r="C2934" s="15" t="s">
        <v>12524</v>
      </c>
      <c r="D2934" s="15">
        <v>181242.0</v>
      </c>
      <c r="E2934" s="15" t="s">
        <v>1557</v>
      </c>
      <c r="F2934" s="15" t="s">
        <v>1767</v>
      </c>
      <c r="G2934" s="7">
        <v>136.326</v>
      </c>
      <c r="H2934" s="15">
        <v>30.0</v>
      </c>
      <c r="I2934" s="15" t="s">
        <v>1586</v>
      </c>
      <c r="J2934" s="15" t="s">
        <v>12525</v>
      </c>
      <c r="K2934" s="15">
        <v>186.0</v>
      </c>
      <c r="L2934" s="15">
        <v>186.0</v>
      </c>
      <c r="M2934" s="40">
        <v>41122.0</v>
      </c>
      <c r="N2934" s="41">
        <v>42297.0</v>
      </c>
      <c r="O2934" s="15" t="s">
        <v>1554</v>
      </c>
      <c r="Q2934" s="7"/>
    </row>
    <row r="2935">
      <c r="A2935" s="39" t="s">
        <v>12526</v>
      </c>
      <c r="B2935" s="15">
        <v>1249648.0</v>
      </c>
      <c r="C2935" s="15" t="s">
        <v>12527</v>
      </c>
      <c r="D2935" s="15">
        <v>181243.0</v>
      </c>
      <c r="E2935" s="15" t="s">
        <v>1808</v>
      </c>
      <c r="F2935" s="15" t="s">
        <v>1809</v>
      </c>
      <c r="G2935" s="7">
        <v>2.65</v>
      </c>
      <c r="H2935" s="15" t="s">
        <v>5368</v>
      </c>
      <c r="I2935" s="15" t="s">
        <v>1628</v>
      </c>
      <c r="J2935" s="15" t="s">
        <v>12528</v>
      </c>
      <c r="K2935" s="15">
        <v>4.0</v>
      </c>
      <c r="L2935" s="15">
        <v>4.0</v>
      </c>
      <c r="M2935" s="41">
        <v>41224.0</v>
      </c>
      <c r="N2935" s="40">
        <v>41341.0</v>
      </c>
      <c r="O2935" s="15" t="s">
        <v>1554</v>
      </c>
      <c r="Q2935" s="7"/>
    </row>
    <row r="2936">
      <c r="A2936" s="39" t="s">
        <v>12529</v>
      </c>
      <c r="B2936" s="15">
        <v>1249649.0</v>
      </c>
      <c r="C2936" s="15" t="s">
        <v>12530</v>
      </c>
      <c r="D2936" s="15">
        <v>181244.0</v>
      </c>
      <c r="E2936" s="15" t="s">
        <v>2014</v>
      </c>
      <c r="F2936" s="15" t="s">
        <v>1578</v>
      </c>
      <c r="G2936" s="7">
        <v>1.479</v>
      </c>
      <c r="H2936" s="15" t="s">
        <v>5475</v>
      </c>
      <c r="I2936" s="15" t="s">
        <v>1628</v>
      </c>
      <c r="J2936" s="15" t="s">
        <v>12532</v>
      </c>
      <c r="K2936" s="15">
        <v>1.0</v>
      </c>
      <c r="L2936" s="15">
        <v>1.0</v>
      </c>
      <c r="M2936" s="41">
        <v>41224.0</v>
      </c>
      <c r="N2936" s="40">
        <v>41341.0</v>
      </c>
      <c r="O2936" s="15" t="s">
        <v>1554</v>
      </c>
      <c r="Q2936" s="7"/>
    </row>
    <row r="2937">
      <c r="A2937" s="39" t="s">
        <v>12533</v>
      </c>
      <c r="B2937" s="15">
        <v>1249676.0</v>
      </c>
      <c r="C2937" s="15" t="s">
        <v>12534</v>
      </c>
      <c r="D2937" s="15">
        <v>181245.0</v>
      </c>
      <c r="E2937" s="15" t="s">
        <v>1638</v>
      </c>
      <c r="F2937" s="15" t="s">
        <v>2849</v>
      </c>
      <c r="G2937" s="7">
        <v>12.154</v>
      </c>
      <c r="H2937" s="15" t="s">
        <v>1962</v>
      </c>
      <c r="I2937" s="15" t="s">
        <v>1628</v>
      </c>
      <c r="J2937" s="15" t="s">
        <v>12535</v>
      </c>
      <c r="K2937" s="15">
        <v>1.0</v>
      </c>
      <c r="L2937" s="15">
        <v>1.0</v>
      </c>
      <c r="M2937" s="41">
        <v>41224.0</v>
      </c>
      <c r="N2937" s="41">
        <v>41234.0</v>
      </c>
      <c r="O2937" s="15" t="s">
        <v>1554</v>
      </c>
      <c r="Q2937" s="7"/>
    </row>
    <row r="2938">
      <c r="A2938" s="39" t="s">
        <v>12536</v>
      </c>
      <c r="B2938" s="15">
        <v>1250303.0</v>
      </c>
      <c r="C2938" s="15" t="s">
        <v>12537</v>
      </c>
      <c r="D2938" s="15">
        <v>181246.0</v>
      </c>
      <c r="E2938" s="15" t="s">
        <v>2014</v>
      </c>
      <c r="F2938" s="15" t="s">
        <v>1578</v>
      </c>
      <c r="G2938" s="7">
        <v>1.35</v>
      </c>
      <c r="H2938" s="15" t="s">
        <v>1849</v>
      </c>
      <c r="I2938" s="15" t="s">
        <v>1628</v>
      </c>
      <c r="J2938" s="15" t="s">
        <v>12538</v>
      </c>
      <c r="K2938" s="15">
        <v>1.0</v>
      </c>
      <c r="L2938" s="15">
        <v>1.0</v>
      </c>
      <c r="M2938" s="41">
        <v>41227.0</v>
      </c>
      <c r="N2938" s="41">
        <v>41234.0</v>
      </c>
      <c r="O2938" s="15" t="s">
        <v>1554</v>
      </c>
      <c r="Q2938" s="7"/>
    </row>
    <row r="2939">
      <c r="A2939" s="39" t="s">
        <v>12539</v>
      </c>
      <c r="B2939" s="15">
        <v>1254425.0</v>
      </c>
      <c r="C2939" s="15" t="s">
        <v>12540</v>
      </c>
      <c r="D2939" s="15">
        <v>181247.0</v>
      </c>
      <c r="E2939" s="15" t="s">
        <v>1548</v>
      </c>
      <c r="F2939" s="15" t="s">
        <v>1848</v>
      </c>
      <c r="G2939" s="7">
        <v>6.46</v>
      </c>
      <c r="H2939" s="15" t="s">
        <v>1572</v>
      </c>
      <c r="I2939" s="15" t="s">
        <v>1686</v>
      </c>
      <c r="J2939" s="15" t="s">
        <v>12541</v>
      </c>
      <c r="K2939" s="15">
        <v>3.0</v>
      </c>
      <c r="L2939" s="15">
        <v>3.0</v>
      </c>
      <c r="M2939" s="41">
        <v>41227.0</v>
      </c>
      <c r="N2939" s="40">
        <v>41337.0</v>
      </c>
      <c r="O2939" s="15" t="s">
        <v>1554</v>
      </c>
      <c r="Q2939" s="7"/>
    </row>
    <row r="2940">
      <c r="A2940" s="39" t="s">
        <v>12542</v>
      </c>
      <c r="B2940" s="15">
        <v>1255765.0</v>
      </c>
      <c r="C2940" s="15" t="s">
        <v>12543</v>
      </c>
      <c r="D2940" s="15">
        <v>181248.0</v>
      </c>
      <c r="E2940" s="15" t="s">
        <v>2014</v>
      </c>
      <c r="F2940" s="15" t="s">
        <v>2018</v>
      </c>
      <c r="G2940" s="7">
        <v>1.335</v>
      </c>
      <c r="H2940" s="15" t="s">
        <v>4331</v>
      </c>
      <c r="I2940" s="15" t="s">
        <v>1628</v>
      </c>
      <c r="J2940" s="15" t="s">
        <v>12545</v>
      </c>
      <c r="K2940" s="15">
        <v>1.0</v>
      </c>
      <c r="L2940" s="15">
        <v>1.0</v>
      </c>
      <c r="M2940" s="41">
        <v>41229.0</v>
      </c>
      <c r="N2940" s="41">
        <v>41234.0</v>
      </c>
      <c r="O2940" s="15" t="s">
        <v>1554</v>
      </c>
      <c r="Q2940" s="7"/>
    </row>
    <row r="2941">
      <c r="A2941" s="39" t="s">
        <v>12546</v>
      </c>
      <c r="B2941" s="15">
        <v>185637.0</v>
      </c>
      <c r="C2941" s="15" t="s">
        <v>12547</v>
      </c>
      <c r="D2941" s="15">
        <v>181249.0</v>
      </c>
      <c r="E2941" s="15" t="s">
        <v>1808</v>
      </c>
      <c r="F2941" s="15" t="s">
        <v>2436</v>
      </c>
      <c r="G2941" s="7">
        <v>5.99</v>
      </c>
      <c r="H2941" s="15" t="s">
        <v>2193</v>
      </c>
      <c r="I2941" s="15" t="s">
        <v>1560</v>
      </c>
      <c r="J2941" s="15" t="s">
        <v>12548</v>
      </c>
      <c r="K2941" s="15">
        <v>7.0</v>
      </c>
      <c r="L2941" s="15">
        <v>7.0</v>
      </c>
      <c r="M2941" s="41">
        <v>41224.0</v>
      </c>
      <c r="N2941" s="41">
        <v>41234.0</v>
      </c>
      <c r="O2941" s="15" t="s">
        <v>1554</v>
      </c>
      <c r="Q2941" s="7"/>
    </row>
    <row r="2942">
      <c r="A2942" s="39" t="s">
        <v>12549</v>
      </c>
      <c r="B2942" s="15">
        <v>28274.0</v>
      </c>
      <c r="C2942" s="15" t="s">
        <v>12550</v>
      </c>
      <c r="D2942" s="15">
        <v>181250.0</v>
      </c>
      <c r="E2942" s="15" t="s">
        <v>1548</v>
      </c>
      <c r="F2942" s="15" t="s">
        <v>4837</v>
      </c>
      <c r="G2942" s="7">
        <v>15.048</v>
      </c>
      <c r="H2942" s="15" t="s">
        <v>1551</v>
      </c>
      <c r="I2942" s="15" t="s">
        <v>1567</v>
      </c>
      <c r="J2942" s="15" t="s">
        <v>12551</v>
      </c>
      <c r="K2942" s="15">
        <v>6.0</v>
      </c>
      <c r="L2942" s="15">
        <v>6.0</v>
      </c>
      <c r="M2942" s="41">
        <v>41228.0</v>
      </c>
      <c r="N2942" s="40">
        <v>41345.0</v>
      </c>
      <c r="O2942" s="15" t="s">
        <v>1554</v>
      </c>
      <c r="Q2942" s="7"/>
    </row>
    <row r="2943">
      <c r="A2943" s="39" t="s">
        <v>12552</v>
      </c>
      <c r="B2943" s="15">
        <v>673376.0</v>
      </c>
      <c r="C2943" s="15" t="s">
        <v>12553</v>
      </c>
      <c r="D2943" s="15">
        <v>181251.0</v>
      </c>
      <c r="E2943" s="15" t="s">
        <v>1557</v>
      </c>
      <c r="F2943" s="15" t="s">
        <v>1833</v>
      </c>
      <c r="G2943" s="7">
        <v>39.188</v>
      </c>
      <c r="H2943" s="42">
        <v>43189.0</v>
      </c>
      <c r="I2943" s="15" t="s">
        <v>1586</v>
      </c>
      <c r="J2943" s="15" t="s">
        <v>12555</v>
      </c>
      <c r="K2943" s="15">
        <v>49.0</v>
      </c>
      <c r="L2943" s="15">
        <v>49.0</v>
      </c>
      <c r="M2943" s="40">
        <v>40210.0</v>
      </c>
      <c r="N2943" s="41">
        <v>41234.0</v>
      </c>
      <c r="O2943" s="15" t="s">
        <v>1554</v>
      </c>
      <c r="Q2943" s="7"/>
    </row>
    <row r="2944">
      <c r="A2944" s="39" t="s">
        <v>12556</v>
      </c>
      <c r="B2944" s="15">
        <v>1147140.0</v>
      </c>
      <c r="C2944" s="15" t="s">
        <v>12557</v>
      </c>
      <c r="D2944" s="15">
        <v>181984.0</v>
      </c>
      <c r="E2944" s="15" t="s">
        <v>1557</v>
      </c>
      <c r="F2944" s="15" t="s">
        <v>1833</v>
      </c>
      <c r="G2944" s="7">
        <v>47.355</v>
      </c>
      <c r="H2944" s="15" t="s">
        <v>5475</v>
      </c>
      <c r="I2944" s="15" t="s">
        <v>1586</v>
      </c>
      <c r="J2944" s="15" t="s">
        <v>12558</v>
      </c>
      <c r="K2944" s="15">
        <v>71.0</v>
      </c>
      <c r="L2944" s="15">
        <v>71.0</v>
      </c>
      <c r="M2944" s="40">
        <v>40968.0</v>
      </c>
      <c r="N2944" s="41">
        <v>41234.0</v>
      </c>
      <c r="O2944" s="15" t="s">
        <v>1554</v>
      </c>
      <c r="Q2944" s="7"/>
    </row>
    <row r="2945">
      <c r="A2945" s="39" t="s">
        <v>12559</v>
      </c>
      <c r="B2945" s="15">
        <v>1150992.0</v>
      </c>
      <c r="C2945" s="15" t="s">
        <v>12560</v>
      </c>
      <c r="D2945" s="15">
        <v>181985.0</v>
      </c>
      <c r="E2945" s="15" t="s">
        <v>1808</v>
      </c>
      <c r="F2945" s="15" t="s">
        <v>2969</v>
      </c>
      <c r="G2945" s="7">
        <v>7.288</v>
      </c>
      <c r="H2945" s="15" t="s">
        <v>2098</v>
      </c>
      <c r="I2945" s="15" t="s">
        <v>1586</v>
      </c>
      <c r="J2945" s="15" t="s">
        <v>12561</v>
      </c>
      <c r="K2945" s="15">
        <v>12.0</v>
      </c>
      <c r="L2945" s="15">
        <v>12.0</v>
      </c>
      <c r="M2945" s="40">
        <v>40973.0</v>
      </c>
      <c r="N2945" s="41">
        <v>41234.0</v>
      </c>
      <c r="O2945" s="15" t="s">
        <v>1554</v>
      </c>
      <c r="Q2945" s="7"/>
    </row>
    <row r="2946">
      <c r="A2946" s="39" t="s">
        <v>12563</v>
      </c>
      <c r="B2946" s="15">
        <v>1198013.0</v>
      </c>
      <c r="C2946" s="15" t="s">
        <v>12564</v>
      </c>
      <c r="D2946" s="15">
        <v>181986.0</v>
      </c>
      <c r="E2946" s="15" t="s">
        <v>1557</v>
      </c>
      <c r="F2946" s="15" t="s">
        <v>1767</v>
      </c>
      <c r="G2946" s="7">
        <v>160.646</v>
      </c>
      <c r="H2946" s="15" t="s">
        <v>2820</v>
      </c>
      <c r="I2946" s="15" t="s">
        <v>1586</v>
      </c>
      <c r="J2946" s="15" t="s">
        <v>12565</v>
      </c>
      <c r="K2946" s="15">
        <v>244.0</v>
      </c>
      <c r="L2946" s="15">
        <v>230.0</v>
      </c>
      <c r="M2946" s="40">
        <v>41157.0</v>
      </c>
      <c r="N2946" s="41">
        <v>41234.0</v>
      </c>
      <c r="O2946" s="15" t="s">
        <v>1554</v>
      </c>
      <c r="Q2946" s="7"/>
    </row>
    <row r="2947">
      <c r="A2947" s="39" t="s">
        <v>12566</v>
      </c>
      <c r="B2947" s="15">
        <v>1204516.0</v>
      </c>
      <c r="C2947" s="15" t="s">
        <v>12567</v>
      </c>
      <c r="D2947" s="15">
        <v>181987.0</v>
      </c>
      <c r="E2947" s="15" t="s">
        <v>1557</v>
      </c>
      <c r="F2947" s="15" t="s">
        <v>1767</v>
      </c>
      <c r="G2947" s="7">
        <v>231.743</v>
      </c>
      <c r="H2947" s="15" t="s">
        <v>6565</v>
      </c>
      <c r="I2947" s="15" t="s">
        <v>1586</v>
      </c>
      <c r="J2947" s="15" t="s">
        <v>12568</v>
      </c>
      <c r="K2947" s="15">
        <v>427.0</v>
      </c>
      <c r="L2947" s="15">
        <v>427.0</v>
      </c>
      <c r="M2947" s="40">
        <v>41104.0</v>
      </c>
      <c r="N2947" s="41">
        <v>41234.0</v>
      </c>
      <c r="O2947" s="15" t="s">
        <v>1554</v>
      </c>
      <c r="Q2947" s="7"/>
    </row>
    <row r="2948">
      <c r="A2948" s="39" t="s">
        <v>12569</v>
      </c>
      <c r="B2948" s="15">
        <v>1217810.0</v>
      </c>
      <c r="C2948" s="15" t="s">
        <v>12570</v>
      </c>
      <c r="D2948" s="15">
        <v>181988.0</v>
      </c>
      <c r="E2948" s="15" t="s">
        <v>1557</v>
      </c>
      <c r="F2948" s="15" t="s">
        <v>1611</v>
      </c>
      <c r="G2948" s="7">
        <v>44.4</v>
      </c>
      <c r="H2948" s="15" t="s">
        <v>1670</v>
      </c>
      <c r="I2948" s="15" t="s">
        <v>1586</v>
      </c>
      <c r="J2948" s="15" t="s">
        <v>12571</v>
      </c>
      <c r="K2948" s="15">
        <v>48.0</v>
      </c>
      <c r="L2948" s="15">
        <v>48.0</v>
      </c>
      <c r="M2948" s="40">
        <v>41129.0</v>
      </c>
      <c r="N2948" s="41">
        <v>41234.0</v>
      </c>
      <c r="O2948" s="15" t="s">
        <v>1554</v>
      </c>
      <c r="Q2948" s="7"/>
    </row>
    <row r="2949">
      <c r="A2949" s="39" t="s">
        <v>12573</v>
      </c>
      <c r="B2949" s="15">
        <v>1221835.0</v>
      </c>
      <c r="C2949" s="15" t="s">
        <v>12574</v>
      </c>
      <c r="D2949" s="15">
        <v>181989.0</v>
      </c>
      <c r="E2949" s="15" t="s">
        <v>1557</v>
      </c>
      <c r="F2949" s="15" t="s">
        <v>1611</v>
      </c>
      <c r="G2949" s="7">
        <v>45.364</v>
      </c>
      <c r="H2949" s="15" t="s">
        <v>3895</v>
      </c>
      <c r="I2949" s="15" t="s">
        <v>1586</v>
      </c>
      <c r="J2949" s="15" t="s">
        <v>12575</v>
      </c>
      <c r="K2949" s="15">
        <v>62.0</v>
      </c>
      <c r="L2949" s="15">
        <v>62.0</v>
      </c>
      <c r="M2949" s="40">
        <v>41147.0</v>
      </c>
      <c r="N2949" s="40">
        <v>42067.0</v>
      </c>
      <c r="O2949" s="15" t="s">
        <v>1554</v>
      </c>
      <c r="Q2949" s="7"/>
    </row>
    <row r="2950">
      <c r="A2950" s="39" t="s">
        <v>12576</v>
      </c>
      <c r="B2950" s="15">
        <v>941969.0</v>
      </c>
      <c r="C2950" s="15" t="s">
        <v>12577</v>
      </c>
      <c r="D2950" s="15">
        <v>181990.0</v>
      </c>
      <c r="E2950" s="15" t="s">
        <v>1557</v>
      </c>
      <c r="F2950" s="15" t="s">
        <v>1611</v>
      </c>
      <c r="G2950" s="7">
        <v>40.048</v>
      </c>
      <c r="H2950" s="15" t="s">
        <v>2820</v>
      </c>
      <c r="I2950" s="15" t="s">
        <v>1586</v>
      </c>
      <c r="J2950" s="15" t="s">
        <v>12578</v>
      </c>
      <c r="K2950" s="15">
        <v>40.0</v>
      </c>
      <c r="L2950" s="15">
        <v>40.0</v>
      </c>
      <c r="M2950" s="40">
        <v>40555.0</v>
      </c>
      <c r="N2950" s="41">
        <v>41234.0</v>
      </c>
      <c r="O2950" s="15" t="s">
        <v>1554</v>
      </c>
      <c r="Q2950" s="7"/>
    </row>
    <row r="2951">
      <c r="A2951" s="39" t="s">
        <v>12579</v>
      </c>
      <c r="B2951" s="15">
        <v>941970.0</v>
      </c>
      <c r="C2951" s="15" t="s">
        <v>12580</v>
      </c>
      <c r="D2951" s="15">
        <v>181991.0</v>
      </c>
      <c r="E2951" s="15" t="s">
        <v>1557</v>
      </c>
      <c r="F2951" s="15" t="s">
        <v>1611</v>
      </c>
      <c r="G2951" s="7">
        <v>38.997</v>
      </c>
      <c r="H2951" s="15" t="s">
        <v>2304</v>
      </c>
      <c r="I2951" s="15" t="s">
        <v>1586</v>
      </c>
      <c r="J2951" s="15" t="s">
        <v>12582</v>
      </c>
      <c r="K2951" s="15">
        <v>47.0</v>
      </c>
      <c r="L2951" s="15">
        <v>47.0</v>
      </c>
      <c r="M2951" s="40">
        <v>40555.0</v>
      </c>
      <c r="N2951" s="41">
        <v>41234.0</v>
      </c>
      <c r="O2951" s="15" t="s">
        <v>1554</v>
      </c>
      <c r="Q2951" s="7"/>
    </row>
    <row r="2952">
      <c r="A2952" s="39" t="s">
        <v>12583</v>
      </c>
      <c r="B2952" s="15">
        <v>1161935.0</v>
      </c>
      <c r="C2952" s="15" t="s">
        <v>12584</v>
      </c>
      <c r="D2952" s="15">
        <v>181992.0</v>
      </c>
      <c r="E2952" s="15" t="s">
        <v>1557</v>
      </c>
      <c r="F2952" s="15" t="s">
        <v>1611</v>
      </c>
      <c r="G2952" s="7">
        <v>49.39</v>
      </c>
      <c r="H2952" s="15" t="s">
        <v>3882</v>
      </c>
      <c r="I2952" s="15" t="s">
        <v>1586</v>
      </c>
      <c r="J2952" s="15" t="s">
        <v>12585</v>
      </c>
      <c r="K2952" s="15">
        <v>71.0</v>
      </c>
      <c r="L2952" s="15">
        <v>70.0</v>
      </c>
      <c r="M2952" s="40">
        <v>40995.0</v>
      </c>
      <c r="N2952" s="41">
        <v>41234.0</v>
      </c>
      <c r="O2952" s="15" t="s">
        <v>1554</v>
      </c>
      <c r="Q2952" s="7"/>
    </row>
    <row r="2953">
      <c r="A2953" s="39" t="s">
        <v>12586</v>
      </c>
      <c r="B2953" s="15">
        <v>1163482.0</v>
      </c>
      <c r="C2953" s="15" t="s">
        <v>12587</v>
      </c>
      <c r="D2953" s="15">
        <v>181993.0</v>
      </c>
      <c r="E2953" s="15" t="s">
        <v>1557</v>
      </c>
      <c r="F2953" s="15" t="s">
        <v>1833</v>
      </c>
      <c r="G2953" s="7">
        <v>42.391</v>
      </c>
      <c r="H2953" s="15" t="s">
        <v>5042</v>
      </c>
      <c r="I2953" s="15" t="s">
        <v>1586</v>
      </c>
      <c r="J2953" s="15" t="s">
        <v>12588</v>
      </c>
      <c r="K2953" s="15">
        <v>58.0</v>
      </c>
      <c r="L2953" s="15">
        <v>58.0</v>
      </c>
      <c r="M2953" s="40">
        <v>41039.0</v>
      </c>
      <c r="N2953" s="40">
        <v>42220.0</v>
      </c>
      <c r="O2953" s="15" t="s">
        <v>1554</v>
      </c>
      <c r="Q2953" s="7"/>
    </row>
    <row r="2954">
      <c r="A2954" s="39" t="s">
        <v>12590</v>
      </c>
      <c r="B2954" s="15">
        <v>1260769.0</v>
      </c>
      <c r="C2954" s="15" t="s">
        <v>12591</v>
      </c>
      <c r="D2954" s="15">
        <v>181994.0</v>
      </c>
      <c r="E2954" s="15" t="s">
        <v>2014</v>
      </c>
      <c r="F2954" s="15" t="s">
        <v>1578</v>
      </c>
      <c r="G2954" s="7">
        <v>1.378</v>
      </c>
      <c r="H2954" s="15">
        <v>41.0</v>
      </c>
      <c r="I2954" s="15" t="s">
        <v>1628</v>
      </c>
      <c r="J2954" s="15" t="s">
        <v>12592</v>
      </c>
      <c r="K2954" s="15">
        <v>1.0</v>
      </c>
      <c r="L2954" s="15">
        <v>1.0</v>
      </c>
      <c r="M2954" s="41">
        <v>41225.0</v>
      </c>
      <c r="N2954" s="41">
        <v>41234.0</v>
      </c>
      <c r="O2954" s="15" t="s">
        <v>1554</v>
      </c>
      <c r="Q2954" s="7"/>
    </row>
    <row r="2955">
      <c r="A2955" s="39" t="s">
        <v>12593</v>
      </c>
      <c r="B2955" s="15">
        <v>749413.0</v>
      </c>
      <c r="C2955" s="15" t="s">
        <v>12594</v>
      </c>
      <c r="D2955" s="15">
        <v>181996.0</v>
      </c>
      <c r="E2955" s="15" t="s">
        <v>1557</v>
      </c>
      <c r="F2955" s="15" t="s">
        <v>1578</v>
      </c>
      <c r="G2955" s="7">
        <v>49.335</v>
      </c>
      <c r="H2955" s="15">
        <v>46.0</v>
      </c>
      <c r="I2955" s="15" t="s">
        <v>1586</v>
      </c>
      <c r="J2955" s="15" t="s">
        <v>12595</v>
      </c>
      <c r="K2955" s="15">
        <v>49.0</v>
      </c>
      <c r="L2955" s="15">
        <v>49.0</v>
      </c>
      <c r="M2955" s="40">
        <v>40516.0</v>
      </c>
      <c r="N2955" s="41">
        <v>41234.0</v>
      </c>
      <c r="O2955" s="15" t="s">
        <v>1554</v>
      </c>
      <c r="Q2955" s="7"/>
    </row>
    <row r="2956">
      <c r="A2956" s="39" t="s">
        <v>12596</v>
      </c>
      <c r="B2956" s="15">
        <v>1261657.0</v>
      </c>
      <c r="C2956" s="15" t="s">
        <v>12597</v>
      </c>
      <c r="D2956" s="15">
        <v>182227.0</v>
      </c>
      <c r="E2956" s="15" t="s">
        <v>1557</v>
      </c>
      <c r="F2956" s="15" t="s">
        <v>1827</v>
      </c>
      <c r="G2956" s="7">
        <v>202.946</v>
      </c>
      <c r="H2956" s="15" t="s">
        <v>5934</v>
      </c>
      <c r="I2956" s="15" t="s">
        <v>1686</v>
      </c>
      <c r="J2956" s="15" t="s">
        <v>12598</v>
      </c>
      <c r="K2956" s="15">
        <v>136.0</v>
      </c>
      <c r="L2956" s="15">
        <v>137.0</v>
      </c>
      <c r="M2956" s="41">
        <v>41239.0</v>
      </c>
      <c r="N2956" s="40">
        <v>42457.0</v>
      </c>
      <c r="O2956" s="15" t="s">
        <v>1554</v>
      </c>
      <c r="Q2956" s="7"/>
    </row>
    <row r="2957">
      <c r="A2957" s="39" t="s">
        <v>12600</v>
      </c>
      <c r="B2957" s="15">
        <v>1234701.0</v>
      </c>
      <c r="C2957" s="15" t="s">
        <v>12601</v>
      </c>
      <c r="D2957" s="15">
        <v>182299.0</v>
      </c>
      <c r="E2957" s="15" t="s">
        <v>1557</v>
      </c>
      <c r="F2957" s="15" t="s">
        <v>1611</v>
      </c>
      <c r="G2957" s="7">
        <v>44.03</v>
      </c>
      <c r="H2957" s="15">
        <v>52.0</v>
      </c>
      <c r="I2957" s="15" t="s">
        <v>1586</v>
      </c>
      <c r="J2957" s="15" t="s">
        <v>12602</v>
      </c>
      <c r="K2957" s="15">
        <v>58.0</v>
      </c>
      <c r="L2957" s="15">
        <v>58.0</v>
      </c>
      <c r="M2957" s="41">
        <v>41235.0</v>
      </c>
      <c r="N2957" s="40">
        <v>42047.0</v>
      </c>
      <c r="O2957" s="15" t="s">
        <v>1554</v>
      </c>
      <c r="Q2957" s="7"/>
    </row>
    <row r="2958">
      <c r="A2958" s="39" t="s">
        <v>12603</v>
      </c>
      <c r="B2958" s="15">
        <v>1227354.0</v>
      </c>
      <c r="C2958" s="15" t="s">
        <v>12604</v>
      </c>
      <c r="D2958" s="15">
        <v>182753.0</v>
      </c>
      <c r="E2958" s="15" t="s">
        <v>1808</v>
      </c>
      <c r="F2958" s="15" t="s">
        <v>1809</v>
      </c>
      <c r="G2958" s="7">
        <v>5.279</v>
      </c>
      <c r="H2958" s="15" t="s">
        <v>12605</v>
      </c>
      <c r="I2958" s="15" t="s">
        <v>1628</v>
      </c>
      <c r="J2958" s="15" t="s">
        <v>12606</v>
      </c>
      <c r="K2958" s="15">
        <v>7.0</v>
      </c>
      <c r="L2958" s="15">
        <v>7.0</v>
      </c>
      <c r="M2958" s="41">
        <v>41243.0</v>
      </c>
      <c r="N2958" s="41">
        <v>42297.0</v>
      </c>
      <c r="O2958" s="15" t="s">
        <v>1554</v>
      </c>
      <c r="Q2958" s="7"/>
    </row>
    <row r="2959">
      <c r="A2959" s="39" t="s">
        <v>12607</v>
      </c>
      <c r="B2959" s="15">
        <v>1147142.0</v>
      </c>
      <c r="C2959" s="15" t="s">
        <v>12608</v>
      </c>
      <c r="D2959" s="15">
        <v>183138.0</v>
      </c>
      <c r="E2959" s="15" t="s">
        <v>1557</v>
      </c>
      <c r="F2959" s="15" t="s">
        <v>1833</v>
      </c>
      <c r="G2959" s="7">
        <v>43.741</v>
      </c>
      <c r="H2959" s="15" t="s">
        <v>4673</v>
      </c>
      <c r="I2959" s="15" t="s">
        <v>1586</v>
      </c>
      <c r="J2959" s="15" t="s">
        <v>12609</v>
      </c>
      <c r="K2959" s="15">
        <v>60.0</v>
      </c>
      <c r="L2959" s="15">
        <v>60.0</v>
      </c>
      <c r="M2959" s="40">
        <v>41244.0</v>
      </c>
      <c r="N2959" s="40">
        <v>41250.0</v>
      </c>
      <c r="O2959" s="15" t="s">
        <v>1554</v>
      </c>
      <c r="Q2959" s="7"/>
    </row>
    <row r="2960">
      <c r="A2960" s="39" t="s">
        <v>12611</v>
      </c>
      <c r="B2960" s="15">
        <v>1147143.0</v>
      </c>
      <c r="C2960" s="15" t="s">
        <v>12612</v>
      </c>
      <c r="D2960" s="15">
        <v>183139.0</v>
      </c>
      <c r="E2960" s="15" t="s">
        <v>1557</v>
      </c>
      <c r="F2960" s="15" t="s">
        <v>1833</v>
      </c>
      <c r="G2960" s="7">
        <v>40.71</v>
      </c>
      <c r="H2960" s="15" t="s">
        <v>3836</v>
      </c>
      <c r="I2960" s="15" t="s">
        <v>1586</v>
      </c>
      <c r="J2960" s="15" t="s">
        <v>12613</v>
      </c>
      <c r="K2960" s="15">
        <v>71.0</v>
      </c>
      <c r="L2960" s="15">
        <v>71.0</v>
      </c>
      <c r="M2960" s="40">
        <v>41244.0</v>
      </c>
      <c r="N2960" s="40">
        <v>41250.0</v>
      </c>
      <c r="O2960" s="15" t="s">
        <v>1554</v>
      </c>
      <c r="Q2960" s="7"/>
    </row>
    <row r="2961">
      <c r="A2961" s="39" t="s">
        <v>12614</v>
      </c>
      <c r="B2961" s="15">
        <v>1147144.0</v>
      </c>
      <c r="C2961" s="15" t="s">
        <v>12615</v>
      </c>
      <c r="D2961" s="15">
        <v>183140.0</v>
      </c>
      <c r="E2961" s="15" t="s">
        <v>1557</v>
      </c>
      <c r="F2961" s="15" t="s">
        <v>1833</v>
      </c>
      <c r="G2961" s="7">
        <v>45.366</v>
      </c>
      <c r="H2961" s="15">
        <v>52.0</v>
      </c>
      <c r="I2961" s="15" t="s">
        <v>1586</v>
      </c>
      <c r="J2961" s="15" t="s">
        <v>12616</v>
      </c>
      <c r="K2961" s="15">
        <v>69.0</v>
      </c>
      <c r="L2961" s="15">
        <v>69.0</v>
      </c>
      <c r="M2961" s="40">
        <v>41244.0</v>
      </c>
      <c r="N2961" s="40">
        <v>41250.0</v>
      </c>
      <c r="O2961" s="15" t="s">
        <v>1554</v>
      </c>
      <c r="Q2961" s="7"/>
    </row>
    <row r="2962">
      <c r="A2962" s="39" t="s">
        <v>12618</v>
      </c>
      <c r="B2962" s="15">
        <v>1147145.0</v>
      </c>
      <c r="C2962" s="15" t="s">
        <v>12619</v>
      </c>
      <c r="D2962" s="15">
        <v>183141.0</v>
      </c>
      <c r="E2962" s="15" t="s">
        <v>1557</v>
      </c>
      <c r="F2962" s="15" t="s">
        <v>1833</v>
      </c>
      <c r="G2962" s="7">
        <v>39.026</v>
      </c>
      <c r="H2962" s="15" t="s">
        <v>1802</v>
      </c>
      <c r="I2962" s="15" t="s">
        <v>1586</v>
      </c>
      <c r="J2962" s="15" t="s">
        <v>12620</v>
      </c>
      <c r="K2962" s="15">
        <v>60.0</v>
      </c>
      <c r="L2962" s="15">
        <v>60.0</v>
      </c>
      <c r="M2962" s="40">
        <v>41244.0</v>
      </c>
      <c r="N2962" s="40">
        <v>41250.0</v>
      </c>
      <c r="O2962" s="15" t="s">
        <v>1554</v>
      </c>
      <c r="Q2962" s="7"/>
    </row>
    <row r="2963">
      <c r="A2963" s="39" t="s">
        <v>12621</v>
      </c>
      <c r="B2963" s="15">
        <v>1147146.0</v>
      </c>
      <c r="C2963" s="15" t="s">
        <v>12622</v>
      </c>
      <c r="D2963" s="15">
        <v>183142.0</v>
      </c>
      <c r="E2963" s="15" t="s">
        <v>1557</v>
      </c>
      <c r="F2963" s="15" t="s">
        <v>1833</v>
      </c>
      <c r="G2963" s="7">
        <v>47.09</v>
      </c>
      <c r="H2963" s="15" t="s">
        <v>1802</v>
      </c>
      <c r="I2963" s="15" t="s">
        <v>1586</v>
      </c>
      <c r="J2963" s="15" t="s">
        <v>12623</v>
      </c>
      <c r="K2963" s="15">
        <v>69.0</v>
      </c>
      <c r="L2963" s="15">
        <v>69.0</v>
      </c>
      <c r="M2963" s="40">
        <v>41244.0</v>
      </c>
      <c r="N2963" s="40">
        <v>41250.0</v>
      </c>
      <c r="O2963" s="15" t="s">
        <v>1554</v>
      </c>
      <c r="Q2963" s="7"/>
    </row>
    <row r="2964">
      <c r="A2964" s="39" t="s">
        <v>12624</v>
      </c>
      <c r="B2964" s="15">
        <v>1147147.0</v>
      </c>
      <c r="C2964" s="15" t="s">
        <v>12625</v>
      </c>
      <c r="D2964" s="15">
        <v>183143.0</v>
      </c>
      <c r="E2964" s="15" t="s">
        <v>1557</v>
      </c>
      <c r="F2964" s="15" t="s">
        <v>1833</v>
      </c>
      <c r="G2964" s="7">
        <v>41.528</v>
      </c>
      <c r="H2964" s="15" t="s">
        <v>1670</v>
      </c>
      <c r="I2964" s="15" t="s">
        <v>1586</v>
      </c>
      <c r="J2964" s="15" t="s">
        <v>12626</v>
      </c>
      <c r="K2964" s="15">
        <v>67.0</v>
      </c>
      <c r="L2964" s="15">
        <v>67.0</v>
      </c>
      <c r="M2964" s="40">
        <v>41244.0</v>
      </c>
      <c r="N2964" s="40">
        <v>41250.0</v>
      </c>
      <c r="O2964" s="15" t="s">
        <v>1554</v>
      </c>
      <c r="Q2964" s="7"/>
    </row>
    <row r="2965">
      <c r="A2965" s="39" t="s">
        <v>12627</v>
      </c>
      <c r="B2965" s="15">
        <v>1147148.0</v>
      </c>
      <c r="C2965" s="15" t="s">
        <v>12628</v>
      </c>
      <c r="D2965" s="15">
        <v>183144.0</v>
      </c>
      <c r="E2965" s="15" t="s">
        <v>1557</v>
      </c>
      <c r="F2965" s="15" t="s">
        <v>1833</v>
      </c>
      <c r="G2965" s="7">
        <v>47.288</v>
      </c>
      <c r="H2965" s="15" t="s">
        <v>5475</v>
      </c>
      <c r="I2965" s="15" t="s">
        <v>1586</v>
      </c>
      <c r="J2965" s="15" t="s">
        <v>12630</v>
      </c>
      <c r="K2965" s="15">
        <v>69.0</v>
      </c>
      <c r="L2965" s="15">
        <v>69.0</v>
      </c>
      <c r="M2965" s="40">
        <v>41244.0</v>
      </c>
      <c r="N2965" s="40">
        <v>41250.0</v>
      </c>
      <c r="O2965" s="15" t="s">
        <v>1554</v>
      </c>
      <c r="Q2965" s="7"/>
    </row>
    <row r="2966">
      <c r="A2966" s="39" t="s">
        <v>12631</v>
      </c>
      <c r="B2966" s="15">
        <v>1147149.0</v>
      </c>
      <c r="C2966" s="15" t="s">
        <v>12632</v>
      </c>
      <c r="D2966" s="15">
        <v>183145.0</v>
      </c>
      <c r="E2966" s="15" t="s">
        <v>1557</v>
      </c>
      <c r="F2966" s="15" t="s">
        <v>1833</v>
      </c>
      <c r="G2966" s="7">
        <v>42.78</v>
      </c>
      <c r="H2966" s="15" t="s">
        <v>2189</v>
      </c>
      <c r="I2966" s="15" t="s">
        <v>1586</v>
      </c>
      <c r="J2966" s="15" t="s">
        <v>12633</v>
      </c>
      <c r="K2966" s="15">
        <v>72.0</v>
      </c>
      <c r="L2966" s="15">
        <v>69.0</v>
      </c>
      <c r="M2966" s="40">
        <v>41244.0</v>
      </c>
      <c r="N2966" s="40">
        <v>41250.0</v>
      </c>
      <c r="O2966" s="15" t="s">
        <v>1554</v>
      </c>
      <c r="Q2966" s="7"/>
    </row>
    <row r="2967">
      <c r="A2967" s="39" t="s">
        <v>12634</v>
      </c>
      <c r="B2967" s="15">
        <v>1147150.0</v>
      </c>
      <c r="C2967" s="15" t="s">
        <v>12636</v>
      </c>
      <c r="D2967" s="15">
        <v>183146.0</v>
      </c>
      <c r="E2967" s="15" t="s">
        <v>1557</v>
      </c>
      <c r="F2967" s="15" t="s">
        <v>1833</v>
      </c>
      <c r="G2967" s="7">
        <v>37.595</v>
      </c>
      <c r="H2967" s="15">
        <v>50.0</v>
      </c>
      <c r="I2967" s="15" t="s">
        <v>1586</v>
      </c>
      <c r="J2967" s="15" t="s">
        <v>12637</v>
      </c>
      <c r="K2967" s="15">
        <v>61.0</v>
      </c>
      <c r="L2967" s="15">
        <v>61.0</v>
      </c>
      <c r="M2967" s="40">
        <v>41244.0</v>
      </c>
      <c r="N2967" s="40">
        <v>41250.0</v>
      </c>
      <c r="O2967" s="15" t="s">
        <v>1554</v>
      </c>
      <c r="Q2967" s="7"/>
    </row>
    <row r="2968">
      <c r="A2968" s="39" t="s">
        <v>12638</v>
      </c>
      <c r="B2968" s="15">
        <v>1147151.0</v>
      </c>
      <c r="C2968" s="15" t="s">
        <v>12639</v>
      </c>
      <c r="D2968" s="15">
        <v>183147.0</v>
      </c>
      <c r="E2968" s="15" t="s">
        <v>1557</v>
      </c>
      <c r="F2968" s="15" t="s">
        <v>1833</v>
      </c>
      <c r="G2968" s="7">
        <v>44.375</v>
      </c>
      <c r="H2968" s="15" t="s">
        <v>2284</v>
      </c>
      <c r="I2968" s="15" t="s">
        <v>1586</v>
      </c>
      <c r="J2968" s="15" t="s">
        <v>12640</v>
      </c>
      <c r="K2968" s="15">
        <v>63.0</v>
      </c>
      <c r="L2968" s="15">
        <v>63.0</v>
      </c>
      <c r="M2968" s="40">
        <v>41244.0</v>
      </c>
      <c r="N2968" s="41">
        <v>41274.0</v>
      </c>
      <c r="O2968" s="15" t="s">
        <v>1554</v>
      </c>
      <c r="Q2968" s="7"/>
    </row>
    <row r="2969">
      <c r="A2969" s="39" t="s">
        <v>12641</v>
      </c>
      <c r="B2969" s="15">
        <v>1147152.0</v>
      </c>
      <c r="C2969" s="15" t="s">
        <v>12642</v>
      </c>
      <c r="D2969" s="15">
        <v>183148.0</v>
      </c>
      <c r="E2969" s="15" t="s">
        <v>1557</v>
      </c>
      <c r="F2969" s="15" t="s">
        <v>1833</v>
      </c>
      <c r="G2969" s="7">
        <v>44.51</v>
      </c>
      <c r="H2969" s="15" t="s">
        <v>2296</v>
      </c>
      <c r="I2969" s="15" t="s">
        <v>1586</v>
      </c>
      <c r="J2969" s="15" t="s">
        <v>12643</v>
      </c>
      <c r="K2969" s="15">
        <v>59.0</v>
      </c>
      <c r="L2969" s="15">
        <v>59.0</v>
      </c>
      <c r="M2969" s="40">
        <v>41244.0</v>
      </c>
      <c r="N2969" s="40">
        <v>41250.0</v>
      </c>
      <c r="O2969" s="15" t="s">
        <v>1554</v>
      </c>
      <c r="Q2969" s="7"/>
    </row>
    <row r="2970">
      <c r="A2970" s="39" t="s">
        <v>12645</v>
      </c>
      <c r="B2970" s="15">
        <v>1147153.0</v>
      </c>
      <c r="C2970" s="15" t="s">
        <v>12646</v>
      </c>
      <c r="D2970" s="15">
        <v>183149.0</v>
      </c>
      <c r="E2970" s="15" t="s">
        <v>1557</v>
      </c>
      <c r="F2970" s="15" t="s">
        <v>1833</v>
      </c>
      <c r="G2970" s="7">
        <v>41.567</v>
      </c>
      <c r="H2970" s="15" t="s">
        <v>3798</v>
      </c>
      <c r="I2970" s="15" t="s">
        <v>1586</v>
      </c>
      <c r="J2970" s="15" t="s">
        <v>12647</v>
      </c>
      <c r="K2970" s="15">
        <v>66.0</v>
      </c>
      <c r="L2970" s="15">
        <v>66.0</v>
      </c>
      <c r="M2970" s="40">
        <v>41244.0</v>
      </c>
      <c r="N2970" s="40">
        <v>41250.0</v>
      </c>
      <c r="O2970" s="15" t="s">
        <v>1554</v>
      </c>
      <c r="Q2970" s="7"/>
    </row>
    <row r="2971">
      <c r="A2971" s="39" t="s">
        <v>12648</v>
      </c>
      <c r="B2971" s="15">
        <v>1147154.0</v>
      </c>
      <c r="C2971" s="15" t="s">
        <v>12649</v>
      </c>
      <c r="D2971" s="15">
        <v>183150.0</v>
      </c>
      <c r="E2971" s="15" t="s">
        <v>1557</v>
      </c>
      <c r="F2971" s="15" t="s">
        <v>1833</v>
      </c>
      <c r="G2971" s="7">
        <v>38.759</v>
      </c>
      <c r="H2971" s="15" t="s">
        <v>1802</v>
      </c>
      <c r="I2971" s="15" t="s">
        <v>1586</v>
      </c>
      <c r="J2971" s="15" t="s">
        <v>12650</v>
      </c>
      <c r="K2971" s="15">
        <v>67.0</v>
      </c>
      <c r="L2971" s="15">
        <v>67.0</v>
      </c>
      <c r="M2971" s="40">
        <v>41244.0</v>
      </c>
      <c r="N2971" s="40">
        <v>41250.0</v>
      </c>
      <c r="O2971" s="15" t="s">
        <v>1554</v>
      </c>
      <c r="Q2971" s="7"/>
    </row>
    <row r="2972">
      <c r="A2972" s="39" t="s">
        <v>12651</v>
      </c>
      <c r="B2972" s="15">
        <v>1147155.0</v>
      </c>
      <c r="C2972" s="15" t="s">
        <v>12652</v>
      </c>
      <c r="D2972" s="15">
        <v>183151.0</v>
      </c>
      <c r="E2972" s="15" t="s">
        <v>1557</v>
      </c>
      <c r="F2972" s="15" t="s">
        <v>1833</v>
      </c>
      <c r="G2972" s="7">
        <v>45.805</v>
      </c>
      <c r="H2972" s="15" t="s">
        <v>2392</v>
      </c>
      <c r="I2972" s="15" t="s">
        <v>1586</v>
      </c>
      <c r="J2972" s="15" t="s">
        <v>12654</v>
      </c>
      <c r="K2972" s="15">
        <v>75.0</v>
      </c>
      <c r="L2972" s="15">
        <v>74.0</v>
      </c>
      <c r="M2972" s="40">
        <v>41244.0</v>
      </c>
      <c r="N2972" s="40">
        <v>41250.0</v>
      </c>
      <c r="O2972" s="15" t="s">
        <v>1554</v>
      </c>
      <c r="Q2972" s="7"/>
    </row>
    <row r="2973">
      <c r="A2973" s="39" t="s">
        <v>12655</v>
      </c>
      <c r="B2973" s="15">
        <v>1147156.0</v>
      </c>
      <c r="C2973" s="15" t="s">
        <v>12656</v>
      </c>
      <c r="D2973" s="15">
        <v>183152.0</v>
      </c>
      <c r="E2973" s="15" t="s">
        <v>1557</v>
      </c>
      <c r="F2973" s="15" t="s">
        <v>1833</v>
      </c>
      <c r="G2973" s="7">
        <v>44.12</v>
      </c>
      <c r="H2973" s="15">
        <v>51.0</v>
      </c>
      <c r="I2973" s="15" t="s">
        <v>1586</v>
      </c>
      <c r="J2973" s="15" t="s">
        <v>12657</v>
      </c>
      <c r="K2973" s="15">
        <v>74.0</v>
      </c>
      <c r="L2973" s="15">
        <v>74.0</v>
      </c>
      <c r="M2973" s="40">
        <v>41244.0</v>
      </c>
      <c r="N2973" s="40">
        <v>41250.0</v>
      </c>
      <c r="O2973" s="15" t="s">
        <v>1554</v>
      </c>
      <c r="Q2973" s="7"/>
    </row>
    <row r="2974">
      <c r="A2974" s="39" t="s">
        <v>12658</v>
      </c>
      <c r="B2974" s="15">
        <v>1147157.0</v>
      </c>
      <c r="C2974" s="15" t="s">
        <v>12659</v>
      </c>
      <c r="D2974" s="15">
        <v>183153.0</v>
      </c>
      <c r="E2974" s="15" t="s">
        <v>1557</v>
      </c>
      <c r="F2974" s="15" t="s">
        <v>1833</v>
      </c>
      <c r="G2974" s="7">
        <v>39.578</v>
      </c>
      <c r="H2974" s="15" t="s">
        <v>5475</v>
      </c>
      <c r="I2974" s="15" t="s">
        <v>1586</v>
      </c>
      <c r="J2974" s="15" t="s">
        <v>12660</v>
      </c>
      <c r="K2974" s="15">
        <v>61.0</v>
      </c>
      <c r="L2974" s="15">
        <v>61.0</v>
      </c>
      <c r="M2974" s="40">
        <v>41244.0</v>
      </c>
      <c r="N2974" s="40">
        <v>41250.0</v>
      </c>
      <c r="O2974" s="15" t="s">
        <v>1554</v>
      </c>
      <c r="Q2974" s="7"/>
    </row>
    <row r="2975">
      <c r="A2975" s="39" t="s">
        <v>12662</v>
      </c>
      <c r="B2975" s="15">
        <v>1147158.0</v>
      </c>
      <c r="C2975" s="15" t="s">
        <v>12663</v>
      </c>
      <c r="D2975" s="15">
        <v>183154.0</v>
      </c>
      <c r="E2975" s="15" t="s">
        <v>1557</v>
      </c>
      <c r="F2975" s="15" t="s">
        <v>1833</v>
      </c>
      <c r="G2975" s="7">
        <v>40.029</v>
      </c>
      <c r="H2975" s="15" t="s">
        <v>1705</v>
      </c>
      <c r="I2975" s="15" t="s">
        <v>1586</v>
      </c>
      <c r="J2975" s="15" t="s">
        <v>12664</v>
      </c>
      <c r="K2975" s="15">
        <v>59.0</v>
      </c>
      <c r="L2975" s="15">
        <v>59.0</v>
      </c>
      <c r="M2975" s="40">
        <v>41244.0</v>
      </c>
      <c r="N2975" s="40">
        <v>41250.0</v>
      </c>
      <c r="O2975" s="15" t="s">
        <v>1554</v>
      </c>
      <c r="Q2975" s="7"/>
    </row>
    <row r="2976">
      <c r="A2976" s="39" t="s">
        <v>12665</v>
      </c>
      <c r="B2976" s="15">
        <v>1216926.0</v>
      </c>
      <c r="C2976" s="15" t="s">
        <v>12666</v>
      </c>
      <c r="D2976" s="15">
        <v>183155.0</v>
      </c>
      <c r="E2976" s="15" t="s">
        <v>1557</v>
      </c>
      <c r="F2976" s="15" t="s">
        <v>1833</v>
      </c>
      <c r="G2976" s="7">
        <v>50.552</v>
      </c>
      <c r="H2976" s="15" t="s">
        <v>8889</v>
      </c>
      <c r="I2976" s="15" t="s">
        <v>1586</v>
      </c>
      <c r="J2976" s="15" t="s">
        <v>12667</v>
      </c>
      <c r="K2976" s="15">
        <v>78.0</v>
      </c>
      <c r="L2976" s="15">
        <v>78.0</v>
      </c>
      <c r="M2976" s="41">
        <v>41212.0</v>
      </c>
      <c r="N2976" s="40">
        <v>41383.0</v>
      </c>
      <c r="O2976" s="15" t="s">
        <v>1554</v>
      </c>
      <c r="Q2976" s="7"/>
    </row>
    <row r="2977">
      <c r="A2977" s="39" t="s">
        <v>12668</v>
      </c>
      <c r="B2977" s="15">
        <v>1229754.0</v>
      </c>
      <c r="C2977" s="15" t="s">
        <v>12670</v>
      </c>
      <c r="D2977" s="15">
        <v>183156.0</v>
      </c>
      <c r="E2977" s="15" t="s">
        <v>1557</v>
      </c>
      <c r="F2977" s="15" t="s">
        <v>1767</v>
      </c>
      <c r="G2977" s="7">
        <v>41.351</v>
      </c>
      <c r="H2977" s="15" t="s">
        <v>5521</v>
      </c>
      <c r="I2977" s="15" t="s">
        <v>1586</v>
      </c>
      <c r="J2977" s="15" t="s">
        <v>12671</v>
      </c>
      <c r="K2977" s="15">
        <v>62.0</v>
      </c>
      <c r="L2977" s="15">
        <v>62.0</v>
      </c>
      <c r="M2977" s="41">
        <v>41223.0</v>
      </c>
      <c r="N2977" s="40">
        <v>41250.0</v>
      </c>
      <c r="O2977" s="15" t="s">
        <v>1554</v>
      </c>
      <c r="Q2977" s="7"/>
    </row>
    <row r="2978">
      <c r="A2978" s="39" t="s">
        <v>12672</v>
      </c>
      <c r="B2978" s="15">
        <v>1229755.0</v>
      </c>
      <c r="C2978" s="15" t="s">
        <v>12673</v>
      </c>
      <c r="D2978" s="15">
        <v>183157.0</v>
      </c>
      <c r="E2978" s="15" t="s">
        <v>1557</v>
      </c>
      <c r="F2978" s="15" t="s">
        <v>1833</v>
      </c>
      <c r="G2978" s="7">
        <v>78.751</v>
      </c>
      <c r="H2978" s="15" t="s">
        <v>1670</v>
      </c>
      <c r="I2978" s="15" t="s">
        <v>1586</v>
      </c>
      <c r="J2978" s="15" t="s">
        <v>12674</v>
      </c>
      <c r="K2978" s="15">
        <v>107.0</v>
      </c>
      <c r="L2978" s="15">
        <v>107.0</v>
      </c>
      <c r="M2978" s="41">
        <v>41234.0</v>
      </c>
      <c r="N2978" s="40">
        <v>41250.0</v>
      </c>
      <c r="O2978" s="15" t="s">
        <v>1554</v>
      </c>
      <c r="Q2978" s="7"/>
    </row>
    <row r="2979">
      <c r="A2979" s="39" t="s">
        <v>12675</v>
      </c>
      <c r="B2979" s="15">
        <v>432198.0</v>
      </c>
      <c r="C2979" s="15" t="s">
        <v>12676</v>
      </c>
      <c r="D2979" s="15">
        <v>183158.0</v>
      </c>
      <c r="E2979" s="15" t="s">
        <v>1557</v>
      </c>
      <c r="F2979" s="15" t="s">
        <v>1833</v>
      </c>
      <c r="G2979" s="7">
        <v>41.468</v>
      </c>
      <c r="H2979" s="15" t="s">
        <v>3798</v>
      </c>
      <c r="I2979" s="15" t="s">
        <v>1586</v>
      </c>
      <c r="J2979" s="15" t="s">
        <v>12677</v>
      </c>
      <c r="K2979" s="15">
        <v>65.0</v>
      </c>
      <c r="L2979" s="15">
        <v>65.0</v>
      </c>
      <c r="M2979" s="40">
        <v>41244.0</v>
      </c>
      <c r="N2979" s="40">
        <v>41250.0</v>
      </c>
      <c r="O2979" s="15" t="s">
        <v>1554</v>
      </c>
      <c r="Q2979" s="7"/>
    </row>
    <row r="2980">
      <c r="A2980" s="39" t="s">
        <v>12678</v>
      </c>
      <c r="B2980" s="15">
        <v>432200.0</v>
      </c>
      <c r="C2980" s="15" t="s">
        <v>12680</v>
      </c>
      <c r="D2980" s="15">
        <v>183159.0</v>
      </c>
      <c r="E2980" s="15" t="s">
        <v>1557</v>
      </c>
      <c r="F2980" s="15" t="s">
        <v>1833</v>
      </c>
      <c r="G2980" s="7">
        <v>38.964</v>
      </c>
      <c r="H2980" s="15" t="s">
        <v>2296</v>
      </c>
      <c r="I2980" s="15" t="s">
        <v>1586</v>
      </c>
      <c r="J2980" s="15" t="s">
        <v>12681</v>
      </c>
      <c r="K2980" s="15">
        <v>56.0</v>
      </c>
      <c r="L2980" s="15">
        <v>57.0</v>
      </c>
      <c r="M2980" s="40">
        <v>41244.0</v>
      </c>
      <c r="N2980" s="40">
        <v>41250.0</v>
      </c>
      <c r="O2980" s="15" t="s">
        <v>1554</v>
      </c>
      <c r="Q2980" s="7"/>
    </row>
    <row r="2981">
      <c r="A2981" s="39" t="s">
        <v>12682</v>
      </c>
      <c r="B2981" s="15">
        <v>432201.0</v>
      </c>
      <c r="C2981" s="15" t="s">
        <v>12683</v>
      </c>
      <c r="D2981" s="15">
        <v>183160.0</v>
      </c>
      <c r="E2981" s="15" t="s">
        <v>1557</v>
      </c>
      <c r="F2981" s="15" t="s">
        <v>1833</v>
      </c>
      <c r="G2981" s="7">
        <v>40.155</v>
      </c>
      <c r="H2981" s="15" t="s">
        <v>5042</v>
      </c>
      <c r="I2981" s="15" t="s">
        <v>1586</v>
      </c>
      <c r="J2981" s="15" t="s">
        <v>12684</v>
      </c>
      <c r="K2981" s="15">
        <v>63.0</v>
      </c>
      <c r="L2981" s="15">
        <v>63.0</v>
      </c>
      <c r="M2981" s="40">
        <v>41244.0</v>
      </c>
      <c r="N2981" s="40">
        <v>41250.0</v>
      </c>
      <c r="O2981" s="15" t="s">
        <v>1554</v>
      </c>
      <c r="Q2981" s="7"/>
    </row>
    <row r="2982">
      <c r="A2982" s="39" t="s">
        <v>12685</v>
      </c>
      <c r="B2982" s="15">
        <v>1235640.0</v>
      </c>
      <c r="C2982" s="15" t="s">
        <v>12686</v>
      </c>
      <c r="D2982" s="15">
        <v>183161.0</v>
      </c>
      <c r="E2982" s="15" t="s">
        <v>1548</v>
      </c>
      <c r="F2982" s="15" t="s">
        <v>4850</v>
      </c>
      <c r="G2982" s="7">
        <v>3.405</v>
      </c>
      <c r="H2982" s="15">
        <v>48.0</v>
      </c>
      <c r="I2982" s="15" t="s">
        <v>1586</v>
      </c>
      <c r="J2982" s="15" t="s">
        <v>12687</v>
      </c>
      <c r="K2982" s="15">
        <v>4.0</v>
      </c>
      <c r="L2982" s="15">
        <v>4.0</v>
      </c>
      <c r="M2982" s="41">
        <v>41242.0</v>
      </c>
      <c r="N2982" s="40">
        <v>41250.0</v>
      </c>
      <c r="O2982" s="15" t="s">
        <v>1554</v>
      </c>
      <c r="Q2982" s="7"/>
    </row>
    <row r="2983">
      <c r="A2983" s="39" t="s">
        <v>12688</v>
      </c>
      <c r="B2983" s="15">
        <v>1239383.0</v>
      </c>
      <c r="C2983" s="15" t="s">
        <v>12689</v>
      </c>
      <c r="D2983" s="15">
        <v>183162.0</v>
      </c>
      <c r="E2983" s="15" t="s">
        <v>1557</v>
      </c>
      <c r="F2983" s="15" t="s">
        <v>1767</v>
      </c>
      <c r="G2983" s="7">
        <v>141.836</v>
      </c>
      <c r="H2983" s="42">
        <v>43220.0</v>
      </c>
      <c r="I2983" s="15" t="s">
        <v>1586</v>
      </c>
      <c r="J2983" s="15" t="s">
        <v>12690</v>
      </c>
      <c r="K2983" s="15">
        <v>217.0</v>
      </c>
      <c r="L2983" s="15">
        <v>217.0</v>
      </c>
      <c r="M2983" s="41">
        <v>41234.0</v>
      </c>
      <c r="N2983" s="40">
        <v>41250.0</v>
      </c>
      <c r="O2983" s="15" t="s">
        <v>1554</v>
      </c>
      <c r="Q2983" s="7"/>
    </row>
    <row r="2984">
      <c r="A2984" s="39" t="s">
        <v>12692</v>
      </c>
      <c r="B2984" s="15">
        <v>154122.0</v>
      </c>
      <c r="C2984" s="15" t="s">
        <v>12693</v>
      </c>
      <c r="D2984" s="15">
        <v>183163.0</v>
      </c>
      <c r="E2984" s="15" t="s">
        <v>1548</v>
      </c>
      <c r="F2984" s="15" t="s">
        <v>4829</v>
      </c>
      <c r="G2984" s="7">
        <v>8.427</v>
      </c>
      <c r="H2984" s="15" t="s">
        <v>7408</v>
      </c>
      <c r="I2984" s="15" t="s">
        <v>1686</v>
      </c>
      <c r="J2984" s="15" t="s">
        <v>12694</v>
      </c>
      <c r="K2984" s="15">
        <v>3.0</v>
      </c>
      <c r="L2984" s="15">
        <v>3.0</v>
      </c>
      <c r="M2984" s="40">
        <v>41247.0</v>
      </c>
      <c r="N2984" s="40">
        <v>41250.0</v>
      </c>
      <c r="O2984" s="15" t="s">
        <v>1554</v>
      </c>
      <c r="Q2984" s="7"/>
    </row>
    <row r="2985">
      <c r="A2985" s="39" t="s">
        <v>12695</v>
      </c>
      <c r="B2985" s="15">
        <v>32604.0</v>
      </c>
      <c r="C2985" s="15" t="s">
        <v>12696</v>
      </c>
      <c r="D2985" s="15">
        <v>14422.0</v>
      </c>
      <c r="E2985" s="15" t="s">
        <v>1557</v>
      </c>
      <c r="F2985" s="15" t="s">
        <v>1827</v>
      </c>
      <c r="G2985" s="7">
        <v>162.114</v>
      </c>
      <c r="H2985" s="15" t="s">
        <v>3255</v>
      </c>
      <c r="I2985" s="15" t="s">
        <v>1686</v>
      </c>
      <c r="J2985" s="15" t="s">
        <v>12697</v>
      </c>
      <c r="K2985" s="15">
        <v>103.0</v>
      </c>
      <c r="L2985" s="15">
        <v>104.0</v>
      </c>
      <c r="M2985" s="40">
        <v>36388.0</v>
      </c>
      <c r="N2985" s="41">
        <v>41241.0</v>
      </c>
      <c r="O2985" s="15" t="s">
        <v>1554</v>
      </c>
      <c r="Q2985" s="7"/>
    </row>
    <row r="2986">
      <c r="A2986" s="39" t="s">
        <v>12699</v>
      </c>
      <c r="B2986" s="15">
        <v>32603.0</v>
      </c>
      <c r="C2986" s="15" t="s">
        <v>12700</v>
      </c>
      <c r="D2986" s="15">
        <v>14462.0</v>
      </c>
      <c r="E2986" s="15" t="s">
        <v>1557</v>
      </c>
      <c r="F2986" s="15" t="s">
        <v>1827</v>
      </c>
      <c r="G2986" s="7">
        <v>159.322</v>
      </c>
      <c r="H2986" s="15" t="s">
        <v>1859</v>
      </c>
      <c r="I2986" s="15" t="s">
        <v>1686</v>
      </c>
      <c r="J2986" s="15" t="s">
        <v>12701</v>
      </c>
      <c r="K2986" s="15">
        <v>88.0</v>
      </c>
      <c r="L2986" s="15">
        <v>88.0</v>
      </c>
      <c r="M2986" s="40">
        <v>34855.0</v>
      </c>
      <c r="N2986" s="40">
        <v>42833.0</v>
      </c>
      <c r="O2986" s="15" t="s">
        <v>1554</v>
      </c>
      <c r="Q2986" s="7"/>
    </row>
    <row r="2987">
      <c r="A2987" s="39" t="s">
        <v>12702</v>
      </c>
      <c r="B2987" s="15">
        <v>1129191.0</v>
      </c>
      <c r="C2987" s="15" t="s">
        <v>12703</v>
      </c>
      <c r="D2987" s="15">
        <v>310887.0</v>
      </c>
      <c r="E2987" s="15" t="s">
        <v>1557</v>
      </c>
      <c r="F2987" s="15" t="s">
        <v>1833</v>
      </c>
      <c r="G2987" s="7">
        <v>49.797</v>
      </c>
      <c r="H2987" s="15" t="s">
        <v>2540</v>
      </c>
      <c r="I2987" s="15" t="s">
        <v>1586</v>
      </c>
      <c r="J2987" s="15" t="s">
        <v>12704</v>
      </c>
      <c r="K2987" s="15">
        <v>79.0</v>
      </c>
      <c r="L2987" s="15">
        <v>79.0</v>
      </c>
      <c r="M2987" s="40">
        <v>41485.0</v>
      </c>
      <c r="N2987" s="40">
        <v>42405.0</v>
      </c>
      <c r="O2987" s="15" t="s">
        <v>1554</v>
      </c>
      <c r="Q2987" s="7"/>
    </row>
    <row r="2988">
      <c r="A2988" s="39" t="s">
        <v>12705</v>
      </c>
      <c r="B2988" s="15">
        <v>1236391.0</v>
      </c>
      <c r="C2988" s="15" t="s">
        <v>12706</v>
      </c>
      <c r="D2988" s="15">
        <v>183902.0</v>
      </c>
      <c r="E2988" s="15" t="s">
        <v>1557</v>
      </c>
      <c r="F2988" s="15" t="s">
        <v>2004</v>
      </c>
      <c r="G2988" s="7">
        <v>5.273</v>
      </c>
      <c r="H2988" s="15" t="s">
        <v>2107</v>
      </c>
      <c r="I2988" s="15" t="s">
        <v>1686</v>
      </c>
      <c r="J2988" s="15" t="s">
        <v>12708</v>
      </c>
      <c r="K2988" s="15">
        <v>4.0</v>
      </c>
      <c r="L2988" s="15">
        <v>4.0</v>
      </c>
      <c r="M2988" s="40">
        <v>41222.0</v>
      </c>
      <c r="N2988" s="40">
        <v>41949.0</v>
      </c>
      <c r="O2988" s="15" t="s">
        <v>1554</v>
      </c>
      <c r="Q2988" s="7"/>
    </row>
    <row r="2989">
      <c r="A2989" s="39" t="s">
        <v>12709</v>
      </c>
      <c r="B2989" s="15">
        <v>1236392.0</v>
      </c>
      <c r="C2989" s="15" t="s">
        <v>12710</v>
      </c>
      <c r="D2989" s="15">
        <v>183903.0</v>
      </c>
      <c r="E2989" s="15" t="s">
        <v>1557</v>
      </c>
      <c r="F2989" s="15" t="s">
        <v>2004</v>
      </c>
      <c r="G2989" s="7">
        <v>5.013</v>
      </c>
      <c r="H2989" s="15" t="s">
        <v>2193</v>
      </c>
      <c r="I2989" s="15" t="s">
        <v>1686</v>
      </c>
      <c r="J2989" s="15" t="s">
        <v>12711</v>
      </c>
      <c r="K2989" s="15">
        <v>4.0</v>
      </c>
      <c r="L2989" s="15">
        <v>4.0</v>
      </c>
      <c r="M2989" s="40">
        <v>41222.0</v>
      </c>
      <c r="N2989" s="40">
        <v>41949.0</v>
      </c>
      <c r="O2989" s="15" t="s">
        <v>1554</v>
      </c>
      <c r="Q2989" s="7"/>
    </row>
    <row r="2990">
      <c r="A2990" s="39" t="s">
        <v>12712</v>
      </c>
      <c r="B2990" s="15">
        <v>1236398.0</v>
      </c>
      <c r="C2990" s="15" t="s">
        <v>12713</v>
      </c>
      <c r="D2990" s="15">
        <v>183904.0</v>
      </c>
      <c r="E2990" s="15" t="s">
        <v>1557</v>
      </c>
      <c r="F2990" s="15" t="s">
        <v>2004</v>
      </c>
      <c r="G2990" s="7">
        <v>5.087</v>
      </c>
      <c r="H2990" s="15" t="s">
        <v>1823</v>
      </c>
      <c r="I2990" s="15" t="s">
        <v>1686</v>
      </c>
      <c r="J2990" s="15" t="s">
        <v>12714</v>
      </c>
      <c r="K2990" s="15">
        <v>4.0</v>
      </c>
      <c r="L2990" s="15">
        <v>4.0</v>
      </c>
      <c r="M2990" s="40">
        <v>41222.0</v>
      </c>
      <c r="N2990" s="40">
        <v>41949.0</v>
      </c>
      <c r="O2990" s="15" t="s">
        <v>1554</v>
      </c>
      <c r="Q2990" s="7"/>
    </row>
    <row r="2991">
      <c r="A2991" s="39" t="s">
        <v>12716</v>
      </c>
      <c r="B2991" s="15">
        <v>1236399.0</v>
      </c>
      <c r="C2991" s="15" t="s">
        <v>12717</v>
      </c>
      <c r="D2991" s="15">
        <v>183905.0</v>
      </c>
      <c r="E2991" s="15" t="s">
        <v>1557</v>
      </c>
      <c r="F2991" s="15" t="s">
        <v>2004</v>
      </c>
      <c r="G2991" s="7">
        <v>4.97</v>
      </c>
      <c r="H2991" s="15" t="s">
        <v>3895</v>
      </c>
      <c r="I2991" s="15" t="s">
        <v>1686</v>
      </c>
      <c r="J2991" s="15" t="s">
        <v>12718</v>
      </c>
      <c r="K2991" s="15">
        <v>4.0</v>
      </c>
      <c r="L2991" s="15">
        <v>4.0</v>
      </c>
      <c r="M2991" s="40">
        <v>41222.0</v>
      </c>
      <c r="N2991" s="40">
        <v>41949.0</v>
      </c>
      <c r="O2991" s="15" t="s">
        <v>1554</v>
      </c>
      <c r="Q2991" s="7"/>
    </row>
    <row r="2992">
      <c r="A2992" s="39" t="s">
        <v>12719</v>
      </c>
      <c r="B2992" s="15">
        <v>1236401.0</v>
      </c>
      <c r="C2992" s="15" t="s">
        <v>12720</v>
      </c>
      <c r="D2992" s="15">
        <v>183906.0</v>
      </c>
      <c r="E2992" s="15" t="s">
        <v>1557</v>
      </c>
      <c r="F2992" s="15" t="s">
        <v>2004</v>
      </c>
      <c r="G2992" s="7">
        <v>5.333</v>
      </c>
      <c r="H2992" s="15" t="s">
        <v>2640</v>
      </c>
      <c r="I2992" s="15" t="s">
        <v>1686</v>
      </c>
      <c r="J2992" s="15" t="s">
        <v>12721</v>
      </c>
      <c r="K2992" s="15">
        <v>4.0</v>
      </c>
      <c r="L2992" s="15">
        <v>4.0</v>
      </c>
      <c r="M2992" s="40">
        <v>41222.0</v>
      </c>
      <c r="N2992" s="40">
        <v>41949.0</v>
      </c>
      <c r="O2992" s="15" t="s">
        <v>1554</v>
      </c>
      <c r="Q2992" s="7"/>
    </row>
    <row r="2993">
      <c r="A2993" s="39" t="s">
        <v>12722</v>
      </c>
      <c r="B2993" s="15">
        <v>1236402.0</v>
      </c>
      <c r="C2993" s="15" t="s">
        <v>12723</v>
      </c>
      <c r="D2993" s="15">
        <v>183907.0</v>
      </c>
      <c r="E2993" s="15" t="s">
        <v>1557</v>
      </c>
      <c r="F2993" s="15" t="s">
        <v>2004</v>
      </c>
      <c r="G2993" s="7">
        <v>5.349</v>
      </c>
      <c r="H2993" s="15" t="s">
        <v>1823</v>
      </c>
      <c r="I2993" s="15" t="s">
        <v>1686</v>
      </c>
      <c r="J2993" s="15" t="s">
        <v>12724</v>
      </c>
      <c r="K2993" s="15">
        <v>4.0</v>
      </c>
      <c r="L2993" s="15">
        <v>4.0</v>
      </c>
      <c r="M2993" s="40">
        <v>41222.0</v>
      </c>
      <c r="N2993" s="40">
        <v>41949.0</v>
      </c>
      <c r="O2993" s="15" t="s">
        <v>1554</v>
      </c>
      <c r="Q2993" s="7"/>
    </row>
    <row r="2994">
      <c r="A2994" s="39" t="s">
        <v>12725</v>
      </c>
      <c r="B2994" s="15">
        <v>1236403.0</v>
      </c>
      <c r="C2994" s="15" t="s">
        <v>12726</v>
      </c>
      <c r="D2994" s="15">
        <v>183908.0</v>
      </c>
      <c r="E2994" s="15" t="s">
        <v>1557</v>
      </c>
      <c r="F2994" s="15" t="s">
        <v>2004</v>
      </c>
      <c r="G2994" s="7">
        <v>4.994</v>
      </c>
      <c r="H2994" s="15" t="s">
        <v>2197</v>
      </c>
      <c r="I2994" s="15" t="s">
        <v>1686</v>
      </c>
      <c r="J2994" s="15" t="s">
        <v>12727</v>
      </c>
      <c r="K2994" s="15">
        <v>4.0</v>
      </c>
      <c r="L2994" s="15">
        <v>4.0</v>
      </c>
      <c r="M2994" s="40">
        <v>41222.0</v>
      </c>
      <c r="N2994" s="40">
        <v>41949.0</v>
      </c>
      <c r="O2994" s="15" t="s">
        <v>1554</v>
      </c>
      <c r="Q2994" s="7"/>
    </row>
    <row r="2995">
      <c r="A2995" s="39" t="s">
        <v>12728</v>
      </c>
      <c r="B2995" s="15">
        <v>1236407.0</v>
      </c>
      <c r="C2995" s="15" t="s">
        <v>12729</v>
      </c>
      <c r="D2995" s="15">
        <v>183909.0</v>
      </c>
      <c r="E2995" s="15" t="s">
        <v>1557</v>
      </c>
      <c r="F2995" s="15" t="s">
        <v>2004</v>
      </c>
      <c r="G2995" s="7">
        <v>5.14</v>
      </c>
      <c r="H2995" s="15" t="s">
        <v>3000</v>
      </c>
      <c r="I2995" s="15" t="s">
        <v>1686</v>
      </c>
      <c r="J2995" s="15" t="s">
        <v>12730</v>
      </c>
      <c r="K2995" s="15">
        <v>4.0</v>
      </c>
      <c r="L2995" s="15">
        <v>4.0</v>
      </c>
      <c r="M2995" s="40">
        <v>41222.0</v>
      </c>
      <c r="N2995" s="40">
        <v>41949.0</v>
      </c>
      <c r="O2995" s="15" t="s">
        <v>1554</v>
      </c>
      <c r="Q2995" s="7"/>
    </row>
    <row r="2996">
      <c r="A2996" s="39" t="s">
        <v>12732</v>
      </c>
      <c r="B2996" s="15">
        <v>1236767.0</v>
      </c>
      <c r="C2996" s="15" t="s">
        <v>12733</v>
      </c>
      <c r="D2996" s="15">
        <v>183910.0</v>
      </c>
      <c r="E2996" s="15" t="s">
        <v>1557</v>
      </c>
      <c r="F2996" s="15" t="s">
        <v>1822</v>
      </c>
      <c r="G2996" s="7">
        <v>7.826</v>
      </c>
      <c r="H2996" s="15" t="s">
        <v>5627</v>
      </c>
      <c r="I2996" s="15" t="s">
        <v>1686</v>
      </c>
      <c r="J2996" s="15" t="s">
        <v>12734</v>
      </c>
      <c r="K2996" s="15">
        <v>7.0</v>
      </c>
      <c r="L2996" s="15">
        <v>7.0</v>
      </c>
      <c r="M2996" s="40">
        <v>41221.0</v>
      </c>
      <c r="N2996" s="40">
        <v>41297.0</v>
      </c>
      <c r="O2996" s="15" t="s">
        <v>1554</v>
      </c>
      <c r="Q2996" s="7"/>
    </row>
    <row r="2997">
      <c r="A2997" s="39" t="s">
        <v>12735</v>
      </c>
      <c r="B2997" s="15">
        <v>1235996.0</v>
      </c>
      <c r="C2997" s="15" t="s">
        <v>12736</v>
      </c>
      <c r="D2997" s="15">
        <v>183710.0</v>
      </c>
      <c r="E2997" s="15" t="s">
        <v>1548</v>
      </c>
      <c r="F2997" s="15" t="s">
        <v>1684</v>
      </c>
      <c r="G2997" s="7">
        <v>30.119</v>
      </c>
      <c r="H2997" s="15" t="s">
        <v>2820</v>
      </c>
      <c r="I2997" s="15" t="s">
        <v>1567</v>
      </c>
      <c r="J2997" s="15" t="s">
        <v>12737</v>
      </c>
      <c r="K2997" s="15">
        <v>10.0</v>
      </c>
      <c r="L2997" s="15">
        <v>11.0</v>
      </c>
      <c r="M2997" s="40">
        <v>41179.0</v>
      </c>
      <c r="N2997" s="40">
        <v>41891.0</v>
      </c>
      <c r="O2997" s="15" t="s">
        <v>1554</v>
      </c>
      <c r="Q2997" s="7"/>
    </row>
    <row r="2998">
      <c r="A2998" s="39" t="s">
        <v>12738</v>
      </c>
      <c r="B2998" s="15">
        <v>1147137.0</v>
      </c>
      <c r="C2998" s="15" t="s">
        <v>12739</v>
      </c>
      <c r="D2998" s="15">
        <v>184148.0</v>
      </c>
      <c r="E2998" s="15" t="s">
        <v>1557</v>
      </c>
      <c r="F2998" s="15" t="s">
        <v>1833</v>
      </c>
      <c r="G2998" s="7">
        <v>47.595</v>
      </c>
      <c r="H2998" s="15" t="s">
        <v>3568</v>
      </c>
      <c r="I2998" s="15" t="s">
        <v>1586</v>
      </c>
      <c r="J2998" s="15" t="s">
        <v>12740</v>
      </c>
      <c r="K2998" s="15">
        <v>82.0</v>
      </c>
      <c r="L2998" s="15">
        <v>82.0</v>
      </c>
      <c r="M2998" s="40">
        <v>41025.0</v>
      </c>
      <c r="N2998" s="41">
        <v>41262.0</v>
      </c>
      <c r="O2998" s="15" t="s">
        <v>1554</v>
      </c>
      <c r="Q2998" s="7"/>
    </row>
    <row r="2999">
      <c r="A2999" s="39" t="s">
        <v>12742</v>
      </c>
      <c r="B2999" s="15">
        <v>1195073.0</v>
      </c>
      <c r="C2999" s="15" t="s">
        <v>12743</v>
      </c>
      <c r="D2999" s="15">
        <v>184149.0</v>
      </c>
      <c r="E2999" s="15" t="s">
        <v>1557</v>
      </c>
      <c r="F2999" s="15" t="s">
        <v>1611</v>
      </c>
      <c r="G2999" s="7">
        <v>62.952</v>
      </c>
      <c r="H2999" s="15" t="s">
        <v>11275</v>
      </c>
      <c r="I2999" s="15" t="s">
        <v>1586</v>
      </c>
      <c r="J2999" s="15" t="s">
        <v>12744</v>
      </c>
      <c r="K2999" s="15">
        <v>76.0</v>
      </c>
      <c r="L2999" s="15">
        <v>75.0</v>
      </c>
      <c r="M2999" s="40">
        <v>41104.0</v>
      </c>
      <c r="N2999" s="41">
        <v>41262.0</v>
      </c>
      <c r="O2999" s="15" t="s">
        <v>1554</v>
      </c>
      <c r="Q2999" s="7"/>
    </row>
    <row r="3000">
      <c r="A3000" s="39" t="s">
        <v>12745</v>
      </c>
      <c r="B3000" s="15">
        <v>1225794.0</v>
      </c>
      <c r="C3000" s="15" t="s">
        <v>12746</v>
      </c>
      <c r="D3000" s="15">
        <v>184150.0</v>
      </c>
      <c r="E3000" s="15" t="s">
        <v>1557</v>
      </c>
      <c r="F3000" s="15" t="s">
        <v>1833</v>
      </c>
      <c r="G3000" s="7">
        <v>38.002</v>
      </c>
      <c r="H3000" s="15" t="s">
        <v>1782</v>
      </c>
      <c r="I3000" s="15" t="s">
        <v>1586</v>
      </c>
      <c r="J3000" s="15" t="s">
        <v>12747</v>
      </c>
      <c r="K3000" s="15">
        <v>60.0</v>
      </c>
      <c r="L3000" s="15">
        <v>60.0</v>
      </c>
      <c r="M3000" s="41">
        <v>41192.0</v>
      </c>
      <c r="N3000" s="41">
        <v>41262.0</v>
      </c>
      <c r="O3000" s="15" t="s">
        <v>1554</v>
      </c>
      <c r="Q3000" s="7"/>
    </row>
    <row r="3001">
      <c r="A3001" s="39" t="s">
        <v>12749</v>
      </c>
      <c r="B3001" s="15">
        <v>1235689.0</v>
      </c>
      <c r="C3001" s="15" t="s">
        <v>12750</v>
      </c>
      <c r="D3001" s="15">
        <v>184151.0</v>
      </c>
      <c r="E3001" s="15" t="s">
        <v>1557</v>
      </c>
      <c r="F3001" s="15" t="s">
        <v>1611</v>
      </c>
      <c r="G3001" s="7">
        <v>42.689</v>
      </c>
      <c r="H3001" s="15" t="s">
        <v>10545</v>
      </c>
      <c r="I3001" s="15" t="s">
        <v>1586</v>
      </c>
      <c r="J3001" s="15" t="s">
        <v>12751</v>
      </c>
      <c r="K3001" s="15">
        <v>65.0</v>
      </c>
      <c r="L3001" s="15">
        <v>65.0</v>
      </c>
      <c r="M3001" s="40">
        <v>41218.0</v>
      </c>
      <c r="N3001" s="41">
        <v>41262.0</v>
      </c>
      <c r="O3001" s="15" t="s">
        <v>1554</v>
      </c>
      <c r="Q3001" s="7"/>
    </row>
    <row r="3002">
      <c r="A3002" s="39" t="s">
        <v>12752</v>
      </c>
      <c r="B3002" s="15">
        <v>1236573.0</v>
      </c>
      <c r="C3002" s="15" t="s">
        <v>12753</v>
      </c>
      <c r="D3002" s="15">
        <v>184152.0</v>
      </c>
      <c r="E3002" s="15" t="s">
        <v>1557</v>
      </c>
      <c r="F3002" s="15" t="s">
        <v>1833</v>
      </c>
      <c r="G3002" s="7">
        <v>36.932</v>
      </c>
      <c r="H3002" s="15" t="s">
        <v>2233</v>
      </c>
      <c r="I3002" s="15" t="s">
        <v>1586</v>
      </c>
      <c r="J3002" s="15" t="s">
        <v>12754</v>
      </c>
      <c r="K3002" s="15">
        <v>53.0</v>
      </c>
      <c r="L3002" s="15">
        <v>53.0</v>
      </c>
      <c r="M3002" s="41">
        <v>41204.0</v>
      </c>
      <c r="N3002" s="40">
        <v>42650.0</v>
      </c>
      <c r="O3002" s="15" t="s">
        <v>1554</v>
      </c>
      <c r="Q3002" s="7"/>
    </row>
    <row r="3003">
      <c r="A3003" s="39" t="s">
        <v>12755</v>
      </c>
      <c r="B3003" s="15">
        <v>685892.0</v>
      </c>
      <c r="C3003" s="15" t="s">
        <v>12757</v>
      </c>
      <c r="D3003" s="15">
        <v>184153.0</v>
      </c>
      <c r="E3003" s="15" t="s">
        <v>1557</v>
      </c>
      <c r="F3003" s="15" t="s">
        <v>1767</v>
      </c>
      <c r="G3003" s="7">
        <v>91.715</v>
      </c>
      <c r="H3003" s="15" t="s">
        <v>4821</v>
      </c>
      <c r="I3003" s="15" t="s">
        <v>1586</v>
      </c>
      <c r="J3003" s="15" t="s">
        <v>12758</v>
      </c>
      <c r="K3003" s="15">
        <v>179.0</v>
      </c>
      <c r="L3003" s="15">
        <v>167.0</v>
      </c>
      <c r="M3003" s="40">
        <v>40742.0</v>
      </c>
      <c r="N3003" s="41">
        <v>42320.0</v>
      </c>
      <c r="O3003" s="15" t="s">
        <v>1554</v>
      </c>
      <c r="Q3003" s="7"/>
    </row>
    <row r="3004">
      <c r="A3004" s="39" t="s">
        <v>12759</v>
      </c>
      <c r="B3004" s="15">
        <v>925983.0</v>
      </c>
      <c r="C3004" s="15" t="s">
        <v>12760</v>
      </c>
      <c r="D3004" s="15">
        <v>184154.0</v>
      </c>
      <c r="E3004" s="15" t="s">
        <v>1557</v>
      </c>
      <c r="F3004" s="15" t="s">
        <v>1611</v>
      </c>
      <c r="G3004" s="7">
        <v>45.554</v>
      </c>
      <c r="H3004" s="15" t="s">
        <v>1670</v>
      </c>
      <c r="I3004" s="15" t="s">
        <v>1586</v>
      </c>
      <c r="J3004" s="15" t="s">
        <v>12761</v>
      </c>
      <c r="K3004" s="15">
        <v>51.0</v>
      </c>
      <c r="L3004" s="15">
        <v>51.0</v>
      </c>
      <c r="M3004" s="41">
        <v>40492.0</v>
      </c>
      <c r="N3004" s="41">
        <v>41262.0</v>
      </c>
      <c r="O3004" s="15" t="s">
        <v>1554</v>
      </c>
      <c r="Q3004" s="7"/>
    </row>
    <row r="3005">
      <c r="A3005" s="39" t="s">
        <v>12762</v>
      </c>
      <c r="B3005" s="15">
        <v>1029988.0</v>
      </c>
      <c r="C3005" s="15" t="s">
        <v>12763</v>
      </c>
      <c r="D3005" s="15">
        <v>184155.0</v>
      </c>
      <c r="E3005" s="15" t="s">
        <v>1557</v>
      </c>
      <c r="F3005" s="15" t="s">
        <v>1833</v>
      </c>
      <c r="G3005" s="7">
        <v>243.05</v>
      </c>
      <c r="H3005" s="15" t="s">
        <v>5521</v>
      </c>
      <c r="I3005" s="15" t="s">
        <v>1586</v>
      </c>
      <c r="J3005" s="15" t="s">
        <v>12764</v>
      </c>
      <c r="K3005" s="15">
        <v>262.0</v>
      </c>
      <c r="L3005" s="15">
        <v>262.0</v>
      </c>
      <c r="M3005" s="40">
        <v>41157.0</v>
      </c>
      <c r="N3005" s="40">
        <v>41533.0</v>
      </c>
      <c r="O3005" s="15" t="s">
        <v>1554</v>
      </c>
      <c r="Q3005" s="7"/>
    </row>
    <row r="3006">
      <c r="A3006" s="39" t="s">
        <v>12766</v>
      </c>
      <c r="B3006" s="15">
        <v>1147043.0</v>
      </c>
      <c r="C3006" s="15" t="s">
        <v>12767</v>
      </c>
      <c r="D3006" s="15">
        <v>184156.0</v>
      </c>
      <c r="E3006" s="15" t="s">
        <v>1557</v>
      </c>
      <c r="F3006" s="15" t="s">
        <v>1833</v>
      </c>
      <c r="G3006" s="7">
        <v>40.917</v>
      </c>
      <c r="H3006" s="15" t="s">
        <v>8397</v>
      </c>
      <c r="I3006" s="15" t="s">
        <v>1586</v>
      </c>
      <c r="J3006" s="15" t="s">
        <v>12768</v>
      </c>
      <c r="K3006" s="15">
        <v>65.0</v>
      </c>
      <c r="L3006" s="15">
        <v>65.0</v>
      </c>
      <c r="M3006" s="40">
        <v>40957.0</v>
      </c>
      <c r="N3006" s="41">
        <v>41262.0</v>
      </c>
      <c r="O3006" s="15" t="s">
        <v>1554</v>
      </c>
      <c r="Q3006" s="7"/>
    </row>
    <row r="3007">
      <c r="A3007" s="39" t="s">
        <v>12769</v>
      </c>
      <c r="B3007" s="15">
        <v>1147044.0</v>
      </c>
      <c r="C3007" s="15" t="s">
        <v>12770</v>
      </c>
      <c r="D3007" s="15">
        <v>184157.0</v>
      </c>
      <c r="E3007" s="15" t="s">
        <v>1557</v>
      </c>
      <c r="F3007" s="15" t="s">
        <v>1833</v>
      </c>
      <c r="G3007" s="7">
        <v>40.071</v>
      </c>
      <c r="H3007" s="15" t="s">
        <v>2009</v>
      </c>
      <c r="I3007" s="15" t="s">
        <v>1586</v>
      </c>
      <c r="J3007" s="15" t="s">
        <v>12771</v>
      </c>
      <c r="K3007" s="15">
        <v>53.0</v>
      </c>
      <c r="L3007" s="15">
        <v>53.0</v>
      </c>
      <c r="M3007" s="40">
        <v>40957.0</v>
      </c>
      <c r="N3007" s="41">
        <v>41262.0</v>
      </c>
      <c r="O3007" s="15" t="s">
        <v>1554</v>
      </c>
      <c r="Q3007" s="7"/>
    </row>
    <row r="3008">
      <c r="A3008" s="39" t="s">
        <v>12772</v>
      </c>
      <c r="B3008" s="15">
        <v>1188794.0</v>
      </c>
      <c r="C3008" s="15" t="s">
        <v>12773</v>
      </c>
      <c r="D3008" s="15">
        <v>184158.0</v>
      </c>
      <c r="E3008" s="15" t="s">
        <v>1557</v>
      </c>
      <c r="F3008" s="15" t="s">
        <v>1833</v>
      </c>
      <c r="G3008" s="7">
        <v>43.87</v>
      </c>
      <c r="H3008" s="15" t="s">
        <v>5627</v>
      </c>
      <c r="I3008" s="15" t="s">
        <v>1586</v>
      </c>
      <c r="J3008" s="15" t="s">
        <v>12775</v>
      </c>
      <c r="K3008" s="15">
        <v>47.0</v>
      </c>
      <c r="L3008" s="15">
        <v>47.0</v>
      </c>
      <c r="M3008" s="40">
        <v>41100.0</v>
      </c>
      <c r="N3008" s="41">
        <v>41638.0</v>
      </c>
      <c r="O3008" s="15" t="s">
        <v>1554</v>
      </c>
      <c r="Q3008" s="7"/>
    </row>
    <row r="3009">
      <c r="A3009" s="39" t="s">
        <v>12776</v>
      </c>
      <c r="B3009" s="15">
        <v>1204178.0</v>
      </c>
      <c r="C3009" s="15" t="s">
        <v>12777</v>
      </c>
      <c r="D3009" s="15">
        <v>184159.0</v>
      </c>
      <c r="E3009" s="15" t="s">
        <v>1557</v>
      </c>
      <c r="F3009" s="15" t="s">
        <v>1611</v>
      </c>
      <c r="G3009" s="7">
        <v>26.449</v>
      </c>
      <c r="H3009" s="15" t="s">
        <v>3554</v>
      </c>
      <c r="I3009" s="15" t="s">
        <v>1586</v>
      </c>
      <c r="J3009" s="15" t="s">
        <v>12778</v>
      </c>
      <c r="K3009" s="15">
        <v>32.0</v>
      </c>
      <c r="L3009" s="15">
        <v>32.0</v>
      </c>
      <c r="M3009" s="40">
        <v>41122.0</v>
      </c>
      <c r="N3009" s="40">
        <v>42188.0</v>
      </c>
      <c r="O3009" s="15" t="s">
        <v>1554</v>
      </c>
      <c r="Q3009" s="7"/>
    </row>
    <row r="3010">
      <c r="A3010" s="39" t="s">
        <v>12779</v>
      </c>
      <c r="B3010" s="15">
        <v>1204528.0</v>
      </c>
      <c r="C3010" s="15" t="s">
        <v>12780</v>
      </c>
      <c r="D3010" s="15">
        <v>184160.0</v>
      </c>
      <c r="E3010" s="15" t="s">
        <v>1557</v>
      </c>
      <c r="F3010" s="15" t="s">
        <v>1767</v>
      </c>
      <c r="G3010" s="7">
        <v>159.624</v>
      </c>
      <c r="H3010" s="15" t="s">
        <v>3304</v>
      </c>
      <c r="I3010" s="15" t="s">
        <v>1586</v>
      </c>
      <c r="J3010" s="15" t="s">
        <v>12781</v>
      </c>
      <c r="K3010" s="15">
        <v>208.0</v>
      </c>
      <c r="L3010" s="15">
        <v>208.0</v>
      </c>
      <c r="M3010" s="41">
        <v>41192.0</v>
      </c>
      <c r="N3010" s="41">
        <v>41262.0</v>
      </c>
      <c r="O3010" s="15" t="s">
        <v>1554</v>
      </c>
      <c r="Q3010" s="7"/>
    </row>
    <row r="3011">
      <c r="A3011" s="39" t="s">
        <v>12783</v>
      </c>
      <c r="B3011" s="15">
        <v>1206300.0</v>
      </c>
      <c r="C3011" s="15" t="s">
        <v>12784</v>
      </c>
      <c r="D3011" s="15">
        <v>184161.0</v>
      </c>
      <c r="E3011" s="15" t="s">
        <v>1548</v>
      </c>
      <c r="F3011" s="15" t="s">
        <v>4850</v>
      </c>
      <c r="G3011" s="7">
        <v>3.562</v>
      </c>
      <c r="H3011" s="15" t="s">
        <v>2945</v>
      </c>
      <c r="I3011" s="15" t="s">
        <v>1586</v>
      </c>
      <c r="J3011" s="15" t="s">
        <v>12785</v>
      </c>
      <c r="K3011" s="15">
        <v>4.0</v>
      </c>
      <c r="L3011" s="15">
        <v>4.0</v>
      </c>
      <c r="M3011" s="40">
        <v>41104.0</v>
      </c>
      <c r="N3011" s="41">
        <v>41262.0</v>
      </c>
      <c r="O3011" s="15" t="s">
        <v>1554</v>
      </c>
      <c r="Q3011" s="7"/>
    </row>
    <row r="3012">
      <c r="A3012" s="39" t="s">
        <v>12786</v>
      </c>
      <c r="B3012" s="15">
        <v>1206313.0</v>
      </c>
      <c r="C3012" s="15" t="s">
        <v>12787</v>
      </c>
      <c r="D3012" s="15">
        <v>184162.0</v>
      </c>
      <c r="E3012" s="15" t="s">
        <v>1548</v>
      </c>
      <c r="F3012" s="15" t="s">
        <v>4850</v>
      </c>
      <c r="G3012" s="7">
        <v>3.523</v>
      </c>
      <c r="H3012" s="15" t="s">
        <v>2279</v>
      </c>
      <c r="I3012" s="15" t="s">
        <v>1586</v>
      </c>
      <c r="J3012" s="15" t="s">
        <v>12788</v>
      </c>
      <c r="K3012" s="15">
        <v>4.0</v>
      </c>
      <c r="L3012" s="15">
        <v>4.0</v>
      </c>
      <c r="M3012" s="40">
        <v>41104.0</v>
      </c>
      <c r="N3012" s="41">
        <v>41262.0</v>
      </c>
      <c r="O3012" s="15" t="s">
        <v>1554</v>
      </c>
      <c r="Q3012" s="7"/>
    </row>
    <row r="3013">
      <c r="A3013" s="39" t="s">
        <v>12789</v>
      </c>
      <c r="B3013" s="15">
        <v>1208236.0</v>
      </c>
      <c r="C3013" s="15" t="s">
        <v>12790</v>
      </c>
      <c r="D3013" s="15">
        <v>184163.0</v>
      </c>
      <c r="E3013" s="15" t="s">
        <v>1557</v>
      </c>
      <c r="F3013" s="15" t="s">
        <v>1611</v>
      </c>
      <c r="G3013" s="7">
        <v>26.215</v>
      </c>
      <c r="H3013" s="15" t="s">
        <v>6303</v>
      </c>
      <c r="I3013" s="15" t="s">
        <v>1586</v>
      </c>
      <c r="J3013" s="15" t="s">
        <v>12792</v>
      </c>
      <c r="K3013" s="15">
        <v>30.0</v>
      </c>
      <c r="L3013" s="15">
        <v>30.0</v>
      </c>
      <c r="M3013" s="40">
        <v>41122.0</v>
      </c>
      <c r="N3013" s="40">
        <v>42188.0</v>
      </c>
      <c r="O3013" s="15" t="s">
        <v>1554</v>
      </c>
      <c r="Q3013" s="7"/>
    </row>
    <row r="3014">
      <c r="A3014" s="39" t="s">
        <v>12793</v>
      </c>
      <c r="B3014" s="15">
        <v>763998.0</v>
      </c>
      <c r="C3014" s="15" t="s">
        <v>12794</v>
      </c>
      <c r="D3014" s="15">
        <v>184164.0</v>
      </c>
      <c r="E3014" s="15" t="s">
        <v>1557</v>
      </c>
      <c r="F3014" s="15" t="s">
        <v>1767</v>
      </c>
      <c r="G3014" s="7">
        <v>64.144</v>
      </c>
      <c r="H3014" s="15" t="s">
        <v>4563</v>
      </c>
      <c r="I3014" s="15" t="s">
        <v>1586</v>
      </c>
      <c r="J3014" s="15" t="s">
        <v>12795</v>
      </c>
      <c r="K3014" s="15">
        <v>88.0</v>
      </c>
      <c r="L3014" s="15">
        <v>88.0</v>
      </c>
      <c r="M3014" s="40">
        <v>41144.0</v>
      </c>
      <c r="N3014" s="41">
        <v>41262.0</v>
      </c>
      <c r="O3014" s="15" t="s">
        <v>1554</v>
      </c>
      <c r="Q3014" s="7"/>
    </row>
    <row r="3015">
      <c r="A3015" s="39" t="s">
        <v>12796</v>
      </c>
      <c r="B3015" s="15">
        <v>874267.0</v>
      </c>
      <c r="C3015" s="15" t="s">
        <v>12797</v>
      </c>
      <c r="D3015" s="15">
        <v>184165.0</v>
      </c>
      <c r="E3015" s="15" t="s">
        <v>1557</v>
      </c>
      <c r="F3015" s="15" t="s">
        <v>1833</v>
      </c>
      <c r="G3015" s="7">
        <v>42.461</v>
      </c>
      <c r="H3015" s="15" t="s">
        <v>3862</v>
      </c>
      <c r="I3015" s="15" t="s">
        <v>1586</v>
      </c>
      <c r="J3015" s="15" t="s">
        <v>12798</v>
      </c>
      <c r="K3015" s="15">
        <v>42.0</v>
      </c>
      <c r="L3015" s="15">
        <v>42.0</v>
      </c>
      <c r="M3015" s="40">
        <v>40822.0</v>
      </c>
      <c r="N3015" s="41">
        <v>41262.0</v>
      </c>
      <c r="O3015" s="15" t="s">
        <v>1554</v>
      </c>
      <c r="Q3015" s="7"/>
    </row>
    <row r="3016">
      <c r="A3016" s="39" t="s">
        <v>12799</v>
      </c>
      <c r="B3016" s="15">
        <v>947843.0</v>
      </c>
      <c r="C3016" s="15" t="s">
        <v>12800</v>
      </c>
      <c r="D3016" s="15">
        <v>184166.0</v>
      </c>
      <c r="E3016" s="15" t="s">
        <v>1557</v>
      </c>
      <c r="F3016" s="15" t="s">
        <v>1767</v>
      </c>
      <c r="G3016" s="7">
        <v>29.564</v>
      </c>
      <c r="H3016" s="15" t="s">
        <v>1617</v>
      </c>
      <c r="I3016" s="15" t="s">
        <v>1586</v>
      </c>
      <c r="J3016" s="15" t="s">
        <v>12802</v>
      </c>
      <c r="K3016" s="15">
        <v>60.0</v>
      </c>
      <c r="L3016" s="15">
        <v>60.0</v>
      </c>
      <c r="M3016" s="40">
        <v>40589.0</v>
      </c>
      <c r="N3016" s="41">
        <v>41262.0</v>
      </c>
      <c r="O3016" s="15" t="s">
        <v>1554</v>
      </c>
      <c r="Q3016" s="7"/>
    </row>
    <row r="3017">
      <c r="A3017" s="39" t="s">
        <v>12803</v>
      </c>
      <c r="B3017" s="15">
        <v>981335.0</v>
      </c>
      <c r="C3017" s="15" t="s">
        <v>12804</v>
      </c>
      <c r="D3017" s="15">
        <v>184167.0</v>
      </c>
      <c r="E3017" s="15" t="s">
        <v>1557</v>
      </c>
      <c r="F3017" s="15" t="s">
        <v>1578</v>
      </c>
      <c r="G3017" s="7">
        <v>49.219</v>
      </c>
      <c r="H3017" s="15" t="s">
        <v>5457</v>
      </c>
      <c r="I3017" s="15" t="s">
        <v>1586</v>
      </c>
      <c r="J3017" s="15" t="s">
        <v>12805</v>
      </c>
      <c r="K3017" s="15">
        <v>66.0</v>
      </c>
      <c r="L3017" s="15">
        <v>66.0</v>
      </c>
      <c r="M3017" s="40">
        <v>40817.0</v>
      </c>
      <c r="N3017" s="41">
        <v>41262.0</v>
      </c>
      <c r="O3017" s="15" t="s">
        <v>1554</v>
      </c>
      <c r="Q3017" s="7"/>
    </row>
    <row r="3018">
      <c r="A3018" s="39" t="s">
        <v>12806</v>
      </c>
      <c r="B3018" s="15">
        <v>984175.0</v>
      </c>
      <c r="C3018" s="15" t="s">
        <v>12807</v>
      </c>
      <c r="D3018" s="15">
        <v>184168.0</v>
      </c>
      <c r="E3018" s="15" t="s">
        <v>1557</v>
      </c>
      <c r="F3018" s="15" t="s">
        <v>1833</v>
      </c>
      <c r="G3018" s="7">
        <v>39.012</v>
      </c>
      <c r="H3018" s="15" t="s">
        <v>4606</v>
      </c>
      <c r="I3018" s="15" t="s">
        <v>1586</v>
      </c>
      <c r="J3018" s="15" t="s">
        <v>12809</v>
      </c>
      <c r="K3018" s="15">
        <v>38.0</v>
      </c>
      <c r="L3018" s="15">
        <v>38.0</v>
      </c>
      <c r="M3018" s="40">
        <v>40614.0</v>
      </c>
      <c r="N3018" s="41">
        <v>41262.0</v>
      </c>
      <c r="O3018" s="15" t="s">
        <v>1554</v>
      </c>
      <c r="Q3018" s="7"/>
    </row>
    <row r="3019">
      <c r="A3019" s="39" t="s">
        <v>12810</v>
      </c>
      <c r="B3019" s="15">
        <v>984186.0</v>
      </c>
      <c r="C3019" s="15" t="s">
        <v>12811</v>
      </c>
      <c r="D3019" s="15">
        <v>184169.0</v>
      </c>
      <c r="E3019" s="15" t="s">
        <v>1557</v>
      </c>
      <c r="F3019" s="15" t="s">
        <v>1767</v>
      </c>
      <c r="G3019" s="7">
        <v>47.611</v>
      </c>
      <c r="H3019" s="15" t="s">
        <v>2241</v>
      </c>
      <c r="I3019" s="15" t="s">
        <v>1586</v>
      </c>
      <c r="J3019" s="15" t="s">
        <v>12812</v>
      </c>
      <c r="K3019" s="15">
        <v>46.0</v>
      </c>
      <c r="L3019" s="15">
        <v>46.0</v>
      </c>
      <c r="M3019" s="40">
        <v>40614.0</v>
      </c>
      <c r="N3019" s="41">
        <v>41262.0</v>
      </c>
      <c r="O3019" s="15" t="s">
        <v>1554</v>
      </c>
      <c r="Q3019" s="7"/>
    </row>
    <row r="3020">
      <c r="A3020" s="39" t="s">
        <v>12813</v>
      </c>
      <c r="B3020" s="15">
        <v>101850.0</v>
      </c>
      <c r="C3020" s="15" t="s">
        <v>12814</v>
      </c>
      <c r="D3020" s="15">
        <v>184813.0</v>
      </c>
      <c r="E3020" s="15" t="s">
        <v>1557</v>
      </c>
      <c r="F3020" s="15" t="s">
        <v>1992</v>
      </c>
      <c r="G3020" s="7">
        <v>132.978</v>
      </c>
      <c r="H3020" s="15" t="s">
        <v>6418</v>
      </c>
      <c r="I3020" s="15" t="s">
        <v>1560</v>
      </c>
      <c r="J3020" s="15" t="s">
        <v>12815</v>
      </c>
      <c r="K3020" s="15">
        <v>145.0</v>
      </c>
      <c r="L3020" s="15">
        <v>145.0</v>
      </c>
      <c r="M3020" s="41">
        <v>41262.0</v>
      </c>
      <c r="N3020" s="40">
        <v>41276.0</v>
      </c>
      <c r="O3020" s="15" t="s">
        <v>1554</v>
      </c>
      <c r="Q3020" s="7"/>
    </row>
    <row r="3021">
      <c r="A3021" s="39" t="s">
        <v>12817</v>
      </c>
      <c r="B3021" s="15">
        <v>1249467.0</v>
      </c>
      <c r="C3021" s="15" t="s">
        <v>12818</v>
      </c>
      <c r="D3021" s="15">
        <v>184814.0</v>
      </c>
      <c r="E3021" s="15" t="s">
        <v>2014</v>
      </c>
      <c r="F3021" s="15" t="s">
        <v>1578</v>
      </c>
      <c r="G3021" s="7">
        <v>1.35</v>
      </c>
      <c r="H3021" s="15">
        <v>39.0</v>
      </c>
      <c r="I3021" s="15" t="s">
        <v>1628</v>
      </c>
      <c r="J3021" s="15" t="s">
        <v>12819</v>
      </c>
      <c r="K3021" s="15">
        <v>1.0</v>
      </c>
      <c r="L3021" s="15">
        <v>1.0</v>
      </c>
      <c r="M3021" s="41">
        <v>41261.0</v>
      </c>
      <c r="N3021" s="41">
        <v>41270.0</v>
      </c>
      <c r="O3021" s="15" t="s">
        <v>1554</v>
      </c>
      <c r="Q3021" s="7"/>
    </row>
    <row r="3022">
      <c r="A3022" s="39" t="s">
        <v>12820</v>
      </c>
      <c r="B3022" s="15">
        <v>86502.0</v>
      </c>
      <c r="C3022" s="15" t="s">
        <v>12821</v>
      </c>
      <c r="D3022" s="15">
        <v>184815.0</v>
      </c>
      <c r="E3022" s="15" t="s">
        <v>1808</v>
      </c>
      <c r="F3022" s="15" t="s">
        <v>1809</v>
      </c>
      <c r="G3022" s="7">
        <v>5.121</v>
      </c>
      <c r="H3022" s="15" t="s">
        <v>12822</v>
      </c>
      <c r="I3022" s="15" t="s">
        <v>1628</v>
      </c>
      <c r="J3022" s="15" t="s">
        <v>12823</v>
      </c>
      <c r="K3022" s="15">
        <v>7.0</v>
      </c>
      <c r="L3022" s="15">
        <v>7.0</v>
      </c>
      <c r="M3022" s="41">
        <v>41267.0</v>
      </c>
      <c r="N3022" s="41">
        <v>41270.0</v>
      </c>
      <c r="O3022" s="15" t="s">
        <v>1554</v>
      </c>
      <c r="Q3022" s="7"/>
    </row>
    <row r="3023">
      <c r="A3023" s="39" t="s">
        <v>12824</v>
      </c>
      <c r="B3023" s="15">
        <v>1273090.0</v>
      </c>
      <c r="C3023" s="15" t="s">
        <v>12825</v>
      </c>
      <c r="D3023" s="15">
        <v>185189.0</v>
      </c>
      <c r="E3023" s="15" t="s">
        <v>1557</v>
      </c>
      <c r="F3023" s="15" t="s">
        <v>2004</v>
      </c>
      <c r="G3023" s="7">
        <v>5.213</v>
      </c>
      <c r="H3023" s="15" t="s">
        <v>2163</v>
      </c>
      <c r="I3023" s="15" t="s">
        <v>1686</v>
      </c>
      <c r="J3023" s="15" t="s">
        <v>12826</v>
      </c>
      <c r="K3023" s="15">
        <v>5.0</v>
      </c>
      <c r="L3023" s="15">
        <v>5.0</v>
      </c>
      <c r="M3023" s="41">
        <v>41267.0</v>
      </c>
      <c r="N3023" s="40">
        <v>41359.0</v>
      </c>
      <c r="O3023" s="15" t="s">
        <v>1554</v>
      </c>
      <c r="Q3023" s="7"/>
    </row>
    <row r="3024">
      <c r="A3024" s="39" t="s">
        <v>12828</v>
      </c>
      <c r="B3024" s="15">
        <v>1273092.0</v>
      </c>
      <c r="C3024" s="15" t="s">
        <v>12829</v>
      </c>
      <c r="D3024" s="15">
        <v>185190.0</v>
      </c>
      <c r="E3024" s="15" t="s">
        <v>1557</v>
      </c>
      <c r="F3024" s="15" t="s">
        <v>2004</v>
      </c>
      <c r="G3024" s="7">
        <v>5.136</v>
      </c>
      <c r="H3024" s="15" t="s">
        <v>2777</v>
      </c>
      <c r="I3024" s="15" t="s">
        <v>1686</v>
      </c>
      <c r="J3024" s="15" t="s">
        <v>12830</v>
      </c>
      <c r="K3024" s="15">
        <v>5.0</v>
      </c>
      <c r="L3024" s="15">
        <v>5.0</v>
      </c>
      <c r="M3024" s="41">
        <v>41267.0</v>
      </c>
      <c r="N3024" s="40">
        <v>41359.0</v>
      </c>
      <c r="O3024" s="15" t="s">
        <v>1554</v>
      </c>
      <c r="Q3024" s="7"/>
    </row>
    <row r="3025">
      <c r="A3025" s="39" t="s">
        <v>12831</v>
      </c>
      <c r="B3025" s="15">
        <v>1276181.0</v>
      </c>
      <c r="C3025" s="15" t="s">
        <v>12832</v>
      </c>
      <c r="D3025" s="15">
        <v>185191.0</v>
      </c>
      <c r="E3025" s="15" t="s">
        <v>1557</v>
      </c>
      <c r="F3025" s="15" t="s">
        <v>2004</v>
      </c>
      <c r="G3025" s="7">
        <v>4.899</v>
      </c>
      <c r="H3025" s="15" t="s">
        <v>2223</v>
      </c>
      <c r="I3025" s="15" t="s">
        <v>1686</v>
      </c>
      <c r="J3025" s="15" t="s">
        <v>12833</v>
      </c>
      <c r="K3025" s="15">
        <v>5.0</v>
      </c>
      <c r="L3025" s="15">
        <v>5.0</v>
      </c>
      <c r="M3025" s="41">
        <v>41267.0</v>
      </c>
      <c r="N3025" s="40">
        <v>41358.0</v>
      </c>
      <c r="O3025" s="15" t="s">
        <v>1554</v>
      </c>
      <c r="Q3025" s="7"/>
    </row>
    <row r="3026">
      <c r="A3026" s="39" t="s">
        <v>12834</v>
      </c>
      <c r="B3026" s="15">
        <v>111167.0</v>
      </c>
      <c r="C3026" s="15" t="s">
        <v>12835</v>
      </c>
      <c r="D3026" s="15">
        <v>185272.0</v>
      </c>
      <c r="E3026" s="15" t="s">
        <v>1557</v>
      </c>
      <c r="F3026" s="15" t="s">
        <v>2628</v>
      </c>
      <c r="G3026" s="7">
        <v>30.024</v>
      </c>
      <c r="H3026" s="15" t="s">
        <v>4287</v>
      </c>
      <c r="I3026" s="15" t="s">
        <v>1686</v>
      </c>
      <c r="J3026" s="15" t="s">
        <v>12837</v>
      </c>
      <c r="K3026" s="15">
        <v>30.0</v>
      </c>
      <c r="L3026" s="15">
        <v>30.0</v>
      </c>
      <c r="M3026" s="41">
        <v>41274.0</v>
      </c>
      <c r="N3026" s="40">
        <v>41278.0</v>
      </c>
      <c r="O3026" s="15" t="s">
        <v>1554</v>
      </c>
      <c r="Q3026" s="7"/>
    </row>
    <row r="3027">
      <c r="A3027" s="39" t="s">
        <v>12838</v>
      </c>
      <c r="B3027" s="15">
        <v>208086.0</v>
      </c>
      <c r="C3027" s="15" t="s">
        <v>12839</v>
      </c>
      <c r="D3027" s="15">
        <v>185273.0</v>
      </c>
      <c r="E3027" s="15" t="s">
        <v>1548</v>
      </c>
      <c r="F3027" s="15" t="s">
        <v>2900</v>
      </c>
      <c r="G3027" s="7">
        <v>4.772</v>
      </c>
      <c r="H3027" s="15" t="s">
        <v>3823</v>
      </c>
      <c r="I3027" s="15" t="s">
        <v>1628</v>
      </c>
      <c r="J3027" s="15" t="s">
        <v>12840</v>
      </c>
      <c r="K3027" s="15">
        <v>6.0</v>
      </c>
      <c r="L3027" s="15">
        <v>6.0</v>
      </c>
      <c r="M3027" s="41">
        <v>41274.0</v>
      </c>
      <c r="N3027" s="40">
        <v>42045.0</v>
      </c>
      <c r="O3027" s="15" t="s">
        <v>1554</v>
      </c>
      <c r="Q3027" s="7"/>
    </row>
    <row r="3028">
      <c r="A3028" s="39" t="s">
        <v>12841</v>
      </c>
      <c r="B3028" s="15">
        <v>91613.0</v>
      </c>
      <c r="C3028" s="15" t="s">
        <v>12842</v>
      </c>
      <c r="D3028" s="15">
        <v>185274.0</v>
      </c>
      <c r="E3028" s="15" t="s">
        <v>1548</v>
      </c>
      <c r="F3028" s="15" t="s">
        <v>1911</v>
      </c>
      <c r="G3028" s="7">
        <v>9.621</v>
      </c>
      <c r="H3028" s="15" t="s">
        <v>1902</v>
      </c>
      <c r="I3028" s="15" t="s">
        <v>1628</v>
      </c>
      <c r="J3028" s="15" t="s">
        <v>12843</v>
      </c>
      <c r="K3028" s="15">
        <v>1.0</v>
      </c>
      <c r="L3028" s="15">
        <v>1.0</v>
      </c>
      <c r="M3028" s="41">
        <v>41274.0</v>
      </c>
      <c r="N3028" s="40">
        <v>41278.0</v>
      </c>
      <c r="O3028" s="15" t="s">
        <v>1554</v>
      </c>
      <c r="Q3028" s="7"/>
    </row>
    <row r="3029">
      <c r="A3029" s="39" t="s">
        <v>12845</v>
      </c>
      <c r="B3029" s="15">
        <v>1123964.0</v>
      </c>
      <c r="C3029" s="15" t="s">
        <v>12846</v>
      </c>
      <c r="D3029" s="15">
        <v>185313.0</v>
      </c>
      <c r="E3029" s="15" t="s">
        <v>1557</v>
      </c>
      <c r="F3029" s="15" t="s">
        <v>6500</v>
      </c>
      <c r="G3029" s="7">
        <v>76.107</v>
      </c>
      <c r="H3029" s="15" t="s">
        <v>4287</v>
      </c>
      <c r="I3029" s="15" t="s">
        <v>1618</v>
      </c>
      <c r="J3029" s="15" t="s">
        <v>12847</v>
      </c>
      <c r="K3029" s="15">
        <v>75.0</v>
      </c>
      <c r="L3029" s="15">
        <v>75.0</v>
      </c>
      <c r="M3029" s="40">
        <v>41275.0</v>
      </c>
      <c r="N3029" s="40">
        <v>41743.0</v>
      </c>
      <c r="O3029" s="15" t="s">
        <v>1554</v>
      </c>
      <c r="Q3029" s="7"/>
    </row>
    <row r="3030">
      <c r="A3030" s="39" t="s">
        <v>12848</v>
      </c>
      <c r="B3030" s="15">
        <v>1129147.0</v>
      </c>
      <c r="C3030" s="15" t="s">
        <v>12849</v>
      </c>
      <c r="D3030" s="15">
        <v>185314.0</v>
      </c>
      <c r="E3030" s="15" t="s">
        <v>1557</v>
      </c>
      <c r="F3030" s="15" t="s">
        <v>1767</v>
      </c>
      <c r="G3030" s="7">
        <v>174.413</v>
      </c>
      <c r="H3030" s="15" t="s">
        <v>2049</v>
      </c>
      <c r="I3030" s="15" t="s">
        <v>1586</v>
      </c>
      <c r="J3030" s="15" t="s">
        <v>12850</v>
      </c>
      <c r="K3030" s="15">
        <v>278.0</v>
      </c>
      <c r="L3030" s="15">
        <v>276.0</v>
      </c>
      <c r="M3030" s="41">
        <v>41238.0</v>
      </c>
      <c r="N3030" s="40">
        <v>42640.0</v>
      </c>
      <c r="O3030" s="15" t="s">
        <v>1554</v>
      </c>
      <c r="Q3030" s="7"/>
    </row>
    <row r="3031">
      <c r="A3031" s="39" t="s">
        <v>12851</v>
      </c>
      <c r="B3031" s="15">
        <v>1229753.0</v>
      </c>
      <c r="C3031" s="15" t="s">
        <v>12852</v>
      </c>
      <c r="D3031" s="15">
        <v>185315.0</v>
      </c>
      <c r="E3031" s="15" t="s">
        <v>1557</v>
      </c>
      <c r="F3031" s="15" t="s">
        <v>1767</v>
      </c>
      <c r="G3031" s="7">
        <v>147.737</v>
      </c>
      <c r="H3031" s="15" t="s">
        <v>3895</v>
      </c>
      <c r="I3031" s="15" t="s">
        <v>1586</v>
      </c>
      <c r="J3031" s="15" t="s">
        <v>12854</v>
      </c>
      <c r="K3031" s="15">
        <v>280.0</v>
      </c>
      <c r="L3031" s="15">
        <v>269.0</v>
      </c>
      <c r="M3031" s="41">
        <v>41223.0</v>
      </c>
      <c r="N3031" s="40">
        <v>41310.0</v>
      </c>
      <c r="O3031" s="15" t="s">
        <v>1554</v>
      </c>
      <c r="Q3031" s="7"/>
    </row>
    <row r="3032">
      <c r="A3032" s="39" t="s">
        <v>12855</v>
      </c>
      <c r="B3032" s="15">
        <v>1264737.0</v>
      </c>
      <c r="C3032" s="15" t="s">
        <v>12856</v>
      </c>
      <c r="D3032" s="15">
        <v>185316.0</v>
      </c>
      <c r="E3032" s="15" t="s">
        <v>1557</v>
      </c>
      <c r="F3032" s="15" t="s">
        <v>1611</v>
      </c>
      <c r="G3032" s="7">
        <v>41.796</v>
      </c>
      <c r="H3032" s="15" t="s">
        <v>3794</v>
      </c>
      <c r="I3032" s="15" t="s">
        <v>1586</v>
      </c>
      <c r="J3032" s="15" t="s">
        <v>12857</v>
      </c>
      <c r="K3032" s="15">
        <v>49.0</v>
      </c>
      <c r="L3032" s="15">
        <v>49.0</v>
      </c>
      <c r="M3032" s="41">
        <v>41254.0</v>
      </c>
      <c r="N3032" s="40">
        <v>41345.0</v>
      </c>
      <c r="O3032" s="15" t="s">
        <v>1554</v>
      </c>
      <c r="Q3032" s="7"/>
    </row>
    <row r="3033">
      <c r="A3033" s="39" t="s">
        <v>12858</v>
      </c>
      <c r="B3033" s="15">
        <v>1091052.0</v>
      </c>
      <c r="C3033" s="15" t="s">
        <v>12859</v>
      </c>
      <c r="D3033" s="15">
        <v>185317.0</v>
      </c>
      <c r="E3033" s="15" t="s">
        <v>1557</v>
      </c>
      <c r="F3033" s="15" t="s">
        <v>1767</v>
      </c>
      <c r="G3033" s="7">
        <v>152.427</v>
      </c>
      <c r="H3033" s="15" t="s">
        <v>3798</v>
      </c>
      <c r="I3033" s="15" t="s">
        <v>1586</v>
      </c>
      <c r="J3033" s="15" t="s">
        <v>12860</v>
      </c>
      <c r="K3033" s="15">
        <v>202.0</v>
      </c>
      <c r="L3033" s="15">
        <v>201.0</v>
      </c>
      <c r="M3033" s="40">
        <v>41011.0</v>
      </c>
      <c r="N3033" s="40">
        <v>42396.0</v>
      </c>
      <c r="O3033" s="15" t="s">
        <v>1554</v>
      </c>
      <c r="Q3033" s="7"/>
    </row>
    <row r="3034">
      <c r="A3034" s="39" t="s">
        <v>12862</v>
      </c>
      <c r="B3034" s="15">
        <v>1204533.0</v>
      </c>
      <c r="C3034" s="15" t="s">
        <v>12863</v>
      </c>
      <c r="D3034" s="15">
        <v>185318.0</v>
      </c>
      <c r="E3034" s="15" t="s">
        <v>1557</v>
      </c>
      <c r="F3034" s="15" t="s">
        <v>1767</v>
      </c>
      <c r="G3034" s="7">
        <v>149.844</v>
      </c>
      <c r="H3034" s="15">
        <v>41.0</v>
      </c>
      <c r="I3034" s="15" t="s">
        <v>1586</v>
      </c>
      <c r="J3034" s="15" t="s">
        <v>12864</v>
      </c>
      <c r="K3034" s="15">
        <v>214.0</v>
      </c>
      <c r="L3034" s="15">
        <v>210.0</v>
      </c>
      <c r="M3034" s="40">
        <v>41244.0</v>
      </c>
      <c r="N3034" s="41">
        <v>41619.0</v>
      </c>
      <c r="O3034" s="15" t="s">
        <v>1554</v>
      </c>
      <c r="Q3034" s="7"/>
    </row>
    <row r="3035">
      <c r="A3035" s="39" t="s">
        <v>12865</v>
      </c>
      <c r="B3035" s="15">
        <v>1235428.0</v>
      </c>
      <c r="C3035" s="15" t="s">
        <v>12866</v>
      </c>
      <c r="D3035" s="15">
        <v>185426.0</v>
      </c>
      <c r="E3035" s="15" t="s">
        <v>1557</v>
      </c>
      <c r="F3035" s="15" t="s">
        <v>1822</v>
      </c>
      <c r="G3035" s="7">
        <v>7.554</v>
      </c>
      <c r="H3035" s="15" t="s">
        <v>3776</v>
      </c>
      <c r="I3035" s="15" t="s">
        <v>1686</v>
      </c>
      <c r="J3035" s="15" t="s">
        <v>12867</v>
      </c>
      <c r="K3035" s="15">
        <v>7.0</v>
      </c>
      <c r="L3035" s="15">
        <v>7.0</v>
      </c>
      <c r="M3035" s="41">
        <v>41274.0</v>
      </c>
      <c r="N3035" s="40">
        <v>41416.0</v>
      </c>
      <c r="O3035" s="15" t="s">
        <v>1554</v>
      </c>
      <c r="Q3035" s="7"/>
    </row>
    <row r="3036">
      <c r="A3036" s="39" t="s">
        <v>12868</v>
      </c>
      <c r="B3036" s="15">
        <v>1235429.0</v>
      </c>
      <c r="C3036" s="15" t="s">
        <v>12869</v>
      </c>
      <c r="D3036" s="15">
        <v>185427.0</v>
      </c>
      <c r="E3036" s="15" t="s">
        <v>1557</v>
      </c>
      <c r="F3036" s="15" t="s">
        <v>1822</v>
      </c>
      <c r="G3036" s="7">
        <v>7.519</v>
      </c>
      <c r="H3036" s="15" t="s">
        <v>3304</v>
      </c>
      <c r="I3036" s="15" t="s">
        <v>1686</v>
      </c>
      <c r="J3036" s="15" t="s">
        <v>12871</v>
      </c>
      <c r="K3036" s="15">
        <v>7.0</v>
      </c>
      <c r="L3036" s="15">
        <v>7.0</v>
      </c>
      <c r="M3036" s="41">
        <v>41274.0</v>
      </c>
      <c r="N3036" s="40">
        <v>41416.0</v>
      </c>
      <c r="O3036" s="15" t="s">
        <v>1554</v>
      </c>
      <c r="Q3036" s="7"/>
    </row>
    <row r="3037">
      <c r="A3037" s="39" t="s">
        <v>12872</v>
      </c>
      <c r="B3037" s="15">
        <v>1264700.0</v>
      </c>
      <c r="C3037" s="15" t="s">
        <v>12873</v>
      </c>
      <c r="D3037" s="15">
        <v>185428.0</v>
      </c>
      <c r="E3037" s="15" t="s">
        <v>1557</v>
      </c>
      <c r="F3037" s="15" t="s">
        <v>1767</v>
      </c>
      <c r="G3037" s="7">
        <v>42.746</v>
      </c>
      <c r="H3037" s="15" t="s">
        <v>4606</v>
      </c>
      <c r="I3037" s="15" t="s">
        <v>1586</v>
      </c>
      <c r="J3037" s="15" t="s">
        <v>12874</v>
      </c>
      <c r="K3037" s="15">
        <v>66.0</v>
      </c>
      <c r="L3037" s="15">
        <v>66.0</v>
      </c>
      <c r="M3037" s="40">
        <v>41247.0</v>
      </c>
      <c r="N3037" s="40">
        <v>41389.0</v>
      </c>
      <c r="O3037" s="15" t="s">
        <v>1554</v>
      </c>
      <c r="Q3037" s="7"/>
    </row>
    <row r="3038">
      <c r="A3038" s="39" t="s">
        <v>12875</v>
      </c>
      <c r="B3038" s="15">
        <v>1262513.0</v>
      </c>
      <c r="C3038" s="15" t="s">
        <v>12876</v>
      </c>
      <c r="D3038" s="15">
        <v>185777.0</v>
      </c>
      <c r="E3038" s="15" t="s">
        <v>1557</v>
      </c>
      <c r="F3038" s="15" t="s">
        <v>1767</v>
      </c>
      <c r="G3038" s="7">
        <v>157.834</v>
      </c>
      <c r="H3038" s="15">
        <v>52.0</v>
      </c>
      <c r="I3038" s="15" t="s">
        <v>1586</v>
      </c>
      <c r="J3038" s="15" t="s">
        <v>12877</v>
      </c>
      <c r="K3038" s="15">
        <v>201.0</v>
      </c>
      <c r="L3038" s="15">
        <v>198.0</v>
      </c>
      <c r="M3038" s="40">
        <v>41244.0</v>
      </c>
      <c r="N3038" s="40">
        <v>41283.0</v>
      </c>
      <c r="O3038" s="15" t="s">
        <v>1554</v>
      </c>
      <c r="Q3038" s="7"/>
    </row>
    <row r="3039">
      <c r="A3039" s="39" t="s">
        <v>12879</v>
      </c>
      <c r="B3039" s="15">
        <v>1241370.0</v>
      </c>
      <c r="C3039" s="15" t="s">
        <v>12880</v>
      </c>
      <c r="D3039" s="15">
        <v>307870.0</v>
      </c>
      <c r="E3039" s="15" t="s">
        <v>1808</v>
      </c>
      <c r="F3039" s="15" t="s">
        <v>1809</v>
      </c>
      <c r="G3039" s="7">
        <v>2.788</v>
      </c>
      <c r="H3039" s="15" t="s">
        <v>1818</v>
      </c>
      <c r="I3039" s="15" t="s">
        <v>1628</v>
      </c>
      <c r="J3039" s="15" t="s">
        <v>12881</v>
      </c>
      <c r="K3039" s="15">
        <v>6.0</v>
      </c>
      <c r="L3039" s="15">
        <v>6.0</v>
      </c>
      <c r="M3039" s="40">
        <v>41281.0</v>
      </c>
      <c r="N3039" s="40">
        <v>42374.0</v>
      </c>
      <c r="O3039" s="15" t="s">
        <v>1554</v>
      </c>
      <c r="Q3039" s="7"/>
    </row>
    <row r="3040">
      <c r="A3040" s="39" t="s">
        <v>12882</v>
      </c>
      <c r="B3040" s="15">
        <v>1239452.0</v>
      </c>
      <c r="C3040" s="15" t="s">
        <v>12883</v>
      </c>
      <c r="D3040" s="15">
        <v>186429.0</v>
      </c>
      <c r="E3040" s="15" t="s">
        <v>1548</v>
      </c>
      <c r="F3040" s="15" t="s">
        <v>1911</v>
      </c>
      <c r="G3040" s="7">
        <v>9.796</v>
      </c>
      <c r="H3040" s="15" t="s">
        <v>3070</v>
      </c>
      <c r="I3040" s="15" t="s">
        <v>1628</v>
      </c>
      <c r="J3040" s="15" t="s">
        <v>12884</v>
      </c>
      <c r="K3040" s="15">
        <v>2.0</v>
      </c>
      <c r="L3040" s="15">
        <v>2.0</v>
      </c>
      <c r="M3040" s="40">
        <v>41283.0</v>
      </c>
      <c r="N3040" s="40">
        <v>41523.0</v>
      </c>
      <c r="O3040" s="15" t="s">
        <v>1554</v>
      </c>
      <c r="Q3040" s="7"/>
    </row>
    <row r="3041">
      <c r="A3041" s="39" t="s">
        <v>12885</v>
      </c>
      <c r="B3041" s="15">
        <v>1269028.0</v>
      </c>
      <c r="C3041" s="15" t="s">
        <v>12886</v>
      </c>
      <c r="D3041" s="15">
        <v>186430.0</v>
      </c>
      <c r="E3041" s="15" t="s">
        <v>1557</v>
      </c>
      <c r="F3041" s="15" t="s">
        <v>2679</v>
      </c>
      <c r="G3041" s="7">
        <v>1021.35</v>
      </c>
      <c r="H3041" s="42">
        <v>43275.0</v>
      </c>
      <c r="I3041" s="15" t="s">
        <v>1740</v>
      </c>
      <c r="J3041" s="15" t="s">
        <v>12887</v>
      </c>
      <c r="K3041" s="15">
        <v>915.0</v>
      </c>
      <c r="L3041" s="15">
        <v>894.0</v>
      </c>
      <c r="M3041" s="40">
        <v>41283.0</v>
      </c>
      <c r="N3041" s="40">
        <v>41285.0</v>
      </c>
      <c r="O3041" s="15" t="s">
        <v>1554</v>
      </c>
      <c r="Q3041" s="7"/>
    </row>
    <row r="3042">
      <c r="A3042" s="39" t="s">
        <v>12889</v>
      </c>
      <c r="B3042" s="15">
        <v>1087068.0</v>
      </c>
      <c r="C3042" s="15" t="s">
        <v>12890</v>
      </c>
      <c r="D3042" s="15">
        <v>186431.0</v>
      </c>
      <c r="E3042" s="15" t="s">
        <v>1638</v>
      </c>
      <c r="F3042" s="15" t="s">
        <v>1578</v>
      </c>
      <c r="G3042" s="7">
        <v>10.855</v>
      </c>
      <c r="H3042" s="15" t="s">
        <v>12891</v>
      </c>
      <c r="I3042" s="15" t="s">
        <v>1552</v>
      </c>
      <c r="J3042" s="15" t="s">
        <v>12892</v>
      </c>
      <c r="K3042" s="15">
        <v>4.0</v>
      </c>
      <c r="L3042" s="15">
        <v>4.0</v>
      </c>
      <c r="M3042" s="40">
        <v>41130.0</v>
      </c>
      <c r="N3042" s="40">
        <v>41285.0</v>
      </c>
      <c r="O3042" s="15" t="s">
        <v>1554</v>
      </c>
      <c r="Q3042" s="7"/>
    </row>
    <row r="3043">
      <c r="A3043" s="39" t="s">
        <v>12893</v>
      </c>
      <c r="B3043" s="15">
        <v>1168547.0</v>
      </c>
      <c r="C3043" s="15" t="s">
        <v>12894</v>
      </c>
      <c r="D3043" s="15">
        <v>186432.0</v>
      </c>
      <c r="E3043" s="15" t="s">
        <v>1808</v>
      </c>
      <c r="F3043" s="15" t="s">
        <v>1998</v>
      </c>
      <c r="G3043" s="7">
        <v>1.67</v>
      </c>
      <c r="H3043" s="15">
        <v>52.0</v>
      </c>
      <c r="I3043" s="15" t="s">
        <v>1686</v>
      </c>
      <c r="J3043" s="15" t="s">
        <v>12895</v>
      </c>
      <c r="K3043" s="15">
        <v>2.0</v>
      </c>
      <c r="L3043" s="15">
        <v>2.0</v>
      </c>
      <c r="M3043" s="40">
        <v>41283.0</v>
      </c>
      <c r="N3043" s="40">
        <v>41298.0</v>
      </c>
      <c r="O3043" s="15" t="s">
        <v>1554</v>
      </c>
      <c r="Q3043" s="7"/>
    </row>
    <row r="3044">
      <c r="A3044" s="39" t="s">
        <v>12896</v>
      </c>
      <c r="B3044" s="15">
        <v>1173709.0</v>
      </c>
      <c r="C3044" s="15" t="s">
        <v>12897</v>
      </c>
      <c r="D3044" s="15">
        <v>186433.0</v>
      </c>
      <c r="E3044" s="15" t="s">
        <v>1808</v>
      </c>
      <c r="F3044" s="15" t="s">
        <v>1998</v>
      </c>
      <c r="G3044" s="7">
        <v>1.764</v>
      </c>
      <c r="H3044" s="15" t="s">
        <v>2324</v>
      </c>
      <c r="I3044" s="15" t="s">
        <v>1686</v>
      </c>
      <c r="J3044" s="15" t="s">
        <v>12899</v>
      </c>
      <c r="K3044" s="15">
        <v>2.0</v>
      </c>
      <c r="L3044" s="15">
        <v>2.0</v>
      </c>
      <c r="M3044" s="40">
        <v>41030.0</v>
      </c>
      <c r="N3044" s="40">
        <v>41298.0</v>
      </c>
      <c r="O3044" s="15" t="s">
        <v>1554</v>
      </c>
      <c r="Q3044" s="7"/>
    </row>
    <row r="3045">
      <c r="A3045" s="39" t="s">
        <v>12900</v>
      </c>
      <c r="B3045" s="15">
        <v>1277649.0</v>
      </c>
      <c r="C3045" s="15" t="s">
        <v>12901</v>
      </c>
      <c r="D3045" s="15">
        <v>186434.0</v>
      </c>
      <c r="E3045" s="15" t="s">
        <v>1557</v>
      </c>
      <c r="F3045" s="15" t="s">
        <v>2004</v>
      </c>
      <c r="G3045" s="7">
        <v>4.776</v>
      </c>
      <c r="H3045" s="15" t="s">
        <v>2752</v>
      </c>
      <c r="I3045" s="15" t="s">
        <v>1686</v>
      </c>
      <c r="J3045" s="15" t="s">
        <v>12902</v>
      </c>
      <c r="K3045" s="15">
        <v>6.0</v>
      </c>
      <c r="L3045" s="15">
        <v>6.0</v>
      </c>
      <c r="M3045" s="40">
        <v>41283.0</v>
      </c>
      <c r="N3045" s="40">
        <v>41374.0</v>
      </c>
      <c r="O3045" s="15" t="s">
        <v>1554</v>
      </c>
      <c r="Q3045" s="7"/>
    </row>
    <row r="3046">
      <c r="A3046" s="39" t="s">
        <v>12903</v>
      </c>
      <c r="B3046" s="15">
        <v>1262527.0</v>
      </c>
      <c r="C3046" s="15" t="s">
        <v>12904</v>
      </c>
      <c r="D3046" s="15">
        <v>186951.0</v>
      </c>
      <c r="E3046" s="15" t="s">
        <v>1557</v>
      </c>
      <c r="F3046" s="15" t="s">
        <v>1578</v>
      </c>
      <c r="G3046" s="7">
        <v>68.527</v>
      </c>
      <c r="H3046" s="15" t="s">
        <v>2309</v>
      </c>
      <c r="I3046" s="15" t="s">
        <v>1618</v>
      </c>
      <c r="J3046" s="15" t="s">
        <v>12905</v>
      </c>
      <c r="K3046" s="15">
        <v>104.0</v>
      </c>
      <c r="L3046" s="15">
        <v>103.0</v>
      </c>
      <c r="M3046" s="40">
        <v>41290.0</v>
      </c>
      <c r="N3046" s="40">
        <v>41340.0</v>
      </c>
      <c r="O3046" s="15" t="s">
        <v>1554</v>
      </c>
      <c r="Q3046" s="7"/>
    </row>
    <row r="3047">
      <c r="A3047" s="39" t="s">
        <v>12906</v>
      </c>
      <c r="B3047" s="15">
        <v>1262528.0</v>
      </c>
      <c r="C3047" s="15" t="s">
        <v>12908</v>
      </c>
      <c r="D3047" s="15">
        <v>186952.0</v>
      </c>
      <c r="E3047" s="15" t="s">
        <v>1557</v>
      </c>
      <c r="F3047" s="15" t="s">
        <v>1578</v>
      </c>
      <c r="G3047" s="7">
        <v>102.319</v>
      </c>
      <c r="H3047" s="15" t="s">
        <v>5273</v>
      </c>
      <c r="I3047" s="15" t="s">
        <v>1618</v>
      </c>
      <c r="J3047" s="15" t="s">
        <v>12909</v>
      </c>
      <c r="K3047" s="15">
        <v>174.0</v>
      </c>
      <c r="L3047" s="15">
        <v>173.0</v>
      </c>
      <c r="M3047" s="40">
        <v>41290.0</v>
      </c>
      <c r="N3047" s="40">
        <v>41340.0</v>
      </c>
      <c r="O3047" s="15" t="s">
        <v>1554</v>
      </c>
      <c r="Q3047" s="7"/>
    </row>
    <row r="3048">
      <c r="A3048" s="39" t="s">
        <v>12910</v>
      </c>
      <c r="B3048" s="15">
        <v>1278205.0</v>
      </c>
      <c r="C3048" s="15" t="s">
        <v>12911</v>
      </c>
      <c r="D3048" s="15">
        <v>186953.0</v>
      </c>
      <c r="E3048" s="15" t="s">
        <v>10405</v>
      </c>
      <c r="F3048" s="15" t="s">
        <v>12912</v>
      </c>
      <c r="G3048" s="7">
        <v>0.342</v>
      </c>
      <c r="H3048" s="15" t="s">
        <v>2057</v>
      </c>
      <c r="I3048" s="15" t="s">
        <v>1628</v>
      </c>
      <c r="J3048" s="15" t="s">
        <v>12913</v>
      </c>
      <c r="K3048" s="15" t="s">
        <v>1722</v>
      </c>
      <c r="L3048" s="15" t="s">
        <v>1722</v>
      </c>
      <c r="M3048" s="40">
        <v>41287.0</v>
      </c>
      <c r="N3048" s="40">
        <v>41359.0</v>
      </c>
      <c r="O3048" s="15" t="s">
        <v>1554</v>
      </c>
      <c r="Q3048" s="7"/>
    </row>
    <row r="3049">
      <c r="A3049" s="39" t="s">
        <v>12914</v>
      </c>
      <c r="B3049" s="15">
        <v>73422.0</v>
      </c>
      <c r="C3049" s="15" t="s">
        <v>12915</v>
      </c>
      <c r="D3049" s="15">
        <v>188154.0</v>
      </c>
      <c r="E3049" s="15" t="s">
        <v>1557</v>
      </c>
      <c r="F3049" s="15" t="s">
        <v>1833</v>
      </c>
      <c r="G3049" s="7">
        <v>45.606</v>
      </c>
      <c r="H3049" s="15" t="s">
        <v>6565</v>
      </c>
      <c r="I3049" s="15" t="s">
        <v>1586</v>
      </c>
      <c r="J3049" s="15" t="s">
        <v>12917</v>
      </c>
      <c r="K3049" s="15">
        <v>59.0</v>
      </c>
      <c r="L3049" s="15">
        <v>60.0</v>
      </c>
      <c r="M3049" s="40">
        <v>41281.0</v>
      </c>
      <c r="N3049" s="40">
        <v>41305.0</v>
      </c>
      <c r="O3049" s="15" t="s">
        <v>1554</v>
      </c>
      <c r="Q3049" s="7"/>
    </row>
    <row r="3050">
      <c r="A3050" s="39" t="s">
        <v>12918</v>
      </c>
      <c r="B3050" s="15">
        <v>1116482.0</v>
      </c>
      <c r="C3050" s="15" t="s">
        <v>12919</v>
      </c>
      <c r="D3050" s="15">
        <v>188533.0</v>
      </c>
      <c r="E3050" s="15" t="s">
        <v>1557</v>
      </c>
      <c r="F3050" s="15" t="s">
        <v>1767</v>
      </c>
      <c r="G3050" s="7">
        <v>142.349</v>
      </c>
      <c r="H3050" s="15" t="s">
        <v>1802</v>
      </c>
      <c r="I3050" s="15" t="s">
        <v>1586</v>
      </c>
      <c r="J3050" s="15" t="s">
        <v>12920</v>
      </c>
      <c r="K3050" s="15">
        <v>245.0</v>
      </c>
      <c r="L3050" s="15">
        <v>242.0</v>
      </c>
      <c r="M3050" s="41">
        <v>41274.0</v>
      </c>
      <c r="N3050" s="40">
        <v>42460.0</v>
      </c>
      <c r="O3050" s="15" t="s">
        <v>1554</v>
      </c>
      <c r="Q3050" s="7"/>
    </row>
    <row r="3051">
      <c r="A3051" s="39" t="s">
        <v>12921</v>
      </c>
      <c r="B3051" s="15">
        <v>1223259.0</v>
      </c>
      <c r="C3051" s="15" t="s">
        <v>12922</v>
      </c>
      <c r="D3051" s="15">
        <v>188535.0</v>
      </c>
      <c r="E3051" s="15" t="s">
        <v>1557</v>
      </c>
      <c r="F3051" s="15" t="s">
        <v>1833</v>
      </c>
      <c r="G3051" s="7">
        <v>37.095</v>
      </c>
      <c r="H3051" s="15" t="s">
        <v>4117</v>
      </c>
      <c r="I3051" s="15" t="s">
        <v>1586</v>
      </c>
      <c r="J3051" s="15" t="s">
        <v>12924</v>
      </c>
      <c r="K3051" s="15">
        <v>58.0</v>
      </c>
      <c r="L3051" s="15">
        <v>58.0</v>
      </c>
      <c r="M3051" s="40">
        <v>41283.0</v>
      </c>
      <c r="N3051" s="40">
        <v>41310.0</v>
      </c>
      <c r="O3051" s="15" t="s">
        <v>1554</v>
      </c>
      <c r="Q3051" s="7"/>
    </row>
    <row r="3052">
      <c r="A3052" s="39" t="s">
        <v>12925</v>
      </c>
      <c r="B3052" s="15">
        <v>1223260.0</v>
      </c>
      <c r="C3052" s="15" t="s">
        <v>12926</v>
      </c>
      <c r="D3052" s="15">
        <v>188536.0</v>
      </c>
      <c r="E3052" s="15" t="s">
        <v>1557</v>
      </c>
      <c r="F3052" s="15" t="s">
        <v>1833</v>
      </c>
      <c r="G3052" s="7">
        <v>36.947</v>
      </c>
      <c r="H3052" s="15" t="s">
        <v>3685</v>
      </c>
      <c r="I3052" s="15" t="s">
        <v>1586</v>
      </c>
      <c r="J3052" s="15" t="s">
        <v>12927</v>
      </c>
      <c r="K3052" s="15">
        <v>56.0</v>
      </c>
      <c r="L3052" s="15">
        <v>56.0</v>
      </c>
      <c r="M3052" s="40">
        <v>41283.0</v>
      </c>
      <c r="N3052" s="40">
        <v>41310.0</v>
      </c>
      <c r="O3052" s="15" t="s">
        <v>1554</v>
      </c>
      <c r="Q3052" s="7"/>
    </row>
    <row r="3053">
      <c r="A3053" s="39" t="s">
        <v>12928</v>
      </c>
      <c r="B3053" s="15">
        <v>1188795.0</v>
      </c>
      <c r="C3053" s="15" t="s">
        <v>12929</v>
      </c>
      <c r="D3053" s="15">
        <v>188546.0</v>
      </c>
      <c r="E3053" s="15" t="s">
        <v>1557</v>
      </c>
      <c r="F3053" s="15" t="s">
        <v>1611</v>
      </c>
      <c r="G3053" s="7">
        <v>42.963</v>
      </c>
      <c r="H3053" s="15">
        <v>67.0</v>
      </c>
      <c r="I3053" s="15" t="s">
        <v>1586</v>
      </c>
      <c r="J3053" s="15" t="s">
        <v>12930</v>
      </c>
      <c r="K3053" s="15">
        <v>40.0</v>
      </c>
      <c r="L3053" s="15">
        <v>40.0</v>
      </c>
      <c r="M3053" s="41">
        <v>41228.0</v>
      </c>
      <c r="N3053" s="41">
        <v>41638.0</v>
      </c>
      <c r="O3053" s="15" t="s">
        <v>1554</v>
      </c>
      <c r="Q3053" s="7"/>
    </row>
    <row r="3054">
      <c r="A3054" s="39" t="s">
        <v>12931</v>
      </c>
      <c r="B3054" s="15">
        <v>1223261.0</v>
      </c>
      <c r="C3054" s="15" t="s">
        <v>12932</v>
      </c>
      <c r="D3054" s="15">
        <v>188543.0</v>
      </c>
      <c r="E3054" s="15" t="s">
        <v>1557</v>
      </c>
      <c r="F3054" s="15" t="s">
        <v>1833</v>
      </c>
      <c r="G3054" s="7">
        <v>37.74</v>
      </c>
      <c r="H3054" s="15" t="s">
        <v>3685</v>
      </c>
      <c r="I3054" s="15" t="s">
        <v>1586</v>
      </c>
      <c r="J3054" s="15" t="s">
        <v>12934</v>
      </c>
      <c r="K3054" s="15">
        <v>59.0</v>
      </c>
      <c r="L3054" s="15">
        <v>59.0</v>
      </c>
      <c r="M3054" s="40">
        <v>41283.0</v>
      </c>
      <c r="N3054" s="40">
        <v>41310.0</v>
      </c>
      <c r="O3054" s="15" t="s">
        <v>1554</v>
      </c>
      <c r="Q3054" s="7"/>
    </row>
    <row r="3055">
      <c r="A3055" s="39" t="s">
        <v>12935</v>
      </c>
      <c r="B3055" s="15">
        <v>1223262.0</v>
      </c>
      <c r="C3055" s="15" t="s">
        <v>12936</v>
      </c>
      <c r="D3055" s="15">
        <v>188544.0</v>
      </c>
      <c r="E3055" s="15" t="s">
        <v>1557</v>
      </c>
      <c r="F3055" s="15" t="s">
        <v>1833</v>
      </c>
      <c r="G3055" s="7">
        <v>36.429</v>
      </c>
      <c r="H3055" s="15" t="s">
        <v>12937</v>
      </c>
      <c r="I3055" s="15" t="s">
        <v>1586</v>
      </c>
      <c r="J3055" s="15" t="s">
        <v>12938</v>
      </c>
      <c r="K3055" s="15">
        <v>55.0</v>
      </c>
      <c r="L3055" s="15">
        <v>55.0</v>
      </c>
      <c r="M3055" s="40">
        <v>41283.0</v>
      </c>
      <c r="N3055" s="40">
        <v>41310.0</v>
      </c>
      <c r="O3055" s="15" t="s">
        <v>2353</v>
      </c>
      <c r="Q3055" s="7"/>
    </row>
    <row r="3056">
      <c r="A3056" s="39" t="s">
        <v>12939</v>
      </c>
      <c r="B3056" s="15">
        <v>1165702.0</v>
      </c>
      <c r="C3056" s="15" t="s">
        <v>12940</v>
      </c>
      <c r="D3056" s="15">
        <v>188545.0</v>
      </c>
      <c r="E3056" s="15" t="s">
        <v>1557</v>
      </c>
      <c r="F3056" s="15" t="s">
        <v>1833</v>
      </c>
      <c r="G3056" s="7">
        <v>47.252</v>
      </c>
      <c r="H3056" s="15">
        <v>33.0</v>
      </c>
      <c r="I3056" s="15" t="s">
        <v>1586</v>
      </c>
      <c r="J3056" s="15" t="s">
        <v>12941</v>
      </c>
      <c r="K3056" s="15">
        <v>43.0</v>
      </c>
      <c r="L3056" s="15">
        <v>44.0</v>
      </c>
      <c r="M3056" s="40">
        <v>41299.0</v>
      </c>
      <c r="N3056" s="40">
        <v>41310.0</v>
      </c>
      <c r="O3056" s="15" t="s">
        <v>1554</v>
      </c>
      <c r="Q3056" s="7"/>
    </row>
    <row r="3057">
      <c r="A3057" s="39" t="s">
        <v>12942</v>
      </c>
      <c r="B3057" s="15">
        <v>1236000.0</v>
      </c>
      <c r="C3057" s="15" t="s">
        <v>12943</v>
      </c>
      <c r="D3057" s="15">
        <v>188547.0</v>
      </c>
      <c r="E3057" s="15" t="s">
        <v>1557</v>
      </c>
      <c r="F3057" s="15" t="s">
        <v>1767</v>
      </c>
      <c r="G3057" s="7">
        <v>48.814</v>
      </c>
      <c r="H3057" s="15" t="s">
        <v>4736</v>
      </c>
      <c r="I3057" s="15" t="s">
        <v>1586</v>
      </c>
      <c r="J3057" s="15" t="s">
        <v>12945</v>
      </c>
      <c r="K3057" s="15">
        <v>68.0</v>
      </c>
      <c r="L3057" s="15">
        <v>68.0</v>
      </c>
      <c r="M3057" s="41">
        <v>41258.0</v>
      </c>
      <c r="N3057" s="40">
        <v>41310.0</v>
      </c>
      <c r="O3057" s="15" t="s">
        <v>1554</v>
      </c>
      <c r="Q3057" s="7"/>
    </row>
    <row r="3058">
      <c r="A3058" s="39" t="s">
        <v>12946</v>
      </c>
      <c r="B3058" s="15">
        <v>859651.0</v>
      </c>
      <c r="C3058" s="15" t="s">
        <v>12947</v>
      </c>
      <c r="D3058" s="15">
        <v>188731.0</v>
      </c>
      <c r="E3058" s="15" t="s">
        <v>1638</v>
      </c>
      <c r="F3058" s="15" t="s">
        <v>1796</v>
      </c>
      <c r="G3058" s="7">
        <v>3.813</v>
      </c>
      <c r="H3058" s="15" t="s">
        <v>12948</v>
      </c>
      <c r="I3058" s="15" t="s">
        <v>1628</v>
      </c>
      <c r="J3058" s="15" t="s">
        <v>12949</v>
      </c>
      <c r="K3058" s="15">
        <v>2.0</v>
      </c>
      <c r="L3058" s="15">
        <v>2.0</v>
      </c>
      <c r="M3058" s="40">
        <v>40744.0</v>
      </c>
      <c r="N3058" s="40">
        <v>41312.0</v>
      </c>
      <c r="O3058" s="15" t="s">
        <v>1554</v>
      </c>
      <c r="Q3058" s="7"/>
    </row>
    <row r="3059">
      <c r="A3059" s="39" t="s">
        <v>12950</v>
      </c>
      <c r="B3059" s="15">
        <v>1288829.0</v>
      </c>
      <c r="C3059" s="15" t="s">
        <v>12951</v>
      </c>
      <c r="D3059" s="15">
        <v>188776.0</v>
      </c>
      <c r="E3059" s="15" t="s">
        <v>1808</v>
      </c>
      <c r="F3059" s="15" t="s">
        <v>1809</v>
      </c>
      <c r="G3059" s="7">
        <v>2.748</v>
      </c>
      <c r="H3059" s="15" t="s">
        <v>1685</v>
      </c>
      <c r="I3059" s="15" t="s">
        <v>1628</v>
      </c>
      <c r="J3059" s="15" t="s">
        <v>12952</v>
      </c>
      <c r="K3059" s="15">
        <v>6.0</v>
      </c>
      <c r="L3059" s="15">
        <v>6.0</v>
      </c>
      <c r="M3059" s="40">
        <v>41311.0</v>
      </c>
      <c r="N3059" s="40">
        <v>41312.0</v>
      </c>
      <c r="O3059" s="15" t="s">
        <v>1554</v>
      </c>
      <c r="Q3059" s="7"/>
    </row>
    <row r="3060">
      <c r="A3060" s="39" t="s">
        <v>12954</v>
      </c>
      <c r="B3060" s="15">
        <v>1150353.0</v>
      </c>
      <c r="C3060" s="15" t="s">
        <v>12955</v>
      </c>
      <c r="D3060" s="15">
        <v>189210.0</v>
      </c>
      <c r="E3060" s="15" t="s">
        <v>1638</v>
      </c>
      <c r="F3060" s="15" t="s">
        <v>1578</v>
      </c>
      <c r="G3060" s="7">
        <v>22.786</v>
      </c>
      <c r="H3060" s="15" t="s">
        <v>4401</v>
      </c>
      <c r="I3060" s="15" t="s">
        <v>1628</v>
      </c>
      <c r="J3060" s="15" t="s">
        <v>12956</v>
      </c>
      <c r="K3060" s="15">
        <v>1.0</v>
      </c>
      <c r="L3060" s="15">
        <v>1.0</v>
      </c>
      <c r="M3060" s="40">
        <v>41307.0</v>
      </c>
      <c r="N3060" s="40">
        <v>41360.0</v>
      </c>
      <c r="O3060" s="15" t="s">
        <v>1554</v>
      </c>
      <c r="Q3060" s="7"/>
    </row>
    <row r="3061">
      <c r="A3061" s="39" t="s">
        <v>12957</v>
      </c>
      <c r="B3061" s="15">
        <v>1162280.0</v>
      </c>
      <c r="C3061" s="15" t="s">
        <v>12958</v>
      </c>
      <c r="D3061" s="15">
        <v>189211.0</v>
      </c>
      <c r="E3061" s="15" t="s">
        <v>1808</v>
      </c>
      <c r="F3061" s="15" t="s">
        <v>1809</v>
      </c>
      <c r="G3061" s="7">
        <v>5.335</v>
      </c>
      <c r="H3061" s="15" t="s">
        <v>12959</v>
      </c>
      <c r="I3061" s="15" t="s">
        <v>1628</v>
      </c>
      <c r="J3061" s="15" t="s">
        <v>12960</v>
      </c>
      <c r="K3061" s="15">
        <v>7.0</v>
      </c>
      <c r="L3061" s="15">
        <v>7.0</v>
      </c>
      <c r="M3061" s="40">
        <v>40989.0</v>
      </c>
      <c r="N3061" s="40">
        <v>41316.0</v>
      </c>
      <c r="O3061" s="15" t="s">
        <v>1554</v>
      </c>
      <c r="Q3061" s="7"/>
    </row>
    <row r="3062">
      <c r="A3062" s="39" t="s">
        <v>12961</v>
      </c>
      <c r="B3062" s="15">
        <v>1266977.0</v>
      </c>
      <c r="C3062" s="15" t="s">
        <v>12962</v>
      </c>
      <c r="D3062" s="15">
        <v>189215.0</v>
      </c>
      <c r="E3062" s="15" t="s">
        <v>1808</v>
      </c>
      <c r="F3062" s="15" t="s">
        <v>1809</v>
      </c>
      <c r="G3062" s="7">
        <v>2.676</v>
      </c>
      <c r="H3062" s="15">
        <v>46.0</v>
      </c>
      <c r="I3062" s="15" t="s">
        <v>1628</v>
      </c>
      <c r="J3062" s="15" t="s">
        <v>12963</v>
      </c>
      <c r="K3062" s="15">
        <v>5.0</v>
      </c>
      <c r="L3062" s="15">
        <v>5.0</v>
      </c>
      <c r="M3062" s="40">
        <v>41309.0</v>
      </c>
      <c r="N3062" s="40">
        <v>41316.0</v>
      </c>
      <c r="O3062" s="15" t="s">
        <v>1554</v>
      </c>
      <c r="Q3062" s="7"/>
    </row>
    <row r="3063">
      <c r="A3063" s="39" t="s">
        <v>12964</v>
      </c>
      <c r="B3063" s="15">
        <v>1266993.0</v>
      </c>
      <c r="C3063" s="15" t="s">
        <v>12965</v>
      </c>
      <c r="D3063" s="15">
        <v>189216.0</v>
      </c>
      <c r="E3063" s="15" t="s">
        <v>1808</v>
      </c>
      <c r="F3063" s="15" t="s">
        <v>1809</v>
      </c>
      <c r="G3063" s="7">
        <v>2.664</v>
      </c>
      <c r="H3063" s="15">
        <v>47.0</v>
      </c>
      <c r="I3063" s="15" t="s">
        <v>1628</v>
      </c>
      <c r="J3063" s="15" t="s">
        <v>12967</v>
      </c>
      <c r="K3063" s="15">
        <v>5.0</v>
      </c>
      <c r="L3063" s="15">
        <v>5.0</v>
      </c>
      <c r="M3063" s="40">
        <v>41309.0</v>
      </c>
      <c r="N3063" s="40">
        <v>41316.0</v>
      </c>
      <c r="O3063" s="15" t="s">
        <v>1554</v>
      </c>
      <c r="Q3063" s="7"/>
    </row>
    <row r="3064">
      <c r="A3064" s="39" t="s">
        <v>12968</v>
      </c>
      <c r="B3064" s="15">
        <v>1266994.0</v>
      </c>
      <c r="C3064" s="15" t="s">
        <v>12969</v>
      </c>
      <c r="D3064" s="15">
        <v>189217.0</v>
      </c>
      <c r="E3064" s="15" t="s">
        <v>1808</v>
      </c>
      <c r="F3064" s="15" t="s">
        <v>1809</v>
      </c>
      <c r="G3064" s="7">
        <v>2.69</v>
      </c>
      <c r="H3064" s="15" t="s">
        <v>8889</v>
      </c>
      <c r="I3064" s="15" t="s">
        <v>1628</v>
      </c>
      <c r="J3064" s="15" t="s">
        <v>12970</v>
      </c>
      <c r="K3064" s="15">
        <v>5.0</v>
      </c>
      <c r="L3064" s="15">
        <v>5.0</v>
      </c>
      <c r="M3064" s="40">
        <v>41309.0</v>
      </c>
      <c r="N3064" s="40">
        <v>41316.0</v>
      </c>
      <c r="O3064" s="15" t="s">
        <v>1554</v>
      </c>
      <c r="Q3064" s="7"/>
    </row>
    <row r="3065">
      <c r="A3065" s="39" t="s">
        <v>12971</v>
      </c>
      <c r="B3065" s="15">
        <v>1266995.0</v>
      </c>
      <c r="C3065" s="15" t="s">
        <v>12972</v>
      </c>
      <c r="D3065" s="15">
        <v>189218.0</v>
      </c>
      <c r="E3065" s="15" t="s">
        <v>1808</v>
      </c>
      <c r="F3065" s="15" t="s">
        <v>1809</v>
      </c>
      <c r="G3065" s="7">
        <v>2.649</v>
      </c>
      <c r="H3065" s="15" t="s">
        <v>2660</v>
      </c>
      <c r="I3065" s="15" t="s">
        <v>1628</v>
      </c>
      <c r="J3065" s="15" t="s">
        <v>12973</v>
      </c>
      <c r="K3065" s="15">
        <v>5.0</v>
      </c>
      <c r="L3065" s="15">
        <v>5.0</v>
      </c>
      <c r="M3065" s="40">
        <v>41309.0</v>
      </c>
      <c r="N3065" s="40">
        <v>41316.0</v>
      </c>
      <c r="O3065" s="15" t="s">
        <v>1554</v>
      </c>
      <c r="Q3065" s="7"/>
    </row>
    <row r="3066">
      <c r="A3066" s="39" t="s">
        <v>12974</v>
      </c>
      <c r="B3066" s="15">
        <v>979726.0</v>
      </c>
      <c r="C3066" s="15" t="s">
        <v>12976</v>
      </c>
      <c r="D3066" s="15">
        <v>191121.0</v>
      </c>
      <c r="E3066" s="15" t="s">
        <v>1557</v>
      </c>
      <c r="F3066" s="15" t="s">
        <v>1611</v>
      </c>
      <c r="G3066" s="7">
        <v>43.931</v>
      </c>
      <c r="H3066" s="15" t="s">
        <v>1844</v>
      </c>
      <c r="I3066" s="15" t="s">
        <v>1586</v>
      </c>
      <c r="J3066" s="15" t="s">
        <v>12977</v>
      </c>
      <c r="K3066" s="15">
        <v>58.0</v>
      </c>
      <c r="L3066" s="15">
        <v>58.0</v>
      </c>
      <c r="M3066" s="40">
        <v>41312.0</v>
      </c>
      <c r="N3066" s="40">
        <v>41333.0</v>
      </c>
      <c r="O3066" s="15" t="s">
        <v>1554</v>
      </c>
      <c r="Q3066" s="7"/>
    </row>
    <row r="3067">
      <c r="A3067" s="39" t="s">
        <v>12978</v>
      </c>
      <c r="B3067" s="15">
        <v>1087482.0</v>
      </c>
      <c r="C3067" s="15" t="s">
        <v>12979</v>
      </c>
      <c r="D3067" s="15">
        <v>191122.0</v>
      </c>
      <c r="E3067" s="15" t="s">
        <v>1557</v>
      </c>
      <c r="F3067" s="15" t="s">
        <v>1767</v>
      </c>
      <c r="G3067" s="7">
        <v>160.221</v>
      </c>
      <c r="H3067" s="15" t="s">
        <v>4331</v>
      </c>
      <c r="I3067" s="15" t="s">
        <v>1586</v>
      </c>
      <c r="J3067" s="15" t="s">
        <v>12980</v>
      </c>
      <c r="K3067" s="15">
        <v>271.0</v>
      </c>
      <c r="L3067" s="15">
        <v>268.0</v>
      </c>
      <c r="M3067" s="40">
        <v>41312.0</v>
      </c>
      <c r="N3067" s="40">
        <v>41375.0</v>
      </c>
      <c r="O3067" s="15" t="s">
        <v>1554</v>
      </c>
      <c r="Q3067" s="7"/>
    </row>
    <row r="3068">
      <c r="A3068" s="39" t="s">
        <v>12981</v>
      </c>
      <c r="B3068" s="15">
        <v>535898.0</v>
      </c>
      <c r="C3068" s="15" t="s">
        <v>12982</v>
      </c>
      <c r="D3068" s="15">
        <v>191123.0</v>
      </c>
      <c r="E3068" s="15" t="s">
        <v>1548</v>
      </c>
      <c r="F3068" s="15" t="s">
        <v>2900</v>
      </c>
      <c r="G3068" s="7">
        <v>3.971</v>
      </c>
      <c r="H3068" s="15" t="s">
        <v>2296</v>
      </c>
      <c r="I3068" s="15" t="s">
        <v>1628</v>
      </c>
      <c r="J3068" s="15" t="s">
        <v>12983</v>
      </c>
      <c r="K3068" s="15">
        <v>6.0</v>
      </c>
      <c r="L3068" s="15">
        <v>6.0</v>
      </c>
      <c r="M3068" s="40">
        <v>41330.0</v>
      </c>
      <c r="N3068" s="40">
        <v>41612.0</v>
      </c>
      <c r="O3068" s="15" t="s">
        <v>1554</v>
      </c>
      <c r="Q3068" s="7"/>
    </row>
    <row r="3069">
      <c r="A3069" s="39" t="s">
        <v>12984</v>
      </c>
      <c r="B3069" s="15">
        <v>1296569.0</v>
      </c>
      <c r="C3069" s="15" t="s">
        <v>12986</v>
      </c>
      <c r="D3069" s="15">
        <v>192605.0</v>
      </c>
      <c r="E3069" s="15" t="s">
        <v>1548</v>
      </c>
      <c r="F3069" s="15" t="s">
        <v>2032</v>
      </c>
      <c r="G3069" s="7">
        <v>6.226</v>
      </c>
      <c r="H3069" s="15" t="s">
        <v>3304</v>
      </c>
      <c r="I3069" s="15" t="s">
        <v>2034</v>
      </c>
      <c r="J3069" s="15" t="s">
        <v>12987</v>
      </c>
      <c r="K3069" s="15">
        <v>3.0</v>
      </c>
      <c r="L3069" s="15">
        <v>3.0</v>
      </c>
      <c r="M3069" s="40">
        <v>41336.0</v>
      </c>
      <c r="N3069" s="40">
        <v>41435.0</v>
      </c>
      <c r="O3069" s="15" t="s">
        <v>1554</v>
      </c>
      <c r="Q3069" s="7"/>
    </row>
    <row r="3070">
      <c r="A3070" s="39" t="s">
        <v>12988</v>
      </c>
      <c r="B3070" s="15">
        <v>1296573.0</v>
      </c>
      <c r="C3070" s="15" t="s">
        <v>12989</v>
      </c>
      <c r="D3070" s="15">
        <v>192606.0</v>
      </c>
      <c r="E3070" s="15" t="s">
        <v>1808</v>
      </c>
      <c r="F3070" s="15" t="s">
        <v>1578</v>
      </c>
      <c r="G3070" s="7">
        <v>2.351</v>
      </c>
      <c r="H3070" s="15" t="s">
        <v>1881</v>
      </c>
      <c r="I3070" s="15" t="s">
        <v>1560</v>
      </c>
      <c r="J3070" s="15" t="s">
        <v>12990</v>
      </c>
      <c r="K3070" s="15">
        <v>2.0</v>
      </c>
      <c r="L3070" s="15">
        <v>2.0</v>
      </c>
      <c r="M3070" s="40">
        <v>41335.0</v>
      </c>
      <c r="N3070" s="40">
        <v>41387.0</v>
      </c>
      <c r="O3070" s="15" t="s">
        <v>1554</v>
      </c>
      <c r="Q3070" s="7"/>
    </row>
    <row r="3071">
      <c r="A3071" s="39" t="s">
        <v>12991</v>
      </c>
      <c r="B3071" s="15">
        <v>1297645.0</v>
      </c>
      <c r="C3071" s="15" t="s">
        <v>12992</v>
      </c>
      <c r="D3071" s="15">
        <v>192607.0</v>
      </c>
      <c r="E3071" s="15" t="s">
        <v>1808</v>
      </c>
      <c r="F3071" s="15" t="s">
        <v>1809</v>
      </c>
      <c r="G3071" s="7">
        <v>2.743</v>
      </c>
      <c r="H3071" s="15" t="s">
        <v>3407</v>
      </c>
      <c r="I3071" s="15" t="s">
        <v>1628</v>
      </c>
      <c r="J3071" s="15" t="s">
        <v>12994</v>
      </c>
      <c r="K3071" s="15">
        <v>7.0</v>
      </c>
      <c r="L3071" s="15">
        <v>7.0</v>
      </c>
      <c r="M3071" s="40">
        <v>41339.0</v>
      </c>
      <c r="N3071" s="40">
        <v>41341.0</v>
      </c>
      <c r="O3071" s="15" t="s">
        <v>1554</v>
      </c>
      <c r="Q3071" s="7"/>
    </row>
    <row r="3072">
      <c r="A3072" s="39" t="s">
        <v>12995</v>
      </c>
      <c r="B3072" s="15">
        <v>1297646.0</v>
      </c>
      <c r="C3072" s="15" t="s">
        <v>12996</v>
      </c>
      <c r="D3072" s="15">
        <v>192608.0</v>
      </c>
      <c r="E3072" s="15" t="s">
        <v>2014</v>
      </c>
      <c r="F3072" s="15" t="s">
        <v>2018</v>
      </c>
      <c r="G3072" s="7">
        <v>1.39</v>
      </c>
      <c r="H3072" s="15" t="s">
        <v>2869</v>
      </c>
      <c r="I3072" s="15" t="s">
        <v>1628</v>
      </c>
      <c r="J3072" s="15" t="s">
        <v>12997</v>
      </c>
      <c r="K3072" s="15">
        <v>1.0</v>
      </c>
      <c r="L3072" s="15">
        <v>1.0</v>
      </c>
      <c r="M3072" s="40">
        <v>41336.0</v>
      </c>
      <c r="N3072" s="40">
        <v>41341.0</v>
      </c>
      <c r="O3072" s="15" t="s">
        <v>1554</v>
      </c>
      <c r="Q3072" s="7"/>
    </row>
    <row r="3073">
      <c r="A3073" s="39" t="s">
        <v>12998</v>
      </c>
      <c r="B3073" s="15">
        <v>146015.0</v>
      </c>
      <c r="C3073" s="15" t="s">
        <v>12999</v>
      </c>
      <c r="D3073" s="15">
        <v>192609.0</v>
      </c>
      <c r="E3073" s="15" t="s">
        <v>1557</v>
      </c>
      <c r="F3073" s="15" t="s">
        <v>1827</v>
      </c>
      <c r="G3073" s="7">
        <v>180.421</v>
      </c>
      <c r="H3073" s="15" t="s">
        <v>2023</v>
      </c>
      <c r="I3073" s="15" t="s">
        <v>1686</v>
      </c>
      <c r="J3073" s="15" t="s">
        <v>13000</v>
      </c>
      <c r="K3073" s="15">
        <v>113.0</v>
      </c>
      <c r="L3073" s="15">
        <v>113.0</v>
      </c>
      <c r="M3073" s="40">
        <v>41341.0</v>
      </c>
      <c r="N3073" s="40">
        <v>41822.0</v>
      </c>
      <c r="O3073" s="15" t="s">
        <v>1554</v>
      </c>
      <c r="Q3073" s="7"/>
    </row>
    <row r="3074">
      <c r="A3074" s="39" t="s">
        <v>13002</v>
      </c>
      <c r="B3074" s="15">
        <v>676234.0</v>
      </c>
      <c r="C3074" s="15" t="s">
        <v>13003</v>
      </c>
      <c r="D3074" s="15">
        <v>192610.0</v>
      </c>
      <c r="E3074" s="15" t="s">
        <v>1548</v>
      </c>
      <c r="F3074" s="15" t="s">
        <v>2900</v>
      </c>
      <c r="G3074" s="7">
        <v>3.966</v>
      </c>
      <c r="H3074" s="15" t="s">
        <v>3604</v>
      </c>
      <c r="I3074" s="15" t="s">
        <v>1628</v>
      </c>
      <c r="J3074" s="15" t="s">
        <v>13004</v>
      </c>
      <c r="K3074" s="15">
        <v>5.0</v>
      </c>
      <c r="L3074" s="15">
        <v>5.0</v>
      </c>
      <c r="M3074" s="40">
        <v>40238.0</v>
      </c>
      <c r="N3074" s="40">
        <v>41341.0</v>
      </c>
      <c r="O3074" s="15" t="s">
        <v>1554</v>
      </c>
      <c r="Q3074" s="7"/>
    </row>
    <row r="3075">
      <c r="A3075" s="39" t="s">
        <v>13005</v>
      </c>
      <c r="B3075" s="15">
        <v>73819.0</v>
      </c>
      <c r="C3075" s="15" t="s">
        <v>13006</v>
      </c>
      <c r="D3075" s="15">
        <v>192611.0</v>
      </c>
      <c r="E3075" s="15" t="s">
        <v>1548</v>
      </c>
      <c r="F3075" s="15" t="s">
        <v>2032</v>
      </c>
      <c r="G3075" s="7">
        <v>6.337</v>
      </c>
      <c r="H3075" s="15">
        <v>50.0</v>
      </c>
      <c r="I3075" s="15" t="s">
        <v>2034</v>
      </c>
      <c r="J3075" s="15" t="s">
        <v>13007</v>
      </c>
      <c r="K3075" s="15">
        <v>3.0</v>
      </c>
      <c r="L3075" s="15">
        <v>3.0</v>
      </c>
      <c r="M3075" s="40">
        <v>41336.0</v>
      </c>
      <c r="N3075" s="40">
        <v>41400.0</v>
      </c>
      <c r="O3075" s="15" t="s">
        <v>1554</v>
      </c>
      <c r="Q3075" s="7"/>
    </row>
    <row r="3076">
      <c r="A3076" s="39" t="s">
        <v>13008</v>
      </c>
      <c r="B3076" s="15">
        <v>419697.0</v>
      </c>
      <c r="C3076" s="15" t="s">
        <v>13009</v>
      </c>
      <c r="D3076" s="15">
        <v>191884.0</v>
      </c>
      <c r="E3076" s="15" t="s">
        <v>1638</v>
      </c>
      <c r="F3076" s="15" t="s">
        <v>1863</v>
      </c>
      <c r="G3076" s="7">
        <v>23.41</v>
      </c>
      <c r="H3076" s="15" t="s">
        <v>13011</v>
      </c>
      <c r="I3076" s="15" t="s">
        <v>1686</v>
      </c>
      <c r="J3076" s="15" t="s">
        <v>13012</v>
      </c>
      <c r="K3076" s="15">
        <v>12.0</v>
      </c>
      <c r="L3076" s="15">
        <v>12.0</v>
      </c>
      <c r="M3076" s="40">
        <v>39268.0</v>
      </c>
      <c r="N3076" s="40">
        <v>41337.0</v>
      </c>
      <c r="O3076" s="15" t="s">
        <v>1554</v>
      </c>
      <c r="Q3076" s="7"/>
    </row>
    <row r="3077">
      <c r="A3077" s="39" t="s">
        <v>13013</v>
      </c>
      <c r="B3077" s="15">
        <v>1283076.0</v>
      </c>
      <c r="C3077" s="15" t="s">
        <v>13014</v>
      </c>
      <c r="D3077" s="15">
        <v>192865.0</v>
      </c>
      <c r="E3077" s="15" t="s">
        <v>1557</v>
      </c>
      <c r="F3077" s="15" t="s">
        <v>1767</v>
      </c>
      <c r="G3077" s="7">
        <v>147.284</v>
      </c>
      <c r="H3077" s="15" t="s">
        <v>2207</v>
      </c>
      <c r="I3077" s="15" t="s">
        <v>1586</v>
      </c>
      <c r="J3077" s="15" t="s">
        <v>13015</v>
      </c>
      <c r="K3077" s="15">
        <v>198.0</v>
      </c>
      <c r="L3077" s="15">
        <v>198.0</v>
      </c>
      <c r="M3077" s="40">
        <v>41317.0</v>
      </c>
      <c r="N3077" s="40">
        <v>41801.0</v>
      </c>
      <c r="O3077" s="15" t="s">
        <v>1554</v>
      </c>
      <c r="Q3077" s="7"/>
    </row>
    <row r="3078">
      <c r="A3078" s="39" t="s">
        <v>13016</v>
      </c>
      <c r="B3078" s="15">
        <v>1283077.0</v>
      </c>
      <c r="C3078" s="15" t="s">
        <v>13017</v>
      </c>
      <c r="D3078" s="15">
        <v>192866.0</v>
      </c>
      <c r="E3078" s="15" t="s">
        <v>1557</v>
      </c>
      <c r="F3078" s="15" t="s">
        <v>1611</v>
      </c>
      <c r="G3078" s="7">
        <v>34.892</v>
      </c>
      <c r="H3078" s="15">
        <v>32.0</v>
      </c>
      <c r="I3078" s="15" t="s">
        <v>1586</v>
      </c>
      <c r="J3078" s="15" t="s">
        <v>13019</v>
      </c>
      <c r="K3078" s="15">
        <v>64.0</v>
      </c>
      <c r="L3078" s="15">
        <v>64.0</v>
      </c>
      <c r="M3078" s="40">
        <v>41317.0</v>
      </c>
      <c r="N3078" s="40">
        <v>41801.0</v>
      </c>
      <c r="O3078" s="15" t="s">
        <v>1554</v>
      </c>
      <c r="Q3078" s="7"/>
    </row>
    <row r="3079">
      <c r="A3079" s="39" t="s">
        <v>13020</v>
      </c>
      <c r="B3079" s="15">
        <v>1283078.0</v>
      </c>
      <c r="C3079" s="15" t="s">
        <v>13021</v>
      </c>
      <c r="D3079" s="15">
        <v>192867.0</v>
      </c>
      <c r="E3079" s="15" t="s">
        <v>1557</v>
      </c>
      <c r="F3079" s="15" t="s">
        <v>1611</v>
      </c>
      <c r="G3079" s="7">
        <v>39.921</v>
      </c>
      <c r="H3079" s="15">
        <v>32.0</v>
      </c>
      <c r="I3079" s="15" t="s">
        <v>1586</v>
      </c>
      <c r="J3079" s="15" t="s">
        <v>13022</v>
      </c>
      <c r="K3079" s="15">
        <v>45.0</v>
      </c>
      <c r="L3079" s="15">
        <v>45.0</v>
      </c>
      <c r="M3079" s="40">
        <v>41317.0</v>
      </c>
      <c r="N3079" s="40">
        <v>41801.0</v>
      </c>
      <c r="O3079" s="15" t="s">
        <v>1554</v>
      </c>
      <c r="Q3079" s="7"/>
    </row>
    <row r="3080">
      <c r="A3080" s="39" t="s">
        <v>13023</v>
      </c>
      <c r="B3080" s="15">
        <v>1283079.0</v>
      </c>
      <c r="C3080" s="15" t="s">
        <v>13024</v>
      </c>
      <c r="D3080" s="15">
        <v>192868.0</v>
      </c>
      <c r="E3080" s="15" t="s">
        <v>1557</v>
      </c>
      <c r="F3080" s="15" t="s">
        <v>1611</v>
      </c>
      <c r="G3080" s="7">
        <v>42.084</v>
      </c>
      <c r="H3080" s="15">
        <v>34.0</v>
      </c>
      <c r="I3080" s="15" t="s">
        <v>1586</v>
      </c>
      <c r="J3080" s="15" t="s">
        <v>13025</v>
      </c>
      <c r="K3080" s="15">
        <v>59.0</v>
      </c>
      <c r="L3080" s="15">
        <v>59.0</v>
      </c>
      <c r="M3080" s="40">
        <v>41317.0</v>
      </c>
      <c r="N3080" s="40">
        <v>41801.0</v>
      </c>
      <c r="O3080" s="15" t="s">
        <v>1554</v>
      </c>
      <c r="Q3080" s="7"/>
    </row>
    <row r="3081">
      <c r="A3081" s="39" t="s">
        <v>13026</v>
      </c>
      <c r="B3081" s="15">
        <v>585059.0</v>
      </c>
      <c r="C3081" s="15" t="s">
        <v>13027</v>
      </c>
      <c r="D3081" s="15">
        <v>192869.0</v>
      </c>
      <c r="E3081" s="15" t="s">
        <v>1557</v>
      </c>
      <c r="F3081" s="15" t="s">
        <v>2628</v>
      </c>
      <c r="G3081" s="7">
        <v>34.302</v>
      </c>
      <c r="H3081" s="15" t="s">
        <v>2548</v>
      </c>
      <c r="I3081" s="15" t="s">
        <v>1686</v>
      </c>
      <c r="J3081" s="15" t="s">
        <v>13028</v>
      </c>
      <c r="K3081" s="15">
        <v>32.0</v>
      </c>
      <c r="L3081" s="15">
        <v>32.0</v>
      </c>
      <c r="M3081" s="40">
        <v>40688.0</v>
      </c>
      <c r="N3081" s="40">
        <v>41345.0</v>
      </c>
      <c r="O3081" s="15" t="s">
        <v>1554</v>
      </c>
      <c r="Q3081" s="7"/>
    </row>
    <row r="3082">
      <c r="A3082" s="39" t="s">
        <v>13030</v>
      </c>
      <c r="B3082" s="15">
        <v>1168281.0</v>
      </c>
      <c r="C3082" s="15" t="s">
        <v>13031</v>
      </c>
      <c r="D3082" s="15">
        <v>192871.0</v>
      </c>
      <c r="E3082" s="15" t="s">
        <v>1557</v>
      </c>
      <c r="F3082" s="15" t="s">
        <v>1611</v>
      </c>
      <c r="G3082" s="7">
        <v>38.682</v>
      </c>
      <c r="H3082" s="15" t="s">
        <v>2000</v>
      </c>
      <c r="I3082" s="15" t="s">
        <v>1586</v>
      </c>
      <c r="J3082" s="15" t="s">
        <v>13032</v>
      </c>
      <c r="K3082" s="15">
        <v>40.0</v>
      </c>
      <c r="L3082" s="15">
        <v>40.0</v>
      </c>
      <c r="M3082" s="40">
        <v>41060.0</v>
      </c>
      <c r="N3082" s="40">
        <v>41345.0</v>
      </c>
      <c r="O3082" s="15" t="s">
        <v>1554</v>
      </c>
      <c r="Q3082" s="7"/>
    </row>
    <row r="3083">
      <c r="A3083" s="39" t="s">
        <v>13033</v>
      </c>
      <c r="B3083" s="15">
        <v>1273739.0</v>
      </c>
      <c r="C3083" s="15" t="s">
        <v>13034</v>
      </c>
      <c r="D3083" s="15">
        <v>192872.0</v>
      </c>
      <c r="E3083" s="15" t="s">
        <v>1557</v>
      </c>
      <c r="F3083" s="15" t="s">
        <v>1833</v>
      </c>
      <c r="G3083" s="7">
        <v>49.259</v>
      </c>
      <c r="H3083" s="15" t="s">
        <v>1849</v>
      </c>
      <c r="I3083" s="15" t="s">
        <v>1586</v>
      </c>
      <c r="J3083" s="15" t="s">
        <v>13035</v>
      </c>
      <c r="K3083" s="15">
        <v>79.0</v>
      </c>
      <c r="L3083" s="15">
        <v>79.0</v>
      </c>
      <c r="M3083" s="40">
        <v>41317.0</v>
      </c>
      <c r="N3083" s="40">
        <v>41528.0</v>
      </c>
      <c r="O3083" s="15" t="s">
        <v>1554</v>
      </c>
      <c r="Q3083" s="7"/>
    </row>
    <row r="3084">
      <c r="A3084" s="39" t="s">
        <v>13036</v>
      </c>
      <c r="B3084" s="15">
        <v>1273740.0</v>
      </c>
      <c r="C3084" s="15" t="s">
        <v>13038</v>
      </c>
      <c r="D3084" s="15">
        <v>192873.0</v>
      </c>
      <c r="E3084" s="15" t="s">
        <v>1557</v>
      </c>
      <c r="F3084" s="15" t="s">
        <v>1833</v>
      </c>
      <c r="G3084" s="7">
        <v>49.425</v>
      </c>
      <c r="H3084" s="15" t="s">
        <v>2049</v>
      </c>
      <c r="I3084" s="15" t="s">
        <v>1586</v>
      </c>
      <c r="J3084" s="15" t="s">
        <v>13039</v>
      </c>
      <c r="K3084" s="15">
        <v>77.0</v>
      </c>
      <c r="L3084" s="15">
        <v>77.0</v>
      </c>
      <c r="M3084" s="40">
        <v>41317.0</v>
      </c>
      <c r="N3084" s="40">
        <v>41541.0</v>
      </c>
      <c r="O3084" s="15" t="s">
        <v>1554</v>
      </c>
      <c r="Q3084" s="7"/>
    </row>
    <row r="3085">
      <c r="A3085" s="39" t="s">
        <v>13040</v>
      </c>
      <c r="B3085" s="15">
        <v>1273741.0</v>
      </c>
      <c r="C3085" s="15" t="s">
        <v>13041</v>
      </c>
      <c r="D3085" s="15">
        <v>192874.0</v>
      </c>
      <c r="E3085" s="15" t="s">
        <v>1557</v>
      </c>
      <c r="F3085" s="15" t="s">
        <v>1833</v>
      </c>
      <c r="G3085" s="7">
        <v>49.458</v>
      </c>
      <c r="H3085" s="15" t="s">
        <v>1591</v>
      </c>
      <c r="I3085" s="15" t="s">
        <v>1586</v>
      </c>
      <c r="J3085" s="15" t="s">
        <v>13042</v>
      </c>
      <c r="K3085" s="15">
        <v>75.0</v>
      </c>
      <c r="L3085" s="15">
        <v>75.0</v>
      </c>
      <c r="M3085" s="40">
        <v>41317.0</v>
      </c>
      <c r="N3085" s="40">
        <v>41528.0</v>
      </c>
      <c r="O3085" s="15" t="s">
        <v>1554</v>
      </c>
      <c r="Q3085" s="7"/>
    </row>
    <row r="3086">
      <c r="A3086" s="39" t="s">
        <v>13043</v>
      </c>
      <c r="B3086" s="15">
        <v>1273742.0</v>
      </c>
      <c r="C3086" s="15" t="s">
        <v>13044</v>
      </c>
      <c r="D3086" s="15">
        <v>192875.0</v>
      </c>
      <c r="E3086" s="15" t="s">
        <v>1557</v>
      </c>
      <c r="F3086" s="15" t="s">
        <v>1833</v>
      </c>
      <c r="G3086" s="7">
        <v>50.161</v>
      </c>
      <c r="H3086" s="15" t="s">
        <v>2428</v>
      </c>
      <c r="I3086" s="15" t="s">
        <v>1586</v>
      </c>
      <c r="J3086" s="15" t="s">
        <v>13046</v>
      </c>
      <c r="K3086" s="15">
        <v>77.0</v>
      </c>
      <c r="L3086" s="15">
        <v>77.0</v>
      </c>
      <c r="M3086" s="40">
        <v>41317.0</v>
      </c>
      <c r="N3086" s="40">
        <v>41528.0</v>
      </c>
      <c r="O3086" s="15" t="s">
        <v>1554</v>
      </c>
      <c r="Q3086" s="7"/>
    </row>
    <row r="3087">
      <c r="A3087" s="39" t="s">
        <v>13047</v>
      </c>
      <c r="B3087" s="15">
        <v>1131316.0</v>
      </c>
      <c r="C3087" s="15" t="s">
        <v>13048</v>
      </c>
      <c r="D3087" s="15">
        <v>192926.0</v>
      </c>
      <c r="E3087" s="15" t="s">
        <v>1557</v>
      </c>
      <c r="F3087" s="15" t="s">
        <v>1578</v>
      </c>
      <c r="G3087" s="7">
        <v>40.489</v>
      </c>
      <c r="H3087" s="15" t="s">
        <v>2126</v>
      </c>
      <c r="I3087" s="15" t="s">
        <v>1586</v>
      </c>
      <c r="J3087" s="15" t="s">
        <v>13049</v>
      </c>
      <c r="K3087" s="15">
        <v>64.0</v>
      </c>
      <c r="L3087" s="15">
        <v>64.0</v>
      </c>
      <c r="M3087" s="40">
        <v>40957.0</v>
      </c>
      <c r="N3087" s="40">
        <v>41347.0</v>
      </c>
      <c r="O3087" s="15" t="s">
        <v>1554</v>
      </c>
      <c r="Q3087" s="7"/>
    </row>
    <row r="3088">
      <c r="A3088" s="39" t="s">
        <v>13050</v>
      </c>
      <c r="B3088" s="15">
        <v>1147042.0</v>
      </c>
      <c r="C3088" s="15" t="s">
        <v>13051</v>
      </c>
      <c r="D3088" s="15">
        <v>192927.0</v>
      </c>
      <c r="E3088" s="15" t="s">
        <v>1557</v>
      </c>
      <c r="F3088" s="15" t="s">
        <v>1833</v>
      </c>
      <c r="G3088" s="7">
        <v>44.714</v>
      </c>
      <c r="H3088" s="15" t="s">
        <v>3870</v>
      </c>
      <c r="I3088" s="15" t="s">
        <v>1586</v>
      </c>
      <c r="J3088" s="15" t="s">
        <v>13052</v>
      </c>
      <c r="K3088" s="15">
        <v>74.0</v>
      </c>
      <c r="L3088" s="15">
        <v>74.0</v>
      </c>
      <c r="M3088" s="40">
        <v>40957.0</v>
      </c>
      <c r="N3088" s="40">
        <v>43012.0</v>
      </c>
      <c r="O3088" s="15" t="s">
        <v>1554</v>
      </c>
      <c r="Q3088" s="7"/>
    </row>
    <row r="3089">
      <c r="A3089" s="39" t="s">
        <v>13054</v>
      </c>
      <c r="B3089" s="15">
        <v>1235427.0</v>
      </c>
      <c r="C3089" s="15" t="s">
        <v>13055</v>
      </c>
      <c r="D3089" s="15">
        <v>193978.0</v>
      </c>
      <c r="E3089" s="15" t="s">
        <v>1557</v>
      </c>
      <c r="F3089" s="15" t="s">
        <v>1822</v>
      </c>
      <c r="G3089" s="7">
        <v>7.551</v>
      </c>
      <c r="H3089" s="15" t="s">
        <v>5521</v>
      </c>
      <c r="I3089" s="15" t="s">
        <v>1686</v>
      </c>
      <c r="J3089" s="15" t="s">
        <v>13056</v>
      </c>
      <c r="K3089" s="15">
        <v>7.0</v>
      </c>
      <c r="L3089" s="15">
        <v>7.0</v>
      </c>
      <c r="M3089" s="40">
        <v>41353.0</v>
      </c>
      <c r="N3089" s="40">
        <v>41416.0</v>
      </c>
      <c r="O3089" s="15" t="s">
        <v>1554</v>
      </c>
      <c r="Q3089" s="7"/>
    </row>
    <row r="3090">
      <c r="A3090" s="39" t="s">
        <v>13057</v>
      </c>
      <c r="B3090" s="15">
        <v>1235430.0</v>
      </c>
      <c r="C3090" s="15" t="s">
        <v>13058</v>
      </c>
      <c r="D3090" s="15">
        <v>193979.0</v>
      </c>
      <c r="E3090" s="15" t="s">
        <v>1557</v>
      </c>
      <c r="F3090" s="15" t="s">
        <v>1822</v>
      </c>
      <c r="G3090" s="7">
        <v>7.619</v>
      </c>
      <c r="H3090" s="15" t="s">
        <v>4521</v>
      </c>
      <c r="I3090" s="15" t="s">
        <v>1686</v>
      </c>
      <c r="J3090" s="15" t="s">
        <v>13059</v>
      </c>
      <c r="K3090" s="15">
        <v>7.0</v>
      </c>
      <c r="L3090" s="15">
        <v>7.0</v>
      </c>
      <c r="M3090" s="40">
        <v>41353.0</v>
      </c>
      <c r="N3090" s="40">
        <v>41416.0</v>
      </c>
      <c r="O3090" s="15" t="s">
        <v>1554</v>
      </c>
      <c r="Q3090" s="7"/>
    </row>
    <row r="3091">
      <c r="A3091" s="39" t="s">
        <v>13060</v>
      </c>
      <c r="B3091" s="15">
        <v>748170.0</v>
      </c>
      <c r="C3091" s="15" t="s">
        <v>13062</v>
      </c>
      <c r="D3091" s="15">
        <v>193981.0</v>
      </c>
      <c r="E3091" s="15" t="s">
        <v>2014</v>
      </c>
      <c r="F3091" s="15" t="s">
        <v>1578</v>
      </c>
      <c r="G3091" s="7">
        <v>1.364</v>
      </c>
      <c r="H3091" s="15" t="s">
        <v>3584</v>
      </c>
      <c r="I3091" s="15" t="s">
        <v>1628</v>
      </c>
      <c r="J3091" s="15" t="s">
        <v>13063</v>
      </c>
      <c r="K3091" s="15">
        <v>1.0</v>
      </c>
      <c r="L3091" s="15">
        <v>1.0</v>
      </c>
      <c r="M3091" s="40">
        <v>41353.0</v>
      </c>
      <c r="N3091" s="40">
        <v>41789.0</v>
      </c>
      <c r="O3091" s="15" t="s">
        <v>1554</v>
      </c>
      <c r="Q3091" s="7"/>
    </row>
    <row r="3092">
      <c r="A3092" s="39" t="s">
        <v>13064</v>
      </c>
      <c r="B3092" s="15">
        <v>93678.0</v>
      </c>
      <c r="C3092" s="15" t="s">
        <v>13065</v>
      </c>
      <c r="D3092" s="15">
        <v>14058.0</v>
      </c>
      <c r="E3092" s="15" t="s">
        <v>1808</v>
      </c>
      <c r="F3092" s="15" t="s">
        <v>2232</v>
      </c>
      <c r="G3092" s="7">
        <v>2.915</v>
      </c>
      <c r="H3092" s="15" t="s">
        <v>2824</v>
      </c>
      <c r="I3092" s="15" t="s">
        <v>1567</v>
      </c>
      <c r="J3092" s="15" t="s">
        <v>13066</v>
      </c>
      <c r="K3092" s="15">
        <v>3.0</v>
      </c>
      <c r="L3092" s="15">
        <v>3.0</v>
      </c>
      <c r="M3092" s="40">
        <v>36620.0</v>
      </c>
      <c r="N3092" s="40">
        <v>40296.0</v>
      </c>
      <c r="O3092" s="15" t="s">
        <v>1554</v>
      </c>
      <c r="Q3092" s="7"/>
    </row>
    <row r="3093">
      <c r="A3093" s="39" t="s">
        <v>13067</v>
      </c>
      <c r="B3093" s="15">
        <v>11272.0</v>
      </c>
      <c r="C3093" s="15" t="s">
        <v>13068</v>
      </c>
      <c r="D3093" s="15">
        <v>194137.0</v>
      </c>
      <c r="E3093" s="15" t="s">
        <v>1548</v>
      </c>
      <c r="F3093" s="15" t="s">
        <v>1890</v>
      </c>
      <c r="G3093" s="7">
        <v>43445.0</v>
      </c>
      <c r="H3093" s="15" t="s">
        <v>2163</v>
      </c>
      <c r="I3093" s="15" t="s">
        <v>1567</v>
      </c>
      <c r="J3093" s="15" t="s">
        <v>13070</v>
      </c>
      <c r="K3093" s="15">
        <v>5.0</v>
      </c>
      <c r="L3093" s="15">
        <v>5.0</v>
      </c>
      <c r="M3093" s="41">
        <v>40475.0</v>
      </c>
      <c r="N3093" s="40">
        <v>41359.0</v>
      </c>
      <c r="O3093" s="15" t="s">
        <v>1554</v>
      </c>
      <c r="Q3093" s="7"/>
    </row>
    <row r="3094">
      <c r="A3094" s="39" t="s">
        <v>13071</v>
      </c>
      <c r="B3094" s="15">
        <v>1256869.0</v>
      </c>
      <c r="C3094" s="15" t="s">
        <v>13072</v>
      </c>
      <c r="D3094" s="15">
        <v>194138.0</v>
      </c>
      <c r="E3094" s="15" t="s">
        <v>1548</v>
      </c>
      <c r="F3094" s="15" t="s">
        <v>1890</v>
      </c>
      <c r="G3094" s="7">
        <v>11.487</v>
      </c>
      <c r="H3094" s="15" t="s">
        <v>2552</v>
      </c>
      <c r="I3094" s="15" t="s">
        <v>1686</v>
      </c>
      <c r="J3094" s="15" t="s">
        <v>13073</v>
      </c>
      <c r="K3094" s="15">
        <v>5.0</v>
      </c>
      <c r="L3094" s="15">
        <v>5.0</v>
      </c>
      <c r="M3094" s="41">
        <v>41237.0</v>
      </c>
      <c r="N3094" s="40">
        <v>41359.0</v>
      </c>
      <c r="O3094" s="15" t="s">
        <v>1554</v>
      </c>
      <c r="Q3094" s="7"/>
    </row>
    <row r="3095">
      <c r="A3095" s="39" t="s">
        <v>13074</v>
      </c>
      <c r="B3095" s="15">
        <v>211977.0</v>
      </c>
      <c r="C3095" s="15" t="s">
        <v>13075</v>
      </c>
      <c r="D3095" s="15">
        <v>194139.0</v>
      </c>
      <c r="E3095" s="15" t="s">
        <v>1548</v>
      </c>
      <c r="F3095" s="15" t="s">
        <v>1890</v>
      </c>
      <c r="G3095" s="7">
        <v>11.918</v>
      </c>
      <c r="H3095" s="15" t="s">
        <v>1828</v>
      </c>
      <c r="I3095" s="15" t="s">
        <v>1567</v>
      </c>
      <c r="J3095" s="15" t="s">
        <v>13076</v>
      </c>
      <c r="K3095" s="15">
        <v>5.0</v>
      </c>
      <c r="L3095" s="15">
        <v>5.0</v>
      </c>
      <c r="M3095" s="40">
        <v>39600.0</v>
      </c>
      <c r="N3095" s="40">
        <v>41359.0</v>
      </c>
      <c r="O3095" s="15" t="s">
        <v>1554</v>
      </c>
      <c r="Q3095" s="7"/>
    </row>
    <row r="3096">
      <c r="A3096" s="39" t="s">
        <v>13078</v>
      </c>
      <c r="B3096" s="15">
        <v>249583.0</v>
      </c>
      <c r="C3096" s="15" t="s">
        <v>13079</v>
      </c>
      <c r="D3096" s="15">
        <v>194140.0</v>
      </c>
      <c r="E3096" s="15" t="s">
        <v>1548</v>
      </c>
      <c r="F3096" s="15" t="s">
        <v>1890</v>
      </c>
      <c r="G3096" s="7">
        <v>11.98</v>
      </c>
      <c r="H3096" s="15" t="s">
        <v>2877</v>
      </c>
      <c r="I3096" s="15" t="s">
        <v>1567</v>
      </c>
      <c r="J3096" s="15" t="s">
        <v>13080</v>
      </c>
      <c r="K3096" s="15">
        <v>5.0</v>
      </c>
      <c r="L3096" s="15">
        <v>5.0</v>
      </c>
      <c r="M3096" s="40">
        <v>39600.0</v>
      </c>
      <c r="N3096" s="40">
        <v>41359.0</v>
      </c>
      <c r="O3096" s="15" t="s">
        <v>1554</v>
      </c>
      <c r="Q3096" s="7"/>
    </row>
    <row r="3097">
      <c r="A3097" s="39" t="s">
        <v>13081</v>
      </c>
      <c r="B3097" s="15">
        <v>290008.0</v>
      </c>
      <c r="C3097" s="15" t="s">
        <v>13082</v>
      </c>
      <c r="D3097" s="15">
        <v>194141.0</v>
      </c>
      <c r="E3097" s="15" t="s">
        <v>1548</v>
      </c>
      <c r="F3097" s="15" t="s">
        <v>1890</v>
      </c>
      <c r="G3097" s="7">
        <v>11.088</v>
      </c>
      <c r="H3097" s="15" t="s">
        <v>1849</v>
      </c>
      <c r="I3097" s="15" t="s">
        <v>4737</v>
      </c>
      <c r="J3097" s="15" t="s">
        <v>13083</v>
      </c>
      <c r="K3097" s="15">
        <v>5.0</v>
      </c>
      <c r="L3097" s="15">
        <v>5.0</v>
      </c>
      <c r="M3097" s="40">
        <v>38366.0</v>
      </c>
      <c r="N3097" s="40">
        <v>41359.0</v>
      </c>
      <c r="O3097" s="15" t="s">
        <v>1554</v>
      </c>
      <c r="Q3097" s="7"/>
    </row>
    <row r="3098">
      <c r="A3098" s="39" t="s">
        <v>13084</v>
      </c>
      <c r="B3098" s="15">
        <v>318844.0</v>
      </c>
      <c r="C3098" s="15" t="s">
        <v>13085</v>
      </c>
      <c r="D3098" s="15">
        <v>194142.0</v>
      </c>
      <c r="E3098" s="15" t="s">
        <v>1548</v>
      </c>
      <c r="F3098" s="15" t="s">
        <v>1890</v>
      </c>
      <c r="G3098" s="7">
        <v>13.298</v>
      </c>
      <c r="H3098" s="15" t="s">
        <v>11674</v>
      </c>
      <c r="I3098" s="15" t="s">
        <v>4554</v>
      </c>
      <c r="J3098" s="15" t="s">
        <v>13087</v>
      </c>
      <c r="K3098" s="15">
        <v>8.0</v>
      </c>
      <c r="L3098" s="15">
        <v>9.0</v>
      </c>
      <c r="M3098" s="40">
        <v>40359.0</v>
      </c>
      <c r="N3098" s="40">
        <v>41359.0</v>
      </c>
      <c r="O3098" s="15" t="s">
        <v>1554</v>
      </c>
      <c r="Q3098" s="7"/>
    </row>
    <row r="3099">
      <c r="A3099" s="39" t="s">
        <v>13088</v>
      </c>
      <c r="B3099" s="15">
        <v>38766.0</v>
      </c>
      <c r="C3099" s="15" t="s">
        <v>13089</v>
      </c>
      <c r="D3099" s="15">
        <v>194143.0</v>
      </c>
      <c r="E3099" s="15" t="s">
        <v>1548</v>
      </c>
      <c r="F3099" s="15" t="s">
        <v>1890</v>
      </c>
      <c r="G3099" s="7">
        <v>12.016</v>
      </c>
      <c r="H3099" s="15" t="s">
        <v>1943</v>
      </c>
      <c r="I3099" s="15" t="s">
        <v>1567</v>
      </c>
      <c r="J3099" s="15" t="s">
        <v>13090</v>
      </c>
      <c r="K3099" s="15">
        <v>5.0</v>
      </c>
      <c r="L3099" s="15">
        <v>5.0</v>
      </c>
      <c r="M3099" s="40">
        <v>39561.0</v>
      </c>
      <c r="N3099" s="40">
        <v>41359.0</v>
      </c>
      <c r="O3099" s="15" t="s">
        <v>1554</v>
      </c>
      <c r="Q3099" s="7"/>
    </row>
    <row r="3100">
      <c r="A3100" s="39" t="s">
        <v>13091</v>
      </c>
      <c r="B3100" s="15">
        <v>38767.0</v>
      </c>
      <c r="C3100" s="15" t="s">
        <v>13092</v>
      </c>
      <c r="D3100" s="15">
        <v>194144.0</v>
      </c>
      <c r="E3100" s="15" t="s">
        <v>1548</v>
      </c>
      <c r="F3100" s="15" t="s">
        <v>1890</v>
      </c>
      <c r="G3100" s="7">
        <v>11.976</v>
      </c>
      <c r="H3100" s="15" t="s">
        <v>2392</v>
      </c>
      <c r="I3100" s="15" t="s">
        <v>1567</v>
      </c>
      <c r="J3100" s="15" t="s">
        <v>13093</v>
      </c>
      <c r="K3100" s="15">
        <v>5.0</v>
      </c>
      <c r="L3100" s="15">
        <v>5.0</v>
      </c>
      <c r="M3100" s="40">
        <v>39561.0</v>
      </c>
      <c r="N3100" s="40">
        <v>41359.0</v>
      </c>
      <c r="O3100" s="15" t="s">
        <v>1554</v>
      </c>
      <c r="Q3100" s="7"/>
    </row>
    <row r="3101">
      <c r="A3101" s="39" t="s">
        <v>13094</v>
      </c>
      <c r="B3101" s="15">
        <v>1300004.0</v>
      </c>
      <c r="C3101" s="15" t="s">
        <v>13095</v>
      </c>
      <c r="D3101" s="15">
        <v>209073.0</v>
      </c>
      <c r="E3101" s="15" t="s">
        <v>1557</v>
      </c>
      <c r="F3101" s="15" t="s">
        <v>1611</v>
      </c>
      <c r="G3101" s="7">
        <v>103.91</v>
      </c>
      <c r="H3101" s="15" t="s">
        <v>2178</v>
      </c>
      <c r="I3101" s="15" t="s">
        <v>1586</v>
      </c>
      <c r="J3101" s="15" t="s">
        <v>13097</v>
      </c>
      <c r="K3101" s="15">
        <v>121.0</v>
      </c>
      <c r="L3101" s="15">
        <v>120.0</v>
      </c>
      <c r="M3101" s="40">
        <v>41423.0</v>
      </c>
      <c r="N3101" s="40">
        <v>41470.0</v>
      </c>
      <c r="O3101" s="15" t="s">
        <v>1554</v>
      </c>
      <c r="Q3101" s="7"/>
    </row>
    <row r="3102">
      <c r="A3102" s="39" t="s">
        <v>13098</v>
      </c>
      <c r="B3102" s="15">
        <v>1168744.0</v>
      </c>
      <c r="C3102" s="15" t="s">
        <v>13099</v>
      </c>
      <c r="D3102" s="15">
        <v>195527.0</v>
      </c>
      <c r="E3102" s="15" t="s">
        <v>1557</v>
      </c>
      <c r="F3102" s="15" t="s">
        <v>1767</v>
      </c>
      <c r="G3102" s="7">
        <v>133.057</v>
      </c>
      <c r="H3102" s="15" t="s">
        <v>3554</v>
      </c>
      <c r="I3102" s="15" t="s">
        <v>1586</v>
      </c>
      <c r="J3102" s="15" t="s">
        <v>13100</v>
      </c>
      <c r="K3102" s="15">
        <v>195.0</v>
      </c>
      <c r="L3102" s="15">
        <v>178.0</v>
      </c>
      <c r="M3102" s="40">
        <v>41353.0</v>
      </c>
      <c r="N3102" s="40">
        <v>41378.0</v>
      </c>
      <c r="O3102" s="15" t="s">
        <v>1554</v>
      </c>
      <c r="Q3102" s="7"/>
    </row>
    <row r="3103">
      <c r="A3103" s="39" t="s">
        <v>13101</v>
      </c>
      <c r="B3103" s="15">
        <v>1235660.0</v>
      </c>
      <c r="C3103" s="15" t="s">
        <v>13102</v>
      </c>
      <c r="D3103" s="15">
        <v>195528.0</v>
      </c>
      <c r="E3103" s="15" t="s">
        <v>1557</v>
      </c>
      <c r="F3103" s="15" t="s">
        <v>1767</v>
      </c>
      <c r="G3103" s="7">
        <v>131.332</v>
      </c>
      <c r="H3103" s="15">
        <v>30.0</v>
      </c>
      <c r="I3103" s="15" t="s">
        <v>1586</v>
      </c>
      <c r="J3103" s="15" t="s">
        <v>13103</v>
      </c>
      <c r="K3103" s="15">
        <v>165.0</v>
      </c>
      <c r="L3103" s="15">
        <v>164.0</v>
      </c>
      <c r="M3103" s="40">
        <v>41345.0</v>
      </c>
      <c r="N3103" s="40">
        <v>41378.0</v>
      </c>
      <c r="O3103" s="15" t="s">
        <v>1554</v>
      </c>
      <c r="Q3103" s="7"/>
    </row>
    <row r="3104">
      <c r="A3104" s="39" t="s">
        <v>13105</v>
      </c>
      <c r="B3104" s="15">
        <v>1245814.0</v>
      </c>
      <c r="C3104" s="15" t="s">
        <v>13106</v>
      </c>
      <c r="D3104" s="15">
        <v>195529.0</v>
      </c>
      <c r="E3104" s="15" t="s">
        <v>1557</v>
      </c>
      <c r="F3104" s="15" t="s">
        <v>1833</v>
      </c>
      <c r="G3104" s="7">
        <v>53.028</v>
      </c>
      <c r="H3104" s="15" t="s">
        <v>2831</v>
      </c>
      <c r="I3104" s="15" t="s">
        <v>1586</v>
      </c>
      <c r="J3104" s="15" t="s">
        <v>13107</v>
      </c>
      <c r="K3104" s="15">
        <v>96.0</v>
      </c>
      <c r="L3104" s="15">
        <v>95.0</v>
      </c>
      <c r="M3104" s="40">
        <v>41346.0</v>
      </c>
      <c r="N3104" s="40">
        <v>41378.0</v>
      </c>
      <c r="O3104" s="15" t="s">
        <v>1554</v>
      </c>
      <c r="Q3104" s="7"/>
    </row>
    <row r="3105">
      <c r="A3105" s="39" t="s">
        <v>13108</v>
      </c>
      <c r="B3105" s="15">
        <v>1262516.0</v>
      </c>
      <c r="C3105" s="15" t="s">
        <v>13109</v>
      </c>
      <c r="D3105" s="15">
        <v>195530.0</v>
      </c>
      <c r="E3105" s="15" t="s">
        <v>1557</v>
      </c>
      <c r="F3105" s="15" t="s">
        <v>1833</v>
      </c>
      <c r="G3105" s="7">
        <v>25.865</v>
      </c>
      <c r="H3105" s="15" t="s">
        <v>2752</v>
      </c>
      <c r="I3105" s="15" t="s">
        <v>1586</v>
      </c>
      <c r="J3105" s="15" t="s">
        <v>13110</v>
      </c>
      <c r="K3105" s="15">
        <v>39.0</v>
      </c>
      <c r="L3105" s="15">
        <v>39.0</v>
      </c>
      <c r="M3105" s="40">
        <v>41361.0</v>
      </c>
      <c r="N3105" s="40">
        <v>41404.0</v>
      </c>
      <c r="O3105" s="15" t="s">
        <v>1554</v>
      </c>
      <c r="Q3105" s="7"/>
    </row>
    <row r="3106">
      <c r="A3106" s="39" t="s">
        <v>13111</v>
      </c>
      <c r="B3106" s="15">
        <v>1262522.0</v>
      </c>
      <c r="C3106" s="15" t="s">
        <v>13113</v>
      </c>
      <c r="D3106" s="15">
        <v>195531.0</v>
      </c>
      <c r="E3106" s="15" t="s">
        <v>1557</v>
      </c>
      <c r="F3106" s="15" t="s">
        <v>1833</v>
      </c>
      <c r="G3106" s="7">
        <v>26.769</v>
      </c>
      <c r="H3106" s="15" t="s">
        <v>2752</v>
      </c>
      <c r="I3106" s="15" t="s">
        <v>1586</v>
      </c>
      <c r="J3106" s="15" t="s">
        <v>13114</v>
      </c>
      <c r="K3106" s="15">
        <v>38.0</v>
      </c>
      <c r="L3106" s="15">
        <v>38.0</v>
      </c>
      <c r="M3106" s="40">
        <v>41361.0</v>
      </c>
      <c r="N3106" s="40">
        <v>41404.0</v>
      </c>
      <c r="O3106" s="15" t="s">
        <v>1554</v>
      </c>
      <c r="Q3106" s="7"/>
    </row>
    <row r="3107">
      <c r="A3107" s="39" t="s">
        <v>13115</v>
      </c>
      <c r="B3107" s="15">
        <v>1198014.0</v>
      </c>
      <c r="C3107" s="15" t="s">
        <v>13116</v>
      </c>
      <c r="D3107" s="15">
        <v>195532.0</v>
      </c>
      <c r="E3107" s="15" t="s">
        <v>1557</v>
      </c>
      <c r="F3107" s="15" t="s">
        <v>1767</v>
      </c>
      <c r="G3107" s="7">
        <v>161.978</v>
      </c>
      <c r="H3107" s="15" t="s">
        <v>1710</v>
      </c>
      <c r="I3107" s="15" t="s">
        <v>1586</v>
      </c>
      <c r="J3107" s="15" t="s">
        <v>13117</v>
      </c>
      <c r="K3107" s="15">
        <v>257.0</v>
      </c>
      <c r="L3107" s="15">
        <v>243.0</v>
      </c>
      <c r="M3107" s="40">
        <v>41121.0</v>
      </c>
      <c r="N3107" s="40">
        <v>41378.0</v>
      </c>
      <c r="O3107" s="15" t="s">
        <v>1554</v>
      </c>
      <c r="Q3107" s="7"/>
    </row>
    <row r="3108">
      <c r="A3108" s="39" t="s">
        <v>13118</v>
      </c>
      <c r="B3108" s="15">
        <v>1298531.0</v>
      </c>
      <c r="C3108" s="15" t="s">
        <v>13119</v>
      </c>
      <c r="D3108" s="15">
        <v>195533.0</v>
      </c>
      <c r="E3108" s="15" t="s">
        <v>1557</v>
      </c>
      <c r="F3108" s="15" t="s">
        <v>3164</v>
      </c>
      <c r="G3108" s="7">
        <v>14.847</v>
      </c>
      <c r="H3108" s="15" t="s">
        <v>3407</v>
      </c>
      <c r="I3108" s="15" t="s">
        <v>1618</v>
      </c>
      <c r="J3108" s="15" t="s">
        <v>13121</v>
      </c>
      <c r="K3108" s="15">
        <v>24.0</v>
      </c>
      <c r="L3108" s="15">
        <v>24.0</v>
      </c>
      <c r="M3108" s="40">
        <v>41338.0</v>
      </c>
      <c r="N3108" s="40">
        <v>41400.0</v>
      </c>
      <c r="O3108" s="15" t="s">
        <v>1554</v>
      </c>
      <c r="Q3108" s="7"/>
    </row>
    <row r="3109">
      <c r="A3109" s="39" t="s">
        <v>13122</v>
      </c>
      <c r="B3109" s="15">
        <v>1195072.0</v>
      </c>
      <c r="C3109" s="15" t="s">
        <v>13123</v>
      </c>
      <c r="D3109" s="15">
        <v>195534.0</v>
      </c>
      <c r="E3109" s="15" t="s">
        <v>1557</v>
      </c>
      <c r="F3109" s="15" t="s">
        <v>1767</v>
      </c>
      <c r="G3109" s="7">
        <v>158.621</v>
      </c>
      <c r="H3109" s="15">
        <v>40.0</v>
      </c>
      <c r="I3109" s="15" t="s">
        <v>1586</v>
      </c>
      <c r="J3109" s="15" t="s">
        <v>13124</v>
      </c>
      <c r="K3109" s="15">
        <v>259.0</v>
      </c>
      <c r="L3109" s="15">
        <v>238.0</v>
      </c>
      <c r="M3109" s="40">
        <v>41347.0</v>
      </c>
      <c r="N3109" s="40">
        <v>41378.0</v>
      </c>
      <c r="O3109" s="15" t="s">
        <v>1554</v>
      </c>
      <c r="Q3109" s="7"/>
    </row>
    <row r="3110">
      <c r="A3110" s="39" t="s">
        <v>13125</v>
      </c>
      <c r="B3110" s="15">
        <v>547228.0</v>
      </c>
      <c r="C3110" s="15" t="s">
        <v>13126</v>
      </c>
      <c r="D3110" s="15">
        <v>195536.0</v>
      </c>
      <c r="E3110" s="15" t="s">
        <v>1557</v>
      </c>
      <c r="F3110" s="15" t="s">
        <v>1833</v>
      </c>
      <c r="G3110" s="7">
        <v>50.861</v>
      </c>
      <c r="H3110" s="15" t="s">
        <v>1710</v>
      </c>
      <c r="I3110" s="15" t="s">
        <v>1586</v>
      </c>
      <c r="J3110" s="15" t="s">
        <v>13127</v>
      </c>
      <c r="K3110" s="15">
        <v>86.0</v>
      </c>
      <c r="L3110" s="15">
        <v>86.0</v>
      </c>
      <c r="M3110" s="40">
        <v>41345.0</v>
      </c>
      <c r="N3110" s="40">
        <v>41426.0</v>
      </c>
      <c r="O3110" s="15" t="s">
        <v>1554</v>
      </c>
      <c r="Q3110" s="7"/>
    </row>
    <row r="3111">
      <c r="A3111" s="39" t="s">
        <v>13128</v>
      </c>
      <c r="B3111" s="15">
        <v>1175505.0</v>
      </c>
      <c r="C3111" s="15" t="s">
        <v>13130</v>
      </c>
      <c r="D3111" s="15">
        <v>195929.0</v>
      </c>
      <c r="E3111" s="15" t="s">
        <v>2014</v>
      </c>
      <c r="F3111" s="15" t="s">
        <v>2018</v>
      </c>
      <c r="G3111" s="7">
        <v>1.335</v>
      </c>
      <c r="H3111" s="15" t="s">
        <v>1823</v>
      </c>
      <c r="I3111" s="15" t="s">
        <v>1628</v>
      </c>
      <c r="J3111" s="15" t="s">
        <v>13131</v>
      </c>
      <c r="K3111" s="15">
        <v>1.0</v>
      </c>
      <c r="L3111" s="15">
        <v>1.0</v>
      </c>
      <c r="M3111" s="40">
        <v>41360.0</v>
      </c>
      <c r="N3111" s="40">
        <v>41506.0</v>
      </c>
      <c r="O3111" s="15" t="s">
        <v>1554</v>
      </c>
      <c r="Q3111" s="7"/>
    </row>
    <row r="3112">
      <c r="A3112" s="39" t="s">
        <v>13132</v>
      </c>
      <c r="B3112" s="15">
        <v>1303334.0</v>
      </c>
      <c r="C3112" s="15" t="s">
        <v>13133</v>
      </c>
      <c r="D3112" s="15">
        <v>195931.0</v>
      </c>
      <c r="E3112" s="15" t="s">
        <v>1557</v>
      </c>
      <c r="F3112" s="15" t="s">
        <v>2004</v>
      </c>
      <c r="G3112" s="7">
        <v>5.033</v>
      </c>
      <c r="H3112" s="15" t="s">
        <v>1602</v>
      </c>
      <c r="I3112" s="15" t="s">
        <v>1686</v>
      </c>
      <c r="J3112" s="15" t="s">
        <v>13134</v>
      </c>
      <c r="K3112" s="15">
        <v>5.0</v>
      </c>
      <c r="L3112" s="15">
        <v>5.0</v>
      </c>
      <c r="M3112" s="40">
        <v>41358.0</v>
      </c>
      <c r="N3112" s="40">
        <v>42971.0</v>
      </c>
      <c r="O3112" s="15" t="s">
        <v>1554</v>
      </c>
      <c r="Q3112" s="7"/>
    </row>
    <row r="3113">
      <c r="A3113" s="39" t="s">
        <v>13135</v>
      </c>
      <c r="B3113" s="15">
        <v>31743.0</v>
      </c>
      <c r="C3113" s="15" t="s">
        <v>13136</v>
      </c>
      <c r="D3113" s="15">
        <v>196180.0</v>
      </c>
      <c r="E3113" s="15" t="s">
        <v>1548</v>
      </c>
      <c r="F3113" s="15" t="s">
        <v>1911</v>
      </c>
      <c r="G3113" s="7">
        <v>10.081</v>
      </c>
      <c r="H3113" s="15" t="s">
        <v>2163</v>
      </c>
      <c r="I3113" s="15" t="s">
        <v>1628</v>
      </c>
      <c r="J3113" s="15" t="s">
        <v>13137</v>
      </c>
      <c r="K3113" s="15">
        <v>1.0</v>
      </c>
      <c r="L3113" s="15">
        <v>1.0</v>
      </c>
      <c r="M3113" s="40">
        <v>41356.0</v>
      </c>
      <c r="N3113" s="41">
        <v>41568.0</v>
      </c>
      <c r="O3113" s="15" t="s">
        <v>1554</v>
      </c>
      <c r="Q3113" s="7"/>
    </row>
    <row r="3114">
      <c r="A3114" s="39" t="s">
        <v>13138</v>
      </c>
      <c r="B3114" s="15">
        <v>257463.0</v>
      </c>
      <c r="C3114" s="15" t="s">
        <v>13140</v>
      </c>
      <c r="D3114" s="15">
        <v>196183.0</v>
      </c>
      <c r="E3114" s="15" t="s">
        <v>1548</v>
      </c>
      <c r="F3114" s="15" t="s">
        <v>1626</v>
      </c>
      <c r="G3114" s="7">
        <v>10.739</v>
      </c>
      <c r="H3114" s="15" t="s">
        <v>13141</v>
      </c>
      <c r="I3114" s="15" t="s">
        <v>1628</v>
      </c>
      <c r="J3114" s="15" t="s">
        <v>13142</v>
      </c>
      <c r="K3114" s="15">
        <v>2.0</v>
      </c>
      <c r="L3114" s="15">
        <v>2.0</v>
      </c>
      <c r="M3114" s="40">
        <v>41035.0</v>
      </c>
      <c r="N3114" s="40">
        <v>41378.0</v>
      </c>
      <c r="O3114" s="15" t="s">
        <v>1554</v>
      </c>
      <c r="Q3114" s="7"/>
    </row>
    <row r="3115">
      <c r="A3115" s="39" t="s">
        <v>13143</v>
      </c>
      <c r="B3115" s="15">
        <v>1167690.0</v>
      </c>
      <c r="C3115" s="15" t="s">
        <v>13144</v>
      </c>
      <c r="D3115" s="15">
        <v>196417.0</v>
      </c>
      <c r="E3115" s="15" t="s">
        <v>1638</v>
      </c>
      <c r="F3115" s="15" t="s">
        <v>1639</v>
      </c>
      <c r="G3115" s="7">
        <v>4.655</v>
      </c>
      <c r="H3115" s="15" t="s">
        <v>1983</v>
      </c>
      <c r="I3115" s="15" t="s">
        <v>1552</v>
      </c>
      <c r="J3115" s="15" t="s">
        <v>13145</v>
      </c>
      <c r="K3115" s="15">
        <v>2.0</v>
      </c>
      <c r="L3115" s="15">
        <v>2.0</v>
      </c>
      <c r="M3115" s="40">
        <v>41010.0</v>
      </c>
      <c r="N3115" s="40">
        <v>41378.0</v>
      </c>
      <c r="O3115" s="15" t="s">
        <v>1554</v>
      </c>
      <c r="Q3115" s="7"/>
    </row>
    <row r="3116">
      <c r="A3116" s="39" t="s">
        <v>13146</v>
      </c>
      <c r="B3116" s="15">
        <v>1286140.0</v>
      </c>
      <c r="C3116" s="15" t="s">
        <v>13147</v>
      </c>
      <c r="D3116" s="15">
        <v>196418.0</v>
      </c>
      <c r="E3116" s="15" t="s">
        <v>1548</v>
      </c>
      <c r="F3116" s="15" t="s">
        <v>10589</v>
      </c>
      <c r="G3116" s="7">
        <v>43301.0</v>
      </c>
      <c r="H3116" s="15" t="s">
        <v>3568</v>
      </c>
      <c r="I3116" s="15" t="s">
        <v>1560</v>
      </c>
      <c r="J3116" s="15" t="s">
        <v>13148</v>
      </c>
      <c r="K3116" s="15">
        <v>7.0</v>
      </c>
      <c r="L3116" s="15">
        <v>7.0</v>
      </c>
      <c r="M3116" s="40">
        <v>41365.0</v>
      </c>
      <c r="N3116" s="40">
        <v>41404.0</v>
      </c>
      <c r="O3116" s="15" t="s">
        <v>1554</v>
      </c>
      <c r="Q3116" s="7"/>
    </row>
    <row r="3117">
      <c r="A3117" s="39" t="s">
        <v>13150</v>
      </c>
      <c r="B3117" s="15">
        <v>1286141.0</v>
      </c>
      <c r="C3117" s="15" t="s">
        <v>13151</v>
      </c>
      <c r="D3117" s="15">
        <v>196419.0</v>
      </c>
      <c r="E3117" s="15" t="s">
        <v>1548</v>
      </c>
      <c r="F3117" s="15" t="s">
        <v>10589</v>
      </c>
      <c r="G3117" s="7">
        <v>19.979</v>
      </c>
      <c r="H3117" s="15" t="s">
        <v>2233</v>
      </c>
      <c r="I3117" s="15" t="s">
        <v>1560</v>
      </c>
      <c r="J3117" s="15" t="s">
        <v>13152</v>
      </c>
      <c r="K3117" s="15">
        <v>6.0</v>
      </c>
      <c r="L3117" s="15">
        <v>6.0</v>
      </c>
      <c r="M3117" s="40">
        <v>41365.0</v>
      </c>
      <c r="N3117" s="40">
        <v>41404.0</v>
      </c>
      <c r="O3117" s="15" t="s">
        <v>1554</v>
      </c>
      <c r="Q3117" s="7"/>
    </row>
    <row r="3118">
      <c r="A3118" s="39" t="s">
        <v>13153</v>
      </c>
      <c r="B3118" s="15">
        <v>1286142.0</v>
      </c>
      <c r="C3118" s="15" t="s">
        <v>13154</v>
      </c>
      <c r="D3118" s="15">
        <v>196420.0</v>
      </c>
      <c r="E3118" s="15" t="s">
        <v>1548</v>
      </c>
      <c r="F3118" s="15" t="s">
        <v>10589</v>
      </c>
      <c r="G3118" s="7">
        <v>20.074</v>
      </c>
      <c r="H3118" s="15" t="s">
        <v>3317</v>
      </c>
      <c r="I3118" s="15" t="s">
        <v>1560</v>
      </c>
      <c r="J3118" s="15" t="s">
        <v>13155</v>
      </c>
      <c r="K3118" s="15">
        <v>7.0</v>
      </c>
      <c r="L3118" s="15">
        <v>7.0</v>
      </c>
      <c r="M3118" s="40">
        <v>41365.0</v>
      </c>
      <c r="N3118" s="40">
        <v>41404.0</v>
      </c>
      <c r="O3118" s="15" t="s">
        <v>1554</v>
      </c>
      <c r="Q3118" s="7"/>
    </row>
    <row r="3119">
      <c r="A3119" s="39" t="s">
        <v>13156</v>
      </c>
      <c r="B3119" s="15">
        <v>1307803.0</v>
      </c>
      <c r="C3119" s="15" t="s">
        <v>13157</v>
      </c>
      <c r="D3119" s="15">
        <v>196421.0</v>
      </c>
      <c r="E3119" s="15" t="s">
        <v>1548</v>
      </c>
      <c r="F3119" s="15" t="s">
        <v>1801</v>
      </c>
      <c r="G3119" s="7">
        <v>11.197</v>
      </c>
      <c r="H3119" s="15" t="s">
        <v>4237</v>
      </c>
      <c r="I3119" s="15" t="s">
        <v>1686</v>
      </c>
      <c r="J3119" s="15" t="s">
        <v>13159</v>
      </c>
      <c r="K3119" s="15">
        <v>1.0</v>
      </c>
      <c r="L3119" s="15">
        <v>1.0</v>
      </c>
      <c r="M3119" s="40">
        <v>41364.0</v>
      </c>
      <c r="N3119" s="40">
        <v>42530.0</v>
      </c>
      <c r="O3119" s="15" t="s">
        <v>1554</v>
      </c>
      <c r="Q3119" s="7"/>
    </row>
    <row r="3120">
      <c r="A3120" s="39" t="s">
        <v>13160</v>
      </c>
      <c r="B3120" s="15">
        <v>1194757.0</v>
      </c>
      <c r="C3120" s="15" t="s">
        <v>13161</v>
      </c>
      <c r="D3120" s="15">
        <v>196432.0</v>
      </c>
      <c r="E3120" s="15" t="s">
        <v>1808</v>
      </c>
      <c r="F3120" s="15" t="s">
        <v>1998</v>
      </c>
      <c r="G3120" s="7">
        <v>2.063</v>
      </c>
      <c r="H3120" s="15" t="s">
        <v>5179</v>
      </c>
      <c r="I3120" s="15" t="s">
        <v>1686</v>
      </c>
      <c r="J3120" s="15" t="s">
        <v>13162</v>
      </c>
      <c r="K3120" s="15">
        <v>2.0</v>
      </c>
      <c r="L3120" s="15">
        <v>2.0</v>
      </c>
      <c r="M3120" s="40">
        <v>41368.0</v>
      </c>
      <c r="N3120" s="40">
        <v>41378.0</v>
      </c>
      <c r="O3120" s="15" t="s">
        <v>1554</v>
      </c>
      <c r="Q3120" s="7"/>
    </row>
    <row r="3121">
      <c r="A3121" s="39" t="s">
        <v>13163</v>
      </c>
      <c r="B3121" s="15">
        <v>328668.0</v>
      </c>
      <c r="C3121" s="15" t="s">
        <v>13164</v>
      </c>
      <c r="D3121" s="15">
        <v>196762.0</v>
      </c>
      <c r="E3121" s="15" t="s">
        <v>1659</v>
      </c>
      <c r="F3121" s="15" t="s">
        <v>13165</v>
      </c>
      <c r="G3121" s="7">
        <v>12.565</v>
      </c>
      <c r="H3121" s="15" t="s">
        <v>13167</v>
      </c>
      <c r="I3121" s="15" t="s">
        <v>1560</v>
      </c>
      <c r="J3121" s="15" t="s">
        <v>13168</v>
      </c>
      <c r="K3121" s="15">
        <v>7.0</v>
      </c>
      <c r="L3121" s="15">
        <v>7.0</v>
      </c>
      <c r="M3121" s="40">
        <v>38493.0</v>
      </c>
      <c r="N3121" s="40">
        <v>41374.0</v>
      </c>
      <c r="O3121" s="15" t="s">
        <v>1554</v>
      </c>
      <c r="Q3121" s="7"/>
    </row>
    <row r="3122">
      <c r="A3122" s="39" t="s">
        <v>13169</v>
      </c>
      <c r="B3122" s="15">
        <v>1293539.0</v>
      </c>
      <c r="C3122" s="15" t="s">
        <v>13170</v>
      </c>
      <c r="D3122" s="15">
        <v>196962.0</v>
      </c>
      <c r="E3122" s="15" t="s">
        <v>1557</v>
      </c>
      <c r="F3122" s="15" t="s">
        <v>2028</v>
      </c>
      <c r="G3122" s="7">
        <v>282.895</v>
      </c>
      <c r="H3122" s="42">
        <v>43239.0</v>
      </c>
      <c r="I3122" s="15" t="s">
        <v>1560</v>
      </c>
      <c r="J3122" s="15" t="s">
        <v>13171</v>
      </c>
      <c r="K3122" s="15">
        <v>296.0</v>
      </c>
      <c r="L3122" s="15">
        <v>296.0</v>
      </c>
      <c r="M3122" s="40">
        <v>41411.0</v>
      </c>
      <c r="N3122" s="40">
        <v>42067.0</v>
      </c>
      <c r="O3122" s="15" t="s">
        <v>1554</v>
      </c>
      <c r="Q3122" s="7"/>
    </row>
    <row r="3123">
      <c r="A3123" s="39" t="s">
        <v>13172</v>
      </c>
      <c r="B3123" s="15">
        <v>1293540.0</v>
      </c>
      <c r="C3123" s="15" t="s">
        <v>13173</v>
      </c>
      <c r="D3123" s="15">
        <v>196963.0</v>
      </c>
      <c r="E3123" s="15" t="s">
        <v>1557</v>
      </c>
      <c r="F3123" s="15" t="s">
        <v>2028</v>
      </c>
      <c r="G3123" s="7">
        <v>228.75</v>
      </c>
      <c r="H3123" s="15">
        <v>21.0</v>
      </c>
      <c r="I3123" s="15" t="s">
        <v>1560</v>
      </c>
      <c r="J3123" s="15" t="s">
        <v>13174</v>
      </c>
      <c r="K3123" s="15">
        <v>247.0</v>
      </c>
      <c r="L3123" s="15">
        <v>247.0</v>
      </c>
      <c r="M3123" s="40">
        <v>41411.0</v>
      </c>
      <c r="N3123" s="40">
        <v>42067.0</v>
      </c>
      <c r="O3123" s="15" t="s">
        <v>1554</v>
      </c>
      <c r="Q3123" s="7"/>
    </row>
    <row r="3124">
      <c r="A3124" s="39" t="s">
        <v>13175</v>
      </c>
      <c r="B3124" s="15">
        <v>10288.0</v>
      </c>
      <c r="C3124" s="15" t="s">
        <v>13176</v>
      </c>
      <c r="D3124" s="15">
        <v>196964.0</v>
      </c>
      <c r="E3124" s="15" t="s">
        <v>1557</v>
      </c>
      <c r="F3124" s="15" t="s">
        <v>2028</v>
      </c>
      <c r="G3124" s="7">
        <v>307.691</v>
      </c>
      <c r="H3124" s="42">
        <v>43300.0</v>
      </c>
      <c r="I3124" s="15" t="s">
        <v>1560</v>
      </c>
      <c r="J3124" s="15" t="s">
        <v>13177</v>
      </c>
      <c r="K3124" s="15">
        <v>334.0</v>
      </c>
      <c r="L3124" s="15">
        <v>334.0</v>
      </c>
      <c r="M3124" s="40">
        <v>41411.0</v>
      </c>
      <c r="N3124" s="40">
        <v>42067.0</v>
      </c>
      <c r="O3124" s="15" t="s">
        <v>1554</v>
      </c>
      <c r="Q3124" s="7"/>
    </row>
    <row r="3125">
      <c r="A3125" s="39" t="s">
        <v>13178</v>
      </c>
      <c r="B3125" s="15">
        <v>1293572.0</v>
      </c>
      <c r="C3125" s="15" t="s">
        <v>13179</v>
      </c>
      <c r="D3125" s="15">
        <v>196965.0</v>
      </c>
      <c r="E3125" s="15" t="s">
        <v>1557</v>
      </c>
      <c r="F3125" s="15" t="s">
        <v>2028</v>
      </c>
      <c r="G3125" s="7">
        <v>281.182</v>
      </c>
      <c r="H3125" s="42">
        <v>43300.0</v>
      </c>
      <c r="I3125" s="15" t="s">
        <v>1560</v>
      </c>
      <c r="J3125" s="15" t="s">
        <v>13180</v>
      </c>
      <c r="K3125" s="15">
        <v>306.0</v>
      </c>
      <c r="L3125" s="15">
        <v>306.0</v>
      </c>
      <c r="M3125" s="40">
        <v>41411.0</v>
      </c>
      <c r="N3125" s="40">
        <v>42067.0</v>
      </c>
      <c r="O3125" s="15" t="s">
        <v>1554</v>
      </c>
      <c r="Q3125" s="7"/>
    </row>
    <row r="3126">
      <c r="A3126" s="39" t="s">
        <v>13182</v>
      </c>
      <c r="B3126" s="15">
        <v>1312929.0</v>
      </c>
      <c r="C3126" s="15" t="s">
        <v>13183</v>
      </c>
      <c r="D3126" s="15">
        <v>196970.0</v>
      </c>
      <c r="E3126" s="15" t="s">
        <v>1548</v>
      </c>
      <c r="F3126" s="15" t="s">
        <v>1786</v>
      </c>
      <c r="G3126" s="7">
        <v>8.397</v>
      </c>
      <c r="H3126" s="15" t="s">
        <v>2023</v>
      </c>
      <c r="I3126" s="15" t="s">
        <v>1628</v>
      </c>
      <c r="J3126" s="15" t="s">
        <v>13184</v>
      </c>
      <c r="K3126" s="15">
        <v>7.0</v>
      </c>
      <c r="L3126" s="15">
        <v>7.0</v>
      </c>
      <c r="M3126" s="40">
        <v>41378.0</v>
      </c>
      <c r="N3126" s="40">
        <v>41494.0</v>
      </c>
      <c r="O3126" s="15" t="s">
        <v>1554</v>
      </c>
      <c r="Q3126" s="7"/>
    </row>
    <row r="3127">
      <c r="A3127" s="39" t="s">
        <v>13185</v>
      </c>
      <c r="B3127" s="15">
        <v>1312445.0</v>
      </c>
      <c r="C3127" s="15" t="s">
        <v>13187</v>
      </c>
      <c r="D3127" s="15">
        <v>196971.0</v>
      </c>
      <c r="E3127" s="15" t="s">
        <v>1638</v>
      </c>
      <c r="F3127" s="15" t="s">
        <v>1639</v>
      </c>
      <c r="G3127" s="7">
        <v>5.142</v>
      </c>
      <c r="H3127" s="15" t="s">
        <v>1977</v>
      </c>
      <c r="I3127" s="15" t="s">
        <v>1552</v>
      </c>
      <c r="J3127" s="15" t="s">
        <v>13188</v>
      </c>
      <c r="K3127" s="15">
        <v>2.0</v>
      </c>
      <c r="L3127" s="15">
        <v>2.0</v>
      </c>
      <c r="M3127" s="40">
        <v>41374.0</v>
      </c>
      <c r="N3127" s="40">
        <v>41949.0</v>
      </c>
      <c r="O3127" s="15" t="s">
        <v>1554</v>
      </c>
      <c r="Q3127" s="7"/>
    </row>
    <row r="3128">
      <c r="A3128" s="39" t="s">
        <v>13189</v>
      </c>
      <c r="B3128" s="15">
        <v>1213588.0</v>
      </c>
      <c r="C3128" s="15" t="s">
        <v>13190</v>
      </c>
      <c r="D3128" s="15">
        <v>196972.0</v>
      </c>
      <c r="E3128" s="15" t="s">
        <v>1916</v>
      </c>
      <c r="F3128" s="15" t="s">
        <v>1917</v>
      </c>
      <c r="G3128" s="7">
        <v>9.314</v>
      </c>
      <c r="H3128" s="15" t="s">
        <v>2885</v>
      </c>
      <c r="I3128" s="15" t="s">
        <v>1628</v>
      </c>
      <c r="J3128" s="15" t="s">
        <v>13191</v>
      </c>
      <c r="K3128" s="15">
        <v>8.0</v>
      </c>
      <c r="L3128" s="15">
        <v>8.0</v>
      </c>
      <c r="M3128" s="40">
        <v>41120.0</v>
      </c>
      <c r="N3128" s="40">
        <v>41379.0</v>
      </c>
      <c r="O3128" s="15" t="s">
        <v>1554</v>
      </c>
      <c r="Q3128" s="7"/>
    </row>
    <row r="3129">
      <c r="A3129" s="39" t="s">
        <v>13192</v>
      </c>
      <c r="B3129" s="15">
        <v>1282967.0</v>
      </c>
      <c r="C3129" s="15" t="s">
        <v>13193</v>
      </c>
      <c r="D3129" s="15">
        <v>196975.0</v>
      </c>
      <c r="E3129" s="15" t="s">
        <v>1664</v>
      </c>
      <c r="F3129" s="15" t="s">
        <v>1665</v>
      </c>
      <c r="G3129" s="7">
        <v>28.072</v>
      </c>
      <c r="H3129" s="15" t="s">
        <v>9656</v>
      </c>
      <c r="I3129" s="15" t="s">
        <v>1618</v>
      </c>
      <c r="J3129" s="15" t="s">
        <v>13194</v>
      </c>
      <c r="K3129" s="15">
        <v>49.0</v>
      </c>
      <c r="L3129" s="15">
        <v>49.0</v>
      </c>
      <c r="M3129" s="40">
        <v>41366.0</v>
      </c>
      <c r="N3129" s="40">
        <v>41379.0</v>
      </c>
      <c r="O3129" s="15" t="s">
        <v>1554</v>
      </c>
      <c r="Q3129" s="7"/>
    </row>
    <row r="3130">
      <c r="A3130" s="39" t="s">
        <v>13195</v>
      </c>
      <c r="B3130" s="15">
        <v>1305710.0</v>
      </c>
      <c r="C3130" s="15" t="s">
        <v>13196</v>
      </c>
      <c r="D3130" s="15">
        <v>197296.0</v>
      </c>
      <c r="E3130" s="15" t="s">
        <v>1557</v>
      </c>
      <c r="F3130" s="15" t="s">
        <v>1833</v>
      </c>
      <c r="G3130" s="7">
        <v>47.724</v>
      </c>
      <c r="H3130" s="15" t="s">
        <v>10292</v>
      </c>
      <c r="I3130" s="15" t="s">
        <v>1586</v>
      </c>
      <c r="J3130" s="15" t="s">
        <v>13197</v>
      </c>
      <c r="K3130" s="15">
        <v>73.0</v>
      </c>
      <c r="L3130" s="15">
        <v>73.0</v>
      </c>
      <c r="M3130" s="40">
        <v>41364.0</v>
      </c>
      <c r="N3130" s="40">
        <v>41948.0</v>
      </c>
      <c r="O3130" s="15" t="s">
        <v>1554</v>
      </c>
      <c r="Q3130" s="7"/>
    </row>
    <row r="3131">
      <c r="A3131" s="39" t="s">
        <v>13198</v>
      </c>
      <c r="B3131" s="15">
        <v>1296646.0</v>
      </c>
      <c r="C3131" s="15" t="s">
        <v>13199</v>
      </c>
      <c r="D3131" s="15">
        <v>197297.0</v>
      </c>
      <c r="E3131" s="15" t="s">
        <v>1557</v>
      </c>
      <c r="F3131" s="15" t="s">
        <v>1833</v>
      </c>
      <c r="G3131" s="7">
        <v>41.491</v>
      </c>
      <c r="H3131" s="15" t="s">
        <v>13200</v>
      </c>
      <c r="I3131" s="15" t="s">
        <v>1586</v>
      </c>
      <c r="J3131" s="15" t="s">
        <v>13201</v>
      </c>
      <c r="K3131" s="15">
        <v>66.0</v>
      </c>
      <c r="L3131" s="15">
        <v>66.0</v>
      </c>
      <c r="M3131" s="40">
        <v>41364.0</v>
      </c>
      <c r="N3131" s="40">
        <v>42446.0</v>
      </c>
      <c r="O3131" s="15" t="s">
        <v>1554</v>
      </c>
      <c r="Q3131" s="7"/>
    </row>
    <row r="3132">
      <c r="A3132" s="39" t="s">
        <v>13202</v>
      </c>
      <c r="B3132" s="15">
        <v>1204538.0</v>
      </c>
      <c r="C3132" s="15" t="s">
        <v>13203</v>
      </c>
      <c r="D3132" s="15">
        <v>197298.0</v>
      </c>
      <c r="E3132" s="15" t="s">
        <v>1557</v>
      </c>
      <c r="F3132" s="15" t="s">
        <v>1611</v>
      </c>
      <c r="G3132" s="7">
        <v>40.192</v>
      </c>
      <c r="H3132" s="15" t="s">
        <v>2033</v>
      </c>
      <c r="I3132" s="15" t="s">
        <v>1586</v>
      </c>
      <c r="J3132" s="15" t="s">
        <v>13204</v>
      </c>
      <c r="K3132" s="15">
        <v>47.0</v>
      </c>
      <c r="L3132" s="15">
        <v>47.0</v>
      </c>
      <c r="M3132" s="40">
        <v>41366.0</v>
      </c>
      <c r="N3132" s="40">
        <v>41380.0</v>
      </c>
      <c r="O3132" s="15" t="s">
        <v>1554</v>
      </c>
      <c r="Q3132" s="7"/>
    </row>
    <row r="3133">
      <c r="A3133" s="39" t="s">
        <v>13205</v>
      </c>
      <c r="B3133" s="15">
        <v>715480.0</v>
      </c>
      <c r="C3133" s="15" t="s">
        <v>13206</v>
      </c>
      <c r="D3133" s="15">
        <v>198478.0</v>
      </c>
      <c r="E3133" s="15" t="s">
        <v>1548</v>
      </c>
      <c r="F3133" s="15" t="s">
        <v>1911</v>
      </c>
      <c r="G3133" s="7">
        <v>9.718</v>
      </c>
      <c r="H3133" s="15" t="s">
        <v>2005</v>
      </c>
      <c r="I3133" s="15" t="s">
        <v>1628</v>
      </c>
      <c r="J3133" s="15" t="s">
        <v>13207</v>
      </c>
      <c r="K3133" s="15">
        <v>1.0</v>
      </c>
      <c r="L3133" s="15">
        <v>1.0</v>
      </c>
      <c r="M3133" s="40">
        <v>41379.0</v>
      </c>
      <c r="N3133" s="40">
        <v>41386.0</v>
      </c>
      <c r="O3133" s="15" t="s">
        <v>1554</v>
      </c>
      <c r="Q3133" s="7"/>
    </row>
    <row r="3134">
      <c r="A3134" s="39" t="s">
        <v>13208</v>
      </c>
      <c r="B3134" s="15">
        <v>673515.0</v>
      </c>
      <c r="C3134" s="15" t="s">
        <v>13209</v>
      </c>
      <c r="D3134" s="15">
        <v>198479.0</v>
      </c>
      <c r="E3134" s="15" t="s">
        <v>1548</v>
      </c>
      <c r="F3134" s="15" t="s">
        <v>1801</v>
      </c>
      <c r="G3134" s="7">
        <v>10.865</v>
      </c>
      <c r="H3134" s="15" t="s">
        <v>1756</v>
      </c>
      <c r="I3134" s="15" t="s">
        <v>1803</v>
      </c>
      <c r="J3134" s="15" t="s">
        <v>13210</v>
      </c>
      <c r="K3134" s="15">
        <v>1.0</v>
      </c>
      <c r="L3134" s="15">
        <v>1.0</v>
      </c>
      <c r="M3134" s="40">
        <v>41380.0</v>
      </c>
      <c r="N3134" s="40">
        <v>41694.0</v>
      </c>
      <c r="O3134" s="15" t="s">
        <v>1554</v>
      </c>
      <c r="Q3134" s="7"/>
    </row>
    <row r="3135">
      <c r="A3135" s="39" t="s">
        <v>13211</v>
      </c>
      <c r="B3135" s="15">
        <v>1291515.0</v>
      </c>
      <c r="C3135" s="15" t="s">
        <v>13212</v>
      </c>
      <c r="D3135" s="15">
        <v>198480.0</v>
      </c>
      <c r="E3135" s="15" t="s">
        <v>1808</v>
      </c>
      <c r="F3135" s="15" t="s">
        <v>1578</v>
      </c>
      <c r="G3135" s="7">
        <v>2.517</v>
      </c>
      <c r="H3135" s="15" t="s">
        <v>1818</v>
      </c>
      <c r="I3135" s="15" t="s">
        <v>1560</v>
      </c>
      <c r="J3135" s="15" t="s">
        <v>13213</v>
      </c>
      <c r="K3135" s="15">
        <v>4.0</v>
      </c>
      <c r="L3135" s="15">
        <v>4.0</v>
      </c>
      <c r="M3135" s="40">
        <v>41380.0</v>
      </c>
      <c r="N3135" s="40">
        <v>41443.0</v>
      </c>
      <c r="O3135" s="15" t="s">
        <v>1554</v>
      </c>
      <c r="Q3135" s="7"/>
    </row>
    <row r="3136">
      <c r="A3136" s="39" t="s">
        <v>13214</v>
      </c>
      <c r="B3136" s="15">
        <v>1323525.0</v>
      </c>
      <c r="C3136" s="15" t="s">
        <v>13215</v>
      </c>
      <c r="D3136" s="15">
        <v>198685.0</v>
      </c>
      <c r="E3136" s="15" t="s">
        <v>1638</v>
      </c>
      <c r="F3136" s="15" t="s">
        <v>1796</v>
      </c>
      <c r="G3136" s="7">
        <v>4.783</v>
      </c>
      <c r="H3136" s="15" t="s">
        <v>13216</v>
      </c>
      <c r="I3136" s="15" t="s">
        <v>1628</v>
      </c>
      <c r="J3136" s="15" t="s">
        <v>13217</v>
      </c>
      <c r="K3136" s="15">
        <v>2.0</v>
      </c>
      <c r="L3136" s="15">
        <v>2.0</v>
      </c>
      <c r="M3136" s="40">
        <v>41386.0</v>
      </c>
      <c r="N3136" s="40">
        <v>41515.0</v>
      </c>
      <c r="O3136" s="15" t="s">
        <v>1554</v>
      </c>
      <c r="Q3136" s="7"/>
    </row>
    <row r="3137">
      <c r="A3137" s="39" t="s">
        <v>13218</v>
      </c>
      <c r="B3137" s="15">
        <v>1323524.0</v>
      </c>
      <c r="C3137" s="15" t="s">
        <v>13219</v>
      </c>
      <c r="D3137" s="15">
        <v>198686.0</v>
      </c>
      <c r="E3137" s="15" t="s">
        <v>1638</v>
      </c>
      <c r="F3137" s="15" t="s">
        <v>1796</v>
      </c>
      <c r="G3137" s="7">
        <v>4.783</v>
      </c>
      <c r="H3137" s="15" t="s">
        <v>13220</v>
      </c>
      <c r="I3137" s="15" t="s">
        <v>1628</v>
      </c>
      <c r="J3137" s="15" t="s">
        <v>13221</v>
      </c>
      <c r="K3137" s="15">
        <v>2.0</v>
      </c>
      <c r="L3137" s="15">
        <v>2.0</v>
      </c>
      <c r="M3137" s="40">
        <v>41386.0</v>
      </c>
      <c r="N3137" s="40">
        <v>41515.0</v>
      </c>
      <c r="O3137" s="15" t="s">
        <v>1554</v>
      </c>
      <c r="Q3137" s="7"/>
    </row>
    <row r="3138">
      <c r="A3138" s="39" t="s">
        <v>13222</v>
      </c>
      <c r="B3138" s="15">
        <v>1323523.0</v>
      </c>
      <c r="C3138" s="15" t="s">
        <v>13223</v>
      </c>
      <c r="D3138" s="15">
        <v>198687.0</v>
      </c>
      <c r="E3138" s="15" t="s">
        <v>1638</v>
      </c>
      <c r="F3138" s="15" t="s">
        <v>1796</v>
      </c>
      <c r="G3138" s="7">
        <v>4.78</v>
      </c>
      <c r="H3138" s="15" t="s">
        <v>13224</v>
      </c>
      <c r="I3138" s="15" t="s">
        <v>1628</v>
      </c>
      <c r="J3138" s="15" t="s">
        <v>13225</v>
      </c>
      <c r="K3138" s="15">
        <v>2.0</v>
      </c>
      <c r="L3138" s="15">
        <v>2.0</v>
      </c>
      <c r="M3138" s="40">
        <v>41386.0</v>
      </c>
      <c r="N3138" s="40">
        <v>41515.0</v>
      </c>
      <c r="O3138" s="15" t="s">
        <v>1554</v>
      </c>
      <c r="Q3138" s="7"/>
    </row>
    <row r="3139">
      <c r="A3139" s="39" t="s">
        <v>13226</v>
      </c>
      <c r="B3139" s="15">
        <v>1323529.0</v>
      </c>
      <c r="C3139" s="15" t="s">
        <v>13227</v>
      </c>
      <c r="D3139" s="15">
        <v>198774.0</v>
      </c>
      <c r="E3139" s="15" t="s">
        <v>1638</v>
      </c>
      <c r="F3139" s="15" t="s">
        <v>1796</v>
      </c>
      <c r="G3139" s="7">
        <v>4.784</v>
      </c>
      <c r="H3139" s="15" t="s">
        <v>13228</v>
      </c>
      <c r="I3139" s="15" t="s">
        <v>1628</v>
      </c>
      <c r="J3139" s="15" t="s">
        <v>13229</v>
      </c>
      <c r="K3139" s="15">
        <v>2.0</v>
      </c>
      <c r="L3139" s="15">
        <v>2.0</v>
      </c>
      <c r="M3139" s="40">
        <v>41386.0</v>
      </c>
      <c r="N3139" s="40">
        <v>41515.0</v>
      </c>
      <c r="O3139" s="15" t="s">
        <v>1554</v>
      </c>
      <c r="Q3139" s="7"/>
    </row>
    <row r="3140">
      <c r="A3140" s="39" t="s">
        <v>13230</v>
      </c>
      <c r="B3140" s="15">
        <v>1321391.0</v>
      </c>
      <c r="C3140" s="15" t="s">
        <v>13232</v>
      </c>
      <c r="D3140" s="15">
        <v>198868.0</v>
      </c>
      <c r="E3140" s="15" t="s">
        <v>1548</v>
      </c>
      <c r="F3140" s="15" t="s">
        <v>1801</v>
      </c>
      <c r="G3140" s="7">
        <v>11.279</v>
      </c>
      <c r="H3140" s="15">
        <v>61.0</v>
      </c>
      <c r="I3140" s="15" t="s">
        <v>1686</v>
      </c>
      <c r="J3140" s="15" t="s">
        <v>13233</v>
      </c>
      <c r="K3140" s="15">
        <v>1.0</v>
      </c>
      <c r="L3140" s="15">
        <v>1.0</v>
      </c>
      <c r="M3140" s="40">
        <v>41385.0</v>
      </c>
      <c r="N3140" s="40">
        <v>42530.0</v>
      </c>
      <c r="O3140" s="15" t="s">
        <v>1554</v>
      </c>
      <c r="Q3140" s="7"/>
    </row>
    <row r="3141">
      <c r="A3141" s="39" t="s">
        <v>13234</v>
      </c>
      <c r="B3141" s="15">
        <v>1324794.0</v>
      </c>
      <c r="C3141" s="15" t="s">
        <v>13235</v>
      </c>
      <c r="D3141" s="15">
        <v>200956.0</v>
      </c>
      <c r="E3141" s="15" t="s">
        <v>1557</v>
      </c>
      <c r="F3141" s="15" t="s">
        <v>2628</v>
      </c>
      <c r="G3141" s="7">
        <v>34.391</v>
      </c>
      <c r="H3141" s="15" t="s">
        <v>1640</v>
      </c>
      <c r="I3141" s="15" t="s">
        <v>1686</v>
      </c>
      <c r="J3141" s="15" t="s">
        <v>13236</v>
      </c>
      <c r="K3141" s="15">
        <v>36.0</v>
      </c>
      <c r="L3141" s="15">
        <v>36.0</v>
      </c>
      <c r="M3141" s="40">
        <v>41393.0</v>
      </c>
      <c r="N3141" s="40">
        <v>41395.0</v>
      </c>
      <c r="O3141" s="15" t="s">
        <v>1554</v>
      </c>
      <c r="Q3141" s="7"/>
    </row>
    <row r="3142">
      <c r="A3142" s="39" t="s">
        <v>13237</v>
      </c>
      <c r="B3142" s="15">
        <v>1208587.0</v>
      </c>
      <c r="C3142" s="15" t="s">
        <v>13238</v>
      </c>
      <c r="D3142" s="15">
        <v>201027.0</v>
      </c>
      <c r="E3142" s="15" t="s">
        <v>1557</v>
      </c>
      <c r="F3142" s="15" t="s">
        <v>1833</v>
      </c>
      <c r="G3142" s="7">
        <v>58.305</v>
      </c>
      <c r="H3142" s="15" t="s">
        <v>2320</v>
      </c>
      <c r="I3142" s="15" t="s">
        <v>1586</v>
      </c>
      <c r="J3142" s="15" t="s">
        <v>13239</v>
      </c>
      <c r="K3142" s="15">
        <v>105.0</v>
      </c>
      <c r="L3142" s="15">
        <v>104.0</v>
      </c>
      <c r="M3142" s="40">
        <v>41458.0</v>
      </c>
      <c r="N3142" s="40">
        <v>41478.0</v>
      </c>
      <c r="O3142" s="15" t="s">
        <v>1554</v>
      </c>
      <c r="Q3142" s="7"/>
    </row>
    <row r="3143">
      <c r="A3143" s="39" t="s">
        <v>13240</v>
      </c>
      <c r="B3143" s="15">
        <v>243560.0</v>
      </c>
      <c r="C3143" s="15" t="s">
        <v>13241</v>
      </c>
      <c r="D3143" s="15">
        <v>202315.0</v>
      </c>
      <c r="E3143" s="15" t="s">
        <v>1548</v>
      </c>
      <c r="F3143" s="15" t="s">
        <v>1911</v>
      </c>
      <c r="G3143" s="7">
        <v>9.731</v>
      </c>
      <c r="H3143" s="15" t="s">
        <v>1849</v>
      </c>
      <c r="I3143" s="15" t="s">
        <v>1628</v>
      </c>
      <c r="J3143" s="15" t="s">
        <v>13243</v>
      </c>
      <c r="K3143" s="15">
        <v>1.0</v>
      </c>
      <c r="L3143" s="15">
        <v>1.0</v>
      </c>
      <c r="M3143" s="40">
        <v>40148.0</v>
      </c>
      <c r="N3143" s="40">
        <v>41407.0</v>
      </c>
      <c r="O3143" s="15" t="s">
        <v>1554</v>
      </c>
      <c r="Q3143" s="7"/>
    </row>
    <row r="3144">
      <c r="A3144" s="39" t="s">
        <v>13244</v>
      </c>
      <c r="B3144" s="15">
        <v>1198144.0</v>
      </c>
      <c r="C3144" s="15" t="s">
        <v>13245</v>
      </c>
      <c r="D3144" s="15">
        <v>202316.0</v>
      </c>
      <c r="E3144" s="15" t="s">
        <v>1548</v>
      </c>
      <c r="F3144" s="15" t="s">
        <v>1911</v>
      </c>
      <c r="G3144" s="7">
        <v>9.868</v>
      </c>
      <c r="H3144" s="15" t="s">
        <v>2223</v>
      </c>
      <c r="I3144" s="15" t="s">
        <v>1628</v>
      </c>
      <c r="J3144" s="15" t="s">
        <v>13246</v>
      </c>
      <c r="K3144" s="15">
        <v>1.0</v>
      </c>
      <c r="L3144" s="15">
        <v>1.0</v>
      </c>
      <c r="M3144" s="41">
        <v>41212.0</v>
      </c>
      <c r="N3144" s="40">
        <v>41407.0</v>
      </c>
      <c r="O3144" s="15" t="s">
        <v>1554</v>
      </c>
      <c r="Q3144" s="7"/>
    </row>
    <row r="3145">
      <c r="A3145" s="39" t="s">
        <v>13247</v>
      </c>
      <c r="B3145" s="15">
        <v>1150861.0</v>
      </c>
      <c r="C3145" s="15" t="s">
        <v>13248</v>
      </c>
      <c r="D3145" s="15">
        <v>201444.0</v>
      </c>
      <c r="E3145" s="15" t="s">
        <v>1548</v>
      </c>
      <c r="F3145" s="15" t="s">
        <v>1776</v>
      </c>
      <c r="G3145" s="7">
        <v>8.785</v>
      </c>
      <c r="H3145" s="15" t="s">
        <v>2118</v>
      </c>
      <c r="I3145" s="15" t="s">
        <v>1686</v>
      </c>
      <c r="J3145" s="15" t="s">
        <v>13249</v>
      </c>
      <c r="K3145" s="15">
        <v>2.0</v>
      </c>
      <c r="L3145" s="15">
        <v>2.0</v>
      </c>
      <c r="M3145" s="40">
        <v>40967.0</v>
      </c>
      <c r="N3145" s="40">
        <v>41464.0</v>
      </c>
      <c r="O3145" s="15" t="s">
        <v>1554</v>
      </c>
      <c r="Q3145" s="7"/>
    </row>
    <row r="3146">
      <c r="A3146" s="39" t="s">
        <v>13250</v>
      </c>
      <c r="B3146" s="15">
        <v>980964.0</v>
      </c>
      <c r="C3146" s="15" t="s">
        <v>13251</v>
      </c>
      <c r="D3146" s="15">
        <v>202886.0</v>
      </c>
      <c r="E3146" s="15" t="s">
        <v>1548</v>
      </c>
      <c r="F3146" s="15" t="s">
        <v>1776</v>
      </c>
      <c r="G3146" s="7">
        <v>9.075</v>
      </c>
      <c r="H3146" s="15" t="s">
        <v>3538</v>
      </c>
      <c r="I3146" s="15" t="s">
        <v>1686</v>
      </c>
      <c r="J3146" s="15" t="s">
        <v>13253</v>
      </c>
      <c r="K3146" s="15">
        <v>1.0</v>
      </c>
      <c r="L3146" s="15">
        <v>1.0</v>
      </c>
      <c r="M3146" s="40">
        <v>40578.0</v>
      </c>
      <c r="N3146" s="40">
        <v>41407.0</v>
      </c>
      <c r="O3146" s="15" t="s">
        <v>1554</v>
      </c>
      <c r="Q3146" s="7"/>
    </row>
    <row r="3147">
      <c r="A3147" s="39" t="s">
        <v>13254</v>
      </c>
      <c r="B3147" s="15">
        <v>1329650.0</v>
      </c>
      <c r="C3147" s="15" t="s">
        <v>13255</v>
      </c>
      <c r="D3147" s="15">
        <v>406967.0</v>
      </c>
      <c r="E3147" s="15" t="s">
        <v>1808</v>
      </c>
      <c r="F3147" s="15" t="s">
        <v>1998</v>
      </c>
      <c r="G3147" s="7">
        <v>2.113</v>
      </c>
      <c r="H3147" s="15" t="s">
        <v>4204</v>
      </c>
      <c r="I3147" s="15" t="s">
        <v>1686</v>
      </c>
      <c r="J3147" s="15" t="s">
        <v>13256</v>
      </c>
      <c r="K3147" s="15">
        <v>2.0</v>
      </c>
      <c r="L3147" s="15">
        <v>2.0</v>
      </c>
      <c r="M3147" s="40">
        <v>42975.0</v>
      </c>
      <c r="N3147" s="40">
        <v>42991.0</v>
      </c>
      <c r="O3147" s="15" t="s">
        <v>1554</v>
      </c>
      <c r="Q3147" s="7"/>
    </row>
    <row r="3148">
      <c r="A3148" s="39" t="s">
        <v>13257</v>
      </c>
      <c r="B3148" s="15">
        <v>1329381.0</v>
      </c>
      <c r="C3148" s="15" t="s">
        <v>13258</v>
      </c>
      <c r="D3148" s="15">
        <v>202888.0</v>
      </c>
      <c r="E3148" s="15" t="s">
        <v>1808</v>
      </c>
      <c r="F3148" s="15" t="s">
        <v>1809</v>
      </c>
      <c r="G3148" s="7">
        <v>2.744</v>
      </c>
      <c r="H3148" s="15">
        <v>43.0</v>
      </c>
      <c r="I3148" s="15" t="s">
        <v>1628</v>
      </c>
      <c r="J3148" s="15" t="s">
        <v>13260</v>
      </c>
      <c r="K3148" s="15">
        <v>6.0</v>
      </c>
      <c r="L3148" s="15">
        <v>6.0</v>
      </c>
      <c r="M3148" s="40">
        <v>41402.0</v>
      </c>
      <c r="N3148" s="40">
        <v>41498.0</v>
      </c>
      <c r="O3148" s="15" t="s">
        <v>1554</v>
      </c>
      <c r="Q3148" s="7"/>
    </row>
    <row r="3149">
      <c r="A3149" s="39" t="s">
        <v>13261</v>
      </c>
      <c r="B3149" s="15">
        <v>1329380.0</v>
      </c>
      <c r="C3149" s="15" t="s">
        <v>13262</v>
      </c>
      <c r="D3149" s="15">
        <v>202889.0</v>
      </c>
      <c r="E3149" s="15" t="s">
        <v>1808</v>
      </c>
      <c r="F3149" s="15" t="s">
        <v>1809</v>
      </c>
      <c r="G3149" s="7">
        <v>2.739</v>
      </c>
      <c r="H3149" s="15" t="s">
        <v>1912</v>
      </c>
      <c r="I3149" s="15" t="s">
        <v>1628</v>
      </c>
      <c r="J3149" s="15" t="s">
        <v>13263</v>
      </c>
      <c r="K3149" s="15">
        <v>6.0</v>
      </c>
      <c r="L3149" s="15">
        <v>6.0</v>
      </c>
      <c r="M3149" s="40">
        <v>41402.0</v>
      </c>
      <c r="N3149" s="40">
        <v>41498.0</v>
      </c>
      <c r="O3149" s="15" t="s">
        <v>1554</v>
      </c>
      <c r="Q3149" s="7"/>
    </row>
    <row r="3150">
      <c r="A3150" s="39" t="s">
        <v>13264</v>
      </c>
      <c r="B3150" s="15">
        <v>1328032.0</v>
      </c>
      <c r="C3150" s="15" t="s">
        <v>13265</v>
      </c>
      <c r="D3150" s="15">
        <v>202890.0</v>
      </c>
      <c r="E3150" s="15" t="s">
        <v>1808</v>
      </c>
      <c r="F3150" s="15" t="s">
        <v>1578</v>
      </c>
      <c r="G3150" s="7">
        <v>2.495</v>
      </c>
      <c r="H3150" s="15" t="s">
        <v>3097</v>
      </c>
      <c r="I3150" s="15" t="s">
        <v>1706</v>
      </c>
      <c r="J3150" s="15" t="s">
        <v>13266</v>
      </c>
      <c r="K3150" s="15">
        <v>2.0</v>
      </c>
      <c r="L3150" s="15">
        <v>2.0</v>
      </c>
      <c r="M3150" s="40">
        <v>41399.0</v>
      </c>
      <c r="N3150" s="41">
        <v>41568.0</v>
      </c>
      <c r="O3150" s="15" t="s">
        <v>1554</v>
      </c>
      <c r="Q3150" s="7"/>
    </row>
    <row r="3151">
      <c r="A3151" s="39" t="s">
        <v>13268</v>
      </c>
      <c r="B3151" s="15">
        <v>1328031.0</v>
      </c>
      <c r="C3151" s="15" t="s">
        <v>13269</v>
      </c>
      <c r="D3151" s="15">
        <v>202891.0</v>
      </c>
      <c r="E3151" s="15" t="s">
        <v>1808</v>
      </c>
      <c r="F3151" s="15" t="s">
        <v>1578</v>
      </c>
      <c r="G3151" s="7">
        <v>2.539</v>
      </c>
      <c r="H3151" s="15">
        <v>44.0</v>
      </c>
      <c r="I3151" s="15" t="s">
        <v>1706</v>
      </c>
      <c r="J3151" s="15" t="s">
        <v>13270</v>
      </c>
      <c r="K3151" s="15">
        <v>2.0</v>
      </c>
      <c r="L3151" s="15">
        <v>2.0</v>
      </c>
      <c r="M3151" s="40">
        <v>41399.0</v>
      </c>
      <c r="N3151" s="41">
        <v>41568.0</v>
      </c>
      <c r="O3151" s="15" t="s">
        <v>1554</v>
      </c>
      <c r="Q3151" s="7"/>
    </row>
    <row r="3152">
      <c r="A3152" s="39" t="s">
        <v>13271</v>
      </c>
      <c r="B3152" s="15">
        <v>1330520.0</v>
      </c>
      <c r="C3152" s="15" t="s">
        <v>13272</v>
      </c>
      <c r="D3152" s="15">
        <v>203090.0</v>
      </c>
      <c r="E3152" s="15" t="s">
        <v>1548</v>
      </c>
      <c r="F3152" s="15" t="s">
        <v>1776</v>
      </c>
      <c r="G3152" s="7">
        <v>7.397</v>
      </c>
      <c r="H3152" s="15" t="s">
        <v>2351</v>
      </c>
      <c r="I3152" s="15" t="s">
        <v>1686</v>
      </c>
      <c r="J3152" s="15" t="s">
        <v>13273</v>
      </c>
      <c r="K3152" s="15">
        <v>1.0</v>
      </c>
      <c r="L3152" s="15">
        <v>1.0</v>
      </c>
      <c r="M3152" s="40">
        <v>38746.0</v>
      </c>
      <c r="N3152" s="40">
        <v>41725.0</v>
      </c>
      <c r="O3152" s="15" t="s">
        <v>1554</v>
      </c>
      <c r="Q3152" s="7"/>
    </row>
    <row r="3153">
      <c r="A3153" s="39" t="s">
        <v>13274</v>
      </c>
      <c r="B3153" s="15">
        <v>172861.0</v>
      </c>
      <c r="C3153" s="15" t="s">
        <v>13275</v>
      </c>
      <c r="D3153" s="15">
        <v>203280.0</v>
      </c>
      <c r="E3153" s="15" t="s">
        <v>1557</v>
      </c>
      <c r="F3153" s="15" t="s">
        <v>2628</v>
      </c>
      <c r="G3153" s="7">
        <v>45.781</v>
      </c>
      <c r="H3153" s="15" t="s">
        <v>7049</v>
      </c>
      <c r="I3153" s="15" t="s">
        <v>1686</v>
      </c>
      <c r="J3153" s="15" t="s">
        <v>13276</v>
      </c>
      <c r="K3153" s="15">
        <v>39.0</v>
      </c>
      <c r="L3153" s="15">
        <v>39.0</v>
      </c>
      <c r="M3153" s="40">
        <v>41408.0</v>
      </c>
      <c r="N3153" s="40">
        <v>41501.0</v>
      </c>
      <c r="O3153" s="15" t="s">
        <v>1554</v>
      </c>
      <c r="Q3153" s="7"/>
    </row>
    <row r="3154">
      <c r="A3154" s="39" t="s">
        <v>13278</v>
      </c>
      <c r="B3154" s="15">
        <v>1329781.0</v>
      </c>
      <c r="C3154" s="15" t="s">
        <v>13279</v>
      </c>
      <c r="D3154" s="15">
        <v>203281.0</v>
      </c>
      <c r="E3154" s="15" t="s">
        <v>1638</v>
      </c>
      <c r="F3154" s="15" t="s">
        <v>1578</v>
      </c>
      <c r="G3154" s="7">
        <v>3.788</v>
      </c>
      <c r="H3154" s="15" t="s">
        <v>13280</v>
      </c>
      <c r="I3154" s="15" t="s">
        <v>1552</v>
      </c>
      <c r="J3154" s="15" t="s">
        <v>13281</v>
      </c>
      <c r="K3154" s="15">
        <v>3.0</v>
      </c>
      <c r="L3154" s="15">
        <v>3.0</v>
      </c>
      <c r="M3154" s="40">
        <v>41402.0</v>
      </c>
      <c r="N3154" s="41">
        <v>42306.0</v>
      </c>
      <c r="O3154" s="15" t="s">
        <v>1554</v>
      </c>
      <c r="Q3154" s="7"/>
    </row>
    <row r="3155">
      <c r="A3155" s="39" t="s">
        <v>13282</v>
      </c>
      <c r="B3155" s="15">
        <v>1219465.0</v>
      </c>
      <c r="C3155" s="15" t="s">
        <v>13283</v>
      </c>
      <c r="D3155" s="15">
        <v>203651.0</v>
      </c>
      <c r="E3155" s="15" t="s">
        <v>1548</v>
      </c>
      <c r="F3155" s="15" t="s">
        <v>5290</v>
      </c>
      <c r="G3155" s="7">
        <v>11.53</v>
      </c>
      <c r="H3155" s="15" t="s">
        <v>13284</v>
      </c>
      <c r="I3155" s="15" t="s">
        <v>1560</v>
      </c>
      <c r="J3155" s="15" t="s">
        <v>13285</v>
      </c>
      <c r="K3155" s="15">
        <v>4.0</v>
      </c>
      <c r="L3155" s="15">
        <v>4.0</v>
      </c>
      <c r="M3155" s="40">
        <v>41412.0</v>
      </c>
      <c r="N3155" s="40">
        <v>41415.0</v>
      </c>
      <c r="O3155" s="15" t="s">
        <v>1554</v>
      </c>
      <c r="Q3155" s="7"/>
    </row>
    <row r="3156">
      <c r="A3156" s="39" t="s">
        <v>13286</v>
      </c>
      <c r="B3156" s="15">
        <v>1333313.0</v>
      </c>
      <c r="C3156" s="15" t="s">
        <v>13287</v>
      </c>
      <c r="D3156" s="15">
        <v>203676.0</v>
      </c>
      <c r="E3156" s="15" t="s">
        <v>1808</v>
      </c>
      <c r="F3156" s="15" t="s">
        <v>1809</v>
      </c>
      <c r="G3156" s="7">
        <v>2.742</v>
      </c>
      <c r="H3156" s="15" t="s">
        <v>1710</v>
      </c>
      <c r="I3156" s="15" t="s">
        <v>1628</v>
      </c>
      <c r="J3156" s="15" t="s">
        <v>13289</v>
      </c>
      <c r="K3156" s="15">
        <v>7.0</v>
      </c>
      <c r="L3156" s="15">
        <v>7.0</v>
      </c>
      <c r="M3156" s="40">
        <v>41413.0</v>
      </c>
      <c r="N3156" s="40">
        <v>41415.0</v>
      </c>
      <c r="O3156" s="15" t="s">
        <v>1554</v>
      </c>
      <c r="Q3156" s="7"/>
    </row>
    <row r="3157">
      <c r="A3157" s="39" t="s">
        <v>13290</v>
      </c>
      <c r="B3157" s="15">
        <v>251749.0</v>
      </c>
      <c r="C3157" s="15" t="s">
        <v>13291</v>
      </c>
      <c r="D3157" s="15">
        <v>206023.0</v>
      </c>
      <c r="E3157" s="15" t="s">
        <v>1557</v>
      </c>
      <c r="F3157" s="15" t="s">
        <v>2763</v>
      </c>
      <c r="G3157" s="7">
        <v>459.984</v>
      </c>
      <c r="H3157" s="15">
        <v>32.0</v>
      </c>
      <c r="I3157" s="15" t="s">
        <v>1573</v>
      </c>
      <c r="J3157" s="15" t="s">
        <v>13292</v>
      </c>
      <c r="K3157" s="15">
        <v>442.0</v>
      </c>
      <c r="L3157" s="15">
        <v>434.0</v>
      </c>
      <c r="M3157" s="40">
        <v>41420.0</v>
      </c>
      <c r="N3157" s="40">
        <v>41454.0</v>
      </c>
      <c r="O3157" s="15" t="s">
        <v>1554</v>
      </c>
      <c r="Q3157" s="7"/>
    </row>
    <row r="3158">
      <c r="A3158" s="39" t="s">
        <v>13293</v>
      </c>
      <c r="B3158" s="15">
        <v>1327939.0</v>
      </c>
      <c r="C3158" s="15" t="s">
        <v>13294</v>
      </c>
      <c r="D3158" s="15">
        <v>206024.0</v>
      </c>
      <c r="E3158" s="15" t="s">
        <v>1557</v>
      </c>
      <c r="F3158" s="15" t="s">
        <v>1833</v>
      </c>
      <c r="G3158" s="7">
        <v>76.179</v>
      </c>
      <c r="H3158" s="15" t="s">
        <v>2517</v>
      </c>
      <c r="I3158" s="15" t="s">
        <v>1586</v>
      </c>
      <c r="J3158" s="15" t="s">
        <v>13296</v>
      </c>
      <c r="K3158" s="15">
        <v>148.0</v>
      </c>
      <c r="L3158" s="15">
        <v>146.0</v>
      </c>
      <c r="M3158" s="40">
        <v>41419.0</v>
      </c>
      <c r="N3158" s="40">
        <v>41470.0</v>
      </c>
      <c r="O3158" s="15" t="s">
        <v>1554</v>
      </c>
      <c r="Q3158" s="7"/>
    </row>
    <row r="3159">
      <c r="A3159" s="39" t="s">
        <v>13297</v>
      </c>
      <c r="B3159" s="15">
        <v>1327937.0</v>
      </c>
      <c r="C3159" s="15" t="s">
        <v>13298</v>
      </c>
      <c r="D3159" s="15">
        <v>206025.0</v>
      </c>
      <c r="E3159" s="15" t="s">
        <v>1557</v>
      </c>
      <c r="F3159" s="15" t="s">
        <v>1833</v>
      </c>
      <c r="G3159" s="7">
        <v>76.479</v>
      </c>
      <c r="H3159" s="15" t="s">
        <v>2517</v>
      </c>
      <c r="I3159" s="15" t="s">
        <v>1586</v>
      </c>
      <c r="J3159" s="15" t="s">
        <v>13299</v>
      </c>
      <c r="K3159" s="15">
        <v>147.0</v>
      </c>
      <c r="L3159" s="15">
        <v>145.0</v>
      </c>
      <c r="M3159" s="40">
        <v>41419.0</v>
      </c>
      <c r="N3159" s="40">
        <v>41470.0</v>
      </c>
      <c r="O3159" s="15" t="s">
        <v>1554</v>
      </c>
      <c r="Q3159" s="7"/>
    </row>
    <row r="3160">
      <c r="A3160" s="39" t="s">
        <v>13300</v>
      </c>
      <c r="B3160" s="15">
        <v>1327777.0</v>
      </c>
      <c r="C3160" s="15" t="s">
        <v>13301</v>
      </c>
      <c r="D3160" s="15">
        <v>206026.0</v>
      </c>
      <c r="E3160" s="15" t="s">
        <v>1557</v>
      </c>
      <c r="F3160" s="15" t="s">
        <v>1833</v>
      </c>
      <c r="G3160" s="7">
        <v>56.279</v>
      </c>
      <c r="H3160" s="15" t="s">
        <v>2038</v>
      </c>
      <c r="I3160" s="15" t="s">
        <v>1586</v>
      </c>
      <c r="J3160" s="15" t="s">
        <v>13302</v>
      </c>
      <c r="K3160" s="15">
        <v>99.0</v>
      </c>
      <c r="L3160" s="15">
        <v>99.0</v>
      </c>
      <c r="M3160" s="40">
        <v>41401.0</v>
      </c>
      <c r="N3160" s="40">
        <v>41470.0</v>
      </c>
      <c r="O3160" s="15" t="s">
        <v>1554</v>
      </c>
      <c r="Q3160" s="7"/>
    </row>
    <row r="3161">
      <c r="A3161" s="39" t="s">
        <v>13304</v>
      </c>
      <c r="B3161" s="15">
        <v>1327776.0</v>
      </c>
      <c r="C3161" s="15" t="s">
        <v>13305</v>
      </c>
      <c r="D3161" s="15">
        <v>206027.0</v>
      </c>
      <c r="E3161" s="15" t="s">
        <v>1557</v>
      </c>
      <c r="F3161" s="15" t="s">
        <v>1833</v>
      </c>
      <c r="G3161" s="7">
        <v>49.894</v>
      </c>
      <c r="H3161" s="15" t="s">
        <v>13306</v>
      </c>
      <c r="I3161" s="15" t="s">
        <v>1586</v>
      </c>
      <c r="J3161" s="15" t="s">
        <v>13307</v>
      </c>
      <c r="K3161" s="15">
        <v>83.0</v>
      </c>
      <c r="L3161" s="15">
        <v>80.0</v>
      </c>
      <c r="M3161" s="40">
        <v>41401.0</v>
      </c>
      <c r="N3161" s="40">
        <v>41470.0</v>
      </c>
      <c r="O3161" s="15" t="s">
        <v>1554</v>
      </c>
      <c r="Q3161" s="7"/>
    </row>
    <row r="3162">
      <c r="A3162" s="39" t="s">
        <v>13308</v>
      </c>
      <c r="B3162" s="15">
        <v>1327775.0</v>
      </c>
      <c r="D3162" s="15">
        <v>0.0</v>
      </c>
      <c r="E3162" s="15" t="s">
        <v>1557</v>
      </c>
      <c r="F3162" s="15" t="s">
        <v>1833</v>
      </c>
      <c r="G3162" s="7">
        <v>67.702</v>
      </c>
      <c r="H3162" s="15" t="s">
        <v>4308</v>
      </c>
      <c r="I3162" s="15" t="s">
        <v>1586</v>
      </c>
      <c r="J3162" s="15" t="s">
        <v>13309</v>
      </c>
      <c r="K3162" s="15">
        <v>100.0</v>
      </c>
      <c r="L3162" s="15">
        <v>100.0</v>
      </c>
      <c r="M3162" s="40">
        <v>41401.0</v>
      </c>
      <c r="N3162" s="40">
        <v>42186.0</v>
      </c>
      <c r="O3162" s="15" t="s">
        <v>1554</v>
      </c>
      <c r="Q3162" s="7"/>
    </row>
    <row r="3163">
      <c r="A3163" s="39" t="s">
        <v>13310</v>
      </c>
      <c r="B3163" s="15">
        <v>1327774.0</v>
      </c>
      <c r="C3163" s="15" t="s">
        <v>13311</v>
      </c>
      <c r="D3163" s="15">
        <v>206029.0</v>
      </c>
      <c r="E3163" s="15" t="s">
        <v>1557</v>
      </c>
      <c r="F3163" s="15" t="s">
        <v>1833</v>
      </c>
      <c r="G3163" s="7">
        <v>74.711</v>
      </c>
      <c r="H3163" s="15" t="s">
        <v>4096</v>
      </c>
      <c r="I3163" s="15" t="s">
        <v>1586</v>
      </c>
      <c r="J3163" s="15" t="s">
        <v>13312</v>
      </c>
      <c r="K3163" s="15">
        <v>143.0</v>
      </c>
      <c r="L3163" s="15">
        <v>141.0</v>
      </c>
      <c r="M3163" s="40">
        <v>41401.0</v>
      </c>
      <c r="N3163" s="40">
        <v>41470.0</v>
      </c>
      <c r="O3163" s="15" t="s">
        <v>1554</v>
      </c>
      <c r="Q3163" s="7"/>
    </row>
    <row r="3164">
      <c r="A3164" s="39" t="s">
        <v>13313</v>
      </c>
      <c r="B3164" s="15">
        <v>1327773.0</v>
      </c>
      <c r="C3164" s="15" t="s">
        <v>13315</v>
      </c>
      <c r="D3164" s="15">
        <v>206030.0</v>
      </c>
      <c r="E3164" s="15" t="s">
        <v>1557</v>
      </c>
      <c r="F3164" s="15" t="s">
        <v>1833</v>
      </c>
      <c r="G3164" s="7">
        <v>52.057</v>
      </c>
      <c r="H3164" s="15" t="s">
        <v>3542</v>
      </c>
      <c r="I3164" s="15" t="s">
        <v>1586</v>
      </c>
      <c r="J3164" s="15" t="s">
        <v>13316</v>
      </c>
      <c r="K3164" s="15">
        <v>92.0</v>
      </c>
      <c r="L3164" s="15">
        <v>92.0</v>
      </c>
      <c r="M3164" s="40">
        <v>41401.0</v>
      </c>
      <c r="N3164" s="40">
        <v>41470.0</v>
      </c>
      <c r="O3164" s="15" t="s">
        <v>1554</v>
      </c>
      <c r="Q3164" s="7"/>
    </row>
    <row r="3165">
      <c r="A3165" s="39" t="s">
        <v>13317</v>
      </c>
      <c r="B3165" s="15">
        <v>1327770.0</v>
      </c>
      <c r="C3165" s="15" t="s">
        <v>13318</v>
      </c>
      <c r="D3165" s="15">
        <v>206031.0</v>
      </c>
      <c r="E3165" s="15" t="s">
        <v>1557</v>
      </c>
      <c r="F3165" s="15" t="s">
        <v>1833</v>
      </c>
      <c r="G3165" s="7">
        <v>52.617</v>
      </c>
      <c r="H3165" s="15" t="s">
        <v>6271</v>
      </c>
      <c r="I3165" s="15" t="s">
        <v>1586</v>
      </c>
      <c r="J3165" s="15" t="s">
        <v>13319</v>
      </c>
      <c r="K3165" s="15">
        <v>84.0</v>
      </c>
      <c r="L3165" s="15">
        <v>84.0</v>
      </c>
      <c r="M3165" s="40">
        <v>41401.0</v>
      </c>
      <c r="N3165" s="40">
        <v>41470.0</v>
      </c>
      <c r="O3165" s="15" t="s">
        <v>1554</v>
      </c>
      <c r="Q3165" s="7"/>
    </row>
    <row r="3166">
      <c r="A3166" s="39" t="s">
        <v>13320</v>
      </c>
      <c r="B3166" s="15">
        <v>1327766.0</v>
      </c>
      <c r="C3166" s="15" t="s">
        <v>13321</v>
      </c>
      <c r="D3166" s="15">
        <v>206032.0</v>
      </c>
      <c r="E3166" s="15" t="s">
        <v>1557</v>
      </c>
      <c r="F3166" s="15" t="s">
        <v>1833</v>
      </c>
      <c r="G3166" s="7">
        <v>68.598</v>
      </c>
      <c r="H3166" s="15" t="s">
        <v>4308</v>
      </c>
      <c r="I3166" s="15" t="s">
        <v>1586</v>
      </c>
      <c r="J3166" s="15" t="s">
        <v>13322</v>
      </c>
      <c r="K3166" s="15">
        <v>97.0</v>
      </c>
      <c r="L3166" s="15">
        <v>97.0</v>
      </c>
      <c r="M3166" s="40">
        <v>41419.0</v>
      </c>
      <c r="N3166" s="40">
        <v>41470.0</v>
      </c>
      <c r="O3166" s="15" t="s">
        <v>1554</v>
      </c>
      <c r="Q3166" s="7"/>
    </row>
    <row r="3167">
      <c r="A3167" s="39" t="s">
        <v>13323</v>
      </c>
      <c r="B3167" s="15">
        <v>1327765.0</v>
      </c>
      <c r="C3167" s="15" t="s">
        <v>13324</v>
      </c>
      <c r="D3167" s="15">
        <v>206033.0</v>
      </c>
      <c r="E3167" s="15" t="s">
        <v>1557</v>
      </c>
      <c r="F3167" s="15" t="s">
        <v>1833</v>
      </c>
      <c r="G3167" s="7">
        <v>47.109</v>
      </c>
      <c r="H3167" s="15" t="s">
        <v>8962</v>
      </c>
      <c r="I3167" s="15" t="s">
        <v>1586</v>
      </c>
      <c r="J3167" s="15" t="s">
        <v>13325</v>
      </c>
      <c r="K3167" s="15">
        <v>77.0</v>
      </c>
      <c r="L3167" s="15">
        <v>77.0</v>
      </c>
      <c r="M3167" s="40">
        <v>41419.0</v>
      </c>
      <c r="N3167" s="40">
        <v>42752.0</v>
      </c>
      <c r="O3167" s="15" t="s">
        <v>1554</v>
      </c>
      <c r="Q3167" s="7"/>
    </row>
    <row r="3168">
      <c r="A3168" s="39" t="s">
        <v>13327</v>
      </c>
      <c r="B3168" s="15">
        <v>1327764.0</v>
      </c>
      <c r="C3168" s="15" t="s">
        <v>13328</v>
      </c>
      <c r="D3168" s="15">
        <v>206034.0</v>
      </c>
      <c r="E3168" s="15" t="s">
        <v>1557</v>
      </c>
      <c r="F3168" s="15" t="s">
        <v>1833</v>
      </c>
      <c r="G3168" s="7">
        <v>75.736</v>
      </c>
      <c r="H3168" s="15">
        <v>63.0</v>
      </c>
      <c r="I3168" s="15" t="s">
        <v>1586</v>
      </c>
      <c r="J3168" s="15" t="s">
        <v>13329</v>
      </c>
      <c r="K3168" s="15">
        <v>149.0</v>
      </c>
      <c r="L3168" s="15">
        <v>147.0</v>
      </c>
      <c r="M3168" s="40">
        <v>41419.0</v>
      </c>
      <c r="N3168" s="40">
        <v>41470.0</v>
      </c>
      <c r="O3168" s="15" t="s">
        <v>1554</v>
      </c>
      <c r="Q3168" s="7"/>
    </row>
    <row r="3169">
      <c r="A3169" s="39" t="s">
        <v>13330</v>
      </c>
      <c r="B3169" s="15">
        <v>1335768.0</v>
      </c>
      <c r="C3169" s="15" t="s">
        <v>13331</v>
      </c>
      <c r="D3169" s="15">
        <v>206466.0</v>
      </c>
      <c r="E3169" s="15" t="s">
        <v>1808</v>
      </c>
      <c r="F3169" s="15" t="s">
        <v>1809</v>
      </c>
      <c r="G3169" s="7">
        <v>2.754</v>
      </c>
      <c r="H3169" s="15" t="s">
        <v>2023</v>
      </c>
      <c r="I3169" s="15" t="s">
        <v>1628</v>
      </c>
      <c r="J3169" s="15" t="s">
        <v>13332</v>
      </c>
      <c r="K3169" s="15">
        <v>6.0</v>
      </c>
      <c r="L3169" s="15">
        <v>6.0</v>
      </c>
      <c r="M3169" s="40">
        <v>41421.0</v>
      </c>
      <c r="N3169" s="40">
        <v>41470.0</v>
      </c>
      <c r="O3169" s="15" t="s">
        <v>1554</v>
      </c>
      <c r="Q3169" s="7"/>
    </row>
    <row r="3170">
      <c r="A3170" s="39" t="s">
        <v>13333</v>
      </c>
      <c r="B3170" s="15">
        <v>1335766.0</v>
      </c>
      <c r="C3170" s="15" t="s">
        <v>13334</v>
      </c>
      <c r="D3170" s="15">
        <v>206467.0</v>
      </c>
      <c r="E3170" s="15" t="s">
        <v>2014</v>
      </c>
      <c r="F3170" s="15" t="s">
        <v>2018</v>
      </c>
      <c r="G3170" s="7">
        <v>1.224</v>
      </c>
      <c r="H3170" s="15" t="s">
        <v>1714</v>
      </c>
      <c r="I3170" s="15" t="s">
        <v>1628</v>
      </c>
      <c r="J3170" s="15" t="s">
        <v>13336</v>
      </c>
      <c r="K3170" s="15">
        <v>1.0</v>
      </c>
      <c r="L3170" s="15">
        <v>1.0</v>
      </c>
      <c r="M3170" s="40">
        <v>41421.0</v>
      </c>
      <c r="N3170" s="40">
        <v>41470.0</v>
      </c>
      <c r="O3170" s="15" t="s">
        <v>1554</v>
      </c>
      <c r="Q3170" s="7"/>
    </row>
    <row r="3171">
      <c r="A3171" s="39" t="s">
        <v>13337</v>
      </c>
      <c r="B3171" s="15">
        <v>1325963.0</v>
      </c>
      <c r="C3171" s="15" t="s">
        <v>13338</v>
      </c>
      <c r="D3171" s="15">
        <v>206468.0</v>
      </c>
      <c r="E3171" s="15" t="s">
        <v>1557</v>
      </c>
      <c r="F3171" s="15" t="s">
        <v>1833</v>
      </c>
      <c r="G3171" s="7">
        <v>21.248</v>
      </c>
      <c r="H3171" s="15" t="s">
        <v>1802</v>
      </c>
      <c r="I3171" s="15" t="s">
        <v>1586</v>
      </c>
      <c r="J3171" s="15" t="s">
        <v>13339</v>
      </c>
      <c r="K3171" s="15">
        <v>28.0</v>
      </c>
      <c r="L3171" s="15">
        <v>28.0</v>
      </c>
      <c r="M3171" s="40">
        <v>41401.0</v>
      </c>
      <c r="N3171" s="41">
        <v>41990.0</v>
      </c>
      <c r="O3171" s="15" t="s">
        <v>1554</v>
      </c>
      <c r="Q3171" s="7"/>
    </row>
    <row r="3172">
      <c r="A3172" s="39" t="s">
        <v>13340</v>
      </c>
      <c r="B3172" s="15">
        <v>1235824.0</v>
      </c>
      <c r="C3172" s="15" t="s">
        <v>13341</v>
      </c>
      <c r="D3172" s="15">
        <v>206470.0</v>
      </c>
      <c r="E3172" s="15" t="s">
        <v>1557</v>
      </c>
      <c r="F3172" s="15" t="s">
        <v>1611</v>
      </c>
      <c r="G3172" s="7">
        <v>42.185</v>
      </c>
      <c r="H3172" s="15" t="s">
        <v>2197</v>
      </c>
      <c r="I3172" s="15" t="s">
        <v>1586</v>
      </c>
      <c r="J3172" s="15" t="s">
        <v>13342</v>
      </c>
      <c r="K3172" s="15">
        <v>54.0</v>
      </c>
      <c r="L3172" s="15">
        <v>54.0</v>
      </c>
      <c r="M3172" s="40">
        <v>41414.0</v>
      </c>
      <c r="N3172" s="40">
        <v>41470.0</v>
      </c>
      <c r="O3172" s="15" t="s">
        <v>1554</v>
      </c>
      <c r="Q3172" s="7"/>
    </row>
    <row r="3173">
      <c r="A3173" s="39" t="s">
        <v>13343</v>
      </c>
      <c r="B3173" s="15">
        <v>1195071.0</v>
      </c>
      <c r="C3173" s="15" t="s">
        <v>13344</v>
      </c>
      <c r="D3173" s="15">
        <v>206472.0</v>
      </c>
      <c r="E3173" s="15" t="s">
        <v>1557</v>
      </c>
      <c r="F3173" s="15" t="s">
        <v>1833</v>
      </c>
      <c r="G3173" s="7">
        <v>41.392</v>
      </c>
      <c r="H3173" s="15" t="s">
        <v>4479</v>
      </c>
      <c r="I3173" s="15" t="s">
        <v>1586</v>
      </c>
      <c r="J3173" s="15" t="s">
        <v>13345</v>
      </c>
      <c r="K3173" s="15">
        <v>69.0</v>
      </c>
      <c r="L3173" s="15">
        <v>69.0</v>
      </c>
      <c r="M3173" s="40">
        <v>41394.0</v>
      </c>
      <c r="N3173" s="40">
        <v>41469.0</v>
      </c>
      <c r="O3173" s="15" t="s">
        <v>1554</v>
      </c>
      <c r="Q3173" s="7"/>
    </row>
    <row r="3174">
      <c r="A3174" s="39" t="s">
        <v>13346</v>
      </c>
      <c r="B3174" s="15">
        <v>1195068.0</v>
      </c>
      <c r="C3174" s="15" t="s">
        <v>13347</v>
      </c>
      <c r="D3174" s="15">
        <v>206473.0</v>
      </c>
      <c r="E3174" s="15" t="s">
        <v>1557</v>
      </c>
      <c r="F3174" s="15" t="s">
        <v>1833</v>
      </c>
      <c r="G3174" s="7">
        <v>45.242</v>
      </c>
      <c r="H3174" s="15" t="s">
        <v>3260</v>
      </c>
      <c r="I3174" s="15" t="s">
        <v>1586</v>
      </c>
      <c r="J3174" s="15" t="s">
        <v>13349</v>
      </c>
      <c r="K3174" s="15">
        <v>69.0</v>
      </c>
      <c r="L3174" s="15">
        <v>69.0</v>
      </c>
      <c r="M3174" s="40">
        <v>41394.0</v>
      </c>
      <c r="N3174" s="40">
        <v>41829.0</v>
      </c>
      <c r="O3174" s="15" t="s">
        <v>1554</v>
      </c>
      <c r="Q3174" s="7"/>
    </row>
    <row r="3175">
      <c r="A3175" s="39" t="s">
        <v>13350</v>
      </c>
      <c r="B3175" s="15">
        <v>1007869.0</v>
      </c>
      <c r="C3175" s="15" t="s">
        <v>13351</v>
      </c>
      <c r="D3175" s="15">
        <v>206474.0</v>
      </c>
      <c r="E3175" s="15" t="s">
        <v>1557</v>
      </c>
      <c r="F3175" s="15" t="s">
        <v>1767</v>
      </c>
      <c r="G3175" s="7">
        <v>142.563</v>
      </c>
      <c r="H3175" s="15" t="s">
        <v>9965</v>
      </c>
      <c r="I3175" s="15" t="s">
        <v>1586</v>
      </c>
      <c r="J3175" s="15" t="s">
        <v>13352</v>
      </c>
      <c r="K3175" s="15">
        <v>221.0</v>
      </c>
      <c r="L3175" s="15">
        <v>220.0</v>
      </c>
      <c r="M3175" s="40">
        <v>41372.0</v>
      </c>
      <c r="N3175" s="40">
        <v>41469.0</v>
      </c>
      <c r="O3175" s="15" t="s">
        <v>1554</v>
      </c>
      <c r="Q3175" s="7"/>
    </row>
    <row r="3176">
      <c r="A3176" s="39" t="s">
        <v>13353</v>
      </c>
      <c r="B3176" s="15">
        <v>1335638.0</v>
      </c>
      <c r="C3176" s="15" t="s">
        <v>13354</v>
      </c>
      <c r="D3176" s="15">
        <v>206475.0</v>
      </c>
      <c r="E3176" s="15" t="s">
        <v>13355</v>
      </c>
      <c r="F3176" s="15" t="s">
        <v>1578</v>
      </c>
      <c r="G3176" s="7">
        <v>19.527</v>
      </c>
      <c r="H3176" s="15" t="s">
        <v>6303</v>
      </c>
      <c r="I3176" s="15" t="s">
        <v>1573</v>
      </c>
      <c r="J3176" s="15" t="s">
        <v>13356</v>
      </c>
      <c r="K3176" s="15">
        <v>16.0</v>
      </c>
      <c r="L3176" s="15">
        <v>16.0</v>
      </c>
      <c r="M3176" s="40">
        <v>41420.0</v>
      </c>
      <c r="N3176" s="40">
        <v>41467.0</v>
      </c>
      <c r="O3176" s="15" t="s">
        <v>1554</v>
      </c>
      <c r="Q3176" s="7"/>
    </row>
    <row r="3177">
      <c r="A3177" s="39" t="s">
        <v>13357</v>
      </c>
      <c r="B3177" s="15">
        <v>1327948.0</v>
      </c>
      <c r="C3177" s="15" t="s">
        <v>13358</v>
      </c>
      <c r="D3177" s="15">
        <v>206476.0</v>
      </c>
      <c r="E3177" s="15" t="s">
        <v>1557</v>
      </c>
      <c r="F3177" s="15" t="s">
        <v>1833</v>
      </c>
      <c r="G3177" s="7">
        <v>51.214</v>
      </c>
      <c r="H3177" s="15" t="s">
        <v>3542</v>
      </c>
      <c r="I3177" s="15" t="s">
        <v>1586</v>
      </c>
      <c r="J3177" s="15" t="s">
        <v>13359</v>
      </c>
      <c r="K3177" s="15">
        <v>88.0</v>
      </c>
      <c r="L3177" s="15">
        <v>88.0</v>
      </c>
      <c r="M3177" s="40">
        <v>41401.0</v>
      </c>
      <c r="N3177" s="40">
        <v>41470.0</v>
      </c>
      <c r="O3177" s="15" t="s">
        <v>1554</v>
      </c>
      <c r="Q3177" s="7"/>
    </row>
    <row r="3178">
      <c r="A3178" s="39" t="s">
        <v>13360</v>
      </c>
      <c r="B3178" s="15">
        <v>1327947.0</v>
      </c>
      <c r="C3178" s="15" t="s">
        <v>13361</v>
      </c>
      <c r="D3178" s="15">
        <v>206477.0</v>
      </c>
      <c r="E3178" s="15" t="s">
        <v>1557</v>
      </c>
      <c r="F3178" s="15" t="s">
        <v>1833</v>
      </c>
      <c r="G3178" s="7">
        <v>46.639</v>
      </c>
      <c r="H3178" s="15" t="s">
        <v>3029</v>
      </c>
      <c r="I3178" s="15" t="s">
        <v>1586</v>
      </c>
      <c r="J3178" s="15" t="s">
        <v>13362</v>
      </c>
      <c r="K3178" s="15">
        <v>73.0</v>
      </c>
      <c r="L3178" s="15">
        <v>73.0</v>
      </c>
      <c r="M3178" s="40">
        <v>41401.0</v>
      </c>
      <c r="N3178" s="40">
        <v>41470.0</v>
      </c>
      <c r="O3178" s="15" t="s">
        <v>1554</v>
      </c>
      <c r="Q3178" s="7"/>
    </row>
    <row r="3179">
      <c r="A3179" s="39" t="s">
        <v>13364</v>
      </c>
      <c r="B3179" s="15">
        <v>1327938.0</v>
      </c>
      <c r="C3179" s="15" t="s">
        <v>13365</v>
      </c>
      <c r="D3179" s="15">
        <v>206478.0</v>
      </c>
      <c r="E3179" s="15" t="s">
        <v>1557</v>
      </c>
      <c r="F3179" s="15" t="s">
        <v>1767</v>
      </c>
      <c r="G3179" s="7">
        <v>156.558</v>
      </c>
      <c r="H3179" s="15" t="s">
        <v>8929</v>
      </c>
      <c r="I3179" s="15" t="s">
        <v>1586</v>
      </c>
      <c r="J3179" s="15" t="s">
        <v>13366</v>
      </c>
      <c r="K3179" s="15">
        <v>269.0</v>
      </c>
      <c r="L3179" s="15">
        <v>237.0</v>
      </c>
      <c r="M3179" s="40">
        <v>41419.0</v>
      </c>
      <c r="N3179" s="40">
        <v>41470.0</v>
      </c>
      <c r="O3179" s="15" t="s">
        <v>1554</v>
      </c>
      <c r="Q3179" s="7"/>
    </row>
    <row r="3180">
      <c r="A3180" s="39" t="s">
        <v>13367</v>
      </c>
      <c r="B3180" s="15">
        <v>1327936.0</v>
      </c>
      <c r="C3180" s="15" t="s">
        <v>13368</v>
      </c>
      <c r="D3180" s="15">
        <v>206479.0</v>
      </c>
      <c r="E3180" s="15" t="s">
        <v>1557</v>
      </c>
      <c r="F3180" s="15" t="s">
        <v>1767</v>
      </c>
      <c r="G3180" s="7">
        <v>157.482</v>
      </c>
      <c r="H3180" s="15" t="s">
        <v>3251</v>
      </c>
      <c r="I3180" s="15" t="s">
        <v>1586</v>
      </c>
      <c r="J3180" s="15" t="s">
        <v>13369</v>
      </c>
      <c r="K3180" s="15">
        <v>274.0</v>
      </c>
      <c r="L3180" s="15">
        <v>241.0</v>
      </c>
      <c r="M3180" s="40">
        <v>41419.0</v>
      </c>
      <c r="N3180" s="40">
        <v>41470.0</v>
      </c>
      <c r="O3180" s="15" t="s">
        <v>1554</v>
      </c>
      <c r="Q3180" s="7"/>
    </row>
    <row r="3181">
      <c r="A3181" s="39" t="s">
        <v>13370</v>
      </c>
      <c r="B3181" s="15">
        <v>1327762.0</v>
      </c>
      <c r="C3181" s="15" t="s">
        <v>13371</v>
      </c>
      <c r="D3181" s="15">
        <v>206480.0</v>
      </c>
      <c r="E3181" s="15" t="s">
        <v>1557</v>
      </c>
      <c r="F3181" s="15" t="s">
        <v>1767</v>
      </c>
      <c r="G3181" s="7">
        <v>154.872</v>
      </c>
      <c r="H3181" s="15" t="s">
        <v>8929</v>
      </c>
      <c r="I3181" s="15" t="s">
        <v>1586</v>
      </c>
      <c r="J3181" s="15" t="s">
        <v>13372</v>
      </c>
      <c r="K3181" s="15">
        <v>264.0</v>
      </c>
      <c r="L3181" s="15">
        <v>232.0</v>
      </c>
      <c r="M3181" s="40">
        <v>41419.0</v>
      </c>
      <c r="N3181" s="40">
        <v>41470.0</v>
      </c>
      <c r="O3181" s="15" t="s">
        <v>1554</v>
      </c>
      <c r="Q3181" s="7"/>
    </row>
    <row r="3182">
      <c r="A3182" s="39" t="s">
        <v>13373</v>
      </c>
      <c r="B3182" s="15">
        <v>1327760.0</v>
      </c>
      <c r="C3182" s="15" t="s">
        <v>13374</v>
      </c>
      <c r="D3182" s="15">
        <v>206481.0</v>
      </c>
      <c r="E3182" s="15" t="s">
        <v>1557</v>
      </c>
      <c r="F3182" s="15" t="s">
        <v>1833</v>
      </c>
      <c r="G3182" s="7">
        <v>51.077</v>
      </c>
      <c r="H3182" s="15" t="s">
        <v>13375</v>
      </c>
      <c r="I3182" s="15" t="s">
        <v>1586</v>
      </c>
      <c r="J3182" s="15" t="s">
        <v>13376</v>
      </c>
      <c r="K3182" s="15">
        <v>76.0</v>
      </c>
      <c r="L3182" s="15">
        <v>76.0</v>
      </c>
      <c r="M3182" s="40">
        <v>41419.0</v>
      </c>
      <c r="N3182" s="40">
        <v>41584.0</v>
      </c>
      <c r="O3182" s="15" t="s">
        <v>1554</v>
      </c>
      <c r="Q3182" s="7"/>
    </row>
    <row r="3183">
      <c r="A3183" s="39" t="s">
        <v>13377</v>
      </c>
      <c r="B3183" s="15">
        <v>1327036.0</v>
      </c>
      <c r="C3183" s="15" t="s">
        <v>13378</v>
      </c>
      <c r="D3183" s="15">
        <v>206482.0</v>
      </c>
      <c r="E3183" s="15" t="s">
        <v>1557</v>
      </c>
      <c r="F3183" s="15" t="s">
        <v>1833</v>
      </c>
      <c r="G3183" s="7">
        <v>53.359</v>
      </c>
      <c r="H3183" s="15">
        <v>61.0</v>
      </c>
      <c r="I3183" s="15" t="s">
        <v>1586</v>
      </c>
      <c r="J3183" s="15" t="s">
        <v>13380</v>
      </c>
      <c r="K3183" s="15">
        <v>83.0</v>
      </c>
      <c r="L3183" s="15">
        <v>83.0</v>
      </c>
      <c r="M3183" s="40">
        <v>41401.0</v>
      </c>
      <c r="N3183" s="40">
        <v>41470.0</v>
      </c>
      <c r="O3183" s="15" t="s">
        <v>1554</v>
      </c>
      <c r="Q3183" s="7"/>
    </row>
    <row r="3184">
      <c r="A3184" s="39" t="s">
        <v>13381</v>
      </c>
      <c r="B3184" s="15">
        <v>1327035.0</v>
      </c>
      <c r="C3184" s="15" t="s">
        <v>13382</v>
      </c>
      <c r="D3184" s="15">
        <v>206483.0</v>
      </c>
      <c r="E3184" s="15" t="s">
        <v>1557</v>
      </c>
      <c r="F3184" s="15" t="s">
        <v>1833</v>
      </c>
      <c r="G3184" s="7">
        <v>53.369</v>
      </c>
      <c r="H3184" s="15" t="s">
        <v>3542</v>
      </c>
      <c r="I3184" s="15" t="s">
        <v>1586</v>
      </c>
      <c r="J3184" s="15" t="s">
        <v>13383</v>
      </c>
      <c r="K3184" s="15">
        <v>98.0</v>
      </c>
      <c r="L3184" s="15">
        <v>97.0</v>
      </c>
      <c r="M3184" s="40">
        <v>41401.0</v>
      </c>
      <c r="N3184" s="40">
        <v>41470.0</v>
      </c>
      <c r="O3184" s="15" t="s">
        <v>1554</v>
      </c>
      <c r="Q3184" s="7"/>
    </row>
    <row r="3185">
      <c r="A3185" s="39" t="s">
        <v>13384</v>
      </c>
      <c r="B3185" s="15">
        <v>1315956.0</v>
      </c>
      <c r="C3185" s="15" t="s">
        <v>13385</v>
      </c>
      <c r="D3185" s="15">
        <v>206484.0</v>
      </c>
      <c r="E3185" s="15" t="s">
        <v>1557</v>
      </c>
      <c r="F3185" s="15" t="s">
        <v>1833</v>
      </c>
      <c r="G3185" s="7">
        <v>51.821</v>
      </c>
      <c r="H3185" s="15">
        <v>44.0</v>
      </c>
      <c r="I3185" s="15" t="s">
        <v>1586</v>
      </c>
      <c r="J3185" s="15" t="s">
        <v>13386</v>
      </c>
      <c r="K3185" s="15">
        <v>94.0</v>
      </c>
      <c r="L3185" s="15">
        <v>94.0</v>
      </c>
      <c r="M3185" s="40">
        <v>41374.0</v>
      </c>
      <c r="N3185" s="41">
        <v>41621.0</v>
      </c>
      <c r="O3185" s="15" t="s">
        <v>1554</v>
      </c>
      <c r="Q3185" s="7"/>
    </row>
    <row r="3186">
      <c r="A3186" s="39" t="s">
        <v>13387</v>
      </c>
      <c r="B3186" s="15">
        <v>1309583.0</v>
      </c>
      <c r="C3186" s="15" t="s">
        <v>13388</v>
      </c>
      <c r="D3186" s="15">
        <v>206485.0</v>
      </c>
      <c r="E3186" s="15" t="s">
        <v>1557</v>
      </c>
      <c r="F3186" s="15" t="s">
        <v>1611</v>
      </c>
      <c r="G3186" s="7">
        <v>27.19</v>
      </c>
      <c r="H3186" s="42">
        <v>43311.0</v>
      </c>
      <c r="I3186" s="15" t="s">
        <v>1586</v>
      </c>
      <c r="J3186" s="15" t="s">
        <v>13389</v>
      </c>
      <c r="K3186" s="15">
        <v>42.0</v>
      </c>
      <c r="L3186" s="15">
        <v>42.0</v>
      </c>
      <c r="M3186" s="40">
        <v>41364.0</v>
      </c>
      <c r="N3186" s="40">
        <v>41482.0</v>
      </c>
      <c r="O3186" s="15" t="s">
        <v>1554</v>
      </c>
      <c r="Q3186" s="7"/>
    </row>
    <row r="3187">
      <c r="A3187" s="39" t="s">
        <v>13390</v>
      </c>
      <c r="B3187" s="15">
        <v>1307804.0</v>
      </c>
      <c r="C3187" s="15" t="s">
        <v>13391</v>
      </c>
      <c r="D3187" s="15">
        <v>206486.0</v>
      </c>
      <c r="E3187" s="15" t="s">
        <v>1557</v>
      </c>
      <c r="F3187" s="15" t="s">
        <v>1767</v>
      </c>
      <c r="G3187" s="7">
        <v>176.227</v>
      </c>
      <c r="H3187" s="15" t="s">
        <v>1943</v>
      </c>
      <c r="I3187" s="15" t="s">
        <v>1586</v>
      </c>
      <c r="J3187" s="15" t="s">
        <v>13392</v>
      </c>
      <c r="K3187" s="15">
        <v>274.0</v>
      </c>
      <c r="L3187" s="15">
        <v>273.0</v>
      </c>
      <c r="M3187" s="40">
        <v>41384.0</v>
      </c>
      <c r="N3187" s="41">
        <v>41627.0</v>
      </c>
      <c r="O3187" s="15" t="s">
        <v>1554</v>
      </c>
      <c r="Q3187" s="7"/>
    </row>
    <row r="3188">
      <c r="A3188" s="39" t="s">
        <v>13394</v>
      </c>
      <c r="B3188" s="15">
        <v>1305708.0</v>
      </c>
      <c r="C3188" s="15" t="s">
        <v>13395</v>
      </c>
      <c r="D3188" s="15">
        <v>206487.0</v>
      </c>
      <c r="E3188" s="15" t="s">
        <v>1557</v>
      </c>
      <c r="F3188" s="15" t="s">
        <v>1833</v>
      </c>
      <c r="G3188" s="7">
        <v>39.108</v>
      </c>
      <c r="H3188" s="42">
        <v>43128.0</v>
      </c>
      <c r="I3188" s="15" t="s">
        <v>1586</v>
      </c>
      <c r="J3188" s="15" t="s">
        <v>13396</v>
      </c>
      <c r="K3188" s="15">
        <v>50.0</v>
      </c>
      <c r="L3188" s="15">
        <v>50.0</v>
      </c>
      <c r="M3188" s="40">
        <v>41385.0</v>
      </c>
      <c r="N3188" s="40">
        <v>41516.0</v>
      </c>
      <c r="O3188" s="15" t="s">
        <v>1554</v>
      </c>
      <c r="Q3188" s="7"/>
    </row>
    <row r="3189">
      <c r="A3189" s="39" t="s">
        <v>13397</v>
      </c>
      <c r="B3189" s="15">
        <v>1282994.0</v>
      </c>
      <c r="C3189" s="15" t="s">
        <v>13398</v>
      </c>
      <c r="D3189" s="15">
        <v>206488.0</v>
      </c>
      <c r="E3189" s="15" t="s">
        <v>1557</v>
      </c>
      <c r="F3189" s="15" t="s">
        <v>1767</v>
      </c>
      <c r="G3189" s="7">
        <v>35.43</v>
      </c>
      <c r="H3189" s="15" t="s">
        <v>13399</v>
      </c>
      <c r="I3189" s="15" t="s">
        <v>1586</v>
      </c>
      <c r="J3189" s="15" t="s">
        <v>13400</v>
      </c>
      <c r="K3189" s="15">
        <v>49.0</v>
      </c>
      <c r="L3189" s="15">
        <v>49.0</v>
      </c>
      <c r="M3189" s="40">
        <v>41401.0</v>
      </c>
      <c r="N3189" s="40">
        <v>41470.0</v>
      </c>
      <c r="O3189" s="15" t="s">
        <v>1554</v>
      </c>
      <c r="Q3189" s="7"/>
    </row>
    <row r="3190">
      <c r="A3190" s="39" t="s">
        <v>13401</v>
      </c>
      <c r="B3190" s="15">
        <v>1277672.0</v>
      </c>
      <c r="C3190" s="15" t="s">
        <v>13402</v>
      </c>
      <c r="D3190" s="15">
        <v>206489.0</v>
      </c>
      <c r="E3190" s="15" t="s">
        <v>1557</v>
      </c>
      <c r="F3190" s="15" t="s">
        <v>1833</v>
      </c>
      <c r="G3190" s="7">
        <v>45.572</v>
      </c>
      <c r="H3190" s="15" t="s">
        <v>3862</v>
      </c>
      <c r="I3190" s="15" t="s">
        <v>1586</v>
      </c>
      <c r="J3190" s="15" t="s">
        <v>13403</v>
      </c>
      <c r="K3190" s="15">
        <v>62.0</v>
      </c>
      <c r="L3190" s="15">
        <v>62.0</v>
      </c>
      <c r="M3190" s="40">
        <v>41394.0</v>
      </c>
      <c r="N3190" s="40">
        <v>41470.0</v>
      </c>
      <c r="O3190" s="15" t="s">
        <v>1554</v>
      </c>
      <c r="Q3190" s="7"/>
    </row>
    <row r="3191">
      <c r="A3191" s="39" t="s">
        <v>13404</v>
      </c>
      <c r="B3191" s="15">
        <v>1273755.0</v>
      </c>
      <c r="C3191" s="15" t="s">
        <v>13405</v>
      </c>
      <c r="D3191" s="15">
        <v>206490.0</v>
      </c>
      <c r="E3191" s="15" t="s">
        <v>1557</v>
      </c>
      <c r="F3191" s="15" t="s">
        <v>1578</v>
      </c>
      <c r="G3191" s="7">
        <v>74.519</v>
      </c>
      <c r="H3191" s="15" t="s">
        <v>4614</v>
      </c>
      <c r="I3191" s="15" t="s">
        <v>1618</v>
      </c>
      <c r="J3191" s="15" t="s">
        <v>13406</v>
      </c>
      <c r="K3191" s="15">
        <v>128.0</v>
      </c>
      <c r="L3191" s="15">
        <v>124.0</v>
      </c>
      <c r="M3191" s="40">
        <v>41425.0</v>
      </c>
      <c r="N3191" s="40">
        <v>41470.0</v>
      </c>
      <c r="O3191" s="15" t="s">
        <v>1554</v>
      </c>
      <c r="Q3191" s="7"/>
    </row>
    <row r="3192">
      <c r="A3192" s="39" t="s">
        <v>13408</v>
      </c>
      <c r="B3192" s="15">
        <v>1273754.0</v>
      </c>
      <c r="C3192" s="15" t="s">
        <v>13409</v>
      </c>
      <c r="D3192" s="15">
        <v>206491.0</v>
      </c>
      <c r="E3192" s="15" t="s">
        <v>1557</v>
      </c>
      <c r="F3192" s="15" t="s">
        <v>1578</v>
      </c>
      <c r="G3192" s="7">
        <v>69.048</v>
      </c>
      <c r="H3192" s="15" t="s">
        <v>8179</v>
      </c>
      <c r="I3192" s="15" t="s">
        <v>1618</v>
      </c>
      <c r="J3192" s="15" t="s">
        <v>13410</v>
      </c>
      <c r="K3192" s="15">
        <v>106.0</v>
      </c>
      <c r="L3192" s="15">
        <v>105.0</v>
      </c>
      <c r="M3192" s="40">
        <v>41425.0</v>
      </c>
      <c r="N3192" s="40">
        <v>41470.0</v>
      </c>
      <c r="O3192" s="15" t="s">
        <v>1554</v>
      </c>
      <c r="Q3192" s="7"/>
    </row>
    <row r="3193">
      <c r="A3193" s="39" t="s">
        <v>13411</v>
      </c>
      <c r="B3193" s="15">
        <v>1273753.0</v>
      </c>
      <c r="C3193" s="15" t="s">
        <v>13412</v>
      </c>
      <c r="D3193" s="15">
        <v>206492.0</v>
      </c>
      <c r="E3193" s="15" t="s">
        <v>1557</v>
      </c>
      <c r="F3193" s="15" t="s">
        <v>1578</v>
      </c>
      <c r="G3193" s="7">
        <v>76.134</v>
      </c>
      <c r="H3193" s="15" t="s">
        <v>2131</v>
      </c>
      <c r="I3193" s="15" t="s">
        <v>1618</v>
      </c>
      <c r="J3193" s="15" t="s">
        <v>13413</v>
      </c>
      <c r="K3193" s="15">
        <v>122.0</v>
      </c>
      <c r="L3193" s="15">
        <v>118.0</v>
      </c>
      <c r="M3193" s="40">
        <v>41425.0</v>
      </c>
      <c r="N3193" s="40">
        <v>41470.0</v>
      </c>
      <c r="O3193" s="15" t="s">
        <v>1554</v>
      </c>
      <c r="Q3193" s="7"/>
    </row>
    <row r="3194">
      <c r="A3194" s="39" t="s">
        <v>13414</v>
      </c>
      <c r="B3194" s="15">
        <v>1273752.0</v>
      </c>
      <c r="C3194" s="15" t="s">
        <v>13415</v>
      </c>
      <c r="D3194" s="15">
        <v>206493.0</v>
      </c>
      <c r="E3194" s="15" t="s">
        <v>1557</v>
      </c>
      <c r="F3194" s="15" t="s">
        <v>1578</v>
      </c>
      <c r="G3194" s="7">
        <v>35.722</v>
      </c>
      <c r="H3194" s="15" t="s">
        <v>10654</v>
      </c>
      <c r="I3194" s="15" t="s">
        <v>1618</v>
      </c>
      <c r="J3194" s="15" t="s">
        <v>13416</v>
      </c>
      <c r="K3194" s="15">
        <v>73.0</v>
      </c>
      <c r="L3194" s="15">
        <v>73.0</v>
      </c>
      <c r="M3194" s="40">
        <v>41425.0</v>
      </c>
      <c r="N3194" s="40">
        <v>41470.0</v>
      </c>
      <c r="O3194" s="15" t="s">
        <v>1554</v>
      </c>
      <c r="Q3194" s="7"/>
    </row>
    <row r="3195">
      <c r="A3195" s="39" t="s">
        <v>13417</v>
      </c>
      <c r="B3195" s="15">
        <v>1273751.0</v>
      </c>
      <c r="C3195" s="15" t="s">
        <v>13418</v>
      </c>
      <c r="D3195" s="15">
        <v>206494.0</v>
      </c>
      <c r="E3195" s="15" t="s">
        <v>1557</v>
      </c>
      <c r="F3195" s="15" t="s">
        <v>1578</v>
      </c>
      <c r="G3195" s="7">
        <v>52.643</v>
      </c>
      <c r="H3195" s="15" t="s">
        <v>6615</v>
      </c>
      <c r="I3195" s="15" t="s">
        <v>1618</v>
      </c>
      <c r="J3195" s="15" t="s">
        <v>13419</v>
      </c>
      <c r="K3195" s="15">
        <v>88.0</v>
      </c>
      <c r="L3195" s="15">
        <v>88.0</v>
      </c>
      <c r="M3195" s="40">
        <v>41425.0</v>
      </c>
      <c r="N3195" s="40">
        <v>41470.0</v>
      </c>
      <c r="O3195" s="15" t="s">
        <v>1554</v>
      </c>
      <c r="Q3195" s="7"/>
    </row>
    <row r="3196">
      <c r="A3196" s="39" t="s">
        <v>13420</v>
      </c>
      <c r="B3196" s="15">
        <v>1273750.0</v>
      </c>
      <c r="C3196" s="15" t="s">
        <v>13421</v>
      </c>
      <c r="D3196" s="15">
        <v>206495.0</v>
      </c>
      <c r="E3196" s="15" t="s">
        <v>1557</v>
      </c>
      <c r="F3196" s="15" t="s">
        <v>1578</v>
      </c>
      <c r="G3196" s="7">
        <v>49.107</v>
      </c>
      <c r="H3196" s="15" t="s">
        <v>7049</v>
      </c>
      <c r="I3196" s="15" t="s">
        <v>1618</v>
      </c>
      <c r="J3196" s="15" t="s">
        <v>13423</v>
      </c>
      <c r="K3196" s="15">
        <v>74.0</v>
      </c>
      <c r="L3196" s="15">
        <v>74.0</v>
      </c>
      <c r="M3196" s="40">
        <v>41425.0</v>
      </c>
      <c r="N3196" s="40">
        <v>41470.0</v>
      </c>
      <c r="O3196" s="15" t="s">
        <v>1554</v>
      </c>
      <c r="Q3196" s="7"/>
    </row>
    <row r="3197">
      <c r="A3197" s="39" t="s">
        <v>13424</v>
      </c>
      <c r="B3197" s="15">
        <v>1273749.0</v>
      </c>
      <c r="C3197" s="15" t="s">
        <v>13425</v>
      </c>
      <c r="D3197" s="15">
        <v>206496.0</v>
      </c>
      <c r="E3197" s="15" t="s">
        <v>1557</v>
      </c>
      <c r="F3197" s="15" t="s">
        <v>1578</v>
      </c>
      <c r="G3197" s="7">
        <v>143.855</v>
      </c>
      <c r="H3197" s="15" t="s">
        <v>1750</v>
      </c>
      <c r="I3197" s="15" t="s">
        <v>1618</v>
      </c>
      <c r="J3197" s="15" t="s">
        <v>13426</v>
      </c>
      <c r="K3197" s="15">
        <v>317.0</v>
      </c>
      <c r="L3197" s="15">
        <v>281.0</v>
      </c>
      <c r="M3197" s="40">
        <v>41425.0</v>
      </c>
      <c r="N3197" s="40">
        <v>41470.0</v>
      </c>
      <c r="O3197" s="15" t="s">
        <v>1554</v>
      </c>
      <c r="Q3197" s="7"/>
    </row>
    <row r="3198">
      <c r="A3198" s="39" t="s">
        <v>13427</v>
      </c>
      <c r="B3198" s="15">
        <v>1273748.0</v>
      </c>
      <c r="C3198" s="15" t="s">
        <v>13428</v>
      </c>
      <c r="D3198" s="15">
        <v>206497.0</v>
      </c>
      <c r="E3198" s="15" t="s">
        <v>1557</v>
      </c>
      <c r="F3198" s="15" t="s">
        <v>1578</v>
      </c>
      <c r="G3198" s="7">
        <v>102.105</v>
      </c>
      <c r="H3198" s="15" t="s">
        <v>13429</v>
      </c>
      <c r="I3198" s="15" t="s">
        <v>1618</v>
      </c>
      <c r="J3198" s="15" t="s">
        <v>13430</v>
      </c>
      <c r="K3198" s="15">
        <v>167.0</v>
      </c>
      <c r="L3198" s="15">
        <v>166.0</v>
      </c>
      <c r="M3198" s="40">
        <v>41425.0</v>
      </c>
      <c r="N3198" s="40">
        <v>41470.0</v>
      </c>
      <c r="O3198" s="15" t="s">
        <v>1554</v>
      </c>
      <c r="Q3198" s="7"/>
    </row>
    <row r="3199">
      <c r="A3199" s="39" t="s">
        <v>13431</v>
      </c>
      <c r="B3199" s="15">
        <v>1273747.0</v>
      </c>
      <c r="C3199" s="15" t="s">
        <v>13432</v>
      </c>
      <c r="D3199" s="15">
        <v>206498.0</v>
      </c>
      <c r="E3199" s="15" t="s">
        <v>1557</v>
      </c>
      <c r="F3199" s="15" t="s">
        <v>1578</v>
      </c>
      <c r="G3199" s="7">
        <v>54.291</v>
      </c>
      <c r="H3199" s="15" t="s">
        <v>3657</v>
      </c>
      <c r="I3199" s="15" t="s">
        <v>1618</v>
      </c>
      <c r="J3199" s="15" t="s">
        <v>13433</v>
      </c>
      <c r="K3199" s="15">
        <v>86.0</v>
      </c>
      <c r="L3199" s="15">
        <v>86.0</v>
      </c>
      <c r="M3199" s="40">
        <v>41425.0</v>
      </c>
      <c r="N3199" s="40">
        <v>41470.0</v>
      </c>
      <c r="O3199" s="15" t="s">
        <v>1554</v>
      </c>
      <c r="Q3199" s="7"/>
    </row>
    <row r="3200">
      <c r="A3200" s="39" t="s">
        <v>13434</v>
      </c>
      <c r="B3200" s="15">
        <v>1273746.0</v>
      </c>
      <c r="C3200" s="15" t="s">
        <v>13435</v>
      </c>
      <c r="D3200" s="15">
        <v>206499.0</v>
      </c>
      <c r="E3200" s="15" t="s">
        <v>1557</v>
      </c>
      <c r="F3200" s="15" t="s">
        <v>1578</v>
      </c>
      <c r="G3200" s="7">
        <v>103.257</v>
      </c>
      <c r="H3200" s="15">
        <v>57.0</v>
      </c>
      <c r="I3200" s="15" t="s">
        <v>1618</v>
      </c>
      <c r="J3200" s="15" t="s">
        <v>13436</v>
      </c>
      <c r="K3200" s="15">
        <v>161.0</v>
      </c>
      <c r="L3200" s="15">
        <v>160.0</v>
      </c>
      <c r="M3200" s="40">
        <v>41425.0</v>
      </c>
      <c r="N3200" s="40">
        <v>41470.0</v>
      </c>
      <c r="O3200" s="15" t="s">
        <v>1554</v>
      </c>
      <c r="Q3200" s="7"/>
    </row>
    <row r="3201">
      <c r="A3201" s="39" t="s">
        <v>13437</v>
      </c>
      <c r="B3201" s="15">
        <v>1273713.0</v>
      </c>
      <c r="C3201" s="15" t="s">
        <v>13438</v>
      </c>
      <c r="D3201" s="15">
        <v>206500.0</v>
      </c>
      <c r="E3201" s="15" t="s">
        <v>1557</v>
      </c>
      <c r="F3201" s="15" t="s">
        <v>1611</v>
      </c>
      <c r="G3201" s="7">
        <v>31.185</v>
      </c>
      <c r="H3201" s="15" t="s">
        <v>2197</v>
      </c>
      <c r="I3201" s="15" t="s">
        <v>1586</v>
      </c>
      <c r="J3201" s="15" t="s">
        <v>13439</v>
      </c>
      <c r="K3201" s="15">
        <v>29.0</v>
      </c>
      <c r="L3201" s="15">
        <v>29.0</v>
      </c>
      <c r="M3201" s="40">
        <v>41290.0</v>
      </c>
      <c r="N3201" s="40">
        <v>42374.0</v>
      </c>
      <c r="O3201" s="15" t="s">
        <v>1554</v>
      </c>
      <c r="Q3201" s="7"/>
    </row>
    <row r="3202">
      <c r="A3202" s="39" t="s">
        <v>13441</v>
      </c>
      <c r="B3202" s="15">
        <v>1327763.0</v>
      </c>
      <c r="D3202" s="15">
        <v>0.0</v>
      </c>
      <c r="E3202" s="15" t="s">
        <v>1557</v>
      </c>
      <c r="F3202" s="15" t="s">
        <v>1833</v>
      </c>
      <c r="G3202" s="7">
        <v>76.652</v>
      </c>
      <c r="H3202" s="15" t="s">
        <v>3227</v>
      </c>
      <c r="I3202" s="15" t="s">
        <v>1586</v>
      </c>
      <c r="J3202" s="15" t="s">
        <v>13442</v>
      </c>
      <c r="K3202" s="15">
        <v>144.0</v>
      </c>
      <c r="L3202" s="15">
        <v>132.0</v>
      </c>
      <c r="M3202" s="40">
        <v>41419.0</v>
      </c>
      <c r="N3202" s="40">
        <v>41419.0</v>
      </c>
      <c r="O3202" s="15" t="s">
        <v>1554</v>
      </c>
      <c r="Q3202" s="7"/>
    </row>
    <row r="3203">
      <c r="A3203" s="39" t="s">
        <v>13443</v>
      </c>
      <c r="B3203" s="15">
        <v>1327759.0</v>
      </c>
      <c r="C3203" s="15" t="s">
        <v>13444</v>
      </c>
      <c r="D3203" s="15">
        <v>206036.0</v>
      </c>
      <c r="E3203" s="15" t="s">
        <v>1557</v>
      </c>
      <c r="F3203" s="15" t="s">
        <v>1833</v>
      </c>
      <c r="G3203" s="7">
        <v>51.552</v>
      </c>
      <c r="H3203" s="15" t="s">
        <v>13375</v>
      </c>
      <c r="I3203" s="15" t="s">
        <v>1586</v>
      </c>
      <c r="J3203" s="15" t="s">
        <v>13445</v>
      </c>
      <c r="K3203" s="15">
        <v>77.0</v>
      </c>
      <c r="L3203" s="15">
        <v>77.0</v>
      </c>
      <c r="M3203" s="40">
        <v>41419.0</v>
      </c>
      <c r="N3203" s="40">
        <v>41584.0</v>
      </c>
      <c r="O3203" s="15" t="s">
        <v>1554</v>
      </c>
      <c r="Q3203" s="7"/>
    </row>
    <row r="3204">
      <c r="A3204" s="39" t="s">
        <v>13446</v>
      </c>
      <c r="B3204" s="15">
        <v>1327758.0</v>
      </c>
      <c r="C3204" s="15" t="s">
        <v>13447</v>
      </c>
      <c r="D3204" s="15">
        <v>206037.0</v>
      </c>
      <c r="E3204" s="15" t="s">
        <v>1557</v>
      </c>
      <c r="F3204" s="15" t="s">
        <v>1833</v>
      </c>
      <c r="G3204" s="7">
        <v>51.252</v>
      </c>
      <c r="H3204" s="15" t="s">
        <v>13200</v>
      </c>
      <c r="I3204" s="15" t="s">
        <v>1586</v>
      </c>
      <c r="J3204" s="15" t="s">
        <v>13448</v>
      </c>
      <c r="K3204" s="15">
        <v>75.0</v>
      </c>
      <c r="L3204" s="15">
        <v>75.0</v>
      </c>
      <c r="M3204" s="40">
        <v>41419.0</v>
      </c>
      <c r="N3204" s="40">
        <v>41584.0</v>
      </c>
      <c r="O3204" s="15" t="s">
        <v>1554</v>
      </c>
      <c r="Q3204" s="7"/>
    </row>
    <row r="3205">
      <c r="A3205" s="39" t="s">
        <v>13449</v>
      </c>
      <c r="B3205" s="15">
        <v>1325953.0</v>
      </c>
      <c r="C3205" s="15" t="s">
        <v>13451</v>
      </c>
      <c r="D3205" s="15">
        <v>206038.0</v>
      </c>
      <c r="E3205" s="15" t="s">
        <v>1557</v>
      </c>
      <c r="F3205" s="15" t="s">
        <v>1833</v>
      </c>
      <c r="G3205" s="7">
        <v>80.955</v>
      </c>
      <c r="H3205" s="15" t="s">
        <v>2038</v>
      </c>
      <c r="I3205" s="15" t="s">
        <v>1586</v>
      </c>
      <c r="J3205" s="15" t="s">
        <v>13452</v>
      </c>
      <c r="K3205" s="15">
        <v>159.0</v>
      </c>
      <c r="L3205" s="15">
        <v>138.0</v>
      </c>
      <c r="M3205" s="40">
        <v>41419.0</v>
      </c>
      <c r="N3205" s="40">
        <v>42872.0</v>
      </c>
      <c r="O3205" s="15" t="s">
        <v>1554</v>
      </c>
      <c r="Q3205" s="7"/>
    </row>
    <row r="3206">
      <c r="A3206" s="39" t="s">
        <v>13453</v>
      </c>
      <c r="B3206" s="15">
        <v>1316739.0</v>
      </c>
      <c r="C3206" s="15" t="s">
        <v>13454</v>
      </c>
      <c r="D3206" s="15">
        <v>206039.0</v>
      </c>
      <c r="E3206" s="15" t="s">
        <v>1557</v>
      </c>
      <c r="F3206" s="15" t="s">
        <v>1611</v>
      </c>
      <c r="G3206" s="7">
        <v>43.882</v>
      </c>
      <c r="H3206" s="15" t="s">
        <v>1983</v>
      </c>
      <c r="I3206" s="15" t="s">
        <v>1586</v>
      </c>
      <c r="J3206" s="15" t="s">
        <v>13455</v>
      </c>
      <c r="K3206" s="15">
        <v>56.0</v>
      </c>
      <c r="L3206" s="15">
        <v>56.0</v>
      </c>
      <c r="M3206" s="40">
        <v>41401.0</v>
      </c>
      <c r="N3206" s="40">
        <v>41745.0</v>
      </c>
      <c r="O3206" s="15" t="s">
        <v>1554</v>
      </c>
      <c r="Q3206" s="7"/>
    </row>
    <row r="3207">
      <c r="A3207" s="39" t="s">
        <v>13456</v>
      </c>
      <c r="B3207" s="15">
        <v>1341101.0</v>
      </c>
      <c r="C3207" s="15" t="s">
        <v>13457</v>
      </c>
      <c r="D3207" s="15">
        <v>227006.0</v>
      </c>
      <c r="E3207" s="15" t="s">
        <v>1557</v>
      </c>
      <c r="F3207" s="15" t="s">
        <v>1767</v>
      </c>
      <c r="G3207" s="7">
        <v>34.145</v>
      </c>
      <c r="H3207" s="15" t="s">
        <v>3297</v>
      </c>
      <c r="I3207" s="15" t="s">
        <v>1586</v>
      </c>
      <c r="J3207" s="15" t="s">
        <v>13458</v>
      </c>
      <c r="K3207" s="15">
        <v>43.0</v>
      </c>
      <c r="L3207" s="15">
        <v>43.0</v>
      </c>
      <c r="M3207" s="40">
        <v>41546.0</v>
      </c>
      <c r="N3207" s="40">
        <v>41584.0</v>
      </c>
      <c r="O3207" s="15" t="s">
        <v>1554</v>
      </c>
      <c r="Q3207" s="7"/>
    </row>
    <row r="3208">
      <c r="A3208" s="39" t="s">
        <v>13459</v>
      </c>
      <c r="B3208" s="15">
        <v>75320.0</v>
      </c>
      <c r="C3208" s="15" t="s">
        <v>13460</v>
      </c>
      <c r="D3208" s="15">
        <v>14416.0</v>
      </c>
      <c r="E3208" s="15" t="s">
        <v>1557</v>
      </c>
      <c r="F3208" s="15" t="s">
        <v>1767</v>
      </c>
      <c r="G3208" s="7">
        <v>244.834</v>
      </c>
      <c r="H3208" s="15" t="s">
        <v>3584</v>
      </c>
      <c r="I3208" s="15" t="s">
        <v>1586</v>
      </c>
      <c r="J3208" s="15" t="s">
        <v>13462</v>
      </c>
      <c r="K3208" s="15">
        <v>415.0</v>
      </c>
      <c r="L3208" s="15">
        <v>381.0</v>
      </c>
      <c r="M3208" s="40">
        <v>37862.0</v>
      </c>
      <c r="N3208" s="40">
        <v>40263.0</v>
      </c>
      <c r="O3208" s="15" t="s">
        <v>1554</v>
      </c>
      <c r="Q3208" s="7"/>
    </row>
    <row r="3209">
      <c r="A3209" s="39" t="s">
        <v>13463</v>
      </c>
      <c r="B3209" s="15">
        <v>1336600.0</v>
      </c>
      <c r="C3209" s="15" t="s">
        <v>13464</v>
      </c>
      <c r="D3209" s="15">
        <v>207833.0</v>
      </c>
      <c r="E3209" s="15" t="s">
        <v>1557</v>
      </c>
      <c r="F3209" s="15" t="s">
        <v>1822</v>
      </c>
      <c r="G3209" s="7">
        <v>7.583</v>
      </c>
      <c r="H3209" s="15" t="s">
        <v>2686</v>
      </c>
      <c r="I3209" s="15" t="s">
        <v>1686</v>
      </c>
      <c r="J3209" s="15" t="s">
        <v>13465</v>
      </c>
      <c r="K3209" s="15">
        <v>8.0</v>
      </c>
      <c r="L3209" s="15">
        <v>8.0</v>
      </c>
      <c r="M3209" s="40">
        <v>41423.0</v>
      </c>
      <c r="N3209" s="40">
        <v>41470.0</v>
      </c>
      <c r="O3209" s="15" t="s">
        <v>1554</v>
      </c>
      <c r="Q3209" s="7"/>
    </row>
    <row r="3210">
      <c r="A3210" s="39" t="s">
        <v>13466</v>
      </c>
      <c r="B3210" s="15">
        <v>1262530.0</v>
      </c>
      <c r="C3210" s="15" t="s">
        <v>13467</v>
      </c>
      <c r="D3210" s="15">
        <v>207837.0</v>
      </c>
      <c r="E3210" s="15" t="s">
        <v>1557</v>
      </c>
      <c r="F3210" s="15" t="s">
        <v>1578</v>
      </c>
      <c r="G3210" s="7">
        <v>32.189</v>
      </c>
      <c r="H3210" s="15" t="s">
        <v>2309</v>
      </c>
      <c r="I3210" s="15" t="s">
        <v>1618</v>
      </c>
      <c r="J3210" s="15" t="s">
        <v>13468</v>
      </c>
      <c r="K3210" s="15">
        <v>53.0</v>
      </c>
      <c r="L3210" s="15">
        <v>53.0</v>
      </c>
      <c r="M3210" s="40">
        <v>41433.0</v>
      </c>
      <c r="N3210" s="40">
        <v>41467.0</v>
      </c>
      <c r="O3210" s="15" t="s">
        <v>1554</v>
      </c>
      <c r="Q3210" s="7"/>
    </row>
    <row r="3211">
      <c r="A3211" s="39" t="s">
        <v>13469</v>
      </c>
      <c r="B3211" s="15">
        <v>1341876.0</v>
      </c>
      <c r="C3211" s="15" t="s">
        <v>13470</v>
      </c>
      <c r="D3211" s="15">
        <v>208537.0</v>
      </c>
      <c r="E3211" s="15" t="s">
        <v>1548</v>
      </c>
      <c r="F3211" s="15" t="s">
        <v>1771</v>
      </c>
      <c r="G3211" s="7">
        <v>5.612</v>
      </c>
      <c r="H3211" s="15" t="s">
        <v>3836</v>
      </c>
      <c r="I3211" s="15" t="s">
        <v>1628</v>
      </c>
      <c r="J3211" s="15" t="s">
        <v>13471</v>
      </c>
      <c r="K3211" s="15">
        <v>7.0</v>
      </c>
      <c r="L3211" s="15">
        <v>7.0</v>
      </c>
      <c r="M3211" s="40">
        <v>41436.0</v>
      </c>
      <c r="N3211" s="40">
        <v>42347.0</v>
      </c>
      <c r="O3211" s="15" t="s">
        <v>1554</v>
      </c>
      <c r="Q3211" s="7"/>
    </row>
    <row r="3212">
      <c r="A3212" s="39" t="s">
        <v>13473</v>
      </c>
      <c r="B3212" s="15">
        <v>1195796.0</v>
      </c>
      <c r="C3212" s="15" t="s">
        <v>13474</v>
      </c>
      <c r="D3212" s="15">
        <v>208538.0</v>
      </c>
      <c r="E3212" s="15" t="s">
        <v>1557</v>
      </c>
      <c r="F3212" s="15" t="s">
        <v>1822</v>
      </c>
      <c r="G3212" s="7">
        <v>7.286</v>
      </c>
      <c r="H3212" s="15" t="s">
        <v>2193</v>
      </c>
      <c r="I3212" s="15" t="s">
        <v>1567</v>
      </c>
      <c r="J3212" s="15" t="s">
        <v>13475</v>
      </c>
      <c r="K3212" s="15">
        <v>7.0</v>
      </c>
      <c r="L3212" s="15">
        <v>7.0</v>
      </c>
      <c r="M3212" s="40">
        <v>41430.0</v>
      </c>
      <c r="N3212" s="40">
        <v>41469.0</v>
      </c>
      <c r="O3212" s="15" t="s">
        <v>1554</v>
      </c>
      <c r="Q3212" s="7"/>
    </row>
    <row r="3213">
      <c r="A3213" s="39" t="s">
        <v>13476</v>
      </c>
      <c r="B3213" s="15">
        <v>1343493.0</v>
      </c>
      <c r="C3213" s="15" t="s">
        <v>13477</v>
      </c>
      <c r="D3213" s="15">
        <v>208539.0</v>
      </c>
      <c r="E3213" s="15" t="s">
        <v>2014</v>
      </c>
      <c r="F3213" s="15" t="s">
        <v>1578</v>
      </c>
      <c r="G3213" s="7">
        <v>43252.0</v>
      </c>
      <c r="H3213" s="15">
        <v>41.0</v>
      </c>
      <c r="I3213" s="15" t="s">
        <v>1628</v>
      </c>
      <c r="J3213" s="15" t="s">
        <v>13478</v>
      </c>
      <c r="K3213" s="15">
        <v>2.0</v>
      </c>
      <c r="L3213" s="15">
        <v>2.0</v>
      </c>
      <c r="M3213" s="40">
        <v>41437.0</v>
      </c>
      <c r="N3213" s="40">
        <v>41506.0</v>
      </c>
      <c r="O3213" s="15" t="s">
        <v>1554</v>
      </c>
      <c r="Q3213" s="7"/>
    </row>
    <row r="3214">
      <c r="A3214" s="39" t="s">
        <v>13479</v>
      </c>
      <c r="B3214" s="15">
        <v>1294177.0</v>
      </c>
      <c r="C3214" s="15" t="s">
        <v>13481</v>
      </c>
      <c r="D3214" s="15">
        <v>208541.0</v>
      </c>
      <c r="E3214" s="15" t="s">
        <v>1548</v>
      </c>
      <c r="F3214" s="15" t="s">
        <v>1776</v>
      </c>
      <c r="G3214" s="7">
        <v>7.537</v>
      </c>
      <c r="H3214" s="15" t="s">
        <v>4401</v>
      </c>
      <c r="I3214" s="15" t="s">
        <v>1686</v>
      </c>
      <c r="J3214" s="15" t="s">
        <v>13482</v>
      </c>
      <c r="K3214" s="15">
        <v>1.0</v>
      </c>
      <c r="L3214" s="15">
        <v>1.0</v>
      </c>
      <c r="M3214" s="40">
        <v>41431.0</v>
      </c>
      <c r="N3214" s="40">
        <v>41467.0</v>
      </c>
      <c r="O3214" s="15" t="s">
        <v>1554</v>
      </c>
      <c r="Q3214" s="7"/>
    </row>
    <row r="3215">
      <c r="A3215" s="39" t="s">
        <v>13483</v>
      </c>
      <c r="B3215" s="15">
        <v>115992.0</v>
      </c>
      <c r="C3215" s="15" t="s">
        <v>13484</v>
      </c>
      <c r="D3215" s="15">
        <v>47597.0</v>
      </c>
      <c r="E3215" s="15" t="s">
        <v>1557</v>
      </c>
      <c r="F3215" s="15" t="s">
        <v>1767</v>
      </c>
      <c r="G3215" s="7">
        <v>247.511</v>
      </c>
      <c r="H3215" s="15" t="s">
        <v>1710</v>
      </c>
      <c r="I3215" s="15" t="s">
        <v>1586</v>
      </c>
      <c r="J3215" s="15" t="s">
        <v>13485</v>
      </c>
      <c r="K3215" s="15">
        <v>405.0</v>
      </c>
      <c r="L3215" s="15">
        <v>405.0</v>
      </c>
      <c r="M3215" s="40">
        <v>41434.0</v>
      </c>
      <c r="N3215" s="40">
        <v>43013.0</v>
      </c>
      <c r="O3215" s="15" t="s">
        <v>1554</v>
      </c>
      <c r="Q3215" s="7"/>
    </row>
    <row r="3216">
      <c r="A3216" s="39" t="s">
        <v>13486</v>
      </c>
      <c r="B3216" s="15">
        <v>1327771.0</v>
      </c>
      <c r="C3216" s="15" t="s">
        <v>13487</v>
      </c>
      <c r="D3216" s="15">
        <v>209072.0</v>
      </c>
      <c r="E3216" s="15" t="s">
        <v>1557</v>
      </c>
      <c r="F3216" s="15" t="s">
        <v>1833</v>
      </c>
      <c r="G3216" s="7">
        <v>59.626</v>
      </c>
      <c r="H3216" s="15" t="s">
        <v>2154</v>
      </c>
      <c r="I3216" s="15" t="s">
        <v>1586</v>
      </c>
      <c r="J3216" s="15" t="s">
        <v>13488</v>
      </c>
      <c r="K3216" s="15">
        <v>106.0</v>
      </c>
      <c r="L3216" s="15">
        <v>106.0</v>
      </c>
      <c r="M3216" s="40">
        <v>41428.0</v>
      </c>
      <c r="N3216" s="40">
        <v>41470.0</v>
      </c>
      <c r="O3216" s="15" t="s">
        <v>1554</v>
      </c>
      <c r="Q3216" s="7"/>
    </row>
    <row r="3217">
      <c r="A3217" s="39" t="s">
        <v>13490</v>
      </c>
      <c r="B3217" s="15">
        <v>1327772.0</v>
      </c>
      <c r="C3217" s="15" t="s">
        <v>13491</v>
      </c>
      <c r="D3217" s="15">
        <v>209074.0</v>
      </c>
      <c r="E3217" s="15" t="s">
        <v>1557</v>
      </c>
      <c r="F3217" s="15" t="s">
        <v>1833</v>
      </c>
      <c r="G3217" s="7">
        <v>50.679</v>
      </c>
      <c r="H3217" s="15">
        <v>64.0</v>
      </c>
      <c r="I3217" s="15" t="s">
        <v>1586</v>
      </c>
      <c r="J3217" s="15" t="s">
        <v>13492</v>
      </c>
      <c r="K3217" s="15">
        <v>88.0</v>
      </c>
      <c r="L3217" s="15">
        <v>85.0</v>
      </c>
      <c r="M3217" s="40">
        <v>41428.0</v>
      </c>
      <c r="N3217" s="40">
        <v>41732.0</v>
      </c>
      <c r="O3217" s="15" t="s">
        <v>1554</v>
      </c>
      <c r="Q3217" s="7"/>
    </row>
    <row r="3218">
      <c r="A3218" s="39" t="s">
        <v>13493</v>
      </c>
      <c r="B3218" s="15">
        <v>1283071.0</v>
      </c>
      <c r="C3218" s="15" t="s">
        <v>13494</v>
      </c>
      <c r="D3218" s="15">
        <v>209075.0</v>
      </c>
      <c r="E3218" s="15" t="s">
        <v>1557</v>
      </c>
      <c r="F3218" s="15" t="s">
        <v>1611</v>
      </c>
      <c r="G3218" s="7">
        <v>69.278</v>
      </c>
      <c r="H3218" s="15" t="s">
        <v>1696</v>
      </c>
      <c r="I3218" s="15" t="s">
        <v>1586</v>
      </c>
      <c r="J3218" s="15" t="s">
        <v>13495</v>
      </c>
      <c r="K3218" s="15">
        <v>80.0</v>
      </c>
      <c r="L3218" s="15">
        <v>79.0</v>
      </c>
      <c r="M3218" s="40">
        <v>41437.0</v>
      </c>
      <c r="N3218" s="40">
        <v>41470.0</v>
      </c>
      <c r="O3218" s="15" t="s">
        <v>1554</v>
      </c>
      <c r="Q3218" s="7"/>
    </row>
    <row r="3219">
      <c r="A3219" s="39" t="s">
        <v>13496</v>
      </c>
      <c r="B3219" s="15">
        <v>1195085.0</v>
      </c>
      <c r="C3219" s="15" t="s">
        <v>13497</v>
      </c>
      <c r="D3219" s="15">
        <v>209076.0</v>
      </c>
      <c r="E3219" s="15" t="s">
        <v>1557</v>
      </c>
      <c r="F3219" s="15" t="s">
        <v>1767</v>
      </c>
      <c r="G3219" s="7">
        <v>223.989</v>
      </c>
      <c r="H3219" s="15" t="s">
        <v>1802</v>
      </c>
      <c r="I3219" s="15" t="s">
        <v>1586</v>
      </c>
      <c r="J3219" s="15" t="s">
        <v>13498</v>
      </c>
      <c r="K3219" s="15">
        <v>231.0</v>
      </c>
      <c r="L3219" s="15">
        <v>231.0</v>
      </c>
      <c r="M3219" s="40">
        <v>41425.0</v>
      </c>
      <c r="N3219" s="40">
        <v>42551.0</v>
      </c>
      <c r="O3219" s="15" t="s">
        <v>1554</v>
      </c>
      <c r="Q3219" s="7"/>
    </row>
    <row r="3220">
      <c r="A3220" s="39" t="s">
        <v>13499</v>
      </c>
      <c r="B3220" s="15">
        <v>1262532.0</v>
      </c>
      <c r="C3220" s="15" t="s">
        <v>13500</v>
      </c>
      <c r="D3220" s="15">
        <v>209077.0</v>
      </c>
      <c r="E3220" s="15" t="s">
        <v>1557</v>
      </c>
      <c r="F3220" s="15" t="s">
        <v>1833</v>
      </c>
      <c r="G3220" s="7">
        <v>45.942</v>
      </c>
      <c r="H3220" s="15" t="s">
        <v>4117</v>
      </c>
      <c r="I3220" s="15" t="s">
        <v>1586</v>
      </c>
      <c r="J3220" s="15" t="s">
        <v>13501</v>
      </c>
      <c r="K3220" s="15">
        <v>74.0</v>
      </c>
      <c r="L3220" s="15">
        <v>73.0</v>
      </c>
      <c r="M3220" s="40">
        <v>41426.0</v>
      </c>
      <c r="N3220" s="40">
        <v>41470.0</v>
      </c>
      <c r="O3220" s="15" t="s">
        <v>1554</v>
      </c>
      <c r="Q3220" s="7"/>
    </row>
    <row r="3221">
      <c r="A3221" s="39" t="s">
        <v>13502</v>
      </c>
      <c r="B3221" s="15">
        <v>1173743.0</v>
      </c>
      <c r="C3221" s="15" t="s">
        <v>13503</v>
      </c>
      <c r="D3221" s="15">
        <v>209078.0</v>
      </c>
      <c r="E3221" s="15" t="s">
        <v>1557</v>
      </c>
      <c r="F3221" s="15" t="s">
        <v>1833</v>
      </c>
      <c r="G3221" s="7">
        <v>38.275</v>
      </c>
      <c r="H3221" s="15" t="s">
        <v>11674</v>
      </c>
      <c r="I3221" s="15" t="s">
        <v>1586</v>
      </c>
      <c r="J3221" s="15" t="s">
        <v>13504</v>
      </c>
      <c r="K3221" s="15">
        <v>69.0</v>
      </c>
      <c r="L3221" s="15">
        <v>69.0</v>
      </c>
      <c r="M3221" s="40">
        <v>41425.0</v>
      </c>
      <c r="N3221" s="40">
        <v>41850.0</v>
      </c>
      <c r="O3221" s="15" t="s">
        <v>1554</v>
      </c>
      <c r="Q3221" s="7"/>
    </row>
    <row r="3222">
      <c r="A3222" s="39" t="s">
        <v>13505</v>
      </c>
      <c r="B3222" s="15">
        <v>1345662.0</v>
      </c>
      <c r="C3222" s="15" t="s">
        <v>13506</v>
      </c>
      <c r="D3222" s="15">
        <v>209357.0</v>
      </c>
      <c r="E3222" s="15" t="s">
        <v>1548</v>
      </c>
      <c r="F3222" s="15" t="s">
        <v>2374</v>
      </c>
      <c r="G3222" s="7">
        <v>43261.0</v>
      </c>
      <c r="H3222" s="15" t="s">
        <v>7532</v>
      </c>
      <c r="I3222" s="15" t="s">
        <v>1560</v>
      </c>
      <c r="J3222" s="15" t="s">
        <v>13507</v>
      </c>
      <c r="K3222" s="15">
        <v>1.0</v>
      </c>
      <c r="L3222" s="15">
        <v>1.0</v>
      </c>
      <c r="M3222" s="40">
        <v>41443.0</v>
      </c>
      <c r="N3222" s="40">
        <v>41731.0</v>
      </c>
      <c r="O3222" s="15" t="s">
        <v>1554</v>
      </c>
      <c r="Q3222" s="7"/>
    </row>
    <row r="3223">
      <c r="A3223" s="39" t="s">
        <v>13508</v>
      </c>
      <c r="B3223" s="15">
        <v>1340745.0</v>
      </c>
      <c r="C3223" s="15" t="s">
        <v>13509</v>
      </c>
      <c r="D3223" s="15">
        <v>209358.0</v>
      </c>
      <c r="E3223" s="15" t="s">
        <v>1808</v>
      </c>
      <c r="F3223" s="15" t="s">
        <v>2969</v>
      </c>
      <c r="G3223" s="7">
        <v>8.555</v>
      </c>
      <c r="H3223" s="15" t="s">
        <v>1818</v>
      </c>
      <c r="I3223" s="15" t="s">
        <v>1586</v>
      </c>
      <c r="J3223" s="15" t="s">
        <v>13511</v>
      </c>
      <c r="K3223" s="15">
        <v>12.0</v>
      </c>
      <c r="L3223" s="15">
        <v>12.0</v>
      </c>
      <c r="M3223" s="40">
        <v>41434.0</v>
      </c>
      <c r="N3223" s="40">
        <v>42453.0</v>
      </c>
      <c r="O3223" s="15" t="s">
        <v>1554</v>
      </c>
      <c r="Q3223" s="7"/>
    </row>
    <row r="3224">
      <c r="A3224" s="39" t="s">
        <v>13512</v>
      </c>
      <c r="B3224" s="15">
        <v>1345661.0</v>
      </c>
      <c r="C3224" s="15" t="s">
        <v>13513</v>
      </c>
      <c r="D3224" s="15">
        <v>209359.0</v>
      </c>
      <c r="E3224" s="15" t="s">
        <v>1548</v>
      </c>
      <c r="F3224" s="15" t="s">
        <v>2374</v>
      </c>
      <c r="G3224" s="7">
        <v>10.985</v>
      </c>
      <c r="H3224" s="15" t="s">
        <v>6565</v>
      </c>
      <c r="I3224" s="15" t="s">
        <v>1560</v>
      </c>
      <c r="J3224" s="15" t="s">
        <v>13514</v>
      </c>
      <c r="K3224" s="15">
        <v>1.0</v>
      </c>
      <c r="L3224" s="15">
        <v>1.0</v>
      </c>
      <c r="M3224" s="40">
        <v>41443.0</v>
      </c>
      <c r="N3224" s="40">
        <v>41731.0</v>
      </c>
      <c r="O3224" s="15" t="s">
        <v>1554</v>
      </c>
      <c r="Q3224" s="7"/>
    </row>
    <row r="3225">
      <c r="A3225" s="39" t="s">
        <v>13515</v>
      </c>
      <c r="B3225" s="15">
        <v>1343494.0</v>
      </c>
      <c r="C3225" s="15" t="s">
        <v>13516</v>
      </c>
      <c r="D3225" s="15">
        <v>209360.0</v>
      </c>
      <c r="E3225" s="15" t="s">
        <v>1808</v>
      </c>
      <c r="F3225" s="15" t="s">
        <v>2969</v>
      </c>
      <c r="G3225" s="7">
        <v>7.069</v>
      </c>
      <c r="H3225" s="15" t="s">
        <v>2094</v>
      </c>
      <c r="I3225" s="15" t="s">
        <v>1586</v>
      </c>
      <c r="J3225" s="15" t="s">
        <v>13517</v>
      </c>
      <c r="K3225" s="15">
        <v>10.0</v>
      </c>
      <c r="L3225" s="15">
        <v>10.0</v>
      </c>
      <c r="M3225" s="40">
        <v>41441.0</v>
      </c>
      <c r="N3225" s="40">
        <v>41949.0</v>
      </c>
      <c r="O3225" s="15" t="s">
        <v>1554</v>
      </c>
      <c r="Q3225" s="7"/>
    </row>
    <row r="3226">
      <c r="A3226" s="39" t="s">
        <v>13518</v>
      </c>
      <c r="B3226" s="15">
        <v>1327952.0</v>
      </c>
      <c r="C3226" s="15" t="s">
        <v>13519</v>
      </c>
      <c r="D3226" s="15">
        <v>209361.0</v>
      </c>
      <c r="E3226" s="15" t="s">
        <v>1557</v>
      </c>
      <c r="F3226" s="15" t="s">
        <v>1833</v>
      </c>
      <c r="G3226" s="7">
        <v>39.981</v>
      </c>
      <c r="H3226" s="15" t="s">
        <v>2497</v>
      </c>
      <c r="I3226" s="15" t="s">
        <v>1586</v>
      </c>
      <c r="J3226" s="15" t="s">
        <v>13521</v>
      </c>
      <c r="K3226" s="15">
        <v>59.0</v>
      </c>
      <c r="L3226" s="15">
        <v>59.0</v>
      </c>
      <c r="M3226" s="40">
        <v>41401.0</v>
      </c>
      <c r="N3226" s="40">
        <v>41449.0</v>
      </c>
      <c r="O3226" s="15" t="s">
        <v>1554</v>
      </c>
      <c r="Q3226" s="7"/>
    </row>
    <row r="3227">
      <c r="A3227" s="39" t="s">
        <v>13522</v>
      </c>
      <c r="B3227" s="15">
        <v>1148491.0</v>
      </c>
      <c r="C3227" s="15" t="s">
        <v>13523</v>
      </c>
      <c r="D3227" s="15">
        <v>209362.0</v>
      </c>
      <c r="E3227" s="15" t="s">
        <v>1638</v>
      </c>
      <c r="F3227" s="15" t="s">
        <v>1639</v>
      </c>
      <c r="G3227" s="7">
        <v>5.329</v>
      </c>
      <c r="H3227" s="15" t="s">
        <v>3086</v>
      </c>
      <c r="I3227" s="15" t="s">
        <v>1552</v>
      </c>
      <c r="J3227" s="15" t="s">
        <v>13524</v>
      </c>
      <c r="K3227" s="15">
        <v>2.0</v>
      </c>
      <c r="L3227" s="15">
        <v>2.0</v>
      </c>
      <c r="M3227" s="40">
        <v>41438.0</v>
      </c>
      <c r="N3227" s="40">
        <v>41449.0</v>
      </c>
      <c r="O3227" s="15" t="s">
        <v>1554</v>
      </c>
      <c r="Q3227" s="7"/>
    </row>
    <row r="3228">
      <c r="A3228" s="39" t="s">
        <v>13525</v>
      </c>
      <c r="B3228" s="15">
        <v>1282995.0</v>
      </c>
      <c r="C3228" s="15" t="s">
        <v>13526</v>
      </c>
      <c r="D3228" s="15">
        <v>209364.0</v>
      </c>
      <c r="E3228" s="15" t="s">
        <v>1557</v>
      </c>
      <c r="F3228" s="15" t="s">
        <v>1833</v>
      </c>
      <c r="G3228" s="7">
        <v>42.724</v>
      </c>
      <c r="H3228" s="15" t="s">
        <v>3836</v>
      </c>
      <c r="I3228" s="15" t="s">
        <v>1586</v>
      </c>
      <c r="J3228" s="15" t="s">
        <v>13527</v>
      </c>
      <c r="K3228" s="15">
        <v>69.0</v>
      </c>
      <c r="L3228" s="15">
        <v>69.0</v>
      </c>
      <c r="M3228" s="40">
        <v>41441.0</v>
      </c>
      <c r="N3228" s="40">
        <v>41704.0</v>
      </c>
      <c r="O3228" s="15" t="s">
        <v>1554</v>
      </c>
      <c r="Q3228" s="7"/>
    </row>
    <row r="3229">
      <c r="A3229" s="39" t="s">
        <v>13529</v>
      </c>
      <c r="B3229" s="15">
        <v>1345637.0</v>
      </c>
      <c r="C3229" s="15" t="s">
        <v>13530</v>
      </c>
      <c r="D3229" s="15">
        <v>209365.0</v>
      </c>
      <c r="E3229" s="15" t="s">
        <v>1808</v>
      </c>
      <c r="F3229" s="15" t="s">
        <v>1998</v>
      </c>
      <c r="G3229" s="7">
        <v>1.832</v>
      </c>
      <c r="H3229" s="15" t="s">
        <v>5934</v>
      </c>
      <c r="I3229" s="15" t="s">
        <v>1686</v>
      </c>
      <c r="J3229" s="15" t="s">
        <v>13531</v>
      </c>
      <c r="K3229" s="15">
        <v>2.0</v>
      </c>
      <c r="L3229" s="15">
        <v>2.0</v>
      </c>
      <c r="M3229" s="40">
        <v>41444.0</v>
      </c>
      <c r="N3229" s="40">
        <v>41536.0</v>
      </c>
      <c r="O3229" s="15" t="s">
        <v>1554</v>
      </c>
      <c r="Q3229" s="7"/>
    </row>
    <row r="3230">
      <c r="A3230" s="39" t="s">
        <v>13532</v>
      </c>
      <c r="B3230" s="15">
        <v>1301220.0</v>
      </c>
      <c r="C3230" s="15" t="s">
        <v>13533</v>
      </c>
      <c r="D3230" s="15">
        <v>209366.0</v>
      </c>
      <c r="E3230" s="15" t="s">
        <v>1548</v>
      </c>
      <c r="F3230" s="15" t="s">
        <v>1771</v>
      </c>
      <c r="G3230" s="7">
        <v>5.983</v>
      </c>
      <c r="H3230" s="15" t="s">
        <v>1750</v>
      </c>
      <c r="I3230" s="15" t="s">
        <v>1628</v>
      </c>
      <c r="J3230" s="15" t="s">
        <v>13534</v>
      </c>
      <c r="K3230" s="15">
        <v>5.0</v>
      </c>
      <c r="L3230" s="15">
        <v>5.0</v>
      </c>
      <c r="M3230" s="40">
        <v>41443.0</v>
      </c>
      <c r="N3230" s="40">
        <v>41949.0</v>
      </c>
      <c r="O3230" s="15" t="s">
        <v>1554</v>
      </c>
      <c r="Q3230" s="7"/>
    </row>
    <row r="3231">
      <c r="A3231" s="39" t="s">
        <v>13535</v>
      </c>
      <c r="B3231" s="15">
        <v>10942.0</v>
      </c>
      <c r="C3231" s="15" t="s">
        <v>13536</v>
      </c>
      <c r="D3231" s="15">
        <v>209367.0</v>
      </c>
      <c r="E3231" s="15" t="s">
        <v>1638</v>
      </c>
      <c r="F3231" s="15" t="s">
        <v>1863</v>
      </c>
      <c r="G3231" s="7">
        <v>17.932</v>
      </c>
      <c r="H3231" s="15" t="s">
        <v>13538</v>
      </c>
      <c r="I3231" s="15" t="s">
        <v>1567</v>
      </c>
      <c r="J3231" s="15" t="s">
        <v>13539</v>
      </c>
      <c r="K3231" s="15">
        <v>13.0</v>
      </c>
      <c r="L3231" s="15">
        <v>13.0</v>
      </c>
      <c r="M3231" s="40">
        <v>38000.0</v>
      </c>
      <c r="N3231" s="40">
        <v>41449.0</v>
      </c>
      <c r="O3231" s="15" t="s">
        <v>1554</v>
      </c>
      <c r="Q3231" s="7"/>
    </row>
    <row r="3232">
      <c r="A3232" s="39" t="s">
        <v>13540</v>
      </c>
      <c r="B3232" s="15">
        <v>1336597.0</v>
      </c>
      <c r="C3232" s="15" t="s">
        <v>13541</v>
      </c>
      <c r="D3232" s="15">
        <v>209726.0</v>
      </c>
      <c r="E3232" s="15" t="s">
        <v>1808</v>
      </c>
      <c r="F3232" s="15" t="s">
        <v>1809</v>
      </c>
      <c r="G3232" s="7">
        <v>2.669</v>
      </c>
      <c r="H3232" s="15" t="s">
        <v>2548</v>
      </c>
      <c r="I3232" s="15" t="s">
        <v>1628</v>
      </c>
      <c r="J3232" s="15" t="s">
        <v>13542</v>
      </c>
      <c r="K3232" s="15">
        <v>3.0</v>
      </c>
      <c r="L3232" s="15" t="s">
        <v>1722</v>
      </c>
      <c r="M3232" s="40">
        <v>41449.0</v>
      </c>
      <c r="N3232" s="40">
        <v>42200.0</v>
      </c>
      <c r="O3232" s="15" t="s">
        <v>1554</v>
      </c>
      <c r="Q3232" s="7"/>
    </row>
    <row r="3233">
      <c r="A3233" s="39" t="s">
        <v>13543</v>
      </c>
      <c r="B3233" s="15">
        <v>994995.0</v>
      </c>
      <c r="C3233" s="15" t="s">
        <v>13544</v>
      </c>
      <c r="D3233" s="15">
        <v>209727.0</v>
      </c>
      <c r="E3233" s="15" t="s">
        <v>1638</v>
      </c>
      <c r="F3233" s="15" t="s">
        <v>1863</v>
      </c>
      <c r="G3233" s="7">
        <v>18.186</v>
      </c>
      <c r="H3233" s="15" t="s">
        <v>13545</v>
      </c>
      <c r="I3233" s="15" t="s">
        <v>1567</v>
      </c>
      <c r="J3233" s="15" t="s">
        <v>13546</v>
      </c>
      <c r="K3233" s="15">
        <v>12.0</v>
      </c>
      <c r="L3233" s="15">
        <v>12.0</v>
      </c>
      <c r="M3233" s="40">
        <v>40617.0</v>
      </c>
      <c r="N3233" s="40">
        <v>41480.0</v>
      </c>
      <c r="O3233" s="15" t="s">
        <v>1554</v>
      </c>
      <c r="Q3233" s="7"/>
    </row>
    <row r="3234">
      <c r="A3234" s="39" t="s">
        <v>13548</v>
      </c>
      <c r="B3234" s="15">
        <v>994994.0</v>
      </c>
      <c r="C3234" s="15" t="s">
        <v>13549</v>
      </c>
      <c r="D3234" s="15">
        <v>210412.0</v>
      </c>
      <c r="E3234" s="15" t="s">
        <v>1638</v>
      </c>
      <c r="F3234" s="15" t="s">
        <v>1863</v>
      </c>
      <c r="G3234" s="7">
        <v>18.341</v>
      </c>
      <c r="H3234" s="15" t="s">
        <v>13550</v>
      </c>
      <c r="I3234" s="15" t="s">
        <v>1567</v>
      </c>
      <c r="J3234" s="15" t="s">
        <v>13551</v>
      </c>
      <c r="K3234" s="15">
        <v>11.0</v>
      </c>
      <c r="L3234" s="15">
        <v>11.0</v>
      </c>
      <c r="M3234" s="40">
        <v>40617.0</v>
      </c>
      <c r="N3234" s="40">
        <v>41458.0</v>
      </c>
      <c r="O3234" s="15" t="s">
        <v>1554</v>
      </c>
      <c r="Q3234" s="7"/>
    </row>
    <row r="3235">
      <c r="A3235" s="39" t="s">
        <v>13552</v>
      </c>
      <c r="B3235" s="15">
        <v>1353016.0</v>
      </c>
      <c r="C3235" s="15" t="s">
        <v>13553</v>
      </c>
      <c r="D3235" s="15">
        <v>210796.0</v>
      </c>
      <c r="E3235" s="15" t="s">
        <v>1638</v>
      </c>
      <c r="F3235" s="15" t="s">
        <v>2849</v>
      </c>
      <c r="G3235" s="7">
        <v>10.77</v>
      </c>
      <c r="H3235" s="15" t="s">
        <v>3309</v>
      </c>
      <c r="I3235" s="15" t="s">
        <v>1552</v>
      </c>
      <c r="J3235" s="15" t="s">
        <v>13554</v>
      </c>
      <c r="K3235" s="15">
        <v>1.0</v>
      </c>
      <c r="L3235" s="15">
        <v>1.0</v>
      </c>
      <c r="M3235" s="40">
        <v>41462.0</v>
      </c>
      <c r="N3235" s="40">
        <v>41463.0</v>
      </c>
      <c r="O3235" s="15" t="s">
        <v>1554</v>
      </c>
      <c r="Q3235" s="7"/>
    </row>
    <row r="3236">
      <c r="A3236" s="39" t="s">
        <v>13556</v>
      </c>
      <c r="B3236" s="15">
        <v>1188819.0</v>
      </c>
      <c r="C3236" s="15" t="s">
        <v>13557</v>
      </c>
      <c r="D3236" s="15">
        <v>210798.0</v>
      </c>
      <c r="E3236" s="15" t="s">
        <v>2014</v>
      </c>
      <c r="F3236" s="15" t="s">
        <v>1578</v>
      </c>
      <c r="G3236" s="7">
        <v>1.292</v>
      </c>
      <c r="H3236" s="15" t="s">
        <v>2660</v>
      </c>
      <c r="I3236" s="15" t="s">
        <v>1628</v>
      </c>
      <c r="J3236" s="15" t="s">
        <v>13558</v>
      </c>
      <c r="K3236" s="15">
        <v>2.0</v>
      </c>
      <c r="L3236" s="15">
        <v>2.0</v>
      </c>
      <c r="M3236" s="40">
        <v>41457.0</v>
      </c>
      <c r="N3236" s="40">
        <v>41911.0</v>
      </c>
      <c r="O3236" s="15" t="s">
        <v>1554</v>
      </c>
      <c r="Q3236" s="7"/>
    </row>
    <row r="3237">
      <c r="A3237" s="39" t="s">
        <v>13559</v>
      </c>
      <c r="B3237" s="15">
        <v>394239.0</v>
      </c>
      <c r="C3237" s="15" t="s">
        <v>13560</v>
      </c>
      <c r="D3237" s="15">
        <v>210799.0</v>
      </c>
      <c r="E3237" s="15" t="s">
        <v>1916</v>
      </c>
      <c r="F3237" s="15" t="s">
        <v>2532</v>
      </c>
      <c r="G3237" s="7">
        <v>8.566</v>
      </c>
      <c r="H3237" s="15" t="s">
        <v>5955</v>
      </c>
      <c r="I3237" s="15" t="s">
        <v>1686</v>
      </c>
      <c r="J3237" s="15" t="s">
        <v>13561</v>
      </c>
      <c r="K3237" s="15">
        <v>2.0</v>
      </c>
      <c r="L3237" s="15">
        <v>2.0</v>
      </c>
      <c r="M3237" s="40">
        <v>41453.0</v>
      </c>
      <c r="N3237" s="40">
        <v>41466.0</v>
      </c>
      <c r="O3237" s="15" t="s">
        <v>1554</v>
      </c>
      <c r="Q3237" s="7"/>
    </row>
    <row r="3238">
      <c r="A3238" s="39" t="s">
        <v>13562</v>
      </c>
      <c r="B3238" s="15">
        <v>1352511.0</v>
      </c>
      <c r="C3238" s="15" t="s">
        <v>13564</v>
      </c>
      <c r="D3238" s="15">
        <v>210800.0</v>
      </c>
      <c r="E3238" s="15" t="s">
        <v>1548</v>
      </c>
      <c r="F3238" s="15" t="s">
        <v>2900</v>
      </c>
      <c r="G3238" s="7">
        <v>4.195</v>
      </c>
      <c r="H3238" s="15" t="s">
        <v>3836</v>
      </c>
      <c r="I3238" s="15" t="s">
        <v>1628</v>
      </c>
      <c r="J3238" s="15" t="s">
        <v>13565</v>
      </c>
      <c r="K3238" s="15">
        <v>6.0</v>
      </c>
      <c r="L3238" s="15">
        <v>6.0</v>
      </c>
      <c r="M3238" s="40">
        <v>41458.0</v>
      </c>
      <c r="N3238" s="41">
        <v>42726.0</v>
      </c>
      <c r="O3238" s="15" t="s">
        <v>1554</v>
      </c>
      <c r="Q3238" s="7"/>
    </row>
    <row r="3239">
      <c r="A3239" s="39" t="s">
        <v>13566</v>
      </c>
      <c r="B3239" s="15">
        <v>1348500.0</v>
      </c>
      <c r="C3239" s="15" t="s">
        <v>13567</v>
      </c>
      <c r="D3239" s="15">
        <v>254810.0</v>
      </c>
      <c r="E3239" s="15" t="s">
        <v>1808</v>
      </c>
      <c r="F3239" s="15" t="s">
        <v>1998</v>
      </c>
      <c r="G3239" s="7">
        <v>1.855</v>
      </c>
      <c r="H3239" s="15" t="s">
        <v>1551</v>
      </c>
      <c r="I3239" s="15" t="s">
        <v>1686</v>
      </c>
      <c r="J3239" s="15" t="s">
        <v>13568</v>
      </c>
      <c r="K3239" s="15">
        <v>2.0</v>
      </c>
      <c r="L3239" s="15">
        <v>2.0</v>
      </c>
      <c r="M3239" s="40">
        <v>41456.0</v>
      </c>
      <c r="N3239" s="40">
        <v>41830.0</v>
      </c>
      <c r="O3239" s="15" t="s">
        <v>1554</v>
      </c>
      <c r="Q3239" s="7"/>
    </row>
    <row r="3240">
      <c r="A3240" s="39" t="s">
        <v>13569</v>
      </c>
      <c r="B3240" s="15">
        <v>1324959.0</v>
      </c>
      <c r="C3240" s="15" t="s">
        <v>13570</v>
      </c>
      <c r="D3240" s="15">
        <v>212310.0</v>
      </c>
      <c r="E3240" s="15" t="s">
        <v>1548</v>
      </c>
      <c r="F3240" s="15" t="s">
        <v>4986</v>
      </c>
      <c r="G3240" s="7">
        <v>11.353</v>
      </c>
      <c r="H3240" s="15" t="s">
        <v>13571</v>
      </c>
      <c r="I3240" s="15" t="s">
        <v>1628</v>
      </c>
      <c r="J3240" s="15" t="s">
        <v>13572</v>
      </c>
      <c r="K3240" s="15">
        <v>7.0</v>
      </c>
      <c r="L3240" s="15">
        <v>7.0</v>
      </c>
      <c r="M3240" s="40">
        <v>41464.0</v>
      </c>
      <c r="N3240" s="41">
        <v>42297.0</v>
      </c>
      <c r="O3240" s="15" t="s">
        <v>1554</v>
      </c>
      <c r="Q3240" s="7"/>
    </row>
    <row r="3241">
      <c r="A3241" s="39" t="s">
        <v>13574</v>
      </c>
      <c r="B3241" s="15">
        <v>1233488.0</v>
      </c>
      <c r="C3241" s="15" t="s">
        <v>13575</v>
      </c>
      <c r="D3241" s="15">
        <v>212709.0</v>
      </c>
      <c r="E3241" s="15" t="s">
        <v>1557</v>
      </c>
      <c r="F3241" s="15" t="s">
        <v>1611</v>
      </c>
      <c r="G3241" s="7">
        <v>42.313</v>
      </c>
      <c r="H3241" s="15" t="s">
        <v>1983</v>
      </c>
      <c r="I3241" s="15" t="s">
        <v>1586</v>
      </c>
      <c r="J3241" s="15" t="s">
        <v>13576</v>
      </c>
      <c r="K3241" s="15">
        <v>53.0</v>
      </c>
      <c r="L3241" s="15">
        <v>53.0</v>
      </c>
      <c r="M3241" s="40">
        <v>41469.0</v>
      </c>
      <c r="N3241" s="40">
        <v>42738.0</v>
      </c>
      <c r="O3241" s="15" t="s">
        <v>1554</v>
      </c>
      <c r="Q3241" s="7"/>
    </row>
    <row r="3242">
      <c r="A3242" s="39" t="s">
        <v>13577</v>
      </c>
      <c r="B3242" s="15">
        <v>1273712.0</v>
      </c>
      <c r="C3242" s="15" t="s">
        <v>13578</v>
      </c>
      <c r="D3242" s="15">
        <v>212710.0</v>
      </c>
      <c r="E3242" s="15" t="s">
        <v>1557</v>
      </c>
      <c r="F3242" s="15" t="s">
        <v>1833</v>
      </c>
      <c r="G3242" s="7">
        <v>43.458</v>
      </c>
      <c r="H3242" s="15" t="s">
        <v>3862</v>
      </c>
      <c r="I3242" s="15" t="s">
        <v>1586</v>
      </c>
      <c r="J3242" s="15" t="s">
        <v>13579</v>
      </c>
      <c r="K3242" s="15">
        <v>66.0</v>
      </c>
      <c r="L3242" s="15">
        <v>66.0</v>
      </c>
      <c r="M3242" s="40">
        <v>41449.0</v>
      </c>
      <c r="N3242" s="41">
        <v>41598.0</v>
      </c>
      <c r="O3242" s="15" t="s">
        <v>1554</v>
      </c>
      <c r="Q3242" s="7"/>
    </row>
    <row r="3243">
      <c r="A3243" s="39" t="s">
        <v>13581</v>
      </c>
      <c r="B3243" s="15">
        <v>1173757.0</v>
      </c>
      <c r="C3243" s="15" t="s">
        <v>13582</v>
      </c>
      <c r="D3243" s="15">
        <v>212711.0</v>
      </c>
      <c r="E3243" s="15" t="s">
        <v>1557</v>
      </c>
      <c r="F3243" s="15" t="s">
        <v>1833</v>
      </c>
      <c r="G3243" s="7">
        <v>59.454</v>
      </c>
      <c r="H3243" s="15" t="s">
        <v>2131</v>
      </c>
      <c r="I3243" s="15" t="s">
        <v>1586</v>
      </c>
      <c r="J3243" s="15" t="s">
        <v>13583</v>
      </c>
      <c r="K3243" s="15">
        <v>70.0</v>
      </c>
      <c r="L3243" s="15">
        <v>70.0</v>
      </c>
      <c r="M3243" s="40">
        <v>41470.0</v>
      </c>
      <c r="N3243" s="40">
        <v>41477.0</v>
      </c>
      <c r="O3243" s="15" t="s">
        <v>1554</v>
      </c>
      <c r="Q3243" s="7"/>
    </row>
    <row r="3244">
      <c r="A3244" s="39" t="s">
        <v>13584</v>
      </c>
      <c r="B3244" s="15">
        <v>1173761.0</v>
      </c>
      <c r="C3244" s="15" t="s">
        <v>13585</v>
      </c>
      <c r="D3244" s="15">
        <v>212712.0</v>
      </c>
      <c r="E3244" s="15" t="s">
        <v>1557</v>
      </c>
      <c r="F3244" s="15" t="s">
        <v>1611</v>
      </c>
      <c r="G3244" s="7">
        <v>72.394</v>
      </c>
      <c r="H3244" s="15" t="s">
        <v>1602</v>
      </c>
      <c r="I3244" s="15" t="s">
        <v>1586</v>
      </c>
      <c r="J3244" s="15" t="s">
        <v>13586</v>
      </c>
      <c r="K3244" s="15">
        <v>96.0</v>
      </c>
      <c r="L3244" s="15">
        <v>86.0</v>
      </c>
      <c r="M3244" s="40">
        <v>41470.0</v>
      </c>
      <c r="N3244" s="40">
        <v>41547.0</v>
      </c>
      <c r="O3244" s="15" t="s">
        <v>1554</v>
      </c>
      <c r="Q3244" s="7"/>
    </row>
    <row r="3245">
      <c r="A3245" s="39" t="s">
        <v>13587</v>
      </c>
      <c r="B3245" s="15">
        <v>1340534.0</v>
      </c>
      <c r="C3245" s="15" t="s">
        <v>13588</v>
      </c>
      <c r="D3245" s="15">
        <v>212713.0</v>
      </c>
      <c r="E3245" s="15" t="s">
        <v>1557</v>
      </c>
      <c r="F3245" s="15" t="s">
        <v>1833</v>
      </c>
      <c r="G3245" s="7">
        <v>43.447</v>
      </c>
      <c r="H3245" s="15">
        <v>50.0</v>
      </c>
      <c r="I3245" s="15" t="s">
        <v>1586</v>
      </c>
      <c r="J3245" s="15" t="s">
        <v>13589</v>
      </c>
      <c r="K3245" s="15">
        <v>69.0</v>
      </c>
      <c r="L3245" s="15">
        <v>69.0</v>
      </c>
      <c r="M3245" s="40">
        <v>41463.0</v>
      </c>
      <c r="N3245" s="40">
        <v>41530.0</v>
      </c>
      <c r="O3245" s="15" t="s">
        <v>1554</v>
      </c>
      <c r="Q3245" s="7"/>
    </row>
    <row r="3246">
      <c r="A3246" s="39" t="s">
        <v>13590</v>
      </c>
      <c r="B3246" s="15">
        <v>1173769.0</v>
      </c>
      <c r="C3246" s="15" t="s">
        <v>13591</v>
      </c>
      <c r="D3246" s="15">
        <v>212714.0</v>
      </c>
      <c r="E3246" s="15" t="s">
        <v>1557</v>
      </c>
      <c r="F3246" s="15" t="s">
        <v>1767</v>
      </c>
      <c r="G3246" s="7">
        <v>29.742</v>
      </c>
      <c r="H3246" s="15" t="s">
        <v>2300</v>
      </c>
      <c r="I3246" s="15" t="s">
        <v>1586</v>
      </c>
      <c r="J3246" s="15" t="s">
        <v>13592</v>
      </c>
      <c r="K3246" s="15">
        <v>40.0</v>
      </c>
      <c r="L3246" s="15">
        <v>40.0</v>
      </c>
      <c r="M3246" s="40">
        <v>41470.0</v>
      </c>
      <c r="N3246" s="40">
        <v>41477.0</v>
      </c>
      <c r="O3246" s="15" t="s">
        <v>1554</v>
      </c>
      <c r="Q3246" s="7"/>
    </row>
    <row r="3247">
      <c r="A3247" s="39" t="s">
        <v>13594</v>
      </c>
      <c r="B3247" s="15">
        <v>1173766.0</v>
      </c>
      <c r="C3247" s="15" t="s">
        <v>13595</v>
      </c>
      <c r="D3247" s="15">
        <v>212716.0</v>
      </c>
      <c r="E3247" s="15" t="s">
        <v>1557</v>
      </c>
      <c r="F3247" s="15" t="s">
        <v>1767</v>
      </c>
      <c r="G3247" s="7">
        <v>135.281</v>
      </c>
      <c r="H3247" s="15" t="s">
        <v>3554</v>
      </c>
      <c r="I3247" s="15" t="s">
        <v>1586</v>
      </c>
      <c r="J3247" s="15" t="s">
        <v>13596</v>
      </c>
      <c r="K3247" s="15">
        <v>206.0</v>
      </c>
      <c r="L3247" s="15">
        <v>189.0</v>
      </c>
      <c r="M3247" s="40">
        <v>41455.0</v>
      </c>
      <c r="N3247" s="40">
        <v>41851.0</v>
      </c>
      <c r="O3247" s="15" t="s">
        <v>1554</v>
      </c>
      <c r="Q3247" s="7"/>
    </row>
    <row r="3248">
      <c r="A3248" s="39" t="s">
        <v>13597</v>
      </c>
      <c r="B3248" s="15">
        <v>1173749.0</v>
      </c>
      <c r="C3248" s="15" t="s">
        <v>13598</v>
      </c>
      <c r="D3248" s="15">
        <v>212717.0</v>
      </c>
      <c r="E3248" s="15" t="s">
        <v>1557</v>
      </c>
      <c r="F3248" s="15" t="s">
        <v>1833</v>
      </c>
      <c r="G3248" s="7">
        <v>42.215</v>
      </c>
      <c r="H3248" s="15" t="s">
        <v>2324</v>
      </c>
      <c r="I3248" s="15" t="s">
        <v>1586</v>
      </c>
      <c r="J3248" s="15" t="s">
        <v>13599</v>
      </c>
      <c r="K3248" s="15">
        <v>59.0</v>
      </c>
      <c r="L3248" s="15">
        <v>59.0</v>
      </c>
      <c r="M3248" s="40">
        <v>41470.0</v>
      </c>
      <c r="N3248" s="40">
        <v>41477.0</v>
      </c>
      <c r="O3248" s="15" t="s">
        <v>1554</v>
      </c>
      <c r="Q3248" s="7"/>
    </row>
    <row r="3249">
      <c r="A3249" s="39" t="s">
        <v>13600</v>
      </c>
      <c r="B3249" s="15">
        <v>1173762.0</v>
      </c>
      <c r="C3249" s="15" t="s">
        <v>13601</v>
      </c>
      <c r="D3249" s="15">
        <v>212719.0</v>
      </c>
      <c r="E3249" s="15" t="s">
        <v>1557</v>
      </c>
      <c r="F3249" s="15" t="s">
        <v>1611</v>
      </c>
      <c r="G3249" s="7">
        <v>72.098</v>
      </c>
      <c r="H3249" s="15" t="s">
        <v>6418</v>
      </c>
      <c r="I3249" s="15" t="s">
        <v>1586</v>
      </c>
      <c r="J3249" s="15" t="s">
        <v>13602</v>
      </c>
      <c r="K3249" s="15">
        <v>92.0</v>
      </c>
      <c r="L3249" s="15">
        <v>82.0</v>
      </c>
      <c r="M3249" s="40">
        <v>41470.0</v>
      </c>
      <c r="N3249" s="40">
        <v>41547.0</v>
      </c>
      <c r="O3249" s="15" t="s">
        <v>1554</v>
      </c>
      <c r="Q3249" s="7"/>
    </row>
    <row r="3250">
      <c r="A3250" s="39" t="s">
        <v>13603</v>
      </c>
      <c r="B3250" s="15">
        <v>1182515.0</v>
      </c>
      <c r="D3250" s="15">
        <v>0.0</v>
      </c>
      <c r="E3250" s="15" t="s">
        <v>1557</v>
      </c>
      <c r="F3250" s="15" t="s">
        <v>1767</v>
      </c>
      <c r="G3250" s="7">
        <v>34.719</v>
      </c>
      <c r="H3250" s="15" t="s">
        <v>2118</v>
      </c>
      <c r="I3250" s="15" t="s">
        <v>1586</v>
      </c>
      <c r="J3250" s="15" t="s">
        <v>13605</v>
      </c>
      <c r="K3250" s="15">
        <v>52.0</v>
      </c>
      <c r="L3250" s="15">
        <v>52.0</v>
      </c>
      <c r="M3250" s="40">
        <v>41447.0</v>
      </c>
      <c r="N3250" s="40">
        <v>41447.0</v>
      </c>
      <c r="O3250" s="15" t="s">
        <v>1554</v>
      </c>
      <c r="Q3250" s="7"/>
    </row>
    <row r="3251">
      <c r="A3251" s="39" t="s">
        <v>13606</v>
      </c>
      <c r="B3251" s="15">
        <v>1173754.0</v>
      </c>
      <c r="C3251" s="15" t="s">
        <v>13607</v>
      </c>
      <c r="D3251" s="15">
        <v>212718.0</v>
      </c>
      <c r="E3251" s="15" t="s">
        <v>1557</v>
      </c>
      <c r="F3251" s="15" t="s">
        <v>1833</v>
      </c>
      <c r="G3251" s="7">
        <v>59.746</v>
      </c>
      <c r="H3251" s="15" t="s">
        <v>4542</v>
      </c>
      <c r="I3251" s="15" t="s">
        <v>1586</v>
      </c>
      <c r="J3251" s="15" t="s">
        <v>13608</v>
      </c>
      <c r="K3251" s="15">
        <v>71.0</v>
      </c>
      <c r="L3251" s="15">
        <v>71.0</v>
      </c>
      <c r="M3251" s="40">
        <v>41470.0</v>
      </c>
      <c r="N3251" s="40">
        <v>41477.0</v>
      </c>
      <c r="O3251" s="15" t="s">
        <v>1554</v>
      </c>
      <c r="Q3251" s="7"/>
    </row>
    <row r="3252">
      <c r="A3252" s="39" t="s">
        <v>13609</v>
      </c>
      <c r="B3252" s="15">
        <v>1010616.0</v>
      </c>
      <c r="C3252" s="15" t="s">
        <v>13610</v>
      </c>
      <c r="D3252" s="15">
        <v>213013.0</v>
      </c>
      <c r="E3252" s="15" t="s">
        <v>1548</v>
      </c>
      <c r="F3252" s="15" t="s">
        <v>2032</v>
      </c>
      <c r="G3252" s="7">
        <v>6.277</v>
      </c>
      <c r="H3252" s="15">
        <v>50.0</v>
      </c>
      <c r="I3252" s="15" t="s">
        <v>2034</v>
      </c>
      <c r="J3252" s="15" t="s">
        <v>13611</v>
      </c>
      <c r="K3252" s="15">
        <v>3.0</v>
      </c>
      <c r="L3252" s="15">
        <v>3.0</v>
      </c>
      <c r="M3252" s="40">
        <v>41476.0</v>
      </c>
      <c r="N3252" s="40">
        <v>41523.0</v>
      </c>
      <c r="O3252" s="15" t="s">
        <v>1554</v>
      </c>
      <c r="Q3252" s="7"/>
    </row>
    <row r="3253">
      <c r="A3253" s="39" t="s">
        <v>13612</v>
      </c>
      <c r="B3253" s="15">
        <v>1327970.0</v>
      </c>
      <c r="C3253" s="15" t="s">
        <v>13614</v>
      </c>
      <c r="D3253" s="15">
        <v>212942.0</v>
      </c>
      <c r="E3253" s="15" t="s">
        <v>1557</v>
      </c>
      <c r="F3253" s="15" t="s">
        <v>1833</v>
      </c>
      <c r="G3253" s="7">
        <v>57.447</v>
      </c>
      <c r="H3253" s="15" t="s">
        <v>13615</v>
      </c>
      <c r="I3253" s="15" t="s">
        <v>1586</v>
      </c>
      <c r="J3253" s="15" t="s">
        <v>13616</v>
      </c>
      <c r="K3253" s="15">
        <v>118.0</v>
      </c>
      <c r="L3253" s="15">
        <v>114.0</v>
      </c>
      <c r="M3253" s="40">
        <v>41454.0</v>
      </c>
      <c r="N3253" s="40">
        <v>42374.0</v>
      </c>
      <c r="O3253" s="15" t="s">
        <v>1554</v>
      </c>
      <c r="Q3253" s="7"/>
    </row>
    <row r="3254">
      <c r="A3254" s="39" t="s">
        <v>13617</v>
      </c>
      <c r="B3254" s="15">
        <v>1327969.0</v>
      </c>
      <c r="C3254" s="15" t="s">
        <v>13618</v>
      </c>
      <c r="D3254" s="15">
        <v>212943.0</v>
      </c>
      <c r="E3254" s="15" t="s">
        <v>1808</v>
      </c>
      <c r="F3254" s="15" t="s">
        <v>3154</v>
      </c>
      <c r="G3254" s="7">
        <v>6.453</v>
      </c>
      <c r="H3254" s="15" t="s">
        <v>11674</v>
      </c>
      <c r="I3254" s="15" t="s">
        <v>1586</v>
      </c>
      <c r="J3254" s="15" t="s">
        <v>13619</v>
      </c>
      <c r="K3254" s="15">
        <v>13.0</v>
      </c>
      <c r="L3254" s="15">
        <v>13.0</v>
      </c>
      <c r="M3254" s="40">
        <v>41454.0</v>
      </c>
      <c r="N3254" s="40">
        <v>42374.0</v>
      </c>
      <c r="O3254" s="15" t="s">
        <v>1554</v>
      </c>
      <c r="Q3254" s="7"/>
    </row>
    <row r="3255">
      <c r="A3255" s="39" t="s">
        <v>13620</v>
      </c>
      <c r="B3255" s="15">
        <v>1327971.0</v>
      </c>
      <c r="C3255" s="15" t="s">
        <v>13621</v>
      </c>
      <c r="D3255" s="15">
        <v>212945.0</v>
      </c>
      <c r="E3255" s="15" t="s">
        <v>1557</v>
      </c>
      <c r="F3255" s="15" t="s">
        <v>1611</v>
      </c>
      <c r="G3255" s="7">
        <v>75.994</v>
      </c>
      <c r="H3255" s="15" t="s">
        <v>11241</v>
      </c>
      <c r="I3255" s="15" t="s">
        <v>1586</v>
      </c>
      <c r="J3255" s="15" t="s">
        <v>13623</v>
      </c>
      <c r="K3255" s="15">
        <v>130.0</v>
      </c>
      <c r="L3255" s="15">
        <v>129.0</v>
      </c>
      <c r="M3255" s="40">
        <v>41454.0</v>
      </c>
      <c r="N3255" s="40">
        <v>42374.0</v>
      </c>
      <c r="O3255" s="15" t="s">
        <v>1554</v>
      </c>
      <c r="Q3255" s="7"/>
    </row>
    <row r="3256">
      <c r="A3256" s="39" t="s">
        <v>13624</v>
      </c>
      <c r="B3256" s="15">
        <v>1173747.0</v>
      </c>
      <c r="C3256" s="15" t="s">
        <v>13625</v>
      </c>
      <c r="D3256" s="15">
        <v>212948.0</v>
      </c>
      <c r="E3256" s="15" t="s">
        <v>1557</v>
      </c>
      <c r="F3256" s="15" t="s">
        <v>1833</v>
      </c>
      <c r="G3256" s="7">
        <v>64.756</v>
      </c>
      <c r="H3256" s="15" t="s">
        <v>2752</v>
      </c>
      <c r="I3256" s="15" t="s">
        <v>1586</v>
      </c>
      <c r="J3256" s="15" t="s">
        <v>13626</v>
      </c>
      <c r="K3256" s="15">
        <v>114.0</v>
      </c>
      <c r="L3256" s="15">
        <v>114.0</v>
      </c>
      <c r="M3256" s="40">
        <v>41455.0</v>
      </c>
      <c r="N3256" s="40">
        <v>41851.0</v>
      </c>
      <c r="O3256" s="15" t="s">
        <v>1554</v>
      </c>
      <c r="Q3256" s="7"/>
    </row>
    <row r="3257">
      <c r="A3257" s="39" t="s">
        <v>13627</v>
      </c>
      <c r="B3257" s="15">
        <v>1005056.0</v>
      </c>
      <c r="C3257" s="15" t="s">
        <v>13628</v>
      </c>
      <c r="D3257" s="15">
        <v>212949.0</v>
      </c>
      <c r="E3257" s="15" t="s">
        <v>1557</v>
      </c>
      <c r="F3257" s="15" t="s">
        <v>1833</v>
      </c>
      <c r="G3257" s="7">
        <v>59.254</v>
      </c>
      <c r="H3257" s="15" t="s">
        <v>1966</v>
      </c>
      <c r="I3257" s="15" t="s">
        <v>1586</v>
      </c>
      <c r="J3257" s="15" t="s">
        <v>13629</v>
      </c>
      <c r="K3257" s="15">
        <v>73.0</v>
      </c>
      <c r="L3257" s="15">
        <v>73.0</v>
      </c>
      <c r="M3257" s="40">
        <v>41448.0</v>
      </c>
      <c r="N3257" s="40">
        <v>41745.0</v>
      </c>
      <c r="O3257" s="15" t="s">
        <v>1554</v>
      </c>
      <c r="Q3257" s="7"/>
    </row>
    <row r="3258">
      <c r="A3258" s="39" t="s">
        <v>13631</v>
      </c>
      <c r="B3258" s="15">
        <v>1352230.0</v>
      </c>
      <c r="C3258" s="15" t="s">
        <v>13632</v>
      </c>
      <c r="D3258" s="15">
        <v>212950.0</v>
      </c>
      <c r="E3258" s="15" t="s">
        <v>1557</v>
      </c>
      <c r="F3258" s="15" t="s">
        <v>1578</v>
      </c>
      <c r="G3258" s="7">
        <v>38.099</v>
      </c>
      <c r="H3258" s="15" t="s">
        <v>1983</v>
      </c>
      <c r="I3258" s="15" t="s">
        <v>1586</v>
      </c>
      <c r="J3258" s="15" t="s">
        <v>13633</v>
      </c>
      <c r="K3258" s="15">
        <v>60.0</v>
      </c>
      <c r="L3258" s="15">
        <v>60.0</v>
      </c>
      <c r="M3258" s="40">
        <v>41467.0</v>
      </c>
      <c r="N3258" s="40">
        <v>41530.0</v>
      </c>
      <c r="O3258" s="15" t="s">
        <v>1554</v>
      </c>
      <c r="Q3258" s="7"/>
    </row>
    <row r="3259">
      <c r="A3259" s="39" t="s">
        <v>13634</v>
      </c>
      <c r="B3259" s="15">
        <v>1324128.0</v>
      </c>
      <c r="C3259" s="15" t="s">
        <v>13635</v>
      </c>
      <c r="D3259" s="15">
        <v>212951.0</v>
      </c>
      <c r="E3259" s="15" t="s">
        <v>1548</v>
      </c>
      <c r="F3259" s="15" t="s">
        <v>1911</v>
      </c>
      <c r="G3259" s="7">
        <v>9.499</v>
      </c>
      <c r="H3259" s="15">
        <v>43.0</v>
      </c>
      <c r="I3259" s="15" t="s">
        <v>1628</v>
      </c>
      <c r="J3259" s="15" t="s">
        <v>13636</v>
      </c>
      <c r="K3259" s="15">
        <v>11.0</v>
      </c>
      <c r="L3259" s="15">
        <v>2.0</v>
      </c>
      <c r="M3259" s="40">
        <v>41472.0</v>
      </c>
      <c r="N3259" s="40">
        <v>41688.0</v>
      </c>
      <c r="O3259" s="15" t="s">
        <v>1554</v>
      </c>
      <c r="Q3259" s="7"/>
    </row>
    <row r="3260">
      <c r="A3260" s="39" t="s">
        <v>13637</v>
      </c>
      <c r="B3260" s="15">
        <v>1328029.0</v>
      </c>
      <c r="C3260" s="15" t="s">
        <v>13639</v>
      </c>
      <c r="D3260" s="15">
        <v>212952.0</v>
      </c>
      <c r="E3260" s="15" t="s">
        <v>1557</v>
      </c>
      <c r="F3260" s="15" t="s">
        <v>1611</v>
      </c>
      <c r="G3260" s="7">
        <v>145.865</v>
      </c>
      <c r="H3260" s="15" t="s">
        <v>3022</v>
      </c>
      <c r="I3260" s="15" t="s">
        <v>1586</v>
      </c>
      <c r="J3260" s="15" t="s">
        <v>13640</v>
      </c>
      <c r="K3260" s="15">
        <v>221.0</v>
      </c>
      <c r="L3260" s="15">
        <v>197.0</v>
      </c>
      <c r="M3260" s="40">
        <v>41454.0</v>
      </c>
      <c r="N3260" s="40">
        <v>42374.0</v>
      </c>
      <c r="O3260" s="15" t="s">
        <v>1554</v>
      </c>
      <c r="Q3260" s="7"/>
    </row>
    <row r="3261">
      <c r="A3261" s="39" t="s">
        <v>13641</v>
      </c>
      <c r="B3261" s="15">
        <v>1328030.0</v>
      </c>
      <c r="C3261" s="15" t="s">
        <v>13642</v>
      </c>
      <c r="D3261" s="15">
        <v>212953.0</v>
      </c>
      <c r="E3261" s="15" t="s">
        <v>1557</v>
      </c>
      <c r="F3261" s="15" t="s">
        <v>1611</v>
      </c>
      <c r="G3261" s="7">
        <v>72.369</v>
      </c>
      <c r="H3261" s="15" t="s">
        <v>13643</v>
      </c>
      <c r="I3261" s="15" t="s">
        <v>1586</v>
      </c>
      <c r="J3261" s="15" t="s">
        <v>13644</v>
      </c>
      <c r="K3261" s="15">
        <v>128.0</v>
      </c>
      <c r="L3261" s="15">
        <v>127.0</v>
      </c>
      <c r="M3261" s="40">
        <v>41454.0</v>
      </c>
      <c r="N3261" s="40">
        <v>42374.0</v>
      </c>
      <c r="O3261" s="15" t="s">
        <v>1554</v>
      </c>
      <c r="Q3261" s="7"/>
    </row>
    <row r="3262">
      <c r="A3262" s="39" t="s">
        <v>13645</v>
      </c>
      <c r="B3262" s="15">
        <v>1327990.0</v>
      </c>
      <c r="C3262" s="15" t="s">
        <v>13646</v>
      </c>
      <c r="D3262" s="15">
        <v>212954.0</v>
      </c>
      <c r="E3262" s="15" t="s">
        <v>1557</v>
      </c>
      <c r="F3262" s="15" t="s">
        <v>1611</v>
      </c>
      <c r="G3262" s="7">
        <v>100.418</v>
      </c>
      <c r="H3262" s="42">
        <v>43280.0</v>
      </c>
      <c r="I3262" s="15" t="s">
        <v>1586</v>
      </c>
      <c r="J3262" s="15" t="s">
        <v>13647</v>
      </c>
      <c r="K3262" s="15">
        <v>133.0</v>
      </c>
      <c r="L3262" s="15">
        <v>133.0</v>
      </c>
      <c r="M3262" s="40">
        <v>41454.0</v>
      </c>
      <c r="N3262" s="40">
        <v>42374.0</v>
      </c>
      <c r="O3262" s="15" t="s">
        <v>1554</v>
      </c>
      <c r="Q3262" s="7"/>
    </row>
    <row r="3263">
      <c r="A3263" s="39" t="s">
        <v>13649</v>
      </c>
      <c r="B3263" s="15">
        <v>1347760.0</v>
      </c>
      <c r="C3263" s="15" t="s">
        <v>13650</v>
      </c>
      <c r="D3263" s="15">
        <v>212955.0</v>
      </c>
      <c r="E3263" s="15" t="s">
        <v>1557</v>
      </c>
      <c r="F3263" s="15" t="s">
        <v>1833</v>
      </c>
      <c r="G3263" s="7">
        <v>42.902</v>
      </c>
      <c r="H3263" s="15" t="s">
        <v>3260</v>
      </c>
      <c r="I3263" s="15" t="s">
        <v>1586</v>
      </c>
      <c r="J3263" s="15" t="s">
        <v>13651</v>
      </c>
      <c r="K3263" s="15">
        <v>58.0</v>
      </c>
      <c r="L3263" s="15">
        <v>58.0</v>
      </c>
      <c r="M3263" s="40">
        <v>41455.0</v>
      </c>
      <c r="N3263" s="41">
        <v>41575.0</v>
      </c>
      <c r="O3263" s="15" t="s">
        <v>1554</v>
      </c>
      <c r="Q3263" s="7"/>
    </row>
    <row r="3264">
      <c r="A3264" s="39" t="s">
        <v>13652</v>
      </c>
      <c r="B3264" s="15">
        <v>1327987.0</v>
      </c>
      <c r="C3264" s="15" t="s">
        <v>13653</v>
      </c>
      <c r="D3264" s="15">
        <v>212956.0</v>
      </c>
      <c r="E3264" s="15" t="s">
        <v>1808</v>
      </c>
      <c r="F3264" s="15" t="s">
        <v>3154</v>
      </c>
      <c r="G3264" s="7">
        <v>6.478</v>
      </c>
      <c r="H3264" s="15">
        <v>34.0</v>
      </c>
      <c r="I3264" s="15" t="s">
        <v>1586</v>
      </c>
      <c r="J3264" s="15" t="s">
        <v>13654</v>
      </c>
      <c r="K3264" s="15">
        <v>13.0</v>
      </c>
      <c r="L3264" s="15">
        <v>13.0</v>
      </c>
      <c r="M3264" s="40">
        <v>41454.0</v>
      </c>
      <c r="N3264" s="40">
        <v>42374.0</v>
      </c>
      <c r="O3264" s="15" t="s">
        <v>1554</v>
      </c>
      <c r="Q3264" s="7"/>
    </row>
    <row r="3265">
      <c r="A3265" s="39" t="s">
        <v>13655</v>
      </c>
      <c r="B3265" s="15">
        <v>1327982.0</v>
      </c>
      <c r="C3265" s="15" t="s">
        <v>13656</v>
      </c>
      <c r="D3265" s="15">
        <v>212959.0</v>
      </c>
      <c r="E3265" s="15" t="s">
        <v>1557</v>
      </c>
      <c r="F3265" s="15" t="s">
        <v>1833</v>
      </c>
      <c r="G3265" s="7">
        <v>39.189</v>
      </c>
      <c r="H3265" s="15" t="s">
        <v>4595</v>
      </c>
      <c r="I3265" s="15" t="s">
        <v>1586</v>
      </c>
      <c r="J3265" s="15" t="s">
        <v>13657</v>
      </c>
      <c r="K3265" s="15">
        <v>65.0</v>
      </c>
      <c r="L3265" s="15">
        <v>65.0</v>
      </c>
      <c r="M3265" s="40">
        <v>41454.0</v>
      </c>
      <c r="N3265" s="40">
        <v>42374.0</v>
      </c>
      <c r="O3265" s="15" t="s">
        <v>1554</v>
      </c>
      <c r="Q3265" s="7"/>
    </row>
    <row r="3266">
      <c r="A3266" s="39" t="s">
        <v>13659</v>
      </c>
      <c r="B3266" s="15">
        <v>1327983.0</v>
      </c>
      <c r="C3266" s="15" t="s">
        <v>13660</v>
      </c>
      <c r="D3266" s="15">
        <v>212960.0</v>
      </c>
      <c r="E3266" s="15" t="s">
        <v>1557</v>
      </c>
      <c r="F3266" s="15" t="s">
        <v>1611</v>
      </c>
      <c r="G3266" s="7">
        <v>71.443</v>
      </c>
      <c r="H3266" s="15" t="s">
        <v>13643</v>
      </c>
      <c r="I3266" s="15" t="s">
        <v>1586</v>
      </c>
      <c r="J3266" s="15" t="s">
        <v>13661</v>
      </c>
      <c r="K3266" s="15">
        <v>123.0</v>
      </c>
      <c r="L3266" s="15">
        <v>123.0</v>
      </c>
      <c r="M3266" s="40">
        <v>41454.0</v>
      </c>
      <c r="N3266" s="40">
        <v>42374.0</v>
      </c>
      <c r="O3266" s="15" t="s">
        <v>1554</v>
      </c>
      <c r="Q3266" s="7"/>
    </row>
    <row r="3267">
      <c r="A3267" s="39" t="s">
        <v>13662</v>
      </c>
      <c r="B3267" s="15">
        <v>1327974.0</v>
      </c>
      <c r="C3267" s="15" t="s">
        <v>13663</v>
      </c>
      <c r="D3267" s="15">
        <v>212961.0</v>
      </c>
      <c r="E3267" s="15" t="s">
        <v>1557</v>
      </c>
      <c r="F3267" s="15" t="s">
        <v>1833</v>
      </c>
      <c r="G3267" s="7">
        <v>34.844</v>
      </c>
      <c r="H3267" s="15" t="s">
        <v>2824</v>
      </c>
      <c r="I3267" s="15" t="s">
        <v>1586</v>
      </c>
      <c r="J3267" s="15" t="s">
        <v>13664</v>
      </c>
      <c r="K3267" s="15">
        <v>54.0</v>
      </c>
      <c r="L3267" s="15">
        <v>54.0</v>
      </c>
      <c r="M3267" s="40">
        <v>41454.0</v>
      </c>
      <c r="N3267" s="40">
        <v>42374.0</v>
      </c>
      <c r="O3267" s="15" t="s">
        <v>1554</v>
      </c>
      <c r="Q3267" s="7"/>
    </row>
    <row r="3268">
      <c r="A3268" s="39" t="s">
        <v>13665</v>
      </c>
      <c r="B3268" s="15">
        <v>1327980.0</v>
      </c>
      <c r="C3268" s="15" t="s">
        <v>13666</v>
      </c>
      <c r="D3268" s="15">
        <v>212962.0</v>
      </c>
      <c r="E3268" s="15" t="s">
        <v>1557</v>
      </c>
      <c r="F3268" s="15" t="s">
        <v>1833</v>
      </c>
      <c r="G3268" s="7">
        <v>38.776</v>
      </c>
      <c r="H3268" s="15" t="s">
        <v>4595</v>
      </c>
      <c r="I3268" s="15" t="s">
        <v>1586</v>
      </c>
      <c r="J3268" s="15" t="s">
        <v>13667</v>
      </c>
      <c r="K3268" s="15">
        <v>65.0</v>
      </c>
      <c r="L3268" s="15">
        <v>65.0</v>
      </c>
      <c r="M3268" s="40">
        <v>41454.0</v>
      </c>
      <c r="N3268" s="40">
        <v>42374.0</v>
      </c>
      <c r="O3268" s="15" t="s">
        <v>1554</v>
      </c>
      <c r="Q3268" s="7"/>
    </row>
    <row r="3269">
      <c r="A3269" s="39" t="s">
        <v>13669</v>
      </c>
      <c r="B3269" s="15">
        <v>1327985.0</v>
      </c>
      <c r="C3269" s="15" t="s">
        <v>13670</v>
      </c>
      <c r="D3269" s="15">
        <v>212963.0</v>
      </c>
      <c r="E3269" s="15" t="s">
        <v>1557</v>
      </c>
      <c r="F3269" s="15" t="s">
        <v>1611</v>
      </c>
      <c r="G3269" s="7">
        <v>72.961</v>
      </c>
      <c r="H3269" s="15" t="s">
        <v>3022</v>
      </c>
      <c r="I3269" s="15" t="s">
        <v>1586</v>
      </c>
      <c r="J3269" s="15" t="s">
        <v>13671</v>
      </c>
      <c r="K3269" s="15">
        <v>121.0</v>
      </c>
      <c r="L3269" s="15">
        <v>121.0</v>
      </c>
      <c r="M3269" s="40">
        <v>41454.0</v>
      </c>
      <c r="N3269" s="40">
        <v>42374.0</v>
      </c>
      <c r="O3269" s="15" t="s">
        <v>1554</v>
      </c>
      <c r="Q3269" s="7"/>
    </row>
    <row r="3270">
      <c r="A3270" s="39" t="s">
        <v>13672</v>
      </c>
      <c r="B3270" s="15">
        <v>1327972.0</v>
      </c>
      <c r="C3270" s="15" t="s">
        <v>13673</v>
      </c>
      <c r="D3270" s="15">
        <v>212965.0</v>
      </c>
      <c r="E3270" s="15" t="s">
        <v>1557</v>
      </c>
      <c r="F3270" s="15" t="s">
        <v>1611</v>
      </c>
      <c r="G3270" s="7">
        <v>145.343</v>
      </c>
      <c r="H3270" s="15" t="s">
        <v>3022</v>
      </c>
      <c r="I3270" s="15" t="s">
        <v>1586</v>
      </c>
      <c r="J3270" s="15" t="s">
        <v>13674</v>
      </c>
      <c r="K3270" s="15">
        <v>221.0</v>
      </c>
      <c r="L3270" s="15">
        <v>198.0</v>
      </c>
      <c r="M3270" s="40">
        <v>41454.0</v>
      </c>
      <c r="N3270" s="40">
        <v>42374.0</v>
      </c>
      <c r="O3270" s="15" t="s">
        <v>1554</v>
      </c>
      <c r="Q3270" s="7"/>
    </row>
    <row r="3271">
      <c r="A3271" s="39" t="s">
        <v>13675</v>
      </c>
      <c r="B3271" s="15">
        <v>1327976.0</v>
      </c>
      <c r="C3271" s="15" t="s">
        <v>13676</v>
      </c>
      <c r="D3271" s="15">
        <v>212966.0</v>
      </c>
      <c r="E3271" s="15" t="s">
        <v>1557</v>
      </c>
      <c r="F3271" s="15" t="s">
        <v>1833</v>
      </c>
      <c r="G3271" s="7">
        <v>39.148</v>
      </c>
      <c r="H3271" s="15" t="s">
        <v>2752</v>
      </c>
      <c r="I3271" s="15" t="s">
        <v>1586</v>
      </c>
      <c r="J3271" s="15" t="s">
        <v>13678</v>
      </c>
      <c r="K3271" s="15">
        <v>64.0</v>
      </c>
      <c r="L3271" s="15">
        <v>64.0</v>
      </c>
      <c r="M3271" s="40">
        <v>41454.0</v>
      </c>
      <c r="N3271" s="40">
        <v>42374.0</v>
      </c>
      <c r="O3271" s="15" t="s">
        <v>1554</v>
      </c>
      <c r="Q3271" s="7"/>
    </row>
    <row r="3272">
      <c r="A3272" s="39" t="s">
        <v>13679</v>
      </c>
      <c r="B3272" s="15">
        <v>1173748.0</v>
      </c>
      <c r="C3272" s="15" t="s">
        <v>13680</v>
      </c>
      <c r="D3272" s="15">
        <v>212944.0</v>
      </c>
      <c r="E3272" s="15" t="s">
        <v>1557</v>
      </c>
      <c r="F3272" s="15" t="s">
        <v>1833</v>
      </c>
      <c r="G3272" s="7">
        <v>65.132</v>
      </c>
      <c r="H3272" s="15" t="s">
        <v>3317</v>
      </c>
      <c r="I3272" s="15" t="s">
        <v>1586</v>
      </c>
      <c r="J3272" s="15" t="s">
        <v>13681</v>
      </c>
      <c r="K3272" s="15">
        <v>113.0</v>
      </c>
      <c r="L3272" s="15">
        <v>113.0</v>
      </c>
      <c r="M3272" s="40">
        <v>41455.0</v>
      </c>
      <c r="N3272" s="40">
        <v>41851.0</v>
      </c>
      <c r="O3272" s="15" t="s">
        <v>1554</v>
      </c>
      <c r="Q3272" s="7"/>
    </row>
    <row r="3273">
      <c r="A3273" s="39" t="s">
        <v>13683</v>
      </c>
      <c r="B3273" s="15">
        <v>1327968.0</v>
      </c>
      <c r="C3273" s="15" t="s">
        <v>13684</v>
      </c>
      <c r="D3273" s="15">
        <v>212947.0</v>
      </c>
      <c r="E3273" s="15" t="s">
        <v>1808</v>
      </c>
      <c r="F3273" s="15" t="s">
        <v>1578</v>
      </c>
      <c r="G3273" s="7">
        <v>11.703</v>
      </c>
      <c r="H3273" s="42">
        <v>43309.0</v>
      </c>
      <c r="I3273" s="15" t="s">
        <v>1586</v>
      </c>
      <c r="J3273" s="15" t="s">
        <v>13685</v>
      </c>
      <c r="K3273" s="15">
        <v>29.0</v>
      </c>
      <c r="L3273" s="15">
        <v>29.0</v>
      </c>
      <c r="M3273" s="40">
        <v>41454.0</v>
      </c>
      <c r="N3273" s="40">
        <v>42374.0</v>
      </c>
      <c r="O3273" s="15" t="s">
        <v>1554</v>
      </c>
      <c r="Q3273" s="7"/>
    </row>
    <row r="3274">
      <c r="A3274" s="39" t="s">
        <v>13686</v>
      </c>
      <c r="B3274" s="15">
        <v>1327981.0</v>
      </c>
      <c r="C3274" s="15" t="s">
        <v>13687</v>
      </c>
      <c r="D3274" s="15">
        <v>212964.0</v>
      </c>
      <c r="E3274" s="15" t="s">
        <v>1557</v>
      </c>
      <c r="F3274" s="15" t="s">
        <v>1833</v>
      </c>
      <c r="G3274" s="7">
        <v>53.664</v>
      </c>
      <c r="H3274" s="42">
        <v>43251.0</v>
      </c>
      <c r="I3274" s="15" t="s">
        <v>1586</v>
      </c>
      <c r="J3274" s="15" t="s">
        <v>13688</v>
      </c>
      <c r="K3274" s="15">
        <v>109.0</v>
      </c>
      <c r="L3274" s="15">
        <v>106.0</v>
      </c>
      <c r="M3274" s="40">
        <v>41454.0</v>
      </c>
      <c r="N3274" s="40">
        <v>42374.0</v>
      </c>
      <c r="O3274" s="15" t="s">
        <v>1554</v>
      </c>
      <c r="Q3274" s="7"/>
    </row>
    <row r="3275">
      <c r="A3275" s="39" t="s">
        <v>13689</v>
      </c>
      <c r="B3275" s="15">
        <v>207656.0</v>
      </c>
      <c r="C3275" s="15" t="s">
        <v>13690</v>
      </c>
      <c r="D3275" s="15">
        <v>213017.0</v>
      </c>
      <c r="E3275" s="15" t="s">
        <v>1557</v>
      </c>
      <c r="F3275" s="15" t="s">
        <v>1767</v>
      </c>
      <c r="G3275" s="7">
        <v>155.631</v>
      </c>
      <c r="H3275" s="15" t="s">
        <v>2950</v>
      </c>
      <c r="I3275" s="15" t="s">
        <v>1586</v>
      </c>
      <c r="J3275" s="15" t="s">
        <v>13692</v>
      </c>
      <c r="K3275" s="15">
        <v>223.0</v>
      </c>
      <c r="L3275" s="15">
        <v>219.0</v>
      </c>
      <c r="M3275" s="40">
        <v>41457.0</v>
      </c>
      <c r="N3275" s="40">
        <v>41503.0</v>
      </c>
      <c r="O3275" s="15" t="s">
        <v>1554</v>
      </c>
      <c r="Q3275" s="7"/>
    </row>
    <row r="3276">
      <c r="A3276" s="39" t="s">
        <v>13693</v>
      </c>
      <c r="B3276" s="15">
        <v>1325731.0</v>
      </c>
      <c r="C3276" s="15" t="s">
        <v>13694</v>
      </c>
      <c r="D3276" s="15">
        <v>213018.0</v>
      </c>
      <c r="E3276" s="15" t="s">
        <v>1557</v>
      </c>
      <c r="F3276" s="15" t="s">
        <v>1578</v>
      </c>
      <c r="G3276" s="7">
        <v>46.978</v>
      </c>
      <c r="H3276" s="15" t="s">
        <v>13695</v>
      </c>
      <c r="I3276" s="15" t="s">
        <v>1586</v>
      </c>
      <c r="J3276" s="15" t="s">
        <v>13696</v>
      </c>
      <c r="K3276" s="15">
        <v>63.0</v>
      </c>
      <c r="L3276" s="15">
        <v>63.0</v>
      </c>
      <c r="M3276" s="40">
        <v>41441.0</v>
      </c>
      <c r="N3276" s="40">
        <v>41724.0</v>
      </c>
      <c r="O3276" s="15" t="s">
        <v>1554</v>
      </c>
      <c r="Q3276" s="7"/>
    </row>
    <row r="3277">
      <c r="A3277" s="39" t="s">
        <v>13697</v>
      </c>
      <c r="B3277" s="15">
        <v>1349409.0</v>
      </c>
      <c r="C3277" s="15" t="s">
        <v>13698</v>
      </c>
      <c r="D3277" s="15">
        <v>213019.0</v>
      </c>
      <c r="E3277" s="15" t="s">
        <v>1557</v>
      </c>
      <c r="F3277" s="15" t="s">
        <v>1578</v>
      </c>
      <c r="G3277" s="7">
        <v>1908.52</v>
      </c>
      <c r="H3277" s="15" t="s">
        <v>3029</v>
      </c>
      <c r="I3277" s="15" t="s">
        <v>1740</v>
      </c>
      <c r="J3277" s="15" t="s">
        <v>13699</v>
      </c>
      <c r="K3277" s="15">
        <v>1339.0</v>
      </c>
      <c r="L3277" s="15">
        <v>1070.0</v>
      </c>
      <c r="M3277" s="40">
        <v>41474.0</v>
      </c>
      <c r="N3277" s="40">
        <v>43006.0</v>
      </c>
      <c r="O3277" s="15" t="s">
        <v>1554</v>
      </c>
      <c r="Q3277" s="7"/>
    </row>
    <row r="3278">
      <c r="A3278" s="39" t="s">
        <v>13701</v>
      </c>
      <c r="B3278" s="15">
        <v>1354496.0</v>
      </c>
      <c r="C3278" s="15" t="s">
        <v>13702</v>
      </c>
      <c r="D3278" s="15">
        <v>213020.0</v>
      </c>
      <c r="E3278" s="15" t="s">
        <v>1808</v>
      </c>
      <c r="F3278" s="15" t="s">
        <v>2969</v>
      </c>
      <c r="G3278" s="7">
        <v>7.219</v>
      </c>
      <c r="H3278" s="15" t="s">
        <v>4614</v>
      </c>
      <c r="I3278" s="15" t="s">
        <v>1586</v>
      </c>
      <c r="J3278" s="15" t="s">
        <v>13703</v>
      </c>
      <c r="K3278" s="15">
        <v>9.0</v>
      </c>
      <c r="L3278" s="15">
        <v>9.0</v>
      </c>
      <c r="M3278" s="40">
        <v>41468.0</v>
      </c>
      <c r="N3278" s="40">
        <v>41503.0</v>
      </c>
      <c r="O3278" s="15" t="s">
        <v>2353</v>
      </c>
      <c r="Q3278" s="7"/>
    </row>
    <row r="3279">
      <c r="A3279" s="39" t="s">
        <v>13704</v>
      </c>
      <c r="B3279" s="15">
        <v>1352227.0</v>
      </c>
      <c r="C3279" s="15" t="s">
        <v>13705</v>
      </c>
      <c r="D3279" s="15">
        <v>213021.0</v>
      </c>
      <c r="E3279" s="15" t="s">
        <v>1808</v>
      </c>
      <c r="F3279" s="15" t="s">
        <v>2969</v>
      </c>
      <c r="G3279" s="7">
        <v>8.576</v>
      </c>
      <c r="H3279" s="15" t="s">
        <v>3086</v>
      </c>
      <c r="I3279" s="15" t="s">
        <v>1586</v>
      </c>
      <c r="J3279" s="15" t="s">
        <v>13706</v>
      </c>
      <c r="K3279" s="15">
        <v>3.0</v>
      </c>
      <c r="L3279" s="15">
        <v>3.0</v>
      </c>
      <c r="M3279" s="40">
        <v>41461.0</v>
      </c>
      <c r="N3279" s="40">
        <v>41503.0</v>
      </c>
      <c r="O3279" s="15" t="s">
        <v>1554</v>
      </c>
      <c r="Q3279" s="7"/>
    </row>
    <row r="3280">
      <c r="A3280" s="39" t="s">
        <v>13707</v>
      </c>
      <c r="B3280" s="15">
        <v>948071.0</v>
      </c>
      <c r="C3280" s="15" t="s">
        <v>13708</v>
      </c>
      <c r="D3280" s="15">
        <v>213071.0</v>
      </c>
      <c r="E3280" s="15" t="s">
        <v>1557</v>
      </c>
      <c r="F3280" s="15" t="s">
        <v>1611</v>
      </c>
      <c r="G3280" s="7">
        <v>55.282</v>
      </c>
      <c r="H3280" s="15" t="s">
        <v>2648</v>
      </c>
      <c r="I3280" s="15" t="s">
        <v>1586</v>
      </c>
      <c r="J3280" s="15" t="s">
        <v>13710</v>
      </c>
      <c r="K3280" s="15">
        <v>74.0</v>
      </c>
      <c r="L3280" s="15">
        <v>74.0</v>
      </c>
      <c r="M3280" s="40">
        <v>41456.0</v>
      </c>
      <c r="N3280" s="40">
        <v>41478.0</v>
      </c>
      <c r="O3280" s="15" t="s">
        <v>1554</v>
      </c>
      <c r="Q3280" s="7"/>
    </row>
    <row r="3281">
      <c r="A3281" s="39" t="s">
        <v>13711</v>
      </c>
      <c r="B3281" s="15">
        <v>1337877.0</v>
      </c>
      <c r="C3281" s="15" t="s">
        <v>13712</v>
      </c>
      <c r="D3281" s="15">
        <v>213072.0</v>
      </c>
      <c r="E3281" s="15" t="s">
        <v>1557</v>
      </c>
      <c r="F3281" s="15" t="s">
        <v>1578</v>
      </c>
      <c r="G3281" s="7">
        <v>41.294</v>
      </c>
      <c r="H3281" s="15" t="s">
        <v>1559</v>
      </c>
      <c r="I3281" s="15" t="s">
        <v>1586</v>
      </c>
      <c r="J3281" s="15" t="s">
        <v>13713</v>
      </c>
      <c r="K3281" s="15">
        <v>68.0</v>
      </c>
      <c r="L3281" s="15">
        <v>68.0</v>
      </c>
      <c r="M3281" s="40">
        <v>41441.0</v>
      </c>
      <c r="N3281" s="40">
        <v>41541.0</v>
      </c>
      <c r="O3281" s="15" t="s">
        <v>1554</v>
      </c>
      <c r="Q3281" s="7"/>
    </row>
    <row r="3282">
      <c r="A3282" s="39" t="s">
        <v>13714</v>
      </c>
      <c r="B3282" s="15">
        <v>1262535.0</v>
      </c>
      <c r="C3282" s="15" t="s">
        <v>13715</v>
      </c>
      <c r="D3282" s="15">
        <v>213074.0</v>
      </c>
      <c r="E3282" s="15" t="s">
        <v>1557</v>
      </c>
      <c r="F3282" s="15" t="s">
        <v>1833</v>
      </c>
      <c r="G3282" s="7">
        <v>31.09</v>
      </c>
      <c r="H3282" s="15" t="s">
        <v>7532</v>
      </c>
      <c r="I3282" s="15" t="s">
        <v>1586</v>
      </c>
      <c r="J3282" s="15" t="s">
        <v>13717</v>
      </c>
      <c r="K3282" s="15">
        <v>59.0</v>
      </c>
      <c r="L3282" s="15">
        <v>59.0</v>
      </c>
      <c r="M3282" s="40">
        <v>41449.0</v>
      </c>
      <c r="N3282" s="40">
        <v>41478.0</v>
      </c>
      <c r="O3282" s="15" t="s">
        <v>1554</v>
      </c>
      <c r="Q3282" s="7"/>
    </row>
    <row r="3283">
      <c r="A3283" s="39" t="s">
        <v>13718</v>
      </c>
      <c r="B3283" s="15">
        <v>1262536.0</v>
      </c>
      <c r="C3283" s="15" t="s">
        <v>13719</v>
      </c>
      <c r="D3283" s="15">
        <v>213075.0</v>
      </c>
      <c r="E3283" s="15" t="s">
        <v>1557</v>
      </c>
      <c r="F3283" s="15" t="s">
        <v>1833</v>
      </c>
      <c r="G3283" s="7">
        <v>28.674</v>
      </c>
      <c r="H3283" s="15" t="s">
        <v>10067</v>
      </c>
      <c r="I3283" s="15" t="s">
        <v>1586</v>
      </c>
      <c r="J3283" s="15" t="s">
        <v>13720</v>
      </c>
      <c r="K3283" s="15">
        <v>52.0</v>
      </c>
      <c r="L3283" s="15">
        <v>52.0</v>
      </c>
      <c r="M3283" s="40">
        <v>41449.0</v>
      </c>
      <c r="N3283" s="40">
        <v>41478.0</v>
      </c>
      <c r="O3283" s="15" t="s">
        <v>1554</v>
      </c>
      <c r="Q3283" s="7"/>
    </row>
    <row r="3284">
      <c r="A3284" s="39" t="s">
        <v>13721</v>
      </c>
      <c r="B3284" s="15">
        <v>1229751.0</v>
      </c>
      <c r="C3284" s="15" t="s">
        <v>13722</v>
      </c>
      <c r="D3284" s="15">
        <v>213076.0</v>
      </c>
      <c r="E3284" s="15" t="s">
        <v>1557</v>
      </c>
      <c r="F3284" s="15" t="s">
        <v>1833</v>
      </c>
      <c r="G3284" s="7">
        <v>30.91</v>
      </c>
      <c r="H3284" s="15">
        <v>36.0</v>
      </c>
      <c r="I3284" s="15" t="s">
        <v>1586</v>
      </c>
      <c r="J3284" s="15" t="s">
        <v>13723</v>
      </c>
      <c r="K3284" s="15">
        <v>55.0</v>
      </c>
      <c r="L3284" s="15">
        <v>55.0</v>
      </c>
      <c r="M3284" s="40">
        <v>41454.0</v>
      </c>
      <c r="N3284" s="40">
        <v>41478.0</v>
      </c>
      <c r="O3284" s="15" t="s">
        <v>1554</v>
      </c>
      <c r="Q3284" s="7"/>
    </row>
    <row r="3285">
      <c r="A3285" s="39" t="s">
        <v>13725</v>
      </c>
      <c r="B3285" s="15">
        <v>1195086.0</v>
      </c>
      <c r="C3285" s="15" t="s">
        <v>13726</v>
      </c>
      <c r="D3285" s="15">
        <v>213078.0</v>
      </c>
      <c r="E3285" s="15" t="s">
        <v>1557</v>
      </c>
      <c r="F3285" s="15" t="s">
        <v>1833</v>
      </c>
      <c r="G3285" s="7">
        <v>42.652</v>
      </c>
      <c r="H3285" s="15" t="s">
        <v>3568</v>
      </c>
      <c r="I3285" s="15" t="s">
        <v>1586</v>
      </c>
      <c r="J3285" s="15" t="s">
        <v>13727</v>
      </c>
      <c r="K3285" s="15">
        <v>62.0</v>
      </c>
      <c r="L3285" s="15">
        <v>62.0</v>
      </c>
      <c r="M3285" s="40">
        <v>41425.0</v>
      </c>
      <c r="N3285" s="40">
        <v>41529.0</v>
      </c>
      <c r="O3285" s="15" t="s">
        <v>1554</v>
      </c>
      <c r="Q3285" s="7"/>
    </row>
    <row r="3286">
      <c r="A3286" s="39" t="s">
        <v>13728</v>
      </c>
      <c r="B3286" s="15">
        <v>1327950.0</v>
      </c>
      <c r="D3286" s="15">
        <v>0.0</v>
      </c>
      <c r="E3286" s="15" t="s">
        <v>1557</v>
      </c>
      <c r="F3286" s="15" t="s">
        <v>1833</v>
      </c>
      <c r="G3286" s="7">
        <v>39.52</v>
      </c>
      <c r="H3286" s="15" t="s">
        <v>9774</v>
      </c>
      <c r="I3286" s="15" t="s">
        <v>1586</v>
      </c>
      <c r="J3286" s="15" t="s">
        <v>13729</v>
      </c>
      <c r="K3286" s="15">
        <v>60.0</v>
      </c>
      <c r="L3286" s="15">
        <v>60.0</v>
      </c>
      <c r="M3286" s="40">
        <v>41401.0</v>
      </c>
      <c r="N3286" s="40">
        <v>41401.0</v>
      </c>
      <c r="O3286" s="15" t="s">
        <v>1554</v>
      </c>
      <c r="Q3286" s="7"/>
    </row>
    <row r="3287">
      <c r="A3287" s="39" t="s">
        <v>13730</v>
      </c>
      <c r="B3287" s="15">
        <v>1262537.0</v>
      </c>
      <c r="C3287" s="15" t="s">
        <v>13731</v>
      </c>
      <c r="D3287" s="15">
        <v>213080.0</v>
      </c>
      <c r="E3287" s="15" t="s">
        <v>1557</v>
      </c>
      <c r="F3287" s="15" t="s">
        <v>1833</v>
      </c>
      <c r="G3287" s="7">
        <v>29.631</v>
      </c>
      <c r="H3287" s="15" t="s">
        <v>4287</v>
      </c>
      <c r="I3287" s="15" t="s">
        <v>1586</v>
      </c>
      <c r="J3287" s="15" t="s">
        <v>13733</v>
      </c>
      <c r="K3287" s="15">
        <v>49.0</v>
      </c>
      <c r="L3287" s="15">
        <v>49.0</v>
      </c>
      <c r="M3287" s="40">
        <v>41449.0</v>
      </c>
      <c r="N3287" s="40">
        <v>41478.0</v>
      </c>
      <c r="O3287" s="15" t="s">
        <v>1554</v>
      </c>
      <c r="Q3287" s="7"/>
    </row>
    <row r="3288">
      <c r="A3288" s="39" t="s">
        <v>13734</v>
      </c>
      <c r="B3288" s="15">
        <v>1262533.0</v>
      </c>
      <c r="C3288" s="15" t="s">
        <v>13735</v>
      </c>
      <c r="D3288" s="15">
        <v>213081.0</v>
      </c>
      <c r="E3288" s="15" t="s">
        <v>1557</v>
      </c>
      <c r="F3288" s="15" t="s">
        <v>1833</v>
      </c>
      <c r="G3288" s="7">
        <v>32.337</v>
      </c>
      <c r="H3288" s="15" t="s">
        <v>3260</v>
      </c>
      <c r="I3288" s="15" t="s">
        <v>1586</v>
      </c>
      <c r="J3288" s="15" t="s">
        <v>13736</v>
      </c>
      <c r="K3288" s="15">
        <v>58.0</v>
      </c>
      <c r="L3288" s="15">
        <v>58.0</v>
      </c>
      <c r="M3288" s="40">
        <v>41449.0</v>
      </c>
      <c r="N3288" s="40">
        <v>41478.0</v>
      </c>
      <c r="O3288" s="15" t="s">
        <v>1554</v>
      </c>
      <c r="Q3288" s="7"/>
    </row>
    <row r="3289">
      <c r="A3289" s="39" t="s">
        <v>13737</v>
      </c>
      <c r="B3289" s="15">
        <v>66284.0</v>
      </c>
      <c r="C3289" s="15" t="s">
        <v>13738</v>
      </c>
      <c r="D3289" s="15">
        <v>213070.0</v>
      </c>
      <c r="E3289" s="15" t="s">
        <v>1557</v>
      </c>
      <c r="F3289" s="15" t="s">
        <v>1767</v>
      </c>
      <c r="G3289" s="7">
        <v>41.475</v>
      </c>
      <c r="H3289" s="15" t="s">
        <v>3604</v>
      </c>
      <c r="I3289" s="15" t="s">
        <v>1586</v>
      </c>
      <c r="J3289" s="15" t="s">
        <v>13739</v>
      </c>
      <c r="K3289" s="15">
        <v>58.0</v>
      </c>
      <c r="L3289" s="15">
        <v>58.0</v>
      </c>
      <c r="M3289" s="40">
        <v>41470.0</v>
      </c>
      <c r="N3289" s="40">
        <v>41541.0</v>
      </c>
      <c r="O3289" s="15" t="s">
        <v>1554</v>
      </c>
      <c r="Q3289" s="7"/>
    </row>
    <row r="3290">
      <c r="A3290" s="39" t="s">
        <v>13741</v>
      </c>
      <c r="B3290" s="15">
        <v>1262538.0</v>
      </c>
      <c r="C3290" s="15" t="s">
        <v>13742</v>
      </c>
      <c r="D3290" s="15">
        <v>213073.0</v>
      </c>
      <c r="E3290" s="15" t="s">
        <v>1557</v>
      </c>
      <c r="F3290" s="15" t="s">
        <v>1833</v>
      </c>
      <c r="G3290" s="7">
        <v>32.382</v>
      </c>
      <c r="H3290" s="15" t="s">
        <v>3870</v>
      </c>
      <c r="I3290" s="15" t="s">
        <v>1586</v>
      </c>
      <c r="J3290" s="15" t="s">
        <v>13743</v>
      </c>
      <c r="K3290" s="15">
        <v>57.0</v>
      </c>
      <c r="L3290" s="15">
        <v>57.0</v>
      </c>
      <c r="M3290" s="40">
        <v>41449.0</v>
      </c>
      <c r="N3290" s="40">
        <v>41478.0</v>
      </c>
      <c r="O3290" s="15" t="s">
        <v>1554</v>
      </c>
      <c r="Q3290" s="7"/>
    </row>
    <row r="3291">
      <c r="A3291" s="39" t="s">
        <v>13744</v>
      </c>
      <c r="B3291" s="15">
        <v>345198.0</v>
      </c>
      <c r="C3291" s="15" t="s">
        <v>13745</v>
      </c>
      <c r="D3291" s="15">
        <v>239676.0</v>
      </c>
      <c r="E3291" s="15" t="s">
        <v>1557</v>
      </c>
      <c r="F3291" s="15" t="s">
        <v>3454</v>
      </c>
      <c r="G3291" s="7">
        <v>196.456</v>
      </c>
      <c r="H3291" s="15">
        <v>28.0</v>
      </c>
      <c r="I3291" s="15" t="s">
        <v>1560</v>
      </c>
      <c r="J3291" s="15" t="s">
        <v>13746</v>
      </c>
      <c r="K3291" s="15">
        <v>174.0</v>
      </c>
      <c r="L3291" s="15">
        <v>174.0</v>
      </c>
      <c r="M3291" s="40">
        <v>41697.0</v>
      </c>
      <c r="N3291" s="40">
        <v>41700.0</v>
      </c>
      <c r="O3291" s="15" t="s">
        <v>1554</v>
      </c>
      <c r="Q3291" s="7"/>
    </row>
    <row r="3292">
      <c r="A3292" s="39" t="s">
        <v>13747</v>
      </c>
      <c r="B3292" s="15">
        <v>623144.0</v>
      </c>
      <c r="C3292" s="15" t="s">
        <v>13748</v>
      </c>
      <c r="D3292" s="15">
        <v>264936.0</v>
      </c>
      <c r="E3292" s="15" t="s">
        <v>1548</v>
      </c>
      <c r="F3292" s="15" t="s">
        <v>4837</v>
      </c>
      <c r="G3292" s="7">
        <v>15.342</v>
      </c>
      <c r="H3292" s="15" t="s">
        <v>1912</v>
      </c>
      <c r="I3292" s="15" t="s">
        <v>1567</v>
      </c>
      <c r="J3292" s="15" t="s">
        <v>13749</v>
      </c>
      <c r="K3292" s="15">
        <v>6.0</v>
      </c>
      <c r="L3292" s="15">
        <v>8.0</v>
      </c>
      <c r="M3292" s="40">
        <v>39965.0</v>
      </c>
      <c r="N3292" s="41">
        <v>41939.0</v>
      </c>
      <c r="O3292" s="15" t="s">
        <v>1554</v>
      </c>
      <c r="Q3292" s="7"/>
    </row>
    <row r="3293">
      <c r="A3293" s="39" t="s">
        <v>13751</v>
      </c>
      <c r="B3293" s="15">
        <v>1367205.0</v>
      </c>
      <c r="C3293" s="15" t="s">
        <v>13752</v>
      </c>
      <c r="D3293" s="15">
        <v>214178.0</v>
      </c>
      <c r="E3293" s="15" t="s">
        <v>1557</v>
      </c>
      <c r="F3293" s="15" t="s">
        <v>1992</v>
      </c>
      <c r="G3293" s="7">
        <v>129.052</v>
      </c>
      <c r="H3293" s="15" t="s">
        <v>1918</v>
      </c>
      <c r="I3293" s="15" t="s">
        <v>1560</v>
      </c>
      <c r="J3293" s="15" t="s">
        <v>13753</v>
      </c>
      <c r="K3293" s="15">
        <v>149.0</v>
      </c>
      <c r="L3293" s="15">
        <v>149.0</v>
      </c>
      <c r="M3293" s="40">
        <v>41483.0</v>
      </c>
      <c r="N3293" s="40">
        <v>41491.0</v>
      </c>
      <c r="O3293" s="15" t="s">
        <v>1554</v>
      </c>
      <c r="Q3293" s="7"/>
    </row>
    <row r="3294">
      <c r="A3294" s="39" t="s">
        <v>13754</v>
      </c>
      <c r="B3294" s="15">
        <v>204928.0</v>
      </c>
      <c r="C3294" s="15" t="s">
        <v>13755</v>
      </c>
      <c r="D3294" s="15">
        <v>214239.0</v>
      </c>
      <c r="E3294" s="15" t="s">
        <v>1548</v>
      </c>
      <c r="F3294" s="15" t="s">
        <v>2900</v>
      </c>
      <c r="G3294" s="7">
        <v>3.919</v>
      </c>
      <c r="H3294" s="15" t="s">
        <v>1745</v>
      </c>
      <c r="I3294" s="15" t="s">
        <v>1628</v>
      </c>
      <c r="J3294" s="15" t="s">
        <v>13756</v>
      </c>
      <c r="K3294" s="15">
        <v>5.0</v>
      </c>
      <c r="L3294" s="15">
        <v>5.0</v>
      </c>
      <c r="M3294" s="40">
        <v>40013.0</v>
      </c>
      <c r="N3294" s="40">
        <v>41492.0</v>
      </c>
      <c r="O3294" s="15" t="s">
        <v>1554</v>
      </c>
      <c r="Q3294" s="7"/>
    </row>
    <row r="3295">
      <c r="A3295" s="39" t="s">
        <v>13757</v>
      </c>
      <c r="B3295" s="15">
        <v>1367203.0</v>
      </c>
      <c r="C3295" s="15" t="s">
        <v>13758</v>
      </c>
      <c r="D3295" s="15">
        <v>214353.0</v>
      </c>
      <c r="E3295" s="15" t="s">
        <v>1557</v>
      </c>
      <c r="F3295" s="15" t="s">
        <v>1992</v>
      </c>
      <c r="G3295" s="7">
        <v>140.633</v>
      </c>
      <c r="H3295" s="15" t="s">
        <v>2668</v>
      </c>
      <c r="I3295" s="15" t="s">
        <v>1560</v>
      </c>
      <c r="J3295" s="15" t="s">
        <v>13759</v>
      </c>
      <c r="K3295" s="15">
        <v>137.0</v>
      </c>
      <c r="L3295" s="15">
        <v>137.0</v>
      </c>
      <c r="M3295" s="40">
        <v>41483.0</v>
      </c>
      <c r="N3295" s="41">
        <v>41575.0</v>
      </c>
      <c r="O3295" s="15" t="s">
        <v>1554</v>
      </c>
      <c r="Q3295" s="7"/>
    </row>
    <row r="3296">
      <c r="A3296" s="39" t="s">
        <v>13761</v>
      </c>
      <c r="B3296" s="15">
        <v>1367671.0</v>
      </c>
      <c r="C3296" s="15" t="s">
        <v>13762</v>
      </c>
      <c r="D3296" s="15">
        <v>214366.0</v>
      </c>
      <c r="E3296" s="15" t="s">
        <v>2014</v>
      </c>
      <c r="F3296" s="15" t="s">
        <v>2018</v>
      </c>
      <c r="G3296" s="7">
        <v>0.673</v>
      </c>
      <c r="H3296" s="15" t="s">
        <v>2524</v>
      </c>
      <c r="I3296" s="15" t="s">
        <v>1628</v>
      </c>
      <c r="J3296" s="15" t="s">
        <v>13763</v>
      </c>
      <c r="K3296" s="15" t="s">
        <v>1722</v>
      </c>
      <c r="L3296" s="15" t="s">
        <v>1722</v>
      </c>
      <c r="M3296" s="40">
        <v>41491.0</v>
      </c>
      <c r="N3296" s="40">
        <v>41492.0</v>
      </c>
      <c r="O3296" s="15" t="s">
        <v>1554</v>
      </c>
      <c r="Q3296" s="7"/>
    </row>
    <row r="3297">
      <c r="A3297" s="39" t="s">
        <v>13764</v>
      </c>
      <c r="B3297" s="15">
        <v>1370094.0</v>
      </c>
      <c r="C3297" s="15" t="s">
        <v>13765</v>
      </c>
      <c r="D3297" s="15">
        <v>214364.0</v>
      </c>
      <c r="E3297" s="15" t="s">
        <v>1557</v>
      </c>
      <c r="F3297" s="15" t="s">
        <v>1822</v>
      </c>
      <c r="G3297" s="7">
        <v>7.267</v>
      </c>
      <c r="H3297" s="15" t="s">
        <v>2023</v>
      </c>
      <c r="I3297" s="15" t="s">
        <v>1686</v>
      </c>
      <c r="J3297" s="15" t="s">
        <v>13766</v>
      </c>
      <c r="K3297" s="15">
        <v>7.0</v>
      </c>
      <c r="L3297" s="15">
        <v>7.0</v>
      </c>
      <c r="M3297" s="40">
        <v>41486.0</v>
      </c>
      <c r="N3297" s="40">
        <v>41492.0</v>
      </c>
      <c r="O3297" s="15" t="s">
        <v>1554</v>
      </c>
      <c r="Q3297" s="7"/>
    </row>
    <row r="3298">
      <c r="A3298" s="39" t="s">
        <v>13767</v>
      </c>
      <c r="B3298" s="15">
        <v>1327993.0</v>
      </c>
      <c r="C3298" s="15" t="s">
        <v>13768</v>
      </c>
      <c r="D3298" s="15">
        <v>212957.0</v>
      </c>
      <c r="E3298" s="15" t="s">
        <v>1557</v>
      </c>
      <c r="F3298" s="15" t="s">
        <v>1833</v>
      </c>
      <c r="G3298" s="7">
        <v>28.76</v>
      </c>
      <c r="H3298" s="42">
        <v>43190.0</v>
      </c>
      <c r="I3298" s="15" t="s">
        <v>1586</v>
      </c>
      <c r="J3298" s="15" t="s">
        <v>13769</v>
      </c>
      <c r="K3298" s="15">
        <v>48.0</v>
      </c>
      <c r="L3298" s="15">
        <v>48.0</v>
      </c>
      <c r="M3298" s="40">
        <v>41454.0</v>
      </c>
      <c r="N3298" s="40">
        <v>42374.0</v>
      </c>
      <c r="O3298" s="15" t="s">
        <v>1554</v>
      </c>
      <c r="Q3298" s="7"/>
    </row>
    <row r="3299">
      <c r="A3299" s="39" t="s">
        <v>13771</v>
      </c>
      <c r="B3299" s="15">
        <v>1327977.0</v>
      </c>
      <c r="C3299" s="15" t="s">
        <v>13772</v>
      </c>
      <c r="D3299" s="15">
        <v>212958.0</v>
      </c>
      <c r="E3299" s="15" t="s">
        <v>1557</v>
      </c>
      <c r="F3299" s="15" t="s">
        <v>1611</v>
      </c>
      <c r="G3299" s="7">
        <v>72.534</v>
      </c>
      <c r="H3299" s="15" t="s">
        <v>2668</v>
      </c>
      <c r="I3299" s="15" t="s">
        <v>1586</v>
      </c>
      <c r="J3299" s="15" t="s">
        <v>13773</v>
      </c>
      <c r="K3299" s="15">
        <v>117.0</v>
      </c>
      <c r="L3299" s="15">
        <v>101.0</v>
      </c>
      <c r="M3299" s="40">
        <v>41454.0</v>
      </c>
      <c r="N3299" s="40">
        <v>42374.0</v>
      </c>
      <c r="O3299" s="15" t="s">
        <v>1554</v>
      </c>
      <c r="Q3299" s="7"/>
    </row>
    <row r="3300">
      <c r="A3300" s="39" t="s">
        <v>13774</v>
      </c>
      <c r="B3300" s="15">
        <v>1381007.0</v>
      </c>
      <c r="C3300" s="15" t="s">
        <v>13775</v>
      </c>
      <c r="D3300" s="15">
        <v>214508.0</v>
      </c>
      <c r="E3300" s="15" t="s">
        <v>1808</v>
      </c>
      <c r="F3300" s="15" t="s">
        <v>1809</v>
      </c>
      <c r="G3300" s="7">
        <v>3.206</v>
      </c>
      <c r="H3300" s="15" t="s">
        <v>1912</v>
      </c>
      <c r="I3300" s="15" t="s">
        <v>1628</v>
      </c>
      <c r="J3300" s="15" t="s">
        <v>13776</v>
      </c>
      <c r="K3300" s="15">
        <v>6.0</v>
      </c>
      <c r="L3300" s="15">
        <v>6.0</v>
      </c>
      <c r="M3300" s="40">
        <v>41493.0</v>
      </c>
      <c r="N3300" s="40">
        <v>41949.0</v>
      </c>
      <c r="O3300" s="15" t="s">
        <v>1554</v>
      </c>
      <c r="Q3300" s="7"/>
    </row>
    <row r="3301">
      <c r="A3301" s="39" t="s">
        <v>13777</v>
      </c>
      <c r="B3301" s="15">
        <v>1311277.0</v>
      </c>
      <c r="C3301" s="15" t="s">
        <v>13778</v>
      </c>
      <c r="D3301" s="15">
        <v>214689.0</v>
      </c>
      <c r="E3301" s="15" t="s">
        <v>1808</v>
      </c>
      <c r="F3301" s="15" t="s">
        <v>1809</v>
      </c>
      <c r="G3301" s="7">
        <v>5.208</v>
      </c>
      <c r="H3301" s="15" t="s">
        <v>13779</v>
      </c>
      <c r="I3301" s="15" t="s">
        <v>1628</v>
      </c>
      <c r="J3301" s="15" t="s">
        <v>13780</v>
      </c>
      <c r="K3301" s="15">
        <v>7.0</v>
      </c>
      <c r="L3301" s="15">
        <v>7.0</v>
      </c>
      <c r="M3301" s="40">
        <v>41402.0</v>
      </c>
      <c r="N3301" s="41">
        <v>42297.0</v>
      </c>
      <c r="O3301" s="15" t="s">
        <v>1554</v>
      </c>
      <c r="Q3301" s="7"/>
    </row>
    <row r="3302">
      <c r="A3302" s="39" t="s">
        <v>13781</v>
      </c>
      <c r="B3302" s="15">
        <v>649890.0</v>
      </c>
      <c r="C3302" s="15" t="s">
        <v>13782</v>
      </c>
      <c r="D3302" s="15">
        <v>214691.0</v>
      </c>
      <c r="E3302" s="15" t="s">
        <v>1548</v>
      </c>
      <c r="F3302" s="15" t="s">
        <v>1626</v>
      </c>
      <c r="G3302" s="7">
        <v>43260.0</v>
      </c>
      <c r="H3302" s="15" t="s">
        <v>13784</v>
      </c>
      <c r="I3302" s="15" t="s">
        <v>1628</v>
      </c>
      <c r="J3302" s="15" t="s">
        <v>13785</v>
      </c>
      <c r="K3302" s="15">
        <v>2.0</v>
      </c>
      <c r="L3302" s="15">
        <v>2.0</v>
      </c>
      <c r="M3302" s="40">
        <v>40345.0</v>
      </c>
      <c r="N3302" s="41">
        <v>42297.0</v>
      </c>
      <c r="O3302" s="15" t="s">
        <v>1554</v>
      </c>
      <c r="Q3302" s="7"/>
    </row>
    <row r="3303">
      <c r="A3303" s="39" t="s">
        <v>13786</v>
      </c>
      <c r="B3303" s="15">
        <v>1227355.0</v>
      </c>
      <c r="C3303" s="15" t="s">
        <v>13787</v>
      </c>
      <c r="D3303" s="15">
        <v>214690.0</v>
      </c>
      <c r="E3303" s="15" t="s">
        <v>1808</v>
      </c>
      <c r="F3303" s="15" t="s">
        <v>1809</v>
      </c>
      <c r="G3303" s="7">
        <v>5.163</v>
      </c>
      <c r="H3303" s="15" t="s">
        <v>13788</v>
      </c>
      <c r="I3303" s="15" t="s">
        <v>1628</v>
      </c>
      <c r="J3303" s="15" t="s">
        <v>13789</v>
      </c>
      <c r="K3303" s="15">
        <v>7.0</v>
      </c>
      <c r="L3303" s="15">
        <v>7.0</v>
      </c>
      <c r="M3303" s="41">
        <v>41243.0</v>
      </c>
      <c r="N3303" s="41">
        <v>42297.0</v>
      </c>
      <c r="O3303" s="15" t="s">
        <v>1554</v>
      </c>
      <c r="Q3303" s="7"/>
    </row>
    <row r="3304">
      <c r="A3304" s="39" t="s">
        <v>13790</v>
      </c>
      <c r="B3304" s="15">
        <v>1368616.0</v>
      </c>
      <c r="C3304" s="15" t="s">
        <v>13791</v>
      </c>
      <c r="D3304" s="15">
        <v>214783.0</v>
      </c>
      <c r="E3304" s="15" t="s">
        <v>1548</v>
      </c>
      <c r="F3304" s="15" t="s">
        <v>5290</v>
      </c>
      <c r="G3304" s="7">
        <v>13.242</v>
      </c>
      <c r="H3304" s="15" t="s">
        <v>13792</v>
      </c>
      <c r="I3304" s="15" t="s">
        <v>1803</v>
      </c>
      <c r="J3304" s="15" t="s">
        <v>13793</v>
      </c>
      <c r="K3304" s="15">
        <v>4.0</v>
      </c>
      <c r="L3304" s="15">
        <v>4.0</v>
      </c>
      <c r="M3304" s="40">
        <v>41494.0</v>
      </c>
      <c r="N3304" s="40">
        <v>41495.0</v>
      </c>
      <c r="O3304" s="15" t="s">
        <v>1554</v>
      </c>
      <c r="Q3304" s="7"/>
    </row>
    <row r="3305">
      <c r="A3305" s="39" t="s">
        <v>13794</v>
      </c>
      <c r="B3305" s="15">
        <v>1383056.0</v>
      </c>
      <c r="C3305" s="15" t="s">
        <v>13795</v>
      </c>
      <c r="D3305" s="15">
        <v>215107.0</v>
      </c>
      <c r="E3305" s="15" t="s">
        <v>1557</v>
      </c>
      <c r="F3305" s="15" t="s">
        <v>1833</v>
      </c>
      <c r="G3305" s="7">
        <v>70.657</v>
      </c>
      <c r="H3305" s="15">
        <v>56.0</v>
      </c>
      <c r="I3305" s="15" t="s">
        <v>1586</v>
      </c>
      <c r="J3305" s="15" t="s">
        <v>13796</v>
      </c>
      <c r="K3305" s="15">
        <v>100.0</v>
      </c>
      <c r="L3305" s="15">
        <v>100.0</v>
      </c>
      <c r="M3305" s="40">
        <v>41499.0</v>
      </c>
      <c r="N3305" s="40">
        <v>41501.0</v>
      </c>
      <c r="O3305" s="15" t="s">
        <v>1554</v>
      </c>
      <c r="Q3305" s="7"/>
    </row>
    <row r="3306">
      <c r="A3306" s="39" t="s">
        <v>13797</v>
      </c>
      <c r="B3306" s="15">
        <v>1383059.0</v>
      </c>
      <c r="C3306" s="15" t="s">
        <v>13799</v>
      </c>
      <c r="D3306" s="15">
        <v>215109.0</v>
      </c>
      <c r="E3306" s="15" t="s">
        <v>1557</v>
      </c>
      <c r="F3306" s="15" t="s">
        <v>1833</v>
      </c>
      <c r="G3306" s="7">
        <v>52.519</v>
      </c>
      <c r="H3306" s="15" t="s">
        <v>4499</v>
      </c>
      <c r="I3306" s="15" t="s">
        <v>1586</v>
      </c>
      <c r="J3306" s="15" t="s">
        <v>13800</v>
      </c>
      <c r="K3306" s="15">
        <v>99.0</v>
      </c>
      <c r="L3306" s="15">
        <v>96.0</v>
      </c>
      <c r="M3306" s="40">
        <v>41499.0</v>
      </c>
      <c r="N3306" s="40">
        <v>42893.0</v>
      </c>
      <c r="O3306" s="15" t="s">
        <v>1554</v>
      </c>
      <c r="Q3306" s="7"/>
    </row>
    <row r="3307">
      <c r="A3307" s="39" t="s">
        <v>13801</v>
      </c>
      <c r="B3307" s="15">
        <v>1383054.0</v>
      </c>
      <c r="C3307" s="15" t="s">
        <v>13802</v>
      </c>
      <c r="D3307" s="15">
        <v>215110.0</v>
      </c>
      <c r="E3307" s="15" t="s">
        <v>1557</v>
      </c>
      <c r="F3307" s="15" t="s">
        <v>1833</v>
      </c>
      <c r="G3307" s="7">
        <v>53.588</v>
      </c>
      <c r="H3307" s="15" t="s">
        <v>4467</v>
      </c>
      <c r="I3307" s="15" t="s">
        <v>1586</v>
      </c>
      <c r="J3307" s="15" t="s">
        <v>13803</v>
      </c>
      <c r="K3307" s="15">
        <v>96.0</v>
      </c>
      <c r="L3307" s="15">
        <v>96.0</v>
      </c>
      <c r="M3307" s="40">
        <v>41499.0</v>
      </c>
      <c r="N3307" s="40">
        <v>41501.0</v>
      </c>
      <c r="O3307" s="15" t="s">
        <v>1554</v>
      </c>
      <c r="Q3307" s="7"/>
    </row>
    <row r="3308">
      <c r="A3308" s="39" t="s">
        <v>13804</v>
      </c>
      <c r="B3308" s="15">
        <v>1383055.0</v>
      </c>
      <c r="C3308" s="15" t="s">
        <v>13805</v>
      </c>
      <c r="D3308" s="15">
        <v>215112.0</v>
      </c>
      <c r="E3308" s="15" t="s">
        <v>1557</v>
      </c>
      <c r="F3308" s="15" t="s">
        <v>1833</v>
      </c>
      <c r="G3308" s="7">
        <v>70.115</v>
      </c>
      <c r="H3308" s="15" t="s">
        <v>6951</v>
      </c>
      <c r="I3308" s="15" t="s">
        <v>1586</v>
      </c>
      <c r="J3308" s="15" t="s">
        <v>13806</v>
      </c>
      <c r="K3308" s="15">
        <v>95.0</v>
      </c>
      <c r="L3308" s="15">
        <v>95.0</v>
      </c>
      <c r="M3308" s="40">
        <v>41499.0</v>
      </c>
      <c r="N3308" s="40">
        <v>41501.0</v>
      </c>
      <c r="O3308" s="15" t="s">
        <v>1554</v>
      </c>
      <c r="Q3308" s="7"/>
    </row>
    <row r="3309">
      <c r="A3309" s="39" t="s">
        <v>13808</v>
      </c>
      <c r="B3309" s="15">
        <v>1340836.0</v>
      </c>
      <c r="C3309" s="15" t="s">
        <v>13809</v>
      </c>
      <c r="D3309" s="15">
        <v>215113.0</v>
      </c>
      <c r="E3309" s="15" t="s">
        <v>1557</v>
      </c>
      <c r="F3309" s="15" t="s">
        <v>1833</v>
      </c>
      <c r="G3309" s="7">
        <v>76.129</v>
      </c>
      <c r="H3309" s="15" t="s">
        <v>3227</v>
      </c>
      <c r="I3309" s="15" t="s">
        <v>1586</v>
      </c>
      <c r="J3309" s="15" t="s">
        <v>13810</v>
      </c>
      <c r="K3309" s="15">
        <v>145.0</v>
      </c>
      <c r="L3309" s="15">
        <v>133.0</v>
      </c>
      <c r="M3309" s="40">
        <v>41499.0</v>
      </c>
      <c r="N3309" s="40">
        <v>41501.0</v>
      </c>
      <c r="O3309" s="15" t="s">
        <v>1554</v>
      </c>
      <c r="Q3309" s="7"/>
    </row>
    <row r="3310">
      <c r="A3310" s="39" t="s">
        <v>13811</v>
      </c>
      <c r="B3310" s="15">
        <v>1340820.0</v>
      </c>
      <c r="C3310" s="15" t="s">
        <v>13812</v>
      </c>
      <c r="D3310" s="15">
        <v>215115.0</v>
      </c>
      <c r="E3310" s="15" t="s">
        <v>1557</v>
      </c>
      <c r="F3310" s="15" t="s">
        <v>1833</v>
      </c>
      <c r="G3310" s="7">
        <v>55.213</v>
      </c>
      <c r="H3310" s="15" t="s">
        <v>9648</v>
      </c>
      <c r="I3310" s="15" t="s">
        <v>1586</v>
      </c>
      <c r="J3310" s="15" t="s">
        <v>13813</v>
      </c>
      <c r="K3310" s="15">
        <v>106.0</v>
      </c>
      <c r="L3310" s="15">
        <v>106.0</v>
      </c>
      <c r="M3310" s="40">
        <v>41499.0</v>
      </c>
      <c r="N3310" s="40">
        <v>41729.0</v>
      </c>
      <c r="O3310" s="15" t="s">
        <v>1554</v>
      </c>
      <c r="Q3310" s="7"/>
    </row>
    <row r="3311">
      <c r="A3311" s="39" t="s">
        <v>13814</v>
      </c>
      <c r="B3311" s="15">
        <v>1340824.0</v>
      </c>
      <c r="C3311" s="15" t="s">
        <v>13815</v>
      </c>
      <c r="D3311" s="15">
        <v>215116.0</v>
      </c>
      <c r="E3311" s="15" t="s">
        <v>1557</v>
      </c>
      <c r="F3311" s="15" t="s">
        <v>1833</v>
      </c>
      <c r="G3311" s="7">
        <v>57.155</v>
      </c>
      <c r="H3311" s="15" t="s">
        <v>2840</v>
      </c>
      <c r="I3311" s="15" t="s">
        <v>1586</v>
      </c>
      <c r="J3311" s="15" t="s">
        <v>13816</v>
      </c>
      <c r="K3311" s="15">
        <v>105.0</v>
      </c>
      <c r="L3311" s="15">
        <v>105.0</v>
      </c>
      <c r="M3311" s="40">
        <v>41499.0</v>
      </c>
      <c r="N3311" s="40">
        <v>41501.0</v>
      </c>
      <c r="O3311" s="15" t="s">
        <v>1554</v>
      </c>
      <c r="Q3311" s="7"/>
    </row>
    <row r="3312">
      <c r="A3312" s="39" t="s">
        <v>13818</v>
      </c>
      <c r="B3312" s="15">
        <v>1340826.0</v>
      </c>
      <c r="C3312" s="15" t="s">
        <v>13819</v>
      </c>
      <c r="D3312" s="15">
        <v>215117.0</v>
      </c>
      <c r="E3312" s="15" t="s">
        <v>1557</v>
      </c>
      <c r="F3312" s="15" t="s">
        <v>1833</v>
      </c>
      <c r="G3312" s="7">
        <v>76.05</v>
      </c>
      <c r="H3312" s="15" t="s">
        <v>10407</v>
      </c>
      <c r="I3312" s="15" t="s">
        <v>1586</v>
      </c>
      <c r="J3312" s="15" t="s">
        <v>13820</v>
      </c>
      <c r="K3312" s="15">
        <v>139.0</v>
      </c>
      <c r="L3312" s="15">
        <v>128.0</v>
      </c>
      <c r="M3312" s="40">
        <v>41499.0</v>
      </c>
      <c r="N3312" s="40">
        <v>41501.0</v>
      </c>
      <c r="O3312" s="15" t="s">
        <v>1554</v>
      </c>
      <c r="Q3312" s="7"/>
    </row>
    <row r="3313">
      <c r="A3313" s="39" t="s">
        <v>13821</v>
      </c>
      <c r="B3313" s="15">
        <v>1340828.0</v>
      </c>
      <c r="D3313" s="15">
        <v>0.0</v>
      </c>
      <c r="E3313" s="15" t="s">
        <v>1557</v>
      </c>
      <c r="F3313" s="15" t="s">
        <v>1833</v>
      </c>
      <c r="G3313" s="7">
        <v>70.12</v>
      </c>
      <c r="H3313" s="15" t="s">
        <v>6951</v>
      </c>
      <c r="I3313" s="15" t="s">
        <v>1586</v>
      </c>
      <c r="J3313" s="15" t="s">
        <v>13822</v>
      </c>
      <c r="K3313" s="15">
        <v>97.0</v>
      </c>
      <c r="L3313" s="15">
        <v>97.0</v>
      </c>
      <c r="M3313" s="40">
        <v>41499.0</v>
      </c>
      <c r="N3313" s="40">
        <v>41499.0</v>
      </c>
      <c r="O3313" s="15" t="s">
        <v>1554</v>
      </c>
      <c r="Q3313" s="7"/>
    </row>
    <row r="3314">
      <c r="A3314" s="39" t="s">
        <v>13823</v>
      </c>
      <c r="B3314" s="15">
        <v>1340825.0</v>
      </c>
      <c r="C3314" s="15" t="s">
        <v>13824</v>
      </c>
      <c r="D3314" s="15">
        <v>215119.0</v>
      </c>
      <c r="E3314" s="15" t="s">
        <v>1557</v>
      </c>
      <c r="F3314" s="15" t="s">
        <v>1833</v>
      </c>
      <c r="G3314" s="7">
        <v>52.102</v>
      </c>
      <c r="H3314" s="15" t="s">
        <v>3542</v>
      </c>
      <c r="I3314" s="15" t="s">
        <v>1586</v>
      </c>
      <c r="J3314" s="15" t="s">
        <v>13825</v>
      </c>
      <c r="K3314" s="15">
        <v>94.0</v>
      </c>
      <c r="L3314" s="15">
        <v>94.0</v>
      </c>
      <c r="M3314" s="40">
        <v>41499.0</v>
      </c>
      <c r="N3314" s="40">
        <v>41501.0</v>
      </c>
      <c r="O3314" s="15" t="s">
        <v>1554</v>
      </c>
      <c r="Q3314" s="7"/>
    </row>
    <row r="3315">
      <c r="A3315" s="39" t="s">
        <v>13827</v>
      </c>
      <c r="B3315" s="15">
        <v>1340829.0</v>
      </c>
      <c r="C3315" s="15" t="s">
        <v>13828</v>
      </c>
      <c r="D3315" s="15">
        <v>215120.0</v>
      </c>
      <c r="E3315" s="15" t="s">
        <v>1557</v>
      </c>
      <c r="F3315" s="15" t="s">
        <v>1833</v>
      </c>
      <c r="G3315" s="7">
        <v>48.228</v>
      </c>
      <c r="H3315" s="15" t="s">
        <v>2057</v>
      </c>
      <c r="I3315" s="15" t="s">
        <v>1586</v>
      </c>
      <c r="J3315" s="15" t="s">
        <v>13829</v>
      </c>
      <c r="K3315" s="15">
        <v>71.0</v>
      </c>
      <c r="L3315" s="15">
        <v>71.0</v>
      </c>
      <c r="M3315" s="40">
        <v>41499.0</v>
      </c>
      <c r="N3315" s="40">
        <v>41501.0</v>
      </c>
      <c r="O3315" s="15" t="s">
        <v>1554</v>
      </c>
      <c r="Q3315" s="7"/>
    </row>
    <row r="3316">
      <c r="A3316" s="39" t="s">
        <v>13830</v>
      </c>
      <c r="B3316" s="15">
        <v>1340822.0</v>
      </c>
      <c r="C3316" s="15" t="s">
        <v>13831</v>
      </c>
      <c r="D3316" s="15">
        <v>215121.0</v>
      </c>
      <c r="E3316" s="15" t="s">
        <v>1557</v>
      </c>
      <c r="F3316" s="15" t="s">
        <v>1833</v>
      </c>
      <c r="G3316" s="7">
        <v>58.043</v>
      </c>
      <c r="H3316" s="15" t="s">
        <v>10442</v>
      </c>
      <c r="I3316" s="15" t="s">
        <v>1586</v>
      </c>
      <c r="J3316" s="15" t="s">
        <v>13832</v>
      </c>
      <c r="K3316" s="15">
        <v>102.0</v>
      </c>
      <c r="L3316" s="15">
        <v>102.0</v>
      </c>
      <c r="M3316" s="40">
        <v>41499.0</v>
      </c>
      <c r="N3316" s="40">
        <v>41501.0</v>
      </c>
      <c r="O3316" s="15" t="s">
        <v>1554</v>
      </c>
      <c r="Q3316" s="7"/>
    </row>
    <row r="3317">
      <c r="A3317" s="39" t="s">
        <v>13833</v>
      </c>
      <c r="B3317" s="15">
        <v>1340821.0</v>
      </c>
      <c r="C3317" s="15" t="s">
        <v>13835</v>
      </c>
      <c r="D3317" s="15">
        <v>215123.0</v>
      </c>
      <c r="E3317" s="15" t="s">
        <v>1557</v>
      </c>
      <c r="F3317" s="15" t="s">
        <v>1833</v>
      </c>
      <c r="G3317" s="7">
        <v>54.314</v>
      </c>
      <c r="H3317" s="15" t="s">
        <v>2038</v>
      </c>
      <c r="I3317" s="15" t="s">
        <v>1586</v>
      </c>
      <c r="J3317" s="15" t="s">
        <v>13836</v>
      </c>
      <c r="K3317" s="15">
        <v>100.0</v>
      </c>
      <c r="L3317" s="15">
        <v>100.0</v>
      </c>
      <c r="M3317" s="40">
        <v>41499.0</v>
      </c>
      <c r="N3317" s="40">
        <v>41501.0</v>
      </c>
      <c r="O3317" s="15" t="s">
        <v>1554</v>
      </c>
      <c r="Q3317" s="7"/>
    </row>
    <row r="3318">
      <c r="A3318" s="39" t="s">
        <v>13837</v>
      </c>
      <c r="B3318" s="15">
        <v>1340819.0</v>
      </c>
      <c r="C3318" s="15" t="s">
        <v>13838</v>
      </c>
      <c r="D3318" s="15">
        <v>215124.0</v>
      </c>
      <c r="E3318" s="15" t="s">
        <v>1557</v>
      </c>
      <c r="F3318" s="15" t="s">
        <v>1833</v>
      </c>
      <c r="G3318" s="7">
        <v>72.108</v>
      </c>
      <c r="H3318" s="15" t="s">
        <v>4100</v>
      </c>
      <c r="I3318" s="15" t="s">
        <v>1586</v>
      </c>
      <c r="J3318" s="15" t="s">
        <v>13839</v>
      </c>
      <c r="K3318" s="15">
        <v>128.0</v>
      </c>
      <c r="L3318" s="15">
        <v>128.0</v>
      </c>
      <c r="M3318" s="40">
        <v>41499.0</v>
      </c>
      <c r="N3318" s="40">
        <v>41501.0</v>
      </c>
      <c r="O3318" s="15" t="s">
        <v>1554</v>
      </c>
      <c r="Q3318" s="7"/>
    </row>
    <row r="3319">
      <c r="A3319" s="39" t="s">
        <v>13840</v>
      </c>
      <c r="B3319" s="15">
        <v>1340708.0</v>
      </c>
      <c r="C3319" s="15" t="s">
        <v>13841</v>
      </c>
      <c r="D3319" s="15">
        <v>215126.0</v>
      </c>
      <c r="E3319" s="15" t="s">
        <v>1557</v>
      </c>
      <c r="F3319" s="15" t="s">
        <v>1833</v>
      </c>
      <c r="G3319" s="7">
        <v>59.179</v>
      </c>
      <c r="H3319" s="15" t="s">
        <v>3086</v>
      </c>
      <c r="I3319" s="15" t="s">
        <v>1586</v>
      </c>
      <c r="J3319" s="15" t="s">
        <v>13843</v>
      </c>
      <c r="K3319" s="15">
        <v>107.0</v>
      </c>
      <c r="L3319" s="15">
        <v>107.0</v>
      </c>
      <c r="M3319" s="40">
        <v>41498.0</v>
      </c>
      <c r="N3319" s="40">
        <v>41501.0</v>
      </c>
      <c r="O3319" s="15" t="s">
        <v>1554</v>
      </c>
      <c r="Q3319" s="7"/>
    </row>
    <row r="3320">
      <c r="A3320" s="39" t="s">
        <v>13844</v>
      </c>
      <c r="B3320" s="15">
        <v>1357669.0</v>
      </c>
      <c r="C3320" s="15" t="s">
        <v>13845</v>
      </c>
      <c r="D3320" s="15">
        <v>215108.0</v>
      </c>
      <c r="E3320" s="15" t="s">
        <v>1557</v>
      </c>
      <c r="F3320" s="15" t="s">
        <v>1833</v>
      </c>
      <c r="G3320" s="7">
        <v>77.367</v>
      </c>
      <c r="H3320" s="15">
        <v>63.0</v>
      </c>
      <c r="I3320" s="15" t="s">
        <v>1586</v>
      </c>
      <c r="J3320" s="15" t="s">
        <v>13846</v>
      </c>
      <c r="K3320" s="15">
        <v>146.0</v>
      </c>
      <c r="L3320" s="15">
        <v>144.0</v>
      </c>
      <c r="M3320" s="40">
        <v>41499.0</v>
      </c>
      <c r="N3320" s="40">
        <v>41501.0</v>
      </c>
      <c r="O3320" s="15" t="s">
        <v>1554</v>
      </c>
      <c r="Q3320" s="7"/>
    </row>
    <row r="3321">
      <c r="A3321" s="39" t="s">
        <v>13847</v>
      </c>
      <c r="B3321" s="15">
        <v>1340830.0</v>
      </c>
      <c r="C3321" s="15" t="s">
        <v>13848</v>
      </c>
      <c r="D3321" s="15">
        <v>215111.0</v>
      </c>
      <c r="E3321" s="15" t="s">
        <v>1557</v>
      </c>
      <c r="F3321" s="15" t="s">
        <v>1833</v>
      </c>
      <c r="G3321" s="7">
        <v>70.838</v>
      </c>
      <c r="H3321" s="15">
        <v>70.0</v>
      </c>
      <c r="I3321" s="15" t="s">
        <v>1586</v>
      </c>
      <c r="J3321" s="15" t="s">
        <v>13849</v>
      </c>
      <c r="K3321" s="15">
        <v>95.0</v>
      </c>
      <c r="L3321" s="15">
        <v>95.0</v>
      </c>
      <c r="M3321" s="40">
        <v>41499.0</v>
      </c>
      <c r="N3321" s="40">
        <v>41501.0</v>
      </c>
      <c r="O3321" s="15" t="s">
        <v>1554</v>
      </c>
      <c r="Q3321" s="7"/>
    </row>
    <row r="3322">
      <c r="A3322" s="39" t="s">
        <v>13851</v>
      </c>
      <c r="B3322" s="15">
        <v>1340833.0</v>
      </c>
      <c r="C3322" s="15" t="s">
        <v>13852</v>
      </c>
      <c r="D3322" s="15">
        <v>215114.0</v>
      </c>
      <c r="E3322" s="15" t="s">
        <v>1557</v>
      </c>
      <c r="F3322" s="15" t="s">
        <v>1833</v>
      </c>
      <c r="G3322" s="7">
        <v>74.533</v>
      </c>
      <c r="H3322" s="15" t="s">
        <v>4096</v>
      </c>
      <c r="I3322" s="15" t="s">
        <v>1586</v>
      </c>
      <c r="J3322" s="15" t="s">
        <v>13853</v>
      </c>
      <c r="K3322" s="15">
        <v>142.0</v>
      </c>
      <c r="L3322" s="15">
        <v>140.0</v>
      </c>
      <c r="M3322" s="40">
        <v>41499.0</v>
      </c>
      <c r="N3322" s="40">
        <v>41501.0</v>
      </c>
      <c r="O3322" s="15" t="s">
        <v>1554</v>
      </c>
      <c r="Q3322" s="7"/>
    </row>
    <row r="3323">
      <c r="A3323" s="39" t="s">
        <v>13854</v>
      </c>
      <c r="B3323" s="15">
        <v>1340713.0</v>
      </c>
      <c r="C3323" s="15" t="s">
        <v>13855</v>
      </c>
      <c r="D3323" s="15">
        <v>215122.0</v>
      </c>
      <c r="E3323" s="15" t="s">
        <v>1557</v>
      </c>
      <c r="F3323" s="15" t="s">
        <v>1833</v>
      </c>
      <c r="G3323" s="7">
        <v>109.96</v>
      </c>
      <c r="H3323" s="15" t="s">
        <v>13856</v>
      </c>
      <c r="I3323" s="15" t="s">
        <v>1586</v>
      </c>
      <c r="J3323" s="15" t="s">
        <v>13857</v>
      </c>
      <c r="K3323" s="15">
        <v>241.0</v>
      </c>
      <c r="L3323" s="15">
        <v>240.0</v>
      </c>
      <c r="M3323" s="40">
        <v>41499.0</v>
      </c>
      <c r="N3323" s="40">
        <v>41829.0</v>
      </c>
      <c r="O3323" s="15" t="s">
        <v>1554</v>
      </c>
      <c r="Q3323" s="7"/>
    </row>
    <row r="3324">
      <c r="A3324" s="39" t="s">
        <v>13859</v>
      </c>
      <c r="B3324" s="15">
        <v>1340709.0</v>
      </c>
      <c r="C3324" s="15" t="s">
        <v>13860</v>
      </c>
      <c r="D3324" s="15">
        <v>215125.0</v>
      </c>
      <c r="E3324" s="15" t="s">
        <v>1557</v>
      </c>
      <c r="F3324" s="15" t="s">
        <v>1833</v>
      </c>
      <c r="G3324" s="7">
        <v>108.297</v>
      </c>
      <c r="H3324" s="15" t="s">
        <v>4190</v>
      </c>
      <c r="I3324" s="15" t="s">
        <v>1586</v>
      </c>
      <c r="J3324" s="15" t="s">
        <v>13861</v>
      </c>
      <c r="K3324" s="15">
        <v>232.0</v>
      </c>
      <c r="L3324" s="15">
        <v>231.0</v>
      </c>
      <c r="M3324" s="40">
        <v>41498.0</v>
      </c>
      <c r="N3324" s="40">
        <v>41501.0</v>
      </c>
      <c r="O3324" s="15" t="s">
        <v>1554</v>
      </c>
      <c r="Q3324" s="7"/>
    </row>
    <row r="3325">
      <c r="A3325" s="39" t="s">
        <v>13863</v>
      </c>
      <c r="B3325" s="15">
        <v>1381464.0</v>
      </c>
      <c r="C3325" s="15" t="s">
        <v>13864</v>
      </c>
      <c r="D3325" s="15">
        <v>215129.0</v>
      </c>
      <c r="E3325" s="15" t="s">
        <v>1548</v>
      </c>
      <c r="F3325" s="15" t="s">
        <v>1790</v>
      </c>
      <c r="G3325" s="7">
        <v>18.643</v>
      </c>
      <c r="H3325" s="15" t="s">
        <v>1782</v>
      </c>
      <c r="I3325" s="15" t="s">
        <v>1628</v>
      </c>
      <c r="J3325" s="15" t="s">
        <v>13865</v>
      </c>
      <c r="K3325" s="15">
        <v>11.0</v>
      </c>
      <c r="L3325" s="15">
        <v>11.0</v>
      </c>
      <c r="M3325" s="40">
        <v>41496.0</v>
      </c>
      <c r="N3325" s="41">
        <v>41621.0</v>
      </c>
      <c r="O3325" s="15" t="s">
        <v>1554</v>
      </c>
      <c r="Q3325" s="7"/>
    </row>
    <row r="3326">
      <c r="A3326" s="39" t="s">
        <v>13866</v>
      </c>
      <c r="B3326" s="15">
        <v>1383052.0</v>
      </c>
      <c r="C3326" s="15" t="s">
        <v>13867</v>
      </c>
      <c r="D3326" s="15">
        <v>215128.0</v>
      </c>
      <c r="E3326" s="15" t="s">
        <v>1808</v>
      </c>
      <c r="F3326" s="15" t="s">
        <v>1809</v>
      </c>
      <c r="G3326" s="7">
        <v>2.825</v>
      </c>
      <c r="H3326" s="15" t="s">
        <v>2064</v>
      </c>
      <c r="I3326" s="15" t="s">
        <v>1628</v>
      </c>
      <c r="J3326" s="15" t="s">
        <v>13868</v>
      </c>
      <c r="K3326" s="15">
        <v>7.0</v>
      </c>
      <c r="L3326" s="15">
        <v>7.0</v>
      </c>
      <c r="M3326" s="40">
        <v>41497.0</v>
      </c>
      <c r="N3326" s="40">
        <v>41775.0</v>
      </c>
      <c r="O3326" s="15" t="s">
        <v>1554</v>
      </c>
      <c r="Q3326" s="7"/>
    </row>
    <row r="3327">
      <c r="A3327" s="39" t="s">
        <v>13869</v>
      </c>
      <c r="B3327" s="15">
        <v>1341019.0</v>
      </c>
      <c r="C3327" s="15" t="s">
        <v>13870</v>
      </c>
      <c r="D3327" s="15">
        <v>215356.0</v>
      </c>
      <c r="E3327" s="15" t="s">
        <v>1808</v>
      </c>
      <c r="F3327" s="15" t="s">
        <v>2436</v>
      </c>
      <c r="G3327" s="7">
        <v>3.78</v>
      </c>
      <c r="H3327" s="15" t="s">
        <v>1745</v>
      </c>
      <c r="I3327" s="15" t="s">
        <v>1686</v>
      </c>
      <c r="J3327" s="15" t="s">
        <v>13872</v>
      </c>
      <c r="K3327" s="15">
        <v>3.0</v>
      </c>
      <c r="L3327" s="15">
        <v>3.0</v>
      </c>
      <c r="M3327" s="40">
        <v>41434.0</v>
      </c>
      <c r="N3327" s="40">
        <v>41503.0</v>
      </c>
      <c r="O3327" s="15" t="s">
        <v>1554</v>
      </c>
      <c r="Q3327" s="7"/>
    </row>
    <row r="3328">
      <c r="A3328" s="39" t="s">
        <v>13873</v>
      </c>
      <c r="B3328" s="15">
        <v>663237.0</v>
      </c>
      <c r="C3328" s="15" t="s">
        <v>13874</v>
      </c>
      <c r="D3328" s="15">
        <v>215653.0</v>
      </c>
      <c r="E3328" s="15" t="s">
        <v>1557</v>
      </c>
      <c r="F3328" s="15" t="s">
        <v>3844</v>
      </c>
      <c r="G3328" s="7">
        <v>14.319</v>
      </c>
      <c r="H3328" s="15" t="s">
        <v>4331</v>
      </c>
      <c r="I3328" s="15" t="s">
        <v>1586</v>
      </c>
      <c r="J3328" s="15" t="s">
        <v>13875</v>
      </c>
      <c r="K3328" s="15">
        <v>27.0</v>
      </c>
      <c r="L3328" s="15">
        <v>27.0</v>
      </c>
      <c r="M3328" s="40">
        <v>41495.0</v>
      </c>
      <c r="N3328" s="40">
        <v>41533.0</v>
      </c>
      <c r="O3328" s="15" t="s">
        <v>1554</v>
      </c>
      <c r="Q3328" s="7"/>
    </row>
    <row r="3329">
      <c r="A3329" s="39" t="s">
        <v>13876</v>
      </c>
      <c r="B3329" s="15">
        <v>1382932.0</v>
      </c>
      <c r="C3329" s="15" t="s">
        <v>13877</v>
      </c>
      <c r="D3329" s="15">
        <v>215668.0</v>
      </c>
      <c r="E3329" s="15" t="s">
        <v>1557</v>
      </c>
      <c r="F3329" s="15" t="s">
        <v>1767</v>
      </c>
      <c r="G3329" s="7">
        <v>163.019</v>
      </c>
      <c r="H3329" s="15" t="s">
        <v>2233</v>
      </c>
      <c r="I3329" s="15" t="s">
        <v>1586</v>
      </c>
      <c r="J3329" s="15" t="s">
        <v>13878</v>
      </c>
      <c r="K3329" s="15">
        <v>289.0</v>
      </c>
      <c r="L3329" s="15">
        <v>289.0</v>
      </c>
      <c r="M3329" s="40">
        <v>41499.0</v>
      </c>
      <c r="N3329" s="40">
        <v>41780.0</v>
      </c>
      <c r="O3329" s="15" t="s">
        <v>1554</v>
      </c>
      <c r="Q3329" s="7"/>
    </row>
    <row r="3330">
      <c r="A3330" s="39" t="s">
        <v>13879</v>
      </c>
      <c r="B3330" s="15">
        <v>1335230.0</v>
      </c>
      <c r="C3330" s="15" t="s">
        <v>13881</v>
      </c>
      <c r="D3330" s="15">
        <v>215670.0</v>
      </c>
      <c r="E3330" s="15" t="s">
        <v>1557</v>
      </c>
      <c r="F3330" s="15" t="s">
        <v>1767</v>
      </c>
      <c r="G3330" s="7">
        <v>258.139</v>
      </c>
      <c r="H3330" s="15" t="s">
        <v>1617</v>
      </c>
      <c r="I3330" s="15" t="s">
        <v>1586</v>
      </c>
      <c r="J3330" s="15" t="s">
        <v>13882</v>
      </c>
      <c r="K3330" s="15">
        <v>308.0</v>
      </c>
      <c r="L3330" s="15">
        <v>308.0</v>
      </c>
      <c r="M3330" s="40">
        <v>41498.0</v>
      </c>
      <c r="N3330" s="40">
        <v>41704.0</v>
      </c>
      <c r="O3330" s="15" t="s">
        <v>1554</v>
      </c>
      <c r="Q3330" s="7"/>
    </row>
    <row r="3331">
      <c r="A3331" s="39" t="s">
        <v>13883</v>
      </c>
      <c r="B3331" s="15">
        <v>1076630.0</v>
      </c>
      <c r="C3331" s="15" t="s">
        <v>13884</v>
      </c>
      <c r="D3331" s="15">
        <v>215671.0</v>
      </c>
      <c r="E3331" s="15" t="s">
        <v>1557</v>
      </c>
      <c r="F3331" s="15" t="s">
        <v>1833</v>
      </c>
      <c r="G3331" s="7">
        <v>53.253</v>
      </c>
      <c r="H3331" s="15" t="s">
        <v>13306</v>
      </c>
      <c r="I3331" s="15" t="s">
        <v>1586</v>
      </c>
      <c r="J3331" s="15" t="s">
        <v>13885</v>
      </c>
      <c r="K3331" s="15">
        <v>97.0</v>
      </c>
      <c r="L3331" s="15">
        <v>96.0</v>
      </c>
      <c r="M3331" s="40">
        <v>41498.0</v>
      </c>
      <c r="N3331" s="40">
        <v>42650.0</v>
      </c>
      <c r="O3331" s="15" t="s">
        <v>1554</v>
      </c>
      <c r="Q3331" s="7"/>
    </row>
    <row r="3332">
      <c r="A3332" s="39" t="s">
        <v>13886</v>
      </c>
      <c r="B3332" s="15">
        <v>1225790.0</v>
      </c>
      <c r="C3332" s="15" t="s">
        <v>13887</v>
      </c>
      <c r="D3332" s="15">
        <v>215673.0</v>
      </c>
      <c r="E3332" s="15" t="s">
        <v>1557</v>
      </c>
      <c r="F3332" s="15" t="s">
        <v>1611</v>
      </c>
      <c r="G3332" s="7">
        <v>42.874</v>
      </c>
      <c r="H3332" s="15" t="s">
        <v>2098</v>
      </c>
      <c r="I3332" s="15" t="s">
        <v>1586</v>
      </c>
      <c r="J3332" s="15" t="s">
        <v>13889</v>
      </c>
      <c r="K3332" s="15">
        <v>53.0</v>
      </c>
      <c r="L3332" s="15">
        <v>53.0</v>
      </c>
      <c r="M3332" s="40">
        <v>41500.0</v>
      </c>
      <c r="N3332" s="41">
        <v>41571.0</v>
      </c>
      <c r="O3332" s="15" t="s">
        <v>1554</v>
      </c>
      <c r="Q3332" s="7"/>
    </row>
    <row r="3333">
      <c r="A3333" s="39" t="s">
        <v>13890</v>
      </c>
      <c r="B3333" s="15">
        <v>1340818.0</v>
      </c>
      <c r="C3333" s="15" t="s">
        <v>13891</v>
      </c>
      <c r="D3333" s="15">
        <v>215674.0</v>
      </c>
      <c r="E3333" s="15" t="s">
        <v>1557</v>
      </c>
      <c r="F3333" s="15" t="s">
        <v>1833</v>
      </c>
      <c r="G3333" s="7">
        <v>50.69</v>
      </c>
      <c r="H3333" s="15" t="s">
        <v>4190</v>
      </c>
      <c r="I3333" s="15" t="s">
        <v>1586</v>
      </c>
      <c r="J3333" s="15" t="s">
        <v>13892</v>
      </c>
      <c r="K3333" s="15">
        <v>88.0</v>
      </c>
      <c r="L3333" s="15">
        <v>87.0</v>
      </c>
      <c r="M3333" s="40">
        <v>41499.0</v>
      </c>
      <c r="N3333" s="40">
        <v>41503.0</v>
      </c>
      <c r="O3333" s="15" t="s">
        <v>1554</v>
      </c>
      <c r="Q3333" s="7"/>
    </row>
    <row r="3334">
      <c r="A3334" s="39" t="s">
        <v>13893</v>
      </c>
      <c r="B3334" s="15">
        <v>1235659.0</v>
      </c>
      <c r="C3334" s="15" t="s">
        <v>13894</v>
      </c>
      <c r="D3334" s="15">
        <v>215669.0</v>
      </c>
      <c r="E3334" s="15" t="s">
        <v>1557</v>
      </c>
      <c r="F3334" s="15" t="s">
        <v>1767</v>
      </c>
      <c r="G3334" s="7">
        <v>134.643</v>
      </c>
      <c r="H3334" s="15">
        <v>30.0</v>
      </c>
      <c r="I3334" s="15" t="s">
        <v>1586</v>
      </c>
      <c r="J3334" s="15" t="s">
        <v>13896</v>
      </c>
      <c r="K3334" s="15">
        <v>175.0</v>
      </c>
      <c r="L3334" s="15">
        <v>174.0</v>
      </c>
      <c r="M3334" s="40">
        <v>41501.0</v>
      </c>
      <c r="N3334" s="40">
        <v>41503.0</v>
      </c>
      <c r="O3334" s="15" t="s">
        <v>1554</v>
      </c>
      <c r="Q3334" s="7"/>
    </row>
    <row r="3335">
      <c r="A3335" s="39" t="s">
        <v>13897</v>
      </c>
      <c r="B3335" s="15">
        <v>1383057.0</v>
      </c>
      <c r="C3335" s="15" t="s">
        <v>13898</v>
      </c>
      <c r="D3335" s="15">
        <v>215672.0</v>
      </c>
      <c r="E3335" s="15" t="s">
        <v>1557</v>
      </c>
      <c r="F3335" s="15" t="s">
        <v>1833</v>
      </c>
      <c r="G3335" s="7">
        <v>76.483</v>
      </c>
      <c r="H3335" s="15" t="s">
        <v>6271</v>
      </c>
      <c r="I3335" s="15" t="s">
        <v>1586</v>
      </c>
      <c r="J3335" s="15" t="s">
        <v>13899</v>
      </c>
      <c r="K3335" s="15">
        <v>145.0</v>
      </c>
      <c r="L3335" s="15">
        <v>143.0</v>
      </c>
      <c r="M3335" s="40">
        <v>41499.0</v>
      </c>
      <c r="N3335" s="40">
        <v>41503.0</v>
      </c>
      <c r="O3335" s="15" t="s">
        <v>1554</v>
      </c>
      <c r="Q3335" s="7"/>
    </row>
    <row r="3336">
      <c r="A3336" s="39" t="s">
        <v>13900</v>
      </c>
      <c r="B3336" s="15">
        <v>1349410.0</v>
      </c>
      <c r="C3336" s="15" t="s">
        <v>13901</v>
      </c>
      <c r="D3336" s="15">
        <v>215788.0</v>
      </c>
      <c r="E3336" s="15" t="s">
        <v>1557</v>
      </c>
      <c r="F3336" s="15" t="s">
        <v>1578</v>
      </c>
      <c r="G3336" s="7">
        <v>2473.87</v>
      </c>
      <c r="H3336" s="15" t="s">
        <v>3086</v>
      </c>
      <c r="I3336" s="15" t="s">
        <v>1740</v>
      </c>
      <c r="J3336" s="15" t="s">
        <v>13903</v>
      </c>
      <c r="K3336" s="15">
        <v>1647.0</v>
      </c>
      <c r="L3336" s="15">
        <v>1430.0</v>
      </c>
      <c r="M3336" s="40">
        <v>41474.0</v>
      </c>
      <c r="N3336" s="40">
        <v>43006.0</v>
      </c>
      <c r="O3336" s="15" t="s">
        <v>1554</v>
      </c>
      <c r="Q3336" s="7"/>
    </row>
    <row r="3337">
      <c r="A3337" s="39" t="s">
        <v>13904</v>
      </c>
      <c r="B3337" s="15">
        <v>1386090.0</v>
      </c>
      <c r="C3337" s="15" t="s">
        <v>13905</v>
      </c>
      <c r="D3337" s="15">
        <v>216153.0</v>
      </c>
      <c r="E3337" s="15" t="s">
        <v>1548</v>
      </c>
      <c r="F3337" s="15" t="s">
        <v>1926</v>
      </c>
      <c r="G3337" s="7">
        <v>8.577</v>
      </c>
      <c r="H3337" s="15" t="s">
        <v>13906</v>
      </c>
      <c r="I3337" s="15" t="s">
        <v>1628</v>
      </c>
      <c r="J3337" s="15" t="s">
        <v>13907</v>
      </c>
      <c r="K3337" s="15">
        <v>5.0</v>
      </c>
      <c r="L3337" s="15">
        <v>5.0</v>
      </c>
      <c r="M3337" s="40">
        <v>41466.0</v>
      </c>
      <c r="N3337" s="41">
        <v>42297.0</v>
      </c>
      <c r="O3337" s="15" t="s">
        <v>1554</v>
      </c>
      <c r="Q3337" s="7"/>
    </row>
    <row r="3338">
      <c r="A3338" s="39" t="s">
        <v>13908</v>
      </c>
      <c r="B3338" s="15">
        <v>1302848.0</v>
      </c>
      <c r="C3338" s="15" t="s">
        <v>13909</v>
      </c>
      <c r="D3338" s="15">
        <v>216948.0</v>
      </c>
      <c r="E3338" s="15" t="s">
        <v>1808</v>
      </c>
      <c r="F3338" s="15" t="s">
        <v>1809</v>
      </c>
      <c r="G3338" s="7">
        <v>2.572</v>
      </c>
      <c r="H3338" s="15" t="s">
        <v>2320</v>
      </c>
      <c r="I3338" s="15" t="s">
        <v>1628</v>
      </c>
      <c r="J3338" s="15" t="s">
        <v>13911</v>
      </c>
      <c r="K3338" s="15">
        <v>4.0</v>
      </c>
      <c r="L3338" s="15">
        <v>4.0</v>
      </c>
      <c r="M3338" s="40">
        <v>40987.0</v>
      </c>
      <c r="N3338" s="40">
        <v>41511.0</v>
      </c>
      <c r="O3338" s="15" t="s">
        <v>1554</v>
      </c>
      <c r="Q3338" s="7"/>
    </row>
    <row r="3339">
      <c r="A3339" s="39" t="s">
        <v>13912</v>
      </c>
      <c r="B3339" s="15">
        <v>945083.0</v>
      </c>
      <c r="D3339" s="15">
        <v>0.0</v>
      </c>
      <c r="E3339" s="15" t="s">
        <v>1557</v>
      </c>
      <c r="F3339" s="15" t="s">
        <v>1833</v>
      </c>
      <c r="G3339" s="7">
        <v>43.015</v>
      </c>
      <c r="H3339" s="15" t="s">
        <v>10401</v>
      </c>
      <c r="I3339" s="15" t="s">
        <v>1586</v>
      </c>
      <c r="J3339" s="15" t="s">
        <v>13913</v>
      </c>
      <c r="K3339" s="15">
        <v>54.0</v>
      </c>
      <c r="L3339" s="15">
        <v>54.0</v>
      </c>
      <c r="M3339" s="40">
        <v>41658.0</v>
      </c>
      <c r="N3339" s="40">
        <v>41658.0</v>
      </c>
      <c r="O3339" s="15" t="s">
        <v>1554</v>
      </c>
      <c r="Q3339" s="7"/>
    </row>
    <row r="3340">
      <c r="A3340" s="39" t="s">
        <v>13914</v>
      </c>
      <c r="B3340" s="15">
        <v>1384461.0</v>
      </c>
      <c r="C3340" s="15" t="s">
        <v>13915</v>
      </c>
      <c r="D3340" s="15">
        <v>260063.0</v>
      </c>
      <c r="E3340" s="15" t="s">
        <v>1548</v>
      </c>
      <c r="F3340" s="15" t="s">
        <v>1684</v>
      </c>
      <c r="G3340" s="7">
        <v>28.035</v>
      </c>
      <c r="H3340" s="15" t="s">
        <v>3070</v>
      </c>
      <c r="I3340" s="15" t="s">
        <v>1686</v>
      </c>
      <c r="J3340" s="15" t="s">
        <v>13916</v>
      </c>
      <c r="K3340" s="15">
        <v>7.0</v>
      </c>
      <c r="L3340" s="15">
        <v>7.0</v>
      </c>
      <c r="M3340" s="40">
        <v>41503.0</v>
      </c>
      <c r="N3340" s="40">
        <v>41908.0</v>
      </c>
      <c r="O3340" s="15" t="s">
        <v>1554</v>
      </c>
      <c r="Q3340" s="7"/>
    </row>
    <row r="3341">
      <c r="A3341" s="39" t="s">
        <v>13917</v>
      </c>
      <c r="B3341" s="15">
        <v>1208310.0</v>
      </c>
      <c r="C3341" s="15" t="s">
        <v>13919</v>
      </c>
      <c r="D3341" s="15">
        <v>215864.0</v>
      </c>
      <c r="E3341" s="15" t="s">
        <v>1808</v>
      </c>
      <c r="F3341" s="15" t="s">
        <v>2436</v>
      </c>
      <c r="G3341" s="7">
        <v>5.403</v>
      </c>
      <c r="H3341" s="15" t="s">
        <v>5521</v>
      </c>
      <c r="I3341" s="15" t="s">
        <v>1686</v>
      </c>
      <c r="J3341" s="15" t="s">
        <v>13920</v>
      </c>
      <c r="K3341" s="15">
        <v>3.0</v>
      </c>
      <c r="L3341" s="15">
        <v>3.0</v>
      </c>
      <c r="M3341" s="40">
        <v>41504.0</v>
      </c>
      <c r="N3341" s="40">
        <v>41506.0</v>
      </c>
      <c r="O3341" s="15" t="s">
        <v>1554</v>
      </c>
      <c r="Q3341" s="7"/>
    </row>
    <row r="3342">
      <c r="A3342" s="39" t="s">
        <v>13921</v>
      </c>
      <c r="B3342" s="15">
        <v>40052.0</v>
      </c>
      <c r="C3342" s="15" t="s">
        <v>13922</v>
      </c>
      <c r="D3342" s="15">
        <v>217476.0</v>
      </c>
      <c r="E3342" s="15" t="s">
        <v>1638</v>
      </c>
      <c r="F3342" s="15" t="s">
        <v>1863</v>
      </c>
      <c r="G3342" s="7">
        <v>19.771</v>
      </c>
      <c r="H3342" s="15" t="s">
        <v>13923</v>
      </c>
      <c r="I3342" s="15" t="s">
        <v>1751</v>
      </c>
      <c r="J3342" s="15" t="s">
        <v>13924</v>
      </c>
      <c r="K3342" s="15">
        <v>10.0</v>
      </c>
      <c r="L3342" s="15">
        <v>10.0</v>
      </c>
      <c r="M3342" s="41">
        <v>41571.0</v>
      </c>
      <c r="N3342" s="41">
        <v>41635.0</v>
      </c>
      <c r="O3342" s="15" t="s">
        <v>1554</v>
      </c>
      <c r="Q3342" s="7"/>
    </row>
    <row r="3343">
      <c r="A3343" s="39" t="s">
        <v>13925</v>
      </c>
      <c r="B3343" s="15">
        <v>1392388.0</v>
      </c>
      <c r="C3343" s="15" t="s">
        <v>13926</v>
      </c>
      <c r="D3343" s="15">
        <v>217878.0</v>
      </c>
      <c r="E3343" s="15" t="s">
        <v>1808</v>
      </c>
      <c r="F3343" s="15" t="s">
        <v>1809</v>
      </c>
      <c r="G3343" s="7">
        <v>2.834</v>
      </c>
      <c r="H3343" s="15" t="s">
        <v>1792</v>
      </c>
      <c r="I3343" s="15" t="s">
        <v>1628</v>
      </c>
      <c r="J3343" s="15" t="s">
        <v>13928</v>
      </c>
      <c r="K3343" s="15">
        <v>6.0</v>
      </c>
      <c r="L3343" s="15">
        <v>6.0</v>
      </c>
      <c r="M3343" s="40">
        <v>41519.0</v>
      </c>
      <c r="N3343" s="40">
        <v>41725.0</v>
      </c>
      <c r="O3343" s="15" t="s">
        <v>1554</v>
      </c>
      <c r="Q3343" s="7"/>
    </row>
    <row r="3344">
      <c r="A3344" s="39" t="s">
        <v>13929</v>
      </c>
      <c r="B3344" s="15">
        <v>1391746.0</v>
      </c>
      <c r="C3344" s="15" t="s">
        <v>13930</v>
      </c>
      <c r="D3344" s="15">
        <v>217879.0</v>
      </c>
      <c r="E3344" s="15" t="s">
        <v>1808</v>
      </c>
      <c r="F3344" s="15" t="s">
        <v>1809</v>
      </c>
      <c r="G3344" s="7">
        <v>2.775</v>
      </c>
      <c r="H3344" s="15" t="s">
        <v>2118</v>
      </c>
      <c r="I3344" s="15" t="s">
        <v>1628</v>
      </c>
      <c r="J3344" s="15" t="s">
        <v>13931</v>
      </c>
      <c r="K3344" s="15">
        <v>7.0</v>
      </c>
      <c r="L3344" s="15">
        <v>7.0</v>
      </c>
      <c r="M3344" s="40">
        <v>41518.0</v>
      </c>
      <c r="N3344" s="40">
        <v>41520.0</v>
      </c>
      <c r="O3344" s="15" t="s">
        <v>1554</v>
      </c>
      <c r="Q3344" s="7"/>
    </row>
    <row r="3345">
      <c r="A3345" s="39" t="s">
        <v>13932</v>
      </c>
      <c r="B3345" s="15">
        <v>1391702.0</v>
      </c>
      <c r="C3345" s="15" t="s">
        <v>13933</v>
      </c>
      <c r="D3345" s="15">
        <v>217881.0</v>
      </c>
      <c r="E3345" s="15" t="s">
        <v>1548</v>
      </c>
      <c r="F3345" s="15" t="s">
        <v>2615</v>
      </c>
      <c r="G3345" s="7">
        <v>6.398</v>
      </c>
      <c r="H3345" s="15" t="s">
        <v>2163</v>
      </c>
      <c r="I3345" s="15" t="s">
        <v>1628</v>
      </c>
      <c r="J3345" s="15" t="s">
        <v>13934</v>
      </c>
      <c r="K3345" s="15">
        <v>4.0</v>
      </c>
      <c r="L3345" s="15">
        <v>4.0</v>
      </c>
      <c r="M3345" s="40">
        <v>41518.0</v>
      </c>
      <c r="N3345" s="41">
        <v>41565.0</v>
      </c>
      <c r="O3345" s="15" t="s">
        <v>1554</v>
      </c>
      <c r="Q3345" s="7"/>
    </row>
    <row r="3346">
      <c r="A3346" s="39" t="s">
        <v>13936</v>
      </c>
      <c r="B3346" s="15">
        <v>1389204.0</v>
      </c>
      <c r="C3346" s="15" t="s">
        <v>13937</v>
      </c>
      <c r="D3346" s="15">
        <v>218014.0</v>
      </c>
      <c r="E3346" s="15" t="s">
        <v>1548</v>
      </c>
      <c r="F3346" s="15" t="s">
        <v>1848</v>
      </c>
      <c r="G3346" s="7">
        <v>6.795</v>
      </c>
      <c r="H3346" s="15" t="s">
        <v>3836</v>
      </c>
      <c r="I3346" s="15" t="s">
        <v>1686</v>
      </c>
      <c r="J3346" s="15" t="s">
        <v>13938</v>
      </c>
      <c r="K3346" s="15">
        <v>3.0</v>
      </c>
      <c r="L3346" s="15">
        <v>3.0</v>
      </c>
      <c r="M3346" s="40">
        <v>41514.0</v>
      </c>
      <c r="N3346" s="41">
        <v>41572.0</v>
      </c>
      <c r="O3346" s="15" t="s">
        <v>1554</v>
      </c>
      <c r="Q3346" s="7"/>
    </row>
    <row r="3347">
      <c r="A3347" s="39" t="s">
        <v>13939</v>
      </c>
      <c r="B3347" s="15">
        <v>747056.0</v>
      </c>
      <c r="C3347" s="15" t="s">
        <v>13940</v>
      </c>
      <c r="D3347" s="15">
        <v>218015.0</v>
      </c>
      <c r="E3347" s="15" t="s">
        <v>1548</v>
      </c>
      <c r="F3347" s="15" t="s">
        <v>1926</v>
      </c>
      <c r="G3347" s="7">
        <v>7.989</v>
      </c>
      <c r="H3347" s="15" t="s">
        <v>13941</v>
      </c>
      <c r="I3347" s="15" t="s">
        <v>1628</v>
      </c>
      <c r="J3347" s="15" t="s">
        <v>13942</v>
      </c>
      <c r="K3347" s="15">
        <v>4.0</v>
      </c>
      <c r="L3347" s="15">
        <v>4.0</v>
      </c>
      <c r="M3347" s="40">
        <v>41518.0</v>
      </c>
      <c r="N3347" s="41">
        <v>42306.0</v>
      </c>
      <c r="O3347" s="15" t="s">
        <v>1554</v>
      </c>
      <c r="Q3347" s="7"/>
    </row>
    <row r="3348">
      <c r="A3348" s="39" t="s">
        <v>13943</v>
      </c>
      <c r="B3348" s="15">
        <v>1394141.0</v>
      </c>
      <c r="C3348" s="15" t="s">
        <v>13945</v>
      </c>
      <c r="D3348" s="15">
        <v>218024.0</v>
      </c>
      <c r="E3348" s="15" t="s">
        <v>1557</v>
      </c>
      <c r="F3348" s="15" t="s">
        <v>1822</v>
      </c>
      <c r="G3348" s="7">
        <v>7.985</v>
      </c>
      <c r="H3348" s="15" t="s">
        <v>1912</v>
      </c>
      <c r="I3348" s="15" t="s">
        <v>1686</v>
      </c>
      <c r="J3348" s="15" t="s">
        <v>13946</v>
      </c>
      <c r="K3348" s="15">
        <v>8.0</v>
      </c>
      <c r="L3348" s="15">
        <v>8.0</v>
      </c>
      <c r="M3348" s="40">
        <v>41521.0</v>
      </c>
      <c r="N3348" s="40">
        <v>41521.0</v>
      </c>
      <c r="O3348" s="15" t="s">
        <v>1554</v>
      </c>
      <c r="Q3348" s="7"/>
    </row>
    <row r="3349">
      <c r="A3349" s="39" t="s">
        <v>13947</v>
      </c>
      <c r="B3349" s="15">
        <v>909210.0</v>
      </c>
      <c r="C3349" s="15" t="s">
        <v>13948</v>
      </c>
      <c r="D3349" s="15">
        <v>218146.0</v>
      </c>
      <c r="E3349" s="15" t="s">
        <v>1557</v>
      </c>
      <c r="F3349" s="15" t="s">
        <v>2628</v>
      </c>
      <c r="G3349" s="7">
        <v>31.967</v>
      </c>
      <c r="H3349" s="15" t="s">
        <v>4108</v>
      </c>
      <c r="I3349" s="15" t="s">
        <v>1686</v>
      </c>
      <c r="J3349" s="15" t="s">
        <v>13949</v>
      </c>
      <c r="K3349" s="15">
        <v>29.0</v>
      </c>
      <c r="L3349" s="15">
        <v>29.0</v>
      </c>
      <c r="M3349" s="40">
        <v>40003.0</v>
      </c>
      <c r="N3349" s="40">
        <v>41523.0</v>
      </c>
      <c r="O3349" s="15" t="s">
        <v>1554</v>
      </c>
      <c r="Q3349" s="7"/>
    </row>
    <row r="3350">
      <c r="A3350" s="39" t="s">
        <v>13950</v>
      </c>
      <c r="B3350" s="15">
        <v>1398149.0</v>
      </c>
      <c r="C3350" s="15" t="s">
        <v>13951</v>
      </c>
      <c r="D3350" s="15">
        <v>219023.0</v>
      </c>
      <c r="E3350" s="15" t="s">
        <v>1548</v>
      </c>
      <c r="F3350" s="15" t="s">
        <v>1776</v>
      </c>
      <c r="G3350" s="7">
        <v>7.539</v>
      </c>
      <c r="H3350" s="15" t="s">
        <v>3653</v>
      </c>
      <c r="I3350" s="15" t="s">
        <v>1686</v>
      </c>
      <c r="J3350" s="15" t="s">
        <v>13953</v>
      </c>
      <c r="K3350" s="15">
        <v>1.0</v>
      </c>
      <c r="L3350" s="15">
        <v>1.0</v>
      </c>
      <c r="M3350" s="40">
        <v>41527.0</v>
      </c>
      <c r="N3350" s="40">
        <v>42453.0</v>
      </c>
      <c r="O3350" s="15" t="s">
        <v>1554</v>
      </c>
      <c r="Q3350" s="7"/>
    </row>
    <row r="3351">
      <c r="A3351" s="39" t="s">
        <v>13954</v>
      </c>
      <c r="B3351" s="15">
        <v>1206545.0</v>
      </c>
      <c r="C3351" s="15" t="s">
        <v>13955</v>
      </c>
      <c r="D3351" s="15">
        <v>219106.0</v>
      </c>
      <c r="E3351" s="15" t="s">
        <v>1557</v>
      </c>
      <c r="F3351" s="15" t="s">
        <v>1767</v>
      </c>
      <c r="G3351" s="7">
        <v>159.991</v>
      </c>
      <c r="H3351" s="15" t="s">
        <v>2686</v>
      </c>
      <c r="I3351" s="15" t="s">
        <v>1586</v>
      </c>
      <c r="J3351" s="15" t="s">
        <v>13956</v>
      </c>
      <c r="K3351" s="15">
        <v>154.0</v>
      </c>
      <c r="L3351" s="15">
        <v>154.0</v>
      </c>
      <c r="M3351" s="40">
        <v>41506.0</v>
      </c>
      <c r="N3351" s="40">
        <v>41529.0</v>
      </c>
      <c r="O3351" s="15" t="s">
        <v>1554</v>
      </c>
      <c r="Q3351" s="7"/>
    </row>
    <row r="3352">
      <c r="A3352" s="39" t="s">
        <v>13957</v>
      </c>
      <c r="B3352" s="15">
        <v>1354513.0</v>
      </c>
      <c r="D3352" s="15">
        <v>0.0</v>
      </c>
      <c r="E3352" s="15" t="s">
        <v>1557</v>
      </c>
      <c r="F3352" s="15" t="s">
        <v>1833</v>
      </c>
      <c r="G3352" s="7">
        <v>53.693</v>
      </c>
      <c r="H3352" s="15" t="s">
        <v>3029</v>
      </c>
      <c r="I3352" s="15" t="s">
        <v>1586</v>
      </c>
      <c r="J3352" s="15" t="s">
        <v>13958</v>
      </c>
      <c r="K3352" s="15">
        <v>100.0</v>
      </c>
      <c r="L3352" s="15">
        <v>100.0</v>
      </c>
      <c r="M3352" s="40">
        <v>41525.0</v>
      </c>
      <c r="N3352" s="40">
        <v>42650.0</v>
      </c>
      <c r="O3352" s="15" t="s">
        <v>1554</v>
      </c>
      <c r="Q3352" s="7"/>
    </row>
    <row r="3353">
      <c r="A3353" s="39" t="s">
        <v>13960</v>
      </c>
      <c r="B3353" s="15">
        <v>1235650.0</v>
      </c>
      <c r="C3353" s="15" t="s">
        <v>13961</v>
      </c>
      <c r="D3353" s="15">
        <v>219109.0</v>
      </c>
      <c r="E3353" s="15" t="s">
        <v>1557</v>
      </c>
      <c r="F3353" s="15" t="s">
        <v>1833</v>
      </c>
      <c r="G3353" s="7">
        <v>29.467</v>
      </c>
      <c r="H3353" s="15" t="s">
        <v>4204</v>
      </c>
      <c r="I3353" s="15" t="s">
        <v>1586</v>
      </c>
      <c r="J3353" s="15" t="s">
        <v>13962</v>
      </c>
      <c r="K3353" s="15">
        <v>45.0</v>
      </c>
      <c r="L3353" s="15">
        <v>45.0</v>
      </c>
      <c r="M3353" s="40">
        <v>41521.0</v>
      </c>
      <c r="N3353" s="40">
        <v>41529.0</v>
      </c>
      <c r="O3353" s="15" t="s">
        <v>1554</v>
      </c>
      <c r="Q3353" s="7"/>
    </row>
    <row r="3354">
      <c r="A3354" s="39" t="s">
        <v>13963</v>
      </c>
      <c r="B3354" s="15">
        <v>1235654.0</v>
      </c>
      <c r="C3354" s="15" t="s">
        <v>13964</v>
      </c>
      <c r="D3354" s="15">
        <v>219110.0</v>
      </c>
      <c r="E3354" s="15" t="s">
        <v>1557</v>
      </c>
      <c r="F3354" s="15" t="s">
        <v>1833</v>
      </c>
      <c r="G3354" s="7">
        <v>29.266</v>
      </c>
      <c r="H3354" s="15" t="s">
        <v>4673</v>
      </c>
      <c r="I3354" s="15" t="s">
        <v>1586</v>
      </c>
      <c r="J3354" s="15" t="s">
        <v>13965</v>
      </c>
      <c r="K3354" s="15">
        <v>46.0</v>
      </c>
      <c r="L3354" s="15">
        <v>46.0</v>
      </c>
      <c r="M3354" s="40">
        <v>41521.0</v>
      </c>
      <c r="N3354" s="40">
        <v>41529.0</v>
      </c>
      <c r="O3354" s="15" t="s">
        <v>1554</v>
      </c>
      <c r="Q3354" s="7"/>
    </row>
    <row r="3355">
      <c r="A3355" s="39" t="s">
        <v>13966</v>
      </c>
      <c r="B3355" s="15">
        <v>1235653.0</v>
      </c>
      <c r="C3355" s="15" t="s">
        <v>13967</v>
      </c>
      <c r="D3355" s="15">
        <v>219111.0</v>
      </c>
      <c r="E3355" s="15" t="s">
        <v>1557</v>
      </c>
      <c r="F3355" s="15" t="s">
        <v>1833</v>
      </c>
      <c r="G3355" s="7">
        <v>29.14</v>
      </c>
      <c r="H3355" s="15" t="s">
        <v>5663</v>
      </c>
      <c r="I3355" s="15" t="s">
        <v>1586</v>
      </c>
      <c r="J3355" s="15" t="s">
        <v>13969</v>
      </c>
      <c r="K3355" s="15">
        <v>45.0</v>
      </c>
      <c r="L3355" s="15">
        <v>45.0</v>
      </c>
      <c r="M3355" s="40">
        <v>41521.0</v>
      </c>
      <c r="N3355" s="40">
        <v>41529.0</v>
      </c>
      <c r="O3355" s="15" t="s">
        <v>1554</v>
      </c>
      <c r="Q3355" s="7"/>
    </row>
    <row r="3356">
      <c r="A3356" s="39" t="s">
        <v>13970</v>
      </c>
      <c r="B3356" s="15">
        <v>1235656.0</v>
      </c>
      <c r="C3356" s="15" t="s">
        <v>13971</v>
      </c>
      <c r="D3356" s="15">
        <v>219112.0</v>
      </c>
      <c r="E3356" s="15" t="s">
        <v>1557</v>
      </c>
      <c r="F3356" s="15" t="s">
        <v>1833</v>
      </c>
      <c r="G3356" s="7">
        <v>29.464</v>
      </c>
      <c r="H3356" s="15" t="s">
        <v>5483</v>
      </c>
      <c r="I3356" s="15" t="s">
        <v>1586</v>
      </c>
      <c r="J3356" s="15" t="s">
        <v>13972</v>
      </c>
      <c r="K3356" s="15">
        <v>46.0</v>
      </c>
      <c r="L3356" s="15">
        <v>46.0</v>
      </c>
      <c r="M3356" s="40">
        <v>41521.0</v>
      </c>
      <c r="N3356" s="40">
        <v>41529.0</v>
      </c>
      <c r="O3356" s="15" t="s">
        <v>1554</v>
      </c>
      <c r="Q3356" s="7"/>
    </row>
    <row r="3357">
      <c r="A3357" s="39" t="s">
        <v>13973</v>
      </c>
      <c r="B3357" s="15">
        <v>1354514.0</v>
      </c>
      <c r="C3357" s="15" t="s">
        <v>13974</v>
      </c>
      <c r="D3357" s="15">
        <v>219113.0</v>
      </c>
      <c r="E3357" s="15" t="s">
        <v>1557</v>
      </c>
      <c r="F3357" s="15" t="s">
        <v>1833</v>
      </c>
      <c r="G3357" s="7">
        <v>76.586</v>
      </c>
      <c r="H3357" s="15">
        <v>63.0</v>
      </c>
      <c r="I3357" s="15" t="s">
        <v>1586</v>
      </c>
      <c r="J3357" s="15" t="s">
        <v>13975</v>
      </c>
      <c r="K3357" s="15">
        <v>153.0</v>
      </c>
      <c r="L3357" s="15">
        <v>151.0</v>
      </c>
      <c r="M3357" s="40">
        <v>41525.0</v>
      </c>
      <c r="N3357" s="40">
        <v>42382.0</v>
      </c>
      <c r="O3357" s="15" t="s">
        <v>1554</v>
      </c>
      <c r="Q3357" s="7"/>
    </row>
    <row r="3358">
      <c r="A3358" s="39" t="s">
        <v>13977</v>
      </c>
      <c r="B3358" s="15">
        <v>1354512.0</v>
      </c>
      <c r="C3358" s="15" t="s">
        <v>13978</v>
      </c>
      <c r="D3358" s="15">
        <v>219114.0</v>
      </c>
      <c r="E3358" s="15" t="s">
        <v>1557</v>
      </c>
      <c r="F3358" s="15" t="s">
        <v>1833</v>
      </c>
      <c r="G3358" s="7">
        <v>53.636</v>
      </c>
      <c r="H3358" s="15" t="s">
        <v>3029</v>
      </c>
      <c r="I3358" s="15" t="s">
        <v>1586</v>
      </c>
      <c r="J3358" s="15" t="s">
        <v>13979</v>
      </c>
      <c r="K3358" s="15">
        <v>97.0</v>
      </c>
      <c r="L3358" s="15">
        <v>97.0</v>
      </c>
      <c r="M3358" s="40">
        <v>41525.0</v>
      </c>
      <c r="N3358" s="40">
        <v>42650.0</v>
      </c>
      <c r="O3358" s="15" t="s">
        <v>1554</v>
      </c>
      <c r="Q3358" s="7"/>
    </row>
    <row r="3359">
      <c r="A3359" s="39" t="s">
        <v>13980</v>
      </c>
      <c r="B3359" s="15">
        <v>1235646.0</v>
      </c>
      <c r="D3359" s="15">
        <v>0.0</v>
      </c>
      <c r="E3359" s="15" t="s">
        <v>1557</v>
      </c>
      <c r="F3359" s="15" t="s">
        <v>1833</v>
      </c>
      <c r="G3359" s="7">
        <v>29.443</v>
      </c>
      <c r="H3359" s="15" t="s">
        <v>2271</v>
      </c>
      <c r="I3359" s="15" t="s">
        <v>1586</v>
      </c>
      <c r="J3359" s="15" t="s">
        <v>13981</v>
      </c>
      <c r="K3359" s="15">
        <v>45.0</v>
      </c>
      <c r="L3359" s="15">
        <v>45.0</v>
      </c>
      <c r="M3359" s="40">
        <v>41521.0</v>
      </c>
      <c r="N3359" s="40">
        <v>41521.0</v>
      </c>
      <c r="O3359" s="15" t="s">
        <v>1554</v>
      </c>
      <c r="Q3359" s="7"/>
    </row>
    <row r="3360">
      <c r="A3360" s="39" t="s">
        <v>13982</v>
      </c>
      <c r="B3360" s="15">
        <v>1235645.0</v>
      </c>
      <c r="C3360" s="15" t="s">
        <v>13983</v>
      </c>
      <c r="D3360" s="15">
        <v>219117.0</v>
      </c>
      <c r="E3360" s="15" t="s">
        <v>1557</v>
      </c>
      <c r="F3360" s="15" t="s">
        <v>1833</v>
      </c>
      <c r="G3360" s="7">
        <v>29.511</v>
      </c>
      <c r="H3360" s="15">
        <v>54.0</v>
      </c>
      <c r="I3360" s="15" t="s">
        <v>1586</v>
      </c>
      <c r="J3360" s="15" t="s">
        <v>13984</v>
      </c>
      <c r="K3360" s="15">
        <v>45.0</v>
      </c>
      <c r="L3360" s="15">
        <v>45.0</v>
      </c>
      <c r="M3360" s="40">
        <v>41521.0</v>
      </c>
      <c r="N3360" s="40">
        <v>41529.0</v>
      </c>
      <c r="O3360" s="15" t="s">
        <v>1554</v>
      </c>
      <c r="Q3360" s="7"/>
    </row>
    <row r="3361">
      <c r="A3361" s="39" t="s">
        <v>13985</v>
      </c>
      <c r="B3361" s="15">
        <v>1354509.0</v>
      </c>
      <c r="D3361" s="15">
        <v>0.0</v>
      </c>
      <c r="E3361" s="15" t="s">
        <v>1557</v>
      </c>
      <c r="F3361" s="15" t="s">
        <v>1833</v>
      </c>
      <c r="G3361" s="7">
        <v>69.306</v>
      </c>
      <c r="H3361" s="15" t="s">
        <v>13987</v>
      </c>
      <c r="I3361" s="15" t="s">
        <v>1586</v>
      </c>
      <c r="J3361" s="15" t="s">
        <v>13988</v>
      </c>
      <c r="K3361" s="15">
        <v>94.0</v>
      </c>
      <c r="L3361" s="15">
        <v>94.0</v>
      </c>
      <c r="M3361" s="40">
        <v>41525.0</v>
      </c>
      <c r="N3361" s="40">
        <v>42650.0</v>
      </c>
      <c r="O3361" s="15" t="s">
        <v>1554</v>
      </c>
      <c r="Q3361" s="7"/>
    </row>
    <row r="3362">
      <c r="A3362" s="39" t="s">
        <v>13989</v>
      </c>
      <c r="B3362" s="15">
        <v>1340831.0</v>
      </c>
      <c r="C3362" s="15" t="s">
        <v>13990</v>
      </c>
      <c r="D3362" s="15">
        <v>219120.0</v>
      </c>
      <c r="E3362" s="15" t="s">
        <v>1557</v>
      </c>
      <c r="F3362" s="15" t="s">
        <v>1833</v>
      </c>
      <c r="G3362" s="7">
        <v>69.815</v>
      </c>
      <c r="H3362" s="15" t="s">
        <v>4100</v>
      </c>
      <c r="I3362" s="15" t="s">
        <v>1586</v>
      </c>
      <c r="J3362" s="15" t="s">
        <v>13991</v>
      </c>
      <c r="K3362" s="15">
        <v>121.0</v>
      </c>
      <c r="L3362" s="15">
        <v>121.0</v>
      </c>
      <c r="M3362" s="40">
        <v>41503.0</v>
      </c>
      <c r="N3362" s="40">
        <v>41529.0</v>
      </c>
      <c r="O3362" s="15" t="s">
        <v>1554</v>
      </c>
      <c r="Q3362" s="7"/>
    </row>
    <row r="3363">
      <c r="A3363" s="39" t="s">
        <v>13992</v>
      </c>
      <c r="B3363" s="15">
        <v>1235647.0</v>
      </c>
      <c r="C3363" s="15" t="s">
        <v>13993</v>
      </c>
      <c r="D3363" s="15">
        <v>219122.0</v>
      </c>
      <c r="E3363" s="15" t="s">
        <v>1557</v>
      </c>
      <c r="F3363" s="15" t="s">
        <v>1833</v>
      </c>
      <c r="G3363" s="7">
        <v>29.514</v>
      </c>
      <c r="H3363" s="15">
        <v>54.0</v>
      </c>
      <c r="I3363" s="15" t="s">
        <v>1586</v>
      </c>
      <c r="J3363" s="15" t="s">
        <v>13994</v>
      </c>
      <c r="K3363" s="15">
        <v>46.0</v>
      </c>
      <c r="L3363" s="15">
        <v>46.0</v>
      </c>
      <c r="M3363" s="40">
        <v>41521.0</v>
      </c>
      <c r="N3363" s="40">
        <v>41529.0</v>
      </c>
      <c r="O3363" s="15" t="s">
        <v>1554</v>
      </c>
      <c r="Q3363" s="7"/>
    </row>
    <row r="3364">
      <c r="A3364" s="39" t="s">
        <v>13995</v>
      </c>
      <c r="B3364" s="15">
        <v>1340827.0</v>
      </c>
      <c r="C3364" s="15" t="s">
        <v>13997</v>
      </c>
      <c r="D3364" s="15">
        <v>219123.0</v>
      </c>
      <c r="E3364" s="15" t="s">
        <v>1557</v>
      </c>
      <c r="F3364" s="15" t="s">
        <v>1833</v>
      </c>
      <c r="G3364" s="7">
        <v>53.701</v>
      </c>
      <c r="H3364" s="15" t="s">
        <v>6661</v>
      </c>
      <c r="I3364" s="15" t="s">
        <v>1586</v>
      </c>
      <c r="J3364" s="15" t="s">
        <v>13998</v>
      </c>
      <c r="K3364" s="15">
        <v>99.0</v>
      </c>
      <c r="L3364" s="15">
        <v>99.0</v>
      </c>
      <c r="M3364" s="40">
        <v>41503.0</v>
      </c>
      <c r="N3364" s="40">
        <v>41529.0</v>
      </c>
      <c r="O3364" s="15" t="s">
        <v>1554</v>
      </c>
      <c r="Q3364" s="7"/>
    </row>
    <row r="3365">
      <c r="A3365" s="39" t="s">
        <v>13999</v>
      </c>
      <c r="B3365" s="15">
        <v>1235655.0</v>
      </c>
      <c r="C3365" s="15" t="s">
        <v>14000</v>
      </c>
      <c r="D3365" s="15">
        <v>219107.0</v>
      </c>
      <c r="E3365" s="15" t="s">
        <v>1557</v>
      </c>
      <c r="F3365" s="15" t="s">
        <v>1833</v>
      </c>
      <c r="G3365" s="7">
        <v>29.2</v>
      </c>
      <c r="H3365" s="15" t="s">
        <v>3246</v>
      </c>
      <c r="I3365" s="15" t="s">
        <v>1586</v>
      </c>
      <c r="J3365" s="15" t="s">
        <v>14001</v>
      </c>
      <c r="K3365" s="15">
        <v>44.0</v>
      </c>
      <c r="L3365" s="15">
        <v>44.0</v>
      </c>
      <c r="M3365" s="40">
        <v>41521.0</v>
      </c>
      <c r="N3365" s="40">
        <v>41529.0</v>
      </c>
      <c r="O3365" s="15" t="s">
        <v>1554</v>
      </c>
      <c r="Q3365" s="7"/>
    </row>
    <row r="3366">
      <c r="A3366" s="39" t="s">
        <v>14002</v>
      </c>
      <c r="B3366" s="15">
        <v>1327956.0</v>
      </c>
      <c r="C3366" s="15" t="s">
        <v>14003</v>
      </c>
      <c r="D3366" s="15">
        <v>219124.0</v>
      </c>
      <c r="E3366" s="15" t="s">
        <v>1557</v>
      </c>
      <c r="F3366" s="15" t="s">
        <v>1767</v>
      </c>
      <c r="G3366" s="7">
        <v>136.91</v>
      </c>
      <c r="H3366" s="15" t="s">
        <v>3653</v>
      </c>
      <c r="I3366" s="15" t="s">
        <v>1586</v>
      </c>
      <c r="J3366" s="15" t="s">
        <v>14004</v>
      </c>
      <c r="K3366" s="15">
        <v>224.0</v>
      </c>
      <c r="L3366" s="15">
        <v>220.0</v>
      </c>
      <c r="M3366" s="40">
        <v>41466.0</v>
      </c>
      <c r="N3366" s="40">
        <v>41529.0</v>
      </c>
      <c r="O3366" s="15" t="s">
        <v>1554</v>
      </c>
      <c r="Q3366" s="7"/>
    </row>
    <row r="3367">
      <c r="A3367" s="39" t="s">
        <v>14006</v>
      </c>
      <c r="B3367" s="15">
        <v>1235649.0</v>
      </c>
      <c r="C3367" s="15" t="s">
        <v>14007</v>
      </c>
      <c r="D3367" s="15">
        <v>219115.0</v>
      </c>
      <c r="E3367" s="15" t="s">
        <v>1557</v>
      </c>
      <c r="F3367" s="15" t="s">
        <v>1833</v>
      </c>
      <c r="G3367" s="7">
        <v>29.377</v>
      </c>
      <c r="H3367" s="15" t="s">
        <v>5663</v>
      </c>
      <c r="I3367" s="15" t="s">
        <v>1586</v>
      </c>
      <c r="J3367" s="15" t="s">
        <v>14008</v>
      </c>
      <c r="K3367" s="15">
        <v>45.0</v>
      </c>
      <c r="L3367" s="15">
        <v>45.0</v>
      </c>
      <c r="M3367" s="40">
        <v>41521.0</v>
      </c>
      <c r="N3367" s="40">
        <v>41529.0</v>
      </c>
      <c r="O3367" s="15" t="s">
        <v>1554</v>
      </c>
      <c r="Q3367" s="7"/>
    </row>
    <row r="3368">
      <c r="A3368" s="39" t="s">
        <v>14009</v>
      </c>
      <c r="B3368" s="15">
        <v>1354508.0</v>
      </c>
      <c r="C3368" s="15" t="s">
        <v>14010</v>
      </c>
      <c r="D3368" s="15">
        <v>219118.0</v>
      </c>
      <c r="E3368" s="15" t="s">
        <v>1557</v>
      </c>
      <c r="F3368" s="15" t="s">
        <v>1833</v>
      </c>
      <c r="G3368" s="7">
        <v>69.309</v>
      </c>
      <c r="H3368" s="15" t="s">
        <v>13987</v>
      </c>
      <c r="I3368" s="15" t="s">
        <v>1586</v>
      </c>
      <c r="J3368" s="15" t="s">
        <v>14011</v>
      </c>
      <c r="K3368" s="15">
        <v>94.0</v>
      </c>
      <c r="L3368" s="15">
        <v>94.0</v>
      </c>
      <c r="M3368" s="40">
        <v>41525.0</v>
      </c>
      <c r="N3368" s="40">
        <v>42650.0</v>
      </c>
      <c r="O3368" s="15" t="s">
        <v>1554</v>
      </c>
      <c r="Q3368" s="7"/>
    </row>
    <row r="3369">
      <c r="A3369" s="39" t="s">
        <v>14012</v>
      </c>
      <c r="B3369" s="15">
        <v>1354507.0</v>
      </c>
      <c r="C3369" s="15" t="s">
        <v>14013</v>
      </c>
      <c r="D3369" s="15">
        <v>219121.0</v>
      </c>
      <c r="E3369" s="15" t="s">
        <v>1557</v>
      </c>
      <c r="F3369" s="15" t="s">
        <v>1833</v>
      </c>
      <c r="G3369" s="7">
        <v>70.236</v>
      </c>
      <c r="H3369" s="15" t="s">
        <v>14015</v>
      </c>
      <c r="I3369" s="15" t="s">
        <v>1586</v>
      </c>
      <c r="J3369" s="15" t="s">
        <v>14016</v>
      </c>
      <c r="K3369" s="15">
        <v>98.0</v>
      </c>
      <c r="L3369" s="15">
        <v>98.0</v>
      </c>
      <c r="M3369" s="40">
        <v>41525.0</v>
      </c>
      <c r="N3369" s="40">
        <v>42650.0</v>
      </c>
      <c r="O3369" s="15" t="s">
        <v>1554</v>
      </c>
      <c r="Q3369" s="7"/>
    </row>
    <row r="3370">
      <c r="A3370" s="39" t="s">
        <v>14017</v>
      </c>
      <c r="B3370" s="15">
        <v>262957.0</v>
      </c>
      <c r="C3370" s="15" t="s">
        <v>14018</v>
      </c>
      <c r="D3370" s="15">
        <v>219627.0</v>
      </c>
      <c r="E3370" s="15" t="s">
        <v>1916</v>
      </c>
      <c r="F3370" s="15" t="s">
        <v>1917</v>
      </c>
      <c r="G3370" s="7">
        <v>7.562</v>
      </c>
      <c r="H3370" s="15" t="s">
        <v>3653</v>
      </c>
      <c r="I3370" s="15" t="s">
        <v>1628</v>
      </c>
      <c r="J3370" s="15" t="s">
        <v>14019</v>
      </c>
      <c r="K3370" s="15">
        <v>4.0</v>
      </c>
      <c r="L3370" s="15">
        <v>4.0</v>
      </c>
      <c r="M3370" s="40">
        <v>41531.0</v>
      </c>
      <c r="N3370" s="40">
        <v>41696.0</v>
      </c>
      <c r="O3370" s="15" t="s">
        <v>1554</v>
      </c>
      <c r="Q3370" s="7"/>
    </row>
    <row r="3371">
      <c r="A3371" s="39" t="s">
        <v>14020</v>
      </c>
      <c r="B3371" s="15">
        <v>1398507.0</v>
      </c>
      <c r="C3371" s="15" t="s">
        <v>14021</v>
      </c>
      <c r="D3371" s="15">
        <v>221115.0</v>
      </c>
      <c r="E3371" s="15" t="s">
        <v>1557</v>
      </c>
      <c r="F3371" s="15" t="s">
        <v>1822</v>
      </c>
      <c r="G3371" s="7">
        <v>7.616</v>
      </c>
      <c r="H3371" s="15" t="s">
        <v>3297</v>
      </c>
      <c r="I3371" s="15" t="s">
        <v>1686</v>
      </c>
      <c r="J3371" s="15" t="s">
        <v>14022</v>
      </c>
      <c r="K3371" s="15">
        <v>7.0</v>
      </c>
      <c r="L3371" s="15">
        <v>7.0</v>
      </c>
      <c r="M3371" s="40">
        <v>41534.0</v>
      </c>
      <c r="N3371" s="40">
        <v>41746.0</v>
      </c>
      <c r="O3371" s="15" t="s">
        <v>1554</v>
      </c>
      <c r="Q3371" s="7"/>
    </row>
    <row r="3372">
      <c r="A3372" s="39" t="s">
        <v>14024</v>
      </c>
      <c r="B3372" s="15">
        <v>166122.0</v>
      </c>
      <c r="C3372" s="15" t="s">
        <v>14025</v>
      </c>
      <c r="D3372" s="15">
        <v>222261.0</v>
      </c>
      <c r="E3372" s="15" t="s">
        <v>1916</v>
      </c>
      <c r="F3372" s="15" t="s">
        <v>2532</v>
      </c>
      <c r="G3372" s="7">
        <v>9.472</v>
      </c>
      <c r="H3372" s="15" t="s">
        <v>1849</v>
      </c>
      <c r="I3372" s="15" t="s">
        <v>1567</v>
      </c>
      <c r="J3372" s="15" t="s">
        <v>14026</v>
      </c>
      <c r="K3372" s="15">
        <v>1.0</v>
      </c>
      <c r="L3372" s="15">
        <v>1.0</v>
      </c>
      <c r="M3372" s="41">
        <v>37193.0</v>
      </c>
      <c r="N3372" s="40">
        <v>41547.0</v>
      </c>
      <c r="O3372" s="15" t="s">
        <v>1554</v>
      </c>
      <c r="Q3372" s="7"/>
    </row>
    <row r="3373">
      <c r="A3373" s="39" t="s">
        <v>14027</v>
      </c>
      <c r="B3373" s="15">
        <v>11764.0</v>
      </c>
      <c r="C3373" s="15" t="s">
        <v>14028</v>
      </c>
      <c r="D3373" s="15">
        <v>222253.0</v>
      </c>
      <c r="E3373" s="15" t="s">
        <v>1916</v>
      </c>
      <c r="F3373" s="15" t="s">
        <v>2532</v>
      </c>
      <c r="G3373" s="7">
        <v>8.507</v>
      </c>
      <c r="H3373" s="15" t="s">
        <v>2324</v>
      </c>
      <c r="I3373" s="15" t="s">
        <v>1686</v>
      </c>
      <c r="J3373" s="15" t="s">
        <v>14029</v>
      </c>
      <c r="K3373" s="15">
        <v>4.0</v>
      </c>
      <c r="L3373" s="15">
        <v>3.0</v>
      </c>
      <c r="M3373" s="40">
        <v>34087.0</v>
      </c>
      <c r="N3373" s="41">
        <v>41973.0</v>
      </c>
      <c r="O3373" s="15" t="s">
        <v>1554</v>
      </c>
      <c r="Q3373" s="7"/>
    </row>
    <row r="3374">
      <c r="A3374" s="39" t="s">
        <v>14030</v>
      </c>
      <c r="B3374" s="15">
        <v>1399914.0</v>
      </c>
      <c r="C3374" s="15" t="s">
        <v>14031</v>
      </c>
      <c r="D3374" s="15">
        <v>222309.0</v>
      </c>
      <c r="E3374" s="15" t="s">
        <v>1557</v>
      </c>
      <c r="F3374" s="15" t="s">
        <v>2004</v>
      </c>
      <c r="G3374" s="7">
        <v>5.722</v>
      </c>
      <c r="H3374" s="15" t="s">
        <v>1813</v>
      </c>
      <c r="I3374" s="15" t="s">
        <v>1686</v>
      </c>
      <c r="J3374" s="15" t="s">
        <v>14033</v>
      </c>
      <c r="K3374" s="15">
        <v>5.0</v>
      </c>
      <c r="L3374" s="15">
        <v>5.0</v>
      </c>
      <c r="M3374" s="40">
        <v>41538.0</v>
      </c>
      <c r="N3374" s="41">
        <v>41605.0</v>
      </c>
      <c r="O3374" s="15" t="s">
        <v>1554</v>
      </c>
      <c r="Q3374" s="7"/>
    </row>
    <row r="3375">
      <c r="A3375" s="39" t="s">
        <v>14034</v>
      </c>
      <c r="B3375" s="15">
        <v>1222338.0</v>
      </c>
      <c r="C3375" s="15" t="s">
        <v>14035</v>
      </c>
      <c r="D3375" s="15">
        <v>222435.0</v>
      </c>
      <c r="E3375" s="15" t="s">
        <v>1557</v>
      </c>
      <c r="F3375" s="15" t="s">
        <v>1767</v>
      </c>
      <c r="G3375" s="7">
        <v>163.424</v>
      </c>
      <c r="H3375" s="15" t="s">
        <v>2019</v>
      </c>
      <c r="I3375" s="15" t="s">
        <v>1586</v>
      </c>
      <c r="J3375" s="15" t="s">
        <v>14036</v>
      </c>
      <c r="K3375" s="15">
        <v>277.0</v>
      </c>
      <c r="L3375" s="15">
        <v>277.0</v>
      </c>
      <c r="M3375" s="40">
        <v>41866.0</v>
      </c>
      <c r="N3375" s="40">
        <v>42041.0</v>
      </c>
      <c r="O3375" s="15" t="s">
        <v>1554</v>
      </c>
      <c r="Q3375" s="7"/>
    </row>
    <row r="3376">
      <c r="A3376" s="39" t="s">
        <v>14037</v>
      </c>
      <c r="B3376" s="15">
        <v>40061.0</v>
      </c>
      <c r="C3376" s="15" t="s">
        <v>14038</v>
      </c>
      <c r="D3376" s="15">
        <v>222995.0</v>
      </c>
      <c r="E3376" s="15" t="s">
        <v>1638</v>
      </c>
      <c r="F3376" s="15" t="s">
        <v>1863</v>
      </c>
      <c r="G3376" s="7">
        <v>19.18</v>
      </c>
      <c r="H3376" s="15" t="s">
        <v>14040</v>
      </c>
      <c r="I3376" s="15" t="s">
        <v>1751</v>
      </c>
      <c r="J3376" s="15" t="s">
        <v>14041</v>
      </c>
      <c r="K3376" s="15">
        <v>10.0</v>
      </c>
      <c r="L3376" s="15">
        <v>10.0</v>
      </c>
      <c r="M3376" s="40">
        <v>41552.0</v>
      </c>
      <c r="N3376" s="41">
        <v>41620.0</v>
      </c>
      <c r="O3376" s="15" t="s">
        <v>1554</v>
      </c>
      <c r="Q3376" s="7"/>
    </row>
    <row r="3377">
      <c r="A3377" s="39" t="s">
        <v>14042</v>
      </c>
      <c r="B3377" s="15">
        <v>1404345.0</v>
      </c>
      <c r="C3377" s="15" t="s">
        <v>14043</v>
      </c>
      <c r="D3377" s="15">
        <v>223005.0</v>
      </c>
      <c r="E3377" s="15" t="s">
        <v>1808</v>
      </c>
      <c r="F3377" s="15" t="s">
        <v>2436</v>
      </c>
      <c r="G3377" s="7">
        <v>4.945</v>
      </c>
      <c r="H3377" s="15" t="s">
        <v>2193</v>
      </c>
      <c r="I3377" s="15" t="s">
        <v>1560</v>
      </c>
      <c r="J3377" s="15" t="s">
        <v>14044</v>
      </c>
      <c r="K3377" s="15">
        <v>4.0</v>
      </c>
      <c r="L3377" s="15">
        <v>4.0</v>
      </c>
      <c r="M3377" s="40">
        <v>41547.0</v>
      </c>
      <c r="N3377" s="41">
        <v>41598.0</v>
      </c>
      <c r="O3377" s="15" t="s">
        <v>1554</v>
      </c>
      <c r="Q3377" s="7"/>
    </row>
    <row r="3378">
      <c r="A3378" s="39" t="s">
        <v>14045</v>
      </c>
      <c r="B3378" s="15">
        <v>240426.0</v>
      </c>
      <c r="C3378" s="15" t="s">
        <v>14046</v>
      </c>
      <c r="D3378" s="15">
        <v>223065.0</v>
      </c>
      <c r="E3378" s="15" t="s">
        <v>1557</v>
      </c>
      <c r="F3378" s="15" t="s">
        <v>2028</v>
      </c>
      <c r="G3378" s="7">
        <v>148.803</v>
      </c>
      <c r="H3378" s="15" t="s">
        <v>8941</v>
      </c>
      <c r="I3378" s="15" t="s">
        <v>1686</v>
      </c>
      <c r="J3378" s="15" t="s">
        <v>14047</v>
      </c>
      <c r="K3378" s="15">
        <v>141.0</v>
      </c>
      <c r="L3378" s="15">
        <v>141.0</v>
      </c>
      <c r="M3378" s="40">
        <v>41550.0</v>
      </c>
      <c r="N3378" s="40">
        <v>41674.0</v>
      </c>
      <c r="O3378" s="15" t="s">
        <v>1554</v>
      </c>
      <c r="Q3378" s="7"/>
    </row>
    <row r="3379">
      <c r="A3379" s="39" t="s">
        <v>14049</v>
      </c>
      <c r="B3379" s="15">
        <v>666962.0</v>
      </c>
      <c r="C3379" s="15" t="s">
        <v>14050</v>
      </c>
      <c r="D3379" s="15">
        <v>224247.0</v>
      </c>
      <c r="E3379" s="15" t="s">
        <v>1548</v>
      </c>
      <c r="F3379" s="15" t="s">
        <v>1890</v>
      </c>
      <c r="G3379" s="7">
        <v>12.676</v>
      </c>
      <c r="H3379" s="15" t="s">
        <v>5806</v>
      </c>
      <c r="I3379" s="15" t="s">
        <v>1560</v>
      </c>
      <c r="J3379" s="15" t="s">
        <v>14051</v>
      </c>
      <c r="K3379" s="15">
        <v>6.0</v>
      </c>
      <c r="L3379" s="15">
        <v>6.0</v>
      </c>
      <c r="M3379" s="40">
        <v>40050.0</v>
      </c>
      <c r="N3379" s="41">
        <v>41571.0</v>
      </c>
      <c r="O3379" s="15" t="s">
        <v>1554</v>
      </c>
      <c r="Q3379" s="7"/>
    </row>
    <row r="3380">
      <c r="A3380" s="39" t="s">
        <v>14052</v>
      </c>
      <c r="B3380" s="15">
        <v>685443.0</v>
      </c>
      <c r="C3380" s="15" t="s">
        <v>14053</v>
      </c>
      <c r="D3380" s="15">
        <v>224248.0</v>
      </c>
      <c r="E3380" s="15" t="s">
        <v>1548</v>
      </c>
      <c r="F3380" s="15" t="s">
        <v>1890</v>
      </c>
      <c r="G3380" s="7">
        <v>11.806</v>
      </c>
      <c r="H3380" s="15" t="s">
        <v>1859</v>
      </c>
      <c r="I3380" s="15" t="s">
        <v>1686</v>
      </c>
      <c r="J3380" s="15" t="s">
        <v>14054</v>
      </c>
      <c r="K3380" s="15">
        <v>6.0</v>
      </c>
      <c r="L3380" s="15">
        <v>6.0</v>
      </c>
      <c r="M3380" s="41">
        <v>40472.0</v>
      </c>
      <c r="N3380" s="41">
        <v>41571.0</v>
      </c>
      <c r="O3380" s="15" t="s">
        <v>1554</v>
      </c>
      <c r="Q3380" s="7"/>
    </row>
    <row r="3381">
      <c r="A3381" s="39" t="s">
        <v>14055</v>
      </c>
      <c r="B3381" s="15">
        <v>1412875.0</v>
      </c>
      <c r="C3381" s="15" t="s">
        <v>14056</v>
      </c>
      <c r="D3381" s="15">
        <v>240042.0</v>
      </c>
      <c r="E3381" s="15" t="s">
        <v>1557</v>
      </c>
      <c r="F3381" s="15" t="s">
        <v>1833</v>
      </c>
      <c r="G3381" s="7">
        <v>128.546</v>
      </c>
      <c r="H3381" s="15" t="s">
        <v>11241</v>
      </c>
      <c r="I3381" s="15" t="s">
        <v>1586</v>
      </c>
      <c r="J3381" s="15" t="s">
        <v>14057</v>
      </c>
      <c r="K3381" s="15">
        <v>195.0</v>
      </c>
      <c r="L3381" s="15">
        <v>189.0</v>
      </c>
      <c r="M3381" s="41">
        <v>41631.0</v>
      </c>
      <c r="N3381" s="40">
        <v>41704.0</v>
      </c>
      <c r="O3381" s="15" t="s">
        <v>1554</v>
      </c>
      <c r="Q3381" s="7"/>
    </row>
    <row r="3382">
      <c r="A3382" s="39" t="s">
        <v>14059</v>
      </c>
      <c r="B3382" s="15">
        <v>1406134.0</v>
      </c>
      <c r="C3382" s="15" t="s">
        <v>14060</v>
      </c>
      <c r="D3382" s="15">
        <v>225034.0</v>
      </c>
      <c r="E3382" s="15" t="s">
        <v>1548</v>
      </c>
      <c r="F3382" s="15" t="s">
        <v>5290</v>
      </c>
      <c r="G3382" s="7">
        <v>12.058</v>
      </c>
      <c r="H3382" s="15" t="s">
        <v>14061</v>
      </c>
      <c r="I3382" s="15" t="s">
        <v>4554</v>
      </c>
      <c r="J3382" s="15" t="s">
        <v>14062</v>
      </c>
      <c r="K3382" s="15">
        <v>3.0</v>
      </c>
      <c r="L3382" s="15">
        <v>3.0</v>
      </c>
      <c r="M3382" s="40">
        <v>41552.0</v>
      </c>
      <c r="N3382" s="41">
        <v>41620.0</v>
      </c>
      <c r="O3382" s="15" t="s">
        <v>1554</v>
      </c>
      <c r="Q3382" s="7"/>
    </row>
    <row r="3383">
      <c r="A3383" s="39" t="s">
        <v>14063</v>
      </c>
      <c r="B3383" s="15">
        <v>1410467.0</v>
      </c>
      <c r="C3383" s="15" t="s">
        <v>14064</v>
      </c>
      <c r="D3383" s="15">
        <v>225920.0</v>
      </c>
      <c r="E3383" s="15" t="s">
        <v>1548</v>
      </c>
      <c r="F3383" s="15" t="s">
        <v>2374</v>
      </c>
      <c r="G3383" s="7">
        <v>9.271</v>
      </c>
      <c r="H3383" s="15" t="s">
        <v>2885</v>
      </c>
      <c r="I3383" s="15" t="s">
        <v>1560</v>
      </c>
      <c r="J3383" s="15" t="s">
        <v>14065</v>
      </c>
      <c r="K3383" s="15">
        <v>1.0</v>
      </c>
      <c r="L3383" s="15">
        <v>1.0</v>
      </c>
      <c r="M3383" s="41">
        <v>41575.0</v>
      </c>
      <c r="N3383" s="41">
        <v>41635.0</v>
      </c>
      <c r="O3383" s="15" t="s">
        <v>1554</v>
      </c>
      <c r="Q3383" s="7"/>
    </row>
    <row r="3384">
      <c r="A3384" s="39" t="s">
        <v>14066</v>
      </c>
      <c r="B3384" s="15">
        <v>1408895.0</v>
      </c>
      <c r="C3384" s="15" t="s">
        <v>14067</v>
      </c>
      <c r="D3384" s="15">
        <v>225921.0</v>
      </c>
      <c r="E3384" s="15" t="s">
        <v>1638</v>
      </c>
      <c r="F3384" s="15" t="s">
        <v>1796</v>
      </c>
      <c r="G3384" s="7">
        <v>3.85</v>
      </c>
      <c r="H3384" s="15" t="s">
        <v>14068</v>
      </c>
      <c r="I3384" s="15" t="s">
        <v>1628</v>
      </c>
      <c r="J3384" s="15" t="s">
        <v>14069</v>
      </c>
      <c r="K3384" s="15">
        <v>2.0</v>
      </c>
      <c r="L3384" s="15">
        <v>2.0</v>
      </c>
      <c r="M3384" s="41">
        <v>41575.0</v>
      </c>
      <c r="N3384" s="41">
        <v>42306.0</v>
      </c>
      <c r="O3384" s="15" t="s">
        <v>1554</v>
      </c>
      <c r="Q3384" s="7"/>
    </row>
    <row r="3385">
      <c r="A3385" s="39" t="s">
        <v>14071</v>
      </c>
      <c r="B3385" s="15">
        <v>1408258.0</v>
      </c>
      <c r="C3385" s="15" t="s">
        <v>14072</v>
      </c>
      <c r="D3385" s="15">
        <v>225923.0</v>
      </c>
      <c r="E3385" s="15" t="s">
        <v>1557</v>
      </c>
      <c r="F3385" s="15" t="s">
        <v>2628</v>
      </c>
      <c r="G3385" s="7">
        <v>43.686</v>
      </c>
      <c r="H3385" s="15" t="s">
        <v>2241</v>
      </c>
      <c r="I3385" s="15" t="s">
        <v>1686</v>
      </c>
      <c r="J3385" s="15" t="s">
        <v>14073</v>
      </c>
      <c r="K3385" s="15">
        <v>37.0</v>
      </c>
      <c r="L3385" s="15">
        <v>37.0</v>
      </c>
      <c r="M3385" s="41">
        <v>41574.0</v>
      </c>
      <c r="N3385" s="41">
        <v>41631.0</v>
      </c>
      <c r="O3385" s="15" t="s">
        <v>1554</v>
      </c>
      <c r="Q3385" s="7"/>
    </row>
    <row r="3386">
      <c r="A3386" s="39" t="s">
        <v>14074</v>
      </c>
      <c r="B3386" s="15">
        <v>1408894.0</v>
      </c>
      <c r="C3386" s="15" t="s">
        <v>14075</v>
      </c>
      <c r="D3386" s="15">
        <v>225924.0</v>
      </c>
      <c r="E3386" s="15" t="s">
        <v>1638</v>
      </c>
      <c r="F3386" s="15" t="s">
        <v>1796</v>
      </c>
      <c r="G3386" s="7">
        <v>3.646</v>
      </c>
      <c r="H3386" s="15" t="s">
        <v>14076</v>
      </c>
      <c r="I3386" s="15" t="s">
        <v>1628</v>
      </c>
      <c r="J3386" s="15" t="s">
        <v>14077</v>
      </c>
      <c r="K3386" s="15">
        <v>2.0</v>
      </c>
      <c r="L3386" s="15">
        <v>2.0</v>
      </c>
      <c r="M3386" s="41">
        <v>41575.0</v>
      </c>
      <c r="N3386" s="41">
        <v>41578.0</v>
      </c>
      <c r="O3386" s="15" t="s">
        <v>1554</v>
      </c>
      <c r="Q3386" s="7"/>
    </row>
    <row r="3387">
      <c r="A3387" s="39" t="s">
        <v>14079</v>
      </c>
      <c r="B3387" s="15">
        <v>1408257.0</v>
      </c>
      <c r="C3387" s="15" t="s">
        <v>14080</v>
      </c>
      <c r="D3387" s="15">
        <v>225922.0</v>
      </c>
      <c r="E3387" s="15" t="s">
        <v>1557</v>
      </c>
      <c r="F3387" s="15" t="s">
        <v>2628</v>
      </c>
      <c r="G3387" s="7">
        <v>42.94</v>
      </c>
      <c r="H3387" s="15" t="s">
        <v>4736</v>
      </c>
      <c r="I3387" s="15" t="s">
        <v>1686</v>
      </c>
      <c r="J3387" s="15" t="s">
        <v>14081</v>
      </c>
      <c r="K3387" s="15">
        <v>33.0</v>
      </c>
      <c r="L3387" s="15">
        <v>33.0</v>
      </c>
      <c r="M3387" s="41">
        <v>41574.0</v>
      </c>
      <c r="N3387" s="41">
        <v>41631.0</v>
      </c>
      <c r="O3387" s="15" t="s">
        <v>1554</v>
      </c>
      <c r="Q3387" s="7"/>
    </row>
    <row r="3388">
      <c r="A3388" s="39" t="s">
        <v>14082</v>
      </c>
      <c r="B3388" s="15">
        <v>1408133.0</v>
      </c>
      <c r="C3388" s="15" t="s">
        <v>14083</v>
      </c>
      <c r="D3388" s="15">
        <v>225929.0</v>
      </c>
      <c r="E3388" s="15" t="s">
        <v>1638</v>
      </c>
      <c r="F3388" s="15" t="s">
        <v>2849</v>
      </c>
      <c r="G3388" s="7">
        <v>17.486</v>
      </c>
      <c r="H3388" s="15" t="s">
        <v>2178</v>
      </c>
      <c r="I3388" s="15" t="s">
        <v>1628</v>
      </c>
      <c r="J3388" s="15" t="s">
        <v>14084</v>
      </c>
      <c r="K3388" s="15">
        <v>1.0</v>
      </c>
      <c r="L3388" s="15">
        <v>1.0</v>
      </c>
      <c r="M3388" s="41">
        <v>41575.0</v>
      </c>
      <c r="N3388" s="41">
        <v>41934.0</v>
      </c>
      <c r="O3388" s="15" t="s">
        <v>1554</v>
      </c>
      <c r="Q3388" s="7"/>
    </row>
    <row r="3389">
      <c r="A3389" s="39" t="s">
        <v>14085</v>
      </c>
      <c r="B3389" s="15">
        <v>1408137.0</v>
      </c>
      <c r="C3389" s="15" t="s">
        <v>14086</v>
      </c>
      <c r="D3389" s="15">
        <v>225930.0</v>
      </c>
      <c r="E3389" s="15" t="s">
        <v>1638</v>
      </c>
      <c r="F3389" s="15" t="s">
        <v>1863</v>
      </c>
      <c r="G3389" s="7">
        <v>19.944</v>
      </c>
      <c r="H3389" s="15" t="s">
        <v>14087</v>
      </c>
      <c r="I3389" s="15" t="s">
        <v>1751</v>
      </c>
      <c r="J3389" s="15" t="s">
        <v>14089</v>
      </c>
      <c r="K3389" s="15">
        <v>10.0</v>
      </c>
      <c r="L3389" s="15">
        <v>10.0</v>
      </c>
      <c r="M3389" s="41">
        <v>41574.0</v>
      </c>
      <c r="N3389" s="41">
        <v>41631.0</v>
      </c>
      <c r="O3389" s="15" t="s">
        <v>1554</v>
      </c>
      <c r="Q3389" s="7"/>
    </row>
    <row r="3390">
      <c r="A3390" s="39" t="s">
        <v>14090</v>
      </c>
      <c r="B3390" s="15">
        <v>1405807.0</v>
      </c>
      <c r="C3390" s="15" t="s">
        <v>14091</v>
      </c>
      <c r="D3390" s="15">
        <v>225931.0</v>
      </c>
      <c r="E3390" s="15" t="s">
        <v>1548</v>
      </c>
      <c r="F3390" s="15" t="s">
        <v>3116</v>
      </c>
      <c r="G3390" s="7">
        <v>11.47</v>
      </c>
      <c r="H3390" s="15" t="s">
        <v>14092</v>
      </c>
      <c r="I3390" s="15" t="s">
        <v>1803</v>
      </c>
      <c r="J3390" s="15" t="s">
        <v>14093</v>
      </c>
      <c r="K3390" s="15">
        <v>4.0</v>
      </c>
      <c r="L3390" s="15">
        <v>4.0</v>
      </c>
      <c r="M3390" s="41">
        <v>41577.0</v>
      </c>
      <c r="N3390" s="41">
        <v>41578.0</v>
      </c>
      <c r="O3390" s="15" t="s">
        <v>1554</v>
      </c>
      <c r="Q3390" s="7"/>
    </row>
    <row r="3391">
      <c r="A3391" s="39" t="s">
        <v>14094</v>
      </c>
      <c r="B3391" s="15">
        <v>223264.0</v>
      </c>
      <c r="C3391" s="15" t="s">
        <v>14095</v>
      </c>
      <c r="D3391" s="15">
        <v>226083.0</v>
      </c>
      <c r="E3391" s="15" t="s">
        <v>1808</v>
      </c>
      <c r="F3391" s="15" t="s">
        <v>1809</v>
      </c>
      <c r="G3391" s="7">
        <v>5.558</v>
      </c>
      <c r="H3391" s="15" t="s">
        <v>14096</v>
      </c>
      <c r="I3391" s="15" t="s">
        <v>1628</v>
      </c>
      <c r="J3391" s="15" t="s">
        <v>14097</v>
      </c>
      <c r="K3391" s="15">
        <v>7.0</v>
      </c>
      <c r="L3391" s="15">
        <v>7.0</v>
      </c>
      <c r="M3391" s="40">
        <v>41579.0</v>
      </c>
      <c r="N3391" s="41">
        <v>42297.0</v>
      </c>
      <c r="O3391" s="15" t="s">
        <v>1554</v>
      </c>
      <c r="Q3391" s="7"/>
    </row>
    <row r="3392">
      <c r="A3392" s="39" t="s">
        <v>14099</v>
      </c>
      <c r="B3392" s="15">
        <v>1385427.0</v>
      </c>
      <c r="C3392" s="15" t="s">
        <v>14100</v>
      </c>
      <c r="D3392" s="15">
        <v>226084.0</v>
      </c>
      <c r="E3392" s="15" t="s">
        <v>1548</v>
      </c>
      <c r="F3392" s="15" t="s">
        <v>1684</v>
      </c>
      <c r="G3392" s="7">
        <v>30.175</v>
      </c>
      <c r="H3392" s="15" t="s">
        <v>2375</v>
      </c>
      <c r="I3392" s="15" t="s">
        <v>1686</v>
      </c>
      <c r="J3392" s="15" t="s">
        <v>14101</v>
      </c>
      <c r="K3392" s="15">
        <v>12.0</v>
      </c>
      <c r="L3392" s="15">
        <v>12.0</v>
      </c>
      <c r="M3392" s="41">
        <v>41568.0</v>
      </c>
      <c r="N3392" s="40">
        <v>41737.0</v>
      </c>
      <c r="O3392" s="15" t="s">
        <v>1554</v>
      </c>
      <c r="Q3392" s="7"/>
    </row>
    <row r="3393">
      <c r="A3393" s="39" t="s">
        <v>14102</v>
      </c>
      <c r="B3393" s="15">
        <v>1408129.0</v>
      </c>
      <c r="C3393" s="15" t="s">
        <v>14103</v>
      </c>
      <c r="D3393" s="15">
        <v>226107.0</v>
      </c>
      <c r="E3393" s="15" t="s">
        <v>1557</v>
      </c>
      <c r="F3393" s="15" t="s">
        <v>1822</v>
      </c>
      <c r="G3393" s="7">
        <v>7.647</v>
      </c>
      <c r="H3393" s="15" t="s">
        <v>2836</v>
      </c>
      <c r="I3393" s="15" t="s">
        <v>1686</v>
      </c>
      <c r="J3393" s="15" t="s">
        <v>14104</v>
      </c>
      <c r="K3393" s="15">
        <v>7.0</v>
      </c>
      <c r="L3393" s="15">
        <v>7.0</v>
      </c>
      <c r="M3393" s="41">
        <v>41569.0</v>
      </c>
      <c r="N3393" s="40">
        <v>41581.0</v>
      </c>
      <c r="O3393" s="15" t="s">
        <v>1554</v>
      </c>
      <c r="Q3393" s="7"/>
    </row>
    <row r="3394">
      <c r="A3394" s="39" t="s">
        <v>14105</v>
      </c>
      <c r="B3394" s="15">
        <v>424947.0</v>
      </c>
      <c r="C3394" s="15" t="s">
        <v>14107</v>
      </c>
      <c r="D3394" s="15">
        <v>226725.0</v>
      </c>
      <c r="E3394" s="15" t="s">
        <v>1557</v>
      </c>
      <c r="F3394" s="15" t="s">
        <v>1833</v>
      </c>
      <c r="G3394" s="7">
        <v>42.749</v>
      </c>
      <c r="H3394" s="15" t="s">
        <v>3836</v>
      </c>
      <c r="I3394" s="15" t="s">
        <v>1586</v>
      </c>
      <c r="J3394" s="15" t="s">
        <v>14108</v>
      </c>
      <c r="K3394" s="15">
        <v>67.0</v>
      </c>
      <c r="L3394" s="15">
        <v>67.0</v>
      </c>
      <c r="M3394" s="41">
        <v>41570.0</v>
      </c>
      <c r="N3394" s="41">
        <v>41990.0</v>
      </c>
      <c r="O3394" s="15" t="s">
        <v>1554</v>
      </c>
      <c r="Q3394" s="7"/>
    </row>
    <row r="3395">
      <c r="A3395" s="39" t="s">
        <v>14109</v>
      </c>
      <c r="B3395" s="15">
        <v>1357825.0</v>
      </c>
      <c r="C3395" s="15" t="s">
        <v>14110</v>
      </c>
      <c r="D3395" s="15">
        <v>226726.0</v>
      </c>
      <c r="E3395" s="15" t="s">
        <v>1557</v>
      </c>
      <c r="F3395" s="15" t="s">
        <v>1767</v>
      </c>
      <c r="G3395" s="7">
        <v>33.628</v>
      </c>
      <c r="H3395" s="15" t="s">
        <v>5179</v>
      </c>
      <c r="I3395" s="15" t="s">
        <v>1586</v>
      </c>
      <c r="J3395" s="15" t="s">
        <v>14111</v>
      </c>
      <c r="K3395" s="15">
        <v>42.0</v>
      </c>
      <c r="L3395" s="15">
        <v>40.0</v>
      </c>
      <c r="M3395" s="41">
        <v>41570.0</v>
      </c>
      <c r="N3395" s="40">
        <v>41613.0</v>
      </c>
      <c r="O3395" s="15" t="s">
        <v>1554</v>
      </c>
      <c r="Q3395" s="7"/>
    </row>
    <row r="3396">
      <c r="A3396" s="39" t="s">
        <v>14112</v>
      </c>
      <c r="B3396" s="15">
        <v>424949.0</v>
      </c>
      <c r="C3396" s="15" t="s">
        <v>14113</v>
      </c>
      <c r="D3396" s="15">
        <v>226727.0</v>
      </c>
      <c r="E3396" s="15" t="s">
        <v>1557</v>
      </c>
      <c r="F3396" s="15" t="s">
        <v>1833</v>
      </c>
      <c r="G3396" s="7">
        <v>42.665</v>
      </c>
      <c r="H3396" s="15" t="s">
        <v>5042</v>
      </c>
      <c r="I3396" s="15" t="s">
        <v>1586</v>
      </c>
      <c r="J3396" s="15" t="s">
        <v>14115</v>
      </c>
      <c r="K3396" s="15">
        <v>69.0</v>
      </c>
      <c r="L3396" s="15">
        <v>69.0</v>
      </c>
      <c r="M3396" s="41">
        <v>41570.0</v>
      </c>
      <c r="N3396" s="40">
        <v>41584.0</v>
      </c>
      <c r="O3396" s="15" t="s">
        <v>1554</v>
      </c>
      <c r="Q3396" s="7"/>
    </row>
    <row r="3397">
      <c r="A3397" s="39" t="s">
        <v>14116</v>
      </c>
      <c r="B3397" s="15">
        <v>1414644.0</v>
      </c>
      <c r="C3397" s="15" t="s">
        <v>14117</v>
      </c>
      <c r="D3397" s="15">
        <v>226728.0</v>
      </c>
      <c r="E3397" s="15" t="s">
        <v>1548</v>
      </c>
      <c r="F3397" s="15" t="s">
        <v>1911</v>
      </c>
      <c r="G3397" s="7">
        <v>9.359</v>
      </c>
      <c r="H3397" s="15">
        <v>44.0</v>
      </c>
      <c r="I3397" s="15" t="s">
        <v>1628</v>
      </c>
      <c r="J3397" s="15" t="s">
        <v>14118</v>
      </c>
      <c r="K3397" s="15">
        <v>1.0</v>
      </c>
      <c r="L3397" s="15">
        <v>1.0</v>
      </c>
      <c r="M3397" s="40">
        <v>41582.0</v>
      </c>
      <c r="N3397" s="40">
        <v>41584.0</v>
      </c>
      <c r="O3397" s="15" t="s">
        <v>1554</v>
      </c>
      <c r="Q3397" s="7"/>
    </row>
    <row r="3398">
      <c r="A3398" s="39" t="s">
        <v>14119</v>
      </c>
      <c r="B3398" s="15">
        <v>1414671.0</v>
      </c>
      <c r="C3398" s="15" t="s">
        <v>14120</v>
      </c>
      <c r="D3398" s="15">
        <v>226730.0</v>
      </c>
      <c r="E3398" s="15" t="s">
        <v>1808</v>
      </c>
      <c r="F3398" s="15" t="s">
        <v>2436</v>
      </c>
      <c r="G3398" s="7">
        <v>5.28</v>
      </c>
      <c r="H3398" s="15" t="s">
        <v>6418</v>
      </c>
      <c r="I3398" s="15" t="s">
        <v>1560</v>
      </c>
      <c r="J3398" s="15" t="s">
        <v>14122</v>
      </c>
      <c r="K3398" s="15">
        <v>5.0</v>
      </c>
      <c r="L3398" s="15">
        <v>5.0</v>
      </c>
      <c r="M3398" s="40">
        <v>41582.0</v>
      </c>
      <c r="N3398" s="40">
        <v>41584.0</v>
      </c>
      <c r="O3398" s="15" t="s">
        <v>1554</v>
      </c>
      <c r="Q3398" s="7"/>
    </row>
    <row r="3399">
      <c r="A3399" s="39" t="s">
        <v>14123</v>
      </c>
      <c r="B3399" s="15">
        <v>1344113.0</v>
      </c>
      <c r="C3399" s="15" t="s">
        <v>14124</v>
      </c>
      <c r="D3399" s="15">
        <v>226731.0</v>
      </c>
      <c r="E3399" s="15" t="s">
        <v>1548</v>
      </c>
      <c r="F3399" s="15" t="s">
        <v>1890</v>
      </c>
      <c r="G3399" s="7">
        <v>10.692</v>
      </c>
      <c r="H3399" s="15" t="s">
        <v>2005</v>
      </c>
      <c r="I3399" s="15" t="s">
        <v>1686</v>
      </c>
      <c r="J3399" s="15" t="s">
        <v>14125</v>
      </c>
      <c r="K3399" s="15">
        <v>5.0</v>
      </c>
      <c r="L3399" s="15">
        <v>5.0</v>
      </c>
      <c r="M3399" s="40">
        <v>41542.0</v>
      </c>
      <c r="N3399" s="41">
        <v>41631.0</v>
      </c>
      <c r="O3399" s="15" t="s">
        <v>1554</v>
      </c>
      <c r="Q3399" s="7"/>
    </row>
    <row r="3400">
      <c r="A3400" s="39" t="s">
        <v>14126</v>
      </c>
      <c r="B3400" s="15">
        <v>1407493.0</v>
      </c>
      <c r="C3400" s="15" t="s">
        <v>14127</v>
      </c>
      <c r="D3400" s="15">
        <v>227000.0</v>
      </c>
      <c r="E3400" s="15" t="s">
        <v>1557</v>
      </c>
      <c r="F3400" s="15" t="s">
        <v>1767</v>
      </c>
      <c r="G3400" s="7">
        <v>39.758</v>
      </c>
      <c r="H3400" s="15" t="s">
        <v>5391</v>
      </c>
      <c r="I3400" s="15" t="s">
        <v>1586</v>
      </c>
      <c r="J3400" s="15" t="s">
        <v>14128</v>
      </c>
      <c r="K3400" s="15">
        <v>54.0</v>
      </c>
      <c r="L3400" s="15">
        <v>54.0</v>
      </c>
      <c r="M3400" s="41">
        <v>41575.0</v>
      </c>
      <c r="N3400" s="40">
        <v>41584.0</v>
      </c>
      <c r="O3400" s="15" t="s">
        <v>1554</v>
      </c>
      <c r="Q3400" s="7"/>
    </row>
    <row r="3401">
      <c r="A3401" s="39" t="s">
        <v>14129</v>
      </c>
      <c r="B3401" s="15">
        <v>1262514.0</v>
      </c>
      <c r="C3401" s="15" t="s">
        <v>14130</v>
      </c>
      <c r="D3401" s="15">
        <v>227001.0</v>
      </c>
      <c r="E3401" s="15" t="s">
        <v>1557</v>
      </c>
      <c r="F3401" s="15" t="s">
        <v>1611</v>
      </c>
      <c r="G3401" s="7">
        <v>42.957</v>
      </c>
      <c r="H3401" s="15" t="s">
        <v>2094</v>
      </c>
      <c r="I3401" s="15" t="s">
        <v>1586</v>
      </c>
      <c r="J3401" s="15" t="s">
        <v>14132</v>
      </c>
      <c r="K3401" s="15">
        <v>50.0</v>
      </c>
      <c r="L3401" s="15">
        <v>50.0</v>
      </c>
      <c r="M3401" s="41">
        <v>41578.0</v>
      </c>
      <c r="N3401" s="40">
        <v>41584.0</v>
      </c>
      <c r="O3401" s="15" t="s">
        <v>1554</v>
      </c>
      <c r="Q3401" s="7"/>
    </row>
    <row r="3402">
      <c r="A3402" s="39" t="s">
        <v>14133</v>
      </c>
      <c r="B3402" s="15">
        <v>1399949.0</v>
      </c>
      <c r="C3402" s="15" t="s">
        <v>14134</v>
      </c>
      <c r="D3402" s="15">
        <v>227002.0</v>
      </c>
      <c r="E3402" s="15" t="s">
        <v>1557</v>
      </c>
      <c r="F3402" s="15" t="s">
        <v>1833</v>
      </c>
      <c r="G3402" s="7">
        <v>44.459</v>
      </c>
      <c r="H3402" s="15" t="s">
        <v>2207</v>
      </c>
      <c r="I3402" s="15" t="s">
        <v>1586</v>
      </c>
      <c r="J3402" s="15" t="s">
        <v>14135</v>
      </c>
      <c r="K3402" s="15">
        <v>62.0</v>
      </c>
      <c r="L3402" s="15">
        <v>62.0</v>
      </c>
      <c r="M3402" s="40">
        <v>41583.0</v>
      </c>
      <c r="N3402" s="40">
        <v>41948.0</v>
      </c>
      <c r="O3402" s="15" t="s">
        <v>1554</v>
      </c>
      <c r="Q3402" s="7"/>
    </row>
    <row r="3403">
      <c r="A3403" s="39" t="s">
        <v>14136</v>
      </c>
      <c r="B3403" s="15">
        <v>1407608.0</v>
      </c>
      <c r="C3403" s="15" t="s">
        <v>14138</v>
      </c>
      <c r="D3403" s="15">
        <v>227003.0</v>
      </c>
      <c r="E3403" s="15" t="s">
        <v>1557</v>
      </c>
      <c r="F3403" s="15" t="s">
        <v>1611</v>
      </c>
      <c r="G3403" s="7">
        <v>39.86</v>
      </c>
      <c r="H3403" s="15" t="s">
        <v>1918</v>
      </c>
      <c r="I3403" s="15" t="s">
        <v>1586</v>
      </c>
      <c r="J3403" s="15" t="s">
        <v>14139</v>
      </c>
      <c r="K3403" s="15">
        <v>51.0</v>
      </c>
      <c r="L3403" s="15">
        <v>51.0</v>
      </c>
      <c r="M3403" s="41">
        <v>41577.0</v>
      </c>
      <c r="N3403" s="40">
        <v>41584.0</v>
      </c>
      <c r="O3403" s="15" t="s">
        <v>1554</v>
      </c>
      <c r="Q3403" s="7"/>
    </row>
    <row r="3404">
      <c r="A3404" s="39" t="s">
        <v>14140</v>
      </c>
      <c r="B3404" s="15">
        <v>1414736.0</v>
      </c>
      <c r="C3404" s="15" t="s">
        <v>14141</v>
      </c>
      <c r="D3404" s="15">
        <v>227005.0</v>
      </c>
      <c r="E3404" s="15" t="s">
        <v>1557</v>
      </c>
      <c r="F3404" s="15" t="s">
        <v>1833</v>
      </c>
      <c r="G3404" s="7">
        <v>40.931</v>
      </c>
      <c r="H3404" s="15" t="s">
        <v>3097</v>
      </c>
      <c r="I3404" s="15" t="s">
        <v>1586</v>
      </c>
      <c r="J3404" s="15" t="s">
        <v>14142</v>
      </c>
      <c r="K3404" s="15">
        <v>63.0</v>
      </c>
      <c r="L3404" s="15">
        <v>63.0</v>
      </c>
      <c r="M3404" s="40">
        <v>41583.0</v>
      </c>
      <c r="N3404" s="40">
        <v>41704.0</v>
      </c>
      <c r="O3404" s="15" t="s">
        <v>1554</v>
      </c>
      <c r="Q3404" s="7"/>
    </row>
    <row r="3405">
      <c r="A3405" s="39" t="s">
        <v>14144</v>
      </c>
      <c r="B3405" s="15">
        <v>1354510.0</v>
      </c>
      <c r="C3405" s="15" t="s">
        <v>14145</v>
      </c>
      <c r="D3405" s="15">
        <v>227008.0</v>
      </c>
      <c r="E3405" s="15" t="s">
        <v>1557</v>
      </c>
      <c r="F3405" s="15" t="s">
        <v>1833</v>
      </c>
      <c r="G3405" s="7">
        <v>52.282</v>
      </c>
      <c r="H3405" s="15" t="s">
        <v>2154</v>
      </c>
      <c r="I3405" s="15" t="s">
        <v>1586</v>
      </c>
      <c r="J3405" s="15" t="s">
        <v>14146</v>
      </c>
      <c r="K3405" s="15">
        <v>104.0</v>
      </c>
      <c r="L3405" s="15">
        <v>103.0</v>
      </c>
      <c r="M3405" s="41">
        <v>41575.0</v>
      </c>
      <c r="N3405" s="40">
        <v>41584.0</v>
      </c>
      <c r="O3405" s="15" t="s">
        <v>1554</v>
      </c>
      <c r="Q3405" s="7"/>
    </row>
    <row r="3406">
      <c r="A3406" s="39" t="s">
        <v>14147</v>
      </c>
      <c r="B3406" s="15">
        <v>39103.0</v>
      </c>
      <c r="C3406" s="15" t="s">
        <v>14148</v>
      </c>
      <c r="D3406" s="15">
        <v>227007.0</v>
      </c>
      <c r="E3406" s="15" t="s">
        <v>1557</v>
      </c>
      <c r="F3406" s="15" t="s">
        <v>1833</v>
      </c>
      <c r="G3406" s="7">
        <v>38.88</v>
      </c>
      <c r="H3406" s="15" t="s">
        <v>1828</v>
      </c>
      <c r="I3406" s="15" t="s">
        <v>1586</v>
      </c>
      <c r="J3406" s="15" t="s">
        <v>14149</v>
      </c>
      <c r="K3406" s="15">
        <v>59.0</v>
      </c>
      <c r="L3406" s="15">
        <v>59.0</v>
      </c>
      <c r="M3406" s="40">
        <v>41583.0</v>
      </c>
      <c r="N3406" s="40">
        <v>41704.0</v>
      </c>
      <c r="O3406" s="15" t="s">
        <v>1554</v>
      </c>
      <c r="Q3406" s="7"/>
    </row>
    <row r="3407">
      <c r="A3407" s="39" t="s">
        <v>14150</v>
      </c>
      <c r="B3407" s="15">
        <v>434346.0</v>
      </c>
      <c r="C3407" s="15" t="s">
        <v>14151</v>
      </c>
      <c r="D3407" s="15">
        <v>227004.0</v>
      </c>
      <c r="E3407" s="15" t="s">
        <v>1557</v>
      </c>
      <c r="F3407" s="15" t="s">
        <v>1611</v>
      </c>
      <c r="G3407" s="7">
        <v>42.48</v>
      </c>
      <c r="H3407" s="15" t="s">
        <v>2660</v>
      </c>
      <c r="I3407" s="15" t="s">
        <v>1586</v>
      </c>
      <c r="J3407" s="15" t="s">
        <v>14152</v>
      </c>
      <c r="K3407" s="15">
        <v>41.0</v>
      </c>
      <c r="L3407" s="15">
        <v>41.0</v>
      </c>
      <c r="M3407" s="41">
        <v>41576.0</v>
      </c>
      <c r="N3407" s="40">
        <v>41584.0</v>
      </c>
      <c r="O3407" s="15" t="s">
        <v>1554</v>
      </c>
      <c r="Q3407" s="7"/>
    </row>
    <row r="3408">
      <c r="A3408" s="39" t="s">
        <v>14153</v>
      </c>
      <c r="B3408" s="15">
        <v>1385385.0</v>
      </c>
      <c r="C3408" s="15" t="s">
        <v>14155</v>
      </c>
      <c r="D3408" s="15">
        <v>227111.0</v>
      </c>
      <c r="E3408" s="15" t="s">
        <v>1557</v>
      </c>
      <c r="F3408" s="15" t="s">
        <v>1833</v>
      </c>
      <c r="G3408" s="7">
        <v>41.757</v>
      </c>
      <c r="H3408" s="15">
        <v>39.0</v>
      </c>
      <c r="I3408" s="15" t="s">
        <v>1586</v>
      </c>
      <c r="J3408" s="15" t="s">
        <v>14156</v>
      </c>
      <c r="K3408" s="15">
        <v>52.0</v>
      </c>
      <c r="L3408" s="15">
        <v>52.0</v>
      </c>
      <c r="M3408" s="41">
        <v>41578.0</v>
      </c>
      <c r="N3408" s="40">
        <v>41585.0</v>
      </c>
      <c r="O3408" s="15" t="s">
        <v>1554</v>
      </c>
      <c r="Q3408" s="7"/>
    </row>
    <row r="3409">
      <c r="A3409" s="39" t="s">
        <v>14157</v>
      </c>
      <c r="B3409" s="15">
        <v>1406794.0</v>
      </c>
      <c r="C3409" s="15" t="s">
        <v>12262</v>
      </c>
      <c r="D3409" s="15">
        <v>222858.0</v>
      </c>
      <c r="E3409" s="15" t="s">
        <v>1557</v>
      </c>
      <c r="F3409" s="15" t="s">
        <v>1767</v>
      </c>
      <c r="G3409" s="7">
        <v>156.338</v>
      </c>
      <c r="H3409" s="15" t="s">
        <v>8889</v>
      </c>
      <c r="I3409" s="15" t="s">
        <v>1586</v>
      </c>
      <c r="J3409" s="15" t="s">
        <v>14158</v>
      </c>
      <c r="K3409" s="15">
        <v>209.0</v>
      </c>
      <c r="L3409" s="15">
        <v>205.0</v>
      </c>
      <c r="M3409" s="41">
        <v>41576.0</v>
      </c>
      <c r="N3409" s="40">
        <v>41828.0</v>
      </c>
      <c r="O3409" s="15" t="s">
        <v>1554</v>
      </c>
      <c r="Q3409" s="7"/>
    </row>
    <row r="3410">
      <c r="A3410" s="39" t="s">
        <v>14159</v>
      </c>
      <c r="B3410" s="15">
        <v>1406783.0</v>
      </c>
      <c r="C3410" s="15" t="s">
        <v>12262</v>
      </c>
      <c r="D3410" s="15">
        <v>222858.0</v>
      </c>
      <c r="E3410" s="15" t="s">
        <v>1557</v>
      </c>
      <c r="F3410" s="15" t="s">
        <v>1767</v>
      </c>
      <c r="G3410" s="7">
        <v>146.193</v>
      </c>
      <c r="H3410" s="15" t="s">
        <v>1902</v>
      </c>
      <c r="I3410" s="15" t="s">
        <v>1586</v>
      </c>
      <c r="J3410" s="15" t="s">
        <v>14161</v>
      </c>
      <c r="K3410" s="15">
        <v>233.0</v>
      </c>
      <c r="L3410" s="15">
        <v>231.0</v>
      </c>
      <c r="M3410" s="41">
        <v>41576.0</v>
      </c>
      <c r="N3410" s="40">
        <v>41828.0</v>
      </c>
      <c r="O3410" s="15" t="s">
        <v>1554</v>
      </c>
      <c r="Q3410" s="7"/>
    </row>
    <row r="3411">
      <c r="A3411" s="39" t="s">
        <v>14162</v>
      </c>
      <c r="B3411" s="15">
        <v>1399942.0</v>
      </c>
      <c r="C3411" s="15" t="s">
        <v>14163</v>
      </c>
      <c r="D3411" s="15">
        <v>227117.0</v>
      </c>
      <c r="E3411" s="15" t="s">
        <v>1557</v>
      </c>
      <c r="F3411" s="15" t="s">
        <v>1833</v>
      </c>
      <c r="G3411" s="7">
        <v>33.996</v>
      </c>
      <c r="H3411" s="15">
        <v>42.0</v>
      </c>
      <c r="I3411" s="15" t="s">
        <v>1586</v>
      </c>
      <c r="J3411" s="15" t="s">
        <v>14164</v>
      </c>
      <c r="K3411" s="15">
        <v>59.0</v>
      </c>
      <c r="L3411" s="15">
        <v>59.0</v>
      </c>
      <c r="M3411" s="40">
        <v>41546.0</v>
      </c>
      <c r="N3411" s="41">
        <v>42349.0</v>
      </c>
      <c r="O3411" s="15" t="s">
        <v>1554</v>
      </c>
      <c r="Q3411" s="7"/>
    </row>
    <row r="3412">
      <c r="A3412" s="39" t="s">
        <v>14165</v>
      </c>
      <c r="B3412" s="15">
        <v>1406781.0</v>
      </c>
      <c r="C3412" s="15" t="s">
        <v>12262</v>
      </c>
      <c r="D3412" s="15">
        <v>222858.0</v>
      </c>
      <c r="E3412" s="15" t="s">
        <v>1557</v>
      </c>
      <c r="F3412" s="15" t="s">
        <v>1767</v>
      </c>
      <c r="G3412" s="7">
        <v>165.238</v>
      </c>
      <c r="H3412" s="15" t="s">
        <v>2233</v>
      </c>
      <c r="I3412" s="15" t="s">
        <v>1586</v>
      </c>
      <c r="J3412" s="15" t="s">
        <v>14166</v>
      </c>
      <c r="K3412" s="15">
        <v>291.0</v>
      </c>
      <c r="L3412" s="15">
        <v>291.0</v>
      </c>
      <c r="M3412" s="41">
        <v>41576.0</v>
      </c>
      <c r="N3412" s="40">
        <v>41828.0</v>
      </c>
      <c r="O3412" s="15" t="s">
        <v>1554</v>
      </c>
      <c r="Q3412" s="7"/>
    </row>
    <row r="3413">
      <c r="A3413" s="39" t="s">
        <v>14167</v>
      </c>
      <c r="B3413" s="15">
        <v>1406791.0</v>
      </c>
      <c r="C3413" s="15" t="s">
        <v>12262</v>
      </c>
      <c r="D3413" s="15">
        <v>222858.0</v>
      </c>
      <c r="E3413" s="15" t="s">
        <v>1557</v>
      </c>
      <c r="F3413" s="15" t="s">
        <v>1767</v>
      </c>
      <c r="G3413" s="7">
        <v>164.297</v>
      </c>
      <c r="H3413" s="15" t="s">
        <v>1714</v>
      </c>
      <c r="I3413" s="15" t="s">
        <v>1586</v>
      </c>
      <c r="J3413" s="15" t="s">
        <v>14169</v>
      </c>
      <c r="K3413" s="15">
        <v>283.0</v>
      </c>
      <c r="L3413" s="15">
        <v>283.0</v>
      </c>
      <c r="M3413" s="41">
        <v>41576.0</v>
      </c>
      <c r="N3413" s="40">
        <v>41828.0</v>
      </c>
      <c r="O3413" s="15" t="s">
        <v>1554</v>
      </c>
      <c r="Q3413" s="7"/>
    </row>
    <row r="3414">
      <c r="A3414" s="39" t="s">
        <v>14170</v>
      </c>
      <c r="B3414" s="15">
        <v>1406784.0</v>
      </c>
      <c r="C3414" s="15" t="s">
        <v>12262</v>
      </c>
      <c r="D3414" s="15">
        <v>222858.0</v>
      </c>
      <c r="E3414" s="15" t="s">
        <v>1557</v>
      </c>
      <c r="F3414" s="15" t="s">
        <v>1833</v>
      </c>
      <c r="G3414" s="7">
        <v>49.246</v>
      </c>
      <c r="H3414" s="15" t="s">
        <v>2950</v>
      </c>
      <c r="I3414" s="15" t="s">
        <v>1586</v>
      </c>
      <c r="J3414" s="15" t="s">
        <v>14171</v>
      </c>
      <c r="K3414" s="15">
        <v>78.0</v>
      </c>
      <c r="L3414" s="15">
        <v>78.0</v>
      </c>
      <c r="M3414" s="41">
        <v>41576.0</v>
      </c>
      <c r="N3414" s="40">
        <v>41828.0</v>
      </c>
      <c r="O3414" s="15" t="s">
        <v>1554</v>
      </c>
      <c r="Q3414" s="7"/>
    </row>
    <row r="3415">
      <c r="A3415" s="39" t="s">
        <v>14172</v>
      </c>
      <c r="B3415" s="15">
        <v>1406788.0</v>
      </c>
      <c r="C3415" s="15" t="s">
        <v>12262</v>
      </c>
      <c r="D3415" s="15">
        <v>222858.0</v>
      </c>
      <c r="E3415" s="15" t="s">
        <v>1557</v>
      </c>
      <c r="F3415" s="15" t="s">
        <v>1833</v>
      </c>
      <c r="G3415" s="7">
        <v>49.836</v>
      </c>
      <c r="H3415" s="15" t="s">
        <v>2777</v>
      </c>
      <c r="I3415" s="15" t="s">
        <v>1586</v>
      </c>
      <c r="J3415" s="15" t="s">
        <v>14174</v>
      </c>
      <c r="K3415" s="15">
        <v>79.0</v>
      </c>
      <c r="L3415" s="15">
        <v>79.0</v>
      </c>
      <c r="M3415" s="41">
        <v>41576.0</v>
      </c>
      <c r="N3415" s="40">
        <v>41828.0</v>
      </c>
      <c r="O3415" s="15" t="s">
        <v>1554</v>
      </c>
      <c r="Q3415" s="7"/>
    </row>
    <row r="3416">
      <c r="A3416" s="39" t="s">
        <v>14175</v>
      </c>
      <c r="B3416" s="15">
        <v>1406792.0</v>
      </c>
      <c r="C3416" s="15" t="s">
        <v>12262</v>
      </c>
      <c r="D3416" s="15">
        <v>222858.0</v>
      </c>
      <c r="E3416" s="15" t="s">
        <v>1557</v>
      </c>
      <c r="F3416" s="15" t="s">
        <v>1833</v>
      </c>
      <c r="G3416" s="7">
        <v>81.656</v>
      </c>
      <c r="H3416" s="15" t="s">
        <v>3361</v>
      </c>
      <c r="I3416" s="15" t="s">
        <v>1586</v>
      </c>
      <c r="J3416" s="15" t="s">
        <v>14176</v>
      </c>
      <c r="K3416" s="15">
        <v>113.0</v>
      </c>
      <c r="L3416" s="15">
        <v>113.0</v>
      </c>
      <c r="M3416" s="41">
        <v>41576.0</v>
      </c>
      <c r="N3416" s="40">
        <v>41828.0</v>
      </c>
      <c r="O3416" s="15" t="s">
        <v>1554</v>
      </c>
      <c r="Q3416" s="7"/>
    </row>
    <row r="3417">
      <c r="A3417" s="39" t="s">
        <v>14178</v>
      </c>
      <c r="B3417" s="15">
        <v>1406789.0</v>
      </c>
      <c r="C3417" s="15" t="s">
        <v>12262</v>
      </c>
      <c r="D3417" s="15">
        <v>222858.0</v>
      </c>
      <c r="E3417" s="15" t="s">
        <v>1557</v>
      </c>
      <c r="F3417" s="15" t="s">
        <v>1611</v>
      </c>
      <c r="G3417" s="7">
        <v>39.844</v>
      </c>
      <c r="H3417" s="15" t="s">
        <v>2223</v>
      </c>
      <c r="I3417" s="15" t="s">
        <v>1586</v>
      </c>
      <c r="J3417" s="15" t="s">
        <v>14179</v>
      </c>
      <c r="K3417" s="15">
        <v>48.0</v>
      </c>
      <c r="L3417" s="15">
        <v>48.0</v>
      </c>
      <c r="M3417" s="41">
        <v>41576.0</v>
      </c>
      <c r="N3417" s="40">
        <v>41828.0</v>
      </c>
      <c r="O3417" s="15" t="s">
        <v>1554</v>
      </c>
      <c r="Q3417" s="7"/>
    </row>
    <row r="3418">
      <c r="A3418" s="39" t="s">
        <v>14180</v>
      </c>
      <c r="B3418" s="15">
        <v>1406785.0</v>
      </c>
      <c r="C3418" s="15" t="s">
        <v>12262</v>
      </c>
      <c r="D3418" s="15">
        <v>222858.0</v>
      </c>
      <c r="E3418" s="15" t="s">
        <v>1557</v>
      </c>
      <c r="F3418" s="15" t="s">
        <v>1767</v>
      </c>
      <c r="G3418" s="7">
        <v>156.648</v>
      </c>
      <c r="H3418" s="15" t="s">
        <v>1591</v>
      </c>
      <c r="I3418" s="15" t="s">
        <v>1586</v>
      </c>
      <c r="J3418" s="15" t="s">
        <v>14181</v>
      </c>
      <c r="K3418" s="15">
        <v>255.0</v>
      </c>
      <c r="L3418" s="15">
        <v>252.0</v>
      </c>
      <c r="M3418" s="41">
        <v>41576.0</v>
      </c>
      <c r="N3418" s="40">
        <v>41828.0</v>
      </c>
      <c r="O3418" s="15" t="s">
        <v>1554</v>
      </c>
      <c r="Q3418" s="7"/>
    </row>
    <row r="3419">
      <c r="A3419" s="39" t="s">
        <v>14182</v>
      </c>
      <c r="B3419" s="15">
        <v>1406782.0</v>
      </c>
      <c r="C3419" s="15" t="s">
        <v>12262</v>
      </c>
      <c r="D3419" s="15">
        <v>222858.0</v>
      </c>
      <c r="E3419" s="15" t="s">
        <v>1557</v>
      </c>
      <c r="F3419" s="15" t="s">
        <v>1833</v>
      </c>
      <c r="G3419" s="7">
        <v>50.354</v>
      </c>
      <c r="H3419" s="15" t="s">
        <v>1591</v>
      </c>
      <c r="I3419" s="15" t="s">
        <v>1586</v>
      </c>
      <c r="J3419" s="15" t="s">
        <v>14183</v>
      </c>
      <c r="K3419" s="15">
        <v>79.0</v>
      </c>
      <c r="L3419" s="15">
        <v>79.0</v>
      </c>
      <c r="M3419" s="41">
        <v>41576.0</v>
      </c>
      <c r="N3419" s="40">
        <v>41828.0</v>
      </c>
      <c r="O3419" s="15" t="s">
        <v>1554</v>
      </c>
      <c r="Q3419" s="7"/>
    </row>
    <row r="3420">
      <c r="A3420" s="39" t="s">
        <v>14185</v>
      </c>
      <c r="B3420" s="15">
        <v>1399941.0</v>
      </c>
      <c r="C3420" s="15" t="s">
        <v>14186</v>
      </c>
      <c r="D3420" s="15">
        <v>227128.0</v>
      </c>
      <c r="E3420" s="15" t="s">
        <v>1557</v>
      </c>
      <c r="F3420" s="15" t="s">
        <v>1833</v>
      </c>
      <c r="G3420" s="7">
        <v>36.969</v>
      </c>
      <c r="H3420" s="15" t="s">
        <v>3882</v>
      </c>
      <c r="I3420" s="15" t="s">
        <v>1586</v>
      </c>
      <c r="J3420" s="15" t="s">
        <v>14187</v>
      </c>
      <c r="K3420" s="15">
        <v>46.0</v>
      </c>
      <c r="L3420" s="15">
        <v>46.0</v>
      </c>
      <c r="M3420" s="40">
        <v>41546.0</v>
      </c>
      <c r="N3420" s="40">
        <v>42480.0</v>
      </c>
      <c r="O3420" s="15" t="s">
        <v>1554</v>
      </c>
      <c r="Q3420" s="7"/>
    </row>
    <row r="3421">
      <c r="A3421" s="39" t="s">
        <v>14188</v>
      </c>
      <c r="B3421" s="15">
        <v>1406786.0</v>
      </c>
      <c r="C3421" s="15" t="s">
        <v>12262</v>
      </c>
      <c r="D3421" s="15">
        <v>222858.0</v>
      </c>
      <c r="E3421" s="15" t="s">
        <v>1557</v>
      </c>
      <c r="F3421" s="15" t="s">
        <v>1611</v>
      </c>
      <c r="G3421" s="7">
        <v>39.874</v>
      </c>
      <c r="H3421" s="15" t="s">
        <v>2223</v>
      </c>
      <c r="I3421" s="15" t="s">
        <v>1586</v>
      </c>
      <c r="J3421" s="15" t="s">
        <v>14189</v>
      </c>
      <c r="K3421" s="15">
        <v>50.0</v>
      </c>
      <c r="L3421" s="15">
        <v>50.0</v>
      </c>
      <c r="M3421" s="41">
        <v>41576.0</v>
      </c>
      <c r="N3421" s="40">
        <v>41828.0</v>
      </c>
      <c r="O3421" s="15" t="s">
        <v>1554</v>
      </c>
      <c r="Q3421" s="7"/>
    </row>
    <row r="3422">
      <c r="A3422" s="39" t="s">
        <v>14190</v>
      </c>
      <c r="B3422" s="15">
        <v>1267169.0</v>
      </c>
      <c r="C3422" s="15" t="s">
        <v>14192</v>
      </c>
      <c r="D3422" s="15">
        <v>227353.0</v>
      </c>
      <c r="E3422" s="15" t="s">
        <v>4407</v>
      </c>
      <c r="F3422" s="15" t="s">
        <v>1578</v>
      </c>
      <c r="G3422" s="7">
        <v>37.375</v>
      </c>
      <c r="H3422" s="15" t="s">
        <v>2824</v>
      </c>
      <c r="I3422" s="15" t="s">
        <v>1586</v>
      </c>
      <c r="J3422" s="15" t="s">
        <v>14193</v>
      </c>
      <c r="K3422" s="15">
        <v>51.0</v>
      </c>
      <c r="L3422" s="15">
        <v>49.0</v>
      </c>
      <c r="M3422" s="41">
        <v>41558.0</v>
      </c>
      <c r="N3422" s="41">
        <v>41590.0</v>
      </c>
      <c r="O3422" s="15" t="s">
        <v>1554</v>
      </c>
      <c r="Q3422" s="7"/>
    </row>
    <row r="3423">
      <c r="A3423" s="39" t="s">
        <v>14194</v>
      </c>
      <c r="B3423" s="15">
        <v>237020.0</v>
      </c>
      <c r="C3423" s="15" t="s">
        <v>14195</v>
      </c>
      <c r="D3423" s="15">
        <v>227354.0</v>
      </c>
      <c r="E3423" s="15" t="s">
        <v>1548</v>
      </c>
      <c r="F3423" s="15" t="s">
        <v>1684</v>
      </c>
      <c r="G3423" s="7">
        <v>28.301</v>
      </c>
      <c r="H3423" s="15">
        <v>35.0</v>
      </c>
      <c r="I3423" s="15" t="s">
        <v>1686</v>
      </c>
      <c r="J3423" s="15" t="s">
        <v>14196</v>
      </c>
      <c r="K3423" s="15">
        <v>6.0</v>
      </c>
      <c r="L3423" s="15">
        <v>6.0</v>
      </c>
      <c r="M3423" s="40">
        <v>41584.0</v>
      </c>
      <c r="N3423" s="40">
        <v>41729.0</v>
      </c>
      <c r="O3423" s="15" t="s">
        <v>1554</v>
      </c>
      <c r="Q3423" s="7"/>
    </row>
    <row r="3424">
      <c r="A3424" s="39" t="s">
        <v>14197</v>
      </c>
      <c r="B3424" s="15">
        <v>1415628.0</v>
      </c>
      <c r="C3424" s="15" t="s">
        <v>14198</v>
      </c>
      <c r="D3424" s="15">
        <v>227355.0</v>
      </c>
      <c r="E3424" s="15" t="s">
        <v>1808</v>
      </c>
      <c r="F3424" s="15" t="s">
        <v>1998</v>
      </c>
      <c r="G3424" s="7">
        <v>2.282</v>
      </c>
      <c r="H3424" s="15" t="s">
        <v>6070</v>
      </c>
      <c r="I3424" s="15" t="s">
        <v>1686</v>
      </c>
      <c r="J3424" s="15" t="s">
        <v>14200</v>
      </c>
      <c r="K3424" s="15">
        <v>3.0</v>
      </c>
      <c r="L3424" s="15">
        <v>3.0</v>
      </c>
      <c r="M3424" s="40">
        <v>41584.0</v>
      </c>
      <c r="N3424" s="41">
        <v>41590.0</v>
      </c>
      <c r="O3424" s="15" t="s">
        <v>1554</v>
      </c>
      <c r="Q3424" s="7"/>
    </row>
    <row r="3425">
      <c r="A3425" s="39" t="s">
        <v>14201</v>
      </c>
      <c r="B3425" s="15">
        <v>1385658.0</v>
      </c>
      <c r="C3425" s="15" t="s">
        <v>14202</v>
      </c>
      <c r="D3425" s="15">
        <v>227357.0</v>
      </c>
      <c r="E3425" s="15" t="s">
        <v>1808</v>
      </c>
      <c r="F3425" s="15" t="s">
        <v>3154</v>
      </c>
      <c r="G3425" s="7">
        <v>4.129</v>
      </c>
      <c r="H3425" s="15" t="s">
        <v>1602</v>
      </c>
      <c r="I3425" s="15" t="s">
        <v>1586</v>
      </c>
      <c r="J3425" s="15" t="s">
        <v>14203</v>
      </c>
      <c r="K3425" s="15">
        <v>6.0</v>
      </c>
      <c r="L3425" s="15">
        <v>6.0</v>
      </c>
      <c r="M3425" s="41">
        <v>41578.0</v>
      </c>
      <c r="N3425" s="40">
        <v>41649.0</v>
      </c>
      <c r="O3425" s="15" t="s">
        <v>1554</v>
      </c>
      <c r="Q3425" s="7"/>
    </row>
    <row r="3426">
      <c r="A3426" s="39" t="s">
        <v>14204</v>
      </c>
      <c r="B3426" s="15">
        <v>1415627.0</v>
      </c>
      <c r="C3426" s="15" t="s">
        <v>14205</v>
      </c>
      <c r="D3426" s="15">
        <v>227356.0</v>
      </c>
      <c r="E3426" s="15" t="s">
        <v>1808</v>
      </c>
      <c r="F3426" s="15" t="s">
        <v>1998</v>
      </c>
      <c r="G3426" s="7">
        <v>43133.0</v>
      </c>
      <c r="H3426" s="15" t="s">
        <v>4736</v>
      </c>
      <c r="I3426" s="15" t="s">
        <v>1686</v>
      </c>
      <c r="J3426" s="15" t="s">
        <v>14207</v>
      </c>
      <c r="K3426" s="15">
        <v>3.0</v>
      </c>
      <c r="L3426" s="15">
        <v>3.0</v>
      </c>
      <c r="M3426" s="40">
        <v>41584.0</v>
      </c>
      <c r="N3426" s="41">
        <v>41590.0</v>
      </c>
      <c r="O3426" s="15" t="s">
        <v>1554</v>
      </c>
      <c r="Q3426" s="7"/>
    </row>
    <row r="3427">
      <c r="A3427" s="39" t="s">
        <v>14208</v>
      </c>
      <c r="B3427" s="15">
        <v>257464.0</v>
      </c>
      <c r="C3427" s="15" t="s">
        <v>14209</v>
      </c>
      <c r="D3427" s="15">
        <v>227467.0</v>
      </c>
      <c r="E3427" s="15" t="s">
        <v>1548</v>
      </c>
      <c r="F3427" s="15" t="s">
        <v>1626</v>
      </c>
      <c r="G3427" s="7">
        <v>11.474</v>
      </c>
      <c r="H3427" s="15" t="s">
        <v>14210</v>
      </c>
      <c r="I3427" s="15" t="s">
        <v>1628</v>
      </c>
      <c r="J3427" s="15" t="s">
        <v>14211</v>
      </c>
      <c r="K3427" s="15">
        <v>2.0</v>
      </c>
      <c r="L3427" s="15">
        <v>2.0</v>
      </c>
      <c r="M3427" s="41">
        <v>41588.0</v>
      </c>
      <c r="N3427" s="40">
        <v>41729.0</v>
      </c>
      <c r="O3427" s="15" t="s">
        <v>1554</v>
      </c>
      <c r="Q3427" s="7"/>
    </row>
    <row r="3428">
      <c r="A3428" s="39" t="s">
        <v>14212</v>
      </c>
      <c r="B3428" s="15">
        <v>1416026.0</v>
      </c>
      <c r="C3428" s="15" t="s">
        <v>14213</v>
      </c>
      <c r="D3428" s="15">
        <v>227475.0</v>
      </c>
      <c r="E3428" s="15" t="s">
        <v>1548</v>
      </c>
      <c r="F3428" s="15" t="s">
        <v>2615</v>
      </c>
      <c r="G3428" s="7">
        <v>6.379</v>
      </c>
      <c r="H3428" s="15" t="s">
        <v>2141</v>
      </c>
      <c r="I3428" s="15" t="s">
        <v>1628</v>
      </c>
      <c r="J3428" s="15" t="s">
        <v>14214</v>
      </c>
      <c r="K3428" s="15">
        <v>4.0</v>
      </c>
      <c r="L3428" s="15">
        <v>4.0</v>
      </c>
      <c r="M3428" s="41">
        <v>41588.0</v>
      </c>
      <c r="N3428" s="40">
        <v>41729.0</v>
      </c>
      <c r="O3428" s="15" t="s">
        <v>1554</v>
      </c>
      <c r="Q3428" s="7"/>
    </row>
    <row r="3429">
      <c r="A3429" s="39" t="s">
        <v>14216</v>
      </c>
      <c r="B3429" s="15">
        <v>1416021.0</v>
      </c>
      <c r="C3429" s="15" t="s">
        <v>14217</v>
      </c>
      <c r="D3429" s="15">
        <v>227566.0</v>
      </c>
      <c r="E3429" s="15" t="s">
        <v>1548</v>
      </c>
      <c r="F3429" s="15" t="s">
        <v>1776</v>
      </c>
      <c r="G3429" s="7">
        <v>7.807</v>
      </c>
      <c r="H3429" s="15" t="s">
        <v>9707</v>
      </c>
      <c r="I3429" s="15" t="s">
        <v>1686</v>
      </c>
      <c r="J3429" s="15" t="s">
        <v>14218</v>
      </c>
      <c r="K3429" s="15">
        <v>1.0</v>
      </c>
      <c r="L3429" s="15">
        <v>1.0</v>
      </c>
      <c r="M3429" s="41">
        <v>41588.0</v>
      </c>
      <c r="N3429" s="40">
        <v>41773.0</v>
      </c>
      <c r="O3429" s="15" t="s">
        <v>1554</v>
      </c>
      <c r="Q3429" s="7"/>
    </row>
    <row r="3430">
      <c r="A3430" s="39" t="s">
        <v>14219</v>
      </c>
      <c r="B3430" s="15">
        <v>1417756.0</v>
      </c>
      <c r="C3430" s="15" t="s">
        <v>14220</v>
      </c>
      <c r="D3430" s="15">
        <v>227738.0</v>
      </c>
      <c r="E3430" s="15" t="s">
        <v>1808</v>
      </c>
      <c r="F3430" s="15" t="s">
        <v>2436</v>
      </c>
      <c r="G3430" s="7">
        <v>5.479</v>
      </c>
      <c r="H3430" s="15" t="s">
        <v>1685</v>
      </c>
      <c r="I3430" s="15" t="s">
        <v>1686</v>
      </c>
      <c r="J3430" s="15" t="s">
        <v>14221</v>
      </c>
      <c r="K3430" s="15">
        <v>4.0</v>
      </c>
      <c r="L3430" s="15">
        <v>4.0</v>
      </c>
      <c r="M3430" s="41">
        <v>41590.0</v>
      </c>
      <c r="N3430" s="41">
        <v>41598.0</v>
      </c>
      <c r="O3430" s="15" t="s">
        <v>1554</v>
      </c>
      <c r="Q3430" s="7"/>
    </row>
    <row r="3431">
      <c r="A3431" s="39" t="s">
        <v>14222</v>
      </c>
      <c r="B3431" s="15">
        <v>1041527.0</v>
      </c>
      <c r="C3431" s="15" t="s">
        <v>14223</v>
      </c>
      <c r="D3431" s="15">
        <v>230071.0</v>
      </c>
      <c r="E3431" s="15" t="s">
        <v>1557</v>
      </c>
      <c r="F3431" s="15" t="s">
        <v>1767</v>
      </c>
      <c r="G3431" s="7">
        <v>132.123</v>
      </c>
      <c r="H3431" s="42">
        <v>43189.0</v>
      </c>
      <c r="I3431" s="15" t="s">
        <v>1586</v>
      </c>
      <c r="J3431" s="15" t="s">
        <v>14225</v>
      </c>
      <c r="K3431" s="15">
        <v>186.0</v>
      </c>
      <c r="L3431" s="15">
        <v>184.0</v>
      </c>
      <c r="M3431" s="41">
        <v>41599.0</v>
      </c>
      <c r="N3431" s="40">
        <v>42188.0</v>
      </c>
      <c r="O3431" s="15" t="s">
        <v>1554</v>
      </c>
      <c r="Q3431" s="7"/>
    </row>
    <row r="3432">
      <c r="A3432" s="39" t="s">
        <v>14226</v>
      </c>
      <c r="B3432" s="15">
        <v>1041526.0</v>
      </c>
      <c r="C3432" s="15" t="s">
        <v>14227</v>
      </c>
      <c r="D3432" s="15">
        <v>230094.0</v>
      </c>
      <c r="E3432" s="15" t="s">
        <v>1557</v>
      </c>
      <c r="F3432" s="15" t="s">
        <v>1767</v>
      </c>
      <c r="G3432" s="7">
        <v>139.738</v>
      </c>
      <c r="H3432" s="15" t="s">
        <v>2215</v>
      </c>
      <c r="I3432" s="15" t="s">
        <v>1586</v>
      </c>
      <c r="J3432" s="15" t="s">
        <v>14228</v>
      </c>
      <c r="K3432" s="15">
        <v>209.0</v>
      </c>
      <c r="L3432" s="15">
        <v>206.0</v>
      </c>
      <c r="M3432" s="41">
        <v>41599.0</v>
      </c>
      <c r="N3432" s="40">
        <v>42188.0</v>
      </c>
      <c r="O3432" s="15" t="s">
        <v>1554</v>
      </c>
      <c r="Q3432" s="7"/>
    </row>
    <row r="3433">
      <c r="A3433" s="39" t="s">
        <v>14229</v>
      </c>
      <c r="B3433" s="15">
        <v>1415608.0</v>
      </c>
      <c r="C3433" s="15" t="s">
        <v>14230</v>
      </c>
      <c r="D3433" s="15">
        <v>230064.0</v>
      </c>
      <c r="E3433" s="15" t="s">
        <v>2014</v>
      </c>
      <c r="F3433" s="15" t="s">
        <v>1578</v>
      </c>
      <c r="G3433" s="7">
        <v>1.127</v>
      </c>
      <c r="H3433" s="15" t="s">
        <v>1943</v>
      </c>
      <c r="I3433" s="15" t="s">
        <v>1628</v>
      </c>
      <c r="J3433" s="15" t="s">
        <v>14231</v>
      </c>
      <c r="K3433" s="15">
        <v>1.0</v>
      </c>
      <c r="L3433" s="15">
        <v>1.0</v>
      </c>
      <c r="M3433" s="41">
        <v>41588.0</v>
      </c>
      <c r="N3433" s="41">
        <v>41621.0</v>
      </c>
      <c r="O3433" s="15" t="s">
        <v>1554</v>
      </c>
      <c r="Q3433" s="7"/>
    </row>
    <row r="3434">
      <c r="A3434" s="39" t="s">
        <v>14232</v>
      </c>
      <c r="B3434" s="15">
        <v>12430.0</v>
      </c>
      <c r="C3434" s="15" t="s">
        <v>14233</v>
      </c>
      <c r="D3434" s="15">
        <v>230252.0</v>
      </c>
      <c r="E3434" s="15" t="s">
        <v>1548</v>
      </c>
      <c r="F3434" s="15" t="s">
        <v>1633</v>
      </c>
      <c r="G3434" s="7">
        <v>8.424</v>
      </c>
      <c r="H3434" s="15" t="s">
        <v>2548</v>
      </c>
      <c r="I3434" s="15" t="s">
        <v>1628</v>
      </c>
      <c r="J3434" s="15" t="s">
        <v>14235</v>
      </c>
      <c r="K3434" s="15">
        <v>6.0</v>
      </c>
      <c r="L3434" s="15">
        <v>6.0</v>
      </c>
      <c r="M3434" s="41">
        <v>41605.0</v>
      </c>
      <c r="N3434" s="41">
        <v>41607.0</v>
      </c>
      <c r="O3434" s="15" t="s">
        <v>1554</v>
      </c>
      <c r="Q3434" s="7"/>
    </row>
    <row r="3435">
      <c r="A3435" s="39" t="s">
        <v>14236</v>
      </c>
      <c r="B3435" s="15">
        <v>1250316.0</v>
      </c>
      <c r="C3435" s="15" t="s">
        <v>14237</v>
      </c>
      <c r="D3435" s="15">
        <v>230268.0</v>
      </c>
      <c r="E3435" s="15" t="s">
        <v>2014</v>
      </c>
      <c r="F3435" s="15" t="s">
        <v>1578</v>
      </c>
      <c r="G3435" s="7">
        <v>1.118</v>
      </c>
      <c r="H3435" s="15" t="s">
        <v>3823</v>
      </c>
      <c r="I3435" s="15" t="s">
        <v>1628</v>
      </c>
      <c r="J3435" s="15" t="s">
        <v>14238</v>
      </c>
      <c r="K3435" s="15">
        <v>1.0</v>
      </c>
      <c r="L3435" s="15">
        <v>1.0</v>
      </c>
      <c r="M3435" s="41">
        <v>41604.0</v>
      </c>
      <c r="N3435" s="40">
        <v>42453.0</v>
      </c>
      <c r="O3435" s="15" t="s">
        <v>1554</v>
      </c>
      <c r="Q3435" s="7"/>
    </row>
    <row r="3436">
      <c r="A3436" s="39" t="s">
        <v>14239</v>
      </c>
      <c r="B3436" s="15">
        <v>1429758.0</v>
      </c>
      <c r="C3436" s="15" t="s">
        <v>14240</v>
      </c>
      <c r="D3436" s="15">
        <v>230578.0</v>
      </c>
      <c r="E3436" s="15" t="s">
        <v>1557</v>
      </c>
      <c r="F3436" s="15" t="s">
        <v>1611</v>
      </c>
      <c r="G3436" s="7">
        <v>45.344</v>
      </c>
      <c r="H3436" s="15" t="s">
        <v>1756</v>
      </c>
      <c r="I3436" s="15" t="s">
        <v>1586</v>
      </c>
      <c r="J3436" s="15" t="s">
        <v>14241</v>
      </c>
      <c r="K3436" s="15">
        <v>72.0</v>
      </c>
      <c r="L3436" s="15">
        <v>69.0</v>
      </c>
      <c r="M3436" s="40">
        <v>41610.0</v>
      </c>
      <c r="N3436" s="40">
        <v>41698.0</v>
      </c>
      <c r="O3436" s="15" t="s">
        <v>1554</v>
      </c>
      <c r="Q3436" s="7"/>
    </row>
    <row r="3437">
      <c r="A3437" s="39" t="s">
        <v>14243</v>
      </c>
      <c r="B3437" s="15">
        <v>940280.0</v>
      </c>
      <c r="C3437" s="15" t="s">
        <v>14244</v>
      </c>
      <c r="D3437" s="15">
        <v>230579.0</v>
      </c>
      <c r="E3437" s="15" t="s">
        <v>1548</v>
      </c>
      <c r="F3437" s="15" t="s">
        <v>1790</v>
      </c>
      <c r="G3437" s="7">
        <v>15.602</v>
      </c>
      <c r="H3437" s="15" t="s">
        <v>2864</v>
      </c>
      <c r="I3437" s="15" t="s">
        <v>1628</v>
      </c>
      <c r="J3437" s="15" t="s">
        <v>14245</v>
      </c>
      <c r="K3437" s="15">
        <v>9.0</v>
      </c>
      <c r="L3437" s="15">
        <v>9.0</v>
      </c>
      <c r="M3437" s="40">
        <v>41609.0</v>
      </c>
      <c r="N3437" s="40">
        <v>42577.0</v>
      </c>
      <c r="O3437" s="15" t="s">
        <v>1554</v>
      </c>
      <c r="Q3437" s="7"/>
    </row>
    <row r="3438">
      <c r="A3438" s="39" t="s">
        <v>14246</v>
      </c>
      <c r="B3438" s="15">
        <v>297254.0</v>
      </c>
      <c r="C3438" s="15" t="s">
        <v>14247</v>
      </c>
      <c r="D3438" s="15">
        <v>230581.0</v>
      </c>
      <c r="E3438" s="15" t="s">
        <v>1557</v>
      </c>
      <c r="F3438" s="15" t="s">
        <v>1833</v>
      </c>
      <c r="G3438" s="7">
        <v>43343.0</v>
      </c>
      <c r="H3438" s="15" t="s">
        <v>2118</v>
      </c>
      <c r="I3438" s="15" t="s">
        <v>1586</v>
      </c>
      <c r="J3438" s="15" t="s">
        <v>14248</v>
      </c>
      <c r="K3438" s="15">
        <v>51.0</v>
      </c>
      <c r="L3438" s="15">
        <v>51.0</v>
      </c>
      <c r="M3438" s="40">
        <v>40727.0</v>
      </c>
      <c r="N3438" s="40">
        <v>41614.0</v>
      </c>
      <c r="O3438" s="15" t="s">
        <v>1554</v>
      </c>
      <c r="Q3438" s="7"/>
    </row>
    <row r="3439">
      <c r="A3439" s="39" t="s">
        <v>14249</v>
      </c>
      <c r="B3439" s="15">
        <v>1430411.0</v>
      </c>
      <c r="C3439" s="15" t="s">
        <v>14250</v>
      </c>
      <c r="D3439" s="15">
        <v>230582.0</v>
      </c>
      <c r="E3439" s="15" t="s">
        <v>1557</v>
      </c>
      <c r="F3439" s="15" t="s">
        <v>1833</v>
      </c>
      <c r="G3439" s="7">
        <v>76.323</v>
      </c>
      <c r="H3439" s="15" t="s">
        <v>4096</v>
      </c>
      <c r="I3439" s="15" t="s">
        <v>1586</v>
      </c>
      <c r="J3439" s="15" t="s">
        <v>14251</v>
      </c>
      <c r="K3439" s="15">
        <v>148.0</v>
      </c>
      <c r="L3439" s="15">
        <v>146.0</v>
      </c>
      <c r="M3439" s="40">
        <v>41610.0</v>
      </c>
      <c r="N3439" s="40">
        <v>42872.0</v>
      </c>
      <c r="O3439" s="15" t="s">
        <v>1554</v>
      </c>
      <c r="Q3439" s="7"/>
    </row>
    <row r="3440">
      <c r="A3440" s="39" t="s">
        <v>14253</v>
      </c>
      <c r="B3440" s="15">
        <v>1429912.0</v>
      </c>
      <c r="C3440" s="15" t="s">
        <v>14254</v>
      </c>
      <c r="D3440" s="15">
        <v>230584.0</v>
      </c>
      <c r="E3440" s="15" t="s">
        <v>1557</v>
      </c>
      <c r="F3440" s="15" t="s">
        <v>1833</v>
      </c>
      <c r="G3440" s="7">
        <v>51.319</v>
      </c>
      <c r="H3440" s="15" t="s">
        <v>13856</v>
      </c>
      <c r="I3440" s="15" t="s">
        <v>1586</v>
      </c>
      <c r="J3440" s="15" t="s">
        <v>14255</v>
      </c>
      <c r="K3440" s="15">
        <v>85.0</v>
      </c>
      <c r="L3440" s="15">
        <v>84.0</v>
      </c>
      <c r="M3440" s="40">
        <v>41610.0</v>
      </c>
      <c r="N3440" s="40">
        <v>42872.0</v>
      </c>
      <c r="O3440" s="15" t="s">
        <v>1554</v>
      </c>
      <c r="Q3440" s="7"/>
    </row>
    <row r="3441">
      <c r="A3441" s="39" t="s">
        <v>14256</v>
      </c>
      <c r="B3441" s="15">
        <v>1429904.0</v>
      </c>
      <c r="C3441" s="15" t="s">
        <v>14257</v>
      </c>
      <c r="D3441" s="15">
        <v>230585.0</v>
      </c>
      <c r="E3441" s="15" t="s">
        <v>1557</v>
      </c>
      <c r="F3441" s="15" t="s">
        <v>1833</v>
      </c>
      <c r="G3441" s="7">
        <v>52.39</v>
      </c>
      <c r="H3441" s="15" t="s">
        <v>6661</v>
      </c>
      <c r="I3441" s="15" t="s">
        <v>1586</v>
      </c>
      <c r="J3441" s="15" t="s">
        <v>14258</v>
      </c>
      <c r="K3441" s="15">
        <v>91.0</v>
      </c>
      <c r="L3441" s="15">
        <v>91.0</v>
      </c>
      <c r="M3441" s="40">
        <v>41610.0</v>
      </c>
      <c r="N3441" s="40">
        <v>42872.0</v>
      </c>
      <c r="O3441" s="15" t="s">
        <v>1554</v>
      </c>
      <c r="Q3441" s="7"/>
    </row>
    <row r="3442">
      <c r="A3442" s="39" t="s">
        <v>14259</v>
      </c>
      <c r="B3442" s="15">
        <v>1429903.0</v>
      </c>
      <c r="C3442" s="15" t="s">
        <v>14261</v>
      </c>
      <c r="D3442" s="15">
        <v>230586.0</v>
      </c>
      <c r="E3442" s="15" t="s">
        <v>1557</v>
      </c>
      <c r="F3442" s="15" t="s">
        <v>1833</v>
      </c>
      <c r="G3442" s="7">
        <v>68.196</v>
      </c>
      <c r="H3442" s="15" t="s">
        <v>8725</v>
      </c>
      <c r="I3442" s="15" t="s">
        <v>1586</v>
      </c>
      <c r="J3442" s="15" t="s">
        <v>14262</v>
      </c>
      <c r="K3442" s="15">
        <v>100.0</v>
      </c>
      <c r="L3442" s="15">
        <v>100.0</v>
      </c>
      <c r="M3442" s="40">
        <v>41610.0</v>
      </c>
      <c r="N3442" s="40">
        <v>42872.0</v>
      </c>
      <c r="O3442" s="15" t="s">
        <v>1554</v>
      </c>
      <c r="Q3442" s="7"/>
    </row>
    <row r="3443">
      <c r="A3443" s="39" t="s">
        <v>14263</v>
      </c>
      <c r="B3443" s="15">
        <v>1415146.0</v>
      </c>
      <c r="C3443" s="15" t="s">
        <v>14264</v>
      </c>
      <c r="D3443" s="15">
        <v>230587.0</v>
      </c>
      <c r="E3443" s="15" t="s">
        <v>1557</v>
      </c>
      <c r="F3443" s="15" t="s">
        <v>1611</v>
      </c>
      <c r="G3443" s="7">
        <v>43.94</v>
      </c>
      <c r="H3443" s="15">
        <v>63.0</v>
      </c>
      <c r="I3443" s="15" t="s">
        <v>1586</v>
      </c>
      <c r="J3443" s="15" t="s">
        <v>14265</v>
      </c>
      <c r="K3443" s="15">
        <v>52.0</v>
      </c>
      <c r="L3443" s="15">
        <v>52.0</v>
      </c>
      <c r="M3443" s="41">
        <v>41608.0</v>
      </c>
      <c r="N3443" s="40">
        <v>42531.0</v>
      </c>
      <c r="O3443" s="15" t="s">
        <v>1554</v>
      </c>
      <c r="Q3443" s="7"/>
    </row>
    <row r="3444">
      <c r="A3444" s="39" t="s">
        <v>14266</v>
      </c>
      <c r="B3444" s="15">
        <v>1391430.0</v>
      </c>
      <c r="C3444" s="15" t="s">
        <v>14268</v>
      </c>
      <c r="D3444" s="15">
        <v>230588.0</v>
      </c>
      <c r="E3444" s="15" t="s">
        <v>1557</v>
      </c>
      <c r="F3444" s="15" t="s">
        <v>1833</v>
      </c>
      <c r="G3444" s="7">
        <v>52.873</v>
      </c>
      <c r="H3444" s="15" t="s">
        <v>4108</v>
      </c>
      <c r="I3444" s="15" t="s">
        <v>1586</v>
      </c>
      <c r="J3444" s="15" t="s">
        <v>14269</v>
      </c>
      <c r="K3444" s="15">
        <v>106.0</v>
      </c>
      <c r="L3444" s="15">
        <v>103.0</v>
      </c>
      <c r="M3444" s="40">
        <v>41610.0</v>
      </c>
      <c r="N3444" s="40">
        <v>42872.0</v>
      </c>
      <c r="O3444" s="15" t="s">
        <v>1554</v>
      </c>
      <c r="Q3444" s="7"/>
    </row>
    <row r="3445">
      <c r="A3445" s="39" t="s">
        <v>14270</v>
      </c>
      <c r="B3445" s="15">
        <v>1391433.0</v>
      </c>
      <c r="C3445" s="15" t="s">
        <v>14271</v>
      </c>
      <c r="D3445" s="15">
        <v>230589.0</v>
      </c>
      <c r="E3445" s="15" t="s">
        <v>1557</v>
      </c>
      <c r="F3445" s="15" t="s">
        <v>1833</v>
      </c>
      <c r="G3445" s="7">
        <v>52.122</v>
      </c>
      <c r="H3445" s="15" t="s">
        <v>2038</v>
      </c>
      <c r="I3445" s="15" t="s">
        <v>1586</v>
      </c>
      <c r="J3445" s="15" t="s">
        <v>14272</v>
      </c>
      <c r="K3445" s="15">
        <v>104.0</v>
      </c>
      <c r="L3445" s="15">
        <v>101.0</v>
      </c>
      <c r="M3445" s="40">
        <v>41610.0</v>
      </c>
      <c r="N3445" s="40">
        <v>42872.0</v>
      </c>
      <c r="O3445" s="15" t="s">
        <v>1554</v>
      </c>
      <c r="Q3445" s="7"/>
    </row>
    <row r="3446">
      <c r="A3446" s="39" t="s">
        <v>14273</v>
      </c>
      <c r="B3446" s="15">
        <v>1414742.0</v>
      </c>
      <c r="C3446" s="15" t="s">
        <v>14274</v>
      </c>
      <c r="D3446" s="15">
        <v>230590.0</v>
      </c>
      <c r="E3446" s="15" t="s">
        <v>1557</v>
      </c>
      <c r="F3446" s="15" t="s">
        <v>1833</v>
      </c>
      <c r="G3446" s="7">
        <v>37.372</v>
      </c>
      <c r="H3446" s="15" t="s">
        <v>2149</v>
      </c>
      <c r="I3446" s="15" t="s">
        <v>1586</v>
      </c>
      <c r="J3446" s="15" t="s">
        <v>14276</v>
      </c>
      <c r="K3446" s="15">
        <v>68.0</v>
      </c>
      <c r="L3446" s="15">
        <v>68.0</v>
      </c>
      <c r="M3446" s="40">
        <v>41610.0</v>
      </c>
      <c r="N3446" s="41">
        <v>41943.0</v>
      </c>
      <c r="O3446" s="15" t="s">
        <v>1554</v>
      </c>
      <c r="Q3446" s="7"/>
    </row>
    <row r="3447">
      <c r="A3447" s="39" t="s">
        <v>14277</v>
      </c>
      <c r="B3447" s="15">
        <v>1391428.0</v>
      </c>
      <c r="C3447" s="15" t="s">
        <v>14278</v>
      </c>
      <c r="D3447" s="15">
        <v>230592.0</v>
      </c>
      <c r="E3447" s="15" t="s">
        <v>1557</v>
      </c>
      <c r="F3447" s="15" t="s">
        <v>1767</v>
      </c>
      <c r="G3447" s="7">
        <v>148.567</v>
      </c>
      <c r="H3447" s="15" t="s">
        <v>1551</v>
      </c>
      <c r="I3447" s="15" t="s">
        <v>1586</v>
      </c>
      <c r="J3447" s="15" t="s">
        <v>14279</v>
      </c>
      <c r="K3447" s="15">
        <v>292.0</v>
      </c>
      <c r="L3447" s="15">
        <v>271.0</v>
      </c>
      <c r="M3447" s="41">
        <v>41603.0</v>
      </c>
      <c r="N3447" s="40">
        <v>41948.0</v>
      </c>
      <c r="O3447" s="15" t="s">
        <v>1554</v>
      </c>
      <c r="Q3447" s="7"/>
    </row>
    <row r="3448">
      <c r="A3448" s="39" t="s">
        <v>14280</v>
      </c>
      <c r="B3448" s="15">
        <v>1415145.0</v>
      </c>
      <c r="C3448" s="15" t="s">
        <v>14281</v>
      </c>
      <c r="D3448" s="15">
        <v>230593.0</v>
      </c>
      <c r="E3448" s="15" t="s">
        <v>1557</v>
      </c>
      <c r="F3448" s="15" t="s">
        <v>1611</v>
      </c>
      <c r="G3448" s="7">
        <v>43.869</v>
      </c>
      <c r="H3448" s="15" t="s">
        <v>10417</v>
      </c>
      <c r="I3448" s="15" t="s">
        <v>1586</v>
      </c>
      <c r="J3448" s="15" t="s">
        <v>14282</v>
      </c>
      <c r="K3448" s="15">
        <v>51.0</v>
      </c>
      <c r="L3448" s="15">
        <v>51.0</v>
      </c>
      <c r="M3448" s="41">
        <v>41608.0</v>
      </c>
      <c r="N3448" s="40">
        <v>42531.0</v>
      </c>
      <c r="O3448" s="15" t="s">
        <v>1554</v>
      </c>
      <c r="Q3448" s="7"/>
    </row>
    <row r="3449">
      <c r="A3449" s="39" t="s">
        <v>14283</v>
      </c>
      <c r="B3449" s="15">
        <v>1391181.0</v>
      </c>
      <c r="C3449" s="15" t="s">
        <v>14284</v>
      </c>
      <c r="D3449" s="15">
        <v>230595.0</v>
      </c>
      <c r="E3449" s="15" t="s">
        <v>1557</v>
      </c>
      <c r="F3449" s="15" t="s">
        <v>1833</v>
      </c>
      <c r="G3449" s="7">
        <v>76.217</v>
      </c>
      <c r="H3449" s="15">
        <v>63.0</v>
      </c>
      <c r="I3449" s="15" t="s">
        <v>1586</v>
      </c>
      <c r="J3449" s="15" t="s">
        <v>14285</v>
      </c>
      <c r="K3449" s="15">
        <v>150.0</v>
      </c>
      <c r="L3449" s="15">
        <v>148.0</v>
      </c>
      <c r="M3449" s="40">
        <v>41610.0</v>
      </c>
      <c r="N3449" s="40">
        <v>42872.0</v>
      </c>
      <c r="O3449" s="15" t="s">
        <v>1554</v>
      </c>
      <c r="Q3449" s="7"/>
    </row>
    <row r="3450">
      <c r="A3450" s="39" t="s">
        <v>14287</v>
      </c>
      <c r="B3450" s="15">
        <v>1391429.0</v>
      </c>
      <c r="C3450" s="15" t="s">
        <v>14288</v>
      </c>
      <c r="D3450" s="15">
        <v>230596.0</v>
      </c>
      <c r="E3450" s="15" t="s">
        <v>1557</v>
      </c>
      <c r="F3450" s="15" t="s">
        <v>1833</v>
      </c>
      <c r="G3450" s="7">
        <v>52.344</v>
      </c>
      <c r="H3450" s="15" t="s">
        <v>4108</v>
      </c>
      <c r="I3450" s="15" t="s">
        <v>1586</v>
      </c>
      <c r="J3450" s="15" t="s">
        <v>14289</v>
      </c>
      <c r="K3450" s="15">
        <v>105.0</v>
      </c>
      <c r="L3450" s="15">
        <v>102.0</v>
      </c>
      <c r="M3450" s="40">
        <v>41610.0</v>
      </c>
      <c r="N3450" s="40">
        <v>42872.0</v>
      </c>
      <c r="O3450" s="15" t="s">
        <v>1554</v>
      </c>
      <c r="Q3450" s="7"/>
    </row>
    <row r="3451">
      <c r="A3451" s="39" t="s">
        <v>14290</v>
      </c>
      <c r="B3451" s="15">
        <v>1391432.0</v>
      </c>
      <c r="C3451" s="15" t="s">
        <v>14291</v>
      </c>
      <c r="D3451" s="15">
        <v>230598.0</v>
      </c>
      <c r="E3451" s="15" t="s">
        <v>1557</v>
      </c>
      <c r="F3451" s="15" t="s">
        <v>1833</v>
      </c>
      <c r="G3451" s="7">
        <v>52.823</v>
      </c>
      <c r="H3451" s="15" t="s">
        <v>3832</v>
      </c>
      <c r="I3451" s="15" t="s">
        <v>1586</v>
      </c>
      <c r="J3451" s="15" t="s">
        <v>14292</v>
      </c>
      <c r="K3451" s="15">
        <v>97.0</v>
      </c>
      <c r="L3451" s="15">
        <v>97.0</v>
      </c>
      <c r="M3451" s="40">
        <v>41610.0</v>
      </c>
      <c r="N3451" s="40">
        <v>42872.0</v>
      </c>
      <c r="O3451" s="15" t="s">
        <v>1554</v>
      </c>
      <c r="Q3451" s="7"/>
    </row>
    <row r="3452">
      <c r="A3452" s="39" t="s">
        <v>14293</v>
      </c>
      <c r="B3452" s="15">
        <v>1348912.0</v>
      </c>
      <c r="C3452" s="15" t="s">
        <v>14294</v>
      </c>
      <c r="D3452" s="15">
        <v>230599.0</v>
      </c>
      <c r="E3452" s="15" t="s">
        <v>1557</v>
      </c>
      <c r="F3452" s="15" t="s">
        <v>1767</v>
      </c>
      <c r="G3452" s="7">
        <v>92.495</v>
      </c>
      <c r="H3452" s="15" t="s">
        <v>3798</v>
      </c>
      <c r="I3452" s="15" t="s">
        <v>1586</v>
      </c>
      <c r="J3452" s="15" t="s">
        <v>14296</v>
      </c>
      <c r="K3452" s="15">
        <v>176.0</v>
      </c>
      <c r="L3452" s="15">
        <v>176.0</v>
      </c>
      <c r="M3452" s="41">
        <v>41605.0</v>
      </c>
      <c r="N3452" s="40">
        <v>41612.0</v>
      </c>
      <c r="O3452" s="15" t="s">
        <v>1554</v>
      </c>
      <c r="Q3452" s="7"/>
    </row>
    <row r="3453">
      <c r="A3453" s="39" t="s">
        <v>14297</v>
      </c>
      <c r="B3453" s="15">
        <v>1327966.0</v>
      </c>
      <c r="C3453" s="15" t="s">
        <v>14298</v>
      </c>
      <c r="D3453" s="15">
        <v>230604.0</v>
      </c>
      <c r="E3453" s="15" t="s">
        <v>1557</v>
      </c>
      <c r="F3453" s="15" t="s">
        <v>1767</v>
      </c>
      <c r="G3453" s="7">
        <v>93.147</v>
      </c>
      <c r="H3453" s="15" t="s">
        <v>3798</v>
      </c>
      <c r="I3453" s="15" t="s">
        <v>1586</v>
      </c>
      <c r="J3453" s="15" t="s">
        <v>14299</v>
      </c>
      <c r="K3453" s="15">
        <v>202.0</v>
      </c>
      <c r="L3453" s="15">
        <v>172.0</v>
      </c>
      <c r="M3453" s="41">
        <v>41605.0</v>
      </c>
      <c r="N3453" s="40">
        <v>42650.0</v>
      </c>
      <c r="O3453" s="15" t="s">
        <v>1554</v>
      </c>
      <c r="Q3453" s="7"/>
    </row>
    <row r="3454">
      <c r="A3454" s="39" t="s">
        <v>14300</v>
      </c>
      <c r="B3454" s="15">
        <v>1327965.0</v>
      </c>
      <c r="C3454" s="15" t="s">
        <v>14301</v>
      </c>
      <c r="D3454" s="15">
        <v>230606.0</v>
      </c>
      <c r="E3454" s="15" t="s">
        <v>1557</v>
      </c>
      <c r="F3454" s="15" t="s">
        <v>1767</v>
      </c>
      <c r="G3454" s="7">
        <v>88.255</v>
      </c>
      <c r="H3454" s="15" t="s">
        <v>1634</v>
      </c>
      <c r="I3454" s="15" t="s">
        <v>1586</v>
      </c>
      <c r="J3454" s="15" t="s">
        <v>14302</v>
      </c>
      <c r="K3454" s="15">
        <v>166.0</v>
      </c>
      <c r="L3454" s="15">
        <v>166.0</v>
      </c>
      <c r="M3454" s="41">
        <v>41605.0</v>
      </c>
      <c r="N3454" s="40">
        <v>41612.0</v>
      </c>
      <c r="O3454" s="15" t="s">
        <v>1554</v>
      </c>
      <c r="Q3454" s="7"/>
    </row>
    <row r="3455">
      <c r="A3455" s="39" t="s">
        <v>14304</v>
      </c>
      <c r="B3455" s="15">
        <v>1411887.0</v>
      </c>
      <c r="C3455" s="15" t="s">
        <v>14305</v>
      </c>
      <c r="D3455" s="15">
        <v>230580.0</v>
      </c>
      <c r="E3455" s="15" t="s">
        <v>1664</v>
      </c>
      <c r="F3455" s="15" t="s">
        <v>1739</v>
      </c>
      <c r="G3455" s="7">
        <v>17.276</v>
      </c>
      <c r="H3455" s="42">
        <v>43310.0</v>
      </c>
      <c r="I3455" s="15" t="s">
        <v>1740</v>
      </c>
      <c r="J3455" s="15" t="s">
        <v>14306</v>
      </c>
      <c r="K3455" s="15">
        <v>20.0</v>
      </c>
      <c r="L3455" s="15">
        <v>20.0</v>
      </c>
      <c r="M3455" s="41">
        <v>41604.0</v>
      </c>
      <c r="N3455" s="40">
        <v>41612.0</v>
      </c>
      <c r="O3455" s="15" t="s">
        <v>1554</v>
      </c>
      <c r="Q3455" s="7"/>
    </row>
    <row r="3456">
      <c r="A3456" s="39" t="s">
        <v>14307</v>
      </c>
      <c r="B3456" s="15">
        <v>981431.0</v>
      </c>
      <c r="C3456" s="15" t="s">
        <v>14308</v>
      </c>
      <c r="D3456" s="15">
        <v>230583.0</v>
      </c>
      <c r="E3456" s="15" t="s">
        <v>1557</v>
      </c>
      <c r="F3456" s="15" t="s">
        <v>1767</v>
      </c>
      <c r="G3456" s="7">
        <v>88.097</v>
      </c>
      <c r="H3456" s="15" t="s">
        <v>3055</v>
      </c>
      <c r="I3456" s="15" t="s">
        <v>1586</v>
      </c>
      <c r="J3456" s="15" t="s">
        <v>14309</v>
      </c>
      <c r="K3456" s="15">
        <v>189.0</v>
      </c>
      <c r="L3456" s="15">
        <v>165.0</v>
      </c>
      <c r="M3456" s="41">
        <v>41605.0</v>
      </c>
      <c r="N3456" s="40">
        <v>42494.0</v>
      </c>
      <c r="O3456" s="15" t="s">
        <v>1554</v>
      </c>
      <c r="Q3456" s="7"/>
    </row>
    <row r="3457">
      <c r="A3457" s="39" t="s">
        <v>14310</v>
      </c>
      <c r="B3457" s="15">
        <v>1327964.0</v>
      </c>
      <c r="C3457" s="15" t="s">
        <v>14311</v>
      </c>
      <c r="D3457" s="15">
        <v>230600.0</v>
      </c>
      <c r="E3457" s="15" t="s">
        <v>1557</v>
      </c>
      <c r="F3457" s="15" t="s">
        <v>1767</v>
      </c>
      <c r="G3457" s="7">
        <v>88.135</v>
      </c>
      <c r="H3457" s="15" t="s">
        <v>2996</v>
      </c>
      <c r="I3457" s="15" t="s">
        <v>1586</v>
      </c>
      <c r="J3457" s="15" t="s">
        <v>14313</v>
      </c>
      <c r="K3457" s="15">
        <v>164.0</v>
      </c>
      <c r="L3457" s="15">
        <v>164.0</v>
      </c>
      <c r="M3457" s="41">
        <v>41605.0</v>
      </c>
      <c r="N3457" s="40">
        <v>41612.0</v>
      </c>
      <c r="O3457" s="15" t="s">
        <v>1554</v>
      </c>
      <c r="Q3457" s="7"/>
    </row>
    <row r="3458">
      <c r="A3458" s="39" t="s">
        <v>14314</v>
      </c>
      <c r="B3458" s="15">
        <v>1391431.0</v>
      </c>
      <c r="C3458" s="15" t="s">
        <v>14315</v>
      </c>
      <c r="D3458" s="15">
        <v>230591.0</v>
      </c>
      <c r="E3458" s="15" t="s">
        <v>1557</v>
      </c>
      <c r="F3458" s="15" t="s">
        <v>1833</v>
      </c>
      <c r="G3458" s="7">
        <v>50.755</v>
      </c>
      <c r="H3458" s="15" t="s">
        <v>4160</v>
      </c>
      <c r="I3458" s="15" t="s">
        <v>1586</v>
      </c>
      <c r="J3458" s="15" t="s">
        <v>14316</v>
      </c>
      <c r="K3458" s="15">
        <v>87.0</v>
      </c>
      <c r="L3458" s="15">
        <v>86.0</v>
      </c>
      <c r="M3458" s="40">
        <v>41610.0</v>
      </c>
      <c r="N3458" s="40">
        <v>42872.0</v>
      </c>
      <c r="O3458" s="15" t="s">
        <v>1554</v>
      </c>
      <c r="Q3458" s="7"/>
    </row>
    <row r="3459">
      <c r="A3459" s="39" t="s">
        <v>14317</v>
      </c>
      <c r="B3459" s="15">
        <v>1391179.0</v>
      </c>
      <c r="C3459" s="15" t="s">
        <v>14318</v>
      </c>
      <c r="D3459" s="15">
        <v>230594.0</v>
      </c>
      <c r="E3459" s="15" t="s">
        <v>1557</v>
      </c>
      <c r="F3459" s="15" t="s">
        <v>1833</v>
      </c>
      <c r="G3459" s="7">
        <v>74.21</v>
      </c>
      <c r="H3459" s="15">
        <v>63.0</v>
      </c>
      <c r="I3459" s="15" t="s">
        <v>1586</v>
      </c>
      <c r="J3459" s="15" t="s">
        <v>14319</v>
      </c>
      <c r="K3459" s="15">
        <v>143.0</v>
      </c>
      <c r="L3459" s="15">
        <v>141.0</v>
      </c>
      <c r="M3459" s="40">
        <v>41610.0</v>
      </c>
      <c r="N3459" s="40">
        <v>42872.0</v>
      </c>
      <c r="O3459" s="15" t="s">
        <v>1554</v>
      </c>
      <c r="Q3459" s="7"/>
    </row>
    <row r="3460">
      <c r="A3460" s="39" t="s">
        <v>14321</v>
      </c>
      <c r="B3460" s="15">
        <v>1391180.0</v>
      </c>
      <c r="C3460" s="15" t="s">
        <v>14322</v>
      </c>
      <c r="D3460" s="15">
        <v>230597.0</v>
      </c>
      <c r="E3460" s="15" t="s">
        <v>1557</v>
      </c>
      <c r="F3460" s="15" t="s">
        <v>1833</v>
      </c>
      <c r="G3460" s="7">
        <v>75.894</v>
      </c>
      <c r="H3460" s="15" t="s">
        <v>4096</v>
      </c>
      <c r="I3460" s="15" t="s">
        <v>1586</v>
      </c>
      <c r="J3460" s="15" t="s">
        <v>14323</v>
      </c>
      <c r="K3460" s="15">
        <v>149.0</v>
      </c>
      <c r="L3460" s="15">
        <v>147.0</v>
      </c>
      <c r="M3460" s="40">
        <v>41610.0</v>
      </c>
      <c r="N3460" s="40">
        <v>42872.0</v>
      </c>
      <c r="O3460" s="15" t="s">
        <v>1554</v>
      </c>
      <c r="Q3460" s="7"/>
    </row>
    <row r="3461">
      <c r="A3461" s="39" t="s">
        <v>14324</v>
      </c>
      <c r="B3461" s="15">
        <v>1394033.0</v>
      </c>
      <c r="C3461" s="15" t="s">
        <v>14325</v>
      </c>
      <c r="D3461" s="15">
        <v>230847.0</v>
      </c>
      <c r="E3461" s="15" t="s">
        <v>1557</v>
      </c>
      <c r="F3461" s="15" t="s">
        <v>2004</v>
      </c>
      <c r="G3461" s="7">
        <v>5.084</v>
      </c>
      <c r="H3461" s="15" t="s">
        <v>4401</v>
      </c>
      <c r="I3461" s="15" t="s">
        <v>1686</v>
      </c>
      <c r="J3461" s="15" t="s">
        <v>14326</v>
      </c>
      <c r="K3461" s="15">
        <v>6.0</v>
      </c>
      <c r="L3461" s="15">
        <v>6.0</v>
      </c>
      <c r="M3461" s="40">
        <v>41612.0</v>
      </c>
      <c r="N3461" s="40">
        <v>41617.0</v>
      </c>
      <c r="O3461" s="15" t="s">
        <v>1554</v>
      </c>
      <c r="Q3461" s="7"/>
    </row>
    <row r="3462">
      <c r="A3462" s="39" t="s">
        <v>14327</v>
      </c>
      <c r="B3462" s="15">
        <v>1279083.0</v>
      </c>
      <c r="C3462" s="15" t="s">
        <v>14328</v>
      </c>
      <c r="D3462" s="15">
        <v>230850.0</v>
      </c>
      <c r="E3462" s="15" t="s">
        <v>1557</v>
      </c>
      <c r="F3462" s="15" t="s">
        <v>1611</v>
      </c>
      <c r="G3462" s="7">
        <v>41.386</v>
      </c>
      <c r="H3462" s="15" t="s">
        <v>3220</v>
      </c>
      <c r="I3462" s="15" t="s">
        <v>1586</v>
      </c>
      <c r="J3462" s="15" t="s">
        <v>14330</v>
      </c>
      <c r="K3462" s="15">
        <v>50.0</v>
      </c>
      <c r="L3462" s="15">
        <v>50.0</v>
      </c>
      <c r="M3462" s="40">
        <v>41614.0</v>
      </c>
      <c r="N3462" s="40">
        <v>42498.0</v>
      </c>
      <c r="O3462" s="15" t="s">
        <v>1554</v>
      </c>
      <c r="Q3462" s="7"/>
    </row>
    <row r="3463">
      <c r="A3463" s="39" t="s">
        <v>14331</v>
      </c>
      <c r="B3463" s="15">
        <v>1279082.0</v>
      </c>
      <c r="C3463" s="15" t="s">
        <v>14332</v>
      </c>
      <c r="D3463" s="15">
        <v>230849.0</v>
      </c>
      <c r="E3463" s="15" t="s">
        <v>1557</v>
      </c>
      <c r="F3463" s="15" t="s">
        <v>1767</v>
      </c>
      <c r="G3463" s="7">
        <v>43.564</v>
      </c>
      <c r="H3463" s="15" t="s">
        <v>9648</v>
      </c>
      <c r="I3463" s="15" t="s">
        <v>1586</v>
      </c>
      <c r="J3463" s="15" t="s">
        <v>14333</v>
      </c>
      <c r="K3463" s="15">
        <v>66.0</v>
      </c>
      <c r="L3463" s="15">
        <v>66.0</v>
      </c>
      <c r="M3463" s="40">
        <v>41614.0</v>
      </c>
      <c r="N3463" s="40">
        <v>42498.0</v>
      </c>
      <c r="O3463" s="15" t="s">
        <v>1554</v>
      </c>
      <c r="Q3463" s="7"/>
    </row>
    <row r="3464">
      <c r="A3464" s="39" t="s">
        <v>14334</v>
      </c>
      <c r="B3464" s="15">
        <v>1007127.0</v>
      </c>
      <c r="C3464" s="15" t="s">
        <v>14335</v>
      </c>
      <c r="D3464" s="15">
        <v>230853.0</v>
      </c>
      <c r="E3464" s="15" t="s">
        <v>1557</v>
      </c>
      <c r="F3464" s="15" t="s">
        <v>1767</v>
      </c>
      <c r="G3464" s="7">
        <v>127.188</v>
      </c>
      <c r="H3464" s="42">
        <v>43250.0</v>
      </c>
      <c r="I3464" s="15" t="s">
        <v>1586</v>
      </c>
      <c r="J3464" s="15" t="s">
        <v>14336</v>
      </c>
      <c r="K3464" s="15">
        <v>173.0</v>
      </c>
      <c r="L3464" s="15">
        <v>168.0</v>
      </c>
      <c r="M3464" s="40">
        <v>40735.0</v>
      </c>
      <c r="N3464" s="40">
        <v>41617.0</v>
      </c>
      <c r="O3464" s="15" t="s">
        <v>1554</v>
      </c>
      <c r="Q3464" s="7"/>
    </row>
    <row r="3465">
      <c r="A3465" s="39" t="s">
        <v>14338</v>
      </c>
      <c r="B3465" s="15">
        <v>1428189.0</v>
      </c>
      <c r="C3465" s="15" t="s">
        <v>14339</v>
      </c>
      <c r="D3465" s="15">
        <v>230991.0</v>
      </c>
      <c r="E3465" s="15" t="s">
        <v>2014</v>
      </c>
      <c r="F3465" s="15" t="s">
        <v>2018</v>
      </c>
      <c r="G3465" s="7">
        <v>1.348</v>
      </c>
      <c r="H3465" s="15" t="s">
        <v>2668</v>
      </c>
      <c r="I3465" s="15" t="s">
        <v>1628</v>
      </c>
      <c r="J3465" s="15" t="s">
        <v>14340</v>
      </c>
      <c r="K3465" s="15">
        <v>2.0</v>
      </c>
      <c r="L3465" s="15">
        <v>2.0</v>
      </c>
      <c r="M3465" s="40">
        <v>41615.0</v>
      </c>
      <c r="N3465" s="40">
        <v>41949.0</v>
      </c>
      <c r="O3465" s="15" t="s">
        <v>1554</v>
      </c>
      <c r="Q3465" s="7"/>
    </row>
    <row r="3466">
      <c r="A3466" s="39" t="s">
        <v>14341</v>
      </c>
      <c r="B3466" s="15">
        <v>320856.0</v>
      </c>
      <c r="C3466" s="15" t="s">
        <v>14342</v>
      </c>
      <c r="D3466" s="15">
        <v>230992.0</v>
      </c>
      <c r="E3466" s="15" t="s">
        <v>1548</v>
      </c>
      <c r="F3466" s="15" t="s">
        <v>1911</v>
      </c>
      <c r="G3466" s="7">
        <v>9.557</v>
      </c>
      <c r="H3466" s="15" t="s">
        <v>2440</v>
      </c>
      <c r="I3466" s="15" t="s">
        <v>1628</v>
      </c>
      <c r="J3466" s="15" t="s">
        <v>14343</v>
      </c>
      <c r="K3466" s="15">
        <v>1.0</v>
      </c>
      <c r="L3466" s="15">
        <v>1.0</v>
      </c>
      <c r="M3466" s="40">
        <v>41617.0</v>
      </c>
      <c r="N3466" s="41">
        <v>41960.0</v>
      </c>
      <c r="O3466" s="15" t="s">
        <v>1554</v>
      </c>
      <c r="Q3466" s="7"/>
    </row>
    <row r="3467">
      <c r="A3467" s="39" t="s">
        <v>14344</v>
      </c>
      <c r="B3467" s="15">
        <v>1432135.0</v>
      </c>
      <c r="C3467" s="15" t="s">
        <v>14345</v>
      </c>
      <c r="D3467" s="15">
        <v>230993.0</v>
      </c>
      <c r="E3467" s="15" t="s">
        <v>1548</v>
      </c>
      <c r="F3467" s="15" t="s">
        <v>1626</v>
      </c>
      <c r="G3467" s="7">
        <v>10.145</v>
      </c>
      <c r="H3467" s="15" t="s">
        <v>14346</v>
      </c>
      <c r="I3467" s="15" t="s">
        <v>1628</v>
      </c>
      <c r="J3467" s="15" t="s">
        <v>14348</v>
      </c>
      <c r="K3467" s="15">
        <v>2.0</v>
      </c>
      <c r="L3467" s="15">
        <v>2.0</v>
      </c>
      <c r="M3467" s="40">
        <v>41617.0</v>
      </c>
      <c r="N3467" s="41">
        <v>41618.0</v>
      </c>
      <c r="O3467" s="15" t="s">
        <v>1554</v>
      </c>
      <c r="Q3467" s="7"/>
    </row>
    <row r="3468">
      <c r="A3468" s="39" t="s">
        <v>14349</v>
      </c>
      <c r="B3468" s="15">
        <v>1420545.0</v>
      </c>
      <c r="C3468" s="15" t="s">
        <v>14350</v>
      </c>
      <c r="D3468" s="15">
        <v>229821.0</v>
      </c>
      <c r="E3468" s="15" t="s">
        <v>1557</v>
      </c>
      <c r="F3468" s="15" t="s">
        <v>1822</v>
      </c>
      <c r="G3468" s="7">
        <v>7.228</v>
      </c>
      <c r="H3468" s="15" t="s">
        <v>6303</v>
      </c>
      <c r="I3468" s="15" t="s">
        <v>1686</v>
      </c>
      <c r="J3468" s="15" t="s">
        <v>14351</v>
      </c>
      <c r="K3468" s="15">
        <v>7.0</v>
      </c>
      <c r="L3468" s="15">
        <v>6.0</v>
      </c>
      <c r="M3468" s="41">
        <v>41596.0</v>
      </c>
      <c r="N3468" s="41">
        <v>41604.0</v>
      </c>
      <c r="O3468" s="15" t="s">
        <v>1554</v>
      </c>
      <c r="Q3468" s="7"/>
    </row>
    <row r="3469">
      <c r="A3469" s="39" t="s">
        <v>14352</v>
      </c>
      <c r="B3469" s="15">
        <v>1419711.0</v>
      </c>
      <c r="C3469" s="15" t="s">
        <v>14353</v>
      </c>
      <c r="D3469" s="15">
        <v>229825.0</v>
      </c>
      <c r="E3469" s="15" t="s">
        <v>1808</v>
      </c>
      <c r="F3469" s="15" t="s">
        <v>1998</v>
      </c>
      <c r="G3469" s="7">
        <v>1.777</v>
      </c>
      <c r="H3469" s="15" t="s">
        <v>5483</v>
      </c>
      <c r="I3469" s="15" t="s">
        <v>1686</v>
      </c>
      <c r="J3469" s="15" t="s">
        <v>14354</v>
      </c>
      <c r="K3469" s="15">
        <v>3.0</v>
      </c>
      <c r="L3469" s="15">
        <v>3.0</v>
      </c>
      <c r="M3469" s="41">
        <v>41596.0</v>
      </c>
      <c r="N3469" s="40">
        <v>41703.0</v>
      </c>
      <c r="O3469" s="15" t="s">
        <v>1554</v>
      </c>
      <c r="Q3469" s="7"/>
    </row>
    <row r="3470">
      <c r="A3470" s="39" t="s">
        <v>14356</v>
      </c>
      <c r="B3470" s="15">
        <v>1423347.0</v>
      </c>
      <c r="C3470" s="15" t="s">
        <v>14357</v>
      </c>
      <c r="D3470" s="15">
        <v>229826.0</v>
      </c>
      <c r="E3470" s="15" t="s">
        <v>1638</v>
      </c>
      <c r="F3470" s="15" t="s">
        <v>4692</v>
      </c>
      <c r="G3470" s="7">
        <v>14.581</v>
      </c>
      <c r="H3470" s="15" t="s">
        <v>5368</v>
      </c>
      <c r="I3470" s="15" t="s">
        <v>1552</v>
      </c>
      <c r="J3470" s="15" t="s">
        <v>14358</v>
      </c>
      <c r="K3470" s="15">
        <v>1.0</v>
      </c>
      <c r="L3470" s="15">
        <v>1.0</v>
      </c>
      <c r="M3470" s="41">
        <v>41601.0</v>
      </c>
      <c r="N3470" s="41">
        <v>41604.0</v>
      </c>
      <c r="O3470" s="15" t="s">
        <v>1554</v>
      </c>
      <c r="Q3470" s="7"/>
    </row>
    <row r="3471">
      <c r="A3471" s="39" t="s">
        <v>14359</v>
      </c>
      <c r="B3471" s="15">
        <v>1421055.0</v>
      </c>
      <c r="C3471" s="15" t="s">
        <v>14360</v>
      </c>
      <c r="D3471" s="15">
        <v>229827.0</v>
      </c>
      <c r="E3471" s="15" t="s">
        <v>1548</v>
      </c>
      <c r="F3471" s="15" t="s">
        <v>2900</v>
      </c>
      <c r="G3471" s="7">
        <v>4.464</v>
      </c>
      <c r="H3471" s="15" t="s">
        <v>1720</v>
      </c>
      <c r="I3471" s="15" t="s">
        <v>1628</v>
      </c>
      <c r="J3471" s="15" t="s">
        <v>14361</v>
      </c>
      <c r="K3471" s="15">
        <v>4.0</v>
      </c>
      <c r="L3471" s="15">
        <v>4.0</v>
      </c>
      <c r="M3471" s="41">
        <v>41601.0</v>
      </c>
      <c r="N3471" s="40">
        <v>42783.0</v>
      </c>
      <c r="O3471" s="15" t="s">
        <v>1554</v>
      </c>
      <c r="Q3471" s="7"/>
    </row>
    <row r="3472">
      <c r="A3472" s="39" t="s">
        <v>14362</v>
      </c>
      <c r="B3472" s="15">
        <v>1400526.0</v>
      </c>
      <c r="C3472" s="15" t="s">
        <v>14364</v>
      </c>
      <c r="D3472" s="15">
        <v>229828.0</v>
      </c>
      <c r="E3472" s="15" t="s">
        <v>1548</v>
      </c>
      <c r="F3472" s="15" t="s">
        <v>1633</v>
      </c>
      <c r="G3472" s="7">
        <v>7.838</v>
      </c>
      <c r="H3472" s="15" t="s">
        <v>3776</v>
      </c>
      <c r="I3472" s="15" t="s">
        <v>1628</v>
      </c>
      <c r="J3472" s="15" t="s">
        <v>14365</v>
      </c>
      <c r="K3472" s="15">
        <v>6.0</v>
      </c>
      <c r="L3472" s="15">
        <v>6.0</v>
      </c>
      <c r="M3472" s="41">
        <v>41601.0</v>
      </c>
      <c r="N3472" s="41">
        <v>41604.0</v>
      </c>
      <c r="O3472" s="15" t="s">
        <v>1554</v>
      </c>
      <c r="Q3472" s="7"/>
    </row>
    <row r="3473">
      <c r="A3473" s="39" t="s">
        <v>14366</v>
      </c>
      <c r="B3473" s="15">
        <v>1417599.0</v>
      </c>
      <c r="C3473" s="15" t="s">
        <v>14367</v>
      </c>
      <c r="D3473" s="15">
        <v>229896.0</v>
      </c>
      <c r="E3473" s="15" t="s">
        <v>1557</v>
      </c>
      <c r="F3473" s="15" t="s">
        <v>1611</v>
      </c>
      <c r="G3473" s="7">
        <v>40.471</v>
      </c>
      <c r="H3473" s="15" t="s">
        <v>8179</v>
      </c>
      <c r="I3473" s="15" t="s">
        <v>1586</v>
      </c>
      <c r="J3473" s="15" t="s">
        <v>14368</v>
      </c>
      <c r="K3473" s="15">
        <v>54.0</v>
      </c>
      <c r="L3473" s="15">
        <v>54.0</v>
      </c>
      <c r="M3473" s="41">
        <v>41591.0</v>
      </c>
      <c r="N3473" s="41">
        <v>41604.0</v>
      </c>
      <c r="O3473" s="15" t="s">
        <v>1554</v>
      </c>
      <c r="Q3473" s="7"/>
    </row>
    <row r="3474">
      <c r="A3474" s="39" t="s">
        <v>14369</v>
      </c>
      <c r="B3474" s="15">
        <v>1402875.0</v>
      </c>
      <c r="C3474" s="15" t="s">
        <v>14370</v>
      </c>
      <c r="D3474" s="15">
        <v>229898.0</v>
      </c>
      <c r="E3474" s="15" t="s">
        <v>1557</v>
      </c>
      <c r="F3474" s="15" t="s">
        <v>1611</v>
      </c>
      <c r="G3474" s="7">
        <v>44.578</v>
      </c>
      <c r="H3474" s="15">
        <v>61.0</v>
      </c>
      <c r="I3474" s="15" t="s">
        <v>1586</v>
      </c>
      <c r="J3474" s="15" t="s">
        <v>14371</v>
      </c>
      <c r="K3474" s="15">
        <v>50.0</v>
      </c>
      <c r="L3474" s="15">
        <v>50.0</v>
      </c>
      <c r="M3474" s="40">
        <v>41550.0</v>
      </c>
      <c r="N3474" s="41">
        <v>41604.0</v>
      </c>
      <c r="O3474" s="15" t="s">
        <v>1554</v>
      </c>
      <c r="Q3474" s="7"/>
    </row>
    <row r="3475">
      <c r="A3475" s="39" t="s">
        <v>14373</v>
      </c>
      <c r="B3475" s="15">
        <v>1403390.0</v>
      </c>
      <c r="C3475" s="15" t="s">
        <v>14374</v>
      </c>
      <c r="D3475" s="15">
        <v>229900.0</v>
      </c>
      <c r="E3475" s="15" t="s">
        <v>1557</v>
      </c>
      <c r="F3475" s="15" t="s">
        <v>1833</v>
      </c>
      <c r="G3475" s="7">
        <v>43.394</v>
      </c>
      <c r="H3475" s="15" t="s">
        <v>7532</v>
      </c>
      <c r="I3475" s="15" t="s">
        <v>1586</v>
      </c>
      <c r="J3475" s="15" t="s">
        <v>14375</v>
      </c>
      <c r="K3475" s="15">
        <v>62.0</v>
      </c>
      <c r="L3475" s="15">
        <v>62.0</v>
      </c>
      <c r="M3475" s="40">
        <v>41546.0</v>
      </c>
      <c r="N3475" s="41">
        <v>41607.0</v>
      </c>
      <c r="O3475" s="15" t="s">
        <v>1554</v>
      </c>
      <c r="Q3475" s="7"/>
    </row>
    <row r="3476">
      <c r="A3476" s="39" t="s">
        <v>14376</v>
      </c>
      <c r="B3476" s="15">
        <v>1401297.0</v>
      </c>
      <c r="C3476" s="15" t="s">
        <v>14377</v>
      </c>
      <c r="D3476" s="15">
        <v>229901.0</v>
      </c>
      <c r="E3476" s="15" t="s">
        <v>1557</v>
      </c>
      <c r="F3476" s="15" t="s">
        <v>1611</v>
      </c>
      <c r="G3476" s="7">
        <v>41.604</v>
      </c>
      <c r="H3476" s="15" t="s">
        <v>1834</v>
      </c>
      <c r="I3476" s="15" t="s">
        <v>1586</v>
      </c>
      <c r="J3476" s="15" t="s">
        <v>14378</v>
      </c>
      <c r="K3476" s="15">
        <v>49.0</v>
      </c>
      <c r="L3476" s="15">
        <v>49.0</v>
      </c>
      <c r="M3476" s="40">
        <v>41546.0</v>
      </c>
      <c r="N3476" s="41">
        <v>41607.0</v>
      </c>
      <c r="O3476" s="15" t="s">
        <v>1554</v>
      </c>
      <c r="Q3476" s="7"/>
    </row>
    <row r="3477">
      <c r="A3477" s="39" t="s">
        <v>14379</v>
      </c>
      <c r="B3477" s="15">
        <v>1241957.0</v>
      </c>
      <c r="C3477" s="15" t="s">
        <v>14380</v>
      </c>
      <c r="D3477" s="15">
        <v>231186.0</v>
      </c>
      <c r="E3477" s="15" t="s">
        <v>1808</v>
      </c>
      <c r="F3477" s="15" t="s">
        <v>2436</v>
      </c>
      <c r="G3477" s="7">
        <v>5.805</v>
      </c>
      <c r="H3477" s="15" t="s">
        <v>3070</v>
      </c>
      <c r="I3477" s="15" t="s">
        <v>1686</v>
      </c>
      <c r="J3477" s="15" t="s">
        <v>14382</v>
      </c>
      <c r="K3477" s="15">
        <v>2.0</v>
      </c>
      <c r="L3477" s="15">
        <v>2.0</v>
      </c>
      <c r="M3477" s="41">
        <v>41202.0</v>
      </c>
      <c r="N3477" s="41">
        <v>41620.0</v>
      </c>
      <c r="O3477" s="15" t="s">
        <v>1554</v>
      </c>
      <c r="Q3477" s="7"/>
    </row>
    <row r="3478">
      <c r="A3478" s="39" t="s">
        <v>14383</v>
      </c>
      <c r="B3478" s="15">
        <v>1432565.0</v>
      </c>
      <c r="C3478" s="15" t="s">
        <v>14384</v>
      </c>
      <c r="D3478" s="15">
        <v>231203.0</v>
      </c>
      <c r="E3478" s="15" t="s">
        <v>1808</v>
      </c>
      <c r="F3478" s="15" t="s">
        <v>1809</v>
      </c>
      <c r="G3478" s="7">
        <v>2.753</v>
      </c>
      <c r="H3478" s="15" t="s">
        <v>2163</v>
      </c>
      <c r="I3478" s="15" t="s">
        <v>1628</v>
      </c>
      <c r="J3478" s="15" t="s">
        <v>14385</v>
      </c>
      <c r="K3478" s="15">
        <v>6.0</v>
      </c>
      <c r="L3478" s="15">
        <v>6.0</v>
      </c>
      <c r="M3478" s="41">
        <v>41618.0</v>
      </c>
      <c r="N3478" s="41">
        <v>41620.0</v>
      </c>
      <c r="O3478" s="15" t="s">
        <v>1554</v>
      </c>
      <c r="Q3478" s="7"/>
    </row>
    <row r="3479">
      <c r="A3479" s="39" t="s">
        <v>14386</v>
      </c>
      <c r="B3479" s="15">
        <v>1432856.0</v>
      </c>
      <c r="C3479" s="15" t="s">
        <v>14387</v>
      </c>
      <c r="D3479" s="15">
        <v>231521.0</v>
      </c>
      <c r="E3479" s="15" t="s">
        <v>1548</v>
      </c>
      <c r="F3479" s="15" t="s">
        <v>2788</v>
      </c>
      <c r="G3479" s="7">
        <v>9.554</v>
      </c>
      <c r="H3479" s="15" t="s">
        <v>2342</v>
      </c>
      <c r="I3479" s="15" t="s">
        <v>1560</v>
      </c>
      <c r="J3479" s="15" t="s">
        <v>14388</v>
      </c>
      <c r="K3479" s="15">
        <v>2.0</v>
      </c>
      <c r="L3479" s="15">
        <v>2.0</v>
      </c>
      <c r="M3479" s="41">
        <v>41619.0</v>
      </c>
      <c r="N3479" s="40">
        <v>41644.0</v>
      </c>
      <c r="O3479" s="15" t="s">
        <v>1554</v>
      </c>
      <c r="Q3479" s="7"/>
    </row>
    <row r="3480">
      <c r="A3480" s="39" t="s">
        <v>14390</v>
      </c>
      <c r="B3480" s="15">
        <v>1432857.0</v>
      </c>
      <c r="C3480" s="15" t="s">
        <v>14391</v>
      </c>
      <c r="D3480" s="15">
        <v>231522.0</v>
      </c>
      <c r="E3480" s="15" t="s">
        <v>1548</v>
      </c>
      <c r="F3480" s="15" t="s">
        <v>2374</v>
      </c>
      <c r="G3480" s="7">
        <v>9.16</v>
      </c>
      <c r="H3480" s="15" t="s">
        <v>3827</v>
      </c>
      <c r="I3480" s="15" t="s">
        <v>1560</v>
      </c>
      <c r="J3480" s="15" t="s">
        <v>14392</v>
      </c>
      <c r="K3480" s="15">
        <v>1.0</v>
      </c>
      <c r="L3480" s="15">
        <v>1.0</v>
      </c>
      <c r="M3480" s="41">
        <v>41619.0</v>
      </c>
      <c r="N3480" s="40">
        <v>41644.0</v>
      </c>
      <c r="O3480" s="15" t="s">
        <v>1554</v>
      </c>
      <c r="Q3480" s="7"/>
    </row>
    <row r="3481">
      <c r="A3481" s="39" t="s">
        <v>14393</v>
      </c>
      <c r="B3481" s="15">
        <v>1384631.0</v>
      </c>
      <c r="C3481" s="15" t="s">
        <v>14394</v>
      </c>
      <c r="D3481" s="15">
        <v>231657.0</v>
      </c>
      <c r="E3481" s="15" t="s">
        <v>1808</v>
      </c>
      <c r="F3481" s="15" t="s">
        <v>1809</v>
      </c>
      <c r="G3481" s="7">
        <v>2.76</v>
      </c>
      <c r="H3481" s="15" t="s">
        <v>2552</v>
      </c>
      <c r="I3481" s="15" t="s">
        <v>1628</v>
      </c>
      <c r="J3481" s="15" t="s">
        <v>14395</v>
      </c>
      <c r="K3481" s="15">
        <v>6.0</v>
      </c>
      <c r="L3481" s="15">
        <v>6.0</v>
      </c>
      <c r="M3481" s="41">
        <v>41618.0</v>
      </c>
      <c r="N3481" s="40">
        <v>41710.0</v>
      </c>
      <c r="O3481" s="15" t="s">
        <v>1554</v>
      </c>
      <c r="Q3481" s="7"/>
    </row>
    <row r="3482">
      <c r="A3482" s="39" t="s">
        <v>14396</v>
      </c>
      <c r="B3482" s="15">
        <v>1384632.0</v>
      </c>
      <c r="C3482" s="15" t="s">
        <v>14397</v>
      </c>
      <c r="D3482" s="15">
        <v>231683.0</v>
      </c>
      <c r="E3482" s="15" t="s">
        <v>2014</v>
      </c>
      <c r="F3482" s="15" t="s">
        <v>2018</v>
      </c>
      <c r="G3482" s="7">
        <v>1.365</v>
      </c>
      <c r="H3482" s="15" t="s">
        <v>2197</v>
      </c>
      <c r="I3482" s="15" t="s">
        <v>1628</v>
      </c>
      <c r="J3482" s="15" t="s">
        <v>14399</v>
      </c>
      <c r="K3482" s="15">
        <v>1.0</v>
      </c>
      <c r="L3482" s="15">
        <v>1.0</v>
      </c>
      <c r="M3482" s="41">
        <v>41618.0</v>
      </c>
      <c r="N3482" s="40">
        <v>41645.0</v>
      </c>
      <c r="O3482" s="15" t="s">
        <v>1554</v>
      </c>
      <c r="Q3482" s="7"/>
    </row>
    <row r="3483">
      <c r="A3483" s="39" t="s">
        <v>14400</v>
      </c>
      <c r="B3483" s="15">
        <v>1343110.0</v>
      </c>
      <c r="C3483" s="15" t="s">
        <v>14401</v>
      </c>
      <c r="D3483" s="15">
        <v>231682.0</v>
      </c>
      <c r="E3483" s="15" t="s">
        <v>1638</v>
      </c>
      <c r="F3483" s="15" t="s">
        <v>2508</v>
      </c>
      <c r="G3483" s="7">
        <v>15.563</v>
      </c>
      <c r="H3483" s="15" t="s">
        <v>14402</v>
      </c>
      <c r="I3483" s="15" t="s">
        <v>1552</v>
      </c>
      <c r="J3483" s="15" t="s">
        <v>14403</v>
      </c>
      <c r="K3483" s="15">
        <v>5.0</v>
      </c>
      <c r="L3483" s="15">
        <v>5.0</v>
      </c>
      <c r="M3483" s="41">
        <v>41619.0</v>
      </c>
      <c r="N3483" s="40">
        <v>41645.0</v>
      </c>
      <c r="O3483" s="15" t="s">
        <v>1554</v>
      </c>
      <c r="Q3483" s="7"/>
    </row>
    <row r="3484">
      <c r="A3484" s="39" t="s">
        <v>14404</v>
      </c>
      <c r="B3484" s="15">
        <v>1435008.0</v>
      </c>
      <c r="C3484" s="15" t="s">
        <v>14405</v>
      </c>
      <c r="D3484" s="15">
        <v>232404.0</v>
      </c>
      <c r="E3484" s="15" t="s">
        <v>1916</v>
      </c>
      <c r="F3484" s="15" t="s">
        <v>2532</v>
      </c>
      <c r="G3484" s="7">
        <v>6.996</v>
      </c>
      <c r="H3484" s="15" t="s">
        <v>2163</v>
      </c>
      <c r="I3484" s="15" t="s">
        <v>1686</v>
      </c>
      <c r="J3484" s="15" t="s">
        <v>14406</v>
      </c>
      <c r="K3484" s="15">
        <v>2.0</v>
      </c>
      <c r="L3484" s="15">
        <v>2.0</v>
      </c>
      <c r="M3484" s="41">
        <v>41626.0</v>
      </c>
      <c r="N3484" s="40">
        <v>41704.0</v>
      </c>
      <c r="O3484" s="15" t="s">
        <v>1554</v>
      </c>
      <c r="Q3484" s="7"/>
    </row>
    <row r="3485">
      <c r="A3485" s="39" t="s">
        <v>14408</v>
      </c>
      <c r="B3485" s="15">
        <v>753670.0</v>
      </c>
      <c r="C3485" s="15" t="s">
        <v>14409</v>
      </c>
      <c r="D3485" s="15">
        <v>232600.0</v>
      </c>
      <c r="E3485" s="15" t="s">
        <v>1808</v>
      </c>
      <c r="F3485" s="15" t="s">
        <v>1854</v>
      </c>
      <c r="G3485" s="7">
        <v>7.896</v>
      </c>
      <c r="H3485" s="15" t="s">
        <v>14410</v>
      </c>
      <c r="I3485" s="15" t="s">
        <v>1628</v>
      </c>
      <c r="J3485" s="15" t="s">
        <v>14411</v>
      </c>
      <c r="K3485" s="15">
        <v>8.0</v>
      </c>
      <c r="L3485" s="15">
        <v>8.0</v>
      </c>
      <c r="M3485" s="40">
        <v>40282.0</v>
      </c>
      <c r="N3485" s="41">
        <v>41638.0</v>
      </c>
      <c r="O3485" s="15" t="s">
        <v>1554</v>
      </c>
      <c r="Q3485" s="7"/>
    </row>
    <row r="3486">
      <c r="A3486" s="39" t="s">
        <v>14412</v>
      </c>
      <c r="B3486" s="15">
        <v>1439369.0</v>
      </c>
      <c r="C3486" s="15" t="s">
        <v>14413</v>
      </c>
      <c r="D3486" s="15">
        <v>232646.0</v>
      </c>
      <c r="E3486" s="15" t="s">
        <v>1548</v>
      </c>
      <c r="F3486" s="15" t="s">
        <v>1776</v>
      </c>
      <c r="G3486" s="7">
        <v>7.697</v>
      </c>
      <c r="H3486" s="15">
        <v>45.0</v>
      </c>
      <c r="I3486" s="15" t="s">
        <v>1686</v>
      </c>
      <c r="J3486" s="15" t="s">
        <v>14414</v>
      </c>
      <c r="K3486" s="15">
        <v>1.0</v>
      </c>
      <c r="L3486" s="15">
        <v>1.0</v>
      </c>
      <c r="M3486" s="41">
        <v>41633.0</v>
      </c>
      <c r="N3486" s="41">
        <v>41638.0</v>
      </c>
      <c r="O3486" s="15" t="s">
        <v>1554</v>
      </c>
      <c r="Q3486" s="7"/>
    </row>
    <row r="3487">
      <c r="A3487" s="39" t="s">
        <v>14416</v>
      </c>
      <c r="B3487" s="15">
        <v>1406816.0</v>
      </c>
      <c r="C3487" s="15" t="s">
        <v>14417</v>
      </c>
      <c r="D3487" s="15">
        <v>232774.0</v>
      </c>
      <c r="E3487" s="15" t="s">
        <v>1548</v>
      </c>
      <c r="F3487" s="15" t="s">
        <v>1911</v>
      </c>
      <c r="G3487" s="7">
        <v>10.346</v>
      </c>
      <c r="H3487" s="15">
        <v>42.0</v>
      </c>
      <c r="I3487" s="15" t="s">
        <v>1628</v>
      </c>
      <c r="J3487" s="15" t="s">
        <v>14418</v>
      </c>
      <c r="K3487" s="15">
        <v>1.0</v>
      </c>
      <c r="L3487" s="15">
        <v>1.0</v>
      </c>
      <c r="M3487" s="41">
        <v>41639.0</v>
      </c>
      <c r="N3487" s="40">
        <v>41696.0</v>
      </c>
      <c r="O3487" s="15" t="s">
        <v>1554</v>
      </c>
      <c r="Q3487" s="7"/>
    </row>
    <row r="3488">
      <c r="A3488" s="39" t="s">
        <v>14419</v>
      </c>
      <c r="B3488" s="15">
        <v>1352235.0</v>
      </c>
      <c r="C3488" s="15" t="s">
        <v>14420</v>
      </c>
      <c r="D3488" s="15">
        <v>232776.0</v>
      </c>
      <c r="E3488" s="15" t="s">
        <v>1557</v>
      </c>
      <c r="F3488" s="15" t="s">
        <v>1822</v>
      </c>
      <c r="G3488" s="7">
        <v>7.435</v>
      </c>
      <c r="H3488" s="15" t="s">
        <v>2864</v>
      </c>
      <c r="I3488" s="15" t="s">
        <v>1686</v>
      </c>
      <c r="J3488" s="15" t="s">
        <v>14421</v>
      </c>
      <c r="K3488" s="15">
        <v>5.0</v>
      </c>
      <c r="L3488" s="15">
        <v>5.0</v>
      </c>
      <c r="M3488" s="41">
        <v>41625.0</v>
      </c>
      <c r="N3488" s="40">
        <v>41648.0</v>
      </c>
      <c r="O3488" s="15" t="s">
        <v>1554</v>
      </c>
      <c r="Q3488" s="7"/>
    </row>
    <row r="3489">
      <c r="A3489" s="39" t="s">
        <v>14422</v>
      </c>
      <c r="B3489" s="15">
        <v>412969.0</v>
      </c>
      <c r="C3489" s="15" t="s">
        <v>14423</v>
      </c>
      <c r="D3489" s="15">
        <v>232775.0</v>
      </c>
      <c r="E3489" s="15" t="s">
        <v>1548</v>
      </c>
      <c r="F3489" s="15" t="s">
        <v>1801</v>
      </c>
      <c r="G3489" s="7">
        <v>12.656</v>
      </c>
      <c r="H3489" s="15" t="s">
        <v>1962</v>
      </c>
      <c r="I3489" s="15" t="s">
        <v>1686</v>
      </c>
      <c r="J3489" s="15" t="s">
        <v>14424</v>
      </c>
      <c r="K3489" s="15">
        <v>1.0</v>
      </c>
      <c r="L3489" s="15">
        <v>1.0</v>
      </c>
      <c r="M3489" s="41">
        <v>40177.0</v>
      </c>
      <c r="N3489" s="40">
        <v>41641.0</v>
      </c>
      <c r="O3489" s="15" t="s">
        <v>1554</v>
      </c>
      <c r="Q3489" s="7"/>
    </row>
    <row r="3490">
      <c r="A3490" s="39" t="s">
        <v>14426</v>
      </c>
      <c r="B3490" s="15">
        <v>1112202.0</v>
      </c>
      <c r="C3490" s="15" t="s">
        <v>14427</v>
      </c>
      <c r="D3490" s="15">
        <v>233414.0</v>
      </c>
      <c r="E3490" s="15" t="s">
        <v>2014</v>
      </c>
      <c r="F3490" s="15" t="s">
        <v>1578</v>
      </c>
      <c r="G3490" s="7">
        <v>1.364</v>
      </c>
      <c r="H3490" s="15" t="s">
        <v>2019</v>
      </c>
      <c r="I3490" s="15" t="s">
        <v>1628</v>
      </c>
      <c r="J3490" s="15" t="s">
        <v>14428</v>
      </c>
      <c r="K3490" s="15">
        <v>1.0</v>
      </c>
      <c r="L3490" s="15">
        <v>1.0</v>
      </c>
      <c r="M3490" s="41">
        <v>41639.0</v>
      </c>
      <c r="N3490" s="40">
        <v>41644.0</v>
      </c>
      <c r="O3490" s="15" t="s">
        <v>1554</v>
      </c>
      <c r="Q3490" s="7"/>
    </row>
    <row r="3491">
      <c r="A3491" s="39" t="s">
        <v>14429</v>
      </c>
      <c r="B3491" s="15">
        <v>1343920.0</v>
      </c>
      <c r="C3491" s="15" t="s">
        <v>14430</v>
      </c>
      <c r="D3491" s="15">
        <v>233521.0</v>
      </c>
      <c r="E3491" s="15" t="s">
        <v>1548</v>
      </c>
      <c r="F3491" s="15" t="s">
        <v>1786</v>
      </c>
      <c r="G3491" s="7">
        <v>7.315</v>
      </c>
      <c r="H3491" s="15" t="s">
        <v>2023</v>
      </c>
      <c r="I3491" s="15" t="s">
        <v>1628</v>
      </c>
      <c r="J3491" s="15" t="s">
        <v>14431</v>
      </c>
      <c r="K3491" s="15">
        <v>4.0</v>
      </c>
      <c r="L3491" s="15">
        <v>4.0</v>
      </c>
      <c r="M3491" s="40">
        <v>41641.0</v>
      </c>
      <c r="N3491" s="40">
        <v>41697.0</v>
      </c>
      <c r="O3491" s="15" t="s">
        <v>1554</v>
      </c>
      <c r="Q3491" s="7"/>
    </row>
    <row r="3492">
      <c r="A3492" s="39" t="s">
        <v>14433</v>
      </c>
      <c r="B3492" s="15">
        <v>1436892.0</v>
      </c>
      <c r="C3492" s="15" t="s">
        <v>14434</v>
      </c>
      <c r="D3492" s="15">
        <v>233604.0</v>
      </c>
      <c r="E3492" s="15" t="s">
        <v>1808</v>
      </c>
      <c r="F3492" s="15" t="s">
        <v>1854</v>
      </c>
      <c r="G3492" s="7">
        <v>7.825</v>
      </c>
      <c r="H3492" s="15" t="s">
        <v>14435</v>
      </c>
      <c r="I3492" s="15" t="s">
        <v>1628</v>
      </c>
      <c r="J3492" s="15" t="s">
        <v>14436</v>
      </c>
      <c r="K3492" s="15">
        <v>8.0</v>
      </c>
      <c r="L3492" s="15">
        <v>8.0</v>
      </c>
      <c r="M3492" s="41">
        <v>41631.0</v>
      </c>
      <c r="N3492" s="41">
        <v>42297.0</v>
      </c>
      <c r="O3492" s="15" t="s">
        <v>1554</v>
      </c>
      <c r="Q3492" s="7"/>
    </row>
    <row r="3493">
      <c r="A3493" s="39" t="s">
        <v>14437</v>
      </c>
      <c r="B3493" s="15">
        <v>1303385.0</v>
      </c>
      <c r="C3493" s="15" t="s">
        <v>14438</v>
      </c>
      <c r="D3493" s="15">
        <v>233691.0</v>
      </c>
      <c r="E3493" s="15" t="s">
        <v>1808</v>
      </c>
      <c r="F3493" s="15" t="s">
        <v>1809</v>
      </c>
      <c r="G3493" s="7">
        <v>2.761</v>
      </c>
      <c r="H3493" s="15">
        <v>43.0</v>
      </c>
      <c r="I3493" s="15" t="s">
        <v>1628</v>
      </c>
      <c r="J3493" s="15" t="s">
        <v>14439</v>
      </c>
      <c r="K3493" s="15">
        <v>6.0</v>
      </c>
      <c r="L3493" s="15">
        <v>6.0</v>
      </c>
      <c r="M3493" s="40">
        <v>41645.0</v>
      </c>
      <c r="N3493" s="40">
        <v>41733.0</v>
      </c>
      <c r="O3493" s="15" t="s">
        <v>1554</v>
      </c>
      <c r="Q3493" s="7"/>
    </row>
    <row r="3494">
      <c r="A3494" s="39" t="s">
        <v>14440</v>
      </c>
      <c r="B3494" s="15">
        <v>270256.0</v>
      </c>
      <c r="C3494" s="15" t="s">
        <v>14441</v>
      </c>
      <c r="D3494" s="15">
        <v>236313.0</v>
      </c>
      <c r="E3494" s="15" t="s">
        <v>1548</v>
      </c>
      <c r="F3494" s="15" t="s">
        <v>2900</v>
      </c>
      <c r="G3494" s="7">
        <v>4.767</v>
      </c>
      <c r="H3494" s="15" t="s">
        <v>2000</v>
      </c>
      <c r="I3494" s="15" t="s">
        <v>1628</v>
      </c>
      <c r="J3494" s="15" t="s">
        <v>14442</v>
      </c>
      <c r="K3494" s="15">
        <v>5.0</v>
      </c>
      <c r="L3494" s="15">
        <v>5.0</v>
      </c>
      <c r="M3494" s="40">
        <v>41662.0</v>
      </c>
      <c r="N3494" s="40">
        <v>41787.0</v>
      </c>
      <c r="O3494" s="15" t="s">
        <v>1554</v>
      </c>
      <c r="Q3494" s="7"/>
    </row>
    <row r="3495">
      <c r="A3495" s="39" t="s">
        <v>14443</v>
      </c>
      <c r="B3495" s="15">
        <v>1450746.0</v>
      </c>
      <c r="C3495" s="15" t="s">
        <v>14445</v>
      </c>
      <c r="D3495" s="15">
        <v>237323.0</v>
      </c>
      <c r="E3495" s="15" t="s">
        <v>1557</v>
      </c>
      <c r="F3495" s="15" t="s">
        <v>14446</v>
      </c>
      <c r="G3495" s="7">
        <v>610.033</v>
      </c>
      <c r="H3495" s="15" t="s">
        <v>6303</v>
      </c>
      <c r="I3495" s="15" t="s">
        <v>1740</v>
      </c>
      <c r="J3495" s="15" t="s">
        <v>14447</v>
      </c>
      <c r="K3495" s="15">
        <v>467.0</v>
      </c>
      <c r="L3495" s="15">
        <v>467.0</v>
      </c>
      <c r="M3495" s="40">
        <v>41668.0</v>
      </c>
      <c r="N3495" s="40">
        <v>41722.0</v>
      </c>
      <c r="O3495" s="15" t="s">
        <v>1554</v>
      </c>
      <c r="Q3495" s="7"/>
    </row>
    <row r="3496">
      <c r="A3496" s="39" t="s">
        <v>14448</v>
      </c>
      <c r="B3496" s="15">
        <v>40004.0</v>
      </c>
      <c r="C3496" s="15" t="s">
        <v>14449</v>
      </c>
      <c r="D3496" s="15">
        <v>237448.0</v>
      </c>
      <c r="E3496" s="15" t="s">
        <v>1548</v>
      </c>
      <c r="F3496" s="15" t="s">
        <v>1801</v>
      </c>
      <c r="G3496" s="7">
        <v>10.673</v>
      </c>
      <c r="H3496" s="15" t="s">
        <v>4606</v>
      </c>
      <c r="I3496" s="15" t="s">
        <v>1560</v>
      </c>
      <c r="J3496" s="15" t="s">
        <v>14450</v>
      </c>
      <c r="K3496" s="15">
        <v>1.0</v>
      </c>
      <c r="L3496" s="15">
        <v>1.0</v>
      </c>
      <c r="M3496" s="40">
        <v>41675.0</v>
      </c>
      <c r="N3496" s="40">
        <v>41676.0</v>
      </c>
      <c r="O3496" s="15" t="s">
        <v>1554</v>
      </c>
      <c r="Q3496" s="7"/>
    </row>
    <row r="3497">
      <c r="A3497" s="39" t="s">
        <v>14451</v>
      </c>
      <c r="B3497" s="15">
        <v>172851.0</v>
      </c>
      <c r="C3497" s="15" t="s">
        <v>14452</v>
      </c>
      <c r="D3497" s="15">
        <v>237458.0</v>
      </c>
      <c r="E3497" s="15" t="s">
        <v>1548</v>
      </c>
      <c r="F3497" s="15" t="s">
        <v>1565</v>
      </c>
      <c r="G3497" s="7">
        <v>6.654</v>
      </c>
      <c r="H3497" s="15" t="s">
        <v>9707</v>
      </c>
      <c r="I3497" s="15" t="s">
        <v>1686</v>
      </c>
      <c r="J3497" s="15" t="s">
        <v>14454</v>
      </c>
      <c r="K3497" s="15">
        <v>3.0</v>
      </c>
      <c r="L3497" s="15">
        <v>3.0</v>
      </c>
      <c r="M3497" s="40">
        <v>38047.0</v>
      </c>
      <c r="N3497" s="40">
        <v>41676.0</v>
      </c>
      <c r="O3497" s="15" t="s">
        <v>1554</v>
      </c>
      <c r="Q3497" s="7"/>
    </row>
    <row r="3498">
      <c r="A3498" s="39" t="s">
        <v>14455</v>
      </c>
      <c r="B3498" s="15">
        <v>1454030.0</v>
      </c>
      <c r="C3498" s="15" t="s">
        <v>14456</v>
      </c>
      <c r="D3498" s="15">
        <v>237469.0</v>
      </c>
      <c r="E3498" s="15" t="s">
        <v>1808</v>
      </c>
      <c r="F3498" s="15" t="s">
        <v>1578</v>
      </c>
      <c r="G3498" s="7">
        <v>1.722</v>
      </c>
      <c r="H3498" s="15" t="s">
        <v>2375</v>
      </c>
      <c r="I3498" s="15" t="s">
        <v>1560</v>
      </c>
      <c r="J3498" s="15" t="s">
        <v>14457</v>
      </c>
      <c r="K3498" s="15">
        <v>2.0</v>
      </c>
      <c r="L3498" s="15">
        <v>2.0</v>
      </c>
      <c r="M3498" s="40">
        <v>41672.0</v>
      </c>
      <c r="N3498" s="40">
        <v>41834.0</v>
      </c>
      <c r="O3498" s="15" t="s">
        <v>1554</v>
      </c>
      <c r="Q3498" s="7"/>
    </row>
    <row r="3499">
      <c r="A3499" s="39" t="s">
        <v>14458</v>
      </c>
      <c r="B3499" s="15">
        <v>62099.0</v>
      </c>
      <c r="C3499" s="15" t="s">
        <v>14459</v>
      </c>
      <c r="D3499" s="15">
        <v>237470.0</v>
      </c>
      <c r="E3499" s="15" t="s">
        <v>1557</v>
      </c>
      <c r="F3499" s="15" t="s">
        <v>2028</v>
      </c>
      <c r="G3499" s="7">
        <v>245.717</v>
      </c>
      <c r="H3499" s="15">
        <v>20.0</v>
      </c>
      <c r="I3499" s="15" t="s">
        <v>1560</v>
      </c>
      <c r="J3499" s="15" t="s">
        <v>14460</v>
      </c>
      <c r="K3499" s="15">
        <v>263.0</v>
      </c>
      <c r="L3499" s="15">
        <v>263.0</v>
      </c>
      <c r="M3499" s="40">
        <v>41674.0</v>
      </c>
      <c r="N3499" s="40">
        <v>41703.0</v>
      </c>
      <c r="O3499" s="15" t="s">
        <v>1554</v>
      </c>
      <c r="Q3499" s="7"/>
    </row>
    <row r="3500">
      <c r="A3500" s="39" t="s">
        <v>14461</v>
      </c>
      <c r="B3500" s="15">
        <v>1454029.0</v>
      </c>
      <c r="C3500" s="15" t="s">
        <v>14463</v>
      </c>
      <c r="D3500" s="15">
        <v>237471.0</v>
      </c>
      <c r="E3500" s="15" t="s">
        <v>1808</v>
      </c>
      <c r="F3500" s="15" t="s">
        <v>1578</v>
      </c>
      <c r="G3500" s="7">
        <v>1.628</v>
      </c>
      <c r="H3500" s="15">
        <v>55.0</v>
      </c>
      <c r="I3500" s="15" t="s">
        <v>1560</v>
      </c>
      <c r="J3500" s="15" t="s">
        <v>14464</v>
      </c>
      <c r="K3500" s="15">
        <v>2.0</v>
      </c>
      <c r="L3500" s="15">
        <v>2.0</v>
      </c>
      <c r="M3500" s="40">
        <v>41672.0</v>
      </c>
      <c r="N3500" s="40">
        <v>41834.0</v>
      </c>
      <c r="O3500" s="15" t="s">
        <v>1554</v>
      </c>
      <c r="Q3500" s="7"/>
    </row>
    <row r="3501">
      <c r="A3501" s="39" t="s">
        <v>14465</v>
      </c>
      <c r="B3501" s="15">
        <v>1454027.0</v>
      </c>
      <c r="C3501" s="15" t="s">
        <v>14466</v>
      </c>
      <c r="D3501" s="15">
        <v>237473.0</v>
      </c>
      <c r="E3501" s="15" t="s">
        <v>1808</v>
      </c>
      <c r="F3501" s="15" t="s">
        <v>1578</v>
      </c>
      <c r="G3501" s="7">
        <v>43282.0</v>
      </c>
      <c r="H3501" s="15" t="s">
        <v>4736</v>
      </c>
      <c r="I3501" s="15" t="s">
        <v>1560</v>
      </c>
      <c r="J3501" s="15" t="s">
        <v>14467</v>
      </c>
      <c r="K3501" s="15">
        <v>2.0</v>
      </c>
      <c r="L3501" s="15">
        <v>2.0</v>
      </c>
      <c r="M3501" s="40">
        <v>41672.0</v>
      </c>
      <c r="N3501" s="40">
        <v>41834.0</v>
      </c>
      <c r="O3501" s="15" t="s">
        <v>1554</v>
      </c>
      <c r="Q3501" s="7"/>
    </row>
    <row r="3502">
      <c r="A3502" s="39" t="s">
        <v>14468</v>
      </c>
      <c r="B3502" s="15">
        <v>1454026.0</v>
      </c>
      <c r="C3502" s="15" t="s">
        <v>14469</v>
      </c>
      <c r="D3502" s="15">
        <v>237474.0</v>
      </c>
      <c r="E3502" s="15" t="s">
        <v>1808</v>
      </c>
      <c r="F3502" s="15" t="s">
        <v>1578</v>
      </c>
      <c r="G3502" s="7">
        <v>1.96</v>
      </c>
      <c r="H3502" s="15" t="s">
        <v>2271</v>
      </c>
      <c r="I3502" s="15" t="s">
        <v>1560</v>
      </c>
      <c r="J3502" s="15" t="s">
        <v>14470</v>
      </c>
      <c r="K3502" s="15">
        <v>2.0</v>
      </c>
      <c r="L3502" s="15">
        <v>2.0</v>
      </c>
      <c r="M3502" s="40">
        <v>41672.0</v>
      </c>
      <c r="N3502" s="40">
        <v>41834.0</v>
      </c>
      <c r="O3502" s="15" t="s">
        <v>1554</v>
      </c>
      <c r="Q3502" s="7"/>
    </row>
    <row r="3503">
      <c r="A3503" s="39" t="s">
        <v>14472</v>
      </c>
      <c r="B3503" s="15">
        <v>1454023.0</v>
      </c>
      <c r="C3503" s="15" t="s">
        <v>14473</v>
      </c>
      <c r="D3503" s="15">
        <v>237476.0</v>
      </c>
      <c r="E3503" s="15" t="s">
        <v>1808</v>
      </c>
      <c r="F3503" s="15" t="s">
        <v>1578</v>
      </c>
      <c r="G3503" s="7">
        <v>2.398</v>
      </c>
      <c r="H3503" s="15" t="s">
        <v>2428</v>
      </c>
      <c r="I3503" s="15" t="s">
        <v>1560</v>
      </c>
      <c r="J3503" s="15" t="s">
        <v>14474</v>
      </c>
      <c r="K3503" s="15">
        <v>2.0</v>
      </c>
      <c r="L3503" s="15">
        <v>2.0</v>
      </c>
      <c r="M3503" s="40">
        <v>41672.0</v>
      </c>
      <c r="N3503" s="40">
        <v>41834.0</v>
      </c>
      <c r="O3503" s="15" t="s">
        <v>1554</v>
      </c>
      <c r="Q3503" s="7"/>
    </row>
    <row r="3504">
      <c r="A3504" s="39" t="s">
        <v>14475</v>
      </c>
      <c r="B3504" s="15">
        <v>1454025.0</v>
      </c>
      <c r="C3504" s="15" t="s">
        <v>14476</v>
      </c>
      <c r="D3504" s="15">
        <v>237477.0</v>
      </c>
      <c r="E3504" s="15" t="s">
        <v>1808</v>
      </c>
      <c r="F3504" s="15" t="s">
        <v>1578</v>
      </c>
      <c r="G3504" s="7">
        <v>2.121</v>
      </c>
      <c r="H3504" s="15" t="s">
        <v>3000</v>
      </c>
      <c r="I3504" s="15" t="s">
        <v>1560</v>
      </c>
      <c r="J3504" s="15" t="s">
        <v>14477</v>
      </c>
      <c r="K3504" s="15">
        <v>2.0</v>
      </c>
      <c r="L3504" s="15">
        <v>2.0</v>
      </c>
      <c r="M3504" s="40">
        <v>41672.0</v>
      </c>
      <c r="N3504" s="40">
        <v>41834.0</v>
      </c>
      <c r="O3504" s="15" t="s">
        <v>1554</v>
      </c>
      <c r="Q3504" s="7"/>
    </row>
    <row r="3505">
      <c r="A3505" s="39" t="s">
        <v>14478</v>
      </c>
      <c r="B3505" s="15">
        <v>1454021.0</v>
      </c>
      <c r="C3505" s="15" t="s">
        <v>14479</v>
      </c>
      <c r="D3505" s="15">
        <v>237478.0</v>
      </c>
      <c r="E3505" s="15" t="s">
        <v>1808</v>
      </c>
      <c r="F3505" s="15" t="s">
        <v>1578</v>
      </c>
      <c r="G3505" s="7">
        <v>2.668</v>
      </c>
      <c r="H3505" s="15" t="s">
        <v>2163</v>
      </c>
      <c r="I3505" s="15" t="s">
        <v>1560</v>
      </c>
      <c r="J3505" s="15" t="s">
        <v>14481</v>
      </c>
      <c r="K3505" s="15">
        <v>2.0</v>
      </c>
      <c r="L3505" s="15">
        <v>2.0</v>
      </c>
      <c r="M3505" s="40">
        <v>41672.0</v>
      </c>
      <c r="N3505" s="40">
        <v>41831.0</v>
      </c>
      <c r="O3505" s="15" t="s">
        <v>1554</v>
      </c>
      <c r="Q3505" s="7"/>
    </row>
    <row r="3506">
      <c r="A3506" s="39" t="s">
        <v>14482</v>
      </c>
      <c r="B3506" s="15">
        <v>1454022.0</v>
      </c>
      <c r="C3506" s="15" t="s">
        <v>14483</v>
      </c>
      <c r="D3506" s="15">
        <v>237479.0</v>
      </c>
      <c r="E3506" s="15" t="s">
        <v>1808</v>
      </c>
      <c r="F3506" s="15" t="s">
        <v>1578</v>
      </c>
      <c r="G3506" s="7">
        <v>2.259</v>
      </c>
      <c r="H3506" s="15" t="s">
        <v>1962</v>
      </c>
      <c r="I3506" s="15" t="s">
        <v>1560</v>
      </c>
      <c r="J3506" s="15" t="s">
        <v>14484</v>
      </c>
      <c r="K3506" s="15">
        <v>2.0</v>
      </c>
      <c r="L3506" s="15">
        <v>2.0</v>
      </c>
      <c r="M3506" s="40">
        <v>41672.0</v>
      </c>
      <c r="N3506" s="40">
        <v>41834.0</v>
      </c>
      <c r="O3506" s="15" t="s">
        <v>1554</v>
      </c>
      <c r="Q3506" s="7"/>
    </row>
    <row r="3507">
      <c r="A3507" s="39" t="s">
        <v>14485</v>
      </c>
      <c r="B3507" s="15">
        <v>1454028.0</v>
      </c>
      <c r="C3507" s="15" t="s">
        <v>14486</v>
      </c>
      <c r="D3507" s="15">
        <v>237472.0</v>
      </c>
      <c r="E3507" s="15" t="s">
        <v>1808</v>
      </c>
      <c r="F3507" s="15" t="s">
        <v>1578</v>
      </c>
      <c r="G3507" s="7">
        <v>2.253</v>
      </c>
      <c r="H3507" s="15" t="s">
        <v>10401</v>
      </c>
      <c r="I3507" s="15" t="s">
        <v>1560</v>
      </c>
      <c r="J3507" s="15" t="s">
        <v>14487</v>
      </c>
      <c r="K3507" s="15">
        <v>2.0</v>
      </c>
      <c r="L3507" s="15">
        <v>2.0</v>
      </c>
      <c r="M3507" s="40">
        <v>41672.0</v>
      </c>
      <c r="N3507" s="40">
        <v>41834.0</v>
      </c>
      <c r="O3507" s="15" t="s">
        <v>1554</v>
      </c>
      <c r="Q3507" s="7"/>
    </row>
    <row r="3508">
      <c r="A3508" s="39" t="s">
        <v>14489</v>
      </c>
      <c r="B3508" s="15">
        <v>1454024.0</v>
      </c>
      <c r="C3508" s="15" t="s">
        <v>14490</v>
      </c>
      <c r="D3508" s="15">
        <v>237475.0</v>
      </c>
      <c r="E3508" s="15" t="s">
        <v>1808</v>
      </c>
      <c r="F3508" s="15" t="s">
        <v>1578</v>
      </c>
      <c r="G3508" s="7">
        <v>2.249</v>
      </c>
      <c r="H3508" s="15" t="s">
        <v>2351</v>
      </c>
      <c r="I3508" s="15" t="s">
        <v>1560</v>
      </c>
      <c r="J3508" s="15" t="s">
        <v>14491</v>
      </c>
      <c r="K3508" s="15">
        <v>2.0</v>
      </c>
      <c r="L3508" s="15">
        <v>2.0</v>
      </c>
      <c r="M3508" s="40">
        <v>41672.0</v>
      </c>
      <c r="N3508" s="40">
        <v>41834.0</v>
      </c>
      <c r="O3508" s="15" t="s">
        <v>1554</v>
      </c>
      <c r="Q3508" s="7"/>
    </row>
    <row r="3509">
      <c r="A3509" s="39" t="s">
        <v>14492</v>
      </c>
      <c r="B3509" s="15">
        <v>1420600.0</v>
      </c>
      <c r="C3509" s="15" t="s">
        <v>14493</v>
      </c>
      <c r="D3509" s="15">
        <v>237138.0</v>
      </c>
      <c r="E3509" s="15" t="s">
        <v>1808</v>
      </c>
      <c r="F3509" s="15" t="s">
        <v>1998</v>
      </c>
      <c r="G3509" s="7">
        <v>1.378</v>
      </c>
      <c r="H3509" s="15" t="s">
        <v>2901</v>
      </c>
      <c r="I3509" s="15" t="s">
        <v>1686</v>
      </c>
      <c r="J3509" s="15" t="s">
        <v>14494</v>
      </c>
      <c r="K3509" s="15">
        <v>2.0</v>
      </c>
      <c r="L3509" s="15">
        <v>2.0</v>
      </c>
      <c r="M3509" s="40">
        <v>41670.0</v>
      </c>
      <c r="N3509" s="40">
        <v>42180.0</v>
      </c>
      <c r="O3509" s="15" t="s">
        <v>1554</v>
      </c>
      <c r="Q3509" s="7"/>
    </row>
    <row r="3510">
      <c r="A3510" s="39" t="s">
        <v>14495</v>
      </c>
      <c r="B3510" s="15">
        <v>1452516.0</v>
      </c>
      <c r="C3510" s="15" t="s">
        <v>14496</v>
      </c>
      <c r="D3510" s="15">
        <v>237139.0</v>
      </c>
      <c r="E3510" s="15" t="s">
        <v>1548</v>
      </c>
      <c r="F3510" s="15" t="s">
        <v>1776</v>
      </c>
      <c r="G3510" s="7">
        <v>8.305</v>
      </c>
      <c r="H3510" s="15" t="s">
        <v>4563</v>
      </c>
      <c r="I3510" s="15" t="s">
        <v>1686</v>
      </c>
      <c r="J3510" s="15" t="s">
        <v>14497</v>
      </c>
      <c r="K3510" s="15">
        <v>1.0</v>
      </c>
      <c r="L3510" s="15">
        <v>1.0</v>
      </c>
      <c r="M3510" s="40">
        <v>41668.0</v>
      </c>
      <c r="N3510" s="40">
        <v>41949.0</v>
      </c>
      <c r="O3510" s="15" t="s">
        <v>1554</v>
      </c>
      <c r="Q3510" s="7"/>
    </row>
    <row r="3511">
      <c r="A3511" s="39" t="s">
        <v>14499</v>
      </c>
      <c r="B3511" s="15">
        <v>1427476.0</v>
      </c>
      <c r="C3511" s="15" t="s">
        <v>14500</v>
      </c>
      <c r="D3511" s="15">
        <v>237137.0</v>
      </c>
      <c r="E3511" s="15" t="s">
        <v>1638</v>
      </c>
      <c r="F3511" s="15" t="s">
        <v>1863</v>
      </c>
      <c r="G3511" s="7">
        <v>24.835</v>
      </c>
      <c r="H3511" s="15" t="s">
        <v>14501</v>
      </c>
      <c r="I3511" s="15" t="s">
        <v>1686</v>
      </c>
      <c r="J3511" s="15" t="s">
        <v>14502</v>
      </c>
      <c r="K3511" s="15">
        <v>12.0</v>
      </c>
      <c r="L3511" s="15">
        <v>12.0</v>
      </c>
      <c r="M3511" s="40">
        <v>41669.0</v>
      </c>
      <c r="N3511" s="40">
        <v>41918.0</v>
      </c>
      <c r="O3511" s="15" t="s">
        <v>1554</v>
      </c>
      <c r="Q3511" s="7"/>
    </row>
    <row r="3512">
      <c r="A3512" s="39" t="s">
        <v>14503</v>
      </c>
      <c r="B3512" s="15">
        <v>1401263.0</v>
      </c>
      <c r="C3512" s="15" t="s">
        <v>14504</v>
      </c>
      <c r="D3512" s="15">
        <v>237541.0</v>
      </c>
      <c r="E3512" s="15" t="s">
        <v>1548</v>
      </c>
      <c r="F3512" s="15" t="s">
        <v>1776</v>
      </c>
      <c r="G3512" s="7">
        <v>7.934</v>
      </c>
      <c r="H3512" s="15" t="s">
        <v>3082</v>
      </c>
      <c r="I3512" s="15" t="s">
        <v>1686</v>
      </c>
      <c r="J3512" s="15" t="s">
        <v>14505</v>
      </c>
      <c r="K3512" s="15">
        <v>1.0</v>
      </c>
      <c r="L3512" s="15">
        <v>1.0</v>
      </c>
      <c r="M3512" s="40">
        <v>41671.0</v>
      </c>
      <c r="N3512" s="40">
        <v>41697.0</v>
      </c>
      <c r="O3512" s="15" t="s">
        <v>1554</v>
      </c>
      <c r="Q3512" s="7"/>
    </row>
    <row r="3513">
      <c r="A3513" s="39" t="s">
        <v>14506</v>
      </c>
      <c r="B3513" s="15">
        <v>1456752.0</v>
      </c>
      <c r="C3513" s="15" t="s">
        <v>14507</v>
      </c>
      <c r="D3513" s="15">
        <v>237552.0</v>
      </c>
      <c r="E3513" s="15" t="s">
        <v>1548</v>
      </c>
      <c r="F3513" s="15" t="s">
        <v>1801</v>
      </c>
      <c r="G3513" s="7">
        <v>10.688</v>
      </c>
      <c r="H3513" s="15" t="s">
        <v>1617</v>
      </c>
      <c r="I3513" s="15" t="s">
        <v>1560</v>
      </c>
      <c r="J3513" s="15" t="s">
        <v>14508</v>
      </c>
      <c r="K3513" s="15">
        <v>1.0</v>
      </c>
      <c r="L3513" s="15">
        <v>1.0</v>
      </c>
      <c r="M3513" s="40">
        <v>41675.0</v>
      </c>
      <c r="N3513" s="40">
        <v>41683.0</v>
      </c>
      <c r="O3513" s="15" t="s">
        <v>1554</v>
      </c>
      <c r="Q3513" s="7"/>
    </row>
    <row r="3514">
      <c r="A3514" s="39" t="s">
        <v>14510</v>
      </c>
      <c r="B3514" s="15">
        <v>74320.0</v>
      </c>
      <c r="C3514" s="15" t="s">
        <v>14511</v>
      </c>
      <c r="D3514" s="15">
        <v>237559.0</v>
      </c>
      <c r="E3514" s="15" t="s">
        <v>1557</v>
      </c>
      <c r="F3514" s="15" t="s">
        <v>1992</v>
      </c>
      <c r="G3514" s="7">
        <v>120.42</v>
      </c>
      <c r="H3514" s="15" t="s">
        <v>3309</v>
      </c>
      <c r="I3514" s="15" t="s">
        <v>1560</v>
      </c>
      <c r="J3514" s="15" t="s">
        <v>14512</v>
      </c>
      <c r="K3514" s="15">
        <v>127.0</v>
      </c>
      <c r="L3514" s="15">
        <v>127.0</v>
      </c>
      <c r="M3514" s="40">
        <v>41675.0</v>
      </c>
      <c r="N3514" s="40">
        <v>41683.0</v>
      </c>
      <c r="O3514" s="15" t="s">
        <v>1554</v>
      </c>
      <c r="Q3514" s="7"/>
    </row>
    <row r="3515">
      <c r="A3515" s="39" t="s">
        <v>14513</v>
      </c>
      <c r="B3515" s="15">
        <v>1457165.0</v>
      </c>
      <c r="C3515" s="15" t="s">
        <v>14514</v>
      </c>
      <c r="D3515" s="15">
        <v>237560.0</v>
      </c>
      <c r="E3515" s="15" t="s">
        <v>1548</v>
      </c>
      <c r="F3515" s="15" t="s">
        <v>1578</v>
      </c>
      <c r="G3515" s="7">
        <v>9.023</v>
      </c>
      <c r="H3515" s="15" t="s">
        <v>4283</v>
      </c>
      <c r="I3515" s="15" t="s">
        <v>1560</v>
      </c>
      <c r="J3515" s="15" t="s">
        <v>14515</v>
      </c>
      <c r="K3515" s="15">
        <v>3.0</v>
      </c>
      <c r="L3515" s="15">
        <v>3.0</v>
      </c>
      <c r="M3515" s="40">
        <v>41674.0</v>
      </c>
      <c r="N3515" s="40">
        <v>41683.0</v>
      </c>
      <c r="O3515" s="15" t="s">
        <v>1554</v>
      </c>
      <c r="Q3515" s="7"/>
    </row>
    <row r="3516">
      <c r="A3516" s="39" t="s">
        <v>14516</v>
      </c>
      <c r="B3516" s="15">
        <v>1454227.0</v>
      </c>
      <c r="C3516" s="15" t="s">
        <v>14518</v>
      </c>
      <c r="D3516" s="15">
        <v>237561.0</v>
      </c>
      <c r="E3516" s="15" t="s">
        <v>2014</v>
      </c>
      <c r="F3516" s="15" t="s">
        <v>1578</v>
      </c>
      <c r="G3516" s="7">
        <v>1.365</v>
      </c>
      <c r="H3516" s="15" t="s">
        <v>2524</v>
      </c>
      <c r="I3516" s="15" t="s">
        <v>1628</v>
      </c>
      <c r="J3516" s="15" t="s">
        <v>14519</v>
      </c>
      <c r="K3516" s="15">
        <v>1.0</v>
      </c>
      <c r="L3516" s="15">
        <v>1.0</v>
      </c>
      <c r="M3516" s="40">
        <v>41671.0</v>
      </c>
      <c r="N3516" s="40">
        <v>41683.0</v>
      </c>
      <c r="O3516" s="15" t="s">
        <v>1554</v>
      </c>
      <c r="Q3516" s="7"/>
    </row>
    <row r="3517">
      <c r="A3517" s="39" t="s">
        <v>14520</v>
      </c>
      <c r="B3517" s="15">
        <v>1460071.0</v>
      </c>
      <c r="C3517" s="15" t="s">
        <v>14521</v>
      </c>
      <c r="D3517" s="15">
        <v>238830.0</v>
      </c>
      <c r="E3517" s="15" t="s">
        <v>1548</v>
      </c>
      <c r="F3517" s="15" t="s">
        <v>2374</v>
      </c>
      <c r="G3517" s="7">
        <v>10.176</v>
      </c>
      <c r="H3517" s="15" t="s">
        <v>6583</v>
      </c>
      <c r="I3517" s="15" t="s">
        <v>1560</v>
      </c>
      <c r="J3517" s="15" t="s">
        <v>14522</v>
      </c>
      <c r="K3517" s="15">
        <v>1.0</v>
      </c>
      <c r="L3517" s="15">
        <v>1.0</v>
      </c>
      <c r="M3517" s="40">
        <v>41686.0</v>
      </c>
      <c r="N3517" s="40">
        <v>41719.0</v>
      </c>
      <c r="O3517" s="15" t="s">
        <v>1554</v>
      </c>
      <c r="Q3517" s="7"/>
    </row>
    <row r="3518">
      <c r="A3518" s="39" t="s">
        <v>14523</v>
      </c>
      <c r="B3518" s="15">
        <v>1293961.0</v>
      </c>
      <c r="C3518" s="15" t="s">
        <v>14524</v>
      </c>
      <c r="D3518" s="15">
        <v>238950.0</v>
      </c>
      <c r="E3518" s="15" t="s">
        <v>2014</v>
      </c>
      <c r="F3518" s="15" t="s">
        <v>1578</v>
      </c>
      <c r="G3518" s="7">
        <v>1.359</v>
      </c>
      <c r="H3518" s="15" t="s">
        <v>1591</v>
      </c>
      <c r="I3518" s="15" t="s">
        <v>1628</v>
      </c>
      <c r="J3518" s="15" t="s">
        <v>14526</v>
      </c>
      <c r="K3518" s="15">
        <v>1.0</v>
      </c>
      <c r="L3518" s="15">
        <v>1.0</v>
      </c>
      <c r="M3518" s="40">
        <v>41688.0</v>
      </c>
      <c r="N3518" s="40">
        <v>42583.0</v>
      </c>
      <c r="O3518" s="15" t="s">
        <v>1554</v>
      </c>
      <c r="Q3518" s="7"/>
    </row>
    <row r="3519">
      <c r="A3519" s="39" t="s">
        <v>14527</v>
      </c>
      <c r="B3519" s="15">
        <v>1459800.0</v>
      </c>
      <c r="C3519" s="15" t="s">
        <v>14528</v>
      </c>
      <c r="D3519" s="15">
        <v>238954.0</v>
      </c>
      <c r="E3519" s="15" t="s">
        <v>1916</v>
      </c>
      <c r="F3519" s="15" t="s">
        <v>1917</v>
      </c>
      <c r="G3519" s="7">
        <v>7.435</v>
      </c>
      <c r="H3519" s="15" t="s">
        <v>3653</v>
      </c>
      <c r="I3519" s="15" t="s">
        <v>1628</v>
      </c>
      <c r="J3519" s="15" t="s">
        <v>14529</v>
      </c>
      <c r="K3519" s="15">
        <v>4.0</v>
      </c>
      <c r="L3519" s="15">
        <v>4.0</v>
      </c>
      <c r="M3519" s="40">
        <v>41686.0</v>
      </c>
      <c r="N3519" s="40">
        <v>41691.0</v>
      </c>
      <c r="O3519" s="15" t="s">
        <v>1554</v>
      </c>
      <c r="Q3519" s="7"/>
    </row>
    <row r="3520">
      <c r="A3520" s="39" t="s">
        <v>14530</v>
      </c>
      <c r="B3520" s="15">
        <v>1382295.0</v>
      </c>
      <c r="C3520" s="15" t="s">
        <v>14531</v>
      </c>
      <c r="D3520" s="15">
        <v>238956.0</v>
      </c>
      <c r="E3520" s="15" t="s">
        <v>1638</v>
      </c>
      <c r="F3520" s="15" t="s">
        <v>1863</v>
      </c>
      <c r="G3520" s="7">
        <v>24.041</v>
      </c>
      <c r="H3520" s="15" t="s">
        <v>14532</v>
      </c>
      <c r="I3520" s="15" t="s">
        <v>1560</v>
      </c>
      <c r="J3520" s="15" t="s">
        <v>14533</v>
      </c>
      <c r="K3520" s="15">
        <v>10.0</v>
      </c>
      <c r="L3520" s="15">
        <v>10.0</v>
      </c>
      <c r="M3520" s="40">
        <v>41689.0</v>
      </c>
      <c r="N3520" s="40">
        <v>41691.0</v>
      </c>
      <c r="O3520" s="15" t="s">
        <v>1554</v>
      </c>
      <c r="Q3520" s="7"/>
    </row>
    <row r="3521">
      <c r="A3521" s="39" t="s">
        <v>14535</v>
      </c>
      <c r="B3521" s="15">
        <v>1455654.0</v>
      </c>
      <c r="C3521" s="15" t="s">
        <v>14536</v>
      </c>
      <c r="D3521" s="15">
        <v>239033.0</v>
      </c>
      <c r="E3521" s="15" t="s">
        <v>2014</v>
      </c>
      <c r="F3521" s="15" t="s">
        <v>1578</v>
      </c>
      <c r="G3521" s="7">
        <v>1.0</v>
      </c>
      <c r="H3521" s="15" t="s">
        <v>2023</v>
      </c>
      <c r="I3521" s="15" t="s">
        <v>1628</v>
      </c>
      <c r="J3521" s="15" t="s">
        <v>14537</v>
      </c>
      <c r="K3521" s="15">
        <v>1.0</v>
      </c>
      <c r="L3521" s="15">
        <v>1.0</v>
      </c>
      <c r="M3521" s="41">
        <v>36095.0</v>
      </c>
      <c r="N3521" s="40">
        <v>41887.0</v>
      </c>
      <c r="O3521" s="15" t="s">
        <v>1554</v>
      </c>
      <c r="Q3521" s="7"/>
    </row>
    <row r="3522">
      <c r="A3522" s="39" t="s">
        <v>14539</v>
      </c>
      <c r="B3522" s="15">
        <v>1455653.0</v>
      </c>
      <c r="C3522" s="15" t="s">
        <v>14540</v>
      </c>
      <c r="D3522" s="15">
        <v>239034.0</v>
      </c>
      <c r="E3522" s="15" t="s">
        <v>2014</v>
      </c>
      <c r="F3522" s="15" t="s">
        <v>1578</v>
      </c>
      <c r="G3522" s="7">
        <v>1.009</v>
      </c>
      <c r="H3522" s="15" t="s">
        <v>2019</v>
      </c>
      <c r="I3522" s="15" t="s">
        <v>1628</v>
      </c>
      <c r="J3522" s="15" t="s">
        <v>14541</v>
      </c>
      <c r="K3522" s="15">
        <v>1.0</v>
      </c>
      <c r="L3522" s="15">
        <v>1.0</v>
      </c>
      <c r="M3522" s="41">
        <v>36095.0</v>
      </c>
      <c r="N3522" s="40">
        <v>41891.0</v>
      </c>
      <c r="O3522" s="15" t="s">
        <v>1554</v>
      </c>
      <c r="Q3522" s="7"/>
    </row>
    <row r="3523">
      <c r="A3523" s="39" t="s">
        <v>14542</v>
      </c>
      <c r="B3523" s="15">
        <v>1455651.0</v>
      </c>
      <c r="C3523" s="15" t="s">
        <v>14543</v>
      </c>
      <c r="D3523" s="15">
        <v>239035.0</v>
      </c>
      <c r="E3523" s="15" t="s">
        <v>2014</v>
      </c>
      <c r="F3523" s="15" t="s">
        <v>1578</v>
      </c>
      <c r="G3523" s="7">
        <v>1.007</v>
      </c>
      <c r="H3523" s="15" t="s">
        <v>2524</v>
      </c>
      <c r="I3523" s="15" t="s">
        <v>1628</v>
      </c>
      <c r="J3523" s="15" t="s">
        <v>14544</v>
      </c>
      <c r="K3523" s="15">
        <v>1.0</v>
      </c>
      <c r="L3523" s="15">
        <v>1.0</v>
      </c>
      <c r="M3523" s="41">
        <v>36095.0</v>
      </c>
      <c r="N3523" s="40">
        <v>41887.0</v>
      </c>
      <c r="O3523" s="15" t="s">
        <v>1554</v>
      </c>
      <c r="Q3523" s="7"/>
    </row>
    <row r="3524">
      <c r="A3524" s="39" t="s">
        <v>14545</v>
      </c>
      <c r="B3524" s="15">
        <v>1392231.0</v>
      </c>
      <c r="C3524" s="15" t="s">
        <v>14546</v>
      </c>
      <c r="D3524" s="15">
        <v>239271.0</v>
      </c>
      <c r="E3524" s="15" t="s">
        <v>4407</v>
      </c>
      <c r="F3524" s="15" t="s">
        <v>1578</v>
      </c>
      <c r="G3524" s="7">
        <v>48.8</v>
      </c>
      <c r="H3524" s="15">
        <v>40.0</v>
      </c>
      <c r="I3524" s="15" t="s">
        <v>1586</v>
      </c>
      <c r="J3524" s="15" t="s">
        <v>14548</v>
      </c>
      <c r="K3524" s="15">
        <v>68.0</v>
      </c>
      <c r="L3524" s="15">
        <v>68.0</v>
      </c>
      <c r="M3524" s="40">
        <v>41670.0</v>
      </c>
      <c r="N3524" s="40">
        <v>41696.0</v>
      </c>
      <c r="O3524" s="15" t="s">
        <v>1554</v>
      </c>
      <c r="Q3524" s="7"/>
    </row>
    <row r="3525">
      <c r="A3525" s="39" t="s">
        <v>14549</v>
      </c>
      <c r="B3525" s="15">
        <v>1308897.0</v>
      </c>
      <c r="C3525" s="15" t="s">
        <v>14550</v>
      </c>
      <c r="D3525" s="15">
        <v>239431.0</v>
      </c>
      <c r="E3525" s="15" t="s">
        <v>1557</v>
      </c>
      <c r="F3525" s="15" t="s">
        <v>1833</v>
      </c>
      <c r="G3525" s="7">
        <v>43.301</v>
      </c>
      <c r="H3525" s="15" t="s">
        <v>4287</v>
      </c>
      <c r="I3525" s="15" t="s">
        <v>1586</v>
      </c>
      <c r="J3525" s="15" t="s">
        <v>14551</v>
      </c>
      <c r="K3525" s="15">
        <v>65.0</v>
      </c>
      <c r="L3525" s="15">
        <v>65.0</v>
      </c>
      <c r="M3525" s="40">
        <v>41681.0</v>
      </c>
      <c r="N3525" s="40">
        <v>41829.0</v>
      </c>
      <c r="O3525" s="15" t="s">
        <v>1554</v>
      </c>
      <c r="Q3525" s="7"/>
    </row>
    <row r="3526">
      <c r="A3526" s="39" t="s">
        <v>14552</v>
      </c>
      <c r="B3526" s="15">
        <v>1277886.0</v>
      </c>
      <c r="C3526" s="15" t="s">
        <v>14553</v>
      </c>
      <c r="D3526" s="15">
        <v>239432.0</v>
      </c>
      <c r="E3526" s="15" t="s">
        <v>1557</v>
      </c>
      <c r="F3526" s="15" t="s">
        <v>1767</v>
      </c>
      <c r="G3526" s="7">
        <v>159.59</v>
      </c>
      <c r="H3526" s="15" t="s">
        <v>1607</v>
      </c>
      <c r="I3526" s="15" t="s">
        <v>1586</v>
      </c>
      <c r="J3526" s="15" t="s">
        <v>14554</v>
      </c>
      <c r="K3526" s="15">
        <v>271.0</v>
      </c>
      <c r="L3526" s="15">
        <v>271.0</v>
      </c>
      <c r="M3526" s="40">
        <v>41670.0</v>
      </c>
      <c r="N3526" s="40">
        <v>41905.0</v>
      </c>
      <c r="O3526" s="15" t="s">
        <v>1554</v>
      </c>
      <c r="Q3526" s="7"/>
    </row>
    <row r="3527">
      <c r="A3527" s="39" t="s">
        <v>14555</v>
      </c>
      <c r="B3527" s="15">
        <v>1308896.0</v>
      </c>
      <c r="C3527" s="15" t="s">
        <v>14556</v>
      </c>
      <c r="D3527" s="15">
        <v>239434.0</v>
      </c>
      <c r="E3527" s="15" t="s">
        <v>1557</v>
      </c>
      <c r="F3527" s="15" t="s">
        <v>1833</v>
      </c>
      <c r="G3527" s="7">
        <v>42.906</v>
      </c>
      <c r="H3527" s="15" t="s">
        <v>6058</v>
      </c>
      <c r="I3527" s="15" t="s">
        <v>1586</v>
      </c>
      <c r="J3527" s="15" t="s">
        <v>14558</v>
      </c>
      <c r="K3527" s="15">
        <v>65.0</v>
      </c>
      <c r="L3527" s="15">
        <v>65.0</v>
      </c>
      <c r="M3527" s="40">
        <v>41681.0</v>
      </c>
      <c r="N3527" s="40">
        <v>41829.0</v>
      </c>
      <c r="O3527" s="15" t="s">
        <v>1554</v>
      </c>
      <c r="Q3527" s="7"/>
    </row>
    <row r="3528">
      <c r="A3528" s="39" t="s">
        <v>14559</v>
      </c>
      <c r="B3528" s="15">
        <v>1414747.0</v>
      </c>
      <c r="C3528" s="15" t="s">
        <v>14560</v>
      </c>
      <c r="D3528" s="15">
        <v>239430.0</v>
      </c>
      <c r="E3528" s="15" t="s">
        <v>1557</v>
      </c>
      <c r="F3528" s="15" t="s">
        <v>1833</v>
      </c>
      <c r="G3528" s="7">
        <v>62.466</v>
      </c>
      <c r="H3528" s="15" t="s">
        <v>1666</v>
      </c>
      <c r="I3528" s="15" t="s">
        <v>1586</v>
      </c>
      <c r="J3528" s="15" t="s">
        <v>14561</v>
      </c>
      <c r="K3528" s="15">
        <v>106.0</v>
      </c>
      <c r="L3528" s="15">
        <v>105.0</v>
      </c>
      <c r="M3528" s="41">
        <v>41622.0</v>
      </c>
      <c r="N3528" s="40">
        <v>41697.0</v>
      </c>
      <c r="O3528" s="15" t="s">
        <v>1554</v>
      </c>
      <c r="Q3528" s="7"/>
    </row>
    <row r="3529">
      <c r="A3529" s="39" t="s">
        <v>14562</v>
      </c>
      <c r="B3529" s="15">
        <v>1414737.0</v>
      </c>
      <c r="C3529" s="15" t="s">
        <v>14563</v>
      </c>
      <c r="D3529" s="15">
        <v>239433.0</v>
      </c>
      <c r="E3529" s="15" t="s">
        <v>1557</v>
      </c>
      <c r="F3529" s="15" t="s">
        <v>1833</v>
      </c>
      <c r="G3529" s="7">
        <v>109.558</v>
      </c>
      <c r="H3529" s="15">
        <v>59.0</v>
      </c>
      <c r="I3529" s="15" t="s">
        <v>1586</v>
      </c>
      <c r="J3529" s="15" t="s">
        <v>14564</v>
      </c>
      <c r="K3529" s="15">
        <v>181.0</v>
      </c>
      <c r="L3529" s="15">
        <v>181.0</v>
      </c>
      <c r="M3529" s="41">
        <v>41626.0</v>
      </c>
      <c r="N3529" s="40">
        <v>41697.0</v>
      </c>
      <c r="O3529" s="15" t="s">
        <v>1554</v>
      </c>
      <c r="Q3529" s="7"/>
    </row>
    <row r="3530">
      <c r="A3530" s="39" t="s">
        <v>14565</v>
      </c>
      <c r="B3530" s="15">
        <v>1460374.0</v>
      </c>
      <c r="C3530" s="15" t="s">
        <v>14567</v>
      </c>
      <c r="D3530" s="15">
        <v>239697.0</v>
      </c>
      <c r="E3530" s="15" t="s">
        <v>1638</v>
      </c>
      <c r="F3530" s="15" t="s">
        <v>1639</v>
      </c>
      <c r="G3530" s="7">
        <v>5.075</v>
      </c>
      <c r="H3530" s="15" t="s">
        <v>10654</v>
      </c>
      <c r="I3530" s="15" t="s">
        <v>1552</v>
      </c>
      <c r="J3530" s="15" t="s">
        <v>14568</v>
      </c>
      <c r="K3530" s="15">
        <v>2.0</v>
      </c>
      <c r="L3530" s="15">
        <v>2.0</v>
      </c>
      <c r="M3530" s="40">
        <v>41671.0</v>
      </c>
      <c r="N3530" s="40">
        <v>41949.0</v>
      </c>
      <c r="O3530" s="15" t="s">
        <v>1554</v>
      </c>
      <c r="Q3530" s="7"/>
    </row>
    <row r="3531">
      <c r="A3531" s="39" t="s">
        <v>14569</v>
      </c>
      <c r="B3531" s="15">
        <v>1450142.0</v>
      </c>
      <c r="C3531" s="15" t="s">
        <v>14570</v>
      </c>
      <c r="D3531" s="15">
        <v>239723.0</v>
      </c>
      <c r="E3531" s="15" t="s">
        <v>1557</v>
      </c>
      <c r="F3531" s="15" t="s">
        <v>1767</v>
      </c>
      <c r="G3531" s="7">
        <v>142.094</v>
      </c>
      <c r="H3531" s="42">
        <v>43189.0</v>
      </c>
      <c r="I3531" s="15" t="s">
        <v>1586</v>
      </c>
      <c r="J3531" s="15" t="s">
        <v>14571</v>
      </c>
      <c r="K3531" s="15">
        <v>207.0</v>
      </c>
      <c r="L3531" s="15">
        <v>207.0</v>
      </c>
      <c r="M3531" s="40">
        <v>41660.0</v>
      </c>
      <c r="N3531" s="40">
        <v>41700.0</v>
      </c>
      <c r="O3531" s="15" t="s">
        <v>1554</v>
      </c>
      <c r="Q3531" s="7"/>
    </row>
    <row r="3532">
      <c r="A3532" s="39" t="s">
        <v>14572</v>
      </c>
      <c r="B3532" s="15">
        <v>1406974.0</v>
      </c>
      <c r="C3532" s="15" t="s">
        <v>14573</v>
      </c>
      <c r="D3532" s="15">
        <v>239724.0</v>
      </c>
      <c r="E3532" s="15" t="s">
        <v>1557</v>
      </c>
      <c r="F3532" s="15" t="s">
        <v>1611</v>
      </c>
      <c r="G3532" s="7">
        <v>45.696</v>
      </c>
      <c r="H3532" s="15" t="s">
        <v>3242</v>
      </c>
      <c r="I3532" s="15" t="s">
        <v>1586</v>
      </c>
      <c r="J3532" s="15" t="s">
        <v>14575</v>
      </c>
      <c r="K3532" s="15">
        <v>65.0</v>
      </c>
      <c r="L3532" s="15">
        <v>65.0</v>
      </c>
      <c r="M3532" s="40">
        <v>41645.0</v>
      </c>
      <c r="N3532" s="40">
        <v>41700.0</v>
      </c>
      <c r="O3532" s="15" t="s">
        <v>1554</v>
      </c>
      <c r="Q3532" s="7"/>
    </row>
    <row r="3533">
      <c r="A3533" s="39" t="s">
        <v>14576</v>
      </c>
      <c r="B3533" s="15">
        <v>1460070.0</v>
      </c>
      <c r="C3533" s="15" t="s">
        <v>14577</v>
      </c>
      <c r="D3533" s="15">
        <v>239726.0</v>
      </c>
      <c r="E3533" s="15" t="s">
        <v>1808</v>
      </c>
      <c r="F3533" s="15" t="s">
        <v>2969</v>
      </c>
      <c r="G3533" s="7">
        <v>8.46</v>
      </c>
      <c r="H3533" s="15" t="s">
        <v>3101</v>
      </c>
      <c r="I3533" s="15" t="s">
        <v>1586</v>
      </c>
      <c r="J3533" s="15" t="s">
        <v>14578</v>
      </c>
      <c r="K3533" s="15">
        <v>16.0</v>
      </c>
      <c r="L3533" s="15">
        <v>16.0</v>
      </c>
      <c r="M3533" s="40">
        <v>41686.0</v>
      </c>
      <c r="N3533" s="40">
        <v>41700.0</v>
      </c>
      <c r="O3533" s="15" t="s">
        <v>1554</v>
      </c>
      <c r="Q3533" s="7"/>
    </row>
    <row r="3534">
      <c r="A3534" s="39" t="s">
        <v>14579</v>
      </c>
      <c r="B3534" s="15">
        <v>1455076.0</v>
      </c>
      <c r="C3534" s="15" t="s">
        <v>14580</v>
      </c>
      <c r="D3534" s="15">
        <v>239727.0</v>
      </c>
      <c r="E3534" s="15" t="s">
        <v>1557</v>
      </c>
      <c r="F3534" s="15" t="s">
        <v>1611</v>
      </c>
      <c r="G3534" s="7">
        <v>39.651</v>
      </c>
      <c r="H3534" s="15" t="s">
        <v>1670</v>
      </c>
      <c r="I3534" s="15" t="s">
        <v>1586</v>
      </c>
      <c r="J3534" s="15" t="s">
        <v>14581</v>
      </c>
      <c r="K3534" s="15">
        <v>58.0</v>
      </c>
      <c r="L3534" s="15">
        <v>57.0</v>
      </c>
      <c r="M3534" s="40">
        <v>41669.0</v>
      </c>
      <c r="N3534" s="40">
        <v>41816.0</v>
      </c>
      <c r="O3534" s="15" t="s">
        <v>1554</v>
      </c>
      <c r="Q3534" s="7"/>
    </row>
    <row r="3535">
      <c r="A3535" s="39" t="s">
        <v>14583</v>
      </c>
      <c r="B3535" s="15">
        <v>1262539.0</v>
      </c>
      <c r="C3535" s="15" t="s">
        <v>14584</v>
      </c>
      <c r="D3535" s="15">
        <v>239728.0</v>
      </c>
      <c r="E3535" s="15" t="s">
        <v>1557</v>
      </c>
      <c r="F3535" s="15" t="s">
        <v>1767</v>
      </c>
      <c r="G3535" s="7">
        <v>246.964</v>
      </c>
      <c r="H3535" s="15" t="s">
        <v>1710</v>
      </c>
      <c r="I3535" s="15" t="s">
        <v>1586</v>
      </c>
      <c r="J3535" s="15" t="s">
        <v>14585</v>
      </c>
      <c r="K3535" s="15">
        <v>327.0</v>
      </c>
      <c r="L3535" s="15">
        <v>327.0</v>
      </c>
      <c r="M3535" s="41">
        <v>41634.0</v>
      </c>
      <c r="N3535" s="40">
        <v>41700.0</v>
      </c>
      <c r="O3535" s="15" t="s">
        <v>1554</v>
      </c>
      <c r="Q3535" s="7"/>
    </row>
    <row r="3536">
      <c r="A3536" s="39" t="s">
        <v>14586</v>
      </c>
      <c r="B3536" s="15">
        <v>1432847.0</v>
      </c>
      <c r="C3536" s="15" t="s">
        <v>14587</v>
      </c>
      <c r="D3536" s="15">
        <v>239729.0</v>
      </c>
      <c r="E3536" s="15" t="s">
        <v>1557</v>
      </c>
      <c r="F3536" s="15" t="s">
        <v>1578</v>
      </c>
      <c r="G3536" s="7">
        <v>46.243</v>
      </c>
      <c r="H3536" s="15" t="s">
        <v>2857</v>
      </c>
      <c r="I3536" s="15" t="s">
        <v>1586</v>
      </c>
      <c r="J3536" s="15" t="s">
        <v>14588</v>
      </c>
      <c r="K3536" s="15">
        <v>60.0</v>
      </c>
      <c r="L3536" s="15">
        <v>59.0</v>
      </c>
      <c r="M3536" s="41">
        <v>41622.0</v>
      </c>
      <c r="N3536" s="40">
        <v>41700.0</v>
      </c>
      <c r="O3536" s="15" t="s">
        <v>1554</v>
      </c>
      <c r="Q3536" s="7"/>
    </row>
    <row r="3537">
      <c r="A3537" s="39" t="s">
        <v>14589</v>
      </c>
      <c r="B3537" s="15">
        <v>1455075.0</v>
      </c>
      <c r="C3537" s="15" t="s">
        <v>14590</v>
      </c>
      <c r="D3537" s="15">
        <v>239730.0</v>
      </c>
      <c r="E3537" s="15" t="s">
        <v>1557</v>
      </c>
      <c r="F3537" s="15" t="s">
        <v>1611</v>
      </c>
      <c r="G3537" s="7">
        <v>39.207</v>
      </c>
      <c r="H3537" s="15" t="s">
        <v>2351</v>
      </c>
      <c r="I3537" s="15" t="s">
        <v>1586</v>
      </c>
      <c r="J3537" s="15" t="s">
        <v>14592</v>
      </c>
      <c r="K3537" s="15">
        <v>59.0</v>
      </c>
      <c r="L3537" s="15">
        <v>57.0</v>
      </c>
      <c r="M3537" s="40">
        <v>41669.0</v>
      </c>
      <c r="N3537" s="40">
        <v>41851.0</v>
      </c>
      <c r="O3537" s="15" t="s">
        <v>1554</v>
      </c>
      <c r="Q3537" s="7"/>
    </row>
    <row r="3538">
      <c r="A3538" s="39" t="s">
        <v>14593</v>
      </c>
      <c r="B3538" s="15">
        <v>1416012.0</v>
      </c>
      <c r="C3538" s="15" t="s">
        <v>14594</v>
      </c>
      <c r="D3538" s="15">
        <v>239731.0</v>
      </c>
      <c r="E3538" s="15" t="s">
        <v>1557</v>
      </c>
      <c r="F3538" s="15" t="s">
        <v>1833</v>
      </c>
      <c r="G3538" s="7">
        <v>41.687</v>
      </c>
      <c r="H3538" s="15" t="s">
        <v>1696</v>
      </c>
      <c r="I3538" s="15" t="s">
        <v>1586</v>
      </c>
      <c r="J3538" s="15" t="s">
        <v>14595</v>
      </c>
      <c r="K3538" s="15">
        <v>69.0</v>
      </c>
      <c r="L3538" s="15">
        <v>69.0</v>
      </c>
      <c r="M3538" s="41">
        <v>41622.0</v>
      </c>
      <c r="N3538" s="40">
        <v>41949.0</v>
      </c>
      <c r="O3538" s="15" t="s">
        <v>1554</v>
      </c>
      <c r="Q3538" s="7"/>
    </row>
    <row r="3539">
      <c r="A3539" s="39" t="s">
        <v>14596</v>
      </c>
      <c r="B3539" s="15">
        <v>1442594.0</v>
      </c>
      <c r="C3539" s="15" t="s">
        <v>14597</v>
      </c>
      <c r="D3539" s="15">
        <v>239732.0</v>
      </c>
      <c r="E3539" s="15" t="s">
        <v>1664</v>
      </c>
      <c r="F3539" s="15" t="s">
        <v>1987</v>
      </c>
      <c r="G3539" s="7">
        <v>8.176</v>
      </c>
      <c r="H3539" s="15" t="s">
        <v>5955</v>
      </c>
      <c r="I3539" s="15" t="s">
        <v>1618</v>
      </c>
      <c r="J3539" s="15" t="s">
        <v>14598</v>
      </c>
      <c r="K3539" s="15">
        <v>8.0</v>
      </c>
      <c r="L3539" s="15">
        <v>8.0</v>
      </c>
      <c r="M3539" s="40">
        <v>41650.0</v>
      </c>
      <c r="N3539" s="40">
        <v>41700.0</v>
      </c>
      <c r="O3539" s="15" t="s">
        <v>1554</v>
      </c>
      <c r="Q3539" s="7"/>
    </row>
    <row r="3540">
      <c r="A3540" s="39" t="s">
        <v>14599</v>
      </c>
      <c r="B3540" s="15">
        <v>1432848.0</v>
      </c>
      <c r="C3540" s="15" t="s">
        <v>14600</v>
      </c>
      <c r="D3540" s="15">
        <v>239733.0</v>
      </c>
      <c r="E3540" s="15" t="s">
        <v>1557</v>
      </c>
      <c r="F3540" s="15" t="s">
        <v>1578</v>
      </c>
      <c r="G3540" s="7">
        <v>43.454</v>
      </c>
      <c r="H3540" s="15">
        <v>39.0</v>
      </c>
      <c r="I3540" s="15" t="s">
        <v>1586</v>
      </c>
      <c r="J3540" s="15" t="s">
        <v>14601</v>
      </c>
      <c r="K3540" s="15">
        <v>55.0</v>
      </c>
      <c r="L3540" s="15">
        <v>54.0</v>
      </c>
      <c r="M3540" s="41">
        <v>41622.0</v>
      </c>
      <c r="N3540" s="40">
        <v>41700.0</v>
      </c>
      <c r="O3540" s="15" t="s">
        <v>1554</v>
      </c>
      <c r="Q3540" s="7"/>
    </row>
    <row r="3541">
      <c r="A3541" s="39" t="s">
        <v>14603</v>
      </c>
      <c r="B3541" s="15">
        <v>1449437.0</v>
      </c>
      <c r="C3541" s="15" t="s">
        <v>14604</v>
      </c>
      <c r="D3541" s="15">
        <v>239734.0</v>
      </c>
      <c r="E3541" s="15" t="s">
        <v>1557</v>
      </c>
      <c r="F3541" s="15" t="s">
        <v>1578</v>
      </c>
      <c r="G3541" s="7">
        <v>45.55</v>
      </c>
      <c r="H3541" s="15" t="s">
        <v>4614</v>
      </c>
      <c r="I3541" s="15" t="s">
        <v>1586</v>
      </c>
      <c r="J3541" s="15" t="s">
        <v>14605</v>
      </c>
      <c r="K3541" s="15">
        <v>69.0</v>
      </c>
      <c r="L3541" s="15">
        <v>69.0</v>
      </c>
      <c r="M3541" s="40">
        <v>41688.0</v>
      </c>
      <c r="N3541" s="40">
        <v>41740.0</v>
      </c>
      <c r="O3541" s="15" t="s">
        <v>1554</v>
      </c>
      <c r="Q3541" s="7"/>
    </row>
    <row r="3542">
      <c r="A3542" s="39" t="s">
        <v>14606</v>
      </c>
      <c r="B3542" s="15">
        <v>1351702.0</v>
      </c>
      <c r="C3542" s="15" t="s">
        <v>14607</v>
      </c>
      <c r="D3542" s="15">
        <v>239735.0</v>
      </c>
      <c r="E3542" s="15" t="s">
        <v>1557</v>
      </c>
      <c r="F3542" s="15" t="s">
        <v>1578</v>
      </c>
      <c r="G3542" s="7">
        <v>48.775</v>
      </c>
      <c r="H3542" s="15" t="s">
        <v>6633</v>
      </c>
      <c r="I3542" s="15" t="s">
        <v>1618</v>
      </c>
      <c r="J3542" s="15" t="s">
        <v>14608</v>
      </c>
      <c r="K3542" s="15">
        <v>51.0</v>
      </c>
      <c r="L3542" s="15">
        <v>51.0</v>
      </c>
      <c r="M3542" s="40">
        <v>41645.0</v>
      </c>
      <c r="N3542" s="40">
        <v>41700.0</v>
      </c>
      <c r="O3542" s="15" t="s">
        <v>1554</v>
      </c>
      <c r="Q3542" s="7"/>
    </row>
    <row r="3543">
      <c r="A3543" s="39" t="s">
        <v>14610</v>
      </c>
      <c r="B3543" s="15">
        <v>1435411.0</v>
      </c>
      <c r="C3543" s="15" t="s">
        <v>14611</v>
      </c>
      <c r="D3543" s="15">
        <v>239725.0</v>
      </c>
      <c r="E3543" s="15" t="s">
        <v>1557</v>
      </c>
      <c r="F3543" s="15" t="s">
        <v>1578</v>
      </c>
      <c r="G3543" s="7">
        <v>46.145</v>
      </c>
      <c r="H3543" s="15" t="s">
        <v>5806</v>
      </c>
      <c r="I3543" s="15" t="s">
        <v>1586</v>
      </c>
      <c r="J3543" s="15" t="s">
        <v>14612</v>
      </c>
      <c r="K3543" s="15">
        <v>56.0</v>
      </c>
      <c r="L3543" s="15">
        <v>55.0</v>
      </c>
      <c r="M3543" s="41">
        <v>41626.0</v>
      </c>
      <c r="N3543" s="40">
        <v>41700.0</v>
      </c>
      <c r="O3543" s="15" t="s">
        <v>1554</v>
      </c>
      <c r="Q3543" s="7"/>
    </row>
    <row r="3544">
      <c r="A3544" s="39" t="s">
        <v>14613</v>
      </c>
      <c r="B3544" s="15">
        <v>1401669.0</v>
      </c>
      <c r="C3544" s="15" t="s">
        <v>14614</v>
      </c>
      <c r="D3544" s="15">
        <v>239740.0</v>
      </c>
      <c r="E3544" s="15" t="s">
        <v>1557</v>
      </c>
      <c r="F3544" s="15" t="s">
        <v>1833</v>
      </c>
      <c r="G3544" s="7">
        <v>218.339</v>
      </c>
      <c r="H3544" s="15" t="s">
        <v>1756</v>
      </c>
      <c r="I3544" s="15" t="s">
        <v>1586</v>
      </c>
      <c r="J3544" s="15" t="s">
        <v>14615</v>
      </c>
      <c r="K3544" s="15">
        <v>241.0</v>
      </c>
      <c r="L3544" s="15">
        <v>241.0</v>
      </c>
      <c r="M3544" s="40">
        <v>41695.0</v>
      </c>
      <c r="N3544" s="40">
        <v>41700.0</v>
      </c>
      <c r="O3544" s="15" t="s">
        <v>1554</v>
      </c>
      <c r="Q3544" s="7"/>
    </row>
    <row r="3545">
      <c r="A3545" s="39" t="s">
        <v>14616</v>
      </c>
      <c r="B3545" s="15">
        <v>1458843.0</v>
      </c>
      <c r="C3545" s="15" t="s">
        <v>14617</v>
      </c>
      <c r="D3545" s="15">
        <v>239741.0</v>
      </c>
      <c r="E3545" s="15" t="s">
        <v>1557</v>
      </c>
      <c r="F3545" s="15" t="s">
        <v>1767</v>
      </c>
      <c r="G3545" s="7">
        <v>97.906</v>
      </c>
      <c r="H3545" s="15" t="s">
        <v>3882</v>
      </c>
      <c r="I3545" s="15" t="s">
        <v>1586</v>
      </c>
      <c r="J3545" s="15" t="s">
        <v>14618</v>
      </c>
      <c r="K3545" s="15">
        <v>184.0</v>
      </c>
      <c r="L3545" s="15">
        <v>173.0</v>
      </c>
      <c r="M3545" s="40">
        <v>41696.0</v>
      </c>
      <c r="N3545" s="40">
        <v>41710.0</v>
      </c>
      <c r="O3545" s="15" t="s">
        <v>1554</v>
      </c>
      <c r="Q3545" s="7"/>
    </row>
    <row r="3546">
      <c r="A3546" s="39" t="s">
        <v>14620</v>
      </c>
      <c r="B3546" s="15">
        <v>1465618.0</v>
      </c>
      <c r="C3546" s="15" t="s">
        <v>14621</v>
      </c>
      <c r="D3546" s="15">
        <v>239739.0</v>
      </c>
      <c r="E3546" s="15" t="s">
        <v>1557</v>
      </c>
      <c r="F3546" s="15" t="s">
        <v>1833</v>
      </c>
      <c r="G3546" s="7">
        <v>42.093</v>
      </c>
      <c r="H3546" s="15" t="s">
        <v>3836</v>
      </c>
      <c r="I3546" s="15" t="s">
        <v>1586</v>
      </c>
      <c r="J3546" s="15" t="s">
        <v>14622</v>
      </c>
      <c r="K3546" s="15">
        <v>56.0</v>
      </c>
      <c r="L3546" s="15">
        <v>56.0</v>
      </c>
      <c r="M3546" s="40">
        <v>41696.0</v>
      </c>
      <c r="N3546" s="40">
        <v>42220.0</v>
      </c>
      <c r="O3546" s="15" t="s">
        <v>1554</v>
      </c>
      <c r="Q3546" s="7"/>
    </row>
    <row r="3547">
      <c r="A3547" s="39" t="s">
        <v>14623</v>
      </c>
      <c r="B3547" s="15">
        <v>1435446.0</v>
      </c>
      <c r="C3547" s="15" t="s">
        <v>14624</v>
      </c>
      <c r="D3547" s="15">
        <v>239742.0</v>
      </c>
      <c r="E3547" s="15" t="s">
        <v>1548</v>
      </c>
      <c r="F3547" s="15" t="s">
        <v>5261</v>
      </c>
      <c r="G3547" s="7">
        <v>2.563</v>
      </c>
      <c r="H3547" s="15" t="s">
        <v>6565</v>
      </c>
      <c r="I3547" s="15" t="s">
        <v>1552</v>
      </c>
      <c r="J3547" s="15" t="s">
        <v>14625</v>
      </c>
      <c r="K3547" s="15">
        <v>1.0</v>
      </c>
      <c r="L3547" s="15">
        <v>1.0</v>
      </c>
      <c r="M3547" s="40">
        <v>41698.0</v>
      </c>
      <c r="N3547" s="40">
        <v>41700.0</v>
      </c>
      <c r="O3547" s="15" t="s">
        <v>1554</v>
      </c>
      <c r="Q3547" s="7"/>
    </row>
    <row r="3548">
      <c r="A3548" s="39" t="s">
        <v>14626</v>
      </c>
      <c r="B3548" s="15">
        <v>1464786.0</v>
      </c>
      <c r="C3548" s="15" t="s">
        <v>14627</v>
      </c>
      <c r="D3548" s="15">
        <v>239909.0</v>
      </c>
      <c r="E3548" s="15" t="s">
        <v>1548</v>
      </c>
      <c r="F3548" s="15" t="s">
        <v>2374</v>
      </c>
      <c r="G3548" s="7">
        <v>10.929</v>
      </c>
      <c r="H3548" s="15" t="s">
        <v>2223</v>
      </c>
      <c r="I3548" s="15" t="s">
        <v>1560</v>
      </c>
      <c r="J3548" s="15" t="s">
        <v>14628</v>
      </c>
      <c r="K3548" s="15">
        <v>1.0</v>
      </c>
      <c r="L3548" s="15">
        <v>1.0</v>
      </c>
      <c r="M3548" s="40">
        <v>41699.0</v>
      </c>
      <c r="N3548" s="40">
        <v>41702.0</v>
      </c>
      <c r="O3548" s="15" t="s">
        <v>1554</v>
      </c>
      <c r="Q3548" s="7"/>
    </row>
    <row r="3549">
      <c r="A3549" s="39" t="s">
        <v>14629</v>
      </c>
      <c r="B3549" s="15">
        <v>160842.0</v>
      </c>
      <c r="C3549" s="15" t="s">
        <v>14630</v>
      </c>
      <c r="D3549" s="15">
        <v>239908.0</v>
      </c>
      <c r="E3549" s="15" t="s">
        <v>1548</v>
      </c>
      <c r="F3549" s="15" t="s">
        <v>1911</v>
      </c>
      <c r="G3549" s="7">
        <v>9.687</v>
      </c>
      <c r="H3549" s="15" t="s">
        <v>2869</v>
      </c>
      <c r="I3549" s="15" t="s">
        <v>1628</v>
      </c>
      <c r="J3549" s="15" t="s">
        <v>14631</v>
      </c>
      <c r="K3549" s="15">
        <v>1.0</v>
      </c>
      <c r="L3549" s="15">
        <v>1.0</v>
      </c>
      <c r="M3549" s="40">
        <v>41699.0</v>
      </c>
      <c r="N3549" s="40">
        <v>41949.0</v>
      </c>
      <c r="O3549" s="15" t="s">
        <v>1554</v>
      </c>
      <c r="Q3549" s="7"/>
    </row>
    <row r="3550">
      <c r="A3550" s="39" t="s">
        <v>14633</v>
      </c>
      <c r="B3550" s="15">
        <v>1463812.0</v>
      </c>
      <c r="C3550" s="15" t="s">
        <v>14634</v>
      </c>
      <c r="D3550" s="15">
        <v>240006.0</v>
      </c>
      <c r="E3550" s="15" t="s">
        <v>1557</v>
      </c>
      <c r="F3550" s="15" t="s">
        <v>1833</v>
      </c>
      <c r="G3550" s="7">
        <v>71.058</v>
      </c>
      <c r="H3550" s="15" t="s">
        <v>14635</v>
      </c>
      <c r="I3550" s="15" t="s">
        <v>1586</v>
      </c>
      <c r="J3550" s="15" t="s">
        <v>14636</v>
      </c>
      <c r="K3550" s="15">
        <v>98.0</v>
      </c>
      <c r="L3550" s="15">
        <v>98.0</v>
      </c>
      <c r="M3550" s="40">
        <v>41696.0</v>
      </c>
      <c r="N3550" s="40">
        <v>41808.0</v>
      </c>
      <c r="O3550" s="15" t="s">
        <v>1554</v>
      </c>
      <c r="Q3550" s="7"/>
    </row>
    <row r="3551">
      <c r="A3551" s="39" t="s">
        <v>14637</v>
      </c>
      <c r="B3551" s="15">
        <v>1463809.0</v>
      </c>
      <c r="C3551" s="15" t="s">
        <v>14638</v>
      </c>
      <c r="D3551" s="15">
        <v>240007.0</v>
      </c>
      <c r="E3551" s="15" t="s">
        <v>1557</v>
      </c>
      <c r="F3551" s="15" t="s">
        <v>1833</v>
      </c>
      <c r="G3551" s="7">
        <v>71.565</v>
      </c>
      <c r="H3551" s="15">
        <v>70.0</v>
      </c>
      <c r="I3551" s="15" t="s">
        <v>1586</v>
      </c>
      <c r="J3551" s="15" t="s">
        <v>14639</v>
      </c>
      <c r="K3551" s="15">
        <v>100.0</v>
      </c>
      <c r="L3551" s="15">
        <v>100.0</v>
      </c>
      <c r="M3551" s="40">
        <v>41696.0</v>
      </c>
      <c r="N3551" s="40">
        <v>41702.0</v>
      </c>
      <c r="O3551" s="15" t="s">
        <v>1554</v>
      </c>
      <c r="Q3551" s="7"/>
    </row>
    <row r="3552">
      <c r="A3552" s="39" t="s">
        <v>14640</v>
      </c>
      <c r="B3552" s="15">
        <v>1458717.0</v>
      </c>
      <c r="C3552" s="15" t="s">
        <v>14641</v>
      </c>
      <c r="D3552" s="15">
        <v>240008.0</v>
      </c>
      <c r="E3552" s="15" t="s">
        <v>1557</v>
      </c>
      <c r="F3552" s="15" t="s">
        <v>1833</v>
      </c>
      <c r="G3552" s="7">
        <v>53.396</v>
      </c>
      <c r="H3552" s="15" t="s">
        <v>4467</v>
      </c>
      <c r="I3552" s="15" t="s">
        <v>1586</v>
      </c>
      <c r="J3552" s="15" t="s">
        <v>14643</v>
      </c>
      <c r="K3552" s="15">
        <v>90.0</v>
      </c>
      <c r="L3552" s="15">
        <v>90.0</v>
      </c>
      <c r="M3552" s="40">
        <v>41696.0</v>
      </c>
      <c r="N3552" s="40">
        <v>41808.0</v>
      </c>
      <c r="O3552" s="15" t="s">
        <v>1554</v>
      </c>
      <c r="Q3552" s="7"/>
    </row>
    <row r="3553">
      <c r="A3553" s="39" t="s">
        <v>14644</v>
      </c>
      <c r="B3553" s="15">
        <v>1458842.0</v>
      </c>
      <c r="C3553" s="15" t="s">
        <v>14645</v>
      </c>
      <c r="D3553" s="15">
        <v>240009.0</v>
      </c>
      <c r="E3553" s="15" t="s">
        <v>1557</v>
      </c>
      <c r="F3553" s="15" t="s">
        <v>1833</v>
      </c>
      <c r="G3553" s="7">
        <v>39.078</v>
      </c>
      <c r="H3553" s="15" t="s">
        <v>2648</v>
      </c>
      <c r="I3553" s="15" t="s">
        <v>1586</v>
      </c>
      <c r="J3553" s="15" t="s">
        <v>14646</v>
      </c>
      <c r="K3553" s="15">
        <v>62.0</v>
      </c>
      <c r="L3553" s="15">
        <v>62.0</v>
      </c>
      <c r="M3553" s="40">
        <v>41696.0</v>
      </c>
      <c r="N3553" s="40">
        <v>41948.0</v>
      </c>
      <c r="O3553" s="15" t="s">
        <v>1554</v>
      </c>
      <c r="Q3553" s="7"/>
    </row>
    <row r="3554">
      <c r="A3554" s="39" t="s">
        <v>14647</v>
      </c>
      <c r="B3554" s="15">
        <v>1453336.0</v>
      </c>
      <c r="D3554" s="15">
        <v>0.0</v>
      </c>
      <c r="E3554" s="15" t="s">
        <v>1557</v>
      </c>
      <c r="F3554" s="15" t="s">
        <v>1767</v>
      </c>
      <c r="G3554" s="7">
        <v>65.729</v>
      </c>
      <c r="H3554" s="15">
        <v>55.0</v>
      </c>
      <c r="I3554" s="15" t="s">
        <v>1586</v>
      </c>
      <c r="J3554" s="15" t="s">
        <v>14649</v>
      </c>
      <c r="K3554" s="15">
        <v>92.0</v>
      </c>
      <c r="L3554" s="15">
        <v>92.0</v>
      </c>
      <c r="M3554" s="40">
        <v>41668.0</v>
      </c>
      <c r="N3554" s="40">
        <v>41738.0</v>
      </c>
      <c r="O3554" s="15" t="s">
        <v>1554</v>
      </c>
      <c r="Q3554" s="7"/>
    </row>
    <row r="3555">
      <c r="A3555" s="39" t="s">
        <v>14650</v>
      </c>
      <c r="B3555" s="15">
        <v>1458831.0</v>
      </c>
      <c r="C3555" s="15" t="s">
        <v>14651</v>
      </c>
      <c r="D3555" s="15">
        <v>240012.0</v>
      </c>
      <c r="E3555" s="15" t="s">
        <v>1557</v>
      </c>
      <c r="F3555" s="15" t="s">
        <v>1833</v>
      </c>
      <c r="G3555" s="7">
        <v>44.306</v>
      </c>
      <c r="H3555" s="15" t="s">
        <v>3657</v>
      </c>
      <c r="I3555" s="15" t="s">
        <v>1586</v>
      </c>
      <c r="J3555" s="15" t="s">
        <v>14652</v>
      </c>
      <c r="K3555" s="15">
        <v>62.0</v>
      </c>
      <c r="L3555" s="15">
        <v>62.0</v>
      </c>
      <c r="M3555" s="40">
        <v>41696.0</v>
      </c>
      <c r="N3555" s="40">
        <v>41808.0</v>
      </c>
      <c r="O3555" s="15" t="s">
        <v>1554</v>
      </c>
      <c r="Q3555" s="7"/>
    </row>
    <row r="3556">
      <c r="A3556" s="39" t="s">
        <v>14653</v>
      </c>
      <c r="B3556" s="15">
        <v>1458846.0</v>
      </c>
      <c r="C3556" s="15" t="s">
        <v>14654</v>
      </c>
      <c r="D3556" s="15">
        <v>240013.0</v>
      </c>
      <c r="E3556" s="15" t="s">
        <v>1557</v>
      </c>
      <c r="F3556" s="15" t="s">
        <v>1833</v>
      </c>
      <c r="G3556" s="7">
        <v>46.739</v>
      </c>
      <c r="H3556" s="15" t="s">
        <v>6325</v>
      </c>
      <c r="I3556" s="15" t="s">
        <v>1586</v>
      </c>
      <c r="J3556" s="15" t="s">
        <v>14655</v>
      </c>
      <c r="K3556" s="15">
        <v>75.0</v>
      </c>
      <c r="L3556" s="15">
        <v>73.0</v>
      </c>
      <c r="M3556" s="40">
        <v>41696.0</v>
      </c>
      <c r="N3556" s="40">
        <v>41702.0</v>
      </c>
      <c r="O3556" s="15" t="s">
        <v>1554</v>
      </c>
      <c r="Q3556" s="7"/>
    </row>
    <row r="3557">
      <c r="A3557" s="39" t="s">
        <v>14657</v>
      </c>
      <c r="B3557" s="15">
        <v>1445729.0</v>
      </c>
      <c r="C3557" s="15" t="s">
        <v>14658</v>
      </c>
      <c r="D3557" s="15">
        <v>240015.0</v>
      </c>
      <c r="E3557" s="15" t="s">
        <v>1557</v>
      </c>
      <c r="F3557" s="15" t="s">
        <v>1833</v>
      </c>
      <c r="G3557" s="7">
        <v>50.781</v>
      </c>
      <c r="H3557" s="15" t="s">
        <v>13375</v>
      </c>
      <c r="I3557" s="15" t="s">
        <v>1586</v>
      </c>
      <c r="J3557" s="15" t="s">
        <v>14659</v>
      </c>
      <c r="K3557" s="15">
        <v>86.0</v>
      </c>
      <c r="L3557" s="15">
        <v>86.0</v>
      </c>
      <c r="M3557" s="40">
        <v>41696.0</v>
      </c>
      <c r="N3557" s="40">
        <v>41808.0</v>
      </c>
      <c r="O3557" s="15" t="s">
        <v>1554</v>
      </c>
      <c r="Q3557" s="7"/>
    </row>
    <row r="3558">
      <c r="A3558" s="39" t="s">
        <v>14660</v>
      </c>
      <c r="B3558" s="15">
        <v>1458697.0</v>
      </c>
      <c r="C3558" s="15" t="s">
        <v>14661</v>
      </c>
      <c r="D3558" s="15">
        <v>240016.0</v>
      </c>
      <c r="E3558" s="15" t="s">
        <v>1557</v>
      </c>
      <c r="F3558" s="15" t="s">
        <v>1833</v>
      </c>
      <c r="G3558" s="7">
        <v>56.024</v>
      </c>
      <c r="H3558" s="15" t="s">
        <v>2945</v>
      </c>
      <c r="I3558" s="15" t="s">
        <v>1586</v>
      </c>
      <c r="J3558" s="15" t="s">
        <v>14662</v>
      </c>
      <c r="K3558" s="15">
        <v>96.0</v>
      </c>
      <c r="L3558" s="15">
        <v>95.0</v>
      </c>
      <c r="M3558" s="40">
        <v>41687.0</v>
      </c>
      <c r="N3558" s="40">
        <v>42116.0</v>
      </c>
      <c r="O3558" s="15" t="s">
        <v>1554</v>
      </c>
      <c r="Q3558" s="7"/>
    </row>
    <row r="3559">
      <c r="A3559" s="39" t="s">
        <v>14663</v>
      </c>
      <c r="B3559" s="15">
        <v>1429768.0</v>
      </c>
      <c r="C3559" s="15" t="s">
        <v>14664</v>
      </c>
      <c r="D3559" s="15">
        <v>240017.0</v>
      </c>
      <c r="E3559" s="15" t="s">
        <v>1557</v>
      </c>
      <c r="F3559" s="15" t="s">
        <v>1767</v>
      </c>
      <c r="G3559" s="7">
        <v>271.084</v>
      </c>
      <c r="H3559" s="15" t="s">
        <v>3836</v>
      </c>
      <c r="I3559" s="15" t="s">
        <v>1586</v>
      </c>
      <c r="J3559" s="15" t="s">
        <v>14666</v>
      </c>
      <c r="K3559" s="15">
        <v>319.0</v>
      </c>
      <c r="L3559" s="15">
        <v>318.0</v>
      </c>
      <c r="M3559" s="40">
        <v>41682.0</v>
      </c>
      <c r="N3559" s="40">
        <v>41907.0</v>
      </c>
      <c r="O3559" s="15" t="s">
        <v>1554</v>
      </c>
      <c r="Q3559" s="7"/>
    </row>
    <row r="3560">
      <c r="A3560" s="39" t="s">
        <v>14667</v>
      </c>
      <c r="B3560" s="15">
        <v>1458726.0</v>
      </c>
      <c r="C3560" s="15" t="s">
        <v>14668</v>
      </c>
      <c r="D3560" s="15">
        <v>240018.0</v>
      </c>
      <c r="E3560" s="15" t="s">
        <v>1557</v>
      </c>
      <c r="F3560" s="15" t="s">
        <v>1833</v>
      </c>
      <c r="G3560" s="7">
        <v>53.124</v>
      </c>
      <c r="H3560" s="15" t="s">
        <v>2831</v>
      </c>
      <c r="I3560" s="15" t="s">
        <v>1586</v>
      </c>
      <c r="J3560" s="15" t="s">
        <v>14669</v>
      </c>
      <c r="K3560" s="15">
        <v>97.0</v>
      </c>
      <c r="L3560" s="15">
        <v>96.0</v>
      </c>
      <c r="M3560" s="40">
        <v>41696.0</v>
      </c>
      <c r="N3560" s="40">
        <v>41808.0</v>
      </c>
      <c r="O3560" s="15" t="s">
        <v>1554</v>
      </c>
      <c r="Q3560" s="7"/>
    </row>
    <row r="3561">
      <c r="A3561" s="39" t="s">
        <v>14670</v>
      </c>
      <c r="B3561" s="15">
        <v>1327037.0</v>
      </c>
      <c r="C3561" s="15" t="s">
        <v>14671</v>
      </c>
      <c r="D3561" s="15">
        <v>240019.0</v>
      </c>
      <c r="E3561" s="15" t="s">
        <v>1557</v>
      </c>
      <c r="F3561" s="15" t="s">
        <v>1833</v>
      </c>
      <c r="G3561" s="7">
        <v>43.153</v>
      </c>
      <c r="H3561" s="15" t="s">
        <v>5806</v>
      </c>
      <c r="I3561" s="15" t="s">
        <v>1586</v>
      </c>
      <c r="J3561" s="15" t="s">
        <v>14672</v>
      </c>
      <c r="K3561" s="15">
        <v>51.0</v>
      </c>
      <c r="L3561" s="15">
        <v>51.0</v>
      </c>
      <c r="M3561" s="40">
        <v>41697.0</v>
      </c>
      <c r="N3561" s="40">
        <v>42531.0</v>
      </c>
      <c r="O3561" s="15" t="s">
        <v>1554</v>
      </c>
      <c r="Q3561" s="7"/>
    </row>
    <row r="3562">
      <c r="A3562" s="39" t="s">
        <v>14673</v>
      </c>
      <c r="B3562" s="15">
        <v>1429793.0</v>
      </c>
      <c r="C3562" s="15" t="s">
        <v>14674</v>
      </c>
      <c r="D3562" s="15">
        <v>240020.0</v>
      </c>
      <c r="E3562" s="15" t="s">
        <v>1557</v>
      </c>
      <c r="F3562" s="15" t="s">
        <v>1833</v>
      </c>
      <c r="G3562" s="7">
        <v>47.162</v>
      </c>
      <c r="H3562" s="15" t="s">
        <v>14676</v>
      </c>
      <c r="I3562" s="15" t="s">
        <v>1586</v>
      </c>
      <c r="J3562" s="15" t="s">
        <v>14677</v>
      </c>
      <c r="K3562" s="15">
        <v>78.0</v>
      </c>
      <c r="L3562" s="15">
        <v>78.0</v>
      </c>
      <c r="M3562" s="40">
        <v>41658.0</v>
      </c>
      <c r="N3562" s="40">
        <v>42752.0</v>
      </c>
      <c r="O3562" s="15" t="s">
        <v>1554</v>
      </c>
      <c r="Q3562" s="7"/>
    </row>
    <row r="3563">
      <c r="A3563" s="39" t="s">
        <v>14678</v>
      </c>
      <c r="B3563" s="15">
        <v>1458841.0</v>
      </c>
      <c r="C3563" s="15" t="s">
        <v>14679</v>
      </c>
      <c r="D3563" s="15">
        <v>240021.0</v>
      </c>
      <c r="E3563" s="15" t="s">
        <v>1557</v>
      </c>
      <c r="F3563" s="15" t="s">
        <v>1833</v>
      </c>
      <c r="G3563" s="7">
        <v>52.963</v>
      </c>
      <c r="H3563" s="15" t="s">
        <v>3034</v>
      </c>
      <c r="I3563" s="15" t="s">
        <v>1586</v>
      </c>
      <c r="J3563" s="15" t="s">
        <v>14680</v>
      </c>
      <c r="K3563" s="15">
        <v>95.0</v>
      </c>
      <c r="L3563" s="15">
        <v>94.0</v>
      </c>
      <c r="M3563" s="40">
        <v>41696.0</v>
      </c>
      <c r="N3563" s="40">
        <v>41808.0</v>
      </c>
      <c r="O3563" s="15" t="s">
        <v>1554</v>
      </c>
      <c r="Q3563" s="7"/>
    </row>
    <row r="3564">
      <c r="A3564" s="39" t="s">
        <v>14681</v>
      </c>
      <c r="B3564" s="15">
        <v>1357713.0</v>
      </c>
      <c r="C3564" s="15" t="s">
        <v>14682</v>
      </c>
      <c r="D3564" s="15">
        <v>240022.0</v>
      </c>
      <c r="E3564" s="15" t="s">
        <v>1557</v>
      </c>
      <c r="F3564" s="15" t="s">
        <v>1833</v>
      </c>
      <c r="G3564" s="7">
        <v>38.772</v>
      </c>
      <c r="H3564" s="15" t="s">
        <v>2103</v>
      </c>
      <c r="I3564" s="15" t="s">
        <v>1586</v>
      </c>
      <c r="J3564" s="15" t="s">
        <v>14683</v>
      </c>
      <c r="K3564" s="15">
        <v>56.0</v>
      </c>
      <c r="L3564" s="15">
        <v>56.0</v>
      </c>
      <c r="M3564" s="40">
        <v>41696.0</v>
      </c>
      <c r="N3564" s="40">
        <v>41702.0</v>
      </c>
      <c r="O3564" s="15" t="s">
        <v>1554</v>
      </c>
      <c r="Q3564" s="7"/>
    </row>
    <row r="3565">
      <c r="A3565" s="39" t="s">
        <v>14685</v>
      </c>
      <c r="B3565" s="15">
        <v>1429791.0</v>
      </c>
      <c r="C3565" s="15" t="s">
        <v>14686</v>
      </c>
      <c r="D3565" s="15">
        <v>240023.0</v>
      </c>
      <c r="E3565" s="15" t="s">
        <v>1557</v>
      </c>
      <c r="F3565" s="15" t="s">
        <v>1833</v>
      </c>
      <c r="G3565" s="7">
        <v>51.236</v>
      </c>
      <c r="H3565" s="15" t="s">
        <v>3286</v>
      </c>
      <c r="I3565" s="15" t="s">
        <v>1586</v>
      </c>
      <c r="J3565" s="15" t="s">
        <v>14687</v>
      </c>
      <c r="K3565" s="15">
        <v>89.0</v>
      </c>
      <c r="L3565" s="15">
        <v>89.0</v>
      </c>
      <c r="M3565" s="40">
        <v>41658.0</v>
      </c>
      <c r="N3565" s="40">
        <v>41702.0</v>
      </c>
      <c r="O3565" s="15" t="s">
        <v>1554</v>
      </c>
      <c r="Q3565" s="7"/>
    </row>
    <row r="3566">
      <c r="A3566" s="39" t="s">
        <v>14688</v>
      </c>
      <c r="B3566" s="15">
        <v>1168563.0</v>
      </c>
      <c r="C3566" s="15" t="s">
        <v>14689</v>
      </c>
      <c r="D3566" s="15">
        <v>240053.0</v>
      </c>
      <c r="E3566" s="15" t="s">
        <v>1557</v>
      </c>
      <c r="F3566" s="15" t="s">
        <v>1767</v>
      </c>
      <c r="G3566" s="7">
        <v>33.525</v>
      </c>
      <c r="H3566" s="15">
        <v>65.0</v>
      </c>
      <c r="I3566" s="15" t="s">
        <v>1586</v>
      </c>
      <c r="J3566" s="15" t="s">
        <v>14690</v>
      </c>
      <c r="K3566" s="15">
        <v>46.0</v>
      </c>
      <c r="L3566" s="15">
        <v>46.0</v>
      </c>
      <c r="M3566" s="41">
        <v>41639.0</v>
      </c>
      <c r="N3566" s="40">
        <v>41702.0</v>
      </c>
      <c r="O3566" s="15" t="s">
        <v>1554</v>
      </c>
      <c r="Q3566" s="7"/>
    </row>
    <row r="3567">
      <c r="A3567" s="39" t="s">
        <v>14691</v>
      </c>
      <c r="B3567" s="15">
        <v>1461743.0</v>
      </c>
      <c r="C3567" s="15" t="s">
        <v>14692</v>
      </c>
      <c r="D3567" s="15">
        <v>240011.0</v>
      </c>
      <c r="E3567" s="15" t="s">
        <v>1557</v>
      </c>
      <c r="F3567" s="15" t="s">
        <v>1611</v>
      </c>
      <c r="G3567" s="7">
        <v>41.529</v>
      </c>
      <c r="H3567" s="15" t="s">
        <v>2869</v>
      </c>
      <c r="I3567" s="15" t="s">
        <v>1586</v>
      </c>
      <c r="J3567" s="15" t="s">
        <v>14693</v>
      </c>
      <c r="K3567" s="15">
        <v>21.0</v>
      </c>
      <c r="L3567" s="15">
        <v>21.0</v>
      </c>
      <c r="M3567" s="40">
        <v>41696.0</v>
      </c>
      <c r="N3567" s="40">
        <v>41702.0</v>
      </c>
      <c r="O3567" s="15" t="s">
        <v>1554</v>
      </c>
      <c r="Q3567" s="7"/>
    </row>
    <row r="3568">
      <c r="A3568" s="39" t="s">
        <v>14694</v>
      </c>
      <c r="B3568" s="15">
        <v>1455074.0</v>
      </c>
      <c r="C3568" s="15" t="s">
        <v>14696</v>
      </c>
      <c r="D3568" s="15">
        <v>240014.0</v>
      </c>
      <c r="E3568" s="15" t="s">
        <v>1557</v>
      </c>
      <c r="F3568" s="15" t="s">
        <v>1767</v>
      </c>
      <c r="G3568" s="7">
        <v>173.276</v>
      </c>
      <c r="H3568" s="15" t="s">
        <v>1994</v>
      </c>
      <c r="I3568" s="15" t="s">
        <v>1586</v>
      </c>
      <c r="J3568" s="15" t="s">
        <v>14697</v>
      </c>
      <c r="K3568" s="15">
        <v>314.0</v>
      </c>
      <c r="L3568" s="15">
        <v>294.0</v>
      </c>
      <c r="M3568" s="40">
        <v>41682.0</v>
      </c>
      <c r="N3568" s="40">
        <v>41702.0</v>
      </c>
      <c r="O3568" s="15" t="s">
        <v>1554</v>
      </c>
      <c r="Q3568" s="7"/>
    </row>
    <row r="3569">
      <c r="A3569" s="39" t="s">
        <v>14698</v>
      </c>
      <c r="B3569" s="15">
        <v>1445728.0</v>
      </c>
      <c r="C3569" s="15" t="s">
        <v>14699</v>
      </c>
      <c r="D3569" s="15">
        <v>240031.0</v>
      </c>
      <c r="E3569" s="15" t="s">
        <v>1557</v>
      </c>
      <c r="F3569" s="15" t="s">
        <v>1833</v>
      </c>
      <c r="G3569" s="7">
        <v>57.775</v>
      </c>
      <c r="H3569" s="15" t="s">
        <v>4430</v>
      </c>
      <c r="I3569" s="15" t="s">
        <v>1586</v>
      </c>
      <c r="J3569" s="15" t="s">
        <v>14700</v>
      </c>
      <c r="K3569" s="15">
        <v>101.0</v>
      </c>
      <c r="L3569" s="15">
        <v>101.0</v>
      </c>
      <c r="M3569" s="40">
        <v>41682.0</v>
      </c>
      <c r="N3569" s="40">
        <v>41702.0</v>
      </c>
      <c r="O3569" s="15" t="s">
        <v>1554</v>
      </c>
      <c r="Q3569" s="7"/>
    </row>
    <row r="3570">
      <c r="A3570" s="39" t="s">
        <v>14701</v>
      </c>
      <c r="B3570" s="15">
        <v>1416011.0</v>
      </c>
      <c r="C3570" s="15" t="s">
        <v>14702</v>
      </c>
      <c r="D3570" s="15">
        <v>240034.0</v>
      </c>
      <c r="E3570" s="15" t="s">
        <v>1557</v>
      </c>
      <c r="F3570" s="15" t="s">
        <v>1611</v>
      </c>
      <c r="G3570" s="7">
        <v>43.766</v>
      </c>
      <c r="H3570" s="15" t="s">
        <v>2271</v>
      </c>
      <c r="I3570" s="15" t="s">
        <v>1586</v>
      </c>
      <c r="J3570" s="15" t="s">
        <v>14703</v>
      </c>
      <c r="K3570" s="15">
        <v>51.0</v>
      </c>
      <c r="L3570" s="15">
        <v>51.0</v>
      </c>
      <c r="M3570" s="41">
        <v>41626.0</v>
      </c>
      <c r="N3570" s="40">
        <v>41746.0</v>
      </c>
      <c r="O3570" s="15" t="s">
        <v>1554</v>
      </c>
      <c r="Q3570" s="7"/>
    </row>
    <row r="3571">
      <c r="A3571" s="39" t="s">
        <v>14705</v>
      </c>
      <c r="B3571" s="15">
        <v>1406793.0</v>
      </c>
      <c r="C3571" s="15" t="s">
        <v>12262</v>
      </c>
      <c r="D3571" s="15">
        <v>222858.0</v>
      </c>
      <c r="E3571" s="15" t="s">
        <v>1557</v>
      </c>
      <c r="F3571" s="15" t="s">
        <v>1833</v>
      </c>
      <c r="G3571" s="7">
        <v>56.789</v>
      </c>
      <c r="H3571" s="15" t="s">
        <v>2098</v>
      </c>
      <c r="I3571" s="15" t="s">
        <v>1586</v>
      </c>
      <c r="J3571" s="15" t="s">
        <v>14706</v>
      </c>
      <c r="K3571" s="15">
        <v>79.0</v>
      </c>
      <c r="L3571" s="15">
        <v>78.0</v>
      </c>
      <c r="M3571" s="41">
        <v>41576.0</v>
      </c>
      <c r="N3571" s="40">
        <v>41828.0</v>
      </c>
      <c r="O3571" s="15" t="s">
        <v>1554</v>
      </c>
      <c r="Q3571" s="7"/>
    </row>
    <row r="3572">
      <c r="A3572" s="39" t="s">
        <v>14707</v>
      </c>
      <c r="B3572" s="15">
        <v>904698.0</v>
      </c>
      <c r="C3572" s="15" t="s">
        <v>14708</v>
      </c>
      <c r="D3572" s="15">
        <v>240065.0</v>
      </c>
      <c r="E3572" s="15" t="s">
        <v>1548</v>
      </c>
      <c r="F3572" s="15" t="s">
        <v>3116</v>
      </c>
      <c r="G3572" s="7">
        <v>12.262</v>
      </c>
      <c r="H3572" s="15" t="s">
        <v>14709</v>
      </c>
      <c r="I3572" s="15" t="s">
        <v>1803</v>
      </c>
      <c r="J3572" s="15" t="s">
        <v>14710</v>
      </c>
      <c r="K3572" s="15">
        <v>4.0</v>
      </c>
      <c r="L3572" s="15">
        <v>4.0</v>
      </c>
      <c r="M3572" s="40">
        <v>41047.0</v>
      </c>
      <c r="N3572" s="40">
        <v>41702.0</v>
      </c>
      <c r="O3572" s="15" t="s">
        <v>1554</v>
      </c>
      <c r="Q3572" s="7"/>
    </row>
    <row r="3573">
      <c r="A3573" s="39" t="s">
        <v>14711</v>
      </c>
      <c r="B3573" s="15">
        <v>1027245.0</v>
      </c>
      <c r="C3573" s="15" t="s">
        <v>14712</v>
      </c>
      <c r="D3573" s="15">
        <v>240066.0</v>
      </c>
      <c r="E3573" s="15" t="s">
        <v>1548</v>
      </c>
      <c r="F3573" s="15" t="s">
        <v>1848</v>
      </c>
      <c r="G3573" s="7">
        <v>43165.0</v>
      </c>
      <c r="H3573" s="15">
        <v>54.0</v>
      </c>
      <c r="I3573" s="15" t="s">
        <v>1686</v>
      </c>
      <c r="J3573" s="15" t="s">
        <v>14713</v>
      </c>
      <c r="K3573" s="15">
        <v>3.0</v>
      </c>
      <c r="L3573" s="15">
        <v>3.0</v>
      </c>
      <c r="M3573" s="40">
        <v>40680.0</v>
      </c>
      <c r="N3573" s="40">
        <v>41702.0</v>
      </c>
      <c r="O3573" s="15" t="s">
        <v>1554</v>
      </c>
      <c r="Q3573" s="7"/>
    </row>
    <row r="3574">
      <c r="A3574" s="39" t="s">
        <v>14714</v>
      </c>
      <c r="B3574" s="15">
        <v>1027244.0</v>
      </c>
      <c r="C3574" s="15" t="s">
        <v>14716</v>
      </c>
      <c r="D3574" s="15">
        <v>240068.0</v>
      </c>
      <c r="E3574" s="15" t="s">
        <v>1548</v>
      </c>
      <c r="F3574" s="15" t="s">
        <v>1848</v>
      </c>
      <c r="G3574" s="7">
        <v>6.317</v>
      </c>
      <c r="H3574" s="15" t="s">
        <v>5627</v>
      </c>
      <c r="I3574" s="15" t="s">
        <v>1686</v>
      </c>
      <c r="J3574" s="15" t="s">
        <v>14717</v>
      </c>
      <c r="K3574" s="15">
        <v>3.0</v>
      </c>
      <c r="L3574" s="15">
        <v>3.0</v>
      </c>
      <c r="M3574" s="40">
        <v>40680.0</v>
      </c>
      <c r="N3574" s="40">
        <v>41702.0</v>
      </c>
      <c r="O3574" s="15" t="s">
        <v>1554</v>
      </c>
      <c r="Q3574" s="7"/>
    </row>
    <row r="3575">
      <c r="A3575" s="39" t="s">
        <v>14718</v>
      </c>
      <c r="B3575" s="15">
        <v>1027248.0</v>
      </c>
      <c r="C3575" s="15" t="s">
        <v>14719</v>
      </c>
      <c r="D3575" s="15">
        <v>240069.0</v>
      </c>
      <c r="E3575" s="15" t="s">
        <v>1548</v>
      </c>
      <c r="F3575" s="15" t="s">
        <v>1848</v>
      </c>
      <c r="G3575" s="7">
        <v>6.253</v>
      </c>
      <c r="H3575" s="15" t="s">
        <v>5955</v>
      </c>
      <c r="I3575" s="15" t="s">
        <v>1686</v>
      </c>
      <c r="J3575" s="15" t="s">
        <v>14720</v>
      </c>
      <c r="K3575" s="15">
        <v>3.0</v>
      </c>
      <c r="L3575" s="15">
        <v>3.0</v>
      </c>
      <c r="M3575" s="40">
        <v>40680.0</v>
      </c>
      <c r="N3575" s="40">
        <v>41702.0</v>
      </c>
      <c r="O3575" s="15" t="s">
        <v>1554</v>
      </c>
      <c r="Q3575" s="7"/>
    </row>
    <row r="3576">
      <c r="A3576" s="39" t="s">
        <v>14721</v>
      </c>
      <c r="B3576" s="15">
        <v>1027247.0</v>
      </c>
      <c r="C3576" s="15" t="s">
        <v>14722</v>
      </c>
      <c r="D3576" s="15">
        <v>240070.0</v>
      </c>
      <c r="E3576" s="15" t="s">
        <v>1548</v>
      </c>
      <c r="F3576" s="15" t="s">
        <v>1848</v>
      </c>
      <c r="G3576" s="7">
        <v>6.301</v>
      </c>
      <c r="H3576" s="15" t="s">
        <v>5663</v>
      </c>
      <c r="I3576" s="15" t="s">
        <v>1686</v>
      </c>
      <c r="J3576" s="15" t="s">
        <v>14723</v>
      </c>
      <c r="K3576" s="15">
        <v>3.0</v>
      </c>
      <c r="L3576" s="15">
        <v>3.0</v>
      </c>
      <c r="M3576" s="40">
        <v>40680.0</v>
      </c>
      <c r="N3576" s="40">
        <v>41702.0</v>
      </c>
      <c r="O3576" s="15" t="s">
        <v>1554</v>
      </c>
      <c r="Q3576" s="7"/>
    </row>
    <row r="3577">
      <c r="A3577" s="39" t="s">
        <v>14725</v>
      </c>
      <c r="B3577" s="15">
        <v>1093928.0</v>
      </c>
      <c r="C3577" s="15" t="s">
        <v>14726</v>
      </c>
      <c r="D3577" s="15">
        <v>240228.0</v>
      </c>
      <c r="E3577" s="15" t="s">
        <v>1548</v>
      </c>
      <c r="F3577" s="15" t="s">
        <v>1848</v>
      </c>
      <c r="G3577" s="7">
        <v>43226.0</v>
      </c>
      <c r="H3577" s="15" t="s">
        <v>3297</v>
      </c>
      <c r="I3577" s="15" t="s">
        <v>1686</v>
      </c>
      <c r="J3577" s="15" t="s">
        <v>14727</v>
      </c>
      <c r="K3577" s="15">
        <v>3.0</v>
      </c>
      <c r="L3577" s="15">
        <v>3.0</v>
      </c>
      <c r="M3577" s="40">
        <v>41320.0</v>
      </c>
      <c r="N3577" s="40">
        <v>41704.0</v>
      </c>
      <c r="O3577" s="15" t="s">
        <v>1554</v>
      </c>
      <c r="Q3577" s="7"/>
    </row>
    <row r="3578">
      <c r="A3578" s="39" t="s">
        <v>14728</v>
      </c>
      <c r="B3578" s="15">
        <v>1128151.0</v>
      </c>
      <c r="C3578" s="15" t="s">
        <v>14729</v>
      </c>
      <c r="D3578" s="15">
        <v>240235.0</v>
      </c>
      <c r="E3578" s="15" t="s">
        <v>1557</v>
      </c>
      <c r="F3578" s="15" t="s">
        <v>2679</v>
      </c>
      <c r="G3578" s="7">
        <v>1168.99</v>
      </c>
      <c r="H3578" s="15">
        <v>28.0</v>
      </c>
      <c r="I3578" s="15" t="s">
        <v>1740</v>
      </c>
      <c r="J3578" s="15" t="s">
        <v>14730</v>
      </c>
      <c r="K3578" s="15" t="s">
        <v>1722</v>
      </c>
      <c r="L3578" s="15" t="s">
        <v>1722</v>
      </c>
      <c r="M3578" s="40">
        <v>41660.0</v>
      </c>
      <c r="N3578" s="40">
        <v>41704.0</v>
      </c>
      <c r="O3578" s="15" t="s">
        <v>2353</v>
      </c>
      <c r="Q3578" s="7"/>
    </row>
    <row r="3579">
      <c r="A3579" s="39" t="s">
        <v>14731</v>
      </c>
      <c r="B3579" s="15">
        <v>1105380.0</v>
      </c>
      <c r="C3579" s="15" t="s">
        <v>14732</v>
      </c>
      <c r="D3579" s="15">
        <v>240236.0</v>
      </c>
      <c r="E3579" s="15" t="s">
        <v>1548</v>
      </c>
      <c r="F3579" s="15" t="s">
        <v>1578</v>
      </c>
      <c r="G3579" s="7">
        <v>9.84</v>
      </c>
      <c r="H3579" s="15" t="s">
        <v>2103</v>
      </c>
      <c r="I3579" s="15" t="s">
        <v>1706</v>
      </c>
      <c r="J3579" s="15" t="s">
        <v>14734</v>
      </c>
      <c r="K3579" s="15">
        <v>1.0</v>
      </c>
      <c r="L3579" s="15">
        <v>1.0</v>
      </c>
      <c r="M3579" s="40">
        <v>40849.0</v>
      </c>
      <c r="N3579" s="40">
        <v>41704.0</v>
      </c>
      <c r="O3579" s="15" t="s">
        <v>1554</v>
      </c>
      <c r="Q3579" s="7"/>
    </row>
    <row r="3580">
      <c r="A3580" s="39" t="s">
        <v>14735</v>
      </c>
      <c r="B3580" s="15">
        <v>1105381.0</v>
      </c>
      <c r="C3580" s="15" t="s">
        <v>14736</v>
      </c>
      <c r="D3580" s="15">
        <v>240238.0</v>
      </c>
      <c r="E3580" s="15" t="s">
        <v>1548</v>
      </c>
      <c r="F3580" s="15" t="s">
        <v>1578</v>
      </c>
      <c r="G3580" s="7">
        <v>10.22</v>
      </c>
      <c r="H3580" s="15" t="s">
        <v>1983</v>
      </c>
      <c r="I3580" s="15" t="s">
        <v>1706</v>
      </c>
      <c r="J3580" s="15" t="s">
        <v>14737</v>
      </c>
      <c r="K3580" s="15">
        <v>1.0</v>
      </c>
      <c r="L3580" s="15">
        <v>1.0</v>
      </c>
      <c r="M3580" s="40">
        <v>40849.0</v>
      </c>
      <c r="N3580" s="40">
        <v>41704.0</v>
      </c>
      <c r="O3580" s="15" t="s">
        <v>1554</v>
      </c>
      <c r="Q3580" s="7"/>
    </row>
    <row r="3581">
      <c r="A3581" s="39" t="s">
        <v>14738</v>
      </c>
      <c r="B3581" s="15">
        <v>1468454.0</v>
      </c>
      <c r="C3581" s="15" t="s">
        <v>14739</v>
      </c>
      <c r="D3581" s="15">
        <v>240244.0</v>
      </c>
      <c r="E3581" s="15" t="s">
        <v>1638</v>
      </c>
      <c r="F3581" s="15" t="s">
        <v>2849</v>
      </c>
      <c r="G3581" s="7">
        <v>15.088</v>
      </c>
      <c r="H3581" s="15" t="s">
        <v>4595</v>
      </c>
      <c r="I3581" s="15" t="s">
        <v>1628</v>
      </c>
      <c r="J3581" s="15" t="s">
        <v>14740</v>
      </c>
      <c r="K3581" s="15">
        <v>1.0</v>
      </c>
      <c r="L3581" s="15">
        <v>1.0</v>
      </c>
      <c r="M3581" s="40">
        <v>41701.0</v>
      </c>
      <c r="N3581" s="40">
        <v>42009.0</v>
      </c>
      <c r="O3581" s="15" t="s">
        <v>1554</v>
      </c>
      <c r="Q3581" s="7"/>
    </row>
    <row r="3582">
      <c r="A3582" s="39" t="s">
        <v>14741</v>
      </c>
      <c r="B3582" s="15">
        <v>1228012.0</v>
      </c>
      <c r="C3582" s="15" t="s">
        <v>14742</v>
      </c>
      <c r="D3582" s="15">
        <v>240317.0</v>
      </c>
      <c r="E3582" s="15" t="s">
        <v>1548</v>
      </c>
      <c r="F3582" s="15" t="s">
        <v>2374</v>
      </c>
      <c r="G3582" s="7">
        <v>9.501</v>
      </c>
      <c r="H3582" s="15" t="s">
        <v>1962</v>
      </c>
      <c r="I3582" s="15" t="s">
        <v>1560</v>
      </c>
      <c r="J3582" s="15" t="s">
        <v>14743</v>
      </c>
      <c r="K3582" s="15">
        <v>1.0</v>
      </c>
      <c r="L3582" s="15">
        <v>1.0</v>
      </c>
      <c r="M3582" s="40">
        <v>41157.0</v>
      </c>
      <c r="N3582" s="40">
        <v>41705.0</v>
      </c>
      <c r="O3582" s="15" t="s">
        <v>1554</v>
      </c>
      <c r="Q3582" s="7"/>
    </row>
    <row r="3583">
      <c r="A3583" s="39" t="s">
        <v>14744</v>
      </c>
      <c r="B3583" s="15">
        <v>1105378.0</v>
      </c>
      <c r="C3583" s="15" t="s">
        <v>14746</v>
      </c>
      <c r="D3583" s="15">
        <v>240318.0</v>
      </c>
      <c r="E3583" s="15" t="s">
        <v>1548</v>
      </c>
      <c r="F3583" s="15" t="s">
        <v>1848</v>
      </c>
      <c r="G3583" s="7">
        <v>6.318</v>
      </c>
      <c r="H3583" s="15" t="s">
        <v>1802</v>
      </c>
      <c r="I3583" s="15" t="s">
        <v>1686</v>
      </c>
      <c r="J3583" s="15" t="s">
        <v>14747</v>
      </c>
      <c r="K3583" s="15">
        <v>3.0</v>
      </c>
      <c r="L3583" s="15">
        <v>3.0</v>
      </c>
      <c r="M3583" s="40">
        <v>40849.0</v>
      </c>
      <c r="N3583" s="40">
        <v>41705.0</v>
      </c>
      <c r="O3583" s="15" t="s">
        <v>1554</v>
      </c>
      <c r="Q3583" s="7"/>
    </row>
    <row r="3584">
      <c r="A3584" s="39" t="s">
        <v>14748</v>
      </c>
      <c r="B3584" s="15">
        <v>1105379.0</v>
      </c>
      <c r="C3584" s="15" t="s">
        <v>14749</v>
      </c>
      <c r="D3584" s="15">
        <v>240319.0</v>
      </c>
      <c r="E3584" s="15" t="s">
        <v>1548</v>
      </c>
      <c r="F3584" s="15" t="s">
        <v>1848</v>
      </c>
      <c r="G3584" s="7">
        <v>6.639</v>
      </c>
      <c r="H3584" s="15" t="s">
        <v>1792</v>
      </c>
      <c r="I3584" s="15" t="s">
        <v>1686</v>
      </c>
      <c r="J3584" s="15" t="s">
        <v>14750</v>
      </c>
      <c r="K3584" s="15">
        <v>3.0</v>
      </c>
      <c r="L3584" s="15">
        <v>3.0</v>
      </c>
      <c r="M3584" s="40">
        <v>40849.0</v>
      </c>
      <c r="N3584" s="40">
        <v>41705.0</v>
      </c>
      <c r="O3584" s="15" t="s">
        <v>1554</v>
      </c>
      <c r="Q3584" s="7"/>
    </row>
    <row r="3585">
      <c r="A3585" s="39" t="s">
        <v>14751</v>
      </c>
      <c r="B3585" s="15">
        <v>332937.0</v>
      </c>
      <c r="C3585" s="15" t="s">
        <v>14752</v>
      </c>
      <c r="D3585" s="15">
        <v>240320.0</v>
      </c>
      <c r="E3585" s="15" t="s">
        <v>1557</v>
      </c>
      <c r="F3585" s="15" t="s">
        <v>1827</v>
      </c>
      <c r="G3585" s="7">
        <v>153.158</v>
      </c>
      <c r="H3585" s="15">
        <v>68.0</v>
      </c>
      <c r="I3585" s="15" t="s">
        <v>1686</v>
      </c>
      <c r="J3585" s="15" t="s">
        <v>14753</v>
      </c>
      <c r="K3585" s="15">
        <v>77.0</v>
      </c>
      <c r="L3585" s="15">
        <v>77.0</v>
      </c>
      <c r="M3585" s="40">
        <v>41275.0</v>
      </c>
      <c r="N3585" s="40">
        <v>41705.0</v>
      </c>
      <c r="O3585" s="15" t="s">
        <v>1554</v>
      </c>
      <c r="Q3585" s="7"/>
    </row>
    <row r="3586">
      <c r="A3586" s="39" t="s">
        <v>14755</v>
      </c>
      <c r="B3586" s="15">
        <v>1165907.0</v>
      </c>
      <c r="C3586" s="15" t="s">
        <v>14756</v>
      </c>
      <c r="D3586" s="15">
        <v>240321.0</v>
      </c>
      <c r="E3586" s="15" t="s">
        <v>1808</v>
      </c>
      <c r="F3586" s="15" t="s">
        <v>2436</v>
      </c>
      <c r="G3586" s="7">
        <v>5.275</v>
      </c>
      <c r="H3586" s="15" t="s">
        <v>2324</v>
      </c>
      <c r="I3586" s="15" t="s">
        <v>1686</v>
      </c>
      <c r="J3586" s="15" t="s">
        <v>14757</v>
      </c>
      <c r="K3586" s="15">
        <v>4.0</v>
      </c>
      <c r="L3586" s="15">
        <v>4.0</v>
      </c>
      <c r="M3586" s="41">
        <v>41576.0</v>
      </c>
      <c r="N3586" s="40">
        <v>41726.0</v>
      </c>
      <c r="O3586" s="15" t="s">
        <v>1554</v>
      </c>
      <c r="Q3586" s="7"/>
    </row>
    <row r="3587">
      <c r="A3587" s="39" t="s">
        <v>14758</v>
      </c>
      <c r="B3587" s="15">
        <v>1445859.0</v>
      </c>
      <c r="C3587" s="15" t="s">
        <v>14759</v>
      </c>
      <c r="D3587" s="15">
        <v>240024.0</v>
      </c>
      <c r="E3587" s="15" t="s">
        <v>1557</v>
      </c>
      <c r="F3587" s="15" t="s">
        <v>1767</v>
      </c>
      <c r="G3587" s="7">
        <v>54.791</v>
      </c>
      <c r="H3587" s="15" t="s">
        <v>4821</v>
      </c>
      <c r="I3587" s="15" t="s">
        <v>1586</v>
      </c>
      <c r="J3587" s="15" t="s">
        <v>14760</v>
      </c>
      <c r="K3587" s="15">
        <v>67.0</v>
      </c>
      <c r="L3587" s="15">
        <v>67.0</v>
      </c>
      <c r="M3587" s="40">
        <v>41687.0</v>
      </c>
      <c r="N3587" s="40">
        <v>42640.0</v>
      </c>
      <c r="O3587" s="15" t="s">
        <v>1554</v>
      </c>
      <c r="Q3587" s="7"/>
    </row>
    <row r="3588">
      <c r="A3588" s="39" t="s">
        <v>14761</v>
      </c>
      <c r="B3588" s="15">
        <v>1445714.0</v>
      </c>
      <c r="C3588" s="15" t="s">
        <v>14762</v>
      </c>
      <c r="D3588" s="15">
        <v>240026.0</v>
      </c>
      <c r="E3588" s="15" t="s">
        <v>1557</v>
      </c>
      <c r="F3588" s="15" t="s">
        <v>1833</v>
      </c>
      <c r="G3588" s="7">
        <v>51.25</v>
      </c>
      <c r="H3588" s="15" t="s">
        <v>3286</v>
      </c>
      <c r="I3588" s="15" t="s">
        <v>1586</v>
      </c>
      <c r="J3588" s="15" t="s">
        <v>14763</v>
      </c>
      <c r="K3588" s="15">
        <v>87.0</v>
      </c>
      <c r="L3588" s="15">
        <v>87.0</v>
      </c>
      <c r="M3588" s="40">
        <v>41658.0</v>
      </c>
      <c r="N3588" s="40">
        <v>41702.0</v>
      </c>
      <c r="O3588" s="15" t="s">
        <v>1554</v>
      </c>
      <c r="Q3588" s="7"/>
    </row>
    <row r="3589">
      <c r="A3589" s="39" t="s">
        <v>14765</v>
      </c>
      <c r="B3589" s="15">
        <v>1458669.0</v>
      </c>
      <c r="C3589" s="15" t="s">
        <v>14766</v>
      </c>
      <c r="D3589" s="15">
        <v>240027.0</v>
      </c>
      <c r="E3589" s="15" t="s">
        <v>1557</v>
      </c>
      <c r="F3589" s="15" t="s">
        <v>1833</v>
      </c>
      <c r="G3589" s="7">
        <v>43.05</v>
      </c>
      <c r="H3589" s="15" t="s">
        <v>7408</v>
      </c>
      <c r="I3589" s="15" t="s">
        <v>1586</v>
      </c>
      <c r="J3589" s="15" t="s">
        <v>14767</v>
      </c>
      <c r="K3589" s="15">
        <v>57.0</v>
      </c>
      <c r="L3589" s="15">
        <v>57.0</v>
      </c>
      <c r="M3589" s="40">
        <v>41682.0</v>
      </c>
      <c r="N3589" s="40">
        <v>41702.0</v>
      </c>
      <c r="O3589" s="15" t="s">
        <v>1554</v>
      </c>
      <c r="Q3589" s="7"/>
    </row>
    <row r="3590">
      <c r="A3590" s="39" t="s">
        <v>14768</v>
      </c>
      <c r="B3590" s="15">
        <v>1445727.0</v>
      </c>
      <c r="C3590" s="15" t="s">
        <v>14769</v>
      </c>
      <c r="D3590" s="15">
        <v>240028.0</v>
      </c>
      <c r="E3590" s="15" t="s">
        <v>1557</v>
      </c>
      <c r="F3590" s="15" t="s">
        <v>1833</v>
      </c>
      <c r="G3590" s="7">
        <v>69.099</v>
      </c>
      <c r="H3590" s="15" t="s">
        <v>4415</v>
      </c>
      <c r="I3590" s="15" t="s">
        <v>1586</v>
      </c>
      <c r="J3590" s="15" t="s">
        <v>14770</v>
      </c>
      <c r="K3590" s="15">
        <v>92.0</v>
      </c>
      <c r="L3590" s="15">
        <v>92.0</v>
      </c>
      <c r="M3590" s="40">
        <v>41658.0</v>
      </c>
      <c r="N3590" s="40">
        <v>41702.0</v>
      </c>
      <c r="O3590" s="15" t="s">
        <v>1554</v>
      </c>
      <c r="Q3590" s="7"/>
    </row>
    <row r="3591">
      <c r="A3591" s="39" t="s">
        <v>14771</v>
      </c>
      <c r="B3591" s="15">
        <v>1437839.0</v>
      </c>
      <c r="C3591" s="15" t="s">
        <v>14773</v>
      </c>
      <c r="D3591" s="15">
        <v>240029.0</v>
      </c>
      <c r="E3591" s="15" t="s">
        <v>1557</v>
      </c>
      <c r="F3591" s="15" t="s">
        <v>1833</v>
      </c>
      <c r="G3591" s="7">
        <v>53.159</v>
      </c>
      <c r="H3591" s="15" t="s">
        <v>3029</v>
      </c>
      <c r="I3591" s="15" t="s">
        <v>1586</v>
      </c>
      <c r="J3591" s="15" t="s">
        <v>14774</v>
      </c>
      <c r="K3591" s="15">
        <v>100.0</v>
      </c>
      <c r="L3591" s="15">
        <v>100.0</v>
      </c>
      <c r="M3591" s="40">
        <v>41658.0</v>
      </c>
      <c r="N3591" s="40">
        <v>41702.0</v>
      </c>
      <c r="O3591" s="15" t="s">
        <v>1554</v>
      </c>
      <c r="Q3591" s="7"/>
    </row>
    <row r="3592">
      <c r="A3592" s="39" t="s">
        <v>14775</v>
      </c>
      <c r="B3592" s="15">
        <v>1432658.0</v>
      </c>
      <c r="C3592" s="15" t="s">
        <v>14776</v>
      </c>
      <c r="D3592" s="15">
        <v>240030.0</v>
      </c>
      <c r="E3592" s="15" t="s">
        <v>1557</v>
      </c>
      <c r="F3592" s="15" t="s">
        <v>1833</v>
      </c>
      <c r="G3592" s="7">
        <v>40.692</v>
      </c>
      <c r="H3592" s="15" t="s">
        <v>1696</v>
      </c>
      <c r="I3592" s="15" t="s">
        <v>1586</v>
      </c>
      <c r="J3592" s="15" t="s">
        <v>14777</v>
      </c>
      <c r="K3592" s="15">
        <v>60.0</v>
      </c>
      <c r="L3592" s="15">
        <v>60.0</v>
      </c>
      <c r="M3592" s="41">
        <v>41622.0</v>
      </c>
      <c r="N3592" s="40">
        <v>41702.0</v>
      </c>
      <c r="O3592" s="15" t="s">
        <v>1554</v>
      </c>
      <c r="Q3592" s="7"/>
    </row>
    <row r="3593">
      <c r="A3593" s="39" t="s">
        <v>14778</v>
      </c>
      <c r="B3593" s="15">
        <v>1453367.0</v>
      </c>
      <c r="C3593" s="15" t="s">
        <v>14779</v>
      </c>
      <c r="D3593" s="15">
        <v>240033.0</v>
      </c>
      <c r="E3593" s="15" t="s">
        <v>1557</v>
      </c>
      <c r="F3593" s="15" t="s">
        <v>1611</v>
      </c>
      <c r="G3593" s="7">
        <v>17.869</v>
      </c>
      <c r="H3593" s="42">
        <v>43371.0</v>
      </c>
      <c r="I3593" s="15" t="s">
        <v>1586</v>
      </c>
      <c r="J3593" s="15" t="s">
        <v>14781</v>
      </c>
      <c r="K3593" s="15">
        <v>21.0</v>
      </c>
      <c r="L3593" s="15">
        <v>21.0</v>
      </c>
      <c r="M3593" s="40">
        <v>41689.0</v>
      </c>
      <c r="N3593" s="40">
        <v>41743.0</v>
      </c>
      <c r="O3593" s="15" t="s">
        <v>1554</v>
      </c>
      <c r="Q3593" s="7"/>
    </row>
    <row r="3594">
      <c r="A3594" s="39" t="s">
        <v>14782</v>
      </c>
      <c r="B3594" s="15">
        <v>1434319.0</v>
      </c>
      <c r="C3594" s="15" t="s">
        <v>14783</v>
      </c>
      <c r="D3594" s="15">
        <v>240035.0</v>
      </c>
      <c r="E3594" s="15" t="s">
        <v>1557</v>
      </c>
      <c r="F3594" s="15" t="s">
        <v>1833</v>
      </c>
      <c r="G3594" s="7">
        <v>92.417</v>
      </c>
      <c r="H3594" s="42">
        <v>43280.0</v>
      </c>
      <c r="I3594" s="15" t="s">
        <v>1586</v>
      </c>
      <c r="J3594" s="15" t="s">
        <v>14784</v>
      </c>
      <c r="K3594" s="15">
        <v>130.0</v>
      </c>
      <c r="L3594" s="15">
        <v>129.0</v>
      </c>
      <c r="M3594" s="40">
        <v>41691.0</v>
      </c>
      <c r="N3594" s="41">
        <v>41969.0</v>
      </c>
      <c r="O3594" s="15" t="s">
        <v>1554</v>
      </c>
      <c r="Q3594" s="7"/>
    </row>
    <row r="3595">
      <c r="A3595" s="39" t="s">
        <v>14785</v>
      </c>
      <c r="B3595" s="15">
        <v>1445726.0</v>
      </c>
      <c r="C3595" s="15" t="s">
        <v>14786</v>
      </c>
      <c r="D3595" s="15">
        <v>240036.0</v>
      </c>
      <c r="E3595" s="15" t="s">
        <v>1557</v>
      </c>
      <c r="F3595" s="15" t="s">
        <v>1833</v>
      </c>
      <c r="G3595" s="7">
        <v>42.24</v>
      </c>
      <c r="H3595" s="15">
        <v>66.0</v>
      </c>
      <c r="I3595" s="15" t="s">
        <v>1586</v>
      </c>
      <c r="J3595" s="15" t="s">
        <v>14788</v>
      </c>
      <c r="K3595" s="15">
        <v>70.0</v>
      </c>
      <c r="L3595" s="15">
        <v>70.0</v>
      </c>
      <c r="M3595" s="40">
        <v>41658.0</v>
      </c>
      <c r="N3595" s="40">
        <v>41702.0</v>
      </c>
      <c r="O3595" s="15" t="s">
        <v>1554</v>
      </c>
      <c r="Q3595" s="7"/>
    </row>
    <row r="3596">
      <c r="A3596" s="39" t="s">
        <v>14789</v>
      </c>
      <c r="B3596" s="15">
        <v>1429905.0</v>
      </c>
      <c r="C3596" s="15" t="s">
        <v>14790</v>
      </c>
      <c r="D3596" s="15">
        <v>240038.0</v>
      </c>
      <c r="E3596" s="15" t="s">
        <v>1557</v>
      </c>
      <c r="F3596" s="15" t="s">
        <v>1833</v>
      </c>
      <c r="G3596" s="7">
        <v>70.841</v>
      </c>
      <c r="H3596" s="15" t="s">
        <v>14015</v>
      </c>
      <c r="I3596" s="15" t="s">
        <v>1586</v>
      </c>
      <c r="J3596" s="15" t="s">
        <v>14791</v>
      </c>
      <c r="K3596" s="15">
        <v>98.0</v>
      </c>
      <c r="L3596" s="15">
        <v>98.0</v>
      </c>
      <c r="M3596" s="41">
        <v>41622.0</v>
      </c>
      <c r="N3596" s="40">
        <v>42872.0</v>
      </c>
      <c r="O3596" s="15" t="s">
        <v>1554</v>
      </c>
      <c r="Q3596" s="7"/>
    </row>
    <row r="3597">
      <c r="A3597" s="39" t="s">
        <v>14792</v>
      </c>
      <c r="B3597" s="15">
        <v>1414738.0</v>
      </c>
      <c r="C3597" s="15" t="s">
        <v>14793</v>
      </c>
      <c r="D3597" s="15">
        <v>240039.0</v>
      </c>
      <c r="E3597" s="15" t="s">
        <v>1557</v>
      </c>
      <c r="F3597" s="15" t="s">
        <v>1611</v>
      </c>
      <c r="G3597" s="7">
        <v>71.629</v>
      </c>
      <c r="H3597" s="15" t="s">
        <v>2005</v>
      </c>
      <c r="I3597" s="15" t="s">
        <v>1586</v>
      </c>
      <c r="J3597" s="15" t="s">
        <v>14794</v>
      </c>
      <c r="K3597" s="15">
        <v>103.0</v>
      </c>
      <c r="L3597" s="15">
        <v>103.0</v>
      </c>
      <c r="M3597" s="41">
        <v>41622.0</v>
      </c>
      <c r="N3597" s="41">
        <v>41969.0</v>
      </c>
      <c r="O3597" s="15" t="s">
        <v>1554</v>
      </c>
      <c r="Q3597" s="7"/>
    </row>
    <row r="3598">
      <c r="A3598" s="39" t="s">
        <v>14796</v>
      </c>
      <c r="B3598" s="15">
        <v>1429767.0</v>
      </c>
      <c r="C3598" s="15" t="s">
        <v>14797</v>
      </c>
      <c r="D3598" s="15">
        <v>240040.0</v>
      </c>
      <c r="E3598" s="15" t="s">
        <v>1557</v>
      </c>
      <c r="F3598" s="15" t="s">
        <v>1611</v>
      </c>
      <c r="G3598" s="7">
        <v>75.568</v>
      </c>
      <c r="H3598" s="15">
        <v>47.0</v>
      </c>
      <c r="I3598" s="15" t="s">
        <v>1586</v>
      </c>
      <c r="J3598" s="15" t="s">
        <v>14798</v>
      </c>
      <c r="K3598" s="15">
        <v>101.0</v>
      </c>
      <c r="L3598" s="15">
        <v>94.0</v>
      </c>
      <c r="M3598" s="40">
        <v>41682.0</v>
      </c>
      <c r="N3598" s="40">
        <v>42017.0</v>
      </c>
      <c r="O3598" s="15" t="s">
        <v>1554</v>
      </c>
      <c r="Q3598" s="7"/>
    </row>
    <row r="3599">
      <c r="A3599" s="39" t="s">
        <v>14800</v>
      </c>
      <c r="B3599" s="15">
        <v>1429759.0</v>
      </c>
      <c r="C3599" s="15" t="s">
        <v>14801</v>
      </c>
      <c r="D3599" s="15">
        <v>240041.0</v>
      </c>
      <c r="E3599" s="15" t="s">
        <v>1557</v>
      </c>
      <c r="F3599" s="15" t="s">
        <v>1833</v>
      </c>
      <c r="G3599" s="7">
        <v>52.974</v>
      </c>
      <c r="H3599" s="15" t="s">
        <v>4108</v>
      </c>
      <c r="I3599" s="15" t="s">
        <v>1586</v>
      </c>
      <c r="J3599" s="15" t="s">
        <v>14802</v>
      </c>
      <c r="K3599" s="15">
        <v>97.0</v>
      </c>
      <c r="L3599" s="15">
        <v>95.0</v>
      </c>
      <c r="M3599" s="40">
        <v>41658.0</v>
      </c>
      <c r="N3599" s="40">
        <v>41702.0</v>
      </c>
      <c r="O3599" s="15" t="s">
        <v>1554</v>
      </c>
      <c r="Q3599" s="7"/>
    </row>
    <row r="3600">
      <c r="A3600" s="39" t="s">
        <v>14803</v>
      </c>
      <c r="B3600" s="15">
        <v>1414739.0</v>
      </c>
      <c r="C3600" s="15" t="s">
        <v>14804</v>
      </c>
      <c r="D3600" s="15">
        <v>240043.0</v>
      </c>
      <c r="E3600" s="15" t="s">
        <v>1557</v>
      </c>
      <c r="F3600" s="15" t="s">
        <v>1833</v>
      </c>
      <c r="G3600" s="7">
        <v>77.837</v>
      </c>
      <c r="H3600" s="15">
        <v>46.0</v>
      </c>
      <c r="I3600" s="15" t="s">
        <v>1586</v>
      </c>
      <c r="J3600" s="15" t="s">
        <v>14805</v>
      </c>
      <c r="K3600" s="15">
        <v>96.0</v>
      </c>
      <c r="L3600" s="15">
        <v>96.0</v>
      </c>
      <c r="M3600" s="40">
        <v>41682.0</v>
      </c>
      <c r="N3600" s="40">
        <v>41948.0</v>
      </c>
      <c r="O3600" s="15" t="s">
        <v>1554</v>
      </c>
      <c r="Q3600" s="7"/>
    </row>
    <row r="3601">
      <c r="A3601" s="39" t="s">
        <v>14806</v>
      </c>
      <c r="B3601" s="15">
        <v>1340812.0</v>
      </c>
      <c r="C3601" s="15" t="s">
        <v>14807</v>
      </c>
      <c r="D3601" s="15">
        <v>240044.0</v>
      </c>
      <c r="E3601" s="15" t="s">
        <v>1557</v>
      </c>
      <c r="F3601" s="15" t="s">
        <v>1767</v>
      </c>
      <c r="G3601" s="7">
        <v>170.438</v>
      </c>
      <c r="H3601" s="15" t="s">
        <v>2304</v>
      </c>
      <c r="I3601" s="15" t="s">
        <v>1586</v>
      </c>
      <c r="J3601" s="15" t="s">
        <v>14808</v>
      </c>
      <c r="K3601" s="15">
        <v>210.0</v>
      </c>
      <c r="L3601" s="15">
        <v>210.0</v>
      </c>
      <c r="M3601" s="41">
        <v>41622.0</v>
      </c>
      <c r="N3601" s="40">
        <v>42782.0</v>
      </c>
      <c r="O3601" s="15" t="s">
        <v>1554</v>
      </c>
      <c r="Q3601" s="7"/>
    </row>
    <row r="3602">
      <c r="A3602" s="39" t="s">
        <v>14810</v>
      </c>
      <c r="B3602" s="15">
        <v>1416009.0</v>
      </c>
      <c r="C3602" s="15" t="s">
        <v>14811</v>
      </c>
      <c r="D3602" s="15">
        <v>240045.0</v>
      </c>
      <c r="E3602" s="15" t="s">
        <v>1557</v>
      </c>
      <c r="F3602" s="15" t="s">
        <v>1611</v>
      </c>
      <c r="G3602" s="7">
        <v>72.329</v>
      </c>
      <c r="H3602" s="15" t="s">
        <v>6085</v>
      </c>
      <c r="I3602" s="15" t="s">
        <v>1586</v>
      </c>
      <c r="J3602" s="15" t="s">
        <v>14812</v>
      </c>
      <c r="K3602" s="15">
        <v>91.0</v>
      </c>
      <c r="L3602" s="15">
        <v>91.0</v>
      </c>
      <c r="M3602" s="41">
        <v>41631.0</v>
      </c>
      <c r="N3602" s="40">
        <v>41702.0</v>
      </c>
      <c r="O3602" s="15" t="s">
        <v>1554</v>
      </c>
      <c r="Q3602" s="7"/>
    </row>
    <row r="3603">
      <c r="A3603" s="39" t="s">
        <v>14813</v>
      </c>
      <c r="B3603" s="15">
        <v>1089130.0</v>
      </c>
      <c r="D3603" s="15">
        <v>0.0</v>
      </c>
      <c r="E3603" s="15" t="s">
        <v>1557</v>
      </c>
      <c r="F3603" s="15" t="s">
        <v>1833</v>
      </c>
      <c r="G3603" s="7">
        <v>65.108</v>
      </c>
      <c r="H3603" s="15" t="s">
        <v>4842</v>
      </c>
      <c r="I3603" s="15" t="s">
        <v>1586</v>
      </c>
      <c r="J3603" s="15" t="s">
        <v>14814</v>
      </c>
      <c r="K3603" s="15">
        <v>88.0</v>
      </c>
      <c r="L3603" s="15">
        <v>88.0</v>
      </c>
      <c r="M3603" s="40">
        <v>40853.0</v>
      </c>
      <c r="N3603" s="40">
        <v>40942.0</v>
      </c>
      <c r="O3603" s="15" t="s">
        <v>1554</v>
      </c>
      <c r="Q3603" s="7"/>
    </row>
    <row r="3604">
      <c r="A3604" s="39" t="s">
        <v>14816</v>
      </c>
      <c r="B3604" s="15">
        <v>1340810.0</v>
      </c>
      <c r="C3604" s="15" t="s">
        <v>14817</v>
      </c>
      <c r="D3604" s="15">
        <v>240047.0</v>
      </c>
      <c r="E3604" s="15" t="s">
        <v>1557</v>
      </c>
      <c r="F3604" s="15" t="s">
        <v>1767</v>
      </c>
      <c r="G3604" s="7">
        <v>189.311</v>
      </c>
      <c r="H3604" s="15" t="s">
        <v>2019</v>
      </c>
      <c r="I3604" s="15" t="s">
        <v>1586</v>
      </c>
      <c r="J3604" s="15" t="s">
        <v>14818</v>
      </c>
      <c r="K3604" s="15">
        <v>221.0</v>
      </c>
      <c r="L3604" s="15">
        <v>221.0</v>
      </c>
      <c r="M3604" s="41">
        <v>41622.0</v>
      </c>
      <c r="N3604" s="40">
        <v>41891.0</v>
      </c>
      <c r="O3604" s="15" t="s">
        <v>1554</v>
      </c>
      <c r="Q3604" s="7"/>
    </row>
    <row r="3605">
      <c r="A3605" s="39" t="s">
        <v>14819</v>
      </c>
      <c r="B3605" s="15">
        <v>1406780.0</v>
      </c>
      <c r="C3605" s="15" t="s">
        <v>12262</v>
      </c>
      <c r="D3605" s="15">
        <v>222858.0</v>
      </c>
      <c r="E3605" s="15" t="s">
        <v>1557</v>
      </c>
      <c r="F3605" s="15" t="s">
        <v>1611</v>
      </c>
      <c r="G3605" s="7">
        <v>77.792</v>
      </c>
      <c r="H3605" s="15" t="s">
        <v>2233</v>
      </c>
      <c r="I3605" s="15" t="s">
        <v>1586</v>
      </c>
      <c r="J3605" s="15" t="s">
        <v>14820</v>
      </c>
      <c r="K3605" s="15">
        <v>95.0</v>
      </c>
      <c r="L3605" s="15">
        <v>95.0</v>
      </c>
      <c r="M3605" s="41">
        <v>41576.0</v>
      </c>
      <c r="N3605" s="40">
        <v>41828.0</v>
      </c>
      <c r="O3605" s="15" t="s">
        <v>1554</v>
      </c>
      <c r="Q3605" s="7"/>
    </row>
    <row r="3606">
      <c r="A3606" s="39" t="s">
        <v>14821</v>
      </c>
      <c r="B3606" s="15">
        <v>1034138.0</v>
      </c>
      <c r="D3606" s="15">
        <v>0.0</v>
      </c>
      <c r="E3606" s="15" t="s">
        <v>1557</v>
      </c>
      <c r="F3606" s="15" t="s">
        <v>1833</v>
      </c>
      <c r="G3606" s="7">
        <v>68.138</v>
      </c>
      <c r="H3606" s="15" t="s">
        <v>4308</v>
      </c>
      <c r="I3606" s="15" t="s">
        <v>1586</v>
      </c>
      <c r="J3606" s="15" t="s">
        <v>14823</v>
      </c>
      <c r="K3606" s="15">
        <v>100.0</v>
      </c>
      <c r="L3606" s="15">
        <v>100.0</v>
      </c>
      <c r="M3606" s="40">
        <v>40740.0</v>
      </c>
      <c r="N3606" s="40">
        <v>42186.0</v>
      </c>
      <c r="O3606" s="15" t="s">
        <v>1554</v>
      </c>
      <c r="Q3606" s="7"/>
    </row>
    <row r="3607">
      <c r="A3607" s="39" t="s">
        <v>14824</v>
      </c>
      <c r="B3607" s="15">
        <v>1406779.0</v>
      </c>
      <c r="C3607" s="15" t="s">
        <v>12262</v>
      </c>
      <c r="D3607" s="15">
        <v>222858.0</v>
      </c>
      <c r="E3607" s="15" t="s">
        <v>1557</v>
      </c>
      <c r="F3607" s="15" t="s">
        <v>1611</v>
      </c>
      <c r="G3607" s="7">
        <v>40.739</v>
      </c>
      <c r="H3607" s="15" t="s">
        <v>1591</v>
      </c>
      <c r="I3607" s="15" t="s">
        <v>1586</v>
      </c>
      <c r="J3607" s="15" t="s">
        <v>14825</v>
      </c>
      <c r="K3607" s="15">
        <v>45.0</v>
      </c>
      <c r="L3607" s="15">
        <v>45.0</v>
      </c>
      <c r="M3607" s="41">
        <v>41576.0</v>
      </c>
      <c r="N3607" s="40">
        <v>41828.0</v>
      </c>
      <c r="O3607" s="15" t="s">
        <v>1554</v>
      </c>
      <c r="Q3607" s="7"/>
    </row>
    <row r="3608">
      <c r="A3608" s="39" t="s">
        <v>14826</v>
      </c>
      <c r="B3608" s="15">
        <v>1327959.0</v>
      </c>
      <c r="C3608" s="15" t="s">
        <v>14827</v>
      </c>
      <c r="D3608" s="15">
        <v>240052.0</v>
      </c>
      <c r="E3608" s="15" t="s">
        <v>1557</v>
      </c>
      <c r="F3608" s="15" t="s">
        <v>1833</v>
      </c>
      <c r="G3608" s="7">
        <v>95.705</v>
      </c>
      <c r="H3608" s="15" t="s">
        <v>2149</v>
      </c>
      <c r="I3608" s="15" t="s">
        <v>1586</v>
      </c>
      <c r="J3608" s="15" t="s">
        <v>14828</v>
      </c>
      <c r="K3608" s="15">
        <v>126.0</v>
      </c>
      <c r="L3608" s="15">
        <v>125.0</v>
      </c>
      <c r="M3608" s="41">
        <v>41622.0</v>
      </c>
      <c r="N3608" s="40">
        <v>41702.0</v>
      </c>
      <c r="O3608" s="15" t="s">
        <v>1554</v>
      </c>
      <c r="Q3608" s="7"/>
    </row>
    <row r="3609">
      <c r="A3609" s="39" t="s">
        <v>14829</v>
      </c>
      <c r="B3609" s="15">
        <v>1411681.0</v>
      </c>
      <c r="C3609" s="15" t="s">
        <v>14830</v>
      </c>
      <c r="D3609" s="15">
        <v>240575.0</v>
      </c>
      <c r="E3609" s="15" t="s">
        <v>1638</v>
      </c>
      <c r="F3609" s="15" t="s">
        <v>1796</v>
      </c>
      <c r="G3609" s="7">
        <v>3.83</v>
      </c>
      <c r="H3609" s="15" t="s">
        <v>14832</v>
      </c>
      <c r="I3609" s="15" t="s">
        <v>1628</v>
      </c>
      <c r="J3609" s="15" t="s">
        <v>14833</v>
      </c>
      <c r="K3609" s="15">
        <v>2.0</v>
      </c>
      <c r="L3609" s="15">
        <v>2.0</v>
      </c>
      <c r="M3609" s="41">
        <v>41577.0</v>
      </c>
      <c r="N3609" s="40">
        <v>41949.0</v>
      </c>
      <c r="O3609" s="15" t="s">
        <v>1554</v>
      </c>
      <c r="Q3609" s="7"/>
    </row>
    <row r="3610">
      <c r="A3610" s="39" t="s">
        <v>14834</v>
      </c>
      <c r="B3610" s="15">
        <v>78219.0</v>
      </c>
      <c r="C3610" s="15" t="s">
        <v>14835</v>
      </c>
      <c r="D3610" s="15">
        <v>240576.0</v>
      </c>
      <c r="E3610" s="15" t="s">
        <v>1557</v>
      </c>
      <c r="F3610" s="15" t="s">
        <v>1992</v>
      </c>
      <c r="G3610" s="7">
        <v>152.71</v>
      </c>
      <c r="H3610" s="15" t="s">
        <v>2320</v>
      </c>
      <c r="I3610" s="15" t="s">
        <v>1560</v>
      </c>
      <c r="J3610" s="15" t="s">
        <v>14836</v>
      </c>
      <c r="K3610" s="15">
        <v>159.0</v>
      </c>
      <c r="L3610" s="15">
        <v>159.0</v>
      </c>
      <c r="M3610" s="40">
        <v>41071.0</v>
      </c>
      <c r="N3610" s="40">
        <v>41709.0</v>
      </c>
      <c r="O3610" s="15" t="s">
        <v>1554</v>
      </c>
      <c r="Q3610" s="7"/>
    </row>
    <row r="3611">
      <c r="A3611" s="39" t="s">
        <v>14837</v>
      </c>
      <c r="B3611" s="15">
        <v>1071177.0</v>
      </c>
      <c r="C3611" s="15" t="s">
        <v>14838</v>
      </c>
      <c r="D3611" s="15">
        <v>240594.0</v>
      </c>
      <c r="E3611" s="15" t="s">
        <v>1557</v>
      </c>
      <c r="F3611" s="15" t="s">
        <v>1833</v>
      </c>
      <c r="G3611" s="7">
        <v>35.725</v>
      </c>
      <c r="H3611" s="15" t="s">
        <v>2877</v>
      </c>
      <c r="I3611" s="15" t="s">
        <v>1586</v>
      </c>
      <c r="J3611" s="15" t="s">
        <v>14839</v>
      </c>
      <c r="K3611" s="15">
        <v>50.0</v>
      </c>
      <c r="L3611" s="15">
        <v>49.0</v>
      </c>
      <c r="M3611" s="40">
        <v>40797.0</v>
      </c>
      <c r="N3611" s="40">
        <v>41709.0</v>
      </c>
      <c r="O3611" s="15" t="s">
        <v>1554</v>
      </c>
      <c r="Q3611" s="7"/>
    </row>
    <row r="3612">
      <c r="A3612" s="39" t="s">
        <v>14840</v>
      </c>
      <c r="B3612" s="15">
        <v>913183.0</v>
      </c>
      <c r="C3612" s="15" t="s">
        <v>14841</v>
      </c>
      <c r="D3612" s="15">
        <v>240595.0</v>
      </c>
      <c r="E3612" s="15" t="s">
        <v>1557</v>
      </c>
      <c r="F3612" s="15" t="s">
        <v>1611</v>
      </c>
      <c r="G3612" s="7">
        <v>40.411</v>
      </c>
      <c r="H3612" s="15" t="s">
        <v>2840</v>
      </c>
      <c r="I3612" s="15" t="s">
        <v>1586</v>
      </c>
      <c r="J3612" s="15" t="s">
        <v>14842</v>
      </c>
      <c r="K3612" s="15">
        <v>52.0</v>
      </c>
      <c r="L3612" s="15">
        <v>52.0</v>
      </c>
      <c r="M3612" s="41">
        <v>40540.0</v>
      </c>
      <c r="N3612" s="40">
        <v>41709.0</v>
      </c>
      <c r="O3612" s="15" t="s">
        <v>1554</v>
      </c>
      <c r="Q3612" s="7"/>
    </row>
    <row r="3613">
      <c r="A3613" s="39" t="s">
        <v>14844</v>
      </c>
      <c r="B3613" s="15">
        <v>937835.0</v>
      </c>
      <c r="C3613" s="15" t="s">
        <v>14845</v>
      </c>
      <c r="D3613" s="15">
        <v>240596.0</v>
      </c>
      <c r="E3613" s="15" t="s">
        <v>1557</v>
      </c>
      <c r="F3613" s="15" t="s">
        <v>1833</v>
      </c>
      <c r="G3613" s="7">
        <v>34.553</v>
      </c>
      <c r="H3613" s="15" t="s">
        <v>4171</v>
      </c>
      <c r="I3613" s="15" t="s">
        <v>1586</v>
      </c>
      <c r="J3613" s="15" t="s">
        <v>14846</v>
      </c>
      <c r="K3613" s="15">
        <v>51.0</v>
      </c>
      <c r="L3613" s="15">
        <v>51.0</v>
      </c>
      <c r="M3613" s="40">
        <v>40544.0</v>
      </c>
      <c r="N3613" s="40">
        <v>41709.0</v>
      </c>
      <c r="O3613" s="15" t="s">
        <v>1554</v>
      </c>
      <c r="Q3613" s="7"/>
    </row>
    <row r="3614">
      <c r="A3614" s="39" t="s">
        <v>14847</v>
      </c>
      <c r="B3614" s="15">
        <v>1048207.0</v>
      </c>
      <c r="C3614" s="15" t="s">
        <v>14848</v>
      </c>
      <c r="D3614" s="15">
        <v>240597.0</v>
      </c>
      <c r="E3614" s="15" t="s">
        <v>1557</v>
      </c>
      <c r="F3614" s="15" t="s">
        <v>1833</v>
      </c>
      <c r="G3614" s="7">
        <v>47.18</v>
      </c>
      <c r="H3614" s="15">
        <v>44.0</v>
      </c>
      <c r="I3614" s="15" t="s">
        <v>1586</v>
      </c>
      <c r="J3614" s="15" t="s">
        <v>14849</v>
      </c>
      <c r="K3614" s="15">
        <v>76.0</v>
      </c>
      <c r="L3614" s="15">
        <v>74.0</v>
      </c>
      <c r="M3614" s="40">
        <v>40726.0</v>
      </c>
      <c r="N3614" s="40">
        <v>41709.0</v>
      </c>
      <c r="O3614" s="15" t="s">
        <v>1554</v>
      </c>
      <c r="Q3614" s="7"/>
    </row>
    <row r="3615">
      <c r="A3615" s="39" t="s">
        <v>14850</v>
      </c>
      <c r="B3615" s="15">
        <v>1455652.0</v>
      </c>
      <c r="C3615" s="15" t="s">
        <v>14851</v>
      </c>
      <c r="D3615" s="15">
        <v>240682.0</v>
      </c>
      <c r="E3615" s="15" t="s">
        <v>2014</v>
      </c>
      <c r="F3615" s="15" t="s">
        <v>1578</v>
      </c>
      <c r="G3615" s="7">
        <v>1.022</v>
      </c>
      <c r="H3615" s="15" t="s">
        <v>1902</v>
      </c>
      <c r="I3615" s="15" t="s">
        <v>1628</v>
      </c>
      <c r="J3615" s="15" t="s">
        <v>14853</v>
      </c>
      <c r="K3615" s="15">
        <v>1.0</v>
      </c>
      <c r="L3615" s="15">
        <v>1.0</v>
      </c>
      <c r="M3615" s="41">
        <v>36095.0</v>
      </c>
      <c r="N3615" s="40">
        <v>41709.0</v>
      </c>
      <c r="O3615" s="15" t="s">
        <v>1554</v>
      </c>
      <c r="Q3615" s="7"/>
    </row>
    <row r="3616">
      <c r="A3616" s="39" t="s">
        <v>14854</v>
      </c>
      <c r="B3616" s="15">
        <v>1086800.0</v>
      </c>
      <c r="C3616" s="15" t="s">
        <v>14855</v>
      </c>
      <c r="D3616" s="15">
        <v>240714.0</v>
      </c>
      <c r="E3616" s="15" t="s">
        <v>1557</v>
      </c>
      <c r="F3616" s="15" t="s">
        <v>1833</v>
      </c>
      <c r="G3616" s="7">
        <v>52.481</v>
      </c>
      <c r="H3616" s="15" t="s">
        <v>6661</v>
      </c>
      <c r="I3616" s="15" t="s">
        <v>1586</v>
      </c>
      <c r="J3616" s="15" t="s">
        <v>14856</v>
      </c>
      <c r="K3616" s="15">
        <v>90.0</v>
      </c>
      <c r="L3616" s="15">
        <v>90.0</v>
      </c>
      <c r="M3616" s="40">
        <v>40812.0</v>
      </c>
      <c r="N3616" s="40">
        <v>41709.0</v>
      </c>
      <c r="O3616" s="15" t="s">
        <v>1554</v>
      </c>
      <c r="Q3616" s="7"/>
    </row>
    <row r="3617">
      <c r="A3617" s="39" t="s">
        <v>14857</v>
      </c>
      <c r="B3617" s="15">
        <v>1086751.0</v>
      </c>
      <c r="C3617" s="15" t="s">
        <v>14858</v>
      </c>
      <c r="D3617" s="15">
        <v>240715.0</v>
      </c>
      <c r="E3617" s="15" t="s">
        <v>1557</v>
      </c>
      <c r="F3617" s="15" t="s">
        <v>1833</v>
      </c>
      <c r="G3617" s="7">
        <v>69.279</v>
      </c>
      <c r="H3617" s="15" t="s">
        <v>3227</v>
      </c>
      <c r="I3617" s="15" t="s">
        <v>1586</v>
      </c>
      <c r="J3617" s="15" t="s">
        <v>14859</v>
      </c>
      <c r="K3617" s="15">
        <v>111.0</v>
      </c>
      <c r="L3617" s="15">
        <v>110.0</v>
      </c>
      <c r="M3617" s="40">
        <v>40812.0</v>
      </c>
      <c r="N3617" s="40">
        <v>41709.0</v>
      </c>
      <c r="O3617" s="15" t="s">
        <v>1554</v>
      </c>
      <c r="Q3617" s="7"/>
    </row>
    <row r="3618">
      <c r="A3618" s="39" t="s">
        <v>14861</v>
      </c>
      <c r="B3618" s="15">
        <v>1084719.0</v>
      </c>
      <c r="C3618" s="15" t="s">
        <v>14862</v>
      </c>
      <c r="D3618" s="15">
        <v>240716.0</v>
      </c>
      <c r="E3618" s="15" t="s">
        <v>1557</v>
      </c>
      <c r="F3618" s="15" t="s">
        <v>1767</v>
      </c>
      <c r="G3618" s="7">
        <v>497.513</v>
      </c>
      <c r="H3618" s="42">
        <v>43372.0</v>
      </c>
      <c r="I3618" s="15" t="s">
        <v>1586</v>
      </c>
      <c r="J3618" s="15" t="s">
        <v>14863</v>
      </c>
      <c r="K3618" s="15">
        <v>694.0</v>
      </c>
      <c r="L3618" s="15">
        <v>675.0</v>
      </c>
      <c r="M3618" s="40">
        <v>40812.0</v>
      </c>
      <c r="N3618" s="40">
        <v>41709.0</v>
      </c>
      <c r="O3618" s="15" t="s">
        <v>1554</v>
      </c>
      <c r="Q3618" s="7"/>
    </row>
    <row r="3619">
      <c r="A3619" s="39" t="s">
        <v>14864</v>
      </c>
      <c r="B3619" s="15">
        <v>1079894.0</v>
      </c>
      <c r="C3619" s="15" t="s">
        <v>14865</v>
      </c>
      <c r="D3619" s="15">
        <v>240717.0</v>
      </c>
      <c r="E3619" s="15" t="s">
        <v>1557</v>
      </c>
      <c r="F3619" s="15" t="s">
        <v>1833</v>
      </c>
      <c r="G3619" s="7">
        <v>42.594</v>
      </c>
      <c r="H3619" s="15" t="s">
        <v>12271</v>
      </c>
      <c r="I3619" s="15" t="s">
        <v>1586</v>
      </c>
      <c r="J3619" s="15" t="s">
        <v>14866</v>
      </c>
      <c r="K3619" s="15">
        <v>69.0</v>
      </c>
      <c r="L3619" s="15">
        <v>69.0</v>
      </c>
      <c r="M3619" s="40">
        <v>40792.0</v>
      </c>
      <c r="N3619" s="40">
        <v>42446.0</v>
      </c>
      <c r="O3619" s="15" t="s">
        <v>1554</v>
      </c>
      <c r="Q3619" s="7"/>
    </row>
    <row r="3620">
      <c r="A3620" s="39" t="s">
        <v>14867</v>
      </c>
      <c r="B3620" s="15">
        <v>1079895.0</v>
      </c>
      <c r="C3620" s="15" t="s">
        <v>14868</v>
      </c>
      <c r="D3620" s="15">
        <v>240719.0</v>
      </c>
      <c r="E3620" s="15" t="s">
        <v>1557</v>
      </c>
      <c r="F3620" s="15" t="s">
        <v>1767</v>
      </c>
      <c r="G3620" s="7">
        <v>155.586</v>
      </c>
      <c r="H3620" s="15" t="s">
        <v>8929</v>
      </c>
      <c r="I3620" s="15" t="s">
        <v>1586</v>
      </c>
      <c r="J3620" s="15" t="s">
        <v>14870</v>
      </c>
      <c r="K3620" s="15">
        <v>274.0</v>
      </c>
      <c r="L3620" s="15">
        <v>238.0</v>
      </c>
      <c r="M3620" s="40">
        <v>40792.0</v>
      </c>
      <c r="N3620" s="40">
        <v>41709.0</v>
      </c>
      <c r="O3620" s="15" t="s">
        <v>1554</v>
      </c>
      <c r="Q3620" s="7"/>
    </row>
    <row r="3621">
      <c r="A3621" s="39" t="s">
        <v>14871</v>
      </c>
      <c r="B3621" s="15">
        <v>1086749.0</v>
      </c>
      <c r="C3621" s="15" t="s">
        <v>14872</v>
      </c>
      <c r="D3621" s="15">
        <v>240720.0</v>
      </c>
      <c r="E3621" s="15" t="s">
        <v>1557</v>
      </c>
      <c r="F3621" s="15" t="s">
        <v>1833</v>
      </c>
      <c r="G3621" s="7">
        <v>51.083</v>
      </c>
      <c r="H3621" s="15" t="s">
        <v>3286</v>
      </c>
      <c r="I3621" s="15" t="s">
        <v>1586</v>
      </c>
      <c r="J3621" s="15" t="s">
        <v>14873</v>
      </c>
      <c r="K3621" s="15">
        <v>94.0</v>
      </c>
      <c r="L3621" s="15">
        <v>94.0</v>
      </c>
      <c r="M3621" s="40">
        <v>40812.0</v>
      </c>
      <c r="N3621" s="40">
        <v>41709.0</v>
      </c>
      <c r="O3621" s="15" t="s">
        <v>1554</v>
      </c>
      <c r="Q3621" s="7"/>
    </row>
    <row r="3622">
      <c r="A3622" s="39" t="s">
        <v>14875</v>
      </c>
      <c r="B3622" s="15">
        <v>1074309.0</v>
      </c>
      <c r="C3622" s="15" t="s">
        <v>14876</v>
      </c>
      <c r="D3622" s="15">
        <v>240721.0</v>
      </c>
      <c r="E3622" s="15" t="s">
        <v>1557</v>
      </c>
      <c r="F3622" s="15" t="s">
        <v>1833</v>
      </c>
      <c r="G3622" s="7">
        <v>48.984</v>
      </c>
      <c r="H3622" s="15" t="s">
        <v>8941</v>
      </c>
      <c r="I3622" s="15" t="s">
        <v>1586</v>
      </c>
      <c r="J3622" s="15" t="s">
        <v>14877</v>
      </c>
      <c r="K3622" s="15">
        <v>82.0</v>
      </c>
      <c r="L3622" s="15">
        <v>82.0</v>
      </c>
      <c r="M3622" s="40">
        <v>40769.0</v>
      </c>
      <c r="N3622" s="40">
        <v>41709.0</v>
      </c>
      <c r="O3622" s="15" t="s">
        <v>1554</v>
      </c>
      <c r="Q3622" s="7"/>
    </row>
    <row r="3623">
      <c r="A3623" s="39" t="s">
        <v>14878</v>
      </c>
      <c r="B3623" s="15">
        <v>1074304.0</v>
      </c>
      <c r="C3623" s="15" t="s">
        <v>14879</v>
      </c>
      <c r="D3623" s="15">
        <v>240722.0</v>
      </c>
      <c r="E3623" s="15" t="s">
        <v>1557</v>
      </c>
      <c r="F3623" s="15" t="s">
        <v>1833</v>
      </c>
      <c r="G3623" s="7">
        <v>41.65</v>
      </c>
      <c r="H3623" s="15" t="s">
        <v>9774</v>
      </c>
      <c r="I3623" s="15" t="s">
        <v>1586</v>
      </c>
      <c r="J3623" s="15" t="s">
        <v>14880</v>
      </c>
      <c r="K3623" s="15">
        <v>61.0</v>
      </c>
      <c r="L3623" s="15">
        <v>61.0</v>
      </c>
      <c r="M3623" s="40">
        <v>40769.0</v>
      </c>
      <c r="N3623" s="40">
        <v>41709.0</v>
      </c>
      <c r="O3623" s="15" t="s">
        <v>1554</v>
      </c>
      <c r="Q3623" s="7"/>
    </row>
    <row r="3624">
      <c r="A3624" s="39" t="s">
        <v>14882</v>
      </c>
      <c r="B3624" s="15">
        <v>1074308.0</v>
      </c>
      <c r="C3624" s="15" t="s">
        <v>14883</v>
      </c>
      <c r="D3624" s="15">
        <v>240723.0</v>
      </c>
      <c r="E3624" s="15" t="s">
        <v>1557</v>
      </c>
      <c r="F3624" s="15" t="s">
        <v>1833</v>
      </c>
      <c r="G3624" s="7">
        <v>70.506</v>
      </c>
      <c r="H3624" s="15" t="s">
        <v>5391</v>
      </c>
      <c r="I3624" s="15" t="s">
        <v>1586</v>
      </c>
      <c r="J3624" s="15" t="s">
        <v>14884</v>
      </c>
      <c r="K3624" s="15">
        <v>110.0</v>
      </c>
      <c r="L3624" s="15">
        <v>109.0</v>
      </c>
      <c r="M3624" s="40">
        <v>40769.0</v>
      </c>
      <c r="N3624" s="40">
        <v>41709.0</v>
      </c>
      <c r="O3624" s="15" t="s">
        <v>1554</v>
      </c>
      <c r="Q3624" s="7"/>
    </row>
    <row r="3625">
      <c r="A3625" s="39" t="s">
        <v>14885</v>
      </c>
      <c r="B3625" s="15">
        <v>1080237.0</v>
      </c>
      <c r="C3625" s="15" t="s">
        <v>14886</v>
      </c>
      <c r="D3625" s="15">
        <v>240724.0</v>
      </c>
      <c r="E3625" s="15" t="s">
        <v>4407</v>
      </c>
      <c r="F3625" s="15" t="s">
        <v>1578</v>
      </c>
      <c r="G3625" s="7">
        <v>26.499</v>
      </c>
      <c r="H3625" s="15" t="s">
        <v>2005</v>
      </c>
      <c r="I3625" s="15" t="s">
        <v>1586</v>
      </c>
      <c r="J3625" s="15" t="s">
        <v>14887</v>
      </c>
      <c r="K3625" s="15">
        <v>77.0</v>
      </c>
      <c r="L3625" s="15">
        <v>68.0</v>
      </c>
      <c r="M3625" s="40">
        <v>40799.0</v>
      </c>
      <c r="N3625" s="40">
        <v>41709.0</v>
      </c>
      <c r="O3625" s="15" t="s">
        <v>1554</v>
      </c>
      <c r="Q3625" s="7"/>
    </row>
    <row r="3626">
      <c r="A3626" s="39" t="s">
        <v>14888</v>
      </c>
      <c r="B3626" s="15">
        <v>1076136.0</v>
      </c>
      <c r="C3626" s="15" t="s">
        <v>14889</v>
      </c>
      <c r="D3626" s="15">
        <v>240725.0</v>
      </c>
      <c r="E3626" s="15" t="s">
        <v>1557</v>
      </c>
      <c r="F3626" s="15" t="s">
        <v>1833</v>
      </c>
      <c r="G3626" s="7">
        <v>53.142</v>
      </c>
      <c r="H3626" s="15" t="s">
        <v>3029</v>
      </c>
      <c r="I3626" s="15" t="s">
        <v>1586</v>
      </c>
      <c r="J3626" s="15" t="s">
        <v>14891</v>
      </c>
      <c r="K3626" s="15">
        <v>92.0</v>
      </c>
      <c r="L3626" s="15">
        <v>92.0</v>
      </c>
      <c r="M3626" s="40">
        <v>40783.0</v>
      </c>
      <c r="N3626" s="40">
        <v>41709.0</v>
      </c>
      <c r="O3626" s="15" t="s">
        <v>1554</v>
      </c>
      <c r="Q3626" s="7"/>
    </row>
    <row r="3627">
      <c r="A3627" s="39" t="s">
        <v>14892</v>
      </c>
      <c r="B3627" s="15">
        <v>1074303.0</v>
      </c>
      <c r="C3627" s="15" t="s">
        <v>14893</v>
      </c>
      <c r="D3627" s="15">
        <v>240726.0</v>
      </c>
      <c r="E3627" s="15" t="s">
        <v>1557</v>
      </c>
      <c r="F3627" s="15" t="s">
        <v>1833</v>
      </c>
      <c r="G3627" s="7">
        <v>54.411</v>
      </c>
      <c r="H3627" s="15" t="s">
        <v>2154</v>
      </c>
      <c r="I3627" s="15" t="s">
        <v>1586</v>
      </c>
      <c r="J3627" s="15" t="s">
        <v>14894</v>
      </c>
      <c r="K3627" s="15">
        <v>103.0</v>
      </c>
      <c r="L3627" s="15">
        <v>103.0</v>
      </c>
      <c r="M3627" s="40">
        <v>40769.0</v>
      </c>
      <c r="N3627" s="40">
        <v>41709.0</v>
      </c>
      <c r="O3627" s="15" t="s">
        <v>1554</v>
      </c>
      <c r="Q3627" s="7"/>
    </row>
    <row r="3628">
      <c r="A3628" s="39" t="s">
        <v>14895</v>
      </c>
      <c r="B3628" s="15">
        <v>1074307.0</v>
      </c>
      <c r="C3628" s="15" t="s">
        <v>14896</v>
      </c>
      <c r="D3628" s="15">
        <v>240727.0</v>
      </c>
      <c r="E3628" s="15" t="s">
        <v>1557</v>
      </c>
      <c r="F3628" s="15" t="s">
        <v>1767</v>
      </c>
      <c r="G3628" s="7">
        <v>153.882</v>
      </c>
      <c r="H3628" s="15" t="s">
        <v>4171</v>
      </c>
      <c r="I3628" s="15" t="s">
        <v>1586</v>
      </c>
      <c r="J3628" s="15" t="s">
        <v>14897</v>
      </c>
      <c r="K3628" s="15">
        <v>263.0</v>
      </c>
      <c r="L3628" s="15">
        <v>227.0</v>
      </c>
      <c r="M3628" s="40">
        <v>40769.0</v>
      </c>
      <c r="N3628" s="40">
        <v>41709.0</v>
      </c>
      <c r="O3628" s="15" t="s">
        <v>1554</v>
      </c>
      <c r="Q3628" s="7"/>
    </row>
    <row r="3629">
      <c r="A3629" s="39" t="s">
        <v>14898</v>
      </c>
      <c r="B3629" s="15">
        <v>1074305.0</v>
      </c>
      <c r="C3629" s="15" t="s">
        <v>14900</v>
      </c>
      <c r="D3629" s="15">
        <v>240728.0</v>
      </c>
      <c r="E3629" s="15" t="s">
        <v>1557</v>
      </c>
      <c r="F3629" s="15" t="s">
        <v>1767</v>
      </c>
      <c r="G3629" s="7">
        <v>157.568</v>
      </c>
      <c r="H3629" s="15" t="s">
        <v>8929</v>
      </c>
      <c r="I3629" s="15" t="s">
        <v>1586</v>
      </c>
      <c r="J3629" s="15" t="s">
        <v>14901</v>
      </c>
      <c r="K3629" s="15">
        <v>275.0</v>
      </c>
      <c r="L3629" s="15">
        <v>239.0</v>
      </c>
      <c r="M3629" s="40">
        <v>40769.0</v>
      </c>
      <c r="N3629" s="40">
        <v>41709.0</v>
      </c>
      <c r="O3629" s="15" t="s">
        <v>1554</v>
      </c>
      <c r="Q3629" s="7"/>
    </row>
    <row r="3630">
      <c r="A3630" s="39" t="s">
        <v>14902</v>
      </c>
      <c r="B3630" s="15">
        <v>1071504.0</v>
      </c>
      <c r="C3630" s="15" t="s">
        <v>14903</v>
      </c>
      <c r="D3630" s="15">
        <v>240729.0</v>
      </c>
      <c r="E3630" s="15" t="s">
        <v>1557</v>
      </c>
      <c r="F3630" s="15" t="s">
        <v>1833</v>
      </c>
      <c r="G3630" s="7">
        <v>53.169</v>
      </c>
      <c r="H3630" s="15" t="s">
        <v>4467</v>
      </c>
      <c r="I3630" s="15" t="s">
        <v>1586</v>
      </c>
      <c r="J3630" s="15" t="s">
        <v>14904</v>
      </c>
      <c r="K3630" s="15">
        <v>95.0</v>
      </c>
      <c r="L3630" s="15">
        <v>94.0</v>
      </c>
      <c r="M3630" s="40">
        <v>40761.0</v>
      </c>
      <c r="N3630" s="40">
        <v>41709.0</v>
      </c>
      <c r="O3630" s="15" t="s">
        <v>1554</v>
      </c>
      <c r="Q3630" s="7"/>
    </row>
    <row r="3631">
      <c r="A3631" s="39" t="s">
        <v>14905</v>
      </c>
      <c r="B3631" s="15">
        <v>1056833.0</v>
      </c>
      <c r="C3631" s="15" t="s">
        <v>14906</v>
      </c>
      <c r="D3631" s="15">
        <v>240730.0</v>
      </c>
      <c r="E3631" s="15" t="s">
        <v>1557</v>
      </c>
      <c r="F3631" s="15" t="s">
        <v>1833</v>
      </c>
      <c r="G3631" s="7">
        <v>51.308</v>
      </c>
      <c r="H3631" s="15" t="s">
        <v>3029</v>
      </c>
      <c r="I3631" s="15" t="s">
        <v>1586</v>
      </c>
      <c r="J3631" s="15" t="s">
        <v>14908</v>
      </c>
      <c r="K3631" s="15">
        <v>85.0</v>
      </c>
      <c r="L3631" s="15">
        <v>85.0</v>
      </c>
      <c r="M3631" s="40">
        <v>40761.0</v>
      </c>
      <c r="N3631" s="40">
        <v>41709.0</v>
      </c>
      <c r="O3631" s="15" t="s">
        <v>1554</v>
      </c>
      <c r="Q3631" s="7"/>
    </row>
    <row r="3632">
      <c r="A3632" s="39" t="s">
        <v>14909</v>
      </c>
      <c r="B3632" s="15">
        <v>1071506.0</v>
      </c>
      <c r="C3632" s="15" t="s">
        <v>14910</v>
      </c>
      <c r="D3632" s="15">
        <v>240731.0</v>
      </c>
      <c r="E3632" s="15" t="s">
        <v>1557</v>
      </c>
      <c r="F3632" s="15" t="s">
        <v>1833</v>
      </c>
      <c r="G3632" s="7">
        <v>50.844</v>
      </c>
      <c r="H3632" s="15">
        <v>64.0</v>
      </c>
      <c r="I3632" s="15" t="s">
        <v>1586</v>
      </c>
      <c r="J3632" s="15" t="s">
        <v>14911</v>
      </c>
      <c r="K3632" s="15">
        <v>94.0</v>
      </c>
      <c r="L3632" s="15">
        <v>94.0</v>
      </c>
      <c r="M3632" s="40">
        <v>40761.0</v>
      </c>
      <c r="N3632" s="40">
        <v>41709.0</v>
      </c>
      <c r="O3632" s="15" t="s">
        <v>1554</v>
      </c>
      <c r="Q3632" s="7"/>
    </row>
    <row r="3633">
      <c r="A3633" s="39" t="s">
        <v>14912</v>
      </c>
      <c r="B3633" s="15">
        <v>1071503.0</v>
      </c>
      <c r="C3633" s="15" t="s">
        <v>14913</v>
      </c>
      <c r="D3633" s="15">
        <v>240732.0</v>
      </c>
      <c r="E3633" s="15" t="s">
        <v>1557</v>
      </c>
      <c r="F3633" s="15" t="s">
        <v>1833</v>
      </c>
      <c r="G3633" s="7">
        <v>53.526</v>
      </c>
      <c r="H3633" s="15" t="s">
        <v>4653</v>
      </c>
      <c r="I3633" s="15" t="s">
        <v>1586</v>
      </c>
      <c r="J3633" s="15" t="s">
        <v>14914</v>
      </c>
      <c r="K3633" s="15">
        <v>94.0</v>
      </c>
      <c r="L3633" s="15">
        <v>92.0</v>
      </c>
      <c r="M3633" s="40">
        <v>40761.0</v>
      </c>
      <c r="N3633" s="40">
        <v>41709.0</v>
      </c>
      <c r="O3633" s="15" t="s">
        <v>1554</v>
      </c>
      <c r="Q3633" s="7"/>
    </row>
    <row r="3634">
      <c r="A3634" s="39" t="s">
        <v>14916</v>
      </c>
      <c r="B3634" s="15">
        <v>1070990.0</v>
      </c>
      <c r="C3634" s="15" t="s">
        <v>14917</v>
      </c>
      <c r="D3634" s="15">
        <v>240733.0</v>
      </c>
      <c r="E3634" s="15" t="s">
        <v>1557</v>
      </c>
      <c r="F3634" s="15" t="s">
        <v>1833</v>
      </c>
      <c r="G3634" s="7">
        <v>76.26</v>
      </c>
      <c r="H3634" s="15">
        <v>63.0</v>
      </c>
      <c r="I3634" s="15" t="s">
        <v>1586</v>
      </c>
      <c r="J3634" s="15" t="s">
        <v>14918</v>
      </c>
      <c r="K3634" s="15">
        <v>142.0</v>
      </c>
      <c r="L3634" s="15">
        <v>140.0</v>
      </c>
      <c r="M3634" s="40">
        <v>40762.0</v>
      </c>
      <c r="N3634" s="40">
        <v>41709.0</v>
      </c>
      <c r="O3634" s="15" t="s">
        <v>1554</v>
      </c>
      <c r="Q3634" s="7"/>
    </row>
    <row r="3635">
      <c r="A3635" s="39" t="s">
        <v>14919</v>
      </c>
      <c r="B3635" s="15">
        <v>1056831.0</v>
      </c>
      <c r="C3635" s="15" t="s">
        <v>14920</v>
      </c>
      <c r="D3635" s="15">
        <v>240734.0</v>
      </c>
      <c r="E3635" s="15" t="s">
        <v>1557</v>
      </c>
      <c r="F3635" s="15" t="s">
        <v>1833</v>
      </c>
      <c r="G3635" s="7">
        <v>62.991</v>
      </c>
      <c r="H3635" s="15" t="s">
        <v>6325</v>
      </c>
      <c r="I3635" s="15" t="s">
        <v>1586</v>
      </c>
      <c r="J3635" s="15" t="s">
        <v>14921</v>
      </c>
      <c r="K3635" s="15">
        <v>98.0</v>
      </c>
      <c r="L3635" s="15">
        <v>97.0</v>
      </c>
      <c r="M3635" s="40">
        <v>40761.0</v>
      </c>
      <c r="N3635" s="40">
        <v>41709.0</v>
      </c>
      <c r="O3635" s="15" t="s">
        <v>1554</v>
      </c>
      <c r="Q3635" s="7"/>
    </row>
    <row r="3636">
      <c r="A3636" s="39" t="s">
        <v>14922</v>
      </c>
      <c r="B3636" s="15">
        <v>1168594.0</v>
      </c>
      <c r="C3636" s="15" t="s">
        <v>14923</v>
      </c>
      <c r="D3636" s="15">
        <v>240736.0</v>
      </c>
      <c r="E3636" s="15" t="s">
        <v>1557</v>
      </c>
      <c r="F3636" s="15" t="s">
        <v>1833</v>
      </c>
      <c r="G3636" s="7">
        <v>54.47</v>
      </c>
      <c r="H3636" s="15">
        <v>61.0</v>
      </c>
      <c r="I3636" s="15" t="s">
        <v>1586</v>
      </c>
      <c r="J3636" s="15" t="s">
        <v>14924</v>
      </c>
      <c r="K3636" s="15">
        <v>107.0</v>
      </c>
      <c r="L3636" s="15">
        <v>107.0</v>
      </c>
      <c r="M3636" s="40">
        <v>41070.0</v>
      </c>
      <c r="N3636" s="40">
        <v>41709.0</v>
      </c>
      <c r="O3636" s="15" t="s">
        <v>1554</v>
      </c>
      <c r="Q3636" s="7"/>
    </row>
    <row r="3637">
      <c r="A3637" s="39" t="s">
        <v>14925</v>
      </c>
      <c r="B3637" s="15">
        <v>1052671.0</v>
      </c>
      <c r="C3637" s="15" t="s">
        <v>14926</v>
      </c>
      <c r="D3637" s="15">
        <v>240737.0</v>
      </c>
      <c r="E3637" s="15" t="s">
        <v>1557</v>
      </c>
      <c r="F3637" s="15" t="s">
        <v>1833</v>
      </c>
      <c r="G3637" s="7">
        <v>68.72</v>
      </c>
      <c r="H3637" s="15" t="s">
        <v>2492</v>
      </c>
      <c r="I3637" s="15" t="s">
        <v>1586</v>
      </c>
      <c r="J3637" s="15" t="s">
        <v>14927</v>
      </c>
      <c r="K3637" s="15">
        <v>101.0</v>
      </c>
      <c r="L3637" s="15">
        <v>101.0</v>
      </c>
      <c r="M3637" s="40">
        <v>40740.0</v>
      </c>
      <c r="N3637" s="40">
        <v>42186.0</v>
      </c>
      <c r="O3637" s="15" t="s">
        <v>1554</v>
      </c>
      <c r="Q3637" s="7"/>
    </row>
    <row r="3638">
      <c r="A3638" s="39" t="s">
        <v>14928</v>
      </c>
      <c r="B3638" s="15">
        <v>1051140.0</v>
      </c>
      <c r="C3638" s="15" t="s">
        <v>14929</v>
      </c>
      <c r="D3638" s="15">
        <v>240738.0</v>
      </c>
      <c r="E3638" s="15" t="s">
        <v>1557</v>
      </c>
      <c r="F3638" s="15" t="s">
        <v>1833</v>
      </c>
      <c r="G3638" s="7">
        <v>53.597</v>
      </c>
      <c r="H3638" s="15" t="s">
        <v>3029</v>
      </c>
      <c r="I3638" s="15" t="s">
        <v>1586</v>
      </c>
      <c r="J3638" s="15" t="s">
        <v>14930</v>
      </c>
      <c r="K3638" s="15">
        <v>94.0</v>
      </c>
      <c r="L3638" s="15">
        <v>94.0</v>
      </c>
      <c r="M3638" s="40">
        <v>40740.0</v>
      </c>
      <c r="N3638" s="40">
        <v>41709.0</v>
      </c>
      <c r="O3638" s="15" t="s">
        <v>1554</v>
      </c>
      <c r="Q3638" s="7"/>
    </row>
    <row r="3639">
      <c r="A3639" s="39" t="s">
        <v>14931</v>
      </c>
      <c r="B3639" s="15">
        <v>1056830.0</v>
      </c>
      <c r="C3639" s="15" t="s">
        <v>14932</v>
      </c>
      <c r="D3639" s="15">
        <v>240739.0</v>
      </c>
      <c r="E3639" s="15" t="s">
        <v>1557</v>
      </c>
      <c r="F3639" s="15" t="s">
        <v>1833</v>
      </c>
      <c r="G3639" s="7">
        <v>43.036</v>
      </c>
      <c r="H3639" s="15" t="s">
        <v>2400</v>
      </c>
      <c r="I3639" s="15" t="s">
        <v>1586</v>
      </c>
      <c r="J3639" s="15" t="s">
        <v>14933</v>
      </c>
      <c r="K3639" s="15">
        <v>68.0</v>
      </c>
      <c r="L3639" s="15">
        <v>68.0</v>
      </c>
      <c r="M3639" s="40">
        <v>40761.0</v>
      </c>
      <c r="N3639" s="40">
        <v>42446.0</v>
      </c>
      <c r="O3639" s="15" t="s">
        <v>1554</v>
      </c>
      <c r="Q3639" s="7"/>
    </row>
    <row r="3640">
      <c r="A3640" s="39" t="s">
        <v>14934</v>
      </c>
      <c r="B3640" s="15">
        <v>1051138.0</v>
      </c>
      <c r="C3640" s="15" t="s">
        <v>14935</v>
      </c>
      <c r="D3640" s="15">
        <v>240741.0</v>
      </c>
      <c r="E3640" s="15" t="s">
        <v>1557</v>
      </c>
      <c r="F3640" s="15" t="s">
        <v>1833</v>
      </c>
      <c r="G3640" s="7">
        <v>51.421</v>
      </c>
      <c r="H3640" s="15" t="s">
        <v>6661</v>
      </c>
      <c r="I3640" s="15" t="s">
        <v>1586</v>
      </c>
      <c r="J3640" s="15" t="s">
        <v>14936</v>
      </c>
      <c r="K3640" s="15">
        <v>85.0</v>
      </c>
      <c r="L3640" s="15">
        <v>85.0</v>
      </c>
      <c r="M3640" s="40">
        <v>40740.0</v>
      </c>
      <c r="N3640" s="40">
        <v>41709.0</v>
      </c>
      <c r="O3640" s="15" t="s">
        <v>1554</v>
      </c>
      <c r="Q3640" s="7"/>
    </row>
    <row r="3641">
      <c r="A3641" s="39" t="s">
        <v>14937</v>
      </c>
      <c r="B3641" s="15">
        <v>691966.0</v>
      </c>
      <c r="C3641" s="15" t="s">
        <v>14938</v>
      </c>
      <c r="D3641" s="15">
        <v>240743.0</v>
      </c>
      <c r="E3641" s="15" t="s">
        <v>1557</v>
      </c>
      <c r="F3641" s="15" t="s">
        <v>1833</v>
      </c>
      <c r="G3641" s="7">
        <v>75.772</v>
      </c>
      <c r="H3641" s="15" t="s">
        <v>1778</v>
      </c>
      <c r="I3641" s="15" t="s">
        <v>1586</v>
      </c>
      <c r="J3641" s="15" t="s">
        <v>14939</v>
      </c>
      <c r="K3641" s="15">
        <v>105.0</v>
      </c>
      <c r="L3641" s="15">
        <v>105.0</v>
      </c>
      <c r="M3641" s="40">
        <v>40258.0</v>
      </c>
      <c r="N3641" s="40">
        <v>41709.0</v>
      </c>
      <c r="O3641" s="15" t="s">
        <v>1554</v>
      </c>
      <c r="Q3641" s="7"/>
    </row>
    <row r="3642">
      <c r="A3642" s="39" t="s">
        <v>14941</v>
      </c>
      <c r="B3642" s="15">
        <v>1052673.0</v>
      </c>
      <c r="C3642" s="15" t="s">
        <v>14942</v>
      </c>
      <c r="D3642" s="15">
        <v>240745.0</v>
      </c>
      <c r="E3642" s="15" t="s">
        <v>1557</v>
      </c>
      <c r="F3642" s="15" t="s">
        <v>1833</v>
      </c>
      <c r="G3642" s="7">
        <v>106.327</v>
      </c>
      <c r="H3642" s="15" t="s">
        <v>13856</v>
      </c>
      <c r="I3642" s="15" t="s">
        <v>1586</v>
      </c>
      <c r="J3642" s="15" t="s">
        <v>14943</v>
      </c>
      <c r="K3642" s="15">
        <v>218.0</v>
      </c>
      <c r="L3642" s="15">
        <v>216.0</v>
      </c>
      <c r="M3642" s="40">
        <v>40740.0</v>
      </c>
      <c r="N3642" s="40">
        <v>41709.0</v>
      </c>
      <c r="O3642" s="15" t="s">
        <v>1554</v>
      </c>
      <c r="Q3642" s="7"/>
    </row>
    <row r="3643">
      <c r="A3643" s="39" t="s">
        <v>14944</v>
      </c>
      <c r="B3643" s="15">
        <v>691963.0</v>
      </c>
      <c r="C3643" s="15" t="s">
        <v>14945</v>
      </c>
      <c r="D3643" s="15">
        <v>240746.0</v>
      </c>
      <c r="E3643" s="15" t="s">
        <v>1557</v>
      </c>
      <c r="F3643" s="15" t="s">
        <v>1833</v>
      </c>
      <c r="G3643" s="7">
        <v>59.231</v>
      </c>
      <c r="H3643" s="15" t="s">
        <v>2632</v>
      </c>
      <c r="I3643" s="15" t="s">
        <v>1586</v>
      </c>
      <c r="J3643" s="15" t="s">
        <v>14946</v>
      </c>
      <c r="K3643" s="15">
        <v>84.0</v>
      </c>
      <c r="L3643" s="15">
        <v>84.0</v>
      </c>
      <c r="M3643" s="40">
        <v>40258.0</v>
      </c>
      <c r="N3643" s="40">
        <v>41709.0</v>
      </c>
      <c r="O3643" s="15" t="s">
        <v>1554</v>
      </c>
      <c r="Q3643" s="7"/>
    </row>
    <row r="3644">
      <c r="A3644" s="39" t="s">
        <v>14947</v>
      </c>
      <c r="B3644" s="15">
        <v>926067.0</v>
      </c>
      <c r="C3644" s="15" t="s">
        <v>14948</v>
      </c>
      <c r="D3644" s="15">
        <v>240747.0</v>
      </c>
      <c r="E3644" s="15" t="s">
        <v>1557</v>
      </c>
      <c r="F3644" s="15" t="s">
        <v>1767</v>
      </c>
      <c r="G3644" s="7">
        <v>222.006</v>
      </c>
      <c r="H3644" s="15">
        <v>42.0</v>
      </c>
      <c r="I3644" s="15" t="s">
        <v>1586</v>
      </c>
      <c r="J3644" s="15" t="s">
        <v>14949</v>
      </c>
      <c r="K3644" s="15">
        <v>356.0</v>
      </c>
      <c r="L3644" s="15">
        <v>330.0</v>
      </c>
      <c r="M3644" s="41">
        <v>40506.0</v>
      </c>
      <c r="N3644" s="40">
        <v>41709.0</v>
      </c>
      <c r="O3644" s="15" t="s">
        <v>1554</v>
      </c>
      <c r="Q3644" s="7"/>
    </row>
    <row r="3645">
      <c r="A3645" s="39" t="s">
        <v>14950</v>
      </c>
      <c r="B3645" s="15">
        <v>1168595.0</v>
      </c>
      <c r="C3645" s="15" t="s">
        <v>14951</v>
      </c>
      <c r="D3645" s="15">
        <v>240749.0</v>
      </c>
      <c r="E3645" s="15" t="s">
        <v>1557</v>
      </c>
      <c r="F3645" s="15" t="s">
        <v>1833</v>
      </c>
      <c r="G3645" s="7">
        <v>53.684</v>
      </c>
      <c r="H3645" s="15" t="s">
        <v>3542</v>
      </c>
      <c r="I3645" s="15" t="s">
        <v>1586</v>
      </c>
      <c r="J3645" s="15" t="s">
        <v>14952</v>
      </c>
      <c r="K3645" s="15">
        <v>99.0</v>
      </c>
      <c r="L3645" s="15">
        <v>99.0</v>
      </c>
      <c r="M3645" s="40">
        <v>41070.0</v>
      </c>
      <c r="N3645" s="40">
        <v>42650.0</v>
      </c>
      <c r="O3645" s="15" t="s">
        <v>1554</v>
      </c>
      <c r="Q3645" s="7"/>
    </row>
    <row r="3646">
      <c r="A3646" s="39" t="s">
        <v>14953</v>
      </c>
      <c r="B3646" s="15">
        <v>691965.0</v>
      </c>
      <c r="C3646" s="15" t="s">
        <v>14954</v>
      </c>
      <c r="D3646" s="15">
        <v>240750.0</v>
      </c>
      <c r="E3646" s="15" t="s">
        <v>1557</v>
      </c>
      <c r="F3646" s="15" t="s">
        <v>1833</v>
      </c>
      <c r="G3646" s="7">
        <v>76.797</v>
      </c>
      <c r="H3646" s="15" t="s">
        <v>1597</v>
      </c>
      <c r="I3646" s="15" t="s">
        <v>1586</v>
      </c>
      <c r="J3646" s="15" t="s">
        <v>14955</v>
      </c>
      <c r="K3646" s="15">
        <v>108.0</v>
      </c>
      <c r="L3646" s="15">
        <v>107.0</v>
      </c>
      <c r="M3646" s="40">
        <v>40258.0</v>
      </c>
      <c r="N3646" s="40">
        <v>41709.0</v>
      </c>
      <c r="O3646" s="15" t="s">
        <v>1554</v>
      </c>
      <c r="Q3646" s="7"/>
    </row>
    <row r="3647">
      <c r="A3647" s="39" t="s">
        <v>14957</v>
      </c>
      <c r="B3647" s="15">
        <v>691964.0</v>
      </c>
      <c r="C3647" s="15" t="s">
        <v>14958</v>
      </c>
      <c r="D3647" s="15">
        <v>240751.0</v>
      </c>
      <c r="E3647" s="15" t="s">
        <v>1557</v>
      </c>
      <c r="F3647" s="15" t="s">
        <v>1833</v>
      </c>
      <c r="G3647" s="7">
        <v>78.064</v>
      </c>
      <c r="H3647" s="15" t="s">
        <v>5627</v>
      </c>
      <c r="I3647" s="15" t="s">
        <v>1586</v>
      </c>
      <c r="J3647" s="15" t="s">
        <v>14959</v>
      </c>
      <c r="K3647" s="15">
        <v>108.0</v>
      </c>
      <c r="L3647" s="15">
        <v>107.0</v>
      </c>
      <c r="M3647" s="40">
        <v>40258.0</v>
      </c>
      <c r="N3647" s="40">
        <v>41709.0</v>
      </c>
      <c r="O3647" s="15" t="s">
        <v>1554</v>
      </c>
      <c r="Q3647" s="7"/>
    </row>
    <row r="3648">
      <c r="A3648" s="39" t="s">
        <v>14960</v>
      </c>
      <c r="B3648" s="15">
        <v>1089132.0</v>
      </c>
      <c r="C3648" s="15" t="s">
        <v>14961</v>
      </c>
      <c r="D3648" s="15">
        <v>240752.0</v>
      </c>
      <c r="E3648" s="15" t="s">
        <v>1557</v>
      </c>
      <c r="F3648" s="15" t="s">
        <v>1833</v>
      </c>
      <c r="G3648" s="7">
        <v>59.016</v>
      </c>
      <c r="H3648" s="15" t="s">
        <v>3890</v>
      </c>
      <c r="I3648" s="15" t="s">
        <v>1586</v>
      </c>
      <c r="J3648" s="15" t="s">
        <v>14962</v>
      </c>
      <c r="K3648" s="15">
        <v>105.0</v>
      </c>
      <c r="L3648" s="15">
        <v>105.0</v>
      </c>
      <c r="M3648" s="40">
        <v>40853.0</v>
      </c>
      <c r="N3648" s="40">
        <v>41709.0</v>
      </c>
      <c r="O3648" s="15" t="s">
        <v>1554</v>
      </c>
      <c r="Q3648" s="7"/>
    </row>
    <row r="3649">
      <c r="A3649" s="39" t="s">
        <v>14963</v>
      </c>
      <c r="B3649" s="15">
        <v>1089136.0</v>
      </c>
      <c r="C3649" s="15" t="s">
        <v>14964</v>
      </c>
      <c r="D3649" s="15">
        <v>240753.0</v>
      </c>
      <c r="E3649" s="15" t="s">
        <v>1557</v>
      </c>
      <c r="F3649" s="15" t="s">
        <v>1833</v>
      </c>
      <c r="G3649" s="7">
        <v>68.311</v>
      </c>
      <c r="H3649" s="15" t="s">
        <v>4308</v>
      </c>
      <c r="I3649" s="15" t="s">
        <v>1586</v>
      </c>
      <c r="J3649" s="15" t="s">
        <v>14965</v>
      </c>
      <c r="K3649" s="15">
        <v>102.0</v>
      </c>
      <c r="L3649" s="15">
        <v>102.0</v>
      </c>
      <c r="M3649" s="40">
        <v>40853.0</v>
      </c>
      <c r="N3649" s="40">
        <v>41709.0</v>
      </c>
      <c r="O3649" s="15" t="s">
        <v>1554</v>
      </c>
      <c r="Q3649" s="7"/>
    </row>
    <row r="3650">
      <c r="A3650" s="39" t="s">
        <v>14966</v>
      </c>
      <c r="B3650" s="15">
        <v>1089135.0</v>
      </c>
      <c r="C3650" s="15" t="s">
        <v>14967</v>
      </c>
      <c r="D3650" s="15">
        <v>240754.0</v>
      </c>
      <c r="E3650" s="15" t="s">
        <v>1557</v>
      </c>
      <c r="F3650" s="15" t="s">
        <v>1833</v>
      </c>
      <c r="G3650" s="7">
        <v>71.341</v>
      </c>
      <c r="H3650" s="15" t="s">
        <v>11275</v>
      </c>
      <c r="I3650" s="15" t="s">
        <v>1586</v>
      </c>
      <c r="J3650" s="15" t="s">
        <v>14968</v>
      </c>
      <c r="K3650" s="15">
        <v>128.0</v>
      </c>
      <c r="L3650" s="15">
        <v>128.0</v>
      </c>
      <c r="M3650" s="40">
        <v>40853.0</v>
      </c>
      <c r="N3650" s="40">
        <v>41709.0</v>
      </c>
      <c r="O3650" s="15" t="s">
        <v>1554</v>
      </c>
      <c r="Q3650" s="7"/>
    </row>
    <row r="3651">
      <c r="A3651" s="39" t="s">
        <v>14970</v>
      </c>
      <c r="B3651" s="15">
        <v>1162290.0</v>
      </c>
      <c r="C3651" s="15" t="s">
        <v>14971</v>
      </c>
      <c r="D3651" s="15">
        <v>240755.0</v>
      </c>
      <c r="E3651" s="15" t="s">
        <v>1557</v>
      </c>
      <c r="F3651" s="15" t="s">
        <v>1767</v>
      </c>
      <c r="G3651" s="7">
        <v>151.924</v>
      </c>
      <c r="H3651" s="15" t="s">
        <v>3973</v>
      </c>
      <c r="I3651" s="15" t="s">
        <v>1586</v>
      </c>
      <c r="J3651" s="15" t="s">
        <v>14972</v>
      </c>
      <c r="K3651" s="15">
        <v>298.0</v>
      </c>
      <c r="L3651" s="15">
        <v>281.0</v>
      </c>
      <c r="M3651" s="40">
        <v>41333.0</v>
      </c>
      <c r="N3651" s="40">
        <v>41709.0</v>
      </c>
      <c r="O3651" s="15" t="s">
        <v>1554</v>
      </c>
      <c r="Q3651" s="7"/>
    </row>
    <row r="3652">
      <c r="A3652" s="39" t="s">
        <v>14973</v>
      </c>
      <c r="B3652" s="15">
        <v>1089117.0</v>
      </c>
      <c r="C3652" s="15" t="s">
        <v>14974</v>
      </c>
      <c r="D3652" s="15">
        <v>240757.0</v>
      </c>
      <c r="E3652" s="15" t="s">
        <v>1557</v>
      </c>
      <c r="F3652" s="15" t="s">
        <v>1833</v>
      </c>
      <c r="G3652" s="7">
        <v>52.288</v>
      </c>
      <c r="H3652" s="15" t="s">
        <v>4108</v>
      </c>
      <c r="I3652" s="15" t="s">
        <v>1586</v>
      </c>
      <c r="J3652" s="15" t="s">
        <v>14975</v>
      </c>
      <c r="K3652" s="15">
        <v>106.0</v>
      </c>
      <c r="L3652" s="15">
        <v>103.0</v>
      </c>
      <c r="M3652" s="40">
        <v>40853.0</v>
      </c>
      <c r="N3652" s="40">
        <v>41709.0</v>
      </c>
      <c r="O3652" s="15" t="s">
        <v>1554</v>
      </c>
      <c r="Q3652" s="7"/>
    </row>
    <row r="3653">
      <c r="A3653" s="39" t="s">
        <v>14976</v>
      </c>
      <c r="B3653" s="15">
        <v>1089128.0</v>
      </c>
      <c r="C3653" s="15" t="s">
        <v>14977</v>
      </c>
      <c r="D3653" s="15">
        <v>240758.0</v>
      </c>
      <c r="E3653" s="15" t="s">
        <v>1557</v>
      </c>
      <c r="F3653" s="15" t="s">
        <v>1833</v>
      </c>
      <c r="G3653" s="7">
        <v>52.379</v>
      </c>
      <c r="H3653" s="15" t="s">
        <v>6661</v>
      </c>
      <c r="I3653" s="15" t="s">
        <v>1586</v>
      </c>
      <c r="J3653" s="15" t="s">
        <v>14978</v>
      </c>
      <c r="K3653" s="15">
        <v>95.0</v>
      </c>
      <c r="L3653" s="15">
        <v>95.0</v>
      </c>
      <c r="M3653" s="40">
        <v>40853.0</v>
      </c>
      <c r="N3653" s="40">
        <v>41709.0</v>
      </c>
      <c r="O3653" s="15" t="s">
        <v>1554</v>
      </c>
      <c r="Q3653" s="7"/>
    </row>
    <row r="3654">
      <c r="A3654" s="39" t="s">
        <v>14979</v>
      </c>
      <c r="B3654" s="15">
        <v>1089121.0</v>
      </c>
      <c r="C3654" s="15" t="s">
        <v>14981</v>
      </c>
      <c r="D3654" s="15">
        <v>240759.0</v>
      </c>
      <c r="E3654" s="15" t="s">
        <v>1557</v>
      </c>
      <c r="F3654" s="15" t="s">
        <v>1833</v>
      </c>
      <c r="G3654" s="7">
        <v>64.613</v>
      </c>
      <c r="H3654" s="15">
        <v>66.0</v>
      </c>
      <c r="I3654" s="15" t="s">
        <v>1586</v>
      </c>
      <c r="J3654" s="15" t="s">
        <v>14982</v>
      </c>
      <c r="K3654" s="15">
        <v>94.0</v>
      </c>
      <c r="L3654" s="15">
        <v>94.0</v>
      </c>
      <c r="M3654" s="40">
        <v>40853.0</v>
      </c>
      <c r="N3654" s="40">
        <v>41709.0</v>
      </c>
      <c r="O3654" s="15" t="s">
        <v>1554</v>
      </c>
      <c r="Q3654" s="7"/>
    </row>
    <row r="3655">
      <c r="A3655" s="39" t="s">
        <v>14983</v>
      </c>
      <c r="B3655" s="15">
        <v>1089122.0</v>
      </c>
      <c r="C3655" s="15" t="s">
        <v>14984</v>
      </c>
      <c r="D3655" s="15">
        <v>240760.0</v>
      </c>
      <c r="E3655" s="15" t="s">
        <v>1557</v>
      </c>
      <c r="F3655" s="15" t="s">
        <v>1833</v>
      </c>
      <c r="G3655" s="7">
        <v>67.949</v>
      </c>
      <c r="H3655" s="15" t="s">
        <v>9965</v>
      </c>
      <c r="I3655" s="15" t="s">
        <v>1586</v>
      </c>
      <c r="J3655" s="15" t="s">
        <v>14985</v>
      </c>
      <c r="K3655" s="15">
        <v>102.0</v>
      </c>
      <c r="L3655" s="15">
        <v>102.0</v>
      </c>
      <c r="M3655" s="40">
        <v>40853.0</v>
      </c>
      <c r="N3655" s="40">
        <v>41709.0</v>
      </c>
      <c r="O3655" s="15" t="s">
        <v>1554</v>
      </c>
      <c r="Q3655" s="7"/>
    </row>
    <row r="3656">
      <c r="A3656" s="39" t="s">
        <v>14986</v>
      </c>
      <c r="B3656" s="15">
        <v>1089108.0</v>
      </c>
      <c r="C3656" s="15" t="s">
        <v>14987</v>
      </c>
      <c r="D3656" s="15">
        <v>240761.0</v>
      </c>
      <c r="E3656" s="15" t="s">
        <v>1557</v>
      </c>
      <c r="F3656" s="15" t="s">
        <v>1833</v>
      </c>
      <c r="G3656" s="7">
        <v>68.494</v>
      </c>
      <c r="H3656" s="15" t="s">
        <v>4308</v>
      </c>
      <c r="I3656" s="15" t="s">
        <v>1586</v>
      </c>
      <c r="J3656" s="15" t="s">
        <v>14988</v>
      </c>
      <c r="K3656" s="15">
        <v>101.0</v>
      </c>
      <c r="L3656" s="15">
        <v>101.0</v>
      </c>
      <c r="M3656" s="40">
        <v>40853.0</v>
      </c>
      <c r="N3656" s="40">
        <v>42186.0</v>
      </c>
      <c r="O3656" s="15" t="s">
        <v>1554</v>
      </c>
      <c r="Q3656" s="7"/>
    </row>
    <row r="3657">
      <c r="A3657" s="39" t="s">
        <v>14990</v>
      </c>
      <c r="B3657" s="15">
        <v>1089120.0</v>
      </c>
      <c r="C3657" s="15" t="s">
        <v>14991</v>
      </c>
      <c r="D3657" s="15">
        <v>240765.0</v>
      </c>
      <c r="E3657" s="15" t="s">
        <v>1557</v>
      </c>
      <c r="F3657" s="15" t="s">
        <v>1833</v>
      </c>
      <c r="G3657" s="7">
        <v>56.461</v>
      </c>
      <c r="H3657" s="15" t="s">
        <v>10442</v>
      </c>
      <c r="I3657" s="15" t="s">
        <v>1586</v>
      </c>
      <c r="J3657" s="15" t="s">
        <v>14992</v>
      </c>
      <c r="K3657" s="15">
        <v>106.0</v>
      </c>
      <c r="L3657" s="15">
        <v>106.0</v>
      </c>
      <c r="M3657" s="40">
        <v>40853.0</v>
      </c>
      <c r="N3657" s="40">
        <v>41709.0</v>
      </c>
      <c r="O3657" s="15" t="s">
        <v>1554</v>
      </c>
      <c r="Q3657" s="7"/>
    </row>
    <row r="3658">
      <c r="A3658" s="39" t="s">
        <v>14993</v>
      </c>
      <c r="B3658" s="15">
        <v>1089115.0</v>
      </c>
      <c r="C3658" s="15" t="s">
        <v>14994</v>
      </c>
      <c r="D3658" s="15">
        <v>240766.0</v>
      </c>
      <c r="E3658" s="15" t="s">
        <v>1557</v>
      </c>
      <c r="F3658" s="15" t="s">
        <v>1833</v>
      </c>
      <c r="G3658" s="7">
        <v>48.42</v>
      </c>
      <c r="H3658" s="15" t="s">
        <v>2632</v>
      </c>
      <c r="I3658" s="15" t="s">
        <v>1586</v>
      </c>
      <c r="J3658" s="15" t="s">
        <v>14995</v>
      </c>
      <c r="K3658" s="15">
        <v>78.0</v>
      </c>
      <c r="L3658" s="15">
        <v>78.0</v>
      </c>
      <c r="M3658" s="40">
        <v>40853.0</v>
      </c>
      <c r="N3658" s="40">
        <v>42752.0</v>
      </c>
      <c r="O3658" s="15" t="s">
        <v>1554</v>
      </c>
      <c r="Q3658" s="7"/>
    </row>
    <row r="3659">
      <c r="A3659" s="39" t="s">
        <v>14996</v>
      </c>
      <c r="B3659" s="15">
        <v>1089111.0</v>
      </c>
      <c r="C3659" s="15" t="s">
        <v>14997</v>
      </c>
      <c r="D3659" s="15">
        <v>240767.0</v>
      </c>
      <c r="E3659" s="15" t="s">
        <v>1557</v>
      </c>
      <c r="F3659" s="15" t="s">
        <v>1833</v>
      </c>
      <c r="G3659" s="7">
        <v>53.177</v>
      </c>
      <c r="H3659" s="15" t="s">
        <v>13399</v>
      </c>
      <c r="I3659" s="15" t="s">
        <v>1586</v>
      </c>
      <c r="J3659" s="15" t="s">
        <v>14998</v>
      </c>
      <c r="K3659" s="15">
        <v>97.0</v>
      </c>
      <c r="L3659" s="15">
        <v>96.0</v>
      </c>
      <c r="M3659" s="40">
        <v>40853.0</v>
      </c>
      <c r="N3659" s="40">
        <v>41709.0</v>
      </c>
      <c r="O3659" s="15" t="s">
        <v>1554</v>
      </c>
      <c r="Q3659" s="7"/>
    </row>
    <row r="3660">
      <c r="A3660" s="39" t="s">
        <v>15000</v>
      </c>
      <c r="B3660" s="15">
        <v>1089118.0</v>
      </c>
      <c r="C3660" s="15" t="s">
        <v>15001</v>
      </c>
      <c r="D3660" s="15">
        <v>240768.0</v>
      </c>
      <c r="E3660" s="15" t="s">
        <v>1557</v>
      </c>
      <c r="F3660" s="15" t="s">
        <v>1833</v>
      </c>
      <c r="G3660" s="7">
        <v>53.003</v>
      </c>
      <c r="H3660" s="15" t="s">
        <v>3542</v>
      </c>
      <c r="I3660" s="15" t="s">
        <v>1586</v>
      </c>
      <c r="J3660" s="15" t="s">
        <v>15002</v>
      </c>
      <c r="K3660" s="15">
        <v>96.0</v>
      </c>
      <c r="L3660" s="15">
        <v>96.0</v>
      </c>
      <c r="M3660" s="40">
        <v>40853.0</v>
      </c>
      <c r="N3660" s="40">
        <v>41709.0</v>
      </c>
      <c r="O3660" s="15" t="s">
        <v>1554</v>
      </c>
      <c r="Q3660" s="7"/>
    </row>
    <row r="3661">
      <c r="A3661" s="39" t="s">
        <v>15003</v>
      </c>
      <c r="B3661" s="15">
        <v>1089119.0</v>
      </c>
      <c r="C3661" s="15" t="s">
        <v>15004</v>
      </c>
      <c r="D3661" s="15">
        <v>240769.0</v>
      </c>
      <c r="E3661" s="15" t="s">
        <v>1557</v>
      </c>
      <c r="F3661" s="15" t="s">
        <v>1833</v>
      </c>
      <c r="G3661" s="7">
        <v>110.569</v>
      </c>
      <c r="H3661" s="15" t="s">
        <v>4190</v>
      </c>
      <c r="I3661" s="15" t="s">
        <v>1586</v>
      </c>
      <c r="J3661" s="15" t="s">
        <v>15005</v>
      </c>
      <c r="K3661" s="15">
        <v>243.0</v>
      </c>
      <c r="L3661" s="15">
        <v>241.0</v>
      </c>
      <c r="M3661" s="40">
        <v>40853.0</v>
      </c>
      <c r="N3661" s="40">
        <v>41709.0</v>
      </c>
      <c r="O3661" s="15" t="s">
        <v>1554</v>
      </c>
      <c r="Q3661" s="7"/>
    </row>
    <row r="3662">
      <c r="A3662" s="39" t="s">
        <v>15006</v>
      </c>
      <c r="B3662" s="15">
        <v>1089116.0</v>
      </c>
      <c r="C3662" s="15" t="s">
        <v>15007</v>
      </c>
      <c r="D3662" s="15">
        <v>240771.0</v>
      </c>
      <c r="E3662" s="15" t="s">
        <v>1557</v>
      </c>
      <c r="F3662" s="15" t="s">
        <v>1833</v>
      </c>
      <c r="G3662" s="7">
        <v>51.821</v>
      </c>
      <c r="H3662" s="15" t="s">
        <v>2831</v>
      </c>
      <c r="I3662" s="15" t="s">
        <v>1586</v>
      </c>
      <c r="J3662" s="15" t="s">
        <v>15008</v>
      </c>
      <c r="K3662" s="15">
        <v>86.0</v>
      </c>
      <c r="L3662" s="15">
        <v>86.0</v>
      </c>
      <c r="M3662" s="40">
        <v>40853.0</v>
      </c>
      <c r="N3662" s="40">
        <v>41709.0</v>
      </c>
      <c r="O3662" s="15" t="s">
        <v>1554</v>
      </c>
      <c r="Q3662" s="7"/>
    </row>
    <row r="3663">
      <c r="A3663" s="39" t="s">
        <v>15010</v>
      </c>
      <c r="B3663" s="15">
        <v>928293.0</v>
      </c>
      <c r="C3663" s="15" t="s">
        <v>15011</v>
      </c>
      <c r="D3663" s="15">
        <v>240772.0</v>
      </c>
      <c r="E3663" s="15" t="s">
        <v>1557</v>
      </c>
      <c r="F3663" s="15" t="s">
        <v>1611</v>
      </c>
      <c r="G3663" s="7">
        <v>38.616</v>
      </c>
      <c r="H3663" s="15" t="s">
        <v>2836</v>
      </c>
      <c r="I3663" s="15" t="s">
        <v>1586</v>
      </c>
      <c r="J3663" s="15" t="s">
        <v>15012</v>
      </c>
      <c r="K3663" s="15">
        <v>45.0</v>
      </c>
      <c r="L3663" s="15">
        <v>45.0</v>
      </c>
      <c r="M3663" s="41">
        <v>40510.0</v>
      </c>
      <c r="N3663" s="40">
        <v>41709.0</v>
      </c>
      <c r="O3663" s="15" t="s">
        <v>1554</v>
      </c>
      <c r="Q3663" s="7"/>
    </row>
    <row r="3664">
      <c r="A3664" s="39" t="s">
        <v>15013</v>
      </c>
      <c r="B3664" s="15">
        <v>1088865.0</v>
      </c>
      <c r="C3664" s="15" t="s">
        <v>15014</v>
      </c>
      <c r="D3664" s="15">
        <v>240773.0</v>
      </c>
      <c r="E3664" s="15" t="s">
        <v>1557</v>
      </c>
      <c r="F3664" s="15" t="s">
        <v>1767</v>
      </c>
      <c r="G3664" s="7">
        <v>154.573</v>
      </c>
      <c r="H3664" s="15" t="s">
        <v>4171</v>
      </c>
      <c r="I3664" s="15" t="s">
        <v>1586</v>
      </c>
      <c r="J3664" s="15" t="s">
        <v>15015</v>
      </c>
      <c r="K3664" s="15">
        <v>264.0</v>
      </c>
      <c r="L3664" s="15">
        <v>230.0</v>
      </c>
      <c r="M3664" s="41">
        <v>40847.0</v>
      </c>
      <c r="N3664" s="40">
        <v>41709.0</v>
      </c>
      <c r="O3664" s="15" t="s">
        <v>1554</v>
      </c>
      <c r="Q3664" s="7"/>
    </row>
    <row r="3665">
      <c r="A3665" s="39" t="s">
        <v>15016</v>
      </c>
      <c r="B3665" s="15">
        <v>1088866.0</v>
      </c>
      <c r="C3665" s="15" t="s">
        <v>15017</v>
      </c>
      <c r="D3665" s="15">
        <v>240775.0</v>
      </c>
      <c r="E3665" s="15" t="s">
        <v>1557</v>
      </c>
      <c r="F3665" s="15" t="s">
        <v>1767</v>
      </c>
      <c r="G3665" s="7">
        <v>156.646</v>
      </c>
      <c r="H3665" s="15" t="s">
        <v>8929</v>
      </c>
      <c r="I3665" s="15" t="s">
        <v>1586</v>
      </c>
      <c r="J3665" s="15" t="s">
        <v>15018</v>
      </c>
      <c r="K3665" s="15">
        <v>267.0</v>
      </c>
      <c r="L3665" s="15">
        <v>234.0</v>
      </c>
      <c r="M3665" s="41">
        <v>40847.0</v>
      </c>
      <c r="N3665" s="40">
        <v>41709.0</v>
      </c>
      <c r="O3665" s="15" t="s">
        <v>1554</v>
      </c>
      <c r="Q3665" s="7"/>
    </row>
    <row r="3666">
      <c r="A3666" s="39" t="s">
        <v>15019</v>
      </c>
      <c r="B3666" s="15">
        <v>1303019.0</v>
      </c>
      <c r="C3666" s="15" t="s">
        <v>15020</v>
      </c>
      <c r="D3666" s="15">
        <v>241100.0</v>
      </c>
      <c r="E3666" s="15" t="s">
        <v>1548</v>
      </c>
      <c r="F3666" s="15" t="s">
        <v>1838</v>
      </c>
      <c r="G3666" s="7">
        <v>10.283</v>
      </c>
      <c r="H3666" s="15" t="s">
        <v>15021</v>
      </c>
      <c r="I3666" s="15" t="s">
        <v>1686</v>
      </c>
      <c r="J3666" s="15" t="s">
        <v>15022</v>
      </c>
      <c r="K3666" s="15">
        <v>4.0</v>
      </c>
      <c r="L3666" s="15">
        <v>4.0</v>
      </c>
      <c r="M3666" s="40">
        <v>41357.0</v>
      </c>
      <c r="N3666" s="40">
        <v>41710.0</v>
      </c>
      <c r="O3666" s="15" t="s">
        <v>1554</v>
      </c>
      <c r="Q3666" s="7"/>
    </row>
    <row r="3667">
      <c r="A3667" s="39" t="s">
        <v>15023</v>
      </c>
      <c r="B3667" s="15">
        <v>743685.0</v>
      </c>
      <c r="C3667" s="15" t="s">
        <v>15025</v>
      </c>
      <c r="D3667" s="15">
        <v>241107.0</v>
      </c>
      <c r="E3667" s="15" t="s">
        <v>1548</v>
      </c>
      <c r="F3667" s="15" t="s">
        <v>1838</v>
      </c>
      <c r="G3667" s="7">
        <v>10.562</v>
      </c>
      <c r="H3667" s="15" t="s">
        <v>15026</v>
      </c>
      <c r="I3667" s="15" t="s">
        <v>1686</v>
      </c>
      <c r="J3667" s="15" t="s">
        <v>15027</v>
      </c>
      <c r="K3667" s="15">
        <v>4.0</v>
      </c>
      <c r="L3667" s="15">
        <v>4.0</v>
      </c>
      <c r="M3667" s="40">
        <v>40252.0</v>
      </c>
      <c r="N3667" s="40">
        <v>41710.0</v>
      </c>
      <c r="O3667" s="15" t="s">
        <v>1554</v>
      </c>
      <c r="Q3667" s="7"/>
    </row>
    <row r="3668">
      <c r="A3668" s="39" t="s">
        <v>15028</v>
      </c>
      <c r="B3668" s="15">
        <v>1239439.0</v>
      </c>
      <c r="C3668" s="15" t="s">
        <v>15029</v>
      </c>
      <c r="D3668" s="15">
        <v>14954.0</v>
      </c>
      <c r="E3668" s="15" t="s">
        <v>1548</v>
      </c>
      <c r="F3668" s="15" t="s">
        <v>1848</v>
      </c>
      <c r="G3668" s="7">
        <v>7.355</v>
      </c>
      <c r="H3668" s="15" t="s">
        <v>2869</v>
      </c>
      <c r="I3668" s="15" t="s">
        <v>1686</v>
      </c>
      <c r="J3668" s="15" t="s">
        <v>15030</v>
      </c>
      <c r="K3668" s="15">
        <v>2.0</v>
      </c>
      <c r="L3668" s="15">
        <v>3.0</v>
      </c>
      <c r="M3668" s="41">
        <v>36510.0</v>
      </c>
      <c r="N3668" s="40">
        <v>42045.0</v>
      </c>
      <c r="O3668" s="15" t="s">
        <v>1554</v>
      </c>
      <c r="Q3668" s="7"/>
    </row>
    <row r="3669">
      <c r="A3669" s="39" t="s">
        <v>15031</v>
      </c>
      <c r="B3669" s="15">
        <v>392505.0</v>
      </c>
      <c r="C3669" s="15" t="s">
        <v>15032</v>
      </c>
      <c r="D3669" s="15">
        <v>18011.0</v>
      </c>
      <c r="E3669" s="15" t="s">
        <v>1557</v>
      </c>
      <c r="F3669" s="15" t="s">
        <v>1822</v>
      </c>
      <c r="G3669" s="7">
        <v>7.522</v>
      </c>
      <c r="H3669" s="15" t="s">
        <v>2981</v>
      </c>
      <c r="I3669" s="15" t="s">
        <v>1686</v>
      </c>
      <c r="J3669" s="15" t="s">
        <v>15034</v>
      </c>
      <c r="K3669" s="15">
        <v>6.0</v>
      </c>
      <c r="L3669" s="15">
        <v>6.0</v>
      </c>
      <c r="M3669" s="40">
        <v>38991.0</v>
      </c>
      <c r="N3669" s="40">
        <v>41500.0</v>
      </c>
      <c r="O3669" s="15" t="s">
        <v>1554</v>
      </c>
      <c r="Q3669" s="7"/>
    </row>
    <row r="3670">
      <c r="A3670" s="39" t="s">
        <v>15035</v>
      </c>
      <c r="B3670" s="15">
        <v>572290.0</v>
      </c>
      <c r="C3670" s="15" t="s">
        <v>15036</v>
      </c>
      <c r="D3670" s="15">
        <v>32701.0</v>
      </c>
      <c r="E3670" s="15" t="s">
        <v>1548</v>
      </c>
      <c r="F3670" s="15" t="s">
        <v>1684</v>
      </c>
      <c r="G3670" s="7">
        <v>26.396</v>
      </c>
      <c r="H3670" s="15">
        <v>38.0</v>
      </c>
      <c r="I3670" s="15" t="s">
        <v>1686</v>
      </c>
      <c r="J3670" s="15" t="s">
        <v>15037</v>
      </c>
      <c r="K3670" s="15">
        <v>9.0</v>
      </c>
      <c r="L3670" s="15">
        <v>9.0</v>
      </c>
      <c r="M3670" s="40">
        <v>39759.0</v>
      </c>
      <c r="N3670" s="40">
        <v>42045.0</v>
      </c>
      <c r="O3670" s="15" t="s">
        <v>1554</v>
      </c>
      <c r="Q3670" s="7"/>
    </row>
    <row r="3671">
      <c r="A3671" s="39" t="s">
        <v>15038</v>
      </c>
      <c r="B3671" s="15">
        <v>572289.0</v>
      </c>
      <c r="C3671" s="15" t="s">
        <v>15039</v>
      </c>
      <c r="D3671" s="15">
        <v>32703.0</v>
      </c>
      <c r="E3671" s="15" t="s">
        <v>1548</v>
      </c>
      <c r="F3671" s="15" t="s">
        <v>1684</v>
      </c>
      <c r="G3671" s="7">
        <v>26.552</v>
      </c>
      <c r="H3671" s="15" t="s">
        <v>2163</v>
      </c>
      <c r="I3671" s="15" t="s">
        <v>1686</v>
      </c>
      <c r="J3671" s="15" t="s">
        <v>15040</v>
      </c>
      <c r="K3671" s="15">
        <v>9.0</v>
      </c>
      <c r="L3671" s="15">
        <v>9.0</v>
      </c>
      <c r="M3671" s="40">
        <v>39759.0</v>
      </c>
      <c r="N3671" s="40">
        <v>42045.0</v>
      </c>
      <c r="O3671" s="15" t="s">
        <v>1554</v>
      </c>
      <c r="Q3671" s="7"/>
    </row>
    <row r="3672">
      <c r="A3672" s="39" t="s">
        <v>15042</v>
      </c>
      <c r="B3672" s="15">
        <v>569195.0</v>
      </c>
      <c r="C3672" s="15" t="s">
        <v>15043</v>
      </c>
      <c r="D3672" s="15">
        <v>33533.0</v>
      </c>
      <c r="E3672" s="15" t="s">
        <v>1548</v>
      </c>
      <c r="F3672" s="15" t="s">
        <v>1776</v>
      </c>
      <c r="G3672" s="7">
        <v>8.21</v>
      </c>
      <c r="H3672" s="15" t="s">
        <v>3242</v>
      </c>
      <c r="I3672" s="15" t="s">
        <v>1686</v>
      </c>
      <c r="J3672" s="15" t="s">
        <v>15044</v>
      </c>
      <c r="K3672" s="15">
        <v>1.0</v>
      </c>
      <c r="L3672" s="15">
        <v>1.0</v>
      </c>
      <c r="M3672" s="40">
        <v>39786.0</v>
      </c>
      <c r="N3672" s="40">
        <v>40640.0</v>
      </c>
      <c r="O3672" s="15" t="s">
        <v>1554</v>
      </c>
      <c r="Q3672" s="7"/>
    </row>
    <row r="3673">
      <c r="A3673" s="39" t="s">
        <v>15045</v>
      </c>
      <c r="B3673" s="15">
        <v>159252.0</v>
      </c>
      <c r="C3673" s="15" t="s">
        <v>15046</v>
      </c>
      <c r="D3673" s="15">
        <v>14140.0</v>
      </c>
      <c r="E3673" s="15" t="s">
        <v>1577</v>
      </c>
      <c r="F3673" s="15" t="s">
        <v>1578</v>
      </c>
      <c r="G3673" s="7">
        <v>7.61</v>
      </c>
      <c r="H3673" s="15" t="s">
        <v>15047</v>
      </c>
      <c r="I3673" s="15" t="s">
        <v>1560</v>
      </c>
      <c r="J3673" s="15" t="s">
        <v>15048</v>
      </c>
      <c r="K3673" s="15">
        <v>6.0</v>
      </c>
      <c r="L3673" s="15">
        <v>6.0</v>
      </c>
      <c r="M3673" s="40">
        <v>37027.0</v>
      </c>
      <c r="N3673" s="41">
        <v>42306.0</v>
      </c>
      <c r="O3673" s="15" t="s">
        <v>1554</v>
      </c>
      <c r="Q3673" s="7"/>
    </row>
    <row r="3674">
      <c r="A3674" s="39" t="s">
        <v>15049</v>
      </c>
      <c r="B3674" s="15">
        <v>12451.0</v>
      </c>
      <c r="C3674" s="15" t="s">
        <v>15050</v>
      </c>
      <c r="D3674" s="15">
        <v>14791.0</v>
      </c>
      <c r="E3674" s="15" t="s">
        <v>1548</v>
      </c>
      <c r="F3674" s="15" t="s">
        <v>1578</v>
      </c>
      <c r="G3674" s="7">
        <v>7.68</v>
      </c>
      <c r="H3674" s="15" t="s">
        <v>15052</v>
      </c>
      <c r="I3674" s="15" t="s">
        <v>1628</v>
      </c>
      <c r="J3674" s="15" t="s">
        <v>15053</v>
      </c>
      <c r="K3674" s="15">
        <v>3.0</v>
      </c>
      <c r="L3674" s="15">
        <v>3.0</v>
      </c>
      <c r="M3674" s="40">
        <v>34096.0</v>
      </c>
      <c r="N3674" s="40">
        <v>42045.0</v>
      </c>
      <c r="O3674" s="15" t="s">
        <v>1554</v>
      </c>
      <c r="Q3674" s="7"/>
    </row>
    <row r="3675">
      <c r="A3675" s="39" t="s">
        <v>15054</v>
      </c>
      <c r="B3675" s="15">
        <v>12327.0</v>
      </c>
      <c r="C3675" s="15" t="s">
        <v>15055</v>
      </c>
      <c r="D3675" s="15">
        <v>15031.0</v>
      </c>
      <c r="E3675" s="15" t="s">
        <v>1548</v>
      </c>
      <c r="F3675" s="15" t="s">
        <v>2615</v>
      </c>
      <c r="G3675" s="7">
        <v>10.221</v>
      </c>
      <c r="H3675" s="15" t="s">
        <v>15056</v>
      </c>
      <c r="I3675" s="15" t="s">
        <v>1628</v>
      </c>
      <c r="J3675" s="15" t="s">
        <v>15057</v>
      </c>
      <c r="K3675" s="15">
        <v>8.0</v>
      </c>
      <c r="L3675" s="15">
        <v>7.0</v>
      </c>
      <c r="M3675" s="41">
        <v>31734.0</v>
      </c>
      <c r="N3675" s="40">
        <v>42045.0</v>
      </c>
      <c r="O3675" s="15" t="s">
        <v>1554</v>
      </c>
      <c r="Q3675" s="7"/>
    </row>
    <row r="3676">
      <c r="A3676" s="39" t="s">
        <v>15058</v>
      </c>
      <c r="B3676" s="15">
        <v>12475.0</v>
      </c>
      <c r="C3676" s="15" t="s">
        <v>15059</v>
      </c>
      <c r="D3676" s="15">
        <v>15032.0</v>
      </c>
      <c r="E3676" s="15" t="s">
        <v>15060</v>
      </c>
      <c r="F3676" s="15" t="s">
        <v>1578</v>
      </c>
      <c r="G3676" s="7">
        <v>1.682</v>
      </c>
      <c r="H3676" s="15" t="s">
        <v>2057</v>
      </c>
      <c r="I3676" s="15" t="s">
        <v>1567</v>
      </c>
      <c r="J3676" s="15" t="s">
        <v>15061</v>
      </c>
      <c r="K3676" s="15">
        <v>2.0</v>
      </c>
      <c r="L3676" s="15">
        <v>2.0</v>
      </c>
      <c r="M3676" s="40">
        <v>34088.0</v>
      </c>
      <c r="N3676" s="40">
        <v>42045.0</v>
      </c>
      <c r="O3676" s="15" t="s">
        <v>1554</v>
      </c>
      <c r="Q3676" s="7"/>
    </row>
    <row r="3677">
      <c r="A3677" s="39" t="s">
        <v>15062</v>
      </c>
      <c r="B3677" s="15">
        <v>1308863.0</v>
      </c>
      <c r="C3677" s="15" t="s">
        <v>15063</v>
      </c>
      <c r="D3677" s="15">
        <v>230848.0</v>
      </c>
      <c r="E3677" s="15" t="s">
        <v>1557</v>
      </c>
      <c r="F3677" s="15" t="s">
        <v>1833</v>
      </c>
      <c r="G3677" s="7">
        <v>168.876</v>
      </c>
      <c r="H3677" s="15" t="s">
        <v>7532</v>
      </c>
      <c r="I3677" s="15" t="s">
        <v>1586</v>
      </c>
      <c r="J3677" s="15" t="s">
        <v>15064</v>
      </c>
      <c r="K3677" s="15">
        <v>291.0</v>
      </c>
      <c r="L3677" s="15">
        <v>272.0</v>
      </c>
      <c r="M3677" s="41">
        <v>41576.0</v>
      </c>
      <c r="N3677" s="40">
        <v>41738.0</v>
      </c>
      <c r="O3677" s="15" t="s">
        <v>1554</v>
      </c>
      <c r="Q3677" s="7"/>
    </row>
    <row r="3678">
      <c r="A3678" s="39" t="s">
        <v>15066</v>
      </c>
      <c r="B3678" s="15">
        <v>1319979.0</v>
      </c>
      <c r="C3678" s="15" t="s">
        <v>15067</v>
      </c>
      <c r="D3678" s="15">
        <v>210930.0</v>
      </c>
      <c r="E3678" s="15" t="s">
        <v>10405</v>
      </c>
      <c r="F3678" s="15" t="s">
        <v>10436</v>
      </c>
      <c r="G3678" s="7">
        <v>0.358</v>
      </c>
      <c r="H3678" s="15" t="s">
        <v>10412</v>
      </c>
      <c r="I3678" s="15" t="s">
        <v>1628</v>
      </c>
      <c r="J3678" s="15" t="s">
        <v>15068</v>
      </c>
      <c r="K3678" s="15" t="s">
        <v>1722</v>
      </c>
      <c r="L3678" s="15" t="s">
        <v>1722</v>
      </c>
      <c r="M3678" s="40">
        <v>41464.0</v>
      </c>
      <c r="N3678" s="40">
        <v>41688.0</v>
      </c>
      <c r="O3678" s="15" t="s">
        <v>1554</v>
      </c>
      <c r="Q3678" s="7"/>
    </row>
    <row r="3679">
      <c r="A3679" s="39" t="s">
        <v>15069</v>
      </c>
      <c r="B3679" s="15">
        <v>1423421.0</v>
      </c>
      <c r="C3679" s="15" t="s">
        <v>15070</v>
      </c>
      <c r="D3679" s="15">
        <v>229823.0</v>
      </c>
      <c r="E3679" s="15" t="s">
        <v>10475</v>
      </c>
      <c r="F3679" s="15" t="s">
        <v>15069</v>
      </c>
      <c r="G3679" s="7">
        <v>0.412</v>
      </c>
      <c r="H3679" s="15" t="s">
        <v>1613</v>
      </c>
      <c r="I3679" s="15" t="s">
        <v>1628</v>
      </c>
      <c r="J3679" s="15" t="s">
        <v>15071</v>
      </c>
      <c r="K3679" s="15">
        <v>2.0</v>
      </c>
      <c r="L3679" s="15" t="s">
        <v>1722</v>
      </c>
      <c r="M3679" s="41">
        <v>41601.0</v>
      </c>
      <c r="N3679" s="40">
        <v>41729.0</v>
      </c>
      <c r="O3679" s="15" t="s">
        <v>1554</v>
      </c>
      <c r="Q3679" s="7"/>
    </row>
    <row r="3680">
      <c r="A3680" s="39" t="s">
        <v>15072</v>
      </c>
      <c r="B3680" s="15">
        <v>1330521.0</v>
      </c>
      <c r="C3680" s="15" t="s">
        <v>15073</v>
      </c>
      <c r="D3680" s="15">
        <v>29255.0</v>
      </c>
      <c r="E3680" s="15" t="s">
        <v>1548</v>
      </c>
      <c r="F3680" s="15" t="s">
        <v>1776</v>
      </c>
      <c r="G3680" s="7">
        <v>7.351</v>
      </c>
      <c r="H3680" s="15" t="s">
        <v>2864</v>
      </c>
      <c r="I3680" s="15" t="s">
        <v>1686</v>
      </c>
      <c r="J3680" s="15" t="s">
        <v>15075</v>
      </c>
      <c r="K3680" s="15">
        <v>1.0</v>
      </c>
      <c r="L3680" s="15">
        <v>1.0</v>
      </c>
      <c r="M3680" s="40">
        <v>37287.0</v>
      </c>
      <c r="N3680" s="40">
        <v>41722.0</v>
      </c>
      <c r="O3680" s="15" t="s">
        <v>1554</v>
      </c>
      <c r="Q3680" s="7"/>
    </row>
    <row r="3681">
      <c r="A3681" s="39" t="s">
        <v>15076</v>
      </c>
      <c r="B3681" s="15">
        <v>1382995.0</v>
      </c>
      <c r="C3681" s="15" t="s">
        <v>15077</v>
      </c>
      <c r="D3681" s="15">
        <v>237558.0</v>
      </c>
      <c r="E3681" s="15" t="s">
        <v>1659</v>
      </c>
      <c r="F3681" s="15" t="s">
        <v>1578</v>
      </c>
      <c r="G3681" s="7">
        <v>5.552</v>
      </c>
      <c r="H3681" s="15" t="s">
        <v>4070</v>
      </c>
      <c r="I3681" s="15" t="s">
        <v>15078</v>
      </c>
      <c r="J3681" s="15" t="s">
        <v>15079</v>
      </c>
      <c r="K3681" s="15">
        <v>3.0</v>
      </c>
      <c r="L3681" s="15">
        <v>3.0</v>
      </c>
      <c r="M3681" s="40">
        <v>41669.0</v>
      </c>
      <c r="N3681" s="40">
        <v>41683.0</v>
      </c>
      <c r="O3681" s="15" t="s">
        <v>1554</v>
      </c>
      <c r="Q3681" s="7"/>
    </row>
    <row r="3682">
      <c r="A3682" s="39" t="s">
        <v>15080</v>
      </c>
      <c r="B3682" s="15">
        <v>1301280.0</v>
      </c>
      <c r="C3682" s="15" t="s">
        <v>15081</v>
      </c>
      <c r="D3682" s="15">
        <v>239675.0</v>
      </c>
      <c r="E3682" s="15" t="s">
        <v>1557</v>
      </c>
      <c r="F3682" s="15" t="s">
        <v>3454</v>
      </c>
      <c r="G3682" s="7">
        <v>204.815</v>
      </c>
      <c r="H3682" s="42">
        <v>43189.0</v>
      </c>
      <c r="I3682" s="15" t="s">
        <v>1560</v>
      </c>
      <c r="J3682" s="15" t="s">
        <v>15083</v>
      </c>
      <c r="K3682" s="15">
        <v>177.0</v>
      </c>
      <c r="L3682" s="15">
        <v>177.0</v>
      </c>
      <c r="M3682" s="40">
        <v>41697.0</v>
      </c>
      <c r="N3682" s="40">
        <v>41773.0</v>
      </c>
      <c r="O3682" s="15" t="s">
        <v>1554</v>
      </c>
      <c r="Q3682" s="7"/>
    </row>
    <row r="3683">
      <c r="A3683" s="39" t="s">
        <v>15084</v>
      </c>
      <c r="B3683" s="15">
        <v>345585.0</v>
      </c>
      <c r="C3683" s="15" t="s">
        <v>15085</v>
      </c>
      <c r="D3683" s="15">
        <v>239677.0</v>
      </c>
      <c r="E3683" s="15" t="s">
        <v>1557</v>
      </c>
      <c r="F3683" s="15" t="s">
        <v>3454</v>
      </c>
      <c r="G3683" s="7">
        <v>198.533</v>
      </c>
      <c r="H3683" s="42">
        <v>43128.0</v>
      </c>
      <c r="I3683" s="15" t="s">
        <v>1560</v>
      </c>
      <c r="J3683" s="15" t="s">
        <v>15086</v>
      </c>
      <c r="K3683" s="15">
        <v>176.0</v>
      </c>
      <c r="L3683" s="15">
        <v>177.0</v>
      </c>
      <c r="M3683" s="40">
        <v>41697.0</v>
      </c>
      <c r="N3683" s="40">
        <v>41700.0</v>
      </c>
      <c r="O3683" s="15" t="s">
        <v>1554</v>
      </c>
      <c r="Q3683" s="7"/>
    </row>
    <row r="3684">
      <c r="A3684" s="39" t="s">
        <v>15087</v>
      </c>
      <c r="B3684" s="15">
        <v>1436889.0</v>
      </c>
      <c r="C3684" s="15" t="s">
        <v>15088</v>
      </c>
      <c r="D3684" s="15">
        <v>240032.0</v>
      </c>
      <c r="E3684" s="15" t="s">
        <v>1557</v>
      </c>
      <c r="F3684" s="15" t="s">
        <v>1611</v>
      </c>
      <c r="G3684" s="7">
        <v>76.184</v>
      </c>
      <c r="H3684" s="15" t="s">
        <v>1859</v>
      </c>
      <c r="I3684" s="15" t="s">
        <v>1586</v>
      </c>
      <c r="J3684" s="15" t="s">
        <v>15089</v>
      </c>
      <c r="K3684" s="15">
        <v>126.0</v>
      </c>
      <c r="L3684" s="15">
        <v>126.0</v>
      </c>
      <c r="M3684" s="40">
        <v>41682.0</v>
      </c>
      <c r="N3684" s="40">
        <v>41702.0</v>
      </c>
      <c r="O3684" s="15" t="s">
        <v>1554</v>
      </c>
      <c r="Q3684" s="7"/>
    </row>
    <row r="3685">
      <c r="A3685" s="39" t="s">
        <v>15091</v>
      </c>
      <c r="B3685" s="15">
        <v>1218488.0</v>
      </c>
      <c r="C3685" s="15" t="s">
        <v>15092</v>
      </c>
      <c r="D3685" s="15">
        <v>48301.0</v>
      </c>
      <c r="E3685" s="15" t="s">
        <v>1808</v>
      </c>
      <c r="F3685" s="15" t="s">
        <v>2232</v>
      </c>
      <c r="G3685" s="7">
        <v>2.735</v>
      </c>
      <c r="H3685" s="15" t="s">
        <v>2864</v>
      </c>
      <c r="I3685" s="15" t="s">
        <v>1567</v>
      </c>
      <c r="J3685" s="15" t="s">
        <v>15093</v>
      </c>
      <c r="K3685" s="15">
        <v>3.0</v>
      </c>
      <c r="L3685" s="15">
        <v>3.0</v>
      </c>
      <c r="M3685" s="40">
        <v>38392.0</v>
      </c>
      <c r="N3685" s="40">
        <v>41309.0</v>
      </c>
      <c r="O3685" s="15" t="s">
        <v>2353</v>
      </c>
      <c r="Q3685" s="7"/>
    </row>
    <row r="3686">
      <c r="A3686" s="39" t="s">
        <v>15094</v>
      </c>
      <c r="B3686" s="15">
        <v>1462685.0</v>
      </c>
      <c r="C3686" s="15" t="s">
        <v>15095</v>
      </c>
      <c r="D3686" s="15">
        <v>242281.0</v>
      </c>
      <c r="E3686" s="15" t="s">
        <v>1638</v>
      </c>
      <c r="F3686" s="15" t="s">
        <v>1863</v>
      </c>
      <c r="G3686" s="7">
        <v>24.043</v>
      </c>
      <c r="H3686" s="15" t="s">
        <v>15097</v>
      </c>
      <c r="I3686" s="15" t="s">
        <v>1686</v>
      </c>
      <c r="J3686" s="15" t="s">
        <v>15098</v>
      </c>
      <c r="K3686" s="15">
        <v>11.0</v>
      </c>
      <c r="L3686" s="15">
        <v>11.0</v>
      </c>
      <c r="M3686" s="40">
        <v>41716.0</v>
      </c>
      <c r="N3686" s="40">
        <v>41718.0</v>
      </c>
      <c r="O3686" s="15" t="s">
        <v>1554</v>
      </c>
      <c r="Q3686" s="7"/>
    </row>
    <row r="3687">
      <c r="A3687" s="39" t="s">
        <v>15099</v>
      </c>
      <c r="B3687" s="15">
        <v>1382279.0</v>
      </c>
      <c r="C3687" s="15" t="s">
        <v>15100</v>
      </c>
      <c r="D3687" s="15">
        <v>242647.0</v>
      </c>
      <c r="E3687" s="15" t="s">
        <v>1548</v>
      </c>
      <c r="F3687" s="15" t="s">
        <v>1838</v>
      </c>
      <c r="G3687" s="7">
        <v>10.334</v>
      </c>
      <c r="H3687" s="15" t="s">
        <v>15101</v>
      </c>
      <c r="I3687" s="15" t="s">
        <v>1686</v>
      </c>
      <c r="J3687" s="15" t="s">
        <v>15102</v>
      </c>
      <c r="K3687" s="15">
        <v>4.0</v>
      </c>
      <c r="L3687" s="15">
        <v>4.0</v>
      </c>
      <c r="M3687" s="40">
        <v>41499.0</v>
      </c>
      <c r="N3687" s="40">
        <v>41723.0</v>
      </c>
      <c r="O3687" s="15" t="s">
        <v>1554</v>
      </c>
      <c r="Q3687" s="7"/>
    </row>
    <row r="3688">
      <c r="A3688" s="39" t="s">
        <v>15103</v>
      </c>
      <c r="B3688" s="15">
        <v>1469956.0</v>
      </c>
      <c r="C3688" s="15" t="s">
        <v>15104</v>
      </c>
      <c r="D3688" s="15">
        <v>242944.0</v>
      </c>
      <c r="E3688" s="15" t="s">
        <v>1808</v>
      </c>
      <c r="F3688" s="15" t="s">
        <v>2436</v>
      </c>
      <c r="G3688" s="7">
        <v>5.006</v>
      </c>
      <c r="H3688" s="15" t="s">
        <v>2019</v>
      </c>
      <c r="I3688" s="15" t="s">
        <v>1560</v>
      </c>
      <c r="J3688" s="15" t="s">
        <v>15105</v>
      </c>
      <c r="K3688" s="15">
        <v>3.0</v>
      </c>
      <c r="L3688" s="15">
        <v>3.0</v>
      </c>
      <c r="M3688" s="40">
        <v>41708.0</v>
      </c>
      <c r="N3688" s="40">
        <v>41750.0</v>
      </c>
      <c r="O3688" s="15" t="s">
        <v>1554</v>
      </c>
      <c r="Q3688" s="7"/>
    </row>
    <row r="3689">
      <c r="A3689" s="39" t="s">
        <v>15107</v>
      </c>
      <c r="B3689" s="15">
        <v>1219896.0</v>
      </c>
      <c r="C3689" s="15" t="s">
        <v>15108</v>
      </c>
      <c r="D3689" s="15">
        <v>242945.0</v>
      </c>
      <c r="E3689" s="15" t="s">
        <v>1557</v>
      </c>
      <c r="F3689" s="15" t="s">
        <v>2004</v>
      </c>
      <c r="G3689" s="7">
        <v>5.016</v>
      </c>
      <c r="H3689" s="15" t="s">
        <v>1591</v>
      </c>
      <c r="I3689" s="15" t="s">
        <v>1686</v>
      </c>
      <c r="J3689" s="15" t="s">
        <v>15109</v>
      </c>
      <c r="K3689" s="15">
        <v>4.0</v>
      </c>
      <c r="L3689" s="15">
        <v>5.0</v>
      </c>
      <c r="M3689" s="40">
        <v>41135.0</v>
      </c>
      <c r="N3689" s="40">
        <v>42792.0</v>
      </c>
      <c r="O3689" s="15" t="s">
        <v>1554</v>
      </c>
      <c r="Q3689" s="7"/>
    </row>
    <row r="3690">
      <c r="A3690" s="39" t="s">
        <v>15110</v>
      </c>
      <c r="B3690" s="15">
        <v>1225069.0</v>
      </c>
      <c r="C3690" s="15" t="s">
        <v>15111</v>
      </c>
      <c r="D3690" s="15">
        <v>242953.0</v>
      </c>
      <c r="E3690" s="15" t="s">
        <v>1808</v>
      </c>
      <c r="F3690" s="15" t="s">
        <v>1809</v>
      </c>
      <c r="G3690" s="7">
        <v>2.723</v>
      </c>
      <c r="H3690" s="15">
        <v>43.0</v>
      </c>
      <c r="I3690" s="15" t="s">
        <v>1628</v>
      </c>
      <c r="J3690" s="15" t="s">
        <v>15112</v>
      </c>
      <c r="K3690" s="15">
        <v>7.0</v>
      </c>
      <c r="L3690" s="15">
        <v>7.0</v>
      </c>
      <c r="M3690" s="40">
        <v>41147.0</v>
      </c>
      <c r="N3690" s="40">
        <v>41726.0</v>
      </c>
      <c r="O3690" s="15" t="s">
        <v>1554</v>
      </c>
      <c r="Q3690" s="7"/>
    </row>
    <row r="3691">
      <c r="A3691" s="39" t="s">
        <v>15113</v>
      </c>
      <c r="B3691" s="15">
        <v>1226723.0</v>
      </c>
      <c r="C3691" s="15" t="s">
        <v>15114</v>
      </c>
      <c r="D3691" s="15">
        <v>242954.0</v>
      </c>
      <c r="E3691" s="15" t="s">
        <v>1557</v>
      </c>
      <c r="F3691" s="15" t="s">
        <v>1822</v>
      </c>
      <c r="G3691" s="7">
        <v>8.228</v>
      </c>
      <c r="H3691" s="15" t="s">
        <v>1700</v>
      </c>
      <c r="I3691" s="15" t="s">
        <v>1686</v>
      </c>
      <c r="J3691" s="15" t="s">
        <v>15116</v>
      </c>
      <c r="K3691" s="15">
        <v>7.0</v>
      </c>
      <c r="L3691" s="15">
        <v>7.0</v>
      </c>
      <c r="M3691" s="40">
        <v>41153.0</v>
      </c>
      <c r="N3691" s="40">
        <v>41726.0</v>
      </c>
      <c r="O3691" s="15" t="s">
        <v>1554</v>
      </c>
      <c r="Q3691" s="7"/>
    </row>
    <row r="3692">
      <c r="A3692" s="39" t="s">
        <v>15117</v>
      </c>
      <c r="B3692" s="15">
        <v>1234872.0</v>
      </c>
      <c r="C3692" s="15" t="s">
        <v>15118</v>
      </c>
      <c r="D3692" s="15">
        <v>242959.0</v>
      </c>
      <c r="E3692" s="15" t="s">
        <v>1808</v>
      </c>
      <c r="F3692" s="15" t="s">
        <v>1578</v>
      </c>
      <c r="G3692" s="7">
        <v>2.067</v>
      </c>
      <c r="H3692" s="15" t="s">
        <v>2396</v>
      </c>
      <c r="I3692" s="15" t="s">
        <v>1560</v>
      </c>
      <c r="J3692" s="15" t="s">
        <v>15119</v>
      </c>
      <c r="K3692" s="15">
        <v>2.0</v>
      </c>
      <c r="L3692" s="15">
        <v>2.0</v>
      </c>
      <c r="M3692" s="40">
        <v>41183.0</v>
      </c>
      <c r="N3692" s="40">
        <v>41726.0</v>
      </c>
      <c r="O3692" s="15" t="s">
        <v>1554</v>
      </c>
      <c r="Q3692" s="7"/>
    </row>
    <row r="3693">
      <c r="A3693" s="39" t="s">
        <v>15120</v>
      </c>
      <c r="B3693" s="15">
        <v>1234878.0</v>
      </c>
      <c r="C3693" s="15" t="s">
        <v>15121</v>
      </c>
      <c r="D3693" s="15">
        <v>242960.0</v>
      </c>
      <c r="E3693" s="15" t="s">
        <v>1808</v>
      </c>
      <c r="F3693" s="15" t="s">
        <v>1578</v>
      </c>
      <c r="G3693" s="7">
        <v>1.831</v>
      </c>
      <c r="H3693" s="15" t="s">
        <v>2950</v>
      </c>
      <c r="I3693" s="15" t="s">
        <v>1560</v>
      </c>
      <c r="J3693" s="15" t="s">
        <v>15122</v>
      </c>
      <c r="K3693" s="15">
        <v>2.0</v>
      </c>
      <c r="L3693" s="15">
        <v>2.0</v>
      </c>
      <c r="M3693" s="40">
        <v>41183.0</v>
      </c>
      <c r="N3693" s="40">
        <v>41726.0</v>
      </c>
      <c r="O3693" s="15" t="s">
        <v>1554</v>
      </c>
      <c r="Q3693" s="7"/>
    </row>
    <row r="3694">
      <c r="A3694" s="39" t="s">
        <v>15123</v>
      </c>
      <c r="B3694" s="15">
        <v>1234874.0</v>
      </c>
      <c r="C3694" s="15" t="s">
        <v>15124</v>
      </c>
      <c r="D3694" s="15">
        <v>242961.0</v>
      </c>
      <c r="E3694" s="15" t="s">
        <v>1808</v>
      </c>
      <c r="F3694" s="15" t="s">
        <v>1578</v>
      </c>
      <c r="G3694" s="7">
        <v>1.915</v>
      </c>
      <c r="H3694" s="15" t="s">
        <v>2668</v>
      </c>
      <c r="I3694" s="15" t="s">
        <v>1560</v>
      </c>
      <c r="J3694" s="15" t="s">
        <v>15126</v>
      </c>
      <c r="K3694" s="15">
        <v>2.0</v>
      </c>
      <c r="L3694" s="15">
        <v>2.0</v>
      </c>
      <c r="M3694" s="40">
        <v>41183.0</v>
      </c>
      <c r="N3694" s="40">
        <v>41726.0</v>
      </c>
      <c r="O3694" s="15" t="s">
        <v>1554</v>
      </c>
      <c r="Q3694" s="7"/>
    </row>
    <row r="3695">
      <c r="A3695" s="39" t="s">
        <v>15127</v>
      </c>
      <c r="B3695" s="15">
        <v>1284208.0</v>
      </c>
      <c r="C3695" s="15" t="s">
        <v>15128</v>
      </c>
      <c r="D3695" s="15">
        <v>240740.0</v>
      </c>
      <c r="E3695" s="15" t="s">
        <v>1638</v>
      </c>
      <c r="F3695" s="15" t="s">
        <v>4692</v>
      </c>
      <c r="G3695" s="7">
        <v>13.023</v>
      </c>
      <c r="H3695" s="15" t="s">
        <v>2548</v>
      </c>
      <c r="I3695" s="15" t="s">
        <v>1552</v>
      </c>
      <c r="J3695" s="15" t="s">
        <v>15129</v>
      </c>
      <c r="K3695" s="15">
        <v>2.0</v>
      </c>
      <c r="L3695" s="15">
        <v>2.0</v>
      </c>
      <c r="M3695" s="40">
        <v>41297.0</v>
      </c>
      <c r="N3695" s="40">
        <v>41737.0</v>
      </c>
      <c r="O3695" s="15" t="s">
        <v>1554</v>
      </c>
      <c r="Q3695" s="7"/>
    </row>
    <row r="3696">
      <c r="A3696" s="39" t="s">
        <v>15130</v>
      </c>
      <c r="B3696" s="15">
        <v>1224510.0</v>
      </c>
      <c r="C3696" s="15" t="s">
        <v>15131</v>
      </c>
      <c r="D3696" s="15">
        <v>242942.0</v>
      </c>
      <c r="E3696" s="15" t="s">
        <v>1808</v>
      </c>
      <c r="F3696" s="15" t="s">
        <v>1578</v>
      </c>
      <c r="G3696" s="7">
        <v>2.818</v>
      </c>
      <c r="H3696" s="15" t="s">
        <v>1962</v>
      </c>
      <c r="I3696" s="15" t="s">
        <v>1706</v>
      </c>
      <c r="J3696" s="15" t="s">
        <v>15132</v>
      </c>
      <c r="K3696" s="15">
        <v>3.0</v>
      </c>
      <c r="L3696" s="15">
        <v>3.0</v>
      </c>
      <c r="M3696" s="40">
        <v>41161.0</v>
      </c>
      <c r="N3696" s="40">
        <v>41730.0</v>
      </c>
      <c r="O3696" s="15" t="s">
        <v>1554</v>
      </c>
      <c r="Q3696" s="7"/>
    </row>
    <row r="3697">
      <c r="A3697" s="39" t="s">
        <v>15134</v>
      </c>
      <c r="B3697" s="15">
        <v>1229324.0</v>
      </c>
      <c r="C3697" s="15" t="s">
        <v>15135</v>
      </c>
      <c r="D3697" s="15">
        <v>242951.0</v>
      </c>
      <c r="E3697" s="15" t="s">
        <v>1808</v>
      </c>
      <c r="F3697" s="15" t="s">
        <v>1809</v>
      </c>
      <c r="G3697" s="7">
        <v>2.806</v>
      </c>
      <c r="H3697" s="15" t="s">
        <v>3604</v>
      </c>
      <c r="I3697" s="15" t="s">
        <v>1628</v>
      </c>
      <c r="J3697" s="15" t="s">
        <v>15136</v>
      </c>
      <c r="K3697" s="15">
        <v>3.0</v>
      </c>
      <c r="L3697" s="15">
        <v>3.0</v>
      </c>
      <c r="M3697" s="40">
        <v>41161.0</v>
      </c>
      <c r="N3697" s="40">
        <v>41730.0</v>
      </c>
      <c r="O3697" s="15" t="s">
        <v>1554</v>
      </c>
      <c r="Q3697" s="7"/>
    </row>
    <row r="3698">
      <c r="A3698" s="39" t="s">
        <v>15137</v>
      </c>
      <c r="B3698" s="15">
        <v>1229325.0</v>
      </c>
      <c r="C3698" s="15" t="s">
        <v>15138</v>
      </c>
      <c r="D3698" s="15">
        <v>242952.0</v>
      </c>
      <c r="E3698" s="15" t="s">
        <v>1808</v>
      </c>
      <c r="F3698" s="15" t="s">
        <v>1809</v>
      </c>
      <c r="G3698" s="7">
        <v>2.383</v>
      </c>
      <c r="H3698" s="15" t="s">
        <v>2777</v>
      </c>
      <c r="I3698" s="15" t="s">
        <v>1628</v>
      </c>
      <c r="J3698" s="15" t="s">
        <v>15139</v>
      </c>
      <c r="K3698" s="15">
        <v>4.0</v>
      </c>
      <c r="L3698" s="15">
        <v>4.0</v>
      </c>
      <c r="M3698" s="40">
        <v>41161.0</v>
      </c>
      <c r="N3698" s="40">
        <v>41730.0</v>
      </c>
      <c r="O3698" s="15" t="s">
        <v>1554</v>
      </c>
      <c r="Q3698" s="7"/>
    </row>
    <row r="3699">
      <c r="A3699" s="39" t="s">
        <v>15140</v>
      </c>
      <c r="B3699" s="15">
        <v>1476487.0</v>
      </c>
      <c r="C3699" s="15" t="s">
        <v>15141</v>
      </c>
      <c r="D3699" s="15">
        <v>242972.0</v>
      </c>
      <c r="E3699" s="15" t="s">
        <v>1808</v>
      </c>
      <c r="F3699" s="15" t="s">
        <v>1809</v>
      </c>
      <c r="G3699" s="7">
        <v>2.858</v>
      </c>
      <c r="H3699" s="15" t="s">
        <v>1756</v>
      </c>
      <c r="I3699" s="15" t="s">
        <v>1628</v>
      </c>
      <c r="J3699" s="15" t="s">
        <v>15142</v>
      </c>
      <c r="K3699" s="15">
        <v>4.0</v>
      </c>
      <c r="L3699" s="15">
        <v>4.0</v>
      </c>
      <c r="M3699" s="40">
        <v>41722.0</v>
      </c>
      <c r="N3699" s="40">
        <v>41949.0</v>
      </c>
      <c r="O3699" s="15" t="s">
        <v>1554</v>
      </c>
      <c r="Q3699" s="7"/>
    </row>
    <row r="3700">
      <c r="A3700" s="39" t="s">
        <v>15143</v>
      </c>
      <c r="B3700" s="15">
        <v>1458849.0</v>
      </c>
      <c r="C3700" s="15" t="s">
        <v>15144</v>
      </c>
      <c r="D3700" s="15">
        <v>242974.0</v>
      </c>
      <c r="E3700" s="15" t="s">
        <v>1557</v>
      </c>
      <c r="F3700" s="15" t="s">
        <v>1767</v>
      </c>
      <c r="G3700" s="7">
        <v>152.46</v>
      </c>
      <c r="H3700" s="15" t="s">
        <v>1828</v>
      </c>
      <c r="I3700" s="15" t="s">
        <v>1586</v>
      </c>
      <c r="J3700" s="15" t="s">
        <v>15145</v>
      </c>
      <c r="K3700" s="15">
        <v>201.0</v>
      </c>
      <c r="L3700" s="15">
        <v>197.0</v>
      </c>
      <c r="M3700" s="40">
        <v>41703.0</v>
      </c>
      <c r="N3700" s="40">
        <v>41729.0</v>
      </c>
      <c r="O3700" s="15" t="s">
        <v>1554</v>
      </c>
      <c r="Q3700" s="7"/>
    </row>
    <row r="3701">
      <c r="A3701" s="39" t="s">
        <v>15146</v>
      </c>
      <c r="B3701" s="15">
        <v>1477515.0</v>
      </c>
      <c r="C3701" s="15" t="s">
        <v>15147</v>
      </c>
      <c r="D3701" s="15">
        <v>242977.0</v>
      </c>
      <c r="E3701" s="15" t="s">
        <v>1548</v>
      </c>
      <c r="F3701" s="15" t="s">
        <v>1776</v>
      </c>
      <c r="G3701" s="7">
        <v>9.566</v>
      </c>
      <c r="H3701" s="15" t="s">
        <v>1828</v>
      </c>
      <c r="I3701" s="15" t="s">
        <v>1686</v>
      </c>
      <c r="J3701" s="15" t="s">
        <v>15148</v>
      </c>
      <c r="K3701" s="15">
        <v>1.0</v>
      </c>
      <c r="L3701" s="15">
        <v>1.0</v>
      </c>
      <c r="M3701" s="40">
        <v>41724.0</v>
      </c>
      <c r="N3701" s="40">
        <v>41729.0</v>
      </c>
      <c r="O3701" s="15" t="s">
        <v>1554</v>
      </c>
      <c r="Q3701" s="7"/>
    </row>
    <row r="3702">
      <c r="A3702" s="39" t="s">
        <v>15149</v>
      </c>
      <c r="B3702" s="15">
        <v>1472911.0</v>
      </c>
      <c r="C3702" s="15" t="s">
        <v>15150</v>
      </c>
      <c r="D3702" s="15">
        <v>242978.0</v>
      </c>
      <c r="E3702" s="15" t="s">
        <v>1808</v>
      </c>
      <c r="F3702" s="15" t="s">
        <v>2436</v>
      </c>
      <c r="G3702" s="7">
        <v>6.148</v>
      </c>
      <c r="H3702" s="15" t="s">
        <v>2686</v>
      </c>
      <c r="I3702" s="15" t="s">
        <v>1686</v>
      </c>
      <c r="J3702" s="15" t="s">
        <v>15151</v>
      </c>
      <c r="K3702" s="15">
        <v>2.0</v>
      </c>
      <c r="L3702" s="15">
        <v>2.0</v>
      </c>
      <c r="M3702" s="40">
        <v>41720.0</v>
      </c>
      <c r="N3702" s="40">
        <v>42039.0</v>
      </c>
      <c r="O3702" s="15" t="s">
        <v>1554</v>
      </c>
      <c r="Q3702" s="7"/>
    </row>
    <row r="3703">
      <c r="A3703" s="39" t="s">
        <v>15152</v>
      </c>
      <c r="B3703" s="15">
        <v>1477516.0</v>
      </c>
      <c r="C3703" s="15" t="s">
        <v>15153</v>
      </c>
      <c r="D3703" s="15">
        <v>242979.0</v>
      </c>
      <c r="E3703" s="15" t="s">
        <v>1548</v>
      </c>
      <c r="F3703" s="15" t="s">
        <v>1776</v>
      </c>
      <c r="G3703" s="7">
        <v>9.739</v>
      </c>
      <c r="H3703" s="15" t="s">
        <v>8889</v>
      </c>
      <c r="I3703" s="15" t="s">
        <v>1686</v>
      </c>
      <c r="J3703" s="15" t="s">
        <v>15154</v>
      </c>
      <c r="K3703" s="15">
        <v>1.0</v>
      </c>
      <c r="L3703" s="15">
        <v>1.0</v>
      </c>
      <c r="M3703" s="40">
        <v>41724.0</v>
      </c>
      <c r="N3703" s="40">
        <v>41729.0</v>
      </c>
      <c r="O3703" s="15" t="s">
        <v>1554</v>
      </c>
      <c r="Q3703" s="7"/>
    </row>
    <row r="3704">
      <c r="A3704" s="39" t="s">
        <v>15155</v>
      </c>
      <c r="B3704" s="15">
        <v>1458724.0</v>
      </c>
      <c r="C3704" s="15" t="s">
        <v>15156</v>
      </c>
      <c r="D3704" s="15">
        <v>243063.0</v>
      </c>
      <c r="E3704" s="15" t="s">
        <v>1557</v>
      </c>
      <c r="F3704" s="15" t="s">
        <v>1833</v>
      </c>
      <c r="G3704" s="7">
        <v>52.136</v>
      </c>
      <c r="H3704" s="15" t="s">
        <v>3542</v>
      </c>
      <c r="I3704" s="15" t="s">
        <v>1586</v>
      </c>
      <c r="J3704" s="15" t="s">
        <v>15157</v>
      </c>
      <c r="K3704" s="15">
        <v>98.0</v>
      </c>
      <c r="L3704" s="15">
        <v>98.0</v>
      </c>
      <c r="M3704" s="40">
        <v>41700.0</v>
      </c>
      <c r="N3704" s="40">
        <v>41729.0</v>
      </c>
      <c r="O3704" s="15" t="s">
        <v>1554</v>
      </c>
      <c r="Q3704" s="7"/>
    </row>
    <row r="3705">
      <c r="A3705" s="39" t="s">
        <v>15158</v>
      </c>
      <c r="B3705" s="15">
        <v>1465751.0</v>
      </c>
      <c r="C3705" s="15" t="s">
        <v>15159</v>
      </c>
      <c r="D3705" s="15">
        <v>243064.0</v>
      </c>
      <c r="E3705" s="15" t="s">
        <v>1557</v>
      </c>
      <c r="F3705" s="15" t="s">
        <v>3454</v>
      </c>
      <c r="G3705" s="7">
        <v>163.023</v>
      </c>
      <c r="H3705" s="15">
        <v>39.0</v>
      </c>
      <c r="I3705" s="15" t="s">
        <v>1560</v>
      </c>
      <c r="J3705" s="15" t="s">
        <v>15160</v>
      </c>
      <c r="K3705" s="15">
        <v>148.0</v>
      </c>
      <c r="L3705" s="15">
        <v>131.0</v>
      </c>
      <c r="M3705" s="40">
        <v>41714.0</v>
      </c>
      <c r="N3705" s="40">
        <v>42200.0</v>
      </c>
      <c r="O3705" s="15" t="s">
        <v>1554</v>
      </c>
      <c r="Q3705" s="7"/>
    </row>
    <row r="3706">
      <c r="A3706" s="39" t="s">
        <v>15161</v>
      </c>
      <c r="B3706" s="15">
        <v>1458670.0</v>
      </c>
      <c r="C3706" s="15" t="s">
        <v>15162</v>
      </c>
      <c r="D3706" s="15">
        <v>243066.0</v>
      </c>
      <c r="E3706" s="15" t="s">
        <v>1557</v>
      </c>
      <c r="F3706" s="15" t="s">
        <v>1833</v>
      </c>
      <c r="G3706" s="7">
        <v>59.254</v>
      </c>
      <c r="H3706" s="15" t="s">
        <v>6271</v>
      </c>
      <c r="I3706" s="15" t="s">
        <v>1586</v>
      </c>
      <c r="J3706" s="15" t="s">
        <v>15163</v>
      </c>
      <c r="K3706" s="15">
        <v>120.0</v>
      </c>
      <c r="L3706" s="15">
        <v>120.0</v>
      </c>
      <c r="M3706" s="40">
        <v>41706.0</v>
      </c>
      <c r="N3706" s="40">
        <v>41906.0</v>
      </c>
      <c r="O3706" s="15" t="s">
        <v>1554</v>
      </c>
      <c r="Q3706" s="7"/>
    </row>
    <row r="3707">
      <c r="A3707" s="39" t="s">
        <v>15164</v>
      </c>
      <c r="B3707" s="15">
        <v>1458716.0</v>
      </c>
      <c r="C3707" s="15" t="s">
        <v>15165</v>
      </c>
      <c r="D3707" s="15">
        <v>243068.0</v>
      </c>
      <c r="E3707" s="15" t="s">
        <v>1557</v>
      </c>
      <c r="F3707" s="15" t="s">
        <v>1611</v>
      </c>
      <c r="G3707" s="7">
        <v>66.316</v>
      </c>
      <c r="H3707" s="15" t="s">
        <v>2869</v>
      </c>
      <c r="I3707" s="15" t="s">
        <v>1586</v>
      </c>
      <c r="J3707" s="15" t="s">
        <v>15166</v>
      </c>
      <c r="K3707" s="15">
        <v>93.0</v>
      </c>
      <c r="L3707" s="15">
        <v>91.0</v>
      </c>
      <c r="M3707" s="40">
        <v>41700.0</v>
      </c>
      <c r="N3707" s="40">
        <v>41808.0</v>
      </c>
      <c r="O3707" s="15" t="s">
        <v>1554</v>
      </c>
      <c r="Q3707" s="7"/>
    </row>
    <row r="3708">
      <c r="A3708" s="39" t="s">
        <v>15167</v>
      </c>
      <c r="B3708" s="15">
        <v>1399915.0</v>
      </c>
      <c r="C3708" s="15" t="s">
        <v>15168</v>
      </c>
      <c r="D3708" s="15">
        <v>243247.0</v>
      </c>
      <c r="E3708" s="15" t="s">
        <v>1557</v>
      </c>
      <c r="F3708" s="15" t="s">
        <v>1767</v>
      </c>
      <c r="G3708" s="7">
        <v>55.098</v>
      </c>
      <c r="H3708" s="15" t="s">
        <v>1828</v>
      </c>
      <c r="I3708" s="15" t="s">
        <v>1586</v>
      </c>
      <c r="J3708" s="15" t="s">
        <v>15170</v>
      </c>
      <c r="K3708" s="15">
        <v>64.0</v>
      </c>
      <c r="L3708" s="15">
        <v>63.0</v>
      </c>
      <c r="M3708" s="40">
        <v>41725.0</v>
      </c>
      <c r="N3708" s="40">
        <v>41905.0</v>
      </c>
      <c r="O3708" s="15" t="s">
        <v>1554</v>
      </c>
      <c r="Q3708" s="7"/>
    </row>
    <row r="3709">
      <c r="A3709" s="39" t="s">
        <v>15171</v>
      </c>
      <c r="B3709" s="15">
        <v>1234887.0</v>
      </c>
      <c r="C3709" s="15" t="s">
        <v>15172</v>
      </c>
      <c r="D3709" s="15">
        <v>243271.0</v>
      </c>
      <c r="E3709" s="15" t="s">
        <v>1664</v>
      </c>
      <c r="F3709" s="15" t="s">
        <v>15173</v>
      </c>
      <c r="G3709" s="7">
        <v>2.225</v>
      </c>
      <c r="H3709" s="15" t="s">
        <v>2324</v>
      </c>
      <c r="I3709" s="15" t="s">
        <v>1560</v>
      </c>
      <c r="J3709" s="15" t="s">
        <v>15174</v>
      </c>
      <c r="K3709" s="15">
        <v>4.0</v>
      </c>
      <c r="L3709" s="15">
        <v>4.0</v>
      </c>
      <c r="M3709" s="40">
        <v>41183.0</v>
      </c>
      <c r="N3709" s="40">
        <v>41737.0</v>
      </c>
      <c r="O3709" s="15" t="s">
        <v>1554</v>
      </c>
      <c r="Q3709" s="7"/>
    </row>
    <row r="3710">
      <c r="A3710" s="39" t="s">
        <v>15175</v>
      </c>
      <c r="B3710" s="15">
        <v>1234886.0</v>
      </c>
      <c r="C3710" s="15" t="s">
        <v>15176</v>
      </c>
      <c r="D3710" s="15">
        <v>243272.0</v>
      </c>
      <c r="E3710" s="15" t="s">
        <v>1664</v>
      </c>
      <c r="F3710" s="15" t="s">
        <v>15173</v>
      </c>
      <c r="G3710" s="7">
        <v>2.236</v>
      </c>
      <c r="H3710" s="15">
        <v>53.0</v>
      </c>
      <c r="I3710" s="15" t="s">
        <v>1560</v>
      </c>
      <c r="J3710" s="15" t="s">
        <v>15177</v>
      </c>
      <c r="K3710" s="15">
        <v>4.0</v>
      </c>
      <c r="L3710" s="15">
        <v>4.0</v>
      </c>
      <c r="M3710" s="40">
        <v>41183.0</v>
      </c>
      <c r="N3710" s="40">
        <v>41737.0</v>
      </c>
      <c r="O3710" s="15" t="s">
        <v>1554</v>
      </c>
      <c r="Q3710" s="7"/>
    </row>
    <row r="3711">
      <c r="A3711" s="39" t="s">
        <v>15179</v>
      </c>
      <c r="B3711" s="15">
        <v>1234884.0</v>
      </c>
      <c r="C3711" s="15" t="s">
        <v>15180</v>
      </c>
      <c r="D3711" s="15">
        <v>243273.0</v>
      </c>
      <c r="E3711" s="15" t="s">
        <v>1664</v>
      </c>
      <c r="F3711" s="15" t="s">
        <v>15173</v>
      </c>
      <c r="G3711" s="7">
        <v>2.208</v>
      </c>
      <c r="H3711" s="15" t="s">
        <v>3798</v>
      </c>
      <c r="I3711" s="15" t="s">
        <v>1560</v>
      </c>
      <c r="J3711" s="15" t="s">
        <v>15181</v>
      </c>
      <c r="K3711" s="15">
        <v>4.0</v>
      </c>
      <c r="L3711" s="15">
        <v>4.0</v>
      </c>
      <c r="M3711" s="40">
        <v>41183.0</v>
      </c>
      <c r="N3711" s="40">
        <v>41737.0</v>
      </c>
      <c r="O3711" s="15" t="s">
        <v>1554</v>
      </c>
      <c r="Q3711" s="7"/>
    </row>
    <row r="3712">
      <c r="A3712" s="39" t="s">
        <v>15182</v>
      </c>
      <c r="B3712" s="15">
        <v>1234883.0</v>
      </c>
      <c r="C3712" s="15" t="s">
        <v>15183</v>
      </c>
      <c r="D3712" s="15">
        <v>243274.0</v>
      </c>
      <c r="E3712" s="15" t="s">
        <v>1808</v>
      </c>
      <c r="F3712" s="15" t="s">
        <v>1998</v>
      </c>
      <c r="G3712" s="7">
        <v>1.784</v>
      </c>
      <c r="H3712" s="15" t="s">
        <v>1962</v>
      </c>
      <c r="I3712" s="15" t="s">
        <v>1686</v>
      </c>
      <c r="J3712" s="15" t="s">
        <v>15184</v>
      </c>
      <c r="K3712" s="15">
        <v>2.0</v>
      </c>
      <c r="L3712" s="15">
        <v>2.0</v>
      </c>
      <c r="M3712" s="40">
        <v>41183.0</v>
      </c>
      <c r="N3712" s="40">
        <v>41737.0</v>
      </c>
      <c r="O3712" s="15" t="s">
        <v>1554</v>
      </c>
      <c r="Q3712" s="7"/>
    </row>
    <row r="3713">
      <c r="A3713" s="39" t="s">
        <v>15185</v>
      </c>
      <c r="B3713" s="15">
        <v>1234881.0</v>
      </c>
      <c r="C3713" s="15" t="s">
        <v>15186</v>
      </c>
      <c r="D3713" s="15">
        <v>243275.0</v>
      </c>
      <c r="E3713" s="15" t="s">
        <v>1808</v>
      </c>
      <c r="F3713" s="15" t="s">
        <v>1998</v>
      </c>
      <c r="G3713" s="7">
        <v>1.711</v>
      </c>
      <c r="H3713" s="15" t="s">
        <v>1720</v>
      </c>
      <c r="I3713" s="15" t="s">
        <v>1686</v>
      </c>
      <c r="J3713" s="15" t="s">
        <v>15187</v>
      </c>
      <c r="K3713" s="15">
        <v>2.0</v>
      </c>
      <c r="L3713" s="15">
        <v>3.0</v>
      </c>
      <c r="M3713" s="40">
        <v>41183.0</v>
      </c>
      <c r="N3713" s="40">
        <v>41737.0</v>
      </c>
      <c r="O3713" s="15" t="s">
        <v>1554</v>
      </c>
      <c r="Q3713" s="7"/>
    </row>
    <row r="3714">
      <c r="A3714" s="39" t="s">
        <v>15188</v>
      </c>
      <c r="B3714" s="15">
        <v>1234882.0</v>
      </c>
      <c r="C3714" s="15" t="s">
        <v>15189</v>
      </c>
      <c r="D3714" s="15">
        <v>243276.0</v>
      </c>
      <c r="E3714" s="15" t="s">
        <v>1808</v>
      </c>
      <c r="F3714" s="15" t="s">
        <v>1998</v>
      </c>
      <c r="G3714" s="7">
        <v>1.74</v>
      </c>
      <c r="H3714" s="15">
        <v>43.0</v>
      </c>
      <c r="I3714" s="15" t="s">
        <v>1686</v>
      </c>
      <c r="J3714" s="15" t="s">
        <v>15191</v>
      </c>
      <c r="K3714" s="15">
        <v>2.0</v>
      </c>
      <c r="L3714" s="15">
        <v>2.0</v>
      </c>
      <c r="M3714" s="40">
        <v>41183.0</v>
      </c>
      <c r="N3714" s="40">
        <v>41737.0</v>
      </c>
      <c r="O3714" s="15" t="s">
        <v>1554</v>
      </c>
      <c r="Q3714" s="7"/>
    </row>
    <row r="3715">
      <c r="A3715" s="39" t="s">
        <v>15192</v>
      </c>
      <c r="B3715" s="15">
        <v>1234880.0</v>
      </c>
      <c r="C3715" s="15" t="s">
        <v>15193</v>
      </c>
      <c r="D3715" s="15">
        <v>243277.0</v>
      </c>
      <c r="E3715" s="15" t="s">
        <v>1808</v>
      </c>
      <c r="F3715" s="15" t="s">
        <v>1998</v>
      </c>
      <c r="G3715" s="7">
        <v>1.896</v>
      </c>
      <c r="H3715" s="15" t="s">
        <v>2877</v>
      </c>
      <c r="I3715" s="15" t="s">
        <v>1686</v>
      </c>
      <c r="J3715" s="15" t="s">
        <v>15194</v>
      </c>
      <c r="K3715" s="15">
        <v>2.0</v>
      </c>
      <c r="L3715" s="15">
        <v>2.0</v>
      </c>
      <c r="M3715" s="40">
        <v>41183.0</v>
      </c>
      <c r="N3715" s="40">
        <v>41737.0</v>
      </c>
      <c r="O3715" s="15" t="s">
        <v>1554</v>
      </c>
      <c r="Q3715" s="7"/>
    </row>
    <row r="3716">
      <c r="A3716" s="39" t="s">
        <v>15195</v>
      </c>
      <c r="B3716" s="15">
        <v>1476485.0</v>
      </c>
      <c r="C3716" s="15" t="s">
        <v>15196</v>
      </c>
      <c r="D3716" s="15">
        <v>243492.0</v>
      </c>
      <c r="E3716" s="15" t="s">
        <v>2014</v>
      </c>
      <c r="F3716" s="15" t="s">
        <v>2018</v>
      </c>
      <c r="G3716" s="7">
        <v>1.379</v>
      </c>
      <c r="H3716" s="15" t="s">
        <v>2524</v>
      </c>
      <c r="I3716" s="15" t="s">
        <v>1628</v>
      </c>
      <c r="J3716" s="15" t="s">
        <v>15198</v>
      </c>
      <c r="K3716" s="15">
        <v>1.0</v>
      </c>
      <c r="L3716" s="15">
        <v>1.0</v>
      </c>
      <c r="M3716" s="40">
        <v>41721.0</v>
      </c>
      <c r="N3716" s="40">
        <v>42138.0</v>
      </c>
      <c r="O3716" s="15" t="s">
        <v>1554</v>
      </c>
      <c r="Q3716" s="7"/>
    </row>
    <row r="3717">
      <c r="A3717" s="39" t="s">
        <v>15199</v>
      </c>
      <c r="B3717" s="15">
        <v>1475143.0</v>
      </c>
      <c r="C3717" s="15" t="s">
        <v>15200</v>
      </c>
      <c r="D3717" s="15">
        <v>243493.0</v>
      </c>
      <c r="E3717" s="15" t="s">
        <v>1808</v>
      </c>
      <c r="F3717" s="15" t="s">
        <v>1998</v>
      </c>
      <c r="G3717" s="7">
        <v>1.753</v>
      </c>
      <c r="H3717" s="15" t="s">
        <v>3882</v>
      </c>
      <c r="I3717" s="15" t="s">
        <v>1686</v>
      </c>
      <c r="J3717" s="15" t="s">
        <v>15201</v>
      </c>
      <c r="K3717" s="15">
        <v>2.0</v>
      </c>
      <c r="L3717" s="15">
        <v>2.0</v>
      </c>
      <c r="M3717" s="40">
        <v>41721.0</v>
      </c>
      <c r="N3717" s="40">
        <v>41896.0</v>
      </c>
      <c r="O3717" s="15" t="s">
        <v>1554</v>
      </c>
      <c r="Q3717" s="7"/>
    </row>
    <row r="3718">
      <c r="A3718" s="39" t="s">
        <v>15202</v>
      </c>
      <c r="B3718" s="15">
        <v>1475063.0</v>
      </c>
      <c r="C3718" s="15" t="s">
        <v>15203</v>
      </c>
      <c r="D3718" s="15">
        <v>243494.0</v>
      </c>
      <c r="E3718" s="15" t="s">
        <v>1808</v>
      </c>
      <c r="F3718" s="15" t="s">
        <v>1998</v>
      </c>
      <c r="G3718" s="7">
        <v>3.062</v>
      </c>
      <c r="H3718" s="15" t="s">
        <v>4331</v>
      </c>
      <c r="I3718" s="15" t="s">
        <v>1686</v>
      </c>
      <c r="J3718" s="15" t="s">
        <v>15204</v>
      </c>
      <c r="K3718" s="15">
        <v>2.0</v>
      </c>
      <c r="L3718" s="15">
        <v>2.0</v>
      </c>
      <c r="M3718" s="40">
        <v>41720.0</v>
      </c>
      <c r="N3718" s="40">
        <v>41949.0</v>
      </c>
      <c r="O3718" s="15" t="s">
        <v>1554</v>
      </c>
      <c r="Q3718" s="7"/>
    </row>
    <row r="3719">
      <c r="A3719" s="39" t="s">
        <v>15206</v>
      </c>
      <c r="B3719" s="15">
        <v>1475062.0</v>
      </c>
      <c r="C3719" s="15" t="s">
        <v>15207</v>
      </c>
      <c r="D3719" s="15">
        <v>243495.0</v>
      </c>
      <c r="E3719" s="15" t="s">
        <v>1808</v>
      </c>
      <c r="F3719" s="15" t="s">
        <v>1998</v>
      </c>
      <c r="G3719" s="7">
        <v>2.98</v>
      </c>
      <c r="H3719" s="15" t="s">
        <v>2945</v>
      </c>
      <c r="I3719" s="15" t="s">
        <v>1686</v>
      </c>
      <c r="J3719" s="15" t="s">
        <v>15208</v>
      </c>
      <c r="K3719" s="15">
        <v>2.0</v>
      </c>
      <c r="L3719" s="15">
        <v>2.0</v>
      </c>
      <c r="M3719" s="40">
        <v>41720.0</v>
      </c>
      <c r="N3719" s="40">
        <v>41745.0</v>
      </c>
      <c r="O3719" s="15" t="s">
        <v>1554</v>
      </c>
      <c r="Q3719" s="7"/>
    </row>
    <row r="3720">
      <c r="A3720" s="39" t="s">
        <v>15209</v>
      </c>
      <c r="B3720" s="15">
        <v>1441800.0</v>
      </c>
      <c r="C3720" s="15" t="s">
        <v>15210</v>
      </c>
      <c r="D3720" s="15">
        <v>243498.0</v>
      </c>
      <c r="E3720" s="15" t="s">
        <v>2014</v>
      </c>
      <c r="F3720" s="15" t="s">
        <v>1578</v>
      </c>
      <c r="G3720" s="7">
        <v>0.995</v>
      </c>
      <c r="H3720" s="15" t="s">
        <v>1994</v>
      </c>
      <c r="I3720" s="15" t="s">
        <v>1628</v>
      </c>
      <c r="J3720" s="15" t="s">
        <v>15211</v>
      </c>
      <c r="K3720" s="15">
        <v>1.0</v>
      </c>
      <c r="L3720" s="15">
        <v>1.0</v>
      </c>
      <c r="M3720" s="41">
        <v>41631.0</v>
      </c>
      <c r="N3720" s="40">
        <v>41754.0</v>
      </c>
      <c r="O3720" s="15" t="s">
        <v>1554</v>
      </c>
      <c r="Q3720" s="7"/>
    </row>
    <row r="3721">
      <c r="A3721" s="39" t="s">
        <v>15212</v>
      </c>
      <c r="B3721" s="15">
        <v>1441799.0</v>
      </c>
      <c r="C3721" s="15" t="s">
        <v>15213</v>
      </c>
      <c r="D3721" s="15">
        <v>243499.0</v>
      </c>
      <c r="E3721" s="15" t="s">
        <v>2014</v>
      </c>
      <c r="F3721" s="15" t="s">
        <v>1578</v>
      </c>
      <c r="G3721" s="7">
        <v>1.001</v>
      </c>
      <c r="H3721" s="15" t="s">
        <v>3000</v>
      </c>
      <c r="I3721" s="15" t="s">
        <v>1628</v>
      </c>
      <c r="J3721" s="15" t="s">
        <v>15215</v>
      </c>
      <c r="K3721" s="15">
        <v>1.0</v>
      </c>
      <c r="L3721" s="15">
        <v>1.0</v>
      </c>
      <c r="M3721" s="41">
        <v>41631.0</v>
      </c>
      <c r="N3721" s="40">
        <v>41754.0</v>
      </c>
      <c r="O3721" s="15" t="s">
        <v>1554</v>
      </c>
      <c r="Q3721" s="7"/>
    </row>
    <row r="3722">
      <c r="A3722" s="39" t="s">
        <v>15216</v>
      </c>
      <c r="B3722" s="15">
        <v>1441796.0</v>
      </c>
      <c r="C3722" s="15" t="s">
        <v>15217</v>
      </c>
      <c r="D3722" s="15">
        <v>243500.0</v>
      </c>
      <c r="E3722" s="15" t="s">
        <v>2014</v>
      </c>
      <c r="F3722" s="15" t="s">
        <v>1578</v>
      </c>
      <c r="G3722" s="7">
        <v>43160.0</v>
      </c>
      <c r="H3722" s="15" t="s">
        <v>2118</v>
      </c>
      <c r="I3722" s="15" t="s">
        <v>1628</v>
      </c>
      <c r="J3722" s="15" t="s">
        <v>15218</v>
      </c>
      <c r="K3722" s="15">
        <v>1.0</v>
      </c>
      <c r="L3722" s="15">
        <v>1.0</v>
      </c>
      <c r="M3722" s="41">
        <v>41631.0</v>
      </c>
      <c r="N3722" s="40">
        <v>41754.0</v>
      </c>
      <c r="O3722" s="15" t="s">
        <v>1554</v>
      </c>
      <c r="Q3722" s="7"/>
    </row>
    <row r="3723">
      <c r="A3723" s="39" t="s">
        <v>15219</v>
      </c>
      <c r="B3723" s="15">
        <v>1282444.0</v>
      </c>
      <c r="C3723" s="15" t="s">
        <v>15220</v>
      </c>
      <c r="D3723" s="15">
        <v>243501.0</v>
      </c>
      <c r="E3723" s="15" t="s">
        <v>1808</v>
      </c>
      <c r="F3723" s="15" t="s">
        <v>1578</v>
      </c>
      <c r="G3723" s="7">
        <v>2.087</v>
      </c>
      <c r="H3723" s="15" t="s">
        <v>5179</v>
      </c>
      <c r="I3723" s="15" t="s">
        <v>1706</v>
      </c>
      <c r="J3723" s="15" t="s">
        <v>15221</v>
      </c>
      <c r="K3723" s="15">
        <v>2.0</v>
      </c>
      <c r="L3723" s="15">
        <v>2.0</v>
      </c>
      <c r="M3723" s="40">
        <v>41294.0</v>
      </c>
      <c r="N3723" s="40">
        <v>41732.0</v>
      </c>
      <c r="O3723" s="15" t="s">
        <v>1554</v>
      </c>
      <c r="Q3723" s="7"/>
    </row>
    <row r="3724">
      <c r="A3724" s="39" t="s">
        <v>15222</v>
      </c>
      <c r="B3724" s="15">
        <v>1353241.0</v>
      </c>
      <c r="C3724" s="15" t="s">
        <v>15223</v>
      </c>
      <c r="D3724" s="15">
        <v>243502.0</v>
      </c>
      <c r="E3724" s="15" t="s">
        <v>1808</v>
      </c>
      <c r="F3724" s="15" t="s">
        <v>1998</v>
      </c>
      <c r="G3724" s="7">
        <v>2.925</v>
      </c>
      <c r="H3724" s="15" t="s">
        <v>3070</v>
      </c>
      <c r="I3724" s="15" t="s">
        <v>1686</v>
      </c>
      <c r="J3724" s="15" t="s">
        <v>15225</v>
      </c>
      <c r="K3724" s="15">
        <v>2.0</v>
      </c>
      <c r="L3724" s="15">
        <v>2.0</v>
      </c>
      <c r="M3724" s="40">
        <v>41463.0</v>
      </c>
      <c r="N3724" s="40">
        <v>41732.0</v>
      </c>
      <c r="O3724" s="15" t="s">
        <v>1554</v>
      </c>
      <c r="Q3724" s="7"/>
    </row>
    <row r="3725">
      <c r="A3725" s="39" t="s">
        <v>15226</v>
      </c>
      <c r="B3725" s="15">
        <v>1282443.0</v>
      </c>
      <c r="C3725" s="15" t="s">
        <v>15227</v>
      </c>
      <c r="D3725" s="15">
        <v>243503.0</v>
      </c>
      <c r="E3725" s="15" t="s">
        <v>1808</v>
      </c>
      <c r="F3725" s="15" t="s">
        <v>1578</v>
      </c>
      <c r="G3725" s="7">
        <v>2.308</v>
      </c>
      <c r="H3725" s="15" t="s">
        <v>5475</v>
      </c>
      <c r="I3725" s="15" t="s">
        <v>1706</v>
      </c>
      <c r="J3725" s="15" t="s">
        <v>15228</v>
      </c>
      <c r="K3725" s="15">
        <v>2.0</v>
      </c>
      <c r="L3725" s="15">
        <v>2.0</v>
      </c>
      <c r="M3725" s="40">
        <v>41294.0</v>
      </c>
      <c r="N3725" s="40">
        <v>41732.0</v>
      </c>
      <c r="O3725" s="15" t="s">
        <v>1554</v>
      </c>
      <c r="Q3725" s="7"/>
    </row>
    <row r="3726">
      <c r="A3726" s="39" t="s">
        <v>15229</v>
      </c>
      <c r="B3726" s="15">
        <v>1234879.0</v>
      </c>
      <c r="C3726" s="15" t="s">
        <v>15230</v>
      </c>
      <c r="D3726" s="15">
        <v>243506.0</v>
      </c>
      <c r="E3726" s="15" t="s">
        <v>1808</v>
      </c>
      <c r="F3726" s="15" t="s">
        <v>1998</v>
      </c>
      <c r="G3726" s="7">
        <v>1.741</v>
      </c>
      <c r="H3726" s="15" t="s">
        <v>2049</v>
      </c>
      <c r="I3726" s="15" t="s">
        <v>1686</v>
      </c>
      <c r="J3726" s="15" t="s">
        <v>15231</v>
      </c>
      <c r="K3726" s="15">
        <v>2.0</v>
      </c>
      <c r="L3726" s="15">
        <v>2.0</v>
      </c>
      <c r="M3726" s="40">
        <v>40607.0</v>
      </c>
      <c r="N3726" s="40">
        <v>41736.0</v>
      </c>
      <c r="O3726" s="15" t="s">
        <v>1554</v>
      </c>
      <c r="Q3726" s="7"/>
    </row>
    <row r="3727">
      <c r="A3727" s="39" t="s">
        <v>15232</v>
      </c>
      <c r="B3727" s="15">
        <v>1443910.0</v>
      </c>
      <c r="C3727" s="15" t="s">
        <v>15233</v>
      </c>
      <c r="D3727" s="15">
        <v>243528.0</v>
      </c>
      <c r="E3727" s="15" t="s">
        <v>1808</v>
      </c>
      <c r="F3727" s="15" t="s">
        <v>1578</v>
      </c>
      <c r="G3727" s="7">
        <v>2.479</v>
      </c>
      <c r="H3727" s="15">
        <v>52.0</v>
      </c>
      <c r="I3727" s="15" t="s">
        <v>1706</v>
      </c>
      <c r="J3727" s="15" t="s">
        <v>15234</v>
      </c>
      <c r="K3727" s="15">
        <v>2.0</v>
      </c>
      <c r="L3727" s="15">
        <v>2.0</v>
      </c>
      <c r="M3727" s="40">
        <v>41653.0</v>
      </c>
      <c r="N3727" s="40">
        <v>41732.0</v>
      </c>
      <c r="O3727" s="15" t="s">
        <v>1554</v>
      </c>
      <c r="Q3727" s="7"/>
    </row>
    <row r="3728">
      <c r="A3728" s="39" t="s">
        <v>15236</v>
      </c>
      <c r="B3728" s="15">
        <v>1346815.0</v>
      </c>
      <c r="C3728" s="15" t="s">
        <v>15237</v>
      </c>
      <c r="D3728" s="15">
        <v>243529.0</v>
      </c>
      <c r="E3728" s="15" t="s">
        <v>1808</v>
      </c>
      <c r="F3728" s="15" t="s">
        <v>1578</v>
      </c>
      <c r="G3728" s="7">
        <v>2.526</v>
      </c>
      <c r="H3728" s="15" t="s">
        <v>4283</v>
      </c>
      <c r="I3728" s="15" t="s">
        <v>1706</v>
      </c>
      <c r="J3728" s="15" t="s">
        <v>15238</v>
      </c>
      <c r="K3728" s="15">
        <v>4.0</v>
      </c>
      <c r="L3728" s="15">
        <v>4.0</v>
      </c>
      <c r="M3728" s="40">
        <v>41547.0</v>
      </c>
      <c r="N3728" s="40">
        <v>41732.0</v>
      </c>
      <c r="O3728" s="15" t="s">
        <v>1554</v>
      </c>
      <c r="Q3728" s="7"/>
    </row>
    <row r="3729">
      <c r="A3729" s="39" t="s">
        <v>15239</v>
      </c>
      <c r="B3729" s="15">
        <v>1472717.0</v>
      </c>
      <c r="C3729" s="15" t="s">
        <v>15240</v>
      </c>
      <c r="D3729" s="15">
        <v>243540.0</v>
      </c>
      <c r="E3729" s="15" t="s">
        <v>1557</v>
      </c>
      <c r="F3729" s="15" t="s">
        <v>1822</v>
      </c>
      <c r="G3729" s="7">
        <v>8.194</v>
      </c>
      <c r="H3729" s="15" t="s">
        <v>3255</v>
      </c>
      <c r="I3729" s="15" t="s">
        <v>1686</v>
      </c>
      <c r="J3729" s="15" t="s">
        <v>15241</v>
      </c>
      <c r="K3729" s="15">
        <v>7.0</v>
      </c>
      <c r="L3729" s="15">
        <v>7.0</v>
      </c>
      <c r="M3729" s="40">
        <v>41715.0</v>
      </c>
      <c r="N3729" s="40">
        <v>41733.0</v>
      </c>
      <c r="O3729" s="15" t="s">
        <v>1554</v>
      </c>
      <c r="Q3729" s="7"/>
    </row>
    <row r="3730">
      <c r="A3730" s="39" t="s">
        <v>15242</v>
      </c>
      <c r="B3730" s="15">
        <v>1480065.0</v>
      </c>
      <c r="C3730" s="15" t="s">
        <v>15243</v>
      </c>
      <c r="D3730" s="15">
        <v>243629.0</v>
      </c>
      <c r="E3730" s="15" t="s">
        <v>1557</v>
      </c>
      <c r="F3730" s="15" t="s">
        <v>1822</v>
      </c>
      <c r="G3730" s="7">
        <v>7.637</v>
      </c>
      <c r="H3730" s="15" t="s">
        <v>1772</v>
      </c>
      <c r="I3730" s="15" t="s">
        <v>1686</v>
      </c>
      <c r="J3730" s="15" t="s">
        <v>15244</v>
      </c>
      <c r="K3730" s="15">
        <v>7.0</v>
      </c>
      <c r="L3730" s="15">
        <v>7.0</v>
      </c>
      <c r="M3730" s="40">
        <v>41731.0</v>
      </c>
      <c r="N3730" s="40">
        <v>41949.0</v>
      </c>
      <c r="O3730" s="15" t="s">
        <v>1554</v>
      </c>
      <c r="Q3730" s="7"/>
    </row>
    <row r="3731">
      <c r="A3731" s="39" t="s">
        <v>15246</v>
      </c>
      <c r="B3731" s="15">
        <v>1478160.0</v>
      </c>
      <c r="C3731" s="15" t="s">
        <v>15247</v>
      </c>
      <c r="D3731" s="15">
        <v>243630.0</v>
      </c>
      <c r="E3731" s="15" t="s">
        <v>1557</v>
      </c>
      <c r="F3731" s="15" t="s">
        <v>1822</v>
      </c>
      <c r="G3731" s="7">
        <v>7.314</v>
      </c>
      <c r="H3731" s="15" t="s">
        <v>2342</v>
      </c>
      <c r="I3731" s="15" t="s">
        <v>1567</v>
      </c>
      <c r="J3731" s="15" t="s">
        <v>15248</v>
      </c>
      <c r="K3731" s="15">
        <v>7.0</v>
      </c>
      <c r="L3731" s="15">
        <v>7.0</v>
      </c>
      <c r="M3731" s="40">
        <v>41728.0</v>
      </c>
      <c r="N3731" s="40">
        <v>41789.0</v>
      </c>
      <c r="O3731" s="15" t="s">
        <v>1554</v>
      </c>
      <c r="Q3731" s="7"/>
    </row>
    <row r="3732">
      <c r="A3732" s="39" t="s">
        <v>15249</v>
      </c>
      <c r="B3732" s="15">
        <v>1163708.0</v>
      </c>
      <c r="C3732" s="15" t="s">
        <v>15250</v>
      </c>
      <c r="D3732" s="15">
        <v>243631.0</v>
      </c>
      <c r="E3732" s="15" t="s">
        <v>1557</v>
      </c>
      <c r="F3732" s="15" t="s">
        <v>1822</v>
      </c>
      <c r="G3732" s="7">
        <v>7.256</v>
      </c>
      <c r="H3732" s="15" t="s">
        <v>1918</v>
      </c>
      <c r="I3732" s="15" t="s">
        <v>1686</v>
      </c>
      <c r="J3732" s="15" t="s">
        <v>15251</v>
      </c>
      <c r="K3732" s="15">
        <v>6.0</v>
      </c>
      <c r="L3732" s="15">
        <v>6.0</v>
      </c>
      <c r="M3732" s="40">
        <v>41730.0</v>
      </c>
      <c r="N3732" s="40">
        <v>41949.0</v>
      </c>
      <c r="O3732" s="15" t="s">
        <v>1554</v>
      </c>
      <c r="Q3732" s="7"/>
    </row>
    <row r="3733">
      <c r="A3733" s="39" t="s">
        <v>15252</v>
      </c>
      <c r="B3733" s="15">
        <v>1468172.0</v>
      </c>
      <c r="C3733" s="15" t="s">
        <v>15253</v>
      </c>
      <c r="D3733" s="15">
        <v>243632.0</v>
      </c>
      <c r="E3733" s="15" t="s">
        <v>1548</v>
      </c>
      <c r="F3733" s="15" t="s">
        <v>1786</v>
      </c>
      <c r="G3733" s="7">
        <v>8.659</v>
      </c>
      <c r="H3733" s="15" t="s">
        <v>3432</v>
      </c>
      <c r="I3733" s="15" t="s">
        <v>1628</v>
      </c>
      <c r="J3733" s="15" t="s">
        <v>15255</v>
      </c>
      <c r="K3733" s="15">
        <v>6.0</v>
      </c>
      <c r="L3733" s="15">
        <v>6.0</v>
      </c>
      <c r="M3733" s="40">
        <v>41731.0</v>
      </c>
      <c r="N3733" s="40">
        <v>41736.0</v>
      </c>
      <c r="O3733" s="15" t="s">
        <v>1554</v>
      </c>
      <c r="Q3733" s="7"/>
    </row>
    <row r="3734">
      <c r="A3734" s="39" t="s">
        <v>15256</v>
      </c>
      <c r="B3734" s="15">
        <v>1478132.0</v>
      </c>
      <c r="C3734" s="15" t="s">
        <v>15257</v>
      </c>
      <c r="D3734" s="15">
        <v>243633.0</v>
      </c>
      <c r="E3734" s="15" t="s">
        <v>1638</v>
      </c>
      <c r="F3734" s="15" t="s">
        <v>2849</v>
      </c>
      <c r="G3734" s="7">
        <v>10.513</v>
      </c>
      <c r="H3734" s="15" t="s">
        <v>2158</v>
      </c>
      <c r="I3734" s="15" t="s">
        <v>1552</v>
      </c>
      <c r="J3734" s="15" t="s">
        <v>15258</v>
      </c>
      <c r="K3734" s="15">
        <v>1.0</v>
      </c>
      <c r="L3734" s="15">
        <v>1.0</v>
      </c>
      <c r="M3734" s="40">
        <v>41729.0</v>
      </c>
      <c r="N3734" s="40">
        <v>41949.0</v>
      </c>
      <c r="O3734" s="15" t="s">
        <v>1554</v>
      </c>
      <c r="Q3734" s="7"/>
    </row>
    <row r="3735">
      <c r="A3735" s="39" t="s">
        <v>15259</v>
      </c>
      <c r="B3735" s="15">
        <v>1461792.0</v>
      </c>
      <c r="C3735" s="15" t="s">
        <v>15260</v>
      </c>
      <c r="D3735" s="15">
        <v>243827.0</v>
      </c>
      <c r="E3735" s="15" t="s">
        <v>2014</v>
      </c>
      <c r="F3735" s="15" t="s">
        <v>2018</v>
      </c>
      <c r="G3735" s="7">
        <v>1.344</v>
      </c>
      <c r="H3735" s="15" t="s">
        <v>2233</v>
      </c>
      <c r="I3735" s="15" t="s">
        <v>1628</v>
      </c>
      <c r="J3735" s="15" t="s">
        <v>15261</v>
      </c>
      <c r="K3735" s="15">
        <v>1.0</v>
      </c>
      <c r="L3735" s="15">
        <v>1.0</v>
      </c>
      <c r="M3735" s="40">
        <v>41728.0</v>
      </c>
      <c r="N3735" s="40">
        <v>41736.0</v>
      </c>
      <c r="O3735" s="15" t="s">
        <v>1554</v>
      </c>
      <c r="Q3735" s="7"/>
    </row>
    <row r="3736">
      <c r="A3736" s="39" t="s">
        <v>15262</v>
      </c>
      <c r="B3736" s="15">
        <v>1406790.0</v>
      </c>
      <c r="C3736" s="15" t="s">
        <v>12262</v>
      </c>
      <c r="D3736" s="15">
        <v>222858.0</v>
      </c>
      <c r="E3736" s="15" t="s">
        <v>1557</v>
      </c>
      <c r="F3736" s="15" t="s">
        <v>1833</v>
      </c>
      <c r="G3736" s="7">
        <v>80.382</v>
      </c>
      <c r="H3736" s="15" t="s">
        <v>3550</v>
      </c>
      <c r="I3736" s="15" t="s">
        <v>1586</v>
      </c>
      <c r="J3736" s="15" t="s">
        <v>15263</v>
      </c>
      <c r="K3736" s="15">
        <v>111.0</v>
      </c>
      <c r="L3736" s="15">
        <v>111.0</v>
      </c>
      <c r="M3736" s="41">
        <v>41576.0</v>
      </c>
      <c r="N3736" s="40">
        <v>41828.0</v>
      </c>
      <c r="O3736" s="15" t="s">
        <v>1554</v>
      </c>
      <c r="Q3736" s="7"/>
    </row>
    <row r="3737">
      <c r="A3737" s="39" t="s">
        <v>15265</v>
      </c>
      <c r="B3737" s="15">
        <v>1406795.0</v>
      </c>
      <c r="C3737" s="15" t="s">
        <v>12262</v>
      </c>
      <c r="D3737" s="15">
        <v>222858.0</v>
      </c>
      <c r="E3737" s="15" t="s">
        <v>1557</v>
      </c>
      <c r="F3737" s="15" t="s">
        <v>1767</v>
      </c>
      <c r="G3737" s="7">
        <v>154.701</v>
      </c>
      <c r="H3737" s="15" t="s">
        <v>8889</v>
      </c>
      <c r="I3737" s="15" t="s">
        <v>1586</v>
      </c>
      <c r="J3737" s="15" t="s">
        <v>15266</v>
      </c>
      <c r="K3737" s="15">
        <v>204.0</v>
      </c>
      <c r="L3737" s="15">
        <v>200.0</v>
      </c>
      <c r="M3737" s="41">
        <v>41576.0</v>
      </c>
      <c r="N3737" s="40">
        <v>41828.0</v>
      </c>
      <c r="O3737" s="15" t="s">
        <v>1554</v>
      </c>
      <c r="Q3737" s="7"/>
    </row>
    <row r="3738">
      <c r="A3738" s="39" t="s">
        <v>15267</v>
      </c>
      <c r="B3738" s="15">
        <v>1296662.0</v>
      </c>
      <c r="C3738" s="15" t="s">
        <v>15268</v>
      </c>
      <c r="D3738" s="15">
        <v>230605.0</v>
      </c>
      <c r="E3738" s="15" t="s">
        <v>1557</v>
      </c>
      <c r="F3738" s="15" t="s">
        <v>1767</v>
      </c>
      <c r="G3738" s="7">
        <v>45.798</v>
      </c>
      <c r="H3738" s="15" t="s">
        <v>3895</v>
      </c>
      <c r="I3738" s="15" t="s">
        <v>1586</v>
      </c>
      <c r="J3738" s="15" t="s">
        <v>15269</v>
      </c>
      <c r="K3738" s="15">
        <v>94.0</v>
      </c>
      <c r="L3738" s="15">
        <v>94.0</v>
      </c>
      <c r="M3738" s="40">
        <v>41478.0</v>
      </c>
      <c r="N3738" s="40">
        <v>42186.0</v>
      </c>
      <c r="O3738" s="15" t="s">
        <v>1554</v>
      </c>
      <c r="Q3738" s="7"/>
    </row>
    <row r="3739">
      <c r="A3739" s="39" t="s">
        <v>15270</v>
      </c>
      <c r="B3739" s="15">
        <v>1084722.0</v>
      </c>
      <c r="C3739" s="15" t="s">
        <v>15271</v>
      </c>
      <c r="D3739" s="15">
        <v>240718.0</v>
      </c>
      <c r="E3739" s="15" t="s">
        <v>1557</v>
      </c>
      <c r="F3739" s="15" t="s">
        <v>1833</v>
      </c>
      <c r="G3739" s="7">
        <v>59.672</v>
      </c>
      <c r="H3739" s="15" t="s">
        <v>6615</v>
      </c>
      <c r="I3739" s="15" t="s">
        <v>1586</v>
      </c>
      <c r="J3739" s="15" t="s">
        <v>15273</v>
      </c>
      <c r="K3739" s="15">
        <v>96.0</v>
      </c>
      <c r="L3739" s="15">
        <v>95.0</v>
      </c>
      <c r="M3739" s="40">
        <v>40812.0</v>
      </c>
      <c r="N3739" s="40">
        <v>41739.0</v>
      </c>
      <c r="O3739" s="15" t="s">
        <v>1554</v>
      </c>
      <c r="Q3739" s="7"/>
    </row>
    <row r="3740">
      <c r="A3740" s="39" t="s">
        <v>15274</v>
      </c>
      <c r="B3740" s="15">
        <v>1071505.0</v>
      </c>
      <c r="C3740" s="15" t="s">
        <v>15275</v>
      </c>
      <c r="D3740" s="15">
        <v>240735.0</v>
      </c>
      <c r="E3740" s="15" t="s">
        <v>1557</v>
      </c>
      <c r="F3740" s="15" t="s">
        <v>1833</v>
      </c>
      <c r="G3740" s="7">
        <v>57.387</v>
      </c>
      <c r="H3740" s="15" t="s">
        <v>4108</v>
      </c>
      <c r="I3740" s="15" t="s">
        <v>1586</v>
      </c>
      <c r="J3740" s="15" t="s">
        <v>15276</v>
      </c>
      <c r="K3740" s="15">
        <v>104.0</v>
      </c>
      <c r="L3740" s="15">
        <v>104.0</v>
      </c>
      <c r="M3740" s="40">
        <v>40761.0</v>
      </c>
      <c r="N3740" s="40">
        <v>41739.0</v>
      </c>
      <c r="O3740" s="15" t="s">
        <v>1554</v>
      </c>
      <c r="Q3740" s="7"/>
    </row>
    <row r="3741">
      <c r="A3741" s="39" t="s">
        <v>15277</v>
      </c>
      <c r="B3741" s="15">
        <v>1089137.0</v>
      </c>
      <c r="C3741" s="15" t="s">
        <v>15278</v>
      </c>
      <c r="D3741" s="15">
        <v>240742.0</v>
      </c>
      <c r="E3741" s="15" t="s">
        <v>1557</v>
      </c>
      <c r="F3741" s="15" t="s">
        <v>1833</v>
      </c>
      <c r="G3741" s="7">
        <v>69.641</v>
      </c>
      <c r="H3741" s="15" t="s">
        <v>15279</v>
      </c>
      <c r="I3741" s="15" t="s">
        <v>1586</v>
      </c>
      <c r="J3741" s="15" t="s">
        <v>15280</v>
      </c>
      <c r="K3741" s="15">
        <v>95.0</v>
      </c>
      <c r="L3741" s="15">
        <v>95.0</v>
      </c>
      <c r="M3741" s="40">
        <v>40853.0</v>
      </c>
      <c r="N3741" s="40">
        <v>41739.0</v>
      </c>
      <c r="O3741" s="15" t="s">
        <v>1554</v>
      </c>
      <c r="Q3741" s="7"/>
    </row>
    <row r="3742">
      <c r="A3742" s="39" t="s">
        <v>15281</v>
      </c>
      <c r="B3742" s="15">
        <v>701456.0</v>
      </c>
      <c r="C3742" s="15" t="s">
        <v>15282</v>
      </c>
      <c r="D3742" s="15">
        <v>240744.0</v>
      </c>
      <c r="E3742" s="15" t="s">
        <v>1557</v>
      </c>
      <c r="F3742" s="15" t="s">
        <v>1833</v>
      </c>
      <c r="G3742" s="7">
        <v>53.137</v>
      </c>
      <c r="H3742" s="15" t="s">
        <v>3542</v>
      </c>
      <c r="I3742" s="15" t="s">
        <v>1586</v>
      </c>
      <c r="J3742" s="15" t="s">
        <v>15283</v>
      </c>
      <c r="K3742" s="15">
        <v>102.0</v>
      </c>
      <c r="L3742" s="15">
        <v>102.0</v>
      </c>
      <c r="M3742" s="40">
        <v>40183.0</v>
      </c>
      <c r="N3742" s="40">
        <v>41739.0</v>
      </c>
      <c r="O3742" s="15" t="s">
        <v>1554</v>
      </c>
      <c r="Q3742" s="7"/>
    </row>
    <row r="3743">
      <c r="A3743" s="39" t="s">
        <v>15284</v>
      </c>
      <c r="B3743" s="15">
        <v>45764.0</v>
      </c>
      <c r="C3743" s="15" t="s">
        <v>15285</v>
      </c>
      <c r="D3743" s="15">
        <v>240748.0</v>
      </c>
      <c r="E3743" s="15" t="s">
        <v>1557</v>
      </c>
      <c r="F3743" s="15" t="s">
        <v>1833</v>
      </c>
      <c r="G3743" s="7">
        <v>60.588</v>
      </c>
      <c r="H3743" s="15" t="s">
        <v>1666</v>
      </c>
      <c r="I3743" s="15" t="s">
        <v>1586</v>
      </c>
      <c r="J3743" s="15" t="s">
        <v>15286</v>
      </c>
      <c r="K3743" s="15">
        <v>97.0</v>
      </c>
      <c r="L3743" s="15">
        <v>97.0</v>
      </c>
      <c r="M3743" s="40">
        <v>40853.0</v>
      </c>
      <c r="N3743" s="40">
        <v>41739.0</v>
      </c>
      <c r="O3743" s="15" t="s">
        <v>1554</v>
      </c>
      <c r="Q3743" s="7"/>
    </row>
    <row r="3744">
      <c r="A3744" s="39" t="s">
        <v>15287</v>
      </c>
      <c r="B3744" s="15">
        <v>1445715.0</v>
      </c>
      <c r="C3744" s="15" t="s">
        <v>15288</v>
      </c>
      <c r="D3744" s="15">
        <v>240046.0</v>
      </c>
      <c r="E3744" s="15" t="s">
        <v>1557</v>
      </c>
      <c r="F3744" s="15" t="s">
        <v>1833</v>
      </c>
      <c r="G3744" s="7">
        <v>51.797</v>
      </c>
      <c r="H3744" s="15">
        <v>64.0</v>
      </c>
      <c r="I3744" s="15" t="s">
        <v>1586</v>
      </c>
      <c r="J3744" s="15" t="s">
        <v>15289</v>
      </c>
      <c r="K3744" s="15">
        <v>89.0</v>
      </c>
      <c r="L3744" s="15">
        <v>89.0</v>
      </c>
      <c r="M3744" s="40">
        <v>41658.0</v>
      </c>
      <c r="N3744" s="40">
        <v>41702.0</v>
      </c>
      <c r="O3744" s="15" t="s">
        <v>1554</v>
      </c>
      <c r="Q3744" s="7"/>
    </row>
    <row r="3745">
      <c r="A3745" s="39" t="s">
        <v>15290</v>
      </c>
      <c r="B3745" s="15">
        <v>1089110.0</v>
      </c>
      <c r="C3745" s="15" t="s">
        <v>15291</v>
      </c>
      <c r="D3745" s="15">
        <v>240770.0</v>
      </c>
      <c r="E3745" s="15" t="s">
        <v>1557</v>
      </c>
      <c r="F3745" s="15" t="s">
        <v>1833</v>
      </c>
      <c r="G3745" s="7">
        <v>68.711</v>
      </c>
      <c r="H3745" s="15" t="s">
        <v>9965</v>
      </c>
      <c r="I3745" s="15" t="s">
        <v>1586</v>
      </c>
      <c r="J3745" s="15" t="s">
        <v>15293</v>
      </c>
      <c r="K3745" s="15">
        <v>104.0</v>
      </c>
      <c r="L3745" s="15">
        <v>104.0</v>
      </c>
      <c r="M3745" s="40">
        <v>40853.0</v>
      </c>
      <c r="N3745" s="40">
        <v>41739.0</v>
      </c>
      <c r="O3745" s="15" t="s">
        <v>1554</v>
      </c>
      <c r="Q3745" s="7"/>
    </row>
    <row r="3746">
      <c r="A3746" s="39" t="s">
        <v>15294</v>
      </c>
      <c r="B3746" s="15">
        <v>1211481.0</v>
      </c>
      <c r="C3746" s="15" t="s">
        <v>15295</v>
      </c>
      <c r="D3746" s="15">
        <v>244308.0</v>
      </c>
      <c r="E3746" s="15" t="s">
        <v>1638</v>
      </c>
      <c r="F3746" s="15" t="s">
        <v>1578</v>
      </c>
      <c r="G3746" s="7">
        <v>7.475</v>
      </c>
      <c r="H3746" s="15" t="s">
        <v>2996</v>
      </c>
      <c r="I3746" s="15" t="s">
        <v>1628</v>
      </c>
      <c r="J3746" s="15" t="s">
        <v>15296</v>
      </c>
      <c r="K3746" s="15">
        <v>2.0</v>
      </c>
      <c r="L3746" s="15">
        <v>2.0</v>
      </c>
      <c r="M3746" s="40">
        <v>41129.0</v>
      </c>
      <c r="N3746" s="40">
        <v>41739.0</v>
      </c>
      <c r="O3746" s="15" t="s">
        <v>1554</v>
      </c>
      <c r="Q3746" s="7"/>
    </row>
    <row r="3747">
      <c r="A3747" s="39" t="s">
        <v>15297</v>
      </c>
      <c r="B3747" s="15">
        <v>1483681.0</v>
      </c>
      <c r="C3747" s="15" t="s">
        <v>15298</v>
      </c>
      <c r="D3747" s="15">
        <v>244474.0</v>
      </c>
      <c r="E3747" s="15" t="s">
        <v>1548</v>
      </c>
      <c r="F3747" s="15" t="s">
        <v>1776</v>
      </c>
      <c r="G3747" s="7">
        <v>7.204</v>
      </c>
      <c r="H3747" s="15" t="s">
        <v>2304</v>
      </c>
      <c r="I3747" s="15" t="s">
        <v>1686</v>
      </c>
      <c r="J3747" s="15" t="s">
        <v>15299</v>
      </c>
      <c r="K3747" s="15">
        <v>1.0</v>
      </c>
      <c r="L3747" s="15">
        <v>1.0</v>
      </c>
      <c r="M3747" s="40">
        <v>41738.0</v>
      </c>
      <c r="N3747" s="40">
        <v>42453.0</v>
      </c>
      <c r="O3747" s="15" t="s">
        <v>1554</v>
      </c>
      <c r="Q3747" s="7"/>
    </row>
    <row r="3748">
      <c r="A3748" s="39" t="s">
        <v>15300</v>
      </c>
      <c r="B3748" s="15">
        <v>1481453.0</v>
      </c>
      <c r="C3748" s="15" t="s">
        <v>15301</v>
      </c>
      <c r="D3748" s="15">
        <v>244475.0</v>
      </c>
      <c r="E3748" s="15" t="s">
        <v>1548</v>
      </c>
      <c r="F3748" s="15" t="s">
        <v>1776</v>
      </c>
      <c r="G3748" s="7">
        <v>8.398</v>
      </c>
      <c r="H3748" s="15" t="s">
        <v>7408</v>
      </c>
      <c r="I3748" s="15" t="s">
        <v>1686</v>
      </c>
      <c r="J3748" s="15" t="s">
        <v>15302</v>
      </c>
      <c r="K3748" s="15">
        <v>1.0</v>
      </c>
      <c r="L3748" s="15">
        <v>1.0</v>
      </c>
      <c r="M3748" s="40">
        <v>41735.0</v>
      </c>
      <c r="N3748" s="40">
        <v>41949.0</v>
      </c>
      <c r="O3748" s="15" t="s">
        <v>1554</v>
      </c>
      <c r="Q3748" s="7"/>
    </row>
    <row r="3749">
      <c r="A3749" s="39" t="s">
        <v>15304</v>
      </c>
      <c r="B3749" s="15">
        <v>1482319.0</v>
      </c>
      <c r="C3749" s="15" t="s">
        <v>15305</v>
      </c>
      <c r="D3749" s="15">
        <v>244476.0</v>
      </c>
      <c r="E3749" s="15" t="s">
        <v>1548</v>
      </c>
      <c r="F3749" s="15" t="s">
        <v>10589</v>
      </c>
      <c r="G3749" s="7">
        <v>19.917</v>
      </c>
      <c r="H3749" s="15" t="s">
        <v>3827</v>
      </c>
      <c r="I3749" s="15" t="s">
        <v>1560</v>
      </c>
      <c r="J3749" s="15" t="s">
        <v>15306</v>
      </c>
      <c r="K3749" s="15">
        <v>6.0</v>
      </c>
      <c r="L3749" s="15">
        <v>6.0</v>
      </c>
      <c r="M3749" s="40">
        <v>41736.0</v>
      </c>
      <c r="N3749" s="40">
        <v>41743.0</v>
      </c>
      <c r="O3749" s="15" t="s">
        <v>1554</v>
      </c>
      <c r="Q3749" s="7"/>
    </row>
    <row r="3750">
      <c r="A3750" s="39" t="s">
        <v>15307</v>
      </c>
      <c r="B3750" s="15">
        <v>1482734.0</v>
      </c>
      <c r="C3750" s="15" t="s">
        <v>15308</v>
      </c>
      <c r="D3750" s="15">
        <v>244477.0</v>
      </c>
      <c r="E3750" s="15" t="s">
        <v>1548</v>
      </c>
      <c r="F3750" s="15" t="s">
        <v>1776</v>
      </c>
      <c r="G3750" s="7">
        <v>8.976</v>
      </c>
      <c r="H3750" s="15" t="s">
        <v>2178</v>
      </c>
      <c r="I3750" s="15" t="s">
        <v>1686</v>
      </c>
      <c r="J3750" s="15" t="s">
        <v>15309</v>
      </c>
      <c r="K3750" s="15">
        <v>1.0</v>
      </c>
      <c r="L3750" s="15">
        <v>1.0</v>
      </c>
      <c r="M3750" s="40">
        <v>41736.0</v>
      </c>
      <c r="N3750" s="40">
        <v>41949.0</v>
      </c>
      <c r="O3750" s="15" t="s">
        <v>1554</v>
      </c>
      <c r="Q3750" s="7"/>
    </row>
    <row r="3751">
      <c r="A3751" s="39" t="s">
        <v>15310</v>
      </c>
      <c r="B3751" s="15">
        <v>1233383.0</v>
      </c>
      <c r="C3751" s="15" t="s">
        <v>15311</v>
      </c>
      <c r="D3751" s="15">
        <v>244478.0</v>
      </c>
      <c r="E3751" s="15" t="s">
        <v>1548</v>
      </c>
      <c r="F3751" s="15" t="s">
        <v>1776</v>
      </c>
      <c r="G3751" s="7">
        <v>7.802</v>
      </c>
      <c r="H3751" s="15" t="s">
        <v>1943</v>
      </c>
      <c r="I3751" s="15" t="s">
        <v>1686</v>
      </c>
      <c r="J3751" s="15" t="s">
        <v>15313</v>
      </c>
      <c r="K3751" s="15">
        <v>1.0</v>
      </c>
      <c r="L3751" s="15">
        <v>1.0</v>
      </c>
      <c r="M3751" s="40">
        <v>41737.0</v>
      </c>
      <c r="N3751" s="40">
        <v>41743.0</v>
      </c>
      <c r="O3751" s="15" t="s">
        <v>1554</v>
      </c>
      <c r="Q3751" s="7"/>
    </row>
    <row r="3752">
      <c r="A3752" s="39" t="s">
        <v>15314</v>
      </c>
      <c r="B3752" s="15">
        <v>1317107.0</v>
      </c>
      <c r="C3752" s="15" t="s">
        <v>15315</v>
      </c>
      <c r="D3752" s="15">
        <v>244665.0</v>
      </c>
      <c r="E3752" s="15" t="s">
        <v>1808</v>
      </c>
      <c r="F3752" s="15" t="s">
        <v>1809</v>
      </c>
      <c r="G3752" s="7">
        <v>2.772</v>
      </c>
      <c r="H3752" s="15" t="s">
        <v>2877</v>
      </c>
      <c r="I3752" s="15" t="s">
        <v>1628</v>
      </c>
      <c r="J3752" s="15" t="s">
        <v>15316</v>
      </c>
      <c r="K3752" s="15">
        <v>6.0</v>
      </c>
      <c r="L3752" s="15">
        <v>6.0</v>
      </c>
      <c r="M3752" s="40">
        <v>41744.0</v>
      </c>
      <c r="N3752" s="40">
        <v>41744.0</v>
      </c>
      <c r="O3752" s="15" t="s">
        <v>1554</v>
      </c>
      <c r="Q3752" s="7"/>
    </row>
    <row r="3753">
      <c r="A3753" s="39" t="s">
        <v>15317</v>
      </c>
      <c r="B3753" s="15">
        <v>75574.0</v>
      </c>
      <c r="C3753" s="15" t="s">
        <v>15318</v>
      </c>
      <c r="D3753" s="15">
        <v>244666.0</v>
      </c>
      <c r="E3753" s="15" t="s">
        <v>1808</v>
      </c>
      <c r="F3753" s="15" t="s">
        <v>1809</v>
      </c>
      <c r="G3753" s="7">
        <v>5.198</v>
      </c>
      <c r="H3753" s="15" t="s">
        <v>15319</v>
      </c>
      <c r="I3753" s="15" t="s">
        <v>1628</v>
      </c>
      <c r="J3753" s="15" t="s">
        <v>15320</v>
      </c>
      <c r="K3753" s="15">
        <v>7.0</v>
      </c>
      <c r="L3753" s="15">
        <v>7.0</v>
      </c>
      <c r="M3753" s="40">
        <v>41652.0</v>
      </c>
      <c r="N3753" s="40">
        <v>41744.0</v>
      </c>
      <c r="O3753" s="15" t="s">
        <v>1554</v>
      </c>
      <c r="Q3753" s="7"/>
    </row>
    <row r="3754">
      <c r="A3754" s="39" t="s">
        <v>15322</v>
      </c>
      <c r="B3754" s="15">
        <v>1485186.0</v>
      </c>
      <c r="C3754" s="15" t="s">
        <v>15323</v>
      </c>
      <c r="D3754" s="15">
        <v>244736.0</v>
      </c>
      <c r="E3754" s="15" t="s">
        <v>1548</v>
      </c>
      <c r="F3754" s="15" t="s">
        <v>1801</v>
      </c>
      <c r="G3754" s="7">
        <v>10.891</v>
      </c>
      <c r="H3754" s="15" t="s">
        <v>4776</v>
      </c>
      <c r="I3754" s="15" t="s">
        <v>1560</v>
      </c>
      <c r="J3754" s="15" t="s">
        <v>15324</v>
      </c>
      <c r="K3754" s="15">
        <v>1.0</v>
      </c>
      <c r="L3754" s="15">
        <v>1.0</v>
      </c>
      <c r="M3754" s="40">
        <v>41745.0</v>
      </c>
      <c r="N3754" s="40">
        <v>42612.0</v>
      </c>
      <c r="O3754" s="15" t="s">
        <v>1554</v>
      </c>
      <c r="Q3754" s="7"/>
    </row>
    <row r="3755">
      <c r="A3755" s="39" t="s">
        <v>15325</v>
      </c>
      <c r="B3755" s="15">
        <v>1487185.0</v>
      </c>
      <c r="C3755" s="15" t="s">
        <v>15326</v>
      </c>
      <c r="D3755" s="15">
        <v>244737.0</v>
      </c>
      <c r="E3755" s="15" t="s">
        <v>1548</v>
      </c>
      <c r="F3755" s="15" t="s">
        <v>2374</v>
      </c>
      <c r="G3755" s="7">
        <v>9.91</v>
      </c>
      <c r="H3755" s="15" t="s">
        <v>3361</v>
      </c>
      <c r="I3755" s="15" t="s">
        <v>1560</v>
      </c>
      <c r="J3755" s="15" t="s">
        <v>15327</v>
      </c>
      <c r="K3755" s="15">
        <v>1.0</v>
      </c>
      <c r="L3755" s="15">
        <v>1.0</v>
      </c>
      <c r="M3755" s="40">
        <v>41744.0</v>
      </c>
      <c r="N3755" s="40">
        <v>41949.0</v>
      </c>
      <c r="O3755" s="15" t="s">
        <v>1554</v>
      </c>
      <c r="Q3755" s="7"/>
    </row>
    <row r="3756">
      <c r="A3756" s="39" t="s">
        <v>15328</v>
      </c>
      <c r="B3756" s="15">
        <v>188938.0</v>
      </c>
      <c r="C3756" s="15" t="s">
        <v>15329</v>
      </c>
      <c r="D3756" s="15">
        <v>244947.0</v>
      </c>
      <c r="E3756" s="15" t="s">
        <v>1548</v>
      </c>
      <c r="F3756" s="15" t="s">
        <v>1801</v>
      </c>
      <c r="G3756" s="7">
        <v>12.273</v>
      </c>
      <c r="H3756" s="15" t="s">
        <v>1818</v>
      </c>
      <c r="I3756" s="15" t="s">
        <v>1686</v>
      </c>
      <c r="J3756" s="15" t="s">
        <v>15331</v>
      </c>
      <c r="K3756" s="15">
        <v>1.0</v>
      </c>
      <c r="L3756" s="15">
        <v>1.0</v>
      </c>
      <c r="M3756" s="40">
        <v>38473.0</v>
      </c>
      <c r="N3756" s="40">
        <v>41949.0</v>
      </c>
      <c r="O3756" s="15" t="s">
        <v>1554</v>
      </c>
      <c r="Q3756" s="7"/>
    </row>
    <row r="3757">
      <c r="A3757" s="39" t="s">
        <v>15332</v>
      </c>
      <c r="B3757" s="15">
        <v>1489836.0</v>
      </c>
      <c r="C3757" s="15" t="s">
        <v>15333</v>
      </c>
      <c r="D3757" s="15">
        <v>245453.0</v>
      </c>
      <c r="E3757" s="15" t="s">
        <v>1548</v>
      </c>
      <c r="F3757" s="15" t="s">
        <v>4829</v>
      </c>
      <c r="G3757" s="7">
        <v>7.443</v>
      </c>
      <c r="H3757" s="15" t="s">
        <v>1957</v>
      </c>
      <c r="I3757" s="15" t="s">
        <v>1686</v>
      </c>
      <c r="J3757" s="15" t="s">
        <v>15334</v>
      </c>
      <c r="K3757" s="15">
        <v>2.0</v>
      </c>
      <c r="L3757" s="15">
        <v>2.0</v>
      </c>
      <c r="M3757" s="40">
        <v>41751.0</v>
      </c>
      <c r="N3757" s="40">
        <v>41949.0</v>
      </c>
      <c r="O3757" s="15" t="s">
        <v>1554</v>
      </c>
      <c r="Q3757" s="7"/>
    </row>
    <row r="3758">
      <c r="A3758" s="39" t="s">
        <v>15335</v>
      </c>
      <c r="B3758" s="15">
        <v>1492296.0</v>
      </c>
      <c r="C3758" s="15" t="s">
        <v>15336</v>
      </c>
      <c r="D3758" s="15">
        <v>244473.0</v>
      </c>
      <c r="E3758" s="15" t="s">
        <v>1808</v>
      </c>
      <c r="F3758" s="15" t="s">
        <v>1809</v>
      </c>
      <c r="G3758" s="7">
        <v>2.83</v>
      </c>
      <c r="H3758" s="15">
        <v>48.0</v>
      </c>
      <c r="I3758" s="15" t="s">
        <v>1628</v>
      </c>
      <c r="J3758" s="15" t="s">
        <v>15338</v>
      </c>
      <c r="K3758" s="15">
        <v>4.0</v>
      </c>
      <c r="L3758" s="15">
        <v>4.0</v>
      </c>
      <c r="M3758" s="40">
        <v>41741.0</v>
      </c>
      <c r="N3758" s="40">
        <v>41949.0</v>
      </c>
      <c r="O3758" s="15" t="s">
        <v>1554</v>
      </c>
      <c r="Q3758" s="7"/>
    </row>
    <row r="3759">
      <c r="A3759" s="39" t="s">
        <v>15339</v>
      </c>
      <c r="B3759" s="15">
        <v>1489714.0</v>
      </c>
      <c r="C3759" s="15" t="s">
        <v>15340</v>
      </c>
      <c r="D3759" s="15">
        <v>246129.0</v>
      </c>
      <c r="E3759" s="15" t="s">
        <v>1577</v>
      </c>
      <c r="F3759" s="15" t="s">
        <v>1578</v>
      </c>
      <c r="G3759" s="7">
        <v>9.578</v>
      </c>
      <c r="H3759" s="15" t="s">
        <v>3317</v>
      </c>
      <c r="I3759" s="15" t="s">
        <v>1560</v>
      </c>
      <c r="J3759" s="15" t="s">
        <v>15341</v>
      </c>
      <c r="K3759" s="15">
        <v>3.0</v>
      </c>
      <c r="L3759" s="15">
        <v>3.0</v>
      </c>
      <c r="M3759" s="40">
        <v>41755.0</v>
      </c>
      <c r="N3759" s="40">
        <v>41949.0</v>
      </c>
      <c r="O3759" s="15" t="s">
        <v>1554</v>
      </c>
      <c r="Q3759" s="7"/>
    </row>
    <row r="3760">
      <c r="A3760" s="39" t="s">
        <v>15342</v>
      </c>
      <c r="B3760" s="15">
        <v>47681.0</v>
      </c>
      <c r="C3760" s="15" t="s">
        <v>15343</v>
      </c>
      <c r="D3760" s="15">
        <v>246231.0</v>
      </c>
      <c r="E3760" s="15" t="s">
        <v>1548</v>
      </c>
      <c r="F3760" s="15" t="s">
        <v>1776</v>
      </c>
      <c r="G3760" s="7">
        <v>7.376</v>
      </c>
      <c r="H3760" s="15" t="s">
        <v>3097</v>
      </c>
      <c r="I3760" s="15" t="s">
        <v>1686</v>
      </c>
      <c r="J3760" s="15" t="s">
        <v>15344</v>
      </c>
      <c r="K3760" s="15">
        <v>1.0</v>
      </c>
      <c r="L3760" s="15">
        <v>1.0</v>
      </c>
      <c r="M3760" s="40">
        <v>41763.0</v>
      </c>
      <c r="N3760" s="40">
        <v>41765.0</v>
      </c>
      <c r="O3760" s="15" t="s">
        <v>1554</v>
      </c>
      <c r="Q3760" s="7"/>
    </row>
    <row r="3761">
      <c r="A3761" s="39" t="s">
        <v>15345</v>
      </c>
      <c r="B3761" s="15">
        <v>1511784.0</v>
      </c>
      <c r="C3761" s="15" t="s">
        <v>15346</v>
      </c>
      <c r="D3761" s="15">
        <v>171374.0</v>
      </c>
      <c r="E3761" s="15" t="s">
        <v>1548</v>
      </c>
      <c r="F3761" s="15" t="s">
        <v>1776</v>
      </c>
      <c r="G3761" s="7">
        <v>6.916</v>
      </c>
      <c r="H3761" s="15" t="s">
        <v>2648</v>
      </c>
      <c r="I3761" s="15" t="s">
        <v>1686</v>
      </c>
      <c r="J3761" s="15" t="s">
        <v>15347</v>
      </c>
      <c r="K3761" s="15">
        <v>1.0</v>
      </c>
      <c r="L3761" s="15">
        <v>1.0</v>
      </c>
      <c r="M3761" s="40">
        <v>41110.0</v>
      </c>
      <c r="N3761" s="40">
        <v>41148.0</v>
      </c>
      <c r="O3761" s="15" t="s">
        <v>1554</v>
      </c>
      <c r="Q3761" s="7"/>
    </row>
    <row r="3762">
      <c r="A3762" s="39" t="s">
        <v>15349</v>
      </c>
      <c r="B3762" s="15">
        <v>1511807.0</v>
      </c>
      <c r="C3762" s="15" t="s">
        <v>15350</v>
      </c>
      <c r="D3762" s="15">
        <v>246130.0</v>
      </c>
      <c r="E3762" s="15" t="s">
        <v>1548</v>
      </c>
      <c r="F3762" s="15" t="s">
        <v>1776</v>
      </c>
      <c r="G3762" s="7">
        <v>8.931</v>
      </c>
      <c r="H3762" s="15" t="s">
        <v>2284</v>
      </c>
      <c r="I3762" s="15" t="s">
        <v>1567</v>
      </c>
      <c r="J3762" s="15" t="s">
        <v>15351</v>
      </c>
      <c r="K3762" s="15">
        <v>1.0</v>
      </c>
      <c r="L3762" s="15">
        <v>1.0</v>
      </c>
      <c r="M3762" s="40">
        <v>41757.0</v>
      </c>
      <c r="N3762" s="40">
        <v>41764.0</v>
      </c>
      <c r="O3762" s="15" t="s">
        <v>1554</v>
      </c>
      <c r="Q3762" s="7"/>
    </row>
    <row r="3763">
      <c r="A3763" s="39" t="s">
        <v>15352</v>
      </c>
      <c r="B3763" s="15">
        <v>1513224.0</v>
      </c>
      <c r="C3763" s="15" t="s">
        <v>15353</v>
      </c>
      <c r="D3763" s="15">
        <v>14436.0</v>
      </c>
      <c r="E3763" s="15" t="s">
        <v>1808</v>
      </c>
      <c r="F3763" s="15" t="s">
        <v>2436</v>
      </c>
      <c r="G3763" s="7">
        <v>3.909</v>
      </c>
      <c r="H3763" s="15">
        <v>43.0</v>
      </c>
      <c r="I3763" s="15" t="s">
        <v>1560</v>
      </c>
      <c r="J3763" s="15" t="s">
        <v>15354</v>
      </c>
      <c r="K3763" s="15">
        <v>3.0</v>
      </c>
      <c r="L3763" s="15">
        <v>3.0</v>
      </c>
      <c r="M3763" s="40">
        <v>36609.0</v>
      </c>
      <c r="N3763" s="40">
        <v>40611.0</v>
      </c>
      <c r="O3763" s="15" t="s">
        <v>1554</v>
      </c>
      <c r="Q3763" s="7"/>
    </row>
    <row r="3764">
      <c r="A3764" s="39" t="s">
        <v>15355</v>
      </c>
      <c r="B3764" s="15">
        <v>1411991.0</v>
      </c>
      <c r="C3764" s="15" t="s">
        <v>15356</v>
      </c>
      <c r="D3764" s="15">
        <v>15240.0</v>
      </c>
      <c r="E3764" s="15" t="s">
        <v>1916</v>
      </c>
      <c r="F3764" s="15" t="s">
        <v>1917</v>
      </c>
      <c r="G3764" s="7">
        <v>7.801</v>
      </c>
      <c r="H3764" s="15" t="s">
        <v>3653</v>
      </c>
      <c r="I3764" s="15" t="s">
        <v>1628</v>
      </c>
      <c r="J3764" s="15" t="s">
        <v>15357</v>
      </c>
      <c r="K3764" s="15">
        <v>3.0</v>
      </c>
      <c r="L3764" s="15">
        <v>3.0</v>
      </c>
      <c r="M3764" s="41">
        <v>38271.0</v>
      </c>
      <c r="N3764" s="40">
        <v>39265.0</v>
      </c>
      <c r="O3764" s="15" t="s">
        <v>1554</v>
      </c>
      <c r="Q3764" s="7"/>
    </row>
    <row r="3765">
      <c r="A3765" s="39" t="s">
        <v>15358</v>
      </c>
      <c r="B3765" s="15">
        <v>1513237.0</v>
      </c>
      <c r="C3765" s="15" t="s">
        <v>15359</v>
      </c>
      <c r="D3765" s="15">
        <v>76475.0</v>
      </c>
      <c r="E3765" s="15" t="s">
        <v>1548</v>
      </c>
      <c r="F3765" s="15" t="s">
        <v>2456</v>
      </c>
      <c r="G3765" s="7">
        <v>18.927</v>
      </c>
      <c r="H3765" s="15">
        <v>46.0</v>
      </c>
      <c r="I3765" s="15" t="s">
        <v>1567</v>
      </c>
      <c r="J3765" s="15" t="s">
        <v>15360</v>
      </c>
      <c r="K3765" s="15">
        <v>9.0</v>
      </c>
      <c r="L3765" s="15">
        <v>9.0</v>
      </c>
      <c r="M3765" s="41">
        <v>40846.0</v>
      </c>
      <c r="N3765" s="41">
        <v>41955.0</v>
      </c>
      <c r="O3765" s="15" t="s">
        <v>1554</v>
      </c>
      <c r="Q3765" s="7"/>
    </row>
    <row r="3766">
      <c r="A3766" s="39" t="s">
        <v>15361</v>
      </c>
      <c r="B3766" s="15">
        <v>990304.0</v>
      </c>
      <c r="C3766" s="15" t="s">
        <v>15362</v>
      </c>
      <c r="D3766" s="15">
        <v>239026.0</v>
      </c>
      <c r="E3766" s="15" t="s">
        <v>1557</v>
      </c>
      <c r="F3766" s="15" t="s">
        <v>1822</v>
      </c>
      <c r="G3766" s="7">
        <v>7.596</v>
      </c>
      <c r="H3766" s="15">
        <v>47.0</v>
      </c>
      <c r="I3766" s="15" t="s">
        <v>1686</v>
      </c>
      <c r="J3766" s="15" t="s">
        <v>15363</v>
      </c>
      <c r="K3766" s="15">
        <v>6.0</v>
      </c>
      <c r="L3766" s="15">
        <v>6.0</v>
      </c>
      <c r="M3766" s="40">
        <v>41678.0</v>
      </c>
      <c r="N3766" s="40">
        <v>41692.0</v>
      </c>
      <c r="O3766" s="15" t="s">
        <v>1554</v>
      </c>
      <c r="Q3766" s="7"/>
    </row>
    <row r="3767">
      <c r="A3767" s="39" t="s">
        <v>15364</v>
      </c>
      <c r="B3767" s="15">
        <v>1476909.0</v>
      </c>
      <c r="C3767" s="15" t="s">
        <v>15365</v>
      </c>
      <c r="D3767" s="15">
        <v>15234.0</v>
      </c>
      <c r="E3767" s="15" t="s">
        <v>1916</v>
      </c>
      <c r="F3767" s="15" t="s">
        <v>1917</v>
      </c>
      <c r="G3767" s="7">
        <v>7.65</v>
      </c>
      <c r="H3767" s="15" t="s">
        <v>2005</v>
      </c>
      <c r="I3767" s="15" t="s">
        <v>1628</v>
      </c>
      <c r="J3767" s="15" t="s">
        <v>15366</v>
      </c>
      <c r="K3767" s="15">
        <v>3.0</v>
      </c>
      <c r="L3767" s="15">
        <v>3.0</v>
      </c>
      <c r="M3767" s="40">
        <v>38392.0</v>
      </c>
      <c r="N3767" s="40">
        <v>39790.0</v>
      </c>
      <c r="O3767" s="15" t="s">
        <v>1554</v>
      </c>
      <c r="Q3767" s="7"/>
    </row>
    <row r="3768">
      <c r="A3768" s="39" t="s">
        <v>15367</v>
      </c>
      <c r="B3768" s="15">
        <v>1453083.0</v>
      </c>
      <c r="C3768" s="15" t="s">
        <v>15368</v>
      </c>
      <c r="D3768" s="15">
        <v>254346.0</v>
      </c>
      <c r="E3768" s="15" t="s">
        <v>2014</v>
      </c>
      <c r="F3768" s="15" t="s">
        <v>1578</v>
      </c>
      <c r="G3768" s="7">
        <v>1.007</v>
      </c>
      <c r="H3768" s="15" t="s">
        <v>1823</v>
      </c>
      <c r="I3768" s="15" t="s">
        <v>1628</v>
      </c>
      <c r="J3768" s="15" t="s">
        <v>15369</v>
      </c>
      <c r="K3768" s="15">
        <v>1.0</v>
      </c>
      <c r="L3768" s="15">
        <v>1.0</v>
      </c>
      <c r="M3768" s="40">
        <v>36313.0</v>
      </c>
      <c r="N3768" s="40">
        <v>41851.0</v>
      </c>
      <c r="O3768" s="15" t="s">
        <v>1554</v>
      </c>
      <c r="Q3768" s="7"/>
    </row>
    <row r="3769">
      <c r="A3769" s="39" t="s">
        <v>15370</v>
      </c>
      <c r="B3769" s="15">
        <v>1453082.0</v>
      </c>
      <c r="C3769" s="15" t="s">
        <v>15371</v>
      </c>
      <c r="D3769" s="15">
        <v>254347.0</v>
      </c>
      <c r="E3769" s="15" t="s">
        <v>2014</v>
      </c>
      <c r="F3769" s="15" t="s">
        <v>1578</v>
      </c>
      <c r="G3769" s="7">
        <v>1.015</v>
      </c>
      <c r="H3769" s="15">
        <v>39.0</v>
      </c>
      <c r="I3769" s="15" t="s">
        <v>1628</v>
      </c>
      <c r="J3769" s="15" t="s">
        <v>15372</v>
      </c>
      <c r="K3769" s="15">
        <v>1.0</v>
      </c>
      <c r="L3769" s="15">
        <v>1.0</v>
      </c>
      <c r="M3769" s="40">
        <v>36313.0</v>
      </c>
      <c r="N3769" s="40">
        <v>41851.0</v>
      </c>
      <c r="O3769" s="15" t="s">
        <v>1554</v>
      </c>
      <c r="Q3769" s="7"/>
    </row>
    <row r="3770">
      <c r="A3770" s="39" t="s">
        <v>15373</v>
      </c>
      <c r="B3770" s="15">
        <v>1453081.0</v>
      </c>
      <c r="C3770" s="15" t="s">
        <v>15374</v>
      </c>
      <c r="D3770" s="15">
        <v>254348.0</v>
      </c>
      <c r="E3770" s="15" t="s">
        <v>2014</v>
      </c>
      <c r="F3770" s="15" t="s">
        <v>1578</v>
      </c>
      <c r="G3770" s="7">
        <v>1.004</v>
      </c>
      <c r="H3770" s="15" t="s">
        <v>2451</v>
      </c>
      <c r="I3770" s="15" t="s">
        <v>1628</v>
      </c>
      <c r="J3770" s="15" t="s">
        <v>15376</v>
      </c>
      <c r="K3770" s="15">
        <v>1.0</v>
      </c>
      <c r="L3770" s="15">
        <v>1.0</v>
      </c>
      <c r="M3770" s="40">
        <v>36042.0</v>
      </c>
      <c r="N3770" s="40">
        <v>41851.0</v>
      </c>
      <c r="O3770" s="15" t="s">
        <v>1554</v>
      </c>
      <c r="Q3770" s="7"/>
    </row>
    <row r="3771">
      <c r="A3771" s="39" t="s">
        <v>15377</v>
      </c>
      <c r="B3771" s="15">
        <v>1489311.0</v>
      </c>
      <c r="C3771" s="15" t="s">
        <v>15378</v>
      </c>
      <c r="D3771" s="15">
        <v>210929.0</v>
      </c>
      <c r="E3771" s="15" t="s">
        <v>1808</v>
      </c>
      <c r="F3771" s="15" t="s">
        <v>1809</v>
      </c>
      <c r="G3771" s="7">
        <v>2.766</v>
      </c>
      <c r="H3771" s="15" t="s">
        <v>1818</v>
      </c>
      <c r="I3771" s="15" t="s">
        <v>1628</v>
      </c>
      <c r="J3771" s="15" t="s">
        <v>15379</v>
      </c>
      <c r="K3771" s="15">
        <v>6.0</v>
      </c>
      <c r="L3771" s="15">
        <v>6.0</v>
      </c>
      <c r="M3771" s="40">
        <v>41457.0</v>
      </c>
      <c r="N3771" s="40">
        <v>42082.0</v>
      </c>
      <c r="O3771" s="15" t="s">
        <v>1554</v>
      </c>
      <c r="Q3771" s="7"/>
    </row>
    <row r="3772">
      <c r="A3772" s="39" t="s">
        <v>15380</v>
      </c>
      <c r="B3772" s="15">
        <v>1497019.0</v>
      </c>
      <c r="C3772" s="15" t="s">
        <v>15381</v>
      </c>
      <c r="D3772" s="15">
        <v>248100.0</v>
      </c>
      <c r="E3772" s="15" t="s">
        <v>1638</v>
      </c>
      <c r="F3772" s="15" t="s">
        <v>1639</v>
      </c>
      <c r="G3772" s="7">
        <v>5.193</v>
      </c>
      <c r="H3772" s="15" t="s">
        <v>2864</v>
      </c>
      <c r="I3772" s="15" t="s">
        <v>1740</v>
      </c>
      <c r="J3772" s="15" t="s">
        <v>15382</v>
      </c>
      <c r="K3772" s="15">
        <v>5.0</v>
      </c>
      <c r="L3772" s="15">
        <v>5.0</v>
      </c>
      <c r="M3772" s="40">
        <v>41771.0</v>
      </c>
      <c r="N3772" s="40">
        <v>41778.0</v>
      </c>
      <c r="O3772" s="15" t="s">
        <v>1554</v>
      </c>
      <c r="Q3772" s="7"/>
    </row>
    <row r="3773">
      <c r="A3773" s="39" t="s">
        <v>15383</v>
      </c>
      <c r="B3773" s="15">
        <v>1488557.0</v>
      </c>
      <c r="C3773" s="15" t="s">
        <v>15384</v>
      </c>
      <c r="D3773" s="15">
        <v>248101.0</v>
      </c>
      <c r="E3773" s="15" t="s">
        <v>1808</v>
      </c>
      <c r="F3773" s="15" t="s">
        <v>1578</v>
      </c>
      <c r="G3773" s="7">
        <v>2.589</v>
      </c>
      <c r="H3773" s="15" t="s">
        <v>3836</v>
      </c>
      <c r="I3773" s="15" t="s">
        <v>1706</v>
      </c>
      <c r="J3773" s="15" t="s">
        <v>15385</v>
      </c>
      <c r="K3773" s="15">
        <v>2.0</v>
      </c>
      <c r="L3773" s="15">
        <v>2.0</v>
      </c>
      <c r="M3773" s="40">
        <v>41755.0</v>
      </c>
      <c r="N3773" s="40">
        <v>41778.0</v>
      </c>
      <c r="O3773" s="15" t="s">
        <v>1554</v>
      </c>
      <c r="Q3773" s="7"/>
    </row>
    <row r="3774">
      <c r="A3774" s="39" t="s">
        <v>15386</v>
      </c>
      <c r="B3774" s="15">
        <v>1497391.0</v>
      </c>
      <c r="C3774" s="15" t="s">
        <v>15387</v>
      </c>
      <c r="D3774" s="15">
        <v>248102.0</v>
      </c>
      <c r="E3774" s="15" t="s">
        <v>1557</v>
      </c>
      <c r="F3774" s="15" t="s">
        <v>2004</v>
      </c>
      <c r="G3774" s="7">
        <v>5.108</v>
      </c>
      <c r="H3774" s="15" t="s">
        <v>2597</v>
      </c>
      <c r="I3774" s="15" t="s">
        <v>1686</v>
      </c>
      <c r="J3774" s="15" t="s">
        <v>15388</v>
      </c>
      <c r="K3774" s="15">
        <v>6.0</v>
      </c>
      <c r="L3774" s="15">
        <v>6.0</v>
      </c>
      <c r="M3774" s="40">
        <v>41771.0</v>
      </c>
      <c r="N3774" s="40">
        <v>42234.0</v>
      </c>
      <c r="O3774" s="15" t="s">
        <v>1554</v>
      </c>
      <c r="Q3774" s="7"/>
    </row>
    <row r="3775">
      <c r="A3775" s="39" t="s">
        <v>15389</v>
      </c>
      <c r="B3775" s="15">
        <v>1350001.0</v>
      </c>
      <c r="C3775" s="15" t="s">
        <v>15390</v>
      </c>
      <c r="D3775" s="15">
        <v>248318.0</v>
      </c>
      <c r="E3775" s="15" t="s">
        <v>1548</v>
      </c>
      <c r="F3775" s="15" t="s">
        <v>1776</v>
      </c>
      <c r="G3775" s="7">
        <v>43290.0</v>
      </c>
      <c r="H3775" s="15" t="s">
        <v>2864</v>
      </c>
      <c r="I3775" s="15" t="s">
        <v>1686</v>
      </c>
      <c r="J3775" s="15" t="s">
        <v>15391</v>
      </c>
      <c r="K3775" s="15">
        <v>1.0</v>
      </c>
      <c r="L3775" s="15">
        <v>1.0</v>
      </c>
      <c r="M3775" s="40">
        <v>41775.0</v>
      </c>
      <c r="N3775" s="40">
        <v>41782.0</v>
      </c>
      <c r="O3775" s="15" t="s">
        <v>1554</v>
      </c>
      <c r="Q3775" s="7"/>
    </row>
    <row r="3776">
      <c r="A3776" s="39" t="s">
        <v>15392</v>
      </c>
      <c r="B3776" s="15">
        <v>1462608.0</v>
      </c>
      <c r="C3776" s="15" t="s">
        <v>15394</v>
      </c>
      <c r="D3776" s="15">
        <v>248320.0</v>
      </c>
      <c r="E3776" s="15" t="s">
        <v>1557</v>
      </c>
      <c r="F3776" s="15" t="s">
        <v>1611</v>
      </c>
      <c r="G3776" s="7">
        <v>64.113</v>
      </c>
      <c r="H3776" s="15" t="s">
        <v>2309</v>
      </c>
      <c r="I3776" s="15" t="s">
        <v>1586</v>
      </c>
      <c r="J3776" s="15" t="s">
        <v>15395</v>
      </c>
      <c r="K3776" s="15">
        <v>88.0</v>
      </c>
      <c r="L3776" s="15">
        <v>88.0</v>
      </c>
      <c r="M3776" s="40">
        <v>41734.0</v>
      </c>
      <c r="N3776" s="40">
        <v>42188.0</v>
      </c>
      <c r="O3776" s="15" t="s">
        <v>1554</v>
      </c>
      <c r="Q3776" s="7"/>
    </row>
    <row r="3777">
      <c r="A3777" s="39" t="s">
        <v>15396</v>
      </c>
      <c r="B3777" s="15">
        <v>1430444.0</v>
      </c>
      <c r="C3777" s="15" t="s">
        <v>15397</v>
      </c>
      <c r="D3777" s="15">
        <v>248321.0</v>
      </c>
      <c r="E3777" s="15" t="s">
        <v>1557</v>
      </c>
      <c r="F3777" s="15" t="s">
        <v>1767</v>
      </c>
      <c r="G3777" s="7">
        <v>169.148</v>
      </c>
      <c r="H3777" s="15" t="s">
        <v>1714</v>
      </c>
      <c r="I3777" s="15" t="s">
        <v>1586</v>
      </c>
      <c r="J3777" s="15" t="s">
        <v>15398</v>
      </c>
      <c r="K3777" s="15">
        <v>273.0</v>
      </c>
      <c r="L3777" s="15">
        <v>273.0</v>
      </c>
      <c r="M3777" s="40">
        <v>41731.0</v>
      </c>
      <c r="N3777" s="40">
        <v>42233.0</v>
      </c>
      <c r="O3777" s="15" t="s">
        <v>1554</v>
      </c>
      <c r="Q3777" s="7"/>
    </row>
    <row r="3778">
      <c r="A3778" s="39" t="s">
        <v>15399</v>
      </c>
      <c r="B3778" s="15">
        <v>1446492.0</v>
      </c>
      <c r="C3778" s="15" t="s">
        <v>15400</v>
      </c>
      <c r="D3778" s="15">
        <v>248322.0</v>
      </c>
      <c r="E3778" s="15" t="s">
        <v>1557</v>
      </c>
      <c r="F3778" s="15" t="s">
        <v>1767</v>
      </c>
      <c r="G3778" s="7">
        <v>162.91</v>
      </c>
      <c r="H3778" s="15" t="s">
        <v>2107</v>
      </c>
      <c r="I3778" s="15" t="s">
        <v>1586</v>
      </c>
      <c r="J3778" s="15" t="s">
        <v>15401</v>
      </c>
      <c r="K3778" s="15">
        <v>214.0</v>
      </c>
      <c r="L3778" s="15">
        <v>210.0</v>
      </c>
      <c r="M3778" s="40">
        <v>41736.0</v>
      </c>
      <c r="N3778" s="40">
        <v>41949.0</v>
      </c>
      <c r="O3778" s="15" t="s">
        <v>1554</v>
      </c>
      <c r="Q3778" s="7"/>
    </row>
    <row r="3779">
      <c r="A3779" s="39" t="s">
        <v>15403</v>
      </c>
      <c r="B3779" s="15">
        <v>1481112.0</v>
      </c>
      <c r="C3779" s="15" t="s">
        <v>15404</v>
      </c>
      <c r="D3779" s="15">
        <v>248461.0</v>
      </c>
      <c r="E3779" s="15" t="s">
        <v>1557</v>
      </c>
      <c r="F3779" s="15" t="s">
        <v>1767</v>
      </c>
      <c r="G3779" s="7">
        <v>167.266</v>
      </c>
      <c r="H3779" s="15" t="s">
        <v>2428</v>
      </c>
      <c r="I3779" s="15" t="s">
        <v>1586</v>
      </c>
      <c r="J3779" s="15" t="s">
        <v>15405</v>
      </c>
      <c r="K3779" s="15">
        <v>279.0</v>
      </c>
      <c r="L3779" s="15">
        <v>275.0</v>
      </c>
      <c r="M3779" s="40">
        <v>41764.0</v>
      </c>
      <c r="N3779" s="40">
        <v>41782.0</v>
      </c>
      <c r="O3779" s="15" t="s">
        <v>1554</v>
      </c>
      <c r="Q3779" s="7"/>
    </row>
    <row r="3780">
      <c r="A3780" s="39" t="s">
        <v>15406</v>
      </c>
      <c r="B3780" s="15">
        <v>1495285.0</v>
      </c>
      <c r="C3780" s="15" t="s">
        <v>15407</v>
      </c>
      <c r="D3780" s="15">
        <v>248462.0</v>
      </c>
      <c r="E3780" s="15" t="s">
        <v>1557</v>
      </c>
      <c r="F3780" s="15" t="s">
        <v>1767</v>
      </c>
      <c r="G3780" s="7">
        <v>168.47</v>
      </c>
      <c r="H3780" s="15" t="s">
        <v>3361</v>
      </c>
      <c r="I3780" s="15" t="s">
        <v>1586</v>
      </c>
      <c r="J3780" s="15" t="s">
        <v>15408</v>
      </c>
      <c r="K3780" s="15">
        <v>287.0</v>
      </c>
      <c r="L3780" s="15">
        <v>279.0</v>
      </c>
      <c r="M3780" s="40">
        <v>41766.0</v>
      </c>
      <c r="N3780" s="40">
        <v>41976.0</v>
      </c>
      <c r="O3780" s="15" t="s">
        <v>1554</v>
      </c>
      <c r="Q3780" s="7"/>
    </row>
    <row r="3781">
      <c r="A3781" s="39" t="s">
        <v>15409</v>
      </c>
      <c r="B3781" s="15">
        <v>1446490.0</v>
      </c>
      <c r="C3781" s="15" t="s">
        <v>15410</v>
      </c>
      <c r="D3781" s="15">
        <v>248531.0</v>
      </c>
      <c r="E3781" s="15" t="s">
        <v>1557</v>
      </c>
      <c r="F3781" s="15" t="s">
        <v>1767</v>
      </c>
      <c r="G3781" s="7">
        <v>139.02</v>
      </c>
      <c r="H3781" s="15" t="s">
        <v>3653</v>
      </c>
      <c r="I3781" s="15" t="s">
        <v>1586</v>
      </c>
      <c r="J3781" s="15" t="s">
        <v>15411</v>
      </c>
      <c r="K3781" s="15">
        <v>224.0</v>
      </c>
      <c r="L3781" s="15">
        <v>218.0</v>
      </c>
      <c r="M3781" s="40">
        <v>41768.0</v>
      </c>
      <c r="N3781" s="40">
        <v>41949.0</v>
      </c>
      <c r="O3781" s="15" t="s">
        <v>1554</v>
      </c>
      <c r="Q3781" s="7"/>
    </row>
    <row r="3782">
      <c r="A3782" s="39" t="s">
        <v>15412</v>
      </c>
      <c r="B3782" s="15">
        <v>1411095.0</v>
      </c>
      <c r="C3782" s="15" t="s">
        <v>15413</v>
      </c>
      <c r="D3782" s="15">
        <v>248532.0</v>
      </c>
      <c r="E3782" s="15" t="s">
        <v>1557</v>
      </c>
      <c r="F3782" s="15" t="s">
        <v>1767</v>
      </c>
      <c r="G3782" s="7">
        <v>54.279</v>
      </c>
      <c r="H3782" s="42">
        <v>43218.0</v>
      </c>
      <c r="I3782" s="15" t="s">
        <v>1586</v>
      </c>
      <c r="J3782" s="15" t="s">
        <v>15415</v>
      </c>
      <c r="K3782" s="15">
        <v>84.0</v>
      </c>
      <c r="L3782" s="15">
        <v>84.0</v>
      </c>
      <c r="M3782" s="40">
        <v>41729.0</v>
      </c>
      <c r="N3782" s="40">
        <v>41786.0</v>
      </c>
      <c r="O3782" s="15" t="s">
        <v>1554</v>
      </c>
      <c r="Q3782" s="7"/>
    </row>
    <row r="3783">
      <c r="A3783" s="39" t="s">
        <v>15416</v>
      </c>
      <c r="B3783" s="15">
        <v>1446489.0</v>
      </c>
      <c r="C3783" s="15" t="s">
        <v>15417</v>
      </c>
      <c r="D3783" s="15">
        <v>248533.0</v>
      </c>
      <c r="E3783" s="15" t="s">
        <v>1557</v>
      </c>
      <c r="F3783" s="15" t="s">
        <v>1833</v>
      </c>
      <c r="G3783" s="7">
        <v>108.483</v>
      </c>
      <c r="H3783" s="15" t="s">
        <v>2197</v>
      </c>
      <c r="I3783" s="15" t="s">
        <v>1586</v>
      </c>
      <c r="J3783" s="15" t="s">
        <v>15418</v>
      </c>
      <c r="K3783" s="15">
        <v>179.0</v>
      </c>
      <c r="L3783" s="15">
        <v>156.0</v>
      </c>
      <c r="M3783" s="40">
        <v>41768.0</v>
      </c>
      <c r="N3783" s="40">
        <v>41949.0</v>
      </c>
      <c r="O3783" s="15" t="s">
        <v>1554</v>
      </c>
      <c r="Q3783" s="7"/>
    </row>
    <row r="3784">
      <c r="A3784" s="39" t="s">
        <v>15419</v>
      </c>
      <c r="B3784" s="15">
        <v>1476391.0</v>
      </c>
      <c r="C3784" s="15" t="s">
        <v>15420</v>
      </c>
      <c r="D3784" s="15">
        <v>248534.0</v>
      </c>
      <c r="E3784" s="15" t="s">
        <v>1557</v>
      </c>
      <c r="F3784" s="15" t="s">
        <v>1611</v>
      </c>
      <c r="G3784" s="7">
        <v>72.028</v>
      </c>
      <c r="H3784" s="15" t="s">
        <v>3776</v>
      </c>
      <c r="I3784" s="15" t="s">
        <v>1586</v>
      </c>
      <c r="J3784" s="15" t="s">
        <v>15421</v>
      </c>
      <c r="K3784" s="15">
        <v>83.0</v>
      </c>
      <c r="L3784" s="15">
        <v>83.0</v>
      </c>
      <c r="M3784" s="40">
        <v>41739.0</v>
      </c>
      <c r="N3784" s="40">
        <v>42546.0</v>
      </c>
      <c r="O3784" s="15" t="s">
        <v>1554</v>
      </c>
      <c r="Q3784" s="7"/>
    </row>
    <row r="3785">
      <c r="A3785" s="39" t="s">
        <v>15422</v>
      </c>
      <c r="B3785" s="15">
        <v>1486423.0</v>
      </c>
      <c r="C3785" s="15" t="s">
        <v>15423</v>
      </c>
      <c r="D3785" s="15">
        <v>248625.0</v>
      </c>
      <c r="E3785" s="15" t="s">
        <v>1557</v>
      </c>
      <c r="F3785" s="15" t="s">
        <v>1611</v>
      </c>
      <c r="G3785" s="7">
        <v>18.899</v>
      </c>
      <c r="H3785" s="42">
        <v>43131.0</v>
      </c>
      <c r="I3785" s="15" t="s">
        <v>1586</v>
      </c>
      <c r="J3785" s="15" t="s">
        <v>15424</v>
      </c>
      <c r="K3785" s="15">
        <v>24.0</v>
      </c>
      <c r="L3785" s="15">
        <v>24.0</v>
      </c>
      <c r="M3785" s="40">
        <v>41770.0</v>
      </c>
      <c r="N3785" s="41">
        <v>41964.0</v>
      </c>
      <c r="O3785" s="15" t="s">
        <v>1554</v>
      </c>
      <c r="Q3785" s="7"/>
    </row>
    <row r="3786">
      <c r="A3786" s="39" t="s">
        <v>15425</v>
      </c>
      <c r="B3786" s="15">
        <v>1458848.0</v>
      </c>
      <c r="C3786" s="15" t="s">
        <v>15426</v>
      </c>
      <c r="D3786" s="15">
        <v>248626.0</v>
      </c>
      <c r="E3786" s="15" t="s">
        <v>1557</v>
      </c>
      <c r="F3786" s="15" t="s">
        <v>1611</v>
      </c>
      <c r="G3786" s="7">
        <v>72.583</v>
      </c>
      <c r="H3786" s="15" t="s">
        <v>1813</v>
      </c>
      <c r="I3786" s="15" t="s">
        <v>1586</v>
      </c>
      <c r="J3786" s="15" t="s">
        <v>15427</v>
      </c>
      <c r="K3786" s="15">
        <v>96.0</v>
      </c>
      <c r="L3786" s="15">
        <v>94.0</v>
      </c>
      <c r="M3786" s="40">
        <v>41731.0</v>
      </c>
      <c r="N3786" s="40">
        <v>43012.0</v>
      </c>
      <c r="O3786" s="15" t="s">
        <v>1554</v>
      </c>
      <c r="Q3786" s="7"/>
    </row>
    <row r="3787">
      <c r="A3787" s="39" t="s">
        <v>15429</v>
      </c>
      <c r="B3787" s="15">
        <v>1468411.0</v>
      </c>
      <c r="C3787" s="15" t="s">
        <v>15430</v>
      </c>
      <c r="D3787" s="15">
        <v>248627.0</v>
      </c>
      <c r="E3787" s="15" t="s">
        <v>1557</v>
      </c>
      <c r="F3787" s="15" t="s">
        <v>1833</v>
      </c>
      <c r="G3787" s="7">
        <v>56.702</v>
      </c>
      <c r="H3787" s="15" t="s">
        <v>1613</v>
      </c>
      <c r="I3787" s="15" t="s">
        <v>1586</v>
      </c>
      <c r="J3787" s="15" t="s">
        <v>15431</v>
      </c>
      <c r="K3787" s="15">
        <v>71.0</v>
      </c>
      <c r="L3787" s="15">
        <v>71.0</v>
      </c>
      <c r="M3787" s="40">
        <v>41731.0</v>
      </c>
      <c r="N3787" s="40">
        <v>41786.0</v>
      </c>
      <c r="O3787" s="15" t="s">
        <v>1554</v>
      </c>
      <c r="Q3787" s="7"/>
    </row>
    <row r="3788">
      <c r="A3788" s="39" t="s">
        <v>15432</v>
      </c>
      <c r="B3788" s="15">
        <v>1468169.0</v>
      </c>
      <c r="C3788" s="15" t="s">
        <v>15433</v>
      </c>
      <c r="D3788" s="15">
        <v>248628.0</v>
      </c>
      <c r="E3788" s="15" t="s">
        <v>1557</v>
      </c>
      <c r="F3788" s="15" t="s">
        <v>1833</v>
      </c>
      <c r="G3788" s="7">
        <v>53.255</v>
      </c>
      <c r="H3788" s="15" t="s">
        <v>3029</v>
      </c>
      <c r="I3788" s="15" t="s">
        <v>1586</v>
      </c>
      <c r="J3788" s="15" t="s">
        <v>15434</v>
      </c>
      <c r="K3788" s="15">
        <v>96.0</v>
      </c>
      <c r="L3788" s="15">
        <v>96.0</v>
      </c>
      <c r="M3788" s="40">
        <v>41731.0</v>
      </c>
      <c r="N3788" s="40">
        <v>41786.0</v>
      </c>
      <c r="O3788" s="15" t="s">
        <v>1554</v>
      </c>
      <c r="Q3788" s="7"/>
    </row>
    <row r="3789">
      <c r="A3789" s="39" t="s">
        <v>15435</v>
      </c>
      <c r="B3789" s="15">
        <v>1471542.0</v>
      </c>
      <c r="C3789" s="15" t="s">
        <v>15436</v>
      </c>
      <c r="D3789" s="15">
        <v>248629.0</v>
      </c>
      <c r="E3789" s="15" t="s">
        <v>1557</v>
      </c>
      <c r="F3789" s="15" t="s">
        <v>1833</v>
      </c>
      <c r="G3789" s="7">
        <v>65.243</v>
      </c>
      <c r="H3789" s="15" t="s">
        <v>2831</v>
      </c>
      <c r="I3789" s="15" t="s">
        <v>1586</v>
      </c>
      <c r="J3789" s="15" t="s">
        <v>15438</v>
      </c>
      <c r="K3789" s="15">
        <v>111.0</v>
      </c>
      <c r="L3789" s="15">
        <v>111.0</v>
      </c>
      <c r="M3789" s="40">
        <v>41766.0</v>
      </c>
      <c r="N3789" s="40">
        <v>41786.0</v>
      </c>
      <c r="O3789" s="15" t="s">
        <v>1554</v>
      </c>
      <c r="Q3789" s="7"/>
    </row>
    <row r="3790">
      <c r="A3790" s="39" t="s">
        <v>15439</v>
      </c>
      <c r="B3790" s="15">
        <v>1486425.0</v>
      </c>
      <c r="C3790" s="15" t="s">
        <v>15440</v>
      </c>
      <c r="D3790" s="15">
        <v>248630.0</v>
      </c>
      <c r="E3790" s="15" t="s">
        <v>1557</v>
      </c>
      <c r="F3790" s="15" t="s">
        <v>1833</v>
      </c>
      <c r="G3790" s="7">
        <v>51.378</v>
      </c>
      <c r="H3790" s="15" t="s">
        <v>3286</v>
      </c>
      <c r="I3790" s="15" t="s">
        <v>1586</v>
      </c>
      <c r="J3790" s="15" t="s">
        <v>15441</v>
      </c>
      <c r="K3790" s="15">
        <v>88.0</v>
      </c>
      <c r="L3790" s="15">
        <v>88.0</v>
      </c>
      <c r="M3790" s="40">
        <v>41764.0</v>
      </c>
      <c r="N3790" s="40">
        <v>41786.0</v>
      </c>
      <c r="O3790" s="15" t="s">
        <v>1554</v>
      </c>
      <c r="Q3790" s="7"/>
    </row>
    <row r="3791">
      <c r="A3791" s="39" t="s">
        <v>15442</v>
      </c>
      <c r="B3791" s="15">
        <v>1486427.0</v>
      </c>
      <c r="C3791" s="15" t="s">
        <v>15443</v>
      </c>
      <c r="D3791" s="15">
        <v>248631.0</v>
      </c>
      <c r="E3791" s="15" t="s">
        <v>1557</v>
      </c>
      <c r="F3791" s="15" t="s">
        <v>1833</v>
      </c>
      <c r="G3791" s="7">
        <v>57.315</v>
      </c>
      <c r="H3791" s="15" t="s">
        <v>15444</v>
      </c>
      <c r="I3791" s="15" t="s">
        <v>1586</v>
      </c>
      <c r="J3791" s="15" t="s">
        <v>15445</v>
      </c>
      <c r="K3791" s="15">
        <v>92.0</v>
      </c>
      <c r="L3791" s="15">
        <v>92.0</v>
      </c>
      <c r="M3791" s="40">
        <v>41764.0</v>
      </c>
      <c r="N3791" s="40">
        <v>41786.0</v>
      </c>
      <c r="O3791" s="15" t="s">
        <v>1554</v>
      </c>
      <c r="Q3791" s="7"/>
    </row>
    <row r="3792">
      <c r="A3792" s="39" t="s">
        <v>15446</v>
      </c>
      <c r="B3792" s="15">
        <v>584892.0</v>
      </c>
      <c r="C3792" s="15" t="s">
        <v>15448</v>
      </c>
      <c r="D3792" s="15">
        <v>248632.0</v>
      </c>
      <c r="E3792" s="15" t="s">
        <v>1557</v>
      </c>
      <c r="F3792" s="15" t="s">
        <v>1767</v>
      </c>
      <c r="G3792" s="7">
        <v>152.778</v>
      </c>
      <c r="H3792" s="15" t="s">
        <v>1994</v>
      </c>
      <c r="I3792" s="15" t="s">
        <v>1586</v>
      </c>
      <c r="J3792" s="15" t="s">
        <v>15449</v>
      </c>
      <c r="K3792" s="15">
        <v>229.0</v>
      </c>
      <c r="L3792" s="15">
        <v>229.0</v>
      </c>
      <c r="M3792" s="40">
        <v>41726.0</v>
      </c>
      <c r="N3792" s="40">
        <v>41808.0</v>
      </c>
      <c r="O3792" s="15" t="s">
        <v>1554</v>
      </c>
      <c r="Q3792" s="7"/>
    </row>
    <row r="3793">
      <c r="A3793" s="39" t="s">
        <v>15450</v>
      </c>
      <c r="B3793" s="15">
        <v>1486424.0</v>
      </c>
      <c r="C3793" s="15" t="s">
        <v>15451</v>
      </c>
      <c r="D3793" s="15">
        <v>248633.0</v>
      </c>
      <c r="E3793" s="15" t="s">
        <v>1557</v>
      </c>
      <c r="F3793" s="15" t="s">
        <v>1833</v>
      </c>
      <c r="G3793" s="7">
        <v>42.392</v>
      </c>
      <c r="H3793" s="15" t="s">
        <v>6204</v>
      </c>
      <c r="I3793" s="15" t="s">
        <v>1586</v>
      </c>
      <c r="J3793" s="15" t="s">
        <v>15452</v>
      </c>
      <c r="K3793" s="15">
        <v>60.0</v>
      </c>
      <c r="L3793" s="15">
        <v>60.0</v>
      </c>
      <c r="M3793" s="40">
        <v>41764.0</v>
      </c>
      <c r="N3793" s="40">
        <v>41786.0</v>
      </c>
      <c r="O3793" s="15" t="s">
        <v>1554</v>
      </c>
      <c r="Q3793" s="7"/>
    </row>
    <row r="3794">
      <c r="A3794" s="39" t="s">
        <v>15453</v>
      </c>
      <c r="B3794" s="15">
        <v>1463811.0</v>
      </c>
      <c r="C3794" s="15" t="s">
        <v>15454</v>
      </c>
      <c r="D3794" s="15">
        <v>248634.0</v>
      </c>
      <c r="E3794" s="15" t="s">
        <v>1557</v>
      </c>
      <c r="F3794" s="15" t="s">
        <v>1833</v>
      </c>
      <c r="G3794" s="7">
        <v>70.667</v>
      </c>
      <c r="H3794" s="15" t="s">
        <v>14635</v>
      </c>
      <c r="I3794" s="15" t="s">
        <v>1586</v>
      </c>
      <c r="J3794" s="15" t="s">
        <v>15455</v>
      </c>
      <c r="K3794" s="15">
        <v>97.0</v>
      </c>
      <c r="L3794" s="15">
        <v>97.0</v>
      </c>
      <c r="M3794" s="40">
        <v>41700.0</v>
      </c>
      <c r="N3794" s="40">
        <v>41808.0</v>
      </c>
      <c r="O3794" s="15" t="s">
        <v>1554</v>
      </c>
      <c r="Q3794" s="7"/>
    </row>
    <row r="3795">
      <c r="A3795" s="39" t="s">
        <v>15456</v>
      </c>
      <c r="B3795" s="15">
        <v>1486426.0</v>
      </c>
      <c r="C3795" s="15" t="s">
        <v>15457</v>
      </c>
      <c r="D3795" s="15">
        <v>248635.0</v>
      </c>
      <c r="E3795" s="15" t="s">
        <v>1557</v>
      </c>
      <c r="F3795" s="15" t="s">
        <v>1833</v>
      </c>
      <c r="G3795" s="7">
        <v>50.101</v>
      </c>
      <c r="H3795" s="15" t="s">
        <v>6661</v>
      </c>
      <c r="I3795" s="15" t="s">
        <v>1586</v>
      </c>
      <c r="J3795" s="15" t="s">
        <v>15459</v>
      </c>
      <c r="K3795" s="15">
        <v>92.0</v>
      </c>
      <c r="L3795" s="15">
        <v>91.0</v>
      </c>
      <c r="M3795" s="40">
        <v>41764.0</v>
      </c>
      <c r="N3795" s="40">
        <v>41786.0</v>
      </c>
      <c r="O3795" s="15" t="s">
        <v>1554</v>
      </c>
      <c r="Q3795" s="7"/>
    </row>
    <row r="3796">
      <c r="A3796" s="39" t="s">
        <v>15460</v>
      </c>
      <c r="B3796" s="15">
        <v>1458714.0</v>
      </c>
      <c r="C3796" s="15" t="s">
        <v>15461</v>
      </c>
      <c r="D3796" s="15">
        <v>248636.0</v>
      </c>
      <c r="E3796" s="15" t="s">
        <v>1557</v>
      </c>
      <c r="F3796" s="15" t="s">
        <v>1833</v>
      </c>
      <c r="G3796" s="7">
        <v>51.781</v>
      </c>
      <c r="H3796" s="15" t="s">
        <v>3029</v>
      </c>
      <c r="I3796" s="15" t="s">
        <v>1586</v>
      </c>
      <c r="J3796" s="15" t="s">
        <v>15462</v>
      </c>
      <c r="K3796" s="15">
        <v>95.0</v>
      </c>
      <c r="L3796" s="15">
        <v>94.0</v>
      </c>
      <c r="M3796" s="40">
        <v>41731.0</v>
      </c>
      <c r="N3796" s="40">
        <v>41786.0</v>
      </c>
      <c r="O3796" s="15" t="s">
        <v>1554</v>
      </c>
      <c r="Q3796" s="7"/>
    </row>
    <row r="3797">
      <c r="A3797" s="39" t="s">
        <v>15463</v>
      </c>
      <c r="B3797" s="15">
        <v>943083.0</v>
      </c>
      <c r="C3797" s="15" t="s">
        <v>15464</v>
      </c>
      <c r="D3797" s="15">
        <v>248745.0</v>
      </c>
      <c r="E3797" s="15" t="s">
        <v>1557</v>
      </c>
      <c r="F3797" s="15" t="s">
        <v>2628</v>
      </c>
      <c r="G3797" s="7">
        <v>31.709</v>
      </c>
      <c r="H3797" s="15">
        <v>36.0</v>
      </c>
      <c r="I3797" s="15" t="s">
        <v>1686</v>
      </c>
      <c r="J3797" s="15" t="s">
        <v>15465</v>
      </c>
      <c r="K3797" s="15">
        <v>30.0</v>
      </c>
      <c r="L3797" s="15">
        <v>30.0</v>
      </c>
      <c r="M3797" s="40">
        <v>41786.0</v>
      </c>
      <c r="N3797" s="40">
        <v>42174.0</v>
      </c>
      <c r="O3797" s="15" t="s">
        <v>1554</v>
      </c>
      <c r="Q3797" s="7"/>
    </row>
    <row r="3798">
      <c r="A3798" s="39" t="s">
        <v>15467</v>
      </c>
      <c r="B3798" s="15">
        <v>1485922.0</v>
      </c>
      <c r="C3798" s="15" t="s">
        <v>15468</v>
      </c>
      <c r="D3798" s="15">
        <v>248746.0</v>
      </c>
      <c r="E3798" s="15" t="s">
        <v>1638</v>
      </c>
      <c r="F3798" s="15" t="s">
        <v>1639</v>
      </c>
      <c r="G3798" s="7">
        <v>5.327</v>
      </c>
      <c r="H3798" s="15" t="s">
        <v>3101</v>
      </c>
      <c r="I3798" s="15" t="s">
        <v>1552</v>
      </c>
      <c r="J3798" s="15" t="s">
        <v>15469</v>
      </c>
      <c r="K3798" s="15">
        <v>2.0</v>
      </c>
      <c r="L3798" s="15">
        <v>2.0</v>
      </c>
      <c r="M3798" s="40">
        <v>41786.0</v>
      </c>
      <c r="N3798" s="40">
        <v>41787.0</v>
      </c>
      <c r="O3798" s="15" t="s">
        <v>1554</v>
      </c>
      <c r="Q3798" s="7"/>
    </row>
    <row r="3799">
      <c r="A3799" s="39" t="s">
        <v>15470</v>
      </c>
      <c r="B3799" s="15">
        <v>1495286.0</v>
      </c>
      <c r="C3799" s="15" t="s">
        <v>15471</v>
      </c>
      <c r="D3799" s="15">
        <v>249090.0</v>
      </c>
      <c r="E3799" s="15" t="s">
        <v>1557</v>
      </c>
      <c r="F3799" s="15" t="s">
        <v>1833</v>
      </c>
      <c r="G3799" s="7">
        <v>47.112</v>
      </c>
      <c r="H3799" s="15" t="s">
        <v>2064</v>
      </c>
      <c r="I3799" s="15" t="s">
        <v>1586</v>
      </c>
      <c r="J3799" s="15" t="s">
        <v>15472</v>
      </c>
      <c r="K3799" s="15">
        <v>72.0</v>
      </c>
      <c r="L3799" s="15">
        <v>72.0</v>
      </c>
      <c r="M3799" s="40">
        <v>41766.0</v>
      </c>
      <c r="N3799" s="40">
        <v>41792.0</v>
      </c>
      <c r="O3799" s="15" t="s">
        <v>1554</v>
      </c>
      <c r="Q3799" s="7"/>
    </row>
    <row r="3800">
      <c r="A3800" s="39" t="s">
        <v>15473</v>
      </c>
      <c r="B3800" s="15">
        <v>1465613.0</v>
      </c>
      <c r="C3800" s="15" t="s">
        <v>15474</v>
      </c>
      <c r="D3800" s="15">
        <v>249091.0</v>
      </c>
      <c r="E3800" s="15" t="s">
        <v>1557</v>
      </c>
      <c r="F3800" s="15" t="s">
        <v>1833</v>
      </c>
      <c r="G3800" s="7">
        <v>42.764</v>
      </c>
      <c r="H3800" s="15" t="s">
        <v>5042</v>
      </c>
      <c r="I3800" s="15" t="s">
        <v>1586</v>
      </c>
      <c r="J3800" s="15" t="s">
        <v>15475</v>
      </c>
      <c r="K3800" s="15">
        <v>60.0</v>
      </c>
      <c r="L3800" s="15">
        <v>60.0</v>
      </c>
      <c r="M3800" s="40">
        <v>41729.0</v>
      </c>
      <c r="N3800" s="40">
        <v>42220.0</v>
      </c>
      <c r="O3800" s="15" t="s">
        <v>1554</v>
      </c>
      <c r="Q3800" s="7"/>
    </row>
    <row r="3801">
      <c r="A3801" s="39" t="s">
        <v>15477</v>
      </c>
      <c r="B3801" s="15">
        <v>1486659.0</v>
      </c>
      <c r="C3801" s="15" t="s">
        <v>15478</v>
      </c>
      <c r="D3801" s="15">
        <v>249092.0</v>
      </c>
      <c r="E3801" s="15" t="s">
        <v>1557</v>
      </c>
      <c r="F3801" s="15" t="s">
        <v>1767</v>
      </c>
      <c r="G3801" s="7">
        <v>158.1</v>
      </c>
      <c r="H3801" s="15" t="s">
        <v>1607</v>
      </c>
      <c r="I3801" s="15" t="s">
        <v>1586</v>
      </c>
      <c r="J3801" s="15" t="s">
        <v>15479</v>
      </c>
      <c r="K3801" s="15">
        <v>294.0</v>
      </c>
      <c r="L3801" s="15">
        <v>294.0</v>
      </c>
      <c r="M3801" s="40">
        <v>41770.0</v>
      </c>
      <c r="N3801" s="40">
        <v>41949.0</v>
      </c>
      <c r="O3801" s="15" t="s">
        <v>1554</v>
      </c>
      <c r="Q3801" s="7"/>
    </row>
    <row r="3802">
      <c r="A3802" s="39" t="s">
        <v>15480</v>
      </c>
      <c r="B3802" s="15">
        <v>1486660.0</v>
      </c>
      <c r="C3802" s="15" t="s">
        <v>15481</v>
      </c>
      <c r="D3802" s="15">
        <v>249093.0</v>
      </c>
      <c r="E3802" s="15" t="s">
        <v>1557</v>
      </c>
      <c r="F3802" s="15" t="s">
        <v>1767</v>
      </c>
      <c r="G3802" s="7">
        <v>159.837</v>
      </c>
      <c r="H3802" s="15">
        <v>38.0</v>
      </c>
      <c r="I3802" s="15" t="s">
        <v>1586</v>
      </c>
      <c r="J3802" s="15" t="s">
        <v>15482</v>
      </c>
      <c r="K3802" s="15">
        <v>278.0</v>
      </c>
      <c r="L3802" s="15">
        <v>270.0</v>
      </c>
      <c r="M3802" s="40">
        <v>41770.0</v>
      </c>
      <c r="N3802" s="40">
        <v>41949.0</v>
      </c>
      <c r="O3802" s="15" t="s">
        <v>1554</v>
      </c>
      <c r="Q3802" s="7"/>
    </row>
    <row r="3803">
      <c r="A3803" s="39" t="s">
        <v>15483</v>
      </c>
      <c r="B3803" s="15">
        <v>1486657.0</v>
      </c>
      <c r="C3803" s="15" t="s">
        <v>15484</v>
      </c>
      <c r="D3803" s="15">
        <v>249094.0</v>
      </c>
      <c r="E3803" s="15" t="s">
        <v>1557</v>
      </c>
      <c r="F3803" s="15" t="s">
        <v>1767</v>
      </c>
      <c r="G3803" s="7">
        <v>160.541</v>
      </c>
      <c r="H3803" s="15">
        <v>38.0</v>
      </c>
      <c r="I3803" s="15" t="s">
        <v>1586</v>
      </c>
      <c r="J3803" s="15" t="s">
        <v>15486</v>
      </c>
      <c r="K3803" s="15">
        <v>295.0</v>
      </c>
      <c r="L3803" s="15">
        <v>287.0</v>
      </c>
      <c r="M3803" s="40">
        <v>41770.0</v>
      </c>
      <c r="N3803" s="40">
        <v>41949.0</v>
      </c>
      <c r="O3803" s="15" t="s">
        <v>1554</v>
      </c>
      <c r="Q3803" s="7"/>
    </row>
    <row r="3804">
      <c r="A3804" s="39" t="s">
        <v>15487</v>
      </c>
      <c r="B3804" s="15">
        <v>1486661.0</v>
      </c>
      <c r="C3804" s="15" t="s">
        <v>15488</v>
      </c>
      <c r="D3804" s="15">
        <v>249095.0</v>
      </c>
      <c r="E3804" s="15" t="s">
        <v>1557</v>
      </c>
      <c r="F3804" s="15" t="s">
        <v>1767</v>
      </c>
      <c r="G3804" s="7">
        <v>158.75</v>
      </c>
      <c r="H3804" s="15" t="s">
        <v>6565</v>
      </c>
      <c r="I3804" s="15" t="s">
        <v>1586</v>
      </c>
      <c r="J3804" s="15" t="s">
        <v>15489</v>
      </c>
      <c r="K3804" s="15">
        <v>290.0</v>
      </c>
      <c r="L3804" s="15">
        <v>290.0</v>
      </c>
      <c r="M3804" s="40">
        <v>41770.0</v>
      </c>
      <c r="N3804" s="40">
        <v>41949.0</v>
      </c>
      <c r="O3804" s="15" t="s">
        <v>1554</v>
      </c>
      <c r="Q3804" s="7"/>
    </row>
    <row r="3805">
      <c r="A3805" s="39" t="s">
        <v>15490</v>
      </c>
      <c r="B3805" s="15">
        <v>1486658.0</v>
      </c>
      <c r="C3805" s="15" t="s">
        <v>15491</v>
      </c>
      <c r="D3805" s="15">
        <v>249096.0</v>
      </c>
      <c r="E3805" s="15" t="s">
        <v>1557</v>
      </c>
      <c r="F3805" s="15" t="s">
        <v>1767</v>
      </c>
      <c r="G3805" s="7">
        <v>159.656</v>
      </c>
      <c r="H3805" s="15" t="s">
        <v>2668</v>
      </c>
      <c r="I3805" s="15" t="s">
        <v>1586</v>
      </c>
      <c r="J3805" s="15" t="s">
        <v>15492</v>
      </c>
      <c r="K3805" s="15">
        <v>302.0</v>
      </c>
      <c r="L3805" s="15">
        <v>294.0</v>
      </c>
      <c r="M3805" s="40">
        <v>41770.0</v>
      </c>
      <c r="N3805" s="40">
        <v>41949.0</v>
      </c>
      <c r="O3805" s="15" t="s">
        <v>1554</v>
      </c>
      <c r="Q3805" s="7"/>
    </row>
    <row r="3806">
      <c r="A3806" s="39" t="s">
        <v>15493</v>
      </c>
      <c r="B3806" s="15">
        <v>1493858.0</v>
      </c>
      <c r="C3806" s="15" t="s">
        <v>15494</v>
      </c>
      <c r="D3806" s="15">
        <v>247501.0</v>
      </c>
      <c r="E3806" s="15" t="s">
        <v>1548</v>
      </c>
      <c r="F3806" s="15" t="s">
        <v>4829</v>
      </c>
      <c r="G3806" s="7">
        <v>8.013</v>
      </c>
      <c r="H3806" s="15" t="s">
        <v>2996</v>
      </c>
      <c r="I3806" s="15" t="s">
        <v>1686</v>
      </c>
      <c r="J3806" s="15" t="s">
        <v>15495</v>
      </c>
      <c r="K3806" s="15">
        <v>2.0</v>
      </c>
      <c r="L3806" s="15">
        <v>2.0</v>
      </c>
      <c r="M3806" s="40">
        <v>41765.0</v>
      </c>
      <c r="N3806" s="40">
        <v>41949.0</v>
      </c>
      <c r="O3806" s="15" t="s">
        <v>1554</v>
      </c>
      <c r="Q3806" s="7"/>
    </row>
    <row r="3807">
      <c r="A3807" s="39" t="s">
        <v>15497</v>
      </c>
      <c r="B3807" s="15">
        <v>1495316.0</v>
      </c>
      <c r="C3807" s="15" t="s">
        <v>15498</v>
      </c>
      <c r="D3807" s="15">
        <v>247502.0</v>
      </c>
      <c r="E3807" s="15" t="s">
        <v>1548</v>
      </c>
      <c r="F3807" s="15" t="s">
        <v>1801</v>
      </c>
      <c r="G3807" s="7">
        <v>19.199</v>
      </c>
      <c r="H3807" s="15" t="s">
        <v>7049</v>
      </c>
      <c r="I3807" s="15" t="s">
        <v>1560</v>
      </c>
      <c r="J3807" s="15" t="s">
        <v>15499</v>
      </c>
      <c r="K3807" s="15">
        <v>1.0</v>
      </c>
      <c r="L3807" s="15">
        <v>1.0</v>
      </c>
      <c r="M3807" s="40">
        <v>41766.0</v>
      </c>
      <c r="N3807" s="40">
        <v>41949.0</v>
      </c>
      <c r="O3807" s="15" t="s">
        <v>1554</v>
      </c>
      <c r="Q3807" s="7"/>
    </row>
    <row r="3808">
      <c r="A3808" s="39" t="s">
        <v>15500</v>
      </c>
      <c r="B3808" s="15">
        <v>1491393.0</v>
      </c>
      <c r="C3808" s="15" t="s">
        <v>15501</v>
      </c>
      <c r="D3808" s="15">
        <v>247973.0</v>
      </c>
      <c r="E3808" s="15" t="s">
        <v>1548</v>
      </c>
      <c r="F3808" s="15" t="s">
        <v>1578</v>
      </c>
      <c r="G3808" s="7">
        <v>11.579</v>
      </c>
      <c r="H3808" s="15" t="s">
        <v>15502</v>
      </c>
      <c r="I3808" s="15" t="s">
        <v>1751</v>
      </c>
      <c r="J3808" s="15" t="s">
        <v>15503</v>
      </c>
      <c r="K3808" s="15">
        <v>5.0</v>
      </c>
      <c r="L3808" s="15">
        <v>5.0</v>
      </c>
      <c r="M3808" s="40">
        <v>41772.0</v>
      </c>
      <c r="N3808" s="41">
        <v>42297.0</v>
      </c>
      <c r="O3808" s="15" t="s">
        <v>1554</v>
      </c>
      <c r="Q3808" s="7"/>
    </row>
    <row r="3809">
      <c r="A3809" s="39" t="s">
        <v>15505</v>
      </c>
      <c r="B3809" s="15">
        <v>1498504.0</v>
      </c>
      <c r="C3809" s="15" t="s">
        <v>15506</v>
      </c>
      <c r="D3809" s="15">
        <v>248098.0</v>
      </c>
      <c r="E3809" s="15" t="s">
        <v>1808</v>
      </c>
      <c r="F3809" s="15" t="s">
        <v>1809</v>
      </c>
      <c r="G3809" s="7">
        <v>2.753</v>
      </c>
      <c r="H3809" s="15">
        <v>42.0</v>
      </c>
      <c r="I3809" s="15" t="s">
        <v>1628</v>
      </c>
      <c r="J3809" s="15" t="s">
        <v>15507</v>
      </c>
      <c r="K3809" s="15">
        <v>6.0</v>
      </c>
      <c r="L3809" s="15">
        <v>6.0</v>
      </c>
      <c r="M3809" s="40">
        <v>41772.0</v>
      </c>
      <c r="N3809" s="40">
        <v>41778.0</v>
      </c>
      <c r="O3809" s="15" t="s">
        <v>1554</v>
      </c>
      <c r="Q3809" s="7"/>
    </row>
    <row r="3810">
      <c r="A3810" s="39" t="s">
        <v>15508</v>
      </c>
      <c r="B3810" s="15">
        <v>932073.0</v>
      </c>
      <c r="C3810" s="15" t="s">
        <v>15509</v>
      </c>
      <c r="D3810" s="15">
        <v>252618.0</v>
      </c>
      <c r="E3810" s="15" t="s">
        <v>1808</v>
      </c>
      <c r="F3810" s="15" t="s">
        <v>1809</v>
      </c>
      <c r="G3810" s="7">
        <v>5.196</v>
      </c>
      <c r="H3810" s="15" t="s">
        <v>15510</v>
      </c>
      <c r="I3810" s="15" t="s">
        <v>1628</v>
      </c>
      <c r="J3810" s="15" t="s">
        <v>15511</v>
      </c>
      <c r="K3810" s="15">
        <v>7.0</v>
      </c>
      <c r="L3810" s="15">
        <v>7.0</v>
      </c>
      <c r="M3810" s="40">
        <v>40558.0</v>
      </c>
      <c r="N3810" s="41">
        <v>42297.0</v>
      </c>
      <c r="O3810" s="15" t="s">
        <v>1554</v>
      </c>
      <c r="Q3810" s="7"/>
    </row>
    <row r="3811">
      <c r="A3811" s="39" t="s">
        <v>15512</v>
      </c>
      <c r="B3811" s="15">
        <v>1435485.0</v>
      </c>
      <c r="C3811" s="15" t="s">
        <v>15513</v>
      </c>
      <c r="D3811" s="15">
        <v>252619.0</v>
      </c>
      <c r="E3811" s="15" t="s">
        <v>1548</v>
      </c>
      <c r="F3811" s="15" t="s">
        <v>1848</v>
      </c>
      <c r="G3811" s="7">
        <v>6.233</v>
      </c>
      <c r="H3811" s="15" t="s">
        <v>1957</v>
      </c>
      <c r="I3811" s="15" t="s">
        <v>1686</v>
      </c>
      <c r="J3811" s="15" t="s">
        <v>15515</v>
      </c>
      <c r="K3811" s="15">
        <v>3.0</v>
      </c>
      <c r="L3811" s="15">
        <v>3.0</v>
      </c>
      <c r="M3811" s="40">
        <v>41794.0</v>
      </c>
      <c r="N3811" s="40">
        <v>41803.0</v>
      </c>
      <c r="O3811" s="15" t="s">
        <v>1554</v>
      </c>
      <c r="Q3811" s="7"/>
    </row>
    <row r="3812">
      <c r="A3812" s="39" t="s">
        <v>15516</v>
      </c>
      <c r="B3812" s="15">
        <v>1505530.0</v>
      </c>
      <c r="C3812" s="15" t="s">
        <v>15517</v>
      </c>
      <c r="D3812" s="15">
        <v>252620.0</v>
      </c>
      <c r="E3812" s="15" t="s">
        <v>1916</v>
      </c>
      <c r="F3812" s="15" t="s">
        <v>1917</v>
      </c>
      <c r="G3812" s="7">
        <v>7.424</v>
      </c>
      <c r="H3812" s="15" t="s">
        <v>2279</v>
      </c>
      <c r="I3812" s="15" t="s">
        <v>1628</v>
      </c>
      <c r="J3812" s="15" t="s">
        <v>15518</v>
      </c>
      <c r="K3812" s="15">
        <v>5.0</v>
      </c>
      <c r="L3812" s="15">
        <v>5.0</v>
      </c>
      <c r="M3812" s="40">
        <v>41800.0</v>
      </c>
      <c r="N3812" s="40">
        <v>41803.0</v>
      </c>
      <c r="O3812" s="15" t="s">
        <v>1554</v>
      </c>
      <c r="Q3812" s="7"/>
    </row>
    <row r="3813">
      <c r="A3813" s="39" t="s">
        <v>15520</v>
      </c>
      <c r="B3813" s="15">
        <v>1502101.0</v>
      </c>
      <c r="C3813" s="15" t="s">
        <v>15521</v>
      </c>
      <c r="D3813" s="15">
        <v>252621.0</v>
      </c>
      <c r="E3813" s="15" t="s">
        <v>1548</v>
      </c>
      <c r="F3813" s="15" t="s">
        <v>1578</v>
      </c>
      <c r="G3813" s="7">
        <v>5.534</v>
      </c>
      <c r="H3813" s="15" t="s">
        <v>2950</v>
      </c>
      <c r="I3813" s="15" t="s">
        <v>1628</v>
      </c>
      <c r="J3813" s="15" t="s">
        <v>15522</v>
      </c>
      <c r="K3813" s="15">
        <v>1.0</v>
      </c>
      <c r="L3813" s="15">
        <v>1.0</v>
      </c>
      <c r="M3813" s="40">
        <v>41793.0</v>
      </c>
      <c r="N3813" s="40">
        <v>41803.0</v>
      </c>
      <c r="O3813" s="15" t="s">
        <v>1554</v>
      </c>
      <c r="Q3813" s="7"/>
    </row>
    <row r="3814">
      <c r="A3814" s="39" t="s">
        <v>15523</v>
      </c>
      <c r="B3814" s="15">
        <v>1463817.0</v>
      </c>
      <c r="C3814" s="15" t="s">
        <v>15524</v>
      </c>
      <c r="D3814" s="15">
        <v>252623.0</v>
      </c>
      <c r="E3814" s="15" t="s">
        <v>1557</v>
      </c>
      <c r="F3814" s="15" t="s">
        <v>1822</v>
      </c>
      <c r="G3814" s="7">
        <v>8.132</v>
      </c>
      <c r="H3814" s="15" t="s">
        <v>3823</v>
      </c>
      <c r="I3814" s="15" t="s">
        <v>1686</v>
      </c>
      <c r="J3814" s="15" t="s">
        <v>15525</v>
      </c>
      <c r="K3814" s="15">
        <v>12.0</v>
      </c>
      <c r="L3814" s="15">
        <v>12.0</v>
      </c>
      <c r="M3814" s="40">
        <v>41791.0</v>
      </c>
      <c r="N3814" s="40">
        <v>41803.0</v>
      </c>
      <c r="O3814" s="15" t="s">
        <v>1554</v>
      </c>
      <c r="Q3814" s="7"/>
    </row>
    <row r="3815">
      <c r="A3815" s="39" t="s">
        <v>15527</v>
      </c>
      <c r="B3815" s="15">
        <v>1286143.0</v>
      </c>
      <c r="C3815" s="15" t="s">
        <v>15528</v>
      </c>
      <c r="D3815" s="15">
        <v>252624.0</v>
      </c>
      <c r="E3815" s="15" t="s">
        <v>1548</v>
      </c>
      <c r="F3815" s="15" t="s">
        <v>1801</v>
      </c>
      <c r="G3815" s="7">
        <v>10.878</v>
      </c>
      <c r="H3815" s="15" t="s">
        <v>5042</v>
      </c>
      <c r="I3815" s="15" t="s">
        <v>1560</v>
      </c>
      <c r="J3815" s="15" t="s">
        <v>15529</v>
      </c>
      <c r="K3815" s="15">
        <v>1.0</v>
      </c>
      <c r="L3815" s="15">
        <v>1.0</v>
      </c>
      <c r="M3815" s="40">
        <v>41791.0</v>
      </c>
      <c r="N3815" s="40">
        <v>42744.0</v>
      </c>
      <c r="O3815" s="15" t="s">
        <v>1554</v>
      </c>
      <c r="Q3815" s="7"/>
    </row>
    <row r="3816">
      <c r="A3816" s="39" t="s">
        <v>15530</v>
      </c>
      <c r="B3816" s="15">
        <v>1504288.0</v>
      </c>
      <c r="C3816" s="15" t="s">
        <v>15531</v>
      </c>
      <c r="D3816" s="15">
        <v>252717.0</v>
      </c>
      <c r="E3816" s="15" t="s">
        <v>1557</v>
      </c>
      <c r="F3816" s="15" t="s">
        <v>1827</v>
      </c>
      <c r="G3816" s="7">
        <v>144.898</v>
      </c>
      <c r="H3816" s="15" t="s">
        <v>2648</v>
      </c>
      <c r="I3816" s="15" t="s">
        <v>1686</v>
      </c>
      <c r="J3816" s="15" t="s">
        <v>15532</v>
      </c>
      <c r="K3816" s="15">
        <v>79.0</v>
      </c>
      <c r="L3816" s="15">
        <v>79.0</v>
      </c>
      <c r="M3816" s="40">
        <v>41798.0</v>
      </c>
      <c r="N3816" s="40">
        <v>41851.0</v>
      </c>
      <c r="O3816" s="15" t="s">
        <v>1554</v>
      </c>
      <c r="Q3816" s="7"/>
    </row>
    <row r="3817">
      <c r="A3817" s="39" t="s">
        <v>15533</v>
      </c>
      <c r="B3817" s="15">
        <v>1343901.0</v>
      </c>
      <c r="C3817" s="15" t="s">
        <v>15535</v>
      </c>
      <c r="D3817" s="15">
        <v>252745.0</v>
      </c>
      <c r="E3817" s="15" t="s">
        <v>1557</v>
      </c>
      <c r="F3817" s="15" t="s">
        <v>1827</v>
      </c>
      <c r="G3817" s="7">
        <v>149.459</v>
      </c>
      <c r="H3817" s="15" t="s">
        <v>4190</v>
      </c>
      <c r="I3817" s="15" t="s">
        <v>1686</v>
      </c>
      <c r="J3817" s="15" t="s">
        <v>15536</v>
      </c>
      <c r="K3817" s="15">
        <v>72.0</v>
      </c>
      <c r="L3817" s="15">
        <v>70.0</v>
      </c>
      <c r="M3817" s="40">
        <v>41802.0</v>
      </c>
      <c r="N3817" s="40">
        <v>42140.0</v>
      </c>
      <c r="O3817" s="15" t="s">
        <v>1554</v>
      </c>
      <c r="Q3817" s="7"/>
    </row>
    <row r="3818">
      <c r="A3818" s="39" t="s">
        <v>15537</v>
      </c>
      <c r="B3818" s="15">
        <v>1481224.0</v>
      </c>
      <c r="C3818" s="15" t="s">
        <v>15538</v>
      </c>
      <c r="D3818" s="15">
        <v>253206.0</v>
      </c>
      <c r="E3818" s="15" t="s">
        <v>1557</v>
      </c>
      <c r="F3818" s="15" t="s">
        <v>1833</v>
      </c>
      <c r="G3818" s="7">
        <v>37.38</v>
      </c>
      <c r="H3818" s="15" t="s">
        <v>4117</v>
      </c>
      <c r="I3818" s="15" t="s">
        <v>1586</v>
      </c>
      <c r="J3818" s="15" t="s">
        <v>15539</v>
      </c>
      <c r="K3818" s="15">
        <v>58.0</v>
      </c>
      <c r="L3818" s="15">
        <v>58.0</v>
      </c>
      <c r="M3818" s="40">
        <v>41736.0</v>
      </c>
      <c r="N3818" s="40">
        <v>41813.0</v>
      </c>
      <c r="O3818" s="15" t="s">
        <v>1554</v>
      </c>
      <c r="Q3818" s="7"/>
    </row>
    <row r="3819">
      <c r="A3819" s="39" t="s">
        <v>15541</v>
      </c>
      <c r="B3819" s="15">
        <v>1506184.0</v>
      </c>
      <c r="C3819" s="15" t="s">
        <v>15542</v>
      </c>
      <c r="D3819" s="15">
        <v>253217.0</v>
      </c>
      <c r="E3819" s="15" t="s">
        <v>2014</v>
      </c>
      <c r="F3819" s="15" t="s">
        <v>1578</v>
      </c>
      <c r="G3819" s="7">
        <v>1.374</v>
      </c>
      <c r="H3819" s="15" t="s">
        <v>2023</v>
      </c>
      <c r="I3819" s="15" t="s">
        <v>1628</v>
      </c>
      <c r="J3819" s="15" t="s">
        <v>15543</v>
      </c>
      <c r="K3819" s="15">
        <v>1.0</v>
      </c>
      <c r="L3819" s="15">
        <v>1.0</v>
      </c>
      <c r="M3819" s="40">
        <v>41805.0</v>
      </c>
      <c r="N3819" s="40">
        <v>42457.0</v>
      </c>
      <c r="O3819" s="15" t="s">
        <v>1554</v>
      </c>
      <c r="Q3819" s="7"/>
    </row>
    <row r="3820">
      <c r="A3820" s="39" t="s">
        <v>15544</v>
      </c>
      <c r="B3820" s="15">
        <v>1506157.0</v>
      </c>
      <c r="C3820" s="15" t="s">
        <v>15545</v>
      </c>
      <c r="D3820" s="15">
        <v>253218.0</v>
      </c>
      <c r="E3820" s="15" t="s">
        <v>2014</v>
      </c>
      <c r="F3820" s="15" t="s">
        <v>2018</v>
      </c>
      <c r="G3820" s="7">
        <v>1.353</v>
      </c>
      <c r="H3820" s="15" t="s">
        <v>2777</v>
      </c>
      <c r="I3820" s="15" t="s">
        <v>1628</v>
      </c>
      <c r="J3820" s="15" t="s">
        <v>15546</v>
      </c>
      <c r="K3820" s="15">
        <v>1.0</v>
      </c>
      <c r="L3820" s="15">
        <v>1.0</v>
      </c>
      <c r="M3820" s="40">
        <v>41805.0</v>
      </c>
      <c r="N3820" s="40">
        <v>41813.0</v>
      </c>
      <c r="O3820" s="15" t="s">
        <v>1554</v>
      </c>
      <c r="Q3820" s="7"/>
    </row>
    <row r="3821">
      <c r="A3821" s="39" t="s">
        <v>15547</v>
      </c>
      <c r="B3821" s="15">
        <v>1448273.0</v>
      </c>
      <c r="C3821" s="15" t="s">
        <v>15549</v>
      </c>
      <c r="D3821" s="15">
        <v>253219.0</v>
      </c>
      <c r="E3821" s="15" t="s">
        <v>4407</v>
      </c>
      <c r="F3821" s="15" t="s">
        <v>1578</v>
      </c>
      <c r="G3821" s="7">
        <v>38.392</v>
      </c>
      <c r="H3821" s="15" t="s">
        <v>3070</v>
      </c>
      <c r="I3821" s="15" t="s">
        <v>1586</v>
      </c>
      <c r="J3821" s="15" t="s">
        <v>15550</v>
      </c>
      <c r="K3821" s="15">
        <v>57.0</v>
      </c>
      <c r="L3821" s="15">
        <v>56.0</v>
      </c>
      <c r="M3821" s="40">
        <v>41788.0</v>
      </c>
      <c r="N3821" s="40">
        <v>41949.0</v>
      </c>
      <c r="O3821" s="15" t="s">
        <v>1554</v>
      </c>
      <c r="Q3821" s="7"/>
    </row>
    <row r="3822">
      <c r="A3822" s="39" t="s">
        <v>15551</v>
      </c>
      <c r="B3822" s="15">
        <v>1448276.0</v>
      </c>
      <c r="C3822" s="15" t="s">
        <v>15552</v>
      </c>
      <c r="D3822" s="15">
        <v>253220.0</v>
      </c>
      <c r="E3822" s="15" t="s">
        <v>4407</v>
      </c>
      <c r="F3822" s="15" t="s">
        <v>1578</v>
      </c>
      <c r="G3822" s="7">
        <v>39.965</v>
      </c>
      <c r="H3822" s="15" t="s">
        <v>2440</v>
      </c>
      <c r="I3822" s="15" t="s">
        <v>1586</v>
      </c>
      <c r="J3822" s="15" t="s">
        <v>15553</v>
      </c>
      <c r="K3822" s="15">
        <v>49.0</v>
      </c>
      <c r="L3822" s="15">
        <v>49.0</v>
      </c>
      <c r="M3822" s="40">
        <v>41788.0</v>
      </c>
      <c r="N3822" s="40">
        <v>41949.0</v>
      </c>
      <c r="O3822" s="15" t="s">
        <v>1554</v>
      </c>
      <c r="Q3822" s="7"/>
    </row>
    <row r="3823">
      <c r="A3823" s="39" t="s">
        <v>15554</v>
      </c>
      <c r="B3823" s="15">
        <v>1486422.0</v>
      </c>
      <c r="C3823" s="15" t="s">
        <v>15555</v>
      </c>
      <c r="D3823" s="15">
        <v>253221.0</v>
      </c>
      <c r="E3823" s="15" t="s">
        <v>1557</v>
      </c>
      <c r="F3823" s="15" t="s">
        <v>1767</v>
      </c>
      <c r="G3823" s="7">
        <v>131.952</v>
      </c>
      <c r="H3823" s="15">
        <v>36.0</v>
      </c>
      <c r="I3823" s="15" t="s">
        <v>1586</v>
      </c>
      <c r="J3823" s="15" t="s">
        <v>15557</v>
      </c>
      <c r="K3823" s="15">
        <v>187.0</v>
      </c>
      <c r="L3823" s="15">
        <v>174.0</v>
      </c>
      <c r="M3823" s="40">
        <v>41793.0</v>
      </c>
      <c r="N3823" s="40">
        <v>41813.0</v>
      </c>
      <c r="O3823" s="15" t="s">
        <v>1554</v>
      </c>
      <c r="Q3823" s="7"/>
    </row>
    <row r="3824">
      <c r="A3824" s="39" t="s">
        <v>15558</v>
      </c>
      <c r="B3824" s="15">
        <v>1500757.0</v>
      </c>
      <c r="C3824" s="15" t="s">
        <v>15559</v>
      </c>
      <c r="D3824" s="15">
        <v>253222.0</v>
      </c>
      <c r="E3824" s="15" t="s">
        <v>1557</v>
      </c>
      <c r="F3824" s="15" t="s">
        <v>1833</v>
      </c>
      <c r="G3824" s="7">
        <v>51.09</v>
      </c>
      <c r="H3824" s="15" t="s">
        <v>10292</v>
      </c>
      <c r="I3824" s="15" t="s">
        <v>1586</v>
      </c>
      <c r="J3824" s="15" t="s">
        <v>15560</v>
      </c>
      <c r="K3824" s="15">
        <v>52.0</v>
      </c>
      <c r="L3824" s="15">
        <v>52.0</v>
      </c>
      <c r="M3824" s="40">
        <v>41783.0</v>
      </c>
      <c r="N3824" s="40">
        <v>41813.0</v>
      </c>
      <c r="O3824" s="15" t="s">
        <v>1554</v>
      </c>
      <c r="Q3824" s="7"/>
    </row>
    <row r="3825">
      <c r="A3825" s="39" t="s">
        <v>15561</v>
      </c>
      <c r="B3825" s="15">
        <v>1448274.0</v>
      </c>
      <c r="C3825" s="15" t="s">
        <v>15562</v>
      </c>
      <c r="D3825" s="15">
        <v>253223.0</v>
      </c>
      <c r="E3825" s="15" t="s">
        <v>4407</v>
      </c>
      <c r="F3825" s="15" t="s">
        <v>1578</v>
      </c>
      <c r="G3825" s="7">
        <v>39.36</v>
      </c>
      <c r="H3825" s="15" t="s">
        <v>2141</v>
      </c>
      <c r="I3825" s="15" t="s">
        <v>1586</v>
      </c>
      <c r="J3825" s="15" t="s">
        <v>15563</v>
      </c>
      <c r="K3825" s="15">
        <v>54.0</v>
      </c>
      <c r="L3825" s="15">
        <v>53.0</v>
      </c>
      <c r="M3825" s="40">
        <v>41788.0</v>
      </c>
      <c r="N3825" s="40">
        <v>41949.0</v>
      </c>
      <c r="O3825" s="15" t="s">
        <v>1554</v>
      </c>
      <c r="Q3825" s="7"/>
    </row>
    <row r="3826">
      <c r="A3826" s="39" t="s">
        <v>15564</v>
      </c>
      <c r="B3826" s="15">
        <v>1428342.0</v>
      </c>
      <c r="C3826" s="15" t="s">
        <v>15565</v>
      </c>
      <c r="D3826" s="15">
        <v>253224.0</v>
      </c>
      <c r="E3826" s="15" t="s">
        <v>2014</v>
      </c>
      <c r="F3826" s="15" t="s">
        <v>1578</v>
      </c>
      <c r="G3826" s="7">
        <v>1.392</v>
      </c>
      <c r="H3826" s="15" t="s">
        <v>2163</v>
      </c>
      <c r="I3826" s="15" t="s">
        <v>1628</v>
      </c>
      <c r="J3826" s="15" t="s">
        <v>15567</v>
      </c>
      <c r="K3826" s="15">
        <v>1.0</v>
      </c>
      <c r="L3826" s="15">
        <v>1.0</v>
      </c>
      <c r="M3826" s="40">
        <v>41803.0</v>
      </c>
      <c r="N3826" s="40">
        <v>41813.0</v>
      </c>
      <c r="O3826" s="15" t="s">
        <v>1554</v>
      </c>
      <c r="Q3826" s="7"/>
    </row>
    <row r="3827">
      <c r="A3827" s="39" t="s">
        <v>15568</v>
      </c>
      <c r="B3827" s="15">
        <v>1486421.0</v>
      </c>
      <c r="C3827" s="15" t="s">
        <v>15569</v>
      </c>
      <c r="D3827" s="15">
        <v>253225.0</v>
      </c>
      <c r="E3827" s="15" t="s">
        <v>1557</v>
      </c>
      <c r="F3827" s="15" t="s">
        <v>1767</v>
      </c>
      <c r="G3827" s="7">
        <v>138.036</v>
      </c>
      <c r="H3827" s="15" t="s">
        <v>3554</v>
      </c>
      <c r="I3827" s="15" t="s">
        <v>1586</v>
      </c>
      <c r="J3827" s="15" t="s">
        <v>15570</v>
      </c>
      <c r="K3827" s="15">
        <v>201.0</v>
      </c>
      <c r="L3827" s="15">
        <v>187.0</v>
      </c>
      <c r="M3827" s="40">
        <v>41793.0</v>
      </c>
      <c r="N3827" s="40">
        <v>41813.0</v>
      </c>
      <c r="O3827" s="15" t="s">
        <v>1554</v>
      </c>
      <c r="Q3827" s="7"/>
    </row>
    <row r="3828">
      <c r="A3828" s="39" t="s">
        <v>15571</v>
      </c>
      <c r="B3828" s="15">
        <v>1486473.0</v>
      </c>
      <c r="C3828" s="15" t="s">
        <v>15572</v>
      </c>
      <c r="D3828" s="15">
        <v>253329.0</v>
      </c>
      <c r="E3828" s="15" t="s">
        <v>1557</v>
      </c>
      <c r="F3828" s="15" t="s">
        <v>1833</v>
      </c>
      <c r="G3828" s="7">
        <v>62.661</v>
      </c>
      <c r="H3828" s="15" t="s">
        <v>9199</v>
      </c>
      <c r="I3828" s="15" t="s">
        <v>1586</v>
      </c>
      <c r="J3828" s="15" t="s">
        <v>15573</v>
      </c>
      <c r="K3828" s="15">
        <v>97.0</v>
      </c>
      <c r="L3828" s="15">
        <v>96.0</v>
      </c>
      <c r="M3828" s="40">
        <v>41783.0</v>
      </c>
      <c r="N3828" s="40">
        <v>41814.0</v>
      </c>
      <c r="O3828" s="15" t="s">
        <v>1554</v>
      </c>
      <c r="Q3828" s="7"/>
    </row>
    <row r="3829">
      <c r="A3829" s="39" t="s">
        <v>15574</v>
      </c>
      <c r="B3829" s="15">
        <v>1173764.0</v>
      </c>
      <c r="C3829" s="15" t="s">
        <v>15575</v>
      </c>
      <c r="D3829" s="15">
        <v>253330.0</v>
      </c>
      <c r="E3829" s="15" t="s">
        <v>1557</v>
      </c>
      <c r="F3829" s="15" t="s">
        <v>1767</v>
      </c>
      <c r="G3829" s="7">
        <v>133.048</v>
      </c>
      <c r="H3829" s="15">
        <v>36.0</v>
      </c>
      <c r="I3829" s="15" t="s">
        <v>1586</v>
      </c>
      <c r="J3829" s="15" t="s">
        <v>15576</v>
      </c>
      <c r="K3829" s="15">
        <v>194.0</v>
      </c>
      <c r="L3829" s="15">
        <v>177.0</v>
      </c>
      <c r="M3829" s="40">
        <v>41789.0</v>
      </c>
      <c r="N3829" s="40">
        <v>41843.0</v>
      </c>
      <c r="O3829" s="15" t="s">
        <v>1554</v>
      </c>
      <c r="Q3829" s="7"/>
    </row>
    <row r="3830">
      <c r="A3830" s="39" t="s">
        <v>15578</v>
      </c>
      <c r="B3830" s="15">
        <v>1454041.0</v>
      </c>
      <c r="C3830" s="15" t="s">
        <v>15579</v>
      </c>
      <c r="D3830" s="15">
        <v>253339.0</v>
      </c>
      <c r="E3830" s="15" t="s">
        <v>1548</v>
      </c>
      <c r="F3830" s="15" t="s">
        <v>1801</v>
      </c>
      <c r="G3830" s="7">
        <v>9.525</v>
      </c>
      <c r="H3830" s="15" t="s">
        <v>4542</v>
      </c>
      <c r="I3830" s="15" t="s">
        <v>1686</v>
      </c>
      <c r="J3830" s="15" t="s">
        <v>15580</v>
      </c>
      <c r="K3830" s="15">
        <v>1.0</v>
      </c>
      <c r="L3830" s="15">
        <v>1.0</v>
      </c>
      <c r="M3830" s="40">
        <v>41810.0</v>
      </c>
      <c r="N3830" s="40">
        <v>41814.0</v>
      </c>
      <c r="O3830" s="15" t="s">
        <v>1554</v>
      </c>
      <c r="Q3830" s="7"/>
    </row>
    <row r="3831">
      <c r="A3831" s="39" t="s">
        <v>15581</v>
      </c>
      <c r="B3831" s="15">
        <v>1476390.0</v>
      </c>
      <c r="C3831" s="15" t="s">
        <v>15582</v>
      </c>
      <c r="D3831" s="15">
        <v>253340.0</v>
      </c>
      <c r="E3831" s="15" t="s">
        <v>1557</v>
      </c>
      <c r="F3831" s="15" t="s">
        <v>1833</v>
      </c>
      <c r="G3831" s="7">
        <v>43.056</v>
      </c>
      <c r="H3831" s="15" t="s">
        <v>1597</v>
      </c>
      <c r="I3831" s="15" t="s">
        <v>1586</v>
      </c>
      <c r="J3831" s="15" t="s">
        <v>15583</v>
      </c>
      <c r="K3831" s="15">
        <v>52.0</v>
      </c>
      <c r="L3831" s="15">
        <v>52.0</v>
      </c>
      <c r="M3831" s="40">
        <v>41803.0</v>
      </c>
      <c r="N3831" s="40">
        <v>42546.0</v>
      </c>
      <c r="O3831" s="15" t="s">
        <v>1554</v>
      </c>
      <c r="Q3831" s="7"/>
    </row>
    <row r="3832">
      <c r="A3832" s="39" t="s">
        <v>15584</v>
      </c>
      <c r="B3832" s="15">
        <v>1464127.0</v>
      </c>
      <c r="C3832" s="15" t="s">
        <v>15585</v>
      </c>
      <c r="D3832" s="15">
        <v>253383.0</v>
      </c>
      <c r="E3832" s="15" t="s">
        <v>1557</v>
      </c>
      <c r="F3832" s="15" t="s">
        <v>1833</v>
      </c>
      <c r="G3832" s="7">
        <v>41.941</v>
      </c>
      <c r="H3832" s="15">
        <v>36.0</v>
      </c>
      <c r="I3832" s="15" t="s">
        <v>1586</v>
      </c>
      <c r="J3832" s="15" t="s">
        <v>15586</v>
      </c>
      <c r="K3832" s="15">
        <v>62.0</v>
      </c>
      <c r="L3832" s="15">
        <v>62.0</v>
      </c>
      <c r="M3832" s="40">
        <v>41793.0</v>
      </c>
      <c r="N3832" s="40">
        <v>41814.0</v>
      </c>
      <c r="O3832" s="15" t="s">
        <v>1554</v>
      </c>
      <c r="Q3832" s="7"/>
    </row>
    <row r="3833">
      <c r="A3833" s="39" t="s">
        <v>15588</v>
      </c>
      <c r="B3833" s="15">
        <v>1458857.0</v>
      </c>
      <c r="C3833" s="15" t="s">
        <v>15589</v>
      </c>
      <c r="D3833" s="15">
        <v>253384.0</v>
      </c>
      <c r="E3833" s="15" t="s">
        <v>1557</v>
      </c>
      <c r="F3833" s="15" t="s">
        <v>1833</v>
      </c>
      <c r="G3833" s="7">
        <v>66.676</v>
      </c>
      <c r="H3833" s="15" t="s">
        <v>2699</v>
      </c>
      <c r="I3833" s="15" t="s">
        <v>1586</v>
      </c>
      <c r="J3833" s="15" t="s">
        <v>15590</v>
      </c>
      <c r="K3833" s="15">
        <v>116.0</v>
      </c>
      <c r="L3833" s="15">
        <v>116.0</v>
      </c>
      <c r="M3833" s="40">
        <v>41789.0</v>
      </c>
      <c r="N3833" s="40">
        <v>41843.0</v>
      </c>
      <c r="O3833" s="15" t="s">
        <v>1554</v>
      </c>
      <c r="Q3833" s="7"/>
    </row>
    <row r="3834">
      <c r="A3834" s="39" t="s">
        <v>15591</v>
      </c>
      <c r="B3834" s="15">
        <v>1458852.0</v>
      </c>
      <c r="C3834" s="15" t="s">
        <v>15592</v>
      </c>
      <c r="D3834" s="15">
        <v>253385.0</v>
      </c>
      <c r="E3834" s="15" t="s">
        <v>1557</v>
      </c>
      <c r="F3834" s="15" t="s">
        <v>1833</v>
      </c>
      <c r="G3834" s="7">
        <v>41.156</v>
      </c>
      <c r="H3834" s="15" t="s">
        <v>2752</v>
      </c>
      <c r="I3834" s="15" t="s">
        <v>1586</v>
      </c>
      <c r="J3834" s="15" t="s">
        <v>15593</v>
      </c>
      <c r="K3834" s="15">
        <v>73.0</v>
      </c>
      <c r="L3834" s="15">
        <v>73.0</v>
      </c>
      <c r="M3834" s="40">
        <v>41789.0</v>
      </c>
      <c r="N3834" s="40">
        <v>41843.0</v>
      </c>
      <c r="O3834" s="15" t="s">
        <v>1554</v>
      </c>
      <c r="Q3834" s="7"/>
    </row>
    <row r="3835">
      <c r="A3835" s="39" t="s">
        <v>15594</v>
      </c>
      <c r="B3835" s="15">
        <v>1262520.0</v>
      </c>
      <c r="C3835" s="15" t="s">
        <v>15595</v>
      </c>
      <c r="D3835" s="15">
        <v>253386.0</v>
      </c>
      <c r="E3835" s="15" t="s">
        <v>1557</v>
      </c>
      <c r="F3835" s="15" t="s">
        <v>1833</v>
      </c>
      <c r="G3835" s="7">
        <v>25.74</v>
      </c>
      <c r="H3835" s="15" t="s">
        <v>4595</v>
      </c>
      <c r="I3835" s="15" t="s">
        <v>1586</v>
      </c>
      <c r="J3835" s="15" t="s">
        <v>15596</v>
      </c>
      <c r="K3835" s="15">
        <v>39.0</v>
      </c>
      <c r="L3835" s="15">
        <v>39.0</v>
      </c>
      <c r="M3835" s="40">
        <v>41548.0</v>
      </c>
      <c r="N3835" s="40">
        <v>41814.0</v>
      </c>
      <c r="O3835" s="15" t="s">
        <v>1554</v>
      </c>
      <c r="Q3835" s="7"/>
    </row>
    <row r="3836">
      <c r="A3836" s="39" t="s">
        <v>15598</v>
      </c>
      <c r="B3836" s="15">
        <v>1458855.0</v>
      </c>
      <c r="C3836" s="15" t="s">
        <v>15599</v>
      </c>
      <c r="D3836" s="15">
        <v>253387.0</v>
      </c>
      <c r="E3836" s="15" t="s">
        <v>1557</v>
      </c>
      <c r="F3836" s="15" t="s">
        <v>1767</v>
      </c>
      <c r="G3836" s="7">
        <v>135.831</v>
      </c>
      <c r="H3836" s="15" t="s">
        <v>3554</v>
      </c>
      <c r="I3836" s="15" t="s">
        <v>1586</v>
      </c>
      <c r="J3836" s="15" t="s">
        <v>15600</v>
      </c>
      <c r="K3836" s="15">
        <v>206.0</v>
      </c>
      <c r="L3836" s="15">
        <v>189.0</v>
      </c>
      <c r="M3836" s="40">
        <v>41789.0</v>
      </c>
      <c r="N3836" s="40">
        <v>41843.0</v>
      </c>
      <c r="O3836" s="15" t="s">
        <v>1554</v>
      </c>
      <c r="Q3836" s="7"/>
    </row>
    <row r="3837">
      <c r="A3837" s="39" t="s">
        <v>15601</v>
      </c>
      <c r="B3837" s="15">
        <v>1262519.0</v>
      </c>
      <c r="C3837" s="15" t="s">
        <v>15602</v>
      </c>
      <c r="D3837" s="15">
        <v>253388.0</v>
      </c>
      <c r="E3837" s="15" t="s">
        <v>1557</v>
      </c>
      <c r="F3837" s="15" t="s">
        <v>1833</v>
      </c>
      <c r="G3837" s="7">
        <v>28.022</v>
      </c>
      <c r="H3837" s="15">
        <v>36.0</v>
      </c>
      <c r="I3837" s="15" t="s">
        <v>1586</v>
      </c>
      <c r="J3837" s="15" t="s">
        <v>15603</v>
      </c>
      <c r="K3837" s="15">
        <v>41.0</v>
      </c>
      <c r="L3837" s="15">
        <v>41.0</v>
      </c>
      <c r="M3837" s="40">
        <v>41548.0</v>
      </c>
      <c r="N3837" s="40">
        <v>41814.0</v>
      </c>
      <c r="O3837" s="15" t="s">
        <v>1554</v>
      </c>
      <c r="Q3837" s="7"/>
    </row>
    <row r="3838">
      <c r="A3838" s="39" t="s">
        <v>15604</v>
      </c>
      <c r="B3838" s="15">
        <v>1262521.0</v>
      </c>
      <c r="C3838" s="15" t="s">
        <v>15606</v>
      </c>
      <c r="D3838" s="15">
        <v>253389.0</v>
      </c>
      <c r="E3838" s="15" t="s">
        <v>1557</v>
      </c>
      <c r="F3838" s="15" t="s">
        <v>1833</v>
      </c>
      <c r="G3838" s="7">
        <v>28.015</v>
      </c>
      <c r="H3838" s="15" t="s">
        <v>6583</v>
      </c>
      <c r="I3838" s="15" t="s">
        <v>1586</v>
      </c>
      <c r="J3838" s="15" t="s">
        <v>15607</v>
      </c>
      <c r="K3838" s="15">
        <v>41.0</v>
      </c>
      <c r="L3838" s="15">
        <v>41.0</v>
      </c>
      <c r="M3838" s="40">
        <v>41548.0</v>
      </c>
      <c r="N3838" s="40">
        <v>41814.0</v>
      </c>
      <c r="O3838" s="15" t="s">
        <v>1554</v>
      </c>
      <c r="Q3838" s="7"/>
    </row>
    <row r="3839">
      <c r="A3839" s="39" t="s">
        <v>15608</v>
      </c>
      <c r="B3839" s="15">
        <v>1458856.0</v>
      </c>
      <c r="C3839" s="15" t="s">
        <v>15609</v>
      </c>
      <c r="D3839" s="15">
        <v>253390.0</v>
      </c>
      <c r="E3839" s="15" t="s">
        <v>1557</v>
      </c>
      <c r="F3839" s="15" t="s">
        <v>1833</v>
      </c>
      <c r="G3839" s="7">
        <v>43.767</v>
      </c>
      <c r="H3839" s="15" t="s">
        <v>2103</v>
      </c>
      <c r="I3839" s="15" t="s">
        <v>1586</v>
      </c>
      <c r="J3839" s="15" t="s">
        <v>15610</v>
      </c>
      <c r="K3839" s="15">
        <v>70.0</v>
      </c>
      <c r="L3839" s="15">
        <v>70.0</v>
      </c>
      <c r="M3839" s="40">
        <v>41789.0</v>
      </c>
      <c r="N3839" s="40">
        <v>41843.0</v>
      </c>
      <c r="O3839" s="15" t="s">
        <v>1554</v>
      </c>
      <c r="Q3839" s="7"/>
    </row>
    <row r="3840">
      <c r="A3840" s="39" t="s">
        <v>15611</v>
      </c>
      <c r="B3840" s="15">
        <v>138184.0</v>
      </c>
      <c r="C3840" s="15" t="s">
        <v>15612</v>
      </c>
      <c r="D3840" s="15">
        <v>253391.0</v>
      </c>
      <c r="E3840" s="15" t="s">
        <v>1557</v>
      </c>
      <c r="F3840" s="15" t="s">
        <v>1827</v>
      </c>
      <c r="G3840" s="7">
        <v>137.09</v>
      </c>
      <c r="H3840" s="15" t="s">
        <v>2484</v>
      </c>
      <c r="I3840" s="15" t="s">
        <v>1686</v>
      </c>
      <c r="J3840" s="15" t="s">
        <v>15614</v>
      </c>
      <c r="K3840" s="15">
        <v>70.0</v>
      </c>
      <c r="L3840" s="15">
        <v>70.0</v>
      </c>
      <c r="M3840" s="40">
        <v>41810.0</v>
      </c>
      <c r="N3840" s="40">
        <v>41845.0</v>
      </c>
      <c r="O3840" s="15" t="s">
        <v>1554</v>
      </c>
      <c r="Q3840" s="7"/>
    </row>
    <row r="3841">
      <c r="A3841" s="39" t="s">
        <v>15615</v>
      </c>
      <c r="B3841" s="15">
        <v>1262517.0</v>
      </c>
      <c r="C3841" s="15" t="s">
        <v>15616</v>
      </c>
      <c r="D3841" s="15">
        <v>253392.0</v>
      </c>
      <c r="E3841" s="15" t="s">
        <v>1557</v>
      </c>
      <c r="F3841" s="15" t="s">
        <v>1833</v>
      </c>
      <c r="G3841" s="7">
        <v>28.193</v>
      </c>
      <c r="H3841" s="15" t="s">
        <v>2752</v>
      </c>
      <c r="I3841" s="15" t="s">
        <v>1586</v>
      </c>
      <c r="J3841" s="15" t="s">
        <v>15617</v>
      </c>
      <c r="K3841" s="15">
        <v>41.0</v>
      </c>
      <c r="L3841" s="15">
        <v>41.0</v>
      </c>
      <c r="M3841" s="40">
        <v>41548.0</v>
      </c>
      <c r="N3841" s="40">
        <v>41814.0</v>
      </c>
      <c r="O3841" s="15" t="s">
        <v>1554</v>
      </c>
      <c r="Q3841" s="7"/>
    </row>
    <row r="3842">
      <c r="A3842" s="39" t="s">
        <v>15618</v>
      </c>
      <c r="B3842" s="15">
        <v>1262523.0</v>
      </c>
      <c r="C3842" s="15" t="s">
        <v>15619</v>
      </c>
      <c r="D3842" s="15">
        <v>253393.0</v>
      </c>
      <c r="E3842" s="15" t="s">
        <v>1557</v>
      </c>
      <c r="F3842" s="15" t="s">
        <v>1833</v>
      </c>
      <c r="G3842" s="7">
        <v>28.336</v>
      </c>
      <c r="H3842" s="15">
        <v>36.0</v>
      </c>
      <c r="I3842" s="15" t="s">
        <v>1586</v>
      </c>
      <c r="J3842" s="15" t="s">
        <v>15620</v>
      </c>
      <c r="K3842" s="15">
        <v>42.0</v>
      </c>
      <c r="L3842" s="15">
        <v>42.0</v>
      </c>
      <c r="M3842" s="40">
        <v>41548.0</v>
      </c>
      <c r="N3842" s="40">
        <v>41814.0</v>
      </c>
      <c r="O3842" s="15" t="s">
        <v>1554</v>
      </c>
      <c r="Q3842" s="7"/>
    </row>
    <row r="3843">
      <c r="A3843" s="39" t="s">
        <v>15622</v>
      </c>
      <c r="B3843" s="15">
        <v>1498170.0</v>
      </c>
      <c r="C3843" s="15" t="s">
        <v>15623</v>
      </c>
      <c r="D3843" s="15">
        <v>253394.0</v>
      </c>
      <c r="E3843" s="15" t="s">
        <v>1557</v>
      </c>
      <c r="F3843" s="15" t="s">
        <v>1611</v>
      </c>
      <c r="G3843" s="7">
        <v>39.093</v>
      </c>
      <c r="H3843" s="15" t="s">
        <v>3836</v>
      </c>
      <c r="I3843" s="15" t="s">
        <v>1586</v>
      </c>
      <c r="J3843" s="15" t="s">
        <v>15624</v>
      </c>
      <c r="K3843" s="15">
        <v>48.0</v>
      </c>
      <c r="L3843" s="15">
        <v>48.0</v>
      </c>
      <c r="M3843" s="40">
        <v>41798.0</v>
      </c>
      <c r="N3843" s="40">
        <v>42605.0</v>
      </c>
      <c r="O3843" s="15" t="s">
        <v>1554</v>
      </c>
      <c r="Q3843" s="7"/>
    </row>
    <row r="3844">
      <c r="A3844" s="39" t="s">
        <v>15625</v>
      </c>
      <c r="B3844" s="15">
        <v>1262515.0</v>
      </c>
      <c r="C3844" s="15" t="s">
        <v>15626</v>
      </c>
      <c r="D3844" s="15">
        <v>253395.0</v>
      </c>
      <c r="E3844" s="15" t="s">
        <v>1557</v>
      </c>
      <c r="F3844" s="15" t="s">
        <v>1833</v>
      </c>
      <c r="G3844" s="7">
        <v>26.752</v>
      </c>
      <c r="H3844" s="15" t="s">
        <v>3309</v>
      </c>
      <c r="I3844" s="15" t="s">
        <v>1586</v>
      </c>
      <c r="J3844" s="15" t="s">
        <v>15627</v>
      </c>
      <c r="K3844" s="15">
        <v>39.0</v>
      </c>
      <c r="L3844" s="15">
        <v>39.0</v>
      </c>
      <c r="M3844" s="40">
        <v>41548.0</v>
      </c>
      <c r="N3844" s="40">
        <v>41814.0</v>
      </c>
      <c r="O3844" s="15" t="s">
        <v>1554</v>
      </c>
      <c r="Q3844" s="7"/>
    </row>
    <row r="3845">
      <c r="A3845" s="39" t="s">
        <v>15628</v>
      </c>
      <c r="B3845" s="15">
        <v>1424280.0</v>
      </c>
      <c r="C3845" s="15" t="s">
        <v>15629</v>
      </c>
      <c r="D3845" s="15">
        <v>253396.0</v>
      </c>
      <c r="E3845" s="15" t="s">
        <v>1548</v>
      </c>
      <c r="F3845" s="15" t="s">
        <v>1749</v>
      </c>
      <c r="G3845" s="7">
        <v>11.84</v>
      </c>
      <c r="H3845" s="15" t="s">
        <v>2284</v>
      </c>
      <c r="I3845" s="15" t="s">
        <v>1560</v>
      </c>
      <c r="J3845" s="15" t="s">
        <v>15630</v>
      </c>
      <c r="K3845" s="15">
        <v>6.0</v>
      </c>
      <c r="L3845" s="15">
        <v>6.0</v>
      </c>
      <c r="M3845" s="40">
        <v>41810.0</v>
      </c>
      <c r="N3845" s="40">
        <v>41837.0</v>
      </c>
      <c r="O3845" s="15" t="s">
        <v>1554</v>
      </c>
      <c r="Q3845" s="7"/>
    </row>
    <row r="3846">
      <c r="A3846" s="39" t="s">
        <v>15632</v>
      </c>
      <c r="B3846" s="15">
        <v>1262518.0</v>
      </c>
      <c r="C3846" s="15" t="s">
        <v>15633</v>
      </c>
      <c r="D3846" s="15">
        <v>253397.0</v>
      </c>
      <c r="E3846" s="15" t="s">
        <v>1557</v>
      </c>
      <c r="F3846" s="15" t="s">
        <v>1833</v>
      </c>
      <c r="G3846" s="7">
        <v>28.427</v>
      </c>
      <c r="H3846" s="15" t="s">
        <v>2288</v>
      </c>
      <c r="I3846" s="15" t="s">
        <v>1586</v>
      </c>
      <c r="J3846" s="15" t="s">
        <v>15634</v>
      </c>
      <c r="K3846" s="15">
        <v>41.0</v>
      </c>
      <c r="L3846" s="15">
        <v>41.0</v>
      </c>
      <c r="M3846" s="40">
        <v>41548.0</v>
      </c>
      <c r="N3846" s="40">
        <v>41814.0</v>
      </c>
      <c r="O3846" s="15" t="s">
        <v>1554</v>
      </c>
      <c r="Q3846" s="7"/>
    </row>
    <row r="3847">
      <c r="A3847" s="39" t="s">
        <v>15635</v>
      </c>
      <c r="B3847" s="15">
        <v>1508711.0</v>
      </c>
      <c r="C3847" s="15" t="s">
        <v>15636</v>
      </c>
      <c r="D3847" s="15">
        <v>253463.0</v>
      </c>
      <c r="E3847" s="15" t="s">
        <v>1916</v>
      </c>
      <c r="F3847" s="15" t="s">
        <v>3423</v>
      </c>
      <c r="G3847" s="7">
        <v>3.377</v>
      </c>
      <c r="H3847" s="15" t="s">
        <v>1957</v>
      </c>
      <c r="I3847" s="15" t="s">
        <v>1686</v>
      </c>
      <c r="J3847" s="15" t="s">
        <v>15637</v>
      </c>
      <c r="K3847" s="15">
        <v>4.0</v>
      </c>
      <c r="L3847" s="15">
        <v>4.0</v>
      </c>
      <c r="M3847" s="40">
        <v>41544.0</v>
      </c>
      <c r="N3847" s="40">
        <v>41814.0</v>
      </c>
      <c r="O3847" s="15" t="s">
        <v>1554</v>
      </c>
      <c r="Q3847" s="7"/>
    </row>
    <row r="3848">
      <c r="A3848" s="39" t="s">
        <v>15638</v>
      </c>
      <c r="B3848" s="15">
        <v>1508712.0</v>
      </c>
      <c r="C3848" s="15" t="s">
        <v>15639</v>
      </c>
      <c r="D3848" s="15">
        <v>253464.0</v>
      </c>
      <c r="E3848" s="15" t="s">
        <v>1916</v>
      </c>
      <c r="F3848" s="15" t="s">
        <v>3423</v>
      </c>
      <c r="G3848" s="7">
        <v>3.149</v>
      </c>
      <c r="H3848" s="15" t="s">
        <v>1918</v>
      </c>
      <c r="I3848" s="15" t="s">
        <v>1686</v>
      </c>
      <c r="J3848" s="15" t="s">
        <v>15640</v>
      </c>
      <c r="K3848" s="15">
        <v>4.0</v>
      </c>
      <c r="L3848" s="15">
        <v>4.0</v>
      </c>
      <c r="M3848" s="40">
        <v>41544.0</v>
      </c>
      <c r="N3848" s="40">
        <v>41814.0</v>
      </c>
      <c r="O3848" s="15" t="s">
        <v>1554</v>
      </c>
      <c r="Q3848" s="7"/>
    </row>
    <row r="3849">
      <c r="A3849" s="39" t="s">
        <v>15642</v>
      </c>
      <c r="B3849" s="15">
        <v>1508710.0</v>
      </c>
      <c r="C3849" s="15" t="s">
        <v>15643</v>
      </c>
      <c r="D3849" s="15">
        <v>253465.0</v>
      </c>
      <c r="E3849" s="15" t="s">
        <v>1916</v>
      </c>
      <c r="F3849" s="15" t="s">
        <v>3423</v>
      </c>
      <c r="G3849" s="7">
        <v>3.368</v>
      </c>
      <c r="H3849" s="15" t="s">
        <v>4606</v>
      </c>
      <c r="I3849" s="15" t="s">
        <v>1686</v>
      </c>
      <c r="J3849" s="15" t="s">
        <v>15644</v>
      </c>
      <c r="K3849" s="15">
        <v>4.0</v>
      </c>
      <c r="L3849" s="15">
        <v>4.0</v>
      </c>
      <c r="M3849" s="40">
        <v>41544.0</v>
      </c>
      <c r="N3849" s="40">
        <v>41814.0</v>
      </c>
      <c r="O3849" s="15" t="s">
        <v>1554</v>
      </c>
      <c r="Q3849" s="7"/>
    </row>
    <row r="3850">
      <c r="A3850" s="39" t="s">
        <v>15645</v>
      </c>
      <c r="B3850" s="15">
        <v>10264.0</v>
      </c>
      <c r="C3850" s="15" t="s">
        <v>15646</v>
      </c>
      <c r="D3850" s="15">
        <v>253476.0</v>
      </c>
      <c r="E3850" s="15" t="s">
        <v>1557</v>
      </c>
      <c r="F3850" s="15" t="s">
        <v>2028</v>
      </c>
      <c r="G3850" s="7">
        <v>282.356</v>
      </c>
      <c r="H3850" s="42">
        <v>43249.0</v>
      </c>
      <c r="I3850" s="15" t="s">
        <v>1686</v>
      </c>
      <c r="J3850" s="15" t="s">
        <v>15647</v>
      </c>
      <c r="K3850" s="15">
        <v>271.0</v>
      </c>
      <c r="L3850" s="15">
        <v>224.0</v>
      </c>
      <c r="M3850" s="40">
        <v>41813.0</v>
      </c>
      <c r="N3850" s="40">
        <v>41815.0</v>
      </c>
      <c r="O3850" s="15" t="s">
        <v>1554</v>
      </c>
      <c r="Q3850" s="7"/>
    </row>
    <row r="3851">
      <c r="A3851" s="39" t="s">
        <v>15648</v>
      </c>
      <c r="B3851" s="15">
        <v>648998.0</v>
      </c>
      <c r="C3851" s="15" t="s">
        <v>15649</v>
      </c>
      <c r="D3851" s="15">
        <v>253477.0</v>
      </c>
      <c r="E3851" s="15" t="s">
        <v>1557</v>
      </c>
      <c r="F3851" s="15" t="s">
        <v>2028</v>
      </c>
      <c r="G3851" s="7">
        <v>306.862</v>
      </c>
      <c r="H3851" s="42">
        <v>43249.0</v>
      </c>
      <c r="I3851" s="15" t="s">
        <v>1686</v>
      </c>
      <c r="J3851" s="15" t="s">
        <v>15651</v>
      </c>
      <c r="K3851" s="15">
        <v>284.0</v>
      </c>
      <c r="L3851" s="15">
        <v>242.0</v>
      </c>
      <c r="M3851" s="40">
        <v>41813.0</v>
      </c>
      <c r="N3851" s="40">
        <v>41815.0</v>
      </c>
      <c r="O3851" s="15" t="s">
        <v>1554</v>
      </c>
      <c r="Q3851" s="7"/>
    </row>
    <row r="3852">
      <c r="A3852" s="39" t="s">
        <v>15652</v>
      </c>
      <c r="B3852" s="15">
        <v>72201.0</v>
      </c>
      <c r="C3852" s="15" t="s">
        <v>15653</v>
      </c>
      <c r="D3852" s="15">
        <v>253541.0</v>
      </c>
      <c r="E3852" s="15" t="s">
        <v>1557</v>
      </c>
      <c r="F3852" s="15" t="s">
        <v>3454</v>
      </c>
      <c r="G3852" s="7">
        <v>220.222</v>
      </c>
      <c r="H3852" s="15" t="s">
        <v>4287</v>
      </c>
      <c r="I3852" s="15" t="s">
        <v>1560</v>
      </c>
      <c r="J3852" s="15" t="s">
        <v>15654</v>
      </c>
      <c r="K3852" s="15">
        <v>203.0</v>
      </c>
      <c r="L3852" s="15">
        <v>203.0</v>
      </c>
      <c r="M3852" s="40">
        <v>41815.0</v>
      </c>
      <c r="N3852" s="40">
        <v>42405.0</v>
      </c>
      <c r="O3852" s="15" t="s">
        <v>1554</v>
      </c>
      <c r="Q3852" s="7"/>
    </row>
    <row r="3853">
      <c r="A3853" s="39" t="s">
        <v>15655</v>
      </c>
      <c r="B3853" s="15">
        <v>1424279.0</v>
      </c>
      <c r="C3853" s="15" t="s">
        <v>15656</v>
      </c>
      <c r="D3853" s="15">
        <v>253575.0</v>
      </c>
      <c r="E3853" s="15" t="s">
        <v>1548</v>
      </c>
      <c r="F3853" s="15" t="s">
        <v>1786</v>
      </c>
      <c r="G3853" s="7">
        <v>8.431</v>
      </c>
      <c r="H3853" s="15" t="s">
        <v>2950</v>
      </c>
      <c r="I3853" s="15" t="s">
        <v>1628</v>
      </c>
      <c r="J3853" s="15" t="s">
        <v>15657</v>
      </c>
      <c r="K3853" s="15">
        <v>7.0</v>
      </c>
      <c r="L3853" s="15">
        <v>7.0</v>
      </c>
      <c r="M3853" s="40">
        <v>41813.0</v>
      </c>
      <c r="N3853" s="40">
        <v>41949.0</v>
      </c>
      <c r="O3853" s="15" t="s">
        <v>1554</v>
      </c>
      <c r="Q3853" s="7"/>
    </row>
    <row r="3854">
      <c r="A3854" s="39" t="s">
        <v>15658</v>
      </c>
      <c r="B3854" s="15">
        <v>1510155.0</v>
      </c>
      <c r="C3854" s="15" t="s">
        <v>15659</v>
      </c>
      <c r="D3854" s="15">
        <v>253588.0</v>
      </c>
      <c r="E3854" s="15" t="s">
        <v>1557</v>
      </c>
      <c r="F3854" s="15" t="s">
        <v>1827</v>
      </c>
      <c r="G3854" s="7">
        <v>204.054</v>
      </c>
      <c r="H3854" s="15" t="s">
        <v>2038</v>
      </c>
      <c r="I3854" s="15" t="s">
        <v>1686</v>
      </c>
      <c r="J3854" s="15" t="s">
        <v>15660</v>
      </c>
      <c r="K3854" s="15">
        <v>130.0</v>
      </c>
      <c r="L3854" s="15">
        <v>130.0</v>
      </c>
      <c r="M3854" s="40">
        <v>41814.0</v>
      </c>
      <c r="N3854" s="40">
        <v>41815.0</v>
      </c>
      <c r="O3854" s="15" t="s">
        <v>1554</v>
      </c>
      <c r="Q3854" s="7"/>
    </row>
    <row r="3855">
      <c r="A3855" s="39" t="s">
        <v>15661</v>
      </c>
      <c r="B3855" s="15">
        <v>795694.0</v>
      </c>
      <c r="C3855" s="15" t="s">
        <v>15662</v>
      </c>
      <c r="D3855" s="15">
        <v>253738.0</v>
      </c>
      <c r="E3855" s="15" t="s">
        <v>1808</v>
      </c>
      <c r="F3855" s="15" t="s">
        <v>2436</v>
      </c>
      <c r="G3855" s="7">
        <v>5.153</v>
      </c>
      <c r="H3855" s="15" t="s">
        <v>3776</v>
      </c>
      <c r="I3855" s="15" t="s">
        <v>1686</v>
      </c>
      <c r="J3855" s="15" t="s">
        <v>15663</v>
      </c>
      <c r="K3855" s="15">
        <v>4.0</v>
      </c>
      <c r="L3855" s="15">
        <v>4.0</v>
      </c>
      <c r="M3855" s="40">
        <v>40345.0</v>
      </c>
      <c r="N3855" s="40">
        <v>42444.0</v>
      </c>
      <c r="O3855" s="15" t="s">
        <v>1554</v>
      </c>
      <c r="Q3855" s="7"/>
    </row>
    <row r="3856">
      <c r="A3856" s="39" t="s">
        <v>15664</v>
      </c>
      <c r="B3856" s="15">
        <v>740933.0</v>
      </c>
      <c r="C3856" s="15" t="s">
        <v>15665</v>
      </c>
      <c r="D3856" s="15">
        <v>253739.0</v>
      </c>
      <c r="E3856" s="15" t="s">
        <v>1808</v>
      </c>
      <c r="F3856" s="15" t="s">
        <v>2436</v>
      </c>
      <c r="G3856" s="7">
        <v>4.642</v>
      </c>
      <c r="H3856" s="15">
        <v>43.0</v>
      </c>
      <c r="I3856" s="15" t="s">
        <v>1686</v>
      </c>
      <c r="J3856" s="15" t="s">
        <v>15666</v>
      </c>
      <c r="K3856" s="15">
        <v>5.0</v>
      </c>
      <c r="L3856" s="15">
        <v>4.0</v>
      </c>
      <c r="M3856" s="40">
        <v>40244.0</v>
      </c>
      <c r="N3856" s="40">
        <v>41817.0</v>
      </c>
      <c r="O3856" s="15" t="s">
        <v>1554</v>
      </c>
      <c r="Q3856" s="7"/>
    </row>
    <row r="3857">
      <c r="A3857" s="39" t="s">
        <v>15668</v>
      </c>
      <c r="B3857" s="15">
        <v>717641.0</v>
      </c>
      <c r="C3857" s="15" t="s">
        <v>15669</v>
      </c>
      <c r="D3857" s="15">
        <v>253740.0</v>
      </c>
      <c r="E3857" s="15" t="s">
        <v>1808</v>
      </c>
      <c r="F3857" s="15" t="s">
        <v>2436</v>
      </c>
      <c r="G3857" s="7">
        <v>5.257</v>
      </c>
      <c r="H3857" s="15" t="s">
        <v>3653</v>
      </c>
      <c r="I3857" s="15" t="s">
        <v>1686</v>
      </c>
      <c r="J3857" s="15" t="s">
        <v>15670</v>
      </c>
      <c r="K3857" s="15">
        <v>4.0</v>
      </c>
      <c r="L3857" s="15">
        <v>4.0</v>
      </c>
      <c r="M3857" s="40">
        <v>40244.0</v>
      </c>
      <c r="N3857" s="40">
        <v>41817.0</v>
      </c>
      <c r="O3857" s="15" t="s">
        <v>1554</v>
      </c>
      <c r="Q3857" s="7"/>
    </row>
    <row r="3858">
      <c r="A3858" s="39" t="s">
        <v>15671</v>
      </c>
      <c r="B3858" s="15">
        <v>1514896.0</v>
      </c>
      <c r="C3858" s="15" t="s">
        <v>15672</v>
      </c>
      <c r="D3858" s="15">
        <v>253818.0</v>
      </c>
      <c r="E3858" s="15" t="s">
        <v>1638</v>
      </c>
      <c r="F3858" s="15" t="s">
        <v>2849</v>
      </c>
      <c r="G3858" s="7">
        <v>13.954</v>
      </c>
      <c r="H3858" s="15" t="s">
        <v>3827</v>
      </c>
      <c r="I3858" s="15" t="s">
        <v>1628</v>
      </c>
      <c r="J3858" s="15" t="s">
        <v>15674</v>
      </c>
      <c r="K3858" s="15">
        <v>1.0</v>
      </c>
      <c r="L3858" s="15">
        <v>1.0</v>
      </c>
      <c r="M3858" s="40">
        <v>41816.0</v>
      </c>
      <c r="N3858" s="40">
        <v>41949.0</v>
      </c>
      <c r="O3858" s="15" t="s">
        <v>1554</v>
      </c>
      <c r="Q3858" s="7"/>
    </row>
    <row r="3859">
      <c r="A3859" s="39" t="s">
        <v>15675</v>
      </c>
      <c r="B3859" s="15">
        <v>1176736.0</v>
      </c>
      <c r="C3859" s="15" t="s">
        <v>15676</v>
      </c>
      <c r="D3859" s="15">
        <v>254434.0</v>
      </c>
      <c r="E3859" s="15" t="s">
        <v>1548</v>
      </c>
      <c r="F3859" s="15" t="s">
        <v>1633</v>
      </c>
      <c r="G3859" s="7">
        <v>6.677</v>
      </c>
      <c r="H3859" s="15" t="s">
        <v>2324</v>
      </c>
      <c r="I3859" s="15" t="s">
        <v>1628</v>
      </c>
      <c r="J3859" s="15" t="s">
        <v>15677</v>
      </c>
      <c r="K3859" s="15">
        <v>5.0</v>
      </c>
      <c r="L3859" s="15">
        <v>5.0</v>
      </c>
      <c r="M3859" s="40">
        <v>41821.0</v>
      </c>
      <c r="N3859" s="40">
        <v>41828.0</v>
      </c>
      <c r="O3859" s="15" t="s">
        <v>1554</v>
      </c>
      <c r="Q3859" s="7"/>
    </row>
    <row r="3860">
      <c r="A3860" s="39" t="s">
        <v>15678</v>
      </c>
      <c r="B3860" s="15">
        <v>764030.0</v>
      </c>
      <c r="C3860" s="15" t="s">
        <v>15679</v>
      </c>
      <c r="D3860" s="15">
        <v>255102.0</v>
      </c>
      <c r="E3860" s="15" t="s">
        <v>1557</v>
      </c>
      <c r="F3860" s="15" t="s">
        <v>2628</v>
      </c>
      <c r="G3860" s="7">
        <v>45.48</v>
      </c>
      <c r="H3860" s="15" t="s">
        <v>6661</v>
      </c>
      <c r="I3860" s="15" t="s">
        <v>1686</v>
      </c>
      <c r="J3860" s="15" t="s">
        <v>15681</v>
      </c>
      <c r="K3860" s="15">
        <v>37.0</v>
      </c>
      <c r="L3860" s="15">
        <v>37.0</v>
      </c>
      <c r="M3860" s="40">
        <v>40314.0</v>
      </c>
      <c r="N3860" s="40">
        <v>41834.0</v>
      </c>
      <c r="O3860" s="15" t="s">
        <v>1554</v>
      </c>
      <c r="Q3860" s="7"/>
    </row>
    <row r="3861">
      <c r="A3861" s="39" t="s">
        <v>15682</v>
      </c>
      <c r="B3861" s="15">
        <v>655837.0</v>
      </c>
      <c r="C3861" s="15" t="s">
        <v>15683</v>
      </c>
      <c r="D3861" s="15">
        <v>255103.0</v>
      </c>
      <c r="E3861" s="15" t="s">
        <v>1548</v>
      </c>
      <c r="F3861" s="15" t="s">
        <v>1911</v>
      </c>
      <c r="G3861" s="7">
        <v>9.292</v>
      </c>
      <c r="H3861" s="15" t="s">
        <v>7408</v>
      </c>
      <c r="I3861" s="15" t="s">
        <v>1628</v>
      </c>
      <c r="J3861" s="15" t="s">
        <v>15684</v>
      </c>
      <c r="K3861" s="15">
        <v>1.0</v>
      </c>
      <c r="L3861" s="15">
        <v>1.0</v>
      </c>
      <c r="M3861" s="40">
        <v>41828.0</v>
      </c>
      <c r="N3861" s="40">
        <v>41949.0</v>
      </c>
      <c r="O3861" s="15" t="s">
        <v>1554</v>
      </c>
      <c r="Q3861" s="7"/>
    </row>
    <row r="3862">
      <c r="A3862" s="39" t="s">
        <v>15685</v>
      </c>
      <c r="B3862" s="15">
        <v>1518575.0</v>
      </c>
      <c r="C3862" s="15" t="s">
        <v>15686</v>
      </c>
      <c r="D3862" s="15">
        <v>255104.0</v>
      </c>
      <c r="E3862" s="15" t="s">
        <v>1548</v>
      </c>
      <c r="F3862" s="15" t="s">
        <v>1848</v>
      </c>
      <c r="G3862" s="7">
        <v>6.577</v>
      </c>
      <c r="H3862" s="15" t="s">
        <v>3066</v>
      </c>
      <c r="I3862" s="15" t="s">
        <v>1686</v>
      </c>
      <c r="J3862" s="15" t="s">
        <v>15688</v>
      </c>
      <c r="K3862" s="15">
        <v>3.0</v>
      </c>
      <c r="L3862" s="15">
        <v>3.0</v>
      </c>
      <c r="M3862" s="40">
        <v>41828.0</v>
      </c>
      <c r="N3862" s="40">
        <v>41834.0</v>
      </c>
      <c r="O3862" s="15" t="s">
        <v>1554</v>
      </c>
      <c r="Q3862" s="7"/>
    </row>
    <row r="3863">
      <c r="A3863" s="39" t="s">
        <v>15689</v>
      </c>
      <c r="B3863" s="15">
        <v>11280.0</v>
      </c>
      <c r="C3863" s="15" t="s">
        <v>15690</v>
      </c>
      <c r="D3863" s="15">
        <v>255105.0</v>
      </c>
      <c r="E3863" s="15" t="s">
        <v>1548</v>
      </c>
      <c r="F3863" s="15" t="s">
        <v>1890</v>
      </c>
      <c r="G3863" s="7">
        <v>11.123</v>
      </c>
      <c r="H3863" s="15" t="s">
        <v>2320</v>
      </c>
      <c r="I3863" s="15" t="s">
        <v>1686</v>
      </c>
      <c r="J3863" s="15" t="s">
        <v>15691</v>
      </c>
      <c r="K3863" s="15">
        <v>5.0</v>
      </c>
      <c r="L3863" s="15">
        <v>5.0</v>
      </c>
      <c r="M3863" s="40">
        <v>41122.0</v>
      </c>
      <c r="N3863" s="40">
        <v>41834.0</v>
      </c>
      <c r="O3863" s="15" t="s">
        <v>1554</v>
      </c>
      <c r="Q3863" s="7"/>
    </row>
    <row r="3864">
      <c r="A3864" s="39" t="s">
        <v>15693</v>
      </c>
      <c r="B3864" s="15">
        <v>1520332.0</v>
      </c>
      <c r="C3864" s="15" t="s">
        <v>15694</v>
      </c>
      <c r="D3864" s="15">
        <v>255707.0</v>
      </c>
      <c r="E3864" s="15" t="s">
        <v>1548</v>
      </c>
      <c r="F3864" s="15" t="s">
        <v>5615</v>
      </c>
      <c r="G3864" s="7">
        <v>1.934</v>
      </c>
      <c r="H3864" s="15" t="s">
        <v>1994</v>
      </c>
      <c r="I3864" s="15" t="s">
        <v>1628</v>
      </c>
      <c r="J3864" s="15" t="s">
        <v>15695</v>
      </c>
      <c r="K3864" s="15">
        <v>1.0</v>
      </c>
      <c r="L3864" s="15">
        <v>1.0</v>
      </c>
      <c r="M3864" s="40">
        <v>41836.0</v>
      </c>
      <c r="N3864" s="41">
        <v>42725.0</v>
      </c>
      <c r="O3864" s="15" t="s">
        <v>1554</v>
      </c>
      <c r="Q3864" s="7"/>
    </row>
    <row r="3865">
      <c r="A3865" s="39" t="s">
        <v>15696</v>
      </c>
      <c r="B3865" s="15">
        <v>1521392.0</v>
      </c>
      <c r="C3865" s="15" t="s">
        <v>15697</v>
      </c>
      <c r="D3865" s="15">
        <v>255728.0</v>
      </c>
      <c r="E3865" s="15" t="s">
        <v>1808</v>
      </c>
      <c r="F3865" s="15" t="s">
        <v>1578</v>
      </c>
      <c r="G3865" s="7">
        <v>2.911</v>
      </c>
      <c r="H3865" s="15" t="s">
        <v>3776</v>
      </c>
      <c r="I3865" s="15" t="s">
        <v>1573</v>
      </c>
      <c r="J3865" s="15" t="s">
        <v>15698</v>
      </c>
      <c r="K3865" s="15">
        <v>3.0</v>
      </c>
      <c r="L3865" s="15">
        <v>3.0</v>
      </c>
      <c r="M3865" s="40">
        <v>41835.0</v>
      </c>
      <c r="N3865" s="40">
        <v>41844.0</v>
      </c>
      <c r="O3865" s="15" t="s">
        <v>1554</v>
      </c>
      <c r="Q3865" s="7"/>
    </row>
    <row r="3866">
      <c r="A3866" s="39" t="s">
        <v>15699</v>
      </c>
      <c r="B3866" s="15">
        <v>1521391.0</v>
      </c>
      <c r="C3866" s="15" t="s">
        <v>15700</v>
      </c>
      <c r="D3866" s="15">
        <v>255729.0</v>
      </c>
      <c r="E3866" s="15" t="s">
        <v>1808</v>
      </c>
      <c r="F3866" s="15" t="s">
        <v>1578</v>
      </c>
      <c r="G3866" s="7">
        <v>1.901</v>
      </c>
      <c r="H3866" s="15" t="s">
        <v>1792</v>
      </c>
      <c r="I3866" s="15" t="s">
        <v>1573</v>
      </c>
      <c r="J3866" s="15" t="s">
        <v>15702</v>
      </c>
      <c r="K3866" s="15">
        <v>2.0</v>
      </c>
      <c r="L3866" s="15">
        <v>2.0</v>
      </c>
      <c r="M3866" s="40">
        <v>41835.0</v>
      </c>
      <c r="N3866" s="40">
        <v>41844.0</v>
      </c>
      <c r="O3866" s="15" t="s">
        <v>1554</v>
      </c>
      <c r="Q3866" s="7"/>
    </row>
    <row r="3867">
      <c r="A3867" s="39" t="s">
        <v>15703</v>
      </c>
      <c r="B3867" s="15">
        <v>1521390.0</v>
      </c>
      <c r="C3867" s="15" t="s">
        <v>15704</v>
      </c>
      <c r="D3867" s="15">
        <v>255730.0</v>
      </c>
      <c r="E3867" s="15" t="s">
        <v>1808</v>
      </c>
      <c r="F3867" s="15" t="s">
        <v>1578</v>
      </c>
      <c r="G3867" s="7">
        <v>2.549</v>
      </c>
      <c r="H3867" s="15" t="s">
        <v>6070</v>
      </c>
      <c r="I3867" s="15" t="s">
        <v>1573</v>
      </c>
      <c r="J3867" s="15" t="s">
        <v>15705</v>
      </c>
      <c r="K3867" s="15">
        <v>3.0</v>
      </c>
      <c r="L3867" s="15">
        <v>3.0</v>
      </c>
      <c r="M3867" s="40">
        <v>41835.0</v>
      </c>
      <c r="N3867" s="40">
        <v>41844.0</v>
      </c>
      <c r="O3867" s="15" t="s">
        <v>1554</v>
      </c>
      <c r="Q3867" s="7"/>
    </row>
    <row r="3868">
      <c r="A3868" s="39" t="s">
        <v>15706</v>
      </c>
      <c r="B3868" s="15">
        <v>1521389.0</v>
      </c>
      <c r="C3868" s="15" t="s">
        <v>15708</v>
      </c>
      <c r="D3868" s="15">
        <v>255731.0</v>
      </c>
      <c r="E3868" s="15" t="s">
        <v>1808</v>
      </c>
      <c r="F3868" s="15" t="s">
        <v>1578</v>
      </c>
      <c r="G3868" s="7">
        <v>2.026</v>
      </c>
      <c r="H3868" s="15" t="s">
        <v>3097</v>
      </c>
      <c r="I3868" s="15" t="s">
        <v>1573</v>
      </c>
      <c r="J3868" s="15" t="s">
        <v>15709</v>
      </c>
      <c r="K3868" s="15">
        <v>2.0</v>
      </c>
      <c r="L3868" s="15">
        <v>2.0</v>
      </c>
      <c r="M3868" s="40">
        <v>41835.0</v>
      </c>
      <c r="N3868" s="40">
        <v>41844.0</v>
      </c>
      <c r="O3868" s="15" t="s">
        <v>1554</v>
      </c>
      <c r="Q3868" s="7"/>
    </row>
    <row r="3869">
      <c r="A3869" s="39" t="s">
        <v>15710</v>
      </c>
      <c r="B3869" s="15">
        <v>1521388.0</v>
      </c>
      <c r="C3869" s="15" t="s">
        <v>15711</v>
      </c>
      <c r="D3869" s="15">
        <v>255732.0</v>
      </c>
      <c r="E3869" s="15" t="s">
        <v>1808</v>
      </c>
      <c r="F3869" s="15" t="s">
        <v>1578</v>
      </c>
      <c r="G3869" s="7">
        <v>2.698</v>
      </c>
      <c r="H3869" s="15" t="s">
        <v>1957</v>
      </c>
      <c r="I3869" s="15" t="s">
        <v>1573</v>
      </c>
      <c r="J3869" s="15" t="s">
        <v>15712</v>
      </c>
      <c r="K3869" s="15">
        <v>3.0</v>
      </c>
      <c r="L3869" s="15">
        <v>3.0</v>
      </c>
      <c r="M3869" s="40">
        <v>41835.0</v>
      </c>
      <c r="N3869" s="40">
        <v>41844.0</v>
      </c>
      <c r="O3869" s="15" t="s">
        <v>1554</v>
      </c>
      <c r="Q3869" s="7"/>
    </row>
    <row r="3870">
      <c r="A3870" s="39" t="s">
        <v>15714</v>
      </c>
      <c r="B3870" s="15">
        <v>1521387.0</v>
      </c>
      <c r="C3870" s="15" t="s">
        <v>15715</v>
      </c>
      <c r="D3870" s="15">
        <v>255733.0</v>
      </c>
      <c r="E3870" s="15" t="s">
        <v>1808</v>
      </c>
      <c r="F3870" s="15" t="s">
        <v>1578</v>
      </c>
      <c r="G3870" s="7">
        <v>43437.0</v>
      </c>
      <c r="H3870" s="15" t="s">
        <v>2141</v>
      </c>
      <c r="I3870" s="15" t="s">
        <v>1573</v>
      </c>
      <c r="J3870" s="15" t="s">
        <v>15716</v>
      </c>
      <c r="K3870" s="15">
        <v>2.0</v>
      </c>
      <c r="L3870" s="15">
        <v>2.0</v>
      </c>
      <c r="M3870" s="40">
        <v>41835.0</v>
      </c>
      <c r="N3870" s="40">
        <v>41844.0</v>
      </c>
      <c r="O3870" s="15" t="s">
        <v>1554</v>
      </c>
      <c r="Q3870" s="7"/>
    </row>
    <row r="3871">
      <c r="A3871" s="39" t="s">
        <v>15717</v>
      </c>
      <c r="B3871" s="15">
        <v>1521386.0</v>
      </c>
      <c r="C3871" s="15" t="s">
        <v>15718</v>
      </c>
      <c r="D3871" s="15">
        <v>255734.0</v>
      </c>
      <c r="E3871" s="15" t="s">
        <v>1808</v>
      </c>
      <c r="F3871" s="15" t="s">
        <v>1578</v>
      </c>
      <c r="G3871" s="7">
        <v>2.614</v>
      </c>
      <c r="H3871" s="15" t="s">
        <v>2552</v>
      </c>
      <c r="I3871" s="15" t="s">
        <v>1573</v>
      </c>
      <c r="J3871" s="15" t="s">
        <v>15719</v>
      </c>
      <c r="K3871" s="15">
        <v>4.0</v>
      </c>
      <c r="L3871" s="15">
        <v>4.0</v>
      </c>
      <c r="M3871" s="40">
        <v>41835.0</v>
      </c>
      <c r="N3871" s="40">
        <v>41844.0</v>
      </c>
      <c r="O3871" s="15" t="s">
        <v>1554</v>
      </c>
      <c r="Q3871" s="7"/>
    </row>
    <row r="3872">
      <c r="A3872" s="39" t="s">
        <v>15720</v>
      </c>
      <c r="B3872" s="15">
        <v>1521385.0</v>
      </c>
      <c r="C3872" s="15" t="s">
        <v>15721</v>
      </c>
      <c r="D3872" s="15">
        <v>255735.0</v>
      </c>
      <c r="E3872" s="15" t="s">
        <v>1808</v>
      </c>
      <c r="F3872" s="15" t="s">
        <v>1578</v>
      </c>
      <c r="G3872" s="7">
        <v>2.089</v>
      </c>
      <c r="H3872" s="15" t="s">
        <v>3432</v>
      </c>
      <c r="I3872" s="15" t="s">
        <v>1573</v>
      </c>
      <c r="J3872" s="15" t="s">
        <v>15723</v>
      </c>
      <c r="K3872" s="15">
        <v>3.0</v>
      </c>
      <c r="L3872" s="15">
        <v>3.0</v>
      </c>
      <c r="M3872" s="40">
        <v>41835.0</v>
      </c>
      <c r="N3872" s="40">
        <v>41844.0</v>
      </c>
      <c r="O3872" s="15" t="s">
        <v>1554</v>
      </c>
      <c r="Q3872" s="7"/>
    </row>
    <row r="3873">
      <c r="A3873" s="39" t="s">
        <v>15724</v>
      </c>
      <c r="B3873" s="15">
        <v>1476202.0</v>
      </c>
      <c r="C3873" s="15" t="s">
        <v>15725</v>
      </c>
      <c r="D3873" s="15">
        <v>255787.0</v>
      </c>
      <c r="E3873" s="15" t="s">
        <v>1548</v>
      </c>
      <c r="F3873" s="15" t="s">
        <v>15726</v>
      </c>
      <c r="G3873" s="7">
        <v>6.286</v>
      </c>
      <c r="H3873" s="15" t="s">
        <v>2484</v>
      </c>
      <c r="I3873" s="15" t="s">
        <v>1552</v>
      </c>
      <c r="J3873" s="15" t="s">
        <v>15727</v>
      </c>
      <c r="K3873" s="15">
        <v>2.0</v>
      </c>
      <c r="L3873" s="15">
        <v>2.0</v>
      </c>
      <c r="M3873" s="40">
        <v>41831.0</v>
      </c>
      <c r="N3873" s="40">
        <v>41949.0</v>
      </c>
      <c r="O3873" s="15" t="s">
        <v>1554</v>
      </c>
      <c r="Q3873" s="7"/>
    </row>
    <row r="3874">
      <c r="A3874" s="39" t="s">
        <v>15728</v>
      </c>
      <c r="B3874" s="15">
        <v>1522179.0</v>
      </c>
      <c r="C3874" s="15" t="s">
        <v>15729</v>
      </c>
      <c r="D3874" s="15">
        <v>255792.0</v>
      </c>
      <c r="E3874" s="15" t="s">
        <v>1548</v>
      </c>
      <c r="F3874" s="15" t="s">
        <v>1578</v>
      </c>
      <c r="G3874" s="7">
        <v>8.842</v>
      </c>
      <c r="H3874" s="15" t="s">
        <v>6418</v>
      </c>
      <c r="I3874" s="15" t="s">
        <v>1573</v>
      </c>
      <c r="J3874" s="15" t="s">
        <v>15730</v>
      </c>
      <c r="K3874" s="15">
        <v>2.0</v>
      </c>
      <c r="L3874" s="15">
        <v>2.0</v>
      </c>
      <c r="M3874" s="40">
        <v>41838.0</v>
      </c>
      <c r="N3874" s="40">
        <v>41844.0</v>
      </c>
      <c r="O3874" s="15" t="s">
        <v>1554</v>
      </c>
      <c r="Q3874" s="7"/>
    </row>
    <row r="3875">
      <c r="A3875" s="39" t="s">
        <v>15732</v>
      </c>
      <c r="B3875" s="15">
        <v>1520006.0</v>
      </c>
      <c r="C3875" s="15" t="s">
        <v>15733</v>
      </c>
      <c r="D3875" s="15">
        <v>255793.0</v>
      </c>
      <c r="E3875" s="15" t="s">
        <v>1557</v>
      </c>
      <c r="F3875" s="15" t="s">
        <v>2628</v>
      </c>
      <c r="G3875" s="7">
        <v>43.734</v>
      </c>
      <c r="H3875" s="15" t="s">
        <v>3538</v>
      </c>
      <c r="I3875" s="15" t="s">
        <v>1686</v>
      </c>
      <c r="J3875" s="15" t="s">
        <v>15734</v>
      </c>
      <c r="K3875" s="15">
        <v>36.0</v>
      </c>
      <c r="L3875" s="15">
        <v>36.0</v>
      </c>
      <c r="M3875" s="40">
        <v>41834.0</v>
      </c>
      <c r="N3875" s="40">
        <v>42453.0</v>
      </c>
      <c r="O3875" s="15" t="s">
        <v>1554</v>
      </c>
      <c r="Q3875" s="7"/>
    </row>
    <row r="3876">
      <c r="A3876" s="39" t="s">
        <v>15735</v>
      </c>
      <c r="B3876" s="15">
        <v>1500866.0</v>
      </c>
      <c r="C3876" s="15" t="s">
        <v>15736</v>
      </c>
      <c r="D3876" s="15">
        <v>255794.0</v>
      </c>
      <c r="E3876" s="15" t="s">
        <v>1548</v>
      </c>
      <c r="F3876" s="15" t="s">
        <v>1578</v>
      </c>
      <c r="G3876" s="7">
        <v>12.265</v>
      </c>
      <c r="H3876" s="15" t="s">
        <v>5806</v>
      </c>
      <c r="I3876" s="15" t="s">
        <v>1560</v>
      </c>
      <c r="J3876" s="15" t="s">
        <v>15737</v>
      </c>
      <c r="K3876" s="15">
        <v>4.0</v>
      </c>
      <c r="L3876" s="15">
        <v>4.0</v>
      </c>
      <c r="M3876" s="40">
        <v>41838.0</v>
      </c>
      <c r="N3876" s="40">
        <v>41844.0</v>
      </c>
      <c r="O3876" s="15" t="s">
        <v>1554</v>
      </c>
      <c r="Q3876" s="7"/>
    </row>
    <row r="3877">
      <c r="A3877" s="39" t="s">
        <v>15739</v>
      </c>
      <c r="B3877" s="15">
        <v>1500865.0</v>
      </c>
      <c r="C3877" s="15" t="s">
        <v>15740</v>
      </c>
      <c r="D3877" s="15">
        <v>255795.0</v>
      </c>
      <c r="E3877" s="15" t="s">
        <v>1548</v>
      </c>
      <c r="F3877" s="15" t="s">
        <v>1578</v>
      </c>
      <c r="G3877" s="7">
        <v>12.276</v>
      </c>
      <c r="H3877" s="15" t="s">
        <v>2699</v>
      </c>
      <c r="I3877" s="15" t="s">
        <v>1560</v>
      </c>
      <c r="J3877" s="15" t="s">
        <v>15741</v>
      </c>
      <c r="K3877" s="15">
        <v>4.0</v>
      </c>
      <c r="L3877" s="15">
        <v>4.0</v>
      </c>
      <c r="M3877" s="40">
        <v>41838.0</v>
      </c>
      <c r="N3877" s="40">
        <v>41844.0</v>
      </c>
      <c r="O3877" s="15" t="s">
        <v>1554</v>
      </c>
      <c r="Q3877" s="7"/>
    </row>
    <row r="3878">
      <c r="A3878" s="39" t="s">
        <v>15742</v>
      </c>
      <c r="B3878" s="15">
        <v>1507403.0</v>
      </c>
      <c r="C3878" s="15" t="s">
        <v>15743</v>
      </c>
      <c r="D3878" s="15">
        <v>255800.0</v>
      </c>
      <c r="E3878" s="15" t="s">
        <v>2014</v>
      </c>
      <c r="F3878" s="15" t="s">
        <v>2018</v>
      </c>
      <c r="G3878" s="7">
        <v>1.406</v>
      </c>
      <c r="H3878" s="15" t="s">
        <v>3870</v>
      </c>
      <c r="I3878" s="15" t="s">
        <v>1628</v>
      </c>
      <c r="J3878" s="15" t="s">
        <v>15744</v>
      </c>
      <c r="K3878" s="15">
        <v>1.0</v>
      </c>
      <c r="L3878" s="15">
        <v>1.0</v>
      </c>
      <c r="M3878" s="40">
        <v>41840.0</v>
      </c>
      <c r="N3878" s="40">
        <v>41844.0</v>
      </c>
      <c r="O3878" s="15" t="s">
        <v>1554</v>
      </c>
      <c r="Q3878" s="7"/>
    </row>
    <row r="3879">
      <c r="A3879" s="39" t="s">
        <v>15745</v>
      </c>
      <c r="B3879" s="15">
        <v>683176.0</v>
      </c>
      <c r="C3879" s="15" t="s">
        <v>15747</v>
      </c>
      <c r="D3879" s="15">
        <v>255996.0</v>
      </c>
      <c r="E3879" s="15" t="s">
        <v>1548</v>
      </c>
      <c r="F3879" s="15" t="s">
        <v>1948</v>
      </c>
      <c r="G3879" s="7">
        <v>4.526</v>
      </c>
      <c r="H3879" s="15" t="s">
        <v>15748</v>
      </c>
      <c r="I3879" s="15" t="s">
        <v>1686</v>
      </c>
      <c r="J3879" s="15" t="s">
        <v>15749</v>
      </c>
      <c r="K3879" s="15">
        <v>2.0</v>
      </c>
      <c r="L3879" s="15">
        <v>2.0</v>
      </c>
      <c r="M3879" s="41">
        <v>40106.0</v>
      </c>
      <c r="N3879" s="40">
        <v>41844.0</v>
      </c>
      <c r="O3879" s="15" t="s">
        <v>1554</v>
      </c>
      <c r="Q3879" s="7"/>
    </row>
    <row r="3880">
      <c r="A3880" s="39" t="s">
        <v>15750</v>
      </c>
      <c r="B3880" s="15">
        <v>1216928.0</v>
      </c>
      <c r="C3880" s="15" t="s">
        <v>15751</v>
      </c>
      <c r="D3880" s="15">
        <v>255997.0</v>
      </c>
      <c r="E3880" s="15" t="s">
        <v>1548</v>
      </c>
      <c r="F3880" s="15" t="s">
        <v>3116</v>
      </c>
      <c r="G3880" s="7">
        <v>11.567</v>
      </c>
      <c r="H3880" s="15" t="s">
        <v>15752</v>
      </c>
      <c r="I3880" s="15" t="s">
        <v>1567</v>
      </c>
      <c r="J3880" s="15" t="s">
        <v>15753</v>
      </c>
      <c r="K3880" s="15">
        <v>4.0</v>
      </c>
      <c r="L3880" s="15">
        <v>4.0</v>
      </c>
      <c r="M3880" s="40">
        <v>41151.0</v>
      </c>
      <c r="N3880" s="40">
        <v>41844.0</v>
      </c>
      <c r="O3880" s="15" t="s">
        <v>1554</v>
      </c>
      <c r="Q3880" s="7"/>
    </row>
    <row r="3881">
      <c r="A3881" s="39" t="s">
        <v>15754</v>
      </c>
      <c r="B3881" s="15">
        <v>40060.0</v>
      </c>
      <c r="C3881" s="15" t="s">
        <v>15755</v>
      </c>
      <c r="D3881" s="15">
        <v>256076.0</v>
      </c>
      <c r="E3881" s="15" t="s">
        <v>1638</v>
      </c>
      <c r="F3881" s="15" t="s">
        <v>1863</v>
      </c>
      <c r="G3881" s="7">
        <v>19.402</v>
      </c>
      <c r="H3881" s="15" t="s">
        <v>15757</v>
      </c>
      <c r="I3881" s="15" t="s">
        <v>1751</v>
      </c>
      <c r="J3881" s="15" t="s">
        <v>15758</v>
      </c>
      <c r="K3881" s="15">
        <v>10.0</v>
      </c>
      <c r="L3881" s="15">
        <v>10.0</v>
      </c>
      <c r="M3881" s="41">
        <v>40865.0</v>
      </c>
      <c r="N3881" s="40">
        <v>41844.0</v>
      </c>
      <c r="O3881" s="15" t="s">
        <v>1554</v>
      </c>
      <c r="Q3881" s="7"/>
    </row>
    <row r="3882">
      <c r="A3882" s="39" t="s">
        <v>15759</v>
      </c>
      <c r="B3882" s="15">
        <v>1521188.0</v>
      </c>
      <c r="C3882" s="15" t="s">
        <v>15760</v>
      </c>
      <c r="D3882" s="15">
        <v>256085.0</v>
      </c>
      <c r="E3882" s="15" t="s">
        <v>1548</v>
      </c>
      <c r="F3882" s="15" t="s">
        <v>2374</v>
      </c>
      <c r="G3882" s="7">
        <v>10.044</v>
      </c>
      <c r="H3882" s="15">
        <v>35.0</v>
      </c>
      <c r="I3882" s="15" t="s">
        <v>1560</v>
      </c>
      <c r="J3882" s="15" t="s">
        <v>15761</v>
      </c>
      <c r="K3882" s="15">
        <v>1.0</v>
      </c>
      <c r="L3882" s="15">
        <v>1.0</v>
      </c>
      <c r="M3882" s="40">
        <v>41842.0</v>
      </c>
      <c r="N3882" s="41">
        <v>41955.0</v>
      </c>
      <c r="O3882" s="15" t="s">
        <v>1554</v>
      </c>
      <c r="Q3882" s="7"/>
    </row>
    <row r="3883">
      <c r="A3883" s="39" t="s">
        <v>15762</v>
      </c>
      <c r="B3883" s="15">
        <v>1522059.0</v>
      </c>
      <c r="C3883" s="15" t="s">
        <v>15763</v>
      </c>
      <c r="D3883" s="15">
        <v>256091.0</v>
      </c>
      <c r="E3883" s="15" t="s">
        <v>1548</v>
      </c>
      <c r="F3883" s="15" t="s">
        <v>1848</v>
      </c>
      <c r="G3883" s="7">
        <v>6.53</v>
      </c>
      <c r="H3883" s="15" t="s">
        <v>2945</v>
      </c>
      <c r="I3883" s="15" t="s">
        <v>1686</v>
      </c>
      <c r="J3883" s="15" t="s">
        <v>15764</v>
      </c>
      <c r="K3883" s="15">
        <v>3.0</v>
      </c>
      <c r="L3883" s="15">
        <v>3.0</v>
      </c>
      <c r="M3883" s="40">
        <v>41842.0</v>
      </c>
      <c r="N3883" s="40">
        <v>41844.0</v>
      </c>
      <c r="O3883" s="15" t="s">
        <v>1554</v>
      </c>
      <c r="Q3883" s="7"/>
    </row>
    <row r="3884">
      <c r="A3884" s="39" t="s">
        <v>15765</v>
      </c>
      <c r="B3884" s="15">
        <v>1346829.0</v>
      </c>
      <c r="C3884" s="15" t="s">
        <v>15766</v>
      </c>
      <c r="D3884" s="15">
        <v>257515.0</v>
      </c>
      <c r="E3884" s="15" t="s">
        <v>1557</v>
      </c>
      <c r="F3884" s="15" t="s">
        <v>1992</v>
      </c>
      <c r="G3884" s="7">
        <v>151.109</v>
      </c>
      <c r="H3884" s="15" t="s">
        <v>1977</v>
      </c>
      <c r="I3884" s="15" t="s">
        <v>1560</v>
      </c>
      <c r="J3884" s="15" t="s">
        <v>15768</v>
      </c>
      <c r="K3884" s="15">
        <v>139.0</v>
      </c>
      <c r="L3884" s="15">
        <v>139.0</v>
      </c>
      <c r="M3884" s="40">
        <v>41832.0</v>
      </c>
      <c r="N3884" s="40">
        <v>42110.0</v>
      </c>
      <c r="O3884" s="15" t="s">
        <v>1554</v>
      </c>
      <c r="Q3884" s="7"/>
    </row>
    <row r="3885">
      <c r="A3885" s="39" t="s">
        <v>15769</v>
      </c>
      <c r="B3885" s="15">
        <v>874272.0</v>
      </c>
      <c r="C3885" s="15" t="s">
        <v>15770</v>
      </c>
      <c r="D3885" s="15">
        <v>257662.0</v>
      </c>
      <c r="E3885" s="15" t="s">
        <v>1557</v>
      </c>
      <c r="F3885" s="15" t="s">
        <v>2628</v>
      </c>
      <c r="G3885" s="7">
        <v>32.965</v>
      </c>
      <c r="H3885" s="15" t="s">
        <v>2064</v>
      </c>
      <c r="I3885" s="15" t="s">
        <v>1686</v>
      </c>
      <c r="J3885" s="15" t="s">
        <v>15771</v>
      </c>
      <c r="K3885" s="15">
        <v>34.0</v>
      </c>
      <c r="L3885" s="15">
        <v>34.0</v>
      </c>
      <c r="M3885" s="40">
        <v>41856.0</v>
      </c>
      <c r="N3885" s="41">
        <v>41957.0</v>
      </c>
      <c r="O3885" s="15" t="s">
        <v>1554</v>
      </c>
      <c r="Q3885" s="7"/>
    </row>
    <row r="3886">
      <c r="A3886" s="39" t="s">
        <v>15772</v>
      </c>
      <c r="B3886" s="15">
        <v>875323.0</v>
      </c>
      <c r="C3886" s="15" t="s">
        <v>15773</v>
      </c>
      <c r="D3886" s="15">
        <v>257697.0</v>
      </c>
      <c r="E3886" s="15" t="s">
        <v>1808</v>
      </c>
      <c r="F3886" s="15" t="s">
        <v>1809</v>
      </c>
      <c r="G3886" s="7">
        <v>2.741</v>
      </c>
      <c r="H3886" s="15" t="s">
        <v>1962</v>
      </c>
      <c r="I3886" s="15" t="s">
        <v>1628</v>
      </c>
      <c r="J3886" s="15" t="s">
        <v>15774</v>
      </c>
      <c r="K3886" s="15">
        <v>6.0</v>
      </c>
      <c r="L3886" s="15">
        <v>6.0</v>
      </c>
      <c r="M3886" s="40">
        <v>41847.0</v>
      </c>
      <c r="N3886" s="40">
        <v>41864.0</v>
      </c>
      <c r="O3886" s="15" t="s">
        <v>1554</v>
      </c>
      <c r="Q3886" s="7"/>
    </row>
    <row r="3887">
      <c r="A3887" s="39" t="s">
        <v>15775</v>
      </c>
      <c r="B3887" s="15">
        <v>1523858.0</v>
      </c>
      <c r="C3887" s="15" t="s">
        <v>15777</v>
      </c>
      <c r="D3887" s="15">
        <v>257698.0</v>
      </c>
      <c r="E3887" s="15" t="s">
        <v>1638</v>
      </c>
      <c r="F3887" s="15" t="s">
        <v>4692</v>
      </c>
      <c r="G3887" s="7">
        <v>9.76</v>
      </c>
      <c r="H3887" s="15">
        <v>47.0</v>
      </c>
      <c r="I3887" s="15" t="s">
        <v>1552</v>
      </c>
      <c r="J3887" s="15" t="s">
        <v>15778</v>
      </c>
      <c r="K3887" s="15">
        <v>1.0</v>
      </c>
      <c r="L3887" s="15">
        <v>1.0</v>
      </c>
      <c r="M3887" s="40">
        <v>41850.0</v>
      </c>
      <c r="N3887" s="40">
        <v>41864.0</v>
      </c>
      <c r="O3887" s="15" t="s">
        <v>1554</v>
      </c>
      <c r="Q3887" s="7"/>
    </row>
    <row r="3888">
      <c r="A3888" s="39" t="s">
        <v>15779</v>
      </c>
      <c r="B3888" s="15">
        <v>1516081.0</v>
      </c>
      <c r="C3888" s="15" t="s">
        <v>15780</v>
      </c>
      <c r="D3888" s="15">
        <v>257699.0</v>
      </c>
      <c r="E3888" s="15" t="s">
        <v>1664</v>
      </c>
      <c r="F3888" s="15" t="s">
        <v>15173</v>
      </c>
      <c r="G3888" s="7">
        <v>2.259</v>
      </c>
      <c r="H3888" s="15" t="s">
        <v>2361</v>
      </c>
      <c r="I3888" s="15" t="s">
        <v>1567</v>
      </c>
      <c r="J3888" s="15" t="s">
        <v>15781</v>
      </c>
      <c r="K3888" s="15">
        <v>2.0</v>
      </c>
      <c r="L3888" s="15">
        <v>3.0</v>
      </c>
      <c r="M3888" s="40">
        <v>41848.0</v>
      </c>
      <c r="N3888" s="40">
        <v>41915.0</v>
      </c>
      <c r="O3888" s="15" t="s">
        <v>1554</v>
      </c>
      <c r="Q3888" s="7"/>
    </row>
    <row r="3889">
      <c r="A3889" s="39" t="s">
        <v>15783</v>
      </c>
      <c r="B3889" s="15">
        <v>1516080.0</v>
      </c>
      <c r="C3889" s="15" t="s">
        <v>15784</v>
      </c>
      <c r="D3889" s="15">
        <v>257700.0</v>
      </c>
      <c r="E3889" s="15" t="s">
        <v>1664</v>
      </c>
      <c r="F3889" s="15" t="s">
        <v>15173</v>
      </c>
      <c r="G3889" s="7">
        <v>2.121</v>
      </c>
      <c r="H3889" s="15">
        <v>49.0</v>
      </c>
      <c r="I3889" s="15" t="s">
        <v>1686</v>
      </c>
      <c r="J3889" s="15" t="s">
        <v>15785</v>
      </c>
      <c r="K3889" s="15">
        <v>2.0</v>
      </c>
      <c r="L3889" s="15">
        <v>3.0</v>
      </c>
      <c r="M3889" s="40">
        <v>41848.0</v>
      </c>
      <c r="N3889" s="40">
        <v>41915.0</v>
      </c>
      <c r="O3889" s="15" t="s">
        <v>1554</v>
      </c>
      <c r="Q3889" s="7"/>
    </row>
    <row r="3890">
      <c r="A3890" s="39" t="s">
        <v>15786</v>
      </c>
      <c r="B3890" s="15">
        <v>1516079.0</v>
      </c>
      <c r="C3890" s="15" t="s">
        <v>15787</v>
      </c>
      <c r="D3890" s="15">
        <v>257701.0</v>
      </c>
      <c r="E3890" s="15" t="s">
        <v>1664</v>
      </c>
      <c r="F3890" s="15" t="s">
        <v>15173</v>
      </c>
      <c r="G3890" s="7">
        <v>2.152</v>
      </c>
      <c r="H3890" s="15">
        <v>50.0</v>
      </c>
      <c r="I3890" s="15" t="s">
        <v>1686</v>
      </c>
      <c r="J3890" s="15" t="s">
        <v>15788</v>
      </c>
      <c r="K3890" s="15">
        <v>2.0</v>
      </c>
      <c r="L3890" s="15">
        <v>3.0</v>
      </c>
      <c r="M3890" s="40">
        <v>41848.0</v>
      </c>
      <c r="N3890" s="40">
        <v>41915.0</v>
      </c>
      <c r="O3890" s="15" t="s">
        <v>1554</v>
      </c>
      <c r="Q3890" s="7"/>
    </row>
    <row r="3891">
      <c r="A3891" s="39" t="s">
        <v>15789</v>
      </c>
      <c r="B3891" s="15">
        <v>1472425.0</v>
      </c>
      <c r="C3891" s="15" t="s">
        <v>15790</v>
      </c>
      <c r="D3891" s="15">
        <v>257702.0</v>
      </c>
      <c r="E3891" s="15" t="s">
        <v>1548</v>
      </c>
      <c r="F3891" s="15" t="s">
        <v>1786</v>
      </c>
      <c r="G3891" s="7">
        <v>6.835</v>
      </c>
      <c r="H3891" s="15" t="s">
        <v>1983</v>
      </c>
      <c r="I3891" s="15" t="s">
        <v>1628</v>
      </c>
      <c r="J3891" s="15" t="s">
        <v>15792</v>
      </c>
      <c r="K3891" s="15">
        <v>3.0</v>
      </c>
      <c r="L3891" s="15">
        <v>3.0</v>
      </c>
      <c r="M3891" s="40">
        <v>41854.0</v>
      </c>
      <c r="N3891" s="40">
        <v>41864.0</v>
      </c>
      <c r="O3891" s="15" t="s">
        <v>1554</v>
      </c>
      <c r="Q3891" s="7"/>
    </row>
    <row r="3892">
      <c r="A3892" s="39" t="s">
        <v>15793</v>
      </c>
      <c r="B3892" s="15">
        <v>875325.0</v>
      </c>
      <c r="C3892" s="15" t="s">
        <v>15794</v>
      </c>
      <c r="D3892" s="15">
        <v>257741.0</v>
      </c>
      <c r="E3892" s="15" t="s">
        <v>2014</v>
      </c>
      <c r="F3892" s="15" t="s">
        <v>2018</v>
      </c>
      <c r="G3892" s="7">
        <v>1.349</v>
      </c>
      <c r="H3892" s="15" t="s">
        <v>4595</v>
      </c>
      <c r="I3892" s="15" t="s">
        <v>1628</v>
      </c>
      <c r="J3892" s="15" t="s">
        <v>15795</v>
      </c>
      <c r="K3892" s="15">
        <v>1.0</v>
      </c>
      <c r="L3892" s="15">
        <v>1.0</v>
      </c>
      <c r="M3892" s="40">
        <v>41847.0</v>
      </c>
      <c r="N3892" s="40">
        <v>41864.0</v>
      </c>
      <c r="O3892" s="15" t="s">
        <v>1554</v>
      </c>
      <c r="Q3892" s="7"/>
    </row>
    <row r="3893">
      <c r="A3893" s="39" t="s">
        <v>15796</v>
      </c>
      <c r="B3893" s="15">
        <v>1525173.0</v>
      </c>
      <c r="C3893" s="15" t="s">
        <v>15797</v>
      </c>
      <c r="D3893" s="15">
        <v>257742.0</v>
      </c>
      <c r="E3893" s="15" t="s">
        <v>1808</v>
      </c>
      <c r="F3893" s="15" t="s">
        <v>1998</v>
      </c>
      <c r="G3893" s="7">
        <v>2.836</v>
      </c>
      <c r="H3893" s="15" t="s">
        <v>2836</v>
      </c>
      <c r="I3893" s="15" t="s">
        <v>1686</v>
      </c>
      <c r="J3893" s="15" t="s">
        <v>15799</v>
      </c>
      <c r="K3893" s="15">
        <v>4.0</v>
      </c>
      <c r="L3893" s="15">
        <v>4.0</v>
      </c>
      <c r="M3893" s="40">
        <v>41849.0</v>
      </c>
      <c r="N3893" s="40">
        <v>41864.0</v>
      </c>
      <c r="O3893" s="15" t="s">
        <v>1554</v>
      </c>
      <c r="Q3893" s="7"/>
    </row>
    <row r="3894">
      <c r="A3894" s="39" t="s">
        <v>15800</v>
      </c>
      <c r="B3894" s="15">
        <v>1489312.0</v>
      </c>
      <c r="C3894" s="15" t="s">
        <v>15801</v>
      </c>
      <c r="D3894" s="15">
        <v>257743.0</v>
      </c>
      <c r="E3894" s="15" t="s">
        <v>1808</v>
      </c>
      <c r="F3894" s="15" t="s">
        <v>1809</v>
      </c>
      <c r="G3894" s="7">
        <v>2.831</v>
      </c>
      <c r="H3894" s="15" t="s">
        <v>2864</v>
      </c>
      <c r="I3894" s="15" t="s">
        <v>1628</v>
      </c>
      <c r="J3894" s="15" t="s">
        <v>15802</v>
      </c>
      <c r="K3894" s="15">
        <v>6.0</v>
      </c>
      <c r="L3894" s="15">
        <v>6.0</v>
      </c>
      <c r="M3894" s="40">
        <v>41752.0</v>
      </c>
      <c r="N3894" s="40">
        <v>41864.0</v>
      </c>
      <c r="O3894" s="15" t="s">
        <v>1554</v>
      </c>
      <c r="Q3894" s="7"/>
    </row>
    <row r="3895">
      <c r="A3895" s="39" t="s">
        <v>15804</v>
      </c>
      <c r="B3895" s="15">
        <v>1474867.0</v>
      </c>
      <c r="C3895" s="15" t="s">
        <v>15805</v>
      </c>
      <c r="D3895" s="15">
        <v>258005.0</v>
      </c>
      <c r="E3895" s="15" t="s">
        <v>1557</v>
      </c>
      <c r="F3895" s="15" t="s">
        <v>2763</v>
      </c>
      <c r="G3895" s="7">
        <v>370.92</v>
      </c>
      <c r="H3895" s="42">
        <v>43309.0</v>
      </c>
      <c r="I3895" s="15" t="s">
        <v>1573</v>
      </c>
      <c r="J3895" s="15" t="s">
        <v>15806</v>
      </c>
      <c r="K3895" s="15">
        <v>384.0</v>
      </c>
      <c r="L3895" s="15">
        <v>376.0</v>
      </c>
      <c r="M3895" s="40">
        <v>41855.0</v>
      </c>
      <c r="N3895" s="40">
        <v>41864.0</v>
      </c>
      <c r="O3895" s="15" t="s">
        <v>1554</v>
      </c>
      <c r="Q3895" s="7"/>
    </row>
    <row r="3896">
      <c r="A3896" s="39" t="s">
        <v>15807</v>
      </c>
      <c r="B3896" s="15">
        <v>1239566.0</v>
      </c>
      <c r="C3896" s="15" t="s">
        <v>15808</v>
      </c>
      <c r="D3896" s="15">
        <v>390416.0</v>
      </c>
      <c r="E3896" s="15" t="s">
        <v>1548</v>
      </c>
      <c r="F3896" s="15" t="s">
        <v>1848</v>
      </c>
      <c r="G3896" s="7">
        <v>6.347</v>
      </c>
      <c r="H3896" s="15" t="s">
        <v>1802</v>
      </c>
      <c r="I3896" s="15" t="s">
        <v>1686</v>
      </c>
      <c r="J3896" s="15" t="s">
        <v>15809</v>
      </c>
      <c r="K3896" s="15">
        <v>3.0</v>
      </c>
      <c r="L3896" s="15">
        <v>3.0</v>
      </c>
      <c r="M3896" s="40">
        <v>42885.0</v>
      </c>
      <c r="N3896" s="40">
        <v>42899.0</v>
      </c>
      <c r="O3896" s="15" t="s">
        <v>1554</v>
      </c>
      <c r="Q3896" s="7"/>
    </row>
    <row r="3897">
      <c r="A3897" s="39" t="s">
        <v>15811</v>
      </c>
      <c r="B3897" s="15">
        <v>768738.0</v>
      </c>
      <c r="C3897" s="15" t="s">
        <v>15812</v>
      </c>
      <c r="D3897" s="15">
        <v>258185.0</v>
      </c>
      <c r="E3897" s="15" t="s">
        <v>1557</v>
      </c>
      <c r="F3897" s="15" t="s">
        <v>1827</v>
      </c>
      <c r="G3897" s="7">
        <v>180.8</v>
      </c>
      <c r="H3897" s="15" t="s">
        <v>2777</v>
      </c>
      <c r="I3897" s="15" t="s">
        <v>1686</v>
      </c>
      <c r="J3897" s="15" t="s">
        <v>15813</v>
      </c>
      <c r="K3897" s="15">
        <v>115.0</v>
      </c>
      <c r="L3897" s="15">
        <v>115.0</v>
      </c>
      <c r="M3897" s="40">
        <v>41858.0</v>
      </c>
      <c r="N3897" s="40">
        <v>41874.0</v>
      </c>
      <c r="O3897" s="15" t="s">
        <v>1554</v>
      </c>
      <c r="Q3897" s="7"/>
    </row>
    <row r="3898">
      <c r="A3898" s="39" t="s">
        <v>15814</v>
      </c>
      <c r="B3898" s="15">
        <v>1034377.0</v>
      </c>
      <c r="C3898" s="15" t="s">
        <v>15815</v>
      </c>
      <c r="D3898" s="15">
        <v>258186.0</v>
      </c>
      <c r="E3898" s="15" t="s">
        <v>1548</v>
      </c>
      <c r="F3898" s="15" t="s">
        <v>1749</v>
      </c>
      <c r="G3898" s="7">
        <v>11.367</v>
      </c>
      <c r="H3898" s="15" t="s">
        <v>5391</v>
      </c>
      <c r="I3898" s="15" t="s">
        <v>1560</v>
      </c>
      <c r="J3898" s="15" t="s">
        <v>15816</v>
      </c>
      <c r="K3898" s="15">
        <v>5.0</v>
      </c>
      <c r="L3898" s="15">
        <v>5.0</v>
      </c>
      <c r="M3898" s="40">
        <v>40756.0</v>
      </c>
      <c r="N3898" s="40">
        <v>41872.0</v>
      </c>
      <c r="O3898" s="15" t="s">
        <v>1554</v>
      </c>
      <c r="Q3898" s="7"/>
    </row>
    <row r="3899">
      <c r="A3899" s="39" t="s">
        <v>15817</v>
      </c>
      <c r="B3899" s="15">
        <v>1532031.0</v>
      </c>
      <c r="C3899" s="15" t="s">
        <v>15818</v>
      </c>
      <c r="D3899" s="15">
        <v>258281.0</v>
      </c>
      <c r="E3899" s="15" t="s">
        <v>1638</v>
      </c>
      <c r="F3899" s="15" t="s">
        <v>1578</v>
      </c>
      <c r="G3899" s="7">
        <v>3.415</v>
      </c>
      <c r="H3899" s="15" t="s">
        <v>13429</v>
      </c>
      <c r="I3899" s="15" t="s">
        <v>1552</v>
      </c>
      <c r="J3899" s="15" t="s">
        <v>15820</v>
      </c>
      <c r="K3899" s="15">
        <v>2.0</v>
      </c>
      <c r="L3899" s="15">
        <v>2.0</v>
      </c>
      <c r="M3899" s="40">
        <v>41865.0</v>
      </c>
      <c r="N3899" s="40">
        <v>42103.0</v>
      </c>
      <c r="O3899" s="15" t="s">
        <v>1554</v>
      </c>
      <c r="Q3899" s="7"/>
    </row>
    <row r="3900">
      <c r="A3900" s="39" t="s">
        <v>15821</v>
      </c>
      <c r="B3900" s="15">
        <v>1529605.0</v>
      </c>
      <c r="C3900" s="15" t="s">
        <v>15822</v>
      </c>
      <c r="D3900" s="15">
        <v>258308.0</v>
      </c>
      <c r="E3900" s="15" t="s">
        <v>1577</v>
      </c>
      <c r="F3900" s="15" t="s">
        <v>1578</v>
      </c>
      <c r="G3900" s="7">
        <v>8.886</v>
      </c>
      <c r="H3900" s="15" t="s">
        <v>15823</v>
      </c>
      <c r="I3900" s="15" t="s">
        <v>1552</v>
      </c>
      <c r="J3900" s="15" t="s">
        <v>15824</v>
      </c>
      <c r="K3900" s="15">
        <v>5.0</v>
      </c>
      <c r="L3900" s="15">
        <v>5.0</v>
      </c>
      <c r="M3900" s="40">
        <v>41862.0</v>
      </c>
      <c r="N3900" s="40">
        <v>41872.0</v>
      </c>
      <c r="O3900" s="15" t="s">
        <v>1554</v>
      </c>
      <c r="Q3900" s="7"/>
    </row>
    <row r="3901">
      <c r="A3901" s="39" t="s">
        <v>15825</v>
      </c>
      <c r="B3901" s="15">
        <v>1529056.0</v>
      </c>
      <c r="C3901" s="15" t="s">
        <v>15826</v>
      </c>
      <c r="D3901" s="15">
        <v>259190.0</v>
      </c>
      <c r="E3901" s="15" t="s">
        <v>1557</v>
      </c>
      <c r="F3901" s="15" t="s">
        <v>3920</v>
      </c>
      <c r="G3901" s="7">
        <v>119.638</v>
      </c>
      <c r="H3901" s="15" t="s">
        <v>3260</v>
      </c>
      <c r="I3901" s="15" t="s">
        <v>1560</v>
      </c>
      <c r="J3901" s="15" t="s">
        <v>15828</v>
      </c>
      <c r="K3901" s="15">
        <v>115.0</v>
      </c>
      <c r="L3901" s="15">
        <v>115.0</v>
      </c>
      <c r="M3901" s="40">
        <v>41851.0</v>
      </c>
      <c r="N3901" s="40">
        <v>41873.0</v>
      </c>
      <c r="O3901" s="15" t="s">
        <v>1554</v>
      </c>
      <c r="Q3901" s="7"/>
    </row>
    <row r="3902">
      <c r="A3902" s="39" t="s">
        <v>15829</v>
      </c>
      <c r="B3902" s="15">
        <v>944995.0</v>
      </c>
      <c r="C3902" s="15" t="s">
        <v>15830</v>
      </c>
      <c r="D3902" s="15">
        <v>259293.0</v>
      </c>
      <c r="E3902" s="15" t="s">
        <v>2014</v>
      </c>
      <c r="F3902" s="15" t="s">
        <v>1578</v>
      </c>
      <c r="G3902" s="7">
        <v>1.437</v>
      </c>
      <c r="H3902" s="15" t="s">
        <v>2049</v>
      </c>
      <c r="I3902" s="15" t="s">
        <v>1628</v>
      </c>
      <c r="J3902" s="15" t="s">
        <v>15831</v>
      </c>
      <c r="K3902" s="15">
        <v>1.0</v>
      </c>
      <c r="L3902" s="15">
        <v>1.0</v>
      </c>
      <c r="M3902" s="40">
        <v>41871.0</v>
      </c>
      <c r="N3902" s="40">
        <v>41876.0</v>
      </c>
      <c r="O3902" s="15" t="s">
        <v>1554</v>
      </c>
      <c r="Q3902" s="7"/>
    </row>
    <row r="3903">
      <c r="A3903" s="39" t="s">
        <v>15832</v>
      </c>
      <c r="B3903" s="15">
        <v>1211417.0</v>
      </c>
      <c r="C3903" s="15" t="s">
        <v>15833</v>
      </c>
      <c r="D3903" s="15">
        <v>259336.0</v>
      </c>
      <c r="E3903" s="15" t="s">
        <v>4407</v>
      </c>
      <c r="F3903" s="15" t="s">
        <v>1578</v>
      </c>
      <c r="G3903" s="7">
        <v>97.065</v>
      </c>
      <c r="H3903" s="42">
        <v>43188.0</v>
      </c>
      <c r="I3903" s="15" t="s">
        <v>1586</v>
      </c>
      <c r="J3903" s="15" t="s">
        <v>15834</v>
      </c>
      <c r="K3903" s="15">
        <v>80.0</v>
      </c>
      <c r="L3903" s="15">
        <v>80.0</v>
      </c>
      <c r="M3903" s="40">
        <v>41876.0</v>
      </c>
      <c r="N3903" s="41">
        <v>42348.0</v>
      </c>
      <c r="O3903" s="15" t="s">
        <v>1554</v>
      </c>
      <c r="Q3903" s="7"/>
    </row>
    <row r="3904">
      <c r="A3904" s="39" t="s">
        <v>15836</v>
      </c>
      <c r="B3904" s="15">
        <v>1476887.0</v>
      </c>
      <c r="C3904" s="15" t="s">
        <v>15837</v>
      </c>
      <c r="D3904" s="15">
        <v>251389.0</v>
      </c>
      <c r="E3904" s="15" t="s">
        <v>1557</v>
      </c>
      <c r="F3904" s="15" t="s">
        <v>1833</v>
      </c>
      <c r="G3904" s="7">
        <v>53.513</v>
      </c>
      <c r="H3904" s="15" t="s">
        <v>2219</v>
      </c>
      <c r="I3904" s="15" t="s">
        <v>1586</v>
      </c>
      <c r="J3904" s="15" t="s">
        <v>15838</v>
      </c>
      <c r="K3904" s="15">
        <v>76.0</v>
      </c>
      <c r="L3904" s="15">
        <v>76.0</v>
      </c>
      <c r="M3904" s="40">
        <v>41736.0</v>
      </c>
      <c r="N3904" s="40">
        <v>41792.0</v>
      </c>
      <c r="O3904" s="15" t="s">
        <v>1554</v>
      </c>
      <c r="Q3904" s="7"/>
    </row>
    <row r="3905">
      <c r="A3905" s="39" t="s">
        <v>15839</v>
      </c>
      <c r="B3905" s="15">
        <v>1476886.0</v>
      </c>
      <c r="C3905" s="15" t="s">
        <v>15840</v>
      </c>
      <c r="D3905" s="15">
        <v>251390.0</v>
      </c>
      <c r="E3905" s="15" t="s">
        <v>1557</v>
      </c>
      <c r="F3905" s="15" t="s">
        <v>1833</v>
      </c>
      <c r="G3905" s="7">
        <v>54.452</v>
      </c>
      <c r="H3905" s="15" t="s">
        <v>2219</v>
      </c>
      <c r="I3905" s="15" t="s">
        <v>1586</v>
      </c>
      <c r="J3905" s="15" t="s">
        <v>15841</v>
      </c>
      <c r="K3905" s="15">
        <v>78.0</v>
      </c>
      <c r="L3905" s="15">
        <v>78.0</v>
      </c>
      <c r="M3905" s="40">
        <v>41736.0</v>
      </c>
      <c r="N3905" s="40">
        <v>41792.0</v>
      </c>
      <c r="O3905" s="15" t="s">
        <v>1554</v>
      </c>
      <c r="Q3905" s="7"/>
    </row>
    <row r="3906">
      <c r="A3906" s="39" t="s">
        <v>15842</v>
      </c>
      <c r="B3906" s="15">
        <v>1472912.0</v>
      </c>
      <c r="C3906" s="15" t="s">
        <v>15844</v>
      </c>
      <c r="D3906" s="15">
        <v>251391.0</v>
      </c>
      <c r="E3906" s="15" t="s">
        <v>1557</v>
      </c>
      <c r="F3906" s="15" t="s">
        <v>1578</v>
      </c>
      <c r="G3906" s="7">
        <v>82.438</v>
      </c>
      <c r="H3906" s="15" t="s">
        <v>1710</v>
      </c>
      <c r="I3906" s="15" t="s">
        <v>1586</v>
      </c>
      <c r="J3906" s="15" t="s">
        <v>15845</v>
      </c>
      <c r="K3906" s="15">
        <v>145.0</v>
      </c>
      <c r="L3906" s="15">
        <v>144.0</v>
      </c>
      <c r="M3906" s="40">
        <v>41751.0</v>
      </c>
      <c r="N3906" s="40">
        <v>41792.0</v>
      </c>
      <c r="O3906" s="15" t="s">
        <v>1554</v>
      </c>
      <c r="Q3906" s="7"/>
    </row>
    <row r="3907">
      <c r="A3907" s="39" t="s">
        <v>15846</v>
      </c>
      <c r="B3907" s="15">
        <v>1476888.0</v>
      </c>
      <c r="C3907" s="15" t="s">
        <v>15847</v>
      </c>
      <c r="D3907" s="15">
        <v>251392.0</v>
      </c>
      <c r="E3907" s="15" t="s">
        <v>1557</v>
      </c>
      <c r="F3907" s="15" t="s">
        <v>1833</v>
      </c>
      <c r="G3907" s="7">
        <v>54.173</v>
      </c>
      <c r="H3907" s="15" t="s">
        <v>2219</v>
      </c>
      <c r="I3907" s="15" t="s">
        <v>1586</v>
      </c>
      <c r="J3907" s="15" t="s">
        <v>15848</v>
      </c>
      <c r="K3907" s="15">
        <v>80.0</v>
      </c>
      <c r="L3907" s="15">
        <v>80.0</v>
      </c>
      <c r="M3907" s="40">
        <v>41736.0</v>
      </c>
      <c r="N3907" s="40">
        <v>41792.0</v>
      </c>
      <c r="O3907" s="15" t="s">
        <v>1554</v>
      </c>
      <c r="Q3907" s="7"/>
    </row>
    <row r="3908">
      <c r="A3908" s="39" t="s">
        <v>15849</v>
      </c>
      <c r="B3908" s="15">
        <v>1476889.0</v>
      </c>
      <c r="C3908" s="15" t="s">
        <v>15850</v>
      </c>
      <c r="D3908" s="15">
        <v>251393.0</v>
      </c>
      <c r="E3908" s="15" t="s">
        <v>1557</v>
      </c>
      <c r="F3908" s="15" t="s">
        <v>1833</v>
      </c>
      <c r="G3908" s="7">
        <v>55.584</v>
      </c>
      <c r="H3908" s="15" t="s">
        <v>3862</v>
      </c>
      <c r="I3908" s="15" t="s">
        <v>1586</v>
      </c>
      <c r="J3908" s="15" t="s">
        <v>15852</v>
      </c>
      <c r="K3908" s="15">
        <v>82.0</v>
      </c>
      <c r="L3908" s="15">
        <v>82.0</v>
      </c>
      <c r="M3908" s="40">
        <v>41736.0</v>
      </c>
      <c r="N3908" s="40">
        <v>41792.0</v>
      </c>
      <c r="O3908" s="15" t="s">
        <v>1554</v>
      </c>
      <c r="Q3908" s="7"/>
    </row>
    <row r="3909">
      <c r="A3909" s="39" t="s">
        <v>15853</v>
      </c>
      <c r="B3909" s="15">
        <v>1458711.0</v>
      </c>
      <c r="C3909" s="15" t="s">
        <v>15854</v>
      </c>
      <c r="D3909" s="15">
        <v>251394.0</v>
      </c>
      <c r="E3909" s="15" t="s">
        <v>1557</v>
      </c>
      <c r="F3909" s="15" t="s">
        <v>1833</v>
      </c>
      <c r="G3909" s="7">
        <v>67.383</v>
      </c>
      <c r="H3909" s="15">
        <v>57.0</v>
      </c>
      <c r="I3909" s="15" t="s">
        <v>1586</v>
      </c>
      <c r="J3909" s="15" t="s">
        <v>15855</v>
      </c>
      <c r="K3909" s="15">
        <v>104.0</v>
      </c>
      <c r="L3909" s="15">
        <v>104.0</v>
      </c>
      <c r="M3909" s="40">
        <v>41731.0</v>
      </c>
      <c r="N3909" s="40">
        <v>41792.0</v>
      </c>
      <c r="O3909" s="15" t="s">
        <v>1554</v>
      </c>
      <c r="Q3909" s="7"/>
    </row>
    <row r="3910">
      <c r="A3910" s="39" t="s">
        <v>15856</v>
      </c>
      <c r="B3910" s="15">
        <v>1500386.0</v>
      </c>
      <c r="C3910" s="15" t="s">
        <v>15857</v>
      </c>
      <c r="D3910" s="15">
        <v>253318.0</v>
      </c>
      <c r="E3910" s="15" t="s">
        <v>1557</v>
      </c>
      <c r="F3910" s="15" t="s">
        <v>1833</v>
      </c>
      <c r="G3910" s="7">
        <v>93.794</v>
      </c>
      <c r="H3910" s="42">
        <v>43188.0</v>
      </c>
      <c r="I3910" s="15" t="s">
        <v>1586</v>
      </c>
      <c r="J3910" s="15" t="s">
        <v>15858</v>
      </c>
      <c r="K3910" s="15">
        <v>143.0</v>
      </c>
      <c r="L3910" s="15">
        <v>142.0</v>
      </c>
      <c r="M3910" s="40">
        <v>41793.0</v>
      </c>
      <c r="N3910" s="40">
        <v>41873.0</v>
      </c>
      <c r="O3910" s="15" t="s">
        <v>1554</v>
      </c>
      <c r="Q3910" s="7"/>
    </row>
    <row r="3911">
      <c r="A3911" s="39" t="s">
        <v>15859</v>
      </c>
      <c r="B3911" s="15">
        <v>1173745.0</v>
      </c>
      <c r="C3911" s="15" t="s">
        <v>15860</v>
      </c>
      <c r="D3911" s="15">
        <v>253319.0</v>
      </c>
      <c r="E3911" s="15" t="s">
        <v>1557</v>
      </c>
      <c r="F3911" s="15" t="s">
        <v>1833</v>
      </c>
      <c r="G3911" s="7">
        <v>67.15</v>
      </c>
      <c r="H3911" s="15" t="s">
        <v>3317</v>
      </c>
      <c r="I3911" s="15" t="s">
        <v>1586</v>
      </c>
      <c r="J3911" s="15" t="s">
        <v>15861</v>
      </c>
      <c r="K3911" s="15">
        <v>114.0</v>
      </c>
      <c r="L3911" s="15">
        <v>114.0</v>
      </c>
      <c r="M3911" s="40">
        <v>41789.0</v>
      </c>
      <c r="N3911" s="40">
        <v>41843.0</v>
      </c>
      <c r="O3911" s="15" t="s">
        <v>1554</v>
      </c>
      <c r="Q3911" s="7"/>
    </row>
    <row r="3912">
      <c r="A3912" s="39" t="s">
        <v>15862</v>
      </c>
      <c r="B3912" s="15">
        <v>1486403.0</v>
      </c>
      <c r="C3912" s="15" t="s">
        <v>15864</v>
      </c>
      <c r="D3912" s="15">
        <v>253320.0</v>
      </c>
      <c r="E3912" s="15" t="s">
        <v>1557</v>
      </c>
      <c r="F3912" s="15" t="s">
        <v>1833</v>
      </c>
      <c r="G3912" s="7">
        <v>68.807</v>
      </c>
      <c r="H3912" s="15" t="s">
        <v>2492</v>
      </c>
      <c r="I3912" s="15" t="s">
        <v>1586</v>
      </c>
      <c r="J3912" s="15" t="s">
        <v>15865</v>
      </c>
      <c r="K3912" s="15">
        <v>101.0</v>
      </c>
      <c r="L3912" s="15">
        <v>101.0</v>
      </c>
      <c r="M3912" s="40">
        <v>41783.0</v>
      </c>
      <c r="N3912" s="40">
        <v>41814.0</v>
      </c>
      <c r="O3912" s="15" t="s">
        <v>1554</v>
      </c>
      <c r="Q3912" s="7"/>
    </row>
    <row r="3913">
      <c r="A3913" s="39" t="s">
        <v>15866</v>
      </c>
      <c r="B3913" s="15">
        <v>1357732.0</v>
      </c>
      <c r="C3913" s="15" t="s">
        <v>15867</v>
      </c>
      <c r="D3913" s="15">
        <v>253321.0</v>
      </c>
      <c r="E3913" s="15" t="s">
        <v>1557</v>
      </c>
      <c r="F3913" s="15" t="s">
        <v>1611</v>
      </c>
      <c r="G3913" s="7">
        <v>41.75</v>
      </c>
      <c r="H3913" s="15" t="s">
        <v>2552</v>
      </c>
      <c r="I3913" s="15" t="s">
        <v>1586</v>
      </c>
      <c r="J3913" s="15" t="s">
        <v>15868</v>
      </c>
      <c r="K3913" s="15">
        <v>38.0</v>
      </c>
      <c r="L3913" s="15">
        <v>38.0</v>
      </c>
      <c r="M3913" s="40">
        <v>41790.0</v>
      </c>
      <c r="N3913" s="40">
        <v>42172.0</v>
      </c>
      <c r="O3913" s="15" t="s">
        <v>1554</v>
      </c>
      <c r="Q3913" s="7"/>
    </row>
    <row r="3914">
      <c r="A3914" s="39" t="s">
        <v>15869</v>
      </c>
      <c r="B3914" s="15">
        <v>1500756.0</v>
      </c>
      <c r="C3914" s="15" t="s">
        <v>15870</v>
      </c>
      <c r="D3914" s="15">
        <v>253322.0</v>
      </c>
      <c r="E3914" s="15" t="s">
        <v>1557</v>
      </c>
      <c r="F3914" s="15" t="s">
        <v>1611</v>
      </c>
      <c r="G3914" s="7">
        <v>40.472</v>
      </c>
      <c r="H3914" s="15" t="s">
        <v>3321</v>
      </c>
      <c r="I3914" s="15" t="s">
        <v>1586</v>
      </c>
      <c r="J3914" s="15" t="s">
        <v>15871</v>
      </c>
      <c r="K3914" s="15">
        <v>47.0</v>
      </c>
      <c r="L3914" s="15">
        <v>47.0</v>
      </c>
      <c r="M3914" s="40">
        <v>41783.0</v>
      </c>
      <c r="N3914" s="40">
        <v>41814.0</v>
      </c>
      <c r="O3914" s="15" t="s">
        <v>1554</v>
      </c>
      <c r="Q3914" s="7"/>
    </row>
    <row r="3915">
      <c r="A3915" s="39" t="s">
        <v>15872</v>
      </c>
      <c r="B3915" s="15">
        <v>1327934.0</v>
      </c>
      <c r="C3915" s="15" t="s">
        <v>15873</v>
      </c>
      <c r="D3915" s="15">
        <v>253325.0</v>
      </c>
      <c r="E3915" s="15" t="s">
        <v>1557</v>
      </c>
      <c r="F3915" s="15" t="s">
        <v>1767</v>
      </c>
      <c r="G3915" s="7">
        <v>149.162</v>
      </c>
      <c r="H3915" s="15" t="s">
        <v>2189</v>
      </c>
      <c r="I3915" s="15" t="s">
        <v>1586</v>
      </c>
      <c r="J3915" s="15" t="s">
        <v>15874</v>
      </c>
      <c r="K3915" s="15">
        <v>286.0</v>
      </c>
      <c r="L3915" s="15">
        <v>269.0</v>
      </c>
      <c r="M3915" s="40">
        <v>41793.0</v>
      </c>
      <c r="N3915" s="40">
        <v>41814.0</v>
      </c>
      <c r="O3915" s="15" t="s">
        <v>1554</v>
      </c>
      <c r="Q3915" s="7"/>
    </row>
    <row r="3916">
      <c r="A3916" s="39" t="s">
        <v>15876</v>
      </c>
      <c r="B3916" s="15">
        <v>1445858.0</v>
      </c>
      <c r="C3916" s="15" t="s">
        <v>15877</v>
      </c>
      <c r="D3916" s="15">
        <v>253326.0</v>
      </c>
      <c r="E3916" s="15" t="s">
        <v>1557</v>
      </c>
      <c r="F3916" s="15" t="s">
        <v>1833</v>
      </c>
      <c r="G3916" s="7">
        <v>42.597</v>
      </c>
      <c r="H3916" s="15" t="s">
        <v>3550</v>
      </c>
      <c r="I3916" s="15" t="s">
        <v>1586</v>
      </c>
      <c r="J3916" s="15" t="s">
        <v>15878</v>
      </c>
      <c r="K3916" s="15">
        <v>70.0</v>
      </c>
      <c r="L3916" s="15">
        <v>70.0</v>
      </c>
      <c r="M3916" s="40">
        <v>41793.0</v>
      </c>
      <c r="N3916" s="41">
        <v>41964.0</v>
      </c>
      <c r="O3916" s="15" t="s">
        <v>1554</v>
      </c>
      <c r="Q3916" s="7"/>
    </row>
    <row r="3917">
      <c r="A3917" s="39" t="s">
        <v>15879</v>
      </c>
      <c r="B3917" s="15">
        <v>1486469.0</v>
      </c>
      <c r="C3917" s="15" t="s">
        <v>15880</v>
      </c>
      <c r="D3917" s="15">
        <v>253327.0</v>
      </c>
      <c r="E3917" s="15" t="s">
        <v>1557</v>
      </c>
      <c r="F3917" s="15" t="s">
        <v>1833</v>
      </c>
      <c r="G3917" s="7">
        <v>68.386</v>
      </c>
      <c r="H3917" s="15" t="s">
        <v>13429</v>
      </c>
      <c r="I3917" s="15" t="s">
        <v>1586</v>
      </c>
      <c r="J3917" s="15" t="s">
        <v>15881</v>
      </c>
      <c r="K3917" s="15">
        <v>93.0</v>
      </c>
      <c r="L3917" s="15">
        <v>93.0</v>
      </c>
      <c r="M3917" s="40">
        <v>41783.0</v>
      </c>
      <c r="N3917" s="40">
        <v>41814.0</v>
      </c>
      <c r="O3917" s="15" t="s">
        <v>1554</v>
      </c>
      <c r="Q3917" s="7"/>
    </row>
    <row r="3918">
      <c r="A3918" s="39" t="s">
        <v>15882</v>
      </c>
      <c r="B3918" s="15">
        <v>1477404.0</v>
      </c>
      <c r="C3918" s="15" t="s">
        <v>15884</v>
      </c>
      <c r="D3918" s="15">
        <v>253328.0</v>
      </c>
      <c r="E3918" s="15" t="s">
        <v>1557</v>
      </c>
      <c r="F3918" s="15" t="s">
        <v>1611</v>
      </c>
      <c r="G3918" s="7">
        <v>75.028</v>
      </c>
      <c r="H3918" s="15" t="s">
        <v>3798</v>
      </c>
      <c r="I3918" s="15" t="s">
        <v>1586</v>
      </c>
      <c r="J3918" s="15" t="s">
        <v>15885</v>
      </c>
      <c r="K3918" s="15">
        <v>86.0</v>
      </c>
      <c r="L3918" s="15">
        <v>86.0</v>
      </c>
      <c r="M3918" s="40">
        <v>41751.0</v>
      </c>
      <c r="N3918" s="40">
        <v>41814.0</v>
      </c>
      <c r="O3918" s="15" t="s">
        <v>1554</v>
      </c>
      <c r="Q3918" s="7"/>
    </row>
    <row r="3919">
      <c r="A3919" s="39" t="s">
        <v>15886</v>
      </c>
      <c r="B3919" s="15">
        <v>1534544.0</v>
      </c>
      <c r="C3919" s="15" t="s">
        <v>15887</v>
      </c>
      <c r="D3919" s="15">
        <v>259972.0</v>
      </c>
      <c r="E3919" s="15" t="s">
        <v>1548</v>
      </c>
      <c r="F3919" s="15" t="s">
        <v>1776</v>
      </c>
      <c r="G3919" s="7">
        <v>8.287</v>
      </c>
      <c r="H3919" s="15" t="s">
        <v>4563</v>
      </c>
      <c r="I3919" s="15" t="s">
        <v>1686</v>
      </c>
      <c r="J3919" s="15" t="s">
        <v>15888</v>
      </c>
      <c r="K3919" s="15">
        <v>1.0</v>
      </c>
      <c r="L3919" s="15">
        <v>1.0</v>
      </c>
      <c r="M3919" s="40">
        <v>41874.0</v>
      </c>
      <c r="N3919" s="40">
        <v>41884.0</v>
      </c>
      <c r="O3919" s="15" t="s">
        <v>1554</v>
      </c>
      <c r="Q3919" s="7"/>
    </row>
    <row r="3920">
      <c r="A3920" s="39" t="s">
        <v>15889</v>
      </c>
      <c r="B3920" s="15">
        <v>1534550.0</v>
      </c>
      <c r="C3920" s="15" t="s">
        <v>15890</v>
      </c>
      <c r="D3920" s="15">
        <v>259980.0</v>
      </c>
      <c r="E3920" s="15" t="s">
        <v>1548</v>
      </c>
      <c r="F3920" s="15" t="s">
        <v>1776</v>
      </c>
      <c r="G3920" s="7">
        <v>8.432</v>
      </c>
      <c r="H3920" s="15" t="s">
        <v>1792</v>
      </c>
      <c r="I3920" s="15" t="s">
        <v>1686</v>
      </c>
      <c r="J3920" s="15" t="s">
        <v>15891</v>
      </c>
      <c r="K3920" s="15">
        <v>1.0</v>
      </c>
      <c r="L3920" s="15">
        <v>1.0</v>
      </c>
      <c r="M3920" s="40">
        <v>41874.0</v>
      </c>
      <c r="N3920" s="40">
        <v>41884.0</v>
      </c>
      <c r="O3920" s="15" t="s">
        <v>1554</v>
      </c>
      <c r="Q3920" s="7"/>
    </row>
    <row r="3921">
      <c r="A3921" s="39" t="s">
        <v>15892</v>
      </c>
      <c r="B3921" s="15">
        <v>1534548.0</v>
      </c>
      <c r="C3921" s="15" t="s">
        <v>15893</v>
      </c>
      <c r="D3921" s="15">
        <v>259981.0</v>
      </c>
      <c r="E3921" s="15" t="s">
        <v>1548</v>
      </c>
      <c r="F3921" s="15" t="s">
        <v>1776</v>
      </c>
      <c r="G3921" s="7">
        <v>9.591</v>
      </c>
      <c r="H3921" s="15" t="s">
        <v>3066</v>
      </c>
      <c r="I3921" s="15" t="s">
        <v>1686</v>
      </c>
      <c r="J3921" s="15" t="s">
        <v>15894</v>
      </c>
      <c r="K3921" s="15">
        <v>1.0</v>
      </c>
      <c r="L3921" s="15">
        <v>1.0</v>
      </c>
      <c r="M3921" s="40">
        <v>41874.0</v>
      </c>
      <c r="N3921" s="40">
        <v>41884.0</v>
      </c>
      <c r="O3921" s="15" t="s">
        <v>1554</v>
      </c>
      <c r="Q3921" s="7"/>
    </row>
    <row r="3922">
      <c r="A3922" s="39" t="s">
        <v>15895</v>
      </c>
      <c r="B3922" s="15">
        <v>1534547.0</v>
      </c>
      <c r="C3922" s="15" t="s">
        <v>15896</v>
      </c>
      <c r="D3922" s="15">
        <v>259982.0</v>
      </c>
      <c r="E3922" s="15" t="s">
        <v>1548</v>
      </c>
      <c r="F3922" s="15" t="s">
        <v>1776</v>
      </c>
      <c r="G3922" s="7">
        <v>9.564</v>
      </c>
      <c r="H3922" s="15" t="s">
        <v>1983</v>
      </c>
      <c r="I3922" s="15" t="s">
        <v>1686</v>
      </c>
      <c r="J3922" s="15" t="s">
        <v>15897</v>
      </c>
      <c r="K3922" s="15">
        <v>1.0</v>
      </c>
      <c r="L3922" s="15">
        <v>1.0</v>
      </c>
      <c r="M3922" s="40">
        <v>41874.0</v>
      </c>
      <c r="N3922" s="40">
        <v>41884.0</v>
      </c>
      <c r="O3922" s="15" t="s">
        <v>1554</v>
      </c>
      <c r="Q3922" s="7"/>
    </row>
    <row r="3923">
      <c r="A3923" s="39" t="s">
        <v>15898</v>
      </c>
      <c r="B3923" s="15">
        <v>1534546.0</v>
      </c>
      <c r="C3923" s="15" t="s">
        <v>15899</v>
      </c>
      <c r="D3923" s="15">
        <v>259983.0</v>
      </c>
      <c r="E3923" s="15" t="s">
        <v>1548</v>
      </c>
      <c r="F3923" s="15" t="s">
        <v>1776</v>
      </c>
      <c r="G3923" s="7">
        <v>7.167</v>
      </c>
      <c r="H3923" s="15" t="s">
        <v>3082</v>
      </c>
      <c r="I3923" s="15" t="s">
        <v>1686</v>
      </c>
      <c r="J3923" s="15" t="s">
        <v>15900</v>
      </c>
      <c r="K3923" s="15">
        <v>1.0</v>
      </c>
      <c r="L3923" s="15">
        <v>1.0</v>
      </c>
      <c r="M3923" s="40">
        <v>41874.0</v>
      </c>
      <c r="N3923" s="40">
        <v>41884.0</v>
      </c>
      <c r="O3923" s="15" t="s">
        <v>1554</v>
      </c>
      <c r="Q3923" s="7"/>
    </row>
    <row r="3924">
      <c r="A3924" s="39" t="s">
        <v>15901</v>
      </c>
      <c r="B3924" s="15">
        <v>1534545.0</v>
      </c>
      <c r="C3924" s="15" t="s">
        <v>15902</v>
      </c>
      <c r="D3924" s="15">
        <v>259984.0</v>
      </c>
      <c r="E3924" s="15" t="s">
        <v>1548</v>
      </c>
      <c r="F3924" s="15" t="s">
        <v>1776</v>
      </c>
      <c r="G3924" s="7">
        <v>7.31</v>
      </c>
      <c r="H3924" s="15" t="s">
        <v>4736</v>
      </c>
      <c r="I3924" s="15" t="s">
        <v>1686</v>
      </c>
      <c r="J3924" s="15" t="s">
        <v>15903</v>
      </c>
      <c r="K3924" s="15">
        <v>1.0</v>
      </c>
      <c r="L3924" s="15">
        <v>1.0</v>
      </c>
      <c r="M3924" s="40">
        <v>41874.0</v>
      </c>
      <c r="N3924" s="40">
        <v>41884.0</v>
      </c>
      <c r="O3924" s="15" t="s">
        <v>1554</v>
      </c>
      <c r="Q3924" s="7"/>
    </row>
    <row r="3925">
      <c r="A3925" s="39" t="s">
        <v>15904</v>
      </c>
      <c r="B3925" s="15">
        <v>80341.0</v>
      </c>
      <c r="C3925" s="15" t="s">
        <v>15905</v>
      </c>
      <c r="D3925" s="15">
        <v>259985.0</v>
      </c>
      <c r="E3925" s="15" t="s">
        <v>1557</v>
      </c>
      <c r="F3925" s="15" t="s">
        <v>1827</v>
      </c>
      <c r="G3925" s="7">
        <v>151.601</v>
      </c>
      <c r="H3925" s="15" t="s">
        <v>3657</v>
      </c>
      <c r="I3925" s="15" t="s">
        <v>1686</v>
      </c>
      <c r="J3925" s="15" t="s">
        <v>15907</v>
      </c>
      <c r="K3925" s="15">
        <v>80.0</v>
      </c>
      <c r="L3925" s="15">
        <v>80.0</v>
      </c>
      <c r="M3925" s="40">
        <v>41878.0</v>
      </c>
      <c r="N3925" s="41">
        <v>41934.0</v>
      </c>
      <c r="O3925" s="15" t="s">
        <v>1554</v>
      </c>
      <c r="Q3925" s="7"/>
    </row>
    <row r="3926">
      <c r="A3926" s="39" t="s">
        <v>15908</v>
      </c>
      <c r="B3926" s="15">
        <v>1538101.0</v>
      </c>
      <c r="C3926" s="15" t="s">
        <v>15909</v>
      </c>
      <c r="D3926" s="15">
        <v>259986.0</v>
      </c>
      <c r="E3926" s="15" t="s">
        <v>2014</v>
      </c>
      <c r="F3926" s="15" t="s">
        <v>1578</v>
      </c>
      <c r="G3926" s="7">
        <v>0.687</v>
      </c>
      <c r="H3926" s="15">
        <v>41.0</v>
      </c>
      <c r="I3926" s="15" t="s">
        <v>1628</v>
      </c>
      <c r="J3926" s="15" t="s">
        <v>15910</v>
      </c>
      <c r="K3926" s="15" t="s">
        <v>1722</v>
      </c>
      <c r="L3926" s="15" t="s">
        <v>1722</v>
      </c>
      <c r="M3926" s="40">
        <v>41878.0</v>
      </c>
      <c r="N3926" s="40">
        <v>41884.0</v>
      </c>
      <c r="O3926" s="15" t="s">
        <v>1554</v>
      </c>
      <c r="Q3926" s="7"/>
    </row>
    <row r="3927">
      <c r="A3927" s="39" t="s">
        <v>15911</v>
      </c>
      <c r="B3927" s="15">
        <v>1537168.0</v>
      </c>
      <c r="C3927" s="15" t="s">
        <v>15912</v>
      </c>
      <c r="D3927" s="15">
        <v>259987.0</v>
      </c>
      <c r="E3927" s="15" t="s">
        <v>1808</v>
      </c>
      <c r="F3927" s="15" t="s">
        <v>1578</v>
      </c>
      <c r="G3927" s="7">
        <v>2.564</v>
      </c>
      <c r="H3927" s="15" t="s">
        <v>2107</v>
      </c>
      <c r="I3927" s="15" t="s">
        <v>1706</v>
      </c>
      <c r="J3927" s="15" t="s">
        <v>15913</v>
      </c>
      <c r="K3927" s="15">
        <v>2.0</v>
      </c>
      <c r="L3927" s="15">
        <v>2.0</v>
      </c>
      <c r="M3927" s="40">
        <v>41881.0</v>
      </c>
      <c r="N3927" s="40">
        <v>41884.0</v>
      </c>
      <c r="O3927" s="15" t="s">
        <v>1554</v>
      </c>
      <c r="Q3927" s="7"/>
    </row>
    <row r="3928">
      <c r="A3928" s="39" t="s">
        <v>15914</v>
      </c>
      <c r="B3928" s="15">
        <v>1537167.0</v>
      </c>
      <c r="C3928" s="15" t="s">
        <v>15915</v>
      </c>
      <c r="D3928" s="15">
        <v>259988.0</v>
      </c>
      <c r="E3928" s="15" t="s">
        <v>1808</v>
      </c>
      <c r="F3928" s="15" t="s">
        <v>1578</v>
      </c>
      <c r="G3928" s="7">
        <v>2.477</v>
      </c>
      <c r="H3928" s="15" t="s">
        <v>2324</v>
      </c>
      <c r="I3928" s="15" t="s">
        <v>1706</v>
      </c>
      <c r="J3928" s="15" t="s">
        <v>15916</v>
      </c>
      <c r="K3928" s="15">
        <v>2.0</v>
      </c>
      <c r="L3928" s="15">
        <v>2.0</v>
      </c>
      <c r="M3928" s="40">
        <v>41881.0</v>
      </c>
      <c r="N3928" s="40">
        <v>41884.0</v>
      </c>
      <c r="O3928" s="15" t="s">
        <v>1554</v>
      </c>
      <c r="Q3928" s="7"/>
    </row>
    <row r="3929">
      <c r="A3929" s="39" t="s">
        <v>15917</v>
      </c>
      <c r="B3929" s="15">
        <v>1537166.0</v>
      </c>
      <c r="C3929" s="15" t="s">
        <v>15918</v>
      </c>
      <c r="D3929" s="15">
        <v>259989.0</v>
      </c>
      <c r="E3929" s="15" t="s">
        <v>1808</v>
      </c>
      <c r="F3929" s="15" t="s">
        <v>1578</v>
      </c>
      <c r="G3929" s="7">
        <v>2.601</v>
      </c>
      <c r="H3929" s="15" t="s">
        <v>2189</v>
      </c>
      <c r="I3929" s="15" t="s">
        <v>1706</v>
      </c>
      <c r="J3929" s="15" t="s">
        <v>15920</v>
      </c>
      <c r="K3929" s="15">
        <v>2.0</v>
      </c>
      <c r="L3929" s="15">
        <v>2.0</v>
      </c>
      <c r="M3929" s="40">
        <v>41881.0</v>
      </c>
      <c r="N3929" s="40">
        <v>41884.0</v>
      </c>
      <c r="O3929" s="15" t="s">
        <v>1554</v>
      </c>
      <c r="Q3929" s="7"/>
    </row>
    <row r="3930">
      <c r="A3930" s="39" t="s">
        <v>15921</v>
      </c>
      <c r="B3930" s="15">
        <v>1537165.0</v>
      </c>
      <c r="C3930" s="15" t="s">
        <v>15922</v>
      </c>
      <c r="D3930" s="15">
        <v>259990.0</v>
      </c>
      <c r="E3930" s="15" t="s">
        <v>1808</v>
      </c>
      <c r="F3930" s="15" t="s">
        <v>1578</v>
      </c>
      <c r="G3930" s="7">
        <v>2.603</v>
      </c>
      <c r="H3930" s="15" t="s">
        <v>2417</v>
      </c>
      <c r="I3930" s="15" t="s">
        <v>1706</v>
      </c>
      <c r="J3930" s="15" t="s">
        <v>15923</v>
      </c>
      <c r="K3930" s="15">
        <v>2.0</v>
      </c>
      <c r="L3930" s="15">
        <v>2.0</v>
      </c>
      <c r="M3930" s="40">
        <v>41881.0</v>
      </c>
      <c r="N3930" s="40">
        <v>41884.0</v>
      </c>
      <c r="O3930" s="15" t="s">
        <v>1554</v>
      </c>
      <c r="Q3930" s="7"/>
    </row>
    <row r="3931">
      <c r="A3931" s="39" t="s">
        <v>15924</v>
      </c>
      <c r="B3931" s="15">
        <v>1537164.0</v>
      </c>
      <c r="C3931" s="15" t="s">
        <v>15925</v>
      </c>
      <c r="D3931" s="15">
        <v>259991.0</v>
      </c>
      <c r="E3931" s="15" t="s">
        <v>1808</v>
      </c>
      <c r="F3931" s="15" t="s">
        <v>1578</v>
      </c>
      <c r="G3931" s="7">
        <v>2.59</v>
      </c>
      <c r="H3931" s="15" t="s">
        <v>3882</v>
      </c>
      <c r="I3931" s="15" t="s">
        <v>1706</v>
      </c>
      <c r="J3931" s="15" t="s">
        <v>15926</v>
      </c>
      <c r="K3931" s="15">
        <v>2.0</v>
      </c>
      <c r="L3931" s="15">
        <v>2.0</v>
      </c>
      <c r="M3931" s="40">
        <v>41881.0</v>
      </c>
      <c r="N3931" s="40">
        <v>41884.0</v>
      </c>
      <c r="O3931" s="15" t="s">
        <v>1554</v>
      </c>
      <c r="Q3931" s="7"/>
    </row>
    <row r="3932">
      <c r="A3932" s="39" t="s">
        <v>15927</v>
      </c>
      <c r="B3932" s="15">
        <v>1498204.0</v>
      </c>
      <c r="C3932" s="15" t="s">
        <v>15928</v>
      </c>
      <c r="D3932" s="15">
        <v>253323.0</v>
      </c>
      <c r="E3932" s="15" t="s">
        <v>1557</v>
      </c>
      <c r="F3932" s="15" t="s">
        <v>1833</v>
      </c>
      <c r="G3932" s="7">
        <v>50.61</v>
      </c>
      <c r="H3932" s="15" t="s">
        <v>3832</v>
      </c>
      <c r="I3932" s="15" t="s">
        <v>1586</v>
      </c>
      <c r="J3932" s="15" t="s">
        <v>15929</v>
      </c>
      <c r="K3932" s="15">
        <v>87.0</v>
      </c>
      <c r="L3932" s="15">
        <v>87.0</v>
      </c>
      <c r="M3932" s="40">
        <v>41783.0</v>
      </c>
      <c r="N3932" s="40">
        <v>41814.0</v>
      </c>
      <c r="O3932" s="15" t="s">
        <v>1554</v>
      </c>
      <c r="Q3932" s="7"/>
    </row>
    <row r="3933">
      <c r="A3933" s="39" t="s">
        <v>15930</v>
      </c>
      <c r="B3933" s="15">
        <v>1500713.0</v>
      </c>
      <c r="C3933" s="15" t="s">
        <v>15931</v>
      </c>
      <c r="D3933" s="15">
        <v>253324.0</v>
      </c>
      <c r="E3933" s="15" t="s">
        <v>1557</v>
      </c>
      <c r="F3933" s="15" t="s">
        <v>1767</v>
      </c>
      <c r="G3933" s="7">
        <v>41.569</v>
      </c>
      <c r="H3933" s="15" t="s">
        <v>3538</v>
      </c>
      <c r="I3933" s="15" t="s">
        <v>1586</v>
      </c>
      <c r="J3933" s="15" t="s">
        <v>15933</v>
      </c>
      <c r="K3933" s="15">
        <v>67.0</v>
      </c>
      <c r="L3933" s="15">
        <v>67.0</v>
      </c>
      <c r="M3933" s="40">
        <v>41785.0</v>
      </c>
      <c r="N3933" s="40">
        <v>42011.0</v>
      </c>
      <c r="O3933" s="15" t="s">
        <v>1554</v>
      </c>
      <c r="Q3933" s="7"/>
    </row>
    <row r="3934">
      <c r="A3934" s="39" t="s">
        <v>15934</v>
      </c>
      <c r="B3934" s="15">
        <v>1416030.0</v>
      </c>
      <c r="C3934" s="15" t="s">
        <v>15935</v>
      </c>
      <c r="D3934" s="15">
        <v>260420.0</v>
      </c>
      <c r="E3934" s="15" t="s">
        <v>1557</v>
      </c>
      <c r="F3934" s="15" t="s">
        <v>1833</v>
      </c>
      <c r="G3934" s="7">
        <v>46.44</v>
      </c>
      <c r="H3934" s="15" t="s">
        <v>3066</v>
      </c>
      <c r="I3934" s="15" t="s">
        <v>1586</v>
      </c>
      <c r="J3934" s="15" t="s">
        <v>15936</v>
      </c>
      <c r="K3934" s="15">
        <v>82.0</v>
      </c>
      <c r="L3934" s="15">
        <v>81.0</v>
      </c>
      <c r="M3934" s="40">
        <v>41832.0</v>
      </c>
      <c r="N3934" s="40">
        <v>41891.0</v>
      </c>
      <c r="O3934" s="15" t="s">
        <v>1554</v>
      </c>
      <c r="Q3934" s="7"/>
    </row>
    <row r="3935">
      <c r="A3935" s="39" t="s">
        <v>15937</v>
      </c>
      <c r="B3935" s="15">
        <v>1391190.0</v>
      </c>
      <c r="C3935" s="15" t="s">
        <v>15938</v>
      </c>
      <c r="D3935" s="15">
        <v>260422.0</v>
      </c>
      <c r="E3935" s="15" t="s">
        <v>1557</v>
      </c>
      <c r="F3935" s="15" t="s">
        <v>1833</v>
      </c>
      <c r="G3935" s="7">
        <v>36.838</v>
      </c>
      <c r="H3935" s="15" t="s">
        <v>12937</v>
      </c>
      <c r="I3935" s="15" t="s">
        <v>1586</v>
      </c>
      <c r="J3935" s="15" t="s">
        <v>15939</v>
      </c>
      <c r="K3935" s="15">
        <v>50.0</v>
      </c>
      <c r="L3935" s="15">
        <v>50.0</v>
      </c>
      <c r="M3935" s="40">
        <v>41851.0</v>
      </c>
      <c r="N3935" s="40">
        <v>41891.0</v>
      </c>
      <c r="O3935" s="15" t="s">
        <v>1554</v>
      </c>
      <c r="Q3935" s="7"/>
    </row>
    <row r="3936">
      <c r="A3936" s="39" t="s">
        <v>15940</v>
      </c>
      <c r="B3936" s="15">
        <v>1486662.0</v>
      </c>
      <c r="C3936" s="15" t="s">
        <v>15941</v>
      </c>
      <c r="D3936" s="15">
        <v>260451.0</v>
      </c>
      <c r="E3936" s="15" t="s">
        <v>1557</v>
      </c>
      <c r="F3936" s="15" t="s">
        <v>1767</v>
      </c>
      <c r="G3936" s="7">
        <v>162.816</v>
      </c>
      <c r="H3936" s="15" t="s">
        <v>2233</v>
      </c>
      <c r="I3936" s="15" t="s">
        <v>1586</v>
      </c>
      <c r="J3936" s="15" t="s">
        <v>15942</v>
      </c>
      <c r="K3936" s="15">
        <v>290.0</v>
      </c>
      <c r="L3936" s="15">
        <v>290.0</v>
      </c>
      <c r="M3936" s="40">
        <v>41839.0</v>
      </c>
      <c r="N3936" s="40">
        <v>41949.0</v>
      </c>
      <c r="O3936" s="15" t="s">
        <v>1554</v>
      </c>
      <c r="Q3936" s="7"/>
    </row>
    <row r="3937">
      <c r="A3937" s="39" t="s">
        <v>15944</v>
      </c>
      <c r="B3937" s="15">
        <v>1486413.0</v>
      </c>
      <c r="C3937" s="15" t="s">
        <v>15945</v>
      </c>
      <c r="D3937" s="15">
        <v>260452.0</v>
      </c>
      <c r="E3937" s="15" t="s">
        <v>1557</v>
      </c>
      <c r="F3937" s="15" t="s">
        <v>1767</v>
      </c>
      <c r="G3937" s="7">
        <v>132.541</v>
      </c>
      <c r="H3937" s="15">
        <v>36.0</v>
      </c>
      <c r="I3937" s="15" t="s">
        <v>1586</v>
      </c>
      <c r="J3937" s="15" t="s">
        <v>15946</v>
      </c>
      <c r="K3937" s="15">
        <v>186.0</v>
      </c>
      <c r="L3937" s="15">
        <v>177.0</v>
      </c>
      <c r="M3937" s="40">
        <v>41811.0</v>
      </c>
      <c r="N3937" s="40">
        <v>41891.0</v>
      </c>
      <c r="O3937" s="15" t="s">
        <v>1554</v>
      </c>
      <c r="Q3937" s="7"/>
    </row>
    <row r="3938">
      <c r="A3938" s="39" t="s">
        <v>15947</v>
      </c>
      <c r="B3938" s="15">
        <v>1527469.0</v>
      </c>
      <c r="C3938" s="15" t="s">
        <v>15948</v>
      </c>
      <c r="D3938" s="15">
        <v>260453.0</v>
      </c>
      <c r="E3938" s="15" t="s">
        <v>1557</v>
      </c>
      <c r="F3938" s="15" t="s">
        <v>1767</v>
      </c>
      <c r="G3938" s="7">
        <v>160.281</v>
      </c>
      <c r="H3938" s="15" t="s">
        <v>1710</v>
      </c>
      <c r="I3938" s="15" t="s">
        <v>1586</v>
      </c>
      <c r="J3938" s="15" t="s">
        <v>15949</v>
      </c>
      <c r="K3938" s="15">
        <v>256.0</v>
      </c>
      <c r="L3938" s="15">
        <v>247.0</v>
      </c>
      <c r="M3938" s="40">
        <v>41857.0</v>
      </c>
      <c r="N3938" s="40">
        <v>41891.0</v>
      </c>
      <c r="O3938" s="15" t="s">
        <v>1554</v>
      </c>
      <c r="Q3938" s="7"/>
    </row>
    <row r="3939">
      <c r="A3939" s="39" t="s">
        <v>15950</v>
      </c>
      <c r="B3939" s="15">
        <v>1527514.0</v>
      </c>
      <c r="C3939" s="15" t="s">
        <v>15951</v>
      </c>
      <c r="D3939" s="15">
        <v>260479.0</v>
      </c>
      <c r="E3939" s="15" t="s">
        <v>1557</v>
      </c>
      <c r="F3939" s="15" t="s">
        <v>1833</v>
      </c>
      <c r="G3939" s="7">
        <v>44.332</v>
      </c>
      <c r="H3939" s="15" t="s">
        <v>4673</v>
      </c>
      <c r="I3939" s="15" t="s">
        <v>1586</v>
      </c>
      <c r="J3939" s="15" t="s">
        <v>15952</v>
      </c>
      <c r="K3939" s="15">
        <v>62.0</v>
      </c>
      <c r="L3939" s="15">
        <v>62.0</v>
      </c>
      <c r="M3939" s="40">
        <v>41877.0</v>
      </c>
      <c r="N3939" s="40">
        <v>41891.0</v>
      </c>
      <c r="O3939" s="15" t="s">
        <v>1554</v>
      </c>
      <c r="Q3939" s="7"/>
    </row>
    <row r="3940">
      <c r="A3940" s="39" t="s">
        <v>15954</v>
      </c>
      <c r="B3940" s="15">
        <v>1505225.0</v>
      </c>
      <c r="C3940" s="15" t="s">
        <v>15955</v>
      </c>
      <c r="D3940" s="15">
        <v>260480.0</v>
      </c>
      <c r="E3940" s="15" t="s">
        <v>1557</v>
      </c>
      <c r="F3940" s="15" t="s">
        <v>1767</v>
      </c>
      <c r="G3940" s="7">
        <v>44.844</v>
      </c>
      <c r="H3940" s="15" t="s">
        <v>1714</v>
      </c>
      <c r="I3940" s="15" t="s">
        <v>1586</v>
      </c>
      <c r="J3940" s="15" t="s">
        <v>15956</v>
      </c>
      <c r="K3940" s="15">
        <v>84.0</v>
      </c>
      <c r="L3940" s="15">
        <v>84.0</v>
      </c>
      <c r="M3940" s="40">
        <v>41811.0</v>
      </c>
      <c r="N3940" s="40">
        <v>41891.0</v>
      </c>
      <c r="O3940" s="15" t="s">
        <v>1554</v>
      </c>
      <c r="Q3940" s="7"/>
    </row>
    <row r="3941">
      <c r="A3941" s="39" t="s">
        <v>15957</v>
      </c>
      <c r="B3941" s="15">
        <v>1416031.0</v>
      </c>
      <c r="C3941" s="15" t="s">
        <v>15958</v>
      </c>
      <c r="D3941" s="15">
        <v>260481.0</v>
      </c>
      <c r="E3941" s="15" t="s">
        <v>1557</v>
      </c>
      <c r="F3941" s="15" t="s">
        <v>1833</v>
      </c>
      <c r="G3941" s="7">
        <v>45.746</v>
      </c>
      <c r="H3941" s="15" t="s">
        <v>1613</v>
      </c>
      <c r="I3941" s="15" t="s">
        <v>1586</v>
      </c>
      <c r="J3941" s="15" t="s">
        <v>15959</v>
      </c>
      <c r="K3941" s="15">
        <v>75.0</v>
      </c>
      <c r="L3941" s="15">
        <v>74.0</v>
      </c>
      <c r="M3941" s="40">
        <v>41832.0</v>
      </c>
      <c r="N3941" s="40">
        <v>41891.0</v>
      </c>
      <c r="O3941" s="15" t="s">
        <v>1554</v>
      </c>
      <c r="Q3941" s="7"/>
    </row>
    <row r="3942">
      <c r="A3942" s="39" t="s">
        <v>15960</v>
      </c>
      <c r="B3942" s="15">
        <v>1416028.0</v>
      </c>
      <c r="C3942" s="15" t="s">
        <v>15961</v>
      </c>
      <c r="D3942" s="15">
        <v>260482.0</v>
      </c>
      <c r="E3942" s="15" t="s">
        <v>1557</v>
      </c>
      <c r="F3942" s="15" t="s">
        <v>1833</v>
      </c>
      <c r="G3942" s="7">
        <v>46.847</v>
      </c>
      <c r="H3942" s="15">
        <v>44.0</v>
      </c>
      <c r="I3942" s="15" t="s">
        <v>1586</v>
      </c>
      <c r="J3942" s="15" t="s">
        <v>15962</v>
      </c>
      <c r="K3942" s="15">
        <v>77.0</v>
      </c>
      <c r="L3942" s="15">
        <v>76.0</v>
      </c>
      <c r="M3942" s="40">
        <v>41832.0</v>
      </c>
      <c r="N3942" s="40">
        <v>41891.0</v>
      </c>
      <c r="O3942" s="15" t="s">
        <v>1554</v>
      </c>
      <c r="Q3942" s="7"/>
    </row>
    <row r="3943">
      <c r="A3943" s="39" t="s">
        <v>15963</v>
      </c>
      <c r="B3943" s="15">
        <v>1395983.0</v>
      </c>
      <c r="C3943" s="15" t="s">
        <v>15964</v>
      </c>
      <c r="D3943" s="15">
        <v>260483.0</v>
      </c>
      <c r="E3943" s="15" t="s">
        <v>1557</v>
      </c>
      <c r="F3943" s="15" t="s">
        <v>1611</v>
      </c>
      <c r="G3943" s="7">
        <v>71.248</v>
      </c>
      <c r="H3943" s="15" t="s">
        <v>1943</v>
      </c>
      <c r="I3943" s="15" t="s">
        <v>1586</v>
      </c>
      <c r="J3943" s="15" t="s">
        <v>15966</v>
      </c>
      <c r="K3943" s="15">
        <v>84.0</v>
      </c>
      <c r="L3943" s="15">
        <v>83.0</v>
      </c>
      <c r="M3943" s="40">
        <v>41813.0</v>
      </c>
      <c r="N3943" s="40">
        <v>41891.0</v>
      </c>
      <c r="O3943" s="15" t="s">
        <v>1554</v>
      </c>
      <c r="Q3943" s="7"/>
    </row>
    <row r="3944">
      <c r="A3944" s="39" t="s">
        <v>15967</v>
      </c>
      <c r="B3944" s="15">
        <v>1391224.0</v>
      </c>
      <c r="C3944" s="15" t="s">
        <v>15968</v>
      </c>
      <c r="D3944" s="15">
        <v>260484.0</v>
      </c>
      <c r="E3944" s="15" t="s">
        <v>1557</v>
      </c>
      <c r="F3944" s="15" t="s">
        <v>1767</v>
      </c>
      <c r="G3944" s="7">
        <v>167.318</v>
      </c>
      <c r="H3944" s="15" t="s">
        <v>2396</v>
      </c>
      <c r="I3944" s="15" t="s">
        <v>1586</v>
      </c>
      <c r="J3944" s="15" t="s">
        <v>15969</v>
      </c>
      <c r="K3944" s="15">
        <v>257.0</v>
      </c>
      <c r="L3944" s="15">
        <v>254.0</v>
      </c>
      <c r="M3944" s="40">
        <v>41813.0</v>
      </c>
      <c r="N3944" s="40">
        <v>41891.0</v>
      </c>
      <c r="O3944" s="15" t="s">
        <v>1554</v>
      </c>
      <c r="Q3944" s="7"/>
    </row>
    <row r="3945">
      <c r="A3945" s="39" t="s">
        <v>15970</v>
      </c>
      <c r="B3945" s="15">
        <v>1391223.0</v>
      </c>
      <c r="C3945" s="15" t="s">
        <v>15971</v>
      </c>
      <c r="D3945" s="15">
        <v>260485.0</v>
      </c>
      <c r="E3945" s="15" t="s">
        <v>1557</v>
      </c>
      <c r="F3945" s="15" t="s">
        <v>1611</v>
      </c>
      <c r="G3945" s="7">
        <v>71.778</v>
      </c>
      <c r="H3945" s="15" t="s">
        <v>1685</v>
      </c>
      <c r="I3945" s="15" t="s">
        <v>1586</v>
      </c>
      <c r="J3945" s="15" t="s">
        <v>15972</v>
      </c>
      <c r="K3945" s="15">
        <v>84.0</v>
      </c>
      <c r="L3945" s="15">
        <v>83.0</v>
      </c>
      <c r="M3945" s="40">
        <v>41813.0</v>
      </c>
      <c r="N3945" s="40">
        <v>41891.0</v>
      </c>
      <c r="O3945" s="15" t="s">
        <v>1554</v>
      </c>
      <c r="Q3945" s="7"/>
    </row>
    <row r="3946">
      <c r="A3946" s="39" t="s">
        <v>15973</v>
      </c>
      <c r="B3946" s="15">
        <v>1529058.0</v>
      </c>
      <c r="C3946" s="15" t="s">
        <v>15974</v>
      </c>
      <c r="D3946" s="15">
        <v>260486.0</v>
      </c>
      <c r="E3946" s="15" t="s">
        <v>1557</v>
      </c>
      <c r="F3946" s="15" t="s">
        <v>1611</v>
      </c>
      <c r="G3946" s="7">
        <v>50.44</v>
      </c>
      <c r="H3946" s="15" t="s">
        <v>3255</v>
      </c>
      <c r="I3946" s="15" t="s">
        <v>1586</v>
      </c>
      <c r="J3946" s="15" t="s">
        <v>15975</v>
      </c>
      <c r="K3946" s="15">
        <v>57.0</v>
      </c>
      <c r="L3946" s="15">
        <v>57.0</v>
      </c>
      <c r="M3946" s="40">
        <v>41857.0</v>
      </c>
      <c r="N3946" s="40">
        <v>41891.0</v>
      </c>
      <c r="O3946" s="15" t="s">
        <v>1554</v>
      </c>
      <c r="Q3946" s="7"/>
    </row>
    <row r="3947">
      <c r="A3947" s="39" t="s">
        <v>15976</v>
      </c>
      <c r="B3947" s="15">
        <v>1445557.0</v>
      </c>
      <c r="C3947" s="15" t="s">
        <v>15977</v>
      </c>
      <c r="D3947" s="15">
        <v>260714.0</v>
      </c>
      <c r="E3947" s="15" t="s">
        <v>1548</v>
      </c>
      <c r="F3947" s="15" t="s">
        <v>1801</v>
      </c>
      <c r="G3947" s="7">
        <v>10.365</v>
      </c>
      <c r="H3947" s="15" t="s">
        <v>2365</v>
      </c>
      <c r="I3947" s="15" t="s">
        <v>1560</v>
      </c>
      <c r="J3947" s="15" t="s">
        <v>15979</v>
      </c>
      <c r="K3947" s="15">
        <v>1.0</v>
      </c>
      <c r="L3947" s="15">
        <v>2.0</v>
      </c>
      <c r="M3947" s="40">
        <v>41889.0</v>
      </c>
      <c r="N3947" s="40">
        <v>42563.0</v>
      </c>
      <c r="O3947" s="15" t="s">
        <v>1554</v>
      </c>
      <c r="Q3947" s="7"/>
    </row>
    <row r="3948">
      <c r="A3948" s="39" t="s">
        <v>15980</v>
      </c>
      <c r="B3948" s="15">
        <v>649187.0</v>
      </c>
      <c r="C3948" s="15" t="s">
        <v>15981</v>
      </c>
      <c r="D3948" s="15">
        <v>260751.0</v>
      </c>
      <c r="E3948" s="15" t="s">
        <v>1548</v>
      </c>
      <c r="F3948" s="15" t="s">
        <v>1801</v>
      </c>
      <c r="G3948" s="7">
        <v>10.32</v>
      </c>
      <c r="H3948" s="15" t="s">
        <v>1670</v>
      </c>
      <c r="I3948" s="15" t="s">
        <v>1560</v>
      </c>
      <c r="J3948" s="15" t="s">
        <v>15982</v>
      </c>
      <c r="K3948" s="15">
        <v>1.0</v>
      </c>
      <c r="L3948" s="15">
        <v>2.0</v>
      </c>
      <c r="M3948" s="40">
        <v>41889.0</v>
      </c>
      <c r="N3948" s="40">
        <v>42563.0</v>
      </c>
      <c r="O3948" s="15" t="s">
        <v>1554</v>
      </c>
      <c r="Q3948" s="7"/>
    </row>
    <row r="3949">
      <c r="A3949" s="39" t="s">
        <v>15983</v>
      </c>
      <c r="B3949" s="15">
        <v>1538550.0</v>
      </c>
      <c r="C3949" s="15" t="s">
        <v>15984</v>
      </c>
      <c r="D3949" s="15">
        <v>260752.0</v>
      </c>
      <c r="E3949" s="15" t="s">
        <v>2014</v>
      </c>
      <c r="F3949" s="15" t="s">
        <v>1578</v>
      </c>
      <c r="G3949" s="7">
        <v>0.521</v>
      </c>
      <c r="H3949" s="15" t="s">
        <v>2089</v>
      </c>
      <c r="I3949" s="15" t="s">
        <v>1628</v>
      </c>
      <c r="J3949" s="15" t="s">
        <v>15985</v>
      </c>
      <c r="K3949" s="15" t="s">
        <v>1722</v>
      </c>
      <c r="L3949" s="15" t="s">
        <v>1722</v>
      </c>
      <c r="M3949" s="40">
        <v>41881.0</v>
      </c>
      <c r="N3949" s="40">
        <v>42740.0</v>
      </c>
      <c r="O3949" s="15" t="s">
        <v>1554</v>
      </c>
      <c r="Q3949" s="7"/>
    </row>
    <row r="3950">
      <c r="A3950" s="39" t="s">
        <v>15987</v>
      </c>
      <c r="B3950" s="15">
        <v>1538549.0</v>
      </c>
      <c r="C3950" s="15" t="s">
        <v>15988</v>
      </c>
      <c r="D3950" s="15">
        <v>260753.0</v>
      </c>
      <c r="E3950" s="15" t="s">
        <v>1548</v>
      </c>
      <c r="F3950" s="15" t="s">
        <v>2900</v>
      </c>
      <c r="G3950" s="7">
        <v>4.236</v>
      </c>
      <c r="H3950" s="15" t="s">
        <v>1957</v>
      </c>
      <c r="I3950" s="15" t="s">
        <v>1628</v>
      </c>
      <c r="J3950" s="15" t="s">
        <v>15989</v>
      </c>
      <c r="K3950" s="15">
        <v>3.0</v>
      </c>
      <c r="L3950" s="15">
        <v>3.0</v>
      </c>
      <c r="M3950" s="40">
        <v>41881.0</v>
      </c>
      <c r="N3950" s="40">
        <v>42739.0</v>
      </c>
      <c r="O3950" s="15" t="s">
        <v>1554</v>
      </c>
      <c r="Q3950" s="7"/>
    </row>
    <row r="3951">
      <c r="A3951" s="39" t="s">
        <v>15990</v>
      </c>
      <c r="B3951" s="15">
        <v>1532882.0</v>
      </c>
      <c r="C3951" s="15" t="s">
        <v>15991</v>
      </c>
      <c r="D3951" s="15">
        <v>260754.0</v>
      </c>
      <c r="E3951" s="15" t="s">
        <v>1808</v>
      </c>
      <c r="F3951" s="15" t="s">
        <v>1809</v>
      </c>
      <c r="G3951" s="7">
        <v>5.44</v>
      </c>
      <c r="H3951" s="15" t="s">
        <v>15992</v>
      </c>
      <c r="I3951" s="15" t="s">
        <v>1628</v>
      </c>
      <c r="J3951" s="15" t="s">
        <v>15993</v>
      </c>
      <c r="K3951" s="15">
        <v>8.0</v>
      </c>
      <c r="L3951" s="15">
        <v>8.0</v>
      </c>
      <c r="M3951" s="40">
        <v>41867.0</v>
      </c>
      <c r="N3951" s="41">
        <v>42297.0</v>
      </c>
      <c r="O3951" s="15" t="s">
        <v>1554</v>
      </c>
      <c r="Q3951" s="7"/>
    </row>
    <row r="3952">
      <c r="A3952" s="39" t="s">
        <v>15994</v>
      </c>
      <c r="B3952" s="15">
        <v>1453080.0</v>
      </c>
      <c r="C3952" s="15" t="s">
        <v>15995</v>
      </c>
      <c r="D3952" s="15">
        <v>261252.0</v>
      </c>
      <c r="E3952" s="15" t="s">
        <v>2014</v>
      </c>
      <c r="F3952" s="15" t="s">
        <v>1578</v>
      </c>
      <c r="G3952" s="7">
        <v>1.002</v>
      </c>
      <c r="H3952" s="15" t="s">
        <v>2597</v>
      </c>
      <c r="I3952" s="15" t="s">
        <v>1628</v>
      </c>
      <c r="J3952" s="15" t="s">
        <v>15996</v>
      </c>
      <c r="K3952" s="15">
        <v>3.0</v>
      </c>
      <c r="L3952" s="15">
        <v>3.0</v>
      </c>
      <c r="M3952" s="40">
        <v>34730.0</v>
      </c>
      <c r="N3952" s="40">
        <v>41899.0</v>
      </c>
      <c r="O3952" s="15" t="s">
        <v>1554</v>
      </c>
      <c r="Q3952" s="7"/>
    </row>
    <row r="3953">
      <c r="A3953" s="39" t="s">
        <v>15998</v>
      </c>
      <c r="B3953" s="15">
        <v>1391667.0</v>
      </c>
      <c r="C3953" s="15" t="s">
        <v>15999</v>
      </c>
      <c r="D3953" s="15">
        <v>261260.0</v>
      </c>
      <c r="E3953" s="15" t="s">
        <v>1808</v>
      </c>
      <c r="F3953" s="15" t="s">
        <v>2436</v>
      </c>
      <c r="G3953" s="7">
        <v>4.733</v>
      </c>
      <c r="H3953" s="15" t="s">
        <v>1994</v>
      </c>
      <c r="I3953" s="15" t="s">
        <v>1686</v>
      </c>
      <c r="J3953" s="15" t="s">
        <v>16000</v>
      </c>
      <c r="K3953" s="15">
        <v>4.0</v>
      </c>
      <c r="L3953" s="15">
        <v>4.0</v>
      </c>
      <c r="M3953" s="40">
        <v>41718.0</v>
      </c>
      <c r="N3953" s="40">
        <v>41899.0</v>
      </c>
      <c r="O3953" s="15" t="s">
        <v>1554</v>
      </c>
      <c r="Q3953" s="7"/>
    </row>
    <row r="3954">
      <c r="A3954" s="39" t="s">
        <v>16001</v>
      </c>
      <c r="B3954" s="15">
        <v>11023.0</v>
      </c>
      <c r="C3954" s="15" t="s">
        <v>16002</v>
      </c>
      <c r="D3954" s="15">
        <v>261261.0</v>
      </c>
      <c r="E3954" s="15" t="s">
        <v>1548</v>
      </c>
      <c r="F3954" s="15" t="s">
        <v>3181</v>
      </c>
      <c r="G3954" s="7">
        <v>11.55</v>
      </c>
      <c r="H3954" s="15" t="s">
        <v>1881</v>
      </c>
      <c r="I3954" s="15" t="s">
        <v>1751</v>
      </c>
      <c r="J3954" s="15" t="s">
        <v>16003</v>
      </c>
      <c r="K3954" s="15">
        <v>2.0</v>
      </c>
      <c r="L3954" s="15">
        <v>2.0</v>
      </c>
      <c r="M3954" s="40">
        <v>41892.0</v>
      </c>
      <c r="N3954" s="40">
        <v>41949.0</v>
      </c>
      <c r="O3954" s="15" t="s">
        <v>1554</v>
      </c>
      <c r="Q3954" s="7"/>
    </row>
    <row r="3955">
      <c r="A3955" s="39" t="s">
        <v>16004</v>
      </c>
      <c r="B3955" s="15">
        <v>1416349.0</v>
      </c>
      <c r="C3955" s="15" t="s">
        <v>16005</v>
      </c>
      <c r="D3955" s="15">
        <v>261347.0</v>
      </c>
      <c r="E3955" s="15" t="s">
        <v>1548</v>
      </c>
      <c r="F3955" s="15" t="s">
        <v>1801</v>
      </c>
      <c r="G3955" s="7">
        <v>9.355</v>
      </c>
      <c r="H3955" s="15" t="s">
        <v>1750</v>
      </c>
      <c r="I3955" s="15" t="s">
        <v>1686</v>
      </c>
      <c r="J3955" s="15" t="s">
        <v>16006</v>
      </c>
      <c r="K3955" s="15">
        <v>1.0</v>
      </c>
      <c r="L3955" s="15">
        <v>1.0</v>
      </c>
      <c r="M3955" s="40">
        <v>41894.0</v>
      </c>
      <c r="N3955" s="41">
        <v>42691.0</v>
      </c>
      <c r="O3955" s="15" t="s">
        <v>1554</v>
      </c>
      <c r="Q3955" s="7"/>
    </row>
    <row r="3956">
      <c r="A3956" s="39" t="s">
        <v>16007</v>
      </c>
      <c r="B3956" s="15">
        <v>1513489.0</v>
      </c>
      <c r="C3956" s="15" t="s">
        <v>16009</v>
      </c>
      <c r="D3956" s="15">
        <v>261351.0</v>
      </c>
      <c r="E3956" s="15" t="s">
        <v>1808</v>
      </c>
      <c r="F3956" s="15" t="s">
        <v>1809</v>
      </c>
      <c r="G3956" s="7">
        <v>5.453</v>
      </c>
      <c r="H3956" s="15" t="s">
        <v>16010</v>
      </c>
      <c r="I3956" s="15" t="s">
        <v>1628</v>
      </c>
      <c r="J3956" s="15" t="s">
        <v>16011</v>
      </c>
      <c r="K3956" s="15">
        <v>9.0</v>
      </c>
      <c r="L3956" s="15">
        <v>9.0</v>
      </c>
      <c r="M3956" s="40">
        <v>41881.0</v>
      </c>
      <c r="N3956" s="41">
        <v>42297.0</v>
      </c>
      <c r="O3956" s="15" t="s">
        <v>1554</v>
      </c>
      <c r="Q3956" s="7"/>
    </row>
    <row r="3957">
      <c r="A3957" s="39" t="s">
        <v>16012</v>
      </c>
      <c r="B3957" s="15">
        <v>1427157.0</v>
      </c>
      <c r="C3957" s="15" t="s">
        <v>16013</v>
      </c>
      <c r="D3957" s="15">
        <v>261352.0</v>
      </c>
      <c r="E3957" s="15" t="s">
        <v>1808</v>
      </c>
      <c r="F3957" s="15" t="s">
        <v>2232</v>
      </c>
      <c r="G3957" s="7">
        <v>2.149</v>
      </c>
      <c r="H3957" s="15" t="s">
        <v>5368</v>
      </c>
      <c r="I3957" s="15" t="s">
        <v>1567</v>
      </c>
      <c r="J3957" s="15" t="s">
        <v>16014</v>
      </c>
      <c r="K3957" s="15">
        <v>3.0</v>
      </c>
      <c r="L3957" s="15">
        <v>3.0</v>
      </c>
      <c r="M3957" s="41">
        <v>41604.0</v>
      </c>
      <c r="N3957" s="40">
        <v>41900.0</v>
      </c>
      <c r="O3957" s="15" t="s">
        <v>1554</v>
      </c>
      <c r="Q3957" s="7"/>
    </row>
    <row r="3958">
      <c r="A3958" s="39" t="s">
        <v>16015</v>
      </c>
      <c r="B3958" s="15">
        <v>1427156.0</v>
      </c>
      <c r="C3958" s="15" t="s">
        <v>16016</v>
      </c>
      <c r="D3958" s="15">
        <v>261353.0</v>
      </c>
      <c r="E3958" s="15" t="s">
        <v>1808</v>
      </c>
      <c r="F3958" s="15" t="s">
        <v>2232</v>
      </c>
      <c r="G3958" s="7">
        <v>2.169</v>
      </c>
      <c r="H3958" s="15" t="s">
        <v>3297</v>
      </c>
      <c r="I3958" s="15" t="s">
        <v>1567</v>
      </c>
      <c r="J3958" s="15" t="s">
        <v>16018</v>
      </c>
      <c r="K3958" s="15">
        <v>3.0</v>
      </c>
      <c r="L3958" s="15">
        <v>3.0</v>
      </c>
      <c r="M3958" s="41">
        <v>41604.0</v>
      </c>
      <c r="N3958" s="40">
        <v>41900.0</v>
      </c>
      <c r="O3958" s="15" t="s">
        <v>1554</v>
      </c>
      <c r="Q3958" s="7"/>
    </row>
    <row r="3959">
      <c r="A3959" s="39" t="s">
        <v>16019</v>
      </c>
      <c r="B3959" s="15">
        <v>1036963.0</v>
      </c>
      <c r="C3959" s="15" t="s">
        <v>16020</v>
      </c>
      <c r="D3959" s="15">
        <v>261355.0</v>
      </c>
      <c r="E3959" s="15" t="s">
        <v>1557</v>
      </c>
      <c r="F3959" s="15" t="s">
        <v>1822</v>
      </c>
      <c r="G3959" s="7">
        <v>7.589</v>
      </c>
      <c r="H3959" s="15" t="s">
        <v>3082</v>
      </c>
      <c r="I3959" s="15" t="s">
        <v>1686</v>
      </c>
      <c r="J3959" s="15" t="s">
        <v>16021</v>
      </c>
      <c r="K3959" s="15">
        <v>7.0</v>
      </c>
      <c r="L3959" s="15">
        <v>7.0</v>
      </c>
      <c r="M3959" s="40">
        <v>40714.0</v>
      </c>
      <c r="N3959" s="40">
        <v>41900.0</v>
      </c>
      <c r="O3959" s="15" t="s">
        <v>1554</v>
      </c>
      <c r="Q3959" s="7"/>
    </row>
    <row r="3960">
      <c r="A3960" s="39" t="s">
        <v>16022</v>
      </c>
      <c r="B3960" s="15">
        <v>1543207.0</v>
      </c>
      <c r="C3960" s="15" t="s">
        <v>16023</v>
      </c>
      <c r="D3960" s="15">
        <v>261443.0</v>
      </c>
      <c r="E3960" s="15" t="s">
        <v>1548</v>
      </c>
      <c r="F3960" s="15" t="s">
        <v>1790</v>
      </c>
      <c r="G3960" s="7">
        <v>17.656</v>
      </c>
      <c r="H3960" s="15" t="s">
        <v>2686</v>
      </c>
      <c r="I3960" s="15" t="s">
        <v>1628</v>
      </c>
      <c r="J3960" s="15" t="s">
        <v>16024</v>
      </c>
      <c r="K3960" s="15">
        <v>13.0</v>
      </c>
      <c r="L3960" s="15">
        <v>13.0</v>
      </c>
      <c r="M3960" s="40">
        <v>41897.0</v>
      </c>
      <c r="N3960" s="40">
        <v>41905.0</v>
      </c>
      <c r="O3960" s="15" t="s">
        <v>1554</v>
      </c>
      <c r="Q3960" s="7"/>
    </row>
    <row r="3961">
      <c r="A3961" s="39" t="s">
        <v>16026</v>
      </c>
      <c r="B3961" s="15">
        <v>1543419.0</v>
      </c>
      <c r="C3961" s="15" t="s">
        <v>16027</v>
      </c>
      <c r="D3961" s="15">
        <v>261536.0</v>
      </c>
      <c r="E3961" s="15" t="s">
        <v>1808</v>
      </c>
      <c r="F3961" s="15" t="s">
        <v>2232</v>
      </c>
      <c r="G3961" s="7">
        <v>2.367</v>
      </c>
      <c r="H3961" s="15" t="s">
        <v>4401</v>
      </c>
      <c r="I3961" s="15" t="s">
        <v>1686</v>
      </c>
      <c r="J3961" s="15" t="s">
        <v>16028</v>
      </c>
      <c r="K3961" s="15">
        <v>3.0</v>
      </c>
      <c r="L3961" s="15">
        <v>3.0</v>
      </c>
      <c r="M3961" s="40">
        <v>41898.0</v>
      </c>
      <c r="N3961" s="41">
        <v>41961.0</v>
      </c>
      <c r="O3961" s="15" t="s">
        <v>1554</v>
      </c>
      <c r="Q3961" s="7"/>
    </row>
    <row r="3962">
      <c r="A3962" s="39" t="s">
        <v>16029</v>
      </c>
      <c r="B3962" s="15">
        <v>1542745.0</v>
      </c>
      <c r="C3962" s="15" t="s">
        <v>16030</v>
      </c>
      <c r="D3962" s="15">
        <v>261537.0</v>
      </c>
      <c r="E3962" s="15" t="s">
        <v>1577</v>
      </c>
      <c r="F3962" s="15" t="s">
        <v>1578</v>
      </c>
      <c r="G3962" s="7">
        <v>2.231</v>
      </c>
      <c r="H3962" s="15" t="s">
        <v>1756</v>
      </c>
      <c r="I3962" s="15" t="s">
        <v>1706</v>
      </c>
      <c r="J3962" s="15" t="s">
        <v>16031</v>
      </c>
      <c r="K3962" s="15">
        <v>2.0</v>
      </c>
      <c r="L3962" s="15">
        <v>2.0</v>
      </c>
      <c r="M3962" s="40">
        <v>41895.0</v>
      </c>
      <c r="N3962" s="40">
        <v>42080.0</v>
      </c>
      <c r="O3962" s="15" t="s">
        <v>1554</v>
      </c>
      <c r="Q3962" s="7"/>
    </row>
    <row r="3963">
      <c r="A3963" s="39" t="s">
        <v>16032</v>
      </c>
      <c r="B3963" s="15">
        <v>1542743.0</v>
      </c>
      <c r="C3963" s="15" t="s">
        <v>16034</v>
      </c>
      <c r="D3963" s="15">
        <v>261538.0</v>
      </c>
      <c r="E3963" s="15" t="s">
        <v>1664</v>
      </c>
      <c r="F3963" s="15" t="s">
        <v>15173</v>
      </c>
      <c r="G3963" s="7">
        <v>2.232</v>
      </c>
      <c r="H3963" s="15" t="s">
        <v>2284</v>
      </c>
      <c r="I3963" s="15" t="s">
        <v>1706</v>
      </c>
      <c r="J3963" s="15" t="s">
        <v>16035</v>
      </c>
      <c r="K3963" s="15">
        <v>2.0</v>
      </c>
      <c r="L3963" s="15">
        <v>2.0</v>
      </c>
      <c r="M3963" s="40">
        <v>41895.0</v>
      </c>
      <c r="N3963" s="40">
        <v>42080.0</v>
      </c>
      <c r="O3963" s="15" t="s">
        <v>1554</v>
      </c>
      <c r="Q3963" s="7"/>
    </row>
    <row r="3964">
      <c r="A3964" s="39" t="s">
        <v>16036</v>
      </c>
      <c r="B3964" s="15">
        <v>1530085.0</v>
      </c>
      <c r="C3964" s="15" t="s">
        <v>16037</v>
      </c>
      <c r="D3964" s="15">
        <v>262488.0</v>
      </c>
      <c r="E3964" s="15" t="s">
        <v>1557</v>
      </c>
      <c r="F3964" s="15" t="s">
        <v>1767</v>
      </c>
      <c r="G3964" s="7">
        <v>40.002</v>
      </c>
      <c r="H3964" s="15" t="s">
        <v>4171</v>
      </c>
      <c r="I3964" s="15" t="s">
        <v>1586</v>
      </c>
      <c r="J3964" s="15" t="s">
        <v>16038</v>
      </c>
      <c r="K3964" s="15">
        <v>49.0</v>
      </c>
      <c r="L3964" s="15">
        <v>49.0</v>
      </c>
      <c r="M3964" s="40">
        <v>41859.0</v>
      </c>
      <c r="N3964" s="40">
        <v>41911.0</v>
      </c>
      <c r="O3964" s="15" t="s">
        <v>1554</v>
      </c>
      <c r="Q3964" s="7"/>
    </row>
    <row r="3965">
      <c r="A3965" s="39" t="s">
        <v>16039</v>
      </c>
      <c r="B3965" s="15">
        <v>1546177.0</v>
      </c>
      <c r="C3965" s="15" t="s">
        <v>16040</v>
      </c>
      <c r="D3965" s="15">
        <v>262492.0</v>
      </c>
      <c r="E3965" s="15" t="s">
        <v>1548</v>
      </c>
      <c r="F3965" s="15" t="s">
        <v>4820</v>
      </c>
      <c r="G3965" s="7">
        <v>14.927</v>
      </c>
      <c r="H3965" s="15" t="s">
        <v>2296</v>
      </c>
      <c r="I3965" s="15" t="s">
        <v>1686</v>
      </c>
      <c r="J3965" s="15" t="s">
        <v>16041</v>
      </c>
      <c r="K3965" s="15">
        <v>13.0</v>
      </c>
      <c r="L3965" s="15">
        <v>13.0</v>
      </c>
      <c r="M3965" s="40">
        <v>41906.0</v>
      </c>
      <c r="N3965" s="41">
        <v>41957.0</v>
      </c>
      <c r="O3965" s="15" t="s">
        <v>1554</v>
      </c>
      <c r="Q3965" s="7"/>
    </row>
    <row r="3966">
      <c r="A3966" s="39" t="s">
        <v>16043</v>
      </c>
      <c r="B3966" s="15">
        <v>1547495.0</v>
      </c>
      <c r="C3966" s="15" t="s">
        <v>16044</v>
      </c>
      <c r="D3966" s="15">
        <v>262543.0</v>
      </c>
      <c r="E3966" s="15" t="s">
        <v>1548</v>
      </c>
      <c r="F3966" s="15" t="s">
        <v>1776</v>
      </c>
      <c r="G3966" s="7">
        <v>7.998</v>
      </c>
      <c r="H3966" s="15" t="s">
        <v>2089</v>
      </c>
      <c r="I3966" s="15" t="s">
        <v>1686</v>
      </c>
      <c r="J3966" s="15" t="s">
        <v>16045</v>
      </c>
      <c r="K3966" s="15">
        <v>1.0</v>
      </c>
      <c r="L3966" s="15">
        <v>1.0</v>
      </c>
      <c r="M3966" s="40">
        <v>41906.0</v>
      </c>
      <c r="N3966" s="40">
        <v>42214.0</v>
      </c>
      <c r="O3966" s="15" t="s">
        <v>1554</v>
      </c>
      <c r="Q3966" s="7"/>
    </row>
    <row r="3967">
      <c r="A3967" s="39" t="s">
        <v>16046</v>
      </c>
      <c r="B3967" s="15">
        <v>1546178.0</v>
      </c>
      <c r="C3967" s="15" t="s">
        <v>16047</v>
      </c>
      <c r="D3967" s="15">
        <v>262544.0</v>
      </c>
      <c r="E3967" s="15" t="s">
        <v>1548</v>
      </c>
      <c r="F3967" s="15" t="s">
        <v>4820</v>
      </c>
      <c r="G3967" s="7">
        <v>14.851</v>
      </c>
      <c r="H3967" s="15" t="s">
        <v>1750</v>
      </c>
      <c r="I3967" s="15" t="s">
        <v>1686</v>
      </c>
      <c r="J3967" s="15" t="s">
        <v>16048</v>
      </c>
      <c r="K3967" s="15">
        <v>14.0</v>
      </c>
      <c r="L3967" s="15">
        <v>14.0</v>
      </c>
      <c r="M3967" s="40">
        <v>41906.0</v>
      </c>
      <c r="N3967" s="41">
        <v>41957.0</v>
      </c>
      <c r="O3967" s="15" t="s">
        <v>1554</v>
      </c>
      <c r="Q3967" s="7"/>
    </row>
    <row r="3968">
      <c r="A3968" s="39" t="s">
        <v>16049</v>
      </c>
      <c r="B3968" s="15">
        <v>1500510.0</v>
      </c>
      <c r="C3968" s="15" t="s">
        <v>16050</v>
      </c>
      <c r="D3968" s="15">
        <v>262927.0</v>
      </c>
      <c r="E3968" s="15" t="s">
        <v>1577</v>
      </c>
      <c r="F3968" s="15" t="s">
        <v>1578</v>
      </c>
      <c r="G3968" s="7">
        <v>10.021</v>
      </c>
      <c r="H3968" s="15" t="s">
        <v>2000</v>
      </c>
      <c r="I3968" s="15" t="s">
        <v>1618</v>
      </c>
      <c r="J3968" s="15" t="s">
        <v>16051</v>
      </c>
      <c r="K3968" s="15">
        <v>7.0</v>
      </c>
      <c r="L3968" s="15">
        <v>7.0</v>
      </c>
      <c r="M3968" s="40">
        <v>41820.0</v>
      </c>
      <c r="N3968" s="40">
        <v>41915.0</v>
      </c>
      <c r="O3968" s="15" t="s">
        <v>1554</v>
      </c>
      <c r="Q3968" s="7"/>
    </row>
    <row r="3969">
      <c r="A3969" s="39" t="s">
        <v>16053</v>
      </c>
      <c r="B3969" s="15">
        <v>1490528.0</v>
      </c>
      <c r="D3969" s="15">
        <v>0.0</v>
      </c>
      <c r="E3969" s="15" t="s">
        <v>2014</v>
      </c>
      <c r="F3969" s="15" t="s">
        <v>1578</v>
      </c>
      <c r="G3969" s="7">
        <v>0.733</v>
      </c>
      <c r="H3969" s="15" t="s">
        <v>2648</v>
      </c>
      <c r="I3969" s="15" t="s">
        <v>1628</v>
      </c>
      <c r="J3969" s="15" t="s">
        <v>16054</v>
      </c>
      <c r="K3969" s="15" t="s">
        <v>1722</v>
      </c>
      <c r="L3969" s="15" t="s">
        <v>1722</v>
      </c>
      <c r="M3969" s="40">
        <v>41913.0</v>
      </c>
      <c r="N3969" s="40">
        <v>42929.0</v>
      </c>
      <c r="O3969" s="15" t="s">
        <v>1554</v>
      </c>
      <c r="Q3969" s="7"/>
    </row>
    <row r="3970">
      <c r="A3970" s="39" t="s">
        <v>16055</v>
      </c>
      <c r="B3970" s="15">
        <v>1353795.0</v>
      </c>
      <c r="C3970" s="15" t="s">
        <v>16056</v>
      </c>
      <c r="D3970" s="15">
        <v>263031.0</v>
      </c>
      <c r="E3970" s="15" t="s">
        <v>1638</v>
      </c>
      <c r="F3970" s="15" t="s">
        <v>1639</v>
      </c>
      <c r="G3970" s="7">
        <v>8.021</v>
      </c>
      <c r="H3970" s="15">
        <v>57.0</v>
      </c>
      <c r="I3970" s="15" t="s">
        <v>1740</v>
      </c>
      <c r="J3970" s="15" t="s">
        <v>16057</v>
      </c>
      <c r="K3970" s="15">
        <v>2.0</v>
      </c>
      <c r="L3970" s="15">
        <v>2.0</v>
      </c>
      <c r="M3970" s="40">
        <v>41908.0</v>
      </c>
      <c r="N3970" s="40">
        <v>43012.0</v>
      </c>
      <c r="O3970" s="15" t="s">
        <v>1554</v>
      </c>
      <c r="Q3970" s="7"/>
    </row>
    <row r="3971">
      <c r="A3971" s="39" t="s">
        <v>16059</v>
      </c>
      <c r="B3971" s="15">
        <v>1548712.0</v>
      </c>
      <c r="C3971" s="15" t="s">
        <v>16060</v>
      </c>
      <c r="D3971" s="15">
        <v>263032.0</v>
      </c>
      <c r="E3971" s="15" t="s">
        <v>1808</v>
      </c>
      <c r="F3971" s="15" t="s">
        <v>1998</v>
      </c>
      <c r="G3971" s="7">
        <v>0.859</v>
      </c>
      <c r="H3971" s="15" t="s">
        <v>4215</v>
      </c>
      <c r="I3971" s="15" t="s">
        <v>1686</v>
      </c>
      <c r="J3971" s="15" t="s">
        <v>16061</v>
      </c>
      <c r="K3971" s="15">
        <v>1.0</v>
      </c>
      <c r="L3971" s="15">
        <v>1.0</v>
      </c>
      <c r="M3971" s="40">
        <v>41913.0</v>
      </c>
      <c r="N3971" s="40">
        <v>42614.0</v>
      </c>
      <c r="O3971" s="15" t="s">
        <v>1554</v>
      </c>
      <c r="Q3971" s="7"/>
    </row>
    <row r="3972">
      <c r="A3972" s="39" t="s">
        <v>16062</v>
      </c>
      <c r="B3972" s="15">
        <v>1548711.0</v>
      </c>
      <c r="C3972" s="15" t="s">
        <v>16063</v>
      </c>
      <c r="D3972" s="15">
        <v>263033.0</v>
      </c>
      <c r="E3972" s="15" t="s">
        <v>1808</v>
      </c>
      <c r="F3972" s="15" t="s">
        <v>1998</v>
      </c>
      <c r="G3972" s="7">
        <v>2.439</v>
      </c>
      <c r="H3972" s="15" t="s">
        <v>1597</v>
      </c>
      <c r="I3972" s="15" t="s">
        <v>1686</v>
      </c>
      <c r="J3972" s="15" t="s">
        <v>16064</v>
      </c>
      <c r="K3972" s="15">
        <v>3.0</v>
      </c>
      <c r="L3972" s="15">
        <v>3.0</v>
      </c>
      <c r="M3972" s="40">
        <v>41913.0</v>
      </c>
      <c r="N3972" s="40">
        <v>41915.0</v>
      </c>
      <c r="O3972" s="15" t="s">
        <v>1554</v>
      </c>
      <c r="Q3972" s="7"/>
    </row>
    <row r="3973">
      <c r="A3973" s="39" t="s">
        <v>16066</v>
      </c>
      <c r="B3973" s="15">
        <v>1541211.0</v>
      </c>
      <c r="C3973" s="15" t="s">
        <v>16067</v>
      </c>
      <c r="D3973" s="15">
        <v>263035.0</v>
      </c>
      <c r="E3973" s="15" t="s">
        <v>1548</v>
      </c>
      <c r="F3973" s="15" t="s">
        <v>2788</v>
      </c>
      <c r="G3973" s="7">
        <v>9.136</v>
      </c>
      <c r="H3973" s="15" t="s">
        <v>8397</v>
      </c>
      <c r="I3973" s="15" t="s">
        <v>1560</v>
      </c>
      <c r="J3973" s="15" t="s">
        <v>16068</v>
      </c>
      <c r="K3973" s="15" t="s">
        <v>1722</v>
      </c>
      <c r="L3973" s="15" t="s">
        <v>1722</v>
      </c>
      <c r="M3973" s="40">
        <v>41906.0</v>
      </c>
      <c r="N3973" s="40">
        <v>41915.0</v>
      </c>
      <c r="O3973" s="15" t="s">
        <v>1554</v>
      </c>
      <c r="Q3973" s="7"/>
    </row>
    <row r="3974">
      <c r="A3974" s="39" t="s">
        <v>16069</v>
      </c>
      <c r="B3974" s="15">
        <v>1541205.0</v>
      </c>
      <c r="C3974" s="15" t="s">
        <v>16070</v>
      </c>
      <c r="D3974" s="15">
        <v>263036.0</v>
      </c>
      <c r="E3974" s="15" t="s">
        <v>1548</v>
      </c>
      <c r="F3974" s="15" t="s">
        <v>1684</v>
      </c>
      <c r="G3974" s="7">
        <v>31.491</v>
      </c>
      <c r="H3974" s="15" t="s">
        <v>1710</v>
      </c>
      <c r="I3974" s="15" t="s">
        <v>1686</v>
      </c>
      <c r="J3974" s="15" t="s">
        <v>16071</v>
      </c>
      <c r="K3974" s="15">
        <v>9.0</v>
      </c>
      <c r="L3974" s="15">
        <v>9.0</v>
      </c>
      <c r="M3974" s="40">
        <v>41913.0</v>
      </c>
      <c r="N3974" s="40">
        <v>42930.0</v>
      </c>
      <c r="O3974" s="15" t="s">
        <v>1554</v>
      </c>
      <c r="Q3974" s="7"/>
    </row>
    <row r="3975">
      <c r="A3975" s="39" t="s">
        <v>16072</v>
      </c>
      <c r="B3975" s="15">
        <v>1547580.0</v>
      </c>
      <c r="C3975" s="15" t="s">
        <v>16073</v>
      </c>
      <c r="D3975" s="15">
        <v>263092.0</v>
      </c>
      <c r="E3975" s="15" t="s">
        <v>1638</v>
      </c>
      <c r="F3975" s="15" t="s">
        <v>1639</v>
      </c>
      <c r="G3975" s="7">
        <v>5.322</v>
      </c>
      <c r="H3975" s="15" t="s">
        <v>13429</v>
      </c>
      <c r="I3975" s="15" t="s">
        <v>1552</v>
      </c>
      <c r="J3975" s="15" t="s">
        <v>16074</v>
      </c>
      <c r="K3975" s="15">
        <v>2.0</v>
      </c>
      <c r="L3975" s="15">
        <v>2.0</v>
      </c>
      <c r="M3975" s="40">
        <v>41909.0</v>
      </c>
      <c r="N3975" s="40">
        <v>41916.0</v>
      </c>
      <c r="O3975" s="15" t="s">
        <v>1554</v>
      </c>
      <c r="Q3975" s="7"/>
    </row>
    <row r="3976">
      <c r="A3976" s="39" t="s">
        <v>16076</v>
      </c>
      <c r="B3976" s="15">
        <v>459957.0</v>
      </c>
      <c r="C3976" s="15" t="s">
        <v>16077</v>
      </c>
      <c r="D3976" s="15">
        <v>263507.0</v>
      </c>
      <c r="E3976" s="15" t="s">
        <v>1808</v>
      </c>
      <c r="F3976" s="15" t="s">
        <v>1998</v>
      </c>
      <c r="G3976" s="7">
        <v>1.783</v>
      </c>
      <c r="H3976" s="15" t="s">
        <v>2296</v>
      </c>
      <c r="I3976" s="15" t="s">
        <v>1686</v>
      </c>
      <c r="J3976" s="15" t="s">
        <v>16078</v>
      </c>
      <c r="K3976" s="15">
        <v>2.0</v>
      </c>
      <c r="L3976" s="15">
        <v>2.0</v>
      </c>
      <c r="M3976" s="40">
        <v>39503.0</v>
      </c>
      <c r="N3976" s="41">
        <v>41926.0</v>
      </c>
      <c r="O3976" s="15" t="s">
        <v>1554</v>
      </c>
      <c r="Q3976" s="7"/>
    </row>
    <row r="3977">
      <c r="A3977" s="39" t="s">
        <v>16079</v>
      </c>
      <c r="B3977" s="15">
        <v>1126411.0</v>
      </c>
      <c r="C3977" s="15" t="s">
        <v>16080</v>
      </c>
      <c r="D3977" s="15">
        <v>263599.0</v>
      </c>
      <c r="E3977" s="15" t="s">
        <v>1808</v>
      </c>
      <c r="F3977" s="15" t="s">
        <v>1998</v>
      </c>
      <c r="G3977" s="7">
        <v>1.966</v>
      </c>
      <c r="H3977" s="15">
        <v>49.0</v>
      </c>
      <c r="I3977" s="15" t="s">
        <v>1686</v>
      </c>
      <c r="J3977" s="15" t="s">
        <v>16081</v>
      </c>
      <c r="K3977" s="15">
        <v>2.0</v>
      </c>
      <c r="L3977" s="15">
        <v>2.0</v>
      </c>
      <c r="M3977" s="40">
        <v>41037.0</v>
      </c>
      <c r="N3977" s="41">
        <v>41926.0</v>
      </c>
      <c r="O3977" s="15" t="s">
        <v>1554</v>
      </c>
      <c r="Q3977" s="7"/>
    </row>
    <row r="3978">
      <c r="A3978" s="39" t="s">
        <v>16082</v>
      </c>
      <c r="B3978" s="15">
        <v>326202.0</v>
      </c>
      <c r="C3978" s="15" t="s">
        <v>16083</v>
      </c>
      <c r="D3978" s="15">
        <v>263828.0</v>
      </c>
      <c r="E3978" s="15" t="s">
        <v>1548</v>
      </c>
      <c r="F3978" s="15" t="s">
        <v>1911</v>
      </c>
      <c r="G3978" s="7">
        <v>9.553</v>
      </c>
      <c r="H3978" s="15" t="s">
        <v>3432</v>
      </c>
      <c r="I3978" s="15" t="s">
        <v>1628</v>
      </c>
      <c r="J3978" s="15" t="s">
        <v>16084</v>
      </c>
      <c r="K3978" s="15">
        <v>1.0</v>
      </c>
      <c r="L3978" s="15">
        <v>1.0</v>
      </c>
      <c r="M3978" s="41">
        <v>41925.0</v>
      </c>
      <c r="N3978" s="41">
        <v>41927.0</v>
      </c>
      <c r="O3978" s="15" t="s">
        <v>1554</v>
      </c>
      <c r="Q3978" s="7"/>
    </row>
    <row r="3979">
      <c r="A3979" s="39" t="s">
        <v>16085</v>
      </c>
      <c r="B3979" s="15">
        <v>1072176.0</v>
      </c>
      <c r="C3979" s="15" t="s">
        <v>16086</v>
      </c>
      <c r="D3979" s="15">
        <v>263847.0</v>
      </c>
      <c r="E3979" s="15" t="s">
        <v>1548</v>
      </c>
      <c r="F3979" s="15" t="s">
        <v>1890</v>
      </c>
      <c r="G3979" s="7">
        <v>43354.0</v>
      </c>
      <c r="H3979" s="15" t="s">
        <v>1792</v>
      </c>
      <c r="I3979" s="15" t="s">
        <v>1567</v>
      </c>
      <c r="J3979" s="15" t="s">
        <v>16088</v>
      </c>
      <c r="K3979" s="15">
        <v>5.0</v>
      </c>
      <c r="L3979" s="15">
        <v>5.0</v>
      </c>
      <c r="M3979" s="40">
        <v>40764.0</v>
      </c>
      <c r="N3979" s="41">
        <v>41927.0</v>
      </c>
      <c r="O3979" s="15" t="s">
        <v>1554</v>
      </c>
      <c r="Q3979" s="7"/>
    </row>
    <row r="3980">
      <c r="A3980" s="39" t="s">
        <v>16089</v>
      </c>
      <c r="B3980" s="15">
        <v>1046251.0</v>
      </c>
      <c r="C3980" s="15" t="s">
        <v>16090</v>
      </c>
      <c r="D3980" s="15">
        <v>263848.0</v>
      </c>
      <c r="E3980" s="15" t="s">
        <v>1548</v>
      </c>
      <c r="F3980" s="15" t="s">
        <v>1890</v>
      </c>
      <c r="G3980" s="7">
        <v>11.135</v>
      </c>
      <c r="H3980" s="15" t="s">
        <v>2023</v>
      </c>
      <c r="I3980" s="15" t="s">
        <v>16091</v>
      </c>
      <c r="J3980" s="15" t="s">
        <v>16092</v>
      </c>
      <c r="K3980" s="15">
        <v>5.0</v>
      </c>
      <c r="L3980" s="15">
        <v>6.0</v>
      </c>
      <c r="M3980" s="40">
        <v>40716.0</v>
      </c>
      <c r="N3980" s="41">
        <v>41927.0</v>
      </c>
      <c r="O3980" s="15" t="s">
        <v>1554</v>
      </c>
      <c r="Q3980" s="7"/>
    </row>
    <row r="3981">
      <c r="A3981" s="39" t="s">
        <v>16094</v>
      </c>
      <c r="B3981" s="15">
        <v>1027468.0</v>
      </c>
      <c r="C3981" s="15" t="s">
        <v>16095</v>
      </c>
      <c r="D3981" s="15">
        <v>263849.0</v>
      </c>
      <c r="E3981" s="15" t="s">
        <v>1548</v>
      </c>
      <c r="F3981" s="15" t="s">
        <v>1890</v>
      </c>
      <c r="G3981" s="7">
        <v>12.233</v>
      </c>
      <c r="H3981" s="15" t="s">
        <v>4776</v>
      </c>
      <c r="I3981" s="15" t="s">
        <v>1686</v>
      </c>
      <c r="J3981" s="15" t="s">
        <v>16096</v>
      </c>
      <c r="K3981" s="15">
        <v>5.0</v>
      </c>
      <c r="L3981" s="15">
        <v>5.0</v>
      </c>
      <c r="M3981" s="40">
        <v>41498.0</v>
      </c>
      <c r="N3981" s="41">
        <v>41927.0</v>
      </c>
      <c r="O3981" s="15" t="s">
        <v>1554</v>
      </c>
      <c r="Q3981" s="7"/>
    </row>
    <row r="3982">
      <c r="A3982" s="39" t="s">
        <v>16097</v>
      </c>
      <c r="B3982" s="15">
        <v>1503864.0</v>
      </c>
      <c r="C3982" s="15" t="s">
        <v>16098</v>
      </c>
      <c r="D3982" s="15">
        <v>263850.0</v>
      </c>
      <c r="E3982" s="15" t="s">
        <v>1548</v>
      </c>
      <c r="F3982" s="15" t="s">
        <v>1633</v>
      </c>
      <c r="G3982" s="7">
        <v>6.158</v>
      </c>
      <c r="H3982" s="15">
        <v>44.0</v>
      </c>
      <c r="I3982" s="15" t="s">
        <v>1628</v>
      </c>
      <c r="J3982" s="15" t="s">
        <v>16099</v>
      </c>
      <c r="K3982" s="15">
        <v>5.0</v>
      </c>
      <c r="L3982" s="15">
        <v>5.0</v>
      </c>
      <c r="M3982" s="41">
        <v>41925.0</v>
      </c>
      <c r="N3982" s="41">
        <v>41927.0</v>
      </c>
      <c r="O3982" s="15" t="s">
        <v>1554</v>
      </c>
      <c r="Q3982" s="7"/>
    </row>
    <row r="3983">
      <c r="A3983" s="39" t="s">
        <v>16100</v>
      </c>
      <c r="B3983" s="15">
        <v>114922.0</v>
      </c>
      <c r="C3983" s="15" t="s">
        <v>16102</v>
      </c>
      <c r="D3983" s="15">
        <v>263851.0</v>
      </c>
      <c r="E3983" s="15" t="s">
        <v>1548</v>
      </c>
      <c r="F3983" s="15" t="s">
        <v>1911</v>
      </c>
      <c r="G3983" s="7">
        <v>9.491</v>
      </c>
      <c r="H3983" s="15" t="s">
        <v>2820</v>
      </c>
      <c r="I3983" s="15" t="s">
        <v>1628</v>
      </c>
      <c r="J3983" s="15" t="s">
        <v>16103</v>
      </c>
      <c r="K3983" s="15">
        <v>1.0</v>
      </c>
      <c r="L3983" s="15">
        <v>1.0</v>
      </c>
      <c r="M3983" s="40">
        <v>41467.0</v>
      </c>
      <c r="N3983" s="41">
        <v>41927.0</v>
      </c>
      <c r="O3983" s="15" t="s">
        <v>1554</v>
      </c>
      <c r="Q3983" s="7"/>
    </row>
    <row r="3984">
      <c r="A3984" s="39" t="s">
        <v>16104</v>
      </c>
      <c r="B3984" s="15">
        <v>1112631.0</v>
      </c>
      <c r="C3984" s="15" t="s">
        <v>16105</v>
      </c>
      <c r="D3984" s="15">
        <v>263908.0</v>
      </c>
      <c r="E3984" s="15" t="s">
        <v>1548</v>
      </c>
      <c r="F3984" s="15" t="s">
        <v>4837</v>
      </c>
      <c r="G3984" s="7">
        <v>18.53</v>
      </c>
      <c r="H3984" s="15" t="s">
        <v>1902</v>
      </c>
      <c r="I3984" s="15" t="s">
        <v>1686</v>
      </c>
      <c r="J3984" s="15" t="s">
        <v>16106</v>
      </c>
      <c r="K3984" s="15">
        <v>7.0</v>
      </c>
      <c r="L3984" s="15">
        <v>7.0</v>
      </c>
      <c r="M3984" s="40">
        <v>41017.0</v>
      </c>
      <c r="N3984" s="41">
        <v>41927.0</v>
      </c>
      <c r="O3984" s="15" t="s">
        <v>1554</v>
      </c>
      <c r="Q3984" s="7"/>
    </row>
    <row r="3985">
      <c r="A3985" s="39" t="s">
        <v>16107</v>
      </c>
      <c r="B3985" s="15">
        <v>307444.0</v>
      </c>
      <c r="C3985" s="15" t="s">
        <v>16108</v>
      </c>
      <c r="D3985" s="15">
        <v>263949.0</v>
      </c>
      <c r="E3985" s="15" t="s">
        <v>1557</v>
      </c>
      <c r="F3985" s="15" t="s">
        <v>1992</v>
      </c>
      <c r="G3985" s="7">
        <v>102.759</v>
      </c>
      <c r="H3985" s="15" t="s">
        <v>1607</v>
      </c>
      <c r="I3985" s="15" t="s">
        <v>1560</v>
      </c>
      <c r="J3985" s="15" t="s">
        <v>16109</v>
      </c>
      <c r="K3985" s="15">
        <v>130.0</v>
      </c>
      <c r="L3985" s="15">
        <v>130.0</v>
      </c>
      <c r="M3985" s="41">
        <v>41925.0</v>
      </c>
      <c r="N3985" s="41">
        <v>41928.0</v>
      </c>
      <c r="O3985" s="15" t="s">
        <v>1554</v>
      </c>
      <c r="Q3985" s="7"/>
    </row>
    <row r="3986">
      <c r="A3986" s="39" t="s">
        <v>16111</v>
      </c>
      <c r="B3986" s="15">
        <v>1552409.0</v>
      </c>
      <c r="C3986" s="15" t="s">
        <v>16112</v>
      </c>
      <c r="D3986" s="15">
        <v>263990.0</v>
      </c>
      <c r="E3986" s="15" t="s">
        <v>1557</v>
      </c>
      <c r="F3986" s="15" t="s">
        <v>2004</v>
      </c>
      <c r="G3986" s="7">
        <v>5.145</v>
      </c>
      <c r="H3986" s="15" t="s">
        <v>5934</v>
      </c>
      <c r="I3986" s="15" t="s">
        <v>1686</v>
      </c>
      <c r="J3986" s="15" t="s">
        <v>16113</v>
      </c>
      <c r="K3986" s="15">
        <v>6.0</v>
      </c>
      <c r="L3986" s="15">
        <v>6.0</v>
      </c>
      <c r="M3986" s="40">
        <v>41920.0</v>
      </c>
      <c r="N3986" s="40">
        <v>42376.0</v>
      </c>
      <c r="O3986" s="15" t="s">
        <v>1554</v>
      </c>
      <c r="Q3986" s="7"/>
    </row>
    <row r="3987">
      <c r="A3987" s="39" t="s">
        <v>16114</v>
      </c>
      <c r="B3987" s="15">
        <v>1266458.0</v>
      </c>
      <c r="C3987" s="15" t="s">
        <v>16115</v>
      </c>
      <c r="D3987" s="15">
        <v>264185.0</v>
      </c>
      <c r="E3987" s="15" t="s">
        <v>1808</v>
      </c>
      <c r="F3987" s="15" t="s">
        <v>1809</v>
      </c>
      <c r="G3987" s="7">
        <v>5.124</v>
      </c>
      <c r="H3987" s="15" t="s">
        <v>16116</v>
      </c>
      <c r="I3987" s="15" t="s">
        <v>1628</v>
      </c>
      <c r="J3987" s="15" t="s">
        <v>16117</v>
      </c>
      <c r="K3987" s="15">
        <v>8.0</v>
      </c>
      <c r="L3987" s="15">
        <v>8.0</v>
      </c>
      <c r="M3987" s="40">
        <v>41423.0</v>
      </c>
      <c r="N3987" s="41">
        <v>41929.0</v>
      </c>
      <c r="O3987" s="15" t="s">
        <v>1554</v>
      </c>
      <c r="Q3987" s="7"/>
    </row>
    <row r="3988">
      <c r="A3988" s="39" t="s">
        <v>16118</v>
      </c>
      <c r="B3988" s="15">
        <v>1459044.0</v>
      </c>
      <c r="C3988" s="15" t="s">
        <v>16119</v>
      </c>
      <c r="D3988" s="15">
        <v>264895.0</v>
      </c>
      <c r="E3988" s="15" t="s">
        <v>1548</v>
      </c>
      <c r="F3988" s="15" t="s">
        <v>1890</v>
      </c>
      <c r="G3988" s="7">
        <v>11.176</v>
      </c>
      <c r="H3988" s="15" t="s">
        <v>1772</v>
      </c>
      <c r="I3988" s="15" t="s">
        <v>1560</v>
      </c>
      <c r="J3988" s="15" t="s">
        <v>16120</v>
      </c>
      <c r="K3988" s="15">
        <v>5.0</v>
      </c>
      <c r="L3988" s="15">
        <v>5.0</v>
      </c>
      <c r="M3988" s="40">
        <v>41714.0</v>
      </c>
      <c r="N3988" s="41">
        <v>41939.0</v>
      </c>
      <c r="O3988" s="15" t="s">
        <v>1554</v>
      </c>
      <c r="Q3988" s="7"/>
    </row>
    <row r="3989">
      <c r="A3989" s="39" t="s">
        <v>16121</v>
      </c>
      <c r="B3989" s="15">
        <v>1452514.0</v>
      </c>
      <c r="C3989" s="15" t="s">
        <v>16122</v>
      </c>
      <c r="D3989" s="15">
        <v>264896.0</v>
      </c>
      <c r="E3989" s="15" t="s">
        <v>1548</v>
      </c>
      <c r="F3989" s="15" t="s">
        <v>4837</v>
      </c>
      <c r="G3989" s="7">
        <v>15.48</v>
      </c>
      <c r="H3989" s="15" t="s">
        <v>1859</v>
      </c>
      <c r="I3989" s="15" t="s">
        <v>1567</v>
      </c>
      <c r="J3989" s="15" t="s">
        <v>16123</v>
      </c>
      <c r="K3989" s="15">
        <v>7.0</v>
      </c>
      <c r="L3989" s="15">
        <v>7.0</v>
      </c>
      <c r="M3989" s="40">
        <v>41668.0</v>
      </c>
      <c r="N3989" s="41">
        <v>41939.0</v>
      </c>
      <c r="O3989" s="15" t="s">
        <v>1554</v>
      </c>
      <c r="Q3989" s="7"/>
    </row>
    <row r="3990">
      <c r="A3990" s="39" t="s">
        <v>16125</v>
      </c>
      <c r="B3990" s="15">
        <v>1428456.0</v>
      </c>
      <c r="C3990" s="15" t="s">
        <v>16126</v>
      </c>
      <c r="D3990" s="15">
        <v>264897.0</v>
      </c>
      <c r="E3990" s="15" t="s">
        <v>1548</v>
      </c>
      <c r="F3990" s="15" t="s">
        <v>1890</v>
      </c>
      <c r="G3990" s="7">
        <v>43445.0</v>
      </c>
      <c r="H3990" s="15" t="s">
        <v>1792</v>
      </c>
      <c r="I3990" s="15" t="s">
        <v>1751</v>
      </c>
      <c r="J3990" s="15" t="s">
        <v>16127</v>
      </c>
      <c r="K3990" s="15">
        <v>5.0</v>
      </c>
      <c r="L3990" s="15">
        <v>5.0</v>
      </c>
      <c r="M3990" s="41">
        <v>41608.0</v>
      </c>
      <c r="N3990" s="41">
        <v>41939.0</v>
      </c>
      <c r="O3990" s="15" t="s">
        <v>1554</v>
      </c>
      <c r="Q3990" s="7"/>
    </row>
    <row r="3991">
      <c r="A3991" s="39" t="s">
        <v>16128</v>
      </c>
      <c r="B3991" s="15">
        <v>1408279.0</v>
      </c>
      <c r="C3991" s="15" t="s">
        <v>16129</v>
      </c>
      <c r="D3991" s="15">
        <v>264898.0</v>
      </c>
      <c r="E3991" s="15" t="s">
        <v>1548</v>
      </c>
      <c r="F3991" s="15" t="s">
        <v>4800</v>
      </c>
      <c r="G3991" s="7">
        <v>14.885</v>
      </c>
      <c r="H3991" s="15" t="s">
        <v>1902</v>
      </c>
      <c r="I3991" s="15" t="s">
        <v>1686</v>
      </c>
      <c r="J3991" s="15" t="s">
        <v>16130</v>
      </c>
      <c r="K3991" s="15">
        <v>10.0</v>
      </c>
      <c r="L3991" s="15">
        <v>11.0</v>
      </c>
      <c r="M3991" s="40">
        <v>41657.0</v>
      </c>
      <c r="N3991" s="41">
        <v>41939.0</v>
      </c>
      <c r="O3991" s="15" t="s">
        <v>1554</v>
      </c>
      <c r="Q3991" s="7"/>
    </row>
    <row r="3992">
      <c r="A3992" s="39" t="s">
        <v>16131</v>
      </c>
      <c r="B3992" s="15">
        <v>1408144.0</v>
      </c>
      <c r="C3992" s="15" t="s">
        <v>16132</v>
      </c>
      <c r="D3992" s="15">
        <v>264899.0</v>
      </c>
      <c r="E3992" s="15" t="s">
        <v>1548</v>
      </c>
      <c r="F3992" s="15" t="s">
        <v>1890</v>
      </c>
      <c r="G3992" s="7">
        <v>11.139</v>
      </c>
      <c r="H3992" s="15" t="s">
        <v>1983</v>
      </c>
      <c r="I3992" s="15" t="s">
        <v>1686</v>
      </c>
      <c r="J3992" s="15" t="s">
        <v>16133</v>
      </c>
      <c r="K3992" s="15">
        <v>5.0</v>
      </c>
      <c r="L3992" s="15">
        <v>5.0</v>
      </c>
      <c r="M3992" s="41">
        <v>41574.0</v>
      </c>
      <c r="N3992" s="41">
        <v>41939.0</v>
      </c>
      <c r="O3992" s="15" t="s">
        <v>1554</v>
      </c>
      <c r="Q3992" s="7"/>
    </row>
    <row r="3993">
      <c r="A3993" s="39" t="s">
        <v>16134</v>
      </c>
      <c r="B3993" s="15">
        <v>198833.0</v>
      </c>
      <c r="C3993" s="15" t="s">
        <v>16135</v>
      </c>
      <c r="D3993" s="15">
        <v>264901.0</v>
      </c>
      <c r="E3993" s="15" t="s">
        <v>1548</v>
      </c>
      <c r="F3993" s="15" t="s">
        <v>1890</v>
      </c>
      <c r="G3993" s="7">
        <v>43292.0</v>
      </c>
      <c r="H3993" s="15" t="s">
        <v>3584</v>
      </c>
      <c r="I3993" s="15" t="s">
        <v>1686</v>
      </c>
      <c r="J3993" s="15" t="s">
        <v>16136</v>
      </c>
      <c r="K3993" s="15">
        <v>6.0</v>
      </c>
      <c r="L3993" s="15">
        <v>5.0</v>
      </c>
      <c r="M3993" s="40">
        <v>39610.0</v>
      </c>
      <c r="N3993" s="41">
        <v>41939.0</v>
      </c>
      <c r="O3993" s="15" t="s">
        <v>1554</v>
      </c>
      <c r="Q3993" s="7"/>
    </row>
    <row r="3994">
      <c r="A3994" s="39" t="s">
        <v>16137</v>
      </c>
      <c r="B3994" s="15">
        <v>1195087.0</v>
      </c>
      <c r="C3994" s="15" t="s">
        <v>16138</v>
      </c>
      <c r="D3994" s="15">
        <v>264902.0</v>
      </c>
      <c r="E3994" s="15" t="s">
        <v>1548</v>
      </c>
      <c r="F3994" s="15" t="s">
        <v>16139</v>
      </c>
      <c r="G3994" s="7">
        <v>17.187</v>
      </c>
      <c r="H3994" s="15" t="s">
        <v>2316</v>
      </c>
      <c r="I3994" s="15" t="s">
        <v>1686</v>
      </c>
      <c r="J3994" s="15" t="s">
        <v>16140</v>
      </c>
      <c r="K3994" s="15">
        <v>6.0</v>
      </c>
      <c r="L3994" s="15">
        <v>6.0</v>
      </c>
      <c r="M3994" s="40">
        <v>41064.0</v>
      </c>
      <c r="N3994" s="41">
        <v>41939.0</v>
      </c>
      <c r="O3994" s="15" t="s">
        <v>1554</v>
      </c>
      <c r="Q3994" s="7"/>
    </row>
    <row r="3995">
      <c r="A3995" s="39" t="s">
        <v>16142</v>
      </c>
      <c r="B3995" s="15">
        <v>381543.0</v>
      </c>
      <c r="C3995" s="15" t="s">
        <v>16143</v>
      </c>
      <c r="D3995" s="15">
        <v>264907.0</v>
      </c>
      <c r="E3995" s="15" t="s">
        <v>1548</v>
      </c>
      <c r="F3995" s="15" t="s">
        <v>4837</v>
      </c>
      <c r="G3995" s="7">
        <v>16.968</v>
      </c>
      <c r="H3995" s="15" t="s">
        <v>4070</v>
      </c>
      <c r="I3995" s="15" t="s">
        <v>1567</v>
      </c>
      <c r="J3995" s="15" t="s">
        <v>16144</v>
      </c>
      <c r="K3995" s="15">
        <v>6.0</v>
      </c>
      <c r="L3995" s="15">
        <v>9.0</v>
      </c>
      <c r="M3995" s="40">
        <v>39547.0</v>
      </c>
      <c r="N3995" s="41">
        <v>41939.0</v>
      </c>
      <c r="O3995" s="15" t="s">
        <v>1554</v>
      </c>
      <c r="Q3995" s="7"/>
    </row>
    <row r="3996">
      <c r="A3996" s="39" t="s">
        <v>16145</v>
      </c>
      <c r="B3996" s="15">
        <v>318834.0</v>
      </c>
      <c r="C3996" s="15" t="s">
        <v>16146</v>
      </c>
      <c r="D3996" s="15">
        <v>264908.0</v>
      </c>
      <c r="E3996" s="15" t="s">
        <v>1548</v>
      </c>
      <c r="F3996" s="15" t="s">
        <v>1890</v>
      </c>
      <c r="G3996" s="7">
        <v>15.024</v>
      </c>
      <c r="H3996" s="15" t="s">
        <v>3870</v>
      </c>
      <c r="I3996" s="15" t="s">
        <v>1686</v>
      </c>
      <c r="J3996" s="15" t="s">
        <v>16147</v>
      </c>
      <c r="K3996" s="15">
        <v>9.0</v>
      </c>
      <c r="L3996" s="15">
        <v>10.0</v>
      </c>
      <c r="M3996" s="40">
        <v>41076.0</v>
      </c>
      <c r="N3996" s="41">
        <v>41939.0</v>
      </c>
      <c r="O3996" s="15" t="s">
        <v>1554</v>
      </c>
      <c r="Q3996" s="7"/>
    </row>
    <row r="3997">
      <c r="A3997" s="39" t="s">
        <v>16148</v>
      </c>
      <c r="B3997" s="15">
        <v>249584.0</v>
      </c>
      <c r="C3997" s="15" t="s">
        <v>16149</v>
      </c>
      <c r="D3997" s="15">
        <v>264909.0</v>
      </c>
      <c r="E3997" s="15" t="s">
        <v>1548</v>
      </c>
      <c r="F3997" s="15" t="s">
        <v>1890</v>
      </c>
      <c r="G3997" s="7">
        <v>12.278</v>
      </c>
      <c r="H3997" s="15" t="s">
        <v>1859</v>
      </c>
      <c r="I3997" s="15" t="s">
        <v>1567</v>
      </c>
      <c r="J3997" s="15" t="s">
        <v>16150</v>
      </c>
      <c r="K3997" s="15">
        <v>5.0</v>
      </c>
      <c r="L3997" s="15">
        <v>5.0</v>
      </c>
      <c r="M3997" s="40">
        <v>39600.0</v>
      </c>
      <c r="N3997" s="41">
        <v>41939.0</v>
      </c>
      <c r="O3997" s="15" t="s">
        <v>1554</v>
      </c>
      <c r="Q3997" s="7"/>
    </row>
    <row r="3998">
      <c r="A3998" s="39" t="s">
        <v>16151</v>
      </c>
      <c r="B3998" s="15">
        <v>219584.0</v>
      </c>
      <c r="C3998" s="15" t="s">
        <v>16152</v>
      </c>
      <c r="D3998" s="15">
        <v>264911.0</v>
      </c>
      <c r="E3998" s="15" t="s">
        <v>1548</v>
      </c>
      <c r="F3998" s="15" t="s">
        <v>1890</v>
      </c>
      <c r="G3998" s="7">
        <v>11.097</v>
      </c>
      <c r="H3998" s="15" t="s">
        <v>2552</v>
      </c>
      <c r="I3998" s="15" t="s">
        <v>1686</v>
      </c>
      <c r="J3998" s="15" t="s">
        <v>16153</v>
      </c>
      <c r="K3998" s="15">
        <v>5.0</v>
      </c>
      <c r="L3998" s="15">
        <v>5.0</v>
      </c>
      <c r="M3998" s="40">
        <v>39930.0</v>
      </c>
      <c r="N3998" s="41">
        <v>41939.0</v>
      </c>
      <c r="O3998" s="15" t="s">
        <v>1554</v>
      </c>
      <c r="Q3998" s="7"/>
    </row>
    <row r="3999">
      <c r="A3999" s="39" t="s">
        <v>16155</v>
      </c>
      <c r="B3999" s="15">
        <v>207246.0</v>
      </c>
      <c r="C3999" s="15" t="s">
        <v>16156</v>
      </c>
      <c r="D3999" s="15">
        <v>264912.0</v>
      </c>
      <c r="E3999" s="15" t="s">
        <v>1548</v>
      </c>
      <c r="F3999" s="15" t="s">
        <v>4837</v>
      </c>
      <c r="G3999" s="7">
        <v>16.182</v>
      </c>
      <c r="H3999" s="15" t="s">
        <v>2049</v>
      </c>
      <c r="I3999" s="15" t="s">
        <v>1567</v>
      </c>
      <c r="J3999" s="15" t="s">
        <v>16157</v>
      </c>
      <c r="K3999" s="15">
        <v>6.0</v>
      </c>
      <c r="L3999" s="15">
        <v>6.0</v>
      </c>
      <c r="M3999" s="40">
        <v>40263.0</v>
      </c>
      <c r="N3999" s="41">
        <v>41939.0</v>
      </c>
      <c r="O3999" s="15" t="s">
        <v>1554</v>
      </c>
      <c r="Q3999" s="7"/>
    </row>
    <row r="4000">
      <c r="A4000" s="39" t="s">
        <v>16158</v>
      </c>
      <c r="B4000" s="15">
        <v>1561172.0</v>
      </c>
      <c r="C4000" s="15" t="s">
        <v>16159</v>
      </c>
      <c r="D4000" s="15">
        <v>264913.0</v>
      </c>
      <c r="E4000" s="15" t="s">
        <v>1638</v>
      </c>
      <c r="F4000" s="15" t="s">
        <v>1639</v>
      </c>
      <c r="G4000" s="7">
        <v>2.714</v>
      </c>
      <c r="H4000" s="15" t="s">
        <v>3101</v>
      </c>
      <c r="I4000" s="15" t="s">
        <v>1552</v>
      </c>
      <c r="J4000" s="15" t="s">
        <v>16160</v>
      </c>
      <c r="K4000" s="15">
        <v>1.0</v>
      </c>
      <c r="L4000" s="15">
        <v>1.0</v>
      </c>
      <c r="M4000" s="41">
        <v>41932.0</v>
      </c>
      <c r="N4000" s="41">
        <v>41939.0</v>
      </c>
      <c r="O4000" s="15" t="s">
        <v>1554</v>
      </c>
      <c r="Q4000" s="7"/>
    </row>
    <row r="4001">
      <c r="A4001" s="39" t="s">
        <v>16161</v>
      </c>
      <c r="B4001" s="15">
        <v>1561171.0</v>
      </c>
      <c r="C4001" s="15" t="s">
        <v>16162</v>
      </c>
      <c r="D4001" s="15">
        <v>264914.0</v>
      </c>
      <c r="E4001" s="15" t="s">
        <v>1638</v>
      </c>
      <c r="F4001" s="15" t="s">
        <v>1639</v>
      </c>
      <c r="G4001" s="7">
        <v>5.654</v>
      </c>
      <c r="H4001" s="15" t="s">
        <v>5199</v>
      </c>
      <c r="I4001" s="15" t="s">
        <v>1552</v>
      </c>
      <c r="J4001" s="15" t="s">
        <v>16163</v>
      </c>
      <c r="K4001" s="15">
        <v>2.0</v>
      </c>
      <c r="L4001" s="15">
        <v>2.0</v>
      </c>
      <c r="M4001" s="41">
        <v>41932.0</v>
      </c>
      <c r="N4001" s="40">
        <v>42046.0</v>
      </c>
      <c r="O4001" s="15" t="s">
        <v>1554</v>
      </c>
      <c r="Q4001" s="7"/>
    </row>
    <row r="4002">
      <c r="A4002" s="39" t="s">
        <v>16164</v>
      </c>
      <c r="B4002" s="15">
        <v>1560351.0</v>
      </c>
      <c r="C4002" s="15" t="s">
        <v>16165</v>
      </c>
      <c r="D4002" s="15">
        <v>264915.0</v>
      </c>
      <c r="E4002" s="15" t="s">
        <v>1548</v>
      </c>
      <c r="F4002" s="15" t="s">
        <v>1578</v>
      </c>
      <c r="G4002" s="7">
        <v>9.165</v>
      </c>
      <c r="H4002" s="15" t="s">
        <v>2207</v>
      </c>
      <c r="I4002" s="15" t="s">
        <v>1560</v>
      </c>
      <c r="J4002" s="15" t="s">
        <v>16167</v>
      </c>
      <c r="K4002" s="15">
        <v>3.0</v>
      </c>
      <c r="L4002" s="15">
        <v>3.0</v>
      </c>
      <c r="M4002" s="40">
        <v>41909.0</v>
      </c>
      <c r="N4002" s="41">
        <v>41962.0</v>
      </c>
      <c r="O4002" s="15" t="s">
        <v>1554</v>
      </c>
      <c r="Q4002" s="7"/>
    </row>
    <row r="4003">
      <c r="A4003" s="39" t="s">
        <v>16168</v>
      </c>
      <c r="B4003" s="15">
        <v>1305716.0</v>
      </c>
      <c r="C4003" s="15" t="s">
        <v>16169</v>
      </c>
      <c r="D4003" s="15">
        <v>264916.0</v>
      </c>
      <c r="E4003" s="15" t="s">
        <v>1548</v>
      </c>
      <c r="F4003" s="15" t="s">
        <v>4837</v>
      </c>
      <c r="G4003" s="7">
        <v>15.312</v>
      </c>
      <c r="H4003" s="15">
        <v>45.0</v>
      </c>
      <c r="I4003" s="15" t="s">
        <v>1567</v>
      </c>
      <c r="J4003" s="15" t="s">
        <v>16170</v>
      </c>
      <c r="K4003" s="15">
        <v>6.0</v>
      </c>
      <c r="L4003" s="15">
        <v>6.0</v>
      </c>
      <c r="M4003" s="40">
        <v>41357.0</v>
      </c>
      <c r="N4003" s="41">
        <v>41939.0</v>
      </c>
      <c r="O4003" s="15" t="s">
        <v>1554</v>
      </c>
      <c r="Q4003" s="7"/>
    </row>
    <row r="4004">
      <c r="A4004" s="39" t="s">
        <v>16171</v>
      </c>
      <c r="B4004" s="15">
        <v>1288359.0</v>
      </c>
      <c r="C4004" s="15" t="s">
        <v>16172</v>
      </c>
      <c r="D4004" s="15">
        <v>264917.0</v>
      </c>
      <c r="E4004" s="15" t="s">
        <v>1548</v>
      </c>
      <c r="F4004" s="15" t="s">
        <v>1890</v>
      </c>
      <c r="G4004" s="7">
        <v>11.096</v>
      </c>
      <c r="H4004" s="15" t="s">
        <v>2107</v>
      </c>
      <c r="I4004" s="15" t="s">
        <v>1686</v>
      </c>
      <c r="J4004" s="15" t="s">
        <v>16173</v>
      </c>
      <c r="K4004" s="15">
        <v>5.0</v>
      </c>
      <c r="L4004" s="15">
        <v>5.0</v>
      </c>
      <c r="M4004" s="40">
        <v>41310.0</v>
      </c>
      <c r="N4004" s="41">
        <v>41939.0</v>
      </c>
      <c r="O4004" s="15" t="s">
        <v>1554</v>
      </c>
      <c r="Q4004" s="7"/>
    </row>
    <row r="4005">
      <c r="A4005" s="39" t="s">
        <v>16174</v>
      </c>
      <c r="B4005" s="15">
        <v>1288358.0</v>
      </c>
      <c r="C4005" s="15" t="s">
        <v>16176</v>
      </c>
      <c r="D4005" s="15">
        <v>264918.0</v>
      </c>
      <c r="E4005" s="15" t="s">
        <v>1548</v>
      </c>
      <c r="F4005" s="15" t="s">
        <v>1890</v>
      </c>
      <c r="G4005" s="7">
        <v>11.082</v>
      </c>
      <c r="H4005" s="15">
        <v>44.0</v>
      </c>
      <c r="I4005" s="15" t="s">
        <v>1686</v>
      </c>
      <c r="J4005" s="15" t="s">
        <v>16177</v>
      </c>
      <c r="K4005" s="15">
        <v>5.0</v>
      </c>
      <c r="L4005" s="15">
        <v>5.0</v>
      </c>
      <c r="M4005" s="40">
        <v>41310.0</v>
      </c>
      <c r="N4005" s="41">
        <v>41939.0</v>
      </c>
      <c r="O4005" s="15" t="s">
        <v>1554</v>
      </c>
      <c r="Q4005" s="7"/>
    </row>
    <row r="4006">
      <c r="A4006" s="39" t="s">
        <v>16178</v>
      </c>
      <c r="B4006" s="15">
        <v>1272959.0</v>
      </c>
      <c r="C4006" s="15" t="s">
        <v>16179</v>
      </c>
      <c r="D4006" s="15">
        <v>264919.0</v>
      </c>
      <c r="E4006" s="15" t="s">
        <v>1548</v>
      </c>
      <c r="F4006" s="15" t="s">
        <v>1890</v>
      </c>
      <c r="G4006" s="7">
        <v>12.24</v>
      </c>
      <c r="H4006" s="15">
        <v>40.0</v>
      </c>
      <c r="I4006" s="15" t="s">
        <v>1560</v>
      </c>
      <c r="J4006" s="15" t="s">
        <v>16180</v>
      </c>
      <c r="K4006" s="15">
        <v>7.0</v>
      </c>
      <c r="L4006" s="15">
        <v>7.0</v>
      </c>
      <c r="M4006" s="40">
        <v>41776.0</v>
      </c>
      <c r="N4006" s="41">
        <v>41939.0</v>
      </c>
      <c r="O4006" s="15" t="s">
        <v>1554</v>
      </c>
      <c r="Q4006" s="7"/>
    </row>
    <row r="4007">
      <c r="A4007" s="39" t="s">
        <v>16181</v>
      </c>
      <c r="B4007" s="15">
        <v>1239567.0</v>
      </c>
      <c r="C4007" s="15" t="s">
        <v>16182</v>
      </c>
      <c r="D4007" s="15">
        <v>264920.0</v>
      </c>
      <c r="E4007" s="15" t="s">
        <v>1548</v>
      </c>
      <c r="F4007" s="15" t="s">
        <v>1848</v>
      </c>
      <c r="G4007" s="7">
        <v>6.706</v>
      </c>
      <c r="H4007" s="15" t="s">
        <v>2548</v>
      </c>
      <c r="I4007" s="15" t="s">
        <v>1686</v>
      </c>
      <c r="J4007" s="15" t="s">
        <v>16183</v>
      </c>
      <c r="K4007" s="15">
        <v>2.0</v>
      </c>
      <c r="L4007" s="15">
        <v>2.0</v>
      </c>
      <c r="M4007" s="40">
        <v>41678.0</v>
      </c>
      <c r="N4007" s="41">
        <v>41939.0</v>
      </c>
      <c r="O4007" s="15" t="s">
        <v>1554</v>
      </c>
      <c r="Q4007" s="7"/>
    </row>
    <row r="4008">
      <c r="A4008" s="39" t="s">
        <v>16184</v>
      </c>
      <c r="B4008" s="15">
        <v>1221391.0</v>
      </c>
      <c r="C4008" s="15" t="s">
        <v>16186</v>
      </c>
      <c r="D4008" s="15">
        <v>264921.0</v>
      </c>
      <c r="E4008" s="15" t="s">
        <v>1548</v>
      </c>
      <c r="F4008" s="15" t="s">
        <v>4837</v>
      </c>
      <c r="G4008" s="7">
        <v>18.162</v>
      </c>
      <c r="H4008" s="15" t="s">
        <v>2580</v>
      </c>
      <c r="I4008" s="15" t="s">
        <v>1567</v>
      </c>
      <c r="J4008" s="15" t="s">
        <v>16187</v>
      </c>
      <c r="K4008" s="15">
        <v>6.0</v>
      </c>
      <c r="L4008" s="15">
        <v>7.0</v>
      </c>
      <c r="M4008" s="40">
        <v>41140.0</v>
      </c>
      <c r="N4008" s="41">
        <v>41939.0</v>
      </c>
      <c r="O4008" s="15" t="s">
        <v>1554</v>
      </c>
      <c r="Q4008" s="7"/>
    </row>
    <row r="4009">
      <c r="A4009" s="39" t="s">
        <v>16188</v>
      </c>
      <c r="B4009" s="15">
        <v>1161132.0</v>
      </c>
      <c r="C4009" s="15" t="s">
        <v>16189</v>
      </c>
      <c r="D4009" s="15">
        <v>264923.0</v>
      </c>
      <c r="E4009" s="15" t="s">
        <v>1548</v>
      </c>
      <c r="F4009" s="15" t="s">
        <v>1848</v>
      </c>
      <c r="G4009" s="7">
        <v>7.353</v>
      </c>
      <c r="H4009" s="15" t="s">
        <v>2324</v>
      </c>
      <c r="I4009" s="15" t="s">
        <v>1686</v>
      </c>
      <c r="J4009" s="15" t="s">
        <v>16190</v>
      </c>
      <c r="K4009" s="15">
        <v>3.0</v>
      </c>
      <c r="L4009" s="15">
        <v>3.0</v>
      </c>
      <c r="M4009" s="40">
        <v>41179.0</v>
      </c>
      <c r="N4009" s="41">
        <v>41939.0</v>
      </c>
      <c r="O4009" s="15" t="s">
        <v>1554</v>
      </c>
      <c r="Q4009" s="7"/>
    </row>
    <row r="4010">
      <c r="A4010" s="39" t="s">
        <v>16191</v>
      </c>
      <c r="B4010" s="15">
        <v>1117633.0</v>
      </c>
      <c r="C4010" s="15" t="s">
        <v>16192</v>
      </c>
      <c r="D4010" s="15">
        <v>264924.0</v>
      </c>
      <c r="E4010" s="15" t="s">
        <v>1548</v>
      </c>
      <c r="F4010" s="15" t="s">
        <v>4837</v>
      </c>
      <c r="G4010" s="7">
        <v>19.152</v>
      </c>
      <c r="H4010" s="15" t="s">
        <v>1602</v>
      </c>
      <c r="I4010" s="15" t="s">
        <v>1567</v>
      </c>
      <c r="J4010" s="15" t="s">
        <v>16194</v>
      </c>
      <c r="K4010" s="15">
        <v>8.0</v>
      </c>
      <c r="L4010" s="15">
        <v>11.0</v>
      </c>
      <c r="M4010" s="40">
        <v>40881.0</v>
      </c>
      <c r="N4010" s="40">
        <v>42453.0</v>
      </c>
      <c r="O4010" s="15" t="s">
        <v>1554</v>
      </c>
      <c r="Q4010" s="7"/>
    </row>
    <row r="4011">
      <c r="A4011" s="39" t="s">
        <v>16195</v>
      </c>
      <c r="B4011" s="15">
        <v>928214.0</v>
      </c>
      <c r="C4011" s="15" t="s">
        <v>16196</v>
      </c>
      <c r="D4011" s="15">
        <v>264925.0</v>
      </c>
      <c r="E4011" s="15" t="s">
        <v>1557</v>
      </c>
      <c r="F4011" s="15" t="s">
        <v>2004</v>
      </c>
      <c r="G4011" s="7">
        <v>43164.0</v>
      </c>
      <c r="H4011" s="15" t="s">
        <v>1591</v>
      </c>
      <c r="I4011" s="15" t="s">
        <v>1686</v>
      </c>
      <c r="J4011" s="15" t="s">
        <v>16197</v>
      </c>
      <c r="K4011" s="15">
        <v>5.0</v>
      </c>
      <c r="L4011" s="15">
        <v>5.0</v>
      </c>
      <c r="M4011" s="41">
        <v>40505.0</v>
      </c>
      <c r="N4011" s="41">
        <v>41939.0</v>
      </c>
      <c r="O4011" s="15" t="s">
        <v>1554</v>
      </c>
      <c r="Q4011" s="7"/>
    </row>
    <row r="4012">
      <c r="A4012" s="39" t="s">
        <v>16198</v>
      </c>
      <c r="B4012" s="15">
        <v>928212.0</v>
      </c>
      <c r="C4012" s="15" t="s">
        <v>16199</v>
      </c>
      <c r="D4012" s="15">
        <v>264927.0</v>
      </c>
      <c r="E4012" s="15" t="s">
        <v>1557</v>
      </c>
      <c r="F4012" s="15" t="s">
        <v>2004</v>
      </c>
      <c r="G4012" s="7">
        <v>5.309</v>
      </c>
      <c r="H4012" s="15" t="s">
        <v>1559</v>
      </c>
      <c r="I4012" s="15" t="s">
        <v>1686</v>
      </c>
      <c r="J4012" s="15" t="s">
        <v>16200</v>
      </c>
      <c r="K4012" s="15">
        <v>5.0</v>
      </c>
      <c r="L4012" s="15">
        <v>5.0</v>
      </c>
      <c r="M4012" s="41">
        <v>40505.0</v>
      </c>
      <c r="N4012" s="40">
        <v>42027.0</v>
      </c>
      <c r="O4012" s="15" t="s">
        <v>1554</v>
      </c>
      <c r="Q4012" s="7"/>
    </row>
    <row r="4013">
      <c r="A4013" s="39" t="s">
        <v>16201</v>
      </c>
      <c r="B4013" s="15">
        <v>928211.0</v>
      </c>
      <c r="C4013" s="15" t="s">
        <v>16203</v>
      </c>
      <c r="D4013" s="15">
        <v>264928.0</v>
      </c>
      <c r="E4013" s="15" t="s">
        <v>1557</v>
      </c>
      <c r="F4013" s="15" t="s">
        <v>2004</v>
      </c>
      <c r="G4013" s="7">
        <v>5.303</v>
      </c>
      <c r="H4013" s="15" t="s">
        <v>2524</v>
      </c>
      <c r="I4013" s="15" t="s">
        <v>1686</v>
      </c>
      <c r="J4013" s="15" t="s">
        <v>16204</v>
      </c>
      <c r="K4013" s="15">
        <v>5.0</v>
      </c>
      <c r="L4013" s="15">
        <v>5.0</v>
      </c>
      <c r="M4013" s="41">
        <v>40505.0</v>
      </c>
      <c r="N4013" s="41">
        <v>41983.0</v>
      </c>
      <c r="O4013" s="15" t="s">
        <v>1554</v>
      </c>
      <c r="Q4013" s="7"/>
    </row>
    <row r="4014">
      <c r="A4014" s="39" t="s">
        <v>16205</v>
      </c>
      <c r="B4014" s="15">
        <v>862945.0</v>
      </c>
      <c r="C4014" s="15" t="s">
        <v>16206</v>
      </c>
      <c r="D4014" s="15">
        <v>264931.0</v>
      </c>
      <c r="E4014" s="15" t="s">
        <v>1548</v>
      </c>
      <c r="F4014" s="15" t="s">
        <v>4837</v>
      </c>
      <c r="G4014" s="7">
        <v>15.456</v>
      </c>
      <c r="H4014" s="15">
        <v>42.0</v>
      </c>
      <c r="I4014" s="15" t="s">
        <v>1567</v>
      </c>
      <c r="J4014" s="15" t="s">
        <v>16207</v>
      </c>
      <c r="K4014" s="15">
        <v>6.0</v>
      </c>
      <c r="L4014" s="15">
        <v>6.0</v>
      </c>
      <c r="M4014" s="40">
        <v>40376.0</v>
      </c>
      <c r="N4014" s="40">
        <v>42829.0</v>
      </c>
      <c r="O4014" s="15" t="s">
        <v>1554</v>
      </c>
      <c r="Q4014" s="7"/>
    </row>
    <row r="4015">
      <c r="A4015" s="39" t="s">
        <v>16208</v>
      </c>
      <c r="B4015" s="15">
        <v>798074.0</v>
      </c>
      <c r="C4015" s="15" t="s">
        <v>16209</v>
      </c>
      <c r="D4015" s="15">
        <v>264932.0</v>
      </c>
      <c r="E4015" s="15" t="s">
        <v>1548</v>
      </c>
      <c r="F4015" s="15" t="s">
        <v>4837</v>
      </c>
      <c r="G4015" s="7">
        <v>15.234</v>
      </c>
      <c r="H4015" s="15" t="s">
        <v>2049</v>
      </c>
      <c r="I4015" s="15" t="s">
        <v>1567</v>
      </c>
      <c r="J4015" s="15" t="s">
        <v>16210</v>
      </c>
      <c r="K4015" s="15">
        <v>7.0</v>
      </c>
      <c r="L4015" s="15">
        <v>7.0</v>
      </c>
      <c r="M4015" s="40">
        <v>40350.0</v>
      </c>
      <c r="N4015" s="41">
        <v>41939.0</v>
      </c>
      <c r="O4015" s="15" t="s">
        <v>1554</v>
      </c>
      <c r="Q4015" s="7"/>
    </row>
    <row r="4016">
      <c r="A4016" s="39" t="s">
        <v>16212</v>
      </c>
      <c r="B4016" s="15">
        <v>798073.0</v>
      </c>
      <c r="C4016" s="15" t="s">
        <v>16213</v>
      </c>
      <c r="D4016" s="15">
        <v>264933.0</v>
      </c>
      <c r="E4016" s="15" t="s">
        <v>1548</v>
      </c>
      <c r="F4016" s="15" t="s">
        <v>4837</v>
      </c>
      <c r="G4016" s="7">
        <v>15.432</v>
      </c>
      <c r="H4016" s="15" t="s">
        <v>2141</v>
      </c>
      <c r="I4016" s="15" t="s">
        <v>1567</v>
      </c>
      <c r="J4016" s="15" t="s">
        <v>16214</v>
      </c>
      <c r="K4016" s="15">
        <v>7.0</v>
      </c>
      <c r="L4016" s="15">
        <v>7.0</v>
      </c>
      <c r="M4016" s="40">
        <v>40350.0</v>
      </c>
      <c r="N4016" s="41">
        <v>41939.0</v>
      </c>
      <c r="O4016" s="15" t="s">
        <v>1554</v>
      </c>
      <c r="Q4016" s="7"/>
    </row>
    <row r="4017">
      <c r="A4017" s="39" t="s">
        <v>16215</v>
      </c>
      <c r="B4017" s="15">
        <v>746543.0</v>
      </c>
      <c r="C4017" s="15" t="s">
        <v>16216</v>
      </c>
      <c r="D4017" s="15">
        <v>264934.0</v>
      </c>
      <c r="E4017" s="15" t="s">
        <v>1548</v>
      </c>
      <c r="F4017" s="15" t="s">
        <v>1890</v>
      </c>
      <c r="G4017" s="7">
        <v>12.045</v>
      </c>
      <c r="H4017" s="15" t="s">
        <v>3895</v>
      </c>
      <c r="I4017" s="15" t="s">
        <v>1567</v>
      </c>
      <c r="J4017" s="15" t="s">
        <v>16217</v>
      </c>
      <c r="K4017" s="15">
        <v>5.0</v>
      </c>
      <c r="L4017" s="15">
        <v>5.0</v>
      </c>
      <c r="M4017" s="40">
        <v>40260.0</v>
      </c>
      <c r="N4017" s="41">
        <v>41939.0</v>
      </c>
      <c r="O4017" s="15" t="s">
        <v>1554</v>
      </c>
      <c r="Q4017" s="7"/>
    </row>
    <row r="4018">
      <c r="A4018" s="39" t="s">
        <v>16218</v>
      </c>
      <c r="B4018" s="15">
        <v>740710.0</v>
      </c>
      <c r="C4018" s="15" t="s">
        <v>16219</v>
      </c>
      <c r="D4018" s="15">
        <v>264935.0</v>
      </c>
      <c r="E4018" s="15" t="s">
        <v>1548</v>
      </c>
      <c r="F4018" s="15" t="s">
        <v>4837</v>
      </c>
      <c r="G4018" s="7">
        <v>17.262</v>
      </c>
      <c r="H4018" s="15" t="s">
        <v>2451</v>
      </c>
      <c r="I4018" s="15" t="s">
        <v>1567</v>
      </c>
      <c r="J4018" s="15" t="s">
        <v>16220</v>
      </c>
      <c r="K4018" s="15">
        <v>6.0</v>
      </c>
      <c r="L4018" s="15">
        <v>8.0</v>
      </c>
      <c r="M4018" s="40">
        <v>40247.0</v>
      </c>
      <c r="N4018" s="41">
        <v>41939.0</v>
      </c>
      <c r="O4018" s="15" t="s">
        <v>1554</v>
      </c>
      <c r="Q4018" s="7"/>
    </row>
    <row r="4019">
      <c r="A4019" s="39" t="s">
        <v>16222</v>
      </c>
      <c r="B4019" s="15">
        <v>622416.0</v>
      </c>
      <c r="C4019" s="15" t="s">
        <v>16223</v>
      </c>
      <c r="D4019" s="15">
        <v>264937.0</v>
      </c>
      <c r="E4019" s="15" t="s">
        <v>1548</v>
      </c>
      <c r="F4019" s="15" t="s">
        <v>4837</v>
      </c>
      <c r="G4019" s="7">
        <v>15.48</v>
      </c>
      <c r="H4019" s="15" t="s">
        <v>3895</v>
      </c>
      <c r="I4019" s="15" t="s">
        <v>1567</v>
      </c>
      <c r="J4019" s="15" t="s">
        <v>16224</v>
      </c>
      <c r="K4019" s="15">
        <v>6.0</v>
      </c>
      <c r="L4019" s="15">
        <v>6.0</v>
      </c>
      <c r="M4019" s="40">
        <v>40004.0</v>
      </c>
      <c r="N4019" s="41">
        <v>41939.0</v>
      </c>
      <c r="O4019" s="15" t="s">
        <v>1554</v>
      </c>
      <c r="Q4019" s="7"/>
    </row>
    <row r="4020">
      <c r="A4020" s="39" t="s">
        <v>16225</v>
      </c>
      <c r="B4020" s="15">
        <v>537009.0</v>
      </c>
      <c r="C4020" s="15" t="s">
        <v>16226</v>
      </c>
      <c r="D4020" s="15">
        <v>264938.0</v>
      </c>
      <c r="E4020" s="15" t="s">
        <v>1557</v>
      </c>
      <c r="F4020" s="15" t="s">
        <v>6215</v>
      </c>
      <c r="G4020" s="7">
        <v>28.096</v>
      </c>
      <c r="H4020" s="42">
        <v>43188.0</v>
      </c>
      <c r="I4020" s="15" t="s">
        <v>1618</v>
      </c>
      <c r="J4020" s="15" t="s">
        <v>16227</v>
      </c>
      <c r="K4020" s="15">
        <v>37.0</v>
      </c>
      <c r="L4020" s="15">
        <v>37.0</v>
      </c>
      <c r="M4020" s="40">
        <v>39724.0</v>
      </c>
      <c r="N4020" s="41">
        <v>41939.0</v>
      </c>
      <c r="O4020" s="15" t="s">
        <v>1554</v>
      </c>
      <c r="Q4020" s="7"/>
    </row>
    <row r="4021">
      <c r="A4021" s="39" t="s">
        <v>16228</v>
      </c>
      <c r="B4021" s="15">
        <v>490110.0</v>
      </c>
      <c r="C4021" s="15" t="s">
        <v>16229</v>
      </c>
      <c r="D4021" s="15">
        <v>264939.0</v>
      </c>
      <c r="E4021" s="15" t="s">
        <v>1548</v>
      </c>
      <c r="F4021" s="15" t="s">
        <v>1890</v>
      </c>
      <c r="G4021" s="7">
        <v>13.169</v>
      </c>
      <c r="H4021" s="15" t="s">
        <v>2777</v>
      </c>
      <c r="I4021" s="15" t="s">
        <v>1560</v>
      </c>
      <c r="J4021" s="15" t="s">
        <v>16231</v>
      </c>
      <c r="K4021" s="15">
        <v>8.0</v>
      </c>
      <c r="L4021" s="15">
        <v>8.0</v>
      </c>
      <c r="M4021" s="40">
        <v>41825.0</v>
      </c>
      <c r="N4021" s="40">
        <v>41975.0</v>
      </c>
      <c r="O4021" s="15" t="s">
        <v>1554</v>
      </c>
      <c r="Q4021" s="7"/>
    </row>
    <row r="4022">
      <c r="A4022" s="39" t="s">
        <v>16232</v>
      </c>
      <c r="B4022" s="15">
        <v>698672.0</v>
      </c>
      <c r="C4022" s="15" t="s">
        <v>16233</v>
      </c>
      <c r="D4022" s="15">
        <v>264964.0</v>
      </c>
      <c r="E4022" s="15" t="s">
        <v>1548</v>
      </c>
      <c r="F4022" s="15" t="s">
        <v>1890</v>
      </c>
      <c r="G4022" s="7">
        <v>11.526</v>
      </c>
      <c r="H4022" s="15" t="s">
        <v>2777</v>
      </c>
      <c r="I4022" s="15" t="s">
        <v>1560</v>
      </c>
      <c r="J4022" s="15" t="s">
        <v>16234</v>
      </c>
      <c r="K4022" s="15">
        <v>5.0</v>
      </c>
      <c r="L4022" s="15">
        <v>5.0</v>
      </c>
      <c r="M4022" s="41">
        <v>40161.0</v>
      </c>
      <c r="N4022" s="41">
        <v>41939.0</v>
      </c>
      <c r="O4022" s="15" t="s">
        <v>1554</v>
      </c>
      <c r="Q4022" s="7"/>
    </row>
    <row r="4023">
      <c r="A4023" s="39" t="s">
        <v>16235</v>
      </c>
      <c r="B4023" s="15">
        <v>1474807.0</v>
      </c>
      <c r="C4023" s="15" t="s">
        <v>16236</v>
      </c>
      <c r="D4023" s="15">
        <v>264966.0</v>
      </c>
      <c r="E4023" s="15" t="s">
        <v>1548</v>
      </c>
      <c r="F4023" s="15" t="s">
        <v>4837</v>
      </c>
      <c r="G4023" s="7">
        <v>18.406</v>
      </c>
      <c r="H4023" s="15" t="s">
        <v>6565</v>
      </c>
      <c r="I4023" s="15" t="s">
        <v>1567</v>
      </c>
      <c r="J4023" s="15" t="s">
        <v>16237</v>
      </c>
      <c r="K4023" s="15">
        <v>6.0</v>
      </c>
      <c r="L4023" s="15">
        <v>9.0</v>
      </c>
      <c r="M4023" s="40">
        <v>41717.0</v>
      </c>
      <c r="N4023" s="41">
        <v>41939.0</v>
      </c>
      <c r="O4023" s="15" t="s">
        <v>1554</v>
      </c>
      <c r="Q4023" s="7"/>
    </row>
    <row r="4024">
      <c r="A4024" s="39" t="s">
        <v>16239</v>
      </c>
      <c r="B4024" s="15">
        <v>1481139.0</v>
      </c>
      <c r="C4024" s="15" t="s">
        <v>16240</v>
      </c>
      <c r="D4024" s="15">
        <v>264993.0</v>
      </c>
      <c r="E4024" s="15" t="s">
        <v>1548</v>
      </c>
      <c r="F4024" s="15" t="s">
        <v>1890</v>
      </c>
      <c r="G4024" s="7">
        <v>13.534</v>
      </c>
      <c r="H4024" s="15" t="s">
        <v>2019</v>
      </c>
      <c r="I4024" s="15" t="s">
        <v>1560</v>
      </c>
      <c r="J4024" s="15" t="s">
        <v>16241</v>
      </c>
      <c r="K4024" s="15">
        <v>6.0</v>
      </c>
      <c r="L4024" s="15">
        <v>6.0</v>
      </c>
      <c r="M4024" s="40">
        <v>41731.0</v>
      </c>
      <c r="N4024" s="41">
        <v>41942.0</v>
      </c>
      <c r="O4024" s="15" t="s">
        <v>1554</v>
      </c>
      <c r="Q4024" s="7"/>
    </row>
    <row r="4025">
      <c r="A4025" s="39" t="s">
        <v>16242</v>
      </c>
      <c r="B4025" s="15">
        <v>936308.0</v>
      </c>
      <c r="C4025" s="15" t="s">
        <v>16243</v>
      </c>
      <c r="D4025" s="15">
        <v>265832.0</v>
      </c>
      <c r="E4025" s="15" t="s">
        <v>1548</v>
      </c>
      <c r="F4025" s="15" t="s">
        <v>1890</v>
      </c>
      <c r="G4025" s="7">
        <v>11.19</v>
      </c>
      <c r="H4025" s="15" t="s">
        <v>4204</v>
      </c>
      <c r="I4025" s="15" t="s">
        <v>1560</v>
      </c>
      <c r="J4025" s="15" t="s">
        <v>16244</v>
      </c>
      <c r="K4025" s="15">
        <v>5.0</v>
      </c>
      <c r="L4025" s="15">
        <v>5.0</v>
      </c>
      <c r="M4025" s="40">
        <v>40710.0</v>
      </c>
      <c r="N4025" s="41">
        <v>41942.0</v>
      </c>
      <c r="O4025" s="15" t="s">
        <v>1554</v>
      </c>
      <c r="Q4025" s="7"/>
    </row>
    <row r="4026">
      <c r="A4026" s="39" t="s">
        <v>16245</v>
      </c>
      <c r="B4026" s="15">
        <v>1483724.0</v>
      </c>
      <c r="C4026" s="15" t="s">
        <v>16246</v>
      </c>
      <c r="D4026" s="15">
        <v>265833.0</v>
      </c>
      <c r="E4026" s="15" t="s">
        <v>1548</v>
      </c>
      <c r="F4026" s="15" t="s">
        <v>16247</v>
      </c>
      <c r="G4026" s="7">
        <v>10.002</v>
      </c>
      <c r="H4026" s="15" t="s">
        <v>6565</v>
      </c>
      <c r="I4026" s="15" t="s">
        <v>1552</v>
      </c>
      <c r="J4026" s="15" t="s">
        <v>16248</v>
      </c>
      <c r="K4026" s="15">
        <v>6.0</v>
      </c>
      <c r="L4026" s="15">
        <v>6.0</v>
      </c>
      <c r="M4026" s="40">
        <v>41745.0</v>
      </c>
      <c r="N4026" s="41">
        <v>41942.0</v>
      </c>
      <c r="O4026" s="15" t="s">
        <v>1554</v>
      </c>
      <c r="Q4026" s="7"/>
    </row>
    <row r="4027">
      <c r="A4027" s="39" t="s">
        <v>16249</v>
      </c>
      <c r="B4027" s="15">
        <v>237716.0</v>
      </c>
      <c r="C4027" s="15" t="s">
        <v>16250</v>
      </c>
      <c r="D4027" s="15">
        <v>265878.0</v>
      </c>
      <c r="E4027" s="15" t="s">
        <v>1548</v>
      </c>
      <c r="F4027" s="15" t="s">
        <v>1890</v>
      </c>
      <c r="G4027" s="7">
        <v>11.903</v>
      </c>
      <c r="H4027" s="15" t="s">
        <v>2107</v>
      </c>
      <c r="I4027" s="15" t="s">
        <v>1567</v>
      </c>
      <c r="J4027" s="15" t="s">
        <v>16252</v>
      </c>
      <c r="K4027" s="15">
        <v>5.0</v>
      </c>
      <c r="L4027" s="15">
        <v>5.0</v>
      </c>
      <c r="M4027" s="40">
        <v>39600.0</v>
      </c>
      <c r="N4027" s="41">
        <v>41943.0</v>
      </c>
      <c r="O4027" s="15" t="s">
        <v>1554</v>
      </c>
      <c r="Q4027" s="7"/>
    </row>
    <row r="4028">
      <c r="A4028" s="39" t="s">
        <v>16253</v>
      </c>
      <c r="B4028" s="15">
        <v>318843.0</v>
      </c>
      <c r="C4028" s="15" t="s">
        <v>16254</v>
      </c>
      <c r="D4028" s="15">
        <v>265890.0</v>
      </c>
      <c r="E4028" s="15" t="s">
        <v>1548</v>
      </c>
      <c r="F4028" s="15" t="s">
        <v>1890</v>
      </c>
      <c r="G4028" s="7">
        <v>11.156</v>
      </c>
      <c r="H4028" s="15">
        <v>38.0</v>
      </c>
      <c r="I4028" s="15" t="s">
        <v>1686</v>
      </c>
      <c r="J4028" s="15" t="s">
        <v>16255</v>
      </c>
      <c r="K4028" s="15">
        <v>6.0</v>
      </c>
      <c r="L4028" s="15">
        <v>8.0</v>
      </c>
      <c r="M4028" s="40">
        <v>41769.0</v>
      </c>
      <c r="N4028" s="40">
        <v>41952.0</v>
      </c>
      <c r="O4028" s="15" t="s">
        <v>1554</v>
      </c>
      <c r="Q4028" s="7"/>
    </row>
    <row r="4029">
      <c r="A4029" s="39" t="s">
        <v>16256</v>
      </c>
      <c r="B4029" s="15">
        <v>1379788.0</v>
      </c>
      <c r="C4029" s="15" t="s">
        <v>16257</v>
      </c>
      <c r="D4029" s="15">
        <v>265891.0</v>
      </c>
      <c r="E4029" s="15" t="s">
        <v>1664</v>
      </c>
      <c r="F4029" s="15" t="s">
        <v>1664</v>
      </c>
      <c r="G4029" s="7">
        <v>4.089</v>
      </c>
      <c r="H4029" s="15" t="s">
        <v>2857</v>
      </c>
      <c r="I4029" s="15" t="s">
        <v>1706</v>
      </c>
      <c r="J4029" s="15" t="s">
        <v>16258</v>
      </c>
      <c r="K4029" s="15">
        <v>3.0</v>
      </c>
      <c r="L4029" s="15">
        <v>3.0</v>
      </c>
      <c r="M4029" s="40">
        <v>41020.0</v>
      </c>
      <c r="N4029" s="41">
        <v>41943.0</v>
      </c>
      <c r="O4029" s="15" t="s">
        <v>1554</v>
      </c>
      <c r="Q4029" s="7"/>
    </row>
    <row r="4030">
      <c r="A4030" s="39" t="s">
        <v>16259</v>
      </c>
      <c r="B4030" s="15">
        <v>1357321.0</v>
      </c>
      <c r="C4030" s="15" t="s">
        <v>16260</v>
      </c>
      <c r="D4030" s="15">
        <v>265892.0</v>
      </c>
      <c r="E4030" s="15" t="s">
        <v>1548</v>
      </c>
      <c r="F4030" s="15" t="s">
        <v>4837</v>
      </c>
      <c r="G4030" s="7">
        <v>15.396</v>
      </c>
      <c r="H4030" s="15" t="s">
        <v>2334</v>
      </c>
      <c r="I4030" s="15" t="s">
        <v>1567</v>
      </c>
      <c r="J4030" s="15" t="s">
        <v>16261</v>
      </c>
      <c r="K4030" s="15">
        <v>6.0</v>
      </c>
      <c r="L4030" s="15">
        <v>9.0</v>
      </c>
      <c r="M4030" s="40">
        <v>41478.0</v>
      </c>
      <c r="N4030" s="41">
        <v>41943.0</v>
      </c>
      <c r="O4030" s="15" t="s">
        <v>1554</v>
      </c>
      <c r="Q4030" s="7"/>
    </row>
    <row r="4031">
      <c r="A4031" s="39" t="s">
        <v>16263</v>
      </c>
      <c r="B4031" s="15">
        <v>1348439.0</v>
      </c>
      <c r="C4031" s="15" t="s">
        <v>16264</v>
      </c>
      <c r="D4031" s="15">
        <v>265893.0</v>
      </c>
      <c r="E4031" s="15" t="s">
        <v>1548</v>
      </c>
      <c r="F4031" s="15" t="s">
        <v>1890</v>
      </c>
      <c r="G4031" s="7">
        <v>11.124</v>
      </c>
      <c r="H4031" s="15" t="s">
        <v>2451</v>
      </c>
      <c r="I4031" s="15" t="s">
        <v>1560</v>
      </c>
      <c r="J4031" s="15" t="s">
        <v>16265</v>
      </c>
      <c r="K4031" s="15">
        <v>5.0</v>
      </c>
      <c r="L4031" s="15">
        <v>5.0</v>
      </c>
      <c r="M4031" s="40">
        <v>41454.0</v>
      </c>
      <c r="N4031" s="41">
        <v>41943.0</v>
      </c>
      <c r="O4031" s="15" t="s">
        <v>1554</v>
      </c>
      <c r="Q4031" s="7"/>
    </row>
    <row r="4032">
      <c r="A4032" s="39" t="s">
        <v>16266</v>
      </c>
      <c r="B4032" s="15">
        <v>1261101.0</v>
      </c>
      <c r="C4032" s="15" t="s">
        <v>16267</v>
      </c>
      <c r="D4032" s="15">
        <v>265895.0</v>
      </c>
      <c r="E4032" s="15" t="s">
        <v>1548</v>
      </c>
      <c r="F4032" s="15" t="s">
        <v>4837</v>
      </c>
      <c r="G4032" s="7">
        <v>15.504</v>
      </c>
      <c r="H4032" s="15" t="s">
        <v>2950</v>
      </c>
      <c r="I4032" s="15" t="s">
        <v>1567</v>
      </c>
      <c r="J4032" s="15" t="s">
        <v>16268</v>
      </c>
      <c r="K4032" s="15">
        <v>6.0</v>
      </c>
      <c r="L4032" s="15">
        <v>8.0</v>
      </c>
      <c r="M4032" s="41">
        <v>41237.0</v>
      </c>
      <c r="N4032" s="41">
        <v>41943.0</v>
      </c>
      <c r="O4032" s="15" t="s">
        <v>1554</v>
      </c>
      <c r="Q4032" s="7"/>
    </row>
    <row r="4033">
      <c r="A4033" s="39" t="s">
        <v>16269</v>
      </c>
      <c r="B4033" s="15">
        <v>1261100.0</v>
      </c>
      <c r="C4033" s="15" t="s">
        <v>16270</v>
      </c>
      <c r="D4033" s="15">
        <v>265896.0</v>
      </c>
      <c r="E4033" s="15" t="s">
        <v>1548</v>
      </c>
      <c r="F4033" s="15" t="s">
        <v>4837</v>
      </c>
      <c r="G4033" s="7">
        <v>15.624</v>
      </c>
      <c r="H4033" s="15">
        <v>40.0</v>
      </c>
      <c r="I4033" s="15" t="s">
        <v>1567</v>
      </c>
      <c r="J4033" s="15" t="s">
        <v>16271</v>
      </c>
      <c r="K4033" s="15">
        <v>6.0</v>
      </c>
      <c r="L4033" s="15">
        <v>8.0</v>
      </c>
      <c r="M4033" s="41">
        <v>41237.0</v>
      </c>
      <c r="N4033" s="41">
        <v>41943.0</v>
      </c>
      <c r="O4033" s="15" t="s">
        <v>1554</v>
      </c>
      <c r="Q4033" s="7"/>
    </row>
    <row r="4034">
      <c r="A4034" s="39" t="s">
        <v>16273</v>
      </c>
      <c r="B4034" s="15">
        <v>1229186.0</v>
      </c>
      <c r="C4034" s="15" t="s">
        <v>16274</v>
      </c>
      <c r="D4034" s="15">
        <v>265897.0</v>
      </c>
      <c r="E4034" s="15" t="s">
        <v>1548</v>
      </c>
      <c r="F4034" s="15" t="s">
        <v>1890</v>
      </c>
      <c r="G4034" s="7">
        <v>15.444</v>
      </c>
      <c r="H4034" s="15" t="s">
        <v>2103</v>
      </c>
      <c r="I4034" s="15" t="s">
        <v>1560</v>
      </c>
      <c r="J4034" s="15" t="s">
        <v>16275</v>
      </c>
      <c r="K4034" s="15">
        <v>9.0</v>
      </c>
      <c r="L4034" s="15">
        <v>10.0</v>
      </c>
      <c r="M4034" s="40">
        <v>41170.0</v>
      </c>
      <c r="N4034" s="41">
        <v>41943.0</v>
      </c>
      <c r="O4034" s="15" t="s">
        <v>1554</v>
      </c>
      <c r="Q4034" s="7"/>
    </row>
    <row r="4035">
      <c r="A4035" s="39" t="s">
        <v>16276</v>
      </c>
      <c r="B4035" s="15">
        <v>120499.0</v>
      </c>
      <c r="C4035" s="15" t="s">
        <v>16277</v>
      </c>
      <c r="D4035" s="15">
        <v>265898.0</v>
      </c>
      <c r="E4035" s="15" t="s">
        <v>1548</v>
      </c>
      <c r="F4035" s="15" t="s">
        <v>4837</v>
      </c>
      <c r="G4035" s="7">
        <v>16.698</v>
      </c>
      <c r="H4035" s="15" t="s">
        <v>2023</v>
      </c>
      <c r="I4035" s="15" t="s">
        <v>1567</v>
      </c>
      <c r="J4035" s="15" t="s">
        <v>16278</v>
      </c>
      <c r="K4035" s="15">
        <v>6.0</v>
      </c>
      <c r="L4035" s="15">
        <v>8.0</v>
      </c>
      <c r="M4035" s="40">
        <v>41093.0</v>
      </c>
      <c r="N4035" s="41">
        <v>41943.0</v>
      </c>
      <c r="O4035" s="15" t="s">
        <v>1554</v>
      </c>
      <c r="Q4035" s="7"/>
    </row>
    <row r="4036">
      <c r="A4036" s="39" t="s">
        <v>16279</v>
      </c>
      <c r="B4036" s="15">
        <v>1204252.0</v>
      </c>
      <c r="C4036" s="15" t="s">
        <v>16280</v>
      </c>
      <c r="D4036" s="15">
        <v>265899.0</v>
      </c>
      <c r="E4036" s="15" t="s">
        <v>1548</v>
      </c>
      <c r="F4036" s="15" t="s">
        <v>4837</v>
      </c>
      <c r="G4036" s="7">
        <v>17.412</v>
      </c>
      <c r="H4036" s="15">
        <v>39.0</v>
      </c>
      <c r="I4036" s="15" t="s">
        <v>1567</v>
      </c>
      <c r="J4036" s="15" t="s">
        <v>16282</v>
      </c>
      <c r="K4036" s="15">
        <v>7.0</v>
      </c>
      <c r="L4036" s="15">
        <v>7.0</v>
      </c>
      <c r="M4036" s="40">
        <v>41094.0</v>
      </c>
      <c r="N4036" s="41">
        <v>41943.0</v>
      </c>
      <c r="O4036" s="15" t="s">
        <v>1554</v>
      </c>
      <c r="Q4036" s="7"/>
    </row>
    <row r="4037">
      <c r="A4037" s="39" t="s">
        <v>16283</v>
      </c>
      <c r="B4037" s="15">
        <v>936149.0</v>
      </c>
      <c r="C4037" s="15" t="s">
        <v>16284</v>
      </c>
      <c r="D4037" s="15">
        <v>265900.0</v>
      </c>
      <c r="E4037" s="15" t="s">
        <v>1548</v>
      </c>
      <c r="F4037" s="15" t="s">
        <v>1890</v>
      </c>
      <c r="G4037" s="7">
        <v>11.492</v>
      </c>
      <c r="H4037" s="15" t="s">
        <v>3604</v>
      </c>
      <c r="I4037" s="15" t="s">
        <v>1686</v>
      </c>
      <c r="J4037" s="15" t="s">
        <v>16285</v>
      </c>
      <c r="K4037" s="15">
        <v>7.0</v>
      </c>
      <c r="L4037" s="15">
        <v>7.0</v>
      </c>
      <c r="M4037" s="41">
        <v>40539.0</v>
      </c>
      <c r="N4037" s="41">
        <v>41943.0</v>
      </c>
      <c r="O4037" s="15" t="s">
        <v>1554</v>
      </c>
      <c r="Q4037" s="7"/>
    </row>
    <row r="4038">
      <c r="A4038" s="39" t="s">
        <v>16286</v>
      </c>
      <c r="B4038" s="15">
        <v>798072.0</v>
      </c>
      <c r="C4038" s="15" t="s">
        <v>16287</v>
      </c>
      <c r="D4038" s="15">
        <v>265902.0</v>
      </c>
      <c r="E4038" s="15" t="s">
        <v>1548</v>
      </c>
      <c r="F4038" s="15" t="s">
        <v>4837</v>
      </c>
      <c r="G4038" s="7">
        <v>15.888</v>
      </c>
      <c r="H4038" s="15" t="s">
        <v>2141</v>
      </c>
      <c r="I4038" s="15" t="s">
        <v>1567</v>
      </c>
      <c r="J4038" s="15" t="s">
        <v>16288</v>
      </c>
      <c r="K4038" s="15">
        <v>7.0</v>
      </c>
      <c r="L4038" s="15">
        <v>7.0</v>
      </c>
      <c r="M4038" s="40">
        <v>40350.0</v>
      </c>
      <c r="N4038" s="41">
        <v>41943.0</v>
      </c>
      <c r="O4038" s="15" t="s">
        <v>1554</v>
      </c>
      <c r="Q4038" s="7"/>
    </row>
    <row r="4039">
      <c r="A4039" s="39" t="s">
        <v>16290</v>
      </c>
      <c r="B4039" s="15">
        <v>764599.0</v>
      </c>
      <c r="C4039" s="15" t="s">
        <v>16291</v>
      </c>
      <c r="D4039" s="15">
        <v>265903.0</v>
      </c>
      <c r="E4039" s="15" t="s">
        <v>1548</v>
      </c>
      <c r="F4039" s="15" t="s">
        <v>1890</v>
      </c>
      <c r="G4039" s="7">
        <v>13.203</v>
      </c>
      <c r="H4039" s="15">
        <v>36.0</v>
      </c>
      <c r="I4039" s="15" t="s">
        <v>1686</v>
      </c>
      <c r="J4039" s="15" t="s">
        <v>16292</v>
      </c>
      <c r="K4039" s="15">
        <v>8.0</v>
      </c>
      <c r="L4039" s="15">
        <v>9.0</v>
      </c>
      <c r="M4039" s="40">
        <v>40359.0</v>
      </c>
      <c r="N4039" s="41">
        <v>41943.0</v>
      </c>
      <c r="O4039" s="15" t="s">
        <v>1554</v>
      </c>
      <c r="Q4039" s="7"/>
    </row>
    <row r="4040">
      <c r="A4040" s="39" t="s">
        <v>16293</v>
      </c>
      <c r="B4040" s="15">
        <v>642022.0</v>
      </c>
      <c r="C4040" s="15" t="s">
        <v>16294</v>
      </c>
      <c r="D4040" s="15">
        <v>265904.0</v>
      </c>
      <c r="E4040" s="15" t="s">
        <v>1548</v>
      </c>
      <c r="F4040" s="15" t="s">
        <v>1890</v>
      </c>
      <c r="G4040" s="7">
        <v>11.98</v>
      </c>
      <c r="H4040" s="15" t="s">
        <v>1983</v>
      </c>
      <c r="I4040" s="15" t="s">
        <v>1567</v>
      </c>
      <c r="J4040" s="15" t="s">
        <v>16296</v>
      </c>
      <c r="K4040" s="15">
        <v>5.0</v>
      </c>
      <c r="L4040" s="15">
        <v>5.0</v>
      </c>
      <c r="M4040" s="40">
        <v>39945.0</v>
      </c>
      <c r="N4040" s="41">
        <v>41943.0</v>
      </c>
      <c r="O4040" s="15" t="s">
        <v>1554</v>
      </c>
      <c r="Q4040" s="7"/>
    </row>
    <row r="4041">
      <c r="A4041" s="39" t="s">
        <v>16297</v>
      </c>
      <c r="B4041" s="15">
        <v>580247.0</v>
      </c>
      <c r="C4041" s="15" t="s">
        <v>16298</v>
      </c>
      <c r="D4041" s="15">
        <v>265905.0</v>
      </c>
      <c r="E4041" s="15" t="s">
        <v>1548</v>
      </c>
      <c r="F4041" s="15" t="s">
        <v>4837</v>
      </c>
      <c r="G4041" s="7">
        <v>15.438</v>
      </c>
      <c r="H4041" s="15" t="s">
        <v>1962</v>
      </c>
      <c r="I4041" s="15" t="s">
        <v>1567</v>
      </c>
      <c r="J4041" s="15" t="s">
        <v>16299</v>
      </c>
      <c r="K4041" s="15">
        <v>6.0</v>
      </c>
      <c r="L4041" s="15">
        <v>6.0</v>
      </c>
      <c r="M4041" s="40">
        <v>39878.0</v>
      </c>
      <c r="N4041" s="41">
        <v>41943.0</v>
      </c>
      <c r="O4041" s="15" t="s">
        <v>1554</v>
      </c>
      <c r="Q4041" s="7"/>
    </row>
    <row r="4042">
      <c r="A4042" s="39" t="s">
        <v>16300</v>
      </c>
      <c r="B4042" s="15">
        <v>488317.0</v>
      </c>
      <c r="C4042" s="15" t="s">
        <v>16301</v>
      </c>
      <c r="D4042" s="15">
        <v>265906.0</v>
      </c>
      <c r="E4042" s="15" t="s">
        <v>1548</v>
      </c>
      <c r="F4042" s="15" t="s">
        <v>1890</v>
      </c>
      <c r="G4042" s="7">
        <v>43113.0</v>
      </c>
      <c r="H4042" s="15" t="s">
        <v>2552</v>
      </c>
      <c r="I4042" s="15" t="s">
        <v>2034</v>
      </c>
      <c r="J4042" s="15" t="s">
        <v>16302</v>
      </c>
      <c r="K4042" s="15">
        <v>7.0</v>
      </c>
      <c r="L4042" s="15">
        <v>7.0</v>
      </c>
      <c r="M4042" s="40">
        <v>41724.0</v>
      </c>
      <c r="N4042" s="41">
        <v>41943.0</v>
      </c>
      <c r="O4042" s="15" t="s">
        <v>1554</v>
      </c>
      <c r="Q4042" s="7"/>
    </row>
    <row r="4043">
      <c r="A4043" s="39" t="s">
        <v>16303</v>
      </c>
      <c r="B4043" s="15">
        <v>351427.0</v>
      </c>
      <c r="C4043" s="15" t="s">
        <v>16304</v>
      </c>
      <c r="D4043" s="15">
        <v>265907.0</v>
      </c>
      <c r="E4043" s="15" t="s">
        <v>1548</v>
      </c>
      <c r="F4043" s="15" t="s">
        <v>1786</v>
      </c>
      <c r="G4043" s="7">
        <v>9.409</v>
      </c>
      <c r="H4043" s="15">
        <v>45.0</v>
      </c>
      <c r="I4043" s="15" t="s">
        <v>1628</v>
      </c>
      <c r="J4043" s="15" t="s">
        <v>16306</v>
      </c>
      <c r="K4043" s="15">
        <v>5.0</v>
      </c>
      <c r="L4043" s="15">
        <v>5.0</v>
      </c>
      <c r="M4043" s="40">
        <v>40040.0</v>
      </c>
      <c r="N4043" s="41">
        <v>41943.0</v>
      </c>
      <c r="O4043" s="15" t="s">
        <v>1554</v>
      </c>
      <c r="Q4043" s="7"/>
    </row>
    <row r="4044">
      <c r="A4044" s="39" t="s">
        <v>16307</v>
      </c>
      <c r="B4044" s="15">
        <v>318852.0</v>
      </c>
      <c r="C4044" s="15" t="s">
        <v>16308</v>
      </c>
      <c r="D4044" s="15">
        <v>265908.0</v>
      </c>
      <c r="E4044" s="15" t="s">
        <v>1548</v>
      </c>
      <c r="F4044" s="15" t="s">
        <v>1890</v>
      </c>
      <c r="G4044" s="7">
        <v>11.22</v>
      </c>
      <c r="H4044" s="15" t="s">
        <v>8889</v>
      </c>
      <c r="I4044" s="15" t="s">
        <v>1560</v>
      </c>
      <c r="J4044" s="15" t="s">
        <v>16309</v>
      </c>
      <c r="K4044" s="15">
        <v>6.0</v>
      </c>
      <c r="L4044" s="15">
        <v>7.0</v>
      </c>
      <c r="M4044" s="40">
        <v>40772.0</v>
      </c>
      <c r="N4044" s="41">
        <v>41943.0</v>
      </c>
      <c r="O4044" s="15" t="s">
        <v>1554</v>
      </c>
      <c r="Q4044" s="7"/>
    </row>
    <row r="4045">
      <c r="A4045" s="39" t="s">
        <v>16310</v>
      </c>
      <c r="B4045" s="15">
        <v>318835.0</v>
      </c>
      <c r="C4045" s="15" t="s">
        <v>16311</v>
      </c>
      <c r="D4045" s="15">
        <v>265910.0</v>
      </c>
      <c r="E4045" s="15" t="s">
        <v>1548</v>
      </c>
      <c r="F4045" s="15" t="s">
        <v>1890</v>
      </c>
      <c r="G4045" s="7">
        <v>15.442</v>
      </c>
      <c r="H4045" s="15" t="s">
        <v>3361</v>
      </c>
      <c r="I4045" s="15" t="s">
        <v>1686</v>
      </c>
      <c r="J4045" s="15" t="s">
        <v>16312</v>
      </c>
      <c r="K4045" s="15">
        <v>9.0</v>
      </c>
      <c r="L4045" s="15">
        <v>9.0</v>
      </c>
      <c r="M4045" s="40">
        <v>41170.0</v>
      </c>
      <c r="N4045" s="41">
        <v>41943.0</v>
      </c>
      <c r="O4045" s="15" t="s">
        <v>1554</v>
      </c>
      <c r="Q4045" s="7"/>
    </row>
    <row r="4046">
      <c r="A4046" s="39" t="s">
        <v>16313</v>
      </c>
      <c r="B4046" s="15">
        <v>1511639.0</v>
      </c>
      <c r="C4046" s="15" t="s">
        <v>16314</v>
      </c>
      <c r="D4046" s="15">
        <v>265911.0</v>
      </c>
      <c r="E4046" s="15" t="s">
        <v>1548</v>
      </c>
      <c r="F4046" s="15" t="s">
        <v>1890</v>
      </c>
      <c r="G4046" s="7">
        <v>11.141</v>
      </c>
      <c r="H4046" s="15" t="s">
        <v>2857</v>
      </c>
      <c r="I4046" s="15" t="s">
        <v>1686</v>
      </c>
      <c r="J4046" s="15" t="s">
        <v>16316</v>
      </c>
      <c r="K4046" s="15">
        <v>5.0</v>
      </c>
      <c r="L4046" s="15">
        <v>5.0</v>
      </c>
      <c r="M4046" s="40">
        <v>41814.0</v>
      </c>
      <c r="N4046" s="41">
        <v>41943.0</v>
      </c>
      <c r="O4046" s="15" t="s">
        <v>1554</v>
      </c>
      <c r="Q4046" s="7"/>
    </row>
    <row r="4047">
      <c r="A4047" s="39" t="s">
        <v>16317</v>
      </c>
      <c r="B4047" s="15">
        <v>1491491.0</v>
      </c>
      <c r="C4047" s="15" t="s">
        <v>16318</v>
      </c>
      <c r="D4047" s="15">
        <v>265912.0</v>
      </c>
      <c r="E4047" s="15" t="s">
        <v>1548</v>
      </c>
      <c r="F4047" s="15" t="s">
        <v>1890</v>
      </c>
      <c r="G4047" s="7">
        <v>11.056</v>
      </c>
      <c r="H4047" s="15" t="s">
        <v>2451</v>
      </c>
      <c r="I4047" s="15" t="s">
        <v>1686</v>
      </c>
      <c r="J4047" s="15" t="s">
        <v>16319</v>
      </c>
      <c r="K4047" s="15">
        <v>7.0</v>
      </c>
      <c r="L4047" s="15">
        <v>7.0</v>
      </c>
      <c r="M4047" s="40">
        <v>41757.0</v>
      </c>
      <c r="N4047" s="41">
        <v>41943.0</v>
      </c>
      <c r="O4047" s="15" t="s">
        <v>1554</v>
      </c>
      <c r="Q4047" s="7"/>
    </row>
    <row r="4048">
      <c r="A4048" s="39" t="s">
        <v>16320</v>
      </c>
      <c r="B4048" s="15">
        <v>1479613.0</v>
      </c>
      <c r="C4048" s="15" t="s">
        <v>16321</v>
      </c>
      <c r="D4048" s="15">
        <v>265913.0</v>
      </c>
      <c r="E4048" s="15" t="s">
        <v>1548</v>
      </c>
      <c r="F4048" s="15" t="s">
        <v>1890</v>
      </c>
      <c r="G4048" s="7">
        <v>11.876</v>
      </c>
      <c r="H4048" s="15" t="s">
        <v>13615</v>
      </c>
      <c r="I4048" s="15" t="s">
        <v>1686</v>
      </c>
      <c r="J4048" s="15" t="s">
        <v>16323</v>
      </c>
      <c r="K4048" s="15">
        <v>8.0</v>
      </c>
      <c r="L4048" s="15">
        <v>6.0</v>
      </c>
      <c r="M4048" s="40">
        <v>41735.0</v>
      </c>
      <c r="N4048" s="41">
        <v>41943.0</v>
      </c>
      <c r="O4048" s="15" t="s">
        <v>1554</v>
      </c>
      <c r="Q4048" s="7"/>
    </row>
    <row r="4049">
      <c r="A4049" s="39" t="s">
        <v>16324</v>
      </c>
      <c r="B4049" s="15">
        <v>1560514.0</v>
      </c>
      <c r="C4049" s="15" t="s">
        <v>16325</v>
      </c>
      <c r="D4049" s="15">
        <v>265987.0</v>
      </c>
      <c r="E4049" s="15" t="s">
        <v>1557</v>
      </c>
      <c r="F4049" s="15" t="s">
        <v>1982</v>
      </c>
      <c r="G4049" s="7">
        <v>369.36</v>
      </c>
      <c r="H4049" s="15" t="s">
        <v>1983</v>
      </c>
      <c r="I4049" s="15" t="s">
        <v>1740</v>
      </c>
      <c r="J4049" s="15" t="s">
        <v>16326</v>
      </c>
      <c r="K4049" s="15">
        <v>403.0</v>
      </c>
      <c r="L4049" s="15">
        <v>403.0</v>
      </c>
      <c r="M4049" s="41">
        <v>41931.0</v>
      </c>
      <c r="N4049" s="40">
        <v>42491.0</v>
      </c>
      <c r="O4049" s="15" t="s">
        <v>1554</v>
      </c>
      <c r="Q4049" s="7"/>
    </row>
    <row r="4050">
      <c r="A4050" s="39" t="s">
        <v>16327</v>
      </c>
      <c r="B4050" s="15">
        <v>1170234.0</v>
      </c>
      <c r="C4050" s="15" t="s">
        <v>16328</v>
      </c>
      <c r="D4050" s="15">
        <v>264182.0</v>
      </c>
      <c r="E4050" s="15" t="s">
        <v>1548</v>
      </c>
      <c r="F4050" s="15" t="s">
        <v>4837</v>
      </c>
      <c r="G4050" s="7">
        <v>16.004</v>
      </c>
      <c r="H4050" s="15">
        <v>35.0</v>
      </c>
      <c r="I4050" s="15" t="s">
        <v>1567</v>
      </c>
      <c r="J4050" s="15" t="s">
        <v>16329</v>
      </c>
      <c r="K4050" s="15">
        <v>6.0</v>
      </c>
      <c r="L4050" s="15">
        <v>6.0</v>
      </c>
      <c r="M4050" s="40">
        <v>41921.0</v>
      </c>
      <c r="N4050" s="41">
        <v>41934.0</v>
      </c>
      <c r="O4050" s="15" t="s">
        <v>1554</v>
      </c>
      <c r="Q4050" s="7"/>
    </row>
    <row r="4051">
      <c r="A4051" s="39" t="s">
        <v>16330</v>
      </c>
      <c r="B4051" s="15">
        <v>1530454.0</v>
      </c>
      <c r="C4051" s="15" t="s">
        <v>16331</v>
      </c>
      <c r="D4051" s="15">
        <v>258099.0</v>
      </c>
      <c r="E4051" s="15" t="s">
        <v>1808</v>
      </c>
      <c r="F4051" s="15" t="s">
        <v>1998</v>
      </c>
      <c r="G4051" s="7">
        <v>1.773</v>
      </c>
      <c r="H4051" s="15" t="s">
        <v>4595</v>
      </c>
      <c r="I4051" s="15" t="s">
        <v>1686</v>
      </c>
      <c r="J4051" s="15" t="s">
        <v>16333</v>
      </c>
      <c r="K4051" s="15">
        <v>2.0</v>
      </c>
      <c r="L4051" s="15">
        <v>2.0</v>
      </c>
      <c r="M4051" s="40">
        <v>41862.0</v>
      </c>
      <c r="N4051" s="41">
        <v>41968.0</v>
      </c>
      <c r="O4051" s="15" t="s">
        <v>1554</v>
      </c>
      <c r="Q4051" s="7"/>
    </row>
    <row r="4052">
      <c r="A4052" s="39" t="s">
        <v>16334</v>
      </c>
      <c r="B4052" s="15">
        <v>1532180.0</v>
      </c>
      <c r="C4052" s="15" t="s">
        <v>16335</v>
      </c>
      <c r="D4052" s="15">
        <v>258162.0</v>
      </c>
      <c r="E4052" s="15" t="s">
        <v>1548</v>
      </c>
      <c r="F4052" s="15" t="s">
        <v>15726</v>
      </c>
      <c r="G4052" s="7">
        <v>6.002</v>
      </c>
      <c r="H4052" s="15" t="s">
        <v>5042</v>
      </c>
      <c r="I4052" s="15" t="s">
        <v>1552</v>
      </c>
      <c r="J4052" s="15" t="s">
        <v>16336</v>
      </c>
      <c r="K4052" s="15">
        <v>2.0</v>
      </c>
      <c r="L4052" s="15">
        <v>2.0</v>
      </c>
      <c r="M4052" s="40">
        <v>41863.0</v>
      </c>
      <c r="N4052" s="41">
        <v>41968.0</v>
      </c>
      <c r="O4052" s="15" t="s">
        <v>1554</v>
      </c>
      <c r="Q4052" s="7"/>
    </row>
    <row r="4053">
      <c r="A4053" s="39" t="s">
        <v>16337</v>
      </c>
      <c r="B4053" s="15">
        <v>1544378.0</v>
      </c>
      <c r="C4053" s="15" t="s">
        <v>16338</v>
      </c>
      <c r="D4053" s="15">
        <v>263034.0</v>
      </c>
      <c r="E4053" s="15" t="s">
        <v>2014</v>
      </c>
      <c r="F4053" s="15" t="s">
        <v>1578</v>
      </c>
      <c r="G4053" s="7">
        <v>1.359</v>
      </c>
      <c r="H4053" s="15" t="s">
        <v>1591</v>
      </c>
      <c r="I4053" s="15" t="s">
        <v>1628</v>
      </c>
      <c r="J4053" s="15" t="s">
        <v>16340</v>
      </c>
      <c r="K4053" s="15">
        <v>1.0</v>
      </c>
      <c r="L4053" s="15">
        <v>1.0</v>
      </c>
      <c r="M4053" s="40">
        <v>41911.0</v>
      </c>
      <c r="N4053" s="40">
        <v>41949.0</v>
      </c>
      <c r="O4053" s="15" t="s">
        <v>1554</v>
      </c>
      <c r="Q4053" s="7"/>
    </row>
    <row r="4054">
      <c r="A4054" s="39" t="s">
        <v>16341</v>
      </c>
      <c r="B4054" s="15">
        <v>1510440.0</v>
      </c>
      <c r="C4054" s="15" t="s">
        <v>16342</v>
      </c>
      <c r="D4054" s="15">
        <v>266641.0</v>
      </c>
      <c r="E4054" s="15" t="s">
        <v>1557</v>
      </c>
      <c r="F4054" s="15" t="s">
        <v>1833</v>
      </c>
      <c r="G4054" s="7">
        <v>45.648</v>
      </c>
      <c r="H4054" s="15" t="s">
        <v>2103</v>
      </c>
      <c r="I4054" s="15" t="s">
        <v>1586</v>
      </c>
      <c r="J4054" s="15" t="s">
        <v>16343</v>
      </c>
      <c r="K4054" s="15">
        <v>72.0</v>
      </c>
      <c r="L4054" s="15">
        <v>72.0</v>
      </c>
      <c r="M4054" s="40">
        <v>41813.0</v>
      </c>
      <c r="N4054" s="41">
        <v>41953.0</v>
      </c>
      <c r="O4054" s="15" t="s">
        <v>1554</v>
      </c>
      <c r="Q4054" s="7"/>
    </row>
    <row r="4055">
      <c r="A4055" s="39" t="s">
        <v>16344</v>
      </c>
      <c r="B4055" s="15">
        <v>1526408.0</v>
      </c>
      <c r="C4055" s="15" t="s">
        <v>16345</v>
      </c>
      <c r="D4055" s="15">
        <v>266646.0</v>
      </c>
      <c r="E4055" s="15" t="s">
        <v>1557</v>
      </c>
      <c r="F4055" s="15" t="s">
        <v>1767</v>
      </c>
      <c r="G4055" s="7">
        <v>140.807</v>
      </c>
      <c r="H4055" s="15" t="s">
        <v>2215</v>
      </c>
      <c r="I4055" s="15" t="s">
        <v>1586</v>
      </c>
      <c r="J4055" s="15" t="s">
        <v>16346</v>
      </c>
      <c r="K4055" s="15">
        <v>229.0</v>
      </c>
      <c r="L4055" s="15">
        <v>226.0</v>
      </c>
      <c r="M4055" s="40">
        <v>41877.0</v>
      </c>
      <c r="N4055" s="41">
        <v>41953.0</v>
      </c>
      <c r="O4055" s="15" t="s">
        <v>1554</v>
      </c>
      <c r="Q4055" s="7"/>
    </row>
    <row r="4056">
      <c r="A4056" s="39" t="s">
        <v>16347</v>
      </c>
      <c r="B4056" s="15">
        <v>1500735.0</v>
      </c>
      <c r="C4056" s="15" t="s">
        <v>16348</v>
      </c>
      <c r="D4056" s="15">
        <v>266647.0</v>
      </c>
      <c r="E4056" s="15" t="s">
        <v>1557</v>
      </c>
      <c r="F4056" s="15" t="s">
        <v>1833</v>
      </c>
      <c r="G4056" s="7">
        <v>29.616</v>
      </c>
      <c r="H4056" s="15" t="s">
        <v>2428</v>
      </c>
      <c r="I4056" s="15" t="s">
        <v>1586</v>
      </c>
      <c r="J4056" s="15" t="s">
        <v>16350</v>
      </c>
      <c r="K4056" s="15">
        <v>49.0</v>
      </c>
      <c r="L4056" s="15">
        <v>49.0</v>
      </c>
      <c r="M4056" s="40">
        <v>41839.0</v>
      </c>
      <c r="N4056" s="41">
        <v>41953.0</v>
      </c>
      <c r="O4056" s="15" t="s">
        <v>1554</v>
      </c>
      <c r="Q4056" s="7"/>
    </row>
    <row r="4057">
      <c r="A4057" s="39" t="s">
        <v>16351</v>
      </c>
      <c r="B4057" s="15">
        <v>1500734.0</v>
      </c>
      <c r="C4057" s="15" t="s">
        <v>16352</v>
      </c>
      <c r="D4057" s="15">
        <v>266648.0</v>
      </c>
      <c r="E4057" s="15" t="s">
        <v>1557</v>
      </c>
      <c r="F4057" s="15" t="s">
        <v>1833</v>
      </c>
      <c r="G4057" s="7">
        <v>32.799</v>
      </c>
      <c r="H4057" s="15" t="s">
        <v>2428</v>
      </c>
      <c r="I4057" s="15" t="s">
        <v>1586</v>
      </c>
      <c r="J4057" s="15" t="s">
        <v>16353</v>
      </c>
      <c r="K4057" s="15">
        <v>51.0</v>
      </c>
      <c r="L4057" s="15">
        <v>51.0</v>
      </c>
      <c r="M4057" s="40">
        <v>41839.0</v>
      </c>
      <c r="N4057" s="41">
        <v>41953.0</v>
      </c>
      <c r="O4057" s="15" t="s">
        <v>1554</v>
      </c>
      <c r="Q4057" s="7"/>
    </row>
    <row r="4058">
      <c r="A4058" s="39" t="s">
        <v>16354</v>
      </c>
      <c r="B4058" s="15">
        <v>1500733.0</v>
      </c>
      <c r="C4058" s="15" t="s">
        <v>16355</v>
      </c>
      <c r="D4058" s="15">
        <v>266649.0</v>
      </c>
      <c r="E4058" s="15" t="s">
        <v>1557</v>
      </c>
      <c r="F4058" s="15" t="s">
        <v>1833</v>
      </c>
      <c r="G4058" s="7">
        <v>32.975</v>
      </c>
      <c r="H4058" s="15" t="s">
        <v>2777</v>
      </c>
      <c r="I4058" s="15" t="s">
        <v>1586</v>
      </c>
      <c r="J4058" s="15" t="s">
        <v>16356</v>
      </c>
      <c r="K4058" s="15">
        <v>50.0</v>
      </c>
      <c r="L4058" s="15">
        <v>50.0</v>
      </c>
      <c r="M4058" s="40">
        <v>41839.0</v>
      </c>
      <c r="N4058" s="41">
        <v>41953.0</v>
      </c>
      <c r="O4058" s="15" t="s">
        <v>1554</v>
      </c>
      <c r="Q4058" s="7"/>
    </row>
    <row r="4059">
      <c r="A4059" s="39" t="s">
        <v>16357</v>
      </c>
      <c r="B4059" s="15">
        <v>711470.0</v>
      </c>
      <c r="C4059" s="15" t="s">
        <v>16358</v>
      </c>
      <c r="D4059" s="15">
        <v>266660.0</v>
      </c>
      <c r="E4059" s="15" t="s">
        <v>1557</v>
      </c>
      <c r="F4059" s="15" t="s">
        <v>1833</v>
      </c>
      <c r="G4059" s="7">
        <v>53.332</v>
      </c>
      <c r="H4059" s="15" t="s">
        <v>4653</v>
      </c>
      <c r="I4059" s="15" t="s">
        <v>1586</v>
      </c>
      <c r="J4059" s="15" t="s">
        <v>16359</v>
      </c>
      <c r="K4059" s="15">
        <v>96.0</v>
      </c>
      <c r="L4059" s="15">
        <v>95.0</v>
      </c>
      <c r="M4059" s="40">
        <v>40210.0</v>
      </c>
      <c r="N4059" s="41">
        <v>41953.0</v>
      </c>
      <c r="O4059" s="15" t="s">
        <v>1554</v>
      </c>
      <c r="Q4059" s="7"/>
    </row>
    <row r="4060">
      <c r="A4060" s="39" t="s">
        <v>16361</v>
      </c>
      <c r="B4060" s="15">
        <v>1498228.0</v>
      </c>
      <c r="C4060" s="15" t="s">
        <v>16362</v>
      </c>
      <c r="D4060" s="15">
        <v>266675.0</v>
      </c>
      <c r="E4060" s="15" t="s">
        <v>1557</v>
      </c>
      <c r="F4060" s="15" t="s">
        <v>1767</v>
      </c>
      <c r="G4060" s="7">
        <v>54.506</v>
      </c>
      <c r="H4060" s="15" t="s">
        <v>3890</v>
      </c>
      <c r="I4060" s="15" t="s">
        <v>1586</v>
      </c>
      <c r="J4060" s="15" t="s">
        <v>16363</v>
      </c>
      <c r="K4060" s="15">
        <v>94.0</v>
      </c>
      <c r="L4060" s="15">
        <v>94.0</v>
      </c>
      <c r="M4060" s="40">
        <v>41811.0</v>
      </c>
      <c r="N4060" s="40">
        <v>42521.0</v>
      </c>
      <c r="O4060" s="15" t="s">
        <v>1554</v>
      </c>
      <c r="Q4060" s="7"/>
    </row>
    <row r="4061">
      <c r="A4061" s="39" t="s">
        <v>16364</v>
      </c>
      <c r="B4061" s="15">
        <v>1555208.0</v>
      </c>
      <c r="C4061" s="15" t="s">
        <v>16365</v>
      </c>
      <c r="D4061" s="15">
        <v>266767.0</v>
      </c>
      <c r="E4061" s="15" t="s">
        <v>1557</v>
      </c>
      <c r="F4061" s="15" t="s">
        <v>1833</v>
      </c>
      <c r="G4061" s="7">
        <v>59.601</v>
      </c>
      <c r="H4061" s="15" t="s">
        <v>12937</v>
      </c>
      <c r="I4061" s="15" t="s">
        <v>1586</v>
      </c>
      <c r="J4061" s="15" t="s">
        <v>16366</v>
      </c>
      <c r="K4061" s="15">
        <v>82.0</v>
      </c>
      <c r="L4061" s="15">
        <v>82.0</v>
      </c>
      <c r="M4061" s="41">
        <v>41925.0</v>
      </c>
      <c r="N4061" s="41">
        <v>41953.0</v>
      </c>
      <c r="O4061" s="15" t="s">
        <v>1554</v>
      </c>
      <c r="Q4061" s="7"/>
    </row>
    <row r="4062">
      <c r="A4062" s="39" t="s">
        <v>16367</v>
      </c>
      <c r="B4062" s="15">
        <v>1555202.0</v>
      </c>
      <c r="C4062" s="15" t="s">
        <v>16368</v>
      </c>
      <c r="D4062" s="15">
        <v>266768.0</v>
      </c>
      <c r="E4062" s="15" t="s">
        <v>1557</v>
      </c>
      <c r="F4062" s="15" t="s">
        <v>1767</v>
      </c>
      <c r="G4062" s="7">
        <v>348.532</v>
      </c>
      <c r="H4062" s="15" t="s">
        <v>8397</v>
      </c>
      <c r="I4062" s="15" t="s">
        <v>1586</v>
      </c>
      <c r="J4062" s="15" t="s">
        <v>16369</v>
      </c>
      <c r="K4062" s="15">
        <v>618.0</v>
      </c>
      <c r="L4062" s="15">
        <v>611.0</v>
      </c>
      <c r="M4062" s="41">
        <v>41925.0</v>
      </c>
      <c r="N4062" s="41">
        <v>41953.0</v>
      </c>
      <c r="O4062" s="15" t="s">
        <v>1554</v>
      </c>
      <c r="Q4062" s="7"/>
    </row>
    <row r="4063">
      <c r="A4063" s="39" t="s">
        <v>16370</v>
      </c>
      <c r="B4063" s="15">
        <v>1542498.0</v>
      </c>
      <c r="C4063" s="15" t="s">
        <v>16371</v>
      </c>
      <c r="D4063" s="15">
        <v>266769.0</v>
      </c>
      <c r="E4063" s="15" t="s">
        <v>1557</v>
      </c>
      <c r="F4063" s="15" t="s">
        <v>1611</v>
      </c>
      <c r="G4063" s="7">
        <v>44.366</v>
      </c>
      <c r="H4063" s="15">
        <v>51.0</v>
      </c>
      <c r="I4063" s="15" t="s">
        <v>1586</v>
      </c>
      <c r="J4063" s="15" t="s">
        <v>16372</v>
      </c>
      <c r="K4063" s="15">
        <v>49.0</v>
      </c>
      <c r="L4063" s="15">
        <v>49.0</v>
      </c>
      <c r="M4063" s="40">
        <v>41891.0</v>
      </c>
      <c r="N4063" s="40">
        <v>42039.0</v>
      </c>
      <c r="O4063" s="15" t="s">
        <v>1554</v>
      </c>
      <c r="Q4063" s="7"/>
    </row>
    <row r="4064">
      <c r="A4064" s="39" t="s">
        <v>16373</v>
      </c>
      <c r="B4064" s="15">
        <v>1541887.0</v>
      </c>
      <c r="C4064" s="15" t="s">
        <v>16374</v>
      </c>
      <c r="D4064" s="15">
        <v>266770.0</v>
      </c>
      <c r="E4064" s="15" t="s">
        <v>1557</v>
      </c>
      <c r="F4064" s="15" t="s">
        <v>1833</v>
      </c>
      <c r="G4064" s="7">
        <v>59.578</v>
      </c>
      <c r="H4064" s="15" t="s">
        <v>7049</v>
      </c>
      <c r="I4064" s="15" t="s">
        <v>1586</v>
      </c>
      <c r="J4064" s="15" t="s">
        <v>16375</v>
      </c>
      <c r="K4064" s="15">
        <v>75.0</v>
      </c>
      <c r="L4064" s="15">
        <v>75.0</v>
      </c>
      <c r="M4064" s="41">
        <v>41939.0</v>
      </c>
      <c r="N4064" s="40">
        <v>42034.0</v>
      </c>
      <c r="O4064" s="15" t="s">
        <v>1554</v>
      </c>
      <c r="Q4064" s="7"/>
    </row>
    <row r="4065">
      <c r="A4065" s="39" t="s">
        <v>16376</v>
      </c>
      <c r="B4065" s="15">
        <v>1541883.0</v>
      </c>
      <c r="C4065" s="15" t="s">
        <v>16377</v>
      </c>
      <c r="D4065" s="15">
        <v>266771.0</v>
      </c>
      <c r="E4065" s="15" t="s">
        <v>1557</v>
      </c>
      <c r="F4065" s="15" t="s">
        <v>1767</v>
      </c>
      <c r="G4065" s="7">
        <v>42.351</v>
      </c>
      <c r="H4065" s="15" t="s">
        <v>5627</v>
      </c>
      <c r="I4065" s="15" t="s">
        <v>1586</v>
      </c>
      <c r="J4065" s="15" t="s">
        <v>16378</v>
      </c>
      <c r="K4065" s="15">
        <v>51.0</v>
      </c>
      <c r="L4065" s="15">
        <v>51.0</v>
      </c>
      <c r="M4065" s="40">
        <v>41892.0</v>
      </c>
      <c r="N4065" s="40">
        <v>42237.0</v>
      </c>
      <c r="O4065" s="15" t="s">
        <v>1554</v>
      </c>
      <c r="Q4065" s="7"/>
    </row>
    <row r="4066">
      <c r="A4066" s="39" t="s">
        <v>16380</v>
      </c>
      <c r="B4066" s="15">
        <v>1536611.0</v>
      </c>
      <c r="C4066" s="15" t="s">
        <v>16381</v>
      </c>
      <c r="D4066" s="15">
        <v>266772.0</v>
      </c>
      <c r="E4066" s="15" t="s">
        <v>1557</v>
      </c>
      <c r="F4066" s="15" t="s">
        <v>1611</v>
      </c>
      <c r="G4066" s="7">
        <v>38.646</v>
      </c>
      <c r="H4066" s="15" t="s">
        <v>2540</v>
      </c>
      <c r="I4066" s="15" t="s">
        <v>1586</v>
      </c>
      <c r="J4066" s="15" t="s">
        <v>16382</v>
      </c>
      <c r="K4066" s="15">
        <v>45.0</v>
      </c>
      <c r="L4066" s="15">
        <v>45.0</v>
      </c>
      <c r="M4066" s="40">
        <v>41891.0</v>
      </c>
      <c r="N4066" s="41">
        <v>41969.0</v>
      </c>
      <c r="O4066" s="15" t="s">
        <v>1554</v>
      </c>
      <c r="Q4066" s="7"/>
    </row>
    <row r="4067">
      <c r="A4067" s="39" t="s">
        <v>16383</v>
      </c>
      <c r="B4067" s="15">
        <v>1536592.0</v>
      </c>
      <c r="C4067" s="15" t="s">
        <v>16384</v>
      </c>
      <c r="D4067" s="15">
        <v>266773.0</v>
      </c>
      <c r="E4067" s="15" t="s">
        <v>1557</v>
      </c>
      <c r="F4067" s="15" t="s">
        <v>1578</v>
      </c>
      <c r="G4067" s="7">
        <v>34.773</v>
      </c>
      <c r="H4067" s="15">
        <v>52.0</v>
      </c>
      <c r="I4067" s="15" t="s">
        <v>1586</v>
      </c>
      <c r="J4067" s="15" t="s">
        <v>16385</v>
      </c>
      <c r="K4067" s="15">
        <v>56.0</v>
      </c>
      <c r="L4067" s="15">
        <v>56.0</v>
      </c>
      <c r="M4067" s="40">
        <v>41891.0</v>
      </c>
      <c r="N4067" s="41">
        <v>41953.0</v>
      </c>
      <c r="O4067" s="15" t="s">
        <v>1554</v>
      </c>
      <c r="Q4067" s="7"/>
    </row>
    <row r="4068">
      <c r="A4068" s="39" t="s">
        <v>16386</v>
      </c>
      <c r="B4068" s="15">
        <v>1527771.0</v>
      </c>
      <c r="C4068" s="15" t="s">
        <v>16387</v>
      </c>
      <c r="D4068" s="15">
        <v>266774.0</v>
      </c>
      <c r="E4068" s="15" t="s">
        <v>1557</v>
      </c>
      <c r="F4068" s="15" t="s">
        <v>1611</v>
      </c>
      <c r="G4068" s="7">
        <v>45.718</v>
      </c>
      <c r="H4068" s="15" t="s">
        <v>9648</v>
      </c>
      <c r="I4068" s="15" t="s">
        <v>1586</v>
      </c>
      <c r="J4068" s="15" t="s">
        <v>16388</v>
      </c>
      <c r="K4068" s="15">
        <v>64.0</v>
      </c>
      <c r="L4068" s="15">
        <v>64.0</v>
      </c>
      <c r="M4068" s="40">
        <v>41877.0</v>
      </c>
      <c r="N4068" s="41">
        <v>41953.0</v>
      </c>
      <c r="O4068" s="15" t="s">
        <v>1554</v>
      </c>
      <c r="Q4068" s="7"/>
    </row>
    <row r="4069">
      <c r="A4069" s="39" t="s">
        <v>16389</v>
      </c>
      <c r="B4069" s="15">
        <v>1527770.0</v>
      </c>
      <c r="C4069" s="15" t="s">
        <v>16390</v>
      </c>
      <c r="D4069" s="15">
        <v>266775.0</v>
      </c>
      <c r="E4069" s="15" t="s">
        <v>1557</v>
      </c>
      <c r="F4069" s="15" t="s">
        <v>1767</v>
      </c>
      <c r="G4069" s="7">
        <v>156.446</v>
      </c>
      <c r="H4069" s="15" t="s">
        <v>3836</v>
      </c>
      <c r="I4069" s="15" t="s">
        <v>1586</v>
      </c>
      <c r="J4069" s="15" t="s">
        <v>16392</v>
      </c>
      <c r="K4069" s="15">
        <v>257.0</v>
      </c>
      <c r="L4069" s="15">
        <v>257.0</v>
      </c>
      <c r="M4069" s="40">
        <v>41877.0</v>
      </c>
      <c r="N4069" s="41">
        <v>41953.0</v>
      </c>
      <c r="O4069" s="15" t="s">
        <v>1554</v>
      </c>
      <c r="Q4069" s="7"/>
    </row>
    <row r="4070">
      <c r="A4070" s="39" t="s">
        <v>16393</v>
      </c>
      <c r="B4070" s="15">
        <v>1505227.0</v>
      </c>
      <c r="C4070" s="15" t="s">
        <v>16394</v>
      </c>
      <c r="D4070" s="15">
        <v>266776.0</v>
      </c>
      <c r="E4070" s="15" t="s">
        <v>1557</v>
      </c>
      <c r="F4070" s="15" t="s">
        <v>1767</v>
      </c>
      <c r="G4070" s="7">
        <v>53.744</v>
      </c>
      <c r="H4070" s="15" t="s">
        <v>2300</v>
      </c>
      <c r="I4070" s="15" t="s">
        <v>1586</v>
      </c>
      <c r="J4070" s="15" t="s">
        <v>16395</v>
      </c>
      <c r="K4070" s="15">
        <v>86.0</v>
      </c>
      <c r="L4070" s="15">
        <v>86.0</v>
      </c>
      <c r="M4070" s="40">
        <v>41857.0</v>
      </c>
      <c r="N4070" s="41">
        <v>41953.0</v>
      </c>
      <c r="O4070" s="15" t="s">
        <v>1554</v>
      </c>
      <c r="Q4070" s="7"/>
    </row>
    <row r="4071">
      <c r="A4071" s="39" t="s">
        <v>16396</v>
      </c>
      <c r="B4071" s="15">
        <v>1481187.0</v>
      </c>
      <c r="C4071" s="15" t="s">
        <v>16397</v>
      </c>
      <c r="D4071" s="15">
        <v>266777.0</v>
      </c>
      <c r="E4071" s="15" t="s">
        <v>1557</v>
      </c>
      <c r="F4071" s="15" t="s">
        <v>1611</v>
      </c>
      <c r="G4071" s="7">
        <v>42.654</v>
      </c>
      <c r="H4071" s="15" t="s">
        <v>2820</v>
      </c>
      <c r="I4071" s="15" t="s">
        <v>1586</v>
      </c>
      <c r="J4071" s="15" t="s">
        <v>16398</v>
      </c>
      <c r="K4071" s="15">
        <v>53.0</v>
      </c>
      <c r="L4071" s="15">
        <v>53.0</v>
      </c>
      <c r="M4071" s="40">
        <v>41869.0</v>
      </c>
      <c r="N4071" s="41">
        <v>41953.0</v>
      </c>
      <c r="O4071" s="15" t="s">
        <v>1554</v>
      </c>
      <c r="Q4071" s="7"/>
    </row>
    <row r="4072">
      <c r="A4072" s="39" t="s">
        <v>16399</v>
      </c>
      <c r="B4072" s="15">
        <v>1481186.0</v>
      </c>
      <c r="C4072" s="15" t="s">
        <v>16400</v>
      </c>
      <c r="D4072" s="15">
        <v>266778.0</v>
      </c>
      <c r="E4072" s="15" t="s">
        <v>1557</v>
      </c>
      <c r="F4072" s="15" t="s">
        <v>1767</v>
      </c>
      <c r="G4072" s="7">
        <v>99.73</v>
      </c>
      <c r="H4072" s="15" t="s">
        <v>2885</v>
      </c>
      <c r="I4072" s="15" t="s">
        <v>1586</v>
      </c>
      <c r="J4072" s="15" t="s">
        <v>16401</v>
      </c>
      <c r="K4072" s="15">
        <v>178.0</v>
      </c>
      <c r="L4072" s="15">
        <v>156.0</v>
      </c>
      <c r="M4072" s="40">
        <v>41869.0</v>
      </c>
      <c r="N4072" s="41">
        <v>41953.0</v>
      </c>
      <c r="O4072" s="15" t="s">
        <v>1554</v>
      </c>
      <c r="Q4072" s="7"/>
    </row>
    <row r="4073">
      <c r="A4073" s="39" t="s">
        <v>16402</v>
      </c>
      <c r="B4073" s="15">
        <v>1458859.0</v>
      </c>
      <c r="C4073" s="15" t="s">
        <v>16403</v>
      </c>
      <c r="D4073" s="15">
        <v>266782.0</v>
      </c>
      <c r="E4073" s="15" t="s">
        <v>1557</v>
      </c>
      <c r="F4073" s="15" t="s">
        <v>1767</v>
      </c>
      <c r="G4073" s="7">
        <v>133.824</v>
      </c>
      <c r="H4073" s="15" t="s">
        <v>4331</v>
      </c>
      <c r="I4073" s="15" t="s">
        <v>1586</v>
      </c>
      <c r="J4073" s="15" t="s">
        <v>16405</v>
      </c>
      <c r="K4073" s="15">
        <v>238.0</v>
      </c>
      <c r="L4073" s="15">
        <v>235.0</v>
      </c>
      <c r="M4073" s="40">
        <v>41897.0</v>
      </c>
      <c r="N4073" s="41">
        <v>41953.0</v>
      </c>
      <c r="O4073" s="15" t="s">
        <v>1554</v>
      </c>
      <c r="Q4073" s="7"/>
    </row>
    <row r="4074">
      <c r="A4074" s="39" t="s">
        <v>16406</v>
      </c>
      <c r="B4074" s="15">
        <v>1458725.0</v>
      </c>
      <c r="C4074" s="15" t="s">
        <v>16407</v>
      </c>
      <c r="D4074" s="15">
        <v>266783.0</v>
      </c>
      <c r="E4074" s="15" t="s">
        <v>1557</v>
      </c>
      <c r="F4074" s="15" t="s">
        <v>1833</v>
      </c>
      <c r="G4074" s="7">
        <v>67.744</v>
      </c>
      <c r="H4074" s="15" t="s">
        <v>6615</v>
      </c>
      <c r="I4074" s="15" t="s">
        <v>1586</v>
      </c>
      <c r="J4074" s="15" t="s">
        <v>16408</v>
      </c>
      <c r="K4074" s="15">
        <v>98.0</v>
      </c>
      <c r="L4074" s="15">
        <v>98.0</v>
      </c>
      <c r="M4074" s="40">
        <v>41700.0</v>
      </c>
      <c r="N4074" s="41">
        <v>41953.0</v>
      </c>
      <c r="O4074" s="15" t="s">
        <v>1554</v>
      </c>
      <c r="Q4074" s="7"/>
    </row>
    <row r="4075">
      <c r="A4075" s="39" t="s">
        <v>16409</v>
      </c>
      <c r="B4075" s="15">
        <v>1273711.0</v>
      </c>
      <c r="C4075" s="15" t="s">
        <v>16410</v>
      </c>
      <c r="D4075" s="15">
        <v>266784.0</v>
      </c>
      <c r="E4075" s="15" t="s">
        <v>1557</v>
      </c>
      <c r="F4075" s="15" t="s">
        <v>1611</v>
      </c>
      <c r="G4075" s="7">
        <v>46.547</v>
      </c>
      <c r="H4075" s="15" t="s">
        <v>1782</v>
      </c>
      <c r="I4075" s="15" t="s">
        <v>1586</v>
      </c>
      <c r="J4075" s="15" t="s">
        <v>16411</v>
      </c>
      <c r="K4075" s="15">
        <v>51.0</v>
      </c>
      <c r="L4075" s="15">
        <v>50.0</v>
      </c>
      <c r="M4075" s="41">
        <v>41936.0</v>
      </c>
      <c r="N4075" s="40">
        <v>42341.0</v>
      </c>
      <c r="O4075" s="15" t="s">
        <v>1554</v>
      </c>
      <c r="Q4075" s="7"/>
    </row>
    <row r="4076">
      <c r="A4076" s="39" t="s">
        <v>16412</v>
      </c>
      <c r="B4076" s="15">
        <v>1204540.0</v>
      </c>
      <c r="C4076" s="15" t="s">
        <v>16413</v>
      </c>
      <c r="D4076" s="15">
        <v>266785.0</v>
      </c>
      <c r="E4076" s="15" t="s">
        <v>1557</v>
      </c>
      <c r="F4076" s="15" t="s">
        <v>1833</v>
      </c>
      <c r="G4076" s="7">
        <v>40.923</v>
      </c>
      <c r="H4076" s="15" t="s">
        <v>1696</v>
      </c>
      <c r="I4076" s="15" t="s">
        <v>1586</v>
      </c>
      <c r="J4076" s="15" t="s">
        <v>16414</v>
      </c>
      <c r="K4076" s="15">
        <v>69.0</v>
      </c>
      <c r="L4076" s="15">
        <v>69.0</v>
      </c>
      <c r="M4076" s="40">
        <v>41118.0</v>
      </c>
      <c r="N4076" s="41">
        <v>41953.0</v>
      </c>
      <c r="O4076" s="15" t="s">
        <v>1554</v>
      </c>
      <c r="Q4076" s="7"/>
    </row>
    <row r="4077">
      <c r="A4077" s="39" t="s">
        <v>16415</v>
      </c>
      <c r="B4077" s="15">
        <v>1204522.0</v>
      </c>
      <c r="C4077" s="15" t="s">
        <v>16416</v>
      </c>
      <c r="D4077" s="15">
        <v>266786.0</v>
      </c>
      <c r="E4077" s="15" t="s">
        <v>1557</v>
      </c>
      <c r="F4077" s="15" t="s">
        <v>1767</v>
      </c>
      <c r="G4077" s="7">
        <v>166.783</v>
      </c>
      <c r="H4077" s="15" t="s">
        <v>3568</v>
      </c>
      <c r="I4077" s="15" t="s">
        <v>1586</v>
      </c>
      <c r="J4077" s="15" t="s">
        <v>16417</v>
      </c>
      <c r="K4077" s="15">
        <v>270.0</v>
      </c>
      <c r="L4077" s="15">
        <v>270.0</v>
      </c>
      <c r="M4077" s="40">
        <v>41118.0</v>
      </c>
      <c r="N4077" s="41">
        <v>41953.0</v>
      </c>
      <c r="O4077" s="15" t="s">
        <v>1554</v>
      </c>
      <c r="Q4077" s="7"/>
    </row>
    <row r="4078">
      <c r="A4078" s="39" t="s">
        <v>16419</v>
      </c>
      <c r="B4078" s="15">
        <v>1204515.0</v>
      </c>
      <c r="C4078" s="15" t="s">
        <v>16420</v>
      </c>
      <c r="D4078" s="15">
        <v>266787.0</v>
      </c>
      <c r="E4078" s="15" t="s">
        <v>1557</v>
      </c>
      <c r="F4078" s="15" t="s">
        <v>1833</v>
      </c>
      <c r="G4078" s="7">
        <v>58.55</v>
      </c>
      <c r="H4078" s="15" t="s">
        <v>3890</v>
      </c>
      <c r="I4078" s="15" t="s">
        <v>1586</v>
      </c>
      <c r="J4078" s="15" t="s">
        <v>16421</v>
      </c>
      <c r="K4078" s="15">
        <v>110.0</v>
      </c>
      <c r="L4078" s="15">
        <v>110.0</v>
      </c>
      <c r="M4078" s="40">
        <v>41118.0</v>
      </c>
      <c r="N4078" s="41">
        <v>41953.0</v>
      </c>
      <c r="O4078" s="15" t="s">
        <v>1554</v>
      </c>
      <c r="Q4078" s="7"/>
    </row>
    <row r="4079">
      <c r="A4079" s="39" t="s">
        <v>16422</v>
      </c>
      <c r="B4079" s="15">
        <v>1161939.0</v>
      </c>
      <c r="C4079" s="15" t="s">
        <v>16423</v>
      </c>
      <c r="D4079" s="15">
        <v>266788.0</v>
      </c>
      <c r="E4079" s="15" t="s">
        <v>1557</v>
      </c>
      <c r="F4079" s="15" t="s">
        <v>1611</v>
      </c>
      <c r="G4079" s="7">
        <v>17.972</v>
      </c>
      <c r="H4079" s="15" t="s">
        <v>1579</v>
      </c>
      <c r="I4079" s="15" t="s">
        <v>1586</v>
      </c>
      <c r="J4079" s="15" t="s">
        <v>16424</v>
      </c>
      <c r="K4079" s="15">
        <v>25.0</v>
      </c>
      <c r="L4079" s="15">
        <v>25.0</v>
      </c>
      <c r="M4079" s="40">
        <v>41820.0</v>
      </c>
      <c r="N4079" s="40">
        <v>42261.0</v>
      </c>
      <c r="O4079" s="15" t="s">
        <v>1554</v>
      </c>
      <c r="Q4079" s="7"/>
    </row>
    <row r="4080">
      <c r="A4080" s="39" t="s">
        <v>16425</v>
      </c>
      <c r="B4080" s="15">
        <v>1113547.0</v>
      </c>
      <c r="C4080" s="15" t="s">
        <v>16426</v>
      </c>
      <c r="D4080" s="15">
        <v>266789.0</v>
      </c>
      <c r="E4080" s="15" t="s">
        <v>1557</v>
      </c>
      <c r="F4080" s="15" t="s">
        <v>1611</v>
      </c>
      <c r="G4080" s="7">
        <v>52.869</v>
      </c>
      <c r="H4080" s="15" t="s">
        <v>1813</v>
      </c>
      <c r="I4080" s="15" t="s">
        <v>1586</v>
      </c>
      <c r="J4080" s="15" t="s">
        <v>16427</v>
      </c>
      <c r="K4080" s="15">
        <v>84.0</v>
      </c>
      <c r="L4080" s="15">
        <v>84.0</v>
      </c>
      <c r="M4080" s="40">
        <v>41798.0</v>
      </c>
      <c r="N4080" s="41">
        <v>41953.0</v>
      </c>
      <c r="O4080" s="15" t="s">
        <v>1554</v>
      </c>
      <c r="Q4080" s="7"/>
    </row>
    <row r="4081">
      <c r="A4081" s="39" t="s">
        <v>16428</v>
      </c>
      <c r="B4081" s="15">
        <v>1527515.0</v>
      </c>
      <c r="C4081" s="15" t="s">
        <v>16429</v>
      </c>
      <c r="D4081" s="15">
        <v>267261.0</v>
      </c>
      <c r="E4081" s="15" t="s">
        <v>1557</v>
      </c>
      <c r="F4081" s="15" t="s">
        <v>1833</v>
      </c>
      <c r="G4081" s="7">
        <v>36.844</v>
      </c>
      <c r="H4081" s="15" t="s">
        <v>5521</v>
      </c>
      <c r="I4081" s="15" t="s">
        <v>1586</v>
      </c>
      <c r="J4081" s="15" t="s">
        <v>16430</v>
      </c>
      <c r="K4081" s="15">
        <v>65.0</v>
      </c>
      <c r="L4081" s="15">
        <v>65.0</v>
      </c>
      <c r="M4081" s="40">
        <v>41891.0</v>
      </c>
      <c r="N4081" s="41">
        <v>41957.0</v>
      </c>
      <c r="O4081" s="15" t="s">
        <v>1554</v>
      </c>
      <c r="Q4081" s="7"/>
    </row>
    <row r="4082">
      <c r="A4082" s="39" t="s">
        <v>16431</v>
      </c>
      <c r="B4082" s="15">
        <v>1567404.0</v>
      </c>
      <c r="C4082" s="15" t="s">
        <v>16432</v>
      </c>
      <c r="D4082" s="15">
        <v>267263.0</v>
      </c>
      <c r="E4082" s="15" t="s">
        <v>1638</v>
      </c>
      <c r="F4082" s="15" t="s">
        <v>1863</v>
      </c>
      <c r="G4082" s="7">
        <v>23.17</v>
      </c>
      <c r="H4082" s="15" t="s">
        <v>16433</v>
      </c>
      <c r="I4082" s="15" t="s">
        <v>1560</v>
      </c>
      <c r="J4082" s="15" t="s">
        <v>16435</v>
      </c>
      <c r="K4082" s="15">
        <v>9.0</v>
      </c>
      <c r="L4082" s="15">
        <v>9.0</v>
      </c>
      <c r="M4082" s="41">
        <v>41953.0</v>
      </c>
      <c r="N4082" s="41">
        <v>41957.0</v>
      </c>
      <c r="O4082" s="15" t="s">
        <v>1554</v>
      </c>
      <c r="Q4082" s="7"/>
    </row>
    <row r="4083">
      <c r="A4083" s="39" t="s">
        <v>16436</v>
      </c>
      <c r="B4083" s="15">
        <v>1506568.0</v>
      </c>
      <c r="C4083" s="15" t="s">
        <v>16437</v>
      </c>
      <c r="D4083" s="15">
        <v>267266.0</v>
      </c>
      <c r="E4083" s="15" t="s">
        <v>1808</v>
      </c>
      <c r="F4083" s="15" t="s">
        <v>1998</v>
      </c>
      <c r="G4083" s="7">
        <v>1.865</v>
      </c>
      <c r="H4083" s="15" t="s">
        <v>2686</v>
      </c>
      <c r="I4083" s="15" t="s">
        <v>1686</v>
      </c>
      <c r="J4083" s="15" t="s">
        <v>16438</v>
      </c>
      <c r="K4083" s="15">
        <v>2.0</v>
      </c>
      <c r="L4083" s="15">
        <v>2.0</v>
      </c>
      <c r="M4083" s="41">
        <v>41943.0</v>
      </c>
      <c r="N4083" s="40">
        <v>42186.0</v>
      </c>
      <c r="O4083" s="15" t="s">
        <v>1554</v>
      </c>
      <c r="Q4083" s="7"/>
    </row>
    <row r="4084">
      <c r="A4084" s="39" t="s">
        <v>16439</v>
      </c>
      <c r="B4084" s="15">
        <v>233051.0</v>
      </c>
      <c r="C4084" s="15" t="s">
        <v>16440</v>
      </c>
      <c r="D4084" s="15">
        <v>264910.0</v>
      </c>
      <c r="E4084" s="15" t="s">
        <v>1548</v>
      </c>
      <c r="F4084" s="15" t="s">
        <v>2615</v>
      </c>
      <c r="G4084" s="7">
        <v>6.431</v>
      </c>
      <c r="H4084" s="15" t="s">
        <v>2019</v>
      </c>
      <c r="I4084" s="15" t="s">
        <v>1628</v>
      </c>
      <c r="J4084" s="15" t="s">
        <v>16441</v>
      </c>
      <c r="K4084" s="15">
        <v>6.0</v>
      </c>
      <c r="L4084" s="15">
        <v>4.0</v>
      </c>
      <c r="M4084" s="41">
        <v>41934.0</v>
      </c>
      <c r="N4084" s="41">
        <v>41960.0</v>
      </c>
      <c r="O4084" s="15" t="s">
        <v>1554</v>
      </c>
      <c r="Q4084" s="7"/>
    </row>
    <row r="4085">
      <c r="A4085" s="39" t="s">
        <v>16442</v>
      </c>
      <c r="B4085" s="15">
        <v>1425362.0</v>
      </c>
      <c r="C4085" s="15" t="s">
        <v>16443</v>
      </c>
      <c r="D4085" s="15">
        <v>267001.0</v>
      </c>
      <c r="E4085" s="15" t="s">
        <v>1548</v>
      </c>
      <c r="F4085" s="15" t="s">
        <v>1786</v>
      </c>
      <c r="G4085" s="7">
        <v>8.047</v>
      </c>
      <c r="H4085" s="15" t="s">
        <v>3317</v>
      </c>
      <c r="I4085" s="15" t="s">
        <v>1628</v>
      </c>
      <c r="J4085" s="15" t="s">
        <v>16445</v>
      </c>
      <c r="K4085" s="15">
        <v>3.0</v>
      </c>
      <c r="L4085" s="15">
        <v>3.0</v>
      </c>
      <c r="M4085" s="41">
        <v>41954.0</v>
      </c>
      <c r="N4085" s="41">
        <v>41960.0</v>
      </c>
      <c r="O4085" s="15" t="s">
        <v>1554</v>
      </c>
      <c r="Q4085" s="7"/>
    </row>
    <row r="4086">
      <c r="A4086" s="39" t="s">
        <v>16446</v>
      </c>
      <c r="B4086" s="15">
        <v>722755.0</v>
      </c>
      <c r="C4086" s="15" t="s">
        <v>16447</v>
      </c>
      <c r="D4086" s="15">
        <v>267135.0</v>
      </c>
      <c r="E4086" s="15" t="s">
        <v>1548</v>
      </c>
      <c r="F4086" s="15" t="s">
        <v>1926</v>
      </c>
      <c r="G4086" s="7">
        <v>8.283</v>
      </c>
      <c r="H4086" s="15" t="s">
        <v>16448</v>
      </c>
      <c r="I4086" s="15" t="s">
        <v>1628</v>
      </c>
      <c r="J4086" s="15" t="s">
        <v>16449</v>
      </c>
      <c r="K4086" s="15">
        <v>4.0</v>
      </c>
      <c r="L4086" s="15">
        <v>4.0</v>
      </c>
      <c r="M4086" s="40">
        <v>40314.0</v>
      </c>
      <c r="N4086" s="41">
        <v>41960.0</v>
      </c>
      <c r="O4086" s="15" t="s">
        <v>1554</v>
      </c>
      <c r="Q4086" s="7"/>
    </row>
    <row r="4087">
      <c r="A4087" s="39" t="s">
        <v>16450</v>
      </c>
      <c r="B4087" s="15">
        <v>1464778.0</v>
      </c>
      <c r="C4087" s="15" t="s">
        <v>16451</v>
      </c>
      <c r="D4087" s="15">
        <v>267136.0</v>
      </c>
      <c r="E4087" s="15" t="s">
        <v>1548</v>
      </c>
      <c r="F4087" s="15" t="s">
        <v>1926</v>
      </c>
      <c r="G4087" s="7">
        <v>8.247</v>
      </c>
      <c r="H4087" s="15" t="s">
        <v>16452</v>
      </c>
      <c r="I4087" s="15" t="s">
        <v>1628</v>
      </c>
      <c r="J4087" s="15" t="s">
        <v>16453</v>
      </c>
      <c r="K4087" s="15">
        <v>4.0</v>
      </c>
      <c r="L4087" s="15">
        <v>4.0</v>
      </c>
      <c r="M4087" s="40">
        <v>41696.0</v>
      </c>
      <c r="N4087" s="41">
        <v>41960.0</v>
      </c>
      <c r="O4087" s="15" t="s">
        <v>1554</v>
      </c>
      <c r="Q4087" s="7"/>
    </row>
    <row r="4088">
      <c r="A4088" s="39" t="s">
        <v>16454</v>
      </c>
      <c r="B4088" s="15">
        <v>1425364.0</v>
      </c>
      <c r="C4088" s="15" t="s">
        <v>16455</v>
      </c>
      <c r="D4088" s="15">
        <v>267137.0</v>
      </c>
      <c r="E4088" s="15" t="s">
        <v>1548</v>
      </c>
      <c r="F4088" s="15" t="s">
        <v>1626</v>
      </c>
      <c r="G4088" s="7">
        <v>11.939</v>
      </c>
      <c r="H4088" s="15" t="s">
        <v>16457</v>
      </c>
      <c r="I4088" s="15" t="s">
        <v>1628</v>
      </c>
      <c r="J4088" s="15" t="s">
        <v>16458</v>
      </c>
      <c r="K4088" s="15">
        <v>3.0</v>
      </c>
      <c r="L4088" s="15">
        <v>3.0</v>
      </c>
      <c r="M4088" s="41">
        <v>41954.0</v>
      </c>
      <c r="N4088" s="40">
        <v>42965.0</v>
      </c>
      <c r="O4088" s="15" t="s">
        <v>1554</v>
      </c>
      <c r="Q4088" s="7"/>
    </row>
    <row r="4089">
      <c r="A4089" s="39" t="s">
        <v>16459</v>
      </c>
      <c r="B4089" s="15">
        <v>1425363.0</v>
      </c>
      <c r="C4089" s="15" t="s">
        <v>16460</v>
      </c>
      <c r="D4089" s="15">
        <v>267138.0</v>
      </c>
      <c r="E4089" s="15" t="s">
        <v>1548</v>
      </c>
      <c r="F4089" s="15" t="s">
        <v>1786</v>
      </c>
      <c r="G4089" s="7">
        <v>8.155</v>
      </c>
      <c r="H4089" s="15" t="s">
        <v>4331</v>
      </c>
      <c r="I4089" s="15" t="s">
        <v>1628</v>
      </c>
      <c r="J4089" s="15" t="s">
        <v>16461</v>
      </c>
      <c r="K4089" s="15">
        <v>3.0</v>
      </c>
      <c r="L4089" s="15">
        <v>3.0</v>
      </c>
      <c r="M4089" s="41">
        <v>41954.0</v>
      </c>
      <c r="N4089" s="41">
        <v>41960.0</v>
      </c>
      <c r="O4089" s="15" t="s">
        <v>1554</v>
      </c>
      <c r="Q4089" s="7"/>
    </row>
    <row r="4090">
      <c r="A4090" s="39" t="s">
        <v>16462</v>
      </c>
      <c r="B4090" s="15">
        <v>1506581.0</v>
      </c>
      <c r="C4090" s="15" t="s">
        <v>16463</v>
      </c>
      <c r="D4090" s="15">
        <v>267248.0</v>
      </c>
      <c r="E4090" s="15" t="s">
        <v>1548</v>
      </c>
      <c r="F4090" s="15" t="s">
        <v>1776</v>
      </c>
      <c r="G4090" s="7">
        <v>7.321</v>
      </c>
      <c r="H4090" s="15" t="s">
        <v>6633</v>
      </c>
      <c r="I4090" s="15" t="s">
        <v>1686</v>
      </c>
      <c r="J4090" s="15" t="s">
        <v>16464</v>
      </c>
      <c r="K4090" s="15">
        <v>1.0</v>
      </c>
      <c r="L4090" s="15">
        <v>1.0</v>
      </c>
      <c r="M4090" s="41">
        <v>41943.0</v>
      </c>
      <c r="N4090" s="40">
        <v>42186.0</v>
      </c>
      <c r="O4090" s="15" t="s">
        <v>1554</v>
      </c>
      <c r="Q4090" s="7"/>
    </row>
    <row r="4091">
      <c r="A4091" s="39" t="s">
        <v>16465</v>
      </c>
      <c r="B4091" s="15">
        <v>1568974.0</v>
      </c>
      <c r="C4091" s="15" t="s">
        <v>16466</v>
      </c>
      <c r="D4091" s="15">
        <v>267262.0</v>
      </c>
      <c r="E4091" s="15" t="s">
        <v>1808</v>
      </c>
      <c r="F4091" s="15" t="s">
        <v>1809</v>
      </c>
      <c r="G4091" s="7">
        <v>2.547</v>
      </c>
      <c r="H4091" s="15">
        <v>41.0</v>
      </c>
      <c r="I4091" s="15" t="s">
        <v>1628</v>
      </c>
      <c r="J4091" s="15" t="s">
        <v>16467</v>
      </c>
      <c r="K4091" s="15">
        <v>4.0</v>
      </c>
      <c r="L4091" s="15">
        <v>4.0</v>
      </c>
      <c r="M4091" s="41">
        <v>41953.0</v>
      </c>
      <c r="N4091" s="41">
        <v>41962.0</v>
      </c>
      <c r="O4091" s="15" t="s">
        <v>1554</v>
      </c>
      <c r="Q4091" s="7"/>
    </row>
    <row r="4092">
      <c r="A4092" s="39" t="s">
        <v>16468</v>
      </c>
      <c r="B4092" s="15">
        <v>232380.0</v>
      </c>
      <c r="C4092" s="15" t="s">
        <v>16469</v>
      </c>
      <c r="D4092" s="15">
        <v>267774.0</v>
      </c>
      <c r="E4092" s="15" t="s">
        <v>1808</v>
      </c>
      <c r="F4092" s="15" t="s">
        <v>1809</v>
      </c>
      <c r="G4092" s="7">
        <v>2.763</v>
      </c>
      <c r="H4092" s="15" t="s">
        <v>2141</v>
      </c>
      <c r="I4092" s="15" t="s">
        <v>1628</v>
      </c>
      <c r="J4092" s="15" t="s">
        <v>16470</v>
      </c>
      <c r="K4092" s="15">
        <v>6.0</v>
      </c>
      <c r="L4092" s="15">
        <v>6.0</v>
      </c>
      <c r="M4092" s="41">
        <v>41941.0</v>
      </c>
      <c r="N4092" s="41">
        <v>41962.0</v>
      </c>
      <c r="O4092" s="15" t="s">
        <v>1554</v>
      </c>
      <c r="Q4092" s="7"/>
    </row>
    <row r="4093">
      <c r="A4093" s="39" t="s">
        <v>16471</v>
      </c>
      <c r="B4093" s="15">
        <v>1564182.0</v>
      </c>
      <c r="C4093" s="15" t="s">
        <v>16472</v>
      </c>
      <c r="D4093" s="15">
        <v>267775.0</v>
      </c>
      <c r="E4093" s="15" t="s">
        <v>1548</v>
      </c>
      <c r="F4093" s="15" t="s">
        <v>4829</v>
      </c>
      <c r="G4093" s="7">
        <v>8.489</v>
      </c>
      <c r="H4093" s="15" t="s">
        <v>5521</v>
      </c>
      <c r="I4093" s="15" t="s">
        <v>1686</v>
      </c>
      <c r="J4093" s="15" t="s">
        <v>16473</v>
      </c>
      <c r="K4093" s="15">
        <v>3.0</v>
      </c>
      <c r="L4093" s="15">
        <v>3.0</v>
      </c>
      <c r="M4093" s="41">
        <v>41939.0</v>
      </c>
      <c r="N4093" s="40">
        <v>42035.0</v>
      </c>
      <c r="O4093" s="15" t="s">
        <v>1554</v>
      </c>
      <c r="Q4093" s="7"/>
    </row>
    <row r="4094">
      <c r="A4094" s="39" t="s">
        <v>16474</v>
      </c>
      <c r="B4094" s="15">
        <v>1562066.0</v>
      </c>
      <c r="C4094" s="15" t="s">
        <v>16475</v>
      </c>
      <c r="D4094" s="15">
        <v>267776.0</v>
      </c>
      <c r="E4094" s="15" t="s">
        <v>1548</v>
      </c>
      <c r="F4094" s="15" t="s">
        <v>1801</v>
      </c>
      <c r="G4094" s="7">
        <v>12.983</v>
      </c>
      <c r="H4094" s="15" t="s">
        <v>2141</v>
      </c>
      <c r="I4094" s="15" t="s">
        <v>1686</v>
      </c>
      <c r="J4094" s="15" t="s">
        <v>16477</v>
      </c>
      <c r="K4094" s="15">
        <v>1.0</v>
      </c>
      <c r="L4094" s="15">
        <v>1.0</v>
      </c>
      <c r="M4094" s="41">
        <v>41939.0</v>
      </c>
      <c r="N4094" s="41">
        <v>41962.0</v>
      </c>
      <c r="O4094" s="15" t="s">
        <v>1554</v>
      </c>
      <c r="Q4094" s="7"/>
    </row>
    <row r="4095">
      <c r="A4095" s="39" t="s">
        <v>16478</v>
      </c>
      <c r="B4095" s="15">
        <v>1562065.0</v>
      </c>
      <c r="C4095" s="15" t="s">
        <v>16479</v>
      </c>
      <c r="D4095" s="15">
        <v>267777.0</v>
      </c>
      <c r="E4095" s="15" t="s">
        <v>1548</v>
      </c>
      <c r="F4095" s="15" t="s">
        <v>1801</v>
      </c>
      <c r="G4095" s="7">
        <v>10.023</v>
      </c>
      <c r="H4095" s="15" t="s">
        <v>2038</v>
      </c>
      <c r="I4095" s="15" t="s">
        <v>1686</v>
      </c>
      <c r="J4095" s="15" t="s">
        <v>16480</v>
      </c>
      <c r="K4095" s="15">
        <v>1.0</v>
      </c>
      <c r="L4095" s="15">
        <v>1.0</v>
      </c>
      <c r="M4095" s="41">
        <v>41939.0</v>
      </c>
      <c r="N4095" s="41">
        <v>41962.0</v>
      </c>
      <c r="O4095" s="15" t="s">
        <v>1554</v>
      </c>
      <c r="Q4095" s="7"/>
    </row>
    <row r="4096">
      <c r="A4096" s="39" t="s">
        <v>16481</v>
      </c>
      <c r="B4096" s="15">
        <v>1562064.0</v>
      </c>
      <c r="C4096" s="15" t="s">
        <v>16482</v>
      </c>
      <c r="D4096" s="15">
        <v>267778.0</v>
      </c>
      <c r="E4096" s="15" t="s">
        <v>1548</v>
      </c>
      <c r="F4096" s="15" t="s">
        <v>1776</v>
      </c>
      <c r="G4096" s="7">
        <v>7.496</v>
      </c>
      <c r="H4096" s="15" t="s">
        <v>1782</v>
      </c>
      <c r="I4096" s="15" t="s">
        <v>1686</v>
      </c>
      <c r="J4096" s="15" t="s">
        <v>16484</v>
      </c>
      <c r="K4096" s="15">
        <v>1.0</v>
      </c>
      <c r="L4096" s="15">
        <v>1.0</v>
      </c>
      <c r="M4096" s="41">
        <v>41939.0</v>
      </c>
      <c r="N4096" s="41">
        <v>41962.0</v>
      </c>
      <c r="O4096" s="15" t="s">
        <v>1554</v>
      </c>
      <c r="Q4096" s="7"/>
    </row>
    <row r="4097">
      <c r="A4097" s="39" t="s">
        <v>16485</v>
      </c>
      <c r="B4097" s="15">
        <v>1560346.0</v>
      </c>
      <c r="C4097" s="15" t="s">
        <v>16486</v>
      </c>
      <c r="D4097" s="15">
        <v>267780.0</v>
      </c>
      <c r="E4097" s="15" t="s">
        <v>1557</v>
      </c>
      <c r="F4097" s="15" t="s">
        <v>2628</v>
      </c>
      <c r="G4097" s="7">
        <v>32.661</v>
      </c>
      <c r="H4097" s="15" t="s">
        <v>2686</v>
      </c>
      <c r="I4097" s="15" t="s">
        <v>1686</v>
      </c>
      <c r="J4097" s="15" t="s">
        <v>16487</v>
      </c>
      <c r="K4097" s="15">
        <v>34.0</v>
      </c>
      <c r="L4097" s="15">
        <v>34.0</v>
      </c>
      <c r="M4097" s="41">
        <v>41934.0</v>
      </c>
      <c r="N4097" s="41">
        <v>41962.0</v>
      </c>
      <c r="O4097" s="15" t="s">
        <v>1554</v>
      </c>
      <c r="Q4097" s="7"/>
    </row>
    <row r="4098">
      <c r="A4098" s="39" t="s">
        <v>16488</v>
      </c>
      <c r="B4098" s="15">
        <v>1527523.0</v>
      </c>
      <c r="C4098" s="15" t="s">
        <v>16489</v>
      </c>
      <c r="D4098" s="15">
        <v>267781.0</v>
      </c>
      <c r="E4098" s="15" t="s">
        <v>1548</v>
      </c>
      <c r="F4098" s="15" t="s">
        <v>2615</v>
      </c>
      <c r="G4098" s="7">
        <v>9.524</v>
      </c>
      <c r="H4098" s="15" t="s">
        <v>2064</v>
      </c>
      <c r="I4098" s="15" t="s">
        <v>1628</v>
      </c>
      <c r="J4098" s="15" t="s">
        <v>16490</v>
      </c>
      <c r="K4098" s="15">
        <v>4.0</v>
      </c>
      <c r="L4098" s="15">
        <v>4.0</v>
      </c>
      <c r="M4098" s="40">
        <v>41913.0</v>
      </c>
      <c r="N4098" s="40">
        <v>42506.0</v>
      </c>
      <c r="O4098" s="15" t="s">
        <v>1554</v>
      </c>
      <c r="Q4098" s="7"/>
    </row>
    <row r="4099">
      <c r="A4099" s="39" t="s">
        <v>16492</v>
      </c>
      <c r="B4099" s="15">
        <v>994388.0</v>
      </c>
      <c r="C4099" s="15" t="s">
        <v>16493</v>
      </c>
      <c r="D4099" s="15">
        <v>268098.0</v>
      </c>
      <c r="E4099" s="15" t="s">
        <v>1808</v>
      </c>
      <c r="F4099" s="15" t="s">
        <v>1809</v>
      </c>
      <c r="G4099" s="7">
        <v>2.782</v>
      </c>
      <c r="H4099" s="15">
        <v>44.0</v>
      </c>
      <c r="I4099" s="15" t="s">
        <v>1628</v>
      </c>
      <c r="J4099" s="15" t="s">
        <v>16494</v>
      </c>
      <c r="K4099" s="15">
        <v>6.0</v>
      </c>
      <c r="L4099" s="15">
        <v>6.0</v>
      </c>
      <c r="M4099" s="40">
        <v>40629.0</v>
      </c>
      <c r="N4099" s="41">
        <v>41964.0</v>
      </c>
      <c r="O4099" s="15" t="s">
        <v>1554</v>
      </c>
      <c r="Q4099" s="7"/>
    </row>
    <row r="4100">
      <c r="A4100" s="39" t="s">
        <v>16495</v>
      </c>
      <c r="B4100" s="15">
        <v>1105383.0</v>
      </c>
      <c r="C4100" s="15" t="s">
        <v>16496</v>
      </c>
      <c r="D4100" s="15">
        <v>268176.0</v>
      </c>
      <c r="E4100" s="15" t="s">
        <v>1808</v>
      </c>
      <c r="F4100" s="15" t="s">
        <v>1998</v>
      </c>
      <c r="G4100" s="7">
        <v>3.912</v>
      </c>
      <c r="H4100" s="15" t="s">
        <v>3895</v>
      </c>
      <c r="I4100" s="15" t="s">
        <v>1686</v>
      </c>
      <c r="J4100" s="15" t="s">
        <v>16497</v>
      </c>
      <c r="K4100" s="15">
        <v>5.0</v>
      </c>
      <c r="L4100" s="15">
        <v>5.0</v>
      </c>
      <c r="M4100" s="40">
        <v>40849.0</v>
      </c>
      <c r="N4100" s="41">
        <v>41967.0</v>
      </c>
      <c r="O4100" s="15" t="s">
        <v>1554</v>
      </c>
      <c r="Q4100" s="7"/>
    </row>
    <row r="4101">
      <c r="A4101" s="39" t="s">
        <v>16499</v>
      </c>
      <c r="B4101" s="15">
        <v>1105386.0</v>
      </c>
      <c r="C4101" s="15" t="s">
        <v>16500</v>
      </c>
      <c r="D4101" s="15">
        <v>268200.0</v>
      </c>
      <c r="E4101" s="15" t="s">
        <v>1808</v>
      </c>
      <c r="F4101" s="15" t="s">
        <v>1998</v>
      </c>
      <c r="G4101" s="7">
        <v>2.833</v>
      </c>
      <c r="H4101" s="15" t="s">
        <v>2049</v>
      </c>
      <c r="I4101" s="15" t="s">
        <v>1686</v>
      </c>
      <c r="J4101" s="15" t="s">
        <v>16501</v>
      </c>
      <c r="K4101" s="15">
        <v>3.0</v>
      </c>
      <c r="L4101" s="15">
        <v>3.0</v>
      </c>
      <c r="M4101" s="40">
        <v>40849.0</v>
      </c>
      <c r="N4101" s="41">
        <v>41967.0</v>
      </c>
      <c r="O4101" s="15" t="s">
        <v>1554</v>
      </c>
      <c r="Q4101" s="7"/>
    </row>
    <row r="4102">
      <c r="A4102" s="39" t="s">
        <v>16502</v>
      </c>
      <c r="B4102" s="15">
        <v>1105385.0</v>
      </c>
      <c r="C4102" s="15" t="s">
        <v>16503</v>
      </c>
      <c r="D4102" s="15">
        <v>268201.0</v>
      </c>
      <c r="E4102" s="15" t="s">
        <v>1808</v>
      </c>
      <c r="F4102" s="15" t="s">
        <v>1998</v>
      </c>
      <c r="G4102" s="7">
        <v>2.904</v>
      </c>
      <c r="H4102" s="15" t="s">
        <v>2428</v>
      </c>
      <c r="I4102" s="15" t="s">
        <v>1686</v>
      </c>
      <c r="J4102" s="15" t="s">
        <v>16504</v>
      </c>
      <c r="K4102" s="15">
        <v>3.0</v>
      </c>
      <c r="L4102" s="15">
        <v>3.0</v>
      </c>
      <c r="M4102" s="40">
        <v>40849.0</v>
      </c>
      <c r="N4102" s="41">
        <v>41967.0</v>
      </c>
      <c r="O4102" s="15" t="s">
        <v>1554</v>
      </c>
      <c r="Q4102" s="7"/>
    </row>
    <row r="4103">
      <c r="A4103" s="39" t="s">
        <v>16506</v>
      </c>
      <c r="B4103" s="15">
        <v>1524910.0</v>
      </c>
      <c r="C4103" s="15" t="s">
        <v>16507</v>
      </c>
      <c r="D4103" s="15">
        <v>266640.0</v>
      </c>
      <c r="E4103" s="15" t="s">
        <v>1557</v>
      </c>
      <c r="F4103" s="15" t="s">
        <v>1767</v>
      </c>
      <c r="G4103" s="7">
        <v>141.907</v>
      </c>
      <c r="H4103" s="42">
        <v>43220.0</v>
      </c>
      <c r="I4103" s="15" t="s">
        <v>1586</v>
      </c>
      <c r="J4103" s="15" t="s">
        <v>16508</v>
      </c>
      <c r="K4103" s="15">
        <v>204.0</v>
      </c>
      <c r="L4103" s="15">
        <v>204.0</v>
      </c>
      <c r="M4103" s="40">
        <v>41884.0</v>
      </c>
      <c r="N4103" s="41">
        <v>41968.0</v>
      </c>
      <c r="O4103" s="15" t="s">
        <v>1554</v>
      </c>
      <c r="Q4103" s="7"/>
    </row>
    <row r="4104">
      <c r="A4104" s="39" t="s">
        <v>16509</v>
      </c>
      <c r="B4104" s="15">
        <v>1391188.0</v>
      </c>
      <c r="C4104" s="15" t="s">
        <v>16510</v>
      </c>
      <c r="D4104" s="15">
        <v>266642.0</v>
      </c>
      <c r="E4104" s="15" t="s">
        <v>1557</v>
      </c>
      <c r="F4104" s="15" t="s">
        <v>1767</v>
      </c>
      <c r="G4104" s="7">
        <v>138.658</v>
      </c>
      <c r="H4104" s="15" t="s">
        <v>1559</v>
      </c>
      <c r="I4104" s="15" t="s">
        <v>1586</v>
      </c>
      <c r="J4104" s="15" t="s">
        <v>16511</v>
      </c>
      <c r="K4104" s="15">
        <v>221.0</v>
      </c>
      <c r="L4104" s="15">
        <v>221.0</v>
      </c>
      <c r="M4104" s="40">
        <v>41813.0</v>
      </c>
      <c r="N4104" s="41">
        <v>41968.0</v>
      </c>
      <c r="O4104" s="15" t="s">
        <v>1554</v>
      </c>
      <c r="Q4104" s="7"/>
    </row>
    <row r="4105">
      <c r="A4105" s="39" t="s">
        <v>16512</v>
      </c>
      <c r="B4105" s="15">
        <v>1357714.0</v>
      </c>
      <c r="C4105" s="15" t="s">
        <v>16513</v>
      </c>
      <c r="D4105" s="15">
        <v>266643.0</v>
      </c>
      <c r="E4105" s="15" t="s">
        <v>1557</v>
      </c>
      <c r="F4105" s="15" t="s">
        <v>1767</v>
      </c>
      <c r="G4105" s="7">
        <v>155.997</v>
      </c>
      <c r="H4105" s="15" t="s">
        <v>2233</v>
      </c>
      <c r="I4105" s="15" t="s">
        <v>1586</v>
      </c>
      <c r="J4105" s="15" t="s">
        <v>16515</v>
      </c>
      <c r="K4105" s="15">
        <v>291.0</v>
      </c>
      <c r="L4105" s="15">
        <v>286.0</v>
      </c>
      <c r="M4105" s="40">
        <v>41821.0</v>
      </c>
      <c r="N4105" s="41">
        <v>41968.0</v>
      </c>
      <c r="O4105" s="15" t="s">
        <v>1554</v>
      </c>
      <c r="Q4105" s="7"/>
    </row>
    <row r="4106">
      <c r="A4106" s="39" t="s">
        <v>16516</v>
      </c>
      <c r="B4106" s="15">
        <v>1262512.0</v>
      </c>
      <c r="C4106" s="15" t="s">
        <v>16517</v>
      </c>
      <c r="D4106" s="15">
        <v>266644.0</v>
      </c>
      <c r="E4106" s="15" t="s">
        <v>1557</v>
      </c>
      <c r="F4106" s="15" t="s">
        <v>1767</v>
      </c>
      <c r="G4106" s="7">
        <v>140.903</v>
      </c>
      <c r="H4106" s="42">
        <v>43189.0</v>
      </c>
      <c r="I4106" s="15" t="s">
        <v>1586</v>
      </c>
      <c r="J4106" s="15" t="s">
        <v>16518</v>
      </c>
      <c r="K4106" s="15">
        <v>221.0</v>
      </c>
      <c r="L4106" s="15">
        <v>217.0</v>
      </c>
      <c r="M4106" s="40">
        <v>41849.0</v>
      </c>
      <c r="N4106" s="41">
        <v>41968.0</v>
      </c>
      <c r="O4106" s="15" t="s">
        <v>1554</v>
      </c>
      <c r="Q4106" s="7"/>
    </row>
    <row r="4107">
      <c r="A4107" s="39" t="s">
        <v>16520</v>
      </c>
      <c r="B4107" s="15">
        <v>1194091.0</v>
      </c>
      <c r="C4107" s="15" t="s">
        <v>16521</v>
      </c>
      <c r="D4107" s="15">
        <v>266645.0</v>
      </c>
      <c r="E4107" s="15" t="s">
        <v>1557</v>
      </c>
      <c r="F4107" s="15" t="s">
        <v>1611</v>
      </c>
      <c r="G4107" s="7">
        <v>43.871</v>
      </c>
      <c r="H4107" s="15" t="s">
        <v>5483</v>
      </c>
      <c r="I4107" s="15" t="s">
        <v>1586</v>
      </c>
      <c r="J4107" s="15" t="s">
        <v>16522</v>
      </c>
      <c r="K4107" s="15">
        <v>35.0</v>
      </c>
      <c r="L4107" s="15">
        <v>35.0</v>
      </c>
      <c r="M4107" s="40">
        <v>41824.0</v>
      </c>
      <c r="N4107" s="40">
        <v>42234.0</v>
      </c>
      <c r="O4107" s="15" t="s">
        <v>1554</v>
      </c>
      <c r="Q4107" s="7"/>
    </row>
    <row r="4108">
      <c r="A4108" s="39" t="s">
        <v>16523</v>
      </c>
      <c r="B4108" s="15">
        <v>1541825.0</v>
      </c>
      <c r="C4108" s="15" t="s">
        <v>16525</v>
      </c>
      <c r="D4108" s="15">
        <v>266712.0</v>
      </c>
      <c r="E4108" s="15" t="s">
        <v>1557</v>
      </c>
      <c r="F4108" s="15" t="s">
        <v>1767</v>
      </c>
      <c r="G4108" s="7">
        <v>169.062</v>
      </c>
      <c r="H4108" s="15" t="s">
        <v>1714</v>
      </c>
      <c r="I4108" s="15" t="s">
        <v>1586</v>
      </c>
      <c r="J4108" s="15" t="s">
        <v>16526</v>
      </c>
      <c r="K4108" s="15">
        <v>269.0</v>
      </c>
      <c r="L4108" s="15">
        <v>267.0</v>
      </c>
      <c r="M4108" s="40">
        <v>41892.0</v>
      </c>
      <c r="N4108" s="41">
        <v>41968.0</v>
      </c>
      <c r="O4108" s="15" t="s">
        <v>1554</v>
      </c>
      <c r="Q4108" s="7"/>
    </row>
    <row r="4109">
      <c r="A4109" s="39" t="s">
        <v>16527</v>
      </c>
      <c r="B4109" s="15">
        <v>1541821.0</v>
      </c>
      <c r="C4109" s="15" t="s">
        <v>16528</v>
      </c>
      <c r="D4109" s="15">
        <v>266713.0</v>
      </c>
      <c r="E4109" s="15" t="s">
        <v>1557</v>
      </c>
      <c r="F4109" s="15" t="s">
        <v>1767</v>
      </c>
      <c r="G4109" s="7">
        <v>134.369</v>
      </c>
      <c r="H4109" s="15">
        <v>36.0</v>
      </c>
      <c r="I4109" s="15" t="s">
        <v>1586</v>
      </c>
      <c r="J4109" s="15" t="s">
        <v>16529</v>
      </c>
      <c r="K4109" s="15">
        <v>38.0</v>
      </c>
      <c r="L4109" s="15">
        <v>38.0</v>
      </c>
      <c r="M4109" s="40">
        <v>41892.0</v>
      </c>
      <c r="N4109" s="41">
        <v>41968.0</v>
      </c>
      <c r="O4109" s="15" t="s">
        <v>2353</v>
      </c>
      <c r="Q4109" s="7"/>
    </row>
    <row r="4110">
      <c r="A4110" s="39" t="s">
        <v>16530</v>
      </c>
      <c r="B4110" s="15">
        <v>1536597.0</v>
      </c>
      <c r="C4110" s="15" t="s">
        <v>16531</v>
      </c>
      <c r="D4110" s="15">
        <v>266714.0</v>
      </c>
      <c r="E4110" s="15" t="s">
        <v>1557</v>
      </c>
      <c r="F4110" s="15" t="s">
        <v>1611</v>
      </c>
      <c r="G4110" s="7">
        <v>40.981</v>
      </c>
      <c r="H4110" s="15" t="s">
        <v>3794</v>
      </c>
      <c r="I4110" s="15" t="s">
        <v>1586</v>
      </c>
      <c r="J4110" s="15" t="s">
        <v>16533</v>
      </c>
      <c r="K4110" s="15">
        <v>47.0</v>
      </c>
      <c r="L4110" s="15">
        <v>47.0</v>
      </c>
      <c r="M4110" s="40">
        <v>41891.0</v>
      </c>
      <c r="N4110" s="41">
        <v>41968.0</v>
      </c>
      <c r="O4110" s="15" t="s">
        <v>1554</v>
      </c>
      <c r="Q4110" s="7"/>
    </row>
    <row r="4111">
      <c r="A4111" s="39" t="s">
        <v>16534</v>
      </c>
      <c r="B4111" s="15">
        <v>1505528.0</v>
      </c>
      <c r="C4111" s="15" t="s">
        <v>16535</v>
      </c>
      <c r="D4111" s="15">
        <v>266715.0</v>
      </c>
      <c r="E4111" s="15" t="s">
        <v>1808</v>
      </c>
      <c r="F4111" s="15" t="s">
        <v>2969</v>
      </c>
      <c r="G4111" s="7">
        <v>7.679</v>
      </c>
      <c r="H4111" s="15" t="s">
        <v>10028</v>
      </c>
      <c r="I4111" s="15" t="s">
        <v>1586</v>
      </c>
      <c r="J4111" s="15" t="s">
        <v>16536</v>
      </c>
      <c r="K4111" s="15">
        <v>13.0</v>
      </c>
      <c r="L4111" s="15">
        <v>13.0</v>
      </c>
      <c r="M4111" s="40">
        <v>41920.0</v>
      </c>
      <c r="N4111" s="40">
        <v>42034.0</v>
      </c>
      <c r="O4111" s="15" t="s">
        <v>1554</v>
      </c>
      <c r="Q4111" s="7"/>
    </row>
    <row r="4112">
      <c r="A4112" s="39" t="s">
        <v>16537</v>
      </c>
      <c r="B4112" s="15">
        <v>1498227.0</v>
      </c>
      <c r="C4112" s="15" t="s">
        <v>16538</v>
      </c>
      <c r="D4112" s="15">
        <v>266716.0</v>
      </c>
      <c r="E4112" s="15" t="s">
        <v>1557</v>
      </c>
      <c r="F4112" s="15" t="s">
        <v>1611</v>
      </c>
      <c r="G4112" s="7">
        <v>62.699</v>
      </c>
      <c r="H4112" s="15" t="s">
        <v>3798</v>
      </c>
      <c r="I4112" s="15" t="s">
        <v>1586</v>
      </c>
      <c r="J4112" s="15" t="s">
        <v>16539</v>
      </c>
      <c r="K4112" s="15">
        <v>79.0</v>
      </c>
      <c r="L4112" s="15">
        <v>79.0</v>
      </c>
      <c r="M4112" s="40">
        <v>41887.0</v>
      </c>
      <c r="N4112" s="41">
        <v>41968.0</v>
      </c>
      <c r="O4112" s="15" t="s">
        <v>1554</v>
      </c>
      <c r="Q4112" s="7"/>
    </row>
    <row r="4113">
      <c r="A4113" s="39" t="s">
        <v>16541</v>
      </c>
      <c r="B4113" s="15">
        <v>1498220.0</v>
      </c>
      <c r="C4113" s="15" t="s">
        <v>16542</v>
      </c>
      <c r="D4113" s="15">
        <v>266717.0</v>
      </c>
      <c r="E4113" s="15" t="s">
        <v>1557</v>
      </c>
      <c r="F4113" s="15" t="s">
        <v>1833</v>
      </c>
      <c r="G4113" s="7">
        <v>42.6</v>
      </c>
      <c r="H4113" s="15" t="s">
        <v>2207</v>
      </c>
      <c r="I4113" s="15" t="s">
        <v>1586</v>
      </c>
      <c r="J4113" s="15" t="s">
        <v>16543</v>
      </c>
      <c r="K4113" s="15">
        <v>68.0</v>
      </c>
      <c r="L4113" s="15">
        <v>68.0</v>
      </c>
      <c r="M4113" s="40">
        <v>41813.0</v>
      </c>
      <c r="N4113" s="41">
        <v>41968.0</v>
      </c>
      <c r="O4113" s="15" t="s">
        <v>1554</v>
      </c>
      <c r="Q4113" s="7"/>
    </row>
    <row r="4114">
      <c r="A4114" s="39" t="s">
        <v>16544</v>
      </c>
      <c r="B4114" s="15">
        <v>1486428.0</v>
      </c>
      <c r="C4114" s="15" t="s">
        <v>16545</v>
      </c>
      <c r="D4114" s="15">
        <v>266718.0</v>
      </c>
      <c r="E4114" s="15" t="s">
        <v>1557</v>
      </c>
      <c r="F4114" s="15" t="s">
        <v>1833</v>
      </c>
      <c r="G4114" s="7">
        <v>40.286</v>
      </c>
      <c r="H4114" s="15">
        <v>35.0</v>
      </c>
      <c r="I4114" s="15" t="s">
        <v>1586</v>
      </c>
      <c r="J4114" s="15" t="s">
        <v>16546</v>
      </c>
      <c r="K4114" s="15">
        <v>59.0</v>
      </c>
      <c r="L4114" s="15">
        <v>59.0</v>
      </c>
      <c r="M4114" s="41">
        <v>41923.0</v>
      </c>
      <c r="N4114" s="41">
        <v>41968.0</v>
      </c>
      <c r="O4114" s="15" t="s">
        <v>1554</v>
      </c>
      <c r="Q4114" s="7"/>
    </row>
    <row r="4115">
      <c r="A4115" s="39" t="s">
        <v>16548</v>
      </c>
      <c r="B4115" s="15">
        <v>1204523.0</v>
      </c>
      <c r="C4115" s="15" t="s">
        <v>16549</v>
      </c>
      <c r="D4115" s="15">
        <v>266719.0</v>
      </c>
      <c r="E4115" s="15" t="s">
        <v>1557</v>
      </c>
      <c r="F4115" s="15" t="s">
        <v>1767</v>
      </c>
      <c r="G4115" s="7">
        <v>157.308</v>
      </c>
      <c r="H4115" s="15">
        <v>45.0</v>
      </c>
      <c r="I4115" s="15" t="s">
        <v>1586</v>
      </c>
      <c r="J4115" s="15" t="s">
        <v>16550</v>
      </c>
      <c r="K4115" s="15">
        <v>203.0</v>
      </c>
      <c r="L4115" s="15">
        <v>198.0</v>
      </c>
      <c r="M4115" s="40">
        <v>41118.0</v>
      </c>
      <c r="N4115" s="41">
        <v>41968.0</v>
      </c>
      <c r="O4115" s="15" t="s">
        <v>1554</v>
      </c>
      <c r="Q4115" s="7"/>
    </row>
    <row r="4116">
      <c r="A4116" s="39" t="s">
        <v>16551</v>
      </c>
      <c r="B4116" s="15">
        <v>1204521.0</v>
      </c>
      <c r="C4116" s="15" t="s">
        <v>16552</v>
      </c>
      <c r="D4116" s="15">
        <v>266720.0</v>
      </c>
      <c r="E4116" s="15" t="s">
        <v>1557</v>
      </c>
      <c r="F4116" s="15" t="s">
        <v>1767</v>
      </c>
      <c r="G4116" s="7">
        <v>66.854</v>
      </c>
      <c r="H4116" s="15" t="s">
        <v>1720</v>
      </c>
      <c r="I4116" s="15" t="s">
        <v>1586</v>
      </c>
      <c r="J4116" s="15" t="s">
        <v>16553</v>
      </c>
      <c r="K4116" s="15">
        <v>94.0</v>
      </c>
      <c r="L4116" s="15">
        <v>94.0</v>
      </c>
      <c r="M4116" s="40">
        <v>41118.0</v>
      </c>
      <c r="N4116" s="41">
        <v>41968.0</v>
      </c>
      <c r="O4116" s="15" t="s">
        <v>1554</v>
      </c>
      <c r="Q4116" s="7"/>
    </row>
    <row r="4117">
      <c r="A4117" s="39" t="s">
        <v>16554</v>
      </c>
      <c r="B4117" s="15">
        <v>1565990.0</v>
      </c>
      <c r="C4117" s="15" t="s">
        <v>16555</v>
      </c>
      <c r="D4117" s="15">
        <v>266721.0</v>
      </c>
      <c r="E4117" s="15" t="s">
        <v>1548</v>
      </c>
      <c r="F4117" s="15" t="s">
        <v>1776</v>
      </c>
      <c r="G4117" s="7">
        <v>7.037</v>
      </c>
      <c r="H4117" s="15" t="s">
        <v>5042</v>
      </c>
      <c r="I4117" s="15" t="s">
        <v>1686</v>
      </c>
      <c r="J4117" s="15" t="s">
        <v>16557</v>
      </c>
      <c r="K4117" s="15">
        <v>1.0</v>
      </c>
      <c r="L4117" s="15">
        <v>1.0</v>
      </c>
      <c r="M4117" s="40">
        <v>41948.0</v>
      </c>
      <c r="N4117" s="41">
        <v>41968.0</v>
      </c>
      <c r="O4117" s="15" t="s">
        <v>1554</v>
      </c>
      <c r="Q4117" s="7"/>
    </row>
    <row r="4118">
      <c r="A4118" s="39" t="s">
        <v>16558</v>
      </c>
      <c r="B4118" s="15">
        <v>1564903.0</v>
      </c>
      <c r="C4118" s="15" t="s">
        <v>16559</v>
      </c>
      <c r="D4118" s="15">
        <v>266722.0</v>
      </c>
      <c r="E4118" s="15" t="s">
        <v>1548</v>
      </c>
      <c r="F4118" s="15" t="s">
        <v>1771</v>
      </c>
      <c r="G4118" s="7">
        <v>5.986</v>
      </c>
      <c r="H4118" s="15">
        <v>48.0</v>
      </c>
      <c r="I4118" s="15" t="s">
        <v>1628</v>
      </c>
      <c r="J4118" s="15" t="s">
        <v>16560</v>
      </c>
      <c r="K4118" s="15">
        <v>6.0</v>
      </c>
      <c r="L4118" s="15">
        <v>6.0</v>
      </c>
      <c r="M4118" s="40">
        <v>41945.0</v>
      </c>
      <c r="N4118" s="40">
        <v>42453.0</v>
      </c>
      <c r="O4118" s="15" t="s">
        <v>1554</v>
      </c>
      <c r="Q4118" s="7"/>
    </row>
    <row r="4119">
      <c r="A4119" s="39" t="s">
        <v>16561</v>
      </c>
      <c r="B4119" s="15">
        <v>1379692.0</v>
      </c>
      <c r="C4119" s="15" t="s">
        <v>16562</v>
      </c>
      <c r="D4119" s="15">
        <v>268380.0</v>
      </c>
      <c r="E4119" s="15" t="s">
        <v>1808</v>
      </c>
      <c r="F4119" s="15" t="s">
        <v>1998</v>
      </c>
      <c r="G4119" s="7">
        <v>4.023</v>
      </c>
      <c r="H4119" s="15" t="s">
        <v>2686</v>
      </c>
      <c r="I4119" s="15" t="s">
        <v>1686</v>
      </c>
      <c r="J4119" s="15" t="s">
        <v>16563</v>
      </c>
      <c r="K4119" s="15">
        <v>4.0</v>
      </c>
      <c r="L4119" s="15">
        <v>4.0</v>
      </c>
      <c r="M4119" s="40">
        <v>41492.0</v>
      </c>
      <c r="N4119" s="41">
        <v>41968.0</v>
      </c>
      <c r="O4119" s="15" t="s">
        <v>1554</v>
      </c>
      <c r="Q4119" s="7"/>
    </row>
    <row r="4120">
      <c r="A4120" s="39" t="s">
        <v>16564</v>
      </c>
      <c r="B4120" s="15">
        <v>1379709.0</v>
      </c>
      <c r="C4120" s="15" t="s">
        <v>16565</v>
      </c>
      <c r="D4120" s="15">
        <v>268412.0</v>
      </c>
      <c r="E4120" s="15" t="s">
        <v>1808</v>
      </c>
      <c r="F4120" s="15" t="s">
        <v>1998</v>
      </c>
      <c r="G4120" s="7">
        <v>2.603</v>
      </c>
      <c r="H4120" s="15" t="s">
        <v>2049</v>
      </c>
      <c r="I4120" s="15" t="s">
        <v>1686</v>
      </c>
      <c r="J4120" s="15" t="s">
        <v>16566</v>
      </c>
      <c r="K4120" s="15">
        <v>3.0</v>
      </c>
      <c r="L4120" s="15">
        <v>3.0</v>
      </c>
      <c r="M4120" s="40">
        <v>41492.0</v>
      </c>
      <c r="N4120" s="41">
        <v>41968.0</v>
      </c>
      <c r="O4120" s="15" t="s">
        <v>1554</v>
      </c>
      <c r="Q4120" s="7"/>
    </row>
    <row r="4121">
      <c r="A4121" s="39" t="s">
        <v>16567</v>
      </c>
      <c r="B4121" s="15">
        <v>1379725.0</v>
      </c>
      <c r="C4121" s="15" t="s">
        <v>16568</v>
      </c>
      <c r="D4121" s="15">
        <v>268413.0</v>
      </c>
      <c r="E4121" s="15" t="s">
        <v>1808</v>
      </c>
      <c r="F4121" s="15" t="s">
        <v>1998</v>
      </c>
      <c r="G4121" s="7">
        <v>2.296</v>
      </c>
      <c r="H4121" s="15" t="s">
        <v>2869</v>
      </c>
      <c r="I4121" s="15" t="s">
        <v>1686</v>
      </c>
      <c r="J4121" s="15" t="s">
        <v>16569</v>
      </c>
      <c r="K4121" s="15">
        <v>3.0</v>
      </c>
      <c r="L4121" s="15">
        <v>3.0</v>
      </c>
      <c r="M4121" s="40">
        <v>41492.0</v>
      </c>
      <c r="N4121" s="41">
        <v>41968.0</v>
      </c>
      <c r="O4121" s="15" t="s">
        <v>1554</v>
      </c>
      <c r="Q4121" s="7"/>
    </row>
    <row r="4122">
      <c r="A4122" s="39" t="s">
        <v>16571</v>
      </c>
      <c r="B4122" s="15">
        <v>1379723.0</v>
      </c>
      <c r="C4122" s="15" t="s">
        <v>16572</v>
      </c>
      <c r="D4122" s="15">
        <v>268414.0</v>
      </c>
      <c r="E4122" s="15" t="s">
        <v>1808</v>
      </c>
      <c r="F4122" s="15" t="s">
        <v>1998</v>
      </c>
      <c r="G4122" s="7">
        <v>1.064</v>
      </c>
      <c r="H4122" s="15" t="s">
        <v>2548</v>
      </c>
      <c r="I4122" s="15" t="s">
        <v>1686</v>
      </c>
      <c r="J4122" s="15" t="s">
        <v>16573</v>
      </c>
      <c r="K4122" s="15">
        <v>1.0</v>
      </c>
      <c r="L4122" s="15">
        <v>1.0</v>
      </c>
      <c r="M4122" s="40">
        <v>41492.0</v>
      </c>
      <c r="N4122" s="41">
        <v>41968.0</v>
      </c>
      <c r="O4122" s="15" t="s">
        <v>1554</v>
      </c>
      <c r="Q4122" s="7"/>
    </row>
    <row r="4123">
      <c r="A4123" s="39" t="s">
        <v>16574</v>
      </c>
      <c r="B4123" s="15">
        <v>1379720.0</v>
      </c>
      <c r="C4123" s="15" t="s">
        <v>16575</v>
      </c>
      <c r="D4123" s="15">
        <v>268416.0</v>
      </c>
      <c r="E4123" s="15" t="s">
        <v>1808</v>
      </c>
      <c r="F4123" s="15" t="s">
        <v>1998</v>
      </c>
      <c r="G4123" s="7">
        <v>2.262</v>
      </c>
      <c r="H4123" s="15" t="s">
        <v>1750</v>
      </c>
      <c r="I4123" s="15" t="s">
        <v>1686</v>
      </c>
      <c r="J4123" s="15" t="s">
        <v>16576</v>
      </c>
      <c r="K4123" s="15">
        <v>4.0</v>
      </c>
      <c r="L4123" s="15">
        <v>4.0</v>
      </c>
      <c r="M4123" s="40">
        <v>41492.0</v>
      </c>
      <c r="N4123" s="41">
        <v>41968.0</v>
      </c>
      <c r="O4123" s="15" t="s">
        <v>1554</v>
      </c>
      <c r="Q4123" s="7"/>
    </row>
    <row r="4124">
      <c r="A4124" s="39" t="s">
        <v>16577</v>
      </c>
      <c r="B4124" s="15">
        <v>1379719.0</v>
      </c>
      <c r="C4124" s="15" t="s">
        <v>16579</v>
      </c>
      <c r="D4124" s="15">
        <v>268417.0</v>
      </c>
      <c r="E4124" s="15" t="s">
        <v>1808</v>
      </c>
      <c r="F4124" s="15" t="s">
        <v>1998</v>
      </c>
      <c r="G4124" s="7">
        <v>2.676</v>
      </c>
      <c r="H4124" s="15" t="s">
        <v>3823</v>
      </c>
      <c r="I4124" s="15" t="s">
        <v>1686</v>
      </c>
      <c r="J4124" s="15" t="s">
        <v>16580</v>
      </c>
      <c r="K4124" s="15">
        <v>3.0</v>
      </c>
      <c r="L4124" s="15">
        <v>3.0</v>
      </c>
      <c r="M4124" s="40">
        <v>41492.0</v>
      </c>
      <c r="N4124" s="41">
        <v>41968.0</v>
      </c>
      <c r="O4124" s="15" t="s">
        <v>1554</v>
      </c>
      <c r="Q4124" s="7"/>
    </row>
    <row r="4125">
      <c r="A4125" s="39" t="s">
        <v>16581</v>
      </c>
      <c r="B4125" s="15">
        <v>1379718.0</v>
      </c>
      <c r="C4125" s="15" t="s">
        <v>16582</v>
      </c>
      <c r="D4125" s="15">
        <v>268418.0</v>
      </c>
      <c r="E4125" s="15" t="s">
        <v>1808</v>
      </c>
      <c r="F4125" s="15" t="s">
        <v>1998</v>
      </c>
      <c r="G4125" s="7">
        <v>3.161</v>
      </c>
      <c r="H4125" s="15">
        <v>40.0</v>
      </c>
      <c r="I4125" s="15" t="s">
        <v>1686</v>
      </c>
      <c r="J4125" s="15" t="s">
        <v>16583</v>
      </c>
      <c r="K4125" s="15">
        <v>3.0</v>
      </c>
      <c r="L4125" s="15">
        <v>3.0</v>
      </c>
      <c r="M4125" s="40">
        <v>41492.0</v>
      </c>
      <c r="N4125" s="41">
        <v>41968.0</v>
      </c>
      <c r="O4125" s="15" t="s">
        <v>1554</v>
      </c>
      <c r="Q4125" s="7"/>
    </row>
    <row r="4126">
      <c r="A4126" s="39" t="s">
        <v>16584</v>
      </c>
      <c r="B4126" s="15">
        <v>1379717.0</v>
      </c>
      <c r="C4126" s="15" t="s">
        <v>16585</v>
      </c>
      <c r="D4126" s="15">
        <v>268419.0</v>
      </c>
      <c r="E4126" s="15" t="s">
        <v>1808</v>
      </c>
      <c r="F4126" s="15" t="s">
        <v>1998</v>
      </c>
      <c r="G4126" s="7">
        <v>2.658</v>
      </c>
      <c r="H4126" s="15" t="s">
        <v>2005</v>
      </c>
      <c r="I4126" s="15" t="s">
        <v>1686</v>
      </c>
      <c r="J4126" s="15" t="s">
        <v>16587</v>
      </c>
      <c r="K4126" s="15">
        <v>2.0</v>
      </c>
      <c r="L4126" s="15">
        <v>2.0</v>
      </c>
      <c r="M4126" s="40">
        <v>41492.0</v>
      </c>
      <c r="N4126" s="41">
        <v>41968.0</v>
      </c>
      <c r="O4126" s="15" t="s">
        <v>1554</v>
      </c>
      <c r="Q4126" s="7"/>
    </row>
    <row r="4127">
      <c r="A4127" s="39" t="s">
        <v>16588</v>
      </c>
      <c r="B4127" s="15">
        <v>1379715.0</v>
      </c>
      <c r="C4127" s="15" t="s">
        <v>16589</v>
      </c>
      <c r="D4127" s="15">
        <v>268420.0</v>
      </c>
      <c r="E4127" s="15" t="s">
        <v>1808</v>
      </c>
      <c r="F4127" s="15" t="s">
        <v>1998</v>
      </c>
      <c r="G4127" s="7">
        <v>2.917</v>
      </c>
      <c r="H4127" s="15" t="s">
        <v>4736</v>
      </c>
      <c r="I4127" s="15" t="s">
        <v>1686</v>
      </c>
      <c r="J4127" s="15" t="s">
        <v>16590</v>
      </c>
      <c r="K4127" s="15">
        <v>5.0</v>
      </c>
      <c r="L4127" s="15">
        <v>5.0</v>
      </c>
      <c r="M4127" s="40">
        <v>41492.0</v>
      </c>
      <c r="N4127" s="41">
        <v>41968.0</v>
      </c>
      <c r="O4127" s="15" t="s">
        <v>1554</v>
      </c>
      <c r="Q4127" s="7"/>
    </row>
    <row r="4128">
      <c r="A4128" s="39" t="s">
        <v>16591</v>
      </c>
      <c r="B4128" s="15">
        <v>1379714.0</v>
      </c>
      <c r="C4128" s="15" t="s">
        <v>16592</v>
      </c>
      <c r="D4128" s="15">
        <v>268421.0</v>
      </c>
      <c r="E4128" s="15" t="s">
        <v>1808</v>
      </c>
      <c r="F4128" s="15" t="s">
        <v>1998</v>
      </c>
      <c r="G4128" s="7">
        <v>3.333</v>
      </c>
      <c r="H4128" s="15" t="s">
        <v>2365</v>
      </c>
      <c r="I4128" s="15" t="s">
        <v>1686</v>
      </c>
      <c r="J4128" s="15" t="s">
        <v>16594</v>
      </c>
      <c r="K4128" s="15">
        <v>3.0</v>
      </c>
      <c r="L4128" s="15">
        <v>3.0</v>
      </c>
      <c r="M4128" s="40">
        <v>41492.0</v>
      </c>
      <c r="N4128" s="41">
        <v>41968.0</v>
      </c>
      <c r="O4128" s="15" t="s">
        <v>1554</v>
      </c>
      <c r="Q4128" s="7"/>
    </row>
    <row r="4129">
      <c r="A4129" s="39" t="s">
        <v>16595</v>
      </c>
      <c r="B4129" s="15">
        <v>1379713.0</v>
      </c>
      <c r="C4129" s="15" t="s">
        <v>16596</v>
      </c>
      <c r="D4129" s="15">
        <v>268422.0</v>
      </c>
      <c r="E4129" s="15" t="s">
        <v>1808</v>
      </c>
      <c r="F4129" s="15" t="s">
        <v>1998</v>
      </c>
      <c r="G4129" s="7">
        <v>3.175</v>
      </c>
      <c r="H4129" s="15" t="s">
        <v>3407</v>
      </c>
      <c r="I4129" s="15" t="s">
        <v>1686</v>
      </c>
      <c r="J4129" s="15" t="s">
        <v>16597</v>
      </c>
      <c r="K4129" s="15">
        <v>3.0</v>
      </c>
      <c r="L4129" s="15">
        <v>3.0</v>
      </c>
      <c r="M4129" s="40">
        <v>41492.0</v>
      </c>
      <c r="N4129" s="41">
        <v>41968.0</v>
      </c>
      <c r="O4129" s="15" t="s">
        <v>1554</v>
      </c>
      <c r="Q4129" s="7"/>
    </row>
    <row r="4130">
      <c r="A4130" s="39" t="s">
        <v>16598</v>
      </c>
      <c r="B4130" s="15">
        <v>1379712.0</v>
      </c>
      <c r="C4130" s="15" t="s">
        <v>16599</v>
      </c>
      <c r="D4130" s="15">
        <v>268423.0</v>
      </c>
      <c r="E4130" s="15" t="s">
        <v>1808</v>
      </c>
      <c r="F4130" s="15" t="s">
        <v>1998</v>
      </c>
      <c r="G4130" s="7">
        <v>3.999</v>
      </c>
      <c r="H4130" s="15" t="s">
        <v>2163</v>
      </c>
      <c r="I4130" s="15" t="s">
        <v>1686</v>
      </c>
      <c r="J4130" s="15" t="s">
        <v>16600</v>
      </c>
      <c r="K4130" s="15">
        <v>5.0</v>
      </c>
      <c r="L4130" s="15">
        <v>5.0</v>
      </c>
      <c r="M4130" s="40">
        <v>41492.0</v>
      </c>
      <c r="N4130" s="41">
        <v>41968.0</v>
      </c>
      <c r="O4130" s="15" t="s">
        <v>1554</v>
      </c>
      <c r="Q4130" s="7"/>
    </row>
    <row r="4131">
      <c r="A4131" s="39" t="s">
        <v>16601</v>
      </c>
      <c r="B4131" s="15">
        <v>1379711.0</v>
      </c>
      <c r="C4131" s="15" t="s">
        <v>16602</v>
      </c>
      <c r="D4131" s="15">
        <v>268424.0</v>
      </c>
      <c r="E4131" s="15" t="s">
        <v>1808</v>
      </c>
      <c r="F4131" s="15" t="s">
        <v>1998</v>
      </c>
      <c r="G4131" s="7">
        <v>4.715</v>
      </c>
      <c r="H4131" s="15" t="s">
        <v>1572</v>
      </c>
      <c r="I4131" s="15" t="s">
        <v>1686</v>
      </c>
      <c r="J4131" s="15" t="s">
        <v>16604</v>
      </c>
      <c r="K4131" s="15">
        <v>5.0</v>
      </c>
      <c r="L4131" s="15">
        <v>5.0</v>
      </c>
      <c r="M4131" s="40">
        <v>41492.0</v>
      </c>
      <c r="N4131" s="41">
        <v>41968.0</v>
      </c>
      <c r="O4131" s="15" t="s">
        <v>1554</v>
      </c>
      <c r="Q4131" s="7"/>
    </row>
    <row r="4132">
      <c r="A4132" s="39" t="s">
        <v>16605</v>
      </c>
      <c r="B4132" s="15">
        <v>1379694.0</v>
      </c>
      <c r="C4132" s="15" t="s">
        <v>16606</v>
      </c>
      <c r="D4132" s="15">
        <v>268425.0</v>
      </c>
      <c r="E4132" s="15" t="s">
        <v>1659</v>
      </c>
      <c r="F4132" s="15" t="s">
        <v>1578</v>
      </c>
      <c r="G4132" s="7">
        <v>5.749</v>
      </c>
      <c r="H4132" s="15" t="s">
        <v>2118</v>
      </c>
      <c r="I4132" s="15" t="s">
        <v>1573</v>
      </c>
      <c r="J4132" s="15" t="s">
        <v>16607</v>
      </c>
      <c r="K4132" s="15">
        <v>4.0</v>
      </c>
      <c r="L4132" s="15">
        <v>4.0</v>
      </c>
      <c r="M4132" s="40">
        <v>41492.0</v>
      </c>
      <c r="N4132" s="41">
        <v>41968.0</v>
      </c>
      <c r="O4132" s="15" t="s">
        <v>1554</v>
      </c>
      <c r="Q4132" s="7"/>
    </row>
    <row r="4133">
      <c r="A4133" s="39" t="s">
        <v>16608</v>
      </c>
      <c r="B4133" s="15">
        <v>1379707.0</v>
      </c>
      <c r="C4133" s="15" t="s">
        <v>16609</v>
      </c>
      <c r="D4133" s="15">
        <v>268426.0</v>
      </c>
      <c r="E4133" s="15" t="s">
        <v>1808</v>
      </c>
      <c r="F4133" s="15" t="s">
        <v>1998</v>
      </c>
      <c r="G4133" s="7">
        <v>2.389</v>
      </c>
      <c r="H4133" s="15" t="s">
        <v>3604</v>
      </c>
      <c r="I4133" s="15" t="s">
        <v>1686</v>
      </c>
      <c r="J4133" s="15" t="s">
        <v>16610</v>
      </c>
      <c r="K4133" s="15">
        <v>2.0</v>
      </c>
      <c r="L4133" s="15">
        <v>2.0</v>
      </c>
      <c r="M4133" s="40">
        <v>41492.0</v>
      </c>
      <c r="N4133" s="41">
        <v>41968.0</v>
      </c>
      <c r="O4133" s="15" t="s">
        <v>1554</v>
      </c>
      <c r="Q4133" s="7"/>
    </row>
    <row r="4134">
      <c r="A4134" s="39" t="s">
        <v>16612</v>
      </c>
      <c r="B4134" s="15">
        <v>1379695.0</v>
      </c>
      <c r="C4134" s="15" t="s">
        <v>16613</v>
      </c>
      <c r="D4134" s="15">
        <v>268427.0</v>
      </c>
      <c r="E4134" s="15" t="s">
        <v>1808</v>
      </c>
      <c r="F4134" s="15" t="s">
        <v>1998</v>
      </c>
      <c r="G4134" s="7">
        <v>3.584</v>
      </c>
      <c r="H4134" s="15" t="s">
        <v>2075</v>
      </c>
      <c r="I4134" s="15" t="s">
        <v>1686</v>
      </c>
      <c r="J4134" s="15" t="s">
        <v>16614</v>
      </c>
      <c r="K4134" s="15">
        <v>2.0</v>
      </c>
      <c r="L4134" s="15">
        <v>2.0</v>
      </c>
      <c r="M4134" s="40">
        <v>41492.0</v>
      </c>
      <c r="N4134" s="41">
        <v>41968.0</v>
      </c>
      <c r="O4134" s="15" t="s">
        <v>1554</v>
      </c>
      <c r="Q4134" s="7"/>
    </row>
    <row r="4135">
      <c r="A4135" s="39" t="s">
        <v>16615</v>
      </c>
      <c r="B4135" s="15">
        <v>1379708.0</v>
      </c>
      <c r="C4135" s="15" t="s">
        <v>16616</v>
      </c>
      <c r="D4135" s="15">
        <v>268428.0</v>
      </c>
      <c r="E4135" s="15" t="s">
        <v>1808</v>
      </c>
      <c r="F4135" s="15" t="s">
        <v>1998</v>
      </c>
      <c r="G4135" s="7">
        <v>3.393</v>
      </c>
      <c r="H4135" s="15" t="s">
        <v>10028</v>
      </c>
      <c r="I4135" s="15" t="s">
        <v>1686</v>
      </c>
      <c r="J4135" s="15" t="s">
        <v>16617</v>
      </c>
      <c r="K4135" s="15">
        <v>3.0</v>
      </c>
      <c r="L4135" s="15">
        <v>3.0</v>
      </c>
      <c r="M4135" s="40">
        <v>41492.0</v>
      </c>
      <c r="N4135" s="41">
        <v>41968.0</v>
      </c>
      <c r="O4135" s="15" t="s">
        <v>1554</v>
      </c>
      <c r="Q4135" s="7"/>
    </row>
    <row r="4136">
      <c r="A4136" s="39" t="s">
        <v>16618</v>
      </c>
      <c r="B4136" s="15">
        <v>1379710.0</v>
      </c>
      <c r="C4136" s="15" t="s">
        <v>16619</v>
      </c>
      <c r="D4136" s="15">
        <v>268429.0</v>
      </c>
      <c r="E4136" s="15" t="s">
        <v>1808</v>
      </c>
      <c r="F4136" s="15" t="s">
        <v>1998</v>
      </c>
      <c r="G4136" s="7">
        <v>2.711</v>
      </c>
      <c r="H4136" s="15" t="s">
        <v>2271</v>
      </c>
      <c r="I4136" s="15" t="s">
        <v>1686</v>
      </c>
      <c r="J4136" s="15" t="s">
        <v>16621</v>
      </c>
      <c r="K4136" s="15">
        <v>3.0</v>
      </c>
      <c r="L4136" s="15">
        <v>3.0</v>
      </c>
      <c r="M4136" s="40">
        <v>41492.0</v>
      </c>
      <c r="N4136" s="41">
        <v>41968.0</v>
      </c>
      <c r="O4136" s="15" t="s">
        <v>1554</v>
      </c>
      <c r="Q4136" s="7"/>
    </row>
    <row r="4137">
      <c r="A4137" s="39" t="s">
        <v>16622</v>
      </c>
      <c r="B4137" s="15">
        <v>1379722.0</v>
      </c>
      <c r="C4137" s="15" t="s">
        <v>16623</v>
      </c>
      <c r="D4137" s="15">
        <v>268430.0</v>
      </c>
      <c r="E4137" s="15" t="s">
        <v>1808</v>
      </c>
      <c r="F4137" s="15" t="s">
        <v>1998</v>
      </c>
      <c r="G4137" s="7">
        <v>2.834</v>
      </c>
      <c r="H4137" s="15" t="s">
        <v>1745</v>
      </c>
      <c r="I4137" s="15" t="s">
        <v>1686</v>
      </c>
      <c r="J4137" s="15" t="s">
        <v>16624</v>
      </c>
      <c r="K4137" s="15">
        <v>2.0</v>
      </c>
      <c r="L4137" s="15">
        <v>2.0</v>
      </c>
      <c r="M4137" s="40">
        <v>41492.0</v>
      </c>
      <c r="N4137" s="41">
        <v>41968.0</v>
      </c>
      <c r="O4137" s="15" t="s">
        <v>1554</v>
      </c>
      <c r="Q4137" s="7"/>
    </row>
    <row r="4138">
      <c r="A4138" s="39" t="s">
        <v>16625</v>
      </c>
      <c r="B4138" s="15">
        <v>1547577.0</v>
      </c>
      <c r="C4138" s="15" t="s">
        <v>16626</v>
      </c>
      <c r="D4138" s="15">
        <v>268505.0</v>
      </c>
      <c r="E4138" s="15" t="s">
        <v>1808</v>
      </c>
      <c r="F4138" s="15" t="s">
        <v>1809</v>
      </c>
      <c r="G4138" s="7">
        <v>2.735</v>
      </c>
      <c r="H4138" s="15">
        <v>49.0</v>
      </c>
      <c r="I4138" s="15" t="s">
        <v>1628</v>
      </c>
      <c r="J4138" s="15" t="s">
        <v>16627</v>
      </c>
      <c r="K4138" s="15">
        <v>7.0</v>
      </c>
      <c r="L4138" s="15">
        <v>7.0</v>
      </c>
      <c r="M4138" s="40">
        <v>41916.0</v>
      </c>
      <c r="N4138" s="41">
        <v>41969.0</v>
      </c>
      <c r="O4138" s="15" t="s">
        <v>1554</v>
      </c>
      <c r="Q4138" s="7"/>
    </row>
    <row r="4139">
      <c r="A4139" s="39" t="s">
        <v>16629</v>
      </c>
      <c r="B4139" s="15">
        <v>1391036.0</v>
      </c>
      <c r="C4139" s="15" t="s">
        <v>16630</v>
      </c>
      <c r="D4139" s="15">
        <v>268553.0</v>
      </c>
      <c r="E4139" s="15" t="s">
        <v>1664</v>
      </c>
      <c r="F4139" s="15" t="s">
        <v>15173</v>
      </c>
      <c r="G4139" s="7">
        <v>2.29</v>
      </c>
      <c r="H4139" s="15" t="s">
        <v>1844</v>
      </c>
      <c r="I4139" s="15" t="s">
        <v>1686</v>
      </c>
      <c r="J4139" s="15" t="s">
        <v>16631</v>
      </c>
      <c r="K4139" s="15">
        <v>2.0</v>
      </c>
      <c r="L4139" s="15">
        <v>2.0</v>
      </c>
      <c r="M4139" s="40">
        <v>41521.0</v>
      </c>
      <c r="N4139" s="41">
        <v>41969.0</v>
      </c>
      <c r="O4139" s="15" t="s">
        <v>1554</v>
      </c>
      <c r="Q4139" s="7"/>
    </row>
    <row r="4140">
      <c r="A4140" s="39" t="s">
        <v>16632</v>
      </c>
      <c r="B4140" s="15">
        <v>1391035.0</v>
      </c>
      <c r="C4140" s="15" t="s">
        <v>16634</v>
      </c>
      <c r="D4140" s="15">
        <v>268554.0</v>
      </c>
      <c r="E4140" s="15" t="s">
        <v>1664</v>
      </c>
      <c r="F4140" s="15" t="s">
        <v>15173</v>
      </c>
      <c r="G4140" s="7">
        <v>2.288</v>
      </c>
      <c r="H4140" s="15">
        <v>54.0</v>
      </c>
      <c r="I4140" s="15" t="s">
        <v>1686</v>
      </c>
      <c r="J4140" s="15" t="s">
        <v>16635</v>
      </c>
      <c r="K4140" s="15">
        <v>2.0</v>
      </c>
      <c r="L4140" s="15">
        <v>2.0</v>
      </c>
      <c r="M4140" s="40">
        <v>41521.0</v>
      </c>
      <c r="N4140" s="41">
        <v>41969.0</v>
      </c>
      <c r="O4140" s="15" t="s">
        <v>1554</v>
      </c>
      <c r="Q4140" s="7"/>
    </row>
    <row r="4141">
      <c r="A4141" s="39" t="s">
        <v>16636</v>
      </c>
      <c r="B4141" s="15">
        <v>1391034.0</v>
      </c>
      <c r="C4141" s="15" t="s">
        <v>16637</v>
      </c>
      <c r="D4141" s="15">
        <v>268555.0</v>
      </c>
      <c r="E4141" s="15" t="s">
        <v>1664</v>
      </c>
      <c r="F4141" s="15" t="s">
        <v>15173</v>
      </c>
      <c r="G4141" s="7">
        <v>2.187</v>
      </c>
      <c r="H4141" s="15" t="s">
        <v>2540</v>
      </c>
      <c r="I4141" s="15" t="s">
        <v>1686</v>
      </c>
      <c r="J4141" s="15" t="s">
        <v>16638</v>
      </c>
      <c r="K4141" s="15">
        <v>2.0</v>
      </c>
      <c r="L4141" s="15">
        <v>2.0</v>
      </c>
      <c r="M4141" s="40">
        <v>41521.0</v>
      </c>
      <c r="N4141" s="41">
        <v>41969.0</v>
      </c>
      <c r="O4141" s="15" t="s">
        <v>1554</v>
      </c>
      <c r="Q4141" s="7"/>
    </row>
    <row r="4142">
      <c r="A4142" s="39" t="s">
        <v>16639</v>
      </c>
      <c r="B4142" s="15">
        <v>1391033.0</v>
      </c>
      <c r="C4142" s="15" t="s">
        <v>16640</v>
      </c>
      <c r="D4142" s="15">
        <v>268556.0</v>
      </c>
      <c r="E4142" s="15" t="s">
        <v>1664</v>
      </c>
      <c r="F4142" s="15" t="s">
        <v>15173</v>
      </c>
      <c r="G4142" s="7">
        <v>2.224</v>
      </c>
      <c r="H4142" s="15">
        <v>52.0</v>
      </c>
      <c r="I4142" s="15" t="s">
        <v>1686</v>
      </c>
      <c r="J4142" s="15" t="s">
        <v>16642</v>
      </c>
      <c r="K4142" s="15">
        <v>2.0</v>
      </c>
      <c r="L4142" s="15">
        <v>2.0</v>
      </c>
      <c r="M4142" s="40">
        <v>41521.0</v>
      </c>
      <c r="N4142" s="41">
        <v>41969.0</v>
      </c>
      <c r="O4142" s="15" t="s">
        <v>1554</v>
      </c>
      <c r="Q4142" s="7"/>
    </row>
    <row r="4143">
      <c r="A4143" s="39" t="s">
        <v>16643</v>
      </c>
      <c r="B4143" s="15">
        <v>1391032.0</v>
      </c>
      <c r="C4143" s="15" t="s">
        <v>16644</v>
      </c>
      <c r="D4143" s="15">
        <v>268557.0</v>
      </c>
      <c r="E4143" s="15" t="s">
        <v>1664</v>
      </c>
      <c r="F4143" s="15" t="s">
        <v>15173</v>
      </c>
      <c r="G4143" s="7">
        <v>2.199</v>
      </c>
      <c r="H4143" s="15" t="s">
        <v>5627</v>
      </c>
      <c r="I4143" s="15" t="s">
        <v>1686</v>
      </c>
      <c r="J4143" s="15" t="s">
        <v>16645</v>
      </c>
      <c r="K4143" s="15">
        <v>2.0</v>
      </c>
      <c r="L4143" s="15">
        <v>2.0</v>
      </c>
      <c r="M4143" s="40">
        <v>41521.0</v>
      </c>
      <c r="N4143" s="41">
        <v>41969.0</v>
      </c>
      <c r="O4143" s="15" t="s">
        <v>1554</v>
      </c>
      <c r="Q4143" s="7"/>
    </row>
    <row r="4144">
      <c r="A4144" s="39" t="s">
        <v>16646</v>
      </c>
      <c r="B4144" s="15">
        <v>1391031.0</v>
      </c>
      <c r="C4144" s="15" t="s">
        <v>16647</v>
      </c>
      <c r="D4144" s="15">
        <v>268558.0</v>
      </c>
      <c r="E4144" s="15" t="s">
        <v>1664</v>
      </c>
      <c r="F4144" s="15" t="s">
        <v>15173</v>
      </c>
      <c r="G4144" s="7">
        <v>2.175</v>
      </c>
      <c r="H4144" s="15" t="s">
        <v>4606</v>
      </c>
      <c r="I4144" s="15" t="s">
        <v>1686</v>
      </c>
      <c r="J4144" s="15" t="s">
        <v>16648</v>
      </c>
      <c r="K4144" s="15">
        <v>2.0</v>
      </c>
      <c r="L4144" s="15">
        <v>2.0</v>
      </c>
      <c r="M4144" s="40">
        <v>41521.0</v>
      </c>
      <c r="N4144" s="41">
        <v>41969.0</v>
      </c>
      <c r="O4144" s="15" t="s">
        <v>1554</v>
      </c>
      <c r="Q4144" s="7"/>
    </row>
    <row r="4145">
      <c r="A4145" s="39" t="s">
        <v>16650</v>
      </c>
      <c r="B4145" s="15">
        <v>1391028.0</v>
      </c>
      <c r="C4145" s="15" t="s">
        <v>16651</v>
      </c>
      <c r="D4145" s="15">
        <v>268561.0</v>
      </c>
      <c r="E4145" s="15" t="s">
        <v>1664</v>
      </c>
      <c r="F4145" s="15" t="s">
        <v>15173</v>
      </c>
      <c r="G4145" s="7">
        <v>2.197</v>
      </c>
      <c r="H4145" s="15" t="s">
        <v>6070</v>
      </c>
      <c r="I4145" s="15" t="s">
        <v>1686</v>
      </c>
      <c r="J4145" s="15" t="s">
        <v>16652</v>
      </c>
      <c r="K4145" s="15">
        <v>2.0</v>
      </c>
      <c r="L4145" s="15">
        <v>2.0</v>
      </c>
      <c r="M4145" s="40">
        <v>41521.0</v>
      </c>
      <c r="N4145" s="40">
        <v>42452.0</v>
      </c>
      <c r="O4145" s="15" t="s">
        <v>1554</v>
      </c>
      <c r="Q4145" s="7"/>
    </row>
    <row r="4146">
      <c r="A4146" s="39" t="s">
        <v>16653</v>
      </c>
      <c r="B4146" s="15">
        <v>1391027.0</v>
      </c>
      <c r="C4146" s="15" t="s">
        <v>16654</v>
      </c>
      <c r="D4146" s="15">
        <v>268562.0</v>
      </c>
      <c r="E4146" s="15" t="s">
        <v>1664</v>
      </c>
      <c r="F4146" s="15" t="s">
        <v>15173</v>
      </c>
      <c r="G4146" s="7">
        <v>2.122</v>
      </c>
      <c r="H4146" s="15" t="s">
        <v>2901</v>
      </c>
      <c r="I4146" s="15" t="s">
        <v>1686</v>
      </c>
      <c r="J4146" s="15" t="s">
        <v>16655</v>
      </c>
      <c r="K4146" s="15">
        <v>2.0</v>
      </c>
      <c r="L4146" s="15">
        <v>2.0</v>
      </c>
      <c r="M4146" s="40">
        <v>41521.0</v>
      </c>
      <c r="N4146" s="41">
        <v>41969.0</v>
      </c>
      <c r="O4146" s="15" t="s">
        <v>1554</v>
      </c>
      <c r="Q4146" s="7"/>
    </row>
    <row r="4147">
      <c r="A4147" s="39" t="s">
        <v>16656</v>
      </c>
      <c r="B4147" s="15">
        <v>1391026.0</v>
      </c>
      <c r="C4147" s="15" t="s">
        <v>16657</v>
      </c>
      <c r="D4147" s="15">
        <v>268563.0</v>
      </c>
      <c r="E4147" s="15" t="s">
        <v>1664</v>
      </c>
      <c r="F4147" s="15" t="s">
        <v>15173</v>
      </c>
      <c r="G4147" s="7">
        <v>2.159</v>
      </c>
      <c r="H4147" s="15" t="s">
        <v>1705</v>
      </c>
      <c r="I4147" s="15" t="s">
        <v>1686</v>
      </c>
      <c r="J4147" s="15" t="s">
        <v>16659</v>
      </c>
      <c r="K4147" s="15">
        <v>2.0</v>
      </c>
      <c r="L4147" s="15">
        <v>2.0</v>
      </c>
      <c r="M4147" s="40">
        <v>41521.0</v>
      </c>
      <c r="N4147" s="41">
        <v>41969.0</v>
      </c>
      <c r="O4147" s="15" t="s">
        <v>1554</v>
      </c>
      <c r="Q4147" s="7"/>
    </row>
    <row r="4148">
      <c r="A4148" s="39" t="s">
        <v>16660</v>
      </c>
      <c r="B4148" s="15">
        <v>1391025.0</v>
      </c>
      <c r="C4148" s="15" t="s">
        <v>16661</v>
      </c>
      <c r="D4148" s="15">
        <v>268564.0</v>
      </c>
      <c r="E4148" s="15" t="s">
        <v>1664</v>
      </c>
      <c r="F4148" s="15" t="s">
        <v>15173</v>
      </c>
      <c r="G4148" s="7">
        <v>2.229</v>
      </c>
      <c r="H4148" s="15" t="s">
        <v>2263</v>
      </c>
      <c r="I4148" s="15" t="s">
        <v>1686</v>
      </c>
      <c r="J4148" s="15" t="s">
        <v>16662</v>
      </c>
      <c r="K4148" s="15">
        <v>2.0</v>
      </c>
      <c r="L4148" s="15">
        <v>2.0</v>
      </c>
      <c r="M4148" s="40">
        <v>41521.0</v>
      </c>
      <c r="N4148" s="41">
        <v>41969.0</v>
      </c>
      <c r="O4148" s="15" t="s">
        <v>1554</v>
      </c>
      <c r="Q4148" s="7"/>
    </row>
    <row r="4149">
      <c r="A4149" s="39" t="s">
        <v>16663</v>
      </c>
      <c r="B4149" s="15">
        <v>1391038.0</v>
      </c>
      <c r="C4149" s="15" t="s">
        <v>16664</v>
      </c>
      <c r="D4149" s="15">
        <v>268565.0</v>
      </c>
      <c r="E4149" s="15" t="s">
        <v>1664</v>
      </c>
      <c r="F4149" s="15" t="s">
        <v>15173</v>
      </c>
      <c r="G4149" s="7">
        <v>2.13</v>
      </c>
      <c r="H4149" s="15" t="s">
        <v>2351</v>
      </c>
      <c r="I4149" s="15" t="s">
        <v>1686</v>
      </c>
      <c r="J4149" s="15" t="s">
        <v>16665</v>
      </c>
      <c r="K4149" s="15">
        <v>2.0</v>
      </c>
      <c r="L4149" s="15">
        <v>2.0</v>
      </c>
      <c r="M4149" s="40">
        <v>41521.0</v>
      </c>
      <c r="N4149" s="41">
        <v>41969.0</v>
      </c>
      <c r="O4149" s="15" t="s">
        <v>1554</v>
      </c>
      <c r="Q4149" s="7"/>
    </row>
    <row r="4150">
      <c r="A4150" s="39" t="s">
        <v>16666</v>
      </c>
      <c r="B4150" s="15">
        <v>1391037.0</v>
      </c>
      <c r="C4150" s="15" t="s">
        <v>16668</v>
      </c>
      <c r="D4150" s="15">
        <v>268566.0</v>
      </c>
      <c r="E4150" s="15" t="s">
        <v>1664</v>
      </c>
      <c r="F4150" s="15" t="s">
        <v>15173</v>
      </c>
      <c r="G4150" s="7">
        <v>2.174</v>
      </c>
      <c r="H4150" s="15" t="s">
        <v>5179</v>
      </c>
      <c r="I4150" s="15" t="s">
        <v>1686</v>
      </c>
      <c r="J4150" s="15" t="s">
        <v>16669</v>
      </c>
      <c r="K4150" s="15">
        <v>2.0</v>
      </c>
      <c r="L4150" s="15">
        <v>2.0</v>
      </c>
      <c r="M4150" s="40">
        <v>41521.0</v>
      </c>
      <c r="N4150" s="41">
        <v>41969.0</v>
      </c>
      <c r="O4150" s="15" t="s">
        <v>1554</v>
      </c>
      <c r="Q4150" s="7"/>
    </row>
    <row r="4151">
      <c r="A4151" s="39" t="s">
        <v>16670</v>
      </c>
      <c r="B4151" s="15">
        <v>1535291.0</v>
      </c>
      <c r="C4151" s="15" t="s">
        <v>16671</v>
      </c>
      <c r="D4151" s="15">
        <v>268591.0</v>
      </c>
      <c r="E4151" s="15" t="s">
        <v>1808</v>
      </c>
      <c r="F4151" s="15" t="s">
        <v>2232</v>
      </c>
      <c r="G4151" s="7">
        <v>2.855</v>
      </c>
      <c r="H4151" s="15" t="s">
        <v>6565</v>
      </c>
      <c r="I4151" s="15" t="s">
        <v>1567</v>
      </c>
      <c r="J4151" s="15" t="s">
        <v>16672</v>
      </c>
      <c r="K4151" s="15">
        <v>2.0</v>
      </c>
      <c r="L4151" s="15">
        <v>2.0</v>
      </c>
      <c r="M4151" s="40">
        <v>41874.0</v>
      </c>
      <c r="N4151" s="41">
        <v>41969.0</v>
      </c>
      <c r="O4151" s="15" t="s">
        <v>1554</v>
      </c>
      <c r="Q4151" s="7"/>
    </row>
    <row r="4152">
      <c r="A4152" s="39" t="s">
        <v>16673</v>
      </c>
      <c r="B4152" s="15">
        <v>1535290.0</v>
      </c>
      <c r="C4152" s="15" t="s">
        <v>16674</v>
      </c>
      <c r="D4152" s="15">
        <v>268592.0</v>
      </c>
      <c r="E4152" s="15" t="s">
        <v>1808</v>
      </c>
      <c r="F4152" s="15" t="s">
        <v>2232</v>
      </c>
      <c r="G4152" s="7">
        <v>2.914</v>
      </c>
      <c r="H4152" s="15" t="s">
        <v>6633</v>
      </c>
      <c r="I4152" s="15" t="s">
        <v>1567</v>
      </c>
      <c r="J4152" s="15" t="s">
        <v>16676</v>
      </c>
      <c r="K4152" s="15">
        <v>3.0</v>
      </c>
      <c r="L4152" s="15">
        <v>3.0</v>
      </c>
      <c r="M4152" s="40">
        <v>41874.0</v>
      </c>
      <c r="N4152" s="41">
        <v>41969.0</v>
      </c>
      <c r="O4152" s="15" t="s">
        <v>1554</v>
      </c>
      <c r="Q4152" s="7"/>
    </row>
    <row r="4153">
      <c r="A4153" s="39" t="s">
        <v>16677</v>
      </c>
      <c r="B4153" s="15">
        <v>1566869.0</v>
      </c>
      <c r="C4153" s="15" t="s">
        <v>16678</v>
      </c>
      <c r="D4153" s="15">
        <v>268832.0</v>
      </c>
      <c r="E4153" s="15" t="s">
        <v>1548</v>
      </c>
      <c r="F4153" s="15" t="s">
        <v>2374</v>
      </c>
      <c r="G4153" s="7">
        <v>10.889</v>
      </c>
      <c r="H4153" s="15" t="s">
        <v>2640</v>
      </c>
      <c r="I4153" s="15" t="s">
        <v>1560</v>
      </c>
      <c r="J4153" s="15" t="s">
        <v>16679</v>
      </c>
      <c r="K4153" s="15">
        <v>1.0</v>
      </c>
      <c r="L4153" s="15">
        <v>1.0</v>
      </c>
      <c r="M4153" s="41">
        <v>41966.0</v>
      </c>
      <c r="N4153" s="40">
        <v>41974.0</v>
      </c>
      <c r="O4153" s="15" t="s">
        <v>1554</v>
      </c>
      <c r="Q4153" s="7"/>
    </row>
    <row r="4154">
      <c r="A4154" s="39" t="s">
        <v>16680</v>
      </c>
      <c r="B4154" s="15">
        <v>1572341.0</v>
      </c>
      <c r="C4154" s="15" t="s">
        <v>16681</v>
      </c>
      <c r="D4154" s="15">
        <v>268860.0</v>
      </c>
      <c r="E4154" s="15" t="s">
        <v>1557</v>
      </c>
      <c r="F4154" s="15" t="s">
        <v>2004</v>
      </c>
      <c r="G4154" s="7">
        <v>7.369</v>
      </c>
      <c r="H4154" s="15" t="s">
        <v>4736</v>
      </c>
      <c r="I4154" s="15" t="s">
        <v>1686</v>
      </c>
      <c r="J4154" s="15" t="s">
        <v>16682</v>
      </c>
      <c r="K4154" s="15">
        <v>5.0</v>
      </c>
      <c r="L4154" s="15">
        <v>5.0</v>
      </c>
      <c r="M4154" s="41">
        <v>41966.0</v>
      </c>
      <c r="N4154" s="40">
        <v>42061.0</v>
      </c>
      <c r="O4154" s="15" t="s">
        <v>1554</v>
      </c>
      <c r="Q4154" s="7"/>
    </row>
    <row r="4155">
      <c r="A4155" s="39" t="s">
        <v>16684</v>
      </c>
      <c r="B4155" s="15">
        <v>1572239.0</v>
      </c>
      <c r="C4155" s="15" t="s">
        <v>16685</v>
      </c>
      <c r="D4155" s="15">
        <v>268861.0</v>
      </c>
      <c r="E4155" s="15" t="s">
        <v>1808</v>
      </c>
      <c r="F4155" s="15" t="s">
        <v>1998</v>
      </c>
      <c r="G4155" s="7">
        <v>1.79</v>
      </c>
      <c r="H4155" s="15" t="s">
        <v>5368</v>
      </c>
      <c r="I4155" s="15" t="s">
        <v>1686</v>
      </c>
      <c r="J4155" s="15" t="s">
        <v>16686</v>
      </c>
      <c r="K4155" s="15">
        <v>2.0</v>
      </c>
      <c r="L4155" s="15">
        <v>2.0</v>
      </c>
      <c r="M4155" s="41">
        <v>41965.0</v>
      </c>
      <c r="N4155" s="40">
        <v>42060.0</v>
      </c>
      <c r="O4155" s="15" t="s">
        <v>1554</v>
      </c>
      <c r="Q4155" s="7"/>
    </row>
    <row r="4156">
      <c r="A4156" s="39" t="s">
        <v>16687</v>
      </c>
      <c r="B4156" s="15">
        <v>1572237.0</v>
      </c>
      <c r="C4156" s="15" t="s">
        <v>16688</v>
      </c>
      <c r="D4156" s="15">
        <v>268862.0</v>
      </c>
      <c r="E4156" s="15" t="s">
        <v>1808</v>
      </c>
      <c r="F4156" s="15" t="s">
        <v>1998</v>
      </c>
      <c r="G4156" s="7">
        <v>1.755</v>
      </c>
      <c r="H4156" s="15" t="s">
        <v>2864</v>
      </c>
      <c r="I4156" s="15" t="s">
        <v>1686</v>
      </c>
      <c r="J4156" s="15" t="s">
        <v>16689</v>
      </c>
      <c r="K4156" s="15">
        <v>2.0</v>
      </c>
      <c r="L4156" s="15">
        <v>2.0</v>
      </c>
      <c r="M4156" s="41">
        <v>41965.0</v>
      </c>
      <c r="N4156" s="40">
        <v>42060.0</v>
      </c>
      <c r="O4156" s="15" t="s">
        <v>1554</v>
      </c>
      <c r="Q4156" s="7"/>
    </row>
    <row r="4157">
      <c r="A4157" s="39" t="s">
        <v>16690</v>
      </c>
      <c r="B4157" s="15">
        <v>1566309.0</v>
      </c>
      <c r="C4157" s="15" t="s">
        <v>16691</v>
      </c>
      <c r="D4157" s="15">
        <v>268863.0</v>
      </c>
      <c r="E4157" s="15" t="s">
        <v>1548</v>
      </c>
      <c r="F4157" s="15" t="s">
        <v>5756</v>
      </c>
      <c r="G4157" s="7">
        <v>11.958</v>
      </c>
      <c r="H4157" s="15" t="s">
        <v>16693</v>
      </c>
      <c r="I4157" s="15" t="s">
        <v>1686</v>
      </c>
      <c r="J4157" s="15" t="s">
        <v>16694</v>
      </c>
      <c r="K4157" s="15">
        <v>7.0</v>
      </c>
      <c r="L4157" s="15">
        <v>7.0</v>
      </c>
      <c r="M4157" s="41">
        <v>41967.0</v>
      </c>
      <c r="N4157" s="40">
        <v>42115.0</v>
      </c>
      <c r="O4157" s="15" t="s">
        <v>1554</v>
      </c>
      <c r="Q4157" s="7"/>
    </row>
    <row r="4158">
      <c r="A4158" s="39" t="s">
        <v>16695</v>
      </c>
      <c r="B4158" s="15">
        <v>12432.0</v>
      </c>
      <c r="C4158" s="15" t="s">
        <v>16696</v>
      </c>
      <c r="D4158" s="15">
        <v>268864.0</v>
      </c>
      <c r="E4158" s="15" t="s">
        <v>1548</v>
      </c>
      <c r="F4158" s="15" t="s">
        <v>1633</v>
      </c>
      <c r="G4158" s="7">
        <v>8.336</v>
      </c>
      <c r="H4158" s="15" t="s">
        <v>2836</v>
      </c>
      <c r="I4158" s="15" t="s">
        <v>1628</v>
      </c>
      <c r="J4158" s="15" t="s">
        <v>16697</v>
      </c>
      <c r="K4158" s="15">
        <v>6.0</v>
      </c>
      <c r="L4158" s="15">
        <v>6.0</v>
      </c>
      <c r="M4158" s="41">
        <v>41962.0</v>
      </c>
      <c r="N4158" s="40">
        <v>41974.0</v>
      </c>
      <c r="O4158" s="15" t="s">
        <v>1554</v>
      </c>
      <c r="Q4158" s="7"/>
    </row>
    <row r="4159">
      <c r="A4159" s="39" t="s">
        <v>16698</v>
      </c>
      <c r="B4159" s="15">
        <v>1388882.0</v>
      </c>
      <c r="C4159" s="15" t="s">
        <v>16699</v>
      </c>
      <c r="D4159" s="15">
        <v>269146.0</v>
      </c>
      <c r="E4159" s="15" t="s">
        <v>1638</v>
      </c>
      <c r="F4159" s="15" t="s">
        <v>1863</v>
      </c>
      <c r="G4159" s="7">
        <v>23.325</v>
      </c>
      <c r="H4159" s="15" t="s">
        <v>16700</v>
      </c>
      <c r="I4159" s="15" t="s">
        <v>1686</v>
      </c>
      <c r="J4159" s="15" t="s">
        <v>16702</v>
      </c>
      <c r="K4159" s="15">
        <v>10.0</v>
      </c>
      <c r="L4159" s="15">
        <v>10.0</v>
      </c>
      <c r="M4159" s="41">
        <v>41969.0</v>
      </c>
      <c r="N4159" s="40">
        <v>42039.0</v>
      </c>
      <c r="O4159" s="15" t="s">
        <v>1554</v>
      </c>
      <c r="Q4159" s="7"/>
    </row>
    <row r="4160">
      <c r="A4160" s="39" t="s">
        <v>16703</v>
      </c>
      <c r="B4160" s="15">
        <v>1561705.0</v>
      </c>
      <c r="C4160" s="15" t="s">
        <v>16704</v>
      </c>
      <c r="D4160" s="15">
        <v>269173.0</v>
      </c>
      <c r="E4160" s="15" t="s">
        <v>1557</v>
      </c>
      <c r="F4160" s="15" t="s">
        <v>2004</v>
      </c>
      <c r="G4160" s="7">
        <v>4.861</v>
      </c>
      <c r="H4160" s="15" t="s">
        <v>3538</v>
      </c>
      <c r="I4160" s="15" t="s">
        <v>1686</v>
      </c>
      <c r="J4160" s="15" t="s">
        <v>16705</v>
      </c>
      <c r="K4160" s="15">
        <v>5.0</v>
      </c>
      <c r="L4160" s="15">
        <v>5.0</v>
      </c>
      <c r="M4160" s="41">
        <v>41933.0</v>
      </c>
      <c r="N4160" s="40">
        <v>42097.0</v>
      </c>
      <c r="O4160" s="15" t="s">
        <v>1554</v>
      </c>
      <c r="Q4160" s="7"/>
    </row>
    <row r="4161">
      <c r="A4161" s="39" t="s">
        <v>16706</v>
      </c>
      <c r="B4161" s="15">
        <v>1578134.0</v>
      </c>
      <c r="C4161" s="15" t="s">
        <v>16707</v>
      </c>
      <c r="D4161" s="15">
        <v>269306.0</v>
      </c>
      <c r="E4161" s="15" t="s">
        <v>1557</v>
      </c>
      <c r="F4161" s="15" t="s">
        <v>2004</v>
      </c>
      <c r="G4161" s="7">
        <v>5.085</v>
      </c>
      <c r="H4161" s="15" t="s">
        <v>2640</v>
      </c>
      <c r="I4161" s="15" t="s">
        <v>1686</v>
      </c>
      <c r="J4161" s="15" t="s">
        <v>16708</v>
      </c>
      <c r="K4161" s="15">
        <v>6.0</v>
      </c>
      <c r="L4161" s="15">
        <v>6.0</v>
      </c>
      <c r="M4161" s="40">
        <v>41913.0</v>
      </c>
      <c r="N4161" s="40">
        <v>41978.0</v>
      </c>
      <c r="O4161" s="15" t="s">
        <v>1554</v>
      </c>
      <c r="Q4161" s="7"/>
    </row>
    <row r="4162">
      <c r="A4162" s="39" t="s">
        <v>16709</v>
      </c>
      <c r="B4162" s="15">
        <v>1151014.0</v>
      </c>
      <c r="C4162" s="15" t="s">
        <v>16710</v>
      </c>
      <c r="D4162" s="15">
        <v>269621.0</v>
      </c>
      <c r="E4162" s="15" t="s">
        <v>1557</v>
      </c>
      <c r="F4162" s="15" t="s">
        <v>1611</v>
      </c>
      <c r="G4162" s="7">
        <v>42.544</v>
      </c>
      <c r="H4162" s="15" t="s">
        <v>1943</v>
      </c>
      <c r="I4162" s="15" t="s">
        <v>1586</v>
      </c>
      <c r="J4162" s="15" t="s">
        <v>16712</v>
      </c>
      <c r="K4162" s="15">
        <v>46.0</v>
      </c>
      <c r="L4162" s="15">
        <v>46.0</v>
      </c>
      <c r="M4162" s="40">
        <v>41819.0</v>
      </c>
      <c r="N4162" s="40">
        <v>41982.0</v>
      </c>
      <c r="O4162" s="15" t="s">
        <v>1554</v>
      </c>
      <c r="Q4162" s="7"/>
    </row>
    <row r="4163">
      <c r="A4163" s="39" t="s">
        <v>16713</v>
      </c>
      <c r="B4163" s="15">
        <v>10864.0</v>
      </c>
      <c r="C4163" s="15" t="s">
        <v>16714</v>
      </c>
      <c r="D4163" s="15">
        <v>269628.0</v>
      </c>
      <c r="E4163" s="15" t="s">
        <v>1808</v>
      </c>
      <c r="F4163" s="15" t="s">
        <v>2969</v>
      </c>
      <c r="G4163" s="7">
        <v>6.408</v>
      </c>
      <c r="H4163" s="15" t="s">
        <v>1559</v>
      </c>
      <c r="I4163" s="15" t="s">
        <v>1586</v>
      </c>
      <c r="J4163" s="15" t="s">
        <v>16715</v>
      </c>
      <c r="K4163" s="15">
        <v>10.0</v>
      </c>
      <c r="L4163" s="15">
        <v>10.0</v>
      </c>
      <c r="M4163" s="40">
        <v>32674.0</v>
      </c>
      <c r="N4163" s="40">
        <v>41982.0</v>
      </c>
      <c r="O4163" s="15" t="s">
        <v>1554</v>
      </c>
      <c r="Q4163" s="7"/>
    </row>
    <row r="4164">
      <c r="A4164" s="39" t="s">
        <v>16716</v>
      </c>
      <c r="B4164" s="15">
        <v>1381104.0</v>
      </c>
      <c r="C4164" s="15" t="s">
        <v>16717</v>
      </c>
      <c r="D4164" s="15">
        <v>269629.0</v>
      </c>
      <c r="E4164" s="15" t="s">
        <v>1548</v>
      </c>
      <c r="F4164" s="15" t="s">
        <v>16718</v>
      </c>
      <c r="G4164" s="7">
        <v>18.368</v>
      </c>
      <c r="H4164" s="15" t="s">
        <v>16719</v>
      </c>
      <c r="I4164" s="15" t="s">
        <v>1803</v>
      </c>
      <c r="J4164" s="15" t="s">
        <v>16720</v>
      </c>
      <c r="K4164" s="15">
        <v>3.0</v>
      </c>
      <c r="L4164" s="15">
        <v>3.0</v>
      </c>
      <c r="M4164" s="41">
        <v>41970.0</v>
      </c>
      <c r="N4164" s="40">
        <v>42041.0</v>
      </c>
      <c r="O4164" s="15" t="s">
        <v>1554</v>
      </c>
      <c r="Q4164" s="7"/>
    </row>
    <row r="4165">
      <c r="A4165" s="39" t="s">
        <v>16722</v>
      </c>
      <c r="B4165" s="15">
        <v>443746.0</v>
      </c>
      <c r="C4165" s="15" t="s">
        <v>16723</v>
      </c>
      <c r="D4165" s="15">
        <v>269630.0</v>
      </c>
      <c r="E4165" s="15" t="s">
        <v>1548</v>
      </c>
      <c r="F4165" s="15" t="s">
        <v>1911</v>
      </c>
      <c r="G4165" s="7">
        <v>9.741</v>
      </c>
      <c r="H4165" s="15" t="s">
        <v>2223</v>
      </c>
      <c r="I4165" s="15" t="s">
        <v>1628</v>
      </c>
      <c r="J4165" s="15" t="s">
        <v>16724</v>
      </c>
      <c r="K4165" s="15">
        <v>1.0</v>
      </c>
      <c r="L4165" s="15">
        <v>1.0</v>
      </c>
      <c r="M4165" s="40">
        <v>41976.0</v>
      </c>
      <c r="N4165" s="40">
        <v>41982.0</v>
      </c>
      <c r="O4165" s="15" t="s">
        <v>1554</v>
      </c>
      <c r="Q4165" s="7"/>
    </row>
    <row r="4166">
      <c r="A4166" s="39" t="s">
        <v>16725</v>
      </c>
      <c r="B4166" s="15">
        <v>1513315.0</v>
      </c>
      <c r="C4166" s="15" t="s">
        <v>16726</v>
      </c>
      <c r="D4166" s="15">
        <v>269633.0</v>
      </c>
      <c r="E4166" s="15" t="s">
        <v>1808</v>
      </c>
      <c r="F4166" s="15" t="s">
        <v>2436</v>
      </c>
      <c r="G4166" s="7">
        <v>4.928</v>
      </c>
      <c r="H4166" s="15" t="s">
        <v>3827</v>
      </c>
      <c r="I4166" s="15" t="s">
        <v>1686</v>
      </c>
      <c r="J4166" s="15" t="s">
        <v>16727</v>
      </c>
      <c r="K4166" s="15">
        <v>5.0</v>
      </c>
      <c r="L4166" s="15">
        <v>5.0</v>
      </c>
      <c r="M4166" s="40">
        <v>41975.0</v>
      </c>
      <c r="N4166" s="40">
        <v>41982.0</v>
      </c>
      <c r="O4166" s="15" t="s">
        <v>1554</v>
      </c>
      <c r="Q4166" s="7"/>
    </row>
    <row r="4167">
      <c r="A4167" s="39" t="s">
        <v>16729</v>
      </c>
      <c r="B4167" s="15">
        <v>1551641.0</v>
      </c>
      <c r="C4167" s="15" t="s">
        <v>16730</v>
      </c>
      <c r="D4167" s="15">
        <v>269769.0</v>
      </c>
      <c r="E4167" s="15" t="s">
        <v>1557</v>
      </c>
      <c r="F4167" s="15" t="s">
        <v>1767</v>
      </c>
      <c r="G4167" s="7">
        <v>164.999</v>
      </c>
      <c r="H4167" s="15" t="s">
        <v>2103</v>
      </c>
      <c r="I4167" s="15" t="s">
        <v>1586</v>
      </c>
      <c r="J4167" s="15" t="s">
        <v>16731</v>
      </c>
      <c r="K4167" s="15">
        <v>266.0</v>
      </c>
      <c r="L4167" s="15">
        <v>266.0</v>
      </c>
      <c r="M4167" s="41">
        <v>41923.0</v>
      </c>
      <c r="N4167" s="40">
        <v>42451.0</v>
      </c>
      <c r="O4167" s="15" t="s">
        <v>1554</v>
      </c>
      <c r="Q4167" s="7"/>
    </row>
    <row r="4168">
      <c r="A4168" s="39" t="s">
        <v>16732</v>
      </c>
      <c r="B4168" s="15">
        <v>1527519.0</v>
      </c>
      <c r="C4168" s="15" t="s">
        <v>16733</v>
      </c>
      <c r="D4168" s="15">
        <v>269770.0</v>
      </c>
      <c r="E4168" s="15" t="s">
        <v>1557</v>
      </c>
      <c r="F4168" s="15" t="s">
        <v>1767</v>
      </c>
      <c r="G4168" s="7">
        <v>120.938</v>
      </c>
      <c r="H4168" s="15">
        <v>40.0</v>
      </c>
      <c r="I4168" s="15" t="s">
        <v>1586</v>
      </c>
      <c r="J4168" s="15" t="s">
        <v>16734</v>
      </c>
      <c r="K4168" s="15">
        <v>209.0</v>
      </c>
      <c r="L4168" s="15">
        <v>209.0</v>
      </c>
      <c r="M4168" s="40">
        <v>41882.0</v>
      </c>
      <c r="N4168" s="40">
        <v>42179.0</v>
      </c>
      <c r="O4168" s="15" t="s">
        <v>1554</v>
      </c>
      <c r="Q4168" s="7"/>
    </row>
    <row r="4169">
      <c r="A4169" s="39" t="s">
        <v>16735</v>
      </c>
      <c r="B4169" s="15">
        <v>1541119.0</v>
      </c>
      <c r="C4169" s="15" t="s">
        <v>16736</v>
      </c>
      <c r="D4169" s="15">
        <v>269768.0</v>
      </c>
      <c r="E4169" s="15" t="s">
        <v>1548</v>
      </c>
      <c r="F4169" s="15" t="s">
        <v>2374</v>
      </c>
      <c r="G4169" s="7">
        <v>10.192</v>
      </c>
      <c r="H4169" s="15" t="s">
        <v>4287</v>
      </c>
      <c r="I4169" s="15" t="s">
        <v>1560</v>
      </c>
      <c r="J4169" s="15" t="s">
        <v>16737</v>
      </c>
      <c r="K4169" s="15">
        <v>1.0</v>
      </c>
      <c r="L4169" s="15">
        <v>1.0</v>
      </c>
      <c r="M4169" s="41">
        <v>41973.0</v>
      </c>
      <c r="N4169" s="40">
        <v>42284.0</v>
      </c>
      <c r="O4169" s="15" t="s">
        <v>1554</v>
      </c>
      <c r="Q4169" s="7"/>
    </row>
    <row r="4170">
      <c r="A4170" s="39" t="s">
        <v>16739</v>
      </c>
      <c r="B4170" s="15">
        <v>1571533.0</v>
      </c>
      <c r="C4170" s="15" t="s">
        <v>16740</v>
      </c>
      <c r="D4170" s="15">
        <v>269775.0</v>
      </c>
      <c r="E4170" s="15" t="s">
        <v>1808</v>
      </c>
      <c r="F4170" s="15" t="s">
        <v>1809</v>
      </c>
      <c r="G4170" s="7">
        <v>2.739</v>
      </c>
      <c r="H4170" s="15" t="s">
        <v>5042</v>
      </c>
      <c r="I4170" s="15" t="s">
        <v>1628</v>
      </c>
      <c r="J4170" s="15" t="s">
        <v>16741</v>
      </c>
      <c r="K4170" s="15">
        <v>4.0</v>
      </c>
      <c r="L4170" s="15">
        <v>4.0</v>
      </c>
      <c r="M4170" s="41">
        <v>41973.0</v>
      </c>
      <c r="N4170" s="41">
        <v>41983.0</v>
      </c>
      <c r="O4170" s="15" t="s">
        <v>1554</v>
      </c>
      <c r="Q4170" s="7"/>
    </row>
    <row r="4171">
      <c r="A4171" s="39" t="s">
        <v>16742</v>
      </c>
      <c r="B4171" s="15">
        <v>1577997.0</v>
      </c>
      <c r="C4171" s="15" t="s">
        <v>16743</v>
      </c>
      <c r="D4171" s="15">
        <v>269794.0</v>
      </c>
      <c r="E4171" s="15" t="s">
        <v>1548</v>
      </c>
      <c r="F4171" s="15" t="s">
        <v>1771</v>
      </c>
      <c r="G4171" s="7">
        <v>5.82</v>
      </c>
      <c r="H4171" s="15" t="s">
        <v>3432</v>
      </c>
      <c r="I4171" s="15" t="s">
        <v>1628</v>
      </c>
      <c r="J4171" s="15" t="s">
        <v>16744</v>
      </c>
      <c r="K4171" s="15">
        <v>6.0</v>
      </c>
      <c r="L4171" s="15">
        <v>6.0</v>
      </c>
      <c r="M4171" s="40">
        <v>41980.0</v>
      </c>
      <c r="N4171" s="41">
        <v>41983.0</v>
      </c>
      <c r="O4171" s="15" t="s">
        <v>1554</v>
      </c>
      <c r="Q4171" s="7"/>
    </row>
    <row r="4172">
      <c r="A4172" s="39" t="s">
        <v>16746</v>
      </c>
      <c r="B4172" s="15">
        <v>1577776.0</v>
      </c>
      <c r="C4172" s="15" t="s">
        <v>16747</v>
      </c>
      <c r="D4172" s="15">
        <v>269795.0</v>
      </c>
      <c r="E4172" s="15" t="s">
        <v>1638</v>
      </c>
      <c r="F4172" s="15" t="s">
        <v>1863</v>
      </c>
      <c r="G4172" s="7">
        <v>32.753</v>
      </c>
      <c r="H4172" s="15" t="s">
        <v>16748</v>
      </c>
      <c r="I4172" s="15" t="s">
        <v>1560</v>
      </c>
      <c r="J4172" s="15" t="s">
        <v>16749</v>
      </c>
      <c r="K4172" s="15">
        <v>16.0</v>
      </c>
      <c r="L4172" s="15">
        <v>16.0</v>
      </c>
      <c r="M4172" s="40">
        <v>41979.0</v>
      </c>
      <c r="N4172" s="41">
        <v>41983.0</v>
      </c>
      <c r="O4172" s="15" t="s">
        <v>1554</v>
      </c>
      <c r="Q4172" s="7"/>
    </row>
    <row r="4173">
      <c r="A4173" s="39" t="s">
        <v>16750</v>
      </c>
      <c r="B4173" s="15">
        <v>1574287.0</v>
      </c>
      <c r="C4173" s="15" t="s">
        <v>16751</v>
      </c>
      <c r="D4173" s="15">
        <v>269796.0</v>
      </c>
      <c r="E4173" s="15" t="s">
        <v>1548</v>
      </c>
      <c r="F4173" s="15" t="s">
        <v>1578</v>
      </c>
      <c r="G4173" s="7">
        <v>8.712</v>
      </c>
      <c r="H4173" s="15" t="s">
        <v>3317</v>
      </c>
      <c r="I4173" s="15" t="s">
        <v>1686</v>
      </c>
      <c r="J4173" s="15" t="s">
        <v>16752</v>
      </c>
      <c r="K4173" s="15">
        <v>1.0</v>
      </c>
      <c r="L4173" s="15">
        <v>1.0</v>
      </c>
      <c r="M4173" s="41">
        <v>41973.0</v>
      </c>
      <c r="N4173" s="40">
        <v>42053.0</v>
      </c>
      <c r="O4173" s="15" t="s">
        <v>1554</v>
      </c>
      <c r="Q4173" s="7"/>
    </row>
    <row r="4174">
      <c r="A4174" s="39" t="s">
        <v>16753</v>
      </c>
      <c r="B4174" s="15">
        <v>1236395.0</v>
      </c>
      <c r="C4174" s="15" t="s">
        <v>16754</v>
      </c>
      <c r="D4174" s="15">
        <v>269971.0</v>
      </c>
      <c r="E4174" s="15" t="s">
        <v>1557</v>
      </c>
      <c r="F4174" s="15" t="s">
        <v>2004</v>
      </c>
      <c r="G4174" s="7">
        <v>5.189</v>
      </c>
      <c r="H4174" s="15" t="s">
        <v>1710</v>
      </c>
      <c r="I4174" s="15" t="s">
        <v>1686</v>
      </c>
      <c r="J4174" s="15" t="s">
        <v>16756</v>
      </c>
      <c r="K4174" s="15">
        <v>5.0</v>
      </c>
      <c r="L4174" s="15">
        <v>5.0</v>
      </c>
      <c r="M4174" s="40">
        <v>41222.0</v>
      </c>
      <c r="N4174" s="41">
        <v>41984.0</v>
      </c>
      <c r="O4174" s="15" t="s">
        <v>1554</v>
      </c>
      <c r="Q4174" s="7"/>
    </row>
    <row r="4175">
      <c r="A4175" s="39" t="s">
        <v>16757</v>
      </c>
      <c r="B4175" s="15">
        <v>1516128.0</v>
      </c>
      <c r="C4175" s="15" t="s">
        <v>16758</v>
      </c>
      <c r="D4175" s="15">
        <v>269977.0</v>
      </c>
      <c r="E4175" s="15" t="s">
        <v>1548</v>
      </c>
      <c r="F4175" s="15" t="s">
        <v>1578</v>
      </c>
      <c r="G4175" s="7">
        <v>9.562</v>
      </c>
      <c r="H4175" s="15" t="s">
        <v>4331</v>
      </c>
      <c r="I4175" s="15" t="s">
        <v>1573</v>
      </c>
      <c r="J4175" s="15" t="s">
        <v>16759</v>
      </c>
      <c r="K4175" s="15">
        <v>2.0</v>
      </c>
      <c r="L4175" s="15">
        <v>2.0</v>
      </c>
      <c r="M4175" s="41">
        <v>41983.0</v>
      </c>
      <c r="N4175" s="41">
        <v>41984.0</v>
      </c>
      <c r="O4175" s="15" t="s">
        <v>1554</v>
      </c>
      <c r="Q4175" s="7"/>
    </row>
    <row r="4176">
      <c r="A4176" s="39" t="s">
        <v>16760</v>
      </c>
      <c r="B4176" s="15">
        <v>1286213.0</v>
      </c>
      <c r="C4176" s="15" t="s">
        <v>16761</v>
      </c>
      <c r="D4176" s="15">
        <v>270089.0</v>
      </c>
      <c r="E4176" s="15" t="s">
        <v>1557</v>
      </c>
      <c r="F4176" s="15" t="s">
        <v>2004</v>
      </c>
      <c r="G4176" s="7">
        <v>5.064</v>
      </c>
      <c r="H4176" s="15" t="s">
        <v>1994</v>
      </c>
      <c r="I4176" s="15" t="s">
        <v>1686</v>
      </c>
      <c r="J4176" s="15" t="s">
        <v>16763</v>
      </c>
      <c r="K4176" s="15">
        <v>5.0</v>
      </c>
      <c r="L4176" s="15">
        <v>5.0</v>
      </c>
      <c r="M4176" s="40">
        <v>41251.0</v>
      </c>
      <c r="N4176" s="41">
        <v>41984.0</v>
      </c>
      <c r="O4176" s="15" t="s">
        <v>1554</v>
      </c>
      <c r="Q4176" s="7"/>
    </row>
    <row r="4177">
      <c r="A4177" s="39" t="s">
        <v>16764</v>
      </c>
      <c r="B4177" s="15">
        <v>1516127.0</v>
      </c>
      <c r="C4177" s="15" t="s">
        <v>16765</v>
      </c>
      <c r="D4177" s="15">
        <v>270090.0</v>
      </c>
      <c r="E4177" s="15" t="s">
        <v>1808</v>
      </c>
      <c r="F4177" s="15" t="s">
        <v>1578</v>
      </c>
      <c r="G4177" s="7">
        <v>5.77</v>
      </c>
      <c r="H4177" s="15" t="s">
        <v>3653</v>
      </c>
      <c r="I4177" s="15" t="s">
        <v>1573</v>
      </c>
      <c r="J4177" s="15" t="s">
        <v>16766</v>
      </c>
      <c r="K4177" s="15">
        <v>3.0</v>
      </c>
      <c r="L4177" s="15">
        <v>3.0</v>
      </c>
      <c r="M4177" s="41">
        <v>41983.0</v>
      </c>
      <c r="N4177" s="40">
        <v>42053.0</v>
      </c>
      <c r="O4177" s="15" t="s">
        <v>1554</v>
      </c>
      <c r="Q4177" s="7"/>
    </row>
    <row r="4178">
      <c r="A4178" s="39" t="s">
        <v>16767</v>
      </c>
      <c r="B4178" s="15">
        <v>1581151.0</v>
      </c>
      <c r="C4178" s="15" t="s">
        <v>16768</v>
      </c>
      <c r="D4178" s="15">
        <v>270093.0</v>
      </c>
      <c r="E4178" s="15" t="s">
        <v>1808</v>
      </c>
      <c r="F4178" s="15" t="s">
        <v>2436</v>
      </c>
      <c r="G4178" s="7">
        <v>4.844</v>
      </c>
      <c r="H4178" s="15" t="s">
        <v>3097</v>
      </c>
      <c r="I4178" s="15" t="s">
        <v>1686</v>
      </c>
      <c r="J4178" s="15" t="s">
        <v>16770</v>
      </c>
      <c r="K4178" s="15">
        <v>2.0</v>
      </c>
      <c r="L4178" s="15">
        <v>2.0</v>
      </c>
      <c r="M4178" s="41">
        <v>41983.0</v>
      </c>
      <c r="N4178" s="41">
        <v>41984.0</v>
      </c>
      <c r="O4178" s="15" t="s">
        <v>1554</v>
      </c>
      <c r="Q4178" s="7"/>
    </row>
    <row r="4179">
      <c r="A4179" s="39" t="s">
        <v>16771</v>
      </c>
      <c r="B4179" s="15">
        <v>1578826.0</v>
      </c>
      <c r="C4179" s="15" t="s">
        <v>16772</v>
      </c>
      <c r="D4179" s="15">
        <v>270094.0</v>
      </c>
      <c r="E4179" s="15" t="s">
        <v>1548</v>
      </c>
      <c r="F4179" s="15" t="s">
        <v>1776</v>
      </c>
      <c r="G4179" s="7">
        <v>7.093</v>
      </c>
      <c r="H4179" s="15">
        <v>36.0</v>
      </c>
      <c r="I4179" s="15" t="s">
        <v>1686</v>
      </c>
      <c r="J4179" s="15" t="s">
        <v>16773</v>
      </c>
      <c r="K4179" s="15">
        <v>1.0</v>
      </c>
      <c r="L4179" s="15">
        <v>1.0</v>
      </c>
      <c r="M4179" s="40">
        <v>41981.0</v>
      </c>
      <c r="N4179" s="41">
        <v>41984.0</v>
      </c>
      <c r="O4179" s="15" t="s">
        <v>1554</v>
      </c>
      <c r="Q4179" s="7"/>
    </row>
    <row r="4180">
      <c r="A4180" s="39" t="s">
        <v>16774</v>
      </c>
      <c r="B4180" s="15">
        <v>1580580.0</v>
      </c>
      <c r="C4180" s="15" t="s">
        <v>16775</v>
      </c>
      <c r="D4180" s="15">
        <v>271033.0</v>
      </c>
      <c r="E4180" s="15" t="s">
        <v>1557</v>
      </c>
      <c r="F4180" s="15" t="s">
        <v>1992</v>
      </c>
      <c r="G4180" s="7">
        <v>148.981</v>
      </c>
      <c r="H4180" s="15" t="s">
        <v>4401</v>
      </c>
      <c r="I4180" s="15" t="s">
        <v>1560</v>
      </c>
      <c r="J4180" s="15" t="s">
        <v>16777</v>
      </c>
      <c r="K4180" s="15">
        <v>150.0</v>
      </c>
      <c r="L4180" s="15">
        <v>150.0</v>
      </c>
      <c r="M4180" s="41">
        <v>41987.0</v>
      </c>
      <c r="N4180" s="40">
        <v>42237.0</v>
      </c>
      <c r="O4180" s="15" t="s">
        <v>1554</v>
      </c>
      <c r="Q4180" s="7"/>
    </row>
    <row r="4181">
      <c r="A4181" s="39" t="s">
        <v>16778</v>
      </c>
      <c r="B4181" s="15">
        <v>1574422.0</v>
      </c>
      <c r="C4181" s="15" t="s">
        <v>16779</v>
      </c>
      <c r="D4181" s="15">
        <v>271034.0</v>
      </c>
      <c r="E4181" s="15" t="s">
        <v>1808</v>
      </c>
      <c r="F4181" s="15" t="s">
        <v>1998</v>
      </c>
      <c r="G4181" s="7">
        <v>2.948</v>
      </c>
      <c r="H4181" s="15" t="s">
        <v>2178</v>
      </c>
      <c r="I4181" s="15" t="s">
        <v>1686</v>
      </c>
      <c r="J4181" s="15" t="s">
        <v>16780</v>
      </c>
      <c r="K4181" s="15">
        <v>3.0</v>
      </c>
      <c r="L4181" s="15">
        <v>3.0</v>
      </c>
      <c r="M4181" s="41">
        <v>41972.0</v>
      </c>
      <c r="N4181" s="41">
        <v>41996.0</v>
      </c>
      <c r="O4181" s="15" t="s">
        <v>1554</v>
      </c>
      <c r="Q4181" s="7"/>
    </row>
    <row r="4182">
      <c r="A4182" s="39" t="s">
        <v>16781</v>
      </c>
      <c r="B4182" s="15">
        <v>1582094.0</v>
      </c>
      <c r="C4182" s="15" t="s">
        <v>16783</v>
      </c>
      <c r="D4182" s="15">
        <v>271106.0</v>
      </c>
      <c r="E4182" s="15" t="s">
        <v>1548</v>
      </c>
      <c r="F4182" s="15" t="s">
        <v>1776</v>
      </c>
      <c r="G4182" s="7">
        <v>7.213</v>
      </c>
      <c r="H4182" s="15" t="s">
        <v>1591</v>
      </c>
      <c r="I4182" s="15" t="s">
        <v>1686</v>
      </c>
      <c r="J4182" s="15" t="s">
        <v>16784</v>
      </c>
      <c r="K4182" s="15">
        <v>1.0</v>
      </c>
      <c r="L4182" s="15">
        <v>1.0</v>
      </c>
      <c r="M4182" s="41">
        <v>41989.0</v>
      </c>
      <c r="N4182" s="41">
        <v>41997.0</v>
      </c>
      <c r="O4182" s="15" t="s">
        <v>1554</v>
      </c>
      <c r="Q4182" s="7"/>
    </row>
    <row r="4183">
      <c r="A4183" s="39" t="s">
        <v>16785</v>
      </c>
      <c r="B4183" s="15">
        <v>1579460.0</v>
      </c>
      <c r="C4183" s="15" t="s">
        <v>16786</v>
      </c>
      <c r="D4183" s="15">
        <v>271121.0</v>
      </c>
      <c r="E4183" s="15" t="s">
        <v>1557</v>
      </c>
      <c r="F4183" s="15" t="s">
        <v>2028</v>
      </c>
      <c r="G4183" s="7">
        <v>139.981</v>
      </c>
      <c r="H4183" s="15">
        <v>65.0</v>
      </c>
      <c r="I4183" s="15" t="s">
        <v>1686</v>
      </c>
      <c r="J4183" s="15" t="s">
        <v>16787</v>
      </c>
      <c r="K4183" s="15">
        <v>130.0</v>
      </c>
      <c r="L4183" s="15">
        <v>130.0</v>
      </c>
      <c r="M4183" s="41">
        <v>41993.0</v>
      </c>
      <c r="N4183" s="41">
        <v>41997.0</v>
      </c>
      <c r="O4183" s="15" t="s">
        <v>1554</v>
      </c>
      <c r="Q4183" s="7"/>
    </row>
    <row r="4184">
      <c r="A4184" s="39" t="s">
        <v>16788</v>
      </c>
      <c r="B4184" s="15">
        <v>1076345.0</v>
      </c>
      <c r="C4184" s="15" t="s">
        <v>16789</v>
      </c>
      <c r="D4184" s="15">
        <v>271122.0</v>
      </c>
      <c r="E4184" s="15" t="s">
        <v>1808</v>
      </c>
      <c r="F4184" s="15" t="s">
        <v>1809</v>
      </c>
      <c r="G4184" s="7">
        <v>2.752</v>
      </c>
      <c r="H4184" s="15" t="s">
        <v>2064</v>
      </c>
      <c r="I4184" s="15" t="s">
        <v>1628</v>
      </c>
      <c r="J4184" s="15" t="s">
        <v>16791</v>
      </c>
      <c r="K4184" s="15">
        <v>6.0</v>
      </c>
      <c r="L4184" s="15">
        <v>6.0</v>
      </c>
      <c r="M4184" s="41">
        <v>41989.0</v>
      </c>
      <c r="N4184" s="41">
        <v>41997.0</v>
      </c>
      <c r="O4184" s="15" t="s">
        <v>1554</v>
      </c>
      <c r="Q4184" s="7"/>
    </row>
    <row r="4185">
      <c r="A4185" s="39" t="s">
        <v>16792</v>
      </c>
      <c r="B4185" s="15">
        <v>1580497.0</v>
      </c>
      <c r="C4185" s="15" t="s">
        <v>16793</v>
      </c>
      <c r="D4185" s="15">
        <v>271153.0</v>
      </c>
      <c r="E4185" s="15" t="s">
        <v>1557</v>
      </c>
      <c r="F4185" s="15" t="s">
        <v>2628</v>
      </c>
      <c r="G4185" s="7">
        <v>31.735</v>
      </c>
      <c r="H4185" s="15" t="s">
        <v>1957</v>
      </c>
      <c r="I4185" s="15" t="s">
        <v>1686</v>
      </c>
      <c r="J4185" s="15" t="s">
        <v>16794</v>
      </c>
      <c r="K4185" s="15">
        <v>29.0</v>
      </c>
      <c r="L4185" s="15">
        <v>29.0</v>
      </c>
      <c r="M4185" s="41">
        <v>41987.0</v>
      </c>
      <c r="N4185" s="41">
        <v>41997.0</v>
      </c>
      <c r="O4185" s="15" t="s">
        <v>1554</v>
      </c>
      <c r="Q4185" s="7"/>
    </row>
    <row r="4186">
      <c r="A4186" s="39" t="s">
        <v>16795</v>
      </c>
      <c r="B4186" s="15">
        <v>1126383.0</v>
      </c>
      <c r="C4186" s="15" t="s">
        <v>16796</v>
      </c>
      <c r="D4186" s="15">
        <v>271167.0</v>
      </c>
      <c r="E4186" s="15" t="s">
        <v>1808</v>
      </c>
      <c r="F4186" s="15" t="s">
        <v>2436</v>
      </c>
      <c r="G4186" s="7">
        <v>5.426</v>
      </c>
      <c r="H4186" s="15" t="s">
        <v>4902</v>
      </c>
      <c r="I4186" s="15" t="s">
        <v>1686</v>
      </c>
      <c r="J4186" s="15" t="s">
        <v>16797</v>
      </c>
      <c r="K4186" s="15">
        <v>2.0</v>
      </c>
      <c r="L4186" s="15">
        <v>2.0</v>
      </c>
      <c r="M4186" s="41">
        <v>41986.0</v>
      </c>
      <c r="N4186" s="40">
        <v>42438.0</v>
      </c>
      <c r="O4186" s="15" t="s">
        <v>1554</v>
      </c>
      <c r="Q4186" s="7"/>
    </row>
    <row r="4187">
      <c r="A4187" s="39" t="s">
        <v>16799</v>
      </c>
      <c r="B4187" s="15">
        <v>1514665.0</v>
      </c>
      <c r="C4187" s="15" t="s">
        <v>16800</v>
      </c>
      <c r="D4187" s="15">
        <v>271180.0</v>
      </c>
      <c r="E4187" s="15" t="s">
        <v>1808</v>
      </c>
      <c r="F4187" s="15" t="s">
        <v>2232</v>
      </c>
      <c r="G4187" s="7">
        <v>2.572</v>
      </c>
      <c r="H4187" s="15" t="s">
        <v>1572</v>
      </c>
      <c r="I4187" s="15" t="s">
        <v>1567</v>
      </c>
      <c r="J4187" s="15" t="s">
        <v>16801</v>
      </c>
      <c r="K4187" s="15">
        <v>3.0</v>
      </c>
      <c r="L4187" s="15">
        <v>3.0</v>
      </c>
      <c r="M4187" s="41">
        <v>41996.0</v>
      </c>
      <c r="N4187" s="40">
        <v>42061.0</v>
      </c>
      <c r="O4187" s="15" t="s">
        <v>1554</v>
      </c>
      <c r="Q4187" s="7"/>
    </row>
    <row r="4188">
      <c r="A4188" s="39" t="s">
        <v>16802</v>
      </c>
      <c r="B4188" s="15">
        <v>1493829.0</v>
      </c>
      <c r="C4188" s="15" t="s">
        <v>16803</v>
      </c>
      <c r="D4188" s="15">
        <v>271230.0</v>
      </c>
      <c r="E4188" s="15" t="s">
        <v>1548</v>
      </c>
      <c r="F4188" s="15" t="s">
        <v>1790</v>
      </c>
      <c r="G4188" s="7">
        <v>18.569</v>
      </c>
      <c r="H4188" s="15" t="s">
        <v>2005</v>
      </c>
      <c r="I4188" s="15" t="s">
        <v>1628</v>
      </c>
      <c r="J4188" s="15" t="s">
        <v>16804</v>
      </c>
      <c r="K4188" s="15">
        <v>12.0</v>
      </c>
      <c r="L4188" s="15">
        <v>12.0</v>
      </c>
      <c r="M4188" s="41">
        <v>41998.0</v>
      </c>
      <c r="N4188" s="40">
        <v>42284.0</v>
      </c>
      <c r="O4188" s="15" t="s">
        <v>1554</v>
      </c>
      <c r="Q4188" s="7"/>
    </row>
    <row r="4189">
      <c r="A4189" s="39" t="s">
        <v>16805</v>
      </c>
      <c r="B4189" s="15">
        <v>1572702.0</v>
      </c>
      <c r="C4189" s="15" t="s">
        <v>16806</v>
      </c>
      <c r="D4189" s="15">
        <v>271410.0</v>
      </c>
      <c r="E4189" s="15" t="s">
        <v>1557</v>
      </c>
      <c r="F4189" s="15" t="s">
        <v>1833</v>
      </c>
      <c r="G4189" s="7">
        <v>50.109</v>
      </c>
      <c r="H4189" s="15" t="s">
        <v>3407</v>
      </c>
      <c r="I4189" s="15" t="s">
        <v>1586</v>
      </c>
      <c r="J4189" s="15" t="s">
        <v>16807</v>
      </c>
      <c r="K4189" s="15">
        <v>83.0</v>
      </c>
      <c r="L4189" s="15">
        <v>83.0</v>
      </c>
      <c r="M4189" s="41">
        <v>41993.0</v>
      </c>
      <c r="N4189" s="40">
        <v>42507.0</v>
      </c>
      <c r="O4189" s="15" t="s">
        <v>1554</v>
      </c>
      <c r="Q4189" s="7"/>
    </row>
    <row r="4190">
      <c r="A4190" s="39" t="s">
        <v>16808</v>
      </c>
      <c r="B4190" s="15">
        <v>1590370.0</v>
      </c>
      <c r="C4190" s="15" t="s">
        <v>16809</v>
      </c>
      <c r="D4190" s="15">
        <v>271776.0</v>
      </c>
      <c r="E4190" s="15" t="s">
        <v>1548</v>
      </c>
      <c r="F4190" s="15" t="s">
        <v>1684</v>
      </c>
      <c r="G4190" s="7">
        <v>31.249</v>
      </c>
      <c r="H4190" s="15" t="s">
        <v>2451</v>
      </c>
      <c r="I4190" s="15" t="s">
        <v>1686</v>
      </c>
      <c r="J4190" s="15" t="s">
        <v>16810</v>
      </c>
      <c r="K4190" s="15">
        <v>10.0</v>
      </c>
      <c r="L4190" s="15">
        <v>10.0</v>
      </c>
      <c r="M4190" s="40">
        <v>42008.0</v>
      </c>
      <c r="N4190" s="40">
        <v>42110.0</v>
      </c>
      <c r="O4190" s="15" t="s">
        <v>1554</v>
      </c>
      <c r="Q4190" s="7"/>
    </row>
    <row r="4191">
      <c r="A4191" s="39" t="s">
        <v>16811</v>
      </c>
      <c r="B4191" s="15">
        <v>1588685.0</v>
      </c>
      <c r="C4191" s="15" t="s">
        <v>16812</v>
      </c>
      <c r="D4191" s="15">
        <v>271777.0</v>
      </c>
      <c r="E4191" s="15" t="s">
        <v>1548</v>
      </c>
      <c r="F4191" s="15" t="s">
        <v>1838</v>
      </c>
      <c r="G4191" s="7">
        <v>10.483</v>
      </c>
      <c r="H4191" s="15" t="s">
        <v>16813</v>
      </c>
      <c r="I4191" s="15" t="s">
        <v>1686</v>
      </c>
      <c r="J4191" s="15" t="s">
        <v>16814</v>
      </c>
      <c r="K4191" s="15">
        <v>4.0</v>
      </c>
      <c r="L4191" s="15">
        <v>4.0</v>
      </c>
      <c r="M4191" s="40">
        <v>42008.0</v>
      </c>
      <c r="N4191" s="40">
        <v>42011.0</v>
      </c>
      <c r="O4191" s="15" t="s">
        <v>1554</v>
      </c>
      <c r="Q4191" s="7"/>
    </row>
    <row r="4192">
      <c r="A4192" s="39" t="s">
        <v>16816</v>
      </c>
      <c r="B4192" s="15">
        <v>1588049.0</v>
      </c>
      <c r="C4192" s="15" t="s">
        <v>16817</v>
      </c>
      <c r="D4192" s="15">
        <v>271778.0</v>
      </c>
      <c r="E4192" s="15" t="s">
        <v>1557</v>
      </c>
      <c r="F4192" s="15" t="s">
        <v>2004</v>
      </c>
      <c r="G4192" s="7">
        <v>4.893</v>
      </c>
      <c r="H4192" s="15" t="s">
        <v>2451</v>
      </c>
      <c r="I4192" s="15" t="s">
        <v>1686</v>
      </c>
      <c r="J4192" s="15" t="s">
        <v>16818</v>
      </c>
      <c r="K4192" s="15">
        <v>5.0</v>
      </c>
      <c r="L4192" s="15">
        <v>5.0</v>
      </c>
      <c r="M4192" s="41">
        <v>42000.0</v>
      </c>
      <c r="N4192" s="40">
        <v>42011.0</v>
      </c>
      <c r="O4192" s="15" t="s">
        <v>1554</v>
      </c>
      <c r="Q4192" s="7"/>
    </row>
    <row r="4193">
      <c r="A4193" s="39" t="s">
        <v>16819</v>
      </c>
      <c r="B4193" s="15">
        <v>1588048.0</v>
      </c>
      <c r="C4193" s="15" t="s">
        <v>16820</v>
      </c>
      <c r="D4193" s="15">
        <v>271779.0</v>
      </c>
      <c r="E4193" s="15" t="s">
        <v>1557</v>
      </c>
      <c r="F4193" s="15" t="s">
        <v>2004</v>
      </c>
      <c r="G4193" s="7">
        <v>4.882</v>
      </c>
      <c r="H4193" s="15" t="s">
        <v>1849</v>
      </c>
      <c r="I4193" s="15" t="s">
        <v>1686</v>
      </c>
      <c r="J4193" s="15" t="s">
        <v>16821</v>
      </c>
      <c r="K4193" s="15">
        <v>5.0</v>
      </c>
      <c r="L4193" s="15">
        <v>5.0</v>
      </c>
      <c r="M4193" s="41">
        <v>42000.0</v>
      </c>
      <c r="N4193" s="40">
        <v>42011.0</v>
      </c>
      <c r="O4193" s="15" t="s">
        <v>1554</v>
      </c>
      <c r="Q4193" s="7"/>
    </row>
    <row r="4194">
      <c r="A4194" s="39" t="s">
        <v>16822</v>
      </c>
      <c r="B4194" s="15">
        <v>1567486.0</v>
      </c>
      <c r="C4194" s="15" t="s">
        <v>16823</v>
      </c>
      <c r="D4194" s="15">
        <v>271780.0</v>
      </c>
      <c r="E4194" s="15" t="s">
        <v>1557</v>
      </c>
      <c r="F4194" s="15" t="s">
        <v>1767</v>
      </c>
      <c r="G4194" s="7">
        <v>35.814</v>
      </c>
      <c r="H4194" s="15" t="s">
        <v>1881</v>
      </c>
      <c r="I4194" s="15" t="s">
        <v>1586</v>
      </c>
      <c r="J4194" s="15" t="s">
        <v>16824</v>
      </c>
      <c r="K4194" s="15">
        <v>53.0</v>
      </c>
      <c r="L4194" s="15">
        <v>53.0</v>
      </c>
      <c r="M4194" s="41">
        <v>41993.0</v>
      </c>
      <c r="N4194" s="40">
        <v>42011.0</v>
      </c>
      <c r="O4194" s="15" t="s">
        <v>1554</v>
      </c>
      <c r="Q4194" s="7"/>
    </row>
    <row r="4195">
      <c r="A4195" s="39" t="s">
        <v>16826</v>
      </c>
      <c r="B4195" s="15">
        <v>1519999.0</v>
      </c>
      <c r="C4195" s="15" t="s">
        <v>16827</v>
      </c>
      <c r="D4195" s="15">
        <v>271781.0</v>
      </c>
      <c r="E4195" s="15" t="s">
        <v>1557</v>
      </c>
      <c r="F4195" s="15" t="s">
        <v>1833</v>
      </c>
      <c r="G4195" s="7">
        <v>43.748</v>
      </c>
      <c r="H4195" s="15">
        <v>33.0</v>
      </c>
      <c r="I4195" s="15" t="s">
        <v>1586</v>
      </c>
      <c r="J4195" s="15" t="s">
        <v>16828</v>
      </c>
      <c r="K4195" s="15">
        <v>46.0</v>
      </c>
      <c r="L4195" s="15">
        <v>46.0</v>
      </c>
      <c r="M4195" s="40">
        <v>41839.0</v>
      </c>
      <c r="N4195" s="40">
        <v>42172.0</v>
      </c>
      <c r="O4195" s="15" t="s">
        <v>1554</v>
      </c>
      <c r="Q4195" s="7"/>
    </row>
    <row r="4196">
      <c r="A4196" s="39" t="s">
        <v>16829</v>
      </c>
      <c r="B4196" s="15">
        <v>1544364.0</v>
      </c>
      <c r="C4196" s="15" t="s">
        <v>16830</v>
      </c>
      <c r="D4196" s="15">
        <v>271782.0</v>
      </c>
      <c r="E4196" s="15" t="s">
        <v>1808</v>
      </c>
      <c r="F4196" s="15" t="s">
        <v>3154</v>
      </c>
      <c r="G4196" s="7">
        <v>5.755</v>
      </c>
      <c r="H4196" s="15" t="s">
        <v>2316</v>
      </c>
      <c r="I4196" s="15" t="s">
        <v>1586</v>
      </c>
      <c r="J4196" s="15" t="s">
        <v>16831</v>
      </c>
      <c r="K4196" s="15">
        <v>7.0</v>
      </c>
      <c r="L4196" s="15">
        <v>7.0</v>
      </c>
      <c r="M4196" s="40">
        <v>41899.0</v>
      </c>
      <c r="N4196" s="40">
        <v>42011.0</v>
      </c>
      <c r="O4196" s="15" t="s">
        <v>1554</v>
      </c>
      <c r="Q4196" s="7"/>
    </row>
    <row r="4197">
      <c r="A4197" s="39" t="s">
        <v>16832</v>
      </c>
      <c r="B4197" s="15">
        <v>1540823.0</v>
      </c>
      <c r="C4197" s="15" t="s">
        <v>16833</v>
      </c>
      <c r="D4197" s="15">
        <v>271783.0</v>
      </c>
      <c r="E4197" s="15" t="s">
        <v>1557</v>
      </c>
      <c r="F4197" s="15" t="s">
        <v>1833</v>
      </c>
      <c r="G4197" s="7">
        <v>41.88</v>
      </c>
      <c r="H4197" s="15" t="s">
        <v>2351</v>
      </c>
      <c r="I4197" s="15" t="s">
        <v>1586</v>
      </c>
      <c r="J4197" s="15" t="s">
        <v>16834</v>
      </c>
      <c r="K4197" s="15">
        <v>58.0</v>
      </c>
      <c r="L4197" s="15">
        <v>58.0</v>
      </c>
      <c r="M4197" s="40">
        <v>41891.0</v>
      </c>
      <c r="N4197" s="40">
        <v>42034.0</v>
      </c>
      <c r="O4197" s="15" t="s">
        <v>1554</v>
      </c>
      <c r="Q4197" s="7"/>
    </row>
    <row r="4198">
      <c r="A4198" s="39" t="s">
        <v>16835</v>
      </c>
      <c r="B4198" s="15">
        <v>1227557.0</v>
      </c>
      <c r="C4198" s="15" t="s">
        <v>16836</v>
      </c>
      <c r="D4198" s="15">
        <v>271900.0</v>
      </c>
      <c r="E4198" s="15" t="s">
        <v>1916</v>
      </c>
      <c r="F4198" s="15" t="s">
        <v>1917</v>
      </c>
      <c r="G4198" s="7">
        <v>6.945</v>
      </c>
      <c r="H4198" s="15" t="s">
        <v>2877</v>
      </c>
      <c r="I4198" s="15" t="s">
        <v>1628</v>
      </c>
      <c r="J4198" s="15" t="s">
        <v>16838</v>
      </c>
      <c r="K4198" s="15">
        <v>2.0</v>
      </c>
      <c r="L4198" s="15">
        <v>2.0</v>
      </c>
      <c r="M4198" s="40">
        <v>42010.0</v>
      </c>
      <c r="N4198" s="40">
        <v>42411.0</v>
      </c>
      <c r="O4198" s="15" t="s">
        <v>1554</v>
      </c>
      <c r="Q4198" s="7"/>
    </row>
    <row r="4199">
      <c r="A4199" s="39" t="s">
        <v>16839</v>
      </c>
      <c r="B4199" s="15">
        <v>1592211.0</v>
      </c>
      <c r="C4199" s="15" t="s">
        <v>16840</v>
      </c>
      <c r="D4199" s="15">
        <v>272394.0</v>
      </c>
      <c r="E4199" s="15" t="s">
        <v>2014</v>
      </c>
      <c r="F4199" s="15" t="s">
        <v>1578</v>
      </c>
      <c r="G4199" s="7">
        <v>0.967</v>
      </c>
      <c r="H4199" s="15" t="s">
        <v>8889</v>
      </c>
      <c r="I4199" s="15" t="s">
        <v>1706</v>
      </c>
      <c r="J4199" s="15" t="s">
        <v>16841</v>
      </c>
      <c r="K4199" s="15">
        <v>1.0</v>
      </c>
      <c r="L4199" s="15">
        <v>1.0</v>
      </c>
      <c r="M4199" s="40">
        <v>42012.0</v>
      </c>
      <c r="N4199" s="40">
        <v>42052.0</v>
      </c>
      <c r="O4199" s="15" t="s">
        <v>1554</v>
      </c>
      <c r="Q4199" s="7"/>
    </row>
    <row r="4200">
      <c r="A4200" s="39" t="s">
        <v>16842</v>
      </c>
      <c r="B4200" s="15">
        <v>1590650.0</v>
      </c>
      <c r="C4200" s="15" t="s">
        <v>16843</v>
      </c>
      <c r="D4200" s="15">
        <v>272395.0</v>
      </c>
      <c r="E4200" s="15" t="s">
        <v>1557</v>
      </c>
      <c r="F4200" s="15" t="s">
        <v>2004</v>
      </c>
      <c r="G4200" s="7">
        <v>4.988</v>
      </c>
      <c r="H4200" s="15" t="s">
        <v>1756</v>
      </c>
      <c r="I4200" s="15" t="s">
        <v>1686</v>
      </c>
      <c r="J4200" s="15" t="s">
        <v>16844</v>
      </c>
      <c r="K4200" s="15">
        <v>5.0</v>
      </c>
      <c r="L4200" s="15">
        <v>5.0</v>
      </c>
      <c r="M4200" s="40">
        <v>42009.0</v>
      </c>
      <c r="N4200" s="40">
        <v>42097.0</v>
      </c>
      <c r="O4200" s="15" t="s">
        <v>1554</v>
      </c>
      <c r="Q4200" s="7"/>
    </row>
    <row r="4201">
      <c r="A4201" s="39" t="s">
        <v>16846</v>
      </c>
      <c r="B4201" s="15">
        <v>1566011.0</v>
      </c>
      <c r="C4201" s="15" t="s">
        <v>16847</v>
      </c>
      <c r="D4201" s="15">
        <v>272436.0</v>
      </c>
      <c r="E4201" s="15" t="s">
        <v>1808</v>
      </c>
      <c r="F4201" s="15" t="s">
        <v>2232</v>
      </c>
      <c r="G4201" s="7">
        <v>2.223</v>
      </c>
      <c r="H4201" s="15" t="s">
        <v>5382</v>
      </c>
      <c r="I4201" s="15" t="s">
        <v>1686</v>
      </c>
      <c r="J4201" s="15" t="s">
        <v>16848</v>
      </c>
      <c r="K4201" s="15">
        <v>1.0</v>
      </c>
      <c r="L4201" s="15">
        <v>1.0</v>
      </c>
      <c r="M4201" s="41">
        <v>42001.0</v>
      </c>
      <c r="N4201" s="40">
        <v>42157.0</v>
      </c>
      <c r="O4201" s="15" t="s">
        <v>1554</v>
      </c>
      <c r="Q4201" s="7"/>
    </row>
    <row r="4202">
      <c r="A4202" s="39" t="s">
        <v>16849</v>
      </c>
      <c r="B4202" s="15">
        <v>1519399.0</v>
      </c>
      <c r="C4202" s="15" t="s">
        <v>16850</v>
      </c>
      <c r="D4202" s="15">
        <v>272438.0</v>
      </c>
      <c r="E4202" s="15" t="s">
        <v>1664</v>
      </c>
      <c r="F4202" s="15" t="s">
        <v>15173</v>
      </c>
      <c r="G4202" s="7">
        <v>2.115</v>
      </c>
      <c r="H4202" s="15" t="s">
        <v>2365</v>
      </c>
      <c r="I4202" s="15" t="s">
        <v>1706</v>
      </c>
      <c r="J4202" s="15" t="s">
        <v>16851</v>
      </c>
      <c r="K4202" s="15">
        <v>3.0</v>
      </c>
      <c r="L4202" s="15">
        <v>3.0</v>
      </c>
      <c r="M4202" s="40">
        <v>42012.0</v>
      </c>
      <c r="N4202" s="40">
        <v>42052.0</v>
      </c>
      <c r="O4202" s="15" t="s">
        <v>1554</v>
      </c>
      <c r="Q4202" s="7"/>
    </row>
    <row r="4203">
      <c r="A4203" s="39" t="s">
        <v>16852</v>
      </c>
      <c r="B4203" s="15">
        <v>1566868.0</v>
      </c>
      <c r="C4203" s="15" t="s">
        <v>16853</v>
      </c>
      <c r="D4203" s="15">
        <v>272440.0</v>
      </c>
      <c r="E4203" s="15" t="s">
        <v>1638</v>
      </c>
      <c r="F4203" s="15" t="s">
        <v>1639</v>
      </c>
      <c r="G4203" s="7">
        <v>6.006</v>
      </c>
      <c r="H4203" s="15" t="s">
        <v>9648</v>
      </c>
      <c r="I4203" s="15" t="s">
        <v>1740</v>
      </c>
      <c r="J4203" s="15" t="s">
        <v>16855</v>
      </c>
      <c r="K4203" s="15">
        <v>2.0</v>
      </c>
      <c r="L4203" s="15">
        <v>2.0</v>
      </c>
      <c r="M4203" s="41">
        <v>42004.0</v>
      </c>
      <c r="N4203" s="40">
        <v>42489.0</v>
      </c>
      <c r="O4203" s="15" t="s">
        <v>1554</v>
      </c>
      <c r="Q4203" s="7"/>
    </row>
    <row r="4204">
      <c r="A4204" s="39" t="s">
        <v>16856</v>
      </c>
      <c r="B4204" s="15">
        <v>1592212.0</v>
      </c>
      <c r="C4204" s="15" t="s">
        <v>16857</v>
      </c>
      <c r="D4204" s="15">
        <v>272441.0</v>
      </c>
      <c r="E4204" s="15" t="s">
        <v>2014</v>
      </c>
      <c r="F4204" s="15" t="s">
        <v>1578</v>
      </c>
      <c r="G4204" s="7">
        <v>1.132</v>
      </c>
      <c r="H4204" s="15" t="s">
        <v>1705</v>
      </c>
      <c r="I4204" s="15" t="s">
        <v>1706</v>
      </c>
      <c r="J4204" s="15" t="s">
        <v>16858</v>
      </c>
      <c r="K4204" s="15">
        <v>1.0</v>
      </c>
      <c r="L4204" s="15">
        <v>1.0</v>
      </c>
      <c r="M4204" s="40">
        <v>42012.0</v>
      </c>
      <c r="N4204" s="40">
        <v>42052.0</v>
      </c>
      <c r="O4204" s="15" t="s">
        <v>1554</v>
      </c>
      <c r="Q4204" s="7"/>
    </row>
    <row r="4205">
      <c r="A4205" s="39" t="s">
        <v>16859</v>
      </c>
      <c r="B4205" s="15">
        <v>1580607.0</v>
      </c>
      <c r="C4205" s="15" t="s">
        <v>16860</v>
      </c>
      <c r="D4205" s="15">
        <v>272442.0</v>
      </c>
      <c r="E4205" s="15" t="s">
        <v>1577</v>
      </c>
      <c r="F4205" s="15" t="s">
        <v>1578</v>
      </c>
      <c r="G4205" s="7">
        <v>3.246</v>
      </c>
      <c r="H4205" s="15" t="s">
        <v>10545</v>
      </c>
      <c r="I4205" s="15" t="s">
        <v>1552</v>
      </c>
      <c r="J4205" s="15" t="s">
        <v>16862</v>
      </c>
      <c r="K4205" s="15">
        <v>2.0</v>
      </c>
      <c r="L4205" s="15">
        <v>2.0</v>
      </c>
      <c r="M4205" s="41">
        <v>42000.0</v>
      </c>
      <c r="N4205" s="40">
        <v>42507.0</v>
      </c>
      <c r="O4205" s="15" t="s">
        <v>1554</v>
      </c>
      <c r="Q4205" s="7"/>
    </row>
    <row r="4206">
      <c r="A4206" s="39" t="s">
        <v>16863</v>
      </c>
      <c r="B4206" s="15">
        <v>1580606.0</v>
      </c>
      <c r="C4206" s="15" t="s">
        <v>16864</v>
      </c>
      <c r="D4206" s="15">
        <v>272443.0</v>
      </c>
      <c r="E4206" s="15" t="s">
        <v>1638</v>
      </c>
      <c r="F4206" s="15" t="s">
        <v>2849</v>
      </c>
      <c r="G4206" s="7">
        <v>10.29</v>
      </c>
      <c r="H4206" s="15" t="s">
        <v>4736</v>
      </c>
      <c r="I4206" s="15" t="s">
        <v>1552</v>
      </c>
      <c r="J4206" s="15" t="s">
        <v>16865</v>
      </c>
      <c r="K4206" s="15">
        <v>1.0</v>
      </c>
      <c r="L4206" s="15">
        <v>1.0</v>
      </c>
      <c r="M4206" s="41">
        <v>42000.0</v>
      </c>
      <c r="N4206" s="40">
        <v>42016.0</v>
      </c>
      <c r="O4206" s="15" t="s">
        <v>1554</v>
      </c>
      <c r="Q4206" s="7"/>
    </row>
    <row r="4207">
      <c r="A4207" s="39" t="s">
        <v>16866</v>
      </c>
      <c r="B4207" s="15">
        <v>1568973.0</v>
      </c>
      <c r="C4207" s="15" t="s">
        <v>16867</v>
      </c>
      <c r="D4207" s="15">
        <v>272444.0</v>
      </c>
      <c r="E4207" s="15" t="s">
        <v>1638</v>
      </c>
      <c r="F4207" s="15" t="s">
        <v>1578</v>
      </c>
      <c r="G4207" s="7">
        <v>8.952</v>
      </c>
      <c r="H4207" s="15" t="s">
        <v>2945</v>
      </c>
      <c r="I4207" s="15" t="s">
        <v>1552</v>
      </c>
      <c r="J4207" s="15" t="s">
        <v>16868</v>
      </c>
      <c r="K4207" s="15">
        <v>2.0</v>
      </c>
      <c r="L4207" s="15">
        <v>2.0</v>
      </c>
      <c r="M4207" s="40">
        <v>42005.0</v>
      </c>
      <c r="N4207" s="40">
        <v>42097.0</v>
      </c>
      <c r="O4207" s="15" t="s">
        <v>1554</v>
      </c>
      <c r="Q4207" s="7"/>
    </row>
    <row r="4208">
      <c r="A4208" s="39" t="s">
        <v>16869</v>
      </c>
      <c r="B4208" s="15">
        <v>1519400.0</v>
      </c>
      <c r="C4208" s="15" t="s">
        <v>16870</v>
      </c>
      <c r="D4208" s="15">
        <v>272393.0</v>
      </c>
      <c r="E4208" s="15" t="s">
        <v>1664</v>
      </c>
      <c r="F4208" s="15" t="s">
        <v>15173</v>
      </c>
      <c r="G4208" s="7">
        <v>2.243</v>
      </c>
      <c r="H4208" s="15" t="s">
        <v>1966</v>
      </c>
      <c r="I4208" s="15" t="s">
        <v>1706</v>
      </c>
      <c r="J4208" s="15" t="s">
        <v>16872</v>
      </c>
      <c r="K4208" s="15">
        <v>3.0</v>
      </c>
      <c r="L4208" s="15">
        <v>3.0</v>
      </c>
      <c r="M4208" s="40">
        <v>42012.0</v>
      </c>
      <c r="N4208" s="40">
        <v>42052.0</v>
      </c>
      <c r="O4208" s="15" t="s">
        <v>1554</v>
      </c>
      <c r="Q4208" s="7"/>
    </row>
    <row r="4209">
      <c r="A4209" s="39" t="s">
        <v>16873</v>
      </c>
      <c r="B4209" s="15">
        <v>1519401.0</v>
      </c>
      <c r="C4209" s="15" t="s">
        <v>16874</v>
      </c>
      <c r="D4209" s="15">
        <v>272467.0</v>
      </c>
      <c r="E4209" s="15" t="s">
        <v>1664</v>
      </c>
      <c r="F4209" s="15" t="s">
        <v>15173</v>
      </c>
      <c r="G4209" s="7">
        <v>2.147</v>
      </c>
      <c r="H4209" s="15" t="s">
        <v>1918</v>
      </c>
      <c r="I4209" s="15" t="s">
        <v>1706</v>
      </c>
      <c r="J4209" s="15" t="s">
        <v>16875</v>
      </c>
      <c r="K4209" s="15">
        <v>2.0</v>
      </c>
      <c r="L4209" s="15">
        <v>2.0</v>
      </c>
      <c r="M4209" s="40">
        <v>42012.0</v>
      </c>
      <c r="N4209" s="40">
        <v>42052.0</v>
      </c>
      <c r="O4209" s="15" t="s">
        <v>1554</v>
      </c>
      <c r="Q4209" s="7"/>
    </row>
    <row r="4210">
      <c r="A4210" s="39" t="s">
        <v>16876</v>
      </c>
      <c r="B4210" s="15">
        <v>1519406.0</v>
      </c>
      <c r="C4210" s="15" t="s">
        <v>16877</v>
      </c>
      <c r="D4210" s="15">
        <v>272483.0</v>
      </c>
      <c r="E4210" s="15" t="s">
        <v>1664</v>
      </c>
      <c r="F4210" s="15" t="s">
        <v>15173</v>
      </c>
      <c r="G4210" s="7">
        <v>2.196</v>
      </c>
      <c r="H4210" s="15" t="s">
        <v>1640</v>
      </c>
      <c r="I4210" s="15" t="s">
        <v>1706</v>
      </c>
      <c r="J4210" s="15" t="s">
        <v>16878</v>
      </c>
      <c r="K4210" s="15">
        <v>3.0</v>
      </c>
      <c r="L4210" s="15">
        <v>3.0</v>
      </c>
      <c r="M4210" s="40">
        <v>42012.0</v>
      </c>
      <c r="N4210" s="40">
        <v>42052.0</v>
      </c>
      <c r="O4210" s="15" t="s">
        <v>1554</v>
      </c>
      <c r="Q4210" s="7"/>
    </row>
    <row r="4211">
      <c r="A4211" s="39" t="s">
        <v>16879</v>
      </c>
      <c r="B4211" s="15">
        <v>1519409.0</v>
      </c>
      <c r="C4211" s="15" t="s">
        <v>16880</v>
      </c>
      <c r="D4211" s="15">
        <v>272515.0</v>
      </c>
      <c r="E4211" s="15" t="s">
        <v>1664</v>
      </c>
      <c r="F4211" s="15" t="s">
        <v>15173</v>
      </c>
      <c r="G4211" s="7">
        <v>2.249</v>
      </c>
      <c r="H4211" s="15" t="s">
        <v>4521</v>
      </c>
      <c r="I4211" s="15" t="s">
        <v>1706</v>
      </c>
      <c r="J4211" s="15" t="s">
        <v>16881</v>
      </c>
      <c r="K4211" s="15">
        <v>3.0</v>
      </c>
      <c r="L4211" s="15">
        <v>3.0</v>
      </c>
      <c r="M4211" s="40">
        <v>42012.0</v>
      </c>
      <c r="N4211" s="40">
        <v>42052.0</v>
      </c>
      <c r="O4211" s="15" t="s">
        <v>1554</v>
      </c>
      <c r="Q4211" s="7"/>
    </row>
    <row r="4212">
      <c r="A4212" s="39" t="s">
        <v>16882</v>
      </c>
      <c r="B4212" s="15">
        <v>1519408.0</v>
      </c>
      <c r="C4212" s="15" t="s">
        <v>16883</v>
      </c>
      <c r="D4212" s="15">
        <v>272516.0</v>
      </c>
      <c r="E4212" s="15" t="s">
        <v>1664</v>
      </c>
      <c r="F4212" s="15" t="s">
        <v>15173</v>
      </c>
      <c r="G4212" s="7">
        <v>2.13</v>
      </c>
      <c r="H4212" s="15" t="s">
        <v>2263</v>
      </c>
      <c r="I4212" s="15" t="s">
        <v>1706</v>
      </c>
      <c r="J4212" s="15" t="s">
        <v>16884</v>
      </c>
      <c r="K4212" s="15">
        <v>3.0</v>
      </c>
      <c r="L4212" s="15">
        <v>3.0</v>
      </c>
      <c r="M4212" s="40">
        <v>42012.0</v>
      </c>
      <c r="N4212" s="40">
        <v>42052.0</v>
      </c>
      <c r="O4212" s="15" t="s">
        <v>1554</v>
      </c>
      <c r="Q4212" s="7"/>
    </row>
    <row r="4213">
      <c r="A4213" s="39" t="s">
        <v>16885</v>
      </c>
      <c r="B4213" s="15">
        <v>1580605.0</v>
      </c>
      <c r="C4213" s="15" t="s">
        <v>16886</v>
      </c>
      <c r="D4213" s="15">
        <v>272150.0</v>
      </c>
      <c r="E4213" s="15" t="s">
        <v>1638</v>
      </c>
      <c r="F4213" s="15" t="s">
        <v>1639</v>
      </c>
      <c r="G4213" s="7">
        <v>5.076</v>
      </c>
      <c r="H4213" s="15" t="s">
        <v>3890</v>
      </c>
      <c r="I4213" s="15" t="s">
        <v>1552</v>
      </c>
      <c r="J4213" s="15" t="s">
        <v>16887</v>
      </c>
      <c r="K4213" s="15">
        <v>2.0</v>
      </c>
      <c r="L4213" s="15">
        <v>2.0</v>
      </c>
      <c r="M4213" s="41">
        <v>42000.0</v>
      </c>
      <c r="N4213" s="40">
        <v>42019.0</v>
      </c>
      <c r="O4213" s="15" t="s">
        <v>1554</v>
      </c>
      <c r="Q4213" s="7"/>
    </row>
    <row r="4214">
      <c r="A4214" s="39" t="s">
        <v>16888</v>
      </c>
      <c r="B4214" s="15">
        <v>1519402.0</v>
      </c>
      <c r="C4214" s="15" t="s">
        <v>16889</v>
      </c>
      <c r="D4214" s="15">
        <v>272466.0</v>
      </c>
      <c r="E4214" s="15" t="s">
        <v>1664</v>
      </c>
      <c r="F4214" s="15" t="s">
        <v>15173</v>
      </c>
      <c r="G4214" s="7">
        <v>2.277</v>
      </c>
      <c r="H4214" s="15" t="s">
        <v>1750</v>
      </c>
      <c r="I4214" s="15" t="s">
        <v>1706</v>
      </c>
      <c r="J4214" s="15" t="s">
        <v>16891</v>
      </c>
      <c r="K4214" s="15">
        <v>3.0</v>
      </c>
      <c r="L4214" s="15">
        <v>3.0</v>
      </c>
      <c r="M4214" s="40">
        <v>42012.0</v>
      </c>
      <c r="N4214" s="40">
        <v>42052.0</v>
      </c>
      <c r="O4214" s="15" t="s">
        <v>1554</v>
      </c>
      <c r="Q4214" s="7"/>
    </row>
    <row r="4215">
      <c r="A4215" s="39" t="s">
        <v>16892</v>
      </c>
      <c r="B4215" s="15">
        <v>1519403.0</v>
      </c>
      <c r="C4215" s="15" t="s">
        <v>16893</v>
      </c>
      <c r="D4215" s="15">
        <v>272468.0</v>
      </c>
      <c r="E4215" s="15" t="s">
        <v>1664</v>
      </c>
      <c r="F4215" s="15" t="s">
        <v>15173</v>
      </c>
      <c r="G4215" s="7">
        <v>2.234</v>
      </c>
      <c r="H4215" s="15" t="s">
        <v>2296</v>
      </c>
      <c r="I4215" s="15" t="s">
        <v>1706</v>
      </c>
      <c r="J4215" s="15" t="s">
        <v>16894</v>
      </c>
      <c r="K4215" s="15">
        <v>3.0</v>
      </c>
      <c r="L4215" s="15">
        <v>3.0</v>
      </c>
      <c r="M4215" s="40">
        <v>42012.0</v>
      </c>
      <c r="N4215" s="40">
        <v>42052.0</v>
      </c>
      <c r="O4215" s="15" t="s">
        <v>1554</v>
      </c>
      <c r="Q4215" s="7"/>
    </row>
    <row r="4216">
      <c r="A4216" s="39" t="s">
        <v>16895</v>
      </c>
      <c r="B4216" s="15">
        <v>1519404.0</v>
      </c>
      <c r="C4216" s="15" t="s">
        <v>16896</v>
      </c>
      <c r="D4216" s="15">
        <v>272472.0</v>
      </c>
      <c r="E4216" s="15" t="s">
        <v>1664</v>
      </c>
      <c r="F4216" s="15" t="s">
        <v>15173</v>
      </c>
      <c r="G4216" s="7">
        <v>2.273</v>
      </c>
      <c r="H4216" s="15" t="s">
        <v>2351</v>
      </c>
      <c r="I4216" s="15" t="s">
        <v>1706</v>
      </c>
      <c r="J4216" s="15" t="s">
        <v>16897</v>
      </c>
      <c r="K4216" s="15">
        <v>3.0</v>
      </c>
      <c r="L4216" s="15">
        <v>3.0</v>
      </c>
      <c r="M4216" s="40">
        <v>42012.0</v>
      </c>
      <c r="N4216" s="40">
        <v>42052.0</v>
      </c>
      <c r="O4216" s="15" t="s">
        <v>1554</v>
      </c>
      <c r="Q4216" s="7"/>
    </row>
    <row r="4217">
      <c r="A4217" s="39" t="s">
        <v>16898</v>
      </c>
      <c r="B4217" s="15">
        <v>1519407.0</v>
      </c>
      <c r="C4217" s="15" t="s">
        <v>16899</v>
      </c>
      <c r="D4217" s="15">
        <v>272517.0</v>
      </c>
      <c r="E4217" s="15" t="s">
        <v>1664</v>
      </c>
      <c r="F4217" s="15" t="s">
        <v>15173</v>
      </c>
      <c r="G4217" s="7">
        <v>2.193</v>
      </c>
      <c r="H4217" s="15">
        <v>52.0</v>
      </c>
      <c r="I4217" s="15" t="s">
        <v>1706</v>
      </c>
      <c r="J4217" s="15" t="s">
        <v>16900</v>
      </c>
      <c r="K4217" s="15">
        <v>3.0</v>
      </c>
      <c r="L4217" s="15">
        <v>3.0</v>
      </c>
      <c r="M4217" s="40">
        <v>42012.0</v>
      </c>
      <c r="N4217" s="40">
        <v>42052.0</v>
      </c>
      <c r="O4217" s="15" t="s">
        <v>1554</v>
      </c>
      <c r="Q4217" s="7"/>
    </row>
    <row r="4218">
      <c r="A4218" s="39" t="s">
        <v>16902</v>
      </c>
      <c r="B4218" s="15">
        <v>1592207.0</v>
      </c>
      <c r="C4218" s="15" t="s">
        <v>16903</v>
      </c>
      <c r="D4218" s="15">
        <v>273165.0</v>
      </c>
      <c r="E4218" s="15" t="s">
        <v>2014</v>
      </c>
      <c r="F4218" s="15" t="s">
        <v>1578</v>
      </c>
      <c r="G4218" s="7">
        <v>43191.0</v>
      </c>
      <c r="H4218" s="15" t="s">
        <v>1720</v>
      </c>
      <c r="I4218" s="15" t="s">
        <v>1706</v>
      </c>
      <c r="J4218" s="15" t="s">
        <v>16904</v>
      </c>
      <c r="K4218" s="15">
        <v>1.0</v>
      </c>
      <c r="L4218" s="15">
        <v>1.0</v>
      </c>
      <c r="M4218" s="40">
        <v>42016.0</v>
      </c>
      <c r="N4218" s="40">
        <v>42052.0</v>
      </c>
      <c r="O4218" s="15" t="s">
        <v>1554</v>
      </c>
      <c r="Q4218" s="7"/>
    </row>
    <row r="4219">
      <c r="A4219" s="39" t="s">
        <v>16905</v>
      </c>
      <c r="B4219" s="15">
        <v>1546257.0</v>
      </c>
      <c r="C4219" s="15" t="s">
        <v>16906</v>
      </c>
      <c r="D4219" s="15">
        <v>261283.0</v>
      </c>
      <c r="E4219" s="15" t="s">
        <v>1557</v>
      </c>
      <c r="F4219" s="15" t="s">
        <v>3920</v>
      </c>
      <c r="G4219" s="7">
        <v>145.704</v>
      </c>
      <c r="H4219" s="42">
        <v>43245.0</v>
      </c>
      <c r="I4219" s="15" t="s">
        <v>1560</v>
      </c>
      <c r="J4219" s="15" t="s">
        <v>16907</v>
      </c>
      <c r="K4219" s="15">
        <v>131.0</v>
      </c>
      <c r="L4219" s="15">
        <v>131.0</v>
      </c>
      <c r="M4219" s="40">
        <v>42017.0</v>
      </c>
      <c r="N4219" s="40">
        <v>42110.0</v>
      </c>
      <c r="O4219" s="15" t="s">
        <v>1554</v>
      </c>
      <c r="Q4219" s="7"/>
    </row>
    <row r="4220">
      <c r="A4220" s="39" t="s">
        <v>16908</v>
      </c>
      <c r="B4220" s="15">
        <v>1595996.0</v>
      </c>
      <c r="C4220" s="15" t="s">
        <v>16909</v>
      </c>
      <c r="D4220" s="15">
        <v>273466.0</v>
      </c>
      <c r="E4220" s="15" t="s">
        <v>1557</v>
      </c>
      <c r="F4220" s="15" t="s">
        <v>2004</v>
      </c>
      <c r="G4220" s="7">
        <v>3.962</v>
      </c>
      <c r="H4220" s="15">
        <v>43.0</v>
      </c>
      <c r="I4220" s="15" t="s">
        <v>1686</v>
      </c>
      <c r="J4220" s="15" t="s">
        <v>16911</v>
      </c>
      <c r="K4220" s="15">
        <v>4.0</v>
      </c>
      <c r="L4220" s="15">
        <v>4.0</v>
      </c>
      <c r="M4220" s="40">
        <v>42024.0</v>
      </c>
      <c r="N4220" s="40">
        <v>42521.0</v>
      </c>
      <c r="O4220" s="15" t="s">
        <v>1554</v>
      </c>
      <c r="Q4220" s="7"/>
    </row>
    <row r="4221">
      <c r="A4221" s="39" t="s">
        <v>16912</v>
      </c>
      <c r="B4221" s="15">
        <v>1590172.0</v>
      </c>
      <c r="C4221" s="15" t="s">
        <v>16913</v>
      </c>
      <c r="D4221" s="15">
        <v>273467.0</v>
      </c>
      <c r="E4221" s="15" t="s">
        <v>1808</v>
      </c>
      <c r="F4221" s="15" t="s">
        <v>1578</v>
      </c>
      <c r="G4221" s="7">
        <v>2.806</v>
      </c>
      <c r="H4221" s="15" t="s">
        <v>1881</v>
      </c>
      <c r="I4221" s="15" t="s">
        <v>1628</v>
      </c>
      <c r="J4221" s="15" t="s">
        <v>16914</v>
      </c>
      <c r="K4221" s="15">
        <v>3.0</v>
      </c>
      <c r="L4221" s="15">
        <v>3.0</v>
      </c>
      <c r="M4221" s="40">
        <v>42015.0</v>
      </c>
      <c r="N4221" s="40">
        <v>42027.0</v>
      </c>
      <c r="O4221" s="15" t="s">
        <v>1554</v>
      </c>
      <c r="Q4221" s="7"/>
    </row>
    <row r="4222">
      <c r="A4222" s="39" t="s">
        <v>16915</v>
      </c>
      <c r="B4222" s="15">
        <v>1590155.0</v>
      </c>
      <c r="C4222" s="15" t="s">
        <v>16916</v>
      </c>
      <c r="D4222" s="15">
        <v>273468.0</v>
      </c>
      <c r="E4222" s="15" t="s">
        <v>1808</v>
      </c>
      <c r="F4222" s="15" t="s">
        <v>1578</v>
      </c>
      <c r="G4222" s="7">
        <v>2.542</v>
      </c>
      <c r="H4222" s="15" t="s">
        <v>2548</v>
      </c>
      <c r="I4222" s="15" t="s">
        <v>1628</v>
      </c>
      <c r="J4222" s="15" t="s">
        <v>16917</v>
      </c>
      <c r="K4222" s="15">
        <v>4.0</v>
      </c>
      <c r="L4222" s="15">
        <v>4.0</v>
      </c>
      <c r="M4222" s="40">
        <v>42015.0</v>
      </c>
      <c r="N4222" s="40">
        <v>42027.0</v>
      </c>
      <c r="O4222" s="15" t="s">
        <v>1554</v>
      </c>
      <c r="Q4222" s="7"/>
    </row>
    <row r="4223">
      <c r="A4223" s="39" t="s">
        <v>16918</v>
      </c>
      <c r="B4223" s="15">
        <v>1590154.0</v>
      </c>
      <c r="C4223" s="15" t="s">
        <v>16919</v>
      </c>
      <c r="D4223" s="15">
        <v>273470.0</v>
      </c>
      <c r="E4223" s="15" t="s">
        <v>1808</v>
      </c>
      <c r="F4223" s="15" t="s">
        <v>1578</v>
      </c>
      <c r="G4223" s="7">
        <v>2.776</v>
      </c>
      <c r="H4223" s="15">
        <v>56.0</v>
      </c>
      <c r="I4223" s="15" t="s">
        <v>1628</v>
      </c>
      <c r="J4223" s="15" t="s">
        <v>16920</v>
      </c>
      <c r="K4223" s="15">
        <v>4.0</v>
      </c>
      <c r="L4223" s="15">
        <v>4.0</v>
      </c>
      <c r="M4223" s="40">
        <v>42015.0</v>
      </c>
      <c r="N4223" s="40">
        <v>42027.0</v>
      </c>
      <c r="O4223" s="15" t="s">
        <v>1554</v>
      </c>
      <c r="Q4223" s="7"/>
    </row>
    <row r="4224">
      <c r="A4224" s="39" t="s">
        <v>16922</v>
      </c>
      <c r="B4224" s="15">
        <v>198310.0</v>
      </c>
      <c r="C4224" s="15" t="s">
        <v>16923</v>
      </c>
      <c r="D4224" s="15">
        <v>273471.0</v>
      </c>
      <c r="E4224" s="15" t="s">
        <v>1916</v>
      </c>
      <c r="F4224" s="15" t="s">
        <v>1917</v>
      </c>
      <c r="G4224" s="7">
        <v>7.836</v>
      </c>
      <c r="H4224" s="15" t="s">
        <v>1802</v>
      </c>
      <c r="I4224" s="15" t="s">
        <v>1628</v>
      </c>
      <c r="J4224" s="15" t="s">
        <v>16924</v>
      </c>
      <c r="K4224" s="15">
        <v>5.0</v>
      </c>
      <c r="L4224" s="15">
        <v>5.0</v>
      </c>
      <c r="M4224" s="41">
        <v>41925.0</v>
      </c>
      <c r="N4224" s="40">
        <v>42237.0</v>
      </c>
      <c r="O4224" s="15" t="s">
        <v>1554</v>
      </c>
      <c r="Q4224" s="7"/>
    </row>
    <row r="4225">
      <c r="A4225" s="39" t="s">
        <v>16925</v>
      </c>
      <c r="B4225" s="15">
        <v>167020.0</v>
      </c>
      <c r="C4225" s="15" t="s">
        <v>16926</v>
      </c>
      <c r="D4225" s="15">
        <v>273472.0</v>
      </c>
      <c r="E4225" s="15" t="s">
        <v>1548</v>
      </c>
      <c r="F4225" s="15" t="s">
        <v>2900</v>
      </c>
      <c r="G4225" s="7">
        <v>3.865</v>
      </c>
      <c r="H4225" s="15" t="s">
        <v>3604</v>
      </c>
      <c r="I4225" s="15" t="s">
        <v>1628</v>
      </c>
      <c r="J4225" s="15" t="s">
        <v>16927</v>
      </c>
      <c r="K4225" s="15">
        <v>5.0</v>
      </c>
      <c r="L4225" s="15">
        <v>5.0</v>
      </c>
      <c r="M4225" s="40">
        <v>37096.0</v>
      </c>
      <c r="N4225" s="41">
        <v>42691.0</v>
      </c>
      <c r="O4225" s="15" t="s">
        <v>1554</v>
      </c>
      <c r="Q4225" s="7"/>
    </row>
    <row r="4226">
      <c r="A4226" s="39" t="s">
        <v>16929</v>
      </c>
      <c r="B4226" s="15">
        <v>167018.0</v>
      </c>
      <c r="C4226" s="15" t="s">
        <v>16930</v>
      </c>
      <c r="D4226" s="15">
        <v>273473.0</v>
      </c>
      <c r="E4226" s="15" t="s">
        <v>1548</v>
      </c>
      <c r="F4226" s="15" t="s">
        <v>2900</v>
      </c>
      <c r="G4226" s="7">
        <v>3.892</v>
      </c>
      <c r="H4226" s="15" t="s">
        <v>2417</v>
      </c>
      <c r="I4226" s="15" t="s">
        <v>1628</v>
      </c>
      <c r="J4226" s="15" t="s">
        <v>16931</v>
      </c>
      <c r="K4226" s="15">
        <v>5.0</v>
      </c>
      <c r="L4226" s="15">
        <v>5.0</v>
      </c>
      <c r="M4226" s="40">
        <v>37096.0</v>
      </c>
      <c r="N4226" s="40">
        <v>42027.0</v>
      </c>
      <c r="O4226" s="15" t="s">
        <v>1554</v>
      </c>
      <c r="Q4226" s="7"/>
    </row>
    <row r="4227">
      <c r="A4227" s="39" t="s">
        <v>16932</v>
      </c>
      <c r="B4227" s="15">
        <v>1535802.0</v>
      </c>
      <c r="C4227" s="15" t="s">
        <v>16933</v>
      </c>
      <c r="D4227" s="15">
        <v>273480.0</v>
      </c>
      <c r="E4227" s="15" t="s">
        <v>1548</v>
      </c>
      <c r="F4227" s="15" t="s">
        <v>1838</v>
      </c>
      <c r="G4227" s="7">
        <v>10.609</v>
      </c>
      <c r="H4227" s="15" t="s">
        <v>16934</v>
      </c>
      <c r="I4227" s="15" t="s">
        <v>1567</v>
      </c>
      <c r="J4227" s="15" t="s">
        <v>16935</v>
      </c>
      <c r="K4227" s="15">
        <v>4.0</v>
      </c>
      <c r="L4227" s="15">
        <v>4.0</v>
      </c>
      <c r="M4227" s="40">
        <v>42019.0</v>
      </c>
      <c r="N4227" s="41">
        <v>42297.0</v>
      </c>
      <c r="O4227" s="15" t="s">
        <v>1554</v>
      </c>
      <c r="Q4227" s="7"/>
    </row>
    <row r="4228">
      <c r="A4228" s="39" t="s">
        <v>16936</v>
      </c>
      <c r="B4228" s="15">
        <v>1595998.0</v>
      </c>
      <c r="C4228" s="15" t="s">
        <v>16937</v>
      </c>
      <c r="D4228" s="15">
        <v>273530.0</v>
      </c>
      <c r="E4228" s="15" t="s">
        <v>1577</v>
      </c>
      <c r="F4228" s="15" t="s">
        <v>1578</v>
      </c>
      <c r="G4228" s="7">
        <v>2.46</v>
      </c>
      <c r="H4228" s="15" t="s">
        <v>1613</v>
      </c>
      <c r="I4228" s="15" t="s">
        <v>1567</v>
      </c>
      <c r="J4228" s="15" t="s">
        <v>16938</v>
      </c>
      <c r="K4228" s="15">
        <v>2.0</v>
      </c>
      <c r="L4228" s="15">
        <v>2.0</v>
      </c>
      <c r="M4228" s="40">
        <v>42024.0</v>
      </c>
      <c r="N4228" s="40">
        <v>42030.0</v>
      </c>
      <c r="O4228" s="15" t="s">
        <v>1554</v>
      </c>
      <c r="Q4228" s="7"/>
    </row>
    <row r="4229">
      <c r="A4229" s="39" t="s">
        <v>16939</v>
      </c>
      <c r="B4229" s="15">
        <v>1591444.0</v>
      </c>
      <c r="C4229" s="15" t="s">
        <v>16941</v>
      </c>
      <c r="D4229" s="15">
        <v>273531.0</v>
      </c>
      <c r="E4229" s="15" t="s">
        <v>1548</v>
      </c>
      <c r="F4229" s="15" t="s">
        <v>2374</v>
      </c>
      <c r="G4229" s="7">
        <v>9.816</v>
      </c>
      <c r="H4229" s="15" t="s">
        <v>2219</v>
      </c>
      <c r="I4229" s="15" t="s">
        <v>1560</v>
      </c>
      <c r="J4229" s="15" t="s">
        <v>16942</v>
      </c>
      <c r="K4229" s="15">
        <v>1.0</v>
      </c>
      <c r="L4229" s="15">
        <v>1.0</v>
      </c>
      <c r="M4229" s="40">
        <v>42016.0</v>
      </c>
      <c r="N4229" s="40">
        <v>42030.0</v>
      </c>
      <c r="O4229" s="15" t="s">
        <v>1554</v>
      </c>
      <c r="Q4229" s="7"/>
    </row>
    <row r="4230">
      <c r="A4230" s="39" t="s">
        <v>16943</v>
      </c>
      <c r="B4230" s="15">
        <v>1564115.0</v>
      </c>
      <c r="C4230" s="15" t="s">
        <v>16944</v>
      </c>
      <c r="D4230" s="15">
        <v>273532.0</v>
      </c>
      <c r="E4230" s="15" t="s">
        <v>1548</v>
      </c>
      <c r="F4230" s="15" t="s">
        <v>1776</v>
      </c>
      <c r="G4230" s="7">
        <v>7.018</v>
      </c>
      <c r="H4230" s="15" t="s">
        <v>1750</v>
      </c>
      <c r="I4230" s="15" t="s">
        <v>1686</v>
      </c>
      <c r="J4230" s="15" t="s">
        <v>16945</v>
      </c>
      <c r="K4230" s="15">
        <v>1.0</v>
      </c>
      <c r="L4230" s="15">
        <v>1.0</v>
      </c>
      <c r="M4230" s="40">
        <v>42018.0</v>
      </c>
      <c r="N4230" s="40">
        <v>42030.0</v>
      </c>
      <c r="O4230" s="15" t="s">
        <v>1554</v>
      </c>
      <c r="Q4230" s="7"/>
    </row>
    <row r="4231">
      <c r="A4231" s="39" t="s">
        <v>16946</v>
      </c>
      <c r="B4231" s="15">
        <v>1519097.0</v>
      </c>
      <c r="C4231" s="15" t="s">
        <v>16947</v>
      </c>
      <c r="D4231" s="15">
        <v>273533.0</v>
      </c>
      <c r="E4231" s="15" t="s">
        <v>1808</v>
      </c>
      <c r="F4231" s="15" t="s">
        <v>2436</v>
      </c>
      <c r="G4231" s="7">
        <v>5.049</v>
      </c>
      <c r="H4231" s="15" t="s">
        <v>3798</v>
      </c>
      <c r="I4231" s="15" t="s">
        <v>1686</v>
      </c>
      <c r="J4231" s="15" t="s">
        <v>16949</v>
      </c>
      <c r="K4231" s="15">
        <v>2.0</v>
      </c>
      <c r="L4231" s="15">
        <v>2.0</v>
      </c>
      <c r="M4231" s="40">
        <v>42026.0</v>
      </c>
      <c r="N4231" s="40">
        <v>42237.0</v>
      </c>
      <c r="O4231" s="15" t="s">
        <v>1554</v>
      </c>
      <c r="Q4231" s="7"/>
    </row>
    <row r="4232">
      <c r="A4232" s="39" t="s">
        <v>16950</v>
      </c>
      <c r="B4232" s="15">
        <v>1602199.0</v>
      </c>
      <c r="C4232" s="15" t="s">
        <v>16951</v>
      </c>
      <c r="D4232" s="15">
        <v>273529.0</v>
      </c>
      <c r="E4232" s="15" t="s">
        <v>1808</v>
      </c>
      <c r="F4232" s="15" t="s">
        <v>1809</v>
      </c>
      <c r="G4232" s="7">
        <v>2.661</v>
      </c>
      <c r="H4232" s="15" t="s">
        <v>1844</v>
      </c>
      <c r="I4232" s="15" t="s">
        <v>1628</v>
      </c>
      <c r="J4232" s="15" t="s">
        <v>16952</v>
      </c>
      <c r="K4232" s="15">
        <v>6.0</v>
      </c>
      <c r="L4232" s="15">
        <v>6.0</v>
      </c>
      <c r="M4232" s="40">
        <v>42025.0</v>
      </c>
      <c r="N4232" s="40">
        <v>42035.0</v>
      </c>
      <c r="O4232" s="15" t="s">
        <v>1554</v>
      </c>
      <c r="Q4232" s="7"/>
    </row>
    <row r="4233">
      <c r="A4233" s="39" t="s">
        <v>16953</v>
      </c>
      <c r="B4233" s="15">
        <v>1592104.0</v>
      </c>
      <c r="C4233" s="15" t="s">
        <v>16954</v>
      </c>
      <c r="D4233" s="15">
        <v>274063.0</v>
      </c>
      <c r="E4233" s="15" t="s">
        <v>1808</v>
      </c>
      <c r="F4233" s="15" t="s">
        <v>1578</v>
      </c>
      <c r="G4233" s="7">
        <v>2.155</v>
      </c>
      <c r="H4233" s="15" t="s">
        <v>4821</v>
      </c>
      <c r="I4233" s="15" t="s">
        <v>1706</v>
      </c>
      <c r="J4233" s="15" t="s">
        <v>16955</v>
      </c>
      <c r="K4233" s="15">
        <v>2.0</v>
      </c>
      <c r="L4233" s="15">
        <v>2.0</v>
      </c>
      <c r="M4233" s="40">
        <v>42016.0</v>
      </c>
      <c r="N4233" s="40">
        <v>42052.0</v>
      </c>
      <c r="O4233" s="15" t="s">
        <v>1554</v>
      </c>
      <c r="Q4233" s="7"/>
    </row>
    <row r="4234">
      <c r="A4234" s="39" t="s">
        <v>16956</v>
      </c>
      <c r="B4234" s="15">
        <v>1592103.0</v>
      </c>
      <c r="C4234" s="15" t="s">
        <v>16958</v>
      </c>
      <c r="D4234" s="15">
        <v>274064.0</v>
      </c>
      <c r="E4234" s="15" t="s">
        <v>1808</v>
      </c>
      <c r="F4234" s="15" t="s">
        <v>1578</v>
      </c>
      <c r="G4234" s="7">
        <v>2.254</v>
      </c>
      <c r="H4234" s="15" t="s">
        <v>5179</v>
      </c>
      <c r="I4234" s="15" t="s">
        <v>1706</v>
      </c>
      <c r="J4234" s="15" t="s">
        <v>16959</v>
      </c>
      <c r="K4234" s="15">
        <v>2.0</v>
      </c>
      <c r="L4234" s="15">
        <v>2.0</v>
      </c>
      <c r="M4234" s="40">
        <v>42016.0</v>
      </c>
      <c r="N4234" s="40">
        <v>42052.0</v>
      </c>
      <c r="O4234" s="15" t="s">
        <v>1554</v>
      </c>
      <c r="Q4234" s="7"/>
    </row>
    <row r="4235">
      <c r="A4235" s="39" t="s">
        <v>16960</v>
      </c>
      <c r="B4235" s="15">
        <v>1592102.0</v>
      </c>
      <c r="C4235" s="15" t="s">
        <v>16961</v>
      </c>
      <c r="D4235" s="15">
        <v>274065.0</v>
      </c>
      <c r="E4235" s="15" t="s">
        <v>1808</v>
      </c>
      <c r="F4235" s="15" t="s">
        <v>1578</v>
      </c>
      <c r="G4235" s="7">
        <v>2.472</v>
      </c>
      <c r="H4235" s="15" t="s">
        <v>9707</v>
      </c>
      <c r="I4235" s="15" t="s">
        <v>1706</v>
      </c>
      <c r="J4235" s="15" t="s">
        <v>16962</v>
      </c>
      <c r="K4235" s="15">
        <v>2.0</v>
      </c>
      <c r="L4235" s="15">
        <v>2.0</v>
      </c>
      <c r="M4235" s="40">
        <v>42016.0</v>
      </c>
      <c r="N4235" s="40">
        <v>42052.0</v>
      </c>
      <c r="O4235" s="15" t="s">
        <v>1554</v>
      </c>
      <c r="Q4235" s="7"/>
    </row>
    <row r="4236">
      <c r="A4236" s="39" t="s">
        <v>16963</v>
      </c>
      <c r="B4236" s="15">
        <v>1592101.0</v>
      </c>
      <c r="C4236" s="15" t="s">
        <v>16964</v>
      </c>
      <c r="D4236" s="15">
        <v>274066.0</v>
      </c>
      <c r="E4236" s="15" t="s">
        <v>1808</v>
      </c>
      <c r="F4236" s="15" t="s">
        <v>1578</v>
      </c>
      <c r="G4236" s="7">
        <v>2.22</v>
      </c>
      <c r="H4236" s="15" t="s">
        <v>1579</v>
      </c>
      <c r="I4236" s="15" t="s">
        <v>1706</v>
      </c>
      <c r="J4236" s="15" t="s">
        <v>16965</v>
      </c>
      <c r="K4236" s="15">
        <v>2.0</v>
      </c>
      <c r="L4236" s="15">
        <v>2.0</v>
      </c>
      <c r="M4236" s="40">
        <v>42016.0</v>
      </c>
      <c r="N4236" s="40">
        <v>42052.0</v>
      </c>
      <c r="O4236" s="15" t="s">
        <v>1554</v>
      </c>
      <c r="Q4236" s="7"/>
    </row>
    <row r="4237">
      <c r="A4237" s="39" t="s">
        <v>16966</v>
      </c>
      <c r="B4237" s="15">
        <v>1592100.0</v>
      </c>
      <c r="C4237" s="15" t="s">
        <v>16968</v>
      </c>
      <c r="D4237" s="15">
        <v>274067.0</v>
      </c>
      <c r="E4237" s="15" t="s">
        <v>1808</v>
      </c>
      <c r="F4237" s="15" t="s">
        <v>1578</v>
      </c>
      <c r="G4237" s="7">
        <v>2.846</v>
      </c>
      <c r="H4237" s="15" t="s">
        <v>2396</v>
      </c>
      <c r="I4237" s="15" t="s">
        <v>1706</v>
      </c>
      <c r="J4237" s="15" t="s">
        <v>16969</v>
      </c>
      <c r="K4237" s="15">
        <v>2.0</v>
      </c>
      <c r="L4237" s="15">
        <v>2.0</v>
      </c>
      <c r="M4237" s="40">
        <v>42016.0</v>
      </c>
      <c r="N4237" s="40">
        <v>42052.0</v>
      </c>
      <c r="O4237" s="15" t="s">
        <v>1554</v>
      </c>
      <c r="Q4237" s="7"/>
    </row>
    <row r="4238">
      <c r="A4238" s="39" t="s">
        <v>16970</v>
      </c>
      <c r="B4238" s="15">
        <v>1592099.0</v>
      </c>
      <c r="C4238" s="15" t="s">
        <v>16971</v>
      </c>
      <c r="D4238" s="15">
        <v>274068.0</v>
      </c>
      <c r="E4238" s="15" t="s">
        <v>1808</v>
      </c>
      <c r="F4238" s="15" t="s">
        <v>1578</v>
      </c>
      <c r="G4238" s="7">
        <v>2.711</v>
      </c>
      <c r="H4238" s="15" t="s">
        <v>3538</v>
      </c>
      <c r="I4238" s="15" t="s">
        <v>1706</v>
      </c>
      <c r="J4238" s="15" t="s">
        <v>16972</v>
      </c>
      <c r="K4238" s="15">
        <v>2.0</v>
      </c>
      <c r="L4238" s="15">
        <v>2.0</v>
      </c>
      <c r="M4238" s="40">
        <v>42016.0</v>
      </c>
      <c r="N4238" s="40">
        <v>42052.0</v>
      </c>
      <c r="O4238" s="15" t="s">
        <v>1554</v>
      </c>
      <c r="Q4238" s="7"/>
    </row>
    <row r="4239">
      <c r="A4239" s="39" t="s">
        <v>16973</v>
      </c>
      <c r="B4239" s="15">
        <v>1592098.0</v>
      </c>
      <c r="C4239" s="15" t="s">
        <v>16974</v>
      </c>
      <c r="D4239" s="15">
        <v>274069.0</v>
      </c>
      <c r="E4239" s="15" t="s">
        <v>1808</v>
      </c>
      <c r="F4239" s="15" t="s">
        <v>1578</v>
      </c>
      <c r="G4239" s="7">
        <v>4.202</v>
      </c>
      <c r="H4239" s="15" t="s">
        <v>2440</v>
      </c>
      <c r="I4239" s="15" t="s">
        <v>1706</v>
      </c>
      <c r="J4239" s="15" t="s">
        <v>16975</v>
      </c>
      <c r="K4239" s="15">
        <v>3.0</v>
      </c>
      <c r="L4239" s="15">
        <v>3.0</v>
      </c>
      <c r="M4239" s="40">
        <v>42016.0</v>
      </c>
      <c r="N4239" s="40">
        <v>42052.0</v>
      </c>
      <c r="O4239" s="15" t="s">
        <v>1554</v>
      </c>
      <c r="Q4239" s="7"/>
    </row>
    <row r="4240">
      <c r="A4240" s="39" t="s">
        <v>16977</v>
      </c>
      <c r="B4240" s="15">
        <v>1592097.0</v>
      </c>
      <c r="C4240" s="15" t="s">
        <v>16978</v>
      </c>
      <c r="D4240" s="15">
        <v>274070.0</v>
      </c>
      <c r="E4240" s="15" t="s">
        <v>1808</v>
      </c>
      <c r="F4240" s="15" t="s">
        <v>1578</v>
      </c>
      <c r="G4240" s="7">
        <v>2.741</v>
      </c>
      <c r="H4240" s="15" t="s">
        <v>1551</v>
      </c>
      <c r="I4240" s="15" t="s">
        <v>1706</v>
      </c>
      <c r="J4240" s="15" t="s">
        <v>16979</v>
      </c>
      <c r="K4240" s="15">
        <v>2.0</v>
      </c>
      <c r="L4240" s="15">
        <v>2.0</v>
      </c>
      <c r="M4240" s="40">
        <v>42016.0</v>
      </c>
      <c r="N4240" s="40">
        <v>42052.0</v>
      </c>
      <c r="O4240" s="15" t="s">
        <v>1554</v>
      </c>
      <c r="Q4240" s="7"/>
    </row>
    <row r="4241">
      <c r="A4241" s="39" t="s">
        <v>16980</v>
      </c>
      <c r="B4241" s="15">
        <v>1592096.0</v>
      </c>
      <c r="C4241" s="15" t="s">
        <v>16981</v>
      </c>
      <c r="D4241" s="15">
        <v>274101.0</v>
      </c>
      <c r="E4241" s="15" t="s">
        <v>1808</v>
      </c>
      <c r="F4241" s="15" t="s">
        <v>1578</v>
      </c>
      <c r="G4241" s="7">
        <v>4.037</v>
      </c>
      <c r="H4241" s="15" t="s">
        <v>6565</v>
      </c>
      <c r="I4241" s="15" t="s">
        <v>1706</v>
      </c>
      <c r="J4241" s="15" t="s">
        <v>16983</v>
      </c>
      <c r="K4241" s="15">
        <v>3.0</v>
      </c>
      <c r="L4241" s="15">
        <v>3.0</v>
      </c>
      <c r="M4241" s="40">
        <v>42016.0</v>
      </c>
      <c r="N4241" s="40">
        <v>42052.0</v>
      </c>
      <c r="O4241" s="15" t="s">
        <v>1554</v>
      </c>
      <c r="Q4241" s="7"/>
    </row>
    <row r="4242">
      <c r="A4242" s="39" t="s">
        <v>16984</v>
      </c>
      <c r="B4242" s="15">
        <v>1592095.0</v>
      </c>
      <c r="C4242" s="15" t="s">
        <v>16985</v>
      </c>
      <c r="D4242" s="15">
        <v>274102.0</v>
      </c>
      <c r="E4242" s="15" t="s">
        <v>1808</v>
      </c>
      <c r="F4242" s="15" t="s">
        <v>1578</v>
      </c>
      <c r="G4242" s="7">
        <v>2.496</v>
      </c>
      <c r="H4242" s="15" t="s">
        <v>2241</v>
      </c>
      <c r="I4242" s="15" t="s">
        <v>1706</v>
      </c>
      <c r="J4242" s="15" t="s">
        <v>16986</v>
      </c>
      <c r="K4242" s="15">
        <v>2.0</v>
      </c>
      <c r="L4242" s="15">
        <v>2.0</v>
      </c>
      <c r="M4242" s="40">
        <v>42016.0</v>
      </c>
      <c r="N4242" s="40">
        <v>42052.0</v>
      </c>
      <c r="O4242" s="15" t="s">
        <v>1554</v>
      </c>
      <c r="Q4242" s="7"/>
    </row>
    <row r="4243">
      <c r="A4243" s="39" t="s">
        <v>16987</v>
      </c>
      <c r="B4243" s="15">
        <v>1592094.0</v>
      </c>
      <c r="C4243" s="15" t="s">
        <v>16988</v>
      </c>
      <c r="D4243" s="15">
        <v>274103.0</v>
      </c>
      <c r="E4243" s="15" t="s">
        <v>1808</v>
      </c>
      <c r="F4243" s="15" t="s">
        <v>1578</v>
      </c>
      <c r="G4243" s="7">
        <v>2.638</v>
      </c>
      <c r="H4243" s="15" t="s">
        <v>1745</v>
      </c>
      <c r="I4243" s="15" t="s">
        <v>1706</v>
      </c>
      <c r="J4243" s="15" t="s">
        <v>16989</v>
      </c>
      <c r="K4243" s="15">
        <v>2.0</v>
      </c>
      <c r="L4243" s="15">
        <v>2.0</v>
      </c>
      <c r="M4243" s="40">
        <v>42016.0</v>
      </c>
      <c r="N4243" s="40">
        <v>42052.0</v>
      </c>
      <c r="O4243" s="15" t="s">
        <v>1554</v>
      </c>
      <c r="Q4243" s="7"/>
    </row>
    <row r="4244">
      <c r="A4244" s="39" t="s">
        <v>16990</v>
      </c>
      <c r="B4244" s="15">
        <v>1592093.0</v>
      </c>
      <c r="C4244" s="15" t="s">
        <v>16992</v>
      </c>
      <c r="D4244" s="15">
        <v>274104.0</v>
      </c>
      <c r="E4244" s="15" t="s">
        <v>1808</v>
      </c>
      <c r="F4244" s="15" t="s">
        <v>1578</v>
      </c>
      <c r="G4244" s="7">
        <v>3.348</v>
      </c>
      <c r="H4244" s="15" t="s">
        <v>2320</v>
      </c>
      <c r="I4244" s="15" t="s">
        <v>1706</v>
      </c>
      <c r="J4244" s="15" t="s">
        <v>16993</v>
      </c>
      <c r="K4244" s="15">
        <v>2.0</v>
      </c>
      <c r="L4244" s="15">
        <v>2.0</v>
      </c>
      <c r="M4244" s="40">
        <v>42016.0</v>
      </c>
      <c r="N4244" s="40">
        <v>42052.0</v>
      </c>
      <c r="O4244" s="15" t="s">
        <v>1554</v>
      </c>
      <c r="Q4244" s="7"/>
    </row>
    <row r="4245">
      <c r="A4245" s="39" t="s">
        <v>16994</v>
      </c>
      <c r="B4245" s="15">
        <v>1592092.0</v>
      </c>
      <c r="C4245" s="15" t="s">
        <v>16995</v>
      </c>
      <c r="D4245" s="15">
        <v>274105.0</v>
      </c>
      <c r="E4245" s="15" t="s">
        <v>1808</v>
      </c>
      <c r="F4245" s="15" t="s">
        <v>1578</v>
      </c>
      <c r="G4245" s="7">
        <v>3.588</v>
      </c>
      <c r="H4245" s="15" t="s">
        <v>2836</v>
      </c>
      <c r="I4245" s="15" t="s">
        <v>1706</v>
      </c>
      <c r="J4245" s="15" t="s">
        <v>16996</v>
      </c>
      <c r="K4245" s="15">
        <v>3.0</v>
      </c>
      <c r="L4245" s="15">
        <v>3.0</v>
      </c>
      <c r="M4245" s="40">
        <v>42016.0</v>
      </c>
      <c r="N4245" s="40">
        <v>42052.0</v>
      </c>
      <c r="O4245" s="15" t="s">
        <v>1554</v>
      </c>
      <c r="Q4245" s="7"/>
    </row>
    <row r="4246">
      <c r="A4246" s="39" t="s">
        <v>16997</v>
      </c>
      <c r="B4246" s="15">
        <v>1592091.0</v>
      </c>
      <c r="C4246" s="15" t="s">
        <v>16998</v>
      </c>
      <c r="D4246" s="15">
        <v>274106.0</v>
      </c>
      <c r="E4246" s="15" t="s">
        <v>1808</v>
      </c>
      <c r="F4246" s="15" t="s">
        <v>1578</v>
      </c>
      <c r="G4246" s="7">
        <v>2.605</v>
      </c>
      <c r="H4246" s="15" t="s">
        <v>1849</v>
      </c>
      <c r="I4246" s="15" t="s">
        <v>1706</v>
      </c>
      <c r="J4246" s="15" t="s">
        <v>16999</v>
      </c>
      <c r="K4246" s="15">
        <v>2.0</v>
      </c>
      <c r="L4246" s="15">
        <v>2.0</v>
      </c>
      <c r="M4246" s="40">
        <v>42016.0</v>
      </c>
      <c r="N4246" s="40">
        <v>42052.0</v>
      </c>
      <c r="O4246" s="15" t="s">
        <v>1554</v>
      </c>
      <c r="Q4246" s="7"/>
    </row>
    <row r="4247">
      <c r="A4247" s="39" t="s">
        <v>17001</v>
      </c>
      <c r="B4247" s="15">
        <v>1592090.0</v>
      </c>
      <c r="C4247" s="15" t="s">
        <v>17002</v>
      </c>
      <c r="D4247" s="15">
        <v>274107.0</v>
      </c>
      <c r="E4247" s="15" t="s">
        <v>1808</v>
      </c>
      <c r="F4247" s="15" t="s">
        <v>1578</v>
      </c>
      <c r="G4247" s="7">
        <v>2.309</v>
      </c>
      <c r="H4247" s="15" t="s">
        <v>1849</v>
      </c>
      <c r="I4247" s="15" t="s">
        <v>1706</v>
      </c>
      <c r="J4247" s="15" t="s">
        <v>17003</v>
      </c>
      <c r="K4247" s="15">
        <v>2.0</v>
      </c>
      <c r="L4247" s="15">
        <v>2.0</v>
      </c>
      <c r="M4247" s="40">
        <v>42016.0</v>
      </c>
      <c r="N4247" s="40">
        <v>42052.0</v>
      </c>
      <c r="O4247" s="15" t="s">
        <v>1554</v>
      </c>
      <c r="Q4247" s="7"/>
    </row>
    <row r="4248">
      <c r="A4248" s="39" t="s">
        <v>17004</v>
      </c>
      <c r="B4248" s="15">
        <v>1592089.0</v>
      </c>
      <c r="C4248" s="15" t="s">
        <v>17005</v>
      </c>
      <c r="D4248" s="15">
        <v>274108.0</v>
      </c>
      <c r="E4248" s="15" t="s">
        <v>1808</v>
      </c>
      <c r="F4248" s="15" t="s">
        <v>1578</v>
      </c>
      <c r="G4248" s="7">
        <v>2.861</v>
      </c>
      <c r="H4248" s="15" t="s">
        <v>5042</v>
      </c>
      <c r="I4248" s="15" t="s">
        <v>1706</v>
      </c>
      <c r="J4248" s="15" t="s">
        <v>17006</v>
      </c>
      <c r="K4248" s="15">
        <v>2.0</v>
      </c>
      <c r="L4248" s="15">
        <v>2.0</v>
      </c>
      <c r="M4248" s="40">
        <v>42016.0</v>
      </c>
      <c r="N4248" s="40">
        <v>42052.0</v>
      </c>
      <c r="O4248" s="15" t="s">
        <v>1554</v>
      </c>
      <c r="Q4248" s="7"/>
    </row>
    <row r="4249">
      <c r="A4249" s="39" t="s">
        <v>17007</v>
      </c>
      <c r="B4249" s="15">
        <v>1592088.0</v>
      </c>
      <c r="C4249" s="15" t="s">
        <v>17008</v>
      </c>
      <c r="D4249" s="15">
        <v>274109.0</v>
      </c>
      <c r="E4249" s="15" t="s">
        <v>1808</v>
      </c>
      <c r="F4249" s="15" t="s">
        <v>1578</v>
      </c>
      <c r="G4249" s="7">
        <v>2.906</v>
      </c>
      <c r="H4249" s="15" t="s">
        <v>2263</v>
      </c>
      <c r="I4249" s="15" t="s">
        <v>1706</v>
      </c>
      <c r="J4249" s="15" t="s">
        <v>17010</v>
      </c>
      <c r="K4249" s="15">
        <v>2.0</v>
      </c>
      <c r="L4249" s="15">
        <v>2.0</v>
      </c>
      <c r="M4249" s="40">
        <v>42016.0</v>
      </c>
      <c r="N4249" s="40">
        <v>42052.0</v>
      </c>
      <c r="O4249" s="15" t="s">
        <v>1554</v>
      </c>
      <c r="Q4249" s="7"/>
    </row>
    <row r="4250">
      <c r="A4250" s="39" t="s">
        <v>17011</v>
      </c>
      <c r="B4250" s="15">
        <v>1592087.0</v>
      </c>
      <c r="C4250" s="15" t="s">
        <v>17012</v>
      </c>
      <c r="D4250" s="15">
        <v>274110.0</v>
      </c>
      <c r="E4250" s="15" t="s">
        <v>1808</v>
      </c>
      <c r="F4250" s="15" t="s">
        <v>1578</v>
      </c>
      <c r="G4250" s="7">
        <v>2.089</v>
      </c>
      <c r="H4250" s="15" t="s">
        <v>2648</v>
      </c>
      <c r="I4250" s="15" t="s">
        <v>1706</v>
      </c>
      <c r="J4250" s="15" t="s">
        <v>17013</v>
      </c>
      <c r="K4250" s="15">
        <v>2.0</v>
      </c>
      <c r="L4250" s="15">
        <v>2.0</v>
      </c>
      <c r="M4250" s="40">
        <v>42016.0</v>
      </c>
      <c r="N4250" s="40">
        <v>42052.0</v>
      </c>
      <c r="O4250" s="15" t="s">
        <v>1554</v>
      </c>
      <c r="Q4250" s="7"/>
    </row>
    <row r="4251">
      <c r="A4251" s="39" t="s">
        <v>17014</v>
      </c>
      <c r="B4251" s="15">
        <v>1592086.0</v>
      </c>
      <c r="C4251" s="15" t="s">
        <v>17015</v>
      </c>
      <c r="D4251" s="15">
        <v>274111.0</v>
      </c>
      <c r="E4251" s="15" t="s">
        <v>1808</v>
      </c>
      <c r="F4251" s="15" t="s">
        <v>1578</v>
      </c>
      <c r="G4251" s="7">
        <v>2.478</v>
      </c>
      <c r="H4251" s="15" t="s">
        <v>2049</v>
      </c>
      <c r="I4251" s="15" t="s">
        <v>1706</v>
      </c>
      <c r="J4251" s="15" t="s">
        <v>17016</v>
      </c>
      <c r="K4251" s="15">
        <v>2.0</v>
      </c>
      <c r="L4251" s="15">
        <v>2.0</v>
      </c>
      <c r="M4251" s="40">
        <v>42016.0</v>
      </c>
      <c r="N4251" s="40">
        <v>42052.0</v>
      </c>
      <c r="O4251" s="15" t="s">
        <v>1554</v>
      </c>
      <c r="Q4251" s="7"/>
    </row>
    <row r="4252">
      <c r="A4252" s="39" t="s">
        <v>17017</v>
      </c>
      <c r="B4252" s="15">
        <v>1592085.0</v>
      </c>
      <c r="C4252" s="15" t="s">
        <v>17018</v>
      </c>
      <c r="D4252" s="15">
        <v>274112.0</v>
      </c>
      <c r="E4252" s="15" t="s">
        <v>1808</v>
      </c>
      <c r="F4252" s="15" t="s">
        <v>1578</v>
      </c>
      <c r="G4252" s="7">
        <v>2.29</v>
      </c>
      <c r="H4252" s="15">
        <v>44.0</v>
      </c>
      <c r="I4252" s="15" t="s">
        <v>1706</v>
      </c>
      <c r="J4252" s="15" t="s">
        <v>17019</v>
      </c>
      <c r="K4252" s="15">
        <v>2.0</v>
      </c>
      <c r="L4252" s="15">
        <v>2.0</v>
      </c>
      <c r="M4252" s="40">
        <v>42016.0</v>
      </c>
      <c r="N4252" s="40">
        <v>42052.0</v>
      </c>
      <c r="O4252" s="15" t="s">
        <v>1554</v>
      </c>
      <c r="Q4252" s="7"/>
    </row>
    <row r="4253">
      <c r="A4253" s="39" t="s">
        <v>17021</v>
      </c>
      <c r="B4253" s="15">
        <v>1592084.0</v>
      </c>
      <c r="C4253" s="15" t="s">
        <v>17022</v>
      </c>
      <c r="D4253" s="15">
        <v>274113.0</v>
      </c>
      <c r="E4253" s="15" t="s">
        <v>1808</v>
      </c>
      <c r="F4253" s="15" t="s">
        <v>1578</v>
      </c>
      <c r="G4253" s="7">
        <v>2.077</v>
      </c>
      <c r="H4253" s="15" t="s">
        <v>5042</v>
      </c>
      <c r="I4253" s="15" t="s">
        <v>1706</v>
      </c>
      <c r="J4253" s="15" t="s">
        <v>17023</v>
      </c>
      <c r="K4253" s="15">
        <v>2.0</v>
      </c>
      <c r="L4253" s="15">
        <v>2.0</v>
      </c>
      <c r="M4253" s="40">
        <v>42016.0</v>
      </c>
      <c r="N4253" s="40">
        <v>42052.0</v>
      </c>
      <c r="O4253" s="15" t="s">
        <v>1554</v>
      </c>
      <c r="Q4253" s="7"/>
    </row>
    <row r="4254">
      <c r="A4254" s="39" t="s">
        <v>17024</v>
      </c>
      <c r="B4254" s="15">
        <v>1592083.0</v>
      </c>
      <c r="C4254" s="15" t="s">
        <v>17025</v>
      </c>
      <c r="D4254" s="15">
        <v>274114.0</v>
      </c>
      <c r="E4254" s="15" t="s">
        <v>1808</v>
      </c>
      <c r="F4254" s="15" t="s">
        <v>1578</v>
      </c>
      <c r="G4254" s="7">
        <v>2.042</v>
      </c>
      <c r="H4254" s="15" t="s">
        <v>1818</v>
      </c>
      <c r="I4254" s="15" t="s">
        <v>1706</v>
      </c>
      <c r="J4254" s="15" t="s">
        <v>17026</v>
      </c>
      <c r="K4254" s="15">
        <v>2.0</v>
      </c>
      <c r="L4254" s="15">
        <v>2.0</v>
      </c>
      <c r="M4254" s="40">
        <v>42016.0</v>
      </c>
      <c r="N4254" s="40">
        <v>42052.0</v>
      </c>
      <c r="O4254" s="15" t="s">
        <v>1554</v>
      </c>
      <c r="Q4254" s="7"/>
    </row>
    <row r="4255">
      <c r="A4255" s="39" t="s">
        <v>17027</v>
      </c>
      <c r="B4255" s="15">
        <v>1592082.0</v>
      </c>
      <c r="C4255" s="15" t="s">
        <v>17028</v>
      </c>
      <c r="D4255" s="15">
        <v>274115.0</v>
      </c>
      <c r="E4255" s="15" t="s">
        <v>1808</v>
      </c>
      <c r="F4255" s="15" t="s">
        <v>1578</v>
      </c>
      <c r="G4255" s="7">
        <v>1.605</v>
      </c>
      <c r="H4255" s="15" t="s">
        <v>1591</v>
      </c>
      <c r="I4255" s="15" t="s">
        <v>1706</v>
      </c>
      <c r="J4255" s="15" t="s">
        <v>17029</v>
      </c>
      <c r="K4255" s="15">
        <v>2.0</v>
      </c>
      <c r="L4255" s="15">
        <v>2.0</v>
      </c>
      <c r="M4255" s="40">
        <v>42016.0</v>
      </c>
      <c r="N4255" s="40">
        <v>42052.0</v>
      </c>
      <c r="O4255" s="15" t="s">
        <v>1554</v>
      </c>
      <c r="Q4255" s="7"/>
    </row>
    <row r="4256">
      <c r="A4256" s="39" t="s">
        <v>17031</v>
      </c>
      <c r="B4256" s="15">
        <v>1592081.0</v>
      </c>
      <c r="C4256" s="15" t="s">
        <v>17032</v>
      </c>
      <c r="D4256" s="15">
        <v>274116.0</v>
      </c>
      <c r="E4256" s="15" t="s">
        <v>1664</v>
      </c>
      <c r="F4256" s="15" t="s">
        <v>15173</v>
      </c>
      <c r="G4256" s="7">
        <v>2.234</v>
      </c>
      <c r="H4256" s="15" t="s">
        <v>5179</v>
      </c>
      <c r="I4256" s="15" t="s">
        <v>1706</v>
      </c>
      <c r="J4256" s="15" t="s">
        <v>17033</v>
      </c>
      <c r="K4256" s="15">
        <v>2.0</v>
      </c>
      <c r="L4256" s="15">
        <v>2.0</v>
      </c>
      <c r="M4256" s="40">
        <v>42016.0</v>
      </c>
      <c r="N4256" s="40">
        <v>42052.0</v>
      </c>
      <c r="O4256" s="15" t="s">
        <v>1554</v>
      </c>
      <c r="Q4256" s="7"/>
    </row>
    <row r="4257">
      <c r="A4257" s="39" t="s">
        <v>17034</v>
      </c>
      <c r="B4257" s="15">
        <v>1590836.0</v>
      </c>
      <c r="C4257" s="15" t="s">
        <v>17035</v>
      </c>
      <c r="D4257" s="15">
        <v>274117.0</v>
      </c>
      <c r="E4257" s="15" t="s">
        <v>1548</v>
      </c>
      <c r="F4257" s="15" t="s">
        <v>5290</v>
      </c>
      <c r="G4257" s="7">
        <v>12.113</v>
      </c>
      <c r="H4257" s="15" t="s">
        <v>17036</v>
      </c>
      <c r="I4257" s="15" t="s">
        <v>1751</v>
      </c>
      <c r="J4257" s="15" t="s">
        <v>17037</v>
      </c>
      <c r="K4257" s="15">
        <v>3.0</v>
      </c>
      <c r="L4257" s="15">
        <v>3.0</v>
      </c>
      <c r="M4257" s="40">
        <v>42019.0</v>
      </c>
      <c r="N4257" s="41">
        <v>42297.0</v>
      </c>
      <c r="O4257" s="15" t="s">
        <v>1554</v>
      </c>
      <c r="Q4257" s="7"/>
    </row>
    <row r="4258">
      <c r="A4258" s="39" t="s">
        <v>17038</v>
      </c>
      <c r="B4258" s="15">
        <v>1590173.0</v>
      </c>
      <c r="C4258" s="15" t="s">
        <v>17039</v>
      </c>
      <c r="D4258" s="15">
        <v>274118.0</v>
      </c>
      <c r="E4258" s="15" t="s">
        <v>1808</v>
      </c>
      <c r="F4258" s="15" t="s">
        <v>1578</v>
      </c>
      <c r="G4258" s="7">
        <v>2.751</v>
      </c>
      <c r="H4258" s="15" t="s">
        <v>1977</v>
      </c>
      <c r="I4258" s="15" t="s">
        <v>1628</v>
      </c>
      <c r="J4258" s="15" t="s">
        <v>17041</v>
      </c>
      <c r="K4258" s="15">
        <v>3.0</v>
      </c>
      <c r="L4258" s="15">
        <v>3.0</v>
      </c>
      <c r="M4258" s="40">
        <v>42015.0</v>
      </c>
      <c r="N4258" s="40">
        <v>42035.0</v>
      </c>
      <c r="O4258" s="15" t="s">
        <v>1554</v>
      </c>
      <c r="Q4258" s="7"/>
    </row>
    <row r="4259">
      <c r="A4259" s="39" t="s">
        <v>17042</v>
      </c>
      <c r="B4259" s="15">
        <v>1590156.0</v>
      </c>
      <c r="C4259" s="15" t="s">
        <v>17043</v>
      </c>
      <c r="D4259" s="15">
        <v>274119.0</v>
      </c>
      <c r="E4259" s="15" t="s">
        <v>1664</v>
      </c>
      <c r="F4259" s="15" t="s">
        <v>15173</v>
      </c>
      <c r="G4259" s="7">
        <v>2.238</v>
      </c>
      <c r="H4259" s="15" t="s">
        <v>3823</v>
      </c>
      <c r="I4259" s="15" t="s">
        <v>1628</v>
      </c>
      <c r="J4259" s="15" t="s">
        <v>17044</v>
      </c>
      <c r="K4259" s="15">
        <v>2.0</v>
      </c>
      <c r="L4259" s="15">
        <v>2.0</v>
      </c>
      <c r="M4259" s="40">
        <v>42015.0</v>
      </c>
      <c r="N4259" s="40">
        <v>42035.0</v>
      </c>
      <c r="O4259" s="15" t="s">
        <v>1554</v>
      </c>
      <c r="Q4259" s="7"/>
    </row>
    <row r="4260">
      <c r="A4260" s="39" t="s">
        <v>17045</v>
      </c>
      <c r="B4260" s="15">
        <v>1592335.0</v>
      </c>
      <c r="C4260" s="15" t="s">
        <v>17046</v>
      </c>
      <c r="D4260" s="15">
        <v>274120.0</v>
      </c>
      <c r="E4260" s="15" t="s">
        <v>1557</v>
      </c>
      <c r="F4260" s="15" t="s">
        <v>1992</v>
      </c>
      <c r="G4260" s="7">
        <v>139.132</v>
      </c>
      <c r="H4260" s="15" t="s">
        <v>2597</v>
      </c>
      <c r="I4260" s="15" t="s">
        <v>1560</v>
      </c>
      <c r="J4260" s="15" t="s">
        <v>17047</v>
      </c>
      <c r="K4260" s="15">
        <v>141.0</v>
      </c>
      <c r="L4260" s="15">
        <v>141.0</v>
      </c>
      <c r="M4260" s="40">
        <v>42022.0</v>
      </c>
      <c r="N4260" s="40">
        <v>42080.0</v>
      </c>
      <c r="O4260" s="15" t="s">
        <v>1554</v>
      </c>
      <c r="Q4260" s="7"/>
    </row>
    <row r="4261">
      <c r="A4261" s="39" t="s">
        <v>17048</v>
      </c>
      <c r="B4261" s="15">
        <v>1603962.0</v>
      </c>
      <c r="C4261" s="15" t="s">
        <v>17049</v>
      </c>
      <c r="D4261" s="15">
        <v>274150.0</v>
      </c>
      <c r="E4261" s="15" t="s">
        <v>1548</v>
      </c>
      <c r="F4261" s="15" t="s">
        <v>1776</v>
      </c>
      <c r="G4261" s="7">
        <v>7.853</v>
      </c>
      <c r="H4261" s="15" t="s">
        <v>2178</v>
      </c>
      <c r="I4261" s="15" t="s">
        <v>1686</v>
      </c>
      <c r="J4261" s="15" t="s">
        <v>17051</v>
      </c>
      <c r="K4261" s="15">
        <v>1.0</v>
      </c>
      <c r="L4261" s="15">
        <v>1.0</v>
      </c>
      <c r="M4261" s="40">
        <v>42032.0</v>
      </c>
      <c r="N4261" s="41">
        <v>42299.0</v>
      </c>
      <c r="O4261" s="15" t="s">
        <v>1554</v>
      </c>
      <c r="Q4261" s="7"/>
    </row>
    <row r="4262">
      <c r="A4262" s="39" t="s">
        <v>17052</v>
      </c>
      <c r="B4262" s="15">
        <v>1603964.0</v>
      </c>
      <c r="C4262" s="15" t="s">
        <v>17053</v>
      </c>
      <c r="D4262" s="15">
        <v>274154.0</v>
      </c>
      <c r="E4262" s="15" t="s">
        <v>1548</v>
      </c>
      <c r="F4262" s="15" t="s">
        <v>1776</v>
      </c>
      <c r="G4262" s="7">
        <v>7.593</v>
      </c>
      <c r="H4262" s="15" t="s">
        <v>2877</v>
      </c>
      <c r="I4262" s="15" t="s">
        <v>1686</v>
      </c>
      <c r="J4262" s="15" t="s">
        <v>17054</v>
      </c>
      <c r="K4262" s="15">
        <v>1.0</v>
      </c>
      <c r="L4262" s="15">
        <v>1.0</v>
      </c>
      <c r="M4262" s="40">
        <v>42032.0</v>
      </c>
      <c r="N4262" s="40">
        <v>42110.0</v>
      </c>
      <c r="O4262" s="15" t="s">
        <v>1554</v>
      </c>
      <c r="Q4262" s="7"/>
    </row>
    <row r="4263">
      <c r="A4263" s="39" t="s">
        <v>17055</v>
      </c>
      <c r="B4263" s="15">
        <v>1603963.0</v>
      </c>
      <c r="C4263" s="15" t="s">
        <v>17056</v>
      </c>
      <c r="D4263" s="15">
        <v>274155.0</v>
      </c>
      <c r="E4263" s="15" t="s">
        <v>1548</v>
      </c>
      <c r="F4263" s="15" t="s">
        <v>1776</v>
      </c>
      <c r="G4263" s="7">
        <v>7.687</v>
      </c>
      <c r="H4263" s="15" t="s">
        <v>2864</v>
      </c>
      <c r="I4263" s="15" t="s">
        <v>1686</v>
      </c>
      <c r="J4263" s="15" t="s">
        <v>17057</v>
      </c>
      <c r="K4263" s="15">
        <v>1.0</v>
      </c>
      <c r="L4263" s="15">
        <v>1.0</v>
      </c>
      <c r="M4263" s="40">
        <v>42032.0</v>
      </c>
      <c r="N4263" s="40">
        <v>42110.0</v>
      </c>
      <c r="O4263" s="15" t="s">
        <v>1554</v>
      </c>
      <c r="Q4263" s="7"/>
    </row>
    <row r="4264">
      <c r="A4264" s="39" t="s">
        <v>17058</v>
      </c>
      <c r="B4264" s="15">
        <v>1603069.0</v>
      </c>
      <c r="C4264" s="15" t="s">
        <v>17060</v>
      </c>
      <c r="D4264" s="15">
        <v>274156.0</v>
      </c>
      <c r="E4264" s="15" t="s">
        <v>1577</v>
      </c>
      <c r="F4264" s="15" t="s">
        <v>1578</v>
      </c>
      <c r="G4264" s="7">
        <v>2.651</v>
      </c>
      <c r="H4264" s="15" t="s">
        <v>3823</v>
      </c>
      <c r="I4264" s="15" t="s">
        <v>1686</v>
      </c>
      <c r="J4264" s="15" t="s">
        <v>17061</v>
      </c>
      <c r="K4264" s="15">
        <v>2.0</v>
      </c>
      <c r="L4264" s="15">
        <v>2.0</v>
      </c>
      <c r="M4264" s="40">
        <v>42032.0</v>
      </c>
      <c r="N4264" s="40">
        <v>42035.0</v>
      </c>
      <c r="O4264" s="15" t="s">
        <v>1554</v>
      </c>
      <c r="Q4264" s="7"/>
    </row>
    <row r="4265">
      <c r="A4265" s="39" t="s">
        <v>17062</v>
      </c>
      <c r="B4265" s="15">
        <v>1603068.0</v>
      </c>
      <c r="C4265" s="15" t="s">
        <v>17063</v>
      </c>
      <c r="D4265" s="15">
        <v>274157.0</v>
      </c>
      <c r="E4265" s="15" t="s">
        <v>1577</v>
      </c>
      <c r="F4265" s="15" t="s">
        <v>1578</v>
      </c>
      <c r="G4265" s="7">
        <v>2.532</v>
      </c>
      <c r="H4265" s="15" t="s">
        <v>1756</v>
      </c>
      <c r="I4265" s="15" t="s">
        <v>1686</v>
      </c>
      <c r="J4265" s="15" t="s">
        <v>17064</v>
      </c>
      <c r="K4265" s="15">
        <v>2.0</v>
      </c>
      <c r="L4265" s="15">
        <v>2.0</v>
      </c>
      <c r="M4265" s="40">
        <v>42032.0</v>
      </c>
      <c r="N4265" s="40">
        <v>42035.0</v>
      </c>
      <c r="O4265" s="15" t="s">
        <v>1554</v>
      </c>
      <c r="Q4265" s="7"/>
    </row>
    <row r="4266">
      <c r="A4266" s="39" t="s">
        <v>17065</v>
      </c>
      <c r="B4266" s="15">
        <v>1603067.0</v>
      </c>
      <c r="C4266" s="15" t="s">
        <v>17066</v>
      </c>
      <c r="D4266" s="15">
        <v>274158.0</v>
      </c>
      <c r="E4266" s="15" t="s">
        <v>1577</v>
      </c>
      <c r="F4266" s="15" t="s">
        <v>1578</v>
      </c>
      <c r="G4266" s="7">
        <v>2.529</v>
      </c>
      <c r="H4266" s="15" t="s">
        <v>3297</v>
      </c>
      <c r="I4266" s="15" t="s">
        <v>1686</v>
      </c>
      <c r="J4266" s="15" t="s">
        <v>17067</v>
      </c>
      <c r="K4266" s="15">
        <v>2.0</v>
      </c>
      <c r="L4266" s="15">
        <v>2.0</v>
      </c>
      <c r="M4266" s="40">
        <v>42032.0</v>
      </c>
      <c r="N4266" s="40">
        <v>42035.0</v>
      </c>
      <c r="O4266" s="15" t="s">
        <v>1554</v>
      </c>
      <c r="Q4266" s="7"/>
    </row>
    <row r="4267">
      <c r="A4267" s="39" t="s">
        <v>17068</v>
      </c>
      <c r="B4267" s="15">
        <v>1603066.0</v>
      </c>
      <c r="C4267" s="15" t="s">
        <v>17070</v>
      </c>
      <c r="D4267" s="15">
        <v>274159.0</v>
      </c>
      <c r="E4267" s="15" t="s">
        <v>1577</v>
      </c>
      <c r="F4267" s="15" t="s">
        <v>1578</v>
      </c>
      <c r="G4267" s="7">
        <v>2.485</v>
      </c>
      <c r="H4267" s="15" t="s">
        <v>1772</v>
      </c>
      <c r="I4267" s="15" t="s">
        <v>1686</v>
      </c>
      <c r="J4267" s="15" t="s">
        <v>17071</v>
      </c>
      <c r="K4267" s="15">
        <v>2.0</v>
      </c>
      <c r="L4267" s="15">
        <v>2.0</v>
      </c>
      <c r="M4267" s="40">
        <v>42032.0</v>
      </c>
      <c r="N4267" s="40">
        <v>42035.0</v>
      </c>
      <c r="O4267" s="15" t="s">
        <v>1554</v>
      </c>
      <c r="Q4267" s="7"/>
    </row>
    <row r="4268">
      <c r="A4268" s="39" t="s">
        <v>17072</v>
      </c>
      <c r="B4268" s="15">
        <v>10371.0</v>
      </c>
      <c r="C4268" s="15" t="s">
        <v>17073</v>
      </c>
      <c r="D4268" s="15">
        <v>274586.0</v>
      </c>
      <c r="E4268" s="15" t="s">
        <v>1557</v>
      </c>
      <c r="F4268" s="15" t="s">
        <v>1827</v>
      </c>
      <c r="G4268" s="7">
        <v>182.38</v>
      </c>
      <c r="H4268" s="15" t="s">
        <v>2996</v>
      </c>
      <c r="I4268" s="15" t="s">
        <v>1686</v>
      </c>
      <c r="J4268" s="15" t="s">
        <v>17074</v>
      </c>
      <c r="K4268" s="15">
        <v>79.0</v>
      </c>
      <c r="L4268" s="15">
        <v>79.0</v>
      </c>
      <c r="M4268" s="40">
        <v>42034.0</v>
      </c>
      <c r="N4268" s="40">
        <v>42130.0</v>
      </c>
      <c r="O4268" s="15" t="s">
        <v>1554</v>
      </c>
      <c r="Q4268" s="7"/>
    </row>
    <row r="4269">
      <c r="A4269" s="39" t="s">
        <v>17075</v>
      </c>
      <c r="B4269" s="15">
        <v>1592576.0</v>
      </c>
      <c r="C4269" s="15" t="s">
        <v>17076</v>
      </c>
      <c r="D4269" s="15">
        <v>274777.0</v>
      </c>
      <c r="E4269" s="15" t="s">
        <v>1557</v>
      </c>
      <c r="F4269" s="15" t="s">
        <v>1992</v>
      </c>
      <c r="G4269" s="7">
        <v>125.767</v>
      </c>
      <c r="H4269" s="15" t="s">
        <v>1813</v>
      </c>
      <c r="I4269" s="15" t="s">
        <v>1560</v>
      </c>
      <c r="J4269" s="15" t="s">
        <v>17077</v>
      </c>
      <c r="K4269" s="15">
        <v>138.0</v>
      </c>
      <c r="L4269" s="15">
        <v>138.0</v>
      </c>
      <c r="M4269" s="40">
        <v>42035.0</v>
      </c>
      <c r="N4269" s="40">
        <v>42041.0</v>
      </c>
      <c r="O4269" s="15" t="s">
        <v>1554</v>
      </c>
      <c r="Q4269" s="7"/>
    </row>
    <row r="4270">
      <c r="A4270" s="39" t="s">
        <v>17079</v>
      </c>
      <c r="B4270" s="15">
        <v>1605721.0</v>
      </c>
      <c r="C4270" s="15" t="s">
        <v>17080</v>
      </c>
      <c r="D4270" s="15">
        <v>274798.0</v>
      </c>
      <c r="E4270" s="15" t="s">
        <v>1557</v>
      </c>
      <c r="F4270" s="15" t="s">
        <v>1578</v>
      </c>
      <c r="G4270" s="7">
        <v>125584.0</v>
      </c>
      <c r="H4270" s="15" t="s">
        <v>1834</v>
      </c>
      <c r="I4270" s="15" t="s">
        <v>1740</v>
      </c>
      <c r="J4270" s="15" t="s">
        <v>17081</v>
      </c>
      <c r="K4270" s="15">
        <v>1840.0</v>
      </c>
      <c r="L4270" s="15">
        <v>1839.0</v>
      </c>
      <c r="M4270" s="40">
        <v>42039.0</v>
      </c>
      <c r="N4270" s="41">
        <v>42294.0</v>
      </c>
      <c r="O4270" s="15" t="s">
        <v>2353</v>
      </c>
      <c r="Q4270" s="7"/>
    </row>
    <row r="4271">
      <c r="A4271" s="39" t="s">
        <v>17082</v>
      </c>
      <c r="B4271" s="15">
        <v>1458187.0</v>
      </c>
      <c r="C4271" s="15" t="s">
        <v>17083</v>
      </c>
      <c r="D4271" s="15">
        <v>14067.0</v>
      </c>
      <c r="E4271" s="15" t="s">
        <v>2014</v>
      </c>
      <c r="F4271" s="15" t="s">
        <v>1578</v>
      </c>
      <c r="G4271" s="7">
        <v>1.291</v>
      </c>
      <c r="H4271" s="15" t="s">
        <v>2540</v>
      </c>
      <c r="I4271" s="15" t="s">
        <v>1628</v>
      </c>
      <c r="J4271" s="15" t="s">
        <v>17084</v>
      </c>
      <c r="K4271" s="15">
        <v>6.0</v>
      </c>
      <c r="L4271" s="15">
        <v>6.0</v>
      </c>
      <c r="M4271" s="40">
        <v>33131.0</v>
      </c>
      <c r="N4271" s="40">
        <v>41703.0</v>
      </c>
      <c r="O4271" s="15" t="s">
        <v>1554</v>
      </c>
      <c r="Q4271" s="7"/>
    </row>
    <row r="4272">
      <c r="A4272" s="39" t="s">
        <v>17085</v>
      </c>
      <c r="B4272" s="15">
        <v>1051966.0</v>
      </c>
      <c r="C4272" s="15" t="s">
        <v>17087</v>
      </c>
      <c r="D4272" s="15">
        <v>14186.0</v>
      </c>
      <c r="E4272" s="15" t="s">
        <v>1808</v>
      </c>
      <c r="F4272" s="15" t="s">
        <v>1809</v>
      </c>
      <c r="G4272" s="7">
        <v>5.325</v>
      </c>
      <c r="H4272" s="15" t="s">
        <v>17088</v>
      </c>
      <c r="I4272" s="15" t="s">
        <v>1628</v>
      </c>
      <c r="J4272" s="15" t="s">
        <v>17089</v>
      </c>
      <c r="K4272" s="15">
        <v>6.0</v>
      </c>
      <c r="L4272" s="15">
        <v>6.0</v>
      </c>
      <c r="M4272" s="41">
        <v>37215.0</v>
      </c>
      <c r="N4272" s="40">
        <v>40725.0</v>
      </c>
      <c r="O4272" s="15" t="s">
        <v>1554</v>
      </c>
      <c r="Q4272" s="7"/>
    </row>
    <row r="4273">
      <c r="A4273" s="39" t="s">
        <v>17090</v>
      </c>
      <c r="B4273" s="15">
        <v>1513199.0</v>
      </c>
      <c r="C4273" s="15" t="s">
        <v>17091</v>
      </c>
      <c r="D4273" s="15">
        <v>14581.0</v>
      </c>
      <c r="E4273" s="15" t="s">
        <v>1808</v>
      </c>
      <c r="F4273" s="15" t="s">
        <v>2436</v>
      </c>
      <c r="G4273" s="7">
        <v>4.176</v>
      </c>
      <c r="H4273" s="15" t="s">
        <v>2342</v>
      </c>
      <c r="I4273" s="15" t="s">
        <v>1560</v>
      </c>
      <c r="J4273" s="15" t="s">
        <v>17092</v>
      </c>
      <c r="K4273" s="15">
        <v>3.0</v>
      </c>
      <c r="L4273" s="15">
        <v>3.0</v>
      </c>
      <c r="M4273" s="40">
        <v>34522.0</v>
      </c>
      <c r="N4273" s="40">
        <v>41845.0</v>
      </c>
      <c r="O4273" s="15" t="s">
        <v>1554</v>
      </c>
      <c r="Q4273" s="7"/>
    </row>
    <row r="4274">
      <c r="A4274" s="39" t="s">
        <v>17094</v>
      </c>
      <c r="B4274" s="15">
        <v>1169032.0</v>
      </c>
      <c r="C4274" s="15" t="s">
        <v>17095</v>
      </c>
      <c r="D4274" s="15">
        <v>14733.0</v>
      </c>
      <c r="E4274" s="15" t="s">
        <v>1548</v>
      </c>
      <c r="F4274" s="15" t="s">
        <v>2615</v>
      </c>
      <c r="G4274" s="7">
        <v>6.298</v>
      </c>
      <c r="H4274" s="15" t="s">
        <v>1943</v>
      </c>
      <c r="I4274" s="15" t="s">
        <v>1628</v>
      </c>
      <c r="J4274" s="15" t="s">
        <v>17096</v>
      </c>
      <c r="K4274" s="15">
        <v>4.0</v>
      </c>
      <c r="L4274" s="15">
        <v>4.0</v>
      </c>
      <c r="M4274" s="40">
        <v>37261.0</v>
      </c>
      <c r="N4274" s="40">
        <v>41006.0</v>
      </c>
      <c r="O4274" s="15" t="s">
        <v>1554</v>
      </c>
      <c r="Q4274" s="7"/>
    </row>
    <row r="4275">
      <c r="A4275" s="39" t="s">
        <v>17097</v>
      </c>
      <c r="B4275" s="15">
        <v>1511919.0</v>
      </c>
      <c r="C4275" s="15" t="s">
        <v>17098</v>
      </c>
      <c r="D4275" s="15">
        <v>15414.0</v>
      </c>
      <c r="E4275" s="15" t="s">
        <v>1808</v>
      </c>
      <c r="F4275" s="15" t="s">
        <v>2436</v>
      </c>
      <c r="G4275" s="7">
        <v>5.268</v>
      </c>
      <c r="H4275" s="15">
        <v>45.0</v>
      </c>
      <c r="I4275" s="15" t="s">
        <v>1686</v>
      </c>
      <c r="J4275" s="15" t="s">
        <v>17099</v>
      </c>
      <c r="K4275" s="15">
        <v>2.0</v>
      </c>
      <c r="L4275" s="15">
        <v>2.0</v>
      </c>
      <c r="M4275" s="40">
        <v>38473.0</v>
      </c>
      <c r="N4275" s="41">
        <v>41960.0</v>
      </c>
      <c r="O4275" s="15" t="s">
        <v>1554</v>
      </c>
      <c r="Q4275" s="7"/>
    </row>
    <row r="4276">
      <c r="A4276" s="39" t="s">
        <v>17100</v>
      </c>
      <c r="B4276" s="15">
        <v>1038068.0</v>
      </c>
      <c r="C4276" s="15" t="s">
        <v>17101</v>
      </c>
      <c r="D4276" s="15">
        <v>16631.0</v>
      </c>
      <c r="E4276" s="15" t="s">
        <v>1916</v>
      </c>
      <c r="F4276" s="15" t="s">
        <v>2532</v>
      </c>
      <c r="G4276" s="7">
        <v>8.197</v>
      </c>
      <c r="H4276" s="15" t="s">
        <v>1957</v>
      </c>
      <c r="I4276" s="15" t="s">
        <v>1686</v>
      </c>
      <c r="J4276" s="15" t="s">
        <v>17102</v>
      </c>
      <c r="K4276" s="15">
        <v>2.0</v>
      </c>
      <c r="L4276" s="15">
        <v>2.0</v>
      </c>
      <c r="M4276" s="40">
        <v>38792.0</v>
      </c>
      <c r="N4276" s="40">
        <v>40727.0</v>
      </c>
      <c r="O4276" s="15" t="s">
        <v>1554</v>
      </c>
      <c r="Q4276" s="7"/>
    </row>
    <row r="4277">
      <c r="A4277" s="39" t="s">
        <v>17104</v>
      </c>
      <c r="B4277" s="15">
        <v>1513204.0</v>
      </c>
      <c r="C4277" s="15" t="s">
        <v>17105</v>
      </c>
      <c r="D4277" s="15">
        <v>15556.0</v>
      </c>
      <c r="E4277" s="15" t="s">
        <v>1808</v>
      </c>
      <c r="F4277" s="15" t="s">
        <v>2436</v>
      </c>
      <c r="G4277" s="7">
        <v>6.321</v>
      </c>
      <c r="H4277" s="15" t="s">
        <v>2428</v>
      </c>
      <c r="I4277" s="15" t="s">
        <v>1560</v>
      </c>
      <c r="J4277" s="15" t="s">
        <v>17106</v>
      </c>
      <c r="K4277" s="15">
        <v>3.0</v>
      </c>
      <c r="L4277" s="15">
        <v>3.0</v>
      </c>
      <c r="M4277" s="40">
        <v>38533.0</v>
      </c>
      <c r="N4277" s="40">
        <v>41810.0</v>
      </c>
      <c r="O4277" s="15" t="s">
        <v>1554</v>
      </c>
      <c r="Q4277" s="7"/>
    </row>
    <row r="4278">
      <c r="A4278" s="39" t="s">
        <v>17107</v>
      </c>
      <c r="B4278" s="15">
        <v>1285600.0</v>
      </c>
      <c r="C4278" s="15" t="s">
        <v>17108</v>
      </c>
      <c r="D4278" s="15">
        <v>16798.0</v>
      </c>
      <c r="E4278" s="15" t="s">
        <v>1557</v>
      </c>
      <c r="F4278" s="15" t="s">
        <v>2028</v>
      </c>
      <c r="G4278" s="7">
        <v>190.054</v>
      </c>
      <c r="H4278" s="15" t="s">
        <v>3890</v>
      </c>
      <c r="I4278" s="15" t="s">
        <v>1686</v>
      </c>
      <c r="J4278" s="15" t="s">
        <v>17109</v>
      </c>
      <c r="K4278" s="15">
        <v>173.0</v>
      </c>
      <c r="L4278" s="15">
        <v>173.0</v>
      </c>
      <c r="M4278" s="40">
        <v>38842.0</v>
      </c>
      <c r="N4278" s="40">
        <v>41297.0</v>
      </c>
      <c r="O4278" s="15" t="s">
        <v>1554</v>
      </c>
      <c r="Q4278" s="7"/>
    </row>
    <row r="4279">
      <c r="A4279" s="39" t="s">
        <v>17110</v>
      </c>
      <c r="B4279" s="15">
        <v>1397670.0</v>
      </c>
      <c r="C4279" s="15" t="s">
        <v>17111</v>
      </c>
      <c r="D4279" s="15">
        <v>17999.0</v>
      </c>
      <c r="E4279" s="15" t="s">
        <v>2014</v>
      </c>
      <c r="F4279" s="15" t="s">
        <v>2018</v>
      </c>
      <c r="G4279" s="7">
        <v>1.358</v>
      </c>
      <c r="H4279" s="15" t="s">
        <v>6633</v>
      </c>
      <c r="I4279" s="15" t="s">
        <v>1628</v>
      </c>
      <c r="J4279" s="15" t="s">
        <v>17112</v>
      </c>
      <c r="K4279" s="15">
        <v>1.0</v>
      </c>
      <c r="L4279" s="15">
        <v>1.0</v>
      </c>
      <c r="M4279" s="40">
        <v>38991.0</v>
      </c>
      <c r="N4279" s="40">
        <v>40248.0</v>
      </c>
      <c r="O4279" s="15" t="s">
        <v>1554</v>
      </c>
      <c r="Q4279" s="7"/>
    </row>
    <row r="4280">
      <c r="A4280" s="39" t="s">
        <v>17114</v>
      </c>
      <c r="B4280" s="15">
        <v>1124577.0</v>
      </c>
      <c r="C4280" s="15" t="s">
        <v>17115</v>
      </c>
      <c r="D4280" s="15">
        <v>19653.0</v>
      </c>
      <c r="E4280" s="15" t="s">
        <v>1808</v>
      </c>
      <c r="F4280" s="15" t="s">
        <v>1809</v>
      </c>
      <c r="G4280" s="7">
        <v>5.168</v>
      </c>
      <c r="H4280" s="15" t="s">
        <v>17116</v>
      </c>
      <c r="I4280" s="15" t="s">
        <v>1628</v>
      </c>
      <c r="J4280" s="15" t="s">
        <v>17117</v>
      </c>
      <c r="K4280" s="15">
        <v>5.0</v>
      </c>
      <c r="L4280" s="15">
        <v>5.0</v>
      </c>
      <c r="M4280" s="40">
        <v>38419.0</v>
      </c>
      <c r="N4280" s="40">
        <v>40968.0</v>
      </c>
      <c r="O4280" s="15" t="s">
        <v>1554</v>
      </c>
      <c r="Q4280" s="7"/>
    </row>
    <row r="4281">
      <c r="A4281" s="39" t="s">
        <v>17118</v>
      </c>
      <c r="B4281" s="15">
        <v>1608323.0</v>
      </c>
      <c r="C4281" s="15" t="s">
        <v>17119</v>
      </c>
      <c r="D4281" s="15">
        <v>275612.0</v>
      </c>
      <c r="E4281" s="15" t="s">
        <v>1557</v>
      </c>
      <c r="F4281" s="15" t="s">
        <v>2004</v>
      </c>
      <c r="G4281" s="7">
        <v>5.187</v>
      </c>
      <c r="H4281" s="15" t="s">
        <v>3255</v>
      </c>
      <c r="I4281" s="15" t="s">
        <v>1686</v>
      </c>
      <c r="J4281" s="15" t="s">
        <v>17120</v>
      </c>
      <c r="K4281" s="15">
        <v>5.0</v>
      </c>
      <c r="L4281" s="15">
        <v>5.0</v>
      </c>
      <c r="M4281" s="40">
        <v>42044.0</v>
      </c>
      <c r="N4281" s="41">
        <v>42355.0</v>
      </c>
      <c r="O4281" s="15" t="s">
        <v>1554</v>
      </c>
      <c r="Q4281" s="7"/>
    </row>
    <row r="4282">
      <c r="A4282" s="39" t="s">
        <v>17121</v>
      </c>
      <c r="B4282" s="15">
        <v>1561150.0</v>
      </c>
      <c r="C4282" s="15" t="s">
        <v>17122</v>
      </c>
      <c r="D4282" s="15">
        <v>275613.0</v>
      </c>
      <c r="E4282" s="15" t="s">
        <v>1916</v>
      </c>
      <c r="F4282" s="15" t="s">
        <v>1917</v>
      </c>
      <c r="G4282" s="7">
        <v>7.661</v>
      </c>
      <c r="H4282" s="15" t="s">
        <v>2428</v>
      </c>
      <c r="I4282" s="15" t="s">
        <v>1628</v>
      </c>
      <c r="J4282" s="15" t="s">
        <v>17124</v>
      </c>
      <c r="K4282" s="15">
        <v>4.0</v>
      </c>
      <c r="L4282" s="15">
        <v>4.0</v>
      </c>
      <c r="M4282" s="40">
        <v>42046.0</v>
      </c>
      <c r="N4282" s="40">
        <v>42052.0</v>
      </c>
      <c r="O4282" s="15" t="s">
        <v>1554</v>
      </c>
      <c r="Q4282" s="7"/>
    </row>
    <row r="4283">
      <c r="A4283" s="39" t="s">
        <v>17125</v>
      </c>
      <c r="B4283" s="15">
        <v>1513196.0</v>
      </c>
      <c r="C4283" s="15" t="s">
        <v>17126</v>
      </c>
      <c r="D4283" s="15">
        <v>37821.0</v>
      </c>
      <c r="E4283" s="15" t="s">
        <v>1808</v>
      </c>
      <c r="F4283" s="15" t="s">
        <v>2436</v>
      </c>
      <c r="G4283" s="7">
        <v>3.776</v>
      </c>
      <c r="H4283" s="15" t="s">
        <v>2580</v>
      </c>
      <c r="I4283" s="15" t="s">
        <v>1560</v>
      </c>
      <c r="J4283" s="15" t="s">
        <v>17127</v>
      </c>
      <c r="K4283" s="15">
        <v>3.0</v>
      </c>
      <c r="L4283" s="15">
        <v>3.0</v>
      </c>
      <c r="M4283" s="40">
        <v>39933.0</v>
      </c>
      <c r="N4283" s="40">
        <v>41810.0</v>
      </c>
      <c r="O4283" s="15" t="s">
        <v>1554</v>
      </c>
      <c r="Q4283" s="7"/>
    </row>
    <row r="4284">
      <c r="A4284" s="39" t="s">
        <v>17128</v>
      </c>
      <c r="B4284" s="15">
        <v>1330524.0</v>
      </c>
      <c r="C4284" s="15" t="s">
        <v>17129</v>
      </c>
      <c r="D4284" s="15">
        <v>39553.0</v>
      </c>
      <c r="E4284" s="15" t="s">
        <v>1548</v>
      </c>
      <c r="F4284" s="15" t="s">
        <v>1776</v>
      </c>
      <c r="G4284" s="7">
        <v>7.989</v>
      </c>
      <c r="H4284" s="15" t="s">
        <v>1778</v>
      </c>
      <c r="I4284" s="15" t="s">
        <v>1567</v>
      </c>
      <c r="J4284" s="15" t="s">
        <v>17131</v>
      </c>
      <c r="K4284" s="15">
        <v>1.0</v>
      </c>
      <c r="L4284" s="15">
        <v>1.0</v>
      </c>
      <c r="M4284" s="40">
        <v>39998.0</v>
      </c>
      <c r="N4284" s="40">
        <v>41410.0</v>
      </c>
      <c r="O4284" s="15" t="s">
        <v>1554</v>
      </c>
      <c r="Q4284" s="7"/>
    </row>
    <row r="4285">
      <c r="A4285" s="39" t="s">
        <v>17132</v>
      </c>
      <c r="B4285" s="15">
        <v>1604874.0</v>
      </c>
      <c r="C4285" s="15" t="s">
        <v>17133</v>
      </c>
      <c r="D4285" s="15">
        <v>41471.0</v>
      </c>
      <c r="E4285" s="15" t="s">
        <v>1557</v>
      </c>
      <c r="F4285" s="15" t="s">
        <v>2004</v>
      </c>
      <c r="G4285" s="7">
        <v>5.168</v>
      </c>
      <c r="H4285" s="15" t="s">
        <v>1902</v>
      </c>
      <c r="I4285" s="15" t="s">
        <v>1686</v>
      </c>
      <c r="J4285" s="15" t="s">
        <v>17134</v>
      </c>
      <c r="K4285" s="15">
        <v>5.0</v>
      </c>
      <c r="L4285" s="15">
        <v>5.0</v>
      </c>
      <c r="M4285" s="40">
        <v>40094.0</v>
      </c>
      <c r="N4285" s="40">
        <v>42047.0</v>
      </c>
      <c r="O4285" s="15" t="s">
        <v>1554</v>
      </c>
      <c r="Q4285" s="7"/>
    </row>
    <row r="4286">
      <c r="A4286" s="39" t="s">
        <v>17135</v>
      </c>
      <c r="B4286" s="15">
        <v>1330491.0</v>
      </c>
      <c r="C4286" s="15" t="s">
        <v>17136</v>
      </c>
      <c r="D4286" s="15">
        <v>38497.0</v>
      </c>
      <c r="E4286" s="15" t="s">
        <v>1548</v>
      </c>
      <c r="F4286" s="15" t="s">
        <v>1776</v>
      </c>
      <c r="G4286" s="7">
        <v>7.632</v>
      </c>
      <c r="H4286" s="15" t="s">
        <v>3066</v>
      </c>
      <c r="I4286" s="15" t="s">
        <v>1567</v>
      </c>
      <c r="J4286" s="15" t="s">
        <v>17137</v>
      </c>
      <c r="K4286" s="15">
        <v>1.0</v>
      </c>
      <c r="L4286" s="15">
        <v>1.0</v>
      </c>
      <c r="M4286" s="40">
        <v>39823.0</v>
      </c>
      <c r="N4286" s="40">
        <v>41401.0</v>
      </c>
      <c r="O4286" s="15" t="s">
        <v>1554</v>
      </c>
      <c r="Q4286" s="7"/>
    </row>
    <row r="4287">
      <c r="A4287" s="39" t="s">
        <v>17139</v>
      </c>
      <c r="B4287" s="15">
        <v>1605972.0</v>
      </c>
      <c r="C4287" s="15" t="s">
        <v>17140</v>
      </c>
      <c r="D4287" s="15">
        <v>62491.0</v>
      </c>
      <c r="E4287" s="15" t="s">
        <v>1557</v>
      </c>
      <c r="F4287" s="15" t="s">
        <v>1827</v>
      </c>
      <c r="G4287" s="7">
        <v>124.335</v>
      </c>
      <c r="H4287" s="15" t="s">
        <v>3082</v>
      </c>
      <c r="I4287" s="15" t="s">
        <v>1686</v>
      </c>
      <c r="J4287" s="15" t="s">
        <v>17141</v>
      </c>
      <c r="K4287" s="15">
        <v>82.0</v>
      </c>
      <c r="L4287" s="15">
        <v>82.0</v>
      </c>
      <c r="M4287" s="40">
        <v>40576.0</v>
      </c>
      <c r="N4287" s="40">
        <v>40603.0</v>
      </c>
      <c r="O4287" s="15" t="s">
        <v>1554</v>
      </c>
      <c r="Q4287" s="7"/>
    </row>
    <row r="4288">
      <c r="A4288" s="39" t="s">
        <v>17142</v>
      </c>
      <c r="B4288" s="15">
        <v>1535247.0</v>
      </c>
      <c r="C4288" s="15" t="s">
        <v>17143</v>
      </c>
      <c r="D4288" s="15">
        <v>78947.0</v>
      </c>
      <c r="E4288" s="15" t="s">
        <v>1557</v>
      </c>
      <c r="F4288" s="15" t="s">
        <v>1827</v>
      </c>
      <c r="G4288" s="7">
        <v>196.691</v>
      </c>
      <c r="H4288" s="15" t="s">
        <v>2981</v>
      </c>
      <c r="I4288" s="15" t="s">
        <v>1686</v>
      </c>
      <c r="J4288" s="15" t="s">
        <v>17144</v>
      </c>
      <c r="K4288" s="15">
        <v>141.0</v>
      </c>
      <c r="L4288" s="15">
        <v>141.0</v>
      </c>
      <c r="M4288" s="40">
        <v>39970.0</v>
      </c>
      <c r="N4288" s="40">
        <v>41865.0</v>
      </c>
      <c r="O4288" s="15" t="s">
        <v>1554</v>
      </c>
      <c r="Q4288" s="7"/>
    </row>
    <row r="4289">
      <c r="A4289" s="39" t="s">
        <v>17145</v>
      </c>
      <c r="B4289" s="15">
        <v>1069378.0</v>
      </c>
      <c r="C4289" s="15" t="s">
        <v>17146</v>
      </c>
      <c r="D4289" s="15">
        <v>64479.0</v>
      </c>
      <c r="E4289" s="15" t="s">
        <v>1557</v>
      </c>
      <c r="F4289" s="15" t="s">
        <v>1833</v>
      </c>
      <c r="G4289" s="7">
        <v>24.645</v>
      </c>
      <c r="H4289" s="15" t="s">
        <v>2885</v>
      </c>
      <c r="I4289" s="15" t="s">
        <v>1586</v>
      </c>
      <c r="J4289" s="15" t="s">
        <v>17148</v>
      </c>
      <c r="K4289" s="15">
        <v>27.0</v>
      </c>
      <c r="L4289" s="15">
        <v>27.0</v>
      </c>
      <c r="M4289" s="41">
        <v>40870.0</v>
      </c>
      <c r="N4289" s="40">
        <v>41129.0</v>
      </c>
      <c r="O4289" s="15" t="s">
        <v>1554</v>
      </c>
      <c r="Q4289" s="7"/>
    </row>
    <row r="4290">
      <c r="A4290" s="39" t="s">
        <v>17149</v>
      </c>
      <c r="B4290" s="15">
        <v>1431464.0</v>
      </c>
      <c r="C4290" s="15" t="s">
        <v>17150</v>
      </c>
      <c r="D4290" s="15">
        <v>176432.0</v>
      </c>
      <c r="E4290" s="15" t="s">
        <v>1548</v>
      </c>
      <c r="F4290" s="15" t="s">
        <v>1776</v>
      </c>
      <c r="G4290" s="7">
        <v>7.583</v>
      </c>
      <c r="H4290" s="15" t="s">
        <v>8889</v>
      </c>
      <c r="I4290" s="15" t="s">
        <v>1686</v>
      </c>
      <c r="J4290" s="15" t="s">
        <v>17151</v>
      </c>
      <c r="K4290" s="15">
        <v>1.0</v>
      </c>
      <c r="L4290" s="15">
        <v>1.0</v>
      </c>
      <c r="M4290" s="40">
        <v>41177.0</v>
      </c>
      <c r="N4290" s="40">
        <v>41612.0</v>
      </c>
      <c r="O4290" s="15" t="s">
        <v>1554</v>
      </c>
      <c r="Q4290" s="7"/>
    </row>
    <row r="4291">
      <c r="A4291" s="39" t="s">
        <v>17153</v>
      </c>
      <c r="B4291" s="15">
        <v>1604355.0</v>
      </c>
      <c r="C4291" s="15" t="s">
        <v>17154</v>
      </c>
      <c r="D4291" s="15">
        <v>177528.0</v>
      </c>
      <c r="E4291" s="15" t="s">
        <v>1557</v>
      </c>
      <c r="F4291" s="15" t="s">
        <v>1611</v>
      </c>
      <c r="G4291" s="7">
        <v>77.315</v>
      </c>
      <c r="H4291" s="15" t="s">
        <v>1859</v>
      </c>
      <c r="I4291" s="15" t="s">
        <v>1586</v>
      </c>
      <c r="J4291" s="15" t="s">
        <v>17155</v>
      </c>
      <c r="K4291" s="15">
        <v>121.0</v>
      </c>
      <c r="L4291" s="15">
        <v>120.0</v>
      </c>
      <c r="M4291" s="40">
        <v>41167.0</v>
      </c>
      <c r="N4291" s="40">
        <v>42034.0</v>
      </c>
      <c r="O4291" s="15" t="s">
        <v>1554</v>
      </c>
      <c r="Q4291" s="7"/>
    </row>
    <row r="4292">
      <c r="A4292" s="39" t="s">
        <v>17156</v>
      </c>
      <c r="B4292" s="15">
        <v>861561.0</v>
      </c>
      <c r="C4292" s="15" t="s">
        <v>17157</v>
      </c>
      <c r="D4292" s="15">
        <v>167578.0</v>
      </c>
      <c r="E4292" s="15" t="s">
        <v>1548</v>
      </c>
      <c r="F4292" s="15" t="s">
        <v>1911</v>
      </c>
      <c r="G4292" s="7">
        <v>9.908</v>
      </c>
      <c r="H4292" s="15" t="s">
        <v>2049</v>
      </c>
      <c r="I4292" s="15" t="s">
        <v>1628</v>
      </c>
      <c r="J4292" s="15" t="s">
        <v>17158</v>
      </c>
      <c r="K4292" s="15">
        <v>2.0</v>
      </c>
      <c r="L4292" s="15">
        <v>2.0</v>
      </c>
      <c r="M4292" s="40">
        <v>41049.0</v>
      </c>
      <c r="N4292" s="40">
        <v>42817.0</v>
      </c>
      <c r="O4292" s="15" t="s">
        <v>1554</v>
      </c>
      <c r="Q4292" s="7"/>
    </row>
    <row r="4293">
      <c r="A4293" s="39" t="s">
        <v>17159</v>
      </c>
      <c r="B4293" s="15">
        <v>1315259.0</v>
      </c>
      <c r="C4293" s="15" t="s">
        <v>17160</v>
      </c>
      <c r="D4293" s="15">
        <v>178458.0</v>
      </c>
      <c r="E4293" s="15" t="s">
        <v>1557</v>
      </c>
      <c r="F4293" s="15" t="s">
        <v>1822</v>
      </c>
      <c r="G4293" s="7">
        <v>7.212</v>
      </c>
      <c r="H4293" s="15" t="s">
        <v>2824</v>
      </c>
      <c r="I4293" s="15" t="s">
        <v>1686</v>
      </c>
      <c r="J4293" s="15" t="s">
        <v>17162</v>
      </c>
      <c r="K4293" s="15">
        <v>7.0</v>
      </c>
      <c r="L4293" s="15">
        <v>6.0</v>
      </c>
      <c r="M4293" s="41">
        <v>41205.0</v>
      </c>
      <c r="N4293" s="40">
        <v>41530.0</v>
      </c>
      <c r="O4293" s="15" t="s">
        <v>1554</v>
      </c>
      <c r="Q4293" s="7"/>
    </row>
    <row r="4294">
      <c r="A4294" s="39" t="s">
        <v>17163</v>
      </c>
      <c r="B4294" s="15">
        <v>1604356.0</v>
      </c>
      <c r="C4294" s="15" t="s">
        <v>17164</v>
      </c>
      <c r="D4294" s="15">
        <v>177527.0</v>
      </c>
      <c r="E4294" s="15" t="s">
        <v>1557</v>
      </c>
      <c r="F4294" s="15" t="s">
        <v>1611</v>
      </c>
      <c r="G4294" s="7">
        <v>69.855</v>
      </c>
      <c r="H4294" s="15" t="s">
        <v>2005</v>
      </c>
      <c r="I4294" s="15" t="s">
        <v>1586</v>
      </c>
      <c r="J4294" s="15" t="s">
        <v>17165</v>
      </c>
      <c r="K4294" s="15">
        <v>84.0</v>
      </c>
      <c r="L4294" s="15">
        <v>82.0</v>
      </c>
      <c r="M4294" s="40">
        <v>41167.0</v>
      </c>
      <c r="N4294" s="40">
        <v>42034.0</v>
      </c>
      <c r="O4294" s="15" t="s">
        <v>1554</v>
      </c>
      <c r="Q4294" s="7"/>
    </row>
    <row r="4295">
      <c r="A4295" s="39" t="s">
        <v>17166</v>
      </c>
      <c r="B4295" s="15">
        <v>1511885.0</v>
      </c>
      <c r="C4295" s="15" t="s">
        <v>17167</v>
      </c>
      <c r="D4295" s="15">
        <v>193977.0</v>
      </c>
      <c r="E4295" s="15" t="s">
        <v>1808</v>
      </c>
      <c r="F4295" s="15" t="s">
        <v>2436</v>
      </c>
      <c r="G4295" s="7">
        <v>5.413</v>
      </c>
      <c r="H4295" s="15" t="s">
        <v>3973</v>
      </c>
      <c r="I4295" s="15" t="s">
        <v>1686</v>
      </c>
      <c r="J4295" s="15" t="s">
        <v>17169</v>
      </c>
      <c r="K4295" s="15">
        <v>4.0</v>
      </c>
      <c r="L4295" s="15">
        <v>4.0</v>
      </c>
      <c r="M4295" s="41">
        <v>40869.0</v>
      </c>
      <c r="N4295" s="40">
        <v>41949.0</v>
      </c>
      <c r="O4295" s="15" t="s">
        <v>1554</v>
      </c>
      <c r="Q4295" s="7"/>
    </row>
    <row r="4296">
      <c r="A4296" s="39" t="s">
        <v>17170</v>
      </c>
      <c r="B4296" s="15">
        <v>1206110.0</v>
      </c>
      <c r="C4296" s="15" t="s">
        <v>17171</v>
      </c>
      <c r="D4296" s="15">
        <v>184392.0</v>
      </c>
      <c r="E4296" s="15" t="s">
        <v>1557</v>
      </c>
      <c r="F4296" s="15" t="s">
        <v>1767</v>
      </c>
      <c r="G4296" s="7">
        <v>36.566</v>
      </c>
      <c r="H4296" s="15" t="s">
        <v>4595</v>
      </c>
      <c r="I4296" s="15" t="s">
        <v>1586</v>
      </c>
      <c r="J4296" s="15" t="s">
        <v>17172</v>
      </c>
      <c r="K4296" s="15">
        <v>56.0</v>
      </c>
      <c r="L4296" s="15">
        <v>56.0</v>
      </c>
      <c r="M4296" s="40">
        <v>41249.0</v>
      </c>
      <c r="N4296" s="41">
        <v>41572.0</v>
      </c>
      <c r="O4296" s="15" t="s">
        <v>1554</v>
      </c>
      <c r="Q4296" s="7"/>
    </row>
    <row r="4297">
      <c r="A4297" s="39" t="s">
        <v>17173</v>
      </c>
      <c r="B4297" s="15">
        <v>1415665.0</v>
      </c>
      <c r="C4297" s="15" t="s">
        <v>17174</v>
      </c>
      <c r="D4297" s="15">
        <v>213142.0</v>
      </c>
      <c r="E4297" s="15" t="s">
        <v>1638</v>
      </c>
      <c r="F4297" s="15" t="s">
        <v>1796</v>
      </c>
      <c r="G4297" s="7">
        <v>3.064</v>
      </c>
      <c r="H4297" s="15" t="s">
        <v>17175</v>
      </c>
      <c r="I4297" s="15" t="s">
        <v>1628</v>
      </c>
      <c r="J4297" s="15" t="s">
        <v>17176</v>
      </c>
      <c r="K4297" s="15">
        <v>2.0</v>
      </c>
      <c r="L4297" s="15">
        <v>2.0</v>
      </c>
      <c r="M4297" s="40">
        <v>41478.0</v>
      </c>
      <c r="N4297" s="41">
        <v>42297.0</v>
      </c>
      <c r="O4297" s="15" t="s">
        <v>1554</v>
      </c>
      <c r="Q4297" s="7"/>
    </row>
    <row r="4298">
      <c r="A4298" s="39" t="s">
        <v>17177</v>
      </c>
      <c r="B4298" s="15">
        <v>1301279.0</v>
      </c>
      <c r="C4298" s="15" t="s">
        <v>17179</v>
      </c>
      <c r="D4298" s="15">
        <v>213405.0</v>
      </c>
      <c r="E4298" s="15" t="s">
        <v>1557</v>
      </c>
      <c r="F4298" s="15" t="s">
        <v>3454</v>
      </c>
      <c r="G4298" s="7">
        <v>197.693</v>
      </c>
      <c r="H4298" s="15">
        <v>28.0</v>
      </c>
      <c r="I4298" s="15" t="s">
        <v>1560</v>
      </c>
      <c r="J4298" s="15" t="s">
        <v>17180</v>
      </c>
      <c r="K4298" s="15">
        <v>167.0</v>
      </c>
      <c r="L4298" s="15">
        <v>167.0</v>
      </c>
      <c r="M4298" s="40">
        <v>41480.0</v>
      </c>
      <c r="N4298" s="40">
        <v>41529.0</v>
      </c>
      <c r="O4298" s="15" t="s">
        <v>1554</v>
      </c>
      <c r="Q4298" s="7"/>
    </row>
    <row r="4299">
      <c r="A4299" s="39" t="s">
        <v>17181</v>
      </c>
      <c r="B4299" s="15">
        <v>1472342.0</v>
      </c>
      <c r="C4299" s="15" t="s">
        <v>17182</v>
      </c>
      <c r="D4299" s="15">
        <v>215652.0</v>
      </c>
      <c r="E4299" s="15" t="s">
        <v>1557</v>
      </c>
      <c r="F4299" s="15" t="s">
        <v>1822</v>
      </c>
      <c r="G4299" s="7">
        <v>7.228</v>
      </c>
      <c r="H4299" s="15" t="s">
        <v>3309</v>
      </c>
      <c r="I4299" s="15" t="s">
        <v>1567</v>
      </c>
      <c r="J4299" s="15" t="s">
        <v>17183</v>
      </c>
      <c r="K4299" s="15">
        <v>6.0</v>
      </c>
      <c r="L4299" s="15">
        <v>6.0</v>
      </c>
      <c r="M4299" s="40">
        <v>41500.0</v>
      </c>
      <c r="N4299" s="40">
        <v>41712.0</v>
      </c>
      <c r="O4299" s="15" t="s">
        <v>1554</v>
      </c>
      <c r="Q4299" s="7"/>
    </row>
    <row r="4300">
      <c r="A4300" s="39" t="s">
        <v>17184</v>
      </c>
      <c r="B4300" s="15">
        <v>1608255.0</v>
      </c>
      <c r="C4300" s="15" t="s">
        <v>17185</v>
      </c>
      <c r="D4300" s="15">
        <v>217990.0</v>
      </c>
      <c r="E4300" s="15" t="s">
        <v>1557</v>
      </c>
      <c r="F4300" s="15" t="s">
        <v>1827</v>
      </c>
      <c r="G4300" s="7">
        <v>128.367</v>
      </c>
      <c r="H4300" s="15" t="s">
        <v>7408</v>
      </c>
      <c r="I4300" s="15" t="s">
        <v>1686</v>
      </c>
      <c r="J4300" s="15" t="s">
        <v>17187</v>
      </c>
      <c r="K4300" s="15">
        <v>80.0</v>
      </c>
      <c r="L4300" s="15">
        <v>80.0</v>
      </c>
      <c r="M4300" s="40">
        <v>41514.0</v>
      </c>
      <c r="N4300" s="40">
        <v>41521.0</v>
      </c>
      <c r="O4300" s="15" t="s">
        <v>1554</v>
      </c>
      <c r="Q4300" s="7"/>
    </row>
    <row r="4301">
      <c r="A4301" s="39" t="s">
        <v>17188</v>
      </c>
      <c r="B4301" s="15">
        <v>1410331.0</v>
      </c>
      <c r="C4301" s="15" t="s">
        <v>17189</v>
      </c>
      <c r="D4301" s="15">
        <v>232453.0</v>
      </c>
      <c r="E4301" s="15" t="s">
        <v>1557</v>
      </c>
      <c r="F4301" s="15" t="s">
        <v>1611</v>
      </c>
      <c r="G4301" s="7">
        <v>38.966</v>
      </c>
      <c r="H4301" s="15" t="s">
        <v>1640</v>
      </c>
      <c r="I4301" s="15" t="s">
        <v>1586</v>
      </c>
      <c r="J4301" s="15" t="s">
        <v>17190</v>
      </c>
      <c r="K4301" s="15">
        <v>45.0</v>
      </c>
      <c r="L4301" s="15">
        <v>45.0</v>
      </c>
      <c r="M4301" s="40">
        <v>41667.0</v>
      </c>
      <c r="N4301" s="40">
        <v>42406.0</v>
      </c>
      <c r="O4301" s="15" t="s">
        <v>1554</v>
      </c>
      <c r="Q4301" s="7"/>
    </row>
    <row r="4302">
      <c r="A4302" s="39" t="s">
        <v>17191</v>
      </c>
      <c r="B4302" s="15">
        <v>1398939.0</v>
      </c>
      <c r="C4302" s="15" t="s">
        <v>17192</v>
      </c>
      <c r="D4302" s="15">
        <v>206059.0</v>
      </c>
      <c r="E4302" s="15" t="s">
        <v>1577</v>
      </c>
      <c r="F4302" s="15" t="s">
        <v>1578</v>
      </c>
      <c r="G4302" s="7">
        <v>5.557</v>
      </c>
      <c r="H4302" s="15" t="s">
        <v>17194</v>
      </c>
      <c r="I4302" s="15" t="s">
        <v>1560</v>
      </c>
      <c r="J4302" s="15" t="s">
        <v>17195</v>
      </c>
      <c r="K4302" s="15">
        <v>5.0</v>
      </c>
      <c r="L4302" s="15">
        <v>5.0</v>
      </c>
      <c r="M4302" s="40">
        <v>41547.0</v>
      </c>
      <c r="N4302" s="41">
        <v>42297.0</v>
      </c>
      <c r="O4302" s="15" t="s">
        <v>1554</v>
      </c>
      <c r="Q4302" s="7"/>
    </row>
    <row r="4303">
      <c r="A4303" s="39" t="s">
        <v>17196</v>
      </c>
      <c r="B4303" s="15">
        <v>1440170.0</v>
      </c>
      <c r="C4303" s="15" t="s">
        <v>17197</v>
      </c>
      <c r="D4303" s="15">
        <v>183000.0</v>
      </c>
      <c r="E4303" s="15" t="s">
        <v>1548</v>
      </c>
      <c r="F4303" s="15" t="s">
        <v>3181</v>
      </c>
      <c r="G4303" s="7">
        <v>11.624</v>
      </c>
      <c r="H4303" s="15" t="s">
        <v>2000</v>
      </c>
      <c r="I4303" s="15" t="s">
        <v>1751</v>
      </c>
      <c r="J4303" s="15" t="s">
        <v>17198</v>
      </c>
      <c r="K4303" s="15">
        <v>2.0</v>
      </c>
      <c r="L4303" s="15">
        <v>2.0</v>
      </c>
      <c r="M4303" s="40">
        <v>41715.0</v>
      </c>
      <c r="N4303" s="40">
        <v>41718.0</v>
      </c>
      <c r="O4303" s="15" t="s">
        <v>1554</v>
      </c>
      <c r="Q4303" s="7"/>
    </row>
    <row r="4304">
      <c r="A4304" s="39" t="s">
        <v>17199</v>
      </c>
      <c r="B4304" s="15">
        <v>1458851.0</v>
      </c>
      <c r="C4304" s="15" t="s">
        <v>17200</v>
      </c>
      <c r="D4304" s="15">
        <v>230494.0</v>
      </c>
      <c r="E4304" s="15" t="s">
        <v>1557</v>
      </c>
      <c r="F4304" s="15" t="s">
        <v>1833</v>
      </c>
      <c r="G4304" s="7">
        <v>55.726</v>
      </c>
      <c r="H4304" s="15">
        <v>40.0</v>
      </c>
      <c r="I4304" s="15" t="s">
        <v>1586</v>
      </c>
      <c r="J4304" s="15" t="s">
        <v>17201</v>
      </c>
      <c r="K4304" s="15">
        <v>89.0</v>
      </c>
      <c r="L4304" s="15">
        <v>88.0</v>
      </c>
      <c r="M4304" s="40">
        <v>41746.0</v>
      </c>
      <c r="N4304" s="40">
        <v>41792.0</v>
      </c>
      <c r="O4304" s="15" t="s">
        <v>1554</v>
      </c>
      <c r="Q4304" s="7"/>
    </row>
    <row r="4305">
      <c r="A4305" s="39" t="s">
        <v>17202</v>
      </c>
      <c r="B4305" s="15">
        <v>1511882.0</v>
      </c>
      <c r="C4305" s="15" t="s">
        <v>17203</v>
      </c>
      <c r="D4305" s="15">
        <v>33891.0</v>
      </c>
      <c r="E4305" s="15" t="s">
        <v>1808</v>
      </c>
      <c r="F4305" s="15" t="s">
        <v>2436</v>
      </c>
      <c r="G4305" s="7">
        <v>5.196</v>
      </c>
      <c r="H4305" s="15" t="s">
        <v>2118</v>
      </c>
      <c r="I4305" s="15" t="s">
        <v>1686</v>
      </c>
      <c r="J4305" s="15" t="s">
        <v>17204</v>
      </c>
      <c r="K4305" s="15">
        <v>4.0</v>
      </c>
      <c r="L4305" s="15">
        <v>4.0</v>
      </c>
      <c r="M4305" s="40">
        <v>39848.0</v>
      </c>
      <c r="N4305" s="40">
        <v>42583.0</v>
      </c>
      <c r="O4305" s="15" t="s">
        <v>1554</v>
      </c>
      <c r="Q4305" s="7"/>
    </row>
    <row r="4306">
      <c r="A4306" s="39" t="s">
        <v>17206</v>
      </c>
      <c r="B4306" s="15">
        <v>1538452.0</v>
      </c>
      <c r="C4306" s="15" t="s">
        <v>17207</v>
      </c>
      <c r="D4306" s="15">
        <v>258184.0</v>
      </c>
      <c r="E4306" s="15" t="s">
        <v>1548</v>
      </c>
      <c r="F4306" s="15" t="s">
        <v>1848</v>
      </c>
      <c r="G4306" s="7">
        <v>6.598</v>
      </c>
      <c r="H4306" s="15" t="s">
        <v>4736</v>
      </c>
      <c r="I4306" s="15" t="s">
        <v>1686</v>
      </c>
      <c r="J4306" s="15" t="s">
        <v>17208</v>
      </c>
      <c r="K4306" s="15">
        <v>3.0</v>
      </c>
      <c r="L4306" s="15">
        <v>3.0</v>
      </c>
      <c r="M4306" s="40">
        <v>41862.0</v>
      </c>
      <c r="N4306" s="41">
        <v>41964.0</v>
      </c>
      <c r="O4306" s="15" t="s">
        <v>1554</v>
      </c>
      <c r="Q4306" s="7"/>
    </row>
    <row r="4307">
      <c r="A4307" s="39" t="s">
        <v>17209</v>
      </c>
      <c r="B4307" s="15">
        <v>1477406.0</v>
      </c>
      <c r="C4307" s="15" t="s">
        <v>17210</v>
      </c>
      <c r="D4307" s="15">
        <v>242299.0</v>
      </c>
      <c r="E4307" s="15" t="s">
        <v>1557</v>
      </c>
      <c r="F4307" s="15" t="s">
        <v>1767</v>
      </c>
      <c r="G4307" s="7">
        <v>155.346</v>
      </c>
      <c r="H4307" s="15" t="s">
        <v>5475</v>
      </c>
      <c r="I4307" s="15" t="s">
        <v>1586</v>
      </c>
      <c r="J4307" s="15" t="s">
        <v>17211</v>
      </c>
      <c r="K4307" s="15">
        <v>197.0</v>
      </c>
      <c r="L4307" s="15">
        <v>196.0</v>
      </c>
      <c r="M4307" s="40">
        <v>41862.0</v>
      </c>
      <c r="N4307" s="41">
        <v>41953.0</v>
      </c>
      <c r="O4307" s="15" t="s">
        <v>1554</v>
      </c>
      <c r="Q4307" s="7"/>
    </row>
    <row r="4308">
      <c r="A4308" s="39" t="s">
        <v>17212</v>
      </c>
      <c r="B4308" s="15">
        <v>1494074.0</v>
      </c>
      <c r="C4308" s="15" t="s">
        <v>17213</v>
      </c>
      <c r="D4308" s="15">
        <v>275808.0</v>
      </c>
      <c r="E4308" s="15" t="s">
        <v>1548</v>
      </c>
      <c r="F4308" s="15" t="s">
        <v>5261</v>
      </c>
      <c r="G4308" s="7">
        <v>2.53</v>
      </c>
      <c r="H4308" s="15" t="s">
        <v>1994</v>
      </c>
      <c r="I4308" s="15" t="s">
        <v>1552</v>
      </c>
      <c r="J4308" s="15" t="s">
        <v>17215</v>
      </c>
      <c r="K4308" s="15">
        <v>1.0</v>
      </c>
      <c r="L4308" s="15">
        <v>1.0</v>
      </c>
      <c r="M4308" s="40">
        <v>42051.0</v>
      </c>
      <c r="N4308" s="40">
        <v>42061.0</v>
      </c>
      <c r="O4308" s="15" t="s">
        <v>1554</v>
      </c>
      <c r="Q4308" s="7"/>
    </row>
    <row r="4309">
      <c r="A4309" s="39" t="s">
        <v>17216</v>
      </c>
      <c r="B4309" s="15">
        <v>1611875.0</v>
      </c>
      <c r="C4309" s="15" t="s">
        <v>17217</v>
      </c>
      <c r="D4309" s="15">
        <v>275895.0</v>
      </c>
      <c r="E4309" s="15" t="s">
        <v>1664</v>
      </c>
      <c r="F4309" s="15" t="s">
        <v>1664</v>
      </c>
      <c r="G4309" s="7">
        <v>2.934</v>
      </c>
      <c r="H4309" s="15" t="s">
        <v>1802</v>
      </c>
      <c r="I4309" s="15" t="s">
        <v>1628</v>
      </c>
      <c r="J4309" s="15" t="s">
        <v>17218</v>
      </c>
      <c r="K4309" s="15">
        <v>2.0</v>
      </c>
      <c r="L4309" s="15">
        <v>2.0</v>
      </c>
      <c r="M4309" s="40">
        <v>42053.0</v>
      </c>
      <c r="N4309" s="40">
        <v>42061.0</v>
      </c>
      <c r="O4309" s="15" t="s">
        <v>1554</v>
      </c>
      <c r="Q4309" s="7"/>
    </row>
    <row r="4310">
      <c r="A4310" s="39" t="s">
        <v>17219</v>
      </c>
      <c r="B4310" s="15">
        <v>307454.0</v>
      </c>
      <c r="C4310" s="15" t="s">
        <v>17220</v>
      </c>
      <c r="D4310" s="15">
        <v>276252.0</v>
      </c>
      <c r="E4310" s="15" t="s">
        <v>1557</v>
      </c>
      <c r="F4310" s="15" t="s">
        <v>1992</v>
      </c>
      <c r="G4310" s="7">
        <v>140.913</v>
      </c>
      <c r="H4310" s="15" t="s">
        <v>1720</v>
      </c>
      <c r="I4310" s="15" t="s">
        <v>1560</v>
      </c>
      <c r="J4310" s="15" t="s">
        <v>17222</v>
      </c>
      <c r="K4310" s="15">
        <v>146.0</v>
      </c>
      <c r="L4310" s="15">
        <v>146.0</v>
      </c>
      <c r="M4310" s="40">
        <v>42051.0</v>
      </c>
      <c r="N4310" s="40">
        <v>42061.0</v>
      </c>
      <c r="O4310" s="15" t="s">
        <v>1554</v>
      </c>
      <c r="Q4310" s="7"/>
    </row>
    <row r="4311">
      <c r="A4311" s="39" t="s">
        <v>17223</v>
      </c>
      <c r="B4311" s="15">
        <v>1611435.0</v>
      </c>
      <c r="C4311" s="15" t="s">
        <v>17224</v>
      </c>
      <c r="D4311" s="15">
        <v>276253.0</v>
      </c>
      <c r="E4311" s="15" t="s">
        <v>1808</v>
      </c>
      <c r="F4311" s="15" t="s">
        <v>1809</v>
      </c>
      <c r="G4311" s="7">
        <v>5.404</v>
      </c>
      <c r="H4311" s="15" t="s">
        <v>17225</v>
      </c>
      <c r="I4311" s="15" t="s">
        <v>1628</v>
      </c>
      <c r="J4311" s="15" t="s">
        <v>17226</v>
      </c>
      <c r="K4311" s="15">
        <v>8.0</v>
      </c>
      <c r="L4311" s="15">
        <v>8.0</v>
      </c>
      <c r="M4311" s="40">
        <v>42052.0</v>
      </c>
      <c r="N4311" s="41">
        <v>42297.0</v>
      </c>
      <c r="O4311" s="15" t="s">
        <v>1554</v>
      </c>
      <c r="Q4311" s="7"/>
    </row>
    <row r="4312">
      <c r="A4312" s="39" t="s">
        <v>17227</v>
      </c>
      <c r="B4312" s="15">
        <v>1611039.0</v>
      </c>
      <c r="C4312" s="15" t="s">
        <v>17228</v>
      </c>
      <c r="D4312" s="15">
        <v>276254.0</v>
      </c>
      <c r="E4312" s="15" t="s">
        <v>1808</v>
      </c>
      <c r="F4312" s="15" t="s">
        <v>1998</v>
      </c>
      <c r="G4312" s="7">
        <v>1.759</v>
      </c>
      <c r="H4312" s="15" t="s">
        <v>5934</v>
      </c>
      <c r="I4312" s="15" t="s">
        <v>1686</v>
      </c>
      <c r="J4312" s="15" t="s">
        <v>17230</v>
      </c>
      <c r="K4312" s="15">
        <v>2.0</v>
      </c>
      <c r="L4312" s="15">
        <v>2.0</v>
      </c>
      <c r="M4312" s="40">
        <v>42053.0</v>
      </c>
      <c r="N4312" s="40">
        <v>42097.0</v>
      </c>
      <c r="O4312" s="15" t="s">
        <v>1554</v>
      </c>
      <c r="Q4312" s="7"/>
    </row>
    <row r="4313">
      <c r="A4313" s="39" t="s">
        <v>17231</v>
      </c>
      <c r="B4313" s="15">
        <v>674953.0</v>
      </c>
      <c r="C4313" s="15" t="s">
        <v>17232</v>
      </c>
      <c r="D4313" s="15">
        <v>14813.0</v>
      </c>
      <c r="E4313" s="15" t="s">
        <v>1638</v>
      </c>
      <c r="F4313" s="15" t="s">
        <v>1639</v>
      </c>
      <c r="G4313" s="7">
        <v>4.647</v>
      </c>
      <c r="H4313" s="15" t="s">
        <v>3097</v>
      </c>
      <c r="I4313" s="15" t="s">
        <v>1740</v>
      </c>
      <c r="J4313" s="15" t="s">
        <v>17233</v>
      </c>
      <c r="K4313" s="15">
        <v>1.0</v>
      </c>
      <c r="L4313" s="15">
        <v>2.0</v>
      </c>
      <c r="M4313" s="40">
        <v>34767.0</v>
      </c>
      <c r="N4313" s="40">
        <v>42577.0</v>
      </c>
      <c r="O4313" s="15" t="s">
        <v>1554</v>
      </c>
      <c r="Q4313" s="7"/>
    </row>
    <row r="4314">
      <c r="A4314" s="39" t="s">
        <v>17234</v>
      </c>
      <c r="B4314" s="15">
        <v>1548907.0</v>
      </c>
      <c r="C4314" s="15" t="s">
        <v>17235</v>
      </c>
      <c r="D4314" s="15">
        <v>276681.0</v>
      </c>
      <c r="E4314" s="15" t="s">
        <v>1557</v>
      </c>
      <c r="F4314" s="15" t="s">
        <v>1767</v>
      </c>
      <c r="G4314" s="7">
        <v>66.299</v>
      </c>
      <c r="H4314" s="15" t="s">
        <v>3794</v>
      </c>
      <c r="I4314" s="15" t="s">
        <v>1586</v>
      </c>
      <c r="J4314" s="15" t="s">
        <v>17237</v>
      </c>
      <c r="K4314" s="15">
        <v>93.0</v>
      </c>
      <c r="L4314" s="15">
        <v>93.0</v>
      </c>
      <c r="M4314" s="41">
        <v>41953.0</v>
      </c>
      <c r="N4314" s="40">
        <v>42188.0</v>
      </c>
      <c r="O4314" s="15" t="s">
        <v>1554</v>
      </c>
      <c r="Q4314" s="7"/>
    </row>
    <row r="4315">
      <c r="A4315" s="39" t="s">
        <v>17238</v>
      </c>
      <c r="B4315" s="15">
        <v>1074044.0</v>
      </c>
      <c r="C4315" s="15" t="s">
        <v>17239</v>
      </c>
      <c r="D4315" s="15">
        <v>276713.0</v>
      </c>
      <c r="E4315" s="15" t="s">
        <v>1808</v>
      </c>
      <c r="F4315" s="15" t="s">
        <v>2969</v>
      </c>
      <c r="G4315" s="7">
        <v>4.817</v>
      </c>
      <c r="H4315" s="15" t="s">
        <v>2107</v>
      </c>
      <c r="I4315" s="15" t="s">
        <v>1586</v>
      </c>
      <c r="J4315" s="15" t="s">
        <v>17240</v>
      </c>
      <c r="K4315" s="15">
        <v>8.0</v>
      </c>
      <c r="L4315" s="15">
        <v>8.0</v>
      </c>
      <c r="M4315" s="40">
        <v>40821.0</v>
      </c>
      <c r="N4315" s="40">
        <v>42067.0</v>
      </c>
      <c r="O4315" s="15" t="s">
        <v>1554</v>
      </c>
      <c r="Q4315" s="7"/>
    </row>
    <row r="4316">
      <c r="A4316" s="39" t="s">
        <v>17241</v>
      </c>
      <c r="B4316" s="15">
        <v>1527463.0</v>
      </c>
      <c r="C4316" s="15" t="s">
        <v>17242</v>
      </c>
      <c r="D4316" s="15">
        <v>276849.0</v>
      </c>
      <c r="E4316" s="15" t="s">
        <v>1557</v>
      </c>
      <c r="F4316" s="15" t="s">
        <v>1833</v>
      </c>
      <c r="G4316" s="7">
        <v>53.636</v>
      </c>
      <c r="H4316" s="15" t="s">
        <v>2038</v>
      </c>
      <c r="I4316" s="15" t="s">
        <v>1586</v>
      </c>
      <c r="J4316" s="15" t="s">
        <v>17244</v>
      </c>
      <c r="K4316" s="15">
        <v>102.0</v>
      </c>
      <c r="L4316" s="15">
        <v>102.0</v>
      </c>
      <c r="M4316" s="40">
        <v>41877.0</v>
      </c>
      <c r="N4316" s="40">
        <v>42067.0</v>
      </c>
      <c r="O4316" s="15" t="s">
        <v>1554</v>
      </c>
      <c r="Q4316" s="7"/>
    </row>
    <row r="4317">
      <c r="A4317" s="39" t="s">
        <v>17245</v>
      </c>
      <c r="B4317" s="15">
        <v>1486472.0</v>
      </c>
      <c r="C4317" s="15" t="s">
        <v>17246</v>
      </c>
      <c r="D4317" s="15">
        <v>276850.0</v>
      </c>
      <c r="E4317" s="15" t="s">
        <v>1557</v>
      </c>
      <c r="F4317" s="15" t="s">
        <v>1833</v>
      </c>
      <c r="G4317" s="7">
        <v>90.46</v>
      </c>
      <c r="H4317" s="15" t="s">
        <v>3220</v>
      </c>
      <c r="I4317" s="15" t="s">
        <v>1586</v>
      </c>
      <c r="J4317" s="15" t="s">
        <v>17247</v>
      </c>
      <c r="K4317" s="15">
        <v>183.0</v>
      </c>
      <c r="L4317" s="15">
        <v>179.0</v>
      </c>
      <c r="M4317" s="40">
        <v>41818.0</v>
      </c>
      <c r="N4317" s="40">
        <v>42067.0</v>
      </c>
      <c r="O4317" s="15" t="s">
        <v>1554</v>
      </c>
      <c r="Q4317" s="7"/>
    </row>
    <row r="4318">
      <c r="A4318" s="39" t="s">
        <v>17248</v>
      </c>
      <c r="B4318" s="15">
        <v>1445860.0</v>
      </c>
      <c r="C4318" s="15" t="s">
        <v>17249</v>
      </c>
      <c r="D4318" s="15">
        <v>276851.0</v>
      </c>
      <c r="E4318" s="15" t="s">
        <v>1557</v>
      </c>
      <c r="F4318" s="15" t="s">
        <v>1767</v>
      </c>
      <c r="G4318" s="7">
        <v>159.914</v>
      </c>
      <c r="H4318" s="15" t="s">
        <v>4331</v>
      </c>
      <c r="I4318" s="15" t="s">
        <v>1586</v>
      </c>
      <c r="J4318" s="15" t="s">
        <v>17250</v>
      </c>
      <c r="K4318" s="15">
        <v>259.0</v>
      </c>
      <c r="L4318" s="15">
        <v>259.0</v>
      </c>
      <c r="M4318" s="40">
        <v>42045.0</v>
      </c>
      <c r="N4318" s="40">
        <v>42186.0</v>
      </c>
      <c r="O4318" s="15" t="s">
        <v>1554</v>
      </c>
      <c r="Q4318" s="7"/>
    </row>
    <row r="4319">
      <c r="A4319" s="39" t="s">
        <v>17252</v>
      </c>
      <c r="B4319" s="15">
        <v>1561065.0</v>
      </c>
      <c r="C4319" s="15" t="s">
        <v>17253</v>
      </c>
      <c r="D4319" s="15">
        <v>276855.0</v>
      </c>
      <c r="E4319" s="15" t="s">
        <v>1557</v>
      </c>
      <c r="F4319" s="15" t="s">
        <v>1833</v>
      </c>
      <c r="G4319" s="7">
        <v>42.093</v>
      </c>
      <c r="H4319" s="15" t="s">
        <v>2131</v>
      </c>
      <c r="I4319" s="15" t="s">
        <v>1586</v>
      </c>
      <c r="J4319" s="15" t="s">
        <v>17254</v>
      </c>
      <c r="K4319" s="15">
        <v>52.0</v>
      </c>
      <c r="L4319" s="15">
        <v>52.0</v>
      </c>
      <c r="M4319" s="40">
        <v>42022.0</v>
      </c>
      <c r="N4319" s="40">
        <v>42067.0</v>
      </c>
      <c r="O4319" s="15" t="s">
        <v>1554</v>
      </c>
      <c r="Q4319" s="7"/>
    </row>
    <row r="4320">
      <c r="A4320" s="39" t="s">
        <v>17255</v>
      </c>
      <c r="B4320" s="15">
        <v>1548918.0</v>
      </c>
      <c r="C4320" s="15" t="s">
        <v>17256</v>
      </c>
      <c r="D4320" s="15">
        <v>276856.0</v>
      </c>
      <c r="E4320" s="15" t="s">
        <v>1557</v>
      </c>
      <c r="F4320" s="15" t="s">
        <v>1833</v>
      </c>
      <c r="G4320" s="7">
        <v>37.238</v>
      </c>
      <c r="H4320" s="15" t="s">
        <v>12937</v>
      </c>
      <c r="I4320" s="15" t="s">
        <v>1586</v>
      </c>
      <c r="J4320" s="15" t="s">
        <v>17257</v>
      </c>
      <c r="K4320" s="15">
        <v>59.0</v>
      </c>
      <c r="L4320" s="15">
        <v>59.0</v>
      </c>
      <c r="M4320" s="41">
        <v>41953.0</v>
      </c>
      <c r="N4320" s="40">
        <v>42188.0</v>
      </c>
      <c r="O4320" s="15" t="s">
        <v>1554</v>
      </c>
      <c r="Q4320" s="7"/>
    </row>
    <row r="4321">
      <c r="A4321" s="39" t="s">
        <v>17258</v>
      </c>
      <c r="B4321" s="15">
        <v>1548917.0</v>
      </c>
      <c r="C4321" s="15" t="s">
        <v>17259</v>
      </c>
      <c r="D4321" s="15">
        <v>276857.0</v>
      </c>
      <c r="E4321" s="15" t="s">
        <v>1557</v>
      </c>
      <c r="F4321" s="15" t="s">
        <v>1767</v>
      </c>
      <c r="G4321" s="7">
        <v>66.181</v>
      </c>
      <c r="H4321" s="15" t="s">
        <v>3776</v>
      </c>
      <c r="I4321" s="15" t="s">
        <v>1586</v>
      </c>
      <c r="J4321" s="15" t="s">
        <v>17261</v>
      </c>
      <c r="K4321" s="15" t="s">
        <v>1722</v>
      </c>
      <c r="L4321" s="15" t="s">
        <v>1722</v>
      </c>
      <c r="M4321" s="41">
        <v>41953.0</v>
      </c>
      <c r="N4321" s="40">
        <v>42188.0</v>
      </c>
      <c r="O4321" s="15" t="s">
        <v>1554</v>
      </c>
      <c r="Q4321" s="7"/>
    </row>
    <row r="4322">
      <c r="A4322" s="39" t="s">
        <v>17262</v>
      </c>
      <c r="B4322" s="15">
        <v>1548906.0</v>
      </c>
      <c r="C4322" s="15" t="s">
        <v>17263</v>
      </c>
      <c r="D4322" s="15">
        <v>276858.0</v>
      </c>
      <c r="E4322" s="15" t="s">
        <v>1557</v>
      </c>
      <c r="F4322" s="15" t="s">
        <v>1611</v>
      </c>
      <c r="G4322" s="7">
        <v>45.808</v>
      </c>
      <c r="H4322" s="15" t="s">
        <v>3242</v>
      </c>
      <c r="I4322" s="15" t="s">
        <v>1586</v>
      </c>
      <c r="J4322" s="15" t="s">
        <v>17264</v>
      </c>
      <c r="K4322" s="15">
        <v>74.0</v>
      </c>
      <c r="L4322" s="15">
        <v>71.0</v>
      </c>
      <c r="M4322" s="41">
        <v>41953.0</v>
      </c>
      <c r="N4322" s="40">
        <v>42188.0</v>
      </c>
      <c r="O4322" s="15" t="s">
        <v>1554</v>
      </c>
      <c r="Q4322" s="7"/>
    </row>
    <row r="4323">
      <c r="A4323" s="39" t="s">
        <v>17265</v>
      </c>
      <c r="B4323" s="15">
        <v>1548905.0</v>
      </c>
      <c r="C4323" s="15" t="s">
        <v>17266</v>
      </c>
      <c r="D4323" s="15">
        <v>276859.0</v>
      </c>
      <c r="E4323" s="15" t="s">
        <v>1557</v>
      </c>
      <c r="F4323" s="15" t="s">
        <v>1833</v>
      </c>
      <c r="G4323" s="7">
        <v>56.537</v>
      </c>
      <c r="H4323" s="15" t="s">
        <v>3832</v>
      </c>
      <c r="I4323" s="15" t="s">
        <v>1586</v>
      </c>
      <c r="J4323" s="15" t="s">
        <v>17267</v>
      </c>
      <c r="K4323" s="15">
        <v>76.0</v>
      </c>
      <c r="L4323" s="15">
        <v>76.0</v>
      </c>
      <c r="M4323" s="41">
        <v>41953.0</v>
      </c>
      <c r="N4323" s="40">
        <v>42188.0</v>
      </c>
      <c r="O4323" s="15" t="s">
        <v>1554</v>
      </c>
      <c r="Q4323" s="7"/>
    </row>
    <row r="4324">
      <c r="A4324" s="39" t="s">
        <v>17269</v>
      </c>
      <c r="B4324" s="15">
        <v>1548902.0</v>
      </c>
      <c r="C4324" s="15" t="s">
        <v>17270</v>
      </c>
      <c r="D4324" s="15">
        <v>276860.0</v>
      </c>
      <c r="E4324" s="15" t="s">
        <v>1557</v>
      </c>
      <c r="F4324" s="15" t="s">
        <v>1611</v>
      </c>
      <c r="G4324" s="7">
        <v>43.639</v>
      </c>
      <c r="H4324" s="15" t="s">
        <v>2094</v>
      </c>
      <c r="I4324" s="15" t="s">
        <v>1586</v>
      </c>
      <c r="J4324" s="15" t="s">
        <v>17271</v>
      </c>
      <c r="K4324" s="15">
        <v>54.0</v>
      </c>
      <c r="L4324" s="15">
        <v>54.0</v>
      </c>
      <c r="M4324" s="41">
        <v>41953.0</v>
      </c>
      <c r="N4324" s="40">
        <v>42188.0</v>
      </c>
      <c r="O4324" s="15" t="s">
        <v>1554</v>
      </c>
      <c r="Q4324" s="7"/>
    </row>
    <row r="4325">
      <c r="A4325" s="39" t="s">
        <v>17272</v>
      </c>
      <c r="B4325" s="15">
        <v>1548901.0</v>
      </c>
      <c r="C4325" s="15" t="s">
        <v>17273</v>
      </c>
      <c r="D4325" s="15">
        <v>276861.0</v>
      </c>
      <c r="E4325" s="15" t="s">
        <v>1557</v>
      </c>
      <c r="F4325" s="15" t="s">
        <v>1767</v>
      </c>
      <c r="G4325" s="7">
        <v>86.246</v>
      </c>
      <c r="H4325" s="15" t="s">
        <v>2996</v>
      </c>
      <c r="I4325" s="15" t="s">
        <v>1586</v>
      </c>
      <c r="J4325" s="15" t="s">
        <v>17274</v>
      </c>
      <c r="K4325" s="15">
        <v>159.0</v>
      </c>
      <c r="L4325" s="15">
        <v>156.0</v>
      </c>
      <c r="M4325" s="41">
        <v>41953.0</v>
      </c>
      <c r="N4325" s="40">
        <v>42546.0</v>
      </c>
      <c r="O4325" s="15" t="s">
        <v>1554</v>
      </c>
      <c r="Q4325" s="7"/>
    </row>
    <row r="4326">
      <c r="A4326" s="39" t="s">
        <v>17276</v>
      </c>
      <c r="B4326" s="15">
        <v>1538804.0</v>
      </c>
      <c r="C4326" s="15" t="s">
        <v>17277</v>
      </c>
      <c r="D4326" s="15">
        <v>276862.0</v>
      </c>
      <c r="E4326" s="15" t="s">
        <v>1557</v>
      </c>
      <c r="F4326" s="15" t="s">
        <v>1833</v>
      </c>
      <c r="G4326" s="7">
        <v>56.637</v>
      </c>
      <c r="H4326" s="15" t="s">
        <v>5521</v>
      </c>
      <c r="I4326" s="15" t="s">
        <v>1586</v>
      </c>
      <c r="J4326" s="15" t="s">
        <v>17278</v>
      </c>
      <c r="K4326" s="15">
        <v>80.0</v>
      </c>
      <c r="L4326" s="15">
        <v>80.0</v>
      </c>
      <c r="M4326" s="40">
        <v>41891.0</v>
      </c>
      <c r="N4326" s="40">
        <v>43012.0</v>
      </c>
      <c r="O4326" s="15" t="s">
        <v>1554</v>
      </c>
      <c r="Q4326" s="7"/>
    </row>
    <row r="4327">
      <c r="A4327" s="39" t="s">
        <v>17279</v>
      </c>
      <c r="B4327" s="15">
        <v>1537091.0</v>
      </c>
      <c r="C4327" s="15" t="s">
        <v>17280</v>
      </c>
      <c r="D4327" s="15">
        <v>276863.0</v>
      </c>
      <c r="E4327" s="15" t="s">
        <v>1557</v>
      </c>
      <c r="F4327" s="15" t="s">
        <v>1767</v>
      </c>
      <c r="G4327" s="7">
        <v>43.129</v>
      </c>
      <c r="H4327" s="15" t="s">
        <v>5521</v>
      </c>
      <c r="I4327" s="15" t="s">
        <v>1586</v>
      </c>
      <c r="J4327" s="15" t="s">
        <v>17281</v>
      </c>
      <c r="K4327" s="15">
        <v>82.0</v>
      </c>
      <c r="L4327" s="15">
        <v>82.0</v>
      </c>
      <c r="M4327" s="40">
        <v>41872.0</v>
      </c>
      <c r="N4327" s="40">
        <v>42531.0</v>
      </c>
      <c r="O4327" s="15" t="s">
        <v>1554</v>
      </c>
      <c r="Q4327" s="7"/>
    </row>
    <row r="4328">
      <c r="A4328" s="39" t="s">
        <v>17282</v>
      </c>
      <c r="B4328" s="15">
        <v>1449897.0</v>
      </c>
      <c r="C4328" s="15" t="s">
        <v>17283</v>
      </c>
      <c r="D4328" s="15">
        <v>276864.0</v>
      </c>
      <c r="E4328" s="15" t="s">
        <v>1808</v>
      </c>
      <c r="F4328" s="15" t="s">
        <v>2969</v>
      </c>
      <c r="G4328" s="7">
        <v>5.21</v>
      </c>
      <c r="H4328" s="15" t="s">
        <v>1943</v>
      </c>
      <c r="I4328" s="15" t="s">
        <v>1586</v>
      </c>
      <c r="J4328" s="15" t="s">
        <v>17285</v>
      </c>
      <c r="K4328" s="15">
        <v>8.0</v>
      </c>
      <c r="L4328" s="15">
        <v>8.0</v>
      </c>
      <c r="M4328" s="40">
        <v>41668.0</v>
      </c>
      <c r="N4328" s="40">
        <v>42067.0</v>
      </c>
      <c r="O4328" s="15" t="s">
        <v>1554</v>
      </c>
      <c r="Q4328" s="7"/>
    </row>
    <row r="4329">
      <c r="A4329" s="39" t="s">
        <v>17286</v>
      </c>
      <c r="B4329" s="15">
        <v>1449896.0</v>
      </c>
      <c r="C4329" s="15" t="s">
        <v>17287</v>
      </c>
      <c r="D4329" s="15">
        <v>276865.0</v>
      </c>
      <c r="E4329" s="15" t="s">
        <v>1808</v>
      </c>
      <c r="F4329" s="15" t="s">
        <v>2969</v>
      </c>
      <c r="G4329" s="7">
        <v>5.077</v>
      </c>
      <c r="H4329" s="15">
        <v>45.0</v>
      </c>
      <c r="I4329" s="15" t="s">
        <v>1586</v>
      </c>
      <c r="J4329" s="15" t="s">
        <v>17288</v>
      </c>
      <c r="K4329" s="15">
        <v>8.0</v>
      </c>
      <c r="L4329" s="15">
        <v>8.0</v>
      </c>
      <c r="M4329" s="40">
        <v>41668.0</v>
      </c>
      <c r="N4329" s="40">
        <v>42067.0</v>
      </c>
      <c r="O4329" s="15" t="s">
        <v>1554</v>
      </c>
      <c r="Q4329" s="7"/>
    </row>
    <row r="4330">
      <c r="A4330" s="39" t="s">
        <v>17289</v>
      </c>
      <c r="B4330" s="15">
        <v>1214459.0</v>
      </c>
      <c r="C4330" s="15" t="s">
        <v>17290</v>
      </c>
      <c r="D4330" s="15">
        <v>276866.0</v>
      </c>
      <c r="E4330" s="15" t="s">
        <v>1548</v>
      </c>
      <c r="F4330" s="15" t="s">
        <v>1633</v>
      </c>
      <c r="G4330" s="7">
        <v>7.531</v>
      </c>
      <c r="H4330" s="15" t="s">
        <v>2284</v>
      </c>
      <c r="I4330" s="15" t="s">
        <v>1628</v>
      </c>
      <c r="J4330" s="15" t="s">
        <v>17291</v>
      </c>
      <c r="K4330" s="15">
        <v>6.0</v>
      </c>
      <c r="L4330" s="15">
        <v>6.0</v>
      </c>
      <c r="M4330" s="40">
        <v>42058.0</v>
      </c>
      <c r="N4330" s="40">
        <v>42067.0</v>
      </c>
      <c r="O4330" s="15" t="s">
        <v>1554</v>
      </c>
      <c r="Q4330" s="7"/>
    </row>
    <row r="4331">
      <c r="A4331" s="39" t="s">
        <v>17293</v>
      </c>
      <c r="B4331" s="15">
        <v>1567475.0</v>
      </c>
      <c r="C4331" s="15" t="s">
        <v>17294</v>
      </c>
      <c r="D4331" s="15">
        <v>276867.0</v>
      </c>
      <c r="E4331" s="15" t="s">
        <v>1557</v>
      </c>
      <c r="F4331" s="15" t="s">
        <v>1833</v>
      </c>
      <c r="G4331" s="7">
        <v>55.832</v>
      </c>
      <c r="H4331" s="15" t="s">
        <v>17295</v>
      </c>
      <c r="I4331" s="15" t="s">
        <v>1586</v>
      </c>
      <c r="J4331" s="15" t="s">
        <v>17296</v>
      </c>
      <c r="K4331" s="15">
        <v>89.0</v>
      </c>
      <c r="L4331" s="15">
        <v>89.0</v>
      </c>
      <c r="M4331" s="41">
        <v>42001.0</v>
      </c>
      <c r="N4331" s="40">
        <v>42067.0</v>
      </c>
      <c r="O4331" s="15" t="s">
        <v>1554</v>
      </c>
      <c r="Q4331" s="7"/>
    </row>
    <row r="4332">
      <c r="A4332" s="39" t="s">
        <v>17297</v>
      </c>
      <c r="B4332" s="15">
        <v>1567473.0</v>
      </c>
      <c r="C4332" s="15" t="s">
        <v>17298</v>
      </c>
      <c r="D4332" s="15">
        <v>276868.0</v>
      </c>
      <c r="E4332" s="15" t="s">
        <v>1557</v>
      </c>
      <c r="F4332" s="15" t="s">
        <v>1833</v>
      </c>
      <c r="G4332" s="7">
        <v>58.211</v>
      </c>
      <c r="H4332" s="15" t="s">
        <v>6951</v>
      </c>
      <c r="I4332" s="15" t="s">
        <v>1586</v>
      </c>
      <c r="J4332" s="15" t="s">
        <v>17299</v>
      </c>
      <c r="K4332" s="15">
        <v>94.0</v>
      </c>
      <c r="L4332" s="15">
        <v>94.0</v>
      </c>
      <c r="M4332" s="41">
        <v>42001.0</v>
      </c>
      <c r="N4332" s="40">
        <v>42067.0</v>
      </c>
      <c r="O4332" s="15" t="s">
        <v>1554</v>
      </c>
      <c r="Q4332" s="7"/>
    </row>
    <row r="4333">
      <c r="A4333" s="39" t="s">
        <v>17300</v>
      </c>
      <c r="B4333" s="15">
        <v>1567472.0</v>
      </c>
      <c r="C4333" s="15" t="s">
        <v>17302</v>
      </c>
      <c r="D4333" s="15">
        <v>276869.0</v>
      </c>
      <c r="E4333" s="15" t="s">
        <v>1557</v>
      </c>
      <c r="F4333" s="15" t="s">
        <v>1833</v>
      </c>
      <c r="G4333" s="7">
        <v>46.869</v>
      </c>
      <c r="H4333" s="15" t="s">
        <v>2632</v>
      </c>
      <c r="I4333" s="15" t="s">
        <v>1586</v>
      </c>
      <c r="J4333" s="15" t="s">
        <v>17303</v>
      </c>
      <c r="K4333" s="15">
        <v>79.0</v>
      </c>
      <c r="L4333" s="15">
        <v>79.0</v>
      </c>
      <c r="M4333" s="40">
        <v>42036.0</v>
      </c>
      <c r="N4333" s="40">
        <v>42752.0</v>
      </c>
      <c r="O4333" s="15" t="s">
        <v>1554</v>
      </c>
      <c r="Q4333" s="7"/>
    </row>
    <row r="4334">
      <c r="A4334" s="39" t="s">
        <v>17304</v>
      </c>
      <c r="B4334" s="15">
        <v>1567471.0</v>
      </c>
      <c r="C4334" s="15" t="s">
        <v>17305</v>
      </c>
      <c r="D4334" s="15">
        <v>276870.0</v>
      </c>
      <c r="E4334" s="15" t="s">
        <v>1557</v>
      </c>
      <c r="F4334" s="15" t="s">
        <v>1833</v>
      </c>
      <c r="G4334" s="7">
        <v>61.251</v>
      </c>
      <c r="H4334" s="15" t="s">
        <v>8962</v>
      </c>
      <c r="I4334" s="15" t="s">
        <v>1586</v>
      </c>
      <c r="J4334" s="15" t="s">
        <v>17306</v>
      </c>
      <c r="K4334" s="15">
        <v>101.0</v>
      </c>
      <c r="L4334" s="15">
        <v>101.0</v>
      </c>
      <c r="M4334" s="40">
        <v>42022.0</v>
      </c>
      <c r="N4334" s="40">
        <v>42067.0</v>
      </c>
      <c r="O4334" s="15" t="s">
        <v>1554</v>
      </c>
      <c r="Q4334" s="7"/>
    </row>
    <row r="4335">
      <c r="A4335" s="39" t="s">
        <v>17307</v>
      </c>
      <c r="B4335" s="15">
        <v>1567466.0</v>
      </c>
      <c r="C4335" s="15" t="s">
        <v>17308</v>
      </c>
      <c r="D4335" s="15">
        <v>276871.0</v>
      </c>
      <c r="E4335" s="15" t="s">
        <v>1557</v>
      </c>
      <c r="F4335" s="15" t="s">
        <v>1833</v>
      </c>
      <c r="G4335" s="7">
        <v>49.577</v>
      </c>
      <c r="H4335" s="15" t="s">
        <v>3542</v>
      </c>
      <c r="I4335" s="15" t="s">
        <v>1586</v>
      </c>
      <c r="J4335" s="15" t="s">
        <v>17309</v>
      </c>
      <c r="K4335" s="15">
        <v>86.0</v>
      </c>
      <c r="L4335" s="15">
        <v>86.0</v>
      </c>
      <c r="M4335" s="40">
        <v>42022.0</v>
      </c>
      <c r="N4335" s="40">
        <v>42067.0</v>
      </c>
      <c r="O4335" s="15" t="s">
        <v>1554</v>
      </c>
      <c r="Q4335" s="7"/>
    </row>
    <row r="4336">
      <c r="A4336" s="39" t="s">
        <v>17311</v>
      </c>
      <c r="B4336" s="15">
        <v>1566993.0</v>
      </c>
      <c r="C4336" s="15" t="s">
        <v>17312</v>
      </c>
      <c r="D4336" s="15">
        <v>276872.0</v>
      </c>
      <c r="E4336" s="15" t="s">
        <v>1557</v>
      </c>
      <c r="F4336" s="15" t="s">
        <v>1767</v>
      </c>
      <c r="G4336" s="7">
        <v>71.2</v>
      </c>
      <c r="H4336" s="15" t="s">
        <v>10442</v>
      </c>
      <c r="I4336" s="15" t="s">
        <v>1586</v>
      </c>
      <c r="J4336" s="15" t="s">
        <v>17313</v>
      </c>
      <c r="K4336" s="15">
        <v>101.0</v>
      </c>
      <c r="L4336" s="15">
        <v>101.0</v>
      </c>
      <c r="M4336" s="40">
        <v>42005.0</v>
      </c>
      <c r="N4336" s="40">
        <v>42563.0</v>
      </c>
      <c r="O4336" s="15" t="s">
        <v>1554</v>
      </c>
      <c r="Q4336" s="7"/>
    </row>
    <row r="4337">
      <c r="A4337" s="39" t="s">
        <v>17314</v>
      </c>
      <c r="B4337" s="15">
        <v>1552735.0</v>
      </c>
      <c r="C4337" s="15" t="s">
        <v>17315</v>
      </c>
      <c r="D4337" s="15">
        <v>276873.0</v>
      </c>
      <c r="E4337" s="15" t="s">
        <v>1557</v>
      </c>
      <c r="F4337" s="15" t="s">
        <v>1833</v>
      </c>
      <c r="G4337" s="7">
        <v>74.806</v>
      </c>
      <c r="H4337" s="15" t="s">
        <v>2233</v>
      </c>
      <c r="I4337" s="15" t="s">
        <v>1586</v>
      </c>
      <c r="J4337" s="15" t="s">
        <v>17316</v>
      </c>
      <c r="K4337" s="15">
        <v>79.0</v>
      </c>
      <c r="L4337" s="15">
        <v>79.0</v>
      </c>
      <c r="M4337" s="41">
        <v>41996.0</v>
      </c>
      <c r="N4337" s="40">
        <v>42067.0</v>
      </c>
      <c r="O4337" s="15" t="s">
        <v>1554</v>
      </c>
      <c r="Q4337" s="7"/>
    </row>
    <row r="4338">
      <c r="A4338" s="39" t="s">
        <v>17317</v>
      </c>
      <c r="B4338" s="15">
        <v>1536603.0</v>
      </c>
      <c r="C4338" s="15" t="s">
        <v>17318</v>
      </c>
      <c r="D4338" s="15">
        <v>276874.0</v>
      </c>
      <c r="E4338" s="15" t="s">
        <v>1557</v>
      </c>
      <c r="F4338" s="15" t="s">
        <v>1833</v>
      </c>
      <c r="G4338" s="7">
        <v>60.727</v>
      </c>
      <c r="H4338" s="15" t="s">
        <v>4430</v>
      </c>
      <c r="I4338" s="15" t="s">
        <v>1586</v>
      </c>
      <c r="J4338" s="15" t="s">
        <v>17319</v>
      </c>
      <c r="K4338" s="15">
        <v>112.0</v>
      </c>
      <c r="L4338" s="15">
        <v>112.0</v>
      </c>
      <c r="M4338" s="40">
        <v>41891.0</v>
      </c>
      <c r="N4338" s="40">
        <v>42067.0</v>
      </c>
      <c r="O4338" s="15" t="s">
        <v>1554</v>
      </c>
      <c r="Q4338" s="7"/>
    </row>
    <row r="4339">
      <c r="A4339" s="39" t="s">
        <v>17320</v>
      </c>
      <c r="B4339" s="15">
        <v>1536598.0</v>
      </c>
      <c r="C4339" s="15" t="s">
        <v>17321</v>
      </c>
      <c r="D4339" s="15">
        <v>276875.0</v>
      </c>
      <c r="E4339" s="15" t="s">
        <v>1557</v>
      </c>
      <c r="F4339" s="15" t="s">
        <v>1833</v>
      </c>
      <c r="G4339" s="7">
        <v>59.419</v>
      </c>
      <c r="H4339" s="15" t="s">
        <v>9648</v>
      </c>
      <c r="I4339" s="15" t="s">
        <v>1586</v>
      </c>
      <c r="J4339" s="15" t="s">
        <v>17323</v>
      </c>
      <c r="K4339" s="15">
        <v>110.0</v>
      </c>
      <c r="L4339" s="15">
        <v>110.0</v>
      </c>
      <c r="M4339" s="40">
        <v>41892.0</v>
      </c>
      <c r="N4339" s="40">
        <v>42067.0</v>
      </c>
      <c r="O4339" s="15" t="s">
        <v>1554</v>
      </c>
      <c r="Q4339" s="7"/>
    </row>
    <row r="4340">
      <c r="A4340" s="39" t="s">
        <v>17324</v>
      </c>
      <c r="B4340" s="15">
        <v>1527580.0</v>
      </c>
      <c r="C4340" s="15" t="s">
        <v>17325</v>
      </c>
      <c r="D4340" s="15">
        <v>276876.0</v>
      </c>
      <c r="E4340" s="15" t="s">
        <v>1557</v>
      </c>
      <c r="F4340" s="15" t="s">
        <v>1833</v>
      </c>
      <c r="G4340" s="7">
        <v>57.052</v>
      </c>
      <c r="H4340" s="15" t="s">
        <v>4108</v>
      </c>
      <c r="I4340" s="15" t="s">
        <v>1586</v>
      </c>
      <c r="J4340" s="15" t="s">
        <v>17326</v>
      </c>
      <c r="K4340" s="15">
        <v>102.0</v>
      </c>
      <c r="L4340" s="15">
        <v>102.0</v>
      </c>
      <c r="M4340" s="40">
        <v>41877.0</v>
      </c>
      <c r="N4340" s="40">
        <v>42067.0</v>
      </c>
      <c r="O4340" s="15" t="s">
        <v>1554</v>
      </c>
      <c r="Q4340" s="7"/>
    </row>
    <row r="4341">
      <c r="A4341" s="39" t="s">
        <v>17328</v>
      </c>
      <c r="B4341" s="15">
        <v>1527536.0</v>
      </c>
      <c r="C4341" s="15" t="s">
        <v>17329</v>
      </c>
      <c r="D4341" s="15">
        <v>276877.0</v>
      </c>
      <c r="E4341" s="15" t="s">
        <v>1557</v>
      </c>
      <c r="F4341" s="15" t="s">
        <v>1833</v>
      </c>
      <c r="G4341" s="7">
        <v>44.716</v>
      </c>
      <c r="H4341" s="15" t="s">
        <v>4653</v>
      </c>
      <c r="I4341" s="15" t="s">
        <v>1586</v>
      </c>
      <c r="J4341" s="15" t="s">
        <v>17330</v>
      </c>
      <c r="K4341" s="15">
        <v>68.0</v>
      </c>
      <c r="L4341" s="15">
        <v>65.0</v>
      </c>
      <c r="M4341" s="40">
        <v>41877.0</v>
      </c>
      <c r="N4341" s="40">
        <v>42067.0</v>
      </c>
      <c r="O4341" s="15" t="s">
        <v>1554</v>
      </c>
      <c r="Q4341" s="7"/>
    </row>
    <row r="4342">
      <c r="A4342" s="39" t="s">
        <v>17331</v>
      </c>
      <c r="B4342" s="15">
        <v>1527513.0</v>
      </c>
      <c r="C4342" s="15" t="s">
        <v>17332</v>
      </c>
      <c r="D4342" s="15">
        <v>276878.0</v>
      </c>
      <c r="E4342" s="15" t="s">
        <v>1557</v>
      </c>
      <c r="F4342" s="15" t="s">
        <v>1833</v>
      </c>
      <c r="G4342" s="7">
        <v>109.871</v>
      </c>
      <c r="H4342" s="15" t="s">
        <v>1834</v>
      </c>
      <c r="I4342" s="15" t="s">
        <v>1586</v>
      </c>
      <c r="J4342" s="15" t="s">
        <v>17333</v>
      </c>
      <c r="K4342" s="15">
        <v>239.0</v>
      </c>
      <c r="L4342" s="15">
        <v>238.0</v>
      </c>
      <c r="M4342" s="40">
        <v>41877.0</v>
      </c>
      <c r="N4342" s="40">
        <v>42067.0</v>
      </c>
      <c r="O4342" s="15" t="s">
        <v>1554</v>
      </c>
      <c r="Q4342" s="7"/>
    </row>
    <row r="4343">
      <c r="A4343" s="39" t="s">
        <v>17335</v>
      </c>
      <c r="B4343" s="15">
        <v>1527512.0</v>
      </c>
      <c r="C4343" s="15" t="s">
        <v>17336</v>
      </c>
      <c r="D4343" s="15">
        <v>276879.0</v>
      </c>
      <c r="E4343" s="15" t="s">
        <v>1557</v>
      </c>
      <c r="F4343" s="15" t="s">
        <v>1833</v>
      </c>
      <c r="G4343" s="7">
        <v>60.285</v>
      </c>
      <c r="H4343" s="15" t="s">
        <v>7616</v>
      </c>
      <c r="I4343" s="15" t="s">
        <v>1586</v>
      </c>
      <c r="J4343" s="15" t="s">
        <v>17337</v>
      </c>
      <c r="K4343" s="15">
        <v>102.0</v>
      </c>
      <c r="L4343" s="15">
        <v>102.0</v>
      </c>
      <c r="M4343" s="40">
        <v>41891.0</v>
      </c>
      <c r="N4343" s="40">
        <v>42067.0</v>
      </c>
      <c r="O4343" s="15" t="s">
        <v>1554</v>
      </c>
      <c r="Q4343" s="7"/>
    </row>
    <row r="4344">
      <c r="A4344" s="39" t="s">
        <v>17338</v>
      </c>
      <c r="B4344" s="15">
        <v>1527511.0</v>
      </c>
      <c r="C4344" s="15" t="s">
        <v>17339</v>
      </c>
      <c r="D4344" s="15">
        <v>276880.0</v>
      </c>
      <c r="E4344" s="15" t="s">
        <v>1557</v>
      </c>
      <c r="F4344" s="15" t="s">
        <v>1833</v>
      </c>
      <c r="G4344" s="7">
        <v>54.986</v>
      </c>
      <c r="H4344" s="15" t="s">
        <v>4108</v>
      </c>
      <c r="I4344" s="15" t="s">
        <v>1586</v>
      </c>
      <c r="J4344" s="15" t="s">
        <v>17340</v>
      </c>
      <c r="K4344" s="15">
        <v>102.0</v>
      </c>
      <c r="L4344" s="15">
        <v>102.0</v>
      </c>
      <c r="M4344" s="40">
        <v>41877.0</v>
      </c>
      <c r="N4344" s="40">
        <v>42067.0</v>
      </c>
      <c r="O4344" s="15" t="s">
        <v>1554</v>
      </c>
      <c r="Q4344" s="7"/>
    </row>
    <row r="4345">
      <c r="A4345" s="39" t="s">
        <v>17341</v>
      </c>
      <c r="B4345" s="15">
        <v>1527493.0</v>
      </c>
      <c r="C4345" s="15" t="s">
        <v>17342</v>
      </c>
      <c r="D4345" s="15">
        <v>276881.0</v>
      </c>
      <c r="E4345" s="15" t="s">
        <v>1557</v>
      </c>
      <c r="F4345" s="15" t="s">
        <v>1833</v>
      </c>
      <c r="G4345" s="7">
        <v>63.334</v>
      </c>
      <c r="H4345" s="15" t="s">
        <v>4385</v>
      </c>
      <c r="I4345" s="15" t="s">
        <v>1586</v>
      </c>
      <c r="J4345" s="15" t="s">
        <v>17344</v>
      </c>
      <c r="K4345" s="15">
        <v>95.0</v>
      </c>
      <c r="L4345" s="15">
        <v>91.0</v>
      </c>
      <c r="M4345" s="40">
        <v>41857.0</v>
      </c>
      <c r="N4345" s="40">
        <v>42284.0</v>
      </c>
      <c r="O4345" s="15" t="s">
        <v>1554</v>
      </c>
      <c r="Q4345" s="7"/>
    </row>
    <row r="4346">
      <c r="A4346" s="39" t="s">
        <v>17345</v>
      </c>
      <c r="B4346" s="15">
        <v>1239437.0</v>
      </c>
      <c r="C4346" s="15" t="s">
        <v>17346</v>
      </c>
      <c r="D4346" s="15">
        <v>15096.0</v>
      </c>
      <c r="E4346" s="15" t="s">
        <v>1548</v>
      </c>
      <c r="F4346" s="15" t="s">
        <v>1848</v>
      </c>
      <c r="G4346" s="7">
        <v>7.003</v>
      </c>
      <c r="H4346" s="15" t="s">
        <v>3653</v>
      </c>
      <c r="I4346" s="15" t="s">
        <v>1686</v>
      </c>
      <c r="J4346" s="15" t="s">
        <v>17347</v>
      </c>
      <c r="K4346" s="15">
        <v>2.0</v>
      </c>
      <c r="L4346" s="15">
        <v>3.0</v>
      </c>
      <c r="M4346" s="41">
        <v>35783.0</v>
      </c>
      <c r="N4346" s="40">
        <v>42045.0</v>
      </c>
      <c r="O4346" s="15" t="s">
        <v>1554</v>
      </c>
      <c r="Q4346" s="7"/>
    </row>
    <row r="4347">
      <c r="A4347" s="39" t="s">
        <v>17348</v>
      </c>
      <c r="B4347" s="15">
        <v>376820.0</v>
      </c>
      <c r="C4347" s="15" t="s">
        <v>17349</v>
      </c>
      <c r="D4347" s="15">
        <v>17103.0</v>
      </c>
      <c r="E4347" s="15" t="s">
        <v>1557</v>
      </c>
      <c r="F4347" s="15" t="s">
        <v>1767</v>
      </c>
      <c r="G4347" s="7">
        <v>34.525</v>
      </c>
      <c r="H4347" s="15" t="s">
        <v>2118</v>
      </c>
      <c r="I4347" s="15" t="s">
        <v>1586</v>
      </c>
      <c r="J4347" s="15" t="s">
        <v>17351</v>
      </c>
      <c r="K4347" s="15">
        <v>50.0</v>
      </c>
      <c r="L4347" s="15">
        <v>49.0</v>
      </c>
      <c r="M4347" s="40">
        <v>38882.0</v>
      </c>
      <c r="N4347" s="40">
        <v>40263.0</v>
      </c>
      <c r="O4347" s="15" t="s">
        <v>1554</v>
      </c>
      <c r="Q4347" s="7"/>
    </row>
    <row r="4348">
      <c r="A4348" s="39" t="s">
        <v>17352</v>
      </c>
      <c r="B4348" s="15">
        <v>432261.0</v>
      </c>
      <c r="C4348" s="15" t="s">
        <v>17353</v>
      </c>
      <c r="D4348" s="15">
        <v>19131.0</v>
      </c>
      <c r="E4348" s="15" t="s">
        <v>1808</v>
      </c>
      <c r="F4348" s="15" t="s">
        <v>2232</v>
      </c>
      <c r="G4348" s="7">
        <v>3.245</v>
      </c>
      <c r="H4348" s="15" t="s">
        <v>3584</v>
      </c>
      <c r="I4348" s="15" t="s">
        <v>1567</v>
      </c>
      <c r="J4348" s="15" t="s">
        <v>17354</v>
      </c>
      <c r="K4348" s="15">
        <v>4.0</v>
      </c>
      <c r="L4348" s="15">
        <v>4.0</v>
      </c>
      <c r="M4348" s="40">
        <v>39164.0</v>
      </c>
      <c r="N4348" s="40">
        <v>40296.0</v>
      </c>
      <c r="O4348" s="15" t="s">
        <v>1554</v>
      </c>
      <c r="Q4348" s="7"/>
    </row>
    <row r="4349">
      <c r="A4349" s="39" t="s">
        <v>17355</v>
      </c>
      <c r="B4349" s="15">
        <v>945960.0</v>
      </c>
      <c r="C4349" s="15" t="s">
        <v>17356</v>
      </c>
      <c r="D4349" s="15">
        <v>277199.0</v>
      </c>
      <c r="E4349" s="15" t="s">
        <v>1548</v>
      </c>
      <c r="F4349" s="15" t="s">
        <v>1911</v>
      </c>
      <c r="G4349" s="7">
        <v>9.72</v>
      </c>
      <c r="H4349" s="15" t="s">
        <v>2524</v>
      </c>
      <c r="I4349" s="15" t="s">
        <v>1628</v>
      </c>
      <c r="J4349" s="15" t="s">
        <v>17357</v>
      </c>
      <c r="K4349" s="15">
        <v>1.0</v>
      </c>
      <c r="L4349" s="15">
        <v>1.0</v>
      </c>
      <c r="M4349" s="40">
        <v>42059.0</v>
      </c>
      <c r="N4349" s="40">
        <v>42069.0</v>
      </c>
      <c r="O4349" s="15" t="s">
        <v>1554</v>
      </c>
      <c r="Q4349" s="7"/>
    </row>
    <row r="4350">
      <c r="A4350" s="39" t="s">
        <v>17359</v>
      </c>
      <c r="B4350" s="15">
        <v>165250.0</v>
      </c>
      <c r="C4350" s="15" t="s">
        <v>17360</v>
      </c>
      <c r="D4350" s="15">
        <v>277201.0</v>
      </c>
      <c r="E4350" s="15" t="s">
        <v>1548</v>
      </c>
      <c r="F4350" s="15" t="s">
        <v>1786</v>
      </c>
      <c r="G4350" s="7">
        <v>8.041</v>
      </c>
      <c r="H4350" s="15" t="s">
        <v>2163</v>
      </c>
      <c r="I4350" s="15" t="s">
        <v>1628</v>
      </c>
      <c r="J4350" s="15" t="s">
        <v>17361</v>
      </c>
      <c r="K4350" s="15">
        <v>5.0</v>
      </c>
      <c r="L4350" s="15">
        <v>5.0</v>
      </c>
      <c r="M4350" s="40">
        <v>42064.0</v>
      </c>
      <c r="N4350" s="40">
        <v>42116.0</v>
      </c>
      <c r="O4350" s="15" t="s">
        <v>1554</v>
      </c>
      <c r="Q4350" s="7"/>
    </row>
    <row r="4351">
      <c r="A4351" s="39" t="s">
        <v>17362</v>
      </c>
      <c r="B4351" s="15">
        <v>1266451.0</v>
      </c>
      <c r="C4351" s="15" t="s">
        <v>17363</v>
      </c>
      <c r="D4351" s="15">
        <v>277203.0</v>
      </c>
      <c r="E4351" s="15" t="s">
        <v>1548</v>
      </c>
      <c r="F4351" s="15" t="s">
        <v>5290</v>
      </c>
      <c r="G4351" s="7">
        <v>16.93</v>
      </c>
      <c r="H4351" s="15" t="s">
        <v>17364</v>
      </c>
      <c r="I4351" s="15" t="s">
        <v>1628</v>
      </c>
      <c r="J4351" s="15" t="s">
        <v>17365</v>
      </c>
      <c r="K4351" s="15">
        <v>5.0</v>
      </c>
      <c r="L4351" s="15">
        <v>5.0</v>
      </c>
      <c r="M4351" s="40">
        <v>42064.0</v>
      </c>
      <c r="N4351" s="40">
        <v>42248.0</v>
      </c>
      <c r="O4351" s="15" t="s">
        <v>1554</v>
      </c>
      <c r="Q4351" s="7"/>
    </row>
    <row r="4352">
      <c r="A4352" s="39" t="s">
        <v>17367</v>
      </c>
      <c r="B4352" s="15">
        <v>1562379.0</v>
      </c>
      <c r="C4352" s="15" t="s">
        <v>17368</v>
      </c>
      <c r="D4352" s="15">
        <v>277229.0</v>
      </c>
      <c r="E4352" s="15" t="s">
        <v>1548</v>
      </c>
      <c r="F4352" s="15" t="s">
        <v>5261</v>
      </c>
      <c r="G4352" s="7">
        <v>2.414</v>
      </c>
      <c r="H4352" s="15" t="s">
        <v>2211</v>
      </c>
      <c r="I4352" s="15" t="s">
        <v>1552</v>
      </c>
      <c r="J4352" s="15" t="s">
        <v>17369</v>
      </c>
      <c r="K4352" s="15">
        <v>1.0</v>
      </c>
      <c r="L4352" s="15">
        <v>1.0</v>
      </c>
      <c r="M4352" s="40">
        <v>42059.0</v>
      </c>
      <c r="N4352" s="41">
        <v>42291.0</v>
      </c>
      <c r="O4352" s="15" t="s">
        <v>1554</v>
      </c>
      <c r="Q4352" s="7"/>
    </row>
    <row r="4353">
      <c r="A4353" s="39" t="s">
        <v>17370</v>
      </c>
      <c r="B4353" s="15">
        <v>64299.0</v>
      </c>
      <c r="C4353" s="15" t="s">
        <v>17371</v>
      </c>
      <c r="D4353" s="15">
        <v>277469.0</v>
      </c>
      <c r="E4353" s="15" t="s">
        <v>1548</v>
      </c>
      <c r="F4353" s="15" t="s">
        <v>1801</v>
      </c>
      <c r="G4353" s="7">
        <v>10.125</v>
      </c>
      <c r="H4353" s="15" t="s">
        <v>7408</v>
      </c>
      <c r="I4353" s="15" t="s">
        <v>1686</v>
      </c>
      <c r="J4353" s="15" t="s">
        <v>17372</v>
      </c>
      <c r="K4353" s="15">
        <v>1.0</v>
      </c>
      <c r="L4353" s="15">
        <v>1.0</v>
      </c>
      <c r="M4353" s="40">
        <v>42066.0</v>
      </c>
      <c r="N4353" s="40">
        <v>42069.0</v>
      </c>
      <c r="O4353" s="15" t="s">
        <v>1554</v>
      </c>
      <c r="Q4353" s="7"/>
    </row>
    <row r="4354">
      <c r="A4354" s="39" t="s">
        <v>17373</v>
      </c>
      <c r="B4354" s="15">
        <v>1618253.0</v>
      </c>
      <c r="C4354" s="15" t="s">
        <v>17374</v>
      </c>
      <c r="D4354" s="15">
        <v>277490.0</v>
      </c>
      <c r="E4354" s="15" t="s">
        <v>1808</v>
      </c>
      <c r="F4354" s="15" t="s">
        <v>1998</v>
      </c>
      <c r="G4354" s="7">
        <v>1.825</v>
      </c>
      <c r="H4354" s="15">
        <v>36.0</v>
      </c>
      <c r="I4354" s="15" t="s">
        <v>1560</v>
      </c>
      <c r="J4354" s="15" t="s">
        <v>17375</v>
      </c>
      <c r="K4354" s="15">
        <v>2.0</v>
      </c>
      <c r="L4354" s="15">
        <v>2.0</v>
      </c>
      <c r="M4354" s="40">
        <v>42065.0</v>
      </c>
      <c r="N4354" s="40">
        <v>42069.0</v>
      </c>
      <c r="O4354" s="15" t="s">
        <v>1554</v>
      </c>
      <c r="Q4354" s="7"/>
    </row>
    <row r="4355">
      <c r="A4355" s="39" t="s">
        <v>17377</v>
      </c>
      <c r="B4355" s="15">
        <v>1618252.0</v>
      </c>
      <c r="C4355" s="15" t="s">
        <v>17378</v>
      </c>
      <c r="D4355" s="15">
        <v>277491.0</v>
      </c>
      <c r="E4355" s="15" t="s">
        <v>1808</v>
      </c>
      <c r="F4355" s="15" t="s">
        <v>1998</v>
      </c>
      <c r="G4355" s="7">
        <v>2.422</v>
      </c>
      <c r="H4355" s="15">
        <v>49.0</v>
      </c>
      <c r="I4355" s="15" t="s">
        <v>1560</v>
      </c>
      <c r="J4355" s="15" t="s">
        <v>17379</v>
      </c>
      <c r="K4355" s="15">
        <v>2.0</v>
      </c>
      <c r="L4355" s="15">
        <v>2.0</v>
      </c>
      <c r="M4355" s="40">
        <v>42065.0</v>
      </c>
      <c r="N4355" s="40">
        <v>42069.0</v>
      </c>
      <c r="O4355" s="15" t="s">
        <v>1554</v>
      </c>
      <c r="Q4355" s="7"/>
    </row>
    <row r="4356">
      <c r="A4356" s="39" t="s">
        <v>17380</v>
      </c>
      <c r="B4356" s="15">
        <v>1618251.0</v>
      </c>
      <c r="C4356" s="15" t="s">
        <v>17381</v>
      </c>
      <c r="D4356" s="15">
        <v>277492.0</v>
      </c>
      <c r="E4356" s="15" t="s">
        <v>1808</v>
      </c>
      <c r="F4356" s="15" t="s">
        <v>1998</v>
      </c>
      <c r="G4356" s="7">
        <v>2.632</v>
      </c>
      <c r="H4356" s="15" t="s">
        <v>2005</v>
      </c>
      <c r="I4356" s="15" t="s">
        <v>1560</v>
      </c>
      <c r="J4356" s="15" t="s">
        <v>17382</v>
      </c>
      <c r="K4356" s="15">
        <v>2.0</v>
      </c>
      <c r="L4356" s="15">
        <v>2.0</v>
      </c>
      <c r="M4356" s="40">
        <v>42065.0</v>
      </c>
      <c r="N4356" s="40">
        <v>42069.0</v>
      </c>
      <c r="O4356" s="15" t="s">
        <v>1554</v>
      </c>
      <c r="Q4356" s="7"/>
    </row>
    <row r="4357">
      <c r="A4357" s="39" t="s">
        <v>17383</v>
      </c>
      <c r="B4357" s="15">
        <v>1618250.0</v>
      </c>
      <c r="C4357" s="15" t="s">
        <v>17384</v>
      </c>
      <c r="D4357" s="15">
        <v>277493.0</v>
      </c>
      <c r="E4357" s="15" t="s">
        <v>1808</v>
      </c>
      <c r="F4357" s="15" t="s">
        <v>1998</v>
      </c>
      <c r="G4357" s="7">
        <v>2.456</v>
      </c>
      <c r="H4357" s="15" t="s">
        <v>2288</v>
      </c>
      <c r="I4357" s="15" t="s">
        <v>1560</v>
      </c>
      <c r="J4357" s="15" t="s">
        <v>17386</v>
      </c>
      <c r="K4357" s="15">
        <v>2.0</v>
      </c>
      <c r="L4357" s="15">
        <v>2.0</v>
      </c>
      <c r="M4357" s="40">
        <v>42065.0</v>
      </c>
      <c r="N4357" s="40">
        <v>42069.0</v>
      </c>
      <c r="O4357" s="15" t="s">
        <v>1554</v>
      </c>
      <c r="Q4357" s="7"/>
    </row>
    <row r="4358">
      <c r="A4358" s="39" t="s">
        <v>17387</v>
      </c>
      <c r="B4358" s="15">
        <v>1618249.0</v>
      </c>
      <c r="C4358" s="15" t="s">
        <v>17388</v>
      </c>
      <c r="D4358" s="15">
        <v>277494.0</v>
      </c>
      <c r="E4358" s="15" t="s">
        <v>1808</v>
      </c>
      <c r="F4358" s="15" t="s">
        <v>1998</v>
      </c>
      <c r="G4358" s="7">
        <v>2.142</v>
      </c>
      <c r="H4358" s="15" t="s">
        <v>2950</v>
      </c>
      <c r="I4358" s="15" t="s">
        <v>1560</v>
      </c>
      <c r="J4358" s="15" t="s">
        <v>17389</v>
      </c>
      <c r="K4358" s="15">
        <v>2.0</v>
      </c>
      <c r="L4358" s="15">
        <v>2.0</v>
      </c>
      <c r="M4358" s="40">
        <v>42065.0</v>
      </c>
      <c r="N4358" s="40">
        <v>42069.0</v>
      </c>
      <c r="O4358" s="15" t="s">
        <v>1554</v>
      </c>
      <c r="Q4358" s="7"/>
    </row>
    <row r="4359">
      <c r="A4359" s="39" t="s">
        <v>17390</v>
      </c>
      <c r="B4359" s="15">
        <v>1618248.0</v>
      </c>
      <c r="C4359" s="15" t="s">
        <v>17391</v>
      </c>
      <c r="D4359" s="15">
        <v>277495.0</v>
      </c>
      <c r="E4359" s="15" t="s">
        <v>1808</v>
      </c>
      <c r="F4359" s="15" t="s">
        <v>1998</v>
      </c>
      <c r="G4359" s="7">
        <v>2.007</v>
      </c>
      <c r="H4359" s="15" t="s">
        <v>1802</v>
      </c>
      <c r="I4359" s="15" t="s">
        <v>1560</v>
      </c>
      <c r="J4359" s="15" t="s">
        <v>17392</v>
      </c>
      <c r="K4359" s="15">
        <v>2.0</v>
      </c>
      <c r="L4359" s="15">
        <v>2.0</v>
      </c>
      <c r="M4359" s="40">
        <v>42065.0</v>
      </c>
      <c r="N4359" s="40">
        <v>42069.0</v>
      </c>
      <c r="O4359" s="15" t="s">
        <v>1554</v>
      </c>
      <c r="Q4359" s="7"/>
    </row>
    <row r="4360">
      <c r="A4360" s="39" t="s">
        <v>17393</v>
      </c>
      <c r="B4360" s="15">
        <v>1618247.0</v>
      </c>
      <c r="C4360" s="15" t="s">
        <v>17394</v>
      </c>
      <c r="D4360" s="15">
        <v>277496.0</v>
      </c>
      <c r="E4360" s="15" t="s">
        <v>1808</v>
      </c>
      <c r="F4360" s="15" t="s">
        <v>1998</v>
      </c>
      <c r="G4360" s="7">
        <v>1.942</v>
      </c>
      <c r="H4360" s="15" t="s">
        <v>2019</v>
      </c>
      <c r="I4360" s="15" t="s">
        <v>1560</v>
      </c>
      <c r="J4360" s="15" t="s">
        <v>17395</v>
      </c>
      <c r="K4360" s="15">
        <v>2.0</v>
      </c>
      <c r="L4360" s="15">
        <v>2.0</v>
      </c>
      <c r="M4360" s="40">
        <v>42065.0</v>
      </c>
      <c r="N4360" s="40">
        <v>42069.0</v>
      </c>
      <c r="O4360" s="15" t="s">
        <v>1554</v>
      </c>
      <c r="Q4360" s="7"/>
    </row>
    <row r="4361">
      <c r="A4361" s="39" t="s">
        <v>17397</v>
      </c>
      <c r="B4361" s="15">
        <v>1618246.0</v>
      </c>
      <c r="C4361" s="15" t="s">
        <v>17398</v>
      </c>
      <c r="D4361" s="15">
        <v>277497.0</v>
      </c>
      <c r="E4361" s="15" t="s">
        <v>1808</v>
      </c>
      <c r="F4361" s="15" t="s">
        <v>1998</v>
      </c>
      <c r="G4361" s="7">
        <v>2.109</v>
      </c>
      <c r="H4361" s="15" t="s">
        <v>1602</v>
      </c>
      <c r="I4361" s="15" t="s">
        <v>1560</v>
      </c>
      <c r="J4361" s="15" t="s">
        <v>17399</v>
      </c>
      <c r="K4361" s="15">
        <v>2.0</v>
      </c>
      <c r="L4361" s="15">
        <v>2.0</v>
      </c>
      <c r="M4361" s="40">
        <v>42065.0</v>
      </c>
      <c r="N4361" s="40">
        <v>42069.0</v>
      </c>
      <c r="O4361" s="15" t="s">
        <v>1554</v>
      </c>
      <c r="Q4361" s="7"/>
    </row>
    <row r="4362">
      <c r="A4362" s="39" t="s">
        <v>17400</v>
      </c>
      <c r="B4362" s="15">
        <v>1618245.0</v>
      </c>
      <c r="C4362" s="15" t="s">
        <v>17401</v>
      </c>
      <c r="D4362" s="15">
        <v>277498.0</v>
      </c>
      <c r="E4362" s="15" t="s">
        <v>1808</v>
      </c>
      <c r="F4362" s="15" t="s">
        <v>1998</v>
      </c>
      <c r="G4362" s="7">
        <v>1.769</v>
      </c>
      <c r="H4362" s="15" t="s">
        <v>3538</v>
      </c>
      <c r="I4362" s="15" t="s">
        <v>1560</v>
      </c>
      <c r="J4362" s="15" t="s">
        <v>17402</v>
      </c>
      <c r="K4362" s="15">
        <v>2.0</v>
      </c>
      <c r="L4362" s="15">
        <v>2.0</v>
      </c>
      <c r="M4362" s="40">
        <v>42065.0</v>
      </c>
      <c r="N4362" s="40">
        <v>42069.0</v>
      </c>
      <c r="O4362" s="15" t="s">
        <v>1554</v>
      </c>
      <c r="Q4362" s="7"/>
    </row>
    <row r="4363">
      <c r="A4363" s="39" t="s">
        <v>17403</v>
      </c>
      <c r="B4363" s="15">
        <v>1618244.0</v>
      </c>
      <c r="C4363" s="15" t="s">
        <v>17404</v>
      </c>
      <c r="D4363" s="15">
        <v>277499.0</v>
      </c>
      <c r="E4363" s="15" t="s">
        <v>1808</v>
      </c>
      <c r="F4363" s="15" t="s">
        <v>1998</v>
      </c>
      <c r="G4363" s="7">
        <v>2.537</v>
      </c>
      <c r="H4363" s="15" t="s">
        <v>3066</v>
      </c>
      <c r="I4363" s="15" t="s">
        <v>1560</v>
      </c>
      <c r="J4363" s="15" t="s">
        <v>17406</v>
      </c>
      <c r="K4363" s="15">
        <v>2.0</v>
      </c>
      <c r="L4363" s="15">
        <v>2.0</v>
      </c>
      <c r="M4363" s="40">
        <v>42065.0</v>
      </c>
      <c r="N4363" s="40">
        <v>42069.0</v>
      </c>
      <c r="O4363" s="15" t="s">
        <v>1554</v>
      </c>
      <c r="Q4363" s="7"/>
    </row>
    <row r="4364">
      <c r="A4364" s="39" t="s">
        <v>17407</v>
      </c>
      <c r="B4364" s="15">
        <v>1618243.0</v>
      </c>
      <c r="C4364" s="15" t="s">
        <v>17408</v>
      </c>
      <c r="D4364" s="15">
        <v>277500.0</v>
      </c>
      <c r="E4364" s="15" t="s">
        <v>1808</v>
      </c>
      <c r="F4364" s="15" t="s">
        <v>1998</v>
      </c>
      <c r="G4364" s="7">
        <v>1.865</v>
      </c>
      <c r="H4364" s="15" t="s">
        <v>4283</v>
      </c>
      <c r="I4364" s="15" t="s">
        <v>1560</v>
      </c>
      <c r="J4364" s="15" t="s">
        <v>17409</v>
      </c>
      <c r="K4364" s="15">
        <v>2.0</v>
      </c>
      <c r="L4364" s="15">
        <v>2.0</v>
      </c>
      <c r="M4364" s="40">
        <v>42065.0</v>
      </c>
      <c r="N4364" s="40">
        <v>42069.0</v>
      </c>
      <c r="O4364" s="15" t="s">
        <v>1554</v>
      </c>
      <c r="Q4364" s="7"/>
    </row>
    <row r="4365">
      <c r="A4365" s="39" t="s">
        <v>17410</v>
      </c>
      <c r="B4365" s="15">
        <v>1618242.0</v>
      </c>
      <c r="C4365" s="15" t="s">
        <v>17411</v>
      </c>
      <c r="D4365" s="15">
        <v>277501.0</v>
      </c>
      <c r="E4365" s="15" t="s">
        <v>1808</v>
      </c>
      <c r="F4365" s="15" t="s">
        <v>1998</v>
      </c>
      <c r="G4365" s="7">
        <v>2.784</v>
      </c>
      <c r="H4365" s="15" t="s">
        <v>1700</v>
      </c>
      <c r="I4365" s="15" t="s">
        <v>1560</v>
      </c>
      <c r="J4365" s="15" t="s">
        <v>17412</v>
      </c>
      <c r="K4365" s="15">
        <v>2.0</v>
      </c>
      <c r="L4365" s="15">
        <v>2.0</v>
      </c>
      <c r="M4365" s="40">
        <v>42065.0</v>
      </c>
      <c r="N4365" s="40">
        <v>42069.0</v>
      </c>
      <c r="O4365" s="15" t="s">
        <v>1554</v>
      </c>
      <c r="Q4365" s="7"/>
    </row>
    <row r="4366">
      <c r="A4366" s="39" t="s">
        <v>17413</v>
      </c>
      <c r="B4366" s="15">
        <v>1618240.0</v>
      </c>
      <c r="C4366" s="15" t="s">
        <v>17414</v>
      </c>
      <c r="D4366" s="15">
        <v>277506.0</v>
      </c>
      <c r="E4366" s="15" t="s">
        <v>1808</v>
      </c>
      <c r="F4366" s="15" t="s">
        <v>1998</v>
      </c>
      <c r="G4366" s="7">
        <v>1.741</v>
      </c>
      <c r="H4366" s="15" t="s">
        <v>3070</v>
      </c>
      <c r="I4366" s="15" t="s">
        <v>1560</v>
      </c>
      <c r="J4366" s="15" t="s">
        <v>17415</v>
      </c>
      <c r="K4366" s="15">
        <v>2.0</v>
      </c>
      <c r="L4366" s="15">
        <v>2.0</v>
      </c>
      <c r="M4366" s="40">
        <v>42065.0</v>
      </c>
      <c r="N4366" s="40">
        <v>42069.0</v>
      </c>
      <c r="O4366" s="15" t="s">
        <v>1554</v>
      </c>
      <c r="Q4366" s="7"/>
    </row>
    <row r="4367">
      <c r="A4367" s="39" t="s">
        <v>17416</v>
      </c>
      <c r="B4367" s="15">
        <v>1618239.0</v>
      </c>
      <c r="C4367" s="15" t="s">
        <v>17417</v>
      </c>
      <c r="D4367" s="15">
        <v>277507.0</v>
      </c>
      <c r="E4367" s="15" t="s">
        <v>1808</v>
      </c>
      <c r="F4367" s="15" t="s">
        <v>1998</v>
      </c>
      <c r="G4367" s="7">
        <v>1.99</v>
      </c>
      <c r="H4367" s="15">
        <v>53.0</v>
      </c>
      <c r="I4367" s="15" t="s">
        <v>1560</v>
      </c>
      <c r="J4367" s="15" t="s">
        <v>17419</v>
      </c>
      <c r="K4367" s="15">
        <v>2.0</v>
      </c>
      <c r="L4367" s="15">
        <v>2.0</v>
      </c>
      <c r="M4367" s="40">
        <v>42065.0</v>
      </c>
      <c r="N4367" s="40">
        <v>42069.0</v>
      </c>
      <c r="O4367" s="15" t="s">
        <v>1554</v>
      </c>
      <c r="Q4367" s="7"/>
    </row>
    <row r="4368">
      <c r="A4368" s="39" t="s">
        <v>17420</v>
      </c>
      <c r="B4368" s="15">
        <v>1618238.0</v>
      </c>
      <c r="C4368" s="15" t="s">
        <v>17421</v>
      </c>
      <c r="D4368" s="15">
        <v>277508.0</v>
      </c>
      <c r="E4368" s="15" t="s">
        <v>1808</v>
      </c>
      <c r="F4368" s="15" t="s">
        <v>1998</v>
      </c>
      <c r="G4368" s="7">
        <v>2.817</v>
      </c>
      <c r="H4368" s="15" t="s">
        <v>1859</v>
      </c>
      <c r="I4368" s="15" t="s">
        <v>1560</v>
      </c>
      <c r="J4368" s="15" t="s">
        <v>17422</v>
      </c>
      <c r="K4368" s="15">
        <v>2.0</v>
      </c>
      <c r="L4368" s="15">
        <v>2.0</v>
      </c>
      <c r="M4368" s="40">
        <v>42065.0</v>
      </c>
      <c r="N4368" s="40">
        <v>42069.0</v>
      </c>
      <c r="O4368" s="15" t="s">
        <v>1554</v>
      </c>
      <c r="Q4368" s="7"/>
    </row>
    <row r="4369">
      <c r="A4369" s="39" t="s">
        <v>17423</v>
      </c>
      <c r="B4369" s="15">
        <v>1618237.0</v>
      </c>
      <c r="C4369" s="15" t="s">
        <v>17424</v>
      </c>
      <c r="D4369" s="15">
        <v>277509.0</v>
      </c>
      <c r="E4369" s="15" t="s">
        <v>1808</v>
      </c>
      <c r="F4369" s="15" t="s">
        <v>1998</v>
      </c>
      <c r="G4369" s="7">
        <v>2.255</v>
      </c>
      <c r="H4369" s="15" t="s">
        <v>1962</v>
      </c>
      <c r="I4369" s="15" t="s">
        <v>1560</v>
      </c>
      <c r="J4369" s="15" t="s">
        <v>17425</v>
      </c>
      <c r="K4369" s="15">
        <v>2.0</v>
      </c>
      <c r="L4369" s="15">
        <v>2.0</v>
      </c>
      <c r="M4369" s="40">
        <v>42065.0</v>
      </c>
      <c r="N4369" s="40">
        <v>42069.0</v>
      </c>
      <c r="O4369" s="15" t="s">
        <v>1554</v>
      </c>
      <c r="Q4369" s="7"/>
    </row>
    <row r="4370">
      <c r="A4370" s="39" t="s">
        <v>17426</v>
      </c>
      <c r="B4370" s="15">
        <v>1618236.0</v>
      </c>
      <c r="C4370" s="15" t="s">
        <v>17427</v>
      </c>
      <c r="D4370" s="15">
        <v>277510.0</v>
      </c>
      <c r="E4370" s="15" t="s">
        <v>1808</v>
      </c>
      <c r="F4370" s="15" t="s">
        <v>1998</v>
      </c>
      <c r="G4370" s="7">
        <v>2.212</v>
      </c>
      <c r="H4370" s="15" t="s">
        <v>2777</v>
      </c>
      <c r="I4370" s="15" t="s">
        <v>1560</v>
      </c>
      <c r="J4370" s="15" t="s">
        <v>17428</v>
      </c>
      <c r="K4370" s="15">
        <v>2.0</v>
      </c>
      <c r="L4370" s="15">
        <v>2.0</v>
      </c>
      <c r="M4370" s="40">
        <v>42065.0</v>
      </c>
      <c r="N4370" s="40">
        <v>42069.0</v>
      </c>
      <c r="O4370" s="15" t="s">
        <v>1554</v>
      </c>
      <c r="Q4370" s="7"/>
    </row>
    <row r="4371">
      <c r="A4371" s="39" t="s">
        <v>17429</v>
      </c>
      <c r="B4371" s="15">
        <v>1618235.0</v>
      </c>
      <c r="C4371" s="15" t="s">
        <v>17430</v>
      </c>
      <c r="D4371" s="15">
        <v>277511.0</v>
      </c>
      <c r="E4371" s="15" t="s">
        <v>1808</v>
      </c>
      <c r="F4371" s="15" t="s">
        <v>1998</v>
      </c>
      <c r="G4371" s="7">
        <v>2.161</v>
      </c>
      <c r="H4371" s="15" t="s">
        <v>5179</v>
      </c>
      <c r="I4371" s="15" t="s">
        <v>1560</v>
      </c>
      <c r="J4371" s="15" t="s">
        <v>17431</v>
      </c>
      <c r="K4371" s="15">
        <v>2.0</v>
      </c>
      <c r="L4371" s="15">
        <v>2.0</v>
      </c>
      <c r="M4371" s="40">
        <v>42065.0</v>
      </c>
      <c r="N4371" s="40">
        <v>42069.0</v>
      </c>
      <c r="O4371" s="15" t="s">
        <v>1554</v>
      </c>
      <c r="Q4371" s="7"/>
    </row>
    <row r="4372">
      <c r="A4372" s="39" t="s">
        <v>17433</v>
      </c>
      <c r="B4372" s="15">
        <v>1618234.0</v>
      </c>
      <c r="C4372" s="15" t="s">
        <v>17434</v>
      </c>
      <c r="D4372" s="15">
        <v>277512.0</v>
      </c>
      <c r="E4372" s="15" t="s">
        <v>1808</v>
      </c>
      <c r="F4372" s="15" t="s">
        <v>1998</v>
      </c>
      <c r="G4372" s="7">
        <v>2.307</v>
      </c>
      <c r="H4372" s="15" t="s">
        <v>4673</v>
      </c>
      <c r="I4372" s="15" t="s">
        <v>1560</v>
      </c>
      <c r="J4372" s="15" t="s">
        <v>17435</v>
      </c>
      <c r="K4372" s="15">
        <v>2.0</v>
      </c>
      <c r="L4372" s="15">
        <v>2.0</v>
      </c>
      <c r="M4372" s="40">
        <v>42065.0</v>
      </c>
      <c r="N4372" s="40">
        <v>42069.0</v>
      </c>
      <c r="O4372" s="15" t="s">
        <v>1554</v>
      </c>
      <c r="Q4372" s="7"/>
    </row>
    <row r="4373">
      <c r="A4373" s="39" t="s">
        <v>17436</v>
      </c>
      <c r="B4373" s="15">
        <v>1618233.0</v>
      </c>
      <c r="C4373" s="15" t="s">
        <v>17437</v>
      </c>
      <c r="D4373" s="15">
        <v>277513.0</v>
      </c>
      <c r="E4373" s="15" t="s">
        <v>1808</v>
      </c>
      <c r="F4373" s="15" t="s">
        <v>1998</v>
      </c>
      <c r="G4373" s="7">
        <v>1.981</v>
      </c>
      <c r="H4373" s="15" t="s">
        <v>2484</v>
      </c>
      <c r="I4373" s="15" t="s">
        <v>1560</v>
      </c>
      <c r="J4373" s="15" t="s">
        <v>17438</v>
      </c>
      <c r="K4373" s="15">
        <v>2.0</v>
      </c>
      <c r="L4373" s="15">
        <v>2.0</v>
      </c>
      <c r="M4373" s="40">
        <v>42065.0</v>
      </c>
      <c r="N4373" s="40">
        <v>42069.0</v>
      </c>
      <c r="O4373" s="15" t="s">
        <v>1554</v>
      </c>
      <c r="Q4373" s="7"/>
    </row>
    <row r="4374">
      <c r="A4374" s="39" t="s">
        <v>17439</v>
      </c>
      <c r="B4374" s="15">
        <v>1618232.0</v>
      </c>
      <c r="C4374" s="15" t="s">
        <v>17440</v>
      </c>
      <c r="D4374" s="15">
        <v>277514.0</v>
      </c>
      <c r="E4374" s="15" t="s">
        <v>1808</v>
      </c>
      <c r="F4374" s="15" t="s">
        <v>1998</v>
      </c>
      <c r="G4374" s="7">
        <v>1.763</v>
      </c>
      <c r="H4374" s="15">
        <v>47.0</v>
      </c>
      <c r="I4374" s="15" t="s">
        <v>1560</v>
      </c>
      <c r="J4374" s="15" t="s">
        <v>17441</v>
      </c>
      <c r="K4374" s="15">
        <v>2.0</v>
      </c>
      <c r="L4374" s="15">
        <v>2.0</v>
      </c>
      <c r="M4374" s="40">
        <v>42065.0</v>
      </c>
      <c r="N4374" s="40">
        <v>42069.0</v>
      </c>
      <c r="O4374" s="15" t="s">
        <v>1554</v>
      </c>
      <c r="Q4374" s="7"/>
    </row>
    <row r="4375">
      <c r="A4375" s="39" t="s">
        <v>17442</v>
      </c>
      <c r="B4375" s="15">
        <v>1562380.0</v>
      </c>
      <c r="C4375" s="15" t="s">
        <v>17443</v>
      </c>
      <c r="D4375" s="15">
        <v>277515.0</v>
      </c>
      <c r="E4375" s="15" t="s">
        <v>1548</v>
      </c>
      <c r="F4375" s="15" t="s">
        <v>5261</v>
      </c>
      <c r="G4375" s="7">
        <v>2.423</v>
      </c>
      <c r="H4375" s="42">
        <v>43248.0</v>
      </c>
      <c r="I4375" s="15" t="s">
        <v>1552</v>
      </c>
      <c r="J4375" s="15" t="s">
        <v>17445</v>
      </c>
      <c r="K4375" s="15">
        <v>1.0</v>
      </c>
      <c r="L4375" s="15">
        <v>1.0</v>
      </c>
      <c r="M4375" s="40">
        <v>42059.0</v>
      </c>
      <c r="N4375" s="41">
        <v>42291.0</v>
      </c>
      <c r="O4375" s="15" t="s">
        <v>1554</v>
      </c>
      <c r="Q4375" s="7"/>
    </row>
    <row r="4376">
      <c r="A4376" s="39" t="s">
        <v>17446</v>
      </c>
      <c r="B4376" s="15">
        <v>64317.0</v>
      </c>
      <c r="C4376" s="15" t="s">
        <v>17447</v>
      </c>
      <c r="D4376" s="15">
        <v>277516.0</v>
      </c>
      <c r="E4376" s="15" t="s">
        <v>1548</v>
      </c>
      <c r="F4376" s="15" t="s">
        <v>1801</v>
      </c>
      <c r="G4376" s="7">
        <v>10.242</v>
      </c>
      <c r="H4376" s="15" t="s">
        <v>2263</v>
      </c>
      <c r="I4376" s="15" t="s">
        <v>1686</v>
      </c>
      <c r="J4376" s="15" t="s">
        <v>17448</v>
      </c>
      <c r="K4376" s="15">
        <v>1.0</v>
      </c>
      <c r="L4376" s="15">
        <v>1.0</v>
      </c>
      <c r="M4376" s="40">
        <v>42066.0</v>
      </c>
      <c r="N4376" s="40">
        <v>42069.0</v>
      </c>
      <c r="O4376" s="15" t="s">
        <v>1554</v>
      </c>
      <c r="Q4376" s="7"/>
    </row>
    <row r="4377">
      <c r="A4377" s="39" t="s">
        <v>17449</v>
      </c>
      <c r="B4377" s="15">
        <v>64305.0</v>
      </c>
      <c r="C4377" s="15" t="s">
        <v>17450</v>
      </c>
      <c r="D4377" s="15">
        <v>277517.0</v>
      </c>
      <c r="E4377" s="15" t="s">
        <v>1548</v>
      </c>
      <c r="F4377" s="15" t="s">
        <v>1801</v>
      </c>
      <c r="G4377" s="7">
        <v>10.284</v>
      </c>
      <c r="H4377" s="15" t="s">
        <v>5475</v>
      </c>
      <c r="I4377" s="15" t="s">
        <v>1686</v>
      </c>
      <c r="J4377" s="15" t="s">
        <v>17451</v>
      </c>
      <c r="K4377" s="15">
        <v>1.0</v>
      </c>
      <c r="L4377" s="15">
        <v>2.0</v>
      </c>
      <c r="M4377" s="40">
        <v>42066.0</v>
      </c>
      <c r="N4377" s="41">
        <v>42732.0</v>
      </c>
      <c r="O4377" s="15" t="s">
        <v>1554</v>
      </c>
      <c r="Q4377" s="7"/>
    </row>
    <row r="4378">
      <c r="A4378" s="39" t="s">
        <v>17452</v>
      </c>
      <c r="B4378" s="15">
        <v>1619253.0</v>
      </c>
      <c r="C4378" s="15" t="s">
        <v>17454</v>
      </c>
      <c r="D4378" s="15">
        <v>277518.0</v>
      </c>
      <c r="E4378" s="15" t="s">
        <v>1557</v>
      </c>
      <c r="F4378" s="15" t="s">
        <v>1822</v>
      </c>
      <c r="G4378" s="7">
        <v>7.796</v>
      </c>
      <c r="H4378" s="15" t="s">
        <v>3973</v>
      </c>
      <c r="I4378" s="15" t="s">
        <v>1686</v>
      </c>
      <c r="J4378" s="15" t="s">
        <v>17455</v>
      </c>
      <c r="K4378" s="15">
        <v>8.0</v>
      </c>
      <c r="L4378" s="15">
        <v>8.0</v>
      </c>
      <c r="M4378" s="40">
        <v>42066.0</v>
      </c>
      <c r="N4378" s="40">
        <v>42069.0</v>
      </c>
      <c r="O4378" s="15" t="s">
        <v>1554</v>
      </c>
      <c r="Q4378" s="7"/>
    </row>
    <row r="4379">
      <c r="A4379" s="39" t="s">
        <v>17456</v>
      </c>
      <c r="B4379" s="15">
        <v>1618260.0</v>
      </c>
      <c r="C4379" s="15" t="s">
        <v>17457</v>
      </c>
      <c r="D4379" s="15">
        <v>277519.0</v>
      </c>
      <c r="E4379" s="15" t="s">
        <v>1808</v>
      </c>
      <c r="F4379" s="15" t="s">
        <v>1998</v>
      </c>
      <c r="G4379" s="7">
        <v>1.806</v>
      </c>
      <c r="H4379" s="15" t="s">
        <v>2428</v>
      </c>
      <c r="I4379" s="15" t="s">
        <v>1560</v>
      </c>
      <c r="J4379" s="15" t="s">
        <v>17458</v>
      </c>
      <c r="K4379" s="15">
        <v>2.0</v>
      </c>
      <c r="L4379" s="15">
        <v>2.0</v>
      </c>
      <c r="M4379" s="40">
        <v>42065.0</v>
      </c>
      <c r="N4379" s="40">
        <v>42069.0</v>
      </c>
      <c r="O4379" s="15" t="s">
        <v>1554</v>
      </c>
      <c r="Q4379" s="7"/>
    </row>
    <row r="4380">
      <c r="A4380" s="39" t="s">
        <v>17459</v>
      </c>
      <c r="B4380" s="15">
        <v>1618259.0</v>
      </c>
      <c r="C4380" s="15" t="s">
        <v>17460</v>
      </c>
      <c r="D4380" s="15">
        <v>277520.0</v>
      </c>
      <c r="E4380" s="15" t="s">
        <v>1808</v>
      </c>
      <c r="F4380" s="15" t="s">
        <v>1998</v>
      </c>
      <c r="G4380" s="7">
        <v>2.184</v>
      </c>
      <c r="H4380" s="15" t="s">
        <v>1859</v>
      </c>
      <c r="I4380" s="15" t="s">
        <v>1560</v>
      </c>
      <c r="J4380" s="15" t="s">
        <v>17461</v>
      </c>
      <c r="K4380" s="15">
        <v>2.0</v>
      </c>
      <c r="L4380" s="15">
        <v>2.0</v>
      </c>
      <c r="M4380" s="40">
        <v>42065.0</v>
      </c>
      <c r="N4380" s="40">
        <v>42069.0</v>
      </c>
      <c r="O4380" s="15" t="s">
        <v>1554</v>
      </c>
      <c r="Q4380" s="7"/>
    </row>
    <row r="4381">
      <c r="A4381" s="39" t="s">
        <v>17463</v>
      </c>
      <c r="B4381" s="15">
        <v>1618258.0</v>
      </c>
      <c r="C4381" s="15" t="s">
        <v>17464</v>
      </c>
      <c r="D4381" s="15">
        <v>277521.0</v>
      </c>
      <c r="E4381" s="15" t="s">
        <v>1808</v>
      </c>
      <c r="F4381" s="15" t="s">
        <v>1998</v>
      </c>
      <c r="G4381" s="7">
        <v>1.976</v>
      </c>
      <c r="H4381" s="15" t="s">
        <v>2178</v>
      </c>
      <c r="I4381" s="15" t="s">
        <v>1560</v>
      </c>
      <c r="J4381" s="15" t="s">
        <v>17465</v>
      </c>
      <c r="K4381" s="15">
        <v>2.0</v>
      </c>
      <c r="L4381" s="15">
        <v>2.0</v>
      </c>
      <c r="M4381" s="40">
        <v>42065.0</v>
      </c>
      <c r="N4381" s="40">
        <v>42069.0</v>
      </c>
      <c r="O4381" s="15" t="s">
        <v>1554</v>
      </c>
      <c r="Q4381" s="7"/>
    </row>
    <row r="4382">
      <c r="A4382" s="39" t="s">
        <v>17466</v>
      </c>
      <c r="B4382" s="15">
        <v>1618257.0</v>
      </c>
      <c r="C4382" s="15" t="s">
        <v>17467</v>
      </c>
      <c r="D4382" s="15">
        <v>277522.0</v>
      </c>
      <c r="E4382" s="15" t="s">
        <v>1808</v>
      </c>
      <c r="F4382" s="15" t="s">
        <v>1998</v>
      </c>
      <c r="G4382" s="7">
        <v>2.096</v>
      </c>
      <c r="H4382" s="15" t="s">
        <v>1559</v>
      </c>
      <c r="I4382" s="15" t="s">
        <v>1560</v>
      </c>
      <c r="J4382" s="15" t="s">
        <v>17468</v>
      </c>
      <c r="K4382" s="15">
        <v>2.0</v>
      </c>
      <c r="L4382" s="15">
        <v>2.0</v>
      </c>
      <c r="M4382" s="40">
        <v>42065.0</v>
      </c>
      <c r="N4382" s="40">
        <v>42069.0</v>
      </c>
      <c r="O4382" s="15" t="s">
        <v>1554</v>
      </c>
      <c r="Q4382" s="7"/>
    </row>
    <row r="4383">
      <c r="A4383" s="39" t="s">
        <v>17469</v>
      </c>
      <c r="B4383" s="15">
        <v>1618256.0</v>
      </c>
      <c r="C4383" s="15" t="s">
        <v>17470</v>
      </c>
      <c r="D4383" s="15">
        <v>277523.0</v>
      </c>
      <c r="E4383" s="15" t="s">
        <v>1808</v>
      </c>
      <c r="F4383" s="15" t="s">
        <v>1998</v>
      </c>
      <c r="G4383" s="7">
        <v>2.434</v>
      </c>
      <c r="H4383" s="15" t="s">
        <v>3836</v>
      </c>
      <c r="I4383" s="15" t="s">
        <v>1560</v>
      </c>
      <c r="J4383" s="15" t="s">
        <v>17471</v>
      </c>
      <c r="K4383" s="15">
        <v>2.0</v>
      </c>
      <c r="L4383" s="15">
        <v>2.0</v>
      </c>
      <c r="M4383" s="40">
        <v>42065.0</v>
      </c>
      <c r="N4383" s="40">
        <v>42069.0</v>
      </c>
      <c r="O4383" s="15" t="s">
        <v>1554</v>
      </c>
      <c r="Q4383" s="7"/>
    </row>
    <row r="4384">
      <c r="A4384" s="39" t="s">
        <v>17472</v>
      </c>
      <c r="B4384" s="15">
        <v>1618255.0</v>
      </c>
      <c r="C4384" s="15" t="s">
        <v>17473</v>
      </c>
      <c r="D4384" s="15">
        <v>277524.0</v>
      </c>
      <c r="E4384" s="15" t="s">
        <v>1808</v>
      </c>
      <c r="F4384" s="15" t="s">
        <v>1998</v>
      </c>
      <c r="G4384" s="7">
        <v>1.835</v>
      </c>
      <c r="H4384" s="15" t="s">
        <v>2197</v>
      </c>
      <c r="I4384" s="15" t="s">
        <v>1560</v>
      </c>
      <c r="J4384" s="15" t="s">
        <v>17475</v>
      </c>
      <c r="K4384" s="15">
        <v>2.0</v>
      </c>
      <c r="L4384" s="15">
        <v>2.0</v>
      </c>
      <c r="M4384" s="40">
        <v>42065.0</v>
      </c>
      <c r="N4384" s="40">
        <v>42069.0</v>
      </c>
      <c r="O4384" s="15" t="s">
        <v>1554</v>
      </c>
      <c r="Q4384" s="7"/>
    </row>
    <row r="4385">
      <c r="A4385" s="39" t="s">
        <v>17476</v>
      </c>
      <c r="B4385" s="15">
        <v>1618254.0</v>
      </c>
      <c r="C4385" s="15" t="s">
        <v>17477</v>
      </c>
      <c r="D4385" s="15">
        <v>277525.0</v>
      </c>
      <c r="E4385" s="15" t="s">
        <v>1808</v>
      </c>
      <c r="F4385" s="15" t="s">
        <v>1998</v>
      </c>
      <c r="G4385" s="7">
        <v>2.656</v>
      </c>
      <c r="H4385" s="15" t="s">
        <v>1818</v>
      </c>
      <c r="I4385" s="15" t="s">
        <v>1560</v>
      </c>
      <c r="J4385" s="15" t="s">
        <v>17478</v>
      </c>
      <c r="K4385" s="15">
        <v>2.0</v>
      </c>
      <c r="L4385" s="15">
        <v>2.0</v>
      </c>
      <c r="M4385" s="40">
        <v>42065.0</v>
      </c>
      <c r="N4385" s="40">
        <v>42069.0</v>
      </c>
      <c r="O4385" s="15" t="s">
        <v>1554</v>
      </c>
      <c r="Q4385" s="7"/>
    </row>
    <row r="4386">
      <c r="A4386" s="39" t="s">
        <v>17479</v>
      </c>
      <c r="B4386" s="15">
        <v>320839.0</v>
      </c>
      <c r="C4386" s="15" t="s">
        <v>17480</v>
      </c>
      <c r="D4386" s="15">
        <v>15270.0</v>
      </c>
      <c r="E4386" s="15" t="s">
        <v>1557</v>
      </c>
      <c r="F4386" s="15" t="s">
        <v>1833</v>
      </c>
      <c r="G4386" s="7">
        <v>44.777</v>
      </c>
      <c r="H4386" s="15" t="s">
        <v>2219</v>
      </c>
      <c r="I4386" s="15" t="s">
        <v>1586</v>
      </c>
      <c r="J4386" s="15" t="s">
        <v>17481</v>
      </c>
      <c r="K4386" s="15">
        <v>65.0</v>
      </c>
      <c r="L4386" s="15">
        <v>65.0</v>
      </c>
      <c r="M4386" s="40">
        <v>38447.0</v>
      </c>
      <c r="N4386" s="40">
        <v>42049.0</v>
      </c>
      <c r="O4386" s="15" t="s">
        <v>1554</v>
      </c>
      <c r="Q4386" s="7"/>
    </row>
    <row r="4387">
      <c r="A4387" s="39" t="s">
        <v>17482</v>
      </c>
      <c r="B4387" s="15">
        <v>10843.0</v>
      </c>
      <c r="C4387" s="15" t="s">
        <v>17483</v>
      </c>
      <c r="D4387" s="15">
        <v>14318.0</v>
      </c>
      <c r="E4387" s="15" t="s">
        <v>1808</v>
      </c>
      <c r="F4387" s="15" t="s">
        <v>3154</v>
      </c>
      <c r="G4387" s="7">
        <v>5.577</v>
      </c>
      <c r="H4387" s="15" t="s">
        <v>4401</v>
      </c>
      <c r="I4387" s="15" t="s">
        <v>1586</v>
      </c>
      <c r="J4387" s="15" t="s">
        <v>17484</v>
      </c>
      <c r="K4387" s="15">
        <v>13.0</v>
      </c>
      <c r="L4387" s="15">
        <v>11.0</v>
      </c>
      <c r="M4387" s="40">
        <v>30111.0</v>
      </c>
      <c r="N4387" s="40">
        <v>42045.0</v>
      </c>
      <c r="O4387" s="15" t="s">
        <v>1554</v>
      </c>
      <c r="Q4387" s="7"/>
    </row>
    <row r="4388">
      <c r="A4388" s="39" t="s">
        <v>17486</v>
      </c>
      <c r="B4388" s="15">
        <v>187850.0</v>
      </c>
      <c r="C4388" s="15" t="s">
        <v>17487</v>
      </c>
      <c r="D4388" s="15">
        <v>14232.0</v>
      </c>
      <c r="E4388" s="15" t="s">
        <v>2014</v>
      </c>
      <c r="F4388" s="15" t="s">
        <v>1578</v>
      </c>
      <c r="G4388" s="7">
        <v>1.36</v>
      </c>
      <c r="H4388" s="15">
        <v>40.0</v>
      </c>
      <c r="I4388" s="15" t="s">
        <v>1628</v>
      </c>
      <c r="J4388" s="15" t="s">
        <v>17488</v>
      </c>
      <c r="K4388" s="15">
        <v>1.0</v>
      </c>
      <c r="L4388" s="15">
        <v>1.0</v>
      </c>
      <c r="M4388" s="40">
        <v>37301.0</v>
      </c>
      <c r="N4388" s="41">
        <v>40492.0</v>
      </c>
      <c r="O4388" s="15" t="s">
        <v>1554</v>
      </c>
      <c r="Q4388" s="7"/>
    </row>
    <row r="4389">
      <c r="A4389" s="39" t="s">
        <v>17489</v>
      </c>
      <c r="B4389" s="15">
        <v>59506.0</v>
      </c>
      <c r="C4389" s="15" t="s">
        <v>17490</v>
      </c>
      <c r="D4389" s="15">
        <v>15260.0</v>
      </c>
      <c r="E4389" s="15" t="s">
        <v>1557</v>
      </c>
      <c r="F4389" s="15" t="s">
        <v>1833</v>
      </c>
      <c r="G4389" s="7">
        <v>44.283</v>
      </c>
      <c r="H4389" s="15" t="s">
        <v>1696</v>
      </c>
      <c r="I4389" s="15" t="s">
        <v>1586</v>
      </c>
      <c r="J4389" s="15" t="s">
        <v>17491</v>
      </c>
      <c r="K4389" s="15">
        <v>71.0</v>
      </c>
      <c r="L4389" s="15">
        <v>71.0</v>
      </c>
      <c r="M4389" s="40">
        <v>38447.0</v>
      </c>
      <c r="N4389" s="40">
        <v>42049.0</v>
      </c>
      <c r="O4389" s="15" t="s">
        <v>1554</v>
      </c>
      <c r="Q4389" s="7"/>
    </row>
    <row r="4390">
      <c r="A4390" s="39" t="s">
        <v>17492</v>
      </c>
      <c r="B4390" s="15">
        <v>320849.0</v>
      </c>
      <c r="C4390" s="15" t="s">
        <v>17493</v>
      </c>
      <c r="D4390" s="15">
        <v>15280.0</v>
      </c>
      <c r="E4390" s="15" t="s">
        <v>1557</v>
      </c>
      <c r="F4390" s="15" t="s">
        <v>1833</v>
      </c>
      <c r="G4390" s="7">
        <v>42.431</v>
      </c>
      <c r="H4390" s="15" t="s">
        <v>3827</v>
      </c>
      <c r="I4390" s="15" t="s">
        <v>1586</v>
      </c>
      <c r="J4390" s="15" t="s">
        <v>17495</v>
      </c>
      <c r="K4390" s="15">
        <v>64.0</v>
      </c>
      <c r="L4390" s="15">
        <v>64.0</v>
      </c>
      <c r="M4390" s="40">
        <v>38447.0</v>
      </c>
      <c r="N4390" s="40">
        <v>42049.0</v>
      </c>
      <c r="O4390" s="15" t="s">
        <v>1554</v>
      </c>
      <c r="Q4390" s="7"/>
    </row>
    <row r="4391">
      <c r="A4391" s="39" t="s">
        <v>17496</v>
      </c>
      <c r="B4391" s="15">
        <v>320834.0</v>
      </c>
      <c r="C4391" s="15" t="s">
        <v>17497</v>
      </c>
      <c r="D4391" s="15">
        <v>15265.0</v>
      </c>
      <c r="E4391" s="15" t="s">
        <v>1557</v>
      </c>
      <c r="F4391" s="15" t="s">
        <v>1833</v>
      </c>
      <c r="G4391" s="7">
        <v>42.732</v>
      </c>
      <c r="H4391" s="15" t="s">
        <v>7532</v>
      </c>
      <c r="I4391" s="15" t="s">
        <v>1586</v>
      </c>
      <c r="J4391" s="15" t="s">
        <v>17498</v>
      </c>
      <c r="K4391" s="15">
        <v>69.0</v>
      </c>
      <c r="L4391" s="15">
        <v>69.0</v>
      </c>
      <c r="M4391" s="40">
        <v>38447.0</v>
      </c>
      <c r="N4391" s="40">
        <v>39790.0</v>
      </c>
      <c r="O4391" s="15" t="s">
        <v>1554</v>
      </c>
      <c r="Q4391" s="7"/>
    </row>
    <row r="4392">
      <c r="A4392" s="39" t="s">
        <v>17499</v>
      </c>
      <c r="B4392" s="15">
        <v>320842.0</v>
      </c>
      <c r="C4392" s="15" t="s">
        <v>17500</v>
      </c>
      <c r="D4392" s="15">
        <v>15273.0</v>
      </c>
      <c r="E4392" s="15" t="s">
        <v>1557</v>
      </c>
      <c r="F4392" s="15" t="s">
        <v>1833</v>
      </c>
      <c r="G4392" s="7">
        <v>43.576</v>
      </c>
      <c r="H4392" s="15">
        <v>35.0</v>
      </c>
      <c r="I4392" s="15" t="s">
        <v>1586</v>
      </c>
      <c r="J4392" s="15" t="s">
        <v>17501</v>
      </c>
      <c r="K4392" s="15">
        <v>74.0</v>
      </c>
      <c r="L4392" s="15">
        <v>74.0</v>
      </c>
      <c r="M4392" s="40">
        <v>38447.0</v>
      </c>
      <c r="N4392" s="40">
        <v>42049.0</v>
      </c>
      <c r="O4392" s="15" t="s">
        <v>1554</v>
      </c>
      <c r="Q4392" s="7"/>
    </row>
    <row r="4393">
      <c r="A4393" s="39" t="s">
        <v>17503</v>
      </c>
      <c r="B4393" s="15">
        <v>320846.0</v>
      </c>
      <c r="C4393" s="15" t="s">
        <v>17504</v>
      </c>
      <c r="D4393" s="15">
        <v>15277.0</v>
      </c>
      <c r="E4393" s="15" t="s">
        <v>1557</v>
      </c>
      <c r="F4393" s="15" t="s">
        <v>1833</v>
      </c>
      <c r="G4393" s="7">
        <v>42.802</v>
      </c>
      <c r="H4393" s="15" t="s">
        <v>3568</v>
      </c>
      <c r="I4393" s="15" t="s">
        <v>1586</v>
      </c>
      <c r="J4393" s="15" t="s">
        <v>17505</v>
      </c>
      <c r="K4393" s="15">
        <v>67.0</v>
      </c>
      <c r="L4393" s="15">
        <v>67.0</v>
      </c>
      <c r="M4393" s="40">
        <v>38447.0</v>
      </c>
      <c r="N4393" s="40">
        <v>42049.0</v>
      </c>
      <c r="O4393" s="15" t="s">
        <v>1554</v>
      </c>
      <c r="Q4393" s="7"/>
    </row>
    <row r="4394">
      <c r="A4394" s="39" t="s">
        <v>17506</v>
      </c>
      <c r="B4394" s="15">
        <v>320835.0</v>
      </c>
      <c r="C4394" s="15" t="s">
        <v>17507</v>
      </c>
      <c r="D4394" s="15">
        <v>15266.0</v>
      </c>
      <c r="E4394" s="15" t="s">
        <v>1557</v>
      </c>
      <c r="F4394" s="15" t="s">
        <v>1833</v>
      </c>
      <c r="G4394" s="7">
        <v>43.883</v>
      </c>
      <c r="H4394" s="15" t="s">
        <v>8397</v>
      </c>
      <c r="I4394" s="15" t="s">
        <v>1586</v>
      </c>
      <c r="J4394" s="15" t="s">
        <v>17508</v>
      </c>
      <c r="K4394" s="15">
        <v>74.0</v>
      </c>
      <c r="L4394" s="15">
        <v>74.0</v>
      </c>
      <c r="M4394" s="40">
        <v>38447.0</v>
      </c>
      <c r="N4394" s="40">
        <v>42049.0</v>
      </c>
      <c r="O4394" s="15" t="s">
        <v>1554</v>
      </c>
      <c r="Q4394" s="7"/>
    </row>
    <row r="4395">
      <c r="A4395" s="39" t="s">
        <v>17510</v>
      </c>
      <c r="B4395" s="15">
        <v>320847.0</v>
      </c>
      <c r="C4395" s="15" t="s">
        <v>17511</v>
      </c>
      <c r="D4395" s="15">
        <v>15278.0</v>
      </c>
      <c r="E4395" s="15" t="s">
        <v>1557</v>
      </c>
      <c r="F4395" s="15" t="s">
        <v>1833</v>
      </c>
      <c r="G4395" s="7">
        <v>41.69</v>
      </c>
      <c r="H4395" s="15" t="s">
        <v>2103</v>
      </c>
      <c r="I4395" s="15" t="s">
        <v>1586</v>
      </c>
      <c r="J4395" s="15" t="s">
        <v>17512</v>
      </c>
      <c r="K4395" s="15">
        <v>60.0</v>
      </c>
      <c r="L4395" s="15">
        <v>60.0</v>
      </c>
      <c r="M4395" s="40">
        <v>38447.0</v>
      </c>
      <c r="N4395" s="40">
        <v>42049.0</v>
      </c>
      <c r="O4395" s="15" t="s">
        <v>1554</v>
      </c>
      <c r="Q4395" s="7"/>
    </row>
    <row r="4396">
      <c r="A4396" s="39" t="s">
        <v>17513</v>
      </c>
      <c r="B4396" s="15">
        <v>320844.0</v>
      </c>
      <c r="C4396" s="15" t="s">
        <v>17514</v>
      </c>
      <c r="D4396" s="15">
        <v>15275.0</v>
      </c>
      <c r="E4396" s="15" t="s">
        <v>1557</v>
      </c>
      <c r="F4396" s="15" t="s">
        <v>1833</v>
      </c>
      <c r="G4396" s="7">
        <v>43.114</v>
      </c>
      <c r="H4396" s="15" t="s">
        <v>3550</v>
      </c>
      <c r="I4396" s="15" t="s">
        <v>1586</v>
      </c>
      <c r="J4396" s="15" t="s">
        <v>17515</v>
      </c>
      <c r="K4396" s="15">
        <v>67.0</v>
      </c>
      <c r="L4396" s="15">
        <v>67.0</v>
      </c>
      <c r="M4396" s="40">
        <v>38447.0</v>
      </c>
      <c r="N4396" s="40">
        <v>42049.0</v>
      </c>
      <c r="O4396" s="15" t="s">
        <v>1554</v>
      </c>
      <c r="Q4396" s="7"/>
    </row>
    <row r="4397">
      <c r="A4397" s="39" t="s">
        <v>17516</v>
      </c>
      <c r="B4397" s="15">
        <v>320848.0</v>
      </c>
      <c r="C4397" s="15" t="s">
        <v>17517</v>
      </c>
      <c r="D4397" s="15">
        <v>15279.0</v>
      </c>
      <c r="E4397" s="15" t="s">
        <v>1557</v>
      </c>
      <c r="F4397" s="15" t="s">
        <v>1833</v>
      </c>
      <c r="G4397" s="7">
        <v>43.231</v>
      </c>
      <c r="H4397" s="15" t="s">
        <v>2103</v>
      </c>
      <c r="I4397" s="15" t="s">
        <v>1586</v>
      </c>
      <c r="J4397" s="15" t="s">
        <v>17519</v>
      </c>
      <c r="K4397" s="15">
        <v>66.0</v>
      </c>
      <c r="L4397" s="15">
        <v>66.0</v>
      </c>
      <c r="M4397" s="40">
        <v>38447.0</v>
      </c>
      <c r="N4397" s="40">
        <v>42049.0</v>
      </c>
      <c r="O4397" s="15" t="s">
        <v>1554</v>
      </c>
      <c r="Q4397" s="7"/>
    </row>
    <row r="4398">
      <c r="A4398" s="39" t="s">
        <v>17520</v>
      </c>
      <c r="B4398" s="15">
        <v>1619219.0</v>
      </c>
      <c r="C4398" s="15" t="s">
        <v>17521</v>
      </c>
      <c r="D4398" s="15">
        <v>278056.0</v>
      </c>
      <c r="E4398" s="15" t="s">
        <v>1808</v>
      </c>
      <c r="F4398" s="15" t="s">
        <v>2232</v>
      </c>
      <c r="G4398" s="7">
        <v>3.907</v>
      </c>
      <c r="H4398" s="15" t="s">
        <v>5273</v>
      </c>
      <c r="I4398" s="15" t="s">
        <v>1567</v>
      </c>
      <c r="J4398" s="15" t="s">
        <v>17522</v>
      </c>
      <c r="K4398" s="15">
        <v>4.0</v>
      </c>
      <c r="L4398" s="15">
        <v>4.0</v>
      </c>
      <c r="M4398" s="40">
        <v>42065.0</v>
      </c>
      <c r="N4398" s="40">
        <v>42209.0</v>
      </c>
      <c r="O4398" s="15" t="s">
        <v>1554</v>
      </c>
      <c r="Q4398" s="7"/>
    </row>
    <row r="4399">
      <c r="A4399" s="39" t="s">
        <v>17523</v>
      </c>
      <c r="B4399" s="15">
        <v>63118.0</v>
      </c>
      <c r="C4399" s="15" t="s">
        <v>17524</v>
      </c>
      <c r="D4399" s="15">
        <v>14087.0</v>
      </c>
      <c r="E4399" s="15" t="s">
        <v>1557</v>
      </c>
      <c r="F4399" s="15" t="s">
        <v>1833</v>
      </c>
      <c r="G4399" s="7">
        <v>31.754</v>
      </c>
      <c r="H4399" s="15" t="s">
        <v>7532</v>
      </c>
      <c r="I4399" s="15" t="s">
        <v>1586</v>
      </c>
      <c r="J4399" s="15" t="s">
        <v>17525</v>
      </c>
      <c r="K4399" s="15">
        <v>64.0</v>
      </c>
      <c r="L4399" s="15">
        <v>64.0</v>
      </c>
      <c r="M4399" s="40">
        <v>35977.0</v>
      </c>
      <c r="N4399" s="40">
        <v>41506.0</v>
      </c>
      <c r="O4399" s="15" t="s">
        <v>1554</v>
      </c>
      <c r="Q4399" s="7"/>
    </row>
    <row r="4400">
      <c r="A4400" s="39" t="s">
        <v>17527</v>
      </c>
      <c r="B4400" s="15">
        <v>320850.0</v>
      </c>
      <c r="C4400" s="15" t="s">
        <v>17528</v>
      </c>
      <c r="D4400" s="15">
        <v>15281.0</v>
      </c>
      <c r="E4400" s="15" t="s">
        <v>1557</v>
      </c>
      <c r="F4400" s="15" t="s">
        <v>1833</v>
      </c>
      <c r="G4400" s="7">
        <v>43.44</v>
      </c>
      <c r="H4400" s="15">
        <v>36.0</v>
      </c>
      <c r="I4400" s="15" t="s">
        <v>1586</v>
      </c>
      <c r="J4400" s="15" t="s">
        <v>17529</v>
      </c>
      <c r="K4400" s="15">
        <v>77.0</v>
      </c>
      <c r="L4400" s="15">
        <v>77.0</v>
      </c>
      <c r="M4400" s="40">
        <v>38447.0</v>
      </c>
      <c r="N4400" s="40">
        <v>39790.0</v>
      </c>
      <c r="O4400" s="15" t="s">
        <v>1554</v>
      </c>
      <c r="Q4400" s="7"/>
    </row>
    <row r="4401">
      <c r="A4401" s="39" t="s">
        <v>17530</v>
      </c>
      <c r="B4401" s="15">
        <v>83129.0</v>
      </c>
      <c r="C4401" s="15" t="s">
        <v>17531</v>
      </c>
      <c r="D4401" s="15">
        <v>17737.0</v>
      </c>
      <c r="E4401" s="15" t="s">
        <v>1557</v>
      </c>
      <c r="F4401" s="15" t="s">
        <v>1833</v>
      </c>
      <c r="G4401" s="7">
        <v>28.538</v>
      </c>
      <c r="H4401" s="15" t="s">
        <v>4283</v>
      </c>
      <c r="I4401" s="15" t="s">
        <v>1586</v>
      </c>
      <c r="J4401" s="15" t="s">
        <v>17532</v>
      </c>
      <c r="K4401" s="15">
        <v>58.0</v>
      </c>
      <c r="L4401" s="15">
        <v>58.0</v>
      </c>
      <c r="M4401" s="40">
        <v>38973.0</v>
      </c>
      <c r="N4401" s="40">
        <v>41506.0</v>
      </c>
      <c r="O4401" s="15" t="s">
        <v>1554</v>
      </c>
      <c r="Q4401" s="7"/>
    </row>
    <row r="4402">
      <c r="A4402" s="39" t="s">
        <v>17534</v>
      </c>
      <c r="B4402" s="15">
        <v>213769.0</v>
      </c>
      <c r="C4402" s="15" t="s">
        <v>17535</v>
      </c>
      <c r="D4402" s="15">
        <v>17757.0</v>
      </c>
      <c r="E4402" s="15" t="s">
        <v>1557</v>
      </c>
      <c r="F4402" s="15" t="s">
        <v>1833</v>
      </c>
      <c r="G4402" s="7">
        <v>30.51</v>
      </c>
      <c r="H4402" s="15" t="s">
        <v>2211</v>
      </c>
      <c r="I4402" s="15" t="s">
        <v>1586</v>
      </c>
      <c r="J4402" s="15" t="s">
        <v>17536</v>
      </c>
      <c r="K4402" s="15">
        <v>55.0</v>
      </c>
      <c r="L4402" s="15">
        <v>55.0</v>
      </c>
      <c r="M4402" s="40">
        <v>38973.0</v>
      </c>
      <c r="N4402" s="40">
        <v>39822.0</v>
      </c>
      <c r="O4402" s="15" t="s">
        <v>1554</v>
      </c>
      <c r="Q4402" s="7"/>
    </row>
    <row r="4403">
      <c r="A4403" s="39" t="s">
        <v>17537</v>
      </c>
      <c r="B4403" s="15">
        <v>213775.0</v>
      </c>
      <c r="C4403" s="15" t="s">
        <v>17538</v>
      </c>
      <c r="D4403" s="15">
        <v>17759.0</v>
      </c>
      <c r="E4403" s="15" t="s">
        <v>1557</v>
      </c>
      <c r="F4403" s="15" t="s">
        <v>1833</v>
      </c>
      <c r="G4403" s="7">
        <v>27.453</v>
      </c>
      <c r="H4403" s="15" t="s">
        <v>7887</v>
      </c>
      <c r="I4403" s="15" t="s">
        <v>1586</v>
      </c>
      <c r="J4403" s="15" t="s">
        <v>17540</v>
      </c>
      <c r="K4403" s="15">
        <v>49.0</v>
      </c>
      <c r="L4403" s="15">
        <v>49.0</v>
      </c>
      <c r="M4403" s="40">
        <v>38973.0</v>
      </c>
      <c r="N4403" s="40">
        <v>39822.0</v>
      </c>
      <c r="O4403" s="15" t="s">
        <v>1554</v>
      </c>
      <c r="Q4403" s="7"/>
    </row>
    <row r="4404">
      <c r="A4404" s="39" t="s">
        <v>17541</v>
      </c>
      <c r="B4404" s="15">
        <v>387907.0</v>
      </c>
      <c r="C4404" s="15" t="s">
        <v>17542</v>
      </c>
      <c r="D4404" s="15">
        <v>18293.0</v>
      </c>
      <c r="E4404" s="15" t="s">
        <v>1557</v>
      </c>
      <c r="F4404" s="15" t="s">
        <v>1833</v>
      </c>
      <c r="G4404" s="7">
        <v>43.128</v>
      </c>
      <c r="H4404" s="15" t="s">
        <v>3870</v>
      </c>
      <c r="I4404" s="15" t="s">
        <v>1586</v>
      </c>
      <c r="J4404" s="15" t="s">
        <v>17543</v>
      </c>
      <c r="K4404" s="15">
        <v>64.0</v>
      </c>
      <c r="L4404" s="15">
        <v>64.0</v>
      </c>
      <c r="M4404" s="41">
        <v>39021.0</v>
      </c>
      <c r="N4404" s="40">
        <v>39790.0</v>
      </c>
      <c r="O4404" s="15" t="s">
        <v>1554</v>
      </c>
      <c r="Q4404" s="7"/>
    </row>
    <row r="4405">
      <c r="A4405" s="39" t="s">
        <v>17544</v>
      </c>
      <c r="B4405" s="15">
        <v>494269.0</v>
      </c>
      <c r="C4405" s="15" t="s">
        <v>17545</v>
      </c>
      <c r="D4405" s="15">
        <v>30597.0</v>
      </c>
      <c r="E4405" s="15" t="s">
        <v>1557</v>
      </c>
      <c r="F4405" s="15" t="s">
        <v>1833</v>
      </c>
      <c r="G4405" s="7">
        <v>29.305</v>
      </c>
      <c r="H4405" s="15" t="s">
        <v>4283</v>
      </c>
      <c r="I4405" s="15" t="s">
        <v>1586</v>
      </c>
      <c r="J4405" s="15" t="s">
        <v>17547</v>
      </c>
      <c r="K4405" s="15">
        <v>54.0</v>
      </c>
      <c r="L4405" s="15">
        <v>54.0</v>
      </c>
      <c r="M4405" s="40">
        <v>39629.0</v>
      </c>
      <c r="N4405" s="40">
        <v>39925.0</v>
      </c>
      <c r="O4405" s="15" t="s">
        <v>1554</v>
      </c>
      <c r="Q4405" s="7"/>
    </row>
    <row r="4406">
      <c r="A4406" s="39" t="s">
        <v>17548</v>
      </c>
      <c r="B4406" s="15">
        <v>1619220.0</v>
      </c>
      <c r="C4406" s="15" t="s">
        <v>17549</v>
      </c>
      <c r="D4406" s="15">
        <v>278303.0</v>
      </c>
      <c r="E4406" s="15" t="s">
        <v>1808</v>
      </c>
      <c r="F4406" s="15" t="s">
        <v>2232</v>
      </c>
      <c r="G4406" s="7">
        <v>3.812</v>
      </c>
      <c r="H4406" s="15" t="s">
        <v>4614</v>
      </c>
      <c r="I4406" s="15" t="s">
        <v>1567</v>
      </c>
      <c r="J4406" s="15" t="s">
        <v>17550</v>
      </c>
      <c r="K4406" s="15">
        <v>4.0</v>
      </c>
      <c r="L4406" s="15">
        <v>4.0</v>
      </c>
      <c r="M4406" s="40">
        <v>42065.0</v>
      </c>
      <c r="N4406" s="40">
        <v>42081.0</v>
      </c>
      <c r="O4406" s="15" t="s">
        <v>1554</v>
      </c>
      <c r="Q4406" s="7"/>
    </row>
    <row r="4407">
      <c r="A4407" s="39" t="s">
        <v>17551</v>
      </c>
      <c r="B4407" s="15">
        <v>1619218.0</v>
      </c>
      <c r="C4407" s="15" t="s">
        <v>17552</v>
      </c>
      <c r="D4407" s="15">
        <v>278640.0</v>
      </c>
      <c r="E4407" s="15" t="s">
        <v>1808</v>
      </c>
      <c r="F4407" s="15" t="s">
        <v>2232</v>
      </c>
      <c r="G4407" s="7">
        <v>3.612</v>
      </c>
      <c r="H4407" s="15" t="s">
        <v>1957</v>
      </c>
      <c r="I4407" s="15" t="s">
        <v>1567</v>
      </c>
      <c r="J4407" s="15" t="s">
        <v>17554</v>
      </c>
      <c r="K4407" s="15">
        <v>3.0</v>
      </c>
      <c r="L4407" s="15">
        <v>3.0</v>
      </c>
      <c r="M4407" s="40">
        <v>42065.0</v>
      </c>
      <c r="N4407" s="40">
        <v>42209.0</v>
      </c>
      <c r="O4407" s="15" t="s">
        <v>1554</v>
      </c>
      <c r="Q4407" s="7"/>
    </row>
    <row r="4408">
      <c r="A4408" s="39" t="s">
        <v>17555</v>
      </c>
      <c r="B4408" s="15">
        <v>1609634.0</v>
      </c>
      <c r="C4408" s="15" t="s">
        <v>17556</v>
      </c>
      <c r="D4408" s="15">
        <v>278641.0</v>
      </c>
      <c r="E4408" s="15" t="s">
        <v>1808</v>
      </c>
      <c r="F4408" s="15" t="s">
        <v>3154</v>
      </c>
      <c r="G4408" s="7">
        <v>6.083</v>
      </c>
      <c r="H4408" s="42">
        <v>43311.0</v>
      </c>
      <c r="I4408" s="15" t="s">
        <v>1586</v>
      </c>
      <c r="J4408" s="15" t="s">
        <v>17557</v>
      </c>
      <c r="K4408" s="15">
        <v>9.0</v>
      </c>
      <c r="L4408" s="15">
        <v>9.0</v>
      </c>
      <c r="M4408" s="40">
        <v>42049.0</v>
      </c>
      <c r="N4408" s="40">
        <v>42081.0</v>
      </c>
      <c r="O4408" s="15" t="s">
        <v>1554</v>
      </c>
      <c r="Q4408" s="7"/>
    </row>
    <row r="4409">
      <c r="A4409" s="39" t="s">
        <v>17558</v>
      </c>
      <c r="B4409" s="15">
        <v>31532.0</v>
      </c>
      <c r="C4409" s="15" t="s">
        <v>17559</v>
      </c>
      <c r="D4409" s="15">
        <v>14096.0</v>
      </c>
      <c r="E4409" s="15" t="s">
        <v>1557</v>
      </c>
      <c r="F4409" s="15" t="s">
        <v>1833</v>
      </c>
      <c r="G4409" s="7">
        <v>28.451</v>
      </c>
      <c r="H4409" s="15" t="s">
        <v>3260</v>
      </c>
      <c r="I4409" s="15" t="s">
        <v>1586</v>
      </c>
      <c r="J4409" s="15" t="s">
        <v>17560</v>
      </c>
      <c r="K4409" s="15">
        <v>56.0</v>
      </c>
      <c r="L4409" s="15">
        <v>56.0</v>
      </c>
      <c r="M4409" s="40">
        <v>35684.0</v>
      </c>
      <c r="N4409" s="40">
        <v>39939.0</v>
      </c>
      <c r="O4409" s="15" t="s">
        <v>1554</v>
      </c>
      <c r="Q4409" s="7"/>
    </row>
    <row r="4410">
      <c r="A4410" s="39" t="s">
        <v>17561</v>
      </c>
      <c r="B4410" s="15">
        <v>1629132.0</v>
      </c>
      <c r="C4410" s="15" t="s">
        <v>17562</v>
      </c>
      <c r="D4410" s="15">
        <v>279079.0</v>
      </c>
      <c r="E4410" s="15" t="s">
        <v>1548</v>
      </c>
      <c r="F4410" s="15" t="s">
        <v>2374</v>
      </c>
      <c r="G4410" s="7">
        <v>9.617</v>
      </c>
      <c r="H4410" s="15" t="s">
        <v>2342</v>
      </c>
      <c r="I4410" s="15" t="s">
        <v>1560</v>
      </c>
      <c r="J4410" s="15" t="s">
        <v>17563</v>
      </c>
      <c r="K4410" s="15">
        <v>1.0</v>
      </c>
      <c r="L4410" s="15">
        <v>1.0</v>
      </c>
      <c r="M4410" s="40">
        <v>42080.0</v>
      </c>
      <c r="N4410" s="40">
        <v>42157.0</v>
      </c>
      <c r="O4410" s="15" t="s">
        <v>1554</v>
      </c>
      <c r="Q4410" s="7"/>
    </row>
    <row r="4411">
      <c r="A4411" s="39" t="s">
        <v>17564</v>
      </c>
      <c r="B4411" s="15">
        <v>1435457.0</v>
      </c>
      <c r="C4411" s="15" t="s">
        <v>17565</v>
      </c>
      <c r="D4411" s="15">
        <v>279033.0</v>
      </c>
      <c r="E4411" s="15" t="s">
        <v>1548</v>
      </c>
      <c r="F4411" s="15" t="s">
        <v>1578</v>
      </c>
      <c r="G4411" s="7">
        <v>10.009</v>
      </c>
      <c r="H4411" s="15" t="s">
        <v>2375</v>
      </c>
      <c r="I4411" s="15" t="s">
        <v>1552</v>
      </c>
      <c r="J4411" s="15" t="s">
        <v>17567</v>
      </c>
      <c r="K4411" s="15">
        <v>6.0</v>
      </c>
      <c r="L4411" s="15">
        <v>6.0</v>
      </c>
      <c r="M4411" s="40">
        <v>41698.0</v>
      </c>
      <c r="N4411" s="40">
        <v>42506.0</v>
      </c>
      <c r="O4411" s="15" t="s">
        <v>1554</v>
      </c>
      <c r="Q4411" s="7"/>
    </row>
    <row r="4412">
      <c r="A4412" s="39" t="s">
        <v>17568</v>
      </c>
      <c r="B4412" s="15">
        <v>1631303.0</v>
      </c>
      <c r="C4412" s="15" t="s">
        <v>17569</v>
      </c>
      <c r="D4412" s="15">
        <v>280301.0</v>
      </c>
      <c r="E4412" s="15" t="s">
        <v>1808</v>
      </c>
      <c r="F4412" s="15" t="s">
        <v>1809</v>
      </c>
      <c r="G4412" s="7">
        <v>2.952</v>
      </c>
      <c r="H4412" s="15" t="s">
        <v>2552</v>
      </c>
      <c r="I4412" s="15" t="s">
        <v>1628</v>
      </c>
      <c r="J4412" s="15" t="s">
        <v>17570</v>
      </c>
      <c r="K4412" s="15">
        <v>5.0</v>
      </c>
      <c r="L4412" s="15">
        <v>5.0</v>
      </c>
      <c r="M4412" s="40">
        <v>42088.0</v>
      </c>
      <c r="N4412" s="40">
        <v>42098.0</v>
      </c>
      <c r="O4412" s="15" t="s">
        <v>1554</v>
      </c>
      <c r="Q4412" s="7"/>
    </row>
    <row r="4413">
      <c r="A4413" s="39" t="s">
        <v>17571</v>
      </c>
      <c r="B4413" s="15">
        <v>1623688.0</v>
      </c>
      <c r="C4413" s="15" t="s">
        <v>17572</v>
      </c>
      <c r="D4413" s="15">
        <v>280305.0</v>
      </c>
      <c r="E4413" s="15" t="s">
        <v>1557</v>
      </c>
      <c r="F4413" s="15" t="s">
        <v>2004</v>
      </c>
      <c r="G4413" s="7">
        <v>5.046</v>
      </c>
      <c r="H4413" s="15" t="s">
        <v>2524</v>
      </c>
      <c r="I4413" s="15" t="s">
        <v>1686</v>
      </c>
      <c r="J4413" s="15" t="s">
        <v>17573</v>
      </c>
      <c r="K4413" s="15">
        <v>4.0</v>
      </c>
      <c r="L4413" s="15">
        <v>4.0</v>
      </c>
      <c r="M4413" s="40">
        <v>42063.0</v>
      </c>
      <c r="N4413" s="40">
        <v>42284.0</v>
      </c>
      <c r="O4413" s="15" t="s">
        <v>1554</v>
      </c>
      <c r="Q4413" s="7"/>
    </row>
    <row r="4414">
      <c r="A4414" s="39" t="s">
        <v>17575</v>
      </c>
      <c r="B4414" s="15">
        <v>1633752.0</v>
      </c>
      <c r="C4414" s="15" t="s">
        <v>17576</v>
      </c>
      <c r="D4414" s="15">
        <v>280298.0</v>
      </c>
      <c r="E4414" s="15" t="s">
        <v>1808</v>
      </c>
      <c r="F4414" s="15" t="s">
        <v>1809</v>
      </c>
      <c r="G4414" s="7">
        <v>2.932</v>
      </c>
      <c r="H4414" s="15" t="s">
        <v>8889</v>
      </c>
      <c r="I4414" s="15" t="s">
        <v>1628</v>
      </c>
      <c r="J4414" s="15" t="s">
        <v>17577</v>
      </c>
      <c r="K4414" s="15">
        <v>6.0</v>
      </c>
      <c r="L4414" s="15">
        <v>6.0</v>
      </c>
      <c r="M4414" s="40">
        <v>42092.0</v>
      </c>
      <c r="N4414" s="40">
        <v>42098.0</v>
      </c>
      <c r="O4414" s="15" t="s">
        <v>1554</v>
      </c>
      <c r="Q4414" s="7"/>
    </row>
    <row r="4415">
      <c r="A4415" s="39" t="s">
        <v>17578</v>
      </c>
      <c r="B4415" s="15">
        <v>1629657.0</v>
      </c>
      <c r="C4415" s="15" t="s">
        <v>17579</v>
      </c>
      <c r="D4415" s="15">
        <v>280302.0</v>
      </c>
      <c r="E4415" s="15" t="s">
        <v>1808</v>
      </c>
      <c r="F4415" s="15" t="s">
        <v>2232</v>
      </c>
      <c r="G4415" s="7">
        <v>3.621</v>
      </c>
      <c r="H4415" s="15" t="s">
        <v>3220</v>
      </c>
      <c r="I4415" s="15" t="s">
        <v>1567</v>
      </c>
      <c r="J4415" s="15" t="s">
        <v>17580</v>
      </c>
      <c r="K4415" s="15">
        <v>4.0</v>
      </c>
      <c r="L4415" s="15">
        <v>4.0</v>
      </c>
      <c r="M4415" s="40">
        <v>42065.0</v>
      </c>
      <c r="N4415" s="40">
        <v>42098.0</v>
      </c>
      <c r="O4415" s="15" t="s">
        <v>1554</v>
      </c>
      <c r="Q4415" s="7"/>
    </row>
    <row r="4416">
      <c r="A4416" s="39" t="s">
        <v>17581</v>
      </c>
      <c r="B4416" s="15">
        <v>1623687.0</v>
      </c>
      <c r="C4416" s="15" t="s">
        <v>17582</v>
      </c>
      <c r="D4416" s="15">
        <v>280306.0</v>
      </c>
      <c r="E4416" s="15" t="s">
        <v>1557</v>
      </c>
      <c r="F4416" s="15" t="s">
        <v>2004</v>
      </c>
      <c r="G4416" s="7">
        <v>5.075</v>
      </c>
      <c r="H4416" s="15" t="s">
        <v>6418</v>
      </c>
      <c r="I4416" s="15" t="s">
        <v>1686</v>
      </c>
      <c r="J4416" s="15" t="s">
        <v>17583</v>
      </c>
      <c r="K4416" s="15">
        <v>4.0</v>
      </c>
      <c r="L4416" s="15">
        <v>4.0</v>
      </c>
      <c r="M4416" s="40">
        <v>42063.0</v>
      </c>
      <c r="N4416" s="40">
        <v>42284.0</v>
      </c>
      <c r="O4416" s="15" t="s">
        <v>1554</v>
      </c>
      <c r="Q4416" s="7"/>
    </row>
    <row r="4417">
      <c r="A4417" s="39" t="s">
        <v>17584</v>
      </c>
      <c r="B4417" s="15">
        <v>1633139.0</v>
      </c>
      <c r="C4417" s="15" t="s">
        <v>17585</v>
      </c>
      <c r="D4417" s="15">
        <v>280299.0</v>
      </c>
      <c r="E4417" s="15" t="s">
        <v>1808</v>
      </c>
      <c r="F4417" s="15" t="s">
        <v>1809</v>
      </c>
      <c r="G4417" s="7">
        <v>2.737</v>
      </c>
      <c r="H4417" s="15" t="s">
        <v>2777</v>
      </c>
      <c r="I4417" s="15" t="s">
        <v>1628</v>
      </c>
      <c r="J4417" s="15" t="s">
        <v>17587</v>
      </c>
      <c r="K4417" s="15">
        <v>6.0</v>
      </c>
      <c r="L4417" s="15">
        <v>6.0</v>
      </c>
      <c r="M4417" s="40">
        <v>42091.0</v>
      </c>
      <c r="N4417" s="40">
        <v>42098.0</v>
      </c>
      <c r="O4417" s="15" t="s">
        <v>1554</v>
      </c>
      <c r="Q4417" s="7"/>
    </row>
    <row r="4418">
      <c r="A4418" s="39" t="s">
        <v>17588</v>
      </c>
      <c r="B4418" s="15">
        <v>1629656.0</v>
      </c>
      <c r="C4418" s="15" t="s">
        <v>17589</v>
      </c>
      <c r="D4418" s="15">
        <v>280303.0</v>
      </c>
      <c r="E4418" s="15" t="s">
        <v>1808</v>
      </c>
      <c r="F4418" s="15" t="s">
        <v>2232</v>
      </c>
      <c r="G4418" s="7">
        <v>3.774</v>
      </c>
      <c r="H4418" s="15" t="s">
        <v>4190</v>
      </c>
      <c r="I4418" s="15" t="s">
        <v>1567</v>
      </c>
      <c r="J4418" s="15" t="s">
        <v>17590</v>
      </c>
      <c r="K4418" s="15">
        <v>4.0</v>
      </c>
      <c r="L4418" s="15">
        <v>4.0</v>
      </c>
      <c r="M4418" s="40">
        <v>42065.0</v>
      </c>
      <c r="N4418" s="40">
        <v>42098.0</v>
      </c>
      <c r="O4418" s="15" t="s">
        <v>1554</v>
      </c>
      <c r="Q4418" s="7"/>
    </row>
    <row r="4419">
      <c r="A4419" s="39" t="s">
        <v>17591</v>
      </c>
      <c r="B4419" s="15">
        <v>1623686.0</v>
      </c>
      <c r="C4419" s="15" t="s">
        <v>17592</v>
      </c>
      <c r="D4419" s="15">
        <v>280307.0</v>
      </c>
      <c r="E4419" s="15" t="s">
        <v>1557</v>
      </c>
      <c r="F4419" s="15" t="s">
        <v>2004</v>
      </c>
      <c r="G4419" s="7">
        <v>4.956</v>
      </c>
      <c r="H4419" s="15" t="s">
        <v>2451</v>
      </c>
      <c r="I4419" s="15" t="s">
        <v>1686</v>
      </c>
      <c r="J4419" s="15" t="s">
        <v>17593</v>
      </c>
      <c r="K4419" s="15">
        <v>4.0</v>
      </c>
      <c r="L4419" s="15">
        <v>4.0</v>
      </c>
      <c r="M4419" s="40">
        <v>42063.0</v>
      </c>
      <c r="N4419" s="40">
        <v>42284.0</v>
      </c>
      <c r="O4419" s="15" t="s">
        <v>1554</v>
      </c>
      <c r="Q4419" s="7"/>
    </row>
    <row r="4420">
      <c r="A4420" s="39" t="s">
        <v>17595</v>
      </c>
      <c r="B4420" s="15">
        <v>46076.0</v>
      </c>
      <c r="C4420" s="15" t="s">
        <v>17596</v>
      </c>
      <c r="D4420" s="15">
        <v>280116.0</v>
      </c>
      <c r="E4420" s="15" t="s">
        <v>1548</v>
      </c>
      <c r="F4420" s="15" t="s">
        <v>1911</v>
      </c>
      <c r="G4420" s="7">
        <v>8.287</v>
      </c>
      <c r="H4420" s="15" t="s">
        <v>7408</v>
      </c>
      <c r="I4420" s="15" t="s">
        <v>1628</v>
      </c>
      <c r="J4420" s="15" t="s">
        <v>17597</v>
      </c>
      <c r="K4420" s="15">
        <v>1.0</v>
      </c>
      <c r="L4420" s="15">
        <v>1.0</v>
      </c>
      <c r="M4420" s="40">
        <v>42088.0</v>
      </c>
      <c r="N4420" s="40">
        <v>42098.0</v>
      </c>
      <c r="O4420" s="15" t="s">
        <v>1554</v>
      </c>
      <c r="Q4420" s="7"/>
    </row>
    <row r="4421">
      <c r="A4421" s="39" t="s">
        <v>17598</v>
      </c>
      <c r="B4421" s="15">
        <v>1632184.0</v>
      </c>
      <c r="C4421" s="15" t="s">
        <v>17599</v>
      </c>
      <c r="D4421" s="15">
        <v>280300.0</v>
      </c>
      <c r="E4421" s="15" t="s">
        <v>1808</v>
      </c>
      <c r="F4421" s="15" t="s">
        <v>1809</v>
      </c>
      <c r="G4421" s="7">
        <v>2.756</v>
      </c>
      <c r="H4421" s="15" t="s">
        <v>2023</v>
      </c>
      <c r="I4421" s="15" t="s">
        <v>1628</v>
      </c>
      <c r="J4421" s="15" t="s">
        <v>17600</v>
      </c>
      <c r="K4421" s="15">
        <v>6.0</v>
      </c>
      <c r="L4421" s="15">
        <v>6.0</v>
      </c>
      <c r="M4421" s="40">
        <v>42088.0</v>
      </c>
      <c r="N4421" s="40">
        <v>42098.0</v>
      </c>
      <c r="O4421" s="15" t="s">
        <v>1554</v>
      </c>
      <c r="Q4421" s="7"/>
    </row>
    <row r="4422">
      <c r="A4422" s="39" t="s">
        <v>17602</v>
      </c>
      <c r="B4422" s="15">
        <v>1623689.0</v>
      </c>
      <c r="C4422" s="15" t="s">
        <v>17603</v>
      </c>
      <c r="D4422" s="15">
        <v>280304.0</v>
      </c>
      <c r="E4422" s="15" t="s">
        <v>1557</v>
      </c>
      <c r="F4422" s="15" t="s">
        <v>2004</v>
      </c>
      <c r="G4422" s="7">
        <v>5.039</v>
      </c>
      <c r="H4422" s="15" t="s">
        <v>3000</v>
      </c>
      <c r="I4422" s="15" t="s">
        <v>1686</v>
      </c>
      <c r="J4422" s="15" t="s">
        <v>17604</v>
      </c>
      <c r="K4422" s="15">
        <v>4.0</v>
      </c>
      <c r="L4422" s="15">
        <v>4.0</v>
      </c>
      <c r="M4422" s="40">
        <v>42063.0</v>
      </c>
      <c r="N4422" s="40">
        <v>42284.0</v>
      </c>
      <c r="O4422" s="15" t="s">
        <v>1554</v>
      </c>
      <c r="Q4422" s="7"/>
    </row>
    <row r="4423">
      <c r="A4423" s="39" t="s">
        <v>17605</v>
      </c>
      <c r="B4423" s="15">
        <v>1587515.0</v>
      </c>
      <c r="C4423" s="15" t="s">
        <v>17606</v>
      </c>
      <c r="D4423" s="15">
        <v>280459.0</v>
      </c>
      <c r="E4423" s="15" t="s">
        <v>1577</v>
      </c>
      <c r="F4423" s="15" t="s">
        <v>1578</v>
      </c>
      <c r="G4423" s="7">
        <v>10.558</v>
      </c>
      <c r="H4423" s="15" t="s">
        <v>17607</v>
      </c>
      <c r="I4423" s="15" t="s">
        <v>1628</v>
      </c>
      <c r="J4423" s="15" t="s">
        <v>17608</v>
      </c>
      <c r="K4423" s="15">
        <v>2.0</v>
      </c>
      <c r="L4423" s="15">
        <v>2.0</v>
      </c>
      <c r="M4423" s="40">
        <v>42096.0</v>
      </c>
      <c r="N4423" s="40">
        <v>42100.0</v>
      </c>
      <c r="O4423" s="15" t="s">
        <v>1554</v>
      </c>
      <c r="Q4423" s="7"/>
    </row>
    <row r="4424">
      <c r="A4424" s="39" t="s">
        <v>17609</v>
      </c>
      <c r="B4424" s="15">
        <v>1587517.0</v>
      </c>
      <c r="C4424" s="15" t="s">
        <v>17611</v>
      </c>
      <c r="D4424" s="15">
        <v>280458.0</v>
      </c>
      <c r="E4424" s="15" t="s">
        <v>1577</v>
      </c>
      <c r="F4424" s="15" t="s">
        <v>1578</v>
      </c>
      <c r="G4424" s="7">
        <v>3.993</v>
      </c>
      <c r="H4424" s="15" t="s">
        <v>17612</v>
      </c>
      <c r="I4424" s="15" t="s">
        <v>1628</v>
      </c>
      <c r="J4424" s="15" t="s">
        <v>17613</v>
      </c>
      <c r="K4424" s="15">
        <v>2.0</v>
      </c>
      <c r="L4424" s="15">
        <v>2.0</v>
      </c>
      <c r="M4424" s="40">
        <v>42096.0</v>
      </c>
      <c r="N4424" s="40">
        <v>42100.0</v>
      </c>
      <c r="O4424" s="15" t="s">
        <v>1554</v>
      </c>
      <c r="Q4424" s="7"/>
    </row>
    <row r="4425">
      <c r="A4425" s="39" t="s">
        <v>17614</v>
      </c>
      <c r="B4425" s="15">
        <v>1623685.0</v>
      </c>
      <c r="C4425" s="15" t="s">
        <v>17615</v>
      </c>
      <c r="D4425" s="15">
        <v>279594.0</v>
      </c>
      <c r="E4425" s="15" t="s">
        <v>1557</v>
      </c>
      <c r="F4425" s="15" t="s">
        <v>2004</v>
      </c>
      <c r="G4425" s="7">
        <v>5.019</v>
      </c>
      <c r="H4425" s="15" t="s">
        <v>2223</v>
      </c>
      <c r="I4425" s="15" t="s">
        <v>1686</v>
      </c>
      <c r="J4425" s="15" t="s">
        <v>17616</v>
      </c>
      <c r="K4425" s="15">
        <v>4.0</v>
      </c>
      <c r="L4425" s="15">
        <v>4.0</v>
      </c>
      <c r="M4425" s="40">
        <v>42063.0</v>
      </c>
      <c r="N4425" s="40">
        <v>42284.0</v>
      </c>
      <c r="O4425" s="15" t="s">
        <v>1554</v>
      </c>
      <c r="Q4425" s="7"/>
    </row>
    <row r="4426">
      <c r="A4426" s="39" t="s">
        <v>17617</v>
      </c>
      <c r="B4426" s="15">
        <v>1633878.0</v>
      </c>
      <c r="C4426" s="15" t="s">
        <v>17618</v>
      </c>
      <c r="D4426" s="15">
        <v>280337.0</v>
      </c>
      <c r="E4426" s="15" t="s">
        <v>1548</v>
      </c>
      <c r="F4426" s="15" t="s">
        <v>1801</v>
      </c>
      <c r="G4426" s="7">
        <v>8.85</v>
      </c>
      <c r="H4426" s="15">
        <v>53.0</v>
      </c>
      <c r="I4426" s="15" t="s">
        <v>1567</v>
      </c>
      <c r="J4426" s="15" t="s">
        <v>17619</v>
      </c>
      <c r="K4426" s="15">
        <v>1.0</v>
      </c>
      <c r="L4426" s="15">
        <v>1.0</v>
      </c>
      <c r="M4426" s="40">
        <v>42094.0</v>
      </c>
      <c r="N4426" s="40">
        <v>42538.0</v>
      </c>
      <c r="O4426" s="15" t="s">
        <v>1554</v>
      </c>
      <c r="Q4426" s="7"/>
    </row>
    <row r="4427">
      <c r="A4427" s="39" t="s">
        <v>17620</v>
      </c>
      <c r="B4427" s="15">
        <v>1588764.0</v>
      </c>
      <c r="C4427" s="15" t="s">
        <v>17621</v>
      </c>
      <c r="D4427" s="15">
        <v>281396.0</v>
      </c>
      <c r="E4427" s="15" t="s">
        <v>1664</v>
      </c>
      <c r="F4427" s="15" t="s">
        <v>15173</v>
      </c>
      <c r="G4427" s="7">
        <v>2.199</v>
      </c>
      <c r="H4427" s="15" t="s">
        <v>2296</v>
      </c>
      <c r="I4427" s="15" t="s">
        <v>1567</v>
      </c>
      <c r="J4427" s="15" t="s">
        <v>17623</v>
      </c>
      <c r="K4427" s="15">
        <v>2.0</v>
      </c>
      <c r="L4427" s="15">
        <v>2.0</v>
      </c>
      <c r="M4427" s="40">
        <v>42108.0</v>
      </c>
      <c r="N4427" s="40">
        <v>42110.0</v>
      </c>
      <c r="O4427" s="15" t="s">
        <v>1554</v>
      </c>
      <c r="Q4427" s="7"/>
    </row>
    <row r="4428">
      <c r="A4428" s="39" t="s">
        <v>17624</v>
      </c>
      <c r="B4428" s="15">
        <v>1157338.0</v>
      </c>
      <c r="C4428" s="15" t="s">
        <v>17625</v>
      </c>
      <c r="D4428" s="15">
        <v>281400.0</v>
      </c>
      <c r="E4428" s="15" t="s">
        <v>1548</v>
      </c>
      <c r="F4428" s="15" t="s">
        <v>1848</v>
      </c>
      <c r="G4428" s="7">
        <v>6.617</v>
      </c>
      <c r="H4428" s="15" t="s">
        <v>1828</v>
      </c>
      <c r="I4428" s="15" t="s">
        <v>1686</v>
      </c>
      <c r="J4428" s="15" t="s">
        <v>17626</v>
      </c>
      <c r="K4428" s="15">
        <v>3.0</v>
      </c>
      <c r="L4428" s="15">
        <v>3.0</v>
      </c>
      <c r="M4428" s="40">
        <v>42106.0</v>
      </c>
      <c r="N4428" s="40">
        <v>42117.0</v>
      </c>
      <c r="O4428" s="15" t="s">
        <v>1554</v>
      </c>
      <c r="Q4428" s="7"/>
    </row>
    <row r="4429">
      <c r="A4429" s="39" t="s">
        <v>17627</v>
      </c>
      <c r="B4429" s="15">
        <v>1634488.0</v>
      </c>
      <c r="C4429" s="15" t="s">
        <v>17628</v>
      </c>
      <c r="D4429" s="15">
        <v>281404.0</v>
      </c>
      <c r="E4429" s="15" t="s">
        <v>1664</v>
      </c>
      <c r="F4429" s="15" t="s">
        <v>15173</v>
      </c>
      <c r="G4429" s="7">
        <v>2.123</v>
      </c>
      <c r="H4429" s="15" t="s">
        <v>3836</v>
      </c>
      <c r="I4429" s="15" t="s">
        <v>1686</v>
      </c>
      <c r="J4429" s="15" t="s">
        <v>17630</v>
      </c>
      <c r="K4429" s="15">
        <v>2.0</v>
      </c>
      <c r="L4429" s="15">
        <v>2.0</v>
      </c>
      <c r="M4429" s="40">
        <v>42098.0</v>
      </c>
      <c r="N4429" s="41">
        <v>42332.0</v>
      </c>
      <c r="O4429" s="15" t="s">
        <v>1554</v>
      </c>
      <c r="Q4429" s="7"/>
    </row>
    <row r="4430">
      <c r="A4430" s="39" t="s">
        <v>17631</v>
      </c>
      <c r="B4430" s="15">
        <v>1611837.0</v>
      </c>
      <c r="C4430" s="15" t="s">
        <v>17632</v>
      </c>
      <c r="D4430" s="15">
        <v>281408.0</v>
      </c>
      <c r="E4430" s="15" t="s">
        <v>1548</v>
      </c>
      <c r="F4430" s="15" t="s">
        <v>1684</v>
      </c>
      <c r="G4430" s="7">
        <v>27.004</v>
      </c>
      <c r="H4430" s="15" t="s">
        <v>1613</v>
      </c>
      <c r="I4430" s="15" t="s">
        <v>1686</v>
      </c>
      <c r="J4430" s="15" t="s">
        <v>17633</v>
      </c>
      <c r="K4430" s="15">
        <v>5.0</v>
      </c>
      <c r="L4430" s="15">
        <v>5.0</v>
      </c>
      <c r="M4430" s="40">
        <v>42103.0</v>
      </c>
      <c r="N4430" s="40">
        <v>42110.0</v>
      </c>
      <c r="O4430" s="15" t="s">
        <v>1554</v>
      </c>
      <c r="Q4430" s="7"/>
    </row>
    <row r="4431">
      <c r="A4431" s="39" t="s">
        <v>17634</v>
      </c>
      <c r="B4431" s="15">
        <v>1118369.0</v>
      </c>
      <c r="C4431" s="15" t="s">
        <v>17635</v>
      </c>
      <c r="D4431" s="15">
        <v>281395.0</v>
      </c>
      <c r="E4431" s="15" t="s">
        <v>1548</v>
      </c>
      <c r="F4431" s="15" t="s">
        <v>4820</v>
      </c>
      <c r="G4431" s="7">
        <v>12.109</v>
      </c>
      <c r="H4431" s="15" t="s">
        <v>1750</v>
      </c>
      <c r="I4431" s="15" t="s">
        <v>1686</v>
      </c>
      <c r="J4431" s="15" t="s">
        <v>17637</v>
      </c>
      <c r="K4431" s="15">
        <v>10.0</v>
      </c>
      <c r="L4431" s="15">
        <v>10.0</v>
      </c>
      <c r="M4431" s="40">
        <v>40882.0</v>
      </c>
      <c r="N4431" s="40">
        <v>42110.0</v>
      </c>
      <c r="O4431" s="15" t="s">
        <v>1554</v>
      </c>
      <c r="Q4431" s="7"/>
    </row>
    <row r="4432">
      <c r="A4432" s="39" t="s">
        <v>17638</v>
      </c>
      <c r="B4432" s="15">
        <v>1488574.0</v>
      </c>
      <c r="C4432" s="15" t="s">
        <v>17639</v>
      </c>
      <c r="D4432" s="15">
        <v>281399.0</v>
      </c>
      <c r="E4432" s="15" t="s">
        <v>1664</v>
      </c>
      <c r="F4432" s="15" t="s">
        <v>15173</v>
      </c>
      <c r="G4432" s="7">
        <v>2.235</v>
      </c>
      <c r="H4432" s="15" t="s">
        <v>3776</v>
      </c>
      <c r="I4432" s="15" t="s">
        <v>1567</v>
      </c>
      <c r="J4432" s="15" t="s">
        <v>17640</v>
      </c>
      <c r="K4432" s="15">
        <v>3.0</v>
      </c>
      <c r="L4432" s="15">
        <v>3.0</v>
      </c>
      <c r="M4432" s="40">
        <v>42108.0</v>
      </c>
      <c r="N4432" s="40">
        <v>42811.0</v>
      </c>
      <c r="O4432" s="15" t="s">
        <v>1554</v>
      </c>
      <c r="Q4432" s="7"/>
    </row>
    <row r="4433">
      <c r="A4433" s="39" t="s">
        <v>17641</v>
      </c>
      <c r="B4433" s="15">
        <v>1634914.0</v>
      </c>
      <c r="C4433" s="15" t="s">
        <v>17642</v>
      </c>
      <c r="D4433" s="15">
        <v>281403.0</v>
      </c>
      <c r="E4433" s="15" t="s">
        <v>1916</v>
      </c>
      <c r="F4433" s="15" t="s">
        <v>1917</v>
      </c>
      <c r="G4433" s="7">
        <v>7.641</v>
      </c>
      <c r="H4433" s="15" t="s">
        <v>1813</v>
      </c>
      <c r="I4433" s="15" t="s">
        <v>1628</v>
      </c>
      <c r="J4433" s="15" t="s">
        <v>17643</v>
      </c>
      <c r="K4433" s="15">
        <v>6.0</v>
      </c>
      <c r="L4433" s="15">
        <v>6.0</v>
      </c>
      <c r="M4433" s="40">
        <v>42098.0</v>
      </c>
      <c r="N4433" s="40">
        <v>42234.0</v>
      </c>
      <c r="O4433" s="15" t="s">
        <v>1554</v>
      </c>
      <c r="Q4433" s="7"/>
    </row>
    <row r="4434">
      <c r="A4434" s="39" t="s">
        <v>17645</v>
      </c>
      <c r="B4434" s="15">
        <v>1634485.0</v>
      </c>
      <c r="C4434" s="15" t="s">
        <v>17646</v>
      </c>
      <c r="D4434" s="15">
        <v>281407.0</v>
      </c>
      <c r="E4434" s="15" t="s">
        <v>1664</v>
      </c>
      <c r="F4434" s="15" t="s">
        <v>15173</v>
      </c>
      <c r="G4434" s="7">
        <v>2.089</v>
      </c>
      <c r="H4434" s="15" t="s">
        <v>3604</v>
      </c>
      <c r="I4434" s="15" t="s">
        <v>1686</v>
      </c>
      <c r="J4434" s="15" t="s">
        <v>17647</v>
      </c>
      <c r="K4434" s="15">
        <v>2.0</v>
      </c>
      <c r="L4434" s="15">
        <v>2.0</v>
      </c>
      <c r="M4434" s="40">
        <v>42098.0</v>
      </c>
      <c r="N4434" s="41">
        <v>42332.0</v>
      </c>
      <c r="O4434" s="15" t="s">
        <v>1554</v>
      </c>
      <c r="Q4434" s="7"/>
    </row>
    <row r="4435">
      <c r="A4435" s="39" t="s">
        <v>17648</v>
      </c>
      <c r="B4435" s="15">
        <v>1634484.0</v>
      </c>
      <c r="C4435" s="15" t="s">
        <v>17649</v>
      </c>
      <c r="D4435" s="15">
        <v>281125.0</v>
      </c>
      <c r="E4435" s="15" t="s">
        <v>1664</v>
      </c>
      <c r="F4435" s="15" t="s">
        <v>15173</v>
      </c>
      <c r="G4435" s="7">
        <v>2.112</v>
      </c>
      <c r="H4435" s="15" t="s">
        <v>2300</v>
      </c>
      <c r="I4435" s="15" t="s">
        <v>1686</v>
      </c>
      <c r="J4435" s="15" t="s">
        <v>17650</v>
      </c>
      <c r="K4435" s="15">
        <v>2.0</v>
      </c>
      <c r="L4435" s="15">
        <v>2.0</v>
      </c>
      <c r="M4435" s="40">
        <v>42098.0</v>
      </c>
      <c r="N4435" s="41">
        <v>42332.0</v>
      </c>
      <c r="O4435" s="15" t="s">
        <v>1554</v>
      </c>
      <c r="Q4435" s="7"/>
    </row>
    <row r="4436">
      <c r="A4436" s="39" t="s">
        <v>17652</v>
      </c>
      <c r="B4436" s="15">
        <v>1501716.0</v>
      </c>
      <c r="C4436" s="15" t="s">
        <v>17653</v>
      </c>
      <c r="D4436" s="15">
        <v>281398.0</v>
      </c>
      <c r="E4436" s="15" t="s">
        <v>1548</v>
      </c>
      <c r="F4436" s="15" t="s">
        <v>2615</v>
      </c>
      <c r="G4436" s="7">
        <v>6.688</v>
      </c>
      <c r="H4436" s="15" t="s">
        <v>2019</v>
      </c>
      <c r="I4436" s="15" t="s">
        <v>1628</v>
      </c>
      <c r="J4436" s="15" t="s">
        <v>17654</v>
      </c>
      <c r="K4436" s="15">
        <v>4.0</v>
      </c>
      <c r="L4436" s="15">
        <v>4.0</v>
      </c>
      <c r="M4436" s="40">
        <v>42102.0</v>
      </c>
      <c r="N4436" s="40">
        <v>42110.0</v>
      </c>
      <c r="O4436" s="15" t="s">
        <v>1554</v>
      </c>
      <c r="Q4436" s="7"/>
    </row>
    <row r="4437">
      <c r="A4437" s="39" t="s">
        <v>17655</v>
      </c>
      <c r="B4437" s="15">
        <v>1637496.0</v>
      </c>
      <c r="C4437" s="15" t="s">
        <v>17656</v>
      </c>
      <c r="D4437" s="15">
        <v>281402.0</v>
      </c>
      <c r="E4437" s="15" t="s">
        <v>1638</v>
      </c>
      <c r="F4437" s="15" t="s">
        <v>1863</v>
      </c>
      <c r="G4437" s="7">
        <v>17.989</v>
      </c>
      <c r="H4437" s="15" t="s">
        <v>17657</v>
      </c>
      <c r="I4437" s="15" t="s">
        <v>1567</v>
      </c>
      <c r="J4437" s="15" t="s">
        <v>17658</v>
      </c>
      <c r="K4437" s="15">
        <v>12.0</v>
      </c>
      <c r="L4437" s="15">
        <v>12.0</v>
      </c>
      <c r="M4437" s="40">
        <v>42100.0</v>
      </c>
      <c r="N4437" s="40">
        <v>42412.0</v>
      </c>
      <c r="O4437" s="15" t="s">
        <v>1554</v>
      </c>
      <c r="Q4437" s="7"/>
    </row>
    <row r="4438">
      <c r="A4438" s="39" t="s">
        <v>17660</v>
      </c>
      <c r="B4438" s="15">
        <v>1634486.0</v>
      </c>
      <c r="C4438" s="15" t="s">
        <v>17661</v>
      </c>
      <c r="D4438" s="15">
        <v>281406.0</v>
      </c>
      <c r="E4438" s="15" t="s">
        <v>1664</v>
      </c>
      <c r="F4438" s="15" t="s">
        <v>15173</v>
      </c>
      <c r="G4438" s="7">
        <v>2.189</v>
      </c>
      <c r="H4438" s="15" t="s">
        <v>2540</v>
      </c>
      <c r="I4438" s="15" t="s">
        <v>1686</v>
      </c>
      <c r="J4438" s="15" t="s">
        <v>17662</v>
      </c>
      <c r="K4438" s="15">
        <v>2.0</v>
      </c>
      <c r="L4438" s="15">
        <v>2.0</v>
      </c>
      <c r="M4438" s="40">
        <v>42098.0</v>
      </c>
      <c r="N4438" s="41">
        <v>42332.0</v>
      </c>
      <c r="O4438" s="15" t="s">
        <v>1554</v>
      </c>
      <c r="Q4438" s="7"/>
    </row>
    <row r="4439">
      <c r="A4439" s="39" t="s">
        <v>17663</v>
      </c>
      <c r="B4439" s="15">
        <v>1580058.0</v>
      </c>
      <c r="C4439" s="15" t="s">
        <v>17664</v>
      </c>
      <c r="D4439" s="15">
        <v>281397.0</v>
      </c>
      <c r="E4439" s="15" t="s">
        <v>1808</v>
      </c>
      <c r="F4439" s="15" t="s">
        <v>2436</v>
      </c>
      <c r="G4439" s="7">
        <v>4.613</v>
      </c>
      <c r="H4439" s="15" t="s">
        <v>2375</v>
      </c>
      <c r="I4439" s="15" t="s">
        <v>1686</v>
      </c>
      <c r="J4439" s="15" t="s">
        <v>17665</v>
      </c>
      <c r="K4439" s="15">
        <v>3.0</v>
      </c>
      <c r="L4439" s="15">
        <v>3.0</v>
      </c>
      <c r="M4439" s="40">
        <v>42096.0</v>
      </c>
      <c r="N4439" s="40">
        <v>42189.0</v>
      </c>
      <c r="O4439" s="15" t="s">
        <v>1554</v>
      </c>
      <c r="Q4439" s="7"/>
    </row>
    <row r="4440">
      <c r="A4440" s="39" t="s">
        <v>17666</v>
      </c>
      <c r="B4440" s="15">
        <v>1640379.0</v>
      </c>
      <c r="C4440" s="15" t="s">
        <v>17667</v>
      </c>
      <c r="D4440" s="15">
        <v>281401.0</v>
      </c>
      <c r="E4440" s="15" t="s">
        <v>1638</v>
      </c>
      <c r="F4440" s="15" t="s">
        <v>4692</v>
      </c>
      <c r="G4440" s="7">
        <v>43324.0</v>
      </c>
      <c r="H4440" s="15" t="s">
        <v>1772</v>
      </c>
      <c r="I4440" s="15" t="s">
        <v>1552</v>
      </c>
      <c r="J4440" s="15" t="s">
        <v>17669</v>
      </c>
      <c r="K4440" s="15">
        <v>1.0</v>
      </c>
      <c r="L4440" s="15">
        <v>1.0</v>
      </c>
      <c r="M4440" s="40">
        <v>42107.0</v>
      </c>
      <c r="N4440" s="40">
        <v>42110.0</v>
      </c>
      <c r="O4440" s="15" t="s">
        <v>1554</v>
      </c>
      <c r="Q4440" s="7"/>
    </row>
    <row r="4441">
      <c r="A4441" s="39" t="s">
        <v>17670</v>
      </c>
      <c r="B4441" s="15">
        <v>1634487.0</v>
      </c>
      <c r="C4441" s="15" t="s">
        <v>17671</v>
      </c>
      <c r="D4441" s="15">
        <v>281405.0</v>
      </c>
      <c r="E4441" s="15" t="s">
        <v>1664</v>
      </c>
      <c r="F4441" s="15" t="s">
        <v>15173</v>
      </c>
      <c r="G4441" s="7">
        <v>2.251</v>
      </c>
      <c r="H4441" s="15" t="s">
        <v>3973</v>
      </c>
      <c r="I4441" s="15" t="s">
        <v>1686</v>
      </c>
      <c r="J4441" s="15" t="s">
        <v>17672</v>
      </c>
      <c r="K4441" s="15">
        <v>2.0</v>
      </c>
      <c r="L4441" s="15">
        <v>2.0</v>
      </c>
      <c r="M4441" s="40">
        <v>42098.0</v>
      </c>
      <c r="N4441" s="41">
        <v>42332.0</v>
      </c>
      <c r="O4441" s="15" t="s">
        <v>1554</v>
      </c>
      <c r="Q4441" s="7"/>
    </row>
    <row r="4442">
      <c r="A4442" s="39" t="s">
        <v>17673</v>
      </c>
      <c r="B4442" s="15">
        <v>1641896.0</v>
      </c>
      <c r="C4442" s="15" t="s">
        <v>17674</v>
      </c>
      <c r="D4442" s="15">
        <v>282169.0</v>
      </c>
      <c r="E4442" s="15" t="s">
        <v>1548</v>
      </c>
      <c r="F4442" s="15" t="s">
        <v>1776</v>
      </c>
      <c r="G4442" s="7">
        <v>8.003</v>
      </c>
      <c r="H4442" s="15" t="s">
        <v>2049</v>
      </c>
      <c r="I4442" s="15" t="s">
        <v>1686</v>
      </c>
      <c r="J4442" s="15" t="s">
        <v>17675</v>
      </c>
      <c r="K4442" s="15">
        <v>1.0</v>
      </c>
      <c r="L4442" s="15">
        <v>1.0</v>
      </c>
      <c r="M4442" s="40">
        <v>42114.0</v>
      </c>
      <c r="N4442" s="40">
        <v>42122.0</v>
      </c>
      <c r="O4442" s="15" t="s">
        <v>1554</v>
      </c>
      <c r="Q4442" s="7"/>
    </row>
    <row r="4443">
      <c r="A4443" s="39" t="s">
        <v>17677</v>
      </c>
      <c r="B4443" s="15">
        <v>1642929.0</v>
      </c>
      <c r="C4443" s="15" t="s">
        <v>17678</v>
      </c>
      <c r="D4443" s="15">
        <v>282403.0</v>
      </c>
      <c r="E4443" s="15" t="s">
        <v>1557</v>
      </c>
      <c r="F4443" s="15" t="s">
        <v>1992</v>
      </c>
      <c r="G4443" s="7">
        <v>157.977</v>
      </c>
      <c r="H4443" s="15" t="s">
        <v>2869</v>
      </c>
      <c r="I4443" s="15" t="s">
        <v>1560</v>
      </c>
      <c r="J4443" s="15" t="s">
        <v>17679</v>
      </c>
      <c r="K4443" s="15">
        <v>137.0</v>
      </c>
      <c r="L4443" s="15">
        <v>137.0</v>
      </c>
      <c r="M4443" s="40">
        <v>42116.0</v>
      </c>
      <c r="N4443" s="40">
        <v>42172.0</v>
      </c>
      <c r="O4443" s="15" t="s">
        <v>1554</v>
      </c>
      <c r="Q4443" s="7"/>
    </row>
    <row r="4444">
      <c r="A4444" s="39" t="s">
        <v>17680</v>
      </c>
      <c r="B4444" s="15">
        <v>1493510.0</v>
      </c>
      <c r="C4444" s="15" t="s">
        <v>17681</v>
      </c>
      <c r="D4444" s="15">
        <v>282474.0</v>
      </c>
      <c r="E4444" s="15" t="s">
        <v>1557</v>
      </c>
      <c r="F4444" s="15" t="s">
        <v>1767</v>
      </c>
      <c r="G4444" s="7">
        <v>189.418</v>
      </c>
      <c r="H4444" s="15" t="s">
        <v>5806</v>
      </c>
      <c r="I4444" s="15" t="s">
        <v>1586</v>
      </c>
      <c r="J4444" s="15" t="s">
        <v>17682</v>
      </c>
      <c r="K4444" s="15">
        <v>213.0</v>
      </c>
      <c r="L4444" s="15">
        <v>213.0</v>
      </c>
      <c r="M4444" s="40">
        <v>42104.0</v>
      </c>
      <c r="N4444" s="40">
        <v>42122.0</v>
      </c>
      <c r="O4444" s="15" t="s">
        <v>1554</v>
      </c>
      <c r="Q4444" s="7"/>
    </row>
    <row r="4445">
      <c r="A4445" s="39" t="s">
        <v>17683</v>
      </c>
      <c r="B4445" s="15">
        <v>1493509.0</v>
      </c>
      <c r="C4445" s="15" t="s">
        <v>17685</v>
      </c>
      <c r="D4445" s="15">
        <v>282475.0</v>
      </c>
      <c r="E4445" s="15" t="s">
        <v>1557</v>
      </c>
      <c r="F4445" s="15" t="s">
        <v>1767</v>
      </c>
      <c r="G4445" s="7">
        <v>179.11</v>
      </c>
      <c r="H4445" s="15" t="s">
        <v>2640</v>
      </c>
      <c r="I4445" s="15" t="s">
        <v>1586</v>
      </c>
      <c r="J4445" s="15" t="s">
        <v>17686</v>
      </c>
      <c r="K4445" s="15">
        <v>218.0</v>
      </c>
      <c r="L4445" s="15">
        <v>218.0</v>
      </c>
      <c r="M4445" s="40">
        <v>42104.0</v>
      </c>
      <c r="N4445" s="40">
        <v>42122.0</v>
      </c>
      <c r="O4445" s="15" t="s">
        <v>1554</v>
      </c>
      <c r="Q4445" s="7"/>
    </row>
    <row r="4446">
      <c r="A4446" s="39" t="s">
        <v>17687</v>
      </c>
      <c r="B4446" s="15">
        <v>1493507.0</v>
      </c>
      <c r="D4446" s="15">
        <v>0.0</v>
      </c>
      <c r="E4446" s="15" t="s">
        <v>1557</v>
      </c>
      <c r="F4446" s="15" t="s">
        <v>1767</v>
      </c>
      <c r="G4446" s="7">
        <v>171.282</v>
      </c>
      <c r="H4446" s="15" t="s">
        <v>2304</v>
      </c>
      <c r="I4446" s="15" t="s">
        <v>1586</v>
      </c>
      <c r="J4446" s="15" t="s">
        <v>17688</v>
      </c>
      <c r="K4446" s="15">
        <v>210.0</v>
      </c>
      <c r="L4446" s="15">
        <v>210.0</v>
      </c>
      <c r="M4446" s="40">
        <v>42104.0</v>
      </c>
      <c r="N4446" s="40">
        <v>42104.0</v>
      </c>
      <c r="O4446" s="15" t="s">
        <v>1554</v>
      </c>
      <c r="Q4446" s="7"/>
    </row>
    <row r="4447">
      <c r="A4447" s="39" t="s">
        <v>17689</v>
      </c>
      <c r="B4447" s="15">
        <v>1493512.0</v>
      </c>
      <c r="C4447" s="15" t="s">
        <v>17690</v>
      </c>
      <c r="D4447" s="15">
        <v>282478.0</v>
      </c>
      <c r="E4447" s="15" t="s">
        <v>1557</v>
      </c>
      <c r="F4447" s="15" t="s">
        <v>1767</v>
      </c>
      <c r="G4447" s="7">
        <v>174.885</v>
      </c>
      <c r="H4447" s="15" t="s">
        <v>2597</v>
      </c>
      <c r="I4447" s="15" t="s">
        <v>1586</v>
      </c>
      <c r="J4447" s="15" t="s">
        <v>17692</v>
      </c>
      <c r="K4447" s="15">
        <v>216.0</v>
      </c>
      <c r="L4447" s="15">
        <v>216.0</v>
      </c>
      <c r="M4447" s="40">
        <v>42104.0</v>
      </c>
      <c r="N4447" s="40">
        <v>42122.0</v>
      </c>
      <c r="O4447" s="15" t="s">
        <v>1554</v>
      </c>
      <c r="Q4447" s="7"/>
    </row>
    <row r="4448">
      <c r="A4448" s="39" t="s">
        <v>17693</v>
      </c>
      <c r="B4448" s="15">
        <v>1493511.0</v>
      </c>
      <c r="C4448" s="15" t="s">
        <v>17694</v>
      </c>
      <c r="D4448" s="15">
        <v>282479.0</v>
      </c>
      <c r="E4448" s="15" t="s">
        <v>1557</v>
      </c>
      <c r="F4448" s="15" t="s">
        <v>1767</v>
      </c>
      <c r="G4448" s="7">
        <v>228.143</v>
      </c>
      <c r="H4448" s="15" t="s">
        <v>2118</v>
      </c>
      <c r="I4448" s="15" t="s">
        <v>1586</v>
      </c>
      <c r="J4448" s="15" t="s">
        <v>17695</v>
      </c>
      <c r="K4448" s="15">
        <v>292.0</v>
      </c>
      <c r="L4448" s="15">
        <v>292.0</v>
      </c>
      <c r="M4448" s="40">
        <v>42104.0</v>
      </c>
      <c r="N4448" s="40">
        <v>42122.0</v>
      </c>
      <c r="O4448" s="15" t="s">
        <v>1554</v>
      </c>
      <c r="Q4448" s="7"/>
    </row>
    <row r="4449">
      <c r="A4449" s="39" t="s">
        <v>17696</v>
      </c>
      <c r="B4449" s="15">
        <v>1493514.0</v>
      </c>
      <c r="C4449" s="15" t="s">
        <v>17697</v>
      </c>
      <c r="D4449" s="15">
        <v>282477.0</v>
      </c>
      <c r="E4449" s="15" t="s">
        <v>1557</v>
      </c>
      <c r="F4449" s="15" t="s">
        <v>1767</v>
      </c>
      <c r="G4449" s="7">
        <v>192.108</v>
      </c>
      <c r="H4449" s="15" t="s">
        <v>2857</v>
      </c>
      <c r="I4449" s="15" t="s">
        <v>1586</v>
      </c>
      <c r="J4449" s="15" t="s">
        <v>17698</v>
      </c>
      <c r="K4449" s="15">
        <v>230.0</v>
      </c>
      <c r="L4449" s="15">
        <v>230.0</v>
      </c>
      <c r="M4449" s="40">
        <v>42104.0</v>
      </c>
      <c r="N4449" s="40">
        <v>42122.0</v>
      </c>
      <c r="O4449" s="15" t="s">
        <v>1554</v>
      </c>
      <c r="Q4449" s="7"/>
    </row>
    <row r="4450">
      <c r="A4450" s="39" t="s">
        <v>17699</v>
      </c>
      <c r="B4450" s="15">
        <v>1527524.0</v>
      </c>
      <c r="C4450" s="15" t="s">
        <v>12262</v>
      </c>
      <c r="D4450" s="15">
        <v>222858.0</v>
      </c>
      <c r="E4450" s="15" t="s">
        <v>1557</v>
      </c>
      <c r="F4450" s="15" t="s">
        <v>1767</v>
      </c>
      <c r="G4450" s="7">
        <v>178.171</v>
      </c>
      <c r="H4450" s="15" t="s">
        <v>2648</v>
      </c>
      <c r="I4450" s="15" t="s">
        <v>1586</v>
      </c>
      <c r="J4450" s="15" t="s">
        <v>17700</v>
      </c>
      <c r="K4450" s="15">
        <v>278.0</v>
      </c>
      <c r="L4450" s="15">
        <v>277.0</v>
      </c>
      <c r="M4450" s="40">
        <v>41877.0</v>
      </c>
      <c r="N4450" s="40">
        <v>42127.0</v>
      </c>
      <c r="O4450" s="15" t="s">
        <v>1554</v>
      </c>
      <c r="Q4450" s="7"/>
    </row>
    <row r="4451">
      <c r="A4451" s="39" t="s">
        <v>17702</v>
      </c>
      <c r="B4451" s="15">
        <v>1592930.0</v>
      </c>
      <c r="C4451" s="15" t="s">
        <v>17703</v>
      </c>
      <c r="D4451" s="15">
        <v>273489.0</v>
      </c>
      <c r="E4451" s="15" t="s">
        <v>1548</v>
      </c>
      <c r="F4451" s="15" t="s">
        <v>1786</v>
      </c>
      <c r="G4451" s="7">
        <v>8.531</v>
      </c>
      <c r="H4451" s="15" t="s">
        <v>2981</v>
      </c>
      <c r="I4451" s="15" t="s">
        <v>1628</v>
      </c>
      <c r="J4451" s="15" t="s">
        <v>17704</v>
      </c>
      <c r="K4451" s="15">
        <v>6.0</v>
      </c>
      <c r="L4451" s="15">
        <v>6.0</v>
      </c>
      <c r="M4451" s="40">
        <v>42018.0</v>
      </c>
      <c r="N4451" s="40">
        <v>42128.0</v>
      </c>
      <c r="O4451" s="15" t="s">
        <v>1554</v>
      </c>
      <c r="Q4451" s="7"/>
    </row>
    <row r="4452">
      <c r="A4452" s="39" t="s">
        <v>17705</v>
      </c>
      <c r="B4452" s="15">
        <v>1634381.0</v>
      </c>
      <c r="C4452" s="15" t="s">
        <v>17706</v>
      </c>
      <c r="D4452" s="15">
        <v>282770.0</v>
      </c>
      <c r="E4452" s="15" t="s">
        <v>1557</v>
      </c>
      <c r="F4452" s="15" t="s">
        <v>2004</v>
      </c>
      <c r="G4452" s="7">
        <v>5.132</v>
      </c>
      <c r="H4452" s="15" t="s">
        <v>1720</v>
      </c>
      <c r="I4452" s="15" t="s">
        <v>1686</v>
      </c>
      <c r="J4452" s="15" t="s">
        <v>17707</v>
      </c>
      <c r="K4452" s="15">
        <v>7.0</v>
      </c>
      <c r="L4452" s="15">
        <v>7.0</v>
      </c>
      <c r="M4452" s="40">
        <v>42116.0</v>
      </c>
      <c r="N4452" s="40">
        <v>42493.0</v>
      </c>
      <c r="O4452" s="15" t="s">
        <v>1554</v>
      </c>
      <c r="Q4452" s="7"/>
    </row>
    <row r="4453">
      <c r="A4453" s="39" t="s">
        <v>17708</v>
      </c>
      <c r="B4453" s="15">
        <v>1642515.0</v>
      </c>
      <c r="C4453" s="15" t="s">
        <v>17709</v>
      </c>
      <c r="D4453" s="15">
        <v>283066.0</v>
      </c>
      <c r="E4453" s="15" t="s">
        <v>1808</v>
      </c>
      <c r="F4453" s="15" t="s">
        <v>1998</v>
      </c>
      <c r="G4453" s="7">
        <v>1.982</v>
      </c>
      <c r="H4453" s="15" t="s">
        <v>2033</v>
      </c>
      <c r="I4453" s="15" t="s">
        <v>1686</v>
      </c>
      <c r="J4453" s="15" t="s">
        <v>17710</v>
      </c>
      <c r="K4453" s="15">
        <v>4.0</v>
      </c>
      <c r="L4453" s="15">
        <v>4.0</v>
      </c>
      <c r="M4453" s="40">
        <v>42115.0</v>
      </c>
      <c r="N4453" s="40">
        <v>42172.0</v>
      </c>
      <c r="O4453" s="15" t="s">
        <v>1554</v>
      </c>
      <c r="Q4453" s="7"/>
    </row>
    <row r="4454">
      <c r="A4454" s="39" t="s">
        <v>17711</v>
      </c>
      <c r="B4454" s="15">
        <v>759124.0</v>
      </c>
      <c r="C4454" s="15" t="s">
        <v>17712</v>
      </c>
      <c r="D4454" s="15">
        <v>283064.0</v>
      </c>
      <c r="E4454" s="15" t="s">
        <v>2014</v>
      </c>
      <c r="F4454" s="15" t="s">
        <v>1578</v>
      </c>
      <c r="G4454" s="7">
        <v>1.37</v>
      </c>
      <c r="H4454" s="15" t="s">
        <v>1849</v>
      </c>
      <c r="I4454" s="15" t="s">
        <v>1628</v>
      </c>
      <c r="J4454" s="15" t="s">
        <v>17713</v>
      </c>
      <c r="K4454" s="15">
        <v>1.0</v>
      </c>
      <c r="L4454" s="15">
        <v>1.0</v>
      </c>
      <c r="M4454" s="40">
        <v>42122.0</v>
      </c>
      <c r="N4454" s="40">
        <v>42129.0</v>
      </c>
      <c r="O4454" s="15" t="s">
        <v>1554</v>
      </c>
      <c r="Q4454" s="7"/>
    </row>
    <row r="4455">
      <c r="A4455" s="39" t="s">
        <v>17714</v>
      </c>
      <c r="B4455" s="15">
        <v>1592828.0</v>
      </c>
      <c r="C4455" s="15" t="s">
        <v>17715</v>
      </c>
      <c r="D4455" s="15">
        <v>283068.0</v>
      </c>
      <c r="E4455" s="15" t="s">
        <v>1577</v>
      </c>
      <c r="F4455" s="15" t="s">
        <v>1578</v>
      </c>
      <c r="G4455" s="7">
        <v>4.001</v>
      </c>
      <c r="H4455" s="15" t="s">
        <v>17716</v>
      </c>
      <c r="I4455" s="15" t="s">
        <v>1552</v>
      </c>
      <c r="J4455" s="15" t="s">
        <v>17717</v>
      </c>
      <c r="K4455" s="15">
        <v>2.0</v>
      </c>
      <c r="L4455" s="15">
        <v>2.0</v>
      </c>
      <c r="M4455" s="40">
        <v>42119.0</v>
      </c>
      <c r="N4455" s="40">
        <v>42129.0</v>
      </c>
      <c r="O4455" s="15" t="s">
        <v>1554</v>
      </c>
      <c r="Q4455" s="7"/>
    </row>
    <row r="4456">
      <c r="A4456" s="39" t="s">
        <v>17718</v>
      </c>
      <c r="B4456" s="15">
        <v>1631732.0</v>
      </c>
      <c r="C4456" s="15" t="s">
        <v>17720</v>
      </c>
      <c r="D4456" s="15">
        <v>282773.0</v>
      </c>
      <c r="E4456" s="15" t="s">
        <v>1557</v>
      </c>
      <c r="F4456" s="15" t="s">
        <v>2004</v>
      </c>
      <c r="G4456" s="7">
        <v>6.219</v>
      </c>
      <c r="H4456" s="15" t="s">
        <v>3538</v>
      </c>
      <c r="I4456" s="15" t="s">
        <v>1686</v>
      </c>
      <c r="J4456" s="15" t="s">
        <v>17721</v>
      </c>
      <c r="K4456" s="15">
        <v>4.0</v>
      </c>
      <c r="L4456" s="15">
        <v>4.0</v>
      </c>
      <c r="M4456" s="40">
        <v>42114.0</v>
      </c>
      <c r="N4456" s="40">
        <v>42129.0</v>
      </c>
      <c r="O4456" s="15" t="s">
        <v>1554</v>
      </c>
      <c r="Q4456" s="7"/>
    </row>
    <row r="4457">
      <c r="A4457" s="39" t="s">
        <v>17722</v>
      </c>
      <c r="B4457" s="15">
        <v>1642018.0</v>
      </c>
      <c r="C4457" s="15" t="s">
        <v>17723</v>
      </c>
      <c r="D4457" s="15">
        <v>283067.0</v>
      </c>
      <c r="E4457" s="15" t="s">
        <v>1808</v>
      </c>
      <c r="F4457" s="15" t="s">
        <v>2436</v>
      </c>
      <c r="G4457" s="7">
        <v>6.334</v>
      </c>
      <c r="H4457" s="15" t="s">
        <v>5806</v>
      </c>
      <c r="I4457" s="15" t="s">
        <v>1560</v>
      </c>
      <c r="J4457" s="15" t="s">
        <v>17724</v>
      </c>
      <c r="K4457" s="15">
        <v>4.0</v>
      </c>
      <c r="L4457" s="15">
        <v>4.0</v>
      </c>
      <c r="M4457" s="40">
        <v>42114.0</v>
      </c>
      <c r="N4457" s="40">
        <v>42129.0</v>
      </c>
      <c r="O4457" s="15" t="s">
        <v>1554</v>
      </c>
      <c r="Q4457" s="7"/>
    </row>
    <row r="4458">
      <c r="A4458" s="39" t="s">
        <v>17725</v>
      </c>
      <c r="B4458" s="15">
        <v>1542973.0</v>
      </c>
      <c r="C4458" s="15" t="s">
        <v>17726</v>
      </c>
      <c r="D4458" s="15">
        <v>282494.0</v>
      </c>
      <c r="E4458" s="15" t="s">
        <v>1548</v>
      </c>
      <c r="F4458" s="15" t="s">
        <v>5756</v>
      </c>
      <c r="G4458" s="7">
        <v>12.292</v>
      </c>
      <c r="H4458" s="15" t="s">
        <v>17727</v>
      </c>
      <c r="I4458" s="15" t="s">
        <v>1686</v>
      </c>
      <c r="J4458" s="15" t="s">
        <v>17729</v>
      </c>
      <c r="K4458" s="15">
        <v>7.0</v>
      </c>
      <c r="L4458" s="15">
        <v>7.0</v>
      </c>
      <c r="M4458" s="40">
        <v>42107.0</v>
      </c>
      <c r="N4458" s="40">
        <v>42129.0</v>
      </c>
      <c r="O4458" s="15" t="s">
        <v>1554</v>
      </c>
      <c r="Q4458" s="7"/>
    </row>
    <row r="4459">
      <c r="A4459" s="39" t="s">
        <v>17730</v>
      </c>
      <c r="B4459" s="15">
        <v>1647924.0</v>
      </c>
      <c r="C4459" s="15" t="s">
        <v>17731</v>
      </c>
      <c r="D4459" s="15">
        <v>283065.0</v>
      </c>
      <c r="E4459" s="15" t="s">
        <v>1557</v>
      </c>
      <c r="F4459" s="15" t="s">
        <v>1822</v>
      </c>
      <c r="G4459" s="7">
        <v>7.143</v>
      </c>
      <c r="H4459" s="15" t="s">
        <v>3309</v>
      </c>
      <c r="I4459" s="15" t="s">
        <v>1686</v>
      </c>
      <c r="J4459" s="15" t="s">
        <v>17732</v>
      </c>
      <c r="K4459" s="15">
        <v>7.0</v>
      </c>
      <c r="L4459" s="15">
        <v>7.0</v>
      </c>
      <c r="M4459" s="41">
        <v>41205.0</v>
      </c>
      <c r="N4459" s="40">
        <v>42129.0</v>
      </c>
      <c r="O4459" s="15" t="s">
        <v>1554</v>
      </c>
      <c r="Q4459" s="7"/>
    </row>
    <row r="4460">
      <c r="A4460" s="39" t="s">
        <v>17733</v>
      </c>
      <c r="B4460" s="15">
        <v>1622024.0</v>
      </c>
      <c r="C4460" s="15" t="s">
        <v>17734</v>
      </c>
      <c r="D4460" s="15">
        <v>284421.0</v>
      </c>
      <c r="E4460" s="15" t="s">
        <v>1916</v>
      </c>
      <c r="F4460" s="15" t="s">
        <v>2532</v>
      </c>
      <c r="G4460" s="7">
        <v>10.485</v>
      </c>
      <c r="H4460" s="15" t="s">
        <v>2540</v>
      </c>
      <c r="I4460" s="15" t="s">
        <v>1686</v>
      </c>
      <c r="J4460" s="15" t="s">
        <v>17735</v>
      </c>
      <c r="K4460" s="15">
        <v>4.0</v>
      </c>
      <c r="L4460" s="15">
        <v>2.0</v>
      </c>
      <c r="M4460" s="40">
        <v>42072.0</v>
      </c>
      <c r="N4460" s="40">
        <v>42146.0</v>
      </c>
      <c r="O4460" s="15" t="s">
        <v>1554</v>
      </c>
      <c r="Q4460" s="7"/>
    </row>
    <row r="4461">
      <c r="A4461" s="39" t="s">
        <v>17737</v>
      </c>
      <c r="B4461" s="15">
        <v>1076759.0</v>
      </c>
      <c r="C4461" s="15" t="s">
        <v>17738</v>
      </c>
      <c r="D4461" s="15">
        <v>284783.0</v>
      </c>
      <c r="E4461" s="15" t="s">
        <v>1557</v>
      </c>
      <c r="F4461" s="15" t="s">
        <v>1611</v>
      </c>
      <c r="G4461" s="7">
        <v>39.422</v>
      </c>
      <c r="H4461" s="15" t="s">
        <v>2189</v>
      </c>
      <c r="I4461" s="15" t="s">
        <v>1586</v>
      </c>
      <c r="J4461" s="15" t="s">
        <v>17739</v>
      </c>
      <c r="K4461" s="15">
        <v>48.0</v>
      </c>
      <c r="L4461" s="15">
        <v>48.0</v>
      </c>
      <c r="M4461" s="40">
        <v>40778.0</v>
      </c>
      <c r="N4461" s="40">
        <v>42459.0</v>
      </c>
      <c r="O4461" s="15" t="s">
        <v>1554</v>
      </c>
      <c r="Q4461" s="7"/>
    </row>
    <row r="4462">
      <c r="A4462" s="39" t="s">
        <v>17740</v>
      </c>
      <c r="B4462" s="15">
        <v>454798.0</v>
      </c>
      <c r="C4462" s="15" t="s">
        <v>17741</v>
      </c>
      <c r="D4462" s="15">
        <v>285253.0</v>
      </c>
      <c r="E4462" s="15" t="s">
        <v>1557</v>
      </c>
      <c r="F4462" s="15" t="s">
        <v>1767</v>
      </c>
      <c r="G4462" s="7">
        <v>157.498</v>
      </c>
      <c r="H4462" s="15" t="s">
        <v>1962</v>
      </c>
      <c r="I4462" s="15" t="s">
        <v>1586</v>
      </c>
      <c r="J4462" s="15" t="s">
        <v>17742</v>
      </c>
      <c r="K4462" s="15">
        <v>215.0</v>
      </c>
      <c r="L4462" s="15">
        <v>210.0</v>
      </c>
      <c r="M4462" s="40">
        <v>42067.0</v>
      </c>
      <c r="N4462" s="40">
        <v>42157.0</v>
      </c>
      <c r="O4462" s="15" t="s">
        <v>1554</v>
      </c>
      <c r="Q4462" s="7"/>
    </row>
    <row r="4463">
      <c r="A4463" s="39" t="s">
        <v>17743</v>
      </c>
      <c r="B4463" s="15">
        <v>741942.0</v>
      </c>
      <c r="C4463" s="15" t="s">
        <v>17745</v>
      </c>
      <c r="D4463" s="15">
        <v>284805.0</v>
      </c>
      <c r="E4463" s="15" t="s">
        <v>1557</v>
      </c>
      <c r="F4463" s="15" t="s">
        <v>1833</v>
      </c>
      <c r="G4463" s="7">
        <v>36.892</v>
      </c>
      <c r="H4463" s="15">
        <v>51.0</v>
      </c>
      <c r="I4463" s="15" t="s">
        <v>1586</v>
      </c>
      <c r="J4463" s="15" t="s">
        <v>17746</v>
      </c>
      <c r="K4463" s="15">
        <v>43.0</v>
      </c>
      <c r="L4463" s="15">
        <v>43.0</v>
      </c>
      <c r="M4463" s="40">
        <v>40245.0</v>
      </c>
      <c r="N4463" s="40">
        <v>42152.0</v>
      </c>
      <c r="O4463" s="15" t="s">
        <v>1554</v>
      </c>
      <c r="Q4463" s="7"/>
    </row>
    <row r="4464">
      <c r="A4464" s="39" t="s">
        <v>17747</v>
      </c>
      <c r="B4464" s="15">
        <v>10713.0</v>
      </c>
      <c r="C4464" s="15" t="s">
        <v>17748</v>
      </c>
      <c r="D4464" s="15">
        <v>284780.0</v>
      </c>
      <c r="E4464" s="15" t="s">
        <v>1557</v>
      </c>
      <c r="F4464" s="15" t="s">
        <v>1833</v>
      </c>
      <c r="G4464" s="7">
        <v>46.15</v>
      </c>
      <c r="H4464" s="15" t="s">
        <v>2417</v>
      </c>
      <c r="I4464" s="15" t="s">
        <v>1586</v>
      </c>
      <c r="J4464" s="15" t="s">
        <v>17749</v>
      </c>
      <c r="K4464" s="15">
        <v>67.0</v>
      </c>
      <c r="L4464" s="15">
        <v>63.0</v>
      </c>
      <c r="M4464" s="41">
        <v>41205.0</v>
      </c>
      <c r="N4464" s="40">
        <v>42152.0</v>
      </c>
      <c r="O4464" s="15" t="s">
        <v>1554</v>
      </c>
      <c r="Q4464" s="7"/>
    </row>
    <row r="4465">
      <c r="A4465" s="39" t="s">
        <v>17750</v>
      </c>
      <c r="B4465" s="15">
        <v>1471299.0</v>
      </c>
      <c r="C4465" s="15" t="s">
        <v>17751</v>
      </c>
      <c r="D4465" s="15">
        <v>285589.0</v>
      </c>
      <c r="E4465" s="15" t="s">
        <v>1916</v>
      </c>
      <c r="F4465" s="15" t="s">
        <v>1917</v>
      </c>
      <c r="G4465" s="7">
        <v>6.988</v>
      </c>
      <c r="H4465" s="15" t="s">
        <v>2820</v>
      </c>
      <c r="I4465" s="15" t="s">
        <v>1628</v>
      </c>
      <c r="J4465" s="15" t="s">
        <v>17753</v>
      </c>
      <c r="K4465" s="15">
        <v>4.0</v>
      </c>
      <c r="L4465" s="15">
        <v>4.0</v>
      </c>
      <c r="M4465" s="40">
        <v>42152.0</v>
      </c>
      <c r="N4465" s="40">
        <v>42157.0</v>
      </c>
      <c r="O4465" s="15" t="s">
        <v>1554</v>
      </c>
      <c r="Q4465" s="7"/>
    </row>
    <row r="4466">
      <c r="A4466" s="39" t="s">
        <v>17754</v>
      </c>
      <c r="B4466" s="15">
        <v>1654357.0</v>
      </c>
      <c r="C4466" s="15" t="s">
        <v>17755</v>
      </c>
      <c r="D4466" s="15">
        <v>285595.0</v>
      </c>
      <c r="E4466" s="15" t="s">
        <v>1548</v>
      </c>
      <c r="F4466" s="15" t="s">
        <v>2374</v>
      </c>
      <c r="G4466" s="7">
        <v>9.786</v>
      </c>
      <c r="H4466" s="15" t="s">
        <v>2777</v>
      </c>
      <c r="I4466" s="15" t="s">
        <v>1560</v>
      </c>
      <c r="J4466" s="15" t="s">
        <v>17756</v>
      </c>
      <c r="K4466" s="15">
        <v>1.0</v>
      </c>
      <c r="L4466" s="15">
        <v>1.0</v>
      </c>
      <c r="M4466" s="40">
        <v>42139.0</v>
      </c>
      <c r="N4466" s="40">
        <v>42207.0</v>
      </c>
      <c r="O4466" s="15" t="s">
        <v>1554</v>
      </c>
      <c r="Q4466" s="7"/>
    </row>
    <row r="4467">
      <c r="A4467" s="39" t="s">
        <v>17757</v>
      </c>
      <c r="B4467" s="15">
        <v>1642458.0</v>
      </c>
      <c r="C4467" s="15" t="s">
        <v>17758</v>
      </c>
      <c r="D4467" s="15">
        <v>285599.0</v>
      </c>
      <c r="E4467" s="15" t="s">
        <v>1548</v>
      </c>
      <c r="F4467" s="15" t="s">
        <v>1838</v>
      </c>
      <c r="G4467" s="7">
        <v>10.549</v>
      </c>
      <c r="H4467" s="15" t="s">
        <v>17759</v>
      </c>
      <c r="I4467" s="15" t="s">
        <v>1686</v>
      </c>
      <c r="J4467" s="15" t="s">
        <v>17761</v>
      </c>
      <c r="K4467" s="15">
        <v>4.0</v>
      </c>
      <c r="L4467" s="15">
        <v>4.0</v>
      </c>
      <c r="M4467" s="40">
        <v>42136.0</v>
      </c>
      <c r="N4467" s="40">
        <v>42157.0</v>
      </c>
      <c r="O4467" s="15" t="s">
        <v>1554</v>
      </c>
      <c r="Q4467" s="7"/>
    </row>
    <row r="4468">
      <c r="A4468" s="39" t="s">
        <v>17762</v>
      </c>
      <c r="B4468" s="15">
        <v>908819.0</v>
      </c>
      <c r="C4468" s="15" t="s">
        <v>17763</v>
      </c>
      <c r="D4468" s="15">
        <v>284804.0</v>
      </c>
      <c r="E4468" s="15" t="s">
        <v>1557</v>
      </c>
      <c r="F4468" s="15" t="s">
        <v>1767</v>
      </c>
      <c r="G4468" s="7">
        <v>47.142</v>
      </c>
      <c r="H4468" s="15" t="s">
        <v>2215</v>
      </c>
      <c r="I4468" s="15" t="s">
        <v>1586</v>
      </c>
      <c r="J4468" s="15" t="s">
        <v>17764</v>
      </c>
      <c r="K4468" s="15">
        <v>74.0</v>
      </c>
      <c r="L4468" s="15">
        <v>74.0</v>
      </c>
      <c r="M4468" s="41">
        <v>41965.0</v>
      </c>
      <c r="N4468" s="40">
        <v>42261.0</v>
      </c>
      <c r="O4468" s="15" t="s">
        <v>1554</v>
      </c>
      <c r="Q4468" s="7"/>
    </row>
    <row r="4469">
      <c r="A4469" s="39" t="s">
        <v>17765</v>
      </c>
      <c r="B4469" s="15">
        <v>1654603.0</v>
      </c>
      <c r="C4469" s="15" t="s">
        <v>17766</v>
      </c>
      <c r="D4469" s="15">
        <v>285357.0</v>
      </c>
      <c r="E4469" s="15" t="s">
        <v>1548</v>
      </c>
      <c r="F4469" s="15" t="s">
        <v>1790</v>
      </c>
      <c r="G4469" s="7">
        <v>43328.0</v>
      </c>
      <c r="H4469" s="15" t="s">
        <v>7887</v>
      </c>
      <c r="I4469" s="15" t="s">
        <v>1628</v>
      </c>
      <c r="J4469" s="15" t="s">
        <v>17767</v>
      </c>
      <c r="K4469" s="15">
        <v>11.0</v>
      </c>
      <c r="L4469" s="15">
        <v>11.0</v>
      </c>
      <c r="M4469" s="40">
        <v>42151.0</v>
      </c>
      <c r="N4469" s="40">
        <v>42157.0</v>
      </c>
      <c r="O4469" s="15" t="s">
        <v>1554</v>
      </c>
      <c r="Q4469" s="7"/>
    </row>
    <row r="4470">
      <c r="A4470" s="39" t="s">
        <v>17768</v>
      </c>
      <c r="B4470" s="15">
        <v>1213620.0</v>
      </c>
      <c r="C4470" s="15" t="s">
        <v>17770</v>
      </c>
      <c r="D4470" s="15">
        <v>285593.0</v>
      </c>
      <c r="E4470" s="15" t="s">
        <v>1548</v>
      </c>
      <c r="F4470" s="15" t="s">
        <v>3116</v>
      </c>
      <c r="G4470" s="7">
        <v>11.511</v>
      </c>
      <c r="H4470" s="15" t="s">
        <v>17771</v>
      </c>
      <c r="I4470" s="15" t="s">
        <v>1803</v>
      </c>
      <c r="J4470" s="15" t="s">
        <v>17772</v>
      </c>
      <c r="K4470" s="15">
        <v>4.0</v>
      </c>
      <c r="L4470" s="15">
        <v>4.0</v>
      </c>
      <c r="M4470" s="40">
        <v>41295.0</v>
      </c>
      <c r="N4470" s="40">
        <v>42157.0</v>
      </c>
      <c r="O4470" s="15" t="s">
        <v>1554</v>
      </c>
      <c r="Q4470" s="7"/>
    </row>
    <row r="4471">
      <c r="A4471" s="39" t="s">
        <v>17773</v>
      </c>
      <c r="B4471" s="15">
        <v>1654355.0</v>
      </c>
      <c r="C4471" s="15" t="s">
        <v>17774</v>
      </c>
      <c r="D4471" s="15">
        <v>285597.0</v>
      </c>
      <c r="E4471" s="15" t="s">
        <v>1548</v>
      </c>
      <c r="F4471" s="15" t="s">
        <v>1578</v>
      </c>
      <c r="G4471" s="7">
        <v>8.865</v>
      </c>
      <c r="H4471" s="15" t="s">
        <v>2451</v>
      </c>
      <c r="I4471" s="15" t="s">
        <v>1560</v>
      </c>
      <c r="J4471" s="15" t="s">
        <v>17775</v>
      </c>
      <c r="K4471" s="15">
        <v>1.0</v>
      </c>
      <c r="L4471" s="15">
        <v>1.0</v>
      </c>
      <c r="M4471" s="40">
        <v>42139.0</v>
      </c>
      <c r="N4471" s="40">
        <v>42207.0</v>
      </c>
      <c r="O4471" s="15" t="s">
        <v>1554</v>
      </c>
      <c r="Q4471" s="7"/>
    </row>
    <row r="4472">
      <c r="A4472" s="39" t="s">
        <v>17776</v>
      </c>
      <c r="B4472" s="15">
        <v>1504732.0</v>
      </c>
      <c r="C4472" s="15" t="s">
        <v>17777</v>
      </c>
      <c r="D4472" s="15">
        <v>285601.0</v>
      </c>
      <c r="E4472" s="15" t="s">
        <v>1808</v>
      </c>
      <c r="F4472" s="15" t="s">
        <v>1809</v>
      </c>
      <c r="G4472" s="7">
        <v>2.741</v>
      </c>
      <c r="H4472" s="15" t="s">
        <v>1792</v>
      </c>
      <c r="I4472" s="15" t="s">
        <v>1628</v>
      </c>
      <c r="J4472" s="15" t="s">
        <v>17779</v>
      </c>
      <c r="K4472" s="15">
        <v>6.0</v>
      </c>
      <c r="L4472" s="15">
        <v>6.0</v>
      </c>
      <c r="M4472" s="40">
        <v>42152.0</v>
      </c>
      <c r="N4472" s="40">
        <v>42157.0</v>
      </c>
      <c r="O4472" s="15" t="s">
        <v>1554</v>
      </c>
      <c r="Q4472" s="7"/>
    </row>
    <row r="4473">
      <c r="A4473" s="39" t="s">
        <v>17780</v>
      </c>
      <c r="B4473" s="15">
        <v>1493508.0</v>
      </c>
      <c r="C4473" s="15" t="s">
        <v>17781</v>
      </c>
      <c r="D4473" s="15">
        <v>284772.0</v>
      </c>
      <c r="E4473" s="15" t="s">
        <v>1557</v>
      </c>
      <c r="F4473" s="15" t="s">
        <v>1767</v>
      </c>
      <c r="G4473" s="7">
        <v>172.688</v>
      </c>
      <c r="H4473" s="15" t="s">
        <v>3895</v>
      </c>
      <c r="I4473" s="15" t="s">
        <v>1586</v>
      </c>
      <c r="J4473" s="15" t="s">
        <v>17782</v>
      </c>
      <c r="K4473" s="15">
        <v>217.0</v>
      </c>
      <c r="L4473" s="15">
        <v>217.0</v>
      </c>
      <c r="M4473" s="40">
        <v>42104.0</v>
      </c>
      <c r="N4473" s="40">
        <v>42157.0</v>
      </c>
      <c r="O4473" s="15" t="s">
        <v>1554</v>
      </c>
      <c r="Q4473" s="7"/>
    </row>
    <row r="4474">
      <c r="A4474" s="39" t="s">
        <v>17783</v>
      </c>
      <c r="B4474" s="15">
        <v>1615583.0</v>
      </c>
      <c r="C4474" s="15" t="s">
        <v>17784</v>
      </c>
      <c r="D4474" s="15">
        <v>285496.0</v>
      </c>
      <c r="E4474" s="15" t="s">
        <v>1548</v>
      </c>
      <c r="F4474" s="15" t="s">
        <v>4829</v>
      </c>
      <c r="G4474" s="7">
        <v>8.376</v>
      </c>
      <c r="H4474" s="15" t="s">
        <v>3082</v>
      </c>
      <c r="I4474" s="15" t="s">
        <v>1686</v>
      </c>
      <c r="J4474" s="15" t="s">
        <v>17785</v>
      </c>
      <c r="K4474" s="15">
        <v>3.0</v>
      </c>
      <c r="L4474" s="15">
        <v>3.0</v>
      </c>
      <c r="M4474" s="40">
        <v>42136.0</v>
      </c>
      <c r="N4474" s="40">
        <v>42157.0</v>
      </c>
      <c r="O4474" s="15" t="s">
        <v>1554</v>
      </c>
      <c r="Q4474" s="7"/>
    </row>
    <row r="4475">
      <c r="A4475" s="39" t="s">
        <v>17787</v>
      </c>
      <c r="B4475" s="15">
        <v>1658615.0</v>
      </c>
      <c r="C4475" s="15" t="s">
        <v>17788</v>
      </c>
      <c r="D4475" s="15">
        <v>285594.0</v>
      </c>
      <c r="E4475" s="15" t="s">
        <v>1548</v>
      </c>
      <c r="F4475" s="15" t="s">
        <v>4820</v>
      </c>
      <c r="G4475" s="7">
        <v>15.478</v>
      </c>
      <c r="H4475" s="15" t="s">
        <v>3242</v>
      </c>
      <c r="I4475" s="15" t="s">
        <v>1686</v>
      </c>
      <c r="J4475" s="15" t="s">
        <v>17789</v>
      </c>
      <c r="K4475" s="15">
        <v>15.0</v>
      </c>
      <c r="L4475" s="15">
        <v>15.0</v>
      </c>
      <c r="M4475" s="40">
        <v>42151.0</v>
      </c>
      <c r="N4475" s="40">
        <v>42157.0</v>
      </c>
      <c r="O4475" s="15" t="s">
        <v>1554</v>
      </c>
      <c r="Q4475" s="7"/>
    </row>
    <row r="4476">
      <c r="A4476" s="39" t="s">
        <v>17790</v>
      </c>
      <c r="B4476" s="15">
        <v>1654339.0</v>
      </c>
      <c r="C4476" s="15" t="s">
        <v>17791</v>
      </c>
      <c r="D4476" s="15">
        <v>285598.0</v>
      </c>
      <c r="E4476" s="15" t="s">
        <v>1664</v>
      </c>
      <c r="F4476" s="15" t="s">
        <v>1664</v>
      </c>
      <c r="G4476" s="7">
        <v>12.422</v>
      </c>
      <c r="H4476" s="15" t="s">
        <v>17792</v>
      </c>
      <c r="I4476" s="15" t="s">
        <v>1552</v>
      </c>
      <c r="J4476" s="15" t="s">
        <v>17793</v>
      </c>
      <c r="K4476" s="15">
        <v>2.0</v>
      </c>
      <c r="L4476" s="15">
        <v>2.0</v>
      </c>
      <c r="M4476" s="40">
        <v>42143.0</v>
      </c>
      <c r="N4476" s="40">
        <v>42157.0</v>
      </c>
      <c r="O4476" s="15" t="s">
        <v>1554</v>
      </c>
      <c r="Q4476" s="7"/>
    </row>
    <row r="4477">
      <c r="A4477" s="39" t="s">
        <v>17794</v>
      </c>
      <c r="B4477" s="15">
        <v>1493513.0</v>
      </c>
      <c r="C4477" s="15" t="s">
        <v>17795</v>
      </c>
      <c r="D4477" s="15">
        <v>285603.0</v>
      </c>
      <c r="E4477" s="15" t="s">
        <v>1557</v>
      </c>
      <c r="F4477" s="15" t="s">
        <v>1767</v>
      </c>
      <c r="G4477" s="7">
        <v>190.768</v>
      </c>
      <c r="H4477" s="15">
        <v>39.0</v>
      </c>
      <c r="I4477" s="15" t="s">
        <v>1586</v>
      </c>
      <c r="J4477" s="15" t="s">
        <v>17797</v>
      </c>
      <c r="K4477" s="15">
        <v>212.0</v>
      </c>
      <c r="L4477" s="15">
        <v>212.0</v>
      </c>
      <c r="M4477" s="40">
        <v>42104.0</v>
      </c>
      <c r="N4477" s="40">
        <v>42157.0</v>
      </c>
      <c r="O4477" s="15" t="s">
        <v>1554</v>
      </c>
      <c r="Q4477" s="7"/>
    </row>
    <row r="4478">
      <c r="A4478" s="39" t="s">
        <v>17798</v>
      </c>
      <c r="B4478" s="15">
        <v>1602124.0</v>
      </c>
      <c r="C4478" s="15" t="s">
        <v>17799</v>
      </c>
      <c r="D4478" s="15">
        <v>285266.0</v>
      </c>
      <c r="E4478" s="15" t="s">
        <v>1548</v>
      </c>
      <c r="F4478" s="15" t="s">
        <v>1578</v>
      </c>
      <c r="G4478" s="7">
        <v>4.083</v>
      </c>
      <c r="H4478" s="15" t="s">
        <v>2365</v>
      </c>
      <c r="I4478" s="15" t="s">
        <v>1628</v>
      </c>
      <c r="J4478" s="15" t="s">
        <v>17800</v>
      </c>
      <c r="K4478" s="15">
        <v>4.0</v>
      </c>
      <c r="L4478" s="15">
        <v>4.0</v>
      </c>
      <c r="M4478" s="40">
        <v>42151.0</v>
      </c>
      <c r="N4478" s="40">
        <v>42646.0</v>
      </c>
      <c r="O4478" s="15" t="s">
        <v>1554</v>
      </c>
      <c r="Q4478" s="7"/>
    </row>
    <row r="4479">
      <c r="A4479" s="39" t="s">
        <v>17801</v>
      </c>
      <c r="B4479" s="15">
        <v>1273128.0</v>
      </c>
      <c r="C4479" s="15" t="s">
        <v>17802</v>
      </c>
      <c r="D4479" s="15">
        <v>285590.0</v>
      </c>
      <c r="E4479" s="15" t="s">
        <v>2014</v>
      </c>
      <c r="F4479" s="15" t="s">
        <v>2018</v>
      </c>
      <c r="G4479" s="7">
        <v>1.346</v>
      </c>
      <c r="H4479" s="15" t="s">
        <v>1559</v>
      </c>
      <c r="I4479" s="15" t="s">
        <v>1628</v>
      </c>
      <c r="J4479" s="15" t="s">
        <v>17803</v>
      </c>
      <c r="K4479" s="15">
        <v>1.0</v>
      </c>
      <c r="L4479" s="15">
        <v>1.0</v>
      </c>
      <c r="M4479" s="40">
        <v>40918.0</v>
      </c>
      <c r="N4479" s="40">
        <v>42157.0</v>
      </c>
      <c r="O4479" s="15" t="s">
        <v>1554</v>
      </c>
      <c r="Q4479" s="7"/>
    </row>
    <row r="4480">
      <c r="A4480" s="39" t="s">
        <v>17805</v>
      </c>
      <c r="B4480" s="15">
        <v>1654356.0</v>
      </c>
      <c r="C4480" s="15" t="s">
        <v>17806</v>
      </c>
      <c r="D4480" s="15">
        <v>285596.0</v>
      </c>
      <c r="E4480" s="15" t="s">
        <v>1577</v>
      </c>
      <c r="F4480" s="15" t="s">
        <v>1578</v>
      </c>
      <c r="G4480" s="7">
        <v>9.108</v>
      </c>
      <c r="H4480" s="15" t="s">
        <v>2752</v>
      </c>
      <c r="I4480" s="15" t="s">
        <v>1560</v>
      </c>
      <c r="J4480" s="15" t="s">
        <v>17807</v>
      </c>
      <c r="K4480" s="15">
        <v>1.0</v>
      </c>
      <c r="L4480" s="15">
        <v>1.0</v>
      </c>
      <c r="M4480" s="40">
        <v>42139.0</v>
      </c>
      <c r="N4480" s="40">
        <v>42207.0</v>
      </c>
      <c r="O4480" s="15" t="s">
        <v>1554</v>
      </c>
      <c r="Q4480" s="7"/>
    </row>
    <row r="4481">
      <c r="A4481" s="39" t="s">
        <v>17808</v>
      </c>
      <c r="B4481" s="15">
        <v>1642436.0</v>
      </c>
      <c r="C4481" s="15" t="s">
        <v>17809</v>
      </c>
      <c r="D4481" s="15">
        <v>285600.0</v>
      </c>
      <c r="E4481" s="15" t="s">
        <v>1548</v>
      </c>
      <c r="F4481" s="15" t="s">
        <v>1838</v>
      </c>
      <c r="G4481" s="7">
        <v>43141.0</v>
      </c>
      <c r="H4481" s="15" t="s">
        <v>17810</v>
      </c>
      <c r="I4481" s="15" t="s">
        <v>1686</v>
      </c>
      <c r="J4481" s="15" t="s">
        <v>17811</v>
      </c>
      <c r="K4481" s="15">
        <v>4.0</v>
      </c>
      <c r="L4481" s="15">
        <v>4.0</v>
      </c>
      <c r="M4481" s="40">
        <v>42136.0</v>
      </c>
      <c r="N4481" s="40">
        <v>42157.0</v>
      </c>
      <c r="O4481" s="15" t="s">
        <v>1554</v>
      </c>
      <c r="Q4481" s="7"/>
    </row>
    <row r="4482">
      <c r="A4482" s="39" t="s">
        <v>17812</v>
      </c>
      <c r="B4482" s="15">
        <v>1631554.0</v>
      </c>
      <c r="C4482" s="15" t="s">
        <v>17814</v>
      </c>
      <c r="D4482" s="15">
        <v>286008.0</v>
      </c>
      <c r="E4482" s="15" t="s">
        <v>1548</v>
      </c>
      <c r="F4482" s="15" t="s">
        <v>1684</v>
      </c>
      <c r="G4482" s="7">
        <v>20.261</v>
      </c>
      <c r="H4482" s="15" t="s">
        <v>4331</v>
      </c>
      <c r="I4482" s="15" t="s">
        <v>1686</v>
      </c>
      <c r="J4482" s="15" t="s">
        <v>17815</v>
      </c>
      <c r="K4482" s="15">
        <v>7.0</v>
      </c>
      <c r="L4482" s="15">
        <v>7.0</v>
      </c>
      <c r="M4482" s="40">
        <v>42123.0</v>
      </c>
      <c r="N4482" s="40">
        <v>42161.0</v>
      </c>
      <c r="O4482" s="15" t="s">
        <v>1554</v>
      </c>
      <c r="Q4482" s="7"/>
    </row>
    <row r="4483">
      <c r="A4483" s="39" t="s">
        <v>17816</v>
      </c>
      <c r="B4483" s="15">
        <v>1432563.0</v>
      </c>
      <c r="C4483" s="15" t="s">
        <v>17817</v>
      </c>
      <c r="D4483" s="15">
        <v>286012.0</v>
      </c>
      <c r="E4483" s="15" t="s">
        <v>1548</v>
      </c>
      <c r="F4483" s="15" t="s">
        <v>1578</v>
      </c>
      <c r="G4483" s="7">
        <v>4.194</v>
      </c>
      <c r="H4483" s="15" t="s">
        <v>1756</v>
      </c>
      <c r="I4483" s="15" t="s">
        <v>1628</v>
      </c>
      <c r="J4483" s="15" t="s">
        <v>17818</v>
      </c>
      <c r="K4483" s="15">
        <v>5.0</v>
      </c>
      <c r="L4483" s="15">
        <v>5.0</v>
      </c>
      <c r="M4483" s="40">
        <v>42114.0</v>
      </c>
      <c r="N4483" s="40">
        <v>42161.0</v>
      </c>
      <c r="O4483" s="15" t="s">
        <v>1554</v>
      </c>
      <c r="Q4483" s="7"/>
    </row>
    <row r="4484">
      <c r="A4484" s="39" t="s">
        <v>17819</v>
      </c>
      <c r="B4484" s="15">
        <v>1608451.0</v>
      </c>
      <c r="C4484" s="15" t="s">
        <v>17820</v>
      </c>
      <c r="D4484" s="15">
        <v>286009.0</v>
      </c>
      <c r="E4484" s="15" t="s">
        <v>1577</v>
      </c>
      <c r="F4484" s="15" t="s">
        <v>1578</v>
      </c>
      <c r="G4484" s="7">
        <v>3.753</v>
      </c>
      <c r="H4484" s="15" t="s">
        <v>4401</v>
      </c>
      <c r="I4484" s="15" t="s">
        <v>1552</v>
      </c>
      <c r="J4484" s="15" t="s">
        <v>17821</v>
      </c>
      <c r="K4484" s="15">
        <v>3.0</v>
      </c>
      <c r="L4484" s="15">
        <v>3.0</v>
      </c>
      <c r="M4484" s="40">
        <v>42050.0</v>
      </c>
      <c r="N4484" s="40">
        <v>42161.0</v>
      </c>
      <c r="O4484" s="15" t="s">
        <v>1554</v>
      </c>
      <c r="Q4484" s="7"/>
    </row>
    <row r="4485">
      <c r="A4485" s="39" t="s">
        <v>17823</v>
      </c>
      <c r="B4485" s="15">
        <v>11587.0</v>
      </c>
      <c r="C4485" s="15" t="s">
        <v>17824</v>
      </c>
      <c r="D4485" s="15">
        <v>286006.0</v>
      </c>
      <c r="E4485" s="15" t="s">
        <v>1548</v>
      </c>
      <c r="F4485" s="15" t="s">
        <v>3116</v>
      </c>
      <c r="G4485" s="7">
        <v>12.65</v>
      </c>
      <c r="H4485" s="15" t="s">
        <v>17825</v>
      </c>
      <c r="I4485" s="15" t="s">
        <v>1803</v>
      </c>
      <c r="J4485" s="15" t="s">
        <v>17826</v>
      </c>
      <c r="K4485" s="15">
        <v>4.0</v>
      </c>
      <c r="L4485" s="15">
        <v>4.0</v>
      </c>
      <c r="M4485" s="40">
        <v>42134.0</v>
      </c>
      <c r="N4485" s="40">
        <v>42161.0</v>
      </c>
      <c r="O4485" s="15" t="s">
        <v>1554</v>
      </c>
      <c r="Q4485" s="7"/>
    </row>
    <row r="4486">
      <c r="A4486" s="39" t="s">
        <v>17827</v>
      </c>
      <c r="B4486" s="15">
        <v>1608440.0</v>
      </c>
      <c r="C4486" s="15" t="s">
        <v>17828</v>
      </c>
      <c r="D4486" s="15">
        <v>286010.0</v>
      </c>
      <c r="E4486" s="15" t="s">
        <v>1577</v>
      </c>
      <c r="F4486" s="15" t="s">
        <v>1578</v>
      </c>
      <c r="G4486" s="7">
        <v>3.141</v>
      </c>
      <c r="H4486" s="15" t="s">
        <v>2451</v>
      </c>
      <c r="I4486" s="15" t="s">
        <v>1706</v>
      </c>
      <c r="J4486" s="15" t="s">
        <v>17829</v>
      </c>
      <c r="K4486" s="15">
        <v>2.0</v>
      </c>
      <c r="L4486" s="15">
        <v>2.0</v>
      </c>
      <c r="M4486" s="40">
        <v>42050.0</v>
      </c>
      <c r="N4486" s="40">
        <v>42161.0</v>
      </c>
      <c r="O4486" s="15" t="s">
        <v>1554</v>
      </c>
      <c r="Q4486" s="7"/>
    </row>
    <row r="4487">
      <c r="A4487" s="39" t="s">
        <v>17830</v>
      </c>
      <c r="B4487" s="15">
        <v>1647404.0</v>
      </c>
      <c r="D4487" s="15">
        <v>0.0</v>
      </c>
      <c r="E4487" s="15" t="s">
        <v>1557</v>
      </c>
      <c r="F4487" s="15" t="s">
        <v>1767</v>
      </c>
      <c r="G4487" s="7">
        <v>188.047</v>
      </c>
      <c r="H4487" s="15">
        <v>49.0</v>
      </c>
      <c r="I4487" s="15" t="s">
        <v>1586</v>
      </c>
      <c r="J4487" s="15" t="s">
        <v>17831</v>
      </c>
      <c r="K4487" s="15">
        <v>369.0</v>
      </c>
      <c r="L4487" s="15">
        <v>361.0</v>
      </c>
      <c r="M4487" s="40">
        <v>42130.0</v>
      </c>
      <c r="N4487" s="40">
        <v>42233.0</v>
      </c>
      <c r="O4487" s="15" t="s">
        <v>1554</v>
      </c>
      <c r="Q4487" s="7"/>
    </row>
    <row r="4488">
      <c r="A4488" s="39" t="s">
        <v>17833</v>
      </c>
      <c r="B4488" s="15">
        <v>1661062.0</v>
      </c>
      <c r="C4488" s="15" t="s">
        <v>17834</v>
      </c>
      <c r="D4488" s="15">
        <v>286247.0</v>
      </c>
      <c r="E4488" s="15" t="s">
        <v>1548</v>
      </c>
      <c r="F4488" s="15" t="s">
        <v>15726</v>
      </c>
      <c r="G4488" s="7">
        <v>7.769</v>
      </c>
      <c r="H4488" s="15" t="s">
        <v>2857</v>
      </c>
      <c r="I4488" s="15" t="s">
        <v>1552</v>
      </c>
      <c r="J4488" s="15" t="s">
        <v>17835</v>
      </c>
      <c r="K4488" s="15">
        <v>4.0</v>
      </c>
      <c r="L4488" s="15">
        <v>4.0</v>
      </c>
      <c r="M4488" s="40">
        <v>42161.0</v>
      </c>
      <c r="N4488" s="40">
        <v>42165.0</v>
      </c>
      <c r="O4488" s="15" t="s">
        <v>1554</v>
      </c>
      <c r="Q4488" s="7"/>
    </row>
    <row r="4489">
      <c r="A4489" s="39" t="s">
        <v>17836</v>
      </c>
      <c r="B4489" s="15">
        <v>1659298.0</v>
      </c>
      <c r="C4489" s="15" t="s">
        <v>17837</v>
      </c>
      <c r="D4489" s="15">
        <v>286706.0</v>
      </c>
      <c r="E4489" s="15" t="s">
        <v>1548</v>
      </c>
      <c r="F4489" s="15" t="s">
        <v>1771</v>
      </c>
      <c r="G4489" s="7">
        <v>4.991</v>
      </c>
      <c r="H4489" s="15" t="s">
        <v>1828</v>
      </c>
      <c r="I4489" s="15" t="s">
        <v>1628</v>
      </c>
      <c r="J4489" s="15" t="s">
        <v>17838</v>
      </c>
      <c r="K4489" s="15">
        <v>3.0</v>
      </c>
      <c r="L4489" s="15">
        <v>3.0</v>
      </c>
      <c r="M4489" s="40">
        <v>42156.0</v>
      </c>
      <c r="N4489" s="40">
        <v>42170.0</v>
      </c>
      <c r="O4489" s="15" t="s">
        <v>1554</v>
      </c>
      <c r="Q4489" s="7"/>
    </row>
    <row r="4490">
      <c r="A4490" s="39" t="s">
        <v>17839</v>
      </c>
      <c r="B4490" s="15">
        <v>260377.0</v>
      </c>
      <c r="C4490" s="15" t="s">
        <v>17840</v>
      </c>
      <c r="D4490" s="15">
        <v>286971.0</v>
      </c>
      <c r="E4490" s="15" t="s">
        <v>1808</v>
      </c>
      <c r="F4490" s="15" t="s">
        <v>1809</v>
      </c>
      <c r="G4490" s="7">
        <v>2.796</v>
      </c>
      <c r="H4490" s="15">
        <v>41.0</v>
      </c>
      <c r="I4490" s="15" t="s">
        <v>1628</v>
      </c>
      <c r="J4490" s="15" t="s">
        <v>17842</v>
      </c>
      <c r="K4490" s="15">
        <v>6.0</v>
      </c>
      <c r="L4490" s="15">
        <v>6.0</v>
      </c>
      <c r="M4490" s="40">
        <v>42159.0</v>
      </c>
      <c r="N4490" s="40">
        <v>42170.0</v>
      </c>
      <c r="O4490" s="15" t="s">
        <v>1554</v>
      </c>
      <c r="Q4490" s="7"/>
    </row>
    <row r="4491">
      <c r="A4491" s="39" t="s">
        <v>17843</v>
      </c>
      <c r="B4491" s="15">
        <v>1661396.0</v>
      </c>
      <c r="C4491" s="15" t="s">
        <v>17844</v>
      </c>
      <c r="D4491" s="15">
        <v>286258.0</v>
      </c>
      <c r="E4491" s="15" t="s">
        <v>1638</v>
      </c>
      <c r="F4491" s="15" t="s">
        <v>1639</v>
      </c>
      <c r="G4491" s="7">
        <v>5.181</v>
      </c>
      <c r="H4491" s="15" t="s">
        <v>2154</v>
      </c>
      <c r="I4491" s="15" t="s">
        <v>1552</v>
      </c>
      <c r="J4491" s="15" t="s">
        <v>17845</v>
      </c>
      <c r="K4491" s="15">
        <v>2.0</v>
      </c>
      <c r="L4491" s="15">
        <v>2.0</v>
      </c>
      <c r="M4491" s="40">
        <v>42161.0</v>
      </c>
      <c r="N4491" s="40">
        <v>42170.0</v>
      </c>
      <c r="O4491" s="15" t="s">
        <v>1554</v>
      </c>
      <c r="Q4491" s="7"/>
    </row>
    <row r="4492">
      <c r="A4492" s="39" t="s">
        <v>17846</v>
      </c>
      <c r="B4492" s="15">
        <v>1608533.0</v>
      </c>
      <c r="C4492" s="15" t="s">
        <v>17847</v>
      </c>
      <c r="D4492" s="15">
        <v>286937.0</v>
      </c>
      <c r="E4492" s="15" t="s">
        <v>1638</v>
      </c>
      <c r="F4492" s="15" t="s">
        <v>1639</v>
      </c>
      <c r="G4492" s="7">
        <v>5.704</v>
      </c>
      <c r="H4492" s="15" t="s">
        <v>2107</v>
      </c>
      <c r="I4492" s="15" t="s">
        <v>1740</v>
      </c>
      <c r="J4492" s="15" t="s">
        <v>17848</v>
      </c>
      <c r="K4492" s="15">
        <v>2.0</v>
      </c>
      <c r="L4492" s="15">
        <v>2.0</v>
      </c>
      <c r="M4492" s="40">
        <v>42122.0</v>
      </c>
      <c r="N4492" s="40">
        <v>42651.0</v>
      </c>
      <c r="O4492" s="15" t="s">
        <v>1554</v>
      </c>
      <c r="Q4492" s="7"/>
    </row>
    <row r="4493">
      <c r="A4493" s="39" t="s">
        <v>17849</v>
      </c>
      <c r="B4493" s="15">
        <v>1661395.0</v>
      </c>
      <c r="C4493" s="15" t="s">
        <v>17851</v>
      </c>
      <c r="D4493" s="15">
        <v>286936.0</v>
      </c>
      <c r="E4493" s="15" t="s">
        <v>1548</v>
      </c>
      <c r="F4493" s="15" t="s">
        <v>1776</v>
      </c>
      <c r="G4493" s="7">
        <v>9.246</v>
      </c>
      <c r="H4493" s="15" t="s">
        <v>1792</v>
      </c>
      <c r="I4493" s="15" t="s">
        <v>1686</v>
      </c>
      <c r="J4493" s="15" t="s">
        <v>17852</v>
      </c>
      <c r="K4493" s="15">
        <v>1.0</v>
      </c>
      <c r="L4493" s="15">
        <v>1.0</v>
      </c>
      <c r="M4493" s="40">
        <v>42160.0</v>
      </c>
      <c r="N4493" s="40">
        <v>42170.0</v>
      </c>
      <c r="O4493" s="15" t="s">
        <v>1554</v>
      </c>
      <c r="Q4493" s="7"/>
    </row>
    <row r="4494">
      <c r="A4494" s="39" t="s">
        <v>17853</v>
      </c>
      <c r="B4494" s="15">
        <v>369752.0</v>
      </c>
      <c r="C4494" s="15" t="s">
        <v>17854</v>
      </c>
      <c r="D4494" s="15">
        <v>286899.0</v>
      </c>
      <c r="E4494" s="15" t="s">
        <v>1548</v>
      </c>
      <c r="F4494" s="15" t="s">
        <v>1911</v>
      </c>
      <c r="G4494" s="7">
        <v>9.575</v>
      </c>
      <c r="H4494" s="15" t="s">
        <v>1994</v>
      </c>
      <c r="I4494" s="15" t="s">
        <v>1628</v>
      </c>
      <c r="J4494" s="15" t="s">
        <v>17855</v>
      </c>
      <c r="K4494" s="15">
        <v>1.0</v>
      </c>
      <c r="L4494" s="15">
        <v>1.0</v>
      </c>
      <c r="M4494" s="40">
        <v>42165.0</v>
      </c>
      <c r="N4494" s="40">
        <v>42170.0</v>
      </c>
      <c r="O4494" s="15" t="s">
        <v>1554</v>
      </c>
      <c r="Q4494" s="7"/>
    </row>
    <row r="4495">
      <c r="A4495" s="39" t="s">
        <v>17856</v>
      </c>
      <c r="B4495" s="15">
        <v>10256.0</v>
      </c>
      <c r="C4495" s="15" t="s">
        <v>17857</v>
      </c>
      <c r="D4495" s="15">
        <v>287042.0</v>
      </c>
      <c r="E4495" s="15" t="s">
        <v>1557</v>
      </c>
      <c r="F4495" s="15" t="s">
        <v>2028</v>
      </c>
      <c r="G4495" s="7">
        <v>214.699</v>
      </c>
      <c r="H4495" s="15" t="s">
        <v>17858</v>
      </c>
      <c r="I4495" s="15" t="s">
        <v>1686</v>
      </c>
      <c r="J4495" s="15" t="s">
        <v>17859</v>
      </c>
      <c r="K4495" s="15">
        <v>208.0</v>
      </c>
      <c r="L4495" s="15">
        <v>207.0</v>
      </c>
      <c r="M4495" s="40">
        <v>42165.0</v>
      </c>
      <c r="N4495" s="40">
        <v>42170.0</v>
      </c>
      <c r="O4495" s="15" t="s">
        <v>1554</v>
      </c>
      <c r="Q4495" s="7"/>
    </row>
    <row r="4496">
      <c r="A4496" s="39" t="s">
        <v>17860</v>
      </c>
      <c r="B4496" s="15">
        <v>1661257.0</v>
      </c>
      <c r="C4496" s="15" t="s">
        <v>17861</v>
      </c>
      <c r="D4496" s="15">
        <v>286970.0</v>
      </c>
      <c r="E4496" s="15" t="s">
        <v>1659</v>
      </c>
      <c r="F4496" s="15" t="s">
        <v>10279</v>
      </c>
      <c r="G4496" s="7">
        <v>16.715</v>
      </c>
      <c r="H4496" s="15" t="s">
        <v>17862</v>
      </c>
      <c r="I4496" s="15" t="s">
        <v>1552</v>
      </c>
      <c r="J4496" s="15" t="s">
        <v>17863</v>
      </c>
      <c r="K4496" s="15">
        <v>4.0</v>
      </c>
      <c r="L4496" s="15">
        <v>4.0</v>
      </c>
      <c r="M4496" s="40">
        <v>42165.0</v>
      </c>
      <c r="N4496" s="40">
        <v>42432.0</v>
      </c>
      <c r="O4496" s="15" t="s">
        <v>1554</v>
      </c>
      <c r="Q4496" s="7"/>
    </row>
    <row r="4497">
      <c r="A4497" s="39" t="s">
        <v>17865</v>
      </c>
      <c r="B4497" s="15">
        <v>1562076.0</v>
      </c>
      <c r="C4497" s="15" t="s">
        <v>17866</v>
      </c>
      <c r="D4497" s="15">
        <v>263998.0</v>
      </c>
      <c r="E4497" s="15" t="s">
        <v>1557</v>
      </c>
      <c r="F4497" s="15" t="s">
        <v>1611</v>
      </c>
      <c r="G4497" s="7">
        <v>39.167</v>
      </c>
      <c r="H4497" s="15" t="s">
        <v>7049</v>
      </c>
      <c r="I4497" s="15" t="s">
        <v>1586</v>
      </c>
      <c r="J4497" s="15" t="s">
        <v>17867</v>
      </c>
      <c r="K4497" s="15">
        <v>46.0</v>
      </c>
      <c r="L4497" s="15">
        <v>46.0</v>
      </c>
      <c r="M4497" s="41">
        <v>41965.0</v>
      </c>
      <c r="N4497" s="40">
        <v>42177.0</v>
      </c>
      <c r="O4497" s="15" t="s">
        <v>1554</v>
      </c>
      <c r="Q4497" s="7"/>
    </row>
    <row r="4498">
      <c r="A4498" s="39" t="s">
        <v>17868</v>
      </c>
      <c r="B4498" s="15">
        <v>1500822.0</v>
      </c>
      <c r="C4498" s="15" t="s">
        <v>17869</v>
      </c>
      <c r="D4498" s="15">
        <v>287578.0</v>
      </c>
      <c r="E4498" s="15" t="s">
        <v>1557</v>
      </c>
      <c r="F4498" s="15" t="s">
        <v>1833</v>
      </c>
      <c r="G4498" s="7">
        <v>29.438</v>
      </c>
      <c r="H4498" s="15" t="s">
        <v>5483</v>
      </c>
      <c r="I4498" s="15" t="s">
        <v>1586</v>
      </c>
      <c r="J4498" s="15" t="s">
        <v>17870</v>
      </c>
      <c r="K4498" s="15">
        <v>45.0</v>
      </c>
      <c r="L4498" s="15">
        <v>45.0</v>
      </c>
      <c r="M4498" s="40">
        <v>42114.0</v>
      </c>
      <c r="N4498" s="40">
        <v>42177.0</v>
      </c>
      <c r="O4498" s="15" t="s">
        <v>1554</v>
      </c>
      <c r="Q4498" s="7"/>
    </row>
    <row r="4499">
      <c r="A4499" s="39" t="s">
        <v>17871</v>
      </c>
      <c r="B4499" s="15">
        <v>1091556.0</v>
      </c>
      <c r="C4499" s="15" t="s">
        <v>17872</v>
      </c>
      <c r="D4499" s="15">
        <v>287866.0</v>
      </c>
      <c r="E4499" s="15" t="s">
        <v>1557</v>
      </c>
      <c r="F4499" s="15" t="s">
        <v>1833</v>
      </c>
      <c r="G4499" s="7">
        <v>36.814</v>
      </c>
      <c r="H4499" s="15" t="s">
        <v>13306</v>
      </c>
      <c r="I4499" s="15" t="s">
        <v>1586</v>
      </c>
      <c r="J4499" s="15" t="s">
        <v>17874</v>
      </c>
      <c r="K4499" s="15">
        <v>54.0</v>
      </c>
      <c r="L4499" s="15">
        <v>54.0</v>
      </c>
      <c r="M4499" s="40">
        <v>40918.0</v>
      </c>
      <c r="N4499" s="40">
        <v>42179.0</v>
      </c>
      <c r="O4499" s="15" t="s">
        <v>1554</v>
      </c>
      <c r="Q4499" s="7"/>
    </row>
    <row r="4500">
      <c r="A4500" s="39" t="s">
        <v>17875</v>
      </c>
      <c r="B4500" s="15">
        <v>1526550.0</v>
      </c>
      <c r="C4500" s="15" t="s">
        <v>17876</v>
      </c>
      <c r="D4500" s="15">
        <v>255785.0</v>
      </c>
      <c r="E4500" s="15" t="s">
        <v>1557</v>
      </c>
      <c r="F4500" s="15" t="s">
        <v>1578</v>
      </c>
      <c r="G4500" s="7">
        <v>42.092</v>
      </c>
      <c r="H4500" s="15" t="s">
        <v>3101</v>
      </c>
      <c r="I4500" s="15" t="s">
        <v>1586</v>
      </c>
      <c r="J4500" s="15" t="s">
        <v>17877</v>
      </c>
      <c r="K4500" s="15">
        <v>71.0</v>
      </c>
      <c r="L4500" s="15">
        <v>71.0</v>
      </c>
      <c r="M4500" s="40">
        <v>41891.0</v>
      </c>
      <c r="N4500" s="40">
        <v>42179.0</v>
      </c>
      <c r="O4500" s="15" t="s">
        <v>1554</v>
      </c>
      <c r="Q4500" s="7"/>
    </row>
    <row r="4501">
      <c r="A4501" s="39" t="s">
        <v>17878</v>
      </c>
      <c r="B4501" s="15">
        <v>1498172.0</v>
      </c>
      <c r="C4501" s="15" t="s">
        <v>17879</v>
      </c>
      <c r="D4501" s="15">
        <v>244962.0</v>
      </c>
      <c r="E4501" s="15" t="s">
        <v>1557</v>
      </c>
      <c r="F4501" s="15" t="s">
        <v>1611</v>
      </c>
      <c r="G4501" s="7">
        <v>45.403</v>
      </c>
      <c r="H4501" s="15" t="s">
        <v>4070</v>
      </c>
      <c r="I4501" s="15" t="s">
        <v>1586</v>
      </c>
      <c r="J4501" s="15" t="s">
        <v>17880</v>
      </c>
      <c r="K4501" s="15">
        <v>62.0</v>
      </c>
      <c r="L4501" s="15">
        <v>62.0</v>
      </c>
      <c r="M4501" s="40">
        <v>42123.0</v>
      </c>
      <c r="N4501" s="41">
        <v>42325.0</v>
      </c>
      <c r="O4501" s="15" t="s">
        <v>1554</v>
      </c>
      <c r="Q4501" s="7"/>
    </row>
    <row r="4502">
      <c r="A4502" s="39" t="s">
        <v>17882</v>
      </c>
      <c r="B4502" s="15">
        <v>1564096.0</v>
      </c>
      <c r="C4502" s="15" t="s">
        <v>17883</v>
      </c>
      <c r="D4502" s="15">
        <v>264600.0</v>
      </c>
      <c r="E4502" s="15" t="s">
        <v>1557</v>
      </c>
      <c r="F4502" s="15" t="s">
        <v>1767</v>
      </c>
      <c r="G4502" s="7">
        <v>162.16</v>
      </c>
      <c r="H4502" s="15" t="s">
        <v>5391</v>
      </c>
      <c r="I4502" s="15" t="s">
        <v>1586</v>
      </c>
      <c r="J4502" s="15" t="s">
        <v>17884</v>
      </c>
      <c r="K4502" s="15">
        <v>146.0</v>
      </c>
      <c r="L4502" s="15">
        <v>145.0</v>
      </c>
      <c r="M4502" s="41">
        <v>41965.0</v>
      </c>
      <c r="N4502" s="40">
        <v>42179.0</v>
      </c>
      <c r="O4502" s="15" t="s">
        <v>1554</v>
      </c>
      <c r="Q4502" s="7"/>
    </row>
    <row r="4503">
      <c r="A4503" s="39" t="s">
        <v>17885</v>
      </c>
      <c r="B4503" s="15">
        <v>1567025.0</v>
      </c>
      <c r="C4503" s="15" t="s">
        <v>17886</v>
      </c>
      <c r="D4503" s="15">
        <v>287865.0</v>
      </c>
      <c r="E4503" s="15" t="s">
        <v>1557</v>
      </c>
      <c r="F4503" s="15" t="s">
        <v>1767</v>
      </c>
      <c r="G4503" s="7">
        <v>87.51</v>
      </c>
      <c r="H4503" s="15" t="s">
        <v>6565</v>
      </c>
      <c r="I4503" s="15" t="s">
        <v>1586</v>
      </c>
      <c r="J4503" s="15" t="s">
        <v>17887</v>
      </c>
      <c r="K4503" s="15">
        <v>148.0</v>
      </c>
      <c r="L4503" s="15">
        <v>126.0</v>
      </c>
      <c r="M4503" s="40">
        <v>42080.0</v>
      </c>
      <c r="N4503" s="40">
        <v>42971.0</v>
      </c>
      <c r="O4503" s="15" t="s">
        <v>1554</v>
      </c>
      <c r="Q4503" s="7"/>
    </row>
    <row r="4504">
      <c r="A4504" s="39" t="s">
        <v>17888</v>
      </c>
      <c r="B4504" s="15">
        <v>1204529.0</v>
      </c>
      <c r="C4504" s="15" t="s">
        <v>17889</v>
      </c>
      <c r="D4504" s="15">
        <v>287955.0</v>
      </c>
      <c r="E4504" s="15" t="s">
        <v>1557</v>
      </c>
      <c r="F4504" s="15" t="s">
        <v>1767</v>
      </c>
      <c r="G4504" s="7">
        <v>147.745</v>
      </c>
      <c r="H4504" s="15" t="s">
        <v>2864</v>
      </c>
      <c r="I4504" s="15" t="s">
        <v>1586</v>
      </c>
      <c r="J4504" s="15" t="s">
        <v>17891</v>
      </c>
      <c r="K4504" s="15">
        <v>242.0</v>
      </c>
      <c r="L4504" s="15">
        <v>242.0</v>
      </c>
      <c r="M4504" s="41">
        <v>41192.0</v>
      </c>
      <c r="N4504" s="40">
        <v>42179.0</v>
      </c>
      <c r="O4504" s="15" t="s">
        <v>1554</v>
      </c>
      <c r="Q4504" s="7"/>
    </row>
    <row r="4505">
      <c r="A4505" s="39" t="s">
        <v>17892</v>
      </c>
      <c r="B4505" s="15">
        <v>1563661.0</v>
      </c>
      <c r="C4505" s="15" t="s">
        <v>17893</v>
      </c>
      <c r="D4505" s="15">
        <v>287956.0</v>
      </c>
      <c r="E4505" s="15" t="s">
        <v>1557</v>
      </c>
      <c r="F4505" s="15" t="s">
        <v>1611</v>
      </c>
      <c r="G4505" s="7">
        <v>73.882</v>
      </c>
      <c r="H4505" s="15" t="s">
        <v>17894</v>
      </c>
      <c r="I4505" s="15" t="s">
        <v>1586</v>
      </c>
      <c r="J4505" s="15" t="s">
        <v>17895</v>
      </c>
      <c r="K4505" s="15">
        <v>88.0</v>
      </c>
      <c r="L4505" s="15">
        <v>88.0</v>
      </c>
      <c r="M4505" s="41">
        <v>41941.0</v>
      </c>
      <c r="N4505" s="40">
        <v>42895.0</v>
      </c>
      <c r="O4505" s="15" t="s">
        <v>1554</v>
      </c>
      <c r="Q4505" s="7"/>
    </row>
    <row r="4506">
      <c r="A4506" s="39" t="s">
        <v>17896</v>
      </c>
      <c r="B4506" s="15">
        <v>1530400.0</v>
      </c>
      <c r="C4506" s="15" t="s">
        <v>17897</v>
      </c>
      <c r="D4506" s="15">
        <v>287957.0</v>
      </c>
      <c r="E4506" s="15" t="s">
        <v>1557</v>
      </c>
      <c r="F4506" s="15" t="s">
        <v>1611</v>
      </c>
      <c r="G4506" s="7">
        <v>73.008</v>
      </c>
      <c r="H4506" s="15" t="s">
        <v>3776</v>
      </c>
      <c r="I4506" s="15" t="s">
        <v>1586</v>
      </c>
      <c r="J4506" s="15" t="s">
        <v>17899</v>
      </c>
      <c r="K4506" s="15">
        <v>91.0</v>
      </c>
      <c r="L4506" s="15">
        <v>91.0</v>
      </c>
      <c r="M4506" s="41">
        <v>41993.0</v>
      </c>
      <c r="N4506" s="40">
        <v>42179.0</v>
      </c>
      <c r="O4506" s="15" t="s">
        <v>1554</v>
      </c>
      <c r="Q4506" s="7"/>
    </row>
    <row r="4507">
      <c r="A4507" s="39" t="s">
        <v>17900</v>
      </c>
      <c r="B4507" s="15">
        <v>1527506.0</v>
      </c>
      <c r="C4507" s="15" t="s">
        <v>17901</v>
      </c>
      <c r="D4507" s="15">
        <v>287958.0</v>
      </c>
      <c r="E4507" s="15" t="s">
        <v>1557</v>
      </c>
      <c r="F4507" s="15" t="s">
        <v>1611</v>
      </c>
      <c r="G4507" s="7">
        <v>38.81</v>
      </c>
      <c r="H4507" s="15" t="s">
        <v>3297</v>
      </c>
      <c r="I4507" s="15" t="s">
        <v>1586</v>
      </c>
      <c r="J4507" s="15" t="s">
        <v>17902</v>
      </c>
      <c r="K4507" s="15">
        <v>49.0</v>
      </c>
      <c r="L4507" s="15">
        <v>49.0</v>
      </c>
      <c r="M4507" s="40">
        <v>41891.0</v>
      </c>
      <c r="N4507" s="40">
        <v>42496.0</v>
      </c>
      <c r="O4507" s="15" t="s">
        <v>1554</v>
      </c>
      <c r="Q4507" s="7"/>
    </row>
    <row r="4508">
      <c r="A4508" s="39" t="s">
        <v>17903</v>
      </c>
      <c r="B4508" s="15">
        <v>1503929.0</v>
      </c>
      <c r="C4508" s="15" t="s">
        <v>17904</v>
      </c>
      <c r="D4508" s="15">
        <v>287959.0</v>
      </c>
      <c r="E4508" s="15" t="s">
        <v>1557</v>
      </c>
      <c r="F4508" s="15" t="s">
        <v>1578</v>
      </c>
      <c r="G4508" s="7">
        <v>47.8</v>
      </c>
      <c r="H4508" s="15" t="s">
        <v>8941</v>
      </c>
      <c r="I4508" s="15" t="s">
        <v>1586</v>
      </c>
      <c r="J4508" s="15" t="s">
        <v>17905</v>
      </c>
      <c r="K4508" s="15">
        <v>67.0</v>
      </c>
      <c r="L4508" s="15">
        <v>67.0</v>
      </c>
      <c r="M4508" s="40">
        <v>41982.0</v>
      </c>
      <c r="N4508" s="40">
        <v>42179.0</v>
      </c>
      <c r="O4508" s="15" t="s">
        <v>1554</v>
      </c>
      <c r="Q4508" s="7"/>
    </row>
    <row r="4509">
      <c r="A4509" s="39" t="s">
        <v>17907</v>
      </c>
      <c r="B4509" s="15">
        <v>1498188.0</v>
      </c>
      <c r="C4509" s="15" t="s">
        <v>17908</v>
      </c>
      <c r="D4509" s="15">
        <v>287960.0</v>
      </c>
      <c r="E4509" s="15" t="s">
        <v>1557</v>
      </c>
      <c r="F4509" s="15" t="s">
        <v>1833</v>
      </c>
      <c r="G4509" s="7">
        <v>29.741</v>
      </c>
      <c r="H4509" s="15" t="s">
        <v>6085</v>
      </c>
      <c r="I4509" s="15" t="s">
        <v>1586</v>
      </c>
      <c r="J4509" s="15" t="s">
        <v>17909</v>
      </c>
      <c r="K4509" s="15">
        <v>45.0</v>
      </c>
      <c r="L4509" s="15">
        <v>45.0</v>
      </c>
      <c r="M4509" s="41">
        <v>42003.0</v>
      </c>
      <c r="N4509" s="40">
        <v>42179.0</v>
      </c>
      <c r="O4509" s="15" t="s">
        <v>1554</v>
      </c>
      <c r="Q4509" s="7"/>
    </row>
    <row r="4510">
      <c r="A4510" s="39" t="s">
        <v>17910</v>
      </c>
      <c r="B4510" s="15">
        <v>1498168.0</v>
      </c>
      <c r="C4510" s="15" t="s">
        <v>17911</v>
      </c>
      <c r="D4510" s="15">
        <v>287961.0</v>
      </c>
      <c r="E4510" s="15" t="s">
        <v>1557</v>
      </c>
      <c r="F4510" s="15" t="s">
        <v>1767</v>
      </c>
      <c r="G4510" s="7">
        <v>145.518</v>
      </c>
      <c r="H4510" s="15" t="s">
        <v>3554</v>
      </c>
      <c r="I4510" s="15" t="s">
        <v>1586</v>
      </c>
      <c r="J4510" s="15" t="s">
        <v>17912</v>
      </c>
      <c r="K4510" s="15">
        <v>225.0</v>
      </c>
      <c r="L4510" s="15">
        <v>220.0</v>
      </c>
      <c r="M4510" s="41">
        <v>41943.0</v>
      </c>
      <c r="N4510" s="40">
        <v>42179.0</v>
      </c>
      <c r="O4510" s="15" t="s">
        <v>1554</v>
      </c>
      <c r="Q4510" s="7"/>
    </row>
    <row r="4511">
      <c r="A4511" s="39" t="s">
        <v>17913</v>
      </c>
      <c r="B4511" s="15">
        <v>1451050.0</v>
      </c>
      <c r="C4511" s="15" t="s">
        <v>17914</v>
      </c>
      <c r="D4511" s="15">
        <v>287962.0</v>
      </c>
      <c r="E4511" s="15" t="s">
        <v>1557</v>
      </c>
      <c r="F4511" s="15" t="s">
        <v>1767</v>
      </c>
      <c r="G4511" s="7">
        <v>33.828</v>
      </c>
      <c r="H4511" s="15" t="s">
        <v>5368</v>
      </c>
      <c r="I4511" s="15" t="s">
        <v>1586</v>
      </c>
      <c r="J4511" s="15" t="s">
        <v>17915</v>
      </c>
      <c r="K4511" s="15" t="s">
        <v>1722</v>
      </c>
      <c r="L4511" s="15" t="s">
        <v>1722</v>
      </c>
      <c r="M4511" s="40">
        <v>41746.0</v>
      </c>
      <c r="N4511" s="40">
        <v>42179.0</v>
      </c>
      <c r="O4511" s="15" t="s">
        <v>1554</v>
      </c>
      <c r="Q4511" s="7"/>
    </row>
    <row r="4512">
      <c r="A4512" s="39" t="s">
        <v>17917</v>
      </c>
      <c r="B4512" s="15">
        <v>1439894.0</v>
      </c>
      <c r="C4512" s="15" t="s">
        <v>17918</v>
      </c>
      <c r="D4512" s="15">
        <v>287963.0</v>
      </c>
      <c r="E4512" s="15" t="s">
        <v>1557</v>
      </c>
      <c r="F4512" s="15" t="s">
        <v>1767</v>
      </c>
      <c r="G4512" s="7">
        <v>346.602</v>
      </c>
      <c r="H4512" s="42">
        <v>43312.0</v>
      </c>
      <c r="I4512" s="15" t="s">
        <v>1586</v>
      </c>
      <c r="J4512" s="15" t="s">
        <v>17919</v>
      </c>
      <c r="K4512" s="15">
        <v>64.0</v>
      </c>
      <c r="L4512" s="15">
        <v>64.0</v>
      </c>
      <c r="M4512" s="41">
        <v>41991.0</v>
      </c>
      <c r="N4512" s="40">
        <v>42179.0</v>
      </c>
      <c r="O4512" s="15" t="s">
        <v>1554</v>
      </c>
      <c r="Q4512" s="7"/>
    </row>
    <row r="4513">
      <c r="A4513" s="39" t="s">
        <v>17920</v>
      </c>
      <c r="B4513" s="15">
        <v>1351740.0</v>
      </c>
      <c r="C4513" s="15" t="s">
        <v>17921</v>
      </c>
      <c r="D4513" s="15">
        <v>287964.0</v>
      </c>
      <c r="E4513" s="15" t="s">
        <v>1557</v>
      </c>
      <c r="F4513" s="15" t="s">
        <v>1767</v>
      </c>
      <c r="G4513" s="7">
        <v>167.785</v>
      </c>
      <c r="H4513" s="15" t="s">
        <v>3361</v>
      </c>
      <c r="I4513" s="15" t="s">
        <v>1586</v>
      </c>
      <c r="J4513" s="15" t="s">
        <v>17922</v>
      </c>
      <c r="K4513" s="15">
        <v>280.0</v>
      </c>
      <c r="L4513" s="15">
        <v>271.0</v>
      </c>
      <c r="M4513" s="40">
        <v>41478.0</v>
      </c>
      <c r="N4513" s="40">
        <v>42179.0</v>
      </c>
      <c r="O4513" s="15" t="s">
        <v>1554</v>
      </c>
      <c r="Q4513" s="7"/>
    </row>
    <row r="4514">
      <c r="A4514" s="39" t="s">
        <v>17924</v>
      </c>
      <c r="B4514" s="15">
        <v>1273738.0</v>
      </c>
      <c r="C4514" s="15" t="s">
        <v>17925</v>
      </c>
      <c r="D4514" s="15">
        <v>287965.0</v>
      </c>
      <c r="E4514" s="15" t="s">
        <v>1557</v>
      </c>
      <c r="F4514" s="15" t="s">
        <v>1767</v>
      </c>
      <c r="G4514" s="7">
        <v>348.113</v>
      </c>
      <c r="H4514" s="15" t="s">
        <v>8397</v>
      </c>
      <c r="I4514" s="15" t="s">
        <v>1586</v>
      </c>
      <c r="J4514" s="15" t="s">
        <v>17927</v>
      </c>
      <c r="K4514" s="15">
        <v>551.0</v>
      </c>
      <c r="L4514" s="15">
        <v>551.0</v>
      </c>
      <c r="M4514" s="40">
        <v>41290.0</v>
      </c>
      <c r="N4514" s="40">
        <v>42179.0</v>
      </c>
      <c r="O4514" s="15" t="s">
        <v>1554</v>
      </c>
      <c r="Q4514" s="7"/>
    </row>
    <row r="4515">
      <c r="A4515" s="39" t="s">
        <v>17928</v>
      </c>
      <c r="B4515" s="15">
        <v>1229757.0</v>
      </c>
      <c r="C4515" s="15" t="s">
        <v>17929</v>
      </c>
      <c r="D4515" s="15">
        <v>287966.0</v>
      </c>
      <c r="E4515" s="15" t="s">
        <v>1557</v>
      </c>
      <c r="F4515" s="15" t="s">
        <v>1767</v>
      </c>
      <c r="G4515" s="7">
        <v>86.231</v>
      </c>
      <c r="H4515" s="15" t="s">
        <v>5806</v>
      </c>
      <c r="I4515" s="15" t="s">
        <v>1586</v>
      </c>
      <c r="J4515" s="15" t="s">
        <v>17930</v>
      </c>
      <c r="K4515" s="15">
        <v>136.0</v>
      </c>
      <c r="L4515" s="15">
        <v>136.0</v>
      </c>
      <c r="M4515" s="41">
        <v>41192.0</v>
      </c>
      <c r="N4515" s="40">
        <v>42179.0</v>
      </c>
      <c r="O4515" s="15" t="s">
        <v>1554</v>
      </c>
      <c r="Q4515" s="7"/>
    </row>
    <row r="4516">
      <c r="A4516" s="39" t="s">
        <v>17931</v>
      </c>
      <c r="B4516" s="15">
        <v>1204531.0</v>
      </c>
      <c r="C4516" s="15" t="s">
        <v>17932</v>
      </c>
      <c r="D4516" s="15">
        <v>287967.0</v>
      </c>
      <c r="E4516" s="15" t="s">
        <v>1557</v>
      </c>
      <c r="F4516" s="15" t="s">
        <v>1767</v>
      </c>
      <c r="G4516" s="7">
        <v>158.099</v>
      </c>
      <c r="H4516" s="15" t="s">
        <v>4331</v>
      </c>
      <c r="I4516" s="15" t="s">
        <v>1586</v>
      </c>
      <c r="J4516" s="15" t="s">
        <v>17933</v>
      </c>
      <c r="K4516" s="15">
        <v>255.0</v>
      </c>
      <c r="L4516" s="15">
        <v>255.0</v>
      </c>
      <c r="M4516" s="41">
        <v>41192.0</v>
      </c>
      <c r="N4516" s="40">
        <v>42179.0</v>
      </c>
      <c r="O4516" s="15" t="s">
        <v>1554</v>
      </c>
      <c r="Q4516" s="7"/>
    </row>
    <row r="4517">
      <c r="A4517" s="39" t="s">
        <v>17935</v>
      </c>
      <c r="B4517" s="15">
        <v>1567006.0</v>
      </c>
      <c r="C4517" s="15" t="s">
        <v>17936</v>
      </c>
      <c r="D4517" s="15">
        <v>287971.0</v>
      </c>
      <c r="E4517" s="15" t="s">
        <v>1557</v>
      </c>
      <c r="F4517" s="15" t="s">
        <v>1833</v>
      </c>
      <c r="G4517" s="7">
        <v>108.065</v>
      </c>
      <c r="H4517" s="15" t="s">
        <v>3000</v>
      </c>
      <c r="I4517" s="15" t="s">
        <v>1586</v>
      </c>
      <c r="J4517" s="15" t="s">
        <v>17937</v>
      </c>
      <c r="K4517" s="15">
        <v>154.0</v>
      </c>
      <c r="L4517" s="15">
        <v>133.0</v>
      </c>
      <c r="M4517" s="41">
        <v>42001.0</v>
      </c>
      <c r="N4517" s="41">
        <v>42348.0</v>
      </c>
      <c r="O4517" s="15" t="s">
        <v>1554</v>
      </c>
      <c r="Q4517" s="7"/>
    </row>
    <row r="4518">
      <c r="A4518" s="39" t="s">
        <v>17938</v>
      </c>
      <c r="B4518" s="15">
        <v>1567004.0</v>
      </c>
      <c r="C4518" s="15" t="s">
        <v>17939</v>
      </c>
      <c r="D4518" s="15">
        <v>287972.0</v>
      </c>
      <c r="E4518" s="15" t="s">
        <v>1557</v>
      </c>
      <c r="F4518" s="15" t="s">
        <v>1833</v>
      </c>
      <c r="G4518" s="7">
        <v>44.613</v>
      </c>
      <c r="H4518" s="15" t="s">
        <v>1634</v>
      </c>
      <c r="I4518" s="15" t="s">
        <v>1586</v>
      </c>
      <c r="J4518" s="15" t="s">
        <v>17940</v>
      </c>
      <c r="K4518" s="15">
        <v>62.0</v>
      </c>
      <c r="L4518" s="15">
        <v>62.0</v>
      </c>
      <c r="M4518" s="40">
        <v>42009.0</v>
      </c>
      <c r="N4518" s="40">
        <v>42341.0</v>
      </c>
      <c r="O4518" s="15" t="s">
        <v>1554</v>
      </c>
      <c r="Q4518" s="7"/>
    </row>
    <row r="4519">
      <c r="A4519" s="39" t="s">
        <v>17941</v>
      </c>
      <c r="B4519" s="15">
        <v>1566995.0</v>
      </c>
      <c r="C4519" s="15" t="s">
        <v>17942</v>
      </c>
      <c r="D4519" s="15">
        <v>287973.0</v>
      </c>
      <c r="E4519" s="15" t="s">
        <v>1557</v>
      </c>
      <c r="F4519" s="15" t="s">
        <v>1611</v>
      </c>
      <c r="G4519" s="7">
        <v>73.05</v>
      </c>
      <c r="H4519" s="15" t="s">
        <v>3776</v>
      </c>
      <c r="I4519" s="15" t="s">
        <v>1586</v>
      </c>
      <c r="J4519" s="15" t="s">
        <v>17944</v>
      </c>
      <c r="K4519" s="15">
        <v>90.0</v>
      </c>
      <c r="L4519" s="15">
        <v>90.0</v>
      </c>
      <c r="M4519" s="41">
        <v>41969.0</v>
      </c>
      <c r="N4519" s="40">
        <v>42179.0</v>
      </c>
      <c r="O4519" s="15" t="s">
        <v>1554</v>
      </c>
      <c r="Q4519" s="7"/>
    </row>
    <row r="4520">
      <c r="A4520" s="39" t="s">
        <v>17945</v>
      </c>
      <c r="B4520" s="15">
        <v>1566990.0</v>
      </c>
      <c r="C4520" s="15" t="s">
        <v>17946</v>
      </c>
      <c r="D4520" s="15">
        <v>287975.0</v>
      </c>
      <c r="E4520" s="15" t="s">
        <v>1557</v>
      </c>
      <c r="F4520" s="15" t="s">
        <v>1833</v>
      </c>
      <c r="G4520" s="7">
        <v>33.756</v>
      </c>
      <c r="H4520" s="15" t="s">
        <v>2857</v>
      </c>
      <c r="I4520" s="15" t="s">
        <v>1586</v>
      </c>
      <c r="J4520" s="15" t="s">
        <v>17947</v>
      </c>
      <c r="K4520" s="15">
        <v>50.0</v>
      </c>
      <c r="L4520" s="15">
        <v>50.0</v>
      </c>
      <c r="M4520" s="41">
        <v>41965.0</v>
      </c>
      <c r="N4520" s="40">
        <v>42179.0</v>
      </c>
      <c r="O4520" s="15" t="s">
        <v>1554</v>
      </c>
      <c r="Q4520" s="7"/>
    </row>
    <row r="4521">
      <c r="A4521" s="39" t="s">
        <v>17948</v>
      </c>
      <c r="B4521" s="15">
        <v>1560342.0</v>
      </c>
      <c r="C4521" s="15" t="s">
        <v>17949</v>
      </c>
      <c r="D4521" s="15">
        <v>287976.0</v>
      </c>
      <c r="E4521" s="15" t="s">
        <v>1557</v>
      </c>
      <c r="F4521" s="15" t="s">
        <v>1767</v>
      </c>
      <c r="G4521" s="7">
        <v>98.17</v>
      </c>
      <c r="H4521" s="15">
        <v>37.0</v>
      </c>
      <c r="I4521" s="15" t="s">
        <v>1586</v>
      </c>
      <c r="J4521" s="15" t="s">
        <v>17950</v>
      </c>
      <c r="K4521" s="15">
        <v>179.0</v>
      </c>
      <c r="L4521" s="15">
        <v>162.0</v>
      </c>
      <c r="M4521" s="40">
        <v>41951.0</v>
      </c>
      <c r="N4521" s="40">
        <v>42179.0</v>
      </c>
      <c r="O4521" s="15" t="s">
        <v>1554</v>
      </c>
      <c r="Q4521" s="7"/>
    </row>
    <row r="4522">
      <c r="A4522" s="39" t="s">
        <v>17952</v>
      </c>
      <c r="B4522" s="15">
        <v>1560313.0</v>
      </c>
      <c r="C4522" s="15" t="s">
        <v>17953</v>
      </c>
      <c r="D4522" s="15">
        <v>287977.0</v>
      </c>
      <c r="E4522" s="15" t="s">
        <v>1557</v>
      </c>
      <c r="F4522" s="15" t="s">
        <v>1833</v>
      </c>
      <c r="G4522" s="7">
        <v>130.008</v>
      </c>
      <c r="H4522" s="15" t="s">
        <v>4149</v>
      </c>
      <c r="I4522" s="15" t="s">
        <v>1586</v>
      </c>
      <c r="J4522" s="15" t="s">
        <v>17954</v>
      </c>
      <c r="K4522" s="15">
        <v>178.0</v>
      </c>
      <c r="L4522" s="15">
        <v>178.0</v>
      </c>
      <c r="M4522" s="40">
        <v>42083.0</v>
      </c>
      <c r="N4522" s="40">
        <v>42179.0</v>
      </c>
      <c r="O4522" s="15" t="s">
        <v>1554</v>
      </c>
      <c r="Q4522" s="7"/>
    </row>
    <row r="4523">
      <c r="A4523" s="39" t="s">
        <v>17955</v>
      </c>
      <c r="B4523" s="15">
        <v>1560284.0</v>
      </c>
      <c r="C4523" s="15" t="s">
        <v>17956</v>
      </c>
      <c r="D4523" s="15">
        <v>287978.0</v>
      </c>
      <c r="E4523" s="15" t="s">
        <v>1557</v>
      </c>
      <c r="F4523" s="15" t="s">
        <v>1611</v>
      </c>
      <c r="G4523" s="7">
        <v>45.169</v>
      </c>
      <c r="H4523" s="15" t="s">
        <v>2304</v>
      </c>
      <c r="I4523" s="15" t="s">
        <v>1586</v>
      </c>
      <c r="J4523" s="15" t="s">
        <v>17957</v>
      </c>
      <c r="K4523" s="15">
        <v>47.0</v>
      </c>
      <c r="L4523" s="15">
        <v>47.0</v>
      </c>
      <c r="M4523" s="40">
        <v>42125.0</v>
      </c>
      <c r="N4523" s="40">
        <v>42413.0</v>
      </c>
      <c r="O4523" s="15" t="s">
        <v>1554</v>
      </c>
      <c r="Q4523" s="7"/>
    </row>
    <row r="4524">
      <c r="A4524" s="39" t="s">
        <v>17959</v>
      </c>
      <c r="B4524" s="15">
        <v>1560283.0</v>
      </c>
      <c r="C4524" s="15" t="s">
        <v>17960</v>
      </c>
      <c r="D4524" s="15">
        <v>287979.0</v>
      </c>
      <c r="E4524" s="15" t="s">
        <v>1557</v>
      </c>
      <c r="F4524" s="15" t="s">
        <v>1611</v>
      </c>
      <c r="G4524" s="7">
        <v>43.642</v>
      </c>
      <c r="H4524" s="15" t="s">
        <v>2597</v>
      </c>
      <c r="I4524" s="15" t="s">
        <v>1586</v>
      </c>
      <c r="J4524" s="15" t="s">
        <v>17961</v>
      </c>
      <c r="K4524" s="15">
        <v>23.0</v>
      </c>
      <c r="L4524" s="15">
        <v>23.0</v>
      </c>
      <c r="M4524" s="40">
        <v>42125.0</v>
      </c>
      <c r="N4524" s="40">
        <v>42341.0</v>
      </c>
      <c r="O4524" s="15" t="s">
        <v>1554</v>
      </c>
      <c r="Q4524" s="7"/>
    </row>
    <row r="4525">
      <c r="A4525" s="39" t="s">
        <v>17962</v>
      </c>
      <c r="B4525" s="15">
        <v>1560282.0</v>
      </c>
      <c r="C4525" s="15" t="s">
        <v>17963</v>
      </c>
      <c r="D4525" s="15">
        <v>287980.0</v>
      </c>
      <c r="E4525" s="15" t="s">
        <v>1557</v>
      </c>
      <c r="F4525" s="15" t="s">
        <v>1611</v>
      </c>
      <c r="G4525" s="7">
        <v>41.48</v>
      </c>
      <c r="H4525" s="15" t="s">
        <v>2118</v>
      </c>
      <c r="I4525" s="15" t="s">
        <v>1586</v>
      </c>
      <c r="J4525" s="15" t="s">
        <v>17965</v>
      </c>
      <c r="K4525" s="15">
        <v>25.0</v>
      </c>
      <c r="L4525" s="15">
        <v>25.0</v>
      </c>
      <c r="M4525" s="40">
        <v>42125.0</v>
      </c>
      <c r="N4525" s="40">
        <v>42179.0</v>
      </c>
      <c r="O4525" s="15" t="s">
        <v>1554</v>
      </c>
      <c r="Q4525" s="7"/>
    </row>
    <row r="4526">
      <c r="A4526" s="39" t="s">
        <v>17966</v>
      </c>
      <c r="B4526" s="15">
        <v>1558469.0</v>
      </c>
      <c r="C4526" s="15" t="s">
        <v>17967</v>
      </c>
      <c r="D4526" s="15">
        <v>287981.0</v>
      </c>
      <c r="E4526" s="15" t="s">
        <v>1557</v>
      </c>
      <c r="F4526" s="15" t="s">
        <v>1611</v>
      </c>
      <c r="G4526" s="7">
        <v>39.725</v>
      </c>
      <c r="H4526" s="15" t="s">
        <v>2351</v>
      </c>
      <c r="I4526" s="15" t="s">
        <v>1586</v>
      </c>
      <c r="J4526" s="15" t="s">
        <v>17968</v>
      </c>
      <c r="K4526" s="15">
        <v>48.0</v>
      </c>
      <c r="L4526" s="15">
        <v>48.0</v>
      </c>
      <c r="M4526" s="40">
        <v>41978.0</v>
      </c>
      <c r="N4526" s="40">
        <v>42179.0</v>
      </c>
      <c r="O4526" s="15" t="s">
        <v>1554</v>
      </c>
      <c r="Q4526" s="7"/>
    </row>
    <row r="4527">
      <c r="A4527" s="39" t="s">
        <v>17969</v>
      </c>
      <c r="B4527" s="15">
        <v>1558467.0</v>
      </c>
      <c r="C4527" s="15" t="s">
        <v>17970</v>
      </c>
      <c r="D4527" s="15">
        <v>287982.0</v>
      </c>
      <c r="E4527" s="15" t="s">
        <v>1557</v>
      </c>
      <c r="F4527" s="15" t="s">
        <v>1611</v>
      </c>
      <c r="G4527" s="7">
        <v>39.53</v>
      </c>
      <c r="H4527" s="15" t="s">
        <v>3973</v>
      </c>
      <c r="I4527" s="15" t="s">
        <v>1586</v>
      </c>
      <c r="J4527" s="15" t="s">
        <v>17971</v>
      </c>
      <c r="K4527" s="15">
        <v>48.0</v>
      </c>
      <c r="L4527" s="15">
        <v>48.0</v>
      </c>
      <c r="M4527" s="40">
        <v>41978.0</v>
      </c>
      <c r="N4527" s="40">
        <v>42179.0</v>
      </c>
      <c r="O4527" s="15" t="s">
        <v>1554</v>
      </c>
      <c r="Q4527" s="7"/>
    </row>
    <row r="4528">
      <c r="A4528" s="39" t="s">
        <v>17972</v>
      </c>
      <c r="B4528" s="15">
        <v>1555238.0</v>
      </c>
      <c r="C4528" s="15" t="s">
        <v>17973</v>
      </c>
      <c r="D4528" s="15">
        <v>287983.0</v>
      </c>
      <c r="E4528" s="15" t="s">
        <v>1557</v>
      </c>
      <c r="F4528" s="15" t="s">
        <v>1767</v>
      </c>
      <c r="G4528" s="7">
        <v>88.403</v>
      </c>
      <c r="H4528" s="15" t="s">
        <v>5806</v>
      </c>
      <c r="I4528" s="15" t="s">
        <v>1586</v>
      </c>
      <c r="J4528" s="15" t="s">
        <v>17975</v>
      </c>
      <c r="K4528" s="15">
        <v>152.0</v>
      </c>
      <c r="L4528" s="15">
        <v>132.0</v>
      </c>
      <c r="M4528" s="40">
        <v>41951.0</v>
      </c>
      <c r="N4528" s="40">
        <v>42179.0</v>
      </c>
      <c r="O4528" s="15" t="s">
        <v>1554</v>
      </c>
      <c r="Q4528" s="7"/>
    </row>
    <row r="4529">
      <c r="A4529" s="39" t="s">
        <v>17976</v>
      </c>
      <c r="B4529" s="15">
        <v>1540097.0</v>
      </c>
      <c r="C4529" s="15" t="s">
        <v>17977</v>
      </c>
      <c r="D4529" s="15">
        <v>287984.0</v>
      </c>
      <c r="E4529" s="15" t="s">
        <v>1557</v>
      </c>
      <c r="F4529" s="15" t="s">
        <v>1611</v>
      </c>
      <c r="G4529" s="7">
        <v>68.365</v>
      </c>
      <c r="H4529" s="15">
        <v>36.0</v>
      </c>
      <c r="I4529" s="15" t="s">
        <v>1586</v>
      </c>
      <c r="J4529" s="15" t="s">
        <v>17978</v>
      </c>
      <c r="K4529" s="15">
        <v>89.0</v>
      </c>
      <c r="L4529" s="15">
        <v>85.0</v>
      </c>
      <c r="M4529" s="41">
        <v>41965.0</v>
      </c>
      <c r="N4529" s="40">
        <v>42179.0</v>
      </c>
      <c r="O4529" s="15" t="s">
        <v>1554</v>
      </c>
      <c r="Q4529" s="7"/>
    </row>
    <row r="4530">
      <c r="A4530" s="39" t="s">
        <v>17979</v>
      </c>
      <c r="B4530" s="15">
        <v>1540096.0</v>
      </c>
      <c r="C4530" s="15" t="s">
        <v>17980</v>
      </c>
      <c r="D4530" s="15">
        <v>287985.0</v>
      </c>
      <c r="E4530" s="15" t="s">
        <v>1557</v>
      </c>
      <c r="F4530" s="15" t="s">
        <v>1833</v>
      </c>
      <c r="G4530" s="7">
        <v>49.816</v>
      </c>
      <c r="H4530" s="15" t="s">
        <v>3255</v>
      </c>
      <c r="I4530" s="15" t="s">
        <v>1586</v>
      </c>
      <c r="J4530" s="15" t="s">
        <v>17981</v>
      </c>
      <c r="K4530" s="15">
        <v>90.0</v>
      </c>
      <c r="L4530" s="15">
        <v>90.0</v>
      </c>
      <c r="M4530" s="41">
        <v>41965.0</v>
      </c>
      <c r="N4530" s="40">
        <v>42234.0</v>
      </c>
      <c r="O4530" s="15" t="s">
        <v>1554</v>
      </c>
      <c r="Q4530" s="7"/>
    </row>
    <row r="4531">
      <c r="A4531" s="39" t="s">
        <v>17983</v>
      </c>
      <c r="B4531" s="15">
        <v>1540095.0</v>
      </c>
      <c r="C4531" s="15" t="s">
        <v>17984</v>
      </c>
      <c r="D4531" s="15">
        <v>287986.0</v>
      </c>
      <c r="E4531" s="15" t="s">
        <v>1557</v>
      </c>
      <c r="F4531" s="15" t="s">
        <v>1767</v>
      </c>
      <c r="G4531" s="7">
        <v>170.341</v>
      </c>
      <c r="H4531" s="15" t="s">
        <v>5806</v>
      </c>
      <c r="I4531" s="15" t="s">
        <v>1586</v>
      </c>
      <c r="J4531" s="15" t="s">
        <v>17985</v>
      </c>
      <c r="K4531" s="15">
        <v>306.0</v>
      </c>
      <c r="L4531" s="15">
        <v>298.0</v>
      </c>
      <c r="M4531" s="41">
        <v>41965.0</v>
      </c>
      <c r="N4531" s="40">
        <v>42179.0</v>
      </c>
      <c r="O4531" s="15" t="s">
        <v>1554</v>
      </c>
      <c r="Q4531" s="7"/>
    </row>
    <row r="4532">
      <c r="A4532" s="39" t="s">
        <v>17986</v>
      </c>
      <c r="B4532" s="15">
        <v>1536605.0</v>
      </c>
      <c r="C4532" s="15" t="s">
        <v>17987</v>
      </c>
      <c r="D4532" s="15">
        <v>287987.0</v>
      </c>
      <c r="E4532" s="15" t="s">
        <v>1557</v>
      </c>
      <c r="F4532" s="15" t="s">
        <v>1833</v>
      </c>
      <c r="G4532" s="7">
        <v>28.527</v>
      </c>
      <c r="H4532" s="15" t="s">
        <v>2699</v>
      </c>
      <c r="I4532" s="15" t="s">
        <v>1586</v>
      </c>
      <c r="J4532" s="15" t="s">
        <v>17988</v>
      </c>
      <c r="K4532" s="15">
        <v>48.0</v>
      </c>
      <c r="L4532" s="15">
        <v>48.0</v>
      </c>
      <c r="M4532" s="40">
        <v>42079.0</v>
      </c>
      <c r="N4532" s="40">
        <v>42179.0</v>
      </c>
      <c r="O4532" s="15" t="s">
        <v>1554</v>
      </c>
      <c r="Q4532" s="7"/>
    </row>
    <row r="4533">
      <c r="A4533" s="39" t="s">
        <v>17990</v>
      </c>
      <c r="B4533" s="15">
        <v>1536604.0</v>
      </c>
      <c r="C4533" s="15" t="s">
        <v>17991</v>
      </c>
      <c r="D4533" s="15">
        <v>287988.0</v>
      </c>
      <c r="E4533" s="15" t="s">
        <v>1557</v>
      </c>
      <c r="F4533" s="15" t="s">
        <v>1833</v>
      </c>
      <c r="G4533" s="7">
        <v>28.921</v>
      </c>
      <c r="H4533" s="15" t="s">
        <v>6583</v>
      </c>
      <c r="I4533" s="15" t="s">
        <v>1586</v>
      </c>
      <c r="J4533" s="15" t="s">
        <v>17992</v>
      </c>
      <c r="K4533" s="15">
        <v>45.0</v>
      </c>
      <c r="L4533" s="15">
        <v>45.0</v>
      </c>
      <c r="M4533" s="40">
        <v>42079.0</v>
      </c>
      <c r="N4533" s="40">
        <v>42179.0</v>
      </c>
      <c r="O4533" s="15" t="s">
        <v>1554</v>
      </c>
      <c r="Q4533" s="7"/>
    </row>
    <row r="4534">
      <c r="A4534" s="39" t="s">
        <v>17993</v>
      </c>
      <c r="B4534" s="15">
        <v>1536596.0</v>
      </c>
      <c r="C4534" s="15" t="s">
        <v>17994</v>
      </c>
      <c r="D4534" s="15">
        <v>287989.0</v>
      </c>
      <c r="E4534" s="15" t="s">
        <v>1557</v>
      </c>
      <c r="F4534" s="15" t="s">
        <v>1833</v>
      </c>
      <c r="G4534" s="7">
        <v>37.359</v>
      </c>
      <c r="H4534" s="15" t="s">
        <v>4117</v>
      </c>
      <c r="I4534" s="15" t="s">
        <v>1586</v>
      </c>
      <c r="J4534" s="15" t="s">
        <v>17995</v>
      </c>
      <c r="K4534" s="15">
        <v>58.0</v>
      </c>
      <c r="L4534" s="15">
        <v>58.0</v>
      </c>
      <c r="M4534" s="41">
        <v>42003.0</v>
      </c>
      <c r="N4534" s="40">
        <v>42179.0</v>
      </c>
      <c r="O4534" s="15" t="s">
        <v>1554</v>
      </c>
      <c r="Q4534" s="7"/>
    </row>
    <row r="4535">
      <c r="A4535" s="39" t="s">
        <v>17996</v>
      </c>
      <c r="B4535" s="15">
        <v>1527525.0</v>
      </c>
      <c r="C4535" s="15" t="s">
        <v>17998</v>
      </c>
      <c r="D4535" s="15">
        <v>287990.0</v>
      </c>
      <c r="E4535" s="15" t="s">
        <v>1557</v>
      </c>
      <c r="F4535" s="15" t="s">
        <v>1611</v>
      </c>
      <c r="G4535" s="7">
        <v>43.227</v>
      </c>
      <c r="H4535" s="15" t="s">
        <v>7616</v>
      </c>
      <c r="I4535" s="15" t="s">
        <v>1586</v>
      </c>
      <c r="J4535" s="15" t="s">
        <v>17999</v>
      </c>
      <c r="K4535" s="15">
        <v>54.0</v>
      </c>
      <c r="L4535" s="15">
        <v>54.0</v>
      </c>
      <c r="M4535" s="40">
        <v>42043.0</v>
      </c>
      <c r="N4535" s="40">
        <v>42179.0</v>
      </c>
      <c r="O4535" s="15" t="s">
        <v>1554</v>
      </c>
      <c r="Q4535" s="7"/>
    </row>
    <row r="4536">
      <c r="A4536" s="39" t="s">
        <v>18000</v>
      </c>
      <c r="B4536" s="15">
        <v>1524881.0</v>
      </c>
      <c r="C4536" s="15" t="s">
        <v>18001</v>
      </c>
      <c r="D4536" s="15">
        <v>287991.0</v>
      </c>
      <c r="E4536" s="15" t="s">
        <v>1557</v>
      </c>
      <c r="F4536" s="15" t="s">
        <v>1611</v>
      </c>
      <c r="G4536" s="7">
        <v>38.742</v>
      </c>
      <c r="H4536" s="15" t="s">
        <v>1844</v>
      </c>
      <c r="I4536" s="15" t="s">
        <v>1586</v>
      </c>
      <c r="J4536" s="15" t="s">
        <v>18002</v>
      </c>
      <c r="K4536" s="15">
        <v>66.0</v>
      </c>
      <c r="L4536" s="15">
        <v>66.0</v>
      </c>
      <c r="M4536" s="40">
        <v>41907.0</v>
      </c>
      <c r="N4536" s="40">
        <v>42179.0</v>
      </c>
      <c r="O4536" s="15" t="s">
        <v>1554</v>
      </c>
      <c r="Q4536" s="7"/>
    </row>
    <row r="4537">
      <c r="A4537" s="39" t="s">
        <v>18003</v>
      </c>
      <c r="B4537" s="15">
        <v>1519788.0</v>
      </c>
      <c r="C4537" s="15" t="s">
        <v>18004</v>
      </c>
      <c r="D4537" s="15">
        <v>287992.0</v>
      </c>
      <c r="E4537" s="15" t="s">
        <v>1557</v>
      </c>
      <c r="F4537" s="15" t="s">
        <v>1611</v>
      </c>
      <c r="G4537" s="7">
        <v>77.327</v>
      </c>
      <c r="H4537" s="15" t="s">
        <v>2950</v>
      </c>
      <c r="I4537" s="15" t="s">
        <v>1586</v>
      </c>
      <c r="J4537" s="15" t="s">
        <v>18005</v>
      </c>
      <c r="K4537" s="15">
        <v>125.0</v>
      </c>
      <c r="L4537" s="15">
        <v>125.0</v>
      </c>
      <c r="M4537" s="40">
        <v>42013.0</v>
      </c>
      <c r="N4537" s="40">
        <v>42179.0</v>
      </c>
      <c r="O4537" s="15" t="s">
        <v>1554</v>
      </c>
      <c r="Q4537" s="7"/>
    </row>
    <row r="4538">
      <c r="A4538" s="39" t="s">
        <v>18007</v>
      </c>
      <c r="B4538" s="15">
        <v>1498212.0</v>
      </c>
      <c r="C4538" s="15" t="s">
        <v>18008</v>
      </c>
      <c r="D4538" s="15">
        <v>287993.0</v>
      </c>
      <c r="E4538" s="15" t="s">
        <v>1557</v>
      </c>
      <c r="F4538" s="15" t="s">
        <v>1767</v>
      </c>
      <c r="G4538" s="7">
        <v>159.492</v>
      </c>
      <c r="H4538" s="15" t="s">
        <v>3000</v>
      </c>
      <c r="I4538" s="15" t="s">
        <v>1586</v>
      </c>
      <c r="J4538" s="15" t="s">
        <v>18009</v>
      </c>
      <c r="K4538" s="15">
        <v>220.0</v>
      </c>
      <c r="L4538" s="15">
        <v>201.0</v>
      </c>
      <c r="M4538" s="40">
        <v>42108.0</v>
      </c>
      <c r="N4538" s="40">
        <v>42311.0</v>
      </c>
      <c r="O4538" s="15" t="s">
        <v>1554</v>
      </c>
      <c r="Q4538" s="7"/>
    </row>
    <row r="4539">
      <c r="A4539" s="39" t="s">
        <v>18010</v>
      </c>
      <c r="B4539" s="15">
        <v>1434323.0</v>
      </c>
      <c r="C4539" s="15" t="s">
        <v>18011</v>
      </c>
      <c r="D4539" s="15">
        <v>287994.0</v>
      </c>
      <c r="E4539" s="15" t="s">
        <v>1557</v>
      </c>
      <c r="F4539" s="15" t="s">
        <v>1767</v>
      </c>
      <c r="G4539" s="7">
        <v>166.977</v>
      </c>
      <c r="H4539" s="15" t="s">
        <v>2103</v>
      </c>
      <c r="I4539" s="15" t="s">
        <v>1586</v>
      </c>
      <c r="J4539" s="15" t="s">
        <v>18012</v>
      </c>
      <c r="K4539" s="15">
        <v>257.0</v>
      </c>
      <c r="L4539" s="15">
        <v>255.0</v>
      </c>
      <c r="M4539" s="41">
        <v>41973.0</v>
      </c>
      <c r="N4539" s="40">
        <v>42179.0</v>
      </c>
      <c r="O4539" s="15" t="s">
        <v>1554</v>
      </c>
      <c r="Q4539" s="7"/>
    </row>
    <row r="4540">
      <c r="A4540" s="39" t="s">
        <v>18014</v>
      </c>
      <c r="B4540" s="15">
        <v>1357704.0</v>
      </c>
      <c r="C4540" s="15" t="s">
        <v>18015</v>
      </c>
      <c r="D4540" s="15">
        <v>287995.0</v>
      </c>
      <c r="E4540" s="15" t="s">
        <v>1557</v>
      </c>
      <c r="F4540" s="15" t="s">
        <v>1611</v>
      </c>
      <c r="G4540" s="7">
        <v>41.268</v>
      </c>
      <c r="H4540" s="15" t="s">
        <v>1912</v>
      </c>
      <c r="I4540" s="15" t="s">
        <v>1586</v>
      </c>
      <c r="J4540" s="15" t="s">
        <v>18016</v>
      </c>
      <c r="K4540" s="15">
        <v>46.0</v>
      </c>
      <c r="L4540" s="15">
        <v>46.0</v>
      </c>
      <c r="M4540" s="41">
        <v>42000.0</v>
      </c>
      <c r="N4540" s="40">
        <v>42284.0</v>
      </c>
      <c r="O4540" s="15" t="s">
        <v>1554</v>
      </c>
      <c r="Q4540" s="7"/>
    </row>
    <row r="4541">
      <c r="A4541" s="39" t="s">
        <v>18017</v>
      </c>
      <c r="B4541" s="15">
        <v>1225789.0</v>
      </c>
      <c r="C4541" s="15" t="s">
        <v>18018</v>
      </c>
      <c r="D4541" s="15">
        <v>287996.0</v>
      </c>
      <c r="E4541" s="15" t="s">
        <v>1557</v>
      </c>
      <c r="F4541" s="15" t="s">
        <v>1767</v>
      </c>
      <c r="G4541" s="7">
        <v>38.389</v>
      </c>
      <c r="H4541" s="15" t="s">
        <v>1802</v>
      </c>
      <c r="I4541" s="15" t="s">
        <v>1586</v>
      </c>
      <c r="J4541" s="15" t="s">
        <v>18019</v>
      </c>
      <c r="K4541" s="15">
        <v>68.0</v>
      </c>
      <c r="L4541" s="15">
        <v>65.0</v>
      </c>
      <c r="M4541" s="40">
        <v>41334.0</v>
      </c>
      <c r="N4541" s="40">
        <v>42179.0</v>
      </c>
      <c r="O4541" s="15" t="s">
        <v>1554</v>
      </c>
      <c r="Q4541" s="7"/>
    </row>
    <row r="4542">
      <c r="A4542" s="39" t="s">
        <v>18020</v>
      </c>
      <c r="B4542" s="15">
        <v>1197935.0</v>
      </c>
      <c r="C4542" s="15" t="s">
        <v>18021</v>
      </c>
      <c r="D4542" s="15">
        <v>287997.0</v>
      </c>
      <c r="E4542" s="15" t="s">
        <v>1557</v>
      </c>
      <c r="F4542" s="15" t="s">
        <v>1767</v>
      </c>
      <c r="G4542" s="7">
        <v>87.603</v>
      </c>
      <c r="H4542" s="15" t="s">
        <v>5806</v>
      </c>
      <c r="I4542" s="15" t="s">
        <v>1586</v>
      </c>
      <c r="J4542" s="15" t="s">
        <v>18023</v>
      </c>
      <c r="K4542" s="15">
        <v>188.0</v>
      </c>
      <c r="L4542" s="15">
        <v>147.0</v>
      </c>
      <c r="M4542" s="40">
        <v>41312.0</v>
      </c>
      <c r="N4542" s="40">
        <v>42507.0</v>
      </c>
      <c r="O4542" s="15" t="s">
        <v>1554</v>
      </c>
      <c r="Q4542" s="7"/>
    </row>
    <row r="4543">
      <c r="A4543" s="39" t="s">
        <v>18024</v>
      </c>
      <c r="B4543" s="15">
        <v>1129192.0</v>
      </c>
      <c r="C4543" s="15" t="s">
        <v>18025</v>
      </c>
      <c r="D4543" s="15">
        <v>287998.0</v>
      </c>
      <c r="E4543" s="15" t="s">
        <v>1557</v>
      </c>
      <c r="F4543" s="15" t="s">
        <v>1767</v>
      </c>
      <c r="G4543" s="7">
        <v>159.071</v>
      </c>
      <c r="H4543" s="15" t="s">
        <v>6418</v>
      </c>
      <c r="I4543" s="15" t="s">
        <v>1586</v>
      </c>
      <c r="J4543" s="15" t="s">
        <v>18026</v>
      </c>
      <c r="K4543" s="15">
        <v>238.0</v>
      </c>
      <c r="L4543" s="15">
        <v>220.0</v>
      </c>
      <c r="M4543" s="40">
        <v>42108.0</v>
      </c>
      <c r="N4543" s="40">
        <v>42309.0</v>
      </c>
      <c r="O4543" s="15" t="s">
        <v>1554</v>
      </c>
      <c r="Q4543" s="7"/>
    </row>
    <row r="4544">
      <c r="A4544" s="39" t="s">
        <v>18027</v>
      </c>
      <c r="B4544" s="15">
        <v>1097753.0</v>
      </c>
      <c r="C4544" s="15" t="s">
        <v>18028</v>
      </c>
      <c r="D4544" s="15">
        <v>287999.0</v>
      </c>
      <c r="E4544" s="15" t="s">
        <v>1557</v>
      </c>
      <c r="F4544" s="15" t="s">
        <v>1833</v>
      </c>
      <c r="G4544" s="7">
        <v>58.076</v>
      </c>
      <c r="H4544" s="15">
        <v>68.0</v>
      </c>
      <c r="I4544" s="15" t="s">
        <v>1586</v>
      </c>
      <c r="J4544" s="15" t="s">
        <v>18030</v>
      </c>
      <c r="K4544" s="15">
        <v>95.0</v>
      </c>
      <c r="L4544" s="15">
        <v>94.0</v>
      </c>
      <c r="M4544" s="41">
        <v>40847.0</v>
      </c>
      <c r="N4544" s="40">
        <v>43003.0</v>
      </c>
      <c r="O4544" s="15" t="s">
        <v>1554</v>
      </c>
      <c r="Q4544" s="7"/>
    </row>
    <row r="4545">
      <c r="A4545" s="39" t="s">
        <v>18031</v>
      </c>
      <c r="B4545" s="15">
        <v>1090134.0</v>
      </c>
      <c r="C4545" s="15" t="s">
        <v>18032</v>
      </c>
      <c r="D4545" s="15">
        <v>288000.0</v>
      </c>
      <c r="E4545" s="15" t="s">
        <v>1557</v>
      </c>
      <c r="F4545" s="15" t="s">
        <v>1767</v>
      </c>
      <c r="G4545" s="7">
        <v>240.413</v>
      </c>
      <c r="H4545" s="15" t="s">
        <v>4736</v>
      </c>
      <c r="I4545" s="15" t="s">
        <v>1586</v>
      </c>
      <c r="J4545" s="15" t="s">
        <v>18033</v>
      </c>
      <c r="K4545" s="15">
        <v>266.0</v>
      </c>
      <c r="L4545" s="15">
        <v>264.0</v>
      </c>
      <c r="M4545" s="40">
        <v>40825.0</v>
      </c>
      <c r="N4545" s="40">
        <v>42179.0</v>
      </c>
      <c r="O4545" s="15" t="s">
        <v>1554</v>
      </c>
      <c r="Q4545" s="7"/>
    </row>
    <row r="4546">
      <c r="A4546" s="39" t="s">
        <v>18034</v>
      </c>
      <c r="B4546" s="15">
        <v>1500817.0</v>
      </c>
      <c r="D4546" s="15">
        <v>0.0</v>
      </c>
      <c r="E4546" s="15" t="s">
        <v>1557</v>
      </c>
      <c r="F4546" s="15" t="s">
        <v>1833</v>
      </c>
      <c r="G4546" s="7">
        <v>29.396</v>
      </c>
      <c r="H4546" s="15">
        <v>54.0</v>
      </c>
      <c r="I4546" s="15" t="s">
        <v>1586</v>
      </c>
      <c r="J4546" s="15" t="s">
        <v>18035</v>
      </c>
      <c r="K4546" s="15">
        <v>46.0</v>
      </c>
      <c r="L4546" s="15">
        <v>46.0</v>
      </c>
      <c r="M4546" s="40">
        <v>42114.0</v>
      </c>
      <c r="N4546" s="40">
        <v>42114.0</v>
      </c>
      <c r="O4546" s="15" t="s">
        <v>1554</v>
      </c>
      <c r="Q4546" s="7"/>
    </row>
    <row r="4547">
      <c r="A4547" s="39" t="s">
        <v>18037</v>
      </c>
      <c r="B4547" s="15">
        <v>1500812.0</v>
      </c>
      <c r="C4547" s="15" t="s">
        <v>18038</v>
      </c>
      <c r="D4547" s="15">
        <v>288016.0</v>
      </c>
      <c r="E4547" s="15" t="s">
        <v>1557</v>
      </c>
      <c r="F4547" s="15" t="s">
        <v>1833</v>
      </c>
      <c r="G4547" s="7">
        <v>29.454</v>
      </c>
      <c r="H4547" s="15" t="s">
        <v>2271</v>
      </c>
      <c r="I4547" s="15" t="s">
        <v>1586</v>
      </c>
      <c r="J4547" s="15" t="s">
        <v>18039</v>
      </c>
      <c r="K4547" s="15">
        <v>44.0</v>
      </c>
      <c r="L4547" s="15">
        <v>44.0</v>
      </c>
      <c r="M4547" s="40">
        <v>42114.0</v>
      </c>
      <c r="N4547" s="40">
        <v>42179.0</v>
      </c>
      <c r="O4547" s="15" t="s">
        <v>1554</v>
      </c>
      <c r="Q4547" s="7"/>
    </row>
    <row r="4548">
      <c r="A4548" s="39" t="s">
        <v>18040</v>
      </c>
      <c r="B4548" s="15">
        <v>1220714.0</v>
      </c>
      <c r="C4548" s="15" t="s">
        <v>18041</v>
      </c>
      <c r="D4548" s="15">
        <v>287857.0</v>
      </c>
      <c r="E4548" s="15" t="s">
        <v>1557</v>
      </c>
      <c r="F4548" s="15" t="s">
        <v>1767</v>
      </c>
      <c r="G4548" s="7">
        <v>53.721</v>
      </c>
      <c r="H4548" s="15" t="s">
        <v>2131</v>
      </c>
      <c r="I4548" s="15" t="s">
        <v>1586</v>
      </c>
      <c r="J4548" s="15" t="s">
        <v>18042</v>
      </c>
      <c r="K4548" s="15">
        <v>82.0</v>
      </c>
      <c r="L4548" s="15">
        <v>82.0</v>
      </c>
      <c r="M4548" s="40">
        <v>41290.0</v>
      </c>
      <c r="N4548" s="40">
        <v>42179.0</v>
      </c>
      <c r="O4548" s="15" t="s">
        <v>1554</v>
      </c>
      <c r="Q4548" s="7"/>
    </row>
    <row r="4549">
      <c r="A4549" s="39" t="s">
        <v>18043</v>
      </c>
      <c r="B4549" s="15">
        <v>1500808.0</v>
      </c>
      <c r="C4549" s="15" t="s">
        <v>18044</v>
      </c>
      <c r="D4549" s="15">
        <v>288017.0</v>
      </c>
      <c r="E4549" s="15" t="s">
        <v>1557</v>
      </c>
      <c r="F4549" s="15" t="s">
        <v>1833</v>
      </c>
      <c r="G4549" s="7">
        <v>29.491</v>
      </c>
      <c r="H4549" s="15" t="s">
        <v>6085</v>
      </c>
      <c r="I4549" s="15" t="s">
        <v>1586</v>
      </c>
      <c r="J4549" s="15" t="s">
        <v>18046</v>
      </c>
      <c r="K4549" s="15">
        <v>47.0</v>
      </c>
      <c r="L4549" s="15">
        <v>47.0</v>
      </c>
      <c r="M4549" s="40">
        <v>42114.0</v>
      </c>
      <c r="N4549" s="40">
        <v>42179.0</v>
      </c>
      <c r="O4549" s="15" t="s">
        <v>1554</v>
      </c>
      <c r="Q4549" s="7"/>
    </row>
    <row r="4550">
      <c r="A4550" s="39" t="s">
        <v>18047</v>
      </c>
      <c r="B4550" s="15">
        <v>1500806.0</v>
      </c>
      <c r="D4550" s="15">
        <v>0.0</v>
      </c>
      <c r="E4550" s="15" t="s">
        <v>1557</v>
      </c>
      <c r="F4550" s="15" t="s">
        <v>1833</v>
      </c>
      <c r="G4550" s="7">
        <v>29.386</v>
      </c>
      <c r="H4550" s="15" t="s">
        <v>5663</v>
      </c>
      <c r="I4550" s="15" t="s">
        <v>1586</v>
      </c>
      <c r="J4550" s="15" t="s">
        <v>18048</v>
      </c>
      <c r="K4550" s="15">
        <v>46.0</v>
      </c>
      <c r="L4550" s="15">
        <v>46.0</v>
      </c>
      <c r="M4550" s="40">
        <v>42114.0</v>
      </c>
      <c r="N4550" s="40">
        <v>42114.0</v>
      </c>
      <c r="O4550" s="15" t="s">
        <v>1554</v>
      </c>
      <c r="Q4550" s="7"/>
    </row>
    <row r="4551">
      <c r="A4551" s="39" t="s">
        <v>18049</v>
      </c>
      <c r="B4551" s="15">
        <v>1500803.0</v>
      </c>
      <c r="D4551" s="15">
        <v>0.0</v>
      </c>
      <c r="E4551" s="15" t="s">
        <v>1557</v>
      </c>
      <c r="F4551" s="15" t="s">
        <v>1833</v>
      </c>
      <c r="G4551" s="7">
        <v>29.424</v>
      </c>
      <c r="H4551" s="15" t="s">
        <v>4204</v>
      </c>
      <c r="I4551" s="15" t="s">
        <v>1586</v>
      </c>
      <c r="J4551" s="15" t="s">
        <v>18050</v>
      </c>
      <c r="K4551" s="15">
        <v>46.0</v>
      </c>
      <c r="L4551" s="15">
        <v>46.0</v>
      </c>
      <c r="M4551" s="40">
        <v>42114.0</v>
      </c>
      <c r="N4551" s="40">
        <v>42114.0</v>
      </c>
      <c r="O4551" s="15" t="s">
        <v>1554</v>
      </c>
      <c r="Q4551" s="7"/>
    </row>
    <row r="4552">
      <c r="A4552" s="39" t="s">
        <v>18052</v>
      </c>
      <c r="B4552" s="15">
        <v>1500802.0</v>
      </c>
      <c r="C4552" s="15" t="s">
        <v>18053</v>
      </c>
      <c r="D4552" s="15">
        <v>288021.0</v>
      </c>
      <c r="E4552" s="15" t="s">
        <v>1557</v>
      </c>
      <c r="F4552" s="15" t="s">
        <v>1833</v>
      </c>
      <c r="G4552" s="7">
        <v>29.264</v>
      </c>
      <c r="H4552" s="15" t="s">
        <v>5483</v>
      </c>
      <c r="I4552" s="15" t="s">
        <v>1586</v>
      </c>
      <c r="J4552" s="15" t="s">
        <v>18054</v>
      </c>
      <c r="K4552" s="15">
        <v>45.0</v>
      </c>
      <c r="L4552" s="15">
        <v>45.0</v>
      </c>
      <c r="M4552" s="40">
        <v>42114.0</v>
      </c>
      <c r="N4552" s="40">
        <v>42179.0</v>
      </c>
      <c r="O4552" s="15" t="s">
        <v>1554</v>
      </c>
      <c r="Q4552" s="7"/>
    </row>
    <row r="4553">
      <c r="A4553" s="39" t="s">
        <v>18055</v>
      </c>
      <c r="B4553" s="15">
        <v>1500800.0</v>
      </c>
      <c r="C4553" s="15" t="s">
        <v>18056</v>
      </c>
      <c r="D4553" s="15">
        <v>288023.0</v>
      </c>
      <c r="E4553" s="15" t="s">
        <v>1557</v>
      </c>
      <c r="F4553" s="15" t="s">
        <v>1833</v>
      </c>
      <c r="G4553" s="7">
        <v>29.423</v>
      </c>
      <c r="H4553" s="15" t="s">
        <v>4204</v>
      </c>
      <c r="I4553" s="15" t="s">
        <v>1586</v>
      </c>
      <c r="J4553" s="15" t="s">
        <v>18057</v>
      </c>
      <c r="K4553" s="15">
        <v>45.0</v>
      </c>
      <c r="L4553" s="15">
        <v>45.0</v>
      </c>
      <c r="M4553" s="40">
        <v>42114.0</v>
      </c>
      <c r="N4553" s="40">
        <v>42179.0</v>
      </c>
      <c r="O4553" s="15" t="s">
        <v>1554</v>
      </c>
      <c r="Q4553" s="7"/>
    </row>
    <row r="4554">
      <c r="A4554" s="39" t="s">
        <v>18058</v>
      </c>
      <c r="B4554" s="15">
        <v>1567022.0</v>
      </c>
      <c r="C4554" s="15" t="s">
        <v>18060</v>
      </c>
      <c r="D4554" s="15">
        <v>288026.0</v>
      </c>
      <c r="E4554" s="15" t="s">
        <v>1557</v>
      </c>
      <c r="F4554" s="15" t="s">
        <v>1767</v>
      </c>
      <c r="G4554" s="7">
        <v>37.146</v>
      </c>
      <c r="H4554" s="15" t="s">
        <v>5179</v>
      </c>
      <c r="I4554" s="15" t="s">
        <v>1586</v>
      </c>
      <c r="J4554" s="15" t="s">
        <v>18061</v>
      </c>
      <c r="K4554" s="15">
        <v>55.0</v>
      </c>
      <c r="L4554" s="15">
        <v>55.0</v>
      </c>
      <c r="M4554" s="40">
        <v>42065.0</v>
      </c>
      <c r="N4554" s="40">
        <v>42179.0</v>
      </c>
      <c r="O4554" s="15" t="s">
        <v>1554</v>
      </c>
      <c r="Q4554" s="7"/>
    </row>
    <row r="4555">
      <c r="A4555" s="39" t="s">
        <v>18062</v>
      </c>
      <c r="B4555" s="15">
        <v>1671382.0</v>
      </c>
      <c r="C4555" s="15" t="s">
        <v>18063</v>
      </c>
      <c r="D4555" s="15">
        <v>288349.0</v>
      </c>
      <c r="E4555" s="15" t="s">
        <v>1548</v>
      </c>
      <c r="F4555" s="15" t="s">
        <v>1848</v>
      </c>
      <c r="G4555" s="7">
        <v>7.025</v>
      </c>
      <c r="H4555" s="15" t="s">
        <v>6070</v>
      </c>
      <c r="I4555" s="15" t="s">
        <v>1686</v>
      </c>
      <c r="J4555" s="15" t="s">
        <v>18064</v>
      </c>
      <c r="K4555" s="15">
        <v>3.0</v>
      </c>
      <c r="L4555" s="15">
        <v>3.0</v>
      </c>
      <c r="M4555" s="40">
        <v>42178.0</v>
      </c>
      <c r="N4555" s="40">
        <v>42184.0</v>
      </c>
      <c r="O4555" s="15" t="s">
        <v>1554</v>
      </c>
      <c r="Q4555" s="7"/>
    </row>
    <row r="4556">
      <c r="A4556" s="39" t="s">
        <v>18065</v>
      </c>
      <c r="B4556" s="15">
        <v>1670975.0</v>
      </c>
      <c r="C4556" s="15" t="s">
        <v>18066</v>
      </c>
      <c r="D4556" s="15">
        <v>288352.0</v>
      </c>
      <c r="E4556" s="15" t="s">
        <v>1638</v>
      </c>
      <c r="F4556" s="15" t="s">
        <v>1578</v>
      </c>
      <c r="G4556" s="7">
        <v>2.903</v>
      </c>
      <c r="H4556" s="15" t="s">
        <v>5273</v>
      </c>
      <c r="I4556" s="15" t="s">
        <v>1552</v>
      </c>
      <c r="J4556" s="15" t="s">
        <v>18068</v>
      </c>
      <c r="K4556" s="15">
        <v>2.0</v>
      </c>
      <c r="L4556" s="15">
        <v>2.0</v>
      </c>
      <c r="M4556" s="40">
        <v>42177.0</v>
      </c>
      <c r="N4556" s="40">
        <v>42241.0</v>
      </c>
      <c r="O4556" s="15" t="s">
        <v>1554</v>
      </c>
      <c r="Q4556" s="7"/>
    </row>
    <row r="4557">
      <c r="A4557" s="39" t="s">
        <v>18069</v>
      </c>
      <c r="B4557" s="15">
        <v>1667384.0</v>
      </c>
      <c r="C4557" s="15" t="s">
        <v>18070</v>
      </c>
      <c r="D4557" s="15">
        <v>288492.0</v>
      </c>
      <c r="E4557" s="15" t="s">
        <v>10405</v>
      </c>
      <c r="F4557" s="15" t="s">
        <v>10411</v>
      </c>
      <c r="G4557" s="7">
        <v>0.351</v>
      </c>
      <c r="H4557" s="15">
        <v>59.0</v>
      </c>
      <c r="I4557" s="15" t="s">
        <v>1628</v>
      </c>
      <c r="J4557" s="15" t="s">
        <v>18071</v>
      </c>
      <c r="K4557" s="15" t="s">
        <v>1722</v>
      </c>
      <c r="L4557" s="15" t="s">
        <v>1722</v>
      </c>
      <c r="M4557" s="40">
        <v>42175.0</v>
      </c>
      <c r="N4557" s="40">
        <v>42185.0</v>
      </c>
      <c r="O4557" s="15" t="s">
        <v>1554</v>
      </c>
      <c r="Q4557" s="7"/>
    </row>
    <row r="4558">
      <c r="A4558" s="39" t="s">
        <v>18072</v>
      </c>
      <c r="B4558" s="15">
        <v>1507725.0</v>
      </c>
      <c r="C4558" s="15" t="s">
        <v>18073</v>
      </c>
      <c r="D4558" s="15">
        <v>288495.0</v>
      </c>
      <c r="E4558" s="15" t="s">
        <v>2014</v>
      </c>
      <c r="F4558" s="15" t="s">
        <v>1578</v>
      </c>
      <c r="G4558" s="7">
        <v>1.375</v>
      </c>
      <c r="H4558" s="15" t="s">
        <v>1559</v>
      </c>
      <c r="I4558" s="15" t="s">
        <v>1628</v>
      </c>
      <c r="J4558" s="15" t="s">
        <v>18075</v>
      </c>
      <c r="K4558" s="15">
        <v>1.0</v>
      </c>
      <c r="L4558" s="15">
        <v>1.0</v>
      </c>
      <c r="M4558" s="40">
        <v>42168.0</v>
      </c>
      <c r="N4558" s="40">
        <v>42185.0</v>
      </c>
      <c r="O4558" s="15" t="s">
        <v>1554</v>
      </c>
      <c r="Q4558" s="7"/>
    </row>
    <row r="4559">
      <c r="A4559" s="39" t="s">
        <v>18076</v>
      </c>
      <c r="B4559" s="15">
        <v>1670973.0</v>
      </c>
      <c r="C4559" s="15" t="s">
        <v>18077</v>
      </c>
      <c r="D4559" s="15">
        <v>288496.0</v>
      </c>
      <c r="E4559" s="15" t="s">
        <v>1808</v>
      </c>
      <c r="F4559" s="15" t="s">
        <v>1998</v>
      </c>
      <c r="G4559" s="7">
        <v>2.218</v>
      </c>
      <c r="H4559" s="15" t="s">
        <v>4821</v>
      </c>
      <c r="I4559" s="15" t="s">
        <v>1686</v>
      </c>
      <c r="J4559" s="15" t="s">
        <v>18078</v>
      </c>
      <c r="K4559" s="15">
        <v>3.0</v>
      </c>
      <c r="L4559" s="15">
        <v>3.0</v>
      </c>
      <c r="M4559" s="40">
        <v>42178.0</v>
      </c>
      <c r="N4559" s="40">
        <v>42185.0</v>
      </c>
      <c r="O4559" s="15" t="s">
        <v>1554</v>
      </c>
      <c r="Q4559" s="7"/>
    </row>
    <row r="4560">
      <c r="A4560" s="39" t="s">
        <v>18079</v>
      </c>
      <c r="B4560" s="15">
        <v>1670662.0</v>
      </c>
      <c r="C4560" s="15" t="s">
        <v>18080</v>
      </c>
      <c r="D4560" s="15">
        <v>288497.0</v>
      </c>
      <c r="E4560" s="15" t="s">
        <v>1808</v>
      </c>
      <c r="F4560" s="15" t="s">
        <v>2436</v>
      </c>
      <c r="G4560" s="7">
        <v>4.59</v>
      </c>
      <c r="H4560" s="15">
        <v>49.0</v>
      </c>
      <c r="I4560" s="15" t="s">
        <v>1686</v>
      </c>
      <c r="J4560" s="15" t="s">
        <v>18081</v>
      </c>
      <c r="K4560" s="15">
        <v>3.0</v>
      </c>
      <c r="L4560" s="15">
        <v>3.0</v>
      </c>
      <c r="M4560" s="40">
        <v>42177.0</v>
      </c>
      <c r="N4560" s="40">
        <v>42185.0</v>
      </c>
      <c r="O4560" s="15" t="s">
        <v>1554</v>
      </c>
      <c r="Q4560" s="7"/>
    </row>
    <row r="4561">
      <c r="A4561" s="39" t="s">
        <v>18083</v>
      </c>
      <c r="B4561" s="15">
        <v>1678208.0</v>
      </c>
      <c r="C4561" s="15" t="s">
        <v>18084</v>
      </c>
      <c r="D4561" s="15">
        <v>290094.0</v>
      </c>
      <c r="E4561" s="15" t="s">
        <v>1577</v>
      </c>
      <c r="F4561" s="15" t="s">
        <v>1578</v>
      </c>
      <c r="G4561" s="7">
        <v>7.596</v>
      </c>
      <c r="H4561" s="15" t="s">
        <v>2279</v>
      </c>
      <c r="I4561" s="15" t="s">
        <v>1552</v>
      </c>
      <c r="J4561" s="15" t="s">
        <v>18085</v>
      </c>
      <c r="K4561" s="15">
        <v>2.0</v>
      </c>
      <c r="L4561" s="15">
        <v>2.0</v>
      </c>
      <c r="M4561" s="40">
        <v>42192.0</v>
      </c>
      <c r="N4561" s="40">
        <v>42241.0</v>
      </c>
      <c r="O4561" s="15" t="s">
        <v>1554</v>
      </c>
      <c r="Q4561" s="7"/>
    </row>
    <row r="4562">
      <c r="A4562" s="39" t="s">
        <v>18086</v>
      </c>
      <c r="B4562" s="15">
        <v>1679238.0</v>
      </c>
      <c r="C4562" s="15" t="s">
        <v>18087</v>
      </c>
      <c r="D4562" s="15">
        <v>290353.0</v>
      </c>
      <c r="E4562" s="15" t="s">
        <v>1638</v>
      </c>
      <c r="F4562" s="15" t="s">
        <v>2508</v>
      </c>
      <c r="G4562" s="7">
        <v>11.804</v>
      </c>
      <c r="H4562" s="15" t="s">
        <v>18088</v>
      </c>
      <c r="I4562" s="15" t="s">
        <v>1552</v>
      </c>
      <c r="J4562" s="15" t="s">
        <v>18089</v>
      </c>
      <c r="K4562" s="15">
        <v>4.0</v>
      </c>
      <c r="L4562" s="15">
        <v>4.0</v>
      </c>
      <c r="M4562" s="40">
        <v>42198.0</v>
      </c>
      <c r="N4562" s="41">
        <v>42724.0</v>
      </c>
      <c r="O4562" s="15" t="s">
        <v>1554</v>
      </c>
      <c r="Q4562" s="7"/>
    </row>
    <row r="4563">
      <c r="A4563" s="39" t="s">
        <v>18090</v>
      </c>
      <c r="B4563" s="15">
        <v>1682340.0</v>
      </c>
      <c r="C4563" s="15" t="s">
        <v>18091</v>
      </c>
      <c r="D4563" s="15">
        <v>289889.0</v>
      </c>
      <c r="E4563" s="15" t="s">
        <v>1557</v>
      </c>
      <c r="F4563" s="15" t="s">
        <v>1822</v>
      </c>
      <c r="G4563" s="7">
        <v>7.291</v>
      </c>
      <c r="H4563" s="15" t="s">
        <v>2396</v>
      </c>
      <c r="I4563" s="15" t="s">
        <v>1567</v>
      </c>
      <c r="J4563" s="15" t="s">
        <v>18093</v>
      </c>
      <c r="K4563" s="15">
        <v>7.0</v>
      </c>
      <c r="L4563" s="15">
        <v>7.0</v>
      </c>
      <c r="M4563" s="40">
        <v>42197.0</v>
      </c>
      <c r="N4563" s="40">
        <v>42205.0</v>
      </c>
      <c r="O4563" s="15" t="s">
        <v>1554</v>
      </c>
      <c r="Q4563" s="7"/>
    </row>
    <row r="4564">
      <c r="A4564" s="39" t="s">
        <v>18094</v>
      </c>
      <c r="B4564" s="15">
        <v>1679933.0</v>
      </c>
      <c r="C4564" s="15" t="s">
        <v>18095</v>
      </c>
      <c r="D4564" s="15">
        <v>290310.0</v>
      </c>
      <c r="E4564" s="15" t="s">
        <v>1557</v>
      </c>
      <c r="F4564" s="15" t="s">
        <v>2004</v>
      </c>
      <c r="G4564" s="7">
        <v>5.318</v>
      </c>
      <c r="H4564" s="15" t="s">
        <v>2864</v>
      </c>
      <c r="I4564" s="15" t="s">
        <v>1686</v>
      </c>
      <c r="J4564" s="15" t="s">
        <v>18096</v>
      </c>
      <c r="K4564" s="15">
        <v>8.0</v>
      </c>
      <c r="L4564" s="15">
        <v>8.0</v>
      </c>
      <c r="M4564" s="40">
        <v>42199.0</v>
      </c>
      <c r="N4564" s="40">
        <v>42261.0</v>
      </c>
      <c r="O4564" s="15" t="s">
        <v>1554</v>
      </c>
      <c r="Q4564" s="7"/>
    </row>
    <row r="4565">
      <c r="A4565" s="39" t="s">
        <v>18097</v>
      </c>
      <c r="B4565" s="15">
        <v>1679172.0</v>
      </c>
      <c r="C4565" s="15" t="s">
        <v>18098</v>
      </c>
      <c r="D4565" s="15">
        <v>290354.0</v>
      </c>
      <c r="E4565" s="15" t="s">
        <v>1638</v>
      </c>
      <c r="F4565" s="15" t="s">
        <v>1863</v>
      </c>
      <c r="G4565" s="7">
        <v>17.899</v>
      </c>
      <c r="H4565" s="15" t="s">
        <v>18099</v>
      </c>
      <c r="I4565" s="15" t="s">
        <v>1560</v>
      </c>
      <c r="J4565" s="15" t="s">
        <v>18100</v>
      </c>
      <c r="K4565" s="15">
        <v>12.0</v>
      </c>
      <c r="L4565" s="15">
        <v>12.0</v>
      </c>
      <c r="M4565" s="40">
        <v>42198.0</v>
      </c>
      <c r="N4565" s="40">
        <v>42205.0</v>
      </c>
      <c r="O4565" s="15" t="s">
        <v>1554</v>
      </c>
      <c r="Q4565" s="7"/>
    </row>
    <row r="4566">
      <c r="A4566" s="39" t="s">
        <v>18102</v>
      </c>
      <c r="B4566" s="15">
        <v>40067.0</v>
      </c>
      <c r="C4566" s="15" t="s">
        <v>18103</v>
      </c>
      <c r="D4566" s="15">
        <v>290067.0</v>
      </c>
      <c r="E4566" s="15" t="s">
        <v>1638</v>
      </c>
      <c r="F4566" s="15" t="s">
        <v>1863</v>
      </c>
      <c r="G4566" s="7">
        <v>18.009</v>
      </c>
      <c r="H4566" s="15" t="s">
        <v>18104</v>
      </c>
      <c r="I4566" s="15" t="s">
        <v>1560</v>
      </c>
      <c r="J4566" s="15" t="s">
        <v>18105</v>
      </c>
      <c r="K4566" s="15">
        <v>12.0</v>
      </c>
      <c r="L4566" s="15">
        <v>12.0</v>
      </c>
      <c r="M4566" s="40">
        <v>42198.0</v>
      </c>
      <c r="N4566" s="40">
        <v>42205.0</v>
      </c>
      <c r="O4566" s="15" t="s">
        <v>1554</v>
      </c>
      <c r="Q4566" s="7"/>
    </row>
    <row r="4567">
      <c r="A4567" s="39" t="s">
        <v>18106</v>
      </c>
      <c r="B4567" s="15">
        <v>40065.0</v>
      </c>
      <c r="C4567" s="15" t="s">
        <v>18107</v>
      </c>
      <c r="D4567" s="15">
        <v>290352.0</v>
      </c>
      <c r="E4567" s="15" t="s">
        <v>1638</v>
      </c>
      <c r="F4567" s="15" t="s">
        <v>1863</v>
      </c>
      <c r="G4567" s="7">
        <v>17.91</v>
      </c>
      <c r="H4567" s="15" t="s">
        <v>18108</v>
      </c>
      <c r="I4567" s="15" t="s">
        <v>1560</v>
      </c>
      <c r="J4567" s="15" t="s">
        <v>18109</v>
      </c>
      <c r="K4567" s="15">
        <v>12.0</v>
      </c>
      <c r="L4567" s="15">
        <v>12.0</v>
      </c>
      <c r="M4567" s="40">
        <v>42198.0</v>
      </c>
      <c r="N4567" s="40">
        <v>42205.0</v>
      </c>
      <c r="O4567" s="15" t="s">
        <v>1554</v>
      </c>
      <c r="Q4567" s="7"/>
    </row>
    <row r="4568">
      <c r="A4568" s="39" t="s">
        <v>18110</v>
      </c>
      <c r="B4568" s="15">
        <v>1236400.0</v>
      </c>
      <c r="C4568" s="15" t="s">
        <v>18112</v>
      </c>
      <c r="D4568" s="15">
        <v>290360.0</v>
      </c>
      <c r="E4568" s="15" t="s">
        <v>1557</v>
      </c>
      <c r="F4568" s="15" t="s">
        <v>2004</v>
      </c>
      <c r="G4568" s="7">
        <v>5.159</v>
      </c>
      <c r="H4568" s="15" t="s">
        <v>2375</v>
      </c>
      <c r="I4568" s="15" t="s">
        <v>1686</v>
      </c>
      <c r="J4568" s="15" t="s">
        <v>18113</v>
      </c>
      <c r="K4568" s="15">
        <v>6.0</v>
      </c>
      <c r="L4568" s="15">
        <v>6.0</v>
      </c>
      <c r="M4568" s="40">
        <v>42198.0</v>
      </c>
      <c r="N4568" s="40">
        <v>42261.0</v>
      </c>
      <c r="O4568" s="15" t="s">
        <v>1554</v>
      </c>
      <c r="Q4568" s="7"/>
    </row>
    <row r="4569">
      <c r="A4569" s="39" t="s">
        <v>18114</v>
      </c>
      <c r="B4569" s="15">
        <v>157777.0</v>
      </c>
      <c r="C4569" s="15" t="s">
        <v>18115</v>
      </c>
      <c r="D4569" s="15">
        <v>289929.0</v>
      </c>
      <c r="E4569" s="15" t="s">
        <v>1548</v>
      </c>
      <c r="F4569" s="15" t="s">
        <v>1786</v>
      </c>
      <c r="G4569" s="7">
        <v>8.041</v>
      </c>
      <c r="H4569" s="15" t="s">
        <v>2178</v>
      </c>
      <c r="I4569" s="15" t="s">
        <v>1628</v>
      </c>
      <c r="J4569" s="15" t="s">
        <v>18116</v>
      </c>
      <c r="K4569" s="15">
        <v>6.0</v>
      </c>
      <c r="L4569" s="15">
        <v>6.0</v>
      </c>
      <c r="M4569" s="40">
        <v>42183.0</v>
      </c>
      <c r="N4569" s="40">
        <v>42205.0</v>
      </c>
      <c r="O4569" s="15" t="s">
        <v>1554</v>
      </c>
      <c r="Q4569" s="7"/>
    </row>
    <row r="4570">
      <c r="A4570" s="39" t="s">
        <v>18117</v>
      </c>
      <c r="B4570" s="15">
        <v>1592764.0</v>
      </c>
      <c r="C4570" s="15" t="s">
        <v>18118</v>
      </c>
      <c r="D4570" s="15">
        <v>290311.0</v>
      </c>
      <c r="E4570" s="15" t="s">
        <v>1808</v>
      </c>
      <c r="F4570" s="15" t="s">
        <v>1998</v>
      </c>
      <c r="G4570" s="7">
        <v>1.789</v>
      </c>
      <c r="H4570" s="15" t="s">
        <v>7408</v>
      </c>
      <c r="I4570" s="15" t="s">
        <v>1686</v>
      </c>
      <c r="J4570" s="15" t="s">
        <v>18120</v>
      </c>
      <c r="K4570" s="15">
        <v>2.0</v>
      </c>
      <c r="L4570" s="15">
        <v>2.0</v>
      </c>
      <c r="M4570" s="40">
        <v>42200.0</v>
      </c>
      <c r="N4570" s="40">
        <v>42284.0</v>
      </c>
      <c r="O4570" s="15" t="s">
        <v>1554</v>
      </c>
      <c r="Q4570" s="7"/>
    </row>
    <row r="4571">
      <c r="A4571" s="39" t="s">
        <v>18121</v>
      </c>
      <c r="B4571" s="15">
        <v>1670669.0</v>
      </c>
      <c r="C4571" s="15" t="s">
        <v>18122</v>
      </c>
      <c r="D4571" s="15">
        <v>290358.0</v>
      </c>
      <c r="E4571" s="15" t="s">
        <v>1638</v>
      </c>
      <c r="F4571" s="15" t="s">
        <v>1863</v>
      </c>
      <c r="G4571" s="7">
        <v>22.115</v>
      </c>
      <c r="H4571" s="15" t="s">
        <v>18123</v>
      </c>
      <c r="I4571" s="15" t="s">
        <v>1560</v>
      </c>
      <c r="J4571" s="15" t="s">
        <v>18124</v>
      </c>
      <c r="K4571" s="15">
        <v>9.0</v>
      </c>
      <c r="L4571" s="15">
        <v>9.0</v>
      </c>
      <c r="M4571" s="40">
        <v>42197.0</v>
      </c>
      <c r="N4571" s="40">
        <v>42205.0</v>
      </c>
      <c r="O4571" s="15" t="s">
        <v>1554</v>
      </c>
      <c r="Q4571" s="7"/>
    </row>
    <row r="4572">
      <c r="A4572" s="39" t="s">
        <v>18125</v>
      </c>
      <c r="B4572" s="15">
        <v>1655646.0</v>
      </c>
      <c r="C4572" s="15" t="s">
        <v>18126</v>
      </c>
      <c r="D4572" s="15">
        <v>291246.0</v>
      </c>
      <c r="E4572" s="15" t="s">
        <v>1808</v>
      </c>
      <c r="F4572" s="15" t="s">
        <v>3154</v>
      </c>
      <c r="G4572" s="7">
        <v>4.609</v>
      </c>
      <c r="H4572" s="15" t="s">
        <v>4595</v>
      </c>
      <c r="I4572" s="15" t="s">
        <v>1586</v>
      </c>
      <c r="J4572" s="15" t="s">
        <v>18127</v>
      </c>
      <c r="K4572" s="15">
        <v>5.0</v>
      </c>
      <c r="L4572" s="15">
        <v>5.0</v>
      </c>
      <c r="M4572" s="40">
        <v>42151.0</v>
      </c>
      <c r="N4572" s="40">
        <v>42213.0</v>
      </c>
      <c r="O4572" s="15" t="s">
        <v>1554</v>
      </c>
      <c r="Q4572" s="7"/>
    </row>
    <row r="4573">
      <c r="A4573" s="39" t="s">
        <v>18129</v>
      </c>
      <c r="B4573" s="15">
        <v>1628899.0</v>
      </c>
      <c r="C4573" s="15" t="s">
        <v>18130</v>
      </c>
      <c r="D4573" s="15">
        <v>291247.0</v>
      </c>
      <c r="E4573" s="15" t="s">
        <v>1808</v>
      </c>
      <c r="F4573" s="15" t="s">
        <v>1578</v>
      </c>
      <c r="G4573" s="7">
        <v>3.442</v>
      </c>
      <c r="H4573" s="15">
        <v>44.0</v>
      </c>
      <c r="I4573" s="15" t="s">
        <v>1628</v>
      </c>
      <c r="J4573" s="15" t="s">
        <v>18131</v>
      </c>
      <c r="K4573" s="15">
        <v>5.0</v>
      </c>
      <c r="L4573" s="15">
        <v>5.0</v>
      </c>
      <c r="M4573" s="40">
        <v>42207.0</v>
      </c>
      <c r="N4573" s="40">
        <v>42237.0</v>
      </c>
      <c r="O4573" s="15" t="s">
        <v>1554</v>
      </c>
      <c r="Q4573" s="7"/>
    </row>
    <row r="4574">
      <c r="A4574" s="39" t="s">
        <v>18132</v>
      </c>
      <c r="B4574" s="15">
        <v>1682186.0</v>
      </c>
      <c r="C4574" s="15" t="s">
        <v>18133</v>
      </c>
      <c r="D4574" s="15">
        <v>291249.0</v>
      </c>
      <c r="E4574" s="15" t="s">
        <v>1548</v>
      </c>
      <c r="F4574" s="15" t="s">
        <v>2032</v>
      </c>
      <c r="G4574" s="7">
        <v>6.258</v>
      </c>
      <c r="H4574" s="15" t="s">
        <v>4415</v>
      </c>
      <c r="I4574" s="15" t="s">
        <v>1628</v>
      </c>
      <c r="J4574" s="15" t="s">
        <v>18134</v>
      </c>
      <c r="K4574" s="15">
        <v>4.0</v>
      </c>
      <c r="L4574" s="15">
        <v>3.0</v>
      </c>
      <c r="M4574" s="40">
        <v>42205.0</v>
      </c>
      <c r="N4574" s="40">
        <v>42213.0</v>
      </c>
      <c r="O4574" s="15" t="s">
        <v>1554</v>
      </c>
      <c r="Q4574" s="7"/>
    </row>
    <row r="4575">
      <c r="A4575" s="39" t="s">
        <v>18136</v>
      </c>
      <c r="B4575" s="15">
        <v>1655662.0</v>
      </c>
      <c r="C4575" s="15" t="s">
        <v>18137</v>
      </c>
      <c r="D4575" s="15">
        <v>291250.0</v>
      </c>
      <c r="E4575" s="15" t="s">
        <v>1808</v>
      </c>
      <c r="F4575" s="15" t="s">
        <v>3154</v>
      </c>
      <c r="G4575" s="7">
        <v>4.453</v>
      </c>
      <c r="H4575" s="15" t="s">
        <v>2300</v>
      </c>
      <c r="I4575" s="15" t="s">
        <v>1586</v>
      </c>
      <c r="J4575" s="15" t="s">
        <v>18138</v>
      </c>
      <c r="K4575" s="15">
        <v>5.0</v>
      </c>
      <c r="L4575" s="15">
        <v>5.0</v>
      </c>
      <c r="M4575" s="40">
        <v>42151.0</v>
      </c>
      <c r="N4575" s="40">
        <v>42213.0</v>
      </c>
      <c r="O4575" s="15" t="s">
        <v>1554</v>
      </c>
      <c r="Q4575" s="7"/>
    </row>
    <row r="4576">
      <c r="A4576" s="39" t="s">
        <v>18139</v>
      </c>
      <c r="B4576" s="15">
        <v>1655661.0</v>
      </c>
      <c r="C4576" s="15" t="s">
        <v>18140</v>
      </c>
      <c r="D4576" s="15">
        <v>291251.0</v>
      </c>
      <c r="E4576" s="15" t="s">
        <v>1808</v>
      </c>
      <c r="F4576" s="15" t="s">
        <v>3154</v>
      </c>
      <c r="G4576" s="7">
        <v>4.199</v>
      </c>
      <c r="H4576" s="15" t="s">
        <v>2877</v>
      </c>
      <c r="I4576" s="15" t="s">
        <v>1586</v>
      </c>
      <c r="J4576" s="15" t="s">
        <v>18141</v>
      </c>
      <c r="K4576" s="15">
        <v>5.0</v>
      </c>
      <c r="L4576" s="15">
        <v>5.0</v>
      </c>
      <c r="M4576" s="40">
        <v>42151.0</v>
      </c>
      <c r="N4576" s="40">
        <v>42213.0</v>
      </c>
      <c r="O4576" s="15" t="s">
        <v>1554</v>
      </c>
      <c r="Q4576" s="7"/>
    </row>
    <row r="4577">
      <c r="A4577" s="39" t="s">
        <v>18142</v>
      </c>
      <c r="B4577" s="15">
        <v>1655660.0</v>
      </c>
      <c r="C4577" s="15" t="s">
        <v>18143</v>
      </c>
      <c r="D4577" s="15">
        <v>291252.0</v>
      </c>
      <c r="E4577" s="15" t="s">
        <v>1808</v>
      </c>
      <c r="F4577" s="15" t="s">
        <v>3154</v>
      </c>
      <c r="G4577" s="7">
        <v>4.424</v>
      </c>
      <c r="H4577" s="15" t="s">
        <v>2869</v>
      </c>
      <c r="I4577" s="15" t="s">
        <v>1586</v>
      </c>
      <c r="J4577" s="15" t="s">
        <v>18145</v>
      </c>
      <c r="K4577" s="15">
        <v>5.0</v>
      </c>
      <c r="L4577" s="15">
        <v>5.0</v>
      </c>
      <c r="M4577" s="40">
        <v>42151.0</v>
      </c>
      <c r="N4577" s="40">
        <v>42213.0</v>
      </c>
      <c r="O4577" s="15" t="s">
        <v>1554</v>
      </c>
      <c r="Q4577" s="7"/>
    </row>
    <row r="4578">
      <c r="A4578" s="39" t="s">
        <v>18146</v>
      </c>
      <c r="B4578" s="15">
        <v>1655659.0</v>
      </c>
      <c r="C4578" s="15" t="s">
        <v>18147</v>
      </c>
      <c r="D4578" s="15">
        <v>291253.0</v>
      </c>
      <c r="E4578" s="15" t="s">
        <v>1808</v>
      </c>
      <c r="F4578" s="15" t="s">
        <v>3154</v>
      </c>
      <c r="G4578" s="7">
        <v>4.631</v>
      </c>
      <c r="H4578" s="15" t="s">
        <v>1597</v>
      </c>
      <c r="I4578" s="15" t="s">
        <v>1586</v>
      </c>
      <c r="J4578" s="15" t="s">
        <v>18148</v>
      </c>
      <c r="K4578" s="15">
        <v>6.0</v>
      </c>
      <c r="L4578" s="15">
        <v>6.0</v>
      </c>
      <c r="M4578" s="40">
        <v>42151.0</v>
      </c>
      <c r="N4578" s="40">
        <v>42213.0</v>
      </c>
      <c r="O4578" s="15" t="s">
        <v>1554</v>
      </c>
      <c r="Q4578" s="7"/>
    </row>
    <row r="4579">
      <c r="A4579" s="39" t="s">
        <v>18149</v>
      </c>
      <c r="B4579" s="15">
        <v>1655658.0</v>
      </c>
      <c r="C4579" s="15" t="s">
        <v>18150</v>
      </c>
      <c r="D4579" s="15">
        <v>291254.0</v>
      </c>
      <c r="E4579" s="15" t="s">
        <v>1808</v>
      </c>
      <c r="F4579" s="15" t="s">
        <v>3154</v>
      </c>
      <c r="G4579" s="7">
        <v>4.686</v>
      </c>
      <c r="H4579" s="15" t="s">
        <v>2648</v>
      </c>
      <c r="I4579" s="15" t="s">
        <v>1586</v>
      </c>
      <c r="J4579" s="15" t="s">
        <v>18151</v>
      </c>
      <c r="K4579" s="15">
        <v>5.0</v>
      </c>
      <c r="L4579" s="15">
        <v>5.0</v>
      </c>
      <c r="M4579" s="40">
        <v>42151.0</v>
      </c>
      <c r="N4579" s="40">
        <v>42213.0</v>
      </c>
      <c r="O4579" s="15" t="s">
        <v>1554</v>
      </c>
      <c r="Q4579" s="7"/>
    </row>
    <row r="4580">
      <c r="A4580" s="39" t="s">
        <v>18153</v>
      </c>
      <c r="B4580" s="15">
        <v>1655657.0</v>
      </c>
      <c r="C4580" s="15" t="s">
        <v>18154</v>
      </c>
      <c r="D4580" s="15">
        <v>291255.0</v>
      </c>
      <c r="E4580" s="15" t="s">
        <v>1808</v>
      </c>
      <c r="F4580" s="15" t="s">
        <v>3154</v>
      </c>
      <c r="G4580" s="7">
        <v>4.654</v>
      </c>
      <c r="H4580" s="15">
        <v>46.0</v>
      </c>
      <c r="I4580" s="15" t="s">
        <v>1586</v>
      </c>
      <c r="J4580" s="15" t="s">
        <v>18155</v>
      </c>
      <c r="K4580" s="15">
        <v>5.0</v>
      </c>
      <c r="L4580" s="15">
        <v>5.0</v>
      </c>
      <c r="M4580" s="40">
        <v>42151.0</v>
      </c>
      <c r="N4580" s="40">
        <v>42213.0</v>
      </c>
      <c r="O4580" s="15" t="s">
        <v>1554</v>
      </c>
      <c r="Q4580" s="7"/>
    </row>
    <row r="4581">
      <c r="A4581" s="39" t="s">
        <v>18156</v>
      </c>
      <c r="B4581" s="15">
        <v>1655656.0</v>
      </c>
      <c r="C4581" s="15" t="s">
        <v>18157</v>
      </c>
      <c r="D4581" s="15">
        <v>291256.0</v>
      </c>
      <c r="E4581" s="15" t="s">
        <v>1808</v>
      </c>
      <c r="F4581" s="15" t="s">
        <v>3154</v>
      </c>
      <c r="G4581" s="7">
        <v>4.624</v>
      </c>
      <c r="H4581" s="15" t="s">
        <v>5475</v>
      </c>
      <c r="I4581" s="15" t="s">
        <v>1586</v>
      </c>
      <c r="J4581" s="15" t="s">
        <v>18158</v>
      </c>
      <c r="K4581" s="15">
        <v>7.0</v>
      </c>
      <c r="L4581" s="15">
        <v>7.0</v>
      </c>
      <c r="M4581" s="40">
        <v>42151.0</v>
      </c>
      <c r="N4581" s="40">
        <v>42213.0</v>
      </c>
      <c r="O4581" s="15" t="s">
        <v>1554</v>
      </c>
      <c r="Q4581" s="7"/>
    </row>
    <row r="4582">
      <c r="A4582" s="39" t="s">
        <v>18159</v>
      </c>
      <c r="B4582" s="15">
        <v>1655654.0</v>
      </c>
      <c r="C4582" s="15" t="s">
        <v>18160</v>
      </c>
      <c r="D4582" s="15">
        <v>291257.0</v>
      </c>
      <c r="E4582" s="15" t="s">
        <v>1808</v>
      </c>
      <c r="F4582" s="15" t="s">
        <v>3154</v>
      </c>
      <c r="G4582" s="7">
        <v>4.552</v>
      </c>
      <c r="H4582" s="15" t="s">
        <v>2877</v>
      </c>
      <c r="I4582" s="15" t="s">
        <v>1586</v>
      </c>
      <c r="J4582" s="15" t="s">
        <v>18162</v>
      </c>
      <c r="K4582" s="15">
        <v>6.0</v>
      </c>
      <c r="L4582" s="15">
        <v>6.0</v>
      </c>
      <c r="M4582" s="40">
        <v>42151.0</v>
      </c>
      <c r="N4582" s="40">
        <v>42213.0</v>
      </c>
      <c r="O4582" s="15" t="s">
        <v>1554</v>
      </c>
      <c r="Q4582" s="7"/>
    </row>
    <row r="4583">
      <c r="A4583" s="39" t="s">
        <v>18163</v>
      </c>
      <c r="B4583" s="15">
        <v>1655653.0</v>
      </c>
      <c r="C4583" s="15" t="s">
        <v>18164</v>
      </c>
      <c r="D4583" s="15">
        <v>291258.0</v>
      </c>
      <c r="E4583" s="15" t="s">
        <v>1808</v>
      </c>
      <c r="F4583" s="15" t="s">
        <v>3154</v>
      </c>
      <c r="G4583" s="7">
        <v>4.949</v>
      </c>
      <c r="H4583" s="15" t="s">
        <v>3255</v>
      </c>
      <c r="I4583" s="15" t="s">
        <v>1586</v>
      </c>
      <c r="J4583" s="15" t="s">
        <v>18165</v>
      </c>
      <c r="K4583" s="15">
        <v>5.0</v>
      </c>
      <c r="L4583" s="15">
        <v>5.0</v>
      </c>
      <c r="M4583" s="40">
        <v>42151.0</v>
      </c>
      <c r="N4583" s="40">
        <v>42213.0</v>
      </c>
      <c r="O4583" s="15" t="s">
        <v>1554</v>
      </c>
      <c r="Q4583" s="7"/>
    </row>
    <row r="4584">
      <c r="A4584" s="39" t="s">
        <v>18166</v>
      </c>
      <c r="B4584" s="15">
        <v>1655652.0</v>
      </c>
      <c r="C4584" s="15" t="s">
        <v>18167</v>
      </c>
      <c r="D4584" s="15">
        <v>291259.0</v>
      </c>
      <c r="E4584" s="15" t="s">
        <v>1808</v>
      </c>
      <c r="F4584" s="15" t="s">
        <v>3154</v>
      </c>
      <c r="G4584" s="7">
        <v>4.366</v>
      </c>
      <c r="H4584" s="15" t="s">
        <v>2141</v>
      </c>
      <c r="I4584" s="15" t="s">
        <v>1586</v>
      </c>
      <c r="J4584" s="15" t="s">
        <v>18168</v>
      </c>
      <c r="K4584" s="15">
        <v>5.0</v>
      </c>
      <c r="L4584" s="15">
        <v>5.0</v>
      </c>
      <c r="M4584" s="40">
        <v>42151.0</v>
      </c>
      <c r="N4584" s="40">
        <v>42213.0</v>
      </c>
      <c r="O4584" s="15" t="s">
        <v>1554</v>
      </c>
      <c r="Q4584" s="7"/>
    </row>
    <row r="4585">
      <c r="A4585" s="39" t="s">
        <v>18170</v>
      </c>
      <c r="B4585" s="15">
        <v>1655651.0</v>
      </c>
      <c r="C4585" s="15" t="s">
        <v>18171</v>
      </c>
      <c r="D4585" s="15">
        <v>291260.0</v>
      </c>
      <c r="E4585" s="15" t="s">
        <v>1808</v>
      </c>
      <c r="F4585" s="15" t="s">
        <v>3154</v>
      </c>
      <c r="G4585" s="7">
        <v>4.671</v>
      </c>
      <c r="H4585" s="15" t="s">
        <v>1849</v>
      </c>
      <c r="I4585" s="15" t="s">
        <v>1586</v>
      </c>
      <c r="J4585" s="15" t="s">
        <v>18172</v>
      </c>
      <c r="K4585" s="15">
        <v>4.0</v>
      </c>
      <c r="L4585" s="15">
        <v>4.0</v>
      </c>
      <c r="M4585" s="40">
        <v>42151.0</v>
      </c>
      <c r="N4585" s="40">
        <v>42213.0</v>
      </c>
      <c r="O4585" s="15" t="s">
        <v>1554</v>
      </c>
      <c r="Q4585" s="7"/>
    </row>
    <row r="4586">
      <c r="A4586" s="39" t="s">
        <v>18173</v>
      </c>
      <c r="B4586" s="15">
        <v>1655019.0</v>
      </c>
      <c r="C4586" s="15" t="s">
        <v>18174</v>
      </c>
      <c r="D4586" s="15">
        <v>291263.0</v>
      </c>
      <c r="E4586" s="15" t="s">
        <v>1557</v>
      </c>
      <c r="F4586" s="15" t="s">
        <v>1833</v>
      </c>
      <c r="G4586" s="7">
        <v>29.347</v>
      </c>
      <c r="H4586" s="15">
        <v>54.0</v>
      </c>
      <c r="I4586" s="15" t="s">
        <v>1586</v>
      </c>
      <c r="J4586" s="15" t="s">
        <v>18175</v>
      </c>
      <c r="K4586" s="15">
        <v>45.0</v>
      </c>
      <c r="L4586" s="15">
        <v>45.0</v>
      </c>
      <c r="M4586" s="40">
        <v>42190.0</v>
      </c>
      <c r="N4586" s="40">
        <v>42971.0</v>
      </c>
      <c r="O4586" s="15" t="s">
        <v>1554</v>
      </c>
      <c r="Q4586" s="7"/>
    </row>
    <row r="4587">
      <c r="A4587" s="39" t="s">
        <v>18177</v>
      </c>
      <c r="B4587" s="15">
        <v>1655018.0</v>
      </c>
      <c r="C4587" s="15" t="s">
        <v>18178</v>
      </c>
      <c r="D4587" s="15">
        <v>291264.0</v>
      </c>
      <c r="E4587" s="15" t="s">
        <v>1557</v>
      </c>
      <c r="F4587" s="15" t="s">
        <v>1833</v>
      </c>
      <c r="G4587" s="7">
        <v>29.328</v>
      </c>
      <c r="H4587" s="15" t="s">
        <v>3246</v>
      </c>
      <c r="I4587" s="15" t="s">
        <v>1586</v>
      </c>
      <c r="J4587" s="15" t="s">
        <v>18179</v>
      </c>
      <c r="K4587" s="15">
        <v>44.0</v>
      </c>
      <c r="L4587" s="15">
        <v>44.0</v>
      </c>
      <c r="M4587" s="40">
        <v>42190.0</v>
      </c>
      <c r="N4587" s="40">
        <v>42971.0</v>
      </c>
      <c r="O4587" s="15" t="s">
        <v>1554</v>
      </c>
      <c r="Q4587" s="7"/>
    </row>
    <row r="4588">
      <c r="A4588" s="39" t="s">
        <v>18180</v>
      </c>
      <c r="B4588" s="15">
        <v>1655017.0</v>
      </c>
      <c r="C4588" s="15" t="s">
        <v>18181</v>
      </c>
      <c r="D4588" s="15">
        <v>291265.0</v>
      </c>
      <c r="E4588" s="15" t="s">
        <v>1557</v>
      </c>
      <c r="F4588" s="15" t="s">
        <v>1833</v>
      </c>
      <c r="G4588" s="7">
        <v>29.506</v>
      </c>
      <c r="H4588" s="15" t="s">
        <v>4204</v>
      </c>
      <c r="I4588" s="15" t="s">
        <v>1586</v>
      </c>
      <c r="J4588" s="15" t="s">
        <v>18182</v>
      </c>
      <c r="K4588" s="15">
        <v>45.0</v>
      </c>
      <c r="L4588" s="15">
        <v>45.0</v>
      </c>
      <c r="M4588" s="40">
        <v>42190.0</v>
      </c>
      <c r="N4588" s="40">
        <v>42971.0</v>
      </c>
      <c r="O4588" s="15" t="s">
        <v>1554</v>
      </c>
      <c r="Q4588" s="7"/>
    </row>
    <row r="4589">
      <c r="A4589" s="39" t="s">
        <v>18183</v>
      </c>
      <c r="B4589" s="15">
        <v>1655016.0</v>
      </c>
      <c r="C4589" s="15" t="s">
        <v>18184</v>
      </c>
      <c r="D4589" s="15">
        <v>291266.0</v>
      </c>
      <c r="E4589" s="15" t="s">
        <v>1557</v>
      </c>
      <c r="F4589" s="15" t="s">
        <v>1833</v>
      </c>
      <c r="G4589" s="7">
        <v>29.726</v>
      </c>
      <c r="H4589" s="15" t="s">
        <v>6085</v>
      </c>
      <c r="I4589" s="15" t="s">
        <v>1586</v>
      </c>
      <c r="J4589" s="15" t="s">
        <v>18185</v>
      </c>
      <c r="K4589" s="15">
        <v>46.0</v>
      </c>
      <c r="L4589" s="15">
        <v>46.0</v>
      </c>
      <c r="M4589" s="40">
        <v>42190.0</v>
      </c>
      <c r="N4589" s="40">
        <v>42971.0</v>
      </c>
      <c r="O4589" s="15" t="s">
        <v>1554</v>
      </c>
      <c r="Q4589" s="7"/>
    </row>
    <row r="4590">
      <c r="A4590" s="39" t="s">
        <v>18186</v>
      </c>
      <c r="B4590" s="15">
        <v>1655015.0</v>
      </c>
      <c r="C4590" s="15" t="s">
        <v>18188</v>
      </c>
      <c r="D4590" s="15">
        <v>291267.0</v>
      </c>
      <c r="E4590" s="15" t="s">
        <v>1557</v>
      </c>
      <c r="F4590" s="15" t="s">
        <v>1833</v>
      </c>
      <c r="G4590" s="7">
        <v>29.517</v>
      </c>
      <c r="H4590" s="15" t="s">
        <v>4204</v>
      </c>
      <c r="I4590" s="15" t="s">
        <v>1586</v>
      </c>
      <c r="J4590" s="15" t="s">
        <v>18189</v>
      </c>
      <c r="K4590" s="15">
        <v>45.0</v>
      </c>
      <c r="L4590" s="15">
        <v>45.0</v>
      </c>
      <c r="M4590" s="40">
        <v>42190.0</v>
      </c>
      <c r="N4590" s="40">
        <v>42971.0</v>
      </c>
      <c r="O4590" s="15" t="s">
        <v>1554</v>
      </c>
      <c r="Q4590" s="7"/>
    </row>
    <row r="4591">
      <c r="A4591" s="39" t="s">
        <v>18190</v>
      </c>
      <c r="B4591" s="15">
        <v>1655014.0</v>
      </c>
      <c r="C4591" s="15" t="s">
        <v>18191</v>
      </c>
      <c r="D4591" s="15">
        <v>291268.0</v>
      </c>
      <c r="E4591" s="15" t="s">
        <v>1557</v>
      </c>
      <c r="F4591" s="15" t="s">
        <v>1833</v>
      </c>
      <c r="G4591" s="7">
        <v>29.461</v>
      </c>
      <c r="H4591" s="15" t="s">
        <v>4673</v>
      </c>
      <c r="I4591" s="15" t="s">
        <v>1586</v>
      </c>
      <c r="J4591" s="15" t="s">
        <v>18192</v>
      </c>
      <c r="K4591" s="15">
        <v>44.0</v>
      </c>
      <c r="L4591" s="15">
        <v>44.0</v>
      </c>
      <c r="M4591" s="40">
        <v>42190.0</v>
      </c>
      <c r="N4591" s="40">
        <v>42971.0</v>
      </c>
      <c r="O4591" s="15" t="s">
        <v>1554</v>
      </c>
      <c r="Q4591" s="7"/>
    </row>
    <row r="4592">
      <c r="A4592" s="39" t="s">
        <v>18193</v>
      </c>
      <c r="B4592" s="15">
        <v>1655012.0</v>
      </c>
      <c r="C4592" s="15" t="s">
        <v>18195</v>
      </c>
      <c r="D4592" s="15">
        <v>291269.0</v>
      </c>
      <c r="E4592" s="15" t="s">
        <v>1557</v>
      </c>
      <c r="F4592" s="15" t="s">
        <v>1833</v>
      </c>
      <c r="G4592" s="7">
        <v>28.876</v>
      </c>
      <c r="H4592" s="15" t="s">
        <v>2996</v>
      </c>
      <c r="I4592" s="15" t="s">
        <v>1586</v>
      </c>
      <c r="J4592" s="15" t="s">
        <v>18196</v>
      </c>
      <c r="K4592" s="15">
        <v>45.0</v>
      </c>
      <c r="L4592" s="15">
        <v>45.0</v>
      </c>
      <c r="M4592" s="40">
        <v>42190.0</v>
      </c>
      <c r="N4592" s="40">
        <v>42971.0</v>
      </c>
      <c r="O4592" s="15" t="s">
        <v>1554</v>
      </c>
      <c r="Q4592" s="7"/>
    </row>
    <row r="4593">
      <c r="A4593" s="39" t="s">
        <v>18197</v>
      </c>
      <c r="B4593" s="15">
        <v>1655023.0</v>
      </c>
      <c r="C4593" s="15" t="s">
        <v>18198</v>
      </c>
      <c r="D4593" s="15">
        <v>291270.0</v>
      </c>
      <c r="E4593" s="15" t="s">
        <v>1557</v>
      </c>
      <c r="F4593" s="15" t="s">
        <v>1833</v>
      </c>
      <c r="G4593" s="7">
        <v>29.463</v>
      </c>
      <c r="H4593" s="15" t="s">
        <v>6085</v>
      </c>
      <c r="I4593" s="15" t="s">
        <v>1586</v>
      </c>
      <c r="J4593" s="15" t="s">
        <v>18199</v>
      </c>
      <c r="K4593" s="15">
        <v>44.0</v>
      </c>
      <c r="L4593" s="15">
        <v>44.0</v>
      </c>
      <c r="M4593" s="40">
        <v>42190.0</v>
      </c>
      <c r="N4593" s="40">
        <v>42971.0</v>
      </c>
      <c r="O4593" s="15" t="s">
        <v>1554</v>
      </c>
      <c r="Q4593" s="7"/>
    </row>
    <row r="4594">
      <c r="A4594" s="39" t="s">
        <v>18200</v>
      </c>
      <c r="B4594" s="15">
        <v>1655022.0</v>
      </c>
      <c r="C4594" s="15" t="s">
        <v>18201</v>
      </c>
      <c r="D4594" s="15">
        <v>291271.0</v>
      </c>
      <c r="E4594" s="15" t="s">
        <v>1557</v>
      </c>
      <c r="F4594" s="15" t="s">
        <v>1833</v>
      </c>
      <c r="G4594" s="7">
        <v>29.33</v>
      </c>
      <c r="H4594" s="15" t="s">
        <v>2271</v>
      </c>
      <c r="I4594" s="15" t="s">
        <v>1586</v>
      </c>
      <c r="J4594" s="15" t="s">
        <v>18203</v>
      </c>
      <c r="K4594" s="15">
        <v>46.0</v>
      </c>
      <c r="L4594" s="15">
        <v>46.0</v>
      </c>
      <c r="M4594" s="40">
        <v>42190.0</v>
      </c>
      <c r="N4594" s="40">
        <v>42971.0</v>
      </c>
      <c r="O4594" s="15" t="s">
        <v>1554</v>
      </c>
      <c r="Q4594" s="7"/>
    </row>
    <row r="4595">
      <c r="A4595" s="39" t="s">
        <v>18204</v>
      </c>
      <c r="B4595" s="15">
        <v>1655021.0</v>
      </c>
      <c r="C4595" s="15" t="s">
        <v>18205</v>
      </c>
      <c r="D4595" s="15">
        <v>291272.0</v>
      </c>
      <c r="E4595" s="15" t="s">
        <v>1557</v>
      </c>
      <c r="F4595" s="15" t="s">
        <v>1833</v>
      </c>
      <c r="G4595" s="7">
        <v>29.44</v>
      </c>
      <c r="H4595" s="15" t="s">
        <v>4204</v>
      </c>
      <c r="I4595" s="15" t="s">
        <v>1586</v>
      </c>
      <c r="J4595" s="15" t="s">
        <v>18206</v>
      </c>
      <c r="K4595" s="15">
        <v>45.0</v>
      </c>
      <c r="L4595" s="15">
        <v>45.0</v>
      </c>
      <c r="M4595" s="40">
        <v>42190.0</v>
      </c>
      <c r="N4595" s="40">
        <v>42971.0</v>
      </c>
      <c r="O4595" s="15" t="s">
        <v>1554</v>
      </c>
      <c r="Q4595" s="7"/>
    </row>
    <row r="4596">
      <c r="A4596" s="39" t="s">
        <v>18207</v>
      </c>
      <c r="B4596" s="15">
        <v>1655020.0</v>
      </c>
      <c r="C4596" s="15" t="s">
        <v>18209</v>
      </c>
      <c r="D4596" s="15">
        <v>291273.0</v>
      </c>
      <c r="E4596" s="15" t="s">
        <v>1557</v>
      </c>
      <c r="F4596" s="15" t="s">
        <v>1833</v>
      </c>
      <c r="G4596" s="7">
        <v>29.594</v>
      </c>
      <c r="H4596" s="15" t="s">
        <v>1634</v>
      </c>
      <c r="I4596" s="15" t="s">
        <v>1586</v>
      </c>
      <c r="J4596" s="15" t="s">
        <v>18210</v>
      </c>
      <c r="K4596" s="15">
        <v>47.0</v>
      </c>
      <c r="L4596" s="15">
        <v>47.0</v>
      </c>
      <c r="M4596" s="40">
        <v>42190.0</v>
      </c>
      <c r="N4596" s="40">
        <v>42971.0</v>
      </c>
      <c r="O4596" s="15" t="s">
        <v>1554</v>
      </c>
      <c r="Q4596" s="7"/>
    </row>
    <row r="4597">
      <c r="A4597" s="39" t="s">
        <v>18211</v>
      </c>
      <c r="B4597" s="15">
        <v>1682187.0</v>
      </c>
      <c r="C4597" s="15" t="s">
        <v>18212</v>
      </c>
      <c r="D4597" s="15">
        <v>290931.0</v>
      </c>
      <c r="E4597" s="15" t="s">
        <v>1548</v>
      </c>
      <c r="F4597" s="15" t="s">
        <v>2032</v>
      </c>
      <c r="G4597" s="7">
        <v>6.169</v>
      </c>
      <c r="H4597" s="15" t="s">
        <v>2840</v>
      </c>
      <c r="I4597" s="15" t="s">
        <v>1628</v>
      </c>
      <c r="J4597" s="15" t="s">
        <v>18213</v>
      </c>
      <c r="K4597" s="15">
        <v>2.0</v>
      </c>
      <c r="L4597" s="15">
        <v>2.0</v>
      </c>
      <c r="M4597" s="40">
        <v>42205.0</v>
      </c>
      <c r="N4597" s="40">
        <v>42213.0</v>
      </c>
      <c r="O4597" s="15" t="s">
        <v>1554</v>
      </c>
      <c r="Q4597" s="7"/>
    </row>
    <row r="4598">
      <c r="A4598" s="39" t="s">
        <v>18214</v>
      </c>
      <c r="B4598" s="15">
        <v>1655650.0</v>
      </c>
      <c r="C4598" s="15" t="s">
        <v>18215</v>
      </c>
      <c r="D4598" s="15">
        <v>291242.0</v>
      </c>
      <c r="E4598" s="15" t="s">
        <v>1808</v>
      </c>
      <c r="F4598" s="15" t="s">
        <v>3154</v>
      </c>
      <c r="G4598" s="7">
        <v>4.656</v>
      </c>
      <c r="H4598" s="15" t="s">
        <v>1994</v>
      </c>
      <c r="I4598" s="15" t="s">
        <v>1586</v>
      </c>
      <c r="J4598" s="15" t="s">
        <v>18217</v>
      </c>
      <c r="K4598" s="15">
        <v>6.0</v>
      </c>
      <c r="L4598" s="15">
        <v>6.0</v>
      </c>
      <c r="M4598" s="40">
        <v>42151.0</v>
      </c>
      <c r="N4598" s="40">
        <v>42213.0</v>
      </c>
      <c r="O4598" s="15" t="s">
        <v>1554</v>
      </c>
      <c r="Q4598" s="7"/>
    </row>
    <row r="4599">
      <c r="A4599" s="39" t="s">
        <v>18218</v>
      </c>
      <c r="B4599" s="15">
        <v>1655649.0</v>
      </c>
      <c r="C4599" s="15" t="s">
        <v>18219</v>
      </c>
      <c r="D4599" s="15">
        <v>291243.0</v>
      </c>
      <c r="E4599" s="15" t="s">
        <v>1808</v>
      </c>
      <c r="F4599" s="15" t="s">
        <v>3154</v>
      </c>
      <c r="G4599" s="7">
        <v>4.501</v>
      </c>
      <c r="H4599" s="15" t="s">
        <v>1705</v>
      </c>
      <c r="I4599" s="15" t="s">
        <v>1586</v>
      </c>
      <c r="J4599" s="15" t="s">
        <v>18220</v>
      </c>
      <c r="K4599" s="15">
        <v>6.0</v>
      </c>
      <c r="L4599" s="15">
        <v>6.0</v>
      </c>
      <c r="M4599" s="40">
        <v>42151.0</v>
      </c>
      <c r="N4599" s="40">
        <v>42213.0</v>
      </c>
      <c r="O4599" s="15" t="s">
        <v>1554</v>
      </c>
      <c r="Q4599" s="7"/>
    </row>
    <row r="4600">
      <c r="A4600" s="39" t="s">
        <v>18221</v>
      </c>
      <c r="B4600" s="15">
        <v>1655648.0</v>
      </c>
      <c r="C4600" s="15" t="s">
        <v>18222</v>
      </c>
      <c r="D4600" s="15">
        <v>291244.0</v>
      </c>
      <c r="E4600" s="15" t="s">
        <v>1808</v>
      </c>
      <c r="F4600" s="15" t="s">
        <v>3154</v>
      </c>
      <c r="G4600" s="7">
        <v>4.815</v>
      </c>
      <c r="H4600" s="15" t="s">
        <v>1782</v>
      </c>
      <c r="I4600" s="15" t="s">
        <v>1586</v>
      </c>
      <c r="J4600" s="15" t="s">
        <v>18224</v>
      </c>
      <c r="K4600" s="15">
        <v>5.0</v>
      </c>
      <c r="L4600" s="15">
        <v>5.0</v>
      </c>
      <c r="M4600" s="40">
        <v>42151.0</v>
      </c>
      <c r="N4600" s="40">
        <v>42213.0</v>
      </c>
      <c r="O4600" s="15" t="s">
        <v>1554</v>
      </c>
      <c r="Q4600" s="7"/>
    </row>
    <row r="4601">
      <c r="A4601" s="39" t="s">
        <v>18225</v>
      </c>
      <c r="B4601" s="15">
        <v>1655647.0</v>
      </c>
      <c r="C4601" s="15" t="s">
        <v>18226</v>
      </c>
      <c r="D4601" s="15">
        <v>291245.0</v>
      </c>
      <c r="E4601" s="15" t="s">
        <v>1808</v>
      </c>
      <c r="F4601" s="15" t="s">
        <v>3154</v>
      </c>
      <c r="G4601" s="7">
        <v>4.451</v>
      </c>
      <c r="H4601" s="15" t="s">
        <v>1859</v>
      </c>
      <c r="I4601" s="15" t="s">
        <v>1586</v>
      </c>
      <c r="J4601" s="15" t="s">
        <v>18227</v>
      </c>
      <c r="K4601" s="15">
        <v>6.0</v>
      </c>
      <c r="L4601" s="15">
        <v>6.0</v>
      </c>
      <c r="M4601" s="40">
        <v>42151.0</v>
      </c>
      <c r="N4601" s="40">
        <v>42213.0</v>
      </c>
      <c r="O4601" s="15" t="s">
        <v>1554</v>
      </c>
      <c r="Q4601" s="7"/>
    </row>
    <row r="4602">
      <c r="A4602" s="39" t="s">
        <v>18228</v>
      </c>
      <c r="B4602" s="15">
        <v>1306546.0</v>
      </c>
      <c r="C4602" s="15" t="s">
        <v>18229</v>
      </c>
      <c r="D4602" s="15">
        <v>293043.0</v>
      </c>
      <c r="E4602" s="15" t="s">
        <v>1808</v>
      </c>
      <c r="F4602" s="15" t="s">
        <v>1809</v>
      </c>
      <c r="G4602" s="7">
        <v>2.745</v>
      </c>
      <c r="H4602" s="15" t="s">
        <v>2777</v>
      </c>
      <c r="I4602" s="15" t="s">
        <v>1628</v>
      </c>
      <c r="J4602" s="15" t="s">
        <v>18231</v>
      </c>
      <c r="K4602" s="15">
        <v>7.0</v>
      </c>
      <c r="L4602" s="15">
        <v>7.0</v>
      </c>
      <c r="M4602" s="40">
        <v>42205.0</v>
      </c>
      <c r="N4602" s="40">
        <v>42265.0</v>
      </c>
      <c r="O4602" s="15" t="s">
        <v>1554</v>
      </c>
      <c r="Q4602" s="7"/>
    </row>
    <row r="4603">
      <c r="A4603" s="39" t="s">
        <v>18232</v>
      </c>
      <c r="B4603" s="15">
        <v>1691889.0</v>
      </c>
      <c r="C4603" s="15" t="s">
        <v>18233</v>
      </c>
      <c r="D4603" s="15">
        <v>293047.0</v>
      </c>
      <c r="E4603" s="15" t="s">
        <v>1548</v>
      </c>
      <c r="F4603" s="15" t="s">
        <v>1801</v>
      </c>
      <c r="G4603" s="7">
        <v>10.87</v>
      </c>
      <c r="H4603" s="15" t="s">
        <v>3776</v>
      </c>
      <c r="I4603" s="15" t="s">
        <v>1803</v>
      </c>
      <c r="J4603" s="15" t="s">
        <v>18234</v>
      </c>
      <c r="K4603" s="15">
        <v>1.0</v>
      </c>
      <c r="L4603" s="15">
        <v>1.0</v>
      </c>
      <c r="M4603" s="40">
        <v>42218.0</v>
      </c>
      <c r="N4603" s="40">
        <v>42234.0</v>
      </c>
      <c r="O4603" s="15" t="s">
        <v>1554</v>
      </c>
      <c r="Q4603" s="7"/>
    </row>
    <row r="4604">
      <c r="A4604" s="39" t="s">
        <v>18235</v>
      </c>
      <c r="B4604" s="15">
        <v>1646351.0</v>
      </c>
      <c r="C4604" s="15" t="s">
        <v>18236</v>
      </c>
      <c r="D4604" s="15">
        <v>293051.0</v>
      </c>
      <c r="E4604" s="15" t="s">
        <v>2014</v>
      </c>
      <c r="F4604" s="15" t="s">
        <v>1578</v>
      </c>
      <c r="G4604" s="7">
        <v>0.532</v>
      </c>
      <c r="H4604" s="15" t="s">
        <v>5179</v>
      </c>
      <c r="I4604" s="15" t="s">
        <v>1740</v>
      </c>
      <c r="J4604" s="15" t="s">
        <v>18238</v>
      </c>
      <c r="K4604" s="15" t="s">
        <v>1722</v>
      </c>
      <c r="L4604" s="15" t="s">
        <v>1722</v>
      </c>
      <c r="M4604" s="40">
        <v>42217.0</v>
      </c>
      <c r="N4604" s="40">
        <v>42234.0</v>
      </c>
      <c r="O4604" s="15" t="s">
        <v>1554</v>
      </c>
      <c r="Q4604" s="7"/>
    </row>
    <row r="4605">
      <c r="A4605" s="39" t="s">
        <v>18239</v>
      </c>
      <c r="B4605" s="15">
        <v>1457386.0</v>
      </c>
      <c r="C4605" s="15" t="s">
        <v>18240</v>
      </c>
      <c r="D4605" s="15">
        <v>293055.0</v>
      </c>
      <c r="E4605" s="15" t="s">
        <v>1548</v>
      </c>
      <c r="F4605" s="15" t="s">
        <v>5290</v>
      </c>
      <c r="G4605" s="7">
        <v>11.367</v>
      </c>
      <c r="H4605" s="15" t="s">
        <v>18241</v>
      </c>
      <c r="I4605" s="15" t="s">
        <v>1560</v>
      </c>
      <c r="J4605" s="15" t="s">
        <v>18242</v>
      </c>
      <c r="K4605" s="15">
        <v>4.0</v>
      </c>
      <c r="L4605" s="15">
        <v>4.0</v>
      </c>
      <c r="M4605" s="40">
        <v>42216.0</v>
      </c>
      <c r="N4605" s="41">
        <v>42355.0</v>
      </c>
      <c r="O4605" s="15" t="s">
        <v>1554</v>
      </c>
      <c r="Q4605" s="7"/>
    </row>
    <row r="4606">
      <c r="A4606" s="39" t="s">
        <v>18243</v>
      </c>
      <c r="B4606" s="15">
        <v>473784.0</v>
      </c>
      <c r="C4606" s="15" t="s">
        <v>18244</v>
      </c>
      <c r="D4606" s="15">
        <v>293045.0</v>
      </c>
      <c r="E4606" s="15" t="s">
        <v>1548</v>
      </c>
      <c r="F4606" s="15" t="s">
        <v>2900</v>
      </c>
      <c r="G4606" s="7">
        <v>4.23</v>
      </c>
      <c r="H4606" s="15" t="s">
        <v>1640</v>
      </c>
      <c r="I4606" s="15" t="s">
        <v>1628</v>
      </c>
      <c r="J4606" s="15" t="s">
        <v>18245</v>
      </c>
      <c r="K4606" s="15">
        <v>4.0</v>
      </c>
      <c r="L4606" s="15">
        <v>4.0</v>
      </c>
      <c r="M4606" s="40">
        <v>39357.0</v>
      </c>
      <c r="N4606" s="40">
        <v>42563.0</v>
      </c>
      <c r="O4606" s="15" t="s">
        <v>1554</v>
      </c>
      <c r="Q4606" s="7"/>
    </row>
    <row r="4607">
      <c r="A4607" s="39" t="s">
        <v>18247</v>
      </c>
      <c r="B4607" s="15">
        <v>1688637.0</v>
      </c>
      <c r="C4607" s="15" t="s">
        <v>18248</v>
      </c>
      <c r="D4607" s="15">
        <v>293049.0</v>
      </c>
      <c r="E4607" s="15" t="s">
        <v>1548</v>
      </c>
      <c r="F4607" s="15" t="s">
        <v>1911</v>
      </c>
      <c r="G4607" s="7">
        <v>9.829</v>
      </c>
      <c r="H4607" s="15" t="s">
        <v>2223</v>
      </c>
      <c r="I4607" s="15" t="s">
        <v>1628</v>
      </c>
      <c r="J4607" s="15" t="s">
        <v>18249</v>
      </c>
      <c r="K4607" s="15">
        <v>1.0</v>
      </c>
      <c r="L4607" s="15">
        <v>1.0</v>
      </c>
      <c r="M4607" s="40">
        <v>42226.0</v>
      </c>
      <c r="N4607" s="40">
        <v>42234.0</v>
      </c>
      <c r="O4607" s="15" t="s">
        <v>1554</v>
      </c>
      <c r="Q4607" s="7"/>
    </row>
    <row r="4608">
      <c r="A4608" s="39" t="s">
        <v>18250</v>
      </c>
      <c r="B4608" s="15">
        <v>1641642.0</v>
      </c>
      <c r="C4608" s="15" t="s">
        <v>18251</v>
      </c>
      <c r="D4608" s="15">
        <v>293053.0</v>
      </c>
      <c r="E4608" s="15" t="s">
        <v>1557</v>
      </c>
      <c r="F4608" s="15" t="s">
        <v>2628</v>
      </c>
      <c r="G4608" s="7">
        <v>31.848</v>
      </c>
      <c r="H4608" s="15">
        <v>49.0</v>
      </c>
      <c r="I4608" s="15" t="s">
        <v>1686</v>
      </c>
      <c r="J4608" s="15" t="s">
        <v>18252</v>
      </c>
      <c r="K4608" s="15">
        <v>30.0</v>
      </c>
      <c r="L4608" s="15">
        <v>30.0</v>
      </c>
      <c r="M4608" s="40">
        <v>42206.0</v>
      </c>
      <c r="N4608" s="40">
        <v>42234.0</v>
      </c>
      <c r="O4608" s="15" t="s">
        <v>1554</v>
      </c>
      <c r="Q4608" s="7"/>
    </row>
    <row r="4609">
      <c r="A4609" s="39" t="s">
        <v>18253</v>
      </c>
      <c r="B4609" s="15">
        <v>67603.0</v>
      </c>
      <c r="C4609" s="15" t="s">
        <v>18254</v>
      </c>
      <c r="D4609" s="15">
        <v>293044.0</v>
      </c>
      <c r="E4609" s="15" t="s">
        <v>1557</v>
      </c>
      <c r="F4609" s="15" t="s">
        <v>2628</v>
      </c>
      <c r="G4609" s="7">
        <v>33.09</v>
      </c>
      <c r="H4609" s="15">
        <v>48.0</v>
      </c>
      <c r="I4609" s="15" t="s">
        <v>1686</v>
      </c>
      <c r="J4609" s="15" t="s">
        <v>18256</v>
      </c>
      <c r="K4609" s="15">
        <v>34.0</v>
      </c>
      <c r="L4609" s="15">
        <v>34.0</v>
      </c>
      <c r="M4609" s="40">
        <v>42220.0</v>
      </c>
      <c r="N4609" s="40">
        <v>42234.0</v>
      </c>
      <c r="O4609" s="15" t="s">
        <v>1554</v>
      </c>
      <c r="Q4609" s="7"/>
    </row>
    <row r="4610">
      <c r="A4610" s="39" t="s">
        <v>18257</v>
      </c>
      <c r="B4610" s="15">
        <v>1690666.0</v>
      </c>
      <c r="C4610" s="15" t="s">
        <v>18258</v>
      </c>
      <c r="D4610" s="15">
        <v>293048.0</v>
      </c>
      <c r="E4610" s="15" t="s">
        <v>1548</v>
      </c>
      <c r="F4610" s="15" t="s">
        <v>2374</v>
      </c>
      <c r="G4610" s="7">
        <v>10.119</v>
      </c>
      <c r="H4610" s="15" t="s">
        <v>1607</v>
      </c>
      <c r="I4610" s="15" t="s">
        <v>1560</v>
      </c>
      <c r="J4610" s="15" t="s">
        <v>18259</v>
      </c>
      <c r="K4610" s="15">
        <v>1.0</v>
      </c>
      <c r="L4610" s="15">
        <v>1.0</v>
      </c>
      <c r="M4610" s="40">
        <v>42222.0</v>
      </c>
      <c r="N4610" s="40">
        <v>42438.0</v>
      </c>
      <c r="O4610" s="15" t="s">
        <v>1554</v>
      </c>
      <c r="Q4610" s="7"/>
    </row>
    <row r="4611">
      <c r="A4611" s="39" t="s">
        <v>18260</v>
      </c>
      <c r="B4611" s="15">
        <v>1646350.0</v>
      </c>
      <c r="C4611" s="15" t="s">
        <v>18261</v>
      </c>
      <c r="D4611" s="15">
        <v>293052.0</v>
      </c>
      <c r="E4611" s="15" t="s">
        <v>2014</v>
      </c>
      <c r="F4611" s="15" t="s">
        <v>1578</v>
      </c>
      <c r="G4611" s="7">
        <v>0.683</v>
      </c>
      <c r="H4611" s="15" t="s">
        <v>3798</v>
      </c>
      <c r="I4611" s="15" t="s">
        <v>1740</v>
      </c>
      <c r="J4611" s="15" t="s">
        <v>18262</v>
      </c>
      <c r="K4611" s="15" t="s">
        <v>1722</v>
      </c>
      <c r="L4611" s="15" t="s">
        <v>1722</v>
      </c>
      <c r="M4611" s="40">
        <v>42217.0</v>
      </c>
      <c r="N4611" s="40">
        <v>42234.0</v>
      </c>
      <c r="O4611" s="15" t="s">
        <v>1554</v>
      </c>
      <c r="Q4611" s="7"/>
    </row>
    <row r="4612">
      <c r="A4612" s="39" t="s">
        <v>18263</v>
      </c>
      <c r="B4612" s="15">
        <v>1680908.0</v>
      </c>
      <c r="C4612" s="15" t="s">
        <v>18264</v>
      </c>
      <c r="D4612" s="15">
        <v>293081.0</v>
      </c>
      <c r="E4612" s="15" t="s">
        <v>1557</v>
      </c>
      <c r="F4612" s="15" t="s">
        <v>2028</v>
      </c>
      <c r="G4612" s="7">
        <v>241.564</v>
      </c>
      <c r="H4612" s="15" t="s">
        <v>2375</v>
      </c>
      <c r="I4612" s="15" t="s">
        <v>1686</v>
      </c>
      <c r="J4612" s="15" t="s">
        <v>18266</v>
      </c>
      <c r="K4612" s="15">
        <v>210.0</v>
      </c>
      <c r="L4612" s="15">
        <v>210.0</v>
      </c>
      <c r="M4612" s="40">
        <v>42202.0</v>
      </c>
      <c r="N4612" s="40">
        <v>42234.0</v>
      </c>
      <c r="O4612" s="15" t="s">
        <v>1554</v>
      </c>
      <c r="Q4612" s="7"/>
    </row>
    <row r="4613">
      <c r="A4613" s="39" t="s">
        <v>18267</v>
      </c>
      <c r="B4613" s="15">
        <v>1692045.0</v>
      </c>
      <c r="C4613" s="15" t="s">
        <v>18268</v>
      </c>
      <c r="D4613" s="15">
        <v>293046.0</v>
      </c>
      <c r="E4613" s="15" t="s">
        <v>1548</v>
      </c>
      <c r="F4613" s="15" t="s">
        <v>1790</v>
      </c>
      <c r="G4613" s="7">
        <v>15.395</v>
      </c>
      <c r="H4613" s="15" t="s">
        <v>2869</v>
      </c>
      <c r="I4613" s="15" t="s">
        <v>1628</v>
      </c>
      <c r="J4613" s="15" t="s">
        <v>18269</v>
      </c>
      <c r="K4613" s="15">
        <v>9.0</v>
      </c>
      <c r="L4613" s="15">
        <v>9.0</v>
      </c>
      <c r="M4613" s="40">
        <v>42224.0</v>
      </c>
      <c r="N4613" s="40">
        <v>42489.0</v>
      </c>
      <c r="O4613" s="15" t="s">
        <v>1554</v>
      </c>
      <c r="Q4613" s="7"/>
    </row>
    <row r="4614">
      <c r="A4614" s="39" t="s">
        <v>18270</v>
      </c>
      <c r="B4614" s="15">
        <v>1662272.0</v>
      </c>
      <c r="C4614" s="15" t="s">
        <v>18271</v>
      </c>
      <c r="D4614" s="15">
        <v>293050.0</v>
      </c>
      <c r="E4614" s="15" t="s">
        <v>1548</v>
      </c>
      <c r="F4614" s="15" t="s">
        <v>1848</v>
      </c>
      <c r="G4614" s="7">
        <v>6.327</v>
      </c>
      <c r="H4614" s="15" t="s">
        <v>2660</v>
      </c>
      <c r="I4614" s="15" t="s">
        <v>1686</v>
      </c>
      <c r="J4614" s="15" t="s">
        <v>18272</v>
      </c>
      <c r="K4614" s="15">
        <v>4.0</v>
      </c>
      <c r="L4614" s="15">
        <v>4.0</v>
      </c>
      <c r="M4614" s="40">
        <v>42213.0</v>
      </c>
      <c r="N4614" s="40">
        <v>42234.0</v>
      </c>
      <c r="O4614" s="15" t="s">
        <v>1554</v>
      </c>
      <c r="Q4614" s="7"/>
    </row>
    <row r="4615">
      <c r="A4615" s="39" t="s">
        <v>18274</v>
      </c>
      <c r="B4615" s="15">
        <v>1462682.0</v>
      </c>
      <c r="C4615" s="15" t="s">
        <v>18275</v>
      </c>
      <c r="D4615" s="15">
        <v>293054.0</v>
      </c>
      <c r="E4615" s="15" t="s">
        <v>1548</v>
      </c>
      <c r="F4615" s="15" t="s">
        <v>1771</v>
      </c>
      <c r="G4615" s="7">
        <v>5.961</v>
      </c>
      <c r="H4615" s="15" t="s">
        <v>2284</v>
      </c>
      <c r="I4615" s="15" t="s">
        <v>1628</v>
      </c>
      <c r="J4615" s="15" t="s">
        <v>18276</v>
      </c>
      <c r="K4615" s="15">
        <v>6.0</v>
      </c>
      <c r="L4615" s="15">
        <v>6.0</v>
      </c>
      <c r="M4615" s="40">
        <v>41703.0</v>
      </c>
      <c r="N4615" s="41">
        <v>42299.0</v>
      </c>
      <c r="O4615" s="15" t="s">
        <v>1554</v>
      </c>
      <c r="Q4615" s="7"/>
    </row>
    <row r="4616">
      <c r="A4616" s="39" t="s">
        <v>18277</v>
      </c>
      <c r="B4616" s="15">
        <v>83871.0</v>
      </c>
      <c r="C4616" s="15" t="s">
        <v>18278</v>
      </c>
      <c r="D4616" s="15">
        <v>293212.0</v>
      </c>
      <c r="E4616" s="15" t="s">
        <v>1548</v>
      </c>
      <c r="F4616" s="15" t="s">
        <v>5033</v>
      </c>
      <c r="G4616" s="7">
        <v>16.732</v>
      </c>
      <c r="H4616" s="15" t="s">
        <v>18279</v>
      </c>
      <c r="I4616" s="15" t="s">
        <v>2034</v>
      </c>
      <c r="J4616" s="15" t="s">
        <v>18280</v>
      </c>
      <c r="K4616" s="15">
        <v>5.0</v>
      </c>
      <c r="L4616" s="15">
        <v>5.0</v>
      </c>
      <c r="M4616" s="40">
        <v>41976.0</v>
      </c>
      <c r="N4616" s="40">
        <v>42234.0</v>
      </c>
      <c r="O4616" s="15" t="s">
        <v>1554</v>
      </c>
      <c r="Q4616" s="7"/>
    </row>
    <row r="4617">
      <c r="A4617" s="39" t="s">
        <v>18281</v>
      </c>
      <c r="B4617" s="15">
        <v>1699094.0</v>
      </c>
      <c r="C4617" s="15" t="s">
        <v>18283</v>
      </c>
      <c r="D4617" s="15">
        <v>293231.0</v>
      </c>
      <c r="E4617" s="15" t="s">
        <v>1664</v>
      </c>
      <c r="F4617" s="15" t="s">
        <v>15173</v>
      </c>
      <c r="G4617" s="7">
        <v>2.152</v>
      </c>
      <c r="H4617" s="15">
        <v>52.0</v>
      </c>
      <c r="I4617" s="15" t="s">
        <v>1686</v>
      </c>
      <c r="J4617" s="15" t="s">
        <v>18284</v>
      </c>
      <c r="K4617" s="15">
        <v>2.0</v>
      </c>
      <c r="L4617" s="15">
        <v>2.0</v>
      </c>
      <c r="M4617" s="40">
        <v>42223.0</v>
      </c>
      <c r="N4617" s="40">
        <v>42284.0</v>
      </c>
      <c r="O4617" s="15" t="s">
        <v>1554</v>
      </c>
      <c r="Q4617" s="7"/>
    </row>
    <row r="4618">
      <c r="A4618" s="39" t="s">
        <v>18285</v>
      </c>
      <c r="B4618" s="15">
        <v>1699316.0</v>
      </c>
      <c r="C4618" s="15" t="s">
        <v>18286</v>
      </c>
      <c r="D4618" s="15">
        <v>293568.0</v>
      </c>
      <c r="E4618" s="15" t="s">
        <v>1808</v>
      </c>
      <c r="F4618" s="15" t="s">
        <v>1998</v>
      </c>
      <c r="G4618" s="7">
        <v>2.53</v>
      </c>
      <c r="H4618" s="15" t="s">
        <v>4821</v>
      </c>
      <c r="I4618" s="15" t="s">
        <v>1706</v>
      </c>
      <c r="J4618" s="15" t="s">
        <v>18287</v>
      </c>
      <c r="K4618" s="15">
        <v>2.0</v>
      </c>
      <c r="L4618" s="15">
        <v>2.0</v>
      </c>
      <c r="M4618" s="40">
        <v>42231.0</v>
      </c>
      <c r="N4618" s="40">
        <v>42237.0</v>
      </c>
      <c r="O4618" s="15" t="s">
        <v>1554</v>
      </c>
      <c r="Q4618" s="7"/>
    </row>
    <row r="4619">
      <c r="A4619" s="39" t="s">
        <v>18288</v>
      </c>
      <c r="B4619" s="15">
        <v>1692250.0</v>
      </c>
      <c r="C4619" s="15" t="s">
        <v>18289</v>
      </c>
      <c r="D4619" s="15">
        <v>293712.0</v>
      </c>
      <c r="E4619" s="15" t="s">
        <v>1808</v>
      </c>
      <c r="F4619" s="15" t="s">
        <v>1998</v>
      </c>
      <c r="G4619" s="7">
        <v>1.999</v>
      </c>
      <c r="H4619" s="15" t="s">
        <v>2981</v>
      </c>
      <c r="I4619" s="15" t="s">
        <v>1686</v>
      </c>
      <c r="J4619" s="15" t="s">
        <v>18291</v>
      </c>
      <c r="K4619" s="15">
        <v>2.0</v>
      </c>
      <c r="L4619" s="15">
        <v>2.0</v>
      </c>
      <c r="M4619" s="40">
        <v>42232.0</v>
      </c>
      <c r="N4619" s="40">
        <v>42240.0</v>
      </c>
      <c r="O4619" s="15" t="s">
        <v>1554</v>
      </c>
      <c r="Q4619" s="7"/>
    </row>
    <row r="4620">
      <c r="A4620" s="39" t="s">
        <v>18292</v>
      </c>
      <c r="B4620" s="15">
        <v>1692246.0</v>
      </c>
      <c r="C4620" s="15" t="s">
        <v>18293</v>
      </c>
      <c r="D4620" s="15">
        <v>293716.0</v>
      </c>
      <c r="E4620" s="15" t="s">
        <v>1808</v>
      </c>
      <c r="F4620" s="15" t="s">
        <v>1998</v>
      </c>
      <c r="G4620" s="7">
        <v>1.876</v>
      </c>
      <c r="H4620" s="15" t="s">
        <v>1670</v>
      </c>
      <c r="I4620" s="15" t="s">
        <v>1560</v>
      </c>
      <c r="J4620" s="15" t="s">
        <v>18294</v>
      </c>
      <c r="K4620" s="15">
        <v>2.0</v>
      </c>
      <c r="L4620" s="15">
        <v>2.0</v>
      </c>
      <c r="M4620" s="40">
        <v>42232.0</v>
      </c>
      <c r="N4620" s="40">
        <v>42240.0</v>
      </c>
      <c r="O4620" s="15" t="s">
        <v>1554</v>
      </c>
      <c r="Q4620" s="7"/>
    </row>
    <row r="4621">
      <c r="A4621" s="39" t="s">
        <v>18295</v>
      </c>
      <c r="B4621" s="15">
        <v>1692251.0</v>
      </c>
      <c r="C4621" s="15" t="s">
        <v>18296</v>
      </c>
      <c r="D4621" s="15">
        <v>293724.0</v>
      </c>
      <c r="E4621" s="15" t="s">
        <v>1808</v>
      </c>
      <c r="F4621" s="15" t="s">
        <v>1998</v>
      </c>
      <c r="G4621" s="7">
        <v>1.063</v>
      </c>
      <c r="H4621" s="15" t="s">
        <v>2686</v>
      </c>
      <c r="I4621" s="15" t="s">
        <v>1560</v>
      </c>
      <c r="J4621" s="15" t="s">
        <v>18297</v>
      </c>
      <c r="K4621" s="15">
        <v>1.0</v>
      </c>
      <c r="L4621" s="15">
        <v>1.0</v>
      </c>
      <c r="M4621" s="40">
        <v>42232.0</v>
      </c>
      <c r="N4621" s="40">
        <v>42240.0</v>
      </c>
      <c r="O4621" s="15" t="s">
        <v>1554</v>
      </c>
      <c r="Q4621" s="7"/>
    </row>
    <row r="4622">
      <c r="A4622" s="39" t="s">
        <v>18299</v>
      </c>
      <c r="B4622" s="15">
        <v>1692260.0</v>
      </c>
      <c r="C4622" s="15" t="s">
        <v>18300</v>
      </c>
      <c r="D4622" s="15">
        <v>293728.0</v>
      </c>
      <c r="E4622" s="15" t="s">
        <v>1808</v>
      </c>
      <c r="F4622" s="15" t="s">
        <v>1998</v>
      </c>
      <c r="G4622" s="7">
        <v>2.292</v>
      </c>
      <c r="H4622" s="15">
        <v>50.0</v>
      </c>
      <c r="I4622" s="15" t="s">
        <v>1560</v>
      </c>
      <c r="J4622" s="15" t="s">
        <v>18301</v>
      </c>
      <c r="K4622" s="15">
        <v>2.0</v>
      </c>
      <c r="L4622" s="15">
        <v>2.0</v>
      </c>
      <c r="M4622" s="40">
        <v>42232.0</v>
      </c>
      <c r="N4622" s="40">
        <v>42240.0</v>
      </c>
      <c r="O4622" s="15" t="s">
        <v>1554</v>
      </c>
      <c r="Q4622" s="7"/>
    </row>
    <row r="4623">
      <c r="A4623" s="39" t="s">
        <v>18302</v>
      </c>
      <c r="B4623" s="15">
        <v>1692255.0</v>
      </c>
      <c r="C4623" s="15" t="s">
        <v>18303</v>
      </c>
      <c r="D4623" s="15">
        <v>293733.0</v>
      </c>
      <c r="E4623" s="15" t="s">
        <v>1808</v>
      </c>
      <c r="F4623" s="15" t="s">
        <v>1998</v>
      </c>
      <c r="G4623" s="7">
        <v>2.305</v>
      </c>
      <c r="H4623" s="15" t="s">
        <v>1828</v>
      </c>
      <c r="I4623" s="15" t="s">
        <v>1560</v>
      </c>
      <c r="J4623" s="15" t="s">
        <v>18304</v>
      </c>
      <c r="K4623" s="15">
        <v>2.0</v>
      </c>
      <c r="L4623" s="15">
        <v>2.0</v>
      </c>
      <c r="M4623" s="40">
        <v>42232.0</v>
      </c>
      <c r="N4623" s="40">
        <v>42240.0</v>
      </c>
      <c r="O4623" s="15" t="s">
        <v>1554</v>
      </c>
      <c r="Q4623" s="7"/>
    </row>
    <row r="4624">
      <c r="A4624" s="39" t="s">
        <v>18305</v>
      </c>
      <c r="B4624" s="15">
        <v>1692248.0</v>
      </c>
      <c r="C4624" s="15" t="s">
        <v>18306</v>
      </c>
      <c r="D4624" s="15">
        <v>293714.0</v>
      </c>
      <c r="E4624" s="15" t="s">
        <v>1808</v>
      </c>
      <c r="F4624" s="15" t="s">
        <v>1998</v>
      </c>
      <c r="G4624" s="7">
        <v>1.799</v>
      </c>
      <c r="H4624" s="15" t="s">
        <v>2484</v>
      </c>
      <c r="I4624" s="15" t="s">
        <v>1560</v>
      </c>
      <c r="J4624" s="15" t="s">
        <v>18307</v>
      </c>
      <c r="K4624" s="15">
        <v>2.0</v>
      </c>
      <c r="L4624" s="15">
        <v>2.0</v>
      </c>
      <c r="M4624" s="40">
        <v>42232.0</v>
      </c>
      <c r="N4624" s="40">
        <v>42240.0</v>
      </c>
      <c r="O4624" s="15" t="s">
        <v>1554</v>
      </c>
      <c r="Q4624" s="7"/>
    </row>
    <row r="4625">
      <c r="A4625" s="39" t="s">
        <v>18308</v>
      </c>
      <c r="B4625" s="15">
        <v>1692107.0</v>
      </c>
      <c r="C4625" s="15" t="s">
        <v>18309</v>
      </c>
      <c r="D4625" s="15">
        <v>293722.0</v>
      </c>
      <c r="E4625" s="15" t="s">
        <v>1638</v>
      </c>
      <c r="F4625" s="15" t="s">
        <v>1863</v>
      </c>
      <c r="G4625" s="7">
        <v>19.25</v>
      </c>
      <c r="H4625" s="15" t="s">
        <v>18311</v>
      </c>
      <c r="I4625" s="15" t="s">
        <v>1751</v>
      </c>
      <c r="J4625" s="15" t="s">
        <v>18312</v>
      </c>
      <c r="K4625" s="15">
        <v>10.0</v>
      </c>
      <c r="L4625" s="15">
        <v>10.0</v>
      </c>
      <c r="M4625" s="40">
        <v>42233.0</v>
      </c>
      <c r="N4625" s="40">
        <v>42240.0</v>
      </c>
      <c r="O4625" s="15" t="s">
        <v>1554</v>
      </c>
      <c r="Q4625" s="7"/>
    </row>
    <row r="4626">
      <c r="A4626" s="39" t="s">
        <v>18313</v>
      </c>
      <c r="B4626" s="15">
        <v>1692262.0</v>
      </c>
      <c r="C4626" s="15" t="s">
        <v>18314</v>
      </c>
      <c r="D4626" s="15">
        <v>293726.0</v>
      </c>
      <c r="E4626" s="15" t="s">
        <v>1808</v>
      </c>
      <c r="F4626" s="15" t="s">
        <v>1998</v>
      </c>
      <c r="G4626" s="7">
        <v>1.24</v>
      </c>
      <c r="H4626" s="15" t="s">
        <v>1670</v>
      </c>
      <c r="I4626" s="15" t="s">
        <v>1560</v>
      </c>
      <c r="J4626" s="15" t="s">
        <v>18315</v>
      </c>
      <c r="K4626" s="15">
        <v>2.0</v>
      </c>
      <c r="L4626" s="15">
        <v>2.0</v>
      </c>
      <c r="M4626" s="40">
        <v>42232.0</v>
      </c>
      <c r="N4626" s="40">
        <v>42240.0</v>
      </c>
      <c r="O4626" s="15" t="s">
        <v>1554</v>
      </c>
      <c r="Q4626" s="7"/>
    </row>
    <row r="4627">
      <c r="A4627" s="39" t="s">
        <v>18316</v>
      </c>
      <c r="B4627" s="15">
        <v>1692257.0</v>
      </c>
      <c r="C4627" s="15" t="s">
        <v>18317</v>
      </c>
      <c r="D4627" s="15">
        <v>293731.0</v>
      </c>
      <c r="E4627" s="15" t="s">
        <v>1808</v>
      </c>
      <c r="F4627" s="15" t="s">
        <v>1998</v>
      </c>
      <c r="G4627" s="7">
        <v>2.293</v>
      </c>
      <c r="H4627" s="15" t="s">
        <v>1782</v>
      </c>
      <c r="I4627" s="15" t="s">
        <v>1560</v>
      </c>
      <c r="J4627" s="15" t="s">
        <v>18319</v>
      </c>
      <c r="K4627" s="15">
        <v>2.0</v>
      </c>
      <c r="L4627" s="15">
        <v>2.0</v>
      </c>
      <c r="M4627" s="40">
        <v>42232.0</v>
      </c>
      <c r="N4627" s="40">
        <v>42240.0</v>
      </c>
      <c r="O4627" s="15" t="s">
        <v>1554</v>
      </c>
      <c r="Q4627" s="7"/>
    </row>
    <row r="4628">
      <c r="A4628" s="39" t="s">
        <v>18320</v>
      </c>
      <c r="B4628" s="15">
        <v>1692252.0</v>
      </c>
      <c r="C4628" s="15" t="s">
        <v>18321</v>
      </c>
      <c r="D4628" s="15">
        <v>293707.0</v>
      </c>
      <c r="E4628" s="15" t="s">
        <v>1808</v>
      </c>
      <c r="F4628" s="15" t="s">
        <v>1998</v>
      </c>
      <c r="G4628" s="7">
        <v>2.291</v>
      </c>
      <c r="H4628" s="15" t="s">
        <v>2686</v>
      </c>
      <c r="I4628" s="15" t="s">
        <v>1560</v>
      </c>
      <c r="J4628" s="15" t="s">
        <v>18322</v>
      </c>
      <c r="K4628" s="15">
        <v>2.0</v>
      </c>
      <c r="L4628" s="15">
        <v>2.0</v>
      </c>
      <c r="M4628" s="40">
        <v>42232.0</v>
      </c>
      <c r="N4628" s="40">
        <v>42240.0</v>
      </c>
      <c r="O4628" s="15" t="s">
        <v>1554</v>
      </c>
      <c r="Q4628" s="7"/>
    </row>
    <row r="4629">
      <c r="A4629" s="39" t="s">
        <v>18323</v>
      </c>
      <c r="B4629" s="15">
        <v>1692243.0</v>
      </c>
      <c r="C4629" s="15" t="s">
        <v>18324</v>
      </c>
      <c r="D4629" s="15">
        <v>293719.0</v>
      </c>
      <c r="E4629" s="15" t="s">
        <v>1808</v>
      </c>
      <c r="F4629" s="15" t="s">
        <v>1998</v>
      </c>
      <c r="G4629" s="7">
        <v>1.826</v>
      </c>
      <c r="H4629" s="15" t="s">
        <v>1559</v>
      </c>
      <c r="I4629" s="15" t="s">
        <v>1560</v>
      </c>
      <c r="J4629" s="15" t="s">
        <v>18325</v>
      </c>
      <c r="K4629" s="15">
        <v>1.0</v>
      </c>
      <c r="L4629" s="15">
        <v>1.0</v>
      </c>
      <c r="M4629" s="40">
        <v>42232.0</v>
      </c>
      <c r="N4629" s="40">
        <v>42240.0</v>
      </c>
      <c r="O4629" s="15" t="s">
        <v>1554</v>
      </c>
      <c r="Q4629" s="7"/>
    </row>
    <row r="4630">
      <c r="A4630" s="39" t="s">
        <v>18327</v>
      </c>
      <c r="B4630" s="15">
        <v>1692261.0</v>
      </c>
      <c r="C4630" s="15" t="s">
        <v>18328</v>
      </c>
      <c r="D4630" s="15">
        <v>293727.0</v>
      </c>
      <c r="E4630" s="15" t="s">
        <v>1808</v>
      </c>
      <c r="F4630" s="15" t="s">
        <v>1998</v>
      </c>
      <c r="G4630" s="7">
        <v>1.815</v>
      </c>
      <c r="H4630" s="15" t="s">
        <v>6418</v>
      </c>
      <c r="I4630" s="15" t="s">
        <v>1560</v>
      </c>
      <c r="J4630" s="15" t="s">
        <v>18329</v>
      </c>
      <c r="K4630" s="15">
        <v>2.0</v>
      </c>
      <c r="L4630" s="15">
        <v>2.0</v>
      </c>
      <c r="M4630" s="40">
        <v>42232.0</v>
      </c>
      <c r="N4630" s="40">
        <v>42240.0</v>
      </c>
      <c r="O4630" s="15" t="s">
        <v>1554</v>
      </c>
      <c r="Q4630" s="7"/>
    </row>
    <row r="4631">
      <c r="A4631" s="39" t="s">
        <v>18330</v>
      </c>
      <c r="B4631" s="15">
        <v>1697349.0</v>
      </c>
      <c r="C4631" s="15" t="s">
        <v>18331</v>
      </c>
      <c r="D4631" s="15">
        <v>293685.0</v>
      </c>
      <c r="E4631" s="15" t="s">
        <v>1557</v>
      </c>
      <c r="F4631" s="15" t="s">
        <v>3454</v>
      </c>
      <c r="G4631" s="7">
        <v>124.244</v>
      </c>
      <c r="H4631" s="15" t="s">
        <v>4331</v>
      </c>
      <c r="I4631" s="15" t="s">
        <v>1686</v>
      </c>
      <c r="J4631" s="15" t="s">
        <v>18332</v>
      </c>
      <c r="K4631" s="15">
        <v>129.0</v>
      </c>
      <c r="L4631" s="15">
        <v>129.0</v>
      </c>
      <c r="M4631" s="40">
        <v>42225.0</v>
      </c>
      <c r="N4631" s="40">
        <v>42240.0</v>
      </c>
      <c r="O4631" s="15" t="s">
        <v>1554</v>
      </c>
      <c r="Q4631" s="7"/>
    </row>
    <row r="4632">
      <c r="A4632" s="39" t="s">
        <v>18333</v>
      </c>
      <c r="B4632" s="15">
        <v>1692249.0</v>
      </c>
      <c r="C4632" s="15" t="s">
        <v>18334</v>
      </c>
      <c r="D4632" s="15">
        <v>293713.0</v>
      </c>
      <c r="E4632" s="15" t="s">
        <v>1808</v>
      </c>
      <c r="F4632" s="15" t="s">
        <v>1998</v>
      </c>
      <c r="G4632" s="7">
        <v>1.635</v>
      </c>
      <c r="H4632" s="15" t="s">
        <v>2869</v>
      </c>
      <c r="I4632" s="15" t="s">
        <v>1560</v>
      </c>
      <c r="J4632" s="15" t="s">
        <v>18336</v>
      </c>
      <c r="K4632" s="15">
        <v>2.0</v>
      </c>
      <c r="L4632" s="15">
        <v>2.0</v>
      </c>
      <c r="M4632" s="40">
        <v>42232.0</v>
      </c>
      <c r="N4632" s="40">
        <v>42240.0</v>
      </c>
      <c r="O4632" s="15" t="s">
        <v>1554</v>
      </c>
      <c r="Q4632" s="7"/>
    </row>
    <row r="4633">
      <c r="A4633" s="39" t="s">
        <v>18337</v>
      </c>
      <c r="B4633" s="15">
        <v>1692245.0</v>
      </c>
      <c r="C4633" s="15" t="s">
        <v>18338</v>
      </c>
      <c r="D4633" s="15">
        <v>293717.0</v>
      </c>
      <c r="E4633" s="15" t="s">
        <v>1808</v>
      </c>
      <c r="F4633" s="15" t="s">
        <v>1998</v>
      </c>
      <c r="G4633" s="7">
        <v>1.241</v>
      </c>
      <c r="H4633" s="15" t="s">
        <v>2548</v>
      </c>
      <c r="I4633" s="15" t="s">
        <v>1560</v>
      </c>
      <c r="J4633" s="15" t="s">
        <v>18339</v>
      </c>
      <c r="K4633" s="15">
        <v>2.0</v>
      </c>
      <c r="L4633" s="15">
        <v>2.0</v>
      </c>
      <c r="M4633" s="40">
        <v>42232.0</v>
      </c>
      <c r="N4633" s="40">
        <v>42240.0</v>
      </c>
      <c r="O4633" s="15" t="s">
        <v>1554</v>
      </c>
      <c r="Q4633" s="7"/>
    </row>
    <row r="4634">
      <c r="A4634" s="39" t="s">
        <v>18340</v>
      </c>
      <c r="B4634" s="15">
        <v>1692263.0</v>
      </c>
      <c r="C4634" s="15" t="s">
        <v>18341</v>
      </c>
      <c r="D4634" s="15">
        <v>293725.0</v>
      </c>
      <c r="E4634" s="15" t="s">
        <v>1808</v>
      </c>
      <c r="F4634" s="15" t="s">
        <v>1998</v>
      </c>
      <c r="G4634" s="7">
        <v>43252.0</v>
      </c>
      <c r="H4634" s="15" t="s">
        <v>1714</v>
      </c>
      <c r="I4634" s="15" t="s">
        <v>1560</v>
      </c>
      <c r="J4634" s="15" t="s">
        <v>18342</v>
      </c>
      <c r="K4634" s="15">
        <v>2.0</v>
      </c>
      <c r="L4634" s="15">
        <v>2.0</v>
      </c>
      <c r="M4634" s="40">
        <v>42232.0</v>
      </c>
      <c r="N4634" s="40">
        <v>42240.0</v>
      </c>
      <c r="O4634" s="15" t="s">
        <v>1554</v>
      </c>
      <c r="Q4634" s="7"/>
    </row>
    <row r="4635">
      <c r="A4635" s="39" t="s">
        <v>18343</v>
      </c>
      <c r="B4635" s="15">
        <v>1692258.0</v>
      </c>
      <c r="C4635" s="15" t="s">
        <v>18344</v>
      </c>
      <c r="D4635" s="15">
        <v>293730.0</v>
      </c>
      <c r="E4635" s="15" t="s">
        <v>1808</v>
      </c>
      <c r="F4635" s="15" t="s">
        <v>1998</v>
      </c>
      <c r="G4635" s="7">
        <v>1.895</v>
      </c>
      <c r="H4635" s="15" t="s">
        <v>4113</v>
      </c>
      <c r="I4635" s="15" t="s">
        <v>1560</v>
      </c>
      <c r="J4635" s="15" t="s">
        <v>18346</v>
      </c>
      <c r="K4635" s="15">
        <v>2.0</v>
      </c>
      <c r="L4635" s="15">
        <v>2.0</v>
      </c>
      <c r="M4635" s="40">
        <v>42232.0</v>
      </c>
      <c r="N4635" s="40">
        <v>42240.0</v>
      </c>
      <c r="O4635" s="15" t="s">
        <v>1554</v>
      </c>
      <c r="Q4635" s="7"/>
    </row>
    <row r="4636">
      <c r="A4636" s="39" t="s">
        <v>18347</v>
      </c>
      <c r="B4636" s="15">
        <v>1692254.0</v>
      </c>
      <c r="C4636" s="15" t="s">
        <v>18348</v>
      </c>
      <c r="D4636" s="15">
        <v>293734.0</v>
      </c>
      <c r="E4636" s="15" t="s">
        <v>1808</v>
      </c>
      <c r="F4636" s="15" t="s">
        <v>1998</v>
      </c>
      <c r="G4636" s="7">
        <v>2.167</v>
      </c>
      <c r="H4636" s="15" t="s">
        <v>2981</v>
      </c>
      <c r="I4636" s="15" t="s">
        <v>1560</v>
      </c>
      <c r="J4636" s="15" t="s">
        <v>18349</v>
      </c>
      <c r="K4636" s="15">
        <v>2.0</v>
      </c>
      <c r="L4636" s="15">
        <v>2.0</v>
      </c>
      <c r="M4636" s="40">
        <v>42232.0</v>
      </c>
      <c r="N4636" s="40">
        <v>42240.0</v>
      </c>
      <c r="O4636" s="15" t="s">
        <v>1554</v>
      </c>
      <c r="Q4636" s="7"/>
    </row>
    <row r="4637">
      <c r="A4637" s="39" t="s">
        <v>18350</v>
      </c>
      <c r="B4637" s="15">
        <v>1640277.0</v>
      </c>
      <c r="D4637" s="15">
        <v>0.0</v>
      </c>
      <c r="E4637" s="15" t="s">
        <v>1638</v>
      </c>
      <c r="F4637" s="15" t="s">
        <v>1863</v>
      </c>
      <c r="G4637" s="7">
        <v>24.596</v>
      </c>
      <c r="H4637" s="15" t="s">
        <v>18351</v>
      </c>
      <c r="I4637" s="15" t="s">
        <v>1686</v>
      </c>
      <c r="J4637" s="15" t="s">
        <v>18352</v>
      </c>
      <c r="K4637" s="15">
        <v>10.0</v>
      </c>
      <c r="L4637" s="15">
        <v>10.0</v>
      </c>
      <c r="M4637" s="40">
        <v>42235.0</v>
      </c>
      <c r="N4637" s="41">
        <v>42306.0</v>
      </c>
      <c r="O4637" s="15" t="s">
        <v>1554</v>
      </c>
      <c r="Q4637" s="7"/>
    </row>
    <row r="4638">
      <c r="A4638" s="39" t="s">
        <v>18353</v>
      </c>
      <c r="B4638" s="15">
        <v>396359.0</v>
      </c>
      <c r="C4638" s="15" t="s">
        <v>18355</v>
      </c>
      <c r="D4638" s="15">
        <v>12521.0</v>
      </c>
      <c r="E4638" s="15" t="s">
        <v>1557</v>
      </c>
      <c r="F4638" s="15" t="s">
        <v>1833</v>
      </c>
      <c r="G4638" s="7">
        <v>38.092</v>
      </c>
      <c r="H4638" s="42">
        <v>43128.0</v>
      </c>
      <c r="I4638" s="15" t="s">
        <v>1586</v>
      </c>
      <c r="J4638" s="15" t="s">
        <v>18356</v>
      </c>
      <c r="K4638" s="15">
        <v>54.0</v>
      </c>
      <c r="L4638" s="15">
        <v>53.0</v>
      </c>
      <c r="M4638" s="40">
        <v>38924.0</v>
      </c>
      <c r="N4638" s="40">
        <v>41674.0</v>
      </c>
      <c r="O4638" s="15" t="s">
        <v>1554</v>
      </c>
      <c r="Q4638" s="7"/>
    </row>
    <row r="4639">
      <c r="A4639" s="39" t="s">
        <v>18357</v>
      </c>
      <c r="B4639" s="15">
        <v>1126885.0</v>
      </c>
      <c r="C4639" s="15" t="s">
        <v>18359</v>
      </c>
      <c r="D4639" s="15">
        <v>73961.0</v>
      </c>
      <c r="E4639" s="15" t="s">
        <v>1557</v>
      </c>
      <c r="F4639" s="15" t="s">
        <v>1833</v>
      </c>
      <c r="G4639" s="7">
        <v>41.938</v>
      </c>
      <c r="H4639" s="15" t="s">
        <v>3309</v>
      </c>
      <c r="I4639" s="15" t="s">
        <v>1586</v>
      </c>
      <c r="J4639" s="15" t="s">
        <v>18360</v>
      </c>
      <c r="K4639" s="15">
        <v>57.0</v>
      </c>
      <c r="L4639" s="15">
        <v>57.0</v>
      </c>
      <c r="M4639" s="40">
        <v>41061.0</v>
      </c>
      <c r="N4639" s="40">
        <v>41878.0</v>
      </c>
      <c r="O4639" s="15" t="s">
        <v>1554</v>
      </c>
      <c r="Q4639" s="7"/>
    </row>
    <row r="4640">
      <c r="A4640" s="39" t="s">
        <v>18361</v>
      </c>
      <c r="B4640" s="15">
        <v>1714273.0</v>
      </c>
      <c r="C4640" s="15" t="s">
        <v>18362</v>
      </c>
      <c r="D4640" s="15">
        <v>14235.0</v>
      </c>
      <c r="E4640" s="15" t="s">
        <v>1664</v>
      </c>
      <c r="F4640" s="15" t="s">
        <v>1665</v>
      </c>
      <c r="G4640" s="7">
        <v>19.604</v>
      </c>
      <c r="H4640" s="15" t="s">
        <v>11392</v>
      </c>
      <c r="I4640" s="15" t="s">
        <v>1586</v>
      </c>
      <c r="J4640" s="15" t="s">
        <v>18363</v>
      </c>
      <c r="K4640" s="15">
        <v>39.0</v>
      </c>
      <c r="L4640" s="15">
        <v>39.0</v>
      </c>
      <c r="M4640" s="41">
        <v>37611.0</v>
      </c>
      <c r="N4640" s="40">
        <v>42382.0</v>
      </c>
      <c r="O4640" s="15" t="s">
        <v>1554</v>
      </c>
      <c r="Q4640" s="7"/>
    </row>
    <row r="4641">
      <c r="A4641" s="39" t="s">
        <v>18364</v>
      </c>
      <c r="B4641" s="15">
        <v>1407058.0</v>
      </c>
      <c r="C4641" s="15" t="s">
        <v>18365</v>
      </c>
      <c r="D4641" s="15">
        <v>181995.0</v>
      </c>
      <c r="E4641" s="15" t="s">
        <v>2014</v>
      </c>
      <c r="F4641" s="15" t="s">
        <v>1578</v>
      </c>
      <c r="G4641" s="7">
        <v>1.389</v>
      </c>
      <c r="H4641" s="15" t="s">
        <v>1912</v>
      </c>
      <c r="I4641" s="15" t="s">
        <v>1628</v>
      </c>
      <c r="J4641" s="15" t="s">
        <v>18366</v>
      </c>
      <c r="K4641" s="15">
        <v>1.0</v>
      </c>
      <c r="L4641" s="15">
        <v>1.0</v>
      </c>
      <c r="M4641" s="41">
        <v>41225.0</v>
      </c>
      <c r="N4641" s="40">
        <v>42261.0</v>
      </c>
      <c r="O4641" s="15" t="s">
        <v>1554</v>
      </c>
      <c r="Q4641" s="7"/>
    </row>
    <row r="4642">
      <c r="A4642" s="39" t="s">
        <v>18368</v>
      </c>
      <c r="B4642" s="15">
        <v>1310424.0</v>
      </c>
      <c r="C4642" s="15" t="s">
        <v>18369</v>
      </c>
      <c r="D4642" s="15">
        <v>295302.0</v>
      </c>
      <c r="E4642" s="15" t="s">
        <v>1638</v>
      </c>
      <c r="F4642" s="15" t="s">
        <v>1796</v>
      </c>
      <c r="G4642" s="7">
        <v>3.341</v>
      </c>
      <c r="H4642" s="15" t="s">
        <v>18370</v>
      </c>
      <c r="I4642" s="15" t="s">
        <v>1628</v>
      </c>
      <c r="J4642" s="15" t="s">
        <v>18371</v>
      </c>
      <c r="K4642" s="15">
        <v>2.0</v>
      </c>
      <c r="L4642" s="15">
        <v>2.0</v>
      </c>
      <c r="M4642" s="40">
        <v>42256.0</v>
      </c>
      <c r="N4642" s="40">
        <v>42261.0</v>
      </c>
      <c r="O4642" s="15" t="s">
        <v>1554</v>
      </c>
      <c r="Q4642" s="7"/>
    </row>
    <row r="4643">
      <c r="A4643" s="39" t="s">
        <v>18372</v>
      </c>
      <c r="B4643" s="15">
        <v>1708654.0</v>
      </c>
      <c r="C4643" s="15" t="s">
        <v>18373</v>
      </c>
      <c r="D4643" s="15">
        <v>295309.0</v>
      </c>
      <c r="E4643" s="15" t="s">
        <v>1548</v>
      </c>
      <c r="F4643" s="15" t="s">
        <v>1801</v>
      </c>
      <c r="G4643" s="7">
        <v>10.893</v>
      </c>
      <c r="H4643" s="15" t="s">
        <v>3432</v>
      </c>
      <c r="I4643" s="15" t="s">
        <v>1803</v>
      </c>
      <c r="J4643" s="15" t="s">
        <v>18374</v>
      </c>
      <c r="K4643" s="15">
        <v>1.0</v>
      </c>
      <c r="L4643" s="15">
        <v>2.0</v>
      </c>
      <c r="M4643" s="40">
        <v>42255.0</v>
      </c>
      <c r="N4643" s="40">
        <v>42576.0</v>
      </c>
      <c r="O4643" s="15" t="s">
        <v>1554</v>
      </c>
      <c r="Q4643" s="7"/>
    </row>
    <row r="4644">
      <c r="A4644" s="39" t="s">
        <v>18375</v>
      </c>
      <c r="B4644" s="15">
        <v>1708653.0</v>
      </c>
      <c r="C4644" s="15" t="s">
        <v>18376</v>
      </c>
      <c r="D4644" s="15">
        <v>295577.0</v>
      </c>
      <c r="E4644" s="15" t="s">
        <v>1664</v>
      </c>
      <c r="F4644" s="15" t="s">
        <v>15173</v>
      </c>
      <c r="G4644" s="7">
        <v>2.188</v>
      </c>
      <c r="H4644" s="15">
        <v>52.0</v>
      </c>
      <c r="I4644" s="15" t="s">
        <v>1686</v>
      </c>
      <c r="J4644" s="15" t="s">
        <v>18378</v>
      </c>
      <c r="K4644" s="15">
        <v>3.0</v>
      </c>
      <c r="L4644" s="15">
        <v>3.0</v>
      </c>
      <c r="M4644" s="40">
        <v>42255.0</v>
      </c>
      <c r="N4644" s="40">
        <v>42284.0</v>
      </c>
      <c r="O4644" s="15" t="s">
        <v>1554</v>
      </c>
      <c r="Q4644" s="7"/>
    </row>
    <row r="4645">
      <c r="A4645" s="39" t="s">
        <v>18379</v>
      </c>
      <c r="B4645" s="15">
        <v>1708574.0</v>
      </c>
      <c r="C4645" s="15" t="s">
        <v>18380</v>
      </c>
      <c r="D4645" s="15">
        <v>295578.0</v>
      </c>
      <c r="E4645" s="15" t="s">
        <v>1548</v>
      </c>
      <c r="F4645" s="15" t="s">
        <v>1801</v>
      </c>
      <c r="G4645" s="7">
        <v>10.938</v>
      </c>
      <c r="H4645" s="15" t="s">
        <v>3304</v>
      </c>
      <c r="I4645" s="15" t="s">
        <v>1803</v>
      </c>
      <c r="J4645" s="15" t="s">
        <v>18381</v>
      </c>
      <c r="K4645" s="15">
        <v>1.0</v>
      </c>
      <c r="L4645" s="15">
        <v>2.0</v>
      </c>
      <c r="M4645" s="40">
        <v>42255.0</v>
      </c>
      <c r="N4645" s="40">
        <v>42569.0</v>
      </c>
      <c r="O4645" s="15" t="s">
        <v>1554</v>
      </c>
      <c r="Q4645" s="7"/>
    </row>
    <row r="4646">
      <c r="A4646" s="39" t="s">
        <v>18382</v>
      </c>
      <c r="B4646" s="15">
        <v>1708572.0</v>
      </c>
      <c r="C4646" s="15" t="s">
        <v>18383</v>
      </c>
      <c r="D4646" s="15">
        <v>295579.0</v>
      </c>
      <c r="E4646" s="15" t="s">
        <v>1548</v>
      </c>
      <c r="F4646" s="15" t="s">
        <v>1776</v>
      </c>
      <c r="G4646" s="7">
        <v>7.476</v>
      </c>
      <c r="H4646" s="15" t="s">
        <v>3309</v>
      </c>
      <c r="I4646" s="15" t="s">
        <v>1686</v>
      </c>
      <c r="J4646" s="15" t="s">
        <v>18384</v>
      </c>
      <c r="K4646" s="15">
        <v>1.0</v>
      </c>
      <c r="L4646" s="15">
        <v>1.0</v>
      </c>
      <c r="M4646" s="40">
        <v>42256.0</v>
      </c>
      <c r="N4646" s="40">
        <v>42261.0</v>
      </c>
      <c r="O4646" s="15" t="s">
        <v>1554</v>
      </c>
      <c r="Q4646" s="7"/>
    </row>
    <row r="4647">
      <c r="A4647" s="39" t="s">
        <v>18385</v>
      </c>
      <c r="B4647" s="15">
        <v>1708497.0</v>
      </c>
      <c r="C4647" s="15" t="s">
        <v>18387</v>
      </c>
      <c r="D4647" s="15">
        <v>295580.0</v>
      </c>
      <c r="E4647" s="15" t="s">
        <v>1664</v>
      </c>
      <c r="F4647" s="15" t="s">
        <v>15173</v>
      </c>
      <c r="G4647" s="7">
        <v>2.253</v>
      </c>
      <c r="H4647" s="15" t="s">
        <v>2417</v>
      </c>
      <c r="I4647" s="15" t="s">
        <v>1628</v>
      </c>
      <c r="J4647" s="15" t="s">
        <v>18388</v>
      </c>
      <c r="K4647" s="15">
        <v>3.0</v>
      </c>
      <c r="L4647" s="15">
        <v>3.0</v>
      </c>
      <c r="M4647" s="40">
        <v>42255.0</v>
      </c>
      <c r="N4647" s="40">
        <v>42313.0</v>
      </c>
      <c r="O4647" s="15" t="s">
        <v>1554</v>
      </c>
      <c r="Q4647" s="7"/>
    </row>
    <row r="4648">
      <c r="A4648" s="39" t="s">
        <v>18389</v>
      </c>
      <c r="B4648" s="15">
        <v>1678078.0</v>
      </c>
      <c r="C4648" s="15" t="s">
        <v>18390</v>
      </c>
      <c r="D4648" s="15">
        <v>288631.0</v>
      </c>
      <c r="E4648" s="15" t="s">
        <v>1577</v>
      </c>
      <c r="F4648" s="15" t="s">
        <v>1578</v>
      </c>
      <c r="G4648" s="7">
        <v>651.523</v>
      </c>
      <c r="H4648" s="15" t="s">
        <v>10437</v>
      </c>
      <c r="I4648" s="15" t="s">
        <v>1740</v>
      </c>
      <c r="J4648" s="15" t="s">
        <v>18391</v>
      </c>
      <c r="K4648" s="15">
        <v>523.0</v>
      </c>
      <c r="L4648" s="15">
        <v>523.0</v>
      </c>
      <c r="M4648" s="40">
        <v>42258.0</v>
      </c>
      <c r="N4648" s="40">
        <v>42469.0</v>
      </c>
      <c r="O4648" s="15" t="s">
        <v>1554</v>
      </c>
      <c r="Q4648" s="7"/>
    </row>
    <row r="4649">
      <c r="A4649" s="39" t="s">
        <v>18392</v>
      </c>
      <c r="B4649" s="15">
        <v>1675865.0</v>
      </c>
      <c r="C4649" s="15" t="s">
        <v>18393</v>
      </c>
      <c r="D4649" s="15">
        <v>298041.0</v>
      </c>
      <c r="E4649" s="15" t="s">
        <v>1557</v>
      </c>
      <c r="F4649" s="15" t="s">
        <v>1992</v>
      </c>
      <c r="G4649" s="7">
        <v>132.831</v>
      </c>
      <c r="H4649" s="15" t="s">
        <v>1602</v>
      </c>
      <c r="I4649" s="15" t="s">
        <v>1560</v>
      </c>
      <c r="J4649" s="15" t="s">
        <v>18394</v>
      </c>
      <c r="K4649" s="15">
        <v>145.0</v>
      </c>
      <c r="L4649" s="15">
        <v>145.0</v>
      </c>
      <c r="M4649" s="40">
        <v>42262.0</v>
      </c>
      <c r="N4649" s="40">
        <v>42543.0</v>
      </c>
      <c r="O4649" s="15" t="s">
        <v>1554</v>
      </c>
      <c r="Q4649" s="7"/>
    </row>
    <row r="4650">
      <c r="A4650" s="39" t="s">
        <v>18396</v>
      </c>
      <c r="B4650" s="15">
        <v>1481465.0</v>
      </c>
      <c r="C4650" s="15" t="s">
        <v>18397</v>
      </c>
      <c r="D4650" s="15">
        <v>298045.0</v>
      </c>
      <c r="E4650" s="15" t="s">
        <v>1548</v>
      </c>
      <c r="F4650" s="15" t="s">
        <v>1626</v>
      </c>
      <c r="G4650" s="7">
        <v>12.148</v>
      </c>
      <c r="H4650" s="15" t="s">
        <v>18398</v>
      </c>
      <c r="I4650" s="15" t="s">
        <v>1628</v>
      </c>
      <c r="J4650" s="15" t="s">
        <v>18399</v>
      </c>
      <c r="K4650" s="15">
        <v>3.0</v>
      </c>
      <c r="L4650" s="15">
        <v>3.0</v>
      </c>
      <c r="M4650" s="40">
        <v>42276.0</v>
      </c>
      <c r="N4650" s="40">
        <v>42965.0</v>
      </c>
      <c r="O4650" s="15" t="s">
        <v>1554</v>
      </c>
      <c r="Q4650" s="7"/>
    </row>
    <row r="4651">
      <c r="A4651" s="39" t="s">
        <v>18400</v>
      </c>
      <c r="B4651" s="15">
        <v>1712387.0</v>
      </c>
      <c r="C4651" s="15" t="s">
        <v>18401</v>
      </c>
      <c r="D4651" s="15">
        <v>298049.0</v>
      </c>
      <c r="E4651" s="15" t="s">
        <v>1548</v>
      </c>
      <c r="F4651" s="15" t="s">
        <v>5261</v>
      </c>
      <c r="G4651" s="7">
        <v>2.794</v>
      </c>
      <c r="H4651" s="15" t="s">
        <v>4331</v>
      </c>
      <c r="I4651" s="15" t="s">
        <v>1552</v>
      </c>
      <c r="J4651" s="15" t="s">
        <v>18402</v>
      </c>
      <c r="K4651" s="15">
        <v>1.0</v>
      </c>
      <c r="L4651" s="15">
        <v>1.0</v>
      </c>
      <c r="M4651" s="40">
        <v>42262.0</v>
      </c>
      <c r="N4651" s="40">
        <v>42284.0</v>
      </c>
      <c r="O4651" s="15" t="s">
        <v>1554</v>
      </c>
      <c r="Q4651" s="7"/>
    </row>
    <row r="4652">
      <c r="A4652" s="39" t="s">
        <v>18403</v>
      </c>
      <c r="B4652" s="15">
        <v>755164.0</v>
      </c>
      <c r="C4652" s="15" t="s">
        <v>18405</v>
      </c>
      <c r="D4652" s="15">
        <v>298065.0</v>
      </c>
      <c r="E4652" s="15" t="s">
        <v>1557</v>
      </c>
      <c r="F4652" s="15" t="s">
        <v>1767</v>
      </c>
      <c r="G4652" s="7">
        <v>48.211</v>
      </c>
      <c r="H4652" s="15" t="s">
        <v>4070</v>
      </c>
      <c r="I4652" s="15" t="s">
        <v>1586</v>
      </c>
      <c r="J4652" s="15" t="s">
        <v>18406</v>
      </c>
      <c r="K4652" s="15">
        <v>86.0</v>
      </c>
      <c r="L4652" s="15">
        <v>86.0</v>
      </c>
      <c r="M4652" s="40">
        <v>40299.0</v>
      </c>
      <c r="N4652" s="40">
        <v>42284.0</v>
      </c>
      <c r="O4652" s="15" t="s">
        <v>1554</v>
      </c>
      <c r="Q4652" s="7"/>
    </row>
    <row r="4653">
      <c r="A4653" s="39" t="s">
        <v>18407</v>
      </c>
      <c r="B4653" s="15">
        <v>866553.0</v>
      </c>
      <c r="C4653" s="15" t="s">
        <v>18408</v>
      </c>
      <c r="D4653" s="15">
        <v>298069.0</v>
      </c>
      <c r="E4653" s="15" t="s">
        <v>1557</v>
      </c>
      <c r="F4653" s="15" t="s">
        <v>1611</v>
      </c>
      <c r="G4653" s="7">
        <v>57.677</v>
      </c>
      <c r="H4653" s="15" t="s">
        <v>1670</v>
      </c>
      <c r="I4653" s="15" t="s">
        <v>1586</v>
      </c>
      <c r="J4653" s="15" t="s">
        <v>18409</v>
      </c>
      <c r="K4653" s="15">
        <v>91.0</v>
      </c>
      <c r="L4653" s="15">
        <v>88.0</v>
      </c>
      <c r="M4653" s="40">
        <v>40810.0</v>
      </c>
      <c r="N4653" s="40">
        <v>42284.0</v>
      </c>
      <c r="O4653" s="15" t="s">
        <v>1554</v>
      </c>
      <c r="Q4653" s="7"/>
    </row>
    <row r="4654">
      <c r="A4654" s="39" t="s">
        <v>18410</v>
      </c>
      <c r="B4654" s="15">
        <v>438780.0</v>
      </c>
      <c r="C4654" s="15" t="s">
        <v>18411</v>
      </c>
      <c r="D4654" s="15">
        <v>298073.0</v>
      </c>
      <c r="E4654" s="15" t="s">
        <v>1557</v>
      </c>
      <c r="F4654" s="15" t="s">
        <v>1833</v>
      </c>
      <c r="G4654" s="7">
        <v>32.847</v>
      </c>
      <c r="H4654" s="15" t="s">
        <v>7408</v>
      </c>
      <c r="I4654" s="15" t="s">
        <v>1586</v>
      </c>
      <c r="J4654" s="15" t="s">
        <v>18412</v>
      </c>
      <c r="K4654" s="15">
        <v>46.0</v>
      </c>
      <c r="L4654" s="15">
        <v>46.0</v>
      </c>
      <c r="M4654" s="40">
        <v>40180.0</v>
      </c>
      <c r="N4654" s="41">
        <v>42287.0</v>
      </c>
      <c r="O4654" s="15" t="s">
        <v>1554</v>
      </c>
      <c r="Q4654" s="7"/>
    </row>
    <row r="4655">
      <c r="A4655" s="39" t="s">
        <v>18414</v>
      </c>
      <c r="B4655" s="15">
        <v>1561226.0</v>
      </c>
      <c r="C4655" s="15" t="s">
        <v>18415</v>
      </c>
      <c r="D4655" s="15">
        <v>297387.0</v>
      </c>
      <c r="E4655" s="15" t="s">
        <v>1557</v>
      </c>
      <c r="F4655" s="15" t="s">
        <v>1827</v>
      </c>
      <c r="G4655" s="7">
        <v>160.358</v>
      </c>
      <c r="H4655" s="15" t="s">
        <v>4070</v>
      </c>
      <c r="I4655" s="15" t="s">
        <v>1686</v>
      </c>
      <c r="J4655" s="15" t="s">
        <v>18416</v>
      </c>
      <c r="K4655" s="15">
        <v>109.0</v>
      </c>
      <c r="L4655" s="15">
        <v>110.0</v>
      </c>
      <c r="M4655" s="40">
        <v>42270.0</v>
      </c>
      <c r="N4655" s="40">
        <v>42339.0</v>
      </c>
      <c r="O4655" s="15" t="s">
        <v>1554</v>
      </c>
      <c r="Q4655" s="7"/>
    </row>
    <row r="4656">
      <c r="A4656" s="39" t="s">
        <v>18417</v>
      </c>
      <c r="B4656" s="15">
        <v>1675864.0</v>
      </c>
      <c r="C4656" s="15" t="s">
        <v>18418</v>
      </c>
      <c r="D4656" s="15">
        <v>298042.0</v>
      </c>
      <c r="E4656" s="15" t="s">
        <v>1548</v>
      </c>
      <c r="F4656" s="15" t="s">
        <v>2374</v>
      </c>
      <c r="G4656" s="7">
        <v>9.855</v>
      </c>
      <c r="H4656" s="15" t="s">
        <v>2219</v>
      </c>
      <c r="I4656" s="15" t="s">
        <v>1560</v>
      </c>
      <c r="J4656" s="15" t="s">
        <v>18419</v>
      </c>
      <c r="K4656" s="15">
        <v>1.0</v>
      </c>
      <c r="L4656" s="15">
        <v>1.0</v>
      </c>
      <c r="M4656" s="40">
        <v>42233.0</v>
      </c>
      <c r="N4656" s="40">
        <v>42284.0</v>
      </c>
      <c r="O4656" s="15" t="s">
        <v>1554</v>
      </c>
      <c r="Q4656" s="7"/>
    </row>
    <row r="4657">
      <c r="A4657" s="39" t="s">
        <v>18421</v>
      </c>
      <c r="B4657" s="15">
        <v>1690672.0</v>
      </c>
      <c r="C4657" s="15" t="s">
        <v>18422</v>
      </c>
      <c r="D4657" s="15">
        <v>298046.0</v>
      </c>
      <c r="E4657" s="15" t="s">
        <v>1916</v>
      </c>
      <c r="F4657" s="15" t="s">
        <v>3423</v>
      </c>
      <c r="G4657" s="7">
        <v>3.542</v>
      </c>
      <c r="H4657" s="15" t="s">
        <v>2023</v>
      </c>
      <c r="I4657" s="15" t="s">
        <v>1686</v>
      </c>
      <c r="J4657" s="15" t="s">
        <v>18423</v>
      </c>
      <c r="K4657" s="15">
        <v>3.0</v>
      </c>
      <c r="L4657" s="15">
        <v>3.0</v>
      </c>
      <c r="M4657" s="40">
        <v>42264.0</v>
      </c>
      <c r="N4657" s="41">
        <v>42355.0</v>
      </c>
      <c r="O4657" s="15" t="s">
        <v>1554</v>
      </c>
      <c r="Q4657" s="7"/>
    </row>
    <row r="4658">
      <c r="A4658" s="39" t="s">
        <v>18424</v>
      </c>
      <c r="B4658" s="15">
        <v>631719.0</v>
      </c>
      <c r="C4658" s="15" t="s">
        <v>18425</v>
      </c>
      <c r="D4658" s="15">
        <v>298061.0</v>
      </c>
      <c r="E4658" s="15" t="s">
        <v>1557</v>
      </c>
      <c r="F4658" s="15" t="s">
        <v>1767</v>
      </c>
      <c r="G4658" s="7">
        <v>42.612</v>
      </c>
      <c r="H4658" s="15" t="s">
        <v>2296</v>
      </c>
      <c r="I4658" s="15" t="s">
        <v>1586</v>
      </c>
      <c r="J4658" s="15" t="s">
        <v>18426</v>
      </c>
      <c r="K4658" s="15">
        <v>58.0</v>
      </c>
      <c r="L4658" s="15">
        <v>58.0</v>
      </c>
      <c r="M4658" s="40">
        <v>40263.0</v>
      </c>
      <c r="N4658" s="40">
        <v>42284.0</v>
      </c>
      <c r="O4658" s="15" t="s">
        <v>1554</v>
      </c>
      <c r="Q4658" s="7"/>
    </row>
    <row r="4659">
      <c r="A4659" s="39" t="s">
        <v>18427</v>
      </c>
      <c r="B4659" s="15">
        <v>698487.0</v>
      </c>
      <c r="C4659" s="15" t="s">
        <v>18429</v>
      </c>
      <c r="D4659" s="15">
        <v>298066.0</v>
      </c>
      <c r="E4659" s="15" t="s">
        <v>1557</v>
      </c>
      <c r="F4659" s="15" t="s">
        <v>1833</v>
      </c>
      <c r="G4659" s="7">
        <v>41.632</v>
      </c>
      <c r="H4659" s="15" t="s">
        <v>2263</v>
      </c>
      <c r="I4659" s="15" t="s">
        <v>1586</v>
      </c>
      <c r="J4659" s="15" t="s">
        <v>18430</v>
      </c>
      <c r="K4659" s="15">
        <v>50.0</v>
      </c>
      <c r="L4659" s="15">
        <v>50.0</v>
      </c>
      <c r="M4659" s="40">
        <v>40182.0</v>
      </c>
      <c r="N4659" s="40">
        <v>42284.0</v>
      </c>
      <c r="O4659" s="15" t="s">
        <v>1554</v>
      </c>
      <c r="Q4659" s="7"/>
    </row>
    <row r="4660">
      <c r="A4660" s="39" t="s">
        <v>18431</v>
      </c>
      <c r="B4660" s="15">
        <v>722418.0</v>
      </c>
      <c r="C4660" s="15" t="s">
        <v>18432</v>
      </c>
      <c r="D4660" s="15">
        <v>298070.0</v>
      </c>
      <c r="E4660" s="15" t="s">
        <v>1557</v>
      </c>
      <c r="F4660" s="15" t="s">
        <v>1767</v>
      </c>
      <c r="G4660" s="7">
        <v>175.72</v>
      </c>
      <c r="H4660" s="42">
        <v>43186.0</v>
      </c>
      <c r="I4660" s="15" t="s">
        <v>1586</v>
      </c>
      <c r="J4660" s="15" t="s">
        <v>18433</v>
      </c>
      <c r="K4660" s="15">
        <v>201.0</v>
      </c>
      <c r="L4660" s="15">
        <v>196.0</v>
      </c>
      <c r="M4660" s="40">
        <v>40275.0</v>
      </c>
      <c r="N4660" s="40">
        <v>42284.0</v>
      </c>
      <c r="O4660" s="15" t="s">
        <v>1554</v>
      </c>
      <c r="Q4660" s="7"/>
    </row>
    <row r="4661">
      <c r="A4661" s="39" t="s">
        <v>18434</v>
      </c>
      <c r="B4661" s="15">
        <v>1147139.0</v>
      </c>
      <c r="D4661" s="15">
        <v>0.0</v>
      </c>
      <c r="E4661" s="15" t="s">
        <v>1557</v>
      </c>
      <c r="F4661" s="15" t="s">
        <v>1611</v>
      </c>
      <c r="G4661" s="7">
        <v>43.804</v>
      </c>
      <c r="H4661" s="15" t="s">
        <v>1705</v>
      </c>
      <c r="I4661" s="15" t="s">
        <v>1586</v>
      </c>
      <c r="J4661" s="15" t="s">
        <v>18435</v>
      </c>
      <c r="K4661" s="15">
        <v>62.0</v>
      </c>
      <c r="L4661" s="15">
        <v>62.0</v>
      </c>
      <c r="M4661" s="40">
        <v>41982.0</v>
      </c>
      <c r="N4661" s="40">
        <v>41982.0</v>
      </c>
      <c r="O4661" s="15" t="s">
        <v>1554</v>
      </c>
      <c r="Q4661" s="7"/>
    </row>
    <row r="4662">
      <c r="A4662" s="39" t="s">
        <v>18436</v>
      </c>
      <c r="B4662" s="15">
        <v>1711684.0</v>
      </c>
      <c r="C4662" s="15" t="s">
        <v>18438</v>
      </c>
      <c r="D4662" s="15">
        <v>295853.0</v>
      </c>
      <c r="E4662" s="15" t="s">
        <v>1638</v>
      </c>
      <c r="F4662" s="15" t="s">
        <v>2849</v>
      </c>
      <c r="G4662" s="7">
        <v>14.729</v>
      </c>
      <c r="H4662" s="15" t="s">
        <v>2640</v>
      </c>
      <c r="I4662" s="15" t="s">
        <v>1628</v>
      </c>
      <c r="J4662" s="15" t="s">
        <v>18439</v>
      </c>
      <c r="K4662" s="15">
        <v>1.0</v>
      </c>
      <c r="L4662" s="15">
        <v>1.0</v>
      </c>
      <c r="M4662" s="40">
        <v>42261.0</v>
      </c>
      <c r="N4662" s="40">
        <v>42341.0</v>
      </c>
      <c r="O4662" s="15" t="s">
        <v>1554</v>
      </c>
      <c r="Q4662" s="7"/>
    </row>
    <row r="4663">
      <c r="A4663" s="39" t="s">
        <v>18440</v>
      </c>
      <c r="B4663" s="15">
        <v>1711685.0</v>
      </c>
      <c r="C4663" s="15" t="s">
        <v>18441</v>
      </c>
      <c r="D4663" s="15">
        <v>298040.0</v>
      </c>
      <c r="E4663" s="15" t="s">
        <v>1916</v>
      </c>
      <c r="F4663" s="15" t="s">
        <v>1917</v>
      </c>
      <c r="G4663" s="7">
        <v>8.105</v>
      </c>
      <c r="H4663" s="15" t="s">
        <v>2375</v>
      </c>
      <c r="I4663" s="15" t="s">
        <v>1628</v>
      </c>
      <c r="J4663" s="15" t="s">
        <v>18442</v>
      </c>
      <c r="K4663" s="15">
        <v>6.0</v>
      </c>
      <c r="L4663" s="15">
        <v>6.0</v>
      </c>
      <c r="M4663" s="40">
        <v>42261.0</v>
      </c>
      <c r="N4663" s="40">
        <v>42507.0</v>
      </c>
      <c r="O4663" s="15" t="s">
        <v>1554</v>
      </c>
      <c r="Q4663" s="7"/>
    </row>
    <row r="4664">
      <c r="A4664" s="39" t="s">
        <v>18443</v>
      </c>
      <c r="B4664" s="15">
        <v>1659219.0</v>
      </c>
      <c r="C4664" s="15" t="s">
        <v>18444</v>
      </c>
      <c r="D4664" s="15">
        <v>298044.0</v>
      </c>
      <c r="E4664" s="15" t="s">
        <v>1548</v>
      </c>
      <c r="F4664" s="15" t="s">
        <v>1776</v>
      </c>
      <c r="G4664" s="7">
        <v>8.496</v>
      </c>
      <c r="H4664" s="15" t="s">
        <v>1966</v>
      </c>
      <c r="I4664" s="15" t="s">
        <v>1686</v>
      </c>
      <c r="J4664" s="15" t="s">
        <v>18445</v>
      </c>
      <c r="K4664" s="15">
        <v>1.0</v>
      </c>
      <c r="L4664" s="15">
        <v>1.0</v>
      </c>
      <c r="M4664" s="40">
        <v>42272.0</v>
      </c>
      <c r="N4664" s="40">
        <v>42449.0</v>
      </c>
      <c r="O4664" s="15" t="s">
        <v>1554</v>
      </c>
      <c r="Q4664" s="7"/>
    </row>
    <row r="4665">
      <c r="A4665" s="39" t="s">
        <v>18447</v>
      </c>
      <c r="B4665" s="15">
        <v>1725341.0</v>
      </c>
      <c r="C4665" s="15" t="s">
        <v>18448</v>
      </c>
      <c r="D4665" s="15">
        <v>298048.0</v>
      </c>
      <c r="E4665" s="15" t="s">
        <v>1548</v>
      </c>
      <c r="F4665" s="15" t="s">
        <v>1926</v>
      </c>
      <c r="G4665" s="7">
        <v>8.418</v>
      </c>
      <c r="H4665" s="15" t="s">
        <v>18449</v>
      </c>
      <c r="I4665" s="15" t="s">
        <v>1628</v>
      </c>
      <c r="J4665" s="15" t="s">
        <v>18450</v>
      </c>
      <c r="K4665" s="15">
        <v>5.0</v>
      </c>
      <c r="L4665" s="15">
        <v>5.0</v>
      </c>
      <c r="M4665" s="40">
        <v>42277.0</v>
      </c>
      <c r="N4665" s="41">
        <v>42306.0</v>
      </c>
      <c r="O4665" s="15" t="s">
        <v>1554</v>
      </c>
      <c r="Q4665" s="7"/>
    </row>
    <row r="4666">
      <c r="A4666" s="39" t="s">
        <v>18451</v>
      </c>
      <c r="B4666" s="15">
        <v>694060.0</v>
      </c>
      <c r="C4666" s="15" t="s">
        <v>18452</v>
      </c>
      <c r="D4666" s="15">
        <v>298068.0</v>
      </c>
      <c r="E4666" s="15" t="s">
        <v>1557</v>
      </c>
      <c r="F4666" s="15" t="s">
        <v>1767</v>
      </c>
      <c r="G4666" s="7">
        <v>147.303</v>
      </c>
      <c r="H4666" s="15" t="s">
        <v>1745</v>
      </c>
      <c r="I4666" s="15" t="s">
        <v>1586</v>
      </c>
      <c r="J4666" s="15" t="s">
        <v>18453</v>
      </c>
      <c r="K4666" s="15">
        <v>109.0</v>
      </c>
      <c r="L4666" s="15">
        <v>109.0</v>
      </c>
      <c r="M4666" s="40">
        <v>40152.0</v>
      </c>
      <c r="N4666" s="40">
        <v>42284.0</v>
      </c>
      <c r="O4666" s="15" t="s">
        <v>1554</v>
      </c>
      <c r="Q4666" s="7"/>
    </row>
    <row r="4667">
      <c r="A4667" s="39" t="s">
        <v>18454</v>
      </c>
      <c r="B4667" s="15">
        <v>663560.0</v>
      </c>
      <c r="C4667" s="15" t="s">
        <v>18455</v>
      </c>
      <c r="D4667" s="15">
        <v>298072.0</v>
      </c>
      <c r="E4667" s="15" t="s">
        <v>1557</v>
      </c>
      <c r="F4667" s="15" t="s">
        <v>1833</v>
      </c>
      <c r="G4667" s="7">
        <v>68.016</v>
      </c>
      <c r="H4667" s="15" t="s">
        <v>4308</v>
      </c>
      <c r="I4667" s="15" t="s">
        <v>1586</v>
      </c>
      <c r="J4667" s="15" t="s">
        <v>18457</v>
      </c>
      <c r="K4667" s="15">
        <v>98.0</v>
      </c>
      <c r="L4667" s="15">
        <v>98.0</v>
      </c>
      <c r="M4667" s="40">
        <v>40066.0</v>
      </c>
      <c r="N4667" s="40">
        <v>42284.0</v>
      </c>
      <c r="O4667" s="15" t="s">
        <v>1554</v>
      </c>
      <c r="Q4667" s="7"/>
    </row>
    <row r="4668">
      <c r="A4668" s="39" t="s">
        <v>18458</v>
      </c>
      <c r="B4668" s="15">
        <v>1720595.0</v>
      </c>
      <c r="C4668" s="15" t="s">
        <v>18459</v>
      </c>
      <c r="D4668" s="15">
        <v>297596.0</v>
      </c>
      <c r="E4668" s="15" t="s">
        <v>1548</v>
      </c>
      <c r="F4668" s="15" t="s">
        <v>1626</v>
      </c>
      <c r="G4668" s="7">
        <v>11.649</v>
      </c>
      <c r="H4668" s="15" t="s">
        <v>2049</v>
      </c>
      <c r="I4668" s="15" t="s">
        <v>1628</v>
      </c>
      <c r="J4668" s="15" t="s">
        <v>18460</v>
      </c>
      <c r="K4668" s="15">
        <v>1.0</v>
      </c>
      <c r="L4668" s="15">
        <v>1.0</v>
      </c>
      <c r="M4668" s="40">
        <v>42276.0</v>
      </c>
      <c r="N4668" s="40">
        <v>42341.0</v>
      </c>
      <c r="O4668" s="15" t="s">
        <v>1554</v>
      </c>
      <c r="Q4668" s="7"/>
    </row>
    <row r="4669">
      <c r="A4669" s="39" t="s">
        <v>18461</v>
      </c>
      <c r="B4669" s="15">
        <v>1659220.0</v>
      </c>
      <c r="C4669" s="15" t="s">
        <v>18462</v>
      </c>
      <c r="D4669" s="15">
        <v>298043.0</v>
      </c>
      <c r="E4669" s="15" t="s">
        <v>1548</v>
      </c>
      <c r="F4669" s="15" t="s">
        <v>1776</v>
      </c>
      <c r="G4669" s="7">
        <v>8.087</v>
      </c>
      <c r="H4669" s="15" t="s">
        <v>6716</v>
      </c>
      <c r="I4669" s="15" t="s">
        <v>1686</v>
      </c>
      <c r="J4669" s="15" t="s">
        <v>18463</v>
      </c>
      <c r="K4669" s="15">
        <v>1.0</v>
      </c>
      <c r="L4669" s="15">
        <v>1.0</v>
      </c>
      <c r="M4669" s="40">
        <v>42272.0</v>
      </c>
      <c r="N4669" s="40">
        <v>42449.0</v>
      </c>
      <c r="O4669" s="15" t="s">
        <v>1554</v>
      </c>
      <c r="Q4669" s="7"/>
    </row>
    <row r="4670">
      <c r="A4670" s="39" t="s">
        <v>18465</v>
      </c>
      <c r="B4670" s="15">
        <v>1100043.0</v>
      </c>
      <c r="C4670" s="15" t="s">
        <v>18466</v>
      </c>
      <c r="D4670" s="15">
        <v>298047.0</v>
      </c>
      <c r="E4670" s="15" t="s">
        <v>1557</v>
      </c>
      <c r="F4670" s="15" t="s">
        <v>1578</v>
      </c>
      <c r="G4670" s="7">
        <v>496.396</v>
      </c>
      <c r="H4670" s="15" t="s">
        <v>2296</v>
      </c>
      <c r="I4670" s="15" t="s">
        <v>1560</v>
      </c>
      <c r="J4670" s="15" t="s">
        <v>18467</v>
      </c>
      <c r="K4670" s="15">
        <v>241.0</v>
      </c>
      <c r="L4670" s="15">
        <v>241.0</v>
      </c>
      <c r="M4670" s="40">
        <v>42234.0</v>
      </c>
      <c r="N4670" s="40">
        <v>42284.0</v>
      </c>
      <c r="O4670" s="15" t="s">
        <v>2353</v>
      </c>
      <c r="Q4670" s="7"/>
    </row>
    <row r="4671">
      <c r="A4671" s="39" t="s">
        <v>18468</v>
      </c>
      <c r="B4671" s="15">
        <v>1622234.0</v>
      </c>
      <c r="C4671" s="15" t="s">
        <v>18469</v>
      </c>
      <c r="D4671" s="15">
        <v>298062.0</v>
      </c>
      <c r="E4671" s="15" t="s">
        <v>1557</v>
      </c>
      <c r="F4671" s="15" t="s">
        <v>1611</v>
      </c>
      <c r="G4671" s="7">
        <v>47.636</v>
      </c>
      <c r="H4671" s="15" t="s">
        <v>2118</v>
      </c>
      <c r="I4671" s="15" t="s">
        <v>1586</v>
      </c>
      <c r="J4671" s="15" t="s">
        <v>18470</v>
      </c>
      <c r="K4671" s="15">
        <v>83.0</v>
      </c>
      <c r="L4671" s="15">
        <v>83.0</v>
      </c>
      <c r="M4671" s="40">
        <v>42080.0</v>
      </c>
      <c r="N4671" s="40">
        <v>43012.0</v>
      </c>
      <c r="O4671" s="15" t="s">
        <v>1554</v>
      </c>
      <c r="Q4671" s="7"/>
    </row>
    <row r="4672">
      <c r="A4672" s="39" t="s">
        <v>18471</v>
      </c>
      <c r="B4672" s="15">
        <v>698486.0</v>
      </c>
      <c r="C4672" s="15" t="s">
        <v>18473</v>
      </c>
      <c r="D4672" s="15">
        <v>298067.0</v>
      </c>
      <c r="E4672" s="15" t="s">
        <v>1557</v>
      </c>
      <c r="F4672" s="15" t="s">
        <v>1833</v>
      </c>
      <c r="G4672" s="7">
        <v>43.587</v>
      </c>
      <c r="H4672" s="15" t="s">
        <v>2324</v>
      </c>
      <c r="I4672" s="15" t="s">
        <v>1586</v>
      </c>
      <c r="J4672" s="15" t="s">
        <v>18474</v>
      </c>
      <c r="K4672" s="15">
        <v>52.0</v>
      </c>
      <c r="L4672" s="15">
        <v>52.0</v>
      </c>
      <c r="M4672" s="40">
        <v>40182.0</v>
      </c>
      <c r="N4672" s="40">
        <v>42284.0</v>
      </c>
      <c r="O4672" s="15" t="s">
        <v>1554</v>
      </c>
      <c r="Q4672" s="7"/>
    </row>
    <row r="4673">
      <c r="A4673" s="39" t="s">
        <v>18475</v>
      </c>
      <c r="B4673" s="15">
        <v>722417.0</v>
      </c>
      <c r="C4673" s="15" t="s">
        <v>18476</v>
      </c>
      <c r="D4673" s="15">
        <v>298071.0</v>
      </c>
      <c r="E4673" s="15" t="s">
        <v>1557</v>
      </c>
      <c r="F4673" s="15" t="s">
        <v>1767</v>
      </c>
      <c r="G4673" s="7">
        <v>177.534</v>
      </c>
      <c r="H4673" s="42">
        <v>43217.0</v>
      </c>
      <c r="I4673" s="15" t="s">
        <v>1586</v>
      </c>
      <c r="J4673" s="15" t="s">
        <v>18477</v>
      </c>
      <c r="K4673" s="15">
        <v>196.0</v>
      </c>
      <c r="L4673" s="15">
        <v>194.0</v>
      </c>
      <c r="M4673" s="40">
        <v>40275.0</v>
      </c>
      <c r="N4673" s="40">
        <v>42284.0</v>
      </c>
      <c r="O4673" s="15" t="s">
        <v>1554</v>
      </c>
      <c r="Q4673" s="7"/>
    </row>
    <row r="4674">
      <c r="A4674" s="39" t="s">
        <v>18478</v>
      </c>
      <c r="B4674" s="15">
        <v>1729141.0</v>
      </c>
      <c r="C4674" s="15" t="s">
        <v>18480</v>
      </c>
      <c r="D4674" s="15">
        <v>298087.0</v>
      </c>
      <c r="E4674" s="15" t="s">
        <v>1548</v>
      </c>
      <c r="F4674" s="15" t="s">
        <v>1801</v>
      </c>
      <c r="G4674" s="7">
        <v>9.867</v>
      </c>
      <c r="H4674" s="15" t="s">
        <v>4204</v>
      </c>
      <c r="I4674" s="15" t="s">
        <v>16091</v>
      </c>
      <c r="J4674" s="15" t="s">
        <v>18481</v>
      </c>
      <c r="K4674" s="15">
        <v>1.0</v>
      </c>
      <c r="L4674" s="15">
        <v>1.0</v>
      </c>
      <c r="M4674" s="40">
        <v>42281.0</v>
      </c>
      <c r="N4674" s="40">
        <v>42506.0</v>
      </c>
      <c r="O4674" s="15" t="s">
        <v>1554</v>
      </c>
      <c r="Q4674" s="7"/>
    </row>
    <row r="4675">
      <c r="A4675" s="39" t="s">
        <v>18482</v>
      </c>
      <c r="B4675" s="15">
        <v>745088.0</v>
      </c>
      <c r="C4675" s="15" t="s">
        <v>18483</v>
      </c>
      <c r="D4675" s="15">
        <v>39711.0</v>
      </c>
      <c r="E4675" s="15" t="s">
        <v>1557</v>
      </c>
      <c r="F4675" s="15" t="s">
        <v>1833</v>
      </c>
      <c r="G4675" s="7">
        <v>29.508</v>
      </c>
      <c r="H4675" s="15" t="s">
        <v>6583</v>
      </c>
      <c r="I4675" s="15" t="s">
        <v>1586</v>
      </c>
      <c r="J4675" s="15" t="s">
        <v>18484</v>
      </c>
      <c r="K4675" s="15">
        <v>50.0</v>
      </c>
      <c r="L4675" s="15">
        <v>50.0</v>
      </c>
      <c r="M4675" s="40">
        <v>40254.0</v>
      </c>
      <c r="N4675" s="40">
        <v>42285.0</v>
      </c>
      <c r="O4675" s="15" t="s">
        <v>1554</v>
      </c>
      <c r="Q4675" s="7"/>
    </row>
    <row r="4676">
      <c r="A4676" s="39" t="s">
        <v>18485</v>
      </c>
      <c r="B4676" s="15">
        <v>1566298.0</v>
      </c>
      <c r="C4676" s="15" t="s">
        <v>18486</v>
      </c>
      <c r="D4676" s="15">
        <v>298208.0</v>
      </c>
      <c r="E4676" s="15" t="s">
        <v>1548</v>
      </c>
      <c r="F4676" s="15" t="s">
        <v>1801</v>
      </c>
      <c r="G4676" s="7">
        <v>10.761</v>
      </c>
      <c r="H4676" s="15" t="s">
        <v>2075</v>
      </c>
      <c r="I4676" s="15" t="s">
        <v>1803</v>
      </c>
      <c r="J4676" s="15" t="s">
        <v>18488</v>
      </c>
      <c r="K4676" s="15">
        <v>1.0</v>
      </c>
      <c r="L4676" s="15">
        <v>1.0</v>
      </c>
      <c r="M4676" s="40">
        <v>42279.0</v>
      </c>
      <c r="N4676" s="40">
        <v>42285.0</v>
      </c>
      <c r="O4676" s="15" t="s">
        <v>1554</v>
      </c>
      <c r="Q4676" s="7"/>
    </row>
    <row r="4677">
      <c r="A4677" s="39" t="s">
        <v>18489</v>
      </c>
      <c r="B4677" s="15">
        <v>1729670.0</v>
      </c>
      <c r="C4677" s="15" t="s">
        <v>18490</v>
      </c>
      <c r="D4677" s="15">
        <v>298247.0</v>
      </c>
      <c r="E4677" s="15" t="s">
        <v>1638</v>
      </c>
      <c r="F4677" s="15" t="s">
        <v>1639</v>
      </c>
      <c r="G4677" s="7">
        <v>3.956</v>
      </c>
      <c r="H4677" s="15" t="s">
        <v>2324</v>
      </c>
      <c r="I4677" s="15" t="s">
        <v>1740</v>
      </c>
      <c r="J4677" s="15" t="s">
        <v>18491</v>
      </c>
      <c r="K4677" s="15">
        <v>2.0</v>
      </c>
      <c r="L4677" s="15">
        <v>2.0</v>
      </c>
      <c r="M4677" s="40">
        <v>42284.0</v>
      </c>
      <c r="N4677" s="40">
        <v>42521.0</v>
      </c>
      <c r="O4677" s="15" t="s">
        <v>1554</v>
      </c>
      <c r="Q4677" s="7"/>
    </row>
    <row r="4678">
      <c r="A4678" s="39" t="s">
        <v>18492</v>
      </c>
      <c r="B4678" s="15">
        <v>1715291.0</v>
      </c>
      <c r="C4678" s="15" t="s">
        <v>18493</v>
      </c>
      <c r="D4678" s="15">
        <v>252622.0</v>
      </c>
      <c r="E4678" s="15" t="s">
        <v>1548</v>
      </c>
      <c r="F4678" s="15" t="s">
        <v>18494</v>
      </c>
      <c r="G4678" s="7">
        <v>8.914</v>
      </c>
      <c r="H4678" s="15" t="s">
        <v>2428</v>
      </c>
      <c r="I4678" s="15" t="s">
        <v>1686</v>
      </c>
      <c r="J4678" s="15" t="s">
        <v>18495</v>
      </c>
      <c r="K4678" s="15">
        <v>6.0</v>
      </c>
      <c r="L4678" s="15">
        <v>6.0</v>
      </c>
      <c r="M4678" s="40">
        <v>41386.0</v>
      </c>
      <c r="N4678" s="40">
        <v>42608.0</v>
      </c>
      <c r="O4678" s="15" t="s">
        <v>1554</v>
      </c>
      <c r="Q4678" s="7"/>
    </row>
    <row r="4679">
      <c r="A4679" s="39" t="s">
        <v>18496</v>
      </c>
      <c r="B4679" s="15">
        <v>1678003.0</v>
      </c>
      <c r="C4679" s="15" t="s">
        <v>18497</v>
      </c>
      <c r="D4679" s="15">
        <v>298792.0</v>
      </c>
      <c r="E4679" s="15" t="s">
        <v>1808</v>
      </c>
      <c r="F4679" s="15" t="s">
        <v>1809</v>
      </c>
      <c r="G4679" s="7">
        <v>2.744</v>
      </c>
      <c r="H4679" s="15">
        <v>44.0</v>
      </c>
      <c r="I4679" s="15" t="s">
        <v>1628</v>
      </c>
      <c r="J4679" s="15" t="s">
        <v>18499</v>
      </c>
      <c r="K4679" s="15">
        <v>6.0</v>
      </c>
      <c r="L4679" s="15">
        <v>6.0</v>
      </c>
      <c r="M4679" s="40">
        <v>42279.0</v>
      </c>
      <c r="N4679" s="41">
        <v>42291.0</v>
      </c>
      <c r="O4679" s="15" t="s">
        <v>1554</v>
      </c>
      <c r="Q4679" s="7"/>
    </row>
    <row r="4680">
      <c r="A4680" s="39" t="s">
        <v>18500</v>
      </c>
      <c r="B4680" s="15">
        <v>1732201.0</v>
      </c>
      <c r="C4680" s="15" t="s">
        <v>18501</v>
      </c>
      <c r="D4680" s="15">
        <v>298251.0</v>
      </c>
      <c r="E4680" s="15" t="s">
        <v>1808</v>
      </c>
      <c r="F4680" s="15" t="s">
        <v>1998</v>
      </c>
      <c r="G4680" s="7">
        <v>1.767</v>
      </c>
      <c r="H4680" s="15" t="s">
        <v>4736</v>
      </c>
      <c r="I4680" s="15" t="s">
        <v>1686</v>
      </c>
      <c r="J4680" s="15" t="s">
        <v>18502</v>
      </c>
      <c r="K4680" s="15">
        <v>2.0</v>
      </c>
      <c r="L4680" s="15">
        <v>2.0</v>
      </c>
      <c r="M4680" s="40">
        <v>42284.0</v>
      </c>
      <c r="N4680" s="41">
        <v>42349.0</v>
      </c>
      <c r="O4680" s="15" t="s">
        <v>1554</v>
      </c>
      <c r="Q4680" s="7"/>
    </row>
    <row r="4681">
      <c r="A4681" s="39" t="s">
        <v>18503</v>
      </c>
      <c r="B4681" s="15">
        <v>1663209.0</v>
      </c>
      <c r="C4681" s="15" t="s">
        <v>18504</v>
      </c>
      <c r="D4681" s="15">
        <v>298991.0</v>
      </c>
      <c r="E4681" s="15" t="s">
        <v>1557</v>
      </c>
      <c r="F4681" s="15" t="s">
        <v>2763</v>
      </c>
      <c r="G4681" s="7">
        <v>182.309</v>
      </c>
      <c r="H4681" s="15">
        <v>41.0</v>
      </c>
      <c r="I4681" s="15" t="s">
        <v>1573</v>
      </c>
      <c r="J4681" s="15" t="s">
        <v>18505</v>
      </c>
      <c r="K4681" s="15">
        <v>248.0</v>
      </c>
      <c r="L4681" s="15">
        <v>243.0</v>
      </c>
      <c r="M4681" s="41">
        <v>42291.0</v>
      </c>
      <c r="N4681" s="41">
        <v>42293.0</v>
      </c>
      <c r="O4681" s="15" t="s">
        <v>1554</v>
      </c>
      <c r="Q4681" s="7"/>
    </row>
    <row r="4682">
      <c r="A4682" s="39" t="s">
        <v>18507</v>
      </c>
      <c r="B4682" s="15">
        <v>455364.0</v>
      </c>
      <c r="C4682" s="15" t="s">
        <v>18508</v>
      </c>
      <c r="D4682" s="15">
        <v>298907.0</v>
      </c>
      <c r="E4682" s="15" t="s">
        <v>1557</v>
      </c>
      <c r="F4682" s="15" t="s">
        <v>2763</v>
      </c>
      <c r="G4682" s="7">
        <v>473.558</v>
      </c>
      <c r="H4682" s="42">
        <v>43215.0</v>
      </c>
      <c r="I4682" s="15" t="s">
        <v>1573</v>
      </c>
      <c r="J4682" s="15" t="s">
        <v>18509</v>
      </c>
      <c r="K4682" s="15">
        <v>524.0</v>
      </c>
      <c r="L4682" s="15">
        <v>512.0</v>
      </c>
      <c r="M4682" s="41">
        <v>42287.0</v>
      </c>
      <c r="N4682" s="41">
        <v>42355.0</v>
      </c>
      <c r="O4682" s="15" t="s">
        <v>1554</v>
      </c>
      <c r="Q4682" s="7"/>
    </row>
    <row r="4683">
      <c r="A4683" s="39" t="s">
        <v>18510</v>
      </c>
      <c r="B4683" s="15">
        <v>1663210.0</v>
      </c>
      <c r="C4683" s="15" t="s">
        <v>18511</v>
      </c>
      <c r="D4683" s="15">
        <v>298990.0</v>
      </c>
      <c r="E4683" s="15" t="s">
        <v>1557</v>
      </c>
      <c r="F4683" s="15" t="s">
        <v>2763</v>
      </c>
      <c r="G4683" s="7">
        <v>193.301</v>
      </c>
      <c r="H4683" s="15" t="s">
        <v>1962</v>
      </c>
      <c r="I4683" s="15" t="s">
        <v>1573</v>
      </c>
      <c r="J4683" s="15" t="s">
        <v>18512</v>
      </c>
      <c r="K4683" s="15">
        <v>257.0</v>
      </c>
      <c r="L4683" s="15">
        <v>252.0</v>
      </c>
      <c r="M4683" s="41">
        <v>42291.0</v>
      </c>
      <c r="N4683" s="41">
        <v>42293.0</v>
      </c>
      <c r="O4683" s="15" t="s">
        <v>1554</v>
      </c>
      <c r="Q4683" s="7"/>
    </row>
    <row r="4684">
      <c r="A4684" s="39" t="s">
        <v>18513</v>
      </c>
      <c r="B4684" s="15">
        <v>1663208.0</v>
      </c>
      <c r="C4684" s="15" t="s">
        <v>18514</v>
      </c>
      <c r="D4684" s="15">
        <v>298920.0</v>
      </c>
      <c r="E4684" s="15" t="s">
        <v>1557</v>
      </c>
      <c r="F4684" s="15" t="s">
        <v>2763</v>
      </c>
      <c r="G4684" s="7">
        <v>196.3</v>
      </c>
      <c r="H4684" s="15" t="s">
        <v>2820</v>
      </c>
      <c r="I4684" s="15" t="s">
        <v>1573</v>
      </c>
      <c r="J4684" s="15" t="s">
        <v>18516</v>
      </c>
      <c r="K4684" s="15">
        <v>274.0</v>
      </c>
      <c r="L4684" s="15">
        <v>269.0</v>
      </c>
      <c r="M4684" s="41">
        <v>42291.0</v>
      </c>
      <c r="N4684" s="41">
        <v>42293.0</v>
      </c>
      <c r="O4684" s="15" t="s">
        <v>1554</v>
      </c>
      <c r="Q4684" s="7"/>
    </row>
    <row r="4685">
      <c r="A4685" s="39" t="s">
        <v>18517</v>
      </c>
      <c r="B4685" s="15">
        <v>1736634.0</v>
      </c>
      <c r="C4685" s="15" t="s">
        <v>18518</v>
      </c>
      <c r="D4685" s="15">
        <v>299179.0</v>
      </c>
      <c r="E4685" s="15" t="s">
        <v>1577</v>
      </c>
      <c r="F4685" s="15" t="s">
        <v>1578</v>
      </c>
      <c r="G4685" s="7">
        <v>1.705</v>
      </c>
      <c r="H4685" s="15" t="s">
        <v>2440</v>
      </c>
      <c r="I4685" s="15" t="s">
        <v>1552</v>
      </c>
      <c r="J4685" s="15" t="s">
        <v>18519</v>
      </c>
      <c r="K4685" s="15">
        <v>1.0</v>
      </c>
      <c r="L4685" s="15">
        <v>1.0</v>
      </c>
      <c r="M4685" s="41">
        <v>42291.0</v>
      </c>
      <c r="N4685" s="41">
        <v>42296.0</v>
      </c>
      <c r="O4685" s="15" t="s">
        <v>1554</v>
      </c>
      <c r="Q4685" s="7"/>
    </row>
    <row r="4686">
      <c r="A4686" s="39" t="s">
        <v>18520</v>
      </c>
      <c r="B4686" s="15">
        <v>977912.0</v>
      </c>
      <c r="C4686" s="15" t="s">
        <v>18521</v>
      </c>
      <c r="D4686" s="15">
        <v>299193.0</v>
      </c>
      <c r="E4686" s="15" t="s">
        <v>1548</v>
      </c>
      <c r="F4686" s="15" t="s">
        <v>1948</v>
      </c>
      <c r="G4686" s="7">
        <v>5.995</v>
      </c>
      <c r="H4686" s="15" t="s">
        <v>18522</v>
      </c>
      <c r="I4686" s="15" t="s">
        <v>1560</v>
      </c>
      <c r="J4686" s="15" t="s">
        <v>18523</v>
      </c>
      <c r="K4686" s="15">
        <v>3.0</v>
      </c>
      <c r="L4686" s="15">
        <v>3.0</v>
      </c>
      <c r="M4686" s="40">
        <v>40579.0</v>
      </c>
      <c r="N4686" s="41">
        <v>42306.0</v>
      </c>
      <c r="O4686" s="15" t="s">
        <v>1554</v>
      </c>
      <c r="Q4686" s="7"/>
    </row>
    <row r="4687">
      <c r="A4687" s="39" t="s">
        <v>18525</v>
      </c>
      <c r="B4687" s="15">
        <v>1535266.0</v>
      </c>
      <c r="C4687" s="15" t="s">
        <v>18526</v>
      </c>
      <c r="D4687" s="15">
        <v>300228.0</v>
      </c>
      <c r="E4687" s="15" t="s">
        <v>2014</v>
      </c>
      <c r="F4687" s="15" t="s">
        <v>1578</v>
      </c>
      <c r="G4687" s="7">
        <v>1.387</v>
      </c>
      <c r="H4687" s="15" t="s">
        <v>2118</v>
      </c>
      <c r="I4687" s="15" t="s">
        <v>1628</v>
      </c>
      <c r="J4687" s="15" t="s">
        <v>18527</v>
      </c>
      <c r="K4687" s="15">
        <v>1.0</v>
      </c>
      <c r="L4687" s="15">
        <v>1.0</v>
      </c>
      <c r="M4687" s="40">
        <v>42268.0</v>
      </c>
      <c r="N4687" s="41">
        <v>42307.0</v>
      </c>
      <c r="O4687" s="15" t="s">
        <v>1554</v>
      </c>
      <c r="Q4687" s="7"/>
    </row>
    <row r="4688">
      <c r="A4688" s="39" t="s">
        <v>18528</v>
      </c>
      <c r="B4688" s="15">
        <v>1070324.0</v>
      </c>
      <c r="C4688" s="15" t="s">
        <v>18529</v>
      </c>
      <c r="D4688" s="15">
        <v>300229.0</v>
      </c>
      <c r="E4688" s="15" t="s">
        <v>1557</v>
      </c>
      <c r="F4688" s="15" t="s">
        <v>1822</v>
      </c>
      <c r="G4688" s="7">
        <v>7.197</v>
      </c>
      <c r="H4688" s="15" t="s">
        <v>2118</v>
      </c>
      <c r="I4688" s="15" t="s">
        <v>1686</v>
      </c>
      <c r="J4688" s="15" t="s">
        <v>18530</v>
      </c>
      <c r="K4688" s="15">
        <v>8.0</v>
      </c>
      <c r="L4688" s="15">
        <v>8.0</v>
      </c>
      <c r="M4688" s="40">
        <v>40769.0</v>
      </c>
      <c r="N4688" s="41">
        <v>42307.0</v>
      </c>
      <c r="O4688" s="15" t="s">
        <v>1554</v>
      </c>
      <c r="Q4688" s="7"/>
    </row>
    <row r="4689">
      <c r="A4689" s="39" t="s">
        <v>18531</v>
      </c>
      <c r="B4689" s="15">
        <v>1315262.0</v>
      </c>
      <c r="C4689" s="15" t="s">
        <v>18533</v>
      </c>
      <c r="D4689" s="15">
        <v>300230.0</v>
      </c>
      <c r="E4689" s="15" t="s">
        <v>1557</v>
      </c>
      <c r="F4689" s="15" t="s">
        <v>1822</v>
      </c>
      <c r="G4689" s="7">
        <v>7.233</v>
      </c>
      <c r="H4689" s="15" t="s">
        <v>2396</v>
      </c>
      <c r="I4689" s="15" t="s">
        <v>1686</v>
      </c>
      <c r="J4689" s="15" t="s">
        <v>18534</v>
      </c>
      <c r="K4689" s="15">
        <v>7.0</v>
      </c>
      <c r="L4689" s="15">
        <v>6.0</v>
      </c>
      <c r="M4689" s="41">
        <v>41205.0</v>
      </c>
      <c r="N4689" s="41">
        <v>42307.0</v>
      </c>
      <c r="O4689" s="15" t="s">
        <v>1554</v>
      </c>
      <c r="Q4689" s="7"/>
    </row>
    <row r="4690">
      <c r="A4690" s="39" t="s">
        <v>18535</v>
      </c>
      <c r="B4690" s="15">
        <v>1241918.0</v>
      </c>
      <c r="C4690" s="15" t="s">
        <v>18536</v>
      </c>
      <c r="D4690" s="15">
        <v>300232.0</v>
      </c>
      <c r="E4690" s="15" t="s">
        <v>1548</v>
      </c>
      <c r="F4690" s="15" t="s">
        <v>1948</v>
      </c>
      <c r="G4690" s="7">
        <v>6.41</v>
      </c>
      <c r="H4690" s="15" t="s">
        <v>18537</v>
      </c>
      <c r="I4690" s="15" t="s">
        <v>1560</v>
      </c>
      <c r="J4690" s="15" t="s">
        <v>18538</v>
      </c>
      <c r="K4690" s="15">
        <v>3.0</v>
      </c>
      <c r="L4690" s="15">
        <v>3.0</v>
      </c>
      <c r="M4690" s="41">
        <v>41199.0</v>
      </c>
      <c r="N4690" s="41">
        <v>42307.0</v>
      </c>
      <c r="O4690" s="15" t="s">
        <v>1554</v>
      </c>
      <c r="Q4690" s="7"/>
    </row>
    <row r="4691">
      <c r="A4691" s="39" t="s">
        <v>18539</v>
      </c>
      <c r="B4691" s="15">
        <v>1170656.0</v>
      </c>
      <c r="C4691" s="15" t="s">
        <v>18540</v>
      </c>
      <c r="D4691" s="15">
        <v>300233.0</v>
      </c>
      <c r="E4691" s="15" t="s">
        <v>1808</v>
      </c>
      <c r="F4691" s="15" t="s">
        <v>1809</v>
      </c>
      <c r="G4691" s="7">
        <v>2.776</v>
      </c>
      <c r="H4691" s="15" t="s">
        <v>3653</v>
      </c>
      <c r="I4691" s="15" t="s">
        <v>1628</v>
      </c>
      <c r="J4691" s="15" t="s">
        <v>18541</v>
      </c>
      <c r="K4691" s="15">
        <v>6.0</v>
      </c>
      <c r="L4691" s="15">
        <v>6.0</v>
      </c>
      <c r="M4691" s="41">
        <v>42295.0</v>
      </c>
      <c r="N4691" s="41">
        <v>42307.0</v>
      </c>
      <c r="O4691" s="15" t="s">
        <v>1554</v>
      </c>
      <c r="Q4691" s="7"/>
    </row>
    <row r="4692">
      <c r="A4692" s="39" t="s">
        <v>18542</v>
      </c>
      <c r="B4692" s="15">
        <v>997078.0</v>
      </c>
      <c r="C4692" s="15" t="s">
        <v>18543</v>
      </c>
      <c r="D4692" s="15">
        <v>300234.0</v>
      </c>
      <c r="E4692" s="15" t="s">
        <v>1808</v>
      </c>
      <c r="F4692" s="15" t="s">
        <v>1809</v>
      </c>
      <c r="G4692" s="7">
        <v>2.765</v>
      </c>
      <c r="H4692" s="15" t="s">
        <v>1962</v>
      </c>
      <c r="I4692" s="15" t="s">
        <v>1628</v>
      </c>
      <c r="J4692" s="15" t="s">
        <v>18545</v>
      </c>
      <c r="K4692" s="15">
        <v>6.0</v>
      </c>
      <c r="L4692" s="15">
        <v>6.0</v>
      </c>
      <c r="M4692" s="40">
        <v>38412.0</v>
      </c>
      <c r="N4692" s="41">
        <v>42307.0</v>
      </c>
      <c r="O4692" s="15" t="s">
        <v>1554</v>
      </c>
      <c r="Q4692" s="7"/>
    </row>
    <row r="4693">
      <c r="A4693" s="39" t="s">
        <v>18546</v>
      </c>
      <c r="B4693" s="15">
        <v>797075.0</v>
      </c>
      <c r="C4693" s="15" t="s">
        <v>18547</v>
      </c>
      <c r="D4693" s="15">
        <v>300235.0</v>
      </c>
      <c r="E4693" s="15" t="s">
        <v>1548</v>
      </c>
      <c r="F4693" s="15" t="s">
        <v>1786</v>
      </c>
      <c r="G4693" s="7">
        <v>8.334</v>
      </c>
      <c r="H4693" s="15" t="s">
        <v>2597</v>
      </c>
      <c r="I4693" s="15" t="s">
        <v>1628</v>
      </c>
      <c r="J4693" s="15" t="s">
        <v>18548</v>
      </c>
      <c r="K4693" s="15">
        <v>6.0</v>
      </c>
      <c r="L4693" s="15">
        <v>6.0</v>
      </c>
      <c r="M4693" s="40">
        <v>41049.0</v>
      </c>
      <c r="N4693" s="41">
        <v>42307.0</v>
      </c>
      <c r="O4693" s="15" t="s">
        <v>1554</v>
      </c>
      <c r="Q4693" s="7"/>
    </row>
    <row r="4694">
      <c r="A4694" s="39" t="s">
        <v>18549</v>
      </c>
      <c r="B4694" s="15">
        <v>68416.0</v>
      </c>
      <c r="C4694" s="15" t="s">
        <v>18550</v>
      </c>
      <c r="D4694" s="15">
        <v>300236.0</v>
      </c>
      <c r="E4694" s="15" t="s">
        <v>1916</v>
      </c>
      <c r="F4694" s="15" t="s">
        <v>3423</v>
      </c>
      <c r="G4694" s="7">
        <v>3.179</v>
      </c>
      <c r="H4694" s="15" t="s">
        <v>2000</v>
      </c>
      <c r="I4694" s="15" t="s">
        <v>1686</v>
      </c>
      <c r="J4694" s="15" t="s">
        <v>18551</v>
      </c>
      <c r="K4694" s="15">
        <v>5.0</v>
      </c>
      <c r="L4694" s="15">
        <v>5.0</v>
      </c>
      <c r="M4694" s="40">
        <v>37714.0</v>
      </c>
      <c r="N4694" s="40">
        <v>42453.0</v>
      </c>
      <c r="O4694" s="15" t="s">
        <v>1554</v>
      </c>
      <c r="Q4694" s="7"/>
    </row>
    <row r="4695">
      <c r="A4695" s="39" t="s">
        <v>18553</v>
      </c>
      <c r="B4695" s="15">
        <v>413258.0</v>
      </c>
      <c r="C4695" s="15" t="s">
        <v>18554</v>
      </c>
      <c r="D4695" s="15">
        <v>300238.0</v>
      </c>
      <c r="E4695" s="15" t="s">
        <v>1557</v>
      </c>
      <c r="F4695" s="15" t="s">
        <v>2628</v>
      </c>
      <c r="G4695" s="7">
        <v>35.685</v>
      </c>
      <c r="H4695" s="15" t="s">
        <v>2309</v>
      </c>
      <c r="I4695" s="15" t="s">
        <v>1686</v>
      </c>
      <c r="J4695" s="15" t="s">
        <v>18555</v>
      </c>
      <c r="K4695" s="15">
        <v>36.0</v>
      </c>
      <c r="L4695" s="15">
        <v>36.0</v>
      </c>
      <c r="M4695" s="40">
        <v>42268.0</v>
      </c>
      <c r="N4695" s="40">
        <v>42341.0</v>
      </c>
      <c r="O4695" s="15" t="s">
        <v>1554</v>
      </c>
      <c r="Q4695" s="7"/>
    </row>
    <row r="4696">
      <c r="A4696" s="39" t="s">
        <v>18556</v>
      </c>
      <c r="B4696" s="15">
        <v>38432.0</v>
      </c>
      <c r="C4696" s="15" t="s">
        <v>18557</v>
      </c>
      <c r="D4696" s="15">
        <v>300239.0</v>
      </c>
      <c r="E4696" s="15" t="s">
        <v>1557</v>
      </c>
      <c r="F4696" s="15" t="s">
        <v>2628</v>
      </c>
      <c r="G4696" s="7">
        <v>32.939</v>
      </c>
      <c r="H4696" s="15" t="s">
        <v>3836</v>
      </c>
      <c r="I4696" s="15" t="s">
        <v>1686</v>
      </c>
      <c r="J4696" s="15" t="s">
        <v>18558</v>
      </c>
      <c r="K4696" s="15">
        <v>34.0</v>
      </c>
      <c r="L4696" s="15">
        <v>34.0</v>
      </c>
      <c r="M4696" s="40">
        <v>42268.0</v>
      </c>
      <c r="N4696" s="40">
        <v>42341.0</v>
      </c>
      <c r="O4696" s="15" t="s">
        <v>1554</v>
      </c>
      <c r="Q4696" s="7"/>
    </row>
    <row r="4697">
      <c r="A4697" s="39" t="s">
        <v>18559</v>
      </c>
      <c r="B4697" s="15">
        <v>38416.0</v>
      </c>
      <c r="C4697" s="15" t="s">
        <v>18560</v>
      </c>
      <c r="D4697" s="15">
        <v>300241.0</v>
      </c>
      <c r="E4697" s="15" t="s">
        <v>1557</v>
      </c>
      <c r="F4697" s="15" t="s">
        <v>2628</v>
      </c>
      <c r="G4697" s="7">
        <v>34.064</v>
      </c>
      <c r="H4697" s="15" t="s">
        <v>4215</v>
      </c>
      <c r="I4697" s="15" t="s">
        <v>1686</v>
      </c>
      <c r="J4697" s="15" t="s">
        <v>18562</v>
      </c>
      <c r="K4697" s="15">
        <v>36.0</v>
      </c>
      <c r="L4697" s="15">
        <v>36.0</v>
      </c>
      <c r="M4697" s="40">
        <v>42268.0</v>
      </c>
      <c r="N4697" s="40">
        <v>42341.0</v>
      </c>
      <c r="O4697" s="15" t="s">
        <v>1554</v>
      </c>
      <c r="Q4697" s="7"/>
    </row>
    <row r="4698">
      <c r="A4698" s="39" t="s">
        <v>18563</v>
      </c>
      <c r="B4698" s="15">
        <v>1737523.0</v>
      </c>
      <c r="C4698" s="15" t="s">
        <v>18564</v>
      </c>
      <c r="D4698" s="15">
        <v>300242.0</v>
      </c>
      <c r="E4698" s="15" t="s">
        <v>1557</v>
      </c>
      <c r="F4698" s="15" t="s">
        <v>2004</v>
      </c>
      <c r="G4698" s="7">
        <v>5.024</v>
      </c>
      <c r="H4698" s="15" t="s">
        <v>2023</v>
      </c>
      <c r="I4698" s="15" t="s">
        <v>1686</v>
      </c>
      <c r="J4698" s="15" t="s">
        <v>18565</v>
      </c>
      <c r="K4698" s="15">
        <v>5.0</v>
      </c>
      <c r="L4698" s="15">
        <v>5.0</v>
      </c>
      <c r="M4698" s="41">
        <v>42301.0</v>
      </c>
      <c r="N4698" s="41">
        <v>42307.0</v>
      </c>
      <c r="O4698" s="15" t="s">
        <v>1554</v>
      </c>
      <c r="Q4698" s="7"/>
    </row>
    <row r="4699">
      <c r="A4699" s="39" t="s">
        <v>18566</v>
      </c>
      <c r="B4699" s="15">
        <v>1737522.0</v>
      </c>
      <c r="C4699" s="15" t="s">
        <v>18567</v>
      </c>
      <c r="D4699" s="15">
        <v>300243.0</v>
      </c>
      <c r="E4699" s="15" t="s">
        <v>1557</v>
      </c>
      <c r="F4699" s="15" t="s">
        <v>2004</v>
      </c>
      <c r="G4699" s="7">
        <v>5.032</v>
      </c>
      <c r="H4699" s="15" t="s">
        <v>2428</v>
      </c>
      <c r="I4699" s="15" t="s">
        <v>1686</v>
      </c>
      <c r="J4699" s="15" t="s">
        <v>18569</v>
      </c>
      <c r="K4699" s="15">
        <v>5.0</v>
      </c>
      <c r="L4699" s="15">
        <v>5.0</v>
      </c>
      <c r="M4699" s="41">
        <v>42301.0</v>
      </c>
      <c r="N4699" s="41">
        <v>42307.0</v>
      </c>
      <c r="O4699" s="15" t="s">
        <v>1554</v>
      </c>
      <c r="Q4699" s="7"/>
    </row>
    <row r="4700">
      <c r="A4700" s="39" t="s">
        <v>18570</v>
      </c>
      <c r="B4700" s="15">
        <v>1737346.0</v>
      </c>
      <c r="C4700" s="15" t="s">
        <v>18571</v>
      </c>
      <c r="D4700" s="15">
        <v>300244.0</v>
      </c>
      <c r="E4700" s="15" t="s">
        <v>10475</v>
      </c>
      <c r="F4700" s="15" t="s">
        <v>18570</v>
      </c>
      <c r="G4700" s="7">
        <v>0.434</v>
      </c>
      <c r="H4700" s="15" t="s">
        <v>1756</v>
      </c>
      <c r="I4700" s="15" t="s">
        <v>1628</v>
      </c>
      <c r="J4700" s="15" t="s">
        <v>18572</v>
      </c>
      <c r="K4700" s="15" t="s">
        <v>1722</v>
      </c>
      <c r="L4700" s="15" t="s">
        <v>1722</v>
      </c>
      <c r="M4700" s="41">
        <v>42297.0</v>
      </c>
      <c r="N4700" s="41">
        <v>42307.0</v>
      </c>
      <c r="O4700" s="15" t="s">
        <v>1554</v>
      </c>
      <c r="Q4700" s="7"/>
    </row>
    <row r="4701">
      <c r="A4701" s="39" t="s">
        <v>18573</v>
      </c>
      <c r="B4701" s="15">
        <v>1737345.0</v>
      </c>
      <c r="C4701" s="15" t="s">
        <v>18574</v>
      </c>
      <c r="D4701" s="15">
        <v>300245.0</v>
      </c>
      <c r="E4701" s="15" t="s">
        <v>10475</v>
      </c>
      <c r="F4701" s="15" t="s">
        <v>18573</v>
      </c>
      <c r="G4701" s="7">
        <v>0.328</v>
      </c>
      <c r="H4701" s="15" t="s">
        <v>2965</v>
      </c>
      <c r="I4701" s="15" t="s">
        <v>1628</v>
      </c>
      <c r="J4701" s="15" t="s">
        <v>18575</v>
      </c>
      <c r="K4701" s="15" t="s">
        <v>1722</v>
      </c>
      <c r="L4701" s="15" t="s">
        <v>1722</v>
      </c>
      <c r="M4701" s="41">
        <v>42297.0</v>
      </c>
      <c r="N4701" s="41">
        <v>42307.0</v>
      </c>
      <c r="O4701" s="15" t="s">
        <v>1554</v>
      </c>
      <c r="Q4701" s="7"/>
    </row>
    <row r="4702">
      <c r="A4702" s="39" t="s">
        <v>18577</v>
      </c>
      <c r="B4702" s="15">
        <v>1715778.0</v>
      </c>
      <c r="C4702" s="15" t="s">
        <v>18578</v>
      </c>
      <c r="D4702" s="15">
        <v>300246.0</v>
      </c>
      <c r="E4702" s="15" t="s">
        <v>1557</v>
      </c>
      <c r="F4702" s="15" t="s">
        <v>2628</v>
      </c>
      <c r="G4702" s="7">
        <v>35.159</v>
      </c>
      <c r="H4702" s="15" t="s">
        <v>1566</v>
      </c>
      <c r="I4702" s="15" t="s">
        <v>1686</v>
      </c>
      <c r="J4702" s="15" t="s">
        <v>18579</v>
      </c>
      <c r="K4702" s="15">
        <v>36.0</v>
      </c>
      <c r="L4702" s="15">
        <v>36.0</v>
      </c>
      <c r="M4702" s="40">
        <v>42268.0</v>
      </c>
      <c r="N4702" s="40">
        <v>42341.0</v>
      </c>
      <c r="O4702" s="15" t="s">
        <v>1554</v>
      </c>
      <c r="Q4702" s="7"/>
    </row>
    <row r="4703">
      <c r="A4703" s="39" t="s">
        <v>18580</v>
      </c>
      <c r="B4703" s="15">
        <v>1705092.0</v>
      </c>
      <c r="C4703" s="15" t="s">
        <v>18581</v>
      </c>
      <c r="D4703" s="15">
        <v>300248.0</v>
      </c>
      <c r="E4703" s="15" t="s">
        <v>2014</v>
      </c>
      <c r="F4703" s="15" t="s">
        <v>1578</v>
      </c>
      <c r="G4703" s="7">
        <v>1.381</v>
      </c>
      <c r="H4703" s="15" t="s">
        <v>2163</v>
      </c>
      <c r="I4703" s="15" t="s">
        <v>1628</v>
      </c>
      <c r="J4703" s="15" t="s">
        <v>18582</v>
      </c>
      <c r="K4703" s="15">
        <v>1.0</v>
      </c>
      <c r="L4703" s="15">
        <v>1.0</v>
      </c>
      <c r="M4703" s="40">
        <v>42268.0</v>
      </c>
      <c r="N4703" s="41">
        <v>42307.0</v>
      </c>
      <c r="O4703" s="15" t="s">
        <v>1554</v>
      </c>
      <c r="Q4703" s="7"/>
    </row>
    <row r="4704">
      <c r="A4704" s="39" t="s">
        <v>18583</v>
      </c>
      <c r="B4704" s="15">
        <v>1705091.0</v>
      </c>
      <c r="C4704" s="15" t="s">
        <v>18584</v>
      </c>
      <c r="D4704" s="15">
        <v>300249.0</v>
      </c>
      <c r="E4704" s="15" t="s">
        <v>2014</v>
      </c>
      <c r="F4704" s="15" t="s">
        <v>2018</v>
      </c>
      <c r="G4704" s="7">
        <v>1.353</v>
      </c>
      <c r="H4704" s="15" t="s">
        <v>2304</v>
      </c>
      <c r="I4704" s="15" t="s">
        <v>1628</v>
      </c>
      <c r="J4704" s="15" t="s">
        <v>18585</v>
      </c>
      <c r="K4704" s="15">
        <v>1.0</v>
      </c>
      <c r="L4704" s="15">
        <v>1.0</v>
      </c>
      <c r="M4704" s="40">
        <v>42268.0</v>
      </c>
      <c r="N4704" s="41">
        <v>42307.0</v>
      </c>
      <c r="O4704" s="15" t="s">
        <v>1554</v>
      </c>
      <c r="Q4704" s="7"/>
    </row>
    <row r="4705">
      <c r="A4705" s="39" t="s">
        <v>18587</v>
      </c>
      <c r="B4705" s="15">
        <v>1705090.0</v>
      </c>
      <c r="C4705" s="15" t="s">
        <v>18588</v>
      </c>
      <c r="D4705" s="15">
        <v>300250.0</v>
      </c>
      <c r="E4705" s="15" t="s">
        <v>2014</v>
      </c>
      <c r="F4705" s="15" t="s">
        <v>2018</v>
      </c>
      <c r="G4705" s="7">
        <v>1.353</v>
      </c>
      <c r="H4705" s="15" t="s">
        <v>2777</v>
      </c>
      <c r="I4705" s="15" t="s">
        <v>1628</v>
      </c>
      <c r="J4705" s="15" t="s">
        <v>18589</v>
      </c>
      <c r="K4705" s="15">
        <v>1.0</v>
      </c>
      <c r="L4705" s="15">
        <v>1.0</v>
      </c>
      <c r="M4705" s="40">
        <v>42268.0</v>
      </c>
      <c r="N4705" s="41">
        <v>42307.0</v>
      </c>
      <c r="O4705" s="15" t="s">
        <v>1554</v>
      </c>
      <c r="Q4705" s="7"/>
    </row>
    <row r="4706">
      <c r="A4706" s="39" t="s">
        <v>18590</v>
      </c>
      <c r="B4706" s="15">
        <v>1606504.0</v>
      </c>
      <c r="C4706" s="15" t="s">
        <v>18591</v>
      </c>
      <c r="D4706" s="15">
        <v>300251.0</v>
      </c>
      <c r="E4706" s="15" t="s">
        <v>1557</v>
      </c>
      <c r="F4706" s="15" t="s">
        <v>2004</v>
      </c>
      <c r="G4706" s="7">
        <v>4.903</v>
      </c>
      <c r="H4706" s="15" t="s">
        <v>1559</v>
      </c>
      <c r="I4706" s="15" t="s">
        <v>1686</v>
      </c>
      <c r="J4706" s="15" t="s">
        <v>18592</v>
      </c>
      <c r="K4706" s="15">
        <v>4.0</v>
      </c>
      <c r="L4706" s="15">
        <v>4.0</v>
      </c>
      <c r="M4706" s="40">
        <v>41142.0</v>
      </c>
      <c r="N4706" s="41">
        <v>42307.0</v>
      </c>
      <c r="O4706" s="15" t="s">
        <v>1554</v>
      </c>
      <c r="Q4706" s="7"/>
    </row>
    <row r="4707">
      <c r="A4707" s="39" t="s">
        <v>18594</v>
      </c>
      <c r="B4707" s="15">
        <v>1606503.0</v>
      </c>
      <c r="C4707" s="15" t="s">
        <v>18595</v>
      </c>
      <c r="D4707" s="15">
        <v>300252.0</v>
      </c>
      <c r="E4707" s="15" t="s">
        <v>1557</v>
      </c>
      <c r="F4707" s="15" t="s">
        <v>2004</v>
      </c>
      <c r="G4707" s="7">
        <v>5.201</v>
      </c>
      <c r="H4707" s="15" t="s">
        <v>1685</v>
      </c>
      <c r="I4707" s="15" t="s">
        <v>1686</v>
      </c>
      <c r="J4707" s="15" t="s">
        <v>18596</v>
      </c>
      <c r="K4707" s="15">
        <v>5.0</v>
      </c>
      <c r="L4707" s="15">
        <v>5.0</v>
      </c>
      <c r="M4707" s="40">
        <v>41142.0</v>
      </c>
      <c r="N4707" s="41">
        <v>42307.0</v>
      </c>
      <c r="O4707" s="15" t="s">
        <v>1554</v>
      </c>
      <c r="Q4707" s="7"/>
    </row>
    <row r="4708">
      <c r="A4708" s="39" t="s">
        <v>18597</v>
      </c>
      <c r="B4708" s="15">
        <v>1606502.0</v>
      </c>
      <c r="C4708" s="15" t="s">
        <v>18598</v>
      </c>
      <c r="D4708" s="15">
        <v>300253.0</v>
      </c>
      <c r="E4708" s="15" t="s">
        <v>1557</v>
      </c>
      <c r="F4708" s="15" t="s">
        <v>2004</v>
      </c>
      <c r="G4708" s="7">
        <v>5.352</v>
      </c>
      <c r="H4708" s="15" t="s">
        <v>1859</v>
      </c>
      <c r="I4708" s="15" t="s">
        <v>1686</v>
      </c>
      <c r="J4708" s="15" t="s">
        <v>18599</v>
      </c>
      <c r="K4708" s="15">
        <v>4.0</v>
      </c>
      <c r="L4708" s="15">
        <v>4.0</v>
      </c>
      <c r="M4708" s="40">
        <v>41142.0</v>
      </c>
      <c r="N4708" s="41">
        <v>42307.0</v>
      </c>
      <c r="O4708" s="15" t="s">
        <v>1554</v>
      </c>
      <c r="Q4708" s="7"/>
    </row>
    <row r="4709">
      <c r="A4709" s="39" t="s">
        <v>18601</v>
      </c>
      <c r="B4709" s="15">
        <v>1606501.0</v>
      </c>
      <c r="C4709" s="15" t="s">
        <v>18602</v>
      </c>
      <c r="D4709" s="15">
        <v>300254.0</v>
      </c>
      <c r="E4709" s="15" t="s">
        <v>1557</v>
      </c>
      <c r="F4709" s="15" t="s">
        <v>2004</v>
      </c>
      <c r="G4709" s="7">
        <v>5.041</v>
      </c>
      <c r="H4709" s="15" t="s">
        <v>2857</v>
      </c>
      <c r="I4709" s="15" t="s">
        <v>1686</v>
      </c>
      <c r="J4709" s="15" t="s">
        <v>18603</v>
      </c>
      <c r="K4709" s="15">
        <v>5.0</v>
      </c>
      <c r="L4709" s="15">
        <v>5.0</v>
      </c>
      <c r="M4709" s="40">
        <v>41142.0</v>
      </c>
      <c r="N4709" s="41">
        <v>42307.0</v>
      </c>
      <c r="O4709" s="15" t="s">
        <v>1554</v>
      </c>
      <c r="Q4709" s="7"/>
    </row>
    <row r="4710">
      <c r="A4710" s="39" t="s">
        <v>18604</v>
      </c>
      <c r="B4710" s="15">
        <v>1604875.0</v>
      </c>
      <c r="C4710" s="15" t="s">
        <v>18605</v>
      </c>
      <c r="D4710" s="15">
        <v>300255.0</v>
      </c>
      <c r="E4710" s="15" t="s">
        <v>1557</v>
      </c>
      <c r="F4710" s="15" t="s">
        <v>2004</v>
      </c>
      <c r="G4710" s="7">
        <v>5.358</v>
      </c>
      <c r="H4710" s="15" t="s">
        <v>1607</v>
      </c>
      <c r="I4710" s="15" t="s">
        <v>1686</v>
      </c>
      <c r="J4710" s="15" t="s">
        <v>18606</v>
      </c>
      <c r="K4710" s="15">
        <v>5.0</v>
      </c>
      <c r="L4710" s="15">
        <v>5.0</v>
      </c>
      <c r="M4710" s="40">
        <v>40094.0</v>
      </c>
      <c r="N4710" s="41">
        <v>42307.0</v>
      </c>
      <c r="O4710" s="15" t="s">
        <v>1554</v>
      </c>
      <c r="Q4710" s="7"/>
    </row>
    <row r="4711">
      <c r="A4711" s="39" t="s">
        <v>18607</v>
      </c>
      <c r="B4711" s="15">
        <v>1586715.0</v>
      </c>
      <c r="C4711" s="15" t="s">
        <v>18608</v>
      </c>
      <c r="D4711" s="15">
        <v>300256.0</v>
      </c>
      <c r="E4711" s="15" t="s">
        <v>1557</v>
      </c>
      <c r="F4711" s="15" t="s">
        <v>2763</v>
      </c>
      <c r="G4711" s="7">
        <v>171.454</v>
      </c>
      <c r="H4711" s="15">
        <v>55.0</v>
      </c>
      <c r="I4711" s="15" t="s">
        <v>1573</v>
      </c>
      <c r="J4711" s="15" t="s">
        <v>18610</v>
      </c>
      <c r="K4711" s="15">
        <v>236.0</v>
      </c>
      <c r="L4711" s="15">
        <v>236.0</v>
      </c>
      <c r="M4711" s="41">
        <v>42300.0</v>
      </c>
      <c r="N4711" s="41">
        <v>42307.0</v>
      </c>
      <c r="O4711" s="15" t="s">
        <v>1554</v>
      </c>
      <c r="Q4711" s="7"/>
    </row>
    <row r="4712">
      <c r="A4712" s="39" t="s">
        <v>18611</v>
      </c>
      <c r="B4712" s="15">
        <v>1586714.0</v>
      </c>
      <c r="C4712" s="15" t="s">
        <v>18612</v>
      </c>
      <c r="D4712" s="15">
        <v>300257.0</v>
      </c>
      <c r="E4712" s="15" t="s">
        <v>1557</v>
      </c>
      <c r="F4712" s="15" t="s">
        <v>2763</v>
      </c>
      <c r="G4712" s="7">
        <v>171.045</v>
      </c>
      <c r="H4712" s="15" t="s">
        <v>3836</v>
      </c>
      <c r="I4712" s="15" t="s">
        <v>1573</v>
      </c>
      <c r="J4712" s="15" t="s">
        <v>18613</v>
      </c>
      <c r="K4712" s="15">
        <v>225.0</v>
      </c>
      <c r="L4712" s="15">
        <v>225.0</v>
      </c>
      <c r="M4712" s="41">
        <v>42300.0</v>
      </c>
      <c r="N4712" s="41">
        <v>42307.0</v>
      </c>
      <c r="O4712" s="15" t="s">
        <v>1554</v>
      </c>
      <c r="Q4712" s="7"/>
    </row>
    <row r="4713">
      <c r="A4713" s="39" t="s">
        <v>18614</v>
      </c>
      <c r="B4713" s="15">
        <v>1586713.0</v>
      </c>
      <c r="C4713" s="15" t="s">
        <v>18615</v>
      </c>
      <c r="D4713" s="15">
        <v>300258.0</v>
      </c>
      <c r="E4713" s="15" t="s">
        <v>1557</v>
      </c>
      <c r="F4713" s="15" t="s">
        <v>2763</v>
      </c>
      <c r="G4713" s="7">
        <v>178.262</v>
      </c>
      <c r="H4713" s="15" t="s">
        <v>3882</v>
      </c>
      <c r="I4713" s="15" t="s">
        <v>1573</v>
      </c>
      <c r="J4713" s="15" t="s">
        <v>18616</v>
      </c>
      <c r="K4713" s="15">
        <v>248.0</v>
      </c>
      <c r="L4713" s="15">
        <v>248.0</v>
      </c>
      <c r="M4713" s="41">
        <v>42300.0</v>
      </c>
      <c r="N4713" s="41">
        <v>42307.0</v>
      </c>
      <c r="O4713" s="15" t="s">
        <v>1554</v>
      </c>
      <c r="Q4713" s="7"/>
    </row>
    <row r="4714">
      <c r="A4714" s="39" t="s">
        <v>18618</v>
      </c>
      <c r="B4714" s="15">
        <v>1586712.0</v>
      </c>
      <c r="C4714" s="15" t="s">
        <v>18619</v>
      </c>
      <c r="D4714" s="15">
        <v>300259.0</v>
      </c>
      <c r="E4714" s="15" t="s">
        <v>1557</v>
      </c>
      <c r="F4714" s="15" t="s">
        <v>2679</v>
      </c>
      <c r="G4714" s="7">
        <v>73.689</v>
      </c>
      <c r="H4714" s="42">
        <v>43280.0</v>
      </c>
      <c r="I4714" s="15" t="s">
        <v>1740</v>
      </c>
      <c r="J4714" s="15" t="s">
        <v>18620</v>
      </c>
      <c r="K4714" s="15">
        <v>102.0</v>
      </c>
      <c r="L4714" s="15">
        <v>102.0</v>
      </c>
      <c r="M4714" s="41">
        <v>42300.0</v>
      </c>
      <c r="N4714" s="41">
        <v>42307.0</v>
      </c>
      <c r="O4714" s="15" t="s">
        <v>1554</v>
      </c>
      <c r="Q4714" s="7"/>
    </row>
    <row r="4715">
      <c r="A4715" s="39" t="s">
        <v>18621</v>
      </c>
      <c r="B4715" s="15">
        <v>1548718.0</v>
      </c>
      <c r="C4715" s="15" t="s">
        <v>18622</v>
      </c>
      <c r="D4715" s="15">
        <v>300260.0</v>
      </c>
      <c r="E4715" s="15" t="s">
        <v>1548</v>
      </c>
      <c r="F4715" s="15" t="s">
        <v>18494</v>
      </c>
      <c r="G4715" s="7">
        <v>8.915</v>
      </c>
      <c r="H4715" s="15" t="s">
        <v>2869</v>
      </c>
      <c r="I4715" s="15" t="s">
        <v>1686</v>
      </c>
      <c r="J4715" s="15" t="s">
        <v>18623</v>
      </c>
      <c r="K4715" s="15">
        <v>6.0</v>
      </c>
      <c r="L4715" s="15">
        <v>6.0</v>
      </c>
      <c r="M4715" s="40">
        <v>41113.0</v>
      </c>
      <c r="N4715" s="40">
        <v>42612.0</v>
      </c>
      <c r="O4715" s="15" t="s">
        <v>1554</v>
      </c>
      <c r="Q4715" s="7"/>
    </row>
    <row r="4716">
      <c r="A4716" s="39" t="s">
        <v>18624</v>
      </c>
      <c r="B4716" s="15">
        <v>1452540.0</v>
      </c>
      <c r="C4716" s="15" t="s">
        <v>18625</v>
      </c>
      <c r="D4716" s="15">
        <v>299515.0</v>
      </c>
      <c r="E4716" s="15" t="s">
        <v>1557</v>
      </c>
      <c r="F4716" s="15" t="s">
        <v>1827</v>
      </c>
      <c r="G4716" s="7">
        <v>122.522</v>
      </c>
      <c r="H4716" s="15" t="s">
        <v>2752</v>
      </c>
      <c r="I4716" s="15" t="s">
        <v>1686</v>
      </c>
      <c r="J4716" s="15" t="s">
        <v>18626</v>
      </c>
      <c r="K4716" s="15">
        <v>87.0</v>
      </c>
      <c r="L4716" s="15">
        <v>87.0</v>
      </c>
      <c r="M4716" s="40">
        <v>42266.0</v>
      </c>
      <c r="N4716" s="41">
        <v>42332.0</v>
      </c>
      <c r="O4716" s="15" t="s">
        <v>1554</v>
      </c>
      <c r="Q4716" s="7"/>
    </row>
    <row r="4717">
      <c r="A4717" s="39" t="s">
        <v>18627</v>
      </c>
      <c r="B4717" s="15">
        <v>1714622.0</v>
      </c>
      <c r="C4717" s="15" t="s">
        <v>18628</v>
      </c>
      <c r="D4717" s="15">
        <v>14675.0</v>
      </c>
      <c r="E4717" s="15" t="s">
        <v>1548</v>
      </c>
      <c r="F4717" s="15" t="s">
        <v>18494</v>
      </c>
      <c r="G4717" s="7">
        <v>8.908</v>
      </c>
      <c r="H4717" s="15" t="s">
        <v>1802</v>
      </c>
      <c r="I4717" s="15" t="s">
        <v>1686</v>
      </c>
      <c r="J4717" s="15" t="s">
        <v>18629</v>
      </c>
      <c r="K4717" s="15">
        <v>6.0</v>
      </c>
      <c r="L4717" s="15">
        <v>6.0</v>
      </c>
      <c r="M4717" s="40">
        <v>37153.0</v>
      </c>
      <c r="N4717" s="40">
        <v>42605.0</v>
      </c>
      <c r="O4717" s="15" t="s">
        <v>1554</v>
      </c>
      <c r="Q4717" s="7"/>
    </row>
    <row r="4718">
      <c r="A4718" s="39" t="s">
        <v>18631</v>
      </c>
      <c r="B4718" s="15">
        <v>1742594.0</v>
      </c>
      <c r="C4718" s="15" t="s">
        <v>18632</v>
      </c>
      <c r="D4718" s="15">
        <v>300792.0</v>
      </c>
      <c r="E4718" s="15" t="s">
        <v>1808</v>
      </c>
      <c r="F4718" s="15" t="s">
        <v>1809</v>
      </c>
      <c r="G4718" s="7">
        <v>5.213</v>
      </c>
      <c r="H4718" s="15" t="s">
        <v>18633</v>
      </c>
      <c r="I4718" s="15" t="s">
        <v>1628</v>
      </c>
      <c r="J4718" s="15" t="s">
        <v>18634</v>
      </c>
      <c r="K4718" s="15">
        <v>7.0</v>
      </c>
      <c r="L4718" s="15">
        <v>7.0</v>
      </c>
      <c r="M4718" s="41">
        <v>42305.0</v>
      </c>
      <c r="N4718" s="40">
        <v>42376.0</v>
      </c>
      <c r="O4718" s="15" t="s">
        <v>1554</v>
      </c>
      <c r="Q4718" s="7"/>
    </row>
    <row r="4719">
      <c r="A4719" s="39" t="s">
        <v>18635</v>
      </c>
      <c r="B4719" s="15">
        <v>1742595.0</v>
      </c>
      <c r="C4719" s="15" t="s">
        <v>18636</v>
      </c>
      <c r="D4719" s="15">
        <v>300791.0</v>
      </c>
      <c r="E4719" s="15" t="s">
        <v>1808</v>
      </c>
      <c r="F4719" s="15" t="s">
        <v>1809</v>
      </c>
      <c r="G4719" s="7">
        <v>5.288</v>
      </c>
      <c r="H4719" s="15" t="s">
        <v>18637</v>
      </c>
      <c r="I4719" s="15" t="s">
        <v>1628</v>
      </c>
      <c r="J4719" s="15" t="s">
        <v>18638</v>
      </c>
      <c r="K4719" s="15">
        <v>7.0</v>
      </c>
      <c r="L4719" s="15">
        <v>7.0</v>
      </c>
      <c r="M4719" s="41">
        <v>42305.0</v>
      </c>
      <c r="N4719" s="40">
        <v>42376.0</v>
      </c>
      <c r="O4719" s="15" t="s">
        <v>1554</v>
      </c>
      <c r="Q4719" s="7"/>
    </row>
    <row r="4720">
      <c r="A4720" s="39" t="s">
        <v>18639</v>
      </c>
      <c r="B4720" s="15">
        <v>128790.0</v>
      </c>
      <c r="C4720" s="15" t="s">
        <v>18640</v>
      </c>
      <c r="D4720" s="15">
        <v>300795.0</v>
      </c>
      <c r="E4720" s="15" t="s">
        <v>1548</v>
      </c>
      <c r="F4720" s="15" t="s">
        <v>1626</v>
      </c>
      <c r="G4720" s="7">
        <v>9.553</v>
      </c>
      <c r="H4720" s="15" t="s">
        <v>18641</v>
      </c>
      <c r="I4720" s="15" t="s">
        <v>1628</v>
      </c>
      <c r="J4720" s="15" t="s">
        <v>18642</v>
      </c>
      <c r="K4720" s="15">
        <v>2.0</v>
      </c>
      <c r="L4720" s="15">
        <v>2.0</v>
      </c>
      <c r="M4720" s="41">
        <v>42304.0</v>
      </c>
      <c r="N4720" s="41">
        <v>42725.0</v>
      </c>
      <c r="O4720" s="15" t="s">
        <v>1554</v>
      </c>
      <c r="Q4720" s="7"/>
    </row>
    <row r="4721">
      <c r="A4721" s="39" t="s">
        <v>18643</v>
      </c>
      <c r="B4721" s="15">
        <v>1511914.0</v>
      </c>
      <c r="C4721" s="15" t="s">
        <v>18644</v>
      </c>
      <c r="D4721" s="15">
        <v>300551.0</v>
      </c>
      <c r="E4721" s="15" t="s">
        <v>1808</v>
      </c>
      <c r="F4721" s="15" t="s">
        <v>2436</v>
      </c>
      <c r="G4721" s="7">
        <v>5.111</v>
      </c>
      <c r="H4721" s="15" t="s">
        <v>2901</v>
      </c>
      <c r="I4721" s="15" t="s">
        <v>1686</v>
      </c>
      <c r="J4721" s="15" t="s">
        <v>18646</v>
      </c>
      <c r="K4721" s="15">
        <v>3.0</v>
      </c>
      <c r="L4721" s="15">
        <v>3.0</v>
      </c>
      <c r="M4721" s="41">
        <v>42303.0</v>
      </c>
      <c r="N4721" s="40">
        <v>42374.0</v>
      </c>
      <c r="O4721" s="15" t="s">
        <v>1554</v>
      </c>
      <c r="Q4721" s="7"/>
    </row>
    <row r="4722">
      <c r="A4722" s="39" t="s">
        <v>18647</v>
      </c>
      <c r="B4722" s="15">
        <v>1685953.0</v>
      </c>
      <c r="C4722" s="15" t="s">
        <v>18648</v>
      </c>
      <c r="D4722" s="15">
        <v>300793.0</v>
      </c>
      <c r="E4722" s="15" t="s">
        <v>1548</v>
      </c>
      <c r="F4722" s="15" t="s">
        <v>1801</v>
      </c>
      <c r="G4722" s="7">
        <v>22.78</v>
      </c>
      <c r="H4722" s="15" t="s">
        <v>2981</v>
      </c>
      <c r="I4722" s="15" t="s">
        <v>1560</v>
      </c>
      <c r="J4722" s="15" t="s">
        <v>18649</v>
      </c>
      <c r="K4722" s="15">
        <v>1.0</v>
      </c>
      <c r="L4722" s="15">
        <v>1.0</v>
      </c>
      <c r="M4722" s="41">
        <v>42303.0</v>
      </c>
      <c r="N4722" s="40">
        <v>42879.0</v>
      </c>
      <c r="O4722" s="15" t="s">
        <v>1554</v>
      </c>
      <c r="Q4722" s="7"/>
    </row>
    <row r="4723">
      <c r="A4723" s="39" t="s">
        <v>18650</v>
      </c>
      <c r="B4723" s="15">
        <v>59500.0</v>
      </c>
      <c r="C4723" s="15" t="s">
        <v>18651</v>
      </c>
      <c r="D4723" s="15">
        <v>300790.0</v>
      </c>
      <c r="E4723" s="15" t="s">
        <v>1548</v>
      </c>
      <c r="F4723" s="15" t="s">
        <v>1911</v>
      </c>
      <c r="G4723" s="7">
        <v>10.757</v>
      </c>
      <c r="H4723" s="15" t="s">
        <v>18652</v>
      </c>
      <c r="I4723" s="15" t="s">
        <v>1628</v>
      </c>
      <c r="J4723" s="15" t="s">
        <v>18653</v>
      </c>
      <c r="K4723" s="15">
        <v>2.0</v>
      </c>
      <c r="L4723" s="15">
        <v>2.0</v>
      </c>
      <c r="M4723" s="41">
        <v>42304.0</v>
      </c>
      <c r="N4723" s="41">
        <v>42725.0</v>
      </c>
      <c r="O4723" s="15" t="s">
        <v>1554</v>
      </c>
      <c r="Q4723" s="7"/>
    </row>
    <row r="4724">
      <c r="A4724" s="39" t="s">
        <v>18654</v>
      </c>
      <c r="B4724" s="15">
        <v>1663127.0</v>
      </c>
      <c r="C4724" s="15" t="s">
        <v>18655</v>
      </c>
      <c r="D4724" s="15">
        <v>301015.0</v>
      </c>
      <c r="E4724" s="15" t="s">
        <v>1548</v>
      </c>
      <c r="F4724" s="15" t="s">
        <v>1578</v>
      </c>
      <c r="G4724" s="7">
        <v>8.887</v>
      </c>
      <c r="H4724" s="15" t="s">
        <v>1745</v>
      </c>
      <c r="I4724" s="15" t="s">
        <v>1686</v>
      </c>
      <c r="J4724" s="15" t="s">
        <v>18657</v>
      </c>
      <c r="K4724" s="15">
        <v>1.0</v>
      </c>
      <c r="L4724" s="15">
        <v>1.0</v>
      </c>
      <c r="M4724" s="40">
        <v>42165.0</v>
      </c>
      <c r="N4724" s="40">
        <v>42311.0</v>
      </c>
      <c r="O4724" s="15" t="s">
        <v>1554</v>
      </c>
      <c r="Q4724" s="7"/>
    </row>
    <row r="4725">
      <c r="A4725" s="39" t="s">
        <v>18658</v>
      </c>
      <c r="B4725" s="15">
        <v>1565088.0</v>
      </c>
      <c r="C4725" s="15" t="s">
        <v>18659</v>
      </c>
      <c r="D4725" s="15">
        <v>301019.0</v>
      </c>
      <c r="E4725" s="15" t="s">
        <v>1638</v>
      </c>
      <c r="F4725" s="15" t="s">
        <v>1578</v>
      </c>
      <c r="G4725" s="7">
        <v>2.923</v>
      </c>
      <c r="H4725" s="15" t="s">
        <v>3776</v>
      </c>
      <c r="I4725" s="15" t="s">
        <v>1552</v>
      </c>
      <c r="J4725" s="15" t="s">
        <v>18660</v>
      </c>
      <c r="K4725" s="15">
        <v>2.0</v>
      </c>
      <c r="L4725" s="15">
        <v>2.0</v>
      </c>
      <c r="M4725" s="41">
        <v>42308.0</v>
      </c>
      <c r="N4725" s="40">
        <v>42543.0</v>
      </c>
      <c r="O4725" s="15" t="s">
        <v>1554</v>
      </c>
      <c r="Q4725" s="7"/>
    </row>
    <row r="4726">
      <c r="A4726" s="39" t="s">
        <v>18661</v>
      </c>
      <c r="B4726" s="15">
        <v>1537975.0</v>
      </c>
      <c r="C4726" s="15" t="s">
        <v>18662</v>
      </c>
      <c r="D4726" s="15">
        <v>301023.0</v>
      </c>
      <c r="E4726" s="15" t="s">
        <v>1548</v>
      </c>
      <c r="F4726" s="15" t="s">
        <v>1890</v>
      </c>
      <c r="G4726" s="7">
        <v>11.072</v>
      </c>
      <c r="H4726" s="15" t="s">
        <v>2869</v>
      </c>
      <c r="I4726" s="15" t="s">
        <v>1686</v>
      </c>
      <c r="J4726" s="15" t="s">
        <v>18663</v>
      </c>
      <c r="K4726" s="15">
        <v>7.0</v>
      </c>
      <c r="L4726" s="15">
        <v>7.0</v>
      </c>
      <c r="M4726" s="40">
        <v>42055.0</v>
      </c>
      <c r="N4726" s="40">
        <v>42311.0</v>
      </c>
      <c r="O4726" s="15" t="s">
        <v>1554</v>
      </c>
      <c r="Q4726" s="7"/>
    </row>
    <row r="4727">
      <c r="A4727" s="39" t="s">
        <v>18664</v>
      </c>
      <c r="B4727" s="15">
        <v>336486.0</v>
      </c>
      <c r="C4727" s="15" t="s">
        <v>18666</v>
      </c>
      <c r="D4727" s="15">
        <v>301027.0</v>
      </c>
      <c r="E4727" s="15" t="s">
        <v>1557</v>
      </c>
      <c r="F4727" s="15" t="s">
        <v>2028</v>
      </c>
      <c r="G4727" s="7">
        <v>188.534</v>
      </c>
      <c r="H4727" s="42">
        <v>43341.0</v>
      </c>
      <c r="I4727" s="15" t="s">
        <v>1686</v>
      </c>
      <c r="J4727" s="15" t="s">
        <v>18667</v>
      </c>
      <c r="K4727" s="15">
        <v>171.0</v>
      </c>
      <c r="L4727" s="15">
        <v>171.0</v>
      </c>
      <c r="M4727" s="40">
        <v>42269.0</v>
      </c>
      <c r="N4727" s="40">
        <v>42312.0</v>
      </c>
      <c r="O4727" s="15" t="s">
        <v>1554</v>
      </c>
      <c r="Q4727" s="7"/>
    </row>
    <row r="4728">
      <c r="A4728" s="39" t="s">
        <v>18668</v>
      </c>
      <c r="B4728" s="15">
        <v>1620892.0</v>
      </c>
      <c r="C4728" s="15" t="s">
        <v>18669</v>
      </c>
      <c r="D4728" s="15">
        <v>301016.0</v>
      </c>
      <c r="E4728" s="15" t="s">
        <v>1548</v>
      </c>
      <c r="F4728" s="15" t="s">
        <v>1890</v>
      </c>
      <c r="G4728" s="7">
        <v>43143.0</v>
      </c>
      <c r="H4728" s="15" t="s">
        <v>2375</v>
      </c>
      <c r="I4728" s="15" t="s">
        <v>1560</v>
      </c>
      <c r="J4728" s="15" t="s">
        <v>18670</v>
      </c>
      <c r="K4728" s="15">
        <v>6.0</v>
      </c>
      <c r="L4728" s="15">
        <v>6.0</v>
      </c>
      <c r="M4728" s="41">
        <v>42302.0</v>
      </c>
      <c r="N4728" s="40">
        <v>42445.0</v>
      </c>
      <c r="O4728" s="15" t="s">
        <v>1554</v>
      </c>
      <c r="Q4728" s="7"/>
    </row>
    <row r="4729">
      <c r="A4729" s="39" t="s">
        <v>18671</v>
      </c>
      <c r="B4729" s="15">
        <v>1554501.0</v>
      </c>
      <c r="C4729" s="15" t="s">
        <v>18672</v>
      </c>
      <c r="D4729" s="15">
        <v>301020.0</v>
      </c>
      <c r="E4729" s="15" t="s">
        <v>1548</v>
      </c>
      <c r="F4729" s="15" t="s">
        <v>4837</v>
      </c>
      <c r="G4729" s="7">
        <v>15.522</v>
      </c>
      <c r="H4729" s="15" t="s">
        <v>2552</v>
      </c>
      <c r="I4729" s="15" t="s">
        <v>1706</v>
      </c>
      <c r="J4729" s="15" t="s">
        <v>18673</v>
      </c>
      <c r="K4729" s="15">
        <v>6.0</v>
      </c>
      <c r="L4729" s="15">
        <v>7.0</v>
      </c>
      <c r="M4729" s="40">
        <v>42065.0</v>
      </c>
      <c r="N4729" s="40">
        <v>42311.0</v>
      </c>
      <c r="O4729" s="15" t="s">
        <v>1554</v>
      </c>
      <c r="Q4729" s="7"/>
    </row>
    <row r="4730">
      <c r="A4730" s="39" t="s">
        <v>18674</v>
      </c>
      <c r="B4730" s="15">
        <v>1272960.0</v>
      </c>
      <c r="C4730" s="15" t="s">
        <v>18675</v>
      </c>
      <c r="D4730" s="15">
        <v>301024.0</v>
      </c>
      <c r="E4730" s="15" t="s">
        <v>1548</v>
      </c>
      <c r="F4730" s="15" t="s">
        <v>1890</v>
      </c>
      <c r="G4730" s="7">
        <v>14.478</v>
      </c>
      <c r="H4730" s="15" t="s">
        <v>2334</v>
      </c>
      <c r="I4730" s="15" t="s">
        <v>1560</v>
      </c>
      <c r="J4730" s="15" t="s">
        <v>18676</v>
      </c>
      <c r="K4730" s="15">
        <v>10.0</v>
      </c>
      <c r="L4730" s="15">
        <v>11.0</v>
      </c>
      <c r="M4730" s="41">
        <v>41923.0</v>
      </c>
      <c r="N4730" s="40">
        <v>42311.0</v>
      </c>
      <c r="O4730" s="15" t="s">
        <v>1554</v>
      </c>
      <c r="Q4730" s="7"/>
    </row>
    <row r="4731">
      <c r="A4731" s="39" t="s">
        <v>18677</v>
      </c>
      <c r="B4731" s="15">
        <v>1577137.0</v>
      </c>
      <c r="C4731" s="15" t="s">
        <v>18678</v>
      </c>
      <c r="D4731" s="15">
        <v>301017.0</v>
      </c>
      <c r="E4731" s="15" t="s">
        <v>1548</v>
      </c>
      <c r="F4731" s="15" t="s">
        <v>1578</v>
      </c>
      <c r="G4731" s="7">
        <v>10.795</v>
      </c>
      <c r="H4731" s="15" t="s">
        <v>1756</v>
      </c>
      <c r="I4731" s="15" t="s">
        <v>1560</v>
      </c>
      <c r="J4731" s="15" t="s">
        <v>18680</v>
      </c>
      <c r="K4731" s="15">
        <v>4.0</v>
      </c>
      <c r="L4731" s="15">
        <v>4.0</v>
      </c>
      <c r="M4731" s="40">
        <v>41974.0</v>
      </c>
      <c r="N4731" s="41">
        <v>43035.0</v>
      </c>
      <c r="O4731" s="15" t="s">
        <v>1554</v>
      </c>
      <c r="Q4731" s="7"/>
    </row>
    <row r="4732">
      <c r="A4732" s="39" t="s">
        <v>18681</v>
      </c>
      <c r="B4732" s="15">
        <v>1552661.0</v>
      </c>
      <c r="C4732" s="15" t="s">
        <v>18682</v>
      </c>
      <c r="D4732" s="15">
        <v>301021.0</v>
      </c>
      <c r="E4732" s="15" t="s">
        <v>1548</v>
      </c>
      <c r="F4732" s="15" t="s">
        <v>1890</v>
      </c>
      <c r="G4732" s="7">
        <v>12.162</v>
      </c>
      <c r="H4732" s="15" t="s">
        <v>2752</v>
      </c>
      <c r="I4732" s="15" t="s">
        <v>1560</v>
      </c>
      <c r="J4732" s="15" t="s">
        <v>18683</v>
      </c>
      <c r="K4732" s="15">
        <v>7.0</v>
      </c>
      <c r="L4732" s="15">
        <v>7.0</v>
      </c>
      <c r="M4732" s="40">
        <v>41920.0</v>
      </c>
      <c r="N4732" s="40">
        <v>42311.0</v>
      </c>
      <c r="O4732" s="15" t="s">
        <v>1554</v>
      </c>
      <c r="Q4732" s="7"/>
    </row>
    <row r="4733">
      <c r="A4733" s="39" t="s">
        <v>18684</v>
      </c>
      <c r="B4733" s="15">
        <v>998864.0</v>
      </c>
      <c r="C4733" s="15" t="s">
        <v>18685</v>
      </c>
      <c r="D4733" s="15">
        <v>301025.0</v>
      </c>
      <c r="E4733" s="15" t="s">
        <v>1548</v>
      </c>
      <c r="F4733" s="15" t="s">
        <v>1890</v>
      </c>
      <c r="G4733" s="7">
        <v>14.491</v>
      </c>
      <c r="H4733" s="15" t="s">
        <v>2877</v>
      </c>
      <c r="I4733" s="15" t="s">
        <v>1628</v>
      </c>
      <c r="J4733" s="15" t="s">
        <v>18686</v>
      </c>
      <c r="K4733" s="15">
        <v>7.0</v>
      </c>
      <c r="L4733" s="15">
        <v>7.0</v>
      </c>
      <c r="M4733" s="40">
        <v>42120.0</v>
      </c>
      <c r="N4733" s="40">
        <v>42311.0</v>
      </c>
      <c r="O4733" s="15" t="s">
        <v>1554</v>
      </c>
      <c r="Q4733" s="7"/>
    </row>
    <row r="4734">
      <c r="A4734" s="39" t="s">
        <v>18687</v>
      </c>
      <c r="B4734" s="15">
        <v>195059.0</v>
      </c>
      <c r="C4734" s="15" t="s">
        <v>18688</v>
      </c>
      <c r="D4734" s="15">
        <v>301029.0</v>
      </c>
      <c r="E4734" s="15" t="s">
        <v>1548</v>
      </c>
      <c r="F4734" s="15" t="s">
        <v>1890</v>
      </c>
      <c r="G4734" s="7">
        <v>13.188</v>
      </c>
      <c r="H4734" s="15">
        <v>44.0</v>
      </c>
      <c r="I4734" s="15" t="s">
        <v>1628</v>
      </c>
      <c r="J4734" s="15" t="s">
        <v>18689</v>
      </c>
      <c r="K4734" s="15">
        <v>6.0</v>
      </c>
      <c r="L4734" s="15">
        <v>6.0</v>
      </c>
      <c r="M4734" s="40">
        <v>42148.0</v>
      </c>
      <c r="N4734" s="40">
        <v>42311.0</v>
      </c>
      <c r="O4734" s="15" t="s">
        <v>1554</v>
      </c>
      <c r="Q4734" s="7"/>
    </row>
    <row r="4735">
      <c r="A4735" s="39" t="s">
        <v>18690</v>
      </c>
      <c r="B4735" s="15">
        <v>1569258.0</v>
      </c>
      <c r="C4735" s="15" t="s">
        <v>18691</v>
      </c>
      <c r="D4735" s="15">
        <v>301018.0</v>
      </c>
      <c r="E4735" s="15" t="s">
        <v>1548</v>
      </c>
      <c r="F4735" s="15" t="s">
        <v>1890</v>
      </c>
      <c r="G4735" s="7">
        <v>11.214</v>
      </c>
      <c r="H4735" s="15" t="s">
        <v>2597</v>
      </c>
      <c r="I4735" s="15" t="s">
        <v>1560</v>
      </c>
      <c r="J4735" s="15" t="s">
        <v>18692</v>
      </c>
      <c r="K4735" s="15">
        <v>5.0</v>
      </c>
      <c r="L4735" s="15">
        <v>8.0</v>
      </c>
      <c r="M4735" s="41">
        <v>41955.0</v>
      </c>
      <c r="N4735" s="40">
        <v>42311.0</v>
      </c>
      <c r="O4735" s="15" t="s">
        <v>1554</v>
      </c>
      <c r="Q4735" s="7"/>
    </row>
    <row r="4736">
      <c r="A4736" s="39" t="s">
        <v>18693</v>
      </c>
      <c r="B4736" s="15">
        <v>1550518.0</v>
      </c>
      <c r="C4736" s="15" t="s">
        <v>18694</v>
      </c>
      <c r="D4736" s="15">
        <v>301022.0</v>
      </c>
      <c r="E4736" s="15" t="s">
        <v>1548</v>
      </c>
      <c r="F4736" s="15" t="s">
        <v>1890</v>
      </c>
      <c r="G4736" s="7">
        <v>16.133</v>
      </c>
      <c r="H4736" s="15" t="s">
        <v>4396</v>
      </c>
      <c r="I4736" s="15" t="s">
        <v>1686</v>
      </c>
      <c r="J4736" s="15" t="s">
        <v>18696</v>
      </c>
      <c r="K4736" s="15">
        <v>10.0</v>
      </c>
      <c r="L4736" s="15">
        <v>11.0</v>
      </c>
      <c r="M4736" s="41">
        <v>41923.0</v>
      </c>
      <c r="N4736" s="40">
        <v>42311.0</v>
      </c>
      <c r="O4736" s="15" t="s">
        <v>1554</v>
      </c>
      <c r="Q4736" s="7"/>
    </row>
    <row r="4737">
      <c r="A4737" s="39" t="s">
        <v>18697</v>
      </c>
      <c r="B4737" s="15">
        <v>31612.0</v>
      </c>
      <c r="C4737" s="15" t="s">
        <v>18698</v>
      </c>
      <c r="D4737" s="15">
        <v>301068.0</v>
      </c>
      <c r="E4737" s="15" t="s">
        <v>1548</v>
      </c>
      <c r="F4737" s="15" t="s">
        <v>1890</v>
      </c>
      <c r="G4737" s="7">
        <v>14.627</v>
      </c>
      <c r="H4737" s="15">
        <v>33.0</v>
      </c>
      <c r="I4737" s="15" t="s">
        <v>1686</v>
      </c>
      <c r="J4737" s="15" t="s">
        <v>18699</v>
      </c>
      <c r="K4737" s="15">
        <v>8.0</v>
      </c>
      <c r="L4737" s="15">
        <v>9.0</v>
      </c>
      <c r="M4737" s="40">
        <v>41214.0</v>
      </c>
      <c r="N4737" s="40">
        <v>42312.0</v>
      </c>
      <c r="O4737" s="15" t="s">
        <v>1554</v>
      </c>
      <c r="Q4737" s="7"/>
    </row>
    <row r="4738">
      <c r="A4738" s="39" t="s">
        <v>18700</v>
      </c>
      <c r="B4738" s="15">
        <v>1721090.0</v>
      </c>
      <c r="C4738" s="15" t="s">
        <v>18701</v>
      </c>
      <c r="D4738" s="15">
        <v>301069.0</v>
      </c>
      <c r="E4738" s="15" t="s">
        <v>1638</v>
      </c>
      <c r="F4738" s="15" t="s">
        <v>5304</v>
      </c>
      <c r="G4738" s="7">
        <v>5.547</v>
      </c>
      <c r="H4738" s="15" t="s">
        <v>18702</v>
      </c>
      <c r="I4738" s="15" t="s">
        <v>1686</v>
      </c>
      <c r="J4738" s="15" t="s">
        <v>18703</v>
      </c>
      <c r="K4738" s="15">
        <v>3.0</v>
      </c>
      <c r="L4738" s="15">
        <v>3.0</v>
      </c>
      <c r="M4738" s="40">
        <v>42277.0</v>
      </c>
      <c r="N4738" s="40">
        <v>42312.0</v>
      </c>
      <c r="O4738" s="15" t="s">
        <v>1554</v>
      </c>
      <c r="Q4738" s="7"/>
    </row>
    <row r="4739">
      <c r="A4739" s="39" t="s">
        <v>18704</v>
      </c>
      <c r="B4739" s="15">
        <v>35302.0</v>
      </c>
      <c r="C4739" s="15" t="s">
        <v>18706</v>
      </c>
      <c r="D4739" s="15">
        <v>301067.0</v>
      </c>
      <c r="E4739" s="15" t="s">
        <v>1548</v>
      </c>
      <c r="F4739" s="15" t="s">
        <v>4837</v>
      </c>
      <c r="G4739" s="7">
        <v>14.904</v>
      </c>
      <c r="H4739" s="15" t="s">
        <v>2981</v>
      </c>
      <c r="I4739" s="15" t="s">
        <v>1686</v>
      </c>
      <c r="J4739" s="15" t="s">
        <v>18707</v>
      </c>
      <c r="K4739" s="15">
        <v>6.0</v>
      </c>
      <c r="L4739" s="15">
        <v>7.0</v>
      </c>
      <c r="M4739" s="40">
        <v>40378.0</v>
      </c>
      <c r="N4739" s="40">
        <v>42312.0</v>
      </c>
      <c r="O4739" s="15" t="s">
        <v>1554</v>
      </c>
      <c r="Q4739" s="7"/>
    </row>
    <row r="4740">
      <c r="A4740" s="39" t="s">
        <v>18708</v>
      </c>
      <c r="B4740" s="15">
        <v>1573459.0</v>
      </c>
      <c r="C4740" s="15" t="s">
        <v>18709</v>
      </c>
      <c r="D4740" s="15">
        <v>301071.0</v>
      </c>
      <c r="E4740" s="15" t="s">
        <v>1638</v>
      </c>
      <c r="F4740" s="15" t="s">
        <v>1796</v>
      </c>
      <c r="G4740" s="7">
        <v>4.961</v>
      </c>
      <c r="H4740" s="15" t="s">
        <v>18710</v>
      </c>
      <c r="I4740" s="15" t="s">
        <v>1628</v>
      </c>
      <c r="J4740" s="15" t="s">
        <v>18711</v>
      </c>
      <c r="K4740" s="15">
        <v>2.0</v>
      </c>
      <c r="L4740" s="15">
        <v>2.0</v>
      </c>
      <c r="M4740" s="41">
        <v>42305.0</v>
      </c>
      <c r="N4740" s="40">
        <v>42643.0</v>
      </c>
      <c r="O4740" s="15" t="s">
        <v>1554</v>
      </c>
      <c r="Q4740" s="7"/>
    </row>
    <row r="4741">
      <c r="A4741" s="39" t="s">
        <v>18712</v>
      </c>
      <c r="B4741" s="15">
        <v>11240.0</v>
      </c>
      <c r="C4741" s="15" t="s">
        <v>18713</v>
      </c>
      <c r="D4741" s="15">
        <v>301066.0</v>
      </c>
      <c r="E4741" s="15" t="s">
        <v>1548</v>
      </c>
      <c r="F4741" s="15" t="s">
        <v>4837</v>
      </c>
      <c r="G4741" s="7">
        <v>15.696</v>
      </c>
      <c r="H4741" s="15">
        <v>41.0</v>
      </c>
      <c r="I4741" s="15" t="s">
        <v>1567</v>
      </c>
      <c r="J4741" s="15" t="s">
        <v>18714</v>
      </c>
      <c r="K4741" s="15">
        <v>6.0</v>
      </c>
      <c r="L4741" s="15">
        <v>8.0</v>
      </c>
      <c r="M4741" s="40">
        <v>41407.0</v>
      </c>
      <c r="N4741" s="40">
        <v>42312.0</v>
      </c>
      <c r="O4741" s="15" t="s">
        <v>1554</v>
      </c>
      <c r="Q4741" s="7"/>
    </row>
    <row r="4742">
      <c r="A4742" s="39" t="s">
        <v>18715</v>
      </c>
      <c r="B4742" s="15">
        <v>1720495.0</v>
      </c>
      <c r="C4742" s="15" t="s">
        <v>18717</v>
      </c>
      <c r="D4742" s="15">
        <v>301070.0</v>
      </c>
      <c r="E4742" s="15" t="s">
        <v>1557</v>
      </c>
      <c r="F4742" s="15" t="s">
        <v>1767</v>
      </c>
      <c r="G4742" s="7">
        <v>136.896</v>
      </c>
      <c r="H4742" s="15" t="s">
        <v>3653</v>
      </c>
      <c r="I4742" s="15" t="s">
        <v>1586</v>
      </c>
      <c r="J4742" s="15" t="s">
        <v>18718</v>
      </c>
      <c r="K4742" s="15">
        <v>213.0</v>
      </c>
      <c r="L4742" s="15">
        <v>206.0</v>
      </c>
      <c r="M4742" s="40">
        <v>42278.0</v>
      </c>
      <c r="N4742" s="40">
        <v>42457.0</v>
      </c>
      <c r="O4742" s="15" t="s">
        <v>1554</v>
      </c>
      <c r="Q4742" s="7"/>
    </row>
    <row r="4743">
      <c r="A4743" s="39" t="s">
        <v>18719</v>
      </c>
      <c r="B4743" s="15">
        <v>1608133.0</v>
      </c>
      <c r="C4743" s="15" t="s">
        <v>18720</v>
      </c>
      <c r="D4743" s="15">
        <v>301247.0</v>
      </c>
      <c r="E4743" s="15" t="s">
        <v>1548</v>
      </c>
      <c r="F4743" s="15" t="s">
        <v>1578</v>
      </c>
      <c r="G4743" s="7">
        <v>12.004</v>
      </c>
      <c r="H4743" s="15" t="s">
        <v>3653</v>
      </c>
      <c r="I4743" s="15" t="s">
        <v>1560</v>
      </c>
      <c r="J4743" s="15" t="s">
        <v>18721</v>
      </c>
      <c r="K4743" s="15">
        <v>3.0</v>
      </c>
      <c r="L4743" s="15">
        <v>3.0</v>
      </c>
      <c r="M4743" s="40">
        <v>42043.0</v>
      </c>
      <c r="N4743" s="40">
        <v>42598.0</v>
      </c>
      <c r="O4743" s="15" t="s">
        <v>1554</v>
      </c>
      <c r="Q4743" s="7"/>
    </row>
    <row r="4744">
      <c r="A4744" s="39" t="s">
        <v>18722</v>
      </c>
      <c r="B4744" s="15">
        <v>1608044.0</v>
      </c>
      <c r="C4744" s="15" t="s">
        <v>18723</v>
      </c>
      <c r="D4744" s="15">
        <v>301251.0</v>
      </c>
      <c r="E4744" s="15" t="s">
        <v>1548</v>
      </c>
      <c r="F4744" s="15" t="s">
        <v>1578</v>
      </c>
      <c r="G4744" s="7">
        <v>10.877</v>
      </c>
      <c r="H4744" s="15" t="s">
        <v>4606</v>
      </c>
      <c r="I4744" s="15" t="s">
        <v>1560</v>
      </c>
      <c r="J4744" s="15" t="s">
        <v>18724</v>
      </c>
      <c r="K4744" s="15">
        <v>3.0</v>
      </c>
      <c r="L4744" s="15">
        <v>3.0</v>
      </c>
      <c r="M4744" s="40">
        <v>42043.0</v>
      </c>
      <c r="N4744" s="40">
        <v>42598.0</v>
      </c>
      <c r="O4744" s="15" t="s">
        <v>1554</v>
      </c>
      <c r="Q4744" s="7"/>
    </row>
    <row r="4745">
      <c r="A4745" s="39" t="s">
        <v>18726</v>
      </c>
      <c r="B4745" s="15">
        <v>1032474.0</v>
      </c>
      <c r="C4745" s="15" t="s">
        <v>18727</v>
      </c>
      <c r="D4745" s="15">
        <v>301255.0</v>
      </c>
      <c r="E4745" s="15" t="s">
        <v>1557</v>
      </c>
      <c r="F4745" s="15" t="s">
        <v>18728</v>
      </c>
      <c r="G4745" s="7">
        <v>13.769</v>
      </c>
      <c r="H4745" s="15" t="s">
        <v>9707</v>
      </c>
      <c r="I4745" s="15" t="s">
        <v>1618</v>
      </c>
      <c r="J4745" s="15" t="s">
        <v>18729</v>
      </c>
      <c r="K4745" s="15">
        <v>21.0</v>
      </c>
      <c r="L4745" s="15">
        <v>21.0</v>
      </c>
      <c r="M4745" s="40">
        <v>40805.0</v>
      </c>
      <c r="N4745" s="40">
        <v>42313.0</v>
      </c>
      <c r="O4745" s="15" t="s">
        <v>1554</v>
      </c>
      <c r="Q4745" s="7"/>
    </row>
    <row r="4746">
      <c r="A4746" s="39" t="s">
        <v>18730</v>
      </c>
      <c r="B4746" s="15">
        <v>1557033.0</v>
      </c>
      <c r="C4746" s="15" t="s">
        <v>18731</v>
      </c>
      <c r="D4746" s="15">
        <v>301259.0</v>
      </c>
      <c r="E4746" s="15" t="s">
        <v>13355</v>
      </c>
      <c r="F4746" s="15" t="s">
        <v>1578</v>
      </c>
      <c r="G4746" s="7">
        <v>29.767</v>
      </c>
      <c r="H4746" s="15" t="s">
        <v>2324</v>
      </c>
      <c r="I4746" s="15" t="s">
        <v>1706</v>
      </c>
      <c r="J4746" s="15" t="s">
        <v>18732</v>
      </c>
      <c r="K4746" s="15">
        <v>32.0</v>
      </c>
      <c r="L4746" s="15">
        <v>32.0</v>
      </c>
      <c r="M4746" s="41">
        <v>41960.0</v>
      </c>
      <c r="N4746" s="40">
        <v>42313.0</v>
      </c>
      <c r="O4746" s="15" t="s">
        <v>1554</v>
      </c>
      <c r="Q4746" s="7"/>
    </row>
    <row r="4747">
      <c r="A4747" s="39" t="s">
        <v>18734</v>
      </c>
      <c r="B4747" s="15">
        <v>50713.0</v>
      </c>
      <c r="C4747" s="15" t="s">
        <v>18735</v>
      </c>
      <c r="D4747" s="15">
        <v>301158.0</v>
      </c>
      <c r="E4747" s="15" t="s">
        <v>1548</v>
      </c>
      <c r="F4747" s="15" t="s">
        <v>1890</v>
      </c>
      <c r="G4747" s="7">
        <v>11.003</v>
      </c>
      <c r="H4747" s="15">
        <v>44.0</v>
      </c>
      <c r="I4747" s="15" t="s">
        <v>1560</v>
      </c>
      <c r="J4747" s="15" t="s">
        <v>18736</v>
      </c>
      <c r="K4747" s="15">
        <v>7.0</v>
      </c>
      <c r="L4747" s="15">
        <v>5.0</v>
      </c>
      <c r="M4747" s="40">
        <v>39610.0</v>
      </c>
      <c r="N4747" s="40">
        <v>42313.0</v>
      </c>
      <c r="O4747" s="15" t="s">
        <v>1554</v>
      </c>
      <c r="Q4747" s="7"/>
    </row>
    <row r="4748">
      <c r="A4748" s="39" t="s">
        <v>18737</v>
      </c>
      <c r="B4748" s="15">
        <v>1608045.0</v>
      </c>
      <c r="C4748" s="15" t="s">
        <v>18738</v>
      </c>
      <c r="D4748" s="15">
        <v>301250.0</v>
      </c>
      <c r="E4748" s="15" t="s">
        <v>1548</v>
      </c>
      <c r="F4748" s="15" t="s">
        <v>1578</v>
      </c>
      <c r="G4748" s="7">
        <v>9.527</v>
      </c>
      <c r="H4748" s="15">
        <v>50.0</v>
      </c>
      <c r="I4748" s="15" t="s">
        <v>1560</v>
      </c>
      <c r="J4748" s="15" t="s">
        <v>18739</v>
      </c>
      <c r="K4748" s="15">
        <v>2.0</v>
      </c>
      <c r="L4748" s="15">
        <v>2.0</v>
      </c>
      <c r="M4748" s="40">
        <v>42043.0</v>
      </c>
      <c r="N4748" s="40">
        <v>42598.0</v>
      </c>
      <c r="O4748" s="15" t="s">
        <v>1554</v>
      </c>
      <c r="Q4748" s="7"/>
    </row>
    <row r="4749">
      <c r="A4749" s="39" t="s">
        <v>18740</v>
      </c>
      <c r="B4749" s="15">
        <v>1435497.0</v>
      </c>
      <c r="C4749" s="15" t="s">
        <v>18741</v>
      </c>
      <c r="D4749" s="15">
        <v>301254.0</v>
      </c>
      <c r="E4749" s="15" t="s">
        <v>1557</v>
      </c>
      <c r="F4749" s="15" t="s">
        <v>1822</v>
      </c>
      <c r="G4749" s="7">
        <v>7.771</v>
      </c>
      <c r="H4749" s="15" t="s">
        <v>3823</v>
      </c>
      <c r="I4749" s="15" t="s">
        <v>1686</v>
      </c>
      <c r="J4749" s="15" t="s">
        <v>18742</v>
      </c>
      <c r="K4749" s="15">
        <v>6.0</v>
      </c>
      <c r="L4749" s="15">
        <v>6.0</v>
      </c>
      <c r="M4749" s="40">
        <v>42128.0</v>
      </c>
      <c r="N4749" s="40">
        <v>42313.0</v>
      </c>
      <c r="O4749" s="15" t="s">
        <v>1554</v>
      </c>
      <c r="Q4749" s="7"/>
    </row>
    <row r="4750">
      <c r="A4750" s="39" t="s">
        <v>18743</v>
      </c>
      <c r="B4750" s="15">
        <v>1557034.0</v>
      </c>
      <c r="C4750" s="15" t="s">
        <v>18744</v>
      </c>
      <c r="D4750" s="15">
        <v>301258.0</v>
      </c>
      <c r="E4750" s="15" t="s">
        <v>13355</v>
      </c>
      <c r="F4750" s="15" t="s">
        <v>1578</v>
      </c>
      <c r="G4750" s="7">
        <v>24.837</v>
      </c>
      <c r="H4750" s="42">
        <v>43338.0</v>
      </c>
      <c r="I4750" s="15" t="s">
        <v>1706</v>
      </c>
      <c r="J4750" s="15" t="s">
        <v>18746</v>
      </c>
      <c r="K4750" s="15">
        <v>29.0</v>
      </c>
      <c r="L4750" s="15">
        <v>29.0</v>
      </c>
      <c r="M4750" s="41">
        <v>41960.0</v>
      </c>
      <c r="N4750" s="40">
        <v>42313.0</v>
      </c>
      <c r="O4750" s="15" t="s">
        <v>1554</v>
      </c>
      <c r="Q4750" s="7"/>
    </row>
    <row r="4751">
      <c r="A4751" s="39" t="s">
        <v>18747</v>
      </c>
      <c r="B4751" s="15">
        <v>1608138.0</v>
      </c>
      <c r="C4751" s="15" t="s">
        <v>18748</v>
      </c>
      <c r="D4751" s="15">
        <v>301302.0</v>
      </c>
      <c r="E4751" s="15" t="s">
        <v>1548</v>
      </c>
      <c r="F4751" s="15" t="s">
        <v>1890</v>
      </c>
      <c r="G4751" s="7">
        <v>11.395</v>
      </c>
      <c r="H4751" s="15" t="s">
        <v>1844</v>
      </c>
      <c r="I4751" s="15" t="s">
        <v>1560</v>
      </c>
      <c r="J4751" s="15" t="s">
        <v>18749</v>
      </c>
      <c r="K4751" s="15">
        <v>3.0</v>
      </c>
      <c r="L4751" s="15">
        <v>3.0</v>
      </c>
      <c r="M4751" s="40">
        <v>42043.0</v>
      </c>
      <c r="N4751" s="40">
        <v>42598.0</v>
      </c>
      <c r="O4751" s="15" t="s">
        <v>1554</v>
      </c>
      <c r="Q4751" s="7"/>
    </row>
    <row r="4752">
      <c r="A4752" s="39" t="s">
        <v>18750</v>
      </c>
      <c r="B4752" s="15">
        <v>1608086.0</v>
      </c>
      <c r="C4752" s="15" t="s">
        <v>18751</v>
      </c>
      <c r="D4752" s="15">
        <v>301249.0</v>
      </c>
      <c r="E4752" s="15" t="s">
        <v>1548</v>
      </c>
      <c r="F4752" s="15" t="s">
        <v>1578</v>
      </c>
      <c r="G4752" s="7">
        <v>10.815</v>
      </c>
      <c r="H4752" s="15" t="s">
        <v>1705</v>
      </c>
      <c r="I4752" s="15" t="s">
        <v>1560</v>
      </c>
      <c r="J4752" s="15" t="s">
        <v>18752</v>
      </c>
      <c r="K4752" s="15">
        <v>3.0</v>
      </c>
      <c r="L4752" s="15">
        <v>3.0</v>
      </c>
      <c r="M4752" s="40">
        <v>42043.0</v>
      </c>
      <c r="N4752" s="40">
        <v>42598.0</v>
      </c>
      <c r="O4752" s="15" t="s">
        <v>1554</v>
      </c>
      <c r="Q4752" s="7"/>
    </row>
    <row r="4753">
      <c r="A4753" s="39" t="s">
        <v>18754</v>
      </c>
      <c r="B4753" s="15">
        <v>1519391.0</v>
      </c>
      <c r="C4753" s="15" t="s">
        <v>18755</v>
      </c>
      <c r="D4753" s="15">
        <v>301253.0</v>
      </c>
      <c r="E4753" s="15" t="s">
        <v>1577</v>
      </c>
      <c r="F4753" s="15" t="s">
        <v>1578</v>
      </c>
      <c r="G4753" s="7">
        <v>2.531</v>
      </c>
      <c r="H4753" s="15" t="s">
        <v>2869</v>
      </c>
      <c r="I4753" s="15" t="s">
        <v>1706</v>
      </c>
      <c r="J4753" s="15" t="s">
        <v>18756</v>
      </c>
      <c r="K4753" s="15">
        <v>2.0</v>
      </c>
      <c r="L4753" s="15">
        <v>2.0</v>
      </c>
      <c r="M4753" s="40">
        <v>41839.0</v>
      </c>
      <c r="N4753" s="40">
        <v>42313.0</v>
      </c>
      <c r="O4753" s="15" t="s">
        <v>1554</v>
      </c>
      <c r="Q4753" s="7"/>
    </row>
    <row r="4754">
      <c r="A4754" s="39" t="s">
        <v>18757</v>
      </c>
      <c r="B4754" s="15">
        <v>1557035.0</v>
      </c>
      <c r="C4754" s="15" t="s">
        <v>18758</v>
      </c>
      <c r="D4754" s="15">
        <v>301257.0</v>
      </c>
      <c r="E4754" s="15" t="s">
        <v>13355</v>
      </c>
      <c r="F4754" s="15" t="s">
        <v>1578</v>
      </c>
      <c r="G4754" s="7">
        <v>23.193</v>
      </c>
      <c r="H4754" s="42">
        <v>43186.0</v>
      </c>
      <c r="I4754" s="15" t="s">
        <v>1706</v>
      </c>
      <c r="J4754" s="15" t="s">
        <v>18759</v>
      </c>
      <c r="K4754" s="15">
        <v>26.0</v>
      </c>
      <c r="L4754" s="15">
        <v>26.0</v>
      </c>
      <c r="M4754" s="41">
        <v>41960.0</v>
      </c>
      <c r="N4754" s="40">
        <v>42313.0</v>
      </c>
      <c r="O4754" s="15" t="s">
        <v>1554</v>
      </c>
      <c r="Q4754" s="7"/>
    </row>
    <row r="4755">
      <c r="A4755" s="39" t="s">
        <v>18760</v>
      </c>
      <c r="B4755" s="15">
        <v>1738045.0</v>
      </c>
      <c r="C4755" s="15" t="s">
        <v>18761</v>
      </c>
      <c r="D4755" s="15">
        <v>301301.0</v>
      </c>
      <c r="E4755" s="15" t="s">
        <v>1808</v>
      </c>
      <c r="F4755" s="15" t="s">
        <v>1809</v>
      </c>
      <c r="G4755" s="7">
        <v>2.754</v>
      </c>
      <c r="H4755" s="15" t="s">
        <v>2869</v>
      </c>
      <c r="I4755" s="15" t="s">
        <v>1628</v>
      </c>
      <c r="J4755" s="15" t="s">
        <v>18762</v>
      </c>
      <c r="K4755" s="15">
        <v>5.0</v>
      </c>
      <c r="L4755" s="15">
        <v>5.0</v>
      </c>
      <c r="M4755" s="40">
        <v>41901.0</v>
      </c>
      <c r="N4755" s="40">
        <v>42313.0</v>
      </c>
      <c r="O4755" s="15" t="s">
        <v>1554</v>
      </c>
      <c r="Q4755" s="7"/>
    </row>
    <row r="4756">
      <c r="A4756" s="39" t="s">
        <v>18763</v>
      </c>
      <c r="B4756" s="15">
        <v>1608087.0</v>
      </c>
      <c r="C4756" s="15" t="s">
        <v>18764</v>
      </c>
      <c r="D4756" s="15">
        <v>301248.0</v>
      </c>
      <c r="E4756" s="15" t="s">
        <v>1548</v>
      </c>
      <c r="F4756" s="15" t="s">
        <v>1578</v>
      </c>
      <c r="G4756" s="7">
        <v>10.017</v>
      </c>
      <c r="H4756" s="15" t="s">
        <v>3297</v>
      </c>
      <c r="I4756" s="15" t="s">
        <v>1560</v>
      </c>
      <c r="J4756" s="15" t="s">
        <v>18766</v>
      </c>
      <c r="K4756" s="15">
        <v>2.0</v>
      </c>
      <c r="L4756" s="15">
        <v>2.0</v>
      </c>
      <c r="M4756" s="40">
        <v>42043.0</v>
      </c>
      <c r="N4756" s="40">
        <v>42598.0</v>
      </c>
      <c r="O4756" s="15" t="s">
        <v>1554</v>
      </c>
      <c r="Q4756" s="7"/>
    </row>
    <row r="4757">
      <c r="A4757" s="39" t="s">
        <v>18767</v>
      </c>
      <c r="B4757" s="15">
        <v>1608042.0</v>
      </c>
      <c r="C4757" s="15" t="s">
        <v>18768</v>
      </c>
      <c r="D4757" s="15">
        <v>301252.0</v>
      </c>
      <c r="E4757" s="15" t="s">
        <v>1548</v>
      </c>
      <c r="F4757" s="15" t="s">
        <v>1578</v>
      </c>
      <c r="G4757" s="7">
        <v>11.183</v>
      </c>
      <c r="H4757" s="15" t="s">
        <v>3297</v>
      </c>
      <c r="I4757" s="15" t="s">
        <v>1560</v>
      </c>
      <c r="J4757" s="15" t="s">
        <v>18769</v>
      </c>
      <c r="K4757" s="15">
        <v>3.0</v>
      </c>
      <c r="L4757" s="15">
        <v>3.0</v>
      </c>
      <c r="M4757" s="40">
        <v>42043.0</v>
      </c>
      <c r="N4757" s="40">
        <v>42598.0</v>
      </c>
      <c r="O4757" s="15" t="s">
        <v>1554</v>
      </c>
      <c r="Q4757" s="7"/>
    </row>
    <row r="4758">
      <c r="A4758" s="39" t="s">
        <v>18770</v>
      </c>
      <c r="B4758" s="15">
        <v>1032473.0</v>
      </c>
      <c r="C4758" s="15" t="s">
        <v>18771</v>
      </c>
      <c r="D4758" s="15">
        <v>301256.0</v>
      </c>
      <c r="E4758" s="15" t="s">
        <v>2416</v>
      </c>
      <c r="F4758" s="15" t="s">
        <v>1578</v>
      </c>
      <c r="G4758" s="7">
        <v>38.049</v>
      </c>
      <c r="H4758" s="15" t="s">
        <v>7049</v>
      </c>
      <c r="I4758" s="15" t="s">
        <v>1618</v>
      </c>
      <c r="J4758" s="15" t="s">
        <v>18772</v>
      </c>
      <c r="K4758" s="15">
        <v>53.0</v>
      </c>
      <c r="L4758" s="15">
        <v>53.0</v>
      </c>
      <c r="M4758" s="40">
        <v>40805.0</v>
      </c>
      <c r="N4758" s="40">
        <v>42313.0</v>
      </c>
      <c r="O4758" s="15" t="s">
        <v>1554</v>
      </c>
      <c r="Q4758" s="7"/>
    </row>
    <row r="4759">
      <c r="A4759" s="39" t="s">
        <v>18774</v>
      </c>
      <c r="B4759" s="15">
        <v>64021.0</v>
      </c>
      <c r="C4759" s="15" t="s">
        <v>18775</v>
      </c>
      <c r="D4759" s="15">
        <v>301300.0</v>
      </c>
      <c r="E4759" s="15" t="s">
        <v>10475</v>
      </c>
      <c r="F4759" s="15" t="s">
        <v>18774</v>
      </c>
      <c r="G4759" s="7">
        <v>0.415</v>
      </c>
      <c r="H4759" s="15" t="s">
        <v>2064</v>
      </c>
      <c r="I4759" s="15" t="s">
        <v>1628</v>
      </c>
      <c r="J4759" s="15" t="s">
        <v>18776</v>
      </c>
      <c r="K4759" s="15">
        <v>2.0</v>
      </c>
      <c r="L4759" s="15" t="s">
        <v>1722</v>
      </c>
      <c r="M4759" s="40">
        <v>38918.0</v>
      </c>
      <c r="N4759" s="40">
        <v>42313.0</v>
      </c>
      <c r="O4759" s="15" t="s">
        <v>1554</v>
      </c>
      <c r="Q4759" s="7"/>
    </row>
    <row r="4760">
      <c r="A4760" s="39" t="s">
        <v>18777</v>
      </c>
      <c r="B4760" s="15">
        <v>1746059.0</v>
      </c>
      <c r="C4760" s="15" t="s">
        <v>18778</v>
      </c>
      <c r="D4760" s="15">
        <v>302017.0</v>
      </c>
      <c r="E4760" s="15" t="s">
        <v>1548</v>
      </c>
      <c r="F4760" s="15" t="s">
        <v>1578</v>
      </c>
      <c r="G4760" s="7">
        <v>26.315</v>
      </c>
      <c r="H4760" s="15" t="s">
        <v>1602</v>
      </c>
      <c r="I4760" s="15" t="s">
        <v>1560</v>
      </c>
      <c r="J4760" s="15" t="s">
        <v>18779</v>
      </c>
      <c r="K4760" s="15">
        <v>1.0</v>
      </c>
      <c r="L4760" s="15">
        <v>1.0</v>
      </c>
      <c r="M4760" s="41">
        <v>42306.0</v>
      </c>
      <c r="N4760" s="41">
        <v>42320.0</v>
      </c>
      <c r="O4760" s="15" t="s">
        <v>1554</v>
      </c>
      <c r="Q4760" s="7"/>
    </row>
    <row r="4761">
      <c r="A4761" s="39" t="s">
        <v>18780</v>
      </c>
      <c r="B4761" s="15">
        <v>1745250.0</v>
      </c>
      <c r="C4761" s="15" t="s">
        <v>18781</v>
      </c>
      <c r="D4761" s="15">
        <v>302021.0</v>
      </c>
      <c r="E4761" s="15" t="s">
        <v>1548</v>
      </c>
      <c r="F4761" s="15" t="s">
        <v>1776</v>
      </c>
      <c r="G4761" s="7">
        <v>7.333</v>
      </c>
      <c r="H4761" s="15" t="s">
        <v>3317</v>
      </c>
      <c r="I4761" s="15" t="s">
        <v>1686</v>
      </c>
      <c r="J4761" s="15" t="s">
        <v>18782</v>
      </c>
      <c r="K4761" s="15">
        <v>1.0</v>
      </c>
      <c r="L4761" s="15">
        <v>1.0</v>
      </c>
      <c r="M4761" s="40">
        <v>42310.0</v>
      </c>
      <c r="N4761" s="40">
        <v>42374.0</v>
      </c>
      <c r="O4761" s="15" t="s">
        <v>1554</v>
      </c>
      <c r="Q4761" s="7"/>
    </row>
    <row r="4762">
      <c r="A4762" s="39" t="s">
        <v>18783</v>
      </c>
      <c r="B4762" s="15">
        <v>1497848.0</v>
      </c>
      <c r="C4762" s="15" t="s">
        <v>18784</v>
      </c>
      <c r="D4762" s="15">
        <v>302025.0</v>
      </c>
      <c r="E4762" s="15" t="s">
        <v>1638</v>
      </c>
      <c r="F4762" s="15" t="s">
        <v>1578</v>
      </c>
      <c r="G4762" s="7">
        <v>8.768</v>
      </c>
      <c r="H4762" s="15" t="s">
        <v>9551</v>
      </c>
      <c r="I4762" s="15" t="s">
        <v>1628</v>
      </c>
      <c r="J4762" s="15" t="s">
        <v>18786</v>
      </c>
      <c r="K4762" s="15">
        <v>3.0</v>
      </c>
      <c r="L4762" s="15">
        <v>3.0</v>
      </c>
      <c r="M4762" s="40">
        <v>42312.0</v>
      </c>
      <c r="N4762" s="40">
        <v>42346.0</v>
      </c>
      <c r="O4762" s="15" t="s">
        <v>1554</v>
      </c>
      <c r="Q4762" s="7"/>
    </row>
    <row r="4763">
      <c r="A4763" s="39" t="s">
        <v>18787</v>
      </c>
      <c r="B4763" s="15">
        <v>1746072.0</v>
      </c>
      <c r="C4763" s="15" t="s">
        <v>18788</v>
      </c>
      <c r="D4763" s="15">
        <v>302029.0</v>
      </c>
      <c r="E4763" s="15" t="s">
        <v>1548</v>
      </c>
      <c r="F4763" s="15" t="s">
        <v>1578</v>
      </c>
      <c r="G4763" s="7">
        <v>21.779</v>
      </c>
      <c r="H4763" s="15" t="s">
        <v>2263</v>
      </c>
      <c r="I4763" s="15" t="s">
        <v>1560</v>
      </c>
      <c r="J4763" s="15" t="s">
        <v>18789</v>
      </c>
      <c r="K4763" s="15">
        <v>1.0</v>
      </c>
      <c r="L4763" s="15">
        <v>1.0</v>
      </c>
      <c r="M4763" s="41">
        <v>42306.0</v>
      </c>
      <c r="N4763" s="41">
        <v>42320.0</v>
      </c>
      <c r="O4763" s="15" t="s">
        <v>1554</v>
      </c>
      <c r="Q4763" s="7"/>
    </row>
    <row r="4764">
      <c r="A4764" s="39" t="s">
        <v>18790</v>
      </c>
      <c r="B4764" s="15">
        <v>1746062.0</v>
      </c>
      <c r="C4764" s="15" t="s">
        <v>18791</v>
      </c>
      <c r="D4764" s="15">
        <v>302033.0</v>
      </c>
      <c r="E4764" s="15" t="s">
        <v>1548</v>
      </c>
      <c r="F4764" s="15" t="s">
        <v>1578</v>
      </c>
      <c r="G4764" s="7">
        <v>21.414</v>
      </c>
      <c r="H4764" s="15" t="s">
        <v>2752</v>
      </c>
      <c r="I4764" s="15" t="s">
        <v>1560</v>
      </c>
      <c r="J4764" s="15" t="s">
        <v>18792</v>
      </c>
      <c r="K4764" s="15">
        <v>1.0</v>
      </c>
      <c r="L4764" s="15">
        <v>1.0</v>
      </c>
      <c r="M4764" s="41">
        <v>42306.0</v>
      </c>
      <c r="N4764" s="41">
        <v>42320.0</v>
      </c>
      <c r="O4764" s="15" t="s">
        <v>1554</v>
      </c>
      <c r="Q4764" s="7"/>
    </row>
    <row r="4765">
      <c r="A4765" s="39" t="s">
        <v>18793</v>
      </c>
      <c r="B4765" s="15">
        <v>1746057.0</v>
      </c>
      <c r="C4765" s="15" t="s">
        <v>18795</v>
      </c>
      <c r="D4765" s="15">
        <v>302019.0</v>
      </c>
      <c r="E4765" s="15" t="s">
        <v>1548</v>
      </c>
      <c r="F4765" s="15" t="s">
        <v>1578</v>
      </c>
      <c r="G4765" s="7">
        <v>18.697</v>
      </c>
      <c r="H4765" s="15">
        <v>43.0</v>
      </c>
      <c r="I4765" s="15" t="s">
        <v>1560</v>
      </c>
      <c r="J4765" s="15" t="s">
        <v>18796</v>
      </c>
      <c r="K4765" s="15">
        <v>1.0</v>
      </c>
      <c r="L4765" s="15">
        <v>1.0</v>
      </c>
      <c r="M4765" s="41">
        <v>42306.0</v>
      </c>
      <c r="N4765" s="41">
        <v>42320.0</v>
      </c>
      <c r="O4765" s="15" t="s">
        <v>1554</v>
      </c>
      <c r="Q4765" s="7"/>
    </row>
    <row r="4766">
      <c r="A4766" s="39" t="s">
        <v>18797</v>
      </c>
      <c r="B4766" s="15">
        <v>548914.0</v>
      </c>
      <c r="C4766" s="15" t="s">
        <v>18798</v>
      </c>
      <c r="D4766" s="15">
        <v>302027.0</v>
      </c>
      <c r="E4766" s="15" t="s">
        <v>1557</v>
      </c>
      <c r="F4766" s="15" t="s">
        <v>1827</v>
      </c>
      <c r="G4766" s="7">
        <v>205.896</v>
      </c>
      <c r="H4766" s="15" t="s">
        <v>5488</v>
      </c>
      <c r="I4766" s="15" t="s">
        <v>1686</v>
      </c>
      <c r="J4766" s="15" t="s">
        <v>18799</v>
      </c>
      <c r="K4766" s="15">
        <v>120.0</v>
      </c>
      <c r="L4766" s="15">
        <v>120.0</v>
      </c>
      <c r="M4766" s="41">
        <v>42318.0</v>
      </c>
      <c r="N4766" s="40">
        <v>42599.0</v>
      </c>
      <c r="O4766" s="15" t="s">
        <v>1554</v>
      </c>
      <c r="Q4766" s="7"/>
    </row>
    <row r="4767">
      <c r="A4767" s="39" t="s">
        <v>18800</v>
      </c>
      <c r="B4767" s="15">
        <v>1746065.0</v>
      </c>
      <c r="C4767" s="15" t="s">
        <v>18801</v>
      </c>
      <c r="D4767" s="15">
        <v>302031.0</v>
      </c>
      <c r="E4767" s="15" t="s">
        <v>1548</v>
      </c>
      <c r="F4767" s="15" t="s">
        <v>1578</v>
      </c>
      <c r="G4767" s="7">
        <v>19.537</v>
      </c>
      <c r="H4767" s="15" t="s">
        <v>2064</v>
      </c>
      <c r="I4767" s="15" t="s">
        <v>1560</v>
      </c>
      <c r="J4767" s="15" t="s">
        <v>18802</v>
      </c>
      <c r="K4767" s="15">
        <v>1.0</v>
      </c>
      <c r="L4767" s="15">
        <v>1.0</v>
      </c>
      <c r="M4767" s="41">
        <v>42306.0</v>
      </c>
      <c r="N4767" s="41">
        <v>42320.0</v>
      </c>
      <c r="O4767" s="15" t="s">
        <v>1554</v>
      </c>
      <c r="Q4767" s="7"/>
    </row>
    <row r="4768">
      <c r="A4768" s="39" t="s">
        <v>18804</v>
      </c>
      <c r="B4768" s="15">
        <v>1746068.0</v>
      </c>
      <c r="C4768" s="15" t="s">
        <v>18805</v>
      </c>
      <c r="D4768" s="15">
        <v>302060.0</v>
      </c>
      <c r="E4768" s="15" t="s">
        <v>1548</v>
      </c>
      <c r="F4768" s="15" t="s">
        <v>1578</v>
      </c>
      <c r="G4768" s="7">
        <v>10.89</v>
      </c>
      <c r="H4768" s="15" t="s">
        <v>18806</v>
      </c>
      <c r="I4768" s="15" t="s">
        <v>1560</v>
      </c>
      <c r="J4768" s="15" t="s">
        <v>18807</v>
      </c>
      <c r="K4768" s="15">
        <v>6.0</v>
      </c>
      <c r="L4768" s="15">
        <v>6.0</v>
      </c>
      <c r="M4768" s="41">
        <v>42306.0</v>
      </c>
      <c r="N4768" s="41">
        <v>42321.0</v>
      </c>
      <c r="O4768" s="15" t="s">
        <v>1554</v>
      </c>
      <c r="Q4768" s="7"/>
    </row>
    <row r="4769">
      <c r="A4769" s="39" t="s">
        <v>18808</v>
      </c>
      <c r="B4769" s="15">
        <v>1746060.0</v>
      </c>
      <c r="C4769" s="15" t="s">
        <v>18809</v>
      </c>
      <c r="D4769" s="15">
        <v>302016.0</v>
      </c>
      <c r="E4769" s="15" t="s">
        <v>1548</v>
      </c>
      <c r="F4769" s="15" t="s">
        <v>1578</v>
      </c>
      <c r="G4769" s="7">
        <v>22.879</v>
      </c>
      <c r="H4769" s="15" t="s">
        <v>7532</v>
      </c>
      <c r="I4769" s="15" t="s">
        <v>1560</v>
      </c>
      <c r="J4769" s="15" t="s">
        <v>18810</v>
      </c>
      <c r="K4769" s="15">
        <v>1.0</v>
      </c>
      <c r="L4769" s="15">
        <v>1.0</v>
      </c>
      <c r="M4769" s="41">
        <v>42306.0</v>
      </c>
      <c r="N4769" s="41">
        <v>42320.0</v>
      </c>
      <c r="O4769" s="15" t="s">
        <v>1554</v>
      </c>
      <c r="Q4769" s="7"/>
    </row>
    <row r="4770">
      <c r="A4770" s="39" t="s">
        <v>18811</v>
      </c>
      <c r="B4770" s="15">
        <v>1746030.0</v>
      </c>
      <c r="C4770" s="15" t="s">
        <v>18812</v>
      </c>
      <c r="D4770" s="15">
        <v>302020.0</v>
      </c>
      <c r="E4770" s="15" t="s">
        <v>1548</v>
      </c>
      <c r="F4770" s="15" t="s">
        <v>1776</v>
      </c>
      <c r="G4770" s="7">
        <v>9.809</v>
      </c>
      <c r="H4770" s="15" t="s">
        <v>5488</v>
      </c>
      <c r="I4770" s="15" t="s">
        <v>1686</v>
      </c>
      <c r="J4770" s="15" t="s">
        <v>18814</v>
      </c>
      <c r="K4770" s="15">
        <v>1.0</v>
      </c>
      <c r="L4770" s="15">
        <v>1.0</v>
      </c>
      <c r="M4770" s="40">
        <v>42312.0</v>
      </c>
      <c r="N4770" s="41">
        <v>42320.0</v>
      </c>
      <c r="O4770" s="15" t="s">
        <v>1554</v>
      </c>
      <c r="Q4770" s="7"/>
    </row>
    <row r="4771">
      <c r="A4771" s="39" t="s">
        <v>18815</v>
      </c>
      <c r="B4771" s="15">
        <v>1746073.0</v>
      </c>
      <c r="C4771" s="15" t="s">
        <v>18816</v>
      </c>
      <c r="D4771" s="15">
        <v>302028.0</v>
      </c>
      <c r="E4771" s="15" t="s">
        <v>1548</v>
      </c>
      <c r="F4771" s="15" t="s">
        <v>1578</v>
      </c>
      <c r="G4771" s="7">
        <v>24.521</v>
      </c>
      <c r="H4771" s="15" t="s">
        <v>2023</v>
      </c>
      <c r="I4771" s="15" t="s">
        <v>1560</v>
      </c>
      <c r="J4771" s="15" t="s">
        <v>18817</v>
      </c>
      <c r="K4771" s="15">
        <v>1.0</v>
      </c>
      <c r="L4771" s="15">
        <v>1.0</v>
      </c>
      <c r="M4771" s="41">
        <v>42306.0</v>
      </c>
      <c r="N4771" s="41">
        <v>42320.0</v>
      </c>
      <c r="O4771" s="15" t="s">
        <v>1554</v>
      </c>
      <c r="Q4771" s="7"/>
    </row>
    <row r="4772">
      <c r="A4772" s="39" t="s">
        <v>18818</v>
      </c>
      <c r="B4772" s="15">
        <v>1746064.0</v>
      </c>
      <c r="C4772" s="15" t="s">
        <v>18819</v>
      </c>
      <c r="D4772" s="15">
        <v>302032.0</v>
      </c>
      <c r="E4772" s="15" t="s">
        <v>1548</v>
      </c>
      <c r="F4772" s="15" t="s">
        <v>1578</v>
      </c>
      <c r="G4772" s="7">
        <v>18.554</v>
      </c>
      <c r="H4772" s="15" t="s">
        <v>2342</v>
      </c>
      <c r="I4772" s="15" t="s">
        <v>1560</v>
      </c>
      <c r="J4772" s="15" t="s">
        <v>18820</v>
      </c>
      <c r="K4772" s="15">
        <v>1.0</v>
      </c>
      <c r="L4772" s="15">
        <v>1.0</v>
      </c>
      <c r="M4772" s="41">
        <v>42306.0</v>
      </c>
      <c r="N4772" s="41">
        <v>42320.0</v>
      </c>
      <c r="O4772" s="15" t="s">
        <v>1554</v>
      </c>
      <c r="Q4772" s="7"/>
    </row>
    <row r="4773">
      <c r="A4773" s="39" t="s">
        <v>18821</v>
      </c>
      <c r="B4773" s="15">
        <v>1746058.0</v>
      </c>
      <c r="C4773" s="15" t="s">
        <v>18823</v>
      </c>
      <c r="D4773" s="15">
        <v>302018.0</v>
      </c>
      <c r="E4773" s="15" t="s">
        <v>1548</v>
      </c>
      <c r="F4773" s="15" t="s">
        <v>1578</v>
      </c>
      <c r="G4773" s="7">
        <v>16.248</v>
      </c>
      <c r="H4773" s="15" t="s">
        <v>4902</v>
      </c>
      <c r="I4773" s="15" t="s">
        <v>1560</v>
      </c>
      <c r="J4773" s="15" t="s">
        <v>18824</v>
      </c>
      <c r="K4773" s="15">
        <v>1.0</v>
      </c>
      <c r="L4773" s="15">
        <v>1.0</v>
      </c>
      <c r="M4773" s="41">
        <v>42306.0</v>
      </c>
      <c r="N4773" s="41">
        <v>42320.0</v>
      </c>
      <c r="O4773" s="15" t="s">
        <v>1554</v>
      </c>
      <c r="Q4773" s="7"/>
    </row>
    <row r="4774">
      <c r="A4774" s="39" t="s">
        <v>18825</v>
      </c>
      <c r="B4774" s="15">
        <v>1746066.0</v>
      </c>
      <c r="C4774" s="15" t="s">
        <v>18826</v>
      </c>
      <c r="D4774" s="15">
        <v>302030.0</v>
      </c>
      <c r="E4774" s="15" t="s">
        <v>1548</v>
      </c>
      <c r="F4774" s="15" t="s">
        <v>1578</v>
      </c>
      <c r="G4774" s="7">
        <v>9.653</v>
      </c>
      <c r="H4774" s="15" t="s">
        <v>6716</v>
      </c>
      <c r="I4774" s="15" t="s">
        <v>1686</v>
      </c>
      <c r="J4774" s="15" t="s">
        <v>18827</v>
      </c>
      <c r="K4774" s="15">
        <v>1.0</v>
      </c>
      <c r="L4774" s="15">
        <v>1.0</v>
      </c>
      <c r="M4774" s="41">
        <v>42306.0</v>
      </c>
      <c r="N4774" s="41">
        <v>42694.0</v>
      </c>
      <c r="O4774" s="15" t="s">
        <v>1554</v>
      </c>
      <c r="Q4774" s="7"/>
    </row>
    <row r="4775">
      <c r="A4775" s="39" t="s">
        <v>18828</v>
      </c>
      <c r="B4775" s="15">
        <v>1746061.0</v>
      </c>
      <c r="C4775" s="15" t="s">
        <v>18829</v>
      </c>
      <c r="D4775" s="15">
        <v>302034.0</v>
      </c>
      <c r="E4775" s="15" t="s">
        <v>1548</v>
      </c>
      <c r="F4775" s="15" t="s">
        <v>1578</v>
      </c>
      <c r="G4775" s="7">
        <v>16.053</v>
      </c>
      <c r="H4775" s="15" t="s">
        <v>1591</v>
      </c>
      <c r="I4775" s="15" t="s">
        <v>1560</v>
      </c>
      <c r="J4775" s="15" t="s">
        <v>18830</v>
      </c>
      <c r="K4775" s="15">
        <v>1.0</v>
      </c>
      <c r="L4775" s="15">
        <v>1.0</v>
      </c>
      <c r="M4775" s="41">
        <v>42306.0</v>
      </c>
      <c r="N4775" s="41">
        <v>42320.0</v>
      </c>
      <c r="O4775" s="15" t="s">
        <v>1554</v>
      </c>
      <c r="Q4775" s="7"/>
    </row>
    <row r="4776">
      <c r="A4776" s="39" t="s">
        <v>18832</v>
      </c>
      <c r="B4776" s="15">
        <v>1746067.0</v>
      </c>
      <c r="C4776" s="15" t="s">
        <v>18833</v>
      </c>
      <c r="D4776" s="15">
        <v>302067.0</v>
      </c>
      <c r="E4776" s="15" t="s">
        <v>1548</v>
      </c>
      <c r="F4776" s="15" t="s">
        <v>1578</v>
      </c>
      <c r="G4776" s="7">
        <v>10.992</v>
      </c>
      <c r="H4776" s="15" t="s">
        <v>18834</v>
      </c>
      <c r="I4776" s="15" t="s">
        <v>1560</v>
      </c>
      <c r="J4776" s="15" t="s">
        <v>18835</v>
      </c>
      <c r="K4776" s="15">
        <v>6.0</v>
      </c>
      <c r="L4776" s="15">
        <v>6.0</v>
      </c>
      <c r="M4776" s="41">
        <v>42306.0</v>
      </c>
      <c r="N4776" s="41">
        <v>42321.0</v>
      </c>
      <c r="O4776" s="15" t="s">
        <v>1554</v>
      </c>
      <c r="Q4776" s="7"/>
    </row>
    <row r="4777">
      <c r="A4777" s="39" t="s">
        <v>18836</v>
      </c>
      <c r="B4777" s="15">
        <v>1746063.0</v>
      </c>
      <c r="C4777" s="15" t="s">
        <v>18837</v>
      </c>
      <c r="D4777" s="15">
        <v>302170.0</v>
      </c>
      <c r="E4777" s="15" t="s">
        <v>1548</v>
      </c>
      <c r="F4777" s="15" t="s">
        <v>1578</v>
      </c>
      <c r="G4777" s="7">
        <v>10.406</v>
      </c>
      <c r="H4777" s="15" t="s">
        <v>18838</v>
      </c>
      <c r="I4777" s="15" t="s">
        <v>1560</v>
      </c>
      <c r="J4777" s="15" t="s">
        <v>18839</v>
      </c>
      <c r="K4777" s="15">
        <v>6.0</v>
      </c>
      <c r="L4777" s="15">
        <v>6.0</v>
      </c>
      <c r="M4777" s="41">
        <v>42306.0</v>
      </c>
      <c r="N4777" s="41">
        <v>42325.0</v>
      </c>
      <c r="O4777" s="15" t="s">
        <v>1554</v>
      </c>
      <c r="Q4777" s="7"/>
    </row>
    <row r="4778">
      <c r="A4778" s="39" t="s">
        <v>18840</v>
      </c>
      <c r="B4778" s="15">
        <v>1746070.0</v>
      </c>
      <c r="C4778" s="15" t="s">
        <v>18841</v>
      </c>
      <c r="D4778" s="15">
        <v>302261.0</v>
      </c>
      <c r="E4778" s="15" t="s">
        <v>1548</v>
      </c>
      <c r="F4778" s="15" t="s">
        <v>1578</v>
      </c>
      <c r="G4778" s="7">
        <v>10.485</v>
      </c>
      <c r="H4778" s="15" t="s">
        <v>18842</v>
      </c>
      <c r="I4778" s="15" t="s">
        <v>1560</v>
      </c>
      <c r="J4778" s="15" t="s">
        <v>18844</v>
      </c>
      <c r="K4778" s="15">
        <v>6.0</v>
      </c>
      <c r="L4778" s="15">
        <v>6.0</v>
      </c>
      <c r="M4778" s="41">
        <v>42306.0</v>
      </c>
      <c r="N4778" s="41">
        <v>42325.0</v>
      </c>
      <c r="O4778" s="15" t="s">
        <v>1554</v>
      </c>
      <c r="Q4778" s="7"/>
    </row>
    <row r="4779">
      <c r="A4779" s="39" t="s">
        <v>18845</v>
      </c>
      <c r="B4779" s="15">
        <v>1746071.0</v>
      </c>
      <c r="C4779" s="15" t="s">
        <v>18846</v>
      </c>
      <c r="D4779" s="15">
        <v>302224.0</v>
      </c>
      <c r="E4779" s="15" t="s">
        <v>1548</v>
      </c>
      <c r="F4779" s="15" t="s">
        <v>1578</v>
      </c>
      <c r="G4779" s="7">
        <v>10.967</v>
      </c>
      <c r="H4779" s="15" t="s">
        <v>18847</v>
      </c>
      <c r="I4779" s="15" t="s">
        <v>1560</v>
      </c>
      <c r="J4779" s="15" t="s">
        <v>18848</v>
      </c>
      <c r="K4779" s="15">
        <v>6.0</v>
      </c>
      <c r="L4779" s="15">
        <v>6.0</v>
      </c>
      <c r="M4779" s="41">
        <v>42306.0</v>
      </c>
      <c r="N4779" s="41">
        <v>42325.0</v>
      </c>
      <c r="O4779" s="15" t="s">
        <v>1554</v>
      </c>
      <c r="Q4779" s="7"/>
    </row>
    <row r="4780">
      <c r="A4780" s="39" t="s">
        <v>18849</v>
      </c>
      <c r="B4780" s="15">
        <v>1720504.0</v>
      </c>
      <c r="C4780" s="15" t="s">
        <v>18850</v>
      </c>
      <c r="D4780" s="15">
        <v>302552.0</v>
      </c>
      <c r="E4780" s="15" t="s">
        <v>1557</v>
      </c>
      <c r="F4780" s="15" t="s">
        <v>1767</v>
      </c>
      <c r="G4780" s="7">
        <v>167.467</v>
      </c>
      <c r="H4780" s="15" t="s">
        <v>3568</v>
      </c>
      <c r="I4780" s="15" t="s">
        <v>1586</v>
      </c>
      <c r="J4780" s="15" t="s">
        <v>18851</v>
      </c>
      <c r="K4780" s="15">
        <v>282.0</v>
      </c>
      <c r="L4780" s="15">
        <v>272.0</v>
      </c>
      <c r="M4780" s="40">
        <v>42278.0</v>
      </c>
      <c r="N4780" s="40">
        <v>42457.0</v>
      </c>
      <c r="O4780" s="15" t="s">
        <v>1554</v>
      </c>
      <c r="Q4780" s="7"/>
    </row>
    <row r="4781">
      <c r="A4781" s="39" t="s">
        <v>18852</v>
      </c>
      <c r="B4781" s="15">
        <v>1660365.0</v>
      </c>
      <c r="C4781" s="15" t="s">
        <v>18853</v>
      </c>
      <c r="D4781" s="15">
        <v>302553.0</v>
      </c>
      <c r="E4781" s="15" t="s">
        <v>1557</v>
      </c>
      <c r="F4781" s="15" t="s">
        <v>1611</v>
      </c>
      <c r="G4781" s="7">
        <v>63.569</v>
      </c>
      <c r="H4781" s="15" t="s">
        <v>3304</v>
      </c>
      <c r="I4781" s="15" t="s">
        <v>1586</v>
      </c>
      <c r="J4781" s="15" t="s">
        <v>18855</v>
      </c>
      <c r="K4781" s="15">
        <v>87.0</v>
      </c>
      <c r="L4781" s="15">
        <v>84.0</v>
      </c>
      <c r="M4781" s="40">
        <v>42276.0</v>
      </c>
      <c r="N4781" s="41">
        <v>42326.0</v>
      </c>
      <c r="O4781" s="15" t="s">
        <v>1554</v>
      </c>
      <c r="Q4781" s="7"/>
    </row>
    <row r="4782">
      <c r="A4782" s="39" t="s">
        <v>18856</v>
      </c>
      <c r="B4782" s="15">
        <v>100217.0</v>
      </c>
      <c r="C4782" s="15" t="s">
        <v>18857</v>
      </c>
      <c r="D4782" s="15">
        <v>303940.0</v>
      </c>
      <c r="E4782" s="15" t="s">
        <v>1557</v>
      </c>
      <c r="F4782" s="15" t="s">
        <v>3454</v>
      </c>
      <c r="G4782" s="7">
        <v>127.011</v>
      </c>
      <c r="H4782" s="15" t="s">
        <v>3246</v>
      </c>
      <c r="I4782" s="15" t="s">
        <v>1686</v>
      </c>
      <c r="J4782" s="15" t="s">
        <v>18858</v>
      </c>
      <c r="K4782" s="15">
        <v>100.0</v>
      </c>
      <c r="L4782" s="15">
        <v>100.0</v>
      </c>
      <c r="M4782" s="40">
        <v>40243.0</v>
      </c>
      <c r="N4782" s="41">
        <v>42332.0</v>
      </c>
      <c r="O4782" s="15" t="s">
        <v>1554</v>
      </c>
      <c r="Q4782" s="7"/>
    </row>
    <row r="4783">
      <c r="A4783" s="39" t="s">
        <v>18860</v>
      </c>
      <c r="B4783" s="15">
        <v>1751715.0</v>
      </c>
      <c r="C4783" s="15" t="s">
        <v>18861</v>
      </c>
      <c r="D4783" s="15">
        <v>303938.0</v>
      </c>
      <c r="E4783" s="15" t="s">
        <v>1916</v>
      </c>
      <c r="F4783" s="15" t="s">
        <v>1917</v>
      </c>
      <c r="G4783" s="7">
        <v>9.85</v>
      </c>
      <c r="H4783" s="15" t="s">
        <v>1912</v>
      </c>
      <c r="I4783" s="15" t="s">
        <v>1628</v>
      </c>
      <c r="J4783" s="15" t="s">
        <v>18862</v>
      </c>
      <c r="K4783" s="15">
        <v>1.0</v>
      </c>
      <c r="L4783" s="15">
        <v>1.0</v>
      </c>
      <c r="M4783" s="41">
        <v>42322.0</v>
      </c>
      <c r="N4783" s="40">
        <v>42860.0</v>
      </c>
      <c r="O4783" s="15" t="s">
        <v>1554</v>
      </c>
      <c r="Q4783" s="7"/>
    </row>
    <row r="4784">
      <c r="A4784" s="39" t="s">
        <v>18863</v>
      </c>
      <c r="B4784" s="15">
        <v>1719040.0</v>
      </c>
      <c r="C4784" s="15" t="s">
        <v>18864</v>
      </c>
      <c r="D4784" s="15">
        <v>303939.0</v>
      </c>
      <c r="E4784" s="15" t="s">
        <v>1664</v>
      </c>
      <c r="F4784" s="15" t="s">
        <v>15173</v>
      </c>
      <c r="G4784" s="7">
        <v>2.221</v>
      </c>
      <c r="H4784" s="15" t="s">
        <v>3242</v>
      </c>
      <c r="I4784" s="15" t="s">
        <v>1628</v>
      </c>
      <c r="J4784" s="15" t="s">
        <v>18865</v>
      </c>
      <c r="K4784" s="15">
        <v>2.0</v>
      </c>
      <c r="L4784" s="15">
        <v>2.0</v>
      </c>
      <c r="M4784" s="41">
        <v>42318.0</v>
      </c>
      <c r="N4784" s="40">
        <v>42507.0</v>
      </c>
      <c r="O4784" s="15" t="s">
        <v>1554</v>
      </c>
      <c r="Q4784" s="7"/>
    </row>
    <row r="4785">
      <c r="A4785" s="39" t="s">
        <v>18866</v>
      </c>
      <c r="B4785" s="15">
        <v>1707330.0</v>
      </c>
      <c r="C4785" s="15" t="s">
        <v>18867</v>
      </c>
      <c r="D4785" s="15">
        <v>303113.0</v>
      </c>
      <c r="E4785" s="15" t="s">
        <v>1664</v>
      </c>
      <c r="F4785" s="15" t="s">
        <v>15173</v>
      </c>
      <c r="G4785" s="7">
        <v>2.272</v>
      </c>
      <c r="H4785" s="15" t="s">
        <v>2361</v>
      </c>
      <c r="I4785" s="15" t="s">
        <v>16091</v>
      </c>
      <c r="J4785" s="15" t="s">
        <v>18869</v>
      </c>
      <c r="K4785" s="15">
        <v>3.0</v>
      </c>
      <c r="L4785" s="15">
        <v>3.0</v>
      </c>
      <c r="M4785" s="41">
        <v>42323.0</v>
      </c>
      <c r="N4785" s="41">
        <v>42332.0</v>
      </c>
      <c r="O4785" s="15" t="s">
        <v>1554</v>
      </c>
      <c r="Q4785" s="7"/>
    </row>
    <row r="4786">
      <c r="A4786" s="39" t="s">
        <v>18870</v>
      </c>
      <c r="B4786" s="15">
        <v>1629671.0</v>
      </c>
      <c r="C4786" s="15" t="s">
        <v>18871</v>
      </c>
      <c r="D4786" s="15">
        <v>304422.0</v>
      </c>
      <c r="E4786" s="15" t="s">
        <v>1548</v>
      </c>
      <c r="F4786" s="15" t="s">
        <v>1578</v>
      </c>
      <c r="G4786" s="7">
        <v>8.543</v>
      </c>
      <c r="H4786" s="42">
        <v>43188.0</v>
      </c>
      <c r="I4786" s="15" t="s">
        <v>1552</v>
      </c>
      <c r="J4786" s="15" t="s">
        <v>18872</v>
      </c>
      <c r="K4786" s="15">
        <v>1.0</v>
      </c>
      <c r="L4786" s="15">
        <v>1.0</v>
      </c>
      <c r="M4786" s="41">
        <v>42337.0</v>
      </c>
      <c r="N4786" s="40">
        <v>42895.0</v>
      </c>
      <c r="O4786" s="15" t="s">
        <v>1554</v>
      </c>
      <c r="Q4786" s="7"/>
    </row>
    <row r="4787">
      <c r="A4787" s="39" t="s">
        <v>18873</v>
      </c>
      <c r="B4787" s="15">
        <v>1755754.0</v>
      </c>
      <c r="C4787" s="15" t="s">
        <v>18874</v>
      </c>
      <c r="D4787" s="15">
        <v>304898.0</v>
      </c>
      <c r="E4787" s="15" t="s">
        <v>1577</v>
      </c>
      <c r="F4787" s="15" t="s">
        <v>1578</v>
      </c>
      <c r="G4787" s="7">
        <v>3.912</v>
      </c>
      <c r="H4787" s="15" t="s">
        <v>18875</v>
      </c>
      <c r="I4787" s="15" t="s">
        <v>1552</v>
      </c>
      <c r="J4787" s="15" t="s">
        <v>18876</v>
      </c>
      <c r="K4787" s="15">
        <v>3.0</v>
      </c>
      <c r="L4787" s="15">
        <v>3.0</v>
      </c>
      <c r="M4787" s="41">
        <v>42330.0</v>
      </c>
      <c r="N4787" s="41">
        <v>42364.0</v>
      </c>
      <c r="O4787" s="15" t="s">
        <v>1554</v>
      </c>
      <c r="Q4787" s="7"/>
    </row>
    <row r="4788">
      <c r="A4788" s="39" t="s">
        <v>18877</v>
      </c>
      <c r="B4788" s="15">
        <v>1714368.0</v>
      </c>
      <c r="C4788" s="15" t="s">
        <v>18878</v>
      </c>
      <c r="D4788" s="15">
        <v>304902.0</v>
      </c>
      <c r="E4788" s="15" t="s">
        <v>1638</v>
      </c>
      <c r="F4788" s="15" t="s">
        <v>1639</v>
      </c>
      <c r="G4788" s="7">
        <v>4.942</v>
      </c>
      <c r="H4788" s="15" t="s">
        <v>5382</v>
      </c>
      <c r="I4788" s="15" t="s">
        <v>1740</v>
      </c>
      <c r="J4788" s="15" t="s">
        <v>18879</v>
      </c>
      <c r="K4788" s="15">
        <v>2.0</v>
      </c>
      <c r="L4788" s="15">
        <v>2.0</v>
      </c>
      <c r="M4788" s="41">
        <v>42333.0</v>
      </c>
      <c r="N4788" s="41">
        <v>42665.0</v>
      </c>
      <c r="O4788" s="15" t="s">
        <v>1554</v>
      </c>
      <c r="Q4788" s="7"/>
    </row>
    <row r="4789">
      <c r="A4789" s="39" t="s">
        <v>18880</v>
      </c>
      <c r="B4789" s="15">
        <v>1756444.0</v>
      </c>
      <c r="C4789" s="15" t="s">
        <v>18881</v>
      </c>
      <c r="D4789" s="15">
        <v>304317.0</v>
      </c>
      <c r="E4789" s="15" t="s">
        <v>1548</v>
      </c>
      <c r="F4789" s="15" t="s">
        <v>1776</v>
      </c>
      <c r="G4789" s="7">
        <v>8.364</v>
      </c>
      <c r="H4789" s="15" t="s">
        <v>6716</v>
      </c>
      <c r="I4789" s="15" t="s">
        <v>1686</v>
      </c>
      <c r="J4789" s="15" t="s">
        <v>18882</v>
      </c>
      <c r="K4789" s="15">
        <v>1.0</v>
      </c>
      <c r="L4789" s="15">
        <v>1.0</v>
      </c>
      <c r="M4789" s="41">
        <v>42331.0</v>
      </c>
      <c r="N4789" s="40">
        <v>42341.0</v>
      </c>
      <c r="O4789" s="15" t="s">
        <v>1554</v>
      </c>
      <c r="Q4789" s="7"/>
    </row>
    <row r="4790">
      <c r="A4790" s="39" t="s">
        <v>18883</v>
      </c>
      <c r="B4790" s="15">
        <v>1755781.0</v>
      </c>
      <c r="C4790" s="15" t="s">
        <v>18884</v>
      </c>
      <c r="D4790" s="15">
        <v>304897.0</v>
      </c>
      <c r="E4790" s="15" t="s">
        <v>1577</v>
      </c>
      <c r="F4790" s="15" t="s">
        <v>1578</v>
      </c>
      <c r="G4790" s="7">
        <v>1.813</v>
      </c>
      <c r="H4790" s="15">
        <v>47.0</v>
      </c>
      <c r="I4790" s="15" t="s">
        <v>1552</v>
      </c>
      <c r="J4790" s="15" t="s">
        <v>18885</v>
      </c>
      <c r="K4790" s="15">
        <v>1.0</v>
      </c>
      <c r="L4790" s="15">
        <v>1.0</v>
      </c>
      <c r="M4790" s="41">
        <v>42330.0</v>
      </c>
      <c r="N4790" s="40">
        <v>42341.0</v>
      </c>
      <c r="O4790" s="15" t="s">
        <v>1554</v>
      </c>
      <c r="Q4790" s="7"/>
    </row>
    <row r="4791">
      <c r="A4791" s="39" t="s">
        <v>18886</v>
      </c>
      <c r="B4791" s="15">
        <v>1714363.0</v>
      </c>
      <c r="C4791" s="15" t="s">
        <v>18887</v>
      </c>
      <c r="D4791" s="15">
        <v>304906.0</v>
      </c>
      <c r="E4791" s="15" t="s">
        <v>1638</v>
      </c>
      <c r="F4791" s="15" t="s">
        <v>1639</v>
      </c>
      <c r="G4791" s="7">
        <v>4.178</v>
      </c>
      <c r="H4791" s="15" t="s">
        <v>1962</v>
      </c>
      <c r="I4791" s="15" t="s">
        <v>1740</v>
      </c>
      <c r="J4791" s="15" t="s">
        <v>18888</v>
      </c>
      <c r="K4791" s="15">
        <v>2.0</v>
      </c>
      <c r="L4791" s="15">
        <v>2.0</v>
      </c>
      <c r="M4791" s="41">
        <v>42333.0</v>
      </c>
      <c r="N4791" s="41">
        <v>42665.0</v>
      </c>
      <c r="O4791" s="15" t="s">
        <v>1554</v>
      </c>
      <c r="Q4791" s="7"/>
    </row>
    <row r="4792">
      <c r="A4792" s="39" t="s">
        <v>18889</v>
      </c>
      <c r="B4792" s="15">
        <v>1629667.0</v>
      </c>
      <c r="C4792" s="15" t="s">
        <v>18890</v>
      </c>
      <c r="D4792" s="15">
        <v>304910.0</v>
      </c>
      <c r="E4792" s="15" t="s">
        <v>1548</v>
      </c>
      <c r="F4792" s="15" t="s">
        <v>5261</v>
      </c>
      <c r="G4792" s="7">
        <v>2.768</v>
      </c>
      <c r="H4792" s="42">
        <v>43312.0</v>
      </c>
      <c r="I4792" s="15" t="s">
        <v>1552</v>
      </c>
      <c r="J4792" s="15" t="s">
        <v>18891</v>
      </c>
      <c r="K4792" s="15">
        <v>1.0</v>
      </c>
      <c r="L4792" s="15">
        <v>1.0</v>
      </c>
      <c r="M4792" s="41">
        <v>42337.0</v>
      </c>
      <c r="N4792" s="40">
        <v>42341.0</v>
      </c>
      <c r="O4792" s="15" t="s">
        <v>1554</v>
      </c>
      <c r="Q4792" s="7"/>
    </row>
    <row r="4793">
      <c r="A4793" s="39" t="s">
        <v>18892</v>
      </c>
      <c r="B4793" s="15">
        <v>908834.0</v>
      </c>
      <c r="C4793" s="15" t="s">
        <v>18893</v>
      </c>
      <c r="D4793" s="15">
        <v>304914.0</v>
      </c>
      <c r="E4793" s="15" t="s">
        <v>1548</v>
      </c>
      <c r="F4793" s="15" t="s">
        <v>5261</v>
      </c>
      <c r="G4793" s="7">
        <v>2.733</v>
      </c>
      <c r="H4793" s="15" t="s">
        <v>13695</v>
      </c>
      <c r="I4793" s="15" t="s">
        <v>1552</v>
      </c>
      <c r="J4793" s="15" t="s">
        <v>18894</v>
      </c>
      <c r="K4793" s="15">
        <v>1.0</v>
      </c>
      <c r="L4793" s="15">
        <v>1.0</v>
      </c>
      <c r="M4793" s="41">
        <v>42337.0</v>
      </c>
      <c r="N4793" s="40">
        <v>42341.0</v>
      </c>
      <c r="O4793" s="15" t="s">
        <v>1554</v>
      </c>
      <c r="Q4793" s="7"/>
    </row>
    <row r="4794">
      <c r="A4794" s="39" t="s">
        <v>18895</v>
      </c>
      <c r="B4794" s="15">
        <v>1758881.0</v>
      </c>
      <c r="C4794" s="15" t="s">
        <v>18896</v>
      </c>
      <c r="D4794" s="15">
        <v>304918.0</v>
      </c>
      <c r="E4794" s="15" t="s">
        <v>1577</v>
      </c>
      <c r="F4794" s="15" t="s">
        <v>1578</v>
      </c>
      <c r="G4794" s="7">
        <v>9.632</v>
      </c>
      <c r="H4794" s="15" t="s">
        <v>2981</v>
      </c>
      <c r="I4794" s="15" t="s">
        <v>1560</v>
      </c>
      <c r="J4794" s="15" t="s">
        <v>18897</v>
      </c>
      <c r="K4794" s="15">
        <v>3.0</v>
      </c>
      <c r="L4794" s="15">
        <v>3.0</v>
      </c>
      <c r="M4794" s="41">
        <v>42336.0</v>
      </c>
      <c r="N4794" s="40">
        <v>42438.0</v>
      </c>
      <c r="O4794" s="15" t="s">
        <v>1554</v>
      </c>
      <c r="Q4794" s="7"/>
    </row>
    <row r="4795">
      <c r="A4795" s="39" t="s">
        <v>18898</v>
      </c>
      <c r="B4795" s="15">
        <v>1755792.0</v>
      </c>
      <c r="C4795" s="15" t="s">
        <v>18899</v>
      </c>
      <c r="D4795" s="15">
        <v>304922.0</v>
      </c>
      <c r="E4795" s="15" t="s">
        <v>1638</v>
      </c>
      <c r="F4795" s="15" t="s">
        <v>2508</v>
      </c>
      <c r="G4795" s="7">
        <v>12.045</v>
      </c>
      <c r="H4795" s="15" t="s">
        <v>18900</v>
      </c>
      <c r="I4795" s="15" t="s">
        <v>1552</v>
      </c>
      <c r="J4795" s="15" t="s">
        <v>18901</v>
      </c>
      <c r="K4795" s="15">
        <v>4.0</v>
      </c>
      <c r="L4795" s="15">
        <v>4.0</v>
      </c>
      <c r="M4795" s="41">
        <v>42330.0</v>
      </c>
      <c r="N4795" s="40">
        <v>42376.0</v>
      </c>
      <c r="O4795" s="15" t="s">
        <v>1554</v>
      </c>
      <c r="Q4795" s="7"/>
    </row>
    <row r="4796">
      <c r="A4796" s="39" t="s">
        <v>18902</v>
      </c>
      <c r="B4796" s="15">
        <v>1714370.0</v>
      </c>
      <c r="C4796" s="15" t="s">
        <v>18903</v>
      </c>
      <c r="D4796" s="15">
        <v>304901.0</v>
      </c>
      <c r="E4796" s="15" t="s">
        <v>1638</v>
      </c>
      <c r="F4796" s="15" t="s">
        <v>1639</v>
      </c>
      <c r="G4796" s="7">
        <v>5.997</v>
      </c>
      <c r="H4796" s="15" t="s">
        <v>3973</v>
      </c>
      <c r="I4796" s="15" t="s">
        <v>1740</v>
      </c>
      <c r="J4796" s="15" t="s">
        <v>18904</v>
      </c>
      <c r="K4796" s="15">
        <v>1.0</v>
      </c>
      <c r="L4796" s="15">
        <v>1.0</v>
      </c>
      <c r="M4796" s="41">
        <v>42333.0</v>
      </c>
      <c r="N4796" s="41">
        <v>42665.0</v>
      </c>
      <c r="O4796" s="15" t="s">
        <v>1554</v>
      </c>
      <c r="Q4796" s="7"/>
    </row>
    <row r="4797">
      <c r="A4797" s="39" t="s">
        <v>18905</v>
      </c>
      <c r="B4797" s="15">
        <v>1714364.0</v>
      </c>
      <c r="C4797" s="15" t="s">
        <v>18906</v>
      </c>
      <c r="D4797" s="15">
        <v>304905.0</v>
      </c>
      <c r="E4797" s="15" t="s">
        <v>1638</v>
      </c>
      <c r="F4797" s="15" t="s">
        <v>1639</v>
      </c>
      <c r="G4797" s="7">
        <v>4.784</v>
      </c>
      <c r="H4797" s="15" t="s">
        <v>3604</v>
      </c>
      <c r="I4797" s="15" t="s">
        <v>1740</v>
      </c>
      <c r="J4797" s="15" t="s">
        <v>18907</v>
      </c>
      <c r="K4797" s="15">
        <v>2.0</v>
      </c>
      <c r="L4797" s="15">
        <v>2.0</v>
      </c>
      <c r="M4797" s="41">
        <v>42333.0</v>
      </c>
      <c r="N4797" s="41">
        <v>42665.0</v>
      </c>
      <c r="O4797" s="15" t="s">
        <v>1554</v>
      </c>
      <c r="Q4797" s="7"/>
    </row>
    <row r="4798">
      <c r="A4798" s="39" t="s">
        <v>18908</v>
      </c>
      <c r="B4798" s="15">
        <v>1279099.0</v>
      </c>
      <c r="C4798" s="15" t="s">
        <v>18909</v>
      </c>
      <c r="D4798" s="15">
        <v>304913.0</v>
      </c>
      <c r="E4798" s="15" t="s">
        <v>1548</v>
      </c>
      <c r="F4798" s="15" t="s">
        <v>5261</v>
      </c>
      <c r="G4798" s="7">
        <v>2.617</v>
      </c>
      <c r="H4798" s="15" t="s">
        <v>2316</v>
      </c>
      <c r="I4798" s="15" t="s">
        <v>1552</v>
      </c>
      <c r="J4798" s="15" t="s">
        <v>18910</v>
      </c>
      <c r="K4798" s="15">
        <v>1.0</v>
      </c>
      <c r="L4798" s="15">
        <v>1.0</v>
      </c>
      <c r="M4798" s="41">
        <v>42337.0</v>
      </c>
      <c r="N4798" s="40">
        <v>42341.0</v>
      </c>
      <c r="O4798" s="15" t="s">
        <v>1554</v>
      </c>
      <c r="Q4798" s="7"/>
    </row>
    <row r="4799">
      <c r="A4799" s="39" t="s">
        <v>18911</v>
      </c>
      <c r="B4799" s="15">
        <v>1758882.0</v>
      </c>
      <c r="C4799" s="15" t="s">
        <v>18912</v>
      </c>
      <c r="D4799" s="15">
        <v>304917.0</v>
      </c>
      <c r="E4799" s="15" t="s">
        <v>1577</v>
      </c>
      <c r="F4799" s="15" t="s">
        <v>1578</v>
      </c>
      <c r="G4799" s="7">
        <v>4.742</v>
      </c>
      <c r="H4799" s="15" t="s">
        <v>5179</v>
      </c>
      <c r="I4799" s="15" t="s">
        <v>1560</v>
      </c>
      <c r="J4799" s="15" t="s">
        <v>18913</v>
      </c>
      <c r="K4799" s="15">
        <v>2.0</v>
      </c>
      <c r="L4799" s="15">
        <v>2.0</v>
      </c>
      <c r="M4799" s="41">
        <v>42336.0</v>
      </c>
      <c r="N4799" s="40">
        <v>42438.0</v>
      </c>
      <c r="O4799" s="15" t="s">
        <v>1554</v>
      </c>
      <c r="Q4799" s="7"/>
    </row>
    <row r="4800">
      <c r="A4800" s="39" t="s">
        <v>18914</v>
      </c>
      <c r="B4800" s="15">
        <v>1756157.0</v>
      </c>
      <c r="C4800" s="15" t="s">
        <v>18915</v>
      </c>
      <c r="D4800" s="15">
        <v>304921.0</v>
      </c>
      <c r="E4800" s="15" t="s">
        <v>1638</v>
      </c>
      <c r="F4800" s="15" t="s">
        <v>1796</v>
      </c>
      <c r="G4800" s="7">
        <v>3.338</v>
      </c>
      <c r="H4800" s="15" t="s">
        <v>18916</v>
      </c>
      <c r="I4800" s="15" t="s">
        <v>1628</v>
      </c>
      <c r="J4800" s="15" t="s">
        <v>18917</v>
      </c>
      <c r="K4800" s="15">
        <v>2.0</v>
      </c>
      <c r="L4800" s="15">
        <v>2.0</v>
      </c>
      <c r="M4800" s="41">
        <v>42330.0</v>
      </c>
      <c r="N4800" s="40">
        <v>42376.0</v>
      </c>
      <c r="O4800" s="15" t="s">
        <v>1554</v>
      </c>
      <c r="Q4800" s="7"/>
    </row>
    <row r="4801">
      <c r="A4801" s="39" t="s">
        <v>18918</v>
      </c>
      <c r="B4801" s="15">
        <v>984915.0</v>
      </c>
      <c r="C4801" s="15" t="s">
        <v>18919</v>
      </c>
      <c r="D4801" s="15">
        <v>304521.0</v>
      </c>
      <c r="E4801" s="15" t="s">
        <v>1638</v>
      </c>
      <c r="F4801" s="15" t="s">
        <v>1863</v>
      </c>
      <c r="G4801" s="7">
        <v>3.164</v>
      </c>
      <c r="H4801" s="15">
        <v>37.0</v>
      </c>
      <c r="I4801" s="15" t="s">
        <v>2034</v>
      </c>
      <c r="J4801" s="15" t="s">
        <v>18920</v>
      </c>
      <c r="K4801" s="15">
        <v>2.0</v>
      </c>
      <c r="L4801" s="15">
        <v>2.0</v>
      </c>
      <c r="M4801" s="41">
        <v>42338.0</v>
      </c>
      <c r="N4801" s="40">
        <v>42438.0</v>
      </c>
      <c r="O4801" s="15" t="s">
        <v>1554</v>
      </c>
      <c r="Q4801" s="7"/>
    </row>
    <row r="4802">
      <c r="A4802" s="39" t="s">
        <v>18921</v>
      </c>
      <c r="B4802" s="15">
        <v>1755753.0</v>
      </c>
      <c r="C4802" s="15" t="s">
        <v>18922</v>
      </c>
      <c r="D4802" s="15">
        <v>304899.0</v>
      </c>
      <c r="E4802" s="15" t="s">
        <v>1577</v>
      </c>
      <c r="F4802" s="15" t="s">
        <v>1578</v>
      </c>
      <c r="G4802" s="7">
        <v>3.747</v>
      </c>
      <c r="H4802" s="15" t="s">
        <v>2163</v>
      </c>
      <c r="I4802" s="15" t="s">
        <v>1552</v>
      </c>
      <c r="J4802" s="15" t="s">
        <v>18923</v>
      </c>
      <c r="K4802" s="15">
        <v>1.0</v>
      </c>
      <c r="L4802" s="15">
        <v>1.0</v>
      </c>
      <c r="M4802" s="41">
        <v>42330.0</v>
      </c>
      <c r="N4802" s="40">
        <v>42341.0</v>
      </c>
      <c r="O4802" s="15" t="s">
        <v>1554</v>
      </c>
      <c r="Q4802" s="7"/>
    </row>
    <row r="4803">
      <c r="A4803" s="39" t="s">
        <v>18924</v>
      </c>
      <c r="B4803" s="15">
        <v>1714367.0</v>
      </c>
      <c r="C4803" s="15" t="s">
        <v>18925</v>
      </c>
      <c r="D4803" s="15">
        <v>304903.0</v>
      </c>
      <c r="E4803" s="15" t="s">
        <v>1638</v>
      </c>
      <c r="F4803" s="15" t="s">
        <v>1639</v>
      </c>
      <c r="G4803" s="7">
        <v>5.007</v>
      </c>
      <c r="H4803" s="15" t="s">
        <v>3297</v>
      </c>
      <c r="I4803" s="15" t="s">
        <v>1740</v>
      </c>
      <c r="J4803" s="15" t="s">
        <v>18926</v>
      </c>
      <c r="K4803" s="15">
        <v>2.0</v>
      </c>
      <c r="L4803" s="15">
        <v>2.0</v>
      </c>
      <c r="M4803" s="41">
        <v>42333.0</v>
      </c>
      <c r="N4803" s="41">
        <v>42665.0</v>
      </c>
      <c r="O4803" s="15" t="s">
        <v>1554</v>
      </c>
      <c r="Q4803" s="7"/>
    </row>
    <row r="4804">
      <c r="A4804" s="39" t="s">
        <v>18927</v>
      </c>
      <c r="B4804" s="15">
        <v>1714362.0</v>
      </c>
      <c r="C4804" s="15" t="s">
        <v>18928</v>
      </c>
      <c r="D4804" s="15">
        <v>304907.0</v>
      </c>
      <c r="E4804" s="15" t="s">
        <v>1638</v>
      </c>
      <c r="F4804" s="15" t="s">
        <v>1639</v>
      </c>
      <c r="G4804" s="7">
        <v>4.781</v>
      </c>
      <c r="H4804" s="15" t="s">
        <v>3538</v>
      </c>
      <c r="I4804" s="15" t="s">
        <v>1740</v>
      </c>
      <c r="J4804" s="15" t="s">
        <v>18929</v>
      </c>
      <c r="K4804" s="15">
        <v>2.0</v>
      </c>
      <c r="L4804" s="15">
        <v>2.0</v>
      </c>
      <c r="M4804" s="41">
        <v>42333.0</v>
      </c>
      <c r="N4804" s="41">
        <v>42665.0</v>
      </c>
      <c r="O4804" s="15" t="s">
        <v>1554</v>
      </c>
      <c r="Q4804" s="7"/>
    </row>
    <row r="4805">
      <c r="A4805" s="39" t="s">
        <v>18930</v>
      </c>
      <c r="B4805" s="15">
        <v>1629666.0</v>
      </c>
      <c r="C4805" s="15" t="s">
        <v>18931</v>
      </c>
      <c r="D4805" s="15">
        <v>304911.0</v>
      </c>
      <c r="E4805" s="15" t="s">
        <v>1548</v>
      </c>
      <c r="F4805" s="15" t="s">
        <v>5261</v>
      </c>
      <c r="G4805" s="7">
        <v>2.922</v>
      </c>
      <c r="H4805" s="15" t="s">
        <v>10167</v>
      </c>
      <c r="I4805" s="15" t="s">
        <v>1552</v>
      </c>
      <c r="J4805" s="15" t="s">
        <v>18932</v>
      </c>
      <c r="K4805" s="15">
        <v>1.0</v>
      </c>
      <c r="L4805" s="15">
        <v>1.0</v>
      </c>
      <c r="M4805" s="41">
        <v>42337.0</v>
      </c>
      <c r="N4805" s="40">
        <v>42341.0</v>
      </c>
      <c r="O4805" s="15" t="s">
        <v>1554</v>
      </c>
      <c r="Q4805" s="7"/>
    </row>
    <row r="4806">
      <c r="A4806" s="39" t="s">
        <v>18933</v>
      </c>
      <c r="B4806" s="15">
        <v>1761477.0</v>
      </c>
      <c r="C4806" s="15" t="s">
        <v>18934</v>
      </c>
      <c r="D4806" s="15">
        <v>304915.0</v>
      </c>
      <c r="E4806" s="15" t="s">
        <v>1548</v>
      </c>
      <c r="F4806" s="15" t="s">
        <v>2615</v>
      </c>
      <c r="G4806" s="7">
        <v>6.393</v>
      </c>
      <c r="H4806" s="15" t="s">
        <v>2777</v>
      </c>
      <c r="I4806" s="15" t="s">
        <v>1628</v>
      </c>
      <c r="J4806" s="15" t="s">
        <v>18935</v>
      </c>
      <c r="K4806" s="15">
        <v>4.0</v>
      </c>
      <c r="L4806" s="15">
        <v>4.0</v>
      </c>
      <c r="M4806" s="41">
        <v>42337.0</v>
      </c>
      <c r="N4806" s="40">
        <v>42521.0</v>
      </c>
      <c r="O4806" s="15" t="s">
        <v>1554</v>
      </c>
      <c r="Q4806" s="7"/>
    </row>
    <row r="4807">
      <c r="A4807" s="39" t="s">
        <v>18936</v>
      </c>
      <c r="B4807" s="15">
        <v>1758878.0</v>
      </c>
      <c r="C4807" s="15" t="s">
        <v>18937</v>
      </c>
      <c r="D4807" s="15">
        <v>304919.0</v>
      </c>
      <c r="E4807" s="15" t="s">
        <v>1577</v>
      </c>
      <c r="F4807" s="15" t="s">
        <v>1578</v>
      </c>
      <c r="G4807" s="7">
        <v>11.343</v>
      </c>
      <c r="H4807" s="15">
        <v>44.0</v>
      </c>
      <c r="I4807" s="15" t="s">
        <v>1560</v>
      </c>
      <c r="J4807" s="15" t="s">
        <v>18938</v>
      </c>
      <c r="K4807" s="15">
        <v>5.0</v>
      </c>
      <c r="L4807" s="15">
        <v>5.0</v>
      </c>
      <c r="M4807" s="41">
        <v>42336.0</v>
      </c>
      <c r="N4807" s="40">
        <v>42438.0</v>
      </c>
      <c r="O4807" s="15" t="s">
        <v>1554</v>
      </c>
      <c r="Q4807" s="7"/>
    </row>
    <row r="4808">
      <c r="A4808" s="39" t="s">
        <v>18939</v>
      </c>
      <c r="B4808" s="15">
        <v>1756445.0</v>
      </c>
      <c r="C4808" s="15" t="s">
        <v>18940</v>
      </c>
      <c r="D4808" s="15">
        <v>304315.0</v>
      </c>
      <c r="E4808" s="15" t="s">
        <v>1557</v>
      </c>
      <c r="F4808" s="15" t="s">
        <v>1822</v>
      </c>
      <c r="G4808" s="7">
        <v>7.707</v>
      </c>
      <c r="H4808" s="15" t="s">
        <v>3304</v>
      </c>
      <c r="I4808" s="15" t="s">
        <v>1686</v>
      </c>
      <c r="J4808" s="15" t="s">
        <v>18941</v>
      </c>
      <c r="K4808" s="15">
        <v>6.0</v>
      </c>
      <c r="L4808" s="15">
        <v>5.0</v>
      </c>
      <c r="M4808" s="41">
        <v>42331.0</v>
      </c>
      <c r="N4808" s="40">
        <v>42341.0</v>
      </c>
      <c r="O4808" s="15" t="s">
        <v>1554</v>
      </c>
      <c r="Q4808" s="7"/>
    </row>
    <row r="4809">
      <c r="A4809" s="39" t="s">
        <v>18942</v>
      </c>
      <c r="B4809" s="15">
        <v>1755785.0</v>
      </c>
      <c r="C4809" s="15" t="s">
        <v>18943</v>
      </c>
      <c r="D4809" s="15">
        <v>304896.0</v>
      </c>
      <c r="E4809" s="15" t="s">
        <v>1548</v>
      </c>
      <c r="F4809" s="15" t="s">
        <v>15726</v>
      </c>
      <c r="G4809" s="7">
        <v>6.733</v>
      </c>
      <c r="H4809" s="15" t="s">
        <v>3082</v>
      </c>
      <c r="I4809" s="15" t="s">
        <v>1552</v>
      </c>
      <c r="J4809" s="15" t="s">
        <v>18944</v>
      </c>
      <c r="K4809" s="15">
        <v>2.0</v>
      </c>
      <c r="L4809" s="15">
        <v>2.0</v>
      </c>
      <c r="M4809" s="41">
        <v>42330.0</v>
      </c>
      <c r="N4809" s="40">
        <v>42341.0</v>
      </c>
      <c r="O4809" s="15" t="s">
        <v>1554</v>
      </c>
      <c r="Q4809" s="7"/>
    </row>
    <row r="4810">
      <c r="A4810" s="39" t="s">
        <v>18945</v>
      </c>
      <c r="B4810" s="15">
        <v>1755752.0</v>
      </c>
      <c r="C4810" s="15" t="s">
        <v>18946</v>
      </c>
      <c r="D4810" s="15">
        <v>304900.0</v>
      </c>
      <c r="E4810" s="15" t="s">
        <v>1548</v>
      </c>
      <c r="F4810" s="15" t="s">
        <v>15726</v>
      </c>
      <c r="G4810" s="7">
        <v>6.139</v>
      </c>
      <c r="H4810" s="15" t="s">
        <v>3798</v>
      </c>
      <c r="I4810" s="15" t="s">
        <v>1552</v>
      </c>
      <c r="J4810" s="15" t="s">
        <v>18947</v>
      </c>
      <c r="K4810" s="15">
        <v>2.0</v>
      </c>
      <c r="L4810" s="15">
        <v>2.0</v>
      </c>
      <c r="M4810" s="41">
        <v>42330.0</v>
      </c>
      <c r="N4810" s="40">
        <v>42341.0</v>
      </c>
      <c r="O4810" s="15" t="s">
        <v>1554</v>
      </c>
      <c r="Q4810" s="7"/>
    </row>
    <row r="4811">
      <c r="A4811" s="39" t="s">
        <v>18948</v>
      </c>
      <c r="B4811" s="15">
        <v>1714366.0</v>
      </c>
      <c r="C4811" s="15" t="s">
        <v>18949</v>
      </c>
      <c r="D4811" s="15">
        <v>304904.0</v>
      </c>
      <c r="E4811" s="15" t="s">
        <v>1638</v>
      </c>
      <c r="F4811" s="15" t="s">
        <v>1639</v>
      </c>
      <c r="G4811" s="7">
        <v>5.056</v>
      </c>
      <c r="H4811" s="15" t="s">
        <v>7408</v>
      </c>
      <c r="I4811" s="15" t="s">
        <v>1740</v>
      </c>
      <c r="J4811" s="15" t="s">
        <v>18950</v>
      </c>
      <c r="K4811" s="15">
        <v>2.0</v>
      </c>
      <c r="L4811" s="15">
        <v>2.0</v>
      </c>
      <c r="M4811" s="41">
        <v>42333.0</v>
      </c>
      <c r="N4811" s="41">
        <v>42665.0</v>
      </c>
      <c r="O4811" s="15" t="s">
        <v>1554</v>
      </c>
      <c r="Q4811" s="7"/>
    </row>
    <row r="4812">
      <c r="A4812" s="39" t="s">
        <v>18951</v>
      </c>
      <c r="B4812" s="15">
        <v>1675862.0</v>
      </c>
      <c r="C4812" s="15" t="s">
        <v>18952</v>
      </c>
      <c r="D4812" s="15">
        <v>304908.0</v>
      </c>
      <c r="E4812" s="15" t="s">
        <v>1557</v>
      </c>
      <c r="F4812" s="15" t="s">
        <v>1992</v>
      </c>
      <c r="G4812" s="7">
        <v>98.392</v>
      </c>
      <c r="H4812" s="15" t="s">
        <v>7887</v>
      </c>
      <c r="I4812" s="15" t="s">
        <v>1560</v>
      </c>
      <c r="J4812" s="15" t="s">
        <v>18953</v>
      </c>
      <c r="K4812" s="15">
        <v>125.0</v>
      </c>
      <c r="L4812" s="15">
        <v>125.0</v>
      </c>
      <c r="M4812" s="41">
        <v>42338.0</v>
      </c>
      <c r="N4812" s="40">
        <v>42341.0</v>
      </c>
      <c r="O4812" s="15" t="s">
        <v>1554</v>
      </c>
      <c r="Q4812" s="7"/>
    </row>
    <row r="4813">
      <c r="A4813" s="39" t="s">
        <v>18954</v>
      </c>
      <c r="B4813" s="15">
        <v>1629665.0</v>
      </c>
      <c r="C4813" s="15" t="s">
        <v>18955</v>
      </c>
      <c r="D4813" s="15">
        <v>304912.0</v>
      </c>
      <c r="E4813" s="15" t="s">
        <v>1548</v>
      </c>
      <c r="F4813" s="15" t="s">
        <v>5261</v>
      </c>
      <c r="G4813" s="7">
        <v>2.497</v>
      </c>
      <c r="H4813" s="15" t="s">
        <v>13695</v>
      </c>
      <c r="I4813" s="15" t="s">
        <v>1552</v>
      </c>
      <c r="J4813" s="15" t="s">
        <v>18956</v>
      </c>
      <c r="K4813" s="15">
        <v>1.0</v>
      </c>
      <c r="L4813" s="15">
        <v>1.0</v>
      </c>
      <c r="M4813" s="41">
        <v>42337.0</v>
      </c>
      <c r="N4813" s="40">
        <v>42341.0</v>
      </c>
      <c r="O4813" s="15" t="s">
        <v>1554</v>
      </c>
      <c r="Q4813" s="7"/>
    </row>
    <row r="4814">
      <c r="A4814" s="39" t="s">
        <v>18957</v>
      </c>
      <c r="B4814" s="15">
        <v>1758883.0</v>
      </c>
      <c r="C4814" s="15" t="s">
        <v>18958</v>
      </c>
      <c r="D4814" s="15">
        <v>304916.0</v>
      </c>
      <c r="E4814" s="15" t="s">
        <v>1577</v>
      </c>
      <c r="F4814" s="15" t="s">
        <v>1578</v>
      </c>
      <c r="G4814" s="7">
        <v>11.877</v>
      </c>
      <c r="H4814" s="15" t="s">
        <v>2552</v>
      </c>
      <c r="I4814" s="15" t="s">
        <v>1560</v>
      </c>
      <c r="J4814" s="15" t="s">
        <v>18959</v>
      </c>
      <c r="K4814" s="15">
        <v>3.0</v>
      </c>
      <c r="L4814" s="15">
        <v>3.0</v>
      </c>
      <c r="M4814" s="41">
        <v>42336.0</v>
      </c>
      <c r="N4814" s="40">
        <v>42438.0</v>
      </c>
      <c r="O4814" s="15" t="s">
        <v>1554</v>
      </c>
      <c r="Q4814" s="7"/>
    </row>
    <row r="4815">
      <c r="A4815" s="39" t="s">
        <v>18960</v>
      </c>
      <c r="B4815" s="15">
        <v>1756615.0</v>
      </c>
      <c r="C4815" s="15" t="s">
        <v>18961</v>
      </c>
      <c r="D4815" s="15">
        <v>304920.0</v>
      </c>
      <c r="E4815" s="15" t="s">
        <v>1638</v>
      </c>
      <c r="F4815" s="15" t="s">
        <v>1639</v>
      </c>
      <c r="G4815" s="7">
        <v>5.221</v>
      </c>
      <c r="H4815" s="15" t="s">
        <v>4108</v>
      </c>
      <c r="I4815" s="15" t="s">
        <v>1552</v>
      </c>
      <c r="J4815" s="15" t="s">
        <v>18962</v>
      </c>
      <c r="K4815" s="15">
        <v>2.0</v>
      </c>
      <c r="L4815" s="15">
        <v>2.0</v>
      </c>
      <c r="M4815" s="41">
        <v>42338.0</v>
      </c>
      <c r="N4815" s="40">
        <v>42341.0</v>
      </c>
      <c r="O4815" s="15" t="s">
        <v>1554</v>
      </c>
      <c r="Q4815" s="7"/>
    </row>
    <row r="4816">
      <c r="A4816" s="39" t="s">
        <v>18963</v>
      </c>
      <c r="B4816" s="15">
        <v>1563660.0</v>
      </c>
      <c r="C4816" s="15" t="s">
        <v>18964</v>
      </c>
      <c r="D4816" s="15">
        <v>305153.0</v>
      </c>
      <c r="E4816" s="15" t="s">
        <v>1557</v>
      </c>
      <c r="F4816" s="15" t="s">
        <v>1992</v>
      </c>
      <c r="G4816" s="7">
        <v>135.952</v>
      </c>
      <c r="H4816" s="15" t="s">
        <v>1607</v>
      </c>
      <c r="I4816" s="15" t="s">
        <v>1560</v>
      </c>
      <c r="J4816" s="15" t="s">
        <v>18965</v>
      </c>
      <c r="K4816" s="15">
        <v>131.0</v>
      </c>
      <c r="L4816" s="15">
        <v>131.0</v>
      </c>
      <c r="M4816" s="41">
        <v>41941.0</v>
      </c>
      <c r="N4816" s="40">
        <v>42346.0</v>
      </c>
      <c r="O4816" s="15" t="s">
        <v>1554</v>
      </c>
      <c r="Q4816" s="7"/>
    </row>
    <row r="4817">
      <c r="A4817" s="39" t="s">
        <v>18966</v>
      </c>
      <c r="B4817" s="15">
        <v>1762023.0</v>
      </c>
      <c r="C4817" s="15" t="s">
        <v>18967</v>
      </c>
      <c r="D4817" s="15">
        <v>305160.0</v>
      </c>
      <c r="E4817" s="15" t="s">
        <v>1557</v>
      </c>
      <c r="F4817" s="15" t="s">
        <v>2004</v>
      </c>
      <c r="G4817" s="7">
        <v>5.163</v>
      </c>
      <c r="H4817" s="15" t="s">
        <v>2668</v>
      </c>
      <c r="I4817" s="15" t="s">
        <v>1686</v>
      </c>
      <c r="J4817" s="15" t="s">
        <v>18968</v>
      </c>
      <c r="K4817" s="15">
        <v>6.0</v>
      </c>
      <c r="L4817" s="15">
        <v>6.0</v>
      </c>
      <c r="M4817" s="40">
        <v>42340.0</v>
      </c>
      <c r="N4817" s="40">
        <v>42445.0</v>
      </c>
      <c r="O4817" s="15" t="s">
        <v>1554</v>
      </c>
      <c r="Q4817" s="7"/>
    </row>
    <row r="4818">
      <c r="A4818" s="39" t="s">
        <v>18969</v>
      </c>
      <c r="B4818" s="15">
        <v>1331744.0</v>
      </c>
      <c r="C4818" s="15" t="s">
        <v>18970</v>
      </c>
      <c r="D4818" s="15">
        <v>305432.0</v>
      </c>
      <c r="E4818" s="15" t="s">
        <v>1548</v>
      </c>
      <c r="F4818" s="15" t="s">
        <v>1633</v>
      </c>
      <c r="G4818" s="7">
        <v>6.888</v>
      </c>
      <c r="H4818" s="15" t="s">
        <v>5521</v>
      </c>
      <c r="I4818" s="15" t="s">
        <v>1628</v>
      </c>
      <c r="J4818" s="15" t="s">
        <v>18972</v>
      </c>
      <c r="K4818" s="15">
        <v>6.0</v>
      </c>
      <c r="L4818" s="15">
        <v>6.0</v>
      </c>
      <c r="M4818" s="40">
        <v>42345.0</v>
      </c>
      <c r="N4818" s="40">
        <v>42405.0</v>
      </c>
      <c r="O4818" s="15" t="s">
        <v>1554</v>
      </c>
      <c r="Q4818" s="7"/>
    </row>
    <row r="4819">
      <c r="A4819" s="39" t="s">
        <v>18973</v>
      </c>
      <c r="B4819" s="15">
        <v>1763507.0</v>
      </c>
      <c r="C4819" s="15" t="s">
        <v>18974</v>
      </c>
      <c r="D4819" s="15">
        <v>305765.0</v>
      </c>
      <c r="E4819" s="15" t="s">
        <v>1808</v>
      </c>
      <c r="F4819" s="15" t="s">
        <v>2436</v>
      </c>
      <c r="G4819" s="7">
        <v>4.634</v>
      </c>
      <c r="H4819" s="15" t="s">
        <v>2668</v>
      </c>
      <c r="I4819" s="15" t="s">
        <v>1686</v>
      </c>
      <c r="J4819" s="15" t="s">
        <v>18975</v>
      </c>
      <c r="K4819" s="15">
        <v>3.0</v>
      </c>
      <c r="L4819" s="15">
        <v>3.0</v>
      </c>
      <c r="M4819" s="40">
        <v>42343.0</v>
      </c>
      <c r="N4819" s="40">
        <v>42521.0</v>
      </c>
      <c r="O4819" s="15" t="s">
        <v>1554</v>
      </c>
      <c r="Q4819" s="7"/>
    </row>
    <row r="4820">
      <c r="A4820" s="39" t="s">
        <v>18976</v>
      </c>
      <c r="B4820" s="15">
        <v>1735586.0</v>
      </c>
      <c r="C4820" s="15" t="s">
        <v>18977</v>
      </c>
      <c r="D4820" s="15">
        <v>306230.0</v>
      </c>
      <c r="E4820" s="15" t="s">
        <v>1557</v>
      </c>
      <c r="F4820" s="15" t="s">
        <v>1767</v>
      </c>
      <c r="G4820" s="7">
        <v>94.109</v>
      </c>
      <c r="H4820" s="15" t="s">
        <v>4821</v>
      </c>
      <c r="I4820" s="15" t="s">
        <v>1586</v>
      </c>
      <c r="J4820" s="15" t="s">
        <v>18978</v>
      </c>
      <c r="K4820" s="15">
        <v>184.0</v>
      </c>
      <c r="L4820" s="15">
        <v>172.0</v>
      </c>
      <c r="M4820" s="41">
        <v>42302.0</v>
      </c>
      <c r="N4820" s="41">
        <v>42355.0</v>
      </c>
      <c r="O4820" s="15" t="s">
        <v>1554</v>
      </c>
      <c r="Q4820" s="7"/>
    </row>
    <row r="4821">
      <c r="A4821" s="39" t="s">
        <v>18980</v>
      </c>
      <c r="B4821" s="15">
        <v>1747326.0</v>
      </c>
      <c r="C4821" s="15" t="s">
        <v>18981</v>
      </c>
      <c r="D4821" s="15">
        <v>306278.0</v>
      </c>
      <c r="E4821" s="15" t="s">
        <v>1557</v>
      </c>
      <c r="F4821" s="15" t="s">
        <v>1833</v>
      </c>
      <c r="G4821" s="7">
        <v>41.307</v>
      </c>
      <c r="H4821" s="15">
        <v>34.0</v>
      </c>
      <c r="I4821" s="15" t="s">
        <v>1586</v>
      </c>
      <c r="J4821" s="15" t="s">
        <v>18982</v>
      </c>
      <c r="K4821" s="15">
        <v>70.0</v>
      </c>
      <c r="L4821" s="15">
        <v>70.0</v>
      </c>
      <c r="M4821" s="41">
        <v>42332.0</v>
      </c>
      <c r="N4821" s="40">
        <v>42563.0</v>
      </c>
      <c r="O4821" s="15" t="s">
        <v>1554</v>
      </c>
      <c r="Q4821" s="7"/>
    </row>
    <row r="4822">
      <c r="A4822" s="39" t="s">
        <v>18983</v>
      </c>
      <c r="B4822" s="15">
        <v>1735466.0</v>
      </c>
      <c r="C4822" s="15" t="s">
        <v>18984</v>
      </c>
      <c r="D4822" s="15">
        <v>306282.0</v>
      </c>
      <c r="E4822" s="15" t="s">
        <v>1557</v>
      </c>
      <c r="F4822" s="15" t="s">
        <v>1833</v>
      </c>
      <c r="G4822" s="7">
        <v>50.515</v>
      </c>
      <c r="H4822" s="15">
        <v>64.0</v>
      </c>
      <c r="I4822" s="15" t="s">
        <v>1586</v>
      </c>
      <c r="J4822" s="15" t="s">
        <v>18985</v>
      </c>
      <c r="K4822" s="15">
        <v>86.0</v>
      </c>
      <c r="L4822" s="15">
        <v>86.0</v>
      </c>
      <c r="M4822" s="41">
        <v>42308.0</v>
      </c>
      <c r="N4822" s="41">
        <v>42355.0</v>
      </c>
      <c r="O4822" s="15" t="s">
        <v>1554</v>
      </c>
      <c r="Q4822" s="7"/>
    </row>
    <row r="4823">
      <c r="A4823" s="39" t="s">
        <v>18986</v>
      </c>
      <c r="B4823" s="15">
        <v>1701807.0</v>
      </c>
      <c r="C4823" s="15" t="s">
        <v>18987</v>
      </c>
      <c r="D4823" s="15">
        <v>306286.0</v>
      </c>
      <c r="E4823" s="15" t="s">
        <v>1557</v>
      </c>
      <c r="F4823" s="15" t="s">
        <v>1611</v>
      </c>
      <c r="G4823" s="7">
        <v>41.563</v>
      </c>
      <c r="H4823" s="15" t="s">
        <v>6418</v>
      </c>
      <c r="I4823" s="15" t="s">
        <v>1586</v>
      </c>
      <c r="J4823" s="15" t="s">
        <v>18988</v>
      </c>
      <c r="K4823" s="15">
        <v>48.0</v>
      </c>
      <c r="L4823" s="15">
        <v>48.0</v>
      </c>
      <c r="M4823" s="40">
        <v>42311.0</v>
      </c>
      <c r="N4823" s="41">
        <v>42355.0</v>
      </c>
      <c r="O4823" s="15" t="s">
        <v>1554</v>
      </c>
      <c r="Q4823" s="7"/>
    </row>
    <row r="4824">
      <c r="A4824" s="39" t="s">
        <v>18990</v>
      </c>
      <c r="B4824" s="15">
        <v>1673886.0</v>
      </c>
      <c r="C4824" s="15" t="s">
        <v>18991</v>
      </c>
      <c r="D4824" s="15">
        <v>306290.0</v>
      </c>
      <c r="E4824" s="15" t="s">
        <v>1557</v>
      </c>
      <c r="F4824" s="15" t="s">
        <v>1833</v>
      </c>
      <c r="G4824" s="7">
        <v>68.227</v>
      </c>
      <c r="H4824" s="15" t="s">
        <v>2492</v>
      </c>
      <c r="I4824" s="15" t="s">
        <v>1586</v>
      </c>
      <c r="J4824" s="15" t="s">
        <v>18992</v>
      </c>
      <c r="K4824" s="15">
        <v>100.0</v>
      </c>
      <c r="L4824" s="15">
        <v>100.0</v>
      </c>
      <c r="M4824" s="40">
        <v>42190.0</v>
      </c>
      <c r="N4824" s="41">
        <v>42355.0</v>
      </c>
      <c r="O4824" s="15" t="s">
        <v>1554</v>
      </c>
      <c r="Q4824" s="7"/>
    </row>
    <row r="4825">
      <c r="A4825" s="39" t="s">
        <v>18993</v>
      </c>
      <c r="B4825" s="15">
        <v>1647463.0</v>
      </c>
      <c r="C4825" s="15" t="s">
        <v>18994</v>
      </c>
      <c r="D4825" s="15">
        <v>306294.0</v>
      </c>
      <c r="E4825" s="15" t="s">
        <v>1557</v>
      </c>
      <c r="F4825" s="15" t="s">
        <v>1767</v>
      </c>
      <c r="G4825" s="7">
        <v>40.74</v>
      </c>
      <c r="H4825" s="15" t="s">
        <v>3836</v>
      </c>
      <c r="I4825" s="15" t="s">
        <v>1586</v>
      </c>
      <c r="J4825" s="15" t="s">
        <v>18995</v>
      </c>
      <c r="K4825" s="15">
        <v>63.0</v>
      </c>
      <c r="L4825" s="15">
        <v>63.0</v>
      </c>
      <c r="M4825" s="40">
        <v>42270.0</v>
      </c>
      <c r="N4825" s="40">
        <v>42971.0</v>
      </c>
      <c r="O4825" s="15" t="s">
        <v>1554</v>
      </c>
      <c r="Q4825" s="7"/>
    </row>
    <row r="4826">
      <c r="A4826" s="39" t="s">
        <v>18996</v>
      </c>
      <c r="B4826" s="15">
        <v>1636182.0</v>
      </c>
      <c r="C4826" s="15" t="s">
        <v>18997</v>
      </c>
      <c r="D4826" s="15">
        <v>306298.0</v>
      </c>
      <c r="E4826" s="15" t="s">
        <v>1557</v>
      </c>
      <c r="F4826" s="15" t="s">
        <v>1767</v>
      </c>
      <c r="G4826" s="7">
        <v>149.218</v>
      </c>
      <c r="H4826" s="15" t="s">
        <v>5042</v>
      </c>
      <c r="I4826" s="15" t="s">
        <v>1586</v>
      </c>
      <c r="J4826" s="15" t="s">
        <v>18998</v>
      </c>
      <c r="K4826" s="15">
        <v>271.0</v>
      </c>
      <c r="L4826" s="15">
        <v>271.0</v>
      </c>
      <c r="M4826" s="40">
        <v>42123.0</v>
      </c>
      <c r="N4826" s="41">
        <v>42355.0</v>
      </c>
      <c r="O4826" s="15" t="s">
        <v>1554</v>
      </c>
      <c r="Q4826" s="7"/>
    </row>
    <row r="4827">
      <c r="A4827" s="39" t="s">
        <v>19000</v>
      </c>
      <c r="B4827" s="15">
        <v>1458710.0</v>
      </c>
      <c r="C4827" s="15" t="s">
        <v>19001</v>
      </c>
      <c r="D4827" s="15">
        <v>306302.0</v>
      </c>
      <c r="E4827" s="15" t="s">
        <v>1557</v>
      </c>
      <c r="F4827" s="15" t="s">
        <v>1833</v>
      </c>
      <c r="G4827" s="7">
        <v>69.03</v>
      </c>
      <c r="H4827" s="15" t="s">
        <v>4308</v>
      </c>
      <c r="I4827" s="15" t="s">
        <v>1586</v>
      </c>
      <c r="J4827" s="15" t="s">
        <v>19002</v>
      </c>
      <c r="K4827" s="15">
        <v>102.0</v>
      </c>
      <c r="L4827" s="15">
        <v>102.0</v>
      </c>
      <c r="M4827" s="40">
        <v>41731.0</v>
      </c>
      <c r="N4827" s="41">
        <v>42355.0</v>
      </c>
      <c r="O4827" s="15" t="s">
        <v>1554</v>
      </c>
      <c r="Q4827" s="7"/>
    </row>
    <row r="4828">
      <c r="A4828" s="39" t="s">
        <v>19003</v>
      </c>
      <c r="B4828" s="15">
        <v>1701805.0</v>
      </c>
      <c r="C4828" s="15" t="s">
        <v>19004</v>
      </c>
      <c r="D4828" s="15">
        <v>306342.0</v>
      </c>
      <c r="E4828" s="15" t="s">
        <v>1557</v>
      </c>
      <c r="F4828" s="15" t="s">
        <v>1611</v>
      </c>
      <c r="G4828" s="7">
        <v>43.963</v>
      </c>
      <c r="H4828" s="15" t="s">
        <v>2271</v>
      </c>
      <c r="I4828" s="15" t="s">
        <v>1586</v>
      </c>
      <c r="J4828" s="15" t="s">
        <v>19005</v>
      </c>
      <c r="K4828" s="15">
        <v>58.0</v>
      </c>
      <c r="L4828" s="15">
        <v>58.0</v>
      </c>
      <c r="M4828" s="41">
        <v>42302.0</v>
      </c>
      <c r="N4828" s="41">
        <v>42355.0</v>
      </c>
      <c r="O4828" s="15" t="s">
        <v>1554</v>
      </c>
      <c r="Q4828" s="7"/>
    </row>
    <row r="4829">
      <c r="A4829" s="39" t="s">
        <v>19006</v>
      </c>
      <c r="B4829" s="15">
        <v>1675531.0</v>
      </c>
      <c r="C4829" s="15" t="s">
        <v>19007</v>
      </c>
      <c r="D4829" s="15">
        <v>306346.0</v>
      </c>
      <c r="E4829" s="15" t="s">
        <v>1557</v>
      </c>
      <c r="F4829" s="15" t="s">
        <v>1611</v>
      </c>
      <c r="G4829" s="7">
        <v>62.851</v>
      </c>
      <c r="H4829" s="15" t="s">
        <v>1802</v>
      </c>
      <c r="I4829" s="15" t="s">
        <v>1586</v>
      </c>
      <c r="J4829" s="15" t="s">
        <v>19008</v>
      </c>
      <c r="K4829" s="15">
        <v>74.0</v>
      </c>
      <c r="L4829" s="15">
        <v>74.0</v>
      </c>
      <c r="M4829" s="40">
        <v>42190.0</v>
      </c>
      <c r="N4829" s="41">
        <v>42355.0</v>
      </c>
      <c r="O4829" s="15" t="s">
        <v>1554</v>
      </c>
      <c r="Q4829" s="7"/>
    </row>
    <row r="4830">
      <c r="A4830" s="39" t="s">
        <v>19009</v>
      </c>
      <c r="B4830" s="15">
        <v>691318.0</v>
      </c>
      <c r="C4830" s="15" t="s">
        <v>19010</v>
      </c>
      <c r="D4830" s="15">
        <v>306350.0</v>
      </c>
      <c r="E4830" s="15" t="s">
        <v>1557</v>
      </c>
      <c r="F4830" s="15" t="s">
        <v>1611</v>
      </c>
      <c r="G4830" s="7">
        <v>41.526</v>
      </c>
      <c r="H4830" s="15" t="s">
        <v>3895</v>
      </c>
      <c r="I4830" s="15" t="s">
        <v>1586</v>
      </c>
      <c r="J4830" s="15" t="s">
        <v>19011</v>
      </c>
      <c r="K4830" s="15">
        <v>46.0</v>
      </c>
      <c r="L4830" s="15">
        <v>46.0</v>
      </c>
      <c r="M4830" s="41">
        <v>40502.0</v>
      </c>
      <c r="N4830" s="41">
        <v>42355.0</v>
      </c>
      <c r="O4830" s="15" t="s">
        <v>1554</v>
      </c>
      <c r="Q4830" s="7"/>
    </row>
    <row r="4831">
      <c r="A4831" s="39" t="s">
        <v>19012</v>
      </c>
      <c r="B4831" s="15">
        <v>1755689.0</v>
      </c>
      <c r="C4831" s="15" t="s">
        <v>19013</v>
      </c>
      <c r="D4831" s="15">
        <v>306354.0</v>
      </c>
      <c r="E4831" s="15" t="s">
        <v>1557</v>
      </c>
      <c r="F4831" s="15" t="s">
        <v>1833</v>
      </c>
      <c r="G4831" s="7">
        <v>60.919</v>
      </c>
      <c r="H4831" s="15" t="s">
        <v>6183</v>
      </c>
      <c r="I4831" s="15" t="s">
        <v>1586</v>
      </c>
      <c r="J4831" s="15" t="s">
        <v>19014</v>
      </c>
      <c r="K4831" s="15">
        <v>114.0</v>
      </c>
      <c r="L4831" s="15">
        <v>113.0</v>
      </c>
      <c r="M4831" s="41">
        <v>42337.0</v>
      </c>
      <c r="N4831" s="41">
        <v>42355.0</v>
      </c>
      <c r="O4831" s="15" t="s">
        <v>1554</v>
      </c>
      <c r="Q4831" s="7"/>
    </row>
    <row r="4832">
      <c r="A4832" s="39" t="s">
        <v>19015</v>
      </c>
      <c r="B4832" s="15">
        <v>1611545.0</v>
      </c>
      <c r="C4832" s="15" t="s">
        <v>19016</v>
      </c>
      <c r="D4832" s="15">
        <v>274999.0</v>
      </c>
      <c r="E4832" s="15" t="s">
        <v>1557</v>
      </c>
      <c r="F4832" s="15" t="s">
        <v>1833</v>
      </c>
      <c r="G4832" s="7">
        <v>41.868</v>
      </c>
      <c r="H4832" s="15" t="s">
        <v>5042</v>
      </c>
      <c r="I4832" s="15" t="s">
        <v>1586</v>
      </c>
      <c r="J4832" s="15" t="s">
        <v>19017</v>
      </c>
      <c r="K4832" s="15">
        <v>53.0</v>
      </c>
      <c r="L4832" s="15">
        <v>53.0</v>
      </c>
      <c r="M4832" s="40">
        <v>42234.0</v>
      </c>
      <c r="N4832" s="41">
        <v>42355.0</v>
      </c>
      <c r="O4832" s="15" t="s">
        <v>1554</v>
      </c>
      <c r="Q4832" s="7"/>
    </row>
    <row r="4833">
      <c r="A4833" s="39" t="s">
        <v>19018</v>
      </c>
      <c r="B4833" s="15">
        <v>1296647.0</v>
      </c>
      <c r="C4833" s="15" t="s">
        <v>19020</v>
      </c>
      <c r="D4833" s="15">
        <v>306276.0</v>
      </c>
      <c r="E4833" s="15" t="s">
        <v>1557</v>
      </c>
      <c r="F4833" s="15" t="s">
        <v>1833</v>
      </c>
      <c r="G4833" s="7">
        <v>68.355</v>
      </c>
      <c r="H4833" s="15" t="s">
        <v>4308</v>
      </c>
      <c r="I4833" s="15" t="s">
        <v>1586</v>
      </c>
      <c r="J4833" s="15" t="s">
        <v>19021</v>
      </c>
      <c r="K4833" s="15">
        <v>101.0</v>
      </c>
      <c r="L4833" s="15">
        <v>101.0</v>
      </c>
      <c r="M4833" s="40">
        <v>41364.0</v>
      </c>
      <c r="N4833" s="41">
        <v>42355.0</v>
      </c>
      <c r="O4833" s="15" t="s">
        <v>1554</v>
      </c>
      <c r="Q4833" s="7"/>
    </row>
    <row r="4834">
      <c r="A4834" s="39" t="s">
        <v>19022</v>
      </c>
      <c r="B4834" s="15">
        <v>1739967.0</v>
      </c>
      <c r="C4834" s="15" t="s">
        <v>19023</v>
      </c>
      <c r="D4834" s="15">
        <v>306280.0</v>
      </c>
      <c r="E4834" s="15" t="s">
        <v>1557</v>
      </c>
      <c r="F4834" s="15" t="s">
        <v>1833</v>
      </c>
      <c r="G4834" s="7">
        <v>56.669</v>
      </c>
      <c r="H4834" s="15" t="s">
        <v>2154</v>
      </c>
      <c r="I4834" s="15" t="s">
        <v>1586</v>
      </c>
      <c r="J4834" s="15" t="s">
        <v>19024</v>
      </c>
      <c r="K4834" s="15">
        <v>101.0</v>
      </c>
      <c r="L4834" s="15">
        <v>101.0</v>
      </c>
      <c r="M4834" s="40">
        <v>42315.0</v>
      </c>
      <c r="N4834" s="40">
        <v>42438.0</v>
      </c>
      <c r="O4834" s="15" t="s">
        <v>1554</v>
      </c>
      <c r="Q4834" s="7"/>
    </row>
    <row r="4835">
      <c r="A4835" s="39" t="s">
        <v>19025</v>
      </c>
      <c r="B4835" s="15">
        <v>1701850.0</v>
      </c>
      <c r="C4835" s="15" t="s">
        <v>19026</v>
      </c>
      <c r="D4835" s="15">
        <v>306284.0</v>
      </c>
      <c r="E4835" s="15" t="s">
        <v>1557</v>
      </c>
      <c r="F4835" s="15" t="s">
        <v>1611</v>
      </c>
      <c r="G4835" s="7">
        <v>33.9</v>
      </c>
      <c r="H4835" s="15" t="s">
        <v>6633</v>
      </c>
      <c r="I4835" s="15" t="s">
        <v>1586</v>
      </c>
      <c r="J4835" s="15" t="s">
        <v>19027</v>
      </c>
      <c r="K4835" s="15">
        <v>46.0</v>
      </c>
      <c r="L4835" s="15">
        <v>46.0</v>
      </c>
      <c r="M4835" s="40">
        <v>42270.0</v>
      </c>
      <c r="N4835" s="41">
        <v>42355.0</v>
      </c>
      <c r="O4835" s="15" t="s">
        <v>1554</v>
      </c>
      <c r="Q4835" s="7"/>
    </row>
    <row r="4836">
      <c r="A4836" s="39" t="s">
        <v>19029</v>
      </c>
      <c r="B4836" s="15">
        <v>1698361.0</v>
      </c>
      <c r="C4836" s="15" t="s">
        <v>19030</v>
      </c>
      <c r="D4836" s="15">
        <v>306288.0</v>
      </c>
      <c r="E4836" s="15" t="s">
        <v>1557</v>
      </c>
      <c r="F4836" s="15" t="s">
        <v>1833</v>
      </c>
      <c r="G4836" s="7">
        <v>15.524</v>
      </c>
      <c r="H4836" s="15" t="s">
        <v>10417</v>
      </c>
      <c r="I4836" s="15" t="s">
        <v>1586</v>
      </c>
      <c r="J4836" s="15" t="s">
        <v>19031</v>
      </c>
      <c r="K4836" s="15">
        <v>26.0</v>
      </c>
      <c r="L4836" s="15">
        <v>26.0</v>
      </c>
      <c r="M4836" s="40">
        <v>42270.0</v>
      </c>
      <c r="N4836" s="40">
        <v>42835.0</v>
      </c>
      <c r="O4836" s="15" t="s">
        <v>1554</v>
      </c>
      <c r="Q4836" s="7"/>
    </row>
    <row r="4837">
      <c r="A4837" s="39" t="s">
        <v>19032</v>
      </c>
      <c r="B4837" s="15">
        <v>1647286.0</v>
      </c>
      <c r="C4837" s="15" t="s">
        <v>19033</v>
      </c>
      <c r="D4837" s="15">
        <v>306296.0</v>
      </c>
      <c r="E4837" s="15" t="s">
        <v>1557</v>
      </c>
      <c r="F4837" s="15" t="s">
        <v>1611</v>
      </c>
      <c r="G4837" s="7">
        <v>73.419</v>
      </c>
      <c r="H4837" s="15" t="s">
        <v>4542</v>
      </c>
      <c r="I4837" s="15" t="s">
        <v>1586</v>
      </c>
      <c r="J4837" s="15" t="s">
        <v>19034</v>
      </c>
      <c r="K4837" s="15">
        <v>102.0</v>
      </c>
      <c r="L4837" s="15">
        <v>101.0</v>
      </c>
      <c r="M4837" s="40">
        <v>42233.0</v>
      </c>
      <c r="N4837" s="41">
        <v>42355.0</v>
      </c>
      <c r="O4837" s="15" t="s">
        <v>1554</v>
      </c>
      <c r="Q4837" s="7"/>
    </row>
    <row r="4838">
      <c r="A4838" s="39" t="s">
        <v>19035</v>
      </c>
      <c r="B4838" s="15">
        <v>1527494.0</v>
      </c>
      <c r="C4838" s="15" t="s">
        <v>19036</v>
      </c>
      <c r="D4838" s="15">
        <v>306300.0</v>
      </c>
      <c r="E4838" s="15" t="s">
        <v>1557</v>
      </c>
      <c r="F4838" s="15" t="s">
        <v>1833</v>
      </c>
      <c r="G4838" s="7">
        <v>68.472</v>
      </c>
      <c r="H4838" s="15" t="s">
        <v>4308</v>
      </c>
      <c r="I4838" s="15" t="s">
        <v>1586</v>
      </c>
      <c r="J4838" s="15" t="s">
        <v>19037</v>
      </c>
      <c r="K4838" s="15">
        <v>99.0</v>
      </c>
      <c r="L4838" s="15">
        <v>99.0</v>
      </c>
      <c r="M4838" s="40">
        <v>41891.0</v>
      </c>
      <c r="N4838" s="41">
        <v>42355.0</v>
      </c>
      <c r="O4838" s="15" t="s">
        <v>1554</v>
      </c>
      <c r="Q4838" s="7"/>
    </row>
    <row r="4839">
      <c r="A4839" s="39" t="s">
        <v>19039</v>
      </c>
      <c r="B4839" s="15">
        <v>1743016.0</v>
      </c>
      <c r="C4839" s="15" t="s">
        <v>19040</v>
      </c>
      <c r="D4839" s="15">
        <v>306340.0</v>
      </c>
      <c r="E4839" s="15" t="s">
        <v>1557</v>
      </c>
      <c r="F4839" s="15" t="s">
        <v>1833</v>
      </c>
      <c r="G4839" s="7">
        <v>39.593</v>
      </c>
      <c r="H4839" s="15" t="s">
        <v>4096</v>
      </c>
      <c r="I4839" s="15" t="s">
        <v>1586</v>
      </c>
      <c r="J4839" s="15" t="s">
        <v>19041</v>
      </c>
      <c r="K4839" s="15">
        <v>56.0</v>
      </c>
      <c r="L4839" s="15">
        <v>56.0</v>
      </c>
      <c r="M4839" s="41">
        <v>42325.0</v>
      </c>
      <c r="N4839" s="40">
        <v>42551.0</v>
      </c>
      <c r="O4839" s="15" t="s">
        <v>1554</v>
      </c>
      <c r="Q4839" s="7"/>
    </row>
    <row r="4840">
      <c r="A4840" s="39" t="s">
        <v>19042</v>
      </c>
      <c r="B4840" s="15">
        <v>1690684.0</v>
      </c>
      <c r="C4840" s="15" t="s">
        <v>19043</v>
      </c>
      <c r="D4840" s="15">
        <v>306344.0</v>
      </c>
      <c r="E4840" s="15" t="s">
        <v>1557</v>
      </c>
      <c r="F4840" s="15" t="s">
        <v>1611</v>
      </c>
      <c r="G4840" s="7">
        <v>50.418</v>
      </c>
      <c r="H4840" s="15" t="s">
        <v>10437</v>
      </c>
      <c r="I4840" s="15" t="s">
        <v>1586</v>
      </c>
      <c r="J4840" s="15" t="s">
        <v>19044</v>
      </c>
      <c r="K4840" s="15">
        <v>81.0</v>
      </c>
      <c r="L4840" s="15">
        <v>81.0</v>
      </c>
      <c r="M4840" s="41">
        <v>42296.0</v>
      </c>
      <c r="N4840" s="40">
        <v>42374.0</v>
      </c>
      <c r="O4840" s="15" t="s">
        <v>1554</v>
      </c>
      <c r="Q4840" s="7"/>
    </row>
    <row r="4841">
      <c r="A4841" s="39" t="s">
        <v>19045</v>
      </c>
      <c r="B4841" s="15">
        <v>1608310.0</v>
      </c>
      <c r="C4841" s="15" t="s">
        <v>19046</v>
      </c>
      <c r="D4841" s="15">
        <v>306348.0</v>
      </c>
      <c r="E4841" s="15" t="s">
        <v>1557</v>
      </c>
      <c r="F4841" s="15" t="s">
        <v>1767</v>
      </c>
      <c r="G4841" s="7">
        <v>177.643</v>
      </c>
      <c r="H4841" s="15" t="s">
        <v>2141</v>
      </c>
      <c r="I4841" s="15" t="s">
        <v>1586</v>
      </c>
      <c r="J4841" s="15" t="s">
        <v>19047</v>
      </c>
      <c r="K4841" s="15">
        <v>305.0</v>
      </c>
      <c r="L4841" s="15">
        <v>301.0</v>
      </c>
      <c r="M4841" s="40">
        <v>42039.0</v>
      </c>
      <c r="N4841" s="41">
        <v>42365.0</v>
      </c>
      <c r="O4841" s="15" t="s">
        <v>1554</v>
      </c>
      <c r="Q4841" s="7"/>
    </row>
    <row r="4842">
      <c r="A4842" s="39" t="s">
        <v>19048</v>
      </c>
      <c r="B4842" s="15">
        <v>35344.0</v>
      </c>
      <c r="C4842" s="15" t="s">
        <v>19049</v>
      </c>
      <c r="D4842" s="15">
        <v>306352.0</v>
      </c>
      <c r="E4842" s="15" t="s">
        <v>1557</v>
      </c>
      <c r="F4842" s="15" t="s">
        <v>1611</v>
      </c>
      <c r="G4842" s="7">
        <v>37.976</v>
      </c>
      <c r="H4842" s="15" t="s">
        <v>2668</v>
      </c>
      <c r="I4842" s="15" t="s">
        <v>1586</v>
      </c>
      <c r="J4842" s="15" t="s">
        <v>19050</v>
      </c>
      <c r="K4842" s="15">
        <v>65.0</v>
      </c>
      <c r="L4842" s="15">
        <v>65.0</v>
      </c>
      <c r="M4842" s="41">
        <v>41941.0</v>
      </c>
      <c r="N4842" s="41">
        <v>42355.0</v>
      </c>
      <c r="O4842" s="15" t="s">
        <v>1554</v>
      </c>
      <c r="Q4842" s="7"/>
    </row>
    <row r="4843">
      <c r="A4843" s="39" t="s">
        <v>19052</v>
      </c>
      <c r="B4843" s="15">
        <v>1747282.0</v>
      </c>
      <c r="C4843" s="15" t="s">
        <v>19053</v>
      </c>
      <c r="D4843" s="15">
        <v>306356.0</v>
      </c>
      <c r="E4843" s="15" t="s">
        <v>1557</v>
      </c>
      <c r="F4843" s="15" t="s">
        <v>1611</v>
      </c>
      <c r="G4843" s="7">
        <v>44.203</v>
      </c>
      <c r="H4843" s="15">
        <v>54.0</v>
      </c>
      <c r="I4843" s="15" t="s">
        <v>1586</v>
      </c>
      <c r="J4843" s="15" t="s">
        <v>19054</v>
      </c>
      <c r="K4843" s="15">
        <v>55.0</v>
      </c>
      <c r="L4843" s="15">
        <v>55.0</v>
      </c>
      <c r="M4843" s="41">
        <v>42332.0</v>
      </c>
      <c r="N4843" s="41">
        <v>42355.0</v>
      </c>
      <c r="O4843" s="15" t="s">
        <v>1554</v>
      </c>
      <c r="Q4843" s="7"/>
    </row>
    <row r="4844">
      <c r="A4844" s="39" t="s">
        <v>19055</v>
      </c>
      <c r="B4844" s="15">
        <v>1684115.0</v>
      </c>
      <c r="C4844" s="15" t="s">
        <v>19056</v>
      </c>
      <c r="D4844" s="15">
        <v>290132.0</v>
      </c>
      <c r="E4844" s="15" t="s">
        <v>1557</v>
      </c>
      <c r="F4844" s="15" t="s">
        <v>1767</v>
      </c>
      <c r="G4844" s="7">
        <v>149.732</v>
      </c>
      <c r="H4844" s="15" t="s">
        <v>2540</v>
      </c>
      <c r="I4844" s="15" t="s">
        <v>1586</v>
      </c>
      <c r="J4844" s="15" t="s">
        <v>19057</v>
      </c>
      <c r="K4844" s="15">
        <v>283.0</v>
      </c>
      <c r="L4844" s="15">
        <v>270.0</v>
      </c>
      <c r="M4844" s="40">
        <v>42234.0</v>
      </c>
      <c r="N4844" s="41">
        <v>42355.0</v>
      </c>
      <c r="O4844" s="15" t="s">
        <v>1554</v>
      </c>
      <c r="Q4844" s="7"/>
    </row>
    <row r="4845">
      <c r="A4845" s="39" t="s">
        <v>19058</v>
      </c>
      <c r="B4845" s="15">
        <v>1458706.0</v>
      </c>
      <c r="C4845" s="15" t="s">
        <v>19059</v>
      </c>
      <c r="D4845" s="15">
        <v>306275.0</v>
      </c>
      <c r="E4845" s="15" t="s">
        <v>1557</v>
      </c>
      <c r="F4845" s="15" t="s">
        <v>1611</v>
      </c>
      <c r="G4845" s="7">
        <v>61.035</v>
      </c>
      <c r="H4845" s="15" t="s">
        <v>3304</v>
      </c>
      <c r="I4845" s="15" t="s">
        <v>1586</v>
      </c>
      <c r="J4845" s="15" t="s">
        <v>19060</v>
      </c>
      <c r="K4845" s="15">
        <v>87.0</v>
      </c>
      <c r="L4845" s="15">
        <v>87.0</v>
      </c>
      <c r="M4845" s="41">
        <v>41931.0</v>
      </c>
      <c r="N4845" s="41">
        <v>42355.0</v>
      </c>
      <c r="O4845" s="15" t="s">
        <v>1554</v>
      </c>
      <c r="Q4845" s="7"/>
    </row>
    <row r="4846">
      <c r="A4846" s="39" t="s">
        <v>19062</v>
      </c>
      <c r="B4846" s="15">
        <v>1732176.0</v>
      </c>
      <c r="C4846" s="15" t="s">
        <v>19063</v>
      </c>
      <c r="D4846" s="15">
        <v>306050.0</v>
      </c>
      <c r="E4846" s="15" t="s">
        <v>1557</v>
      </c>
      <c r="F4846" s="15" t="s">
        <v>1578</v>
      </c>
      <c r="G4846" s="7">
        <v>19.351</v>
      </c>
      <c r="H4846" s="15" t="s">
        <v>2342</v>
      </c>
      <c r="I4846" s="15" t="s">
        <v>1586</v>
      </c>
      <c r="J4846" s="15" t="s">
        <v>19064</v>
      </c>
      <c r="K4846" s="15">
        <v>26.0</v>
      </c>
      <c r="L4846" s="15">
        <v>26.0</v>
      </c>
      <c r="M4846" s="40">
        <v>42279.0</v>
      </c>
      <c r="N4846" s="41">
        <v>42355.0</v>
      </c>
      <c r="O4846" s="15" t="s">
        <v>1554</v>
      </c>
      <c r="Q4846" s="7"/>
    </row>
    <row r="4847">
      <c r="A4847" s="39" t="s">
        <v>19065</v>
      </c>
      <c r="B4847" s="15">
        <v>936054.0</v>
      </c>
      <c r="C4847" s="15" t="s">
        <v>19066</v>
      </c>
      <c r="D4847" s="15">
        <v>306277.0</v>
      </c>
      <c r="E4847" s="15" t="s">
        <v>1557</v>
      </c>
      <c r="F4847" s="15" t="s">
        <v>1611</v>
      </c>
      <c r="G4847" s="7">
        <v>65.955</v>
      </c>
      <c r="H4847" s="15" t="s">
        <v>1802</v>
      </c>
      <c r="I4847" s="15" t="s">
        <v>1586</v>
      </c>
      <c r="J4847" s="15" t="s">
        <v>19067</v>
      </c>
      <c r="K4847" s="15">
        <v>88.0</v>
      </c>
      <c r="L4847" s="15">
        <v>83.0</v>
      </c>
      <c r="M4847" s="41">
        <v>40538.0</v>
      </c>
      <c r="N4847" s="41">
        <v>42355.0</v>
      </c>
      <c r="O4847" s="15" t="s">
        <v>1554</v>
      </c>
      <c r="Q4847" s="7"/>
    </row>
    <row r="4848">
      <c r="A4848" s="39" t="s">
        <v>19068</v>
      </c>
      <c r="B4848" s="15">
        <v>1739966.0</v>
      </c>
      <c r="C4848" s="15" t="s">
        <v>19070</v>
      </c>
      <c r="D4848" s="15">
        <v>306281.0</v>
      </c>
      <c r="E4848" s="15" t="s">
        <v>1557</v>
      </c>
      <c r="F4848" s="15" t="s">
        <v>1833</v>
      </c>
      <c r="G4848" s="7">
        <v>56.275</v>
      </c>
      <c r="H4848" s="15" t="s">
        <v>2154</v>
      </c>
      <c r="I4848" s="15" t="s">
        <v>1586</v>
      </c>
      <c r="J4848" s="15" t="s">
        <v>19071</v>
      </c>
      <c r="K4848" s="15">
        <v>111.0</v>
      </c>
      <c r="L4848" s="15">
        <v>111.0</v>
      </c>
      <c r="M4848" s="40">
        <v>42315.0</v>
      </c>
      <c r="N4848" s="41">
        <v>42355.0</v>
      </c>
      <c r="O4848" s="15" t="s">
        <v>1554</v>
      </c>
      <c r="Q4848" s="7"/>
    </row>
    <row r="4849">
      <c r="A4849" s="39" t="s">
        <v>19072</v>
      </c>
      <c r="B4849" s="15">
        <v>1701808.0</v>
      </c>
      <c r="C4849" s="15" t="s">
        <v>19073</v>
      </c>
      <c r="D4849" s="15">
        <v>306285.0</v>
      </c>
      <c r="E4849" s="15" t="s">
        <v>1557</v>
      </c>
      <c r="F4849" s="15" t="s">
        <v>1611</v>
      </c>
      <c r="G4849" s="7">
        <v>40.938</v>
      </c>
      <c r="H4849" s="15" t="s">
        <v>2597</v>
      </c>
      <c r="I4849" s="15" t="s">
        <v>1586</v>
      </c>
      <c r="J4849" s="15" t="s">
        <v>19074</v>
      </c>
      <c r="K4849" s="15">
        <v>48.0</v>
      </c>
      <c r="L4849" s="15">
        <v>48.0</v>
      </c>
      <c r="M4849" s="40">
        <v>42311.0</v>
      </c>
      <c r="N4849" s="41">
        <v>42355.0</v>
      </c>
      <c r="O4849" s="15" t="s">
        <v>1554</v>
      </c>
      <c r="Q4849" s="7"/>
    </row>
    <row r="4850">
      <c r="A4850" s="39" t="s">
        <v>19075</v>
      </c>
      <c r="B4850" s="15">
        <v>1698360.0</v>
      </c>
      <c r="C4850" s="15" t="s">
        <v>19076</v>
      </c>
      <c r="D4850" s="15">
        <v>306289.0</v>
      </c>
      <c r="E4850" s="15" t="s">
        <v>1557</v>
      </c>
      <c r="F4850" s="15" t="s">
        <v>1767</v>
      </c>
      <c r="G4850" s="7">
        <v>166.313</v>
      </c>
      <c r="H4850" s="15" t="s">
        <v>1602</v>
      </c>
      <c r="I4850" s="15" t="s">
        <v>1586</v>
      </c>
      <c r="J4850" s="15" t="s">
        <v>19078</v>
      </c>
      <c r="K4850" s="15">
        <v>278.0</v>
      </c>
      <c r="L4850" s="15">
        <v>278.0</v>
      </c>
      <c r="M4850" s="40">
        <v>42234.0</v>
      </c>
      <c r="N4850" s="41">
        <v>42355.0</v>
      </c>
      <c r="O4850" s="15" t="s">
        <v>1554</v>
      </c>
      <c r="Q4850" s="7"/>
    </row>
    <row r="4851">
      <c r="A4851" s="39" t="s">
        <v>19079</v>
      </c>
      <c r="B4851" s="15">
        <v>1647466.0</v>
      </c>
      <c r="C4851" s="15" t="s">
        <v>19080</v>
      </c>
      <c r="D4851" s="15">
        <v>306293.0</v>
      </c>
      <c r="E4851" s="15" t="s">
        <v>1557</v>
      </c>
      <c r="F4851" s="15" t="s">
        <v>1767</v>
      </c>
      <c r="G4851" s="7">
        <v>33.509</v>
      </c>
      <c r="H4851" s="15" t="s">
        <v>1597</v>
      </c>
      <c r="I4851" s="15" t="s">
        <v>1586</v>
      </c>
      <c r="J4851" s="15" t="s">
        <v>19081</v>
      </c>
      <c r="K4851" s="15">
        <v>47.0</v>
      </c>
      <c r="L4851" s="15">
        <v>47.0</v>
      </c>
      <c r="M4851" s="40">
        <v>42270.0</v>
      </c>
      <c r="N4851" s="41">
        <v>42691.0</v>
      </c>
      <c r="O4851" s="15" t="s">
        <v>1554</v>
      </c>
      <c r="Q4851" s="7"/>
    </row>
    <row r="4852">
      <c r="A4852" s="39" t="s">
        <v>19082</v>
      </c>
      <c r="B4852" s="15">
        <v>1647284.0</v>
      </c>
      <c r="C4852" s="15" t="s">
        <v>19083</v>
      </c>
      <c r="D4852" s="15">
        <v>306297.0</v>
      </c>
      <c r="E4852" s="15" t="s">
        <v>1557</v>
      </c>
      <c r="F4852" s="15" t="s">
        <v>1611</v>
      </c>
      <c r="G4852" s="7">
        <v>77.779</v>
      </c>
      <c r="H4852" s="15" t="s">
        <v>5521</v>
      </c>
      <c r="I4852" s="15" t="s">
        <v>1586</v>
      </c>
      <c r="J4852" s="15" t="s">
        <v>19084</v>
      </c>
      <c r="K4852" s="15">
        <v>104.0</v>
      </c>
      <c r="L4852" s="15">
        <v>104.0</v>
      </c>
      <c r="M4852" s="40">
        <v>42233.0</v>
      </c>
      <c r="N4852" s="41">
        <v>42355.0</v>
      </c>
      <c r="O4852" s="15" t="s">
        <v>1554</v>
      </c>
      <c r="Q4852" s="7"/>
    </row>
    <row r="4853">
      <c r="A4853" s="39" t="s">
        <v>19085</v>
      </c>
      <c r="B4853" s="15">
        <v>1458715.0</v>
      </c>
      <c r="C4853" s="15" t="s">
        <v>19086</v>
      </c>
      <c r="D4853" s="15">
        <v>306301.0</v>
      </c>
      <c r="E4853" s="15" t="s">
        <v>1557</v>
      </c>
      <c r="F4853" s="15" t="s">
        <v>1833</v>
      </c>
      <c r="G4853" s="7">
        <v>68.735</v>
      </c>
      <c r="H4853" s="15" t="s">
        <v>4308</v>
      </c>
      <c r="I4853" s="15" t="s">
        <v>1586</v>
      </c>
      <c r="J4853" s="15" t="s">
        <v>19088</v>
      </c>
      <c r="K4853" s="15">
        <v>103.0</v>
      </c>
      <c r="L4853" s="15">
        <v>103.0</v>
      </c>
      <c r="M4853" s="40">
        <v>41736.0</v>
      </c>
      <c r="N4853" s="40">
        <v>42563.0</v>
      </c>
      <c r="O4853" s="15" t="s">
        <v>1554</v>
      </c>
      <c r="Q4853" s="7"/>
    </row>
    <row r="4854">
      <c r="A4854" s="39" t="s">
        <v>19089</v>
      </c>
      <c r="B4854" s="15">
        <v>1735591.0</v>
      </c>
      <c r="C4854" s="15" t="s">
        <v>19090</v>
      </c>
      <c r="D4854" s="15">
        <v>306341.0</v>
      </c>
      <c r="E4854" s="15" t="s">
        <v>1557</v>
      </c>
      <c r="F4854" s="15" t="s">
        <v>1611</v>
      </c>
      <c r="G4854" s="7">
        <v>39.235</v>
      </c>
      <c r="H4854" s="15" t="s">
        <v>2361</v>
      </c>
      <c r="I4854" s="15" t="s">
        <v>1586</v>
      </c>
      <c r="J4854" s="15" t="s">
        <v>19091</v>
      </c>
      <c r="K4854" s="15">
        <v>47.0</v>
      </c>
      <c r="L4854" s="15">
        <v>47.0</v>
      </c>
      <c r="M4854" s="41">
        <v>42308.0</v>
      </c>
      <c r="N4854" s="41">
        <v>42355.0</v>
      </c>
      <c r="O4854" s="15" t="s">
        <v>1554</v>
      </c>
      <c r="Q4854" s="7"/>
    </row>
    <row r="4855">
      <c r="A4855" s="39" t="s">
        <v>19092</v>
      </c>
      <c r="B4855" s="15">
        <v>1675554.0</v>
      </c>
      <c r="C4855" s="15" t="s">
        <v>19093</v>
      </c>
      <c r="D4855" s="15">
        <v>306345.0</v>
      </c>
      <c r="E4855" s="15" t="s">
        <v>1557</v>
      </c>
      <c r="F4855" s="15" t="s">
        <v>1833</v>
      </c>
      <c r="G4855" s="7">
        <v>68.367</v>
      </c>
      <c r="H4855" s="15" t="s">
        <v>6615</v>
      </c>
      <c r="I4855" s="15" t="s">
        <v>1586</v>
      </c>
      <c r="J4855" s="15" t="s">
        <v>19094</v>
      </c>
      <c r="K4855" s="15">
        <v>99.0</v>
      </c>
      <c r="L4855" s="15">
        <v>99.0</v>
      </c>
      <c r="M4855" s="40">
        <v>42225.0</v>
      </c>
      <c r="N4855" s="40">
        <v>42542.0</v>
      </c>
      <c r="O4855" s="15" t="s">
        <v>1554</v>
      </c>
      <c r="Q4855" s="7"/>
    </row>
    <row r="4856">
      <c r="A4856" s="39" t="s">
        <v>19095</v>
      </c>
      <c r="B4856" s="15">
        <v>1589270.0</v>
      </c>
      <c r="C4856" s="15" t="s">
        <v>19097</v>
      </c>
      <c r="D4856" s="15">
        <v>306349.0</v>
      </c>
      <c r="E4856" s="15" t="s">
        <v>1557</v>
      </c>
      <c r="F4856" s="15" t="s">
        <v>1611</v>
      </c>
      <c r="G4856" s="7">
        <v>36.595</v>
      </c>
      <c r="H4856" s="15" t="s">
        <v>3361</v>
      </c>
      <c r="I4856" s="15" t="s">
        <v>1586</v>
      </c>
      <c r="J4856" s="15" t="s">
        <v>19098</v>
      </c>
      <c r="K4856" s="15">
        <v>57.0</v>
      </c>
      <c r="L4856" s="15">
        <v>57.0</v>
      </c>
      <c r="M4856" s="40">
        <v>42022.0</v>
      </c>
      <c r="N4856" s="41">
        <v>42355.0</v>
      </c>
      <c r="O4856" s="15" t="s">
        <v>1554</v>
      </c>
      <c r="Q4856" s="7"/>
    </row>
    <row r="4857">
      <c r="A4857" s="39" t="s">
        <v>19099</v>
      </c>
      <c r="B4857" s="15">
        <v>1755692.0</v>
      </c>
      <c r="C4857" s="15" t="s">
        <v>19100</v>
      </c>
      <c r="D4857" s="15">
        <v>306353.0</v>
      </c>
      <c r="E4857" s="15" t="s">
        <v>1557</v>
      </c>
      <c r="F4857" s="15" t="s">
        <v>1611</v>
      </c>
      <c r="G4857" s="7">
        <v>41.149</v>
      </c>
      <c r="H4857" s="15">
        <v>57.0</v>
      </c>
      <c r="I4857" s="15" t="s">
        <v>1586</v>
      </c>
      <c r="J4857" s="15" t="s">
        <v>19101</v>
      </c>
      <c r="K4857" s="15">
        <v>49.0</v>
      </c>
      <c r="L4857" s="15">
        <v>49.0</v>
      </c>
      <c r="M4857" s="41">
        <v>42332.0</v>
      </c>
      <c r="N4857" s="41">
        <v>42355.0</v>
      </c>
      <c r="O4857" s="15" t="s">
        <v>1554</v>
      </c>
      <c r="Q4857" s="7"/>
    </row>
    <row r="4858">
      <c r="A4858" s="39" t="s">
        <v>19102</v>
      </c>
      <c r="B4858" s="15">
        <v>1719140.0</v>
      </c>
      <c r="C4858" s="15" t="s">
        <v>19103</v>
      </c>
      <c r="D4858" s="15">
        <v>269675.0</v>
      </c>
      <c r="E4858" s="15" t="s">
        <v>1557</v>
      </c>
      <c r="F4858" s="15" t="s">
        <v>1767</v>
      </c>
      <c r="G4858" s="7">
        <v>142.987</v>
      </c>
      <c r="H4858" s="15" t="s">
        <v>1962</v>
      </c>
      <c r="I4858" s="15" t="s">
        <v>1586</v>
      </c>
      <c r="J4858" s="15" t="s">
        <v>19104</v>
      </c>
      <c r="K4858" s="15">
        <v>261.0</v>
      </c>
      <c r="L4858" s="15">
        <v>245.0</v>
      </c>
      <c r="M4858" s="40">
        <v>42315.0</v>
      </c>
      <c r="N4858" s="41">
        <v>42365.0</v>
      </c>
      <c r="O4858" s="15" t="s">
        <v>1554</v>
      </c>
      <c r="Q4858" s="7"/>
    </row>
    <row r="4859">
      <c r="A4859" s="39" t="s">
        <v>19105</v>
      </c>
      <c r="B4859" s="15">
        <v>1747288.0</v>
      </c>
      <c r="C4859" s="15" t="s">
        <v>19106</v>
      </c>
      <c r="D4859" s="15">
        <v>306279.0</v>
      </c>
      <c r="E4859" s="15" t="s">
        <v>1557</v>
      </c>
      <c r="F4859" s="15" t="s">
        <v>1611</v>
      </c>
      <c r="G4859" s="7">
        <v>18.607</v>
      </c>
      <c r="H4859" s="15" t="s">
        <v>2009</v>
      </c>
      <c r="I4859" s="15" t="s">
        <v>1586</v>
      </c>
      <c r="J4859" s="15" t="s">
        <v>19108</v>
      </c>
      <c r="K4859" s="15">
        <v>27.0</v>
      </c>
      <c r="L4859" s="15">
        <v>27.0</v>
      </c>
      <c r="M4859" s="41">
        <v>42332.0</v>
      </c>
      <c r="N4859" s="40">
        <v>42563.0</v>
      </c>
      <c r="O4859" s="15" t="s">
        <v>1554</v>
      </c>
      <c r="Q4859" s="7"/>
    </row>
    <row r="4860">
      <c r="A4860" s="39" t="s">
        <v>19109</v>
      </c>
      <c r="B4860" s="15">
        <v>1701851.0</v>
      </c>
      <c r="C4860" s="15" t="s">
        <v>19110</v>
      </c>
      <c r="D4860" s="15">
        <v>306283.0</v>
      </c>
      <c r="E4860" s="15" t="s">
        <v>1557</v>
      </c>
      <c r="F4860" s="15" t="s">
        <v>1833</v>
      </c>
      <c r="G4860" s="7">
        <v>46.596</v>
      </c>
      <c r="H4860" s="15" t="s">
        <v>3101</v>
      </c>
      <c r="I4860" s="15" t="s">
        <v>1586</v>
      </c>
      <c r="J4860" s="15" t="s">
        <v>19111</v>
      </c>
      <c r="K4860" s="15">
        <v>69.0</v>
      </c>
      <c r="L4860" s="15">
        <v>66.0</v>
      </c>
      <c r="M4860" s="40">
        <v>42239.0</v>
      </c>
      <c r="N4860" s="41">
        <v>42355.0</v>
      </c>
      <c r="O4860" s="15" t="s">
        <v>1554</v>
      </c>
      <c r="Q4860" s="7"/>
    </row>
    <row r="4861">
      <c r="A4861" s="39" t="s">
        <v>19112</v>
      </c>
      <c r="B4861" s="15">
        <v>1698421.0</v>
      </c>
      <c r="C4861" s="15" t="s">
        <v>19113</v>
      </c>
      <c r="D4861" s="15">
        <v>306287.0</v>
      </c>
      <c r="E4861" s="15" t="s">
        <v>1557</v>
      </c>
      <c r="F4861" s="15" t="s">
        <v>1833</v>
      </c>
      <c r="G4861" s="7">
        <v>43.012</v>
      </c>
      <c r="H4861" s="15" t="s">
        <v>4283</v>
      </c>
      <c r="I4861" s="15" t="s">
        <v>1586</v>
      </c>
      <c r="J4861" s="15" t="s">
        <v>19114</v>
      </c>
      <c r="K4861" s="15">
        <v>70.0</v>
      </c>
      <c r="L4861" s="15">
        <v>70.0</v>
      </c>
      <c r="M4861" s="41">
        <v>42306.0</v>
      </c>
      <c r="N4861" s="40">
        <v>42405.0</v>
      </c>
      <c r="O4861" s="15" t="s">
        <v>1554</v>
      </c>
      <c r="Q4861" s="7"/>
    </row>
    <row r="4862">
      <c r="A4862" s="39" t="s">
        <v>19115</v>
      </c>
      <c r="B4862" s="15">
        <v>1647458.0</v>
      </c>
      <c r="C4862" s="15" t="s">
        <v>19116</v>
      </c>
      <c r="D4862" s="15">
        <v>306295.0</v>
      </c>
      <c r="E4862" s="15" t="s">
        <v>1557</v>
      </c>
      <c r="F4862" s="15" t="s">
        <v>1611</v>
      </c>
      <c r="G4862" s="7">
        <v>41.338</v>
      </c>
      <c r="H4862" s="15" t="s">
        <v>2548</v>
      </c>
      <c r="I4862" s="15" t="s">
        <v>1586</v>
      </c>
      <c r="J4862" s="15" t="s">
        <v>19118</v>
      </c>
      <c r="K4862" s="15">
        <v>55.0</v>
      </c>
      <c r="L4862" s="15">
        <v>55.0</v>
      </c>
      <c r="M4862" s="40">
        <v>42270.0</v>
      </c>
      <c r="N4862" s="41">
        <v>42692.0</v>
      </c>
      <c r="O4862" s="15" t="s">
        <v>1554</v>
      </c>
      <c r="Q4862" s="7"/>
    </row>
    <row r="4863">
      <c r="A4863" s="39" t="s">
        <v>19119</v>
      </c>
      <c r="B4863" s="15">
        <v>1589733.0</v>
      </c>
      <c r="C4863" s="15" t="s">
        <v>19120</v>
      </c>
      <c r="D4863" s="15">
        <v>306299.0</v>
      </c>
      <c r="E4863" s="15" t="s">
        <v>1557</v>
      </c>
      <c r="F4863" s="15" t="s">
        <v>1767</v>
      </c>
      <c r="G4863" s="7">
        <v>188.632</v>
      </c>
      <c r="H4863" s="15" t="s">
        <v>2223</v>
      </c>
      <c r="I4863" s="15" t="s">
        <v>1586</v>
      </c>
      <c r="J4863" s="15" t="s">
        <v>19121</v>
      </c>
      <c r="K4863" s="15">
        <v>236.0</v>
      </c>
      <c r="L4863" s="15">
        <v>235.0</v>
      </c>
      <c r="M4863" s="40">
        <v>42049.0</v>
      </c>
      <c r="N4863" s="41">
        <v>42355.0</v>
      </c>
      <c r="O4863" s="15" t="s">
        <v>1554</v>
      </c>
      <c r="Q4863" s="7"/>
    </row>
    <row r="4864">
      <c r="A4864" s="39" t="s">
        <v>19122</v>
      </c>
      <c r="B4864" s="15">
        <v>1747271.0</v>
      </c>
      <c r="C4864" s="15" t="s">
        <v>19123</v>
      </c>
      <c r="D4864" s="15">
        <v>306339.0</v>
      </c>
      <c r="E4864" s="15" t="s">
        <v>1557</v>
      </c>
      <c r="F4864" s="15" t="s">
        <v>1833</v>
      </c>
      <c r="G4864" s="7">
        <v>29.407</v>
      </c>
      <c r="H4864" s="15" t="s">
        <v>4204</v>
      </c>
      <c r="I4864" s="15" t="s">
        <v>1586</v>
      </c>
      <c r="J4864" s="15" t="s">
        <v>19124</v>
      </c>
      <c r="K4864" s="15">
        <v>45.0</v>
      </c>
      <c r="L4864" s="15">
        <v>45.0</v>
      </c>
      <c r="M4864" s="40">
        <v>42315.0</v>
      </c>
      <c r="N4864" s="41">
        <v>42355.0</v>
      </c>
      <c r="O4864" s="15" t="s">
        <v>1554</v>
      </c>
      <c r="Q4864" s="7"/>
    </row>
    <row r="4865">
      <c r="A4865" s="39" t="s">
        <v>19125</v>
      </c>
      <c r="B4865" s="15">
        <v>1701804.0</v>
      </c>
      <c r="C4865" s="15" t="s">
        <v>19126</v>
      </c>
      <c r="D4865" s="15">
        <v>306343.0</v>
      </c>
      <c r="E4865" s="15" t="s">
        <v>1557</v>
      </c>
      <c r="F4865" s="15" t="s">
        <v>1611</v>
      </c>
      <c r="G4865" s="7">
        <v>40.114</v>
      </c>
      <c r="H4865" s="15" t="s">
        <v>5627</v>
      </c>
      <c r="I4865" s="15" t="s">
        <v>1586</v>
      </c>
      <c r="J4865" s="15" t="s">
        <v>19128</v>
      </c>
      <c r="K4865" s="15">
        <v>47.0</v>
      </c>
      <c r="L4865" s="15">
        <v>47.0</v>
      </c>
      <c r="M4865" s="41">
        <v>42302.0</v>
      </c>
      <c r="N4865" s="41">
        <v>42355.0</v>
      </c>
      <c r="O4865" s="15" t="s">
        <v>1554</v>
      </c>
      <c r="Q4865" s="7"/>
    </row>
    <row r="4866">
      <c r="A4866" s="39" t="s">
        <v>19129</v>
      </c>
      <c r="B4866" s="15">
        <v>1647385.0</v>
      </c>
      <c r="C4866" s="15" t="s">
        <v>19130</v>
      </c>
      <c r="D4866" s="15">
        <v>306347.0</v>
      </c>
      <c r="E4866" s="15" t="s">
        <v>1557</v>
      </c>
      <c r="F4866" s="15" t="s">
        <v>1611</v>
      </c>
      <c r="G4866" s="7">
        <v>38.084</v>
      </c>
      <c r="H4866" s="15" t="s">
        <v>10848</v>
      </c>
      <c r="I4866" s="15" t="s">
        <v>1586</v>
      </c>
      <c r="J4866" s="15" t="s">
        <v>19131</v>
      </c>
      <c r="K4866" s="15">
        <v>48.0</v>
      </c>
      <c r="L4866" s="15">
        <v>48.0</v>
      </c>
      <c r="M4866" s="40">
        <v>42140.0</v>
      </c>
      <c r="N4866" s="41">
        <v>42355.0</v>
      </c>
      <c r="O4866" s="15" t="s">
        <v>1554</v>
      </c>
      <c r="Q4866" s="7"/>
    </row>
    <row r="4867">
      <c r="A4867" s="39" t="s">
        <v>19132</v>
      </c>
      <c r="B4867" s="15">
        <v>663553.0</v>
      </c>
      <c r="C4867" s="15" t="s">
        <v>19133</v>
      </c>
      <c r="D4867" s="15">
        <v>306351.0</v>
      </c>
      <c r="E4867" s="15" t="s">
        <v>1557</v>
      </c>
      <c r="F4867" s="15" t="s">
        <v>1833</v>
      </c>
      <c r="G4867" s="7">
        <v>67.774</v>
      </c>
      <c r="H4867" s="15" t="s">
        <v>4308</v>
      </c>
      <c r="I4867" s="15" t="s">
        <v>1586</v>
      </c>
      <c r="J4867" s="15" t="s">
        <v>19134</v>
      </c>
      <c r="K4867" s="15">
        <v>100.0</v>
      </c>
      <c r="L4867" s="15">
        <v>100.0</v>
      </c>
      <c r="M4867" s="40">
        <v>40066.0</v>
      </c>
      <c r="N4867" s="41">
        <v>42355.0</v>
      </c>
      <c r="O4867" s="15" t="s">
        <v>1554</v>
      </c>
      <c r="Q4867" s="7"/>
    </row>
    <row r="4868">
      <c r="A4868" s="39" t="s">
        <v>19135</v>
      </c>
      <c r="B4868" s="15">
        <v>1755681.0</v>
      </c>
      <c r="C4868" s="15" t="s">
        <v>19136</v>
      </c>
      <c r="D4868" s="15">
        <v>306355.0</v>
      </c>
      <c r="E4868" s="15" t="s">
        <v>1557</v>
      </c>
      <c r="F4868" s="15" t="s">
        <v>1833</v>
      </c>
      <c r="G4868" s="7">
        <v>51.637</v>
      </c>
      <c r="H4868" s="15">
        <v>64.0</v>
      </c>
      <c r="I4868" s="15" t="s">
        <v>1586</v>
      </c>
      <c r="J4868" s="15" t="s">
        <v>19138</v>
      </c>
      <c r="K4868" s="15">
        <v>88.0</v>
      </c>
      <c r="L4868" s="15">
        <v>88.0</v>
      </c>
      <c r="M4868" s="41">
        <v>42332.0</v>
      </c>
      <c r="N4868" s="41">
        <v>42355.0</v>
      </c>
      <c r="O4868" s="15" t="s">
        <v>1554</v>
      </c>
      <c r="Q4868" s="7"/>
    </row>
    <row r="4869">
      <c r="A4869" s="39" t="s">
        <v>19139</v>
      </c>
      <c r="B4869" s="15">
        <v>1701257.0</v>
      </c>
      <c r="C4869" s="15" t="s">
        <v>19140</v>
      </c>
      <c r="D4869" s="15">
        <v>285508.0</v>
      </c>
      <c r="E4869" s="15" t="s">
        <v>1557</v>
      </c>
      <c r="F4869" s="15" t="s">
        <v>1833</v>
      </c>
      <c r="G4869" s="7">
        <v>40.491</v>
      </c>
      <c r="H4869" s="15">
        <v>52.0</v>
      </c>
      <c r="I4869" s="15" t="s">
        <v>1586</v>
      </c>
      <c r="J4869" s="15" t="s">
        <v>19141</v>
      </c>
      <c r="K4869" s="15">
        <v>62.0</v>
      </c>
      <c r="L4869" s="15">
        <v>62.0</v>
      </c>
      <c r="M4869" s="40">
        <v>42245.0</v>
      </c>
      <c r="N4869" s="40">
        <v>42551.0</v>
      </c>
      <c r="O4869" s="15" t="s">
        <v>1554</v>
      </c>
      <c r="Q4869" s="7"/>
    </row>
    <row r="4870">
      <c r="A4870" s="39" t="s">
        <v>19142</v>
      </c>
      <c r="B4870" s="15">
        <v>1718166.0</v>
      </c>
      <c r="C4870" s="15" t="s">
        <v>19143</v>
      </c>
      <c r="D4870" s="15">
        <v>306786.0</v>
      </c>
      <c r="E4870" s="15" t="s">
        <v>1557</v>
      </c>
      <c r="F4870" s="15" t="s">
        <v>1833</v>
      </c>
      <c r="G4870" s="7">
        <v>53.141</v>
      </c>
      <c r="H4870" s="15" t="s">
        <v>3832</v>
      </c>
      <c r="I4870" s="15" t="s">
        <v>1586</v>
      </c>
      <c r="J4870" s="15" t="s">
        <v>19144</v>
      </c>
      <c r="K4870" s="15">
        <v>97.0</v>
      </c>
      <c r="L4870" s="15">
        <v>96.0</v>
      </c>
      <c r="M4870" s="40">
        <v>42270.0</v>
      </c>
      <c r="N4870" s="41">
        <v>42365.0</v>
      </c>
      <c r="O4870" s="15" t="s">
        <v>1554</v>
      </c>
      <c r="Q4870" s="7"/>
    </row>
    <row r="4871">
      <c r="A4871" s="39" t="s">
        <v>19146</v>
      </c>
      <c r="B4871" s="15">
        <v>1572745.0</v>
      </c>
      <c r="C4871" s="15" t="s">
        <v>19147</v>
      </c>
      <c r="D4871" s="15">
        <v>306787.0</v>
      </c>
      <c r="E4871" s="15" t="s">
        <v>1557</v>
      </c>
      <c r="F4871" s="15" t="s">
        <v>1833</v>
      </c>
      <c r="G4871" s="7">
        <v>48.594</v>
      </c>
      <c r="H4871" s="15" t="s">
        <v>1710</v>
      </c>
      <c r="I4871" s="15" t="s">
        <v>1586</v>
      </c>
      <c r="J4871" s="15" t="s">
        <v>19148</v>
      </c>
      <c r="K4871" s="15">
        <v>79.0</v>
      </c>
      <c r="L4871" s="15">
        <v>77.0</v>
      </c>
      <c r="M4871" s="40">
        <v>42255.0</v>
      </c>
      <c r="N4871" s="41">
        <v>42365.0</v>
      </c>
      <c r="O4871" s="15" t="s">
        <v>1554</v>
      </c>
      <c r="Q4871" s="7"/>
    </row>
    <row r="4872">
      <c r="A4872" s="39" t="s">
        <v>19149</v>
      </c>
      <c r="B4872" s="15">
        <v>1647306.0</v>
      </c>
      <c r="C4872" s="15" t="s">
        <v>19150</v>
      </c>
      <c r="D4872" s="15">
        <v>306892.0</v>
      </c>
      <c r="E4872" s="15" t="s">
        <v>1557</v>
      </c>
      <c r="F4872" s="15" t="s">
        <v>1833</v>
      </c>
      <c r="G4872" s="7">
        <v>70.27</v>
      </c>
      <c r="H4872" s="15" t="s">
        <v>9656</v>
      </c>
      <c r="I4872" s="15" t="s">
        <v>1586</v>
      </c>
      <c r="J4872" s="15" t="s">
        <v>19151</v>
      </c>
      <c r="K4872" s="15">
        <v>96.0</v>
      </c>
      <c r="L4872" s="15">
        <v>96.0</v>
      </c>
      <c r="M4872" s="40">
        <v>42130.0</v>
      </c>
      <c r="N4872" s="41">
        <v>42365.0</v>
      </c>
      <c r="O4872" s="15" t="s">
        <v>1554</v>
      </c>
      <c r="Q4872" s="7"/>
    </row>
    <row r="4873">
      <c r="A4873" s="39" t="s">
        <v>19152</v>
      </c>
      <c r="B4873" s="15">
        <v>1572715.0</v>
      </c>
      <c r="C4873" s="15" t="s">
        <v>19153</v>
      </c>
      <c r="D4873" s="15">
        <v>307512.0</v>
      </c>
      <c r="E4873" s="15" t="s">
        <v>1557</v>
      </c>
      <c r="F4873" s="15" t="s">
        <v>1833</v>
      </c>
      <c r="G4873" s="7">
        <v>120.098</v>
      </c>
      <c r="H4873" s="15" t="s">
        <v>6565</v>
      </c>
      <c r="I4873" s="15" t="s">
        <v>1586</v>
      </c>
      <c r="J4873" s="15" t="s">
        <v>19155</v>
      </c>
      <c r="K4873" s="15">
        <v>180.0</v>
      </c>
      <c r="L4873" s="15">
        <v>171.0</v>
      </c>
      <c r="M4873" s="41">
        <v>42002.0</v>
      </c>
      <c r="N4873" s="40">
        <v>42374.0</v>
      </c>
      <c r="O4873" s="15" t="s">
        <v>1554</v>
      </c>
      <c r="Q4873" s="7"/>
    </row>
    <row r="4874">
      <c r="A4874" s="39" t="s">
        <v>19156</v>
      </c>
      <c r="B4874" s="15">
        <v>1445809.0</v>
      </c>
      <c r="C4874" s="15" t="s">
        <v>19157</v>
      </c>
      <c r="D4874" s="15">
        <v>307686.0</v>
      </c>
      <c r="E4874" s="15" t="s">
        <v>1557</v>
      </c>
      <c r="F4874" s="15" t="s">
        <v>1833</v>
      </c>
      <c r="G4874" s="7">
        <v>51.366</v>
      </c>
      <c r="H4874" s="15" t="s">
        <v>3568</v>
      </c>
      <c r="I4874" s="15" t="s">
        <v>1586</v>
      </c>
      <c r="J4874" s="15" t="s">
        <v>19158</v>
      </c>
      <c r="K4874" s="15">
        <v>76.0</v>
      </c>
      <c r="L4874" s="15">
        <v>76.0</v>
      </c>
      <c r="M4874" s="41">
        <v>42004.0</v>
      </c>
      <c r="N4874" s="41">
        <v>42661.0</v>
      </c>
      <c r="O4874" s="15" t="s">
        <v>1554</v>
      </c>
      <c r="Q4874" s="7"/>
    </row>
    <row r="4875">
      <c r="A4875" s="39" t="s">
        <v>19159</v>
      </c>
      <c r="B4875" s="15">
        <v>1698358.0</v>
      </c>
      <c r="C4875" s="15" t="s">
        <v>19160</v>
      </c>
      <c r="D4875" s="15">
        <v>307687.0</v>
      </c>
      <c r="E4875" s="15" t="s">
        <v>1557</v>
      </c>
      <c r="F4875" s="15" t="s">
        <v>1833</v>
      </c>
      <c r="G4875" s="7">
        <v>47.618</v>
      </c>
      <c r="H4875" s="15">
        <v>67.0</v>
      </c>
      <c r="I4875" s="15" t="s">
        <v>1586</v>
      </c>
      <c r="J4875" s="15" t="s">
        <v>19161</v>
      </c>
      <c r="K4875" s="15">
        <v>78.0</v>
      </c>
      <c r="L4875" s="15">
        <v>78.0</v>
      </c>
      <c r="M4875" s="40">
        <v>42234.0</v>
      </c>
      <c r="N4875" s="40">
        <v>42374.0</v>
      </c>
      <c r="O4875" s="15" t="s">
        <v>1554</v>
      </c>
      <c r="Q4875" s="7"/>
    </row>
    <row r="4876">
      <c r="A4876" s="39" t="s">
        <v>19162</v>
      </c>
      <c r="B4876" s="15">
        <v>1691958.0</v>
      </c>
      <c r="C4876" s="15" t="s">
        <v>19164</v>
      </c>
      <c r="D4876" s="15">
        <v>307688.0</v>
      </c>
      <c r="E4876" s="15" t="s">
        <v>1557</v>
      </c>
      <c r="F4876" s="15" t="s">
        <v>1833</v>
      </c>
      <c r="G4876" s="7">
        <v>134.27</v>
      </c>
      <c r="H4876" s="15" t="s">
        <v>2103</v>
      </c>
      <c r="I4876" s="15" t="s">
        <v>1586</v>
      </c>
      <c r="J4876" s="15" t="s">
        <v>19165</v>
      </c>
      <c r="K4876" s="15">
        <v>194.0</v>
      </c>
      <c r="L4876" s="15">
        <v>194.0</v>
      </c>
      <c r="M4876" s="40">
        <v>42245.0</v>
      </c>
      <c r="N4876" s="40">
        <v>42374.0</v>
      </c>
      <c r="O4876" s="15" t="s">
        <v>1554</v>
      </c>
      <c r="Q4876" s="7"/>
    </row>
    <row r="4877">
      <c r="A4877" s="39" t="s">
        <v>19166</v>
      </c>
      <c r="B4877" s="15">
        <v>1555201.0</v>
      </c>
      <c r="C4877" s="15" t="s">
        <v>19167</v>
      </c>
      <c r="D4877" s="15">
        <v>307707.0</v>
      </c>
      <c r="E4877" s="15" t="s">
        <v>1557</v>
      </c>
      <c r="F4877" s="15" t="s">
        <v>1833</v>
      </c>
      <c r="G4877" s="7">
        <v>53.042</v>
      </c>
      <c r="H4877" s="15" t="s">
        <v>3832</v>
      </c>
      <c r="I4877" s="15" t="s">
        <v>1586</v>
      </c>
      <c r="J4877" s="15" t="s">
        <v>19168</v>
      </c>
      <c r="K4877" s="15">
        <v>97.0</v>
      </c>
      <c r="L4877" s="15">
        <v>96.0</v>
      </c>
      <c r="M4877" s="41">
        <v>41925.0</v>
      </c>
      <c r="N4877" s="40">
        <v>42374.0</v>
      </c>
      <c r="O4877" s="15" t="s">
        <v>1554</v>
      </c>
      <c r="Q4877" s="7"/>
    </row>
    <row r="4878">
      <c r="A4878" s="39" t="s">
        <v>19169</v>
      </c>
      <c r="B4878" s="15">
        <v>1551711.0</v>
      </c>
      <c r="C4878" s="15" t="s">
        <v>19170</v>
      </c>
      <c r="D4878" s="15">
        <v>307708.0</v>
      </c>
      <c r="E4878" s="15" t="s">
        <v>1557</v>
      </c>
      <c r="F4878" s="15" t="s">
        <v>1833</v>
      </c>
      <c r="G4878" s="7">
        <v>58.985</v>
      </c>
      <c r="H4878" s="15" t="s">
        <v>4108</v>
      </c>
      <c r="I4878" s="15" t="s">
        <v>1586</v>
      </c>
      <c r="J4878" s="15" t="s">
        <v>19172</v>
      </c>
      <c r="K4878" s="15">
        <v>106.0</v>
      </c>
      <c r="L4878" s="15">
        <v>106.0</v>
      </c>
      <c r="M4878" s="41">
        <v>41925.0</v>
      </c>
      <c r="N4878" s="40">
        <v>42374.0</v>
      </c>
      <c r="O4878" s="15" t="s">
        <v>1554</v>
      </c>
      <c r="Q4878" s="7"/>
    </row>
    <row r="4879">
      <c r="A4879" s="39" t="s">
        <v>19173</v>
      </c>
      <c r="B4879" s="15">
        <v>1551710.0</v>
      </c>
      <c r="C4879" s="15" t="s">
        <v>19174</v>
      </c>
      <c r="D4879" s="15">
        <v>307709.0</v>
      </c>
      <c r="E4879" s="15" t="s">
        <v>1557</v>
      </c>
      <c r="F4879" s="15" t="s">
        <v>1833</v>
      </c>
      <c r="G4879" s="7">
        <v>52.53</v>
      </c>
      <c r="H4879" s="15" t="s">
        <v>6661</v>
      </c>
      <c r="I4879" s="15" t="s">
        <v>1586</v>
      </c>
      <c r="J4879" s="15" t="s">
        <v>19175</v>
      </c>
      <c r="K4879" s="15">
        <v>91.0</v>
      </c>
      <c r="L4879" s="15">
        <v>91.0</v>
      </c>
      <c r="M4879" s="41">
        <v>41925.0</v>
      </c>
      <c r="N4879" s="40">
        <v>42374.0</v>
      </c>
      <c r="O4879" s="15" t="s">
        <v>1554</v>
      </c>
      <c r="Q4879" s="7"/>
    </row>
    <row r="4880">
      <c r="A4880" s="39" t="s">
        <v>19176</v>
      </c>
      <c r="B4880" s="15">
        <v>1542092.0</v>
      </c>
      <c r="C4880" s="15" t="s">
        <v>19177</v>
      </c>
      <c r="D4880" s="15">
        <v>307710.0</v>
      </c>
      <c r="E4880" s="15" t="s">
        <v>1557</v>
      </c>
      <c r="F4880" s="15" t="s">
        <v>1767</v>
      </c>
      <c r="G4880" s="7">
        <v>84.583</v>
      </c>
      <c r="H4880" s="15" t="s">
        <v>2996</v>
      </c>
      <c r="I4880" s="15" t="s">
        <v>1586</v>
      </c>
      <c r="J4880" s="15" t="s">
        <v>19178</v>
      </c>
      <c r="K4880" s="15">
        <v>156.0</v>
      </c>
      <c r="L4880" s="15">
        <v>153.0</v>
      </c>
      <c r="M4880" s="40">
        <v>42247.0</v>
      </c>
      <c r="N4880" s="40">
        <v>42374.0</v>
      </c>
      <c r="O4880" s="15" t="s">
        <v>1554</v>
      </c>
      <c r="Q4880" s="7"/>
    </row>
    <row r="4881">
      <c r="A4881" s="39" t="s">
        <v>19179</v>
      </c>
      <c r="B4881" s="15">
        <v>1542090.0</v>
      </c>
      <c r="C4881" s="15" t="s">
        <v>19180</v>
      </c>
      <c r="D4881" s="15">
        <v>307711.0</v>
      </c>
      <c r="E4881" s="15" t="s">
        <v>1557</v>
      </c>
      <c r="F4881" s="15" t="s">
        <v>1767</v>
      </c>
      <c r="G4881" s="7">
        <v>68.871</v>
      </c>
      <c r="H4881" s="15" t="s">
        <v>6716</v>
      </c>
      <c r="I4881" s="15" t="s">
        <v>1586</v>
      </c>
      <c r="J4881" s="15" t="s">
        <v>19182</v>
      </c>
      <c r="K4881" s="15">
        <v>97.0</v>
      </c>
      <c r="L4881" s="15">
        <v>97.0</v>
      </c>
      <c r="M4881" s="40">
        <v>42247.0</v>
      </c>
      <c r="N4881" s="40">
        <v>42374.0</v>
      </c>
      <c r="O4881" s="15" t="s">
        <v>1554</v>
      </c>
      <c r="Q4881" s="7"/>
    </row>
    <row r="4882">
      <c r="A4882" s="39" t="s">
        <v>19183</v>
      </c>
      <c r="B4882" s="15">
        <v>1541824.0</v>
      </c>
      <c r="C4882" s="15" t="s">
        <v>19184</v>
      </c>
      <c r="D4882" s="15">
        <v>307712.0</v>
      </c>
      <c r="E4882" s="15" t="s">
        <v>1557</v>
      </c>
      <c r="F4882" s="15" t="s">
        <v>1833</v>
      </c>
      <c r="G4882" s="7">
        <v>109.8</v>
      </c>
      <c r="H4882" s="15">
        <v>61.0</v>
      </c>
      <c r="I4882" s="15" t="s">
        <v>1586</v>
      </c>
      <c r="J4882" s="15" t="s">
        <v>19185</v>
      </c>
      <c r="K4882" s="15">
        <v>247.0</v>
      </c>
      <c r="L4882" s="15">
        <v>245.0</v>
      </c>
      <c r="M4882" s="40">
        <v>41892.0</v>
      </c>
      <c r="N4882" s="40">
        <v>42374.0</v>
      </c>
      <c r="O4882" s="15" t="s">
        <v>1554</v>
      </c>
      <c r="Q4882" s="7"/>
    </row>
    <row r="4883">
      <c r="A4883" s="39" t="s">
        <v>19186</v>
      </c>
      <c r="B4883" s="15">
        <v>1541823.0</v>
      </c>
      <c r="C4883" s="15" t="s">
        <v>19187</v>
      </c>
      <c r="D4883" s="15">
        <v>307713.0</v>
      </c>
      <c r="E4883" s="15" t="s">
        <v>1557</v>
      </c>
      <c r="F4883" s="15" t="s">
        <v>1833</v>
      </c>
      <c r="G4883" s="7">
        <v>58.472</v>
      </c>
      <c r="H4883" s="15" t="s">
        <v>9648</v>
      </c>
      <c r="I4883" s="15" t="s">
        <v>1586</v>
      </c>
      <c r="J4883" s="15" t="s">
        <v>19188</v>
      </c>
      <c r="K4883" s="15">
        <v>111.0</v>
      </c>
      <c r="L4883" s="15">
        <v>111.0</v>
      </c>
      <c r="M4883" s="40">
        <v>41892.0</v>
      </c>
      <c r="N4883" s="40">
        <v>42374.0</v>
      </c>
      <c r="O4883" s="15" t="s">
        <v>1554</v>
      </c>
      <c r="Q4883" s="7"/>
    </row>
    <row r="4884">
      <c r="A4884" s="39" t="s">
        <v>19190</v>
      </c>
      <c r="B4884" s="15">
        <v>1541819.0</v>
      </c>
      <c r="C4884" s="15" t="s">
        <v>19191</v>
      </c>
      <c r="D4884" s="15">
        <v>307714.0</v>
      </c>
      <c r="E4884" s="15" t="s">
        <v>1557</v>
      </c>
      <c r="F4884" s="15" t="s">
        <v>1833</v>
      </c>
      <c r="G4884" s="7">
        <v>61.511</v>
      </c>
      <c r="H4884" s="15">
        <v>64.0</v>
      </c>
      <c r="I4884" s="15" t="s">
        <v>1586</v>
      </c>
      <c r="J4884" s="15" t="s">
        <v>19192</v>
      </c>
      <c r="K4884" s="15">
        <v>96.0</v>
      </c>
      <c r="L4884" s="15">
        <v>95.0</v>
      </c>
      <c r="M4884" s="40">
        <v>41892.0</v>
      </c>
      <c r="N4884" s="40">
        <v>42374.0</v>
      </c>
      <c r="O4884" s="15" t="s">
        <v>1554</v>
      </c>
      <c r="Q4884" s="7"/>
    </row>
    <row r="4885">
      <c r="A4885" s="39" t="s">
        <v>19193</v>
      </c>
      <c r="B4885" s="15">
        <v>1527535.0</v>
      </c>
      <c r="C4885" s="15" t="s">
        <v>19194</v>
      </c>
      <c r="D4885" s="15">
        <v>307715.0</v>
      </c>
      <c r="E4885" s="15" t="s">
        <v>1557</v>
      </c>
      <c r="F4885" s="15" t="s">
        <v>1833</v>
      </c>
      <c r="G4885" s="7">
        <v>50.768</v>
      </c>
      <c r="H4885" s="15">
        <v>64.0</v>
      </c>
      <c r="I4885" s="15" t="s">
        <v>1586</v>
      </c>
      <c r="J4885" s="15" t="s">
        <v>19195</v>
      </c>
      <c r="K4885" s="15">
        <v>92.0</v>
      </c>
      <c r="L4885" s="15">
        <v>89.0</v>
      </c>
      <c r="M4885" s="40">
        <v>41877.0</v>
      </c>
      <c r="N4885" s="40">
        <v>42374.0</v>
      </c>
      <c r="O4885" s="15" t="s">
        <v>1554</v>
      </c>
      <c r="Q4885" s="7"/>
    </row>
    <row r="4886">
      <c r="A4886" s="39" t="s">
        <v>19196</v>
      </c>
      <c r="B4886" s="15">
        <v>1647408.0</v>
      </c>
      <c r="C4886" s="15" t="s">
        <v>19197</v>
      </c>
      <c r="D4886" s="15">
        <v>307734.0</v>
      </c>
      <c r="E4886" s="15" t="s">
        <v>1557</v>
      </c>
      <c r="F4886" s="15" t="s">
        <v>1833</v>
      </c>
      <c r="G4886" s="7">
        <v>49.037</v>
      </c>
      <c r="H4886" s="15" t="s">
        <v>2351</v>
      </c>
      <c r="I4886" s="15" t="s">
        <v>1586</v>
      </c>
      <c r="J4886" s="15" t="s">
        <v>19198</v>
      </c>
      <c r="K4886" s="15">
        <v>72.0</v>
      </c>
      <c r="L4886" s="15">
        <v>72.0</v>
      </c>
      <c r="M4886" s="40">
        <v>42213.0</v>
      </c>
      <c r="N4886" s="40">
        <v>42374.0</v>
      </c>
      <c r="O4886" s="15" t="s">
        <v>1554</v>
      </c>
      <c r="Q4886" s="7"/>
    </row>
    <row r="4887">
      <c r="A4887" s="39" t="s">
        <v>19199</v>
      </c>
      <c r="B4887" s="15">
        <v>1647405.0</v>
      </c>
      <c r="C4887" s="15" t="s">
        <v>19200</v>
      </c>
      <c r="D4887" s="15">
        <v>307735.0</v>
      </c>
      <c r="E4887" s="15" t="s">
        <v>1557</v>
      </c>
      <c r="F4887" s="15" t="s">
        <v>1767</v>
      </c>
      <c r="G4887" s="7">
        <v>206.713</v>
      </c>
      <c r="H4887" s="15" t="s">
        <v>2000</v>
      </c>
      <c r="I4887" s="15" t="s">
        <v>1586</v>
      </c>
      <c r="J4887" s="15" t="s">
        <v>19202</v>
      </c>
      <c r="K4887" s="15">
        <v>408.0</v>
      </c>
      <c r="L4887" s="15">
        <v>402.0</v>
      </c>
      <c r="M4887" s="40">
        <v>42130.0</v>
      </c>
      <c r="N4887" s="40">
        <v>42374.0</v>
      </c>
      <c r="O4887" s="15" t="s">
        <v>1554</v>
      </c>
      <c r="Q4887" s="7"/>
    </row>
    <row r="4888">
      <c r="A4888" s="39" t="s">
        <v>19203</v>
      </c>
      <c r="B4888" s="15">
        <v>1647391.0</v>
      </c>
      <c r="C4888" s="15" t="s">
        <v>19204</v>
      </c>
      <c r="D4888" s="15">
        <v>307736.0</v>
      </c>
      <c r="E4888" s="15" t="s">
        <v>1557</v>
      </c>
      <c r="F4888" s="15" t="s">
        <v>1833</v>
      </c>
      <c r="G4888" s="7">
        <v>31.075</v>
      </c>
      <c r="H4888" s="15">
        <v>39.0</v>
      </c>
      <c r="I4888" s="15" t="s">
        <v>1586</v>
      </c>
      <c r="J4888" s="15" t="s">
        <v>19205</v>
      </c>
      <c r="K4888" s="15">
        <v>37.0</v>
      </c>
      <c r="L4888" s="15">
        <v>37.0</v>
      </c>
      <c r="M4888" s="40">
        <v>42216.0</v>
      </c>
      <c r="N4888" s="40">
        <v>42374.0</v>
      </c>
      <c r="O4888" s="15" t="s">
        <v>1554</v>
      </c>
      <c r="Q4888" s="7"/>
    </row>
    <row r="4889">
      <c r="A4889" s="39" t="s">
        <v>19206</v>
      </c>
      <c r="B4889" s="15">
        <v>1647387.0</v>
      </c>
      <c r="C4889" s="15" t="s">
        <v>19207</v>
      </c>
      <c r="D4889" s="15">
        <v>307737.0</v>
      </c>
      <c r="E4889" s="15" t="s">
        <v>1557</v>
      </c>
      <c r="F4889" s="15" t="s">
        <v>1833</v>
      </c>
      <c r="G4889" s="7">
        <v>49.847</v>
      </c>
      <c r="H4889" s="42">
        <v>43371.0</v>
      </c>
      <c r="I4889" s="15" t="s">
        <v>1586</v>
      </c>
      <c r="J4889" s="15" t="s">
        <v>19208</v>
      </c>
      <c r="K4889" s="15">
        <v>86.0</v>
      </c>
      <c r="L4889" s="15">
        <v>86.0</v>
      </c>
      <c r="M4889" s="40">
        <v>42140.0</v>
      </c>
      <c r="N4889" s="40">
        <v>42374.0</v>
      </c>
      <c r="O4889" s="15" t="s">
        <v>1554</v>
      </c>
      <c r="Q4889" s="7"/>
    </row>
    <row r="4890">
      <c r="A4890" s="39" t="s">
        <v>19209</v>
      </c>
      <c r="B4890" s="15">
        <v>1647386.0</v>
      </c>
      <c r="C4890" s="15" t="s">
        <v>19211</v>
      </c>
      <c r="D4890" s="15">
        <v>307738.0</v>
      </c>
      <c r="E4890" s="15" t="s">
        <v>1557</v>
      </c>
      <c r="F4890" s="15" t="s">
        <v>1833</v>
      </c>
      <c r="G4890" s="7">
        <v>48.689</v>
      </c>
      <c r="H4890" s="42">
        <v>43371.0</v>
      </c>
      <c r="I4890" s="15" t="s">
        <v>1586</v>
      </c>
      <c r="J4890" s="15" t="s">
        <v>19212</v>
      </c>
      <c r="K4890" s="15">
        <v>82.0</v>
      </c>
      <c r="L4890" s="15">
        <v>82.0</v>
      </c>
      <c r="M4890" s="40">
        <v>42140.0</v>
      </c>
      <c r="N4890" s="40">
        <v>42374.0</v>
      </c>
      <c r="O4890" s="15" t="s">
        <v>1554</v>
      </c>
      <c r="Q4890" s="7"/>
    </row>
    <row r="4891">
      <c r="A4891" s="39" t="s">
        <v>19213</v>
      </c>
      <c r="B4891" s="15">
        <v>1647373.0</v>
      </c>
      <c r="C4891" s="15" t="s">
        <v>19214</v>
      </c>
      <c r="D4891" s="15">
        <v>307739.0</v>
      </c>
      <c r="E4891" s="15" t="s">
        <v>1557</v>
      </c>
      <c r="F4891" s="15" t="s">
        <v>1611</v>
      </c>
      <c r="G4891" s="7">
        <v>41.805</v>
      </c>
      <c r="H4891" s="15" t="s">
        <v>2597</v>
      </c>
      <c r="I4891" s="15" t="s">
        <v>1586</v>
      </c>
      <c r="J4891" s="15" t="s">
        <v>19215</v>
      </c>
      <c r="K4891" s="15">
        <v>54.0</v>
      </c>
      <c r="L4891" s="15">
        <v>54.0</v>
      </c>
      <c r="M4891" s="40">
        <v>42200.0</v>
      </c>
      <c r="N4891" s="40">
        <v>42374.0</v>
      </c>
      <c r="O4891" s="15" t="s">
        <v>1554</v>
      </c>
      <c r="Q4891" s="7"/>
    </row>
    <row r="4892">
      <c r="A4892" s="39" t="s">
        <v>19216</v>
      </c>
      <c r="B4892" s="15">
        <v>1647313.0</v>
      </c>
      <c r="C4892" s="15" t="s">
        <v>19217</v>
      </c>
      <c r="D4892" s="15">
        <v>307740.0</v>
      </c>
      <c r="E4892" s="15" t="s">
        <v>1557</v>
      </c>
      <c r="F4892" s="15" t="s">
        <v>1833</v>
      </c>
      <c r="G4892" s="7">
        <v>61.081</v>
      </c>
      <c r="H4892" s="15" t="s">
        <v>8962</v>
      </c>
      <c r="I4892" s="15" t="s">
        <v>1586</v>
      </c>
      <c r="J4892" s="15" t="s">
        <v>19218</v>
      </c>
      <c r="K4892" s="15">
        <v>100.0</v>
      </c>
      <c r="L4892" s="15">
        <v>100.0</v>
      </c>
      <c r="M4892" s="40">
        <v>42130.0</v>
      </c>
      <c r="N4892" s="40">
        <v>42374.0</v>
      </c>
      <c r="O4892" s="15" t="s">
        <v>1554</v>
      </c>
      <c r="Q4892" s="7"/>
    </row>
    <row r="4893">
      <c r="A4893" s="39" t="s">
        <v>19220</v>
      </c>
      <c r="B4893" s="15">
        <v>1647309.0</v>
      </c>
      <c r="C4893" s="15" t="s">
        <v>19221</v>
      </c>
      <c r="D4893" s="15">
        <v>307741.0</v>
      </c>
      <c r="E4893" s="15" t="s">
        <v>1557</v>
      </c>
      <c r="F4893" s="15" t="s">
        <v>1833</v>
      </c>
      <c r="G4893" s="7">
        <v>44.492</v>
      </c>
      <c r="H4893" s="15" t="s">
        <v>15279</v>
      </c>
      <c r="I4893" s="15" t="s">
        <v>1586</v>
      </c>
      <c r="J4893" s="15" t="s">
        <v>19222</v>
      </c>
      <c r="K4893" s="15">
        <v>67.0</v>
      </c>
      <c r="L4893" s="15">
        <v>67.0</v>
      </c>
      <c r="M4893" s="40">
        <v>42130.0</v>
      </c>
      <c r="N4893" s="40">
        <v>42374.0</v>
      </c>
      <c r="O4893" s="15" t="s">
        <v>1554</v>
      </c>
      <c r="Q4893" s="7"/>
    </row>
    <row r="4894">
      <c r="A4894" s="39" t="s">
        <v>19223</v>
      </c>
      <c r="B4894" s="15">
        <v>1647308.0</v>
      </c>
      <c r="C4894" s="15" t="s">
        <v>19224</v>
      </c>
      <c r="D4894" s="15">
        <v>307742.0</v>
      </c>
      <c r="E4894" s="15" t="s">
        <v>1557</v>
      </c>
      <c r="F4894" s="15" t="s">
        <v>1833</v>
      </c>
      <c r="G4894" s="7">
        <v>53.455</v>
      </c>
      <c r="H4894" s="15" t="s">
        <v>3029</v>
      </c>
      <c r="I4894" s="15" t="s">
        <v>1586</v>
      </c>
      <c r="J4894" s="15" t="s">
        <v>19225</v>
      </c>
      <c r="K4894" s="15">
        <v>97.0</v>
      </c>
      <c r="L4894" s="15">
        <v>97.0</v>
      </c>
      <c r="M4894" s="40">
        <v>42130.0</v>
      </c>
      <c r="N4894" s="40">
        <v>42374.0</v>
      </c>
      <c r="O4894" s="15" t="s">
        <v>1554</v>
      </c>
      <c r="Q4894" s="7"/>
    </row>
    <row r="4895">
      <c r="A4895" s="39" t="s">
        <v>19226</v>
      </c>
      <c r="B4895" s="15">
        <v>1647305.0</v>
      </c>
      <c r="C4895" s="15" t="s">
        <v>19227</v>
      </c>
      <c r="D4895" s="15">
        <v>307743.0</v>
      </c>
      <c r="E4895" s="15" t="s">
        <v>1557</v>
      </c>
      <c r="F4895" s="15" t="s">
        <v>1833</v>
      </c>
      <c r="G4895" s="7">
        <v>45.161</v>
      </c>
      <c r="H4895" s="15" t="s">
        <v>14015</v>
      </c>
      <c r="I4895" s="15" t="s">
        <v>1586</v>
      </c>
      <c r="J4895" s="15" t="s">
        <v>19229</v>
      </c>
      <c r="K4895" s="15">
        <v>67.0</v>
      </c>
      <c r="L4895" s="15">
        <v>67.0</v>
      </c>
      <c r="M4895" s="40">
        <v>42130.0</v>
      </c>
      <c r="N4895" s="40">
        <v>42374.0</v>
      </c>
      <c r="O4895" s="15" t="s">
        <v>1554</v>
      </c>
      <c r="Q4895" s="7"/>
    </row>
    <row r="4896">
      <c r="A4896" s="39" t="s">
        <v>19230</v>
      </c>
      <c r="B4896" s="15">
        <v>1647304.0</v>
      </c>
      <c r="C4896" s="15" t="s">
        <v>19231</v>
      </c>
      <c r="D4896" s="15">
        <v>307744.0</v>
      </c>
      <c r="E4896" s="15" t="s">
        <v>1557</v>
      </c>
      <c r="F4896" s="15" t="s">
        <v>1833</v>
      </c>
      <c r="G4896" s="7">
        <v>44.576</v>
      </c>
      <c r="H4896" s="15" t="s">
        <v>15444</v>
      </c>
      <c r="I4896" s="15" t="s">
        <v>1586</v>
      </c>
      <c r="J4896" s="15" t="s">
        <v>19232</v>
      </c>
      <c r="K4896" s="15">
        <v>65.0</v>
      </c>
      <c r="L4896" s="15">
        <v>65.0</v>
      </c>
      <c r="M4896" s="40">
        <v>42130.0</v>
      </c>
      <c r="N4896" s="40">
        <v>42374.0</v>
      </c>
      <c r="O4896" s="15" t="s">
        <v>1554</v>
      </c>
      <c r="Q4896" s="7"/>
    </row>
    <row r="4897">
      <c r="A4897" s="39" t="s">
        <v>19233</v>
      </c>
      <c r="B4897" s="15">
        <v>1647302.0</v>
      </c>
      <c r="C4897" s="15" t="s">
        <v>19234</v>
      </c>
      <c r="D4897" s="15">
        <v>307745.0</v>
      </c>
      <c r="E4897" s="15" t="s">
        <v>1557</v>
      </c>
      <c r="F4897" s="15" t="s">
        <v>1833</v>
      </c>
      <c r="G4897" s="7">
        <v>49.203</v>
      </c>
      <c r="H4897" s="15" t="s">
        <v>8941</v>
      </c>
      <c r="I4897" s="15" t="s">
        <v>1586</v>
      </c>
      <c r="J4897" s="15" t="s">
        <v>19235</v>
      </c>
      <c r="K4897" s="15">
        <v>77.0</v>
      </c>
      <c r="L4897" s="15">
        <v>77.0</v>
      </c>
      <c r="M4897" s="40">
        <v>42130.0</v>
      </c>
      <c r="N4897" s="40">
        <v>42374.0</v>
      </c>
      <c r="O4897" s="15" t="s">
        <v>1554</v>
      </c>
      <c r="Q4897" s="7"/>
    </row>
    <row r="4898">
      <c r="A4898" s="39" t="s">
        <v>19236</v>
      </c>
      <c r="B4898" s="15">
        <v>1647301.0</v>
      </c>
      <c r="C4898" s="15" t="s">
        <v>19237</v>
      </c>
      <c r="D4898" s="15">
        <v>307746.0</v>
      </c>
      <c r="E4898" s="15" t="s">
        <v>1557</v>
      </c>
      <c r="F4898" s="15" t="s">
        <v>1833</v>
      </c>
      <c r="G4898" s="7">
        <v>72.139</v>
      </c>
      <c r="H4898" s="15" t="s">
        <v>13987</v>
      </c>
      <c r="I4898" s="15" t="s">
        <v>1586</v>
      </c>
      <c r="J4898" s="15" t="s">
        <v>19239</v>
      </c>
      <c r="K4898" s="15">
        <v>98.0</v>
      </c>
      <c r="L4898" s="15">
        <v>98.0</v>
      </c>
      <c r="M4898" s="40">
        <v>42130.0</v>
      </c>
      <c r="N4898" s="40">
        <v>42374.0</v>
      </c>
      <c r="O4898" s="15" t="s">
        <v>1554</v>
      </c>
      <c r="Q4898" s="7"/>
    </row>
    <row r="4899">
      <c r="A4899" s="39" t="s">
        <v>19240</v>
      </c>
      <c r="B4899" s="15">
        <v>1647300.0</v>
      </c>
      <c r="C4899" s="15" t="s">
        <v>19241</v>
      </c>
      <c r="D4899" s="15">
        <v>307747.0</v>
      </c>
      <c r="E4899" s="15" t="s">
        <v>1557</v>
      </c>
      <c r="F4899" s="15" t="s">
        <v>1833</v>
      </c>
      <c r="G4899" s="7">
        <v>53.387</v>
      </c>
      <c r="H4899" s="15" t="s">
        <v>2098</v>
      </c>
      <c r="I4899" s="15" t="s">
        <v>1586</v>
      </c>
      <c r="J4899" s="15" t="s">
        <v>19242</v>
      </c>
      <c r="K4899" s="15">
        <v>97.0</v>
      </c>
      <c r="L4899" s="15">
        <v>96.0</v>
      </c>
      <c r="M4899" s="40">
        <v>42130.0</v>
      </c>
      <c r="N4899" s="40">
        <v>42374.0</v>
      </c>
      <c r="O4899" s="15" t="s">
        <v>1554</v>
      </c>
      <c r="Q4899" s="7"/>
    </row>
    <row r="4900">
      <c r="A4900" s="39" t="s">
        <v>19243</v>
      </c>
      <c r="B4900" s="15">
        <v>1640885.0</v>
      </c>
      <c r="C4900" s="15" t="s">
        <v>19244</v>
      </c>
      <c r="D4900" s="15">
        <v>307748.0</v>
      </c>
      <c r="E4900" s="15" t="s">
        <v>1557</v>
      </c>
      <c r="F4900" s="15" t="s">
        <v>1767</v>
      </c>
      <c r="G4900" s="7">
        <v>130.952</v>
      </c>
      <c r="H4900" s="15" t="s">
        <v>3554</v>
      </c>
      <c r="I4900" s="15" t="s">
        <v>1586</v>
      </c>
      <c r="J4900" s="15" t="s">
        <v>19245</v>
      </c>
      <c r="K4900" s="15">
        <v>271.0</v>
      </c>
      <c r="L4900" s="15">
        <v>209.0</v>
      </c>
      <c r="M4900" s="40">
        <v>42111.0</v>
      </c>
      <c r="N4900" s="40">
        <v>42374.0</v>
      </c>
      <c r="O4900" s="15" t="s">
        <v>1554</v>
      </c>
      <c r="Q4900" s="7"/>
    </row>
    <row r="4901">
      <c r="A4901" s="39" t="s">
        <v>19247</v>
      </c>
      <c r="B4901" s="15">
        <v>1636546.0</v>
      </c>
      <c r="C4901" s="15" t="s">
        <v>19248</v>
      </c>
      <c r="D4901" s="15">
        <v>307749.0</v>
      </c>
      <c r="E4901" s="15" t="s">
        <v>1557</v>
      </c>
      <c r="F4901" s="15" t="s">
        <v>1833</v>
      </c>
      <c r="G4901" s="7">
        <v>76.269</v>
      </c>
      <c r="H4901" s="15" t="s">
        <v>10407</v>
      </c>
      <c r="I4901" s="15" t="s">
        <v>1586</v>
      </c>
      <c r="J4901" s="15" t="s">
        <v>19249</v>
      </c>
      <c r="K4901" s="15">
        <v>110.0</v>
      </c>
      <c r="L4901" s="15">
        <v>109.0</v>
      </c>
      <c r="M4901" s="40">
        <v>42212.0</v>
      </c>
      <c r="N4901" s="40">
        <v>42374.0</v>
      </c>
      <c r="O4901" s="15" t="s">
        <v>1554</v>
      </c>
      <c r="Q4901" s="7"/>
    </row>
    <row r="4902">
      <c r="A4902" s="39" t="s">
        <v>19250</v>
      </c>
      <c r="B4902" s="15">
        <v>1636545.0</v>
      </c>
      <c r="C4902" s="15" t="s">
        <v>19251</v>
      </c>
      <c r="D4902" s="15">
        <v>307750.0</v>
      </c>
      <c r="E4902" s="15" t="s">
        <v>1557</v>
      </c>
      <c r="F4902" s="15" t="s">
        <v>1833</v>
      </c>
      <c r="G4902" s="7">
        <v>76.964</v>
      </c>
      <c r="H4902" s="15" t="s">
        <v>3227</v>
      </c>
      <c r="I4902" s="15" t="s">
        <v>1586</v>
      </c>
      <c r="J4902" s="15" t="s">
        <v>19252</v>
      </c>
      <c r="K4902" s="15">
        <v>108.0</v>
      </c>
      <c r="L4902" s="15">
        <v>107.0</v>
      </c>
      <c r="M4902" s="40">
        <v>42212.0</v>
      </c>
      <c r="N4902" s="40">
        <v>42374.0</v>
      </c>
      <c r="O4902" s="15" t="s">
        <v>1554</v>
      </c>
      <c r="Q4902" s="7"/>
    </row>
    <row r="4903">
      <c r="A4903" s="39" t="s">
        <v>19254</v>
      </c>
      <c r="B4903" s="15">
        <v>1636263.0</v>
      </c>
      <c r="C4903" s="15" t="s">
        <v>19255</v>
      </c>
      <c r="D4903" s="15">
        <v>307751.0</v>
      </c>
      <c r="E4903" s="15" t="s">
        <v>1557</v>
      </c>
      <c r="F4903" s="15" t="s">
        <v>1833</v>
      </c>
      <c r="G4903" s="7">
        <v>41.149</v>
      </c>
      <c r="H4903" s="15" t="s">
        <v>2777</v>
      </c>
      <c r="I4903" s="15" t="s">
        <v>1586</v>
      </c>
      <c r="J4903" s="15" t="s">
        <v>19256</v>
      </c>
      <c r="K4903" s="15">
        <v>77.0</v>
      </c>
      <c r="L4903" s="15">
        <v>77.0</v>
      </c>
      <c r="M4903" s="40">
        <v>42240.0</v>
      </c>
      <c r="N4903" s="40">
        <v>42438.0</v>
      </c>
      <c r="O4903" s="15" t="s">
        <v>1554</v>
      </c>
      <c r="Q4903" s="7"/>
    </row>
    <row r="4904">
      <c r="A4904" s="39" t="s">
        <v>19257</v>
      </c>
      <c r="B4904" s="15">
        <v>1636261.0</v>
      </c>
      <c r="C4904" s="15" t="s">
        <v>19258</v>
      </c>
      <c r="D4904" s="15">
        <v>307752.0</v>
      </c>
      <c r="E4904" s="15" t="s">
        <v>1557</v>
      </c>
      <c r="F4904" s="15" t="s">
        <v>1833</v>
      </c>
      <c r="G4904" s="7">
        <v>45.653</v>
      </c>
      <c r="H4904" s="15" t="s">
        <v>3653</v>
      </c>
      <c r="I4904" s="15" t="s">
        <v>1586</v>
      </c>
      <c r="J4904" s="15" t="s">
        <v>19259</v>
      </c>
      <c r="K4904" s="15">
        <v>86.0</v>
      </c>
      <c r="L4904" s="15">
        <v>86.0</v>
      </c>
      <c r="M4904" s="40">
        <v>42240.0</v>
      </c>
      <c r="N4904" s="40">
        <v>42438.0</v>
      </c>
      <c r="O4904" s="15" t="s">
        <v>1554</v>
      </c>
      <c r="Q4904" s="7"/>
    </row>
    <row r="4905">
      <c r="A4905" s="39" t="s">
        <v>19260</v>
      </c>
      <c r="B4905" s="15">
        <v>1636255.0</v>
      </c>
      <c r="C4905" s="15" t="s">
        <v>19261</v>
      </c>
      <c r="D4905" s="15">
        <v>307753.0</v>
      </c>
      <c r="E4905" s="15" t="s">
        <v>1557</v>
      </c>
      <c r="F4905" s="15" t="s">
        <v>1833</v>
      </c>
      <c r="G4905" s="7">
        <v>37.995</v>
      </c>
      <c r="H4905" s="15" t="s">
        <v>1849</v>
      </c>
      <c r="I4905" s="15" t="s">
        <v>1586</v>
      </c>
      <c r="J4905" s="15" t="s">
        <v>19263</v>
      </c>
      <c r="K4905" s="15">
        <v>68.0</v>
      </c>
      <c r="L4905" s="15">
        <v>68.0</v>
      </c>
      <c r="M4905" s="40">
        <v>42240.0</v>
      </c>
      <c r="N4905" s="40">
        <v>42438.0</v>
      </c>
      <c r="O4905" s="15" t="s">
        <v>1554</v>
      </c>
      <c r="Q4905" s="7"/>
    </row>
    <row r="4906">
      <c r="A4906" s="39" t="s">
        <v>19264</v>
      </c>
      <c r="B4906" s="15">
        <v>1636250.0</v>
      </c>
      <c r="C4906" s="15" t="s">
        <v>19265</v>
      </c>
      <c r="D4906" s="15">
        <v>307754.0</v>
      </c>
      <c r="E4906" s="15" t="s">
        <v>1557</v>
      </c>
      <c r="F4906" s="15" t="s">
        <v>1767</v>
      </c>
      <c r="G4906" s="7">
        <v>161.989</v>
      </c>
      <c r="H4906" s="42">
        <v>43131.0</v>
      </c>
      <c r="I4906" s="15" t="s">
        <v>1586</v>
      </c>
      <c r="J4906" s="15" t="s">
        <v>19266</v>
      </c>
      <c r="K4906" s="15">
        <v>264.0</v>
      </c>
      <c r="L4906" s="15">
        <v>256.0</v>
      </c>
      <c r="M4906" s="40">
        <v>42156.0</v>
      </c>
      <c r="N4906" s="40">
        <v>42374.0</v>
      </c>
      <c r="O4906" s="15" t="s">
        <v>1554</v>
      </c>
      <c r="Q4906" s="7"/>
    </row>
    <row r="4907">
      <c r="A4907" s="39" t="s">
        <v>19267</v>
      </c>
      <c r="B4907" s="15">
        <v>1636249.0</v>
      </c>
      <c r="C4907" s="15" t="s">
        <v>19268</v>
      </c>
      <c r="D4907" s="15">
        <v>307755.0</v>
      </c>
      <c r="E4907" s="15" t="s">
        <v>1557</v>
      </c>
      <c r="F4907" s="15" t="s">
        <v>1611</v>
      </c>
      <c r="G4907" s="7">
        <v>44.573</v>
      </c>
      <c r="H4907" s="15" t="s">
        <v>1602</v>
      </c>
      <c r="I4907" s="15" t="s">
        <v>1586</v>
      </c>
      <c r="J4907" s="15" t="s">
        <v>19269</v>
      </c>
      <c r="K4907" s="15">
        <v>53.0</v>
      </c>
      <c r="L4907" s="15">
        <v>53.0</v>
      </c>
      <c r="M4907" s="40">
        <v>42156.0</v>
      </c>
      <c r="N4907" s="40">
        <v>42374.0</v>
      </c>
      <c r="O4907" s="15" t="s">
        <v>1554</v>
      </c>
      <c r="Q4907" s="7"/>
    </row>
    <row r="4908">
      <c r="A4908" s="39" t="s">
        <v>19271</v>
      </c>
      <c r="B4908" s="15">
        <v>1636202.0</v>
      </c>
      <c r="C4908" s="15" t="s">
        <v>19272</v>
      </c>
      <c r="D4908" s="15">
        <v>307756.0</v>
      </c>
      <c r="E4908" s="15" t="s">
        <v>1557</v>
      </c>
      <c r="F4908" s="15" t="s">
        <v>1767</v>
      </c>
      <c r="G4908" s="7">
        <v>87.372</v>
      </c>
      <c r="H4908" s="15">
        <v>39.0</v>
      </c>
      <c r="I4908" s="15" t="s">
        <v>1586</v>
      </c>
      <c r="J4908" s="15" t="s">
        <v>19273</v>
      </c>
      <c r="K4908" s="15">
        <v>151.0</v>
      </c>
      <c r="L4908" s="15">
        <v>131.0</v>
      </c>
      <c r="M4908" s="40">
        <v>42111.0</v>
      </c>
      <c r="N4908" s="40">
        <v>42374.0</v>
      </c>
      <c r="O4908" s="15" t="s">
        <v>1554</v>
      </c>
      <c r="Q4908" s="7"/>
    </row>
    <row r="4909">
      <c r="A4909" s="39" t="s">
        <v>19274</v>
      </c>
      <c r="B4909" s="15">
        <v>1636184.0</v>
      </c>
      <c r="C4909" s="15" t="s">
        <v>19275</v>
      </c>
      <c r="D4909" s="15">
        <v>307757.0</v>
      </c>
      <c r="E4909" s="15" t="s">
        <v>1557</v>
      </c>
      <c r="F4909" s="15" t="s">
        <v>1833</v>
      </c>
      <c r="G4909" s="7">
        <v>57.168</v>
      </c>
      <c r="H4909" s="15" t="s">
        <v>19276</v>
      </c>
      <c r="I4909" s="15" t="s">
        <v>1586</v>
      </c>
      <c r="J4909" s="15" t="s">
        <v>19277</v>
      </c>
      <c r="K4909" s="15">
        <v>71.0</v>
      </c>
      <c r="L4909" s="15">
        <v>71.0</v>
      </c>
      <c r="M4909" s="40">
        <v>42099.0</v>
      </c>
      <c r="N4909" s="40">
        <v>42374.0</v>
      </c>
      <c r="O4909" s="15" t="s">
        <v>1554</v>
      </c>
      <c r="Q4909" s="7"/>
    </row>
    <row r="4910">
      <c r="A4910" s="39" t="s">
        <v>19278</v>
      </c>
      <c r="B4910" s="15">
        <v>1636183.0</v>
      </c>
      <c r="C4910" s="15" t="s">
        <v>19279</v>
      </c>
      <c r="D4910" s="15">
        <v>307758.0</v>
      </c>
      <c r="E4910" s="15" t="s">
        <v>1557</v>
      </c>
      <c r="F4910" s="15" t="s">
        <v>1833</v>
      </c>
      <c r="G4910" s="7">
        <v>56.528</v>
      </c>
      <c r="H4910" s="15" t="s">
        <v>19276</v>
      </c>
      <c r="I4910" s="15" t="s">
        <v>1586</v>
      </c>
      <c r="J4910" s="15" t="s">
        <v>19281</v>
      </c>
      <c r="K4910" s="15">
        <v>70.0</v>
      </c>
      <c r="L4910" s="15">
        <v>70.0</v>
      </c>
      <c r="M4910" s="40">
        <v>42099.0</v>
      </c>
      <c r="N4910" s="40">
        <v>42374.0</v>
      </c>
      <c r="O4910" s="15" t="s">
        <v>1554</v>
      </c>
      <c r="Q4910" s="7"/>
    </row>
    <row r="4911">
      <c r="A4911" s="39" t="s">
        <v>19282</v>
      </c>
      <c r="B4911" s="15">
        <v>1628720.0</v>
      </c>
      <c r="C4911" s="15" t="s">
        <v>19283</v>
      </c>
      <c r="D4911" s="15">
        <v>307759.0</v>
      </c>
      <c r="E4911" s="15" t="s">
        <v>1557</v>
      </c>
      <c r="F4911" s="15" t="s">
        <v>1767</v>
      </c>
      <c r="G4911" s="7">
        <v>44.846</v>
      </c>
      <c r="H4911" s="15" t="s">
        <v>1714</v>
      </c>
      <c r="I4911" s="15" t="s">
        <v>1586</v>
      </c>
      <c r="J4911" s="15" t="s">
        <v>19284</v>
      </c>
      <c r="K4911" s="15">
        <v>85.0</v>
      </c>
      <c r="L4911" s="15">
        <v>85.0</v>
      </c>
      <c r="M4911" s="40">
        <v>42080.0</v>
      </c>
      <c r="N4911" s="40">
        <v>42374.0</v>
      </c>
      <c r="O4911" s="15" t="s">
        <v>1554</v>
      </c>
      <c r="Q4911" s="7"/>
    </row>
    <row r="4912">
      <c r="A4912" s="39" t="s">
        <v>19285</v>
      </c>
      <c r="B4912" s="15">
        <v>1622190.0</v>
      </c>
      <c r="C4912" s="15" t="s">
        <v>19286</v>
      </c>
      <c r="D4912" s="15">
        <v>307760.0</v>
      </c>
      <c r="E4912" s="15" t="s">
        <v>1557</v>
      </c>
      <c r="F4912" s="15" t="s">
        <v>1833</v>
      </c>
      <c r="G4912" s="7">
        <v>75.167</v>
      </c>
      <c r="H4912" s="15" t="s">
        <v>2189</v>
      </c>
      <c r="I4912" s="15" t="s">
        <v>1586</v>
      </c>
      <c r="J4912" s="15" t="s">
        <v>19288</v>
      </c>
      <c r="K4912" s="15">
        <v>90.0</v>
      </c>
      <c r="L4912" s="15">
        <v>90.0</v>
      </c>
      <c r="M4912" s="40">
        <v>42109.0</v>
      </c>
      <c r="N4912" s="40">
        <v>42374.0</v>
      </c>
      <c r="O4912" s="15" t="s">
        <v>1554</v>
      </c>
      <c r="Q4912" s="7"/>
    </row>
    <row r="4913">
      <c r="A4913" s="39" t="s">
        <v>19289</v>
      </c>
      <c r="B4913" s="15">
        <v>1610872.0</v>
      </c>
      <c r="C4913" s="15" t="s">
        <v>19290</v>
      </c>
      <c r="D4913" s="15">
        <v>307761.0</v>
      </c>
      <c r="E4913" s="15" t="s">
        <v>1557</v>
      </c>
      <c r="F4913" s="15" t="s">
        <v>1833</v>
      </c>
      <c r="G4913" s="7">
        <v>41.843</v>
      </c>
      <c r="H4913" s="15">
        <v>34.0</v>
      </c>
      <c r="I4913" s="15" t="s">
        <v>1586</v>
      </c>
      <c r="J4913" s="15" t="s">
        <v>19291</v>
      </c>
      <c r="K4913" s="15">
        <v>62.0</v>
      </c>
      <c r="L4913" s="15">
        <v>62.0</v>
      </c>
      <c r="M4913" s="40">
        <v>42080.0</v>
      </c>
      <c r="N4913" s="40">
        <v>42374.0</v>
      </c>
      <c r="O4913" s="15" t="s">
        <v>1554</v>
      </c>
      <c r="Q4913" s="7"/>
    </row>
    <row r="4914">
      <c r="A4914" s="39" t="s">
        <v>19292</v>
      </c>
      <c r="B4914" s="15">
        <v>1610835.0</v>
      </c>
      <c r="C4914" s="15" t="s">
        <v>19293</v>
      </c>
      <c r="D4914" s="15">
        <v>307762.0</v>
      </c>
      <c r="E4914" s="15" t="s">
        <v>1557</v>
      </c>
      <c r="F4914" s="15" t="s">
        <v>1611</v>
      </c>
      <c r="G4914" s="7">
        <v>43.595</v>
      </c>
      <c r="H4914" s="15" t="s">
        <v>5483</v>
      </c>
      <c r="I4914" s="15" t="s">
        <v>1586</v>
      </c>
      <c r="J4914" s="15" t="s">
        <v>19294</v>
      </c>
      <c r="K4914" s="15">
        <v>54.0</v>
      </c>
      <c r="L4914" s="15">
        <v>54.0</v>
      </c>
      <c r="M4914" s="40">
        <v>42067.0</v>
      </c>
      <c r="N4914" s="40">
        <v>42374.0</v>
      </c>
      <c r="O4914" s="15" t="s">
        <v>1554</v>
      </c>
      <c r="Q4914" s="7"/>
    </row>
    <row r="4915">
      <c r="A4915" s="39" t="s">
        <v>19296</v>
      </c>
      <c r="B4915" s="15">
        <v>1610834.0</v>
      </c>
      <c r="C4915" s="15" t="s">
        <v>19297</v>
      </c>
      <c r="D4915" s="15">
        <v>307763.0</v>
      </c>
      <c r="E4915" s="15" t="s">
        <v>1557</v>
      </c>
      <c r="F4915" s="15" t="s">
        <v>1611</v>
      </c>
      <c r="G4915" s="7">
        <v>43.809</v>
      </c>
      <c r="H4915" s="15" t="s">
        <v>5955</v>
      </c>
      <c r="I4915" s="15" t="s">
        <v>1586</v>
      </c>
      <c r="J4915" s="15" t="s">
        <v>19298</v>
      </c>
      <c r="K4915" s="15">
        <v>54.0</v>
      </c>
      <c r="L4915" s="15">
        <v>54.0</v>
      </c>
      <c r="M4915" s="40">
        <v>42067.0</v>
      </c>
      <c r="N4915" s="40">
        <v>42374.0</v>
      </c>
      <c r="O4915" s="15" t="s">
        <v>1554</v>
      </c>
      <c r="Q4915" s="7"/>
    </row>
    <row r="4916">
      <c r="A4916" s="39" t="s">
        <v>19299</v>
      </c>
      <c r="B4916" s="15">
        <v>998086.0</v>
      </c>
      <c r="C4916" s="15" t="s">
        <v>19300</v>
      </c>
      <c r="D4916" s="15">
        <v>307764.0</v>
      </c>
      <c r="E4916" s="15" t="s">
        <v>1557</v>
      </c>
      <c r="F4916" s="15" t="s">
        <v>1767</v>
      </c>
      <c r="G4916" s="7">
        <v>309.208</v>
      </c>
      <c r="H4916" s="15" t="s">
        <v>3882</v>
      </c>
      <c r="I4916" s="15" t="s">
        <v>1586</v>
      </c>
      <c r="J4916" s="15" t="s">
        <v>19301</v>
      </c>
      <c r="K4916" s="15">
        <v>381.0</v>
      </c>
      <c r="L4916" s="15">
        <v>375.0</v>
      </c>
      <c r="M4916" s="40">
        <v>40702.0</v>
      </c>
      <c r="N4916" s="40">
        <v>42374.0</v>
      </c>
      <c r="O4916" s="15" t="s">
        <v>1554</v>
      </c>
      <c r="Q4916" s="7"/>
    </row>
    <row r="4917">
      <c r="A4917" s="39" t="s">
        <v>19302</v>
      </c>
      <c r="B4917" s="15">
        <v>70564.0</v>
      </c>
      <c r="C4917" s="15" t="s">
        <v>19303</v>
      </c>
      <c r="D4917" s="15">
        <v>307765.0</v>
      </c>
      <c r="E4917" s="15" t="s">
        <v>1557</v>
      </c>
      <c r="F4917" s="15" t="s">
        <v>1827</v>
      </c>
      <c r="G4917" s="7">
        <v>22.947</v>
      </c>
      <c r="H4917" s="15" t="s">
        <v>4415</v>
      </c>
      <c r="I4917" s="15" t="s">
        <v>1686</v>
      </c>
      <c r="J4917" s="15" t="s">
        <v>19304</v>
      </c>
      <c r="K4917" s="15">
        <v>15.0</v>
      </c>
      <c r="L4917" s="15">
        <v>15.0</v>
      </c>
      <c r="M4917" s="40">
        <v>35993.0</v>
      </c>
      <c r="N4917" s="40">
        <v>42374.0</v>
      </c>
      <c r="O4917" s="15" t="s">
        <v>1554</v>
      </c>
      <c r="Q4917" s="7"/>
    </row>
    <row r="4918">
      <c r="A4918" s="39" t="s">
        <v>19305</v>
      </c>
      <c r="B4918" s="15">
        <v>701257.0</v>
      </c>
      <c r="C4918" s="15" t="s">
        <v>19306</v>
      </c>
      <c r="D4918" s="15">
        <v>307766.0</v>
      </c>
      <c r="E4918" s="15" t="s">
        <v>1557</v>
      </c>
      <c r="F4918" s="15" t="s">
        <v>1833</v>
      </c>
      <c r="G4918" s="7">
        <v>56.505</v>
      </c>
      <c r="H4918" s="15" t="s">
        <v>2699</v>
      </c>
      <c r="I4918" s="15" t="s">
        <v>1586</v>
      </c>
      <c r="J4918" s="15" t="s">
        <v>19308</v>
      </c>
      <c r="K4918" s="15">
        <v>54.0</v>
      </c>
      <c r="L4918" s="15">
        <v>54.0</v>
      </c>
      <c r="M4918" s="40">
        <v>40195.0</v>
      </c>
      <c r="N4918" s="40">
        <v>42375.0</v>
      </c>
      <c r="O4918" s="15" t="s">
        <v>1554</v>
      </c>
      <c r="Q4918" s="7"/>
    </row>
    <row r="4919">
      <c r="A4919" s="39" t="s">
        <v>19309</v>
      </c>
      <c r="B4919" s="15">
        <v>387908.0</v>
      </c>
      <c r="C4919" s="15" t="s">
        <v>19310</v>
      </c>
      <c r="D4919" s="15">
        <v>307771.0</v>
      </c>
      <c r="E4919" s="15" t="s">
        <v>1557</v>
      </c>
      <c r="F4919" s="15" t="s">
        <v>1833</v>
      </c>
      <c r="G4919" s="7">
        <v>43.145</v>
      </c>
      <c r="H4919" s="15" t="s">
        <v>1696</v>
      </c>
      <c r="I4919" s="15" t="s">
        <v>1586</v>
      </c>
      <c r="J4919" s="15" t="s">
        <v>19311</v>
      </c>
      <c r="K4919" s="15">
        <v>66.0</v>
      </c>
      <c r="L4919" s="15">
        <v>66.0</v>
      </c>
      <c r="M4919" s="41">
        <v>39021.0</v>
      </c>
      <c r="N4919" s="40">
        <v>42375.0</v>
      </c>
      <c r="O4919" s="15" t="s">
        <v>1554</v>
      </c>
      <c r="Q4919" s="7"/>
    </row>
    <row r="4920">
      <c r="A4920" s="39" t="s">
        <v>19312</v>
      </c>
      <c r="B4920" s="15">
        <v>351428.0</v>
      </c>
      <c r="C4920" s="15" t="s">
        <v>19313</v>
      </c>
      <c r="D4920" s="15">
        <v>307772.0</v>
      </c>
      <c r="E4920" s="15" t="s">
        <v>1548</v>
      </c>
      <c r="F4920" s="15" t="s">
        <v>1786</v>
      </c>
      <c r="G4920" s="7">
        <v>9.654</v>
      </c>
      <c r="H4920" s="15" t="s">
        <v>2107</v>
      </c>
      <c r="I4920" s="15" t="s">
        <v>1628</v>
      </c>
      <c r="J4920" s="15" t="s">
        <v>19314</v>
      </c>
      <c r="K4920" s="15">
        <v>5.0</v>
      </c>
      <c r="L4920" s="15">
        <v>5.0</v>
      </c>
      <c r="M4920" s="41">
        <v>42364.0</v>
      </c>
      <c r="N4920" s="40">
        <v>42451.0</v>
      </c>
      <c r="O4920" s="15" t="s">
        <v>1554</v>
      </c>
      <c r="Q4920" s="7"/>
    </row>
    <row r="4921">
      <c r="A4921" s="39" t="s">
        <v>19315</v>
      </c>
      <c r="B4921" s="15">
        <v>351426.0</v>
      </c>
      <c r="C4921" s="15" t="s">
        <v>19316</v>
      </c>
      <c r="D4921" s="15">
        <v>307773.0</v>
      </c>
      <c r="E4921" s="15" t="s">
        <v>1548</v>
      </c>
      <c r="F4921" s="15" t="s">
        <v>1786</v>
      </c>
      <c r="G4921" s="7">
        <v>9.362</v>
      </c>
      <c r="H4921" s="15" t="s">
        <v>2064</v>
      </c>
      <c r="I4921" s="15" t="s">
        <v>1628</v>
      </c>
      <c r="J4921" s="15" t="s">
        <v>19318</v>
      </c>
      <c r="K4921" s="15">
        <v>5.0</v>
      </c>
      <c r="L4921" s="15">
        <v>5.0</v>
      </c>
      <c r="M4921" s="41">
        <v>42364.0</v>
      </c>
      <c r="N4921" s="40">
        <v>42451.0</v>
      </c>
      <c r="O4921" s="15" t="s">
        <v>1554</v>
      </c>
      <c r="Q4921" s="7"/>
    </row>
    <row r="4922">
      <c r="A4922" s="39" t="s">
        <v>19319</v>
      </c>
      <c r="B4922" s="15">
        <v>29252.0</v>
      </c>
      <c r="C4922" s="15" t="s">
        <v>19320</v>
      </c>
      <c r="D4922" s="15">
        <v>307774.0</v>
      </c>
      <c r="E4922" s="15" t="s">
        <v>1557</v>
      </c>
      <c r="F4922" s="15" t="s">
        <v>1767</v>
      </c>
      <c r="G4922" s="7">
        <v>30.624</v>
      </c>
      <c r="H4922" s="15" t="s">
        <v>4606</v>
      </c>
      <c r="I4922" s="15" t="s">
        <v>1586</v>
      </c>
      <c r="J4922" s="15" t="s">
        <v>19321</v>
      </c>
      <c r="K4922" s="15">
        <v>42.0</v>
      </c>
      <c r="L4922" s="15">
        <v>46.0</v>
      </c>
      <c r="M4922" s="40">
        <v>34944.0</v>
      </c>
      <c r="N4922" s="40">
        <v>42577.0</v>
      </c>
      <c r="O4922" s="15" t="s">
        <v>1554</v>
      </c>
      <c r="Q4922" s="7"/>
    </row>
    <row r="4923">
      <c r="A4923" s="39" t="s">
        <v>19322</v>
      </c>
      <c r="B4923" s="15">
        <v>287412.0</v>
      </c>
      <c r="C4923" s="15" t="s">
        <v>19323</v>
      </c>
      <c r="D4923" s="15">
        <v>307775.0</v>
      </c>
      <c r="E4923" s="15" t="s">
        <v>1557</v>
      </c>
      <c r="F4923" s="15" t="s">
        <v>1833</v>
      </c>
      <c r="G4923" s="7">
        <v>28.144</v>
      </c>
      <c r="H4923" s="15">
        <v>35.0</v>
      </c>
      <c r="I4923" s="15" t="s">
        <v>1586</v>
      </c>
      <c r="J4923" s="15" t="s">
        <v>19324</v>
      </c>
      <c r="K4923" s="15">
        <v>52.0</v>
      </c>
      <c r="L4923" s="15">
        <v>52.0</v>
      </c>
      <c r="M4923" s="40">
        <v>40047.0</v>
      </c>
      <c r="N4923" s="40">
        <v>42375.0</v>
      </c>
      <c r="O4923" s="15" t="s">
        <v>1554</v>
      </c>
      <c r="Q4923" s="7"/>
    </row>
    <row r="4924">
      <c r="A4924" s="39" t="s">
        <v>19326</v>
      </c>
      <c r="B4924" s="15">
        <v>1774276.0</v>
      </c>
      <c r="C4924" s="15" t="s">
        <v>19327</v>
      </c>
      <c r="D4924" s="15">
        <v>307776.0</v>
      </c>
      <c r="E4924" s="15" t="s">
        <v>1638</v>
      </c>
      <c r="F4924" s="15" t="s">
        <v>2849</v>
      </c>
      <c r="G4924" s="7">
        <v>14.243</v>
      </c>
      <c r="H4924" s="15" t="s">
        <v>2660</v>
      </c>
      <c r="I4924" s="15" t="s">
        <v>1628</v>
      </c>
      <c r="J4924" s="15" t="s">
        <v>19328</v>
      </c>
      <c r="K4924" s="15">
        <v>1.0</v>
      </c>
      <c r="L4924" s="15">
        <v>1.0</v>
      </c>
      <c r="M4924" s="41">
        <v>42365.0</v>
      </c>
      <c r="N4924" s="40">
        <v>42508.0</v>
      </c>
      <c r="O4924" s="15" t="s">
        <v>1554</v>
      </c>
      <c r="Q4924" s="7"/>
    </row>
    <row r="4925">
      <c r="A4925" s="39" t="s">
        <v>19329</v>
      </c>
      <c r="B4925" s="15">
        <v>1774200.0</v>
      </c>
      <c r="C4925" s="15" t="s">
        <v>19330</v>
      </c>
      <c r="D4925" s="15">
        <v>307777.0</v>
      </c>
      <c r="E4925" s="15" t="s">
        <v>1808</v>
      </c>
      <c r="F4925" s="15" t="s">
        <v>1809</v>
      </c>
      <c r="G4925" s="7">
        <v>2.742</v>
      </c>
      <c r="H4925" s="15" t="s">
        <v>3066</v>
      </c>
      <c r="I4925" s="15" t="s">
        <v>1628</v>
      </c>
      <c r="J4925" s="15" t="s">
        <v>19331</v>
      </c>
      <c r="K4925" s="15">
        <v>6.0</v>
      </c>
      <c r="L4925" s="15">
        <v>6.0</v>
      </c>
      <c r="M4925" s="41">
        <v>42366.0</v>
      </c>
      <c r="N4925" s="40">
        <v>42766.0</v>
      </c>
      <c r="O4925" s="15" t="s">
        <v>1554</v>
      </c>
      <c r="Q4925" s="7"/>
    </row>
    <row r="4926">
      <c r="A4926" s="39" t="s">
        <v>19332</v>
      </c>
      <c r="B4926" s="15">
        <v>1770613.0</v>
      </c>
      <c r="C4926" s="15" t="s">
        <v>19333</v>
      </c>
      <c r="D4926" s="15">
        <v>307778.0</v>
      </c>
      <c r="E4926" s="15" t="s">
        <v>1638</v>
      </c>
      <c r="F4926" s="15" t="s">
        <v>1639</v>
      </c>
      <c r="G4926" s="7">
        <v>10.316</v>
      </c>
      <c r="H4926" s="15" t="s">
        <v>5627</v>
      </c>
      <c r="I4926" s="15" t="s">
        <v>1740</v>
      </c>
      <c r="J4926" s="15" t="s">
        <v>19335</v>
      </c>
      <c r="K4926" s="15">
        <v>2.0</v>
      </c>
      <c r="L4926" s="15">
        <v>2.0</v>
      </c>
      <c r="M4926" s="41">
        <v>42356.0</v>
      </c>
      <c r="N4926" s="40">
        <v>42374.0</v>
      </c>
      <c r="O4926" s="15" t="s">
        <v>1554</v>
      </c>
      <c r="Q4926" s="7"/>
    </row>
    <row r="4927">
      <c r="A4927" s="39" t="s">
        <v>19336</v>
      </c>
      <c r="B4927" s="15">
        <v>1769949.0</v>
      </c>
      <c r="C4927" s="15" t="s">
        <v>19337</v>
      </c>
      <c r="D4927" s="15">
        <v>307779.0</v>
      </c>
      <c r="E4927" s="15" t="s">
        <v>1808</v>
      </c>
      <c r="F4927" s="15" t="s">
        <v>2436</v>
      </c>
      <c r="G4927" s="7">
        <v>5.027</v>
      </c>
      <c r="H4927" s="15">
        <v>52.0</v>
      </c>
      <c r="I4927" s="15" t="s">
        <v>1686</v>
      </c>
      <c r="J4927" s="15" t="s">
        <v>19338</v>
      </c>
      <c r="K4927" s="15">
        <v>3.0</v>
      </c>
      <c r="L4927" s="15">
        <v>3.0</v>
      </c>
      <c r="M4927" s="41">
        <v>42358.0</v>
      </c>
      <c r="N4927" s="40">
        <v>42374.0</v>
      </c>
      <c r="O4927" s="15" t="s">
        <v>1554</v>
      </c>
      <c r="Q4927" s="7"/>
    </row>
    <row r="4928">
      <c r="A4928" s="39" t="s">
        <v>19339</v>
      </c>
      <c r="B4928" s="15">
        <v>1768064.0</v>
      </c>
      <c r="C4928" s="15" t="s">
        <v>19340</v>
      </c>
      <c r="D4928" s="15">
        <v>307780.0</v>
      </c>
      <c r="E4928" s="15" t="s">
        <v>1548</v>
      </c>
      <c r="F4928" s="15" t="s">
        <v>1776</v>
      </c>
      <c r="G4928" s="7">
        <v>7.417</v>
      </c>
      <c r="H4928" s="15" t="s">
        <v>2304</v>
      </c>
      <c r="I4928" s="15" t="s">
        <v>1686</v>
      </c>
      <c r="J4928" s="15" t="s">
        <v>19341</v>
      </c>
      <c r="K4928" s="15">
        <v>1.0</v>
      </c>
      <c r="L4928" s="15">
        <v>1.0</v>
      </c>
      <c r="M4928" s="41">
        <v>42352.0</v>
      </c>
      <c r="N4928" s="40">
        <v>42374.0</v>
      </c>
      <c r="O4928" s="15" t="s">
        <v>1554</v>
      </c>
      <c r="Q4928" s="7"/>
    </row>
    <row r="4929">
      <c r="A4929" s="39" t="s">
        <v>19342</v>
      </c>
      <c r="B4929" s="15">
        <v>1766559.0</v>
      </c>
      <c r="C4929" s="15" t="s">
        <v>19343</v>
      </c>
      <c r="D4929" s="15">
        <v>307781.0</v>
      </c>
      <c r="E4929" s="15" t="s">
        <v>1548</v>
      </c>
      <c r="F4929" s="15" t="s">
        <v>1776</v>
      </c>
      <c r="G4929" s="7">
        <v>7.27</v>
      </c>
      <c r="H4929" s="15" t="s">
        <v>7408</v>
      </c>
      <c r="I4929" s="15" t="s">
        <v>1686</v>
      </c>
      <c r="J4929" s="15" t="s">
        <v>19345</v>
      </c>
      <c r="K4929" s="15">
        <v>1.0</v>
      </c>
      <c r="L4929" s="15">
        <v>1.0</v>
      </c>
      <c r="M4929" s="41">
        <v>42350.0</v>
      </c>
      <c r="N4929" s="40">
        <v>42374.0</v>
      </c>
      <c r="O4929" s="15" t="s">
        <v>1554</v>
      </c>
      <c r="Q4929" s="7"/>
    </row>
    <row r="4930">
      <c r="A4930" s="39" t="s">
        <v>19346</v>
      </c>
      <c r="B4930" s="15">
        <v>1766557.0</v>
      </c>
      <c r="C4930" s="15" t="s">
        <v>19347</v>
      </c>
      <c r="D4930" s="15">
        <v>307782.0</v>
      </c>
      <c r="E4930" s="15" t="s">
        <v>1548</v>
      </c>
      <c r="F4930" s="15" t="s">
        <v>1776</v>
      </c>
      <c r="G4930" s="7">
        <v>8.506</v>
      </c>
      <c r="H4930" s="15" t="s">
        <v>4401</v>
      </c>
      <c r="I4930" s="15" t="s">
        <v>1686</v>
      </c>
      <c r="J4930" s="15" t="s">
        <v>19348</v>
      </c>
      <c r="K4930" s="15">
        <v>1.0</v>
      </c>
      <c r="L4930" s="15">
        <v>1.0</v>
      </c>
      <c r="M4930" s="41">
        <v>42350.0</v>
      </c>
      <c r="N4930" s="40">
        <v>42374.0</v>
      </c>
      <c r="O4930" s="15" t="s">
        <v>1554</v>
      </c>
      <c r="Q4930" s="7"/>
    </row>
    <row r="4931">
      <c r="A4931" s="39" t="s">
        <v>19349</v>
      </c>
      <c r="B4931" s="15">
        <v>1766554.0</v>
      </c>
      <c r="C4931" s="15" t="s">
        <v>19350</v>
      </c>
      <c r="D4931" s="15">
        <v>307783.0</v>
      </c>
      <c r="E4931" s="15" t="s">
        <v>1548</v>
      </c>
      <c r="F4931" s="15" t="s">
        <v>1684</v>
      </c>
      <c r="G4931" s="7">
        <v>28.111</v>
      </c>
      <c r="H4931" s="15" t="s">
        <v>2668</v>
      </c>
      <c r="I4931" s="15" t="s">
        <v>1686</v>
      </c>
      <c r="J4931" s="15" t="s">
        <v>19351</v>
      </c>
      <c r="K4931" s="15">
        <v>9.0</v>
      </c>
      <c r="L4931" s="15">
        <v>9.0</v>
      </c>
      <c r="M4931" s="41">
        <v>42351.0</v>
      </c>
      <c r="N4931" s="40">
        <v>42374.0</v>
      </c>
      <c r="O4931" s="15" t="s">
        <v>1554</v>
      </c>
      <c r="Q4931" s="7"/>
    </row>
    <row r="4932">
      <c r="A4932" s="39" t="s">
        <v>19353</v>
      </c>
      <c r="B4932" s="15">
        <v>1758139.0</v>
      </c>
      <c r="C4932" s="15" t="s">
        <v>19354</v>
      </c>
      <c r="D4932" s="15">
        <v>307784.0</v>
      </c>
      <c r="E4932" s="15" t="s">
        <v>1548</v>
      </c>
      <c r="F4932" s="15" t="s">
        <v>2615</v>
      </c>
      <c r="G4932" s="7">
        <v>12.362</v>
      </c>
      <c r="H4932" s="15" t="s">
        <v>19355</v>
      </c>
      <c r="I4932" s="15" t="s">
        <v>1628</v>
      </c>
      <c r="J4932" s="15" t="s">
        <v>19356</v>
      </c>
      <c r="K4932" s="15">
        <v>7.0</v>
      </c>
      <c r="L4932" s="15">
        <v>7.0</v>
      </c>
      <c r="M4932" s="41">
        <v>42360.0</v>
      </c>
      <c r="N4932" s="41">
        <v>42725.0</v>
      </c>
      <c r="O4932" s="15" t="s">
        <v>1554</v>
      </c>
      <c r="Q4932" s="7"/>
    </row>
    <row r="4933">
      <c r="A4933" s="39" t="s">
        <v>19357</v>
      </c>
      <c r="B4933" s="15">
        <v>1756832.0</v>
      </c>
      <c r="C4933" s="15" t="s">
        <v>19358</v>
      </c>
      <c r="D4933" s="15">
        <v>307785.0</v>
      </c>
      <c r="E4933" s="15" t="s">
        <v>1548</v>
      </c>
      <c r="F4933" s="15" t="s">
        <v>1771</v>
      </c>
      <c r="G4933" s="7">
        <v>5.867</v>
      </c>
      <c r="H4933" s="15" t="s">
        <v>4821</v>
      </c>
      <c r="I4933" s="15" t="s">
        <v>1628</v>
      </c>
      <c r="J4933" s="15" t="s">
        <v>19359</v>
      </c>
      <c r="K4933" s="15">
        <v>6.0</v>
      </c>
      <c r="L4933" s="15">
        <v>5.0</v>
      </c>
      <c r="M4933" s="41">
        <v>42348.0</v>
      </c>
      <c r="N4933" s="40">
        <v>42438.0</v>
      </c>
      <c r="O4933" s="15" t="s">
        <v>1554</v>
      </c>
      <c r="Q4933" s="7"/>
    </row>
    <row r="4934">
      <c r="A4934" s="39" t="s">
        <v>19361</v>
      </c>
      <c r="B4934" s="15">
        <v>1755682.0</v>
      </c>
      <c r="C4934" s="15" t="s">
        <v>19362</v>
      </c>
      <c r="D4934" s="15">
        <v>307786.0</v>
      </c>
      <c r="E4934" s="15" t="s">
        <v>1557</v>
      </c>
      <c r="F4934" s="15" t="s">
        <v>1833</v>
      </c>
      <c r="G4934" s="7">
        <v>56.445</v>
      </c>
      <c r="H4934" s="15" t="s">
        <v>6951</v>
      </c>
      <c r="I4934" s="15" t="s">
        <v>1586</v>
      </c>
      <c r="J4934" s="15" t="s">
        <v>19363</v>
      </c>
      <c r="K4934" s="15">
        <v>72.0</v>
      </c>
      <c r="L4934" s="15">
        <v>72.0</v>
      </c>
      <c r="M4934" s="41">
        <v>42332.0</v>
      </c>
      <c r="N4934" s="40">
        <v>42374.0</v>
      </c>
      <c r="O4934" s="15" t="s">
        <v>1554</v>
      </c>
      <c r="Q4934" s="7"/>
    </row>
    <row r="4935">
      <c r="A4935" s="39" t="s">
        <v>19364</v>
      </c>
      <c r="B4935" s="15">
        <v>1755467.0</v>
      </c>
      <c r="C4935" s="15" t="s">
        <v>19365</v>
      </c>
      <c r="D4935" s="15">
        <v>307787.0</v>
      </c>
      <c r="E4935" s="15" t="s">
        <v>1638</v>
      </c>
      <c r="F4935" s="15" t="s">
        <v>1639</v>
      </c>
      <c r="G4935" s="7">
        <v>5.181</v>
      </c>
      <c r="H4935" s="15" t="s">
        <v>4415</v>
      </c>
      <c r="I4935" s="15" t="s">
        <v>1740</v>
      </c>
      <c r="J4935" s="15" t="s">
        <v>19366</v>
      </c>
      <c r="K4935" s="15">
        <v>2.0</v>
      </c>
      <c r="L4935" s="15">
        <v>2.0</v>
      </c>
      <c r="M4935" s="41">
        <v>42326.0</v>
      </c>
      <c r="N4935" s="40">
        <v>42374.0</v>
      </c>
      <c r="O4935" s="15" t="s">
        <v>1554</v>
      </c>
      <c r="Q4935" s="7"/>
    </row>
    <row r="4936">
      <c r="A4936" s="39" t="s">
        <v>19368</v>
      </c>
      <c r="B4936" s="15">
        <v>1747289.0</v>
      </c>
      <c r="C4936" s="15" t="s">
        <v>19369</v>
      </c>
      <c r="D4936" s="15">
        <v>307788.0</v>
      </c>
      <c r="E4936" s="15" t="s">
        <v>1557</v>
      </c>
      <c r="F4936" s="15" t="s">
        <v>1833</v>
      </c>
      <c r="G4936" s="7">
        <v>38.886</v>
      </c>
      <c r="H4936" s="15">
        <v>35.0</v>
      </c>
      <c r="I4936" s="15" t="s">
        <v>1586</v>
      </c>
      <c r="J4936" s="15" t="s">
        <v>19370</v>
      </c>
      <c r="K4936" s="15">
        <v>57.0</v>
      </c>
      <c r="L4936" s="15">
        <v>57.0</v>
      </c>
      <c r="M4936" s="41">
        <v>42332.0</v>
      </c>
      <c r="N4936" s="40">
        <v>42563.0</v>
      </c>
      <c r="O4936" s="15" t="s">
        <v>1554</v>
      </c>
      <c r="Q4936" s="7"/>
    </row>
    <row r="4937">
      <c r="A4937" s="39" t="s">
        <v>19371</v>
      </c>
      <c r="B4937" s="15">
        <v>1747287.0</v>
      </c>
      <c r="C4937" s="15" t="s">
        <v>19372</v>
      </c>
      <c r="D4937" s="15">
        <v>307789.0</v>
      </c>
      <c r="E4937" s="15" t="s">
        <v>1557</v>
      </c>
      <c r="F4937" s="15" t="s">
        <v>1833</v>
      </c>
      <c r="G4937" s="7">
        <v>58.0</v>
      </c>
      <c r="H4937" s="15">
        <v>40.0</v>
      </c>
      <c r="I4937" s="15" t="s">
        <v>1586</v>
      </c>
      <c r="J4937" s="15" t="s">
        <v>19373</v>
      </c>
      <c r="K4937" s="15">
        <v>95.0</v>
      </c>
      <c r="L4937" s="15">
        <v>95.0</v>
      </c>
      <c r="M4937" s="41">
        <v>42332.0</v>
      </c>
      <c r="N4937" s="40">
        <v>42563.0</v>
      </c>
      <c r="O4937" s="15" t="s">
        <v>1554</v>
      </c>
      <c r="Q4937" s="7"/>
    </row>
    <row r="4938">
      <c r="A4938" s="39" t="s">
        <v>19374</v>
      </c>
      <c r="B4938" s="15">
        <v>1735582.0</v>
      </c>
      <c r="C4938" s="15" t="s">
        <v>19375</v>
      </c>
      <c r="D4938" s="15">
        <v>307790.0</v>
      </c>
      <c r="E4938" s="15" t="s">
        <v>1557</v>
      </c>
      <c r="F4938" s="15" t="s">
        <v>1611</v>
      </c>
      <c r="G4938" s="7">
        <v>41.243</v>
      </c>
      <c r="H4938" s="15" t="s">
        <v>2597</v>
      </c>
      <c r="I4938" s="15" t="s">
        <v>1586</v>
      </c>
      <c r="J4938" s="15" t="s">
        <v>19377</v>
      </c>
      <c r="K4938" s="15">
        <v>52.0</v>
      </c>
      <c r="L4938" s="15">
        <v>52.0</v>
      </c>
      <c r="M4938" s="41">
        <v>42302.0</v>
      </c>
      <c r="N4938" s="40">
        <v>42575.0</v>
      </c>
      <c r="O4938" s="15" t="s">
        <v>1554</v>
      </c>
      <c r="Q4938" s="7"/>
    </row>
    <row r="4939">
      <c r="A4939" s="39" t="s">
        <v>19378</v>
      </c>
      <c r="B4939" s="15">
        <v>1734439.0</v>
      </c>
      <c r="C4939" s="15" t="s">
        <v>19379</v>
      </c>
      <c r="D4939" s="15">
        <v>307791.0</v>
      </c>
      <c r="E4939" s="15" t="s">
        <v>1548</v>
      </c>
      <c r="F4939" s="15" t="s">
        <v>4820</v>
      </c>
      <c r="G4939" s="7">
        <v>15.728</v>
      </c>
      <c r="H4939" s="15" t="s">
        <v>4521</v>
      </c>
      <c r="I4939" s="15" t="s">
        <v>1686</v>
      </c>
      <c r="J4939" s="15" t="s">
        <v>19380</v>
      </c>
      <c r="K4939" s="15">
        <v>8.0</v>
      </c>
      <c r="L4939" s="15">
        <v>8.0</v>
      </c>
      <c r="M4939" s="41">
        <v>42369.0</v>
      </c>
      <c r="N4939" s="40">
        <v>42374.0</v>
      </c>
      <c r="O4939" s="15" t="s">
        <v>1554</v>
      </c>
      <c r="Q4939" s="7"/>
    </row>
    <row r="4940">
      <c r="A4940" s="39" t="s">
        <v>19381</v>
      </c>
      <c r="B4940" s="15">
        <v>1732180.0</v>
      </c>
      <c r="C4940" s="15" t="s">
        <v>19382</v>
      </c>
      <c r="D4940" s="15">
        <v>307792.0</v>
      </c>
      <c r="E4940" s="15" t="s">
        <v>1557</v>
      </c>
      <c r="F4940" s="15" t="s">
        <v>1578</v>
      </c>
      <c r="G4940" s="7">
        <v>34.783</v>
      </c>
      <c r="H4940" s="15" t="s">
        <v>2005</v>
      </c>
      <c r="I4940" s="15" t="s">
        <v>1618</v>
      </c>
      <c r="J4940" s="15" t="s">
        <v>19383</v>
      </c>
      <c r="K4940" s="15">
        <v>60.0</v>
      </c>
      <c r="L4940" s="15">
        <v>60.0</v>
      </c>
      <c r="M4940" s="40">
        <v>42279.0</v>
      </c>
      <c r="N4940" s="40">
        <v>42374.0</v>
      </c>
      <c r="O4940" s="15" t="s">
        <v>1554</v>
      </c>
      <c r="Q4940" s="7"/>
    </row>
    <row r="4941">
      <c r="A4941" s="39" t="s">
        <v>19384</v>
      </c>
      <c r="B4941" s="15">
        <v>1732179.0</v>
      </c>
      <c r="C4941" s="15" t="s">
        <v>19386</v>
      </c>
      <c r="D4941" s="15">
        <v>307793.0</v>
      </c>
      <c r="E4941" s="15" t="s">
        <v>1557</v>
      </c>
      <c r="F4941" s="15" t="s">
        <v>1578</v>
      </c>
      <c r="G4941" s="7">
        <v>40.86</v>
      </c>
      <c r="H4941" s="15" t="s">
        <v>1823</v>
      </c>
      <c r="I4941" s="15" t="s">
        <v>1618</v>
      </c>
      <c r="J4941" s="15" t="s">
        <v>19387</v>
      </c>
      <c r="K4941" s="15">
        <v>71.0</v>
      </c>
      <c r="L4941" s="15">
        <v>71.0</v>
      </c>
      <c r="M4941" s="40">
        <v>42279.0</v>
      </c>
      <c r="N4941" s="40">
        <v>42374.0</v>
      </c>
      <c r="O4941" s="15" t="s">
        <v>1554</v>
      </c>
      <c r="Q4941" s="7"/>
    </row>
    <row r="4942">
      <c r="A4942" s="39" t="s">
        <v>19388</v>
      </c>
      <c r="B4942" s="15">
        <v>1732178.0</v>
      </c>
      <c r="C4942" s="15" t="s">
        <v>19389</v>
      </c>
      <c r="D4942" s="15">
        <v>307794.0</v>
      </c>
      <c r="E4942" s="15" t="s">
        <v>1557</v>
      </c>
      <c r="F4942" s="15" t="s">
        <v>1578</v>
      </c>
      <c r="G4942" s="7">
        <v>51.711</v>
      </c>
      <c r="H4942" s="15" t="s">
        <v>1607</v>
      </c>
      <c r="I4942" s="15" t="s">
        <v>1618</v>
      </c>
      <c r="J4942" s="15" t="s">
        <v>19390</v>
      </c>
      <c r="K4942" s="15">
        <v>68.0</v>
      </c>
      <c r="L4942" s="15">
        <v>68.0</v>
      </c>
      <c r="M4942" s="40">
        <v>42279.0</v>
      </c>
      <c r="N4942" s="40">
        <v>42375.0</v>
      </c>
      <c r="O4942" s="15" t="s">
        <v>1554</v>
      </c>
      <c r="Q4942" s="7"/>
    </row>
    <row r="4943">
      <c r="A4943" s="39" t="s">
        <v>19391</v>
      </c>
      <c r="B4943" s="15">
        <v>1732174.0</v>
      </c>
      <c r="C4943" s="15" t="s">
        <v>19392</v>
      </c>
      <c r="D4943" s="15">
        <v>307795.0</v>
      </c>
      <c r="E4943" s="15" t="s">
        <v>1557</v>
      </c>
      <c r="F4943" s="15" t="s">
        <v>1695</v>
      </c>
      <c r="G4943" s="7">
        <v>28.489</v>
      </c>
      <c r="H4943" s="42">
        <v>43312.0</v>
      </c>
      <c r="I4943" s="15" t="s">
        <v>1618</v>
      </c>
      <c r="J4943" s="15" t="s">
        <v>19393</v>
      </c>
      <c r="K4943" s="15">
        <v>66.0</v>
      </c>
      <c r="L4943" s="15">
        <v>66.0</v>
      </c>
      <c r="M4943" s="40">
        <v>42279.0</v>
      </c>
      <c r="N4943" s="40">
        <v>42374.0</v>
      </c>
      <c r="O4943" s="15" t="s">
        <v>1554</v>
      </c>
      <c r="Q4943" s="7"/>
    </row>
    <row r="4944">
      <c r="A4944" s="39" t="s">
        <v>19394</v>
      </c>
      <c r="B4944" s="15">
        <v>1732173.0</v>
      </c>
      <c r="C4944" s="15" t="s">
        <v>19395</v>
      </c>
      <c r="D4944" s="15">
        <v>307796.0</v>
      </c>
      <c r="E4944" s="15" t="s">
        <v>1557</v>
      </c>
      <c r="F4944" s="15" t="s">
        <v>1695</v>
      </c>
      <c r="G4944" s="7">
        <v>22.613</v>
      </c>
      <c r="H4944" s="15" t="s">
        <v>3862</v>
      </c>
      <c r="I4944" s="15" t="s">
        <v>1618</v>
      </c>
      <c r="J4944" s="15" t="s">
        <v>19396</v>
      </c>
      <c r="K4944" s="15">
        <v>54.0</v>
      </c>
      <c r="L4944" s="15">
        <v>54.0</v>
      </c>
      <c r="M4944" s="40">
        <v>42279.0</v>
      </c>
      <c r="N4944" s="40">
        <v>42374.0</v>
      </c>
      <c r="O4944" s="15" t="s">
        <v>1554</v>
      </c>
      <c r="Q4944" s="7"/>
    </row>
    <row r="4945">
      <c r="A4945" s="39" t="s">
        <v>19397</v>
      </c>
      <c r="B4945" s="15">
        <v>1720500.0</v>
      </c>
      <c r="C4945" s="15" t="s">
        <v>19398</v>
      </c>
      <c r="D4945" s="15">
        <v>307797.0</v>
      </c>
      <c r="E4945" s="15" t="s">
        <v>1557</v>
      </c>
      <c r="F4945" s="15" t="s">
        <v>1767</v>
      </c>
      <c r="G4945" s="7">
        <v>167.124</v>
      </c>
      <c r="H4945" s="15" t="s">
        <v>3568</v>
      </c>
      <c r="I4945" s="15" t="s">
        <v>1586</v>
      </c>
      <c r="J4945" s="15" t="s">
        <v>19399</v>
      </c>
      <c r="K4945" s="15">
        <v>275.0</v>
      </c>
      <c r="L4945" s="15">
        <v>266.0</v>
      </c>
      <c r="M4945" s="40">
        <v>42278.0</v>
      </c>
      <c r="N4945" s="40">
        <v>42458.0</v>
      </c>
      <c r="O4945" s="15" t="s">
        <v>1554</v>
      </c>
      <c r="Q4945" s="7"/>
    </row>
    <row r="4946">
      <c r="A4946" s="39" t="s">
        <v>19400</v>
      </c>
      <c r="B4946" s="15">
        <v>1720498.0</v>
      </c>
      <c r="C4946" s="15" t="s">
        <v>19401</v>
      </c>
      <c r="D4946" s="15">
        <v>307798.0</v>
      </c>
      <c r="E4946" s="15" t="s">
        <v>1557</v>
      </c>
      <c r="F4946" s="15" t="s">
        <v>1833</v>
      </c>
      <c r="G4946" s="7">
        <v>43.9</v>
      </c>
      <c r="H4946" s="15" t="s">
        <v>4673</v>
      </c>
      <c r="I4946" s="15" t="s">
        <v>1586</v>
      </c>
      <c r="J4946" s="15" t="s">
        <v>19402</v>
      </c>
      <c r="K4946" s="15">
        <v>58.0</v>
      </c>
      <c r="L4946" s="15">
        <v>58.0</v>
      </c>
      <c r="M4946" s="40">
        <v>42278.0</v>
      </c>
      <c r="N4946" s="40">
        <v>42457.0</v>
      </c>
      <c r="O4946" s="15" t="s">
        <v>1554</v>
      </c>
      <c r="Q4946" s="7"/>
    </row>
    <row r="4947">
      <c r="A4947" s="39" t="s">
        <v>19403</v>
      </c>
      <c r="B4947" s="15">
        <v>1720494.0</v>
      </c>
      <c r="C4947" s="15" t="s">
        <v>19404</v>
      </c>
      <c r="D4947" s="15">
        <v>307799.0</v>
      </c>
      <c r="E4947" s="15" t="s">
        <v>1557</v>
      </c>
      <c r="F4947" s="15" t="s">
        <v>1767</v>
      </c>
      <c r="G4947" s="7">
        <v>167.298</v>
      </c>
      <c r="H4947" s="15" t="s">
        <v>2103</v>
      </c>
      <c r="I4947" s="15" t="s">
        <v>1586</v>
      </c>
      <c r="J4947" s="15" t="s">
        <v>19405</v>
      </c>
      <c r="K4947" s="15">
        <v>277.0</v>
      </c>
      <c r="L4947" s="15">
        <v>266.0</v>
      </c>
      <c r="M4947" s="40">
        <v>42282.0</v>
      </c>
      <c r="N4947" s="40">
        <v>42458.0</v>
      </c>
      <c r="O4947" s="15" t="s">
        <v>1554</v>
      </c>
      <c r="Q4947" s="7"/>
    </row>
    <row r="4948">
      <c r="A4948" s="39" t="s">
        <v>19406</v>
      </c>
      <c r="B4948" s="15">
        <v>1720493.0</v>
      </c>
      <c r="C4948" s="15" t="s">
        <v>19407</v>
      </c>
      <c r="D4948" s="15">
        <v>307800.0</v>
      </c>
      <c r="E4948" s="15" t="s">
        <v>1557</v>
      </c>
      <c r="F4948" s="15" t="s">
        <v>1833</v>
      </c>
      <c r="G4948" s="7">
        <v>61.235</v>
      </c>
      <c r="H4948" s="15" t="s">
        <v>2107</v>
      </c>
      <c r="I4948" s="15" t="s">
        <v>1586</v>
      </c>
      <c r="J4948" s="15" t="s">
        <v>19408</v>
      </c>
      <c r="K4948" s="15">
        <v>90.0</v>
      </c>
      <c r="L4948" s="15">
        <v>90.0</v>
      </c>
      <c r="M4948" s="40">
        <v>42282.0</v>
      </c>
      <c r="N4948" s="40">
        <v>42458.0</v>
      </c>
      <c r="O4948" s="15" t="s">
        <v>1554</v>
      </c>
      <c r="Q4948" s="7"/>
    </row>
    <row r="4949">
      <c r="A4949" s="39" t="s">
        <v>19409</v>
      </c>
      <c r="B4949" s="15">
        <v>1718669.0</v>
      </c>
      <c r="C4949" s="15" t="s">
        <v>19410</v>
      </c>
      <c r="D4949" s="15">
        <v>307801.0</v>
      </c>
      <c r="E4949" s="15" t="s">
        <v>1557</v>
      </c>
      <c r="F4949" s="15" t="s">
        <v>1767</v>
      </c>
      <c r="G4949" s="7">
        <v>88.698</v>
      </c>
      <c r="H4949" s="15" t="s">
        <v>1902</v>
      </c>
      <c r="I4949" s="15" t="s">
        <v>1586</v>
      </c>
      <c r="J4949" s="15" t="s">
        <v>19411</v>
      </c>
      <c r="K4949" s="15">
        <v>150.0</v>
      </c>
      <c r="L4949" s="15">
        <v>131.0</v>
      </c>
      <c r="M4949" s="41">
        <v>42299.0</v>
      </c>
      <c r="N4949" s="40">
        <v>42632.0</v>
      </c>
      <c r="O4949" s="15" t="s">
        <v>1554</v>
      </c>
      <c r="Q4949" s="7"/>
    </row>
    <row r="4950">
      <c r="A4950" s="39" t="s">
        <v>19412</v>
      </c>
      <c r="B4950" s="15">
        <v>1718606.0</v>
      </c>
      <c r="C4950" s="15" t="s">
        <v>19414</v>
      </c>
      <c r="D4950" s="15">
        <v>307802.0</v>
      </c>
      <c r="E4950" s="15" t="s">
        <v>1557</v>
      </c>
      <c r="F4950" s="15" t="s">
        <v>1767</v>
      </c>
      <c r="G4950" s="7">
        <v>90.743</v>
      </c>
      <c r="H4950" s="15" t="s">
        <v>1994</v>
      </c>
      <c r="I4950" s="15" t="s">
        <v>1586</v>
      </c>
      <c r="J4950" s="15" t="s">
        <v>19415</v>
      </c>
      <c r="K4950" s="15">
        <v>158.0</v>
      </c>
      <c r="L4950" s="15">
        <v>139.0</v>
      </c>
      <c r="M4950" s="41">
        <v>42299.0</v>
      </c>
      <c r="N4950" s="40">
        <v>42632.0</v>
      </c>
      <c r="O4950" s="15" t="s">
        <v>1554</v>
      </c>
      <c r="Q4950" s="7"/>
    </row>
    <row r="4951">
      <c r="A4951" s="39" t="s">
        <v>19416</v>
      </c>
      <c r="B4951" s="15">
        <v>1701405.0</v>
      </c>
      <c r="C4951" s="15" t="s">
        <v>19417</v>
      </c>
      <c r="D4951" s="15">
        <v>307804.0</v>
      </c>
      <c r="E4951" s="15" t="s">
        <v>1808</v>
      </c>
      <c r="F4951" s="15" t="s">
        <v>3154</v>
      </c>
      <c r="G4951" s="7">
        <v>4.273</v>
      </c>
      <c r="H4951" s="15" t="s">
        <v>2451</v>
      </c>
      <c r="I4951" s="15" t="s">
        <v>1586</v>
      </c>
      <c r="J4951" s="15" t="s">
        <v>19418</v>
      </c>
      <c r="K4951" s="15">
        <v>1.0</v>
      </c>
      <c r="L4951" s="15">
        <v>1.0</v>
      </c>
      <c r="M4951" s="40">
        <v>42266.0</v>
      </c>
      <c r="N4951" s="40">
        <v>42374.0</v>
      </c>
      <c r="O4951" s="15" t="s">
        <v>1554</v>
      </c>
      <c r="Q4951" s="7"/>
    </row>
    <row r="4952">
      <c r="A4952" s="39" t="s">
        <v>19419</v>
      </c>
      <c r="B4952" s="15">
        <v>1701404.0</v>
      </c>
      <c r="C4952" s="15" t="s">
        <v>19420</v>
      </c>
      <c r="D4952" s="15">
        <v>307805.0</v>
      </c>
      <c r="E4952" s="15" t="s">
        <v>1808</v>
      </c>
      <c r="F4952" s="15" t="s">
        <v>3154</v>
      </c>
      <c r="G4952" s="7">
        <v>4.468</v>
      </c>
      <c r="H4952" s="15">
        <v>42.0</v>
      </c>
      <c r="I4952" s="15" t="s">
        <v>1586</v>
      </c>
      <c r="J4952" s="15" t="s">
        <v>19422</v>
      </c>
      <c r="K4952" s="15">
        <v>1.0</v>
      </c>
      <c r="L4952" s="15">
        <v>1.0</v>
      </c>
      <c r="M4952" s="40">
        <v>42266.0</v>
      </c>
      <c r="N4952" s="40">
        <v>42374.0</v>
      </c>
      <c r="O4952" s="15" t="s">
        <v>1554</v>
      </c>
      <c r="Q4952" s="7"/>
    </row>
    <row r="4953">
      <c r="A4953" s="39" t="s">
        <v>19423</v>
      </c>
      <c r="B4953" s="15">
        <v>1689679.0</v>
      </c>
      <c r="C4953" s="15" t="s">
        <v>19424</v>
      </c>
      <c r="D4953" s="15">
        <v>307806.0</v>
      </c>
      <c r="E4953" s="15" t="s">
        <v>1557</v>
      </c>
      <c r="F4953" s="15" t="s">
        <v>1767</v>
      </c>
      <c r="G4953" s="7">
        <v>222.888</v>
      </c>
      <c r="H4953" s="15" t="s">
        <v>1756</v>
      </c>
      <c r="I4953" s="15" t="s">
        <v>1586</v>
      </c>
      <c r="J4953" s="15" t="s">
        <v>19425</v>
      </c>
      <c r="K4953" s="15">
        <v>230.0</v>
      </c>
      <c r="L4953" s="15">
        <v>230.0</v>
      </c>
      <c r="M4953" s="40">
        <v>42213.0</v>
      </c>
      <c r="N4953" s="40">
        <v>42462.0</v>
      </c>
      <c r="O4953" s="15" t="s">
        <v>1554</v>
      </c>
      <c r="Q4953" s="7"/>
    </row>
    <row r="4954">
      <c r="A4954" s="39" t="s">
        <v>19426</v>
      </c>
      <c r="B4954" s="15">
        <v>1678082.0</v>
      </c>
      <c r="C4954" s="15" t="s">
        <v>19427</v>
      </c>
      <c r="D4954" s="15">
        <v>307807.0</v>
      </c>
      <c r="E4954" s="15" t="s">
        <v>1557</v>
      </c>
      <c r="F4954" s="15" t="s">
        <v>1611</v>
      </c>
      <c r="G4954" s="7">
        <v>73.42</v>
      </c>
      <c r="H4954" s="15" t="s">
        <v>1957</v>
      </c>
      <c r="I4954" s="15" t="s">
        <v>1586</v>
      </c>
      <c r="J4954" s="15" t="s">
        <v>19428</v>
      </c>
      <c r="K4954" s="15">
        <v>113.0</v>
      </c>
      <c r="L4954" s="15">
        <v>113.0</v>
      </c>
      <c r="M4954" s="40">
        <v>42189.0</v>
      </c>
      <c r="N4954" s="40">
        <v>42374.0</v>
      </c>
      <c r="O4954" s="15" t="s">
        <v>1554</v>
      </c>
      <c r="Q4954" s="7"/>
    </row>
    <row r="4955">
      <c r="A4955" s="39" t="s">
        <v>19430</v>
      </c>
      <c r="B4955" s="15">
        <v>1675553.0</v>
      </c>
      <c r="C4955" s="15" t="s">
        <v>19431</v>
      </c>
      <c r="D4955" s="15">
        <v>307808.0</v>
      </c>
      <c r="E4955" s="15" t="s">
        <v>1557</v>
      </c>
      <c r="F4955" s="15" t="s">
        <v>1833</v>
      </c>
      <c r="G4955" s="7">
        <v>51.355</v>
      </c>
      <c r="H4955" s="15" t="s">
        <v>6661</v>
      </c>
      <c r="I4955" s="15" t="s">
        <v>1586</v>
      </c>
      <c r="J4955" s="15" t="s">
        <v>19432</v>
      </c>
      <c r="K4955" s="15">
        <v>88.0</v>
      </c>
      <c r="L4955" s="15">
        <v>88.0</v>
      </c>
      <c r="M4955" s="40">
        <v>42225.0</v>
      </c>
      <c r="N4955" s="40">
        <v>42542.0</v>
      </c>
      <c r="O4955" s="15" t="s">
        <v>1554</v>
      </c>
      <c r="Q4955" s="7"/>
    </row>
    <row r="4956">
      <c r="A4956" s="39" t="s">
        <v>19433</v>
      </c>
      <c r="B4956" s="15">
        <v>1675549.0</v>
      </c>
      <c r="C4956" s="15" t="s">
        <v>19434</v>
      </c>
      <c r="D4956" s="15">
        <v>307809.0</v>
      </c>
      <c r="E4956" s="15" t="s">
        <v>1557</v>
      </c>
      <c r="F4956" s="15" t="s">
        <v>1833</v>
      </c>
      <c r="G4956" s="7">
        <v>59.416</v>
      </c>
      <c r="H4956" s="15" t="s">
        <v>3086</v>
      </c>
      <c r="I4956" s="15" t="s">
        <v>1586</v>
      </c>
      <c r="J4956" s="15" t="s">
        <v>19435</v>
      </c>
      <c r="K4956" s="15">
        <v>117.0</v>
      </c>
      <c r="L4956" s="15">
        <v>117.0</v>
      </c>
      <c r="M4956" s="40">
        <v>42225.0</v>
      </c>
      <c r="N4956" s="40">
        <v>42542.0</v>
      </c>
      <c r="O4956" s="15" t="s">
        <v>1554</v>
      </c>
      <c r="Q4956" s="7"/>
    </row>
    <row r="4957">
      <c r="A4957" s="39" t="s">
        <v>19436</v>
      </c>
      <c r="B4957" s="15">
        <v>1675548.0</v>
      </c>
      <c r="C4957" s="15" t="s">
        <v>19438</v>
      </c>
      <c r="D4957" s="15">
        <v>307810.0</v>
      </c>
      <c r="E4957" s="15" t="s">
        <v>1557</v>
      </c>
      <c r="F4957" s="15" t="s">
        <v>1833</v>
      </c>
      <c r="G4957" s="7">
        <v>52.643</v>
      </c>
      <c r="H4957" s="15" t="s">
        <v>2831</v>
      </c>
      <c r="I4957" s="15" t="s">
        <v>1586</v>
      </c>
      <c r="J4957" s="15" t="s">
        <v>19439</v>
      </c>
      <c r="K4957" s="15">
        <v>101.0</v>
      </c>
      <c r="L4957" s="15">
        <v>101.0</v>
      </c>
      <c r="M4957" s="40">
        <v>42225.0</v>
      </c>
      <c r="N4957" s="40">
        <v>42542.0</v>
      </c>
      <c r="O4957" s="15" t="s">
        <v>1554</v>
      </c>
      <c r="Q4957" s="7"/>
    </row>
    <row r="4958">
      <c r="A4958" s="39" t="s">
        <v>19440</v>
      </c>
      <c r="B4958" s="15">
        <v>1675027.0</v>
      </c>
      <c r="C4958" s="15" t="s">
        <v>19441</v>
      </c>
      <c r="D4958" s="15">
        <v>307811.0</v>
      </c>
      <c r="E4958" s="15" t="s">
        <v>1557</v>
      </c>
      <c r="F4958" s="15" t="s">
        <v>1611</v>
      </c>
      <c r="G4958" s="7">
        <v>41.449</v>
      </c>
      <c r="H4958" s="15" t="s">
        <v>2271</v>
      </c>
      <c r="I4958" s="15" t="s">
        <v>1586</v>
      </c>
      <c r="J4958" s="15" t="s">
        <v>19442</v>
      </c>
      <c r="K4958" s="15">
        <v>46.0</v>
      </c>
      <c r="L4958" s="15">
        <v>46.0</v>
      </c>
      <c r="M4958" s="40">
        <v>42200.0</v>
      </c>
      <c r="N4958" s="40">
        <v>42374.0</v>
      </c>
      <c r="O4958" s="15" t="s">
        <v>1554</v>
      </c>
      <c r="Q4958" s="7"/>
    </row>
    <row r="4959">
      <c r="A4959" s="39" t="s">
        <v>19443</v>
      </c>
      <c r="B4959" s="15">
        <v>1674930.0</v>
      </c>
      <c r="C4959" s="15" t="s">
        <v>19444</v>
      </c>
      <c r="D4959" s="15">
        <v>307812.0</v>
      </c>
      <c r="E4959" s="15" t="s">
        <v>1557</v>
      </c>
      <c r="F4959" s="15" t="s">
        <v>1833</v>
      </c>
      <c r="G4959" s="7">
        <v>44.222</v>
      </c>
      <c r="H4959" s="15" t="s">
        <v>4553</v>
      </c>
      <c r="I4959" s="15" t="s">
        <v>1586</v>
      </c>
      <c r="J4959" s="15" t="s">
        <v>19445</v>
      </c>
      <c r="K4959" s="15">
        <v>61.0</v>
      </c>
      <c r="L4959" s="15">
        <v>61.0</v>
      </c>
      <c r="M4959" s="40">
        <v>42225.0</v>
      </c>
      <c r="N4959" s="40">
        <v>42374.0</v>
      </c>
      <c r="O4959" s="15" t="s">
        <v>1554</v>
      </c>
      <c r="Q4959" s="7"/>
    </row>
    <row r="4960">
      <c r="A4960" s="39" t="s">
        <v>19447</v>
      </c>
      <c r="B4960" s="15">
        <v>1673887.0</v>
      </c>
      <c r="C4960" s="15" t="s">
        <v>19448</v>
      </c>
      <c r="D4960" s="15">
        <v>307813.0</v>
      </c>
      <c r="E4960" s="15" t="s">
        <v>1557</v>
      </c>
      <c r="F4960" s="15" t="s">
        <v>1767</v>
      </c>
      <c r="G4960" s="7">
        <v>177.688</v>
      </c>
      <c r="H4960" s="15" t="s">
        <v>2178</v>
      </c>
      <c r="I4960" s="15" t="s">
        <v>1586</v>
      </c>
      <c r="J4960" s="15" t="s">
        <v>19449</v>
      </c>
      <c r="K4960" s="15">
        <v>265.0</v>
      </c>
      <c r="L4960" s="15">
        <v>263.0</v>
      </c>
      <c r="M4960" s="40">
        <v>42210.0</v>
      </c>
      <c r="N4960" s="40">
        <v>42374.0</v>
      </c>
      <c r="O4960" s="15" t="s">
        <v>1554</v>
      </c>
      <c r="Q4960" s="7"/>
    </row>
    <row r="4961">
      <c r="A4961" s="39" t="s">
        <v>19450</v>
      </c>
      <c r="B4961" s="15">
        <v>1671396.0</v>
      </c>
      <c r="C4961" s="15" t="s">
        <v>19451</v>
      </c>
      <c r="D4961" s="15">
        <v>307814.0</v>
      </c>
      <c r="E4961" s="15" t="s">
        <v>1557</v>
      </c>
      <c r="F4961" s="15" t="s">
        <v>1611</v>
      </c>
      <c r="G4961" s="7">
        <v>41.054</v>
      </c>
      <c r="H4961" s="15" t="s">
        <v>1640</v>
      </c>
      <c r="I4961" s="15" t="s">
        <v>1586</v>
      </c>
      <c r="J4961" s="15" t="s">
        <v>19452</v>
      </c>
      <c r="K4961" s="15">
        <v>51.0</v>
      </c>
      <c r="L4961" s="15">
        <v>51.0</v>
      </c>
      <c r="M4961" s="40">
        <v>42213.0</v>
      </c>
      <c r="N4961" s="40">
        <v>42374.0</v>
      </c>
      <c r="O4961" s="15" t="s">
        <v>1554</v>
      </c>
      <c r="Q4961" s="7"/>
    </row>
    <row r="4962">
      <c r="A4962" s="39" t="s">
        <v>19453</v>
      </c>
      <c r="B4962" s="15">
        <v>1642663.0</v>
      </c>
      <c r="C4962" s="15" t="s">
        <v>19454</v>
      </c>
      <c r="D4962" s="15">
        <v>307815.0</v>
      </c>
      <c r="E4962" s="15" t="s">
        <v>1557</v>
      </c>
      <c r="F4962" s="15" t="s">
        <v>1833</v>
      </c>
      <c r="G4962" s="7">
        <v>42.593</v>
      </c>
      <c r="H4962" s="15" t="s">
        <v>5955</v>
      </c>
      <c r="I4962" s="15" t="s">
        <v>1586</v>
      </c>
      <c r="J4962" s="15" t="s">
        <v>19455</v>
      </c>
      <c r="K4962" s="15">
        <v>58.0</v>
      </c>
      <c r="L4962" s="15">
        <v>58.0</v>
      </c>
      <c r="M4962" s="40">
        <v>42261.0</v>
      </c>
      <c r="N4962" s="40">
        <v>42374.0</v>
      </c>
      <c r="O4962" s="15" t="s">
        <v>1554</v>
      </c>
      <c r="Q4962" s="7"/>
    </row>
    <row r="4963">
      <c r="A4963" s="39" t="s">
        <v>19456</v>
      </c>
      <c r="B4963" s="15">
        <v>1655645.0</v>
      </c>
      <c r="C4963" s="15" t="s">
        <v>19458</v>
      </c>
      <c r="D4963" s="15">
        <v>307816.0</v>
      </c>
      <c r="E4963" s="15" t="s">
        <v>1808</v>
      </c>
      <c r="F4963" s="15" t="s">
        <v>3154</v>
      </c>
      <c r="G4963" s="7">
        <v>5.001</v>
      </c>
      <c r="H4963" s="15" t="s">
        <v>1902</v>
      </c>
      <c r="I4963" s="15" t="s">
        <v>1586</v>
      </c>
      <c r="J4963" s="15" t="s">
        <v>19459</v>
      </c>
      <c r="K4963" s="15">
        <v>4.0</v>
      </c>
      <c r="L4963" s="15">
        <v>4.0</v>
      </c>
      <c r="M4963" s="40">
        <v>42151.0</v>
      </c>
      <c r="N4963" s="40">
        <v>42374.0</v>
      </c>
      <c r="O4963" s="15" t="s">
        <v>1554</v>
      </c>
      <c r="Q4963" s="7"/>
    </row>
    <row r="4964">
      <c r="A4964" s="39" t="s">
        <v>19460</v>
      </c>
      <c r="B4964" s="15">
        <v>1655644.0</v>
      </c>
      <c r="C4964" s="15" t="s">
        <v>19461</v>
      </c>
      <c r="D4964" s="15">
        <v>307817.0</v>
      </c>
      <c r="E4964" s="15" t="s">
        <v>1808</v>
      </c>
      <c r="F4964" s="15" t="s">
        <v>3154</v>
      </c>
      <c r="G4964" s="7">
        <v>4.623</v>
      </c>
      <c r="H4964" s="15" t="s">
        <v>3255</v>
      </c>
      <c r="I4964" s="15" t="s">
        <v>1586</v>
      </c>
      <c r="J4964" s="15" t="s">
        <v>19462</v>
      </c>
      <c r="K4964" s="15">
        <v>6.0</v>
      </c>
      <c r="L4964" s="15">
        <v>6.0</v>
      </c>
      <c r="M4964" s="40">
        <v>42151.0</v>
      </c>
      <c r="N4964" s="40">
        <v>42374.0</v>
      </c>
      <c r="O4964" s="15" t="s">
        <v>1554</v>
      </c>
      <c r="Q4964" s="7"/>
    </row>
    <row r="4965">
      <c r="A4965" s="39" t="s">
        <v>19463</v>
      </c>
      <c r="B4965" s="15">
        <v>1647374.0</v>
      </c>
      <c r="C4965" s="15" t="s">
        <v>19464</v>
      </c>
      <c r="D4965" s="15">
        <v>307818.0</v>
      </c>
      <c r="E4965" s="15" t="s">
        <v>1557</v>
      </c>
      <c r="F4965" s="15" t="s">
        <v>1611</v>
      </c>
      <c r="G4965" s="7">
        <v>41.698</v>
      </c>
      <c r="H4965" s="15" t="s">
        <v>4521</v>
      </c>
      <c r="I4965" s="15" t="s">
        <v>1586</v>
      </c>
      <c r="J4965" s="15" t="s">
        <v>19466</v>
      </c>
      <c r="K4965" s="15">
        <v>46.0</v>
      </c>
      <c r="L4965" s="15">
        <v>46.0</v>
      </c>
      <c r="M4965" s="40">
        <v>42144.0</v>
      </c>
      <c r="N4965" s="40">
        <v>42374.0</v>
      </c>
      <c r="O4965" s="15" t="s">
        <v>1554</v>
      </c>
      <c r="Q4965" s="7"/>
    </row>
    <row r="4966">
      <c r="A4966" s="39" t="s">
        <v>19467</v>
      </c>
      <c r="B4966" s="15">
        <v>1640974.0</v>
      </c>
      <c r="C4966" s="15" t="s">
        <v>19468</v>
      </c>
      <c r="D4966" s="15">
        <v>307819.0</v>
      </c>
      <c r="E4966" s="15" t="s">
        <v>1557</v>
      </c>
      <c r="F4966" s="15" t="s">
        <v>1767</v>
      </c>
      <c r="G4966" s="7">
        <v>66.111</v>
      </c>
      <c r="H4966" s="15" t="s">
        <v>3794</v>
      </c>
      <c r="I4966" s="15" t="s">
        <v>1586</v>
      </c>
      <c r="J4966" s="15" t="s">
        <v>19469</v>
      </c>
      <c r="K4966" s="15">
        <v>92.0</v>
      </c>
      <c r="L4966" s="15">
        <v>92.0</v>
      </c>
      <c r="M4966" s="40">
        <v>42130.0</v>
      </c>
      <c r="N4966" s="40">
        <v>42445.0</v>
      </c>
      <c r="O4966" s="15" t="s">
        <v>1554</v>
      </c>
      <c r="Q4966" s="7"/>
    </row>
    <row r="4967">
      <c r="A4967" s="39" t="s">
        <v>19470</v>
      </c>
      <c r="B4967" s="15">
        <v>1640973.0</v>
      </c>
      <c r="C4967" s="15" t="s">
        <v>19471</v>
      </c>
      <c r="D4967" s="15">
        <v>307820.0</v>
      </c>
      <c r="E4967" s="15" t="s">
        <v>1557</v>
      </c>
      <c r="F4967" s="15" t="s">
        <v>1611</v>
      </c>
      <c r="G4967" s="7">
        <v>72.378</v>
      </c>
      <c r="H4967" s="15">
        <v>55.0</v>
      </c>
      <c r="I4967" s="15" t="s">
        <v>1586</v>
      </c>
      <c r="J4967" s="15" t="s">
        <v>19472</v>
      </c>
      <c r="K4967" s="15">
        <v>90.0</v>
      </c>
      <c r="L4967" s="15">
        <v>90.0</v>
      </c>
      <c r="M4967" s="40">
        <v>42130.0</v>
      </c>
      <c r="N4967" s="40">
        <v>42445.0</v>
      </c>
      <c r="O4967" s="15" t="s">
        <v>1554</v>
      </c>
      <c r="Q4967" s="7"/>
    </row>
    <row r="4968">
      <c r="A4968" s="39" t="s">
        <v>19474</v>
      </c>
      <c r="B4968" s="15">
        <v>1640972.0</v>
      </c>
      <c r="C4968" s="15" t="s">
        <v>19475</v>
      </c>
      <c r="D4968" s="15">
        <v>307821.0</v>
      </c>
      <c r="E4968" s="15" t="s">
        <v>1557</v>
      </c>
      <c r="F4968" s="15" t="s">
        <v>1611</v>
      </c>
      <c r="G4968" s="7">
        <v>42.508</v>
      </c>
      <c r="H4968" s="15" t="s">
        <v>9693</v>
      </c>
      <c r="I4968" s="15" t="s">
        <v>1586</v>
      </c>
      <c r="J4968" s="15" t="s">
        <v>19476</v>
      </c>
      <c r="K4968" s="15">
        <v>55.0</v>
      </c>
      <c r="L4968" s="15">
        <v>55.0</v>
      </c>
      <c r="M4968" s="40">
        <v>42130.0</v>
      </c>
      <c r="N4968" s="40">
        <v>42445.0</v>
      </c>
      <c r="O4968" s="15" t="s">
        <v>1554</v>
      </c>
      <c r="Q4968" s="7"/>
    </row>
    <row r="4969">
      <c r="A4969" s="39" t="s">
        <v>19477</v>
      </c>
      <c r="B4969" s="15">
        <v>1640969.0</v>
      </c>
      <c r="C4969" s="15" t="s">
        <v>19478</v>
      </c>
      <c r="D4969" s="15">
        <v>307822.0</v>
      </c>
      <c r="E4969" s="15" t="s">
        <v>1557</v>
      </c>
      <c r="F4969" s="15" t="s">
        <v>1611</v>
      </c>
      <c r="G4969" s="7">
        <v>45.673</v>
      </c>
      <c r="H4969" s="15" t="s">
        <v>3242</v>
      </c>
      <c r="I4969" s="15" t="s">
        <v>1586</v>
      </c>
      <c r="J4969" s="15" t="s">
        <v>19479</v>
      </c>
      <c r="K4969" s="15">
        <v>71.0</v>
      </c>
      <c r="L4969" s="15">
        <v>71.0</v>
      </c>
      <c r="M4969" s="40">
        <v>42130.0</v>
      </c>
      <c r="N4969" s="40">
        <v>42445.0</v>
      </c>
      <c r="O4969" s="15" t="s">
        <v>1554</v>
      </c>
      <c r="Q4969" s="7"/>
    </row>
    <row r="4970">
      <c r="A4970" s="39" t="s">
        <v>19481</v>
      </c>
      <c r="B4970" s="15">
        <v>1636314.0</v>
      </c>
      <c r="C4970" s="15" t="s">
        <v>19482</v>
      </c>
      <c r="D4970" s="15">
        <v>307823.0</v>
      </c>
      <c r="E4970" s="15" t="s">
        <v>1557</v>
      </c>
      <c r="F4970" s="15" t="s">
        <v>1611</v>
      </c>
      <c r="G4970" s="7">
        <v>31.522</v>
      </c>
      <c r="H4970" s="15" t="s">
        <v>2189</v>
      </c>
      <c r="I4970" s="15" t="s">
        <v>1586</v>
      </c>
      <c r="J4970" s="15" t="s">
        <v>19483</v>
      </c>
      <c r="K4970" s="15">
        <v>36.0</v>
      </c>
      <c r="L4970" s="15">
        <v>36.0</v>
      </c>
      <c r="M4970" s="40">
        <v>42099.0</v>
      </c>
      <c r="N4970" s="40">
        <v>42374.0</v>
      </c>
      <c r="O4970" s="15" t="s">
        <v>1554</v>
      </c>
      <c r="Q4970" s="7"/>
    </row>
    <row r="4971">
      <c r="A4971" s="39" t="s">
        <v>19484</v>
      </c>
      <c r="B4971" s="15">
        <v>1636205.0</v>
      </c>
      <c r="C4971" s="15" t="s">
        <v>19485</v>
      </c>
      <c r="D4971" s="15">
        <v>307824.0</v>
      </c>
      <c r="E4971" s="15" t="s">
        <v>1557</v>
      </c>
      <c r="F4971" s="15" t="s">
        <v>1833</v>
      </c>
      <c r="G4971" s="7">
        <v>43.228</v>
      </c>
      <c r="H4971" s="15" t="s">
        <v>4479</v>
      </c>
      <c r="I4971" s="15" t="s">
        <v>1586</v>
      </c>
      <c r="J4971" s="15" t="s">
        <v>19486</v>
      </c>
      <c r="K4971" s="15">
        <v>67.0</v>
      </c>
      <c r="L4971" s="15">
        <v>67.0</v>
      </c>
      <c r="M4971" s="40">
        <v>42111.0</v>
      </c>
      <c r="N4971" s="40">
        <v>42375.0</v>
      </c>
      <c r="O4971" s="15" t="s">
        <v>1554</v>
      </c>
      <c r="Q4971" s="7"/>
    </row>
    <row r="4972">
      <c r="A4972" s="39" t="s">
        <v>19488</v>
      </c>
      <c r="B4972" s="15">
        <v>1636204.0</v>
      </c>
      <c r="C4972" s="15" t="s">
        <v>19489</v>
      </c>
      <c r="D4972" s="15">
        <v>307825.0</v>
      </c>
      <c r="E4972" s="15" t="s">
        <v>1557</v>
      </c>
      <c r="F4972" s="15" t="s">
        <v>1833</v>
      </c>
      <c r="G4972" s="7">
        <v>42.881</v>
      </c>
      <c r="H4972" s="15" t="s">
        <v>11674</v>
      </c>
      <c r="I4972" s="15" t="s">
        <v>1586</v>
      </c>
      <c r="J4972" s="15" t="s">
        <v>19490</v>
      </c>
      <c r="K4972" s="15">
        <v>64.0</v>
      </c>
      <c r="L4972" s="15">
        <v>64.0</v>
      </c>
      <c r="M4972" s="40">
        <v>42111.0</v>
      </c>
      <c r="N4972" s="40">
        <v>42375.0</v>
      </c>
      <c r="O4972" s="15" t="s">
        <v>1554</v>
      </c>
      <c r="Q4972" s="7"/>
    </row>
    <row r="4973">
      <c r="A4973" s="39" t="s">
        <v>19491</v>
      </c>
      <c r="B4973" s="15">
        <v>1636200.0</v>
      </c>
      <c r="C4973" s="15" t="s">
        <v>19492</v>
      </c>
      <c r="D4973" s="15">
        <v>307826.0</v>
      </c>
      <c r="E4973" s="15" t="s">
        <v>1557</v>
      </c>
      <c r="F4973" s="15" t="s">
        <v>1578</v>
      </c>
      <c r="G4973" s="7">
        <v>43.19</v>
      </c>
      <c r="H4973" s="15" t="s">
        <v>2820</v>
      </c>
      <c r="I4973" s="15" t="s">
        <v>1586</v>
      </c>
      <c r="J4973" s="15" t="s">
        <v>19493</v>
      </c>
      <c r="K4973" s="15">
        <v>75.0</v>
      </c>
      <c r="L4973" s="15">
        <v>75.0</v>
      </c>
      <c r="M4973" s="40">
        <v>42247.0</v>
      </c>
      <c r="N4973" s="40">
        <v>42374.0</v>
      </c>
      <c r="O4973" s="15" t="s">
        <v>1554</v>
      </c>
      <c r="Q4973" s="7"/>
    </row>
    <row r="4974">
      <c r="A4974" s="39" t="s">
        <v>19494</v>
      </c>
      <c r="B4974" s="15">
        <v>1610855.0</v>
      </c>
      <c r="C4974" s="15" t="s">
        <v>19496</v>
      </c>
      <c r="D4974" s="15">
        <v>307827.0</v>
      </c>
      <c r="E4974" s="15" t="s">
        <v>1557</v>
      </c>
      <c r="F4974" s="15" t="s">
        <v>1767</v>
      </c>
      <c r="G4974" s="7">
        <v>248.088</v>
      </c>
      <c r="H4974" s="15" t="s">
        <v>2820</v>
      </c>
      <c r="I4974" s="15" t="s">
        <v>1586</v>
      </c>
      <c r="J4974" s="15" t="s">
        <v>19497</v>
      </c>
      <c r="K4974" s="15">
        <v>390.0</v>
      </c>
      <c r="L4974" s="15">
        <v>390.0</v>
      </c>
      <c r="M4974" s="40">
        <v>42080.0</v>
      </c>
      <c r="N4974" s="40">
        <v>42494.0</v>
      </c>
      <c r="O4974" s="15" t="s">
        <v>1554</v>
      </c>
      <c r="Q4974" s="7"/>
    </row>
    <row r="4975">
      <c r="A4975" s="39" t="s">
        <v>19498</v>
      </c>
      <c r="B4975" s="15">
        <v>1610838.0</v>
      </c>
      <c r="C4975" s="15" t="s">
        <v>19499</v>
      </c>
      <c r="D4975" s="15">
        <v>307828.0</v>
      </c>
      <c r="E4975" s="15" t="s">
        <v>1557</v>
      </c>
      <c r="F4975" s="15" t="s">
        <v>1833</v>
      </c>
      <c r="G4975" s="7">
        <v>59.802</v>
      </c>
      <c r="H4975" s="15" t="s">
        <v>2178</v>
      </c>
      <c r="I4975" s="15" t="s">
        <v>1586</v>
      </c>
      <c r="J4975" s="15" t="s">
        <v>19500</v>
      </c>
      <c r="K4975" s="15">
        <v>87.0</v>
      </c>
      <c r="L4975" s="15">
        <v>87.0</v>
      </c>
      <c r="M4975" s="40">
        <v>42099.0</v>
      </c>
      <c r="N4975" s="40">
        <v>42374.0</v>
      </c>
      <c r="O4975" s="15" t="s">
        <v>1554</v>
      </c>
      <c r="Q4975" s="7"/>
    </row>
    <row r="4976">
      <c r="A4976" s="39" t="s">
        <v>19501</v>
      </c>
      <c r="B4976" s="15">
        <v>1610837.0</v>
      </c>
      <c r="C4976" s="15" t="s">
        <v>19502</v>
      </c>
      <c r="D4976" s="15">
        <v>307829.0</v>
      </c>
      <c r="E4976" s="15" t="s">
        <v>1557</v>
      </c>
      <c r="F4976" s="15" t="s">
        <v>1833</v>
      </c>
      <c r="G4976" s="7">
        <v>60.754</v>
      </c>
      <c r="H4976" s="15" t="s">
        <v>2178</v>
      </c>
      <c r="I4976" s="15" t="s">
        <v>1586</v>
      </c>
      <c r="J4976" s="15" t="s">
        <v>19504</v>
      </c>
      <c r="K4976" s="15">
        <v>87.0</v>
      </c>
      <c r="L4976" s="15">
        <v>87.0</v>
      </c>
      <c r="M4976" s="40">
        <v>42099.0</v>
      </c>
      <c r="N4976" s="40">
        <v>42374.0</v>
      </c>
      <c r="O4976" s="15" t="s">
        <v>1554</v>
      </c>
      <c r="Q4976" s="7"/>
    </row>
    <row r="4977">
      <c r="A4977" s="39" t="s">
        <v>19505</v>
      </c>
      <c r="B4977" s="15">
        <v>1610836.0</v>
      </c>
      <c r="C4977" s="15" t="s">
        <v>19506</v>
      </c>
      <c r="D4977" s="15">
        <v>307830.0</v>
      </c>
      <c r="E4977" s="15" t="s">
        <v>1557</v>
      </c>
      <c r="F4977" s="15" t="s">
        <v>1833</v>
      </c>
      <c r="G4977" s="7">
        <v>60.747</v>
      </c>
      <c r="H4977" s="15" t="s">
        <v>1613</v>
      </c>
      <c r="I4977" s="15" t="s">
        <v>1586</v>
      </c>
      <c r="J4977" s="15" t="s">
        <v>19507</v>
      </c>
      <c r="K4977" s="15">
        <v>86.0</v>
      </c>
      <c r="L4977" s="15">
        <v>86.0</v>
      </c>
      <c r="M4977" s="40">
        <v>42099.0</v>
      </c>
      <c r="N4977" s="40">
        <v>42374.0</v>
      </c>
      <c r="O4977" s="15" t="s">
        <v>1554</v>
      </c>
      <c r="Q4977" s="7"/>
    </row>
    <row r="4978">
      <c r="A4978" s="39" t="s">
        <v>19508</v>
      </c>
      <c r="B4978" s="15">
        <v>1610828.0</v>
      </c>
      <c r="C4978" s="15" t="s">
        <v>19509</v>
      </c>
      <c r="D4978" s="15">
        <v>307831.0</v>
      </c>
      <c r="E4978" s="15" t="s">
        <v>1557</v>
      </c>
      <c r="F4978" s="15" t="s">
        <v>1833</v>
      </c>
      <c r="G4978" s="7">
        <v>59.67</v>
      </c>
      <c r="H4978" s="15" t="s">
        <v>1983</v>
      </c>
      <c r="I4978" s="15" t="s">
        <v>1586</v>
      </c>
      <c r="J4978" s="15" t="s">
        <v>19510</v>
      </c>
      <c r="K4978" s="15">
        <v>91.0</v>
      </c>
      <c r="L4978" s="15">
        <v>91.0</v>
      </c>
      <c r="M4978" s="40">
        <v>42080.0</v>
      </c>
      <c r="N4978" s="40">
        <v>42460.0</v>
      </c>
      <c r="O4978" s="15" t="s">
        <v>1554</v>
      </c>
      <c r="Q4978" s="7"/>
    </row>
    <row r="4979">
      <c r="A4979" s="39" t="s">
        <v>19511</v>
      </c>
      <c r="B4979" s="15">
        <v>1587907.0</v>
      </c>
      <c r="C4979" s="15" t="s">
        <v>19512</v>
      </c>
      <c r="D4979" s="15">
        <v>307832.0</v>
      </c>
      <c r="E4979" s="15" t="s">
        <v>1557</v>
      </c>
      <c r="F4979" s="15" t="s">
        <v>1833</v>
      </c>
      <c r="G4979" s="7">
        <v>30.664</v>
      </c>
      <c r="H4979" s="15" t="s">
        <v>1602</v>
      </c>
      <c r="I4979" s="15" t="s">
        <v>1586</v>
      </c>
      <c r="J4979" s="15" t="s">
        <v>19513</v>
      </c>
      <c r="K4979" s="15">
        <v>40.0</v>
      </c>
      <c r="L4979" s="15">
        <v>40.0</v>
      </c>
      <c r="M4979" s="41">
        <v>40837.0</v>
      </c>
      <c r="N4979" s="40">
        <v>42375.0</v>
      </c>
      <c r="O4979" s="15" t="s">
        <v>1554</v>
      </c>
      <c r="Q4979" s="7"/>
    </row>
    <row r="4980">
      <c r="A4980" s="39" t="s">
        <v>19514</v>
      </c>
      <c r="B4980" s="15">
        <v>1585840.0</v>
      </c>
      <c r="C4980" s="15" t="s">
        <v>19515</v>
      </c>
      <c r="D4980" s="15">
        <v>307833.0</v>
      </c>
      <c r="E4980" s="15" t="s">
        <v>1557</v>
      </c>
      <c r="F4980" s="15" t="s">
        <v>1767</v>
      </c>
      <c r="G4980" s="7">
        <v>223.932</v>
      </c>
      <c r="H4980" s="15" t="s">
        <v>2417</v>
      </c>
      <c r="I4980" s="15" t="s">
        <v>1586</v>
      </c>
      <c r="J4980" s="15" t="s">
        <v>19517</v>
      </c>
      <c r="K4980" s="15">
        <v>224.0</v>
      </c>
      <c r="L4980" s="15">
        <v>224.0</v>
      </c>
      <c r="M4980" s="41">
        <v>41991.0</v>
      </c>
      <c r="N4980" s="40">
        <v>42462.0</v>
      </c>
      <c r="O4980" s="15" t="s">
        <v>1554</v>
      </c>
      <c r="Q4980" s="7"/>
    </row>
    <row r="4981">
      <c r="A4981" s="39" t="s">
        <v>19518</v>
      </c>
      <c r="B4981" s="15">
        <v>1580591.0</v>
      </c>
      <c r="C4981" s="15" t="s">
        <v>19519</v>
      </c>
      <c r="D4981" s="15">
        <v>307834.0</v>
      </c>
      <c r="E4981" s="15" t="s">
        <v>1557</v>
      </c>
      <c r="F4981" s="15" t="s">
        <v>1578</v>
      </c>
      <c r="G4981" s="7">
        <v>50.918</v>
      </c>
      <c r="H4981" s="15" t="s">
        <v>1613</v>
      </c>
      <c r="I4981" s="15" t="s">
        <v>1618</v>
      </c>
      <c r="J4981" s="15" t="s">
        <v>19520</v>
      </c>
      <c r="K4981" s="15">
        <v>65.0</v>
      </c>
      <c r="L4981" s="15">
        <v>65.0</v>
      </c>
      <c r="M4981" s="40">
        <v>42278.0</v>
      </c>
      <c r="N4981" s="40">
        <v>42374.0</v>
      </c>
      <c r="O4981" s="15" t="s">
        <v>1554</v>
      </c>
      <c r="Q4981" s="7"/>
    </row>
    <row r="4982">
      <c r="A4982" s="39" t="s">
        <v>19521</v>
      </c>
      <c r="B4982" s="15">
        <v>1572704.0</v>
      </c>
      <c r="C4982" s="15" t="s">
        <v>19522</v>
      </c>
      <c r="D4982" s="15">
        <v>307835.0</v>
      </c>
      <c r="E4982" s="15" t="s">
        <v>1557</v>
      </c>
      <c r="F4982" s="15" t="s">
        <v>1767</v>
      </c>
      <c r="G4982" s="7">
        <v>140.961</v>
      </c>
      <c r="H4982" s="15">
        <v>28.0</v>
      </c>
      <c r="I4982" s="15" t="s">
        <v>1586</v>
      </c>
      <c r="J4982" s="15" t="s">
        <v>19524</v>
      </c>
      <c r="K4982" s="15">
        <v>203.0</v>
      </c>
      <c r="L4982" s="15">
        <v>203.0</v>
      </c>
      <c r="M4982" s="40">
        <v>42086.0</v>
      </c>
      <c r="N4982" s="40">
        <v>42374.0</v>
      </c>
      <c r="O4982" s="15" t="s">
        <v>1554</v>
      </c>
      <c r="Q4982" s="7"/>
    </row>
    <row r="4983">
      <c r="A4983" s="39" t="s">
        <v>19525</v>
      </c>
      <c r="B4983" s="15">
        <v>1572703.0</v>
      </c>
      <c r="C4983" s="15" t="s">
        <v>19526</v>
      </c>
      <c r="D4983" s="15">
        <v>307836.0</v>
      </c>
      <c r="E4983" s="15" t="s">
        <v>1557</v>
      </c>
      <c r="F4983" s="15" t="s">
        <v>1767</v>
      </c>
      <c r="G4983" s="7">
        <v>142.348</v>
      </c>
      <c r="H4983" s="42">
        <v>43220.0</v>
      </c>
      <c r="I4983" s="15" t="s">
        <v>1586</v>
      </c>
      <c r="J4983" s="15" t="s">
        <v>19527</v>
      </c>
      <c r="K4983" s="15">
        <v>213.0</v>
      </c>
      <c r="L4983" s="15">
        <v>213.0</v>
      </c>
      <c r="M4983" s="40">
        <v>42086.0</v>
      </c>
      <c r="N4983" s="40">
        <v>42374.0</v>
      </c>
      <c r="O4983" s="15" t="s">
        <v>1554</v>
      </c>
      <c r="Q4983" s="7"/>
    </row>
    <row r="4984">
      <c r="A4984" s="39" t="s">
        <v>19528</v>
      </c>
      <c r="B4984" s="15">
        <v>1542477.0</v>
      </c>
      <c r="C4984" s="15" t="s">
        <v>19529</v>
      </c>
      <c r="D4984" s="15">
        <v>307841.0</v>
      </c>
      <c r="E4984" s="15" t="s">
        <v>1557</v>
      </c>
      <c r="F4984" s="15" t="s">
        <v>1767</v>
      </c>
      <c r="G4984" s="7">
        <v>197.361</v>
      </c>
      <c r="H4984" s="15" t="s">
        <v>7532</v>
      </c>
      <c r="I4984" s="15" t="s">
        <v>1586</v>
      </c>
      <c r="J4984" s="15" t="s">
        <v>19530</v>
      </c>
      <c r="K4984" s="15">
        <v>246.0</v>
      </c>
      <c r="L4984" s="15">
        <v>246.0</v>
      </c>
      <c r="M4984" s="40">
        <v>42234.0</v>
      </c>
      <c r="N4984" s="40">
        <v>42971.0</v>
      </c>
      <c r="O4984" s="15" t="s">
        <v>1554</v>
      </c>
      <c r="Q4984" s="7"/>
    </row>
    <row r="4985">
      <c r="A4985" s="39" t="s">
        <v>19532</v>
      </c>
      <c r="B4985" s="15">
        <v>1538364.0</v>
      </c>
      <c r="C4985" s="15" t="s">
        <v>19533</v>
      </c>
      <c r="D4985" s="15">
        <v>307842.0</v>
      </c>
      <c r="E4985" s="15" t="s">
        <v>1557</v>
      </c>
      <c r="F4985" s="15" t="s">
        <v>1611</v>
      </c>
      <c r="G4985" s="7">
        <v>43.745</v>
      </c>
      <c r="H4985" s="15" t="s">
        <v>1834</v>
      </c>
      <c r="I4985" s="15" t="s">
        <v>1586</v>
      </c>
      <c r="J4985" s="15" t="s">
        <v>19534</v>
      </c>
      <c r="K4985" s="15">
        <v>41.0</v>
      </c>
      <c r="L4985" s="15">
        <v>41.0</v>
      </c>
      <c r="M4985" s="40">
        <v>41877.0</v>
      </c>
      <c r="N4985" s="40">
        <v>42374.0</v>
      </c>
      <c r="O4985" s="15" t="s">
        <v>1554</v>
      </c>
      <c r="Q4985" s="7"/>
    </row>
    <row r="4986">
      <c r="A4986" s="39" t="s">
        <v>19535</v>
      </c>
      <c r="B4986" s="15">
        <v>1522092.0</v>
      </c>
      <c r="C4986" s="15" t="s">
        <v>19536</v>
      </c>
      <c r="D4986" s="15">
        <v>307843.0</v>
      </c>
      <c r="E4986" s="15" t="s">
        <v>1557</v>
      </c>
      <c r="F4986" s="15" t="s">
        <v>1767</v>
      </c>
      <c r="G4986" s="7">
        <v>54.295</v>
      </c>
      <c r="H4986" s="42">
        <v>43248.0</v>
      </c>
      <c r="I4986" s="15" t="s">
        <v>1586</v>
      </c>
      <c r="J4986" s="15" t="s">
        <v>19537</v>
      </c>
      <c r="K4986" s="15">
        <v>87.0</v>
      </c>
      <c r="L4986" s="15">
        <v>88.0</v>
      </c>
      <c r="M4986" s="40">
        <v>41893.0</v>
      </c>
      <c r="N4986" s="40">
        <v>42375.0</v>
      </c>
      <c r="O4986" s="15" t="s">
        <v>2353</v>
      </c>
      <c r="Q4986" s="7"/>
    </row>
    <row r="4987">
      <c r="A4987" s="39" t="s">
        <v>19539</v>
      </c>
      <c r="B4987" s="15">
        <v>1505027.0</v>
      </c>
      <c r="C4987" s="15" t="s">
        <v>19540</v>
      </c>
      <c r="D4987" s="15">
        <v>307844.0</v>
      </c>
      <c r="E4987" s="15" t="s">
        <v>1557</v>
      </c>
      <c r="F4987" s="15" t="s">
        <v>1833</v>
      </c>
      <c r="G4987" s="7">
        <v>43.098</v>
      </c>
      <c r="H4987" s="15" t="s">
        <v>13643</v>
      </c>
      <c r="I4987" s="15" t="s">
        <v>1586</v>
      </c>
      <c r="J4987" s="15" t="s">
        <v>19541</v>
      </c>
      <c r="K4987" s="15">
        <v>66.0</v>
      </c>
      <c r="L4987" s="15">
        <v>66.0</v>
      </c>
      <c r="M4987" s="40">
        <v>42198.0</v>
      </c>
      <c r="N4987" s="40">
        <v>42374.0</v>
      </c>
      <c r="O4987" s="15" t="s">
        <v>1554</v>
      </c>
      <c r="Q4987" s="7"/>
    </row>
    <row r="4988">
      <c r="A4988" s="39" t="s">
        <v>19542</v>
      </c>
      <c r="B4988" s="15">
        <v>1505026.0</v>
      </c>
      <c r="C4988" s="15" t="s">
        <v>19543</v>
      </c>
      <c r="D4988" s="15">
        <v>307845.0</v>
      </c>
      <c r="E4988" s="15" t="s">
        <v>1557</v>
      </c>
      <c r="F4988" s="15" t="s">
        <v>1833</v>
      </c>
      <c r="G4988" s="7">
        <v>41.931</v>
      </c>
      <c r="H4988" s="15" t="s">
        <v>3568</v>
      </c>
      <c r="I4988" s="15" t="s">
        <v>1586</v>
      </c>
      <c r="J4988" s="15" t="s">
        <v>19544</v>
      </c>
      <c r="K4988" s="15">
        <v>66.0</v>
      </c>
      <c r="L4988" s="15">
        <v>66.0</v>
      </c>
      <c r="M4988" s="40">
        <v>42198.0</v>
      </c>
      <c r="N4988" s="40">
        <v>42374.0</v>
      </c>
      <c r="O4988" s="15" t="s">
        <v>1554</v>
      </c>
      <c r="Q4988" s="7"/>
    </row>
    <row r="4989">
      <c r="A4989" s="39" t="s">
        <v>19545</v>
      </c>
      <c r="B4989" s="15">
        <v>1504569.0</v>
      </c>
      <c r="C4989" s="15" t="s">
        <v>19546</v>
      </c>
      <c r="D4989" s="15">
        <v>307846.0</v>
      </c>
      <c r="E4989" s="15" t="s">
        <v>1548</v>
      </c>
      <c r="F4989" s="15" t="s">
        <v>1890</v>
      </c>
      <c r="G4989" s="7">
        <v>15.541</v>
      </c>
      <c r="H4989" s="15" t="s">
        <v>2686</v>
      </c>
      <c r="I4989" s="15" t="s">
        <v>1706</v>
      </c>
      <c r="J4989" s="15" t="s">
        <v>19548</v>
      </c>
      <c r="K4989" s="15">
        <v>8.0</v>
      </c>
      <c r="L4989" s="15">
        <v>8.0</v>
      </c>
      <c r="M4989" s="40">
        <v>41798.0</v>
      </c>
      <c r="N4989" s="40">
        <v>42374.0</v>
      </c>
      <c r="O4989" s="15" t="s">
        <v>1554</v>
      </c>
      <c r="Q4989" s="7"/>
    </row>
    <row r="4990">
      <c r="A4990" s="39" t="s">
        <v>19549</v>
      </c>
      <c r="B4990" s="15">
        <v>1503293.0</v>
      </c>
      <c r="C4990" s="15" t="s">
        <v>19550</v>
      </c>
      <c r="D4990" s="15">
        <v>307855.0</v>
      </c>
      <c r="E4990" s="15" t="s">
        <v>1548</v>
      </c>
      <c r="F4990" s="15" t="s">
        <v>1684</v>
      </c>
      <c r="G4990" s="7">
        <v>26.975</v>
      </c>
      <c r="H4990" s="15" t="s">
        <v>2233</v>
      </c>
      <c r="I4990" s="15" t="s">
        <v>1686</v>
      </c>
      <c r="J4990" s="15" t="s">
        <v>19551</v>
      </c>
      <c r="K4990" s="15">
        <v>6.0</v>
      </c>
      <c r="L4990" s="15">
        <v>6.0</v>
      </c>
      <c r="M4990" s="41">
        <v>42369.0</v>
      </c>
      <c r="N4990" s="40">
        <v>42930.0</v>
      </c>
      <c r="O4990" s="15" t="s">
        <v>1554</v>
      </c>
      <c r="Q4990" s="7"/>
    </row>
    <row r="4991">
      <c r="A4991" s="39" t="s">
        <v>19552</v>
      </c>
      <c r="B4991" s="15">
        <v>1503292.0</v>
      </c>
      <c r="C4991" s="15" t="s">
        <v>19553</v>
      </c>
      <c r="D4991" s="15">
        <v>307856.0</v>
      </c>
      <c r="E4991" s="15" t="s">
        <v>1548</v>
      </c>
      <c r="F4991" s="15" t="s">
        <v>1684</v>
      </c>
      <c r="G4991" s="7">
        <v>27.608</v>
      </c>
      <c r="H4991" s="15" t="s">
        <v>2824</v>
      </c>
      <c r="I4991" s="15" t="s">
        <v>1686</v>
      </c>
      <c r="J4991" s="15" t="s">
        <v>19554</v>
      </c>
      <c r="K4991" s="15">
        <v>7.0</v>
      </c>
      <c r="L4991" s="15">
        <v>7.0</v>
      </c>
      <c r="M4991" s="41">
        <v>42369.0</v>
      </c>
      <c r="N4991" s="40">
        <v>42930.0</v>
      </c>
      <c r="O4991" s="15" t="s">
        <v>1554</v>
      </c>
      <c r="Q4991" s="7"/>
    </row>
    <row r="4992">
      <c r="A4992" s="39" t="s">
        <v>19555</v>
      </c>
      <c r="B4992" s="15">
        <v>1503291.0</v>
      </c>
      <c r="C4992" s="15" t="s">
        <v>19556</v>
      </c>
      <c r="D4992" s="15">
        <v>307857.0</v>
      </c>
      <c r="E4992" s="15" t="s">
        <v>1548</v>
      </c>
      <c r="F4992" s="15" t="s">
        <v>1684</v>
      </c>
      <c r="G4992" s="7">
        <v>27.783</v>
      </c>
      <c r="H4992" s="15" t="s">
        <v>2049</v>
      </c>
      <c r="I4992" s="15" t="s">
        <v>1686</v>
      </c>
      <c r="J4992" s="15" t="s">
        <v>19557</v>
      </c>
      <c r="K4992" s="15">
        <v>6.0</v>
      </c>
      <c r="L4992" s="15">
        <v>6.0</v>
      </c>
      <c r="M4992" s="41">
        <v>42369.0</v>
      </c>
      <c r="N4992" s="40">
        <v>42930.0</v>
      </c>
      <c r="O4992" s="15" t="s">
        <v>1554</v>
      </c>
      <c r="Q4992" s="7"/>
    </row>
    <row r="4993">
      <c r="A4993" s="39" t="s">
        <v>19558</v>
      </c>
      <c r="B4993" s="15">
        <v>1503289.0</v>
      </c>
      <c r="C4993" s="15" t="s">
        <v>19559</v>
      </c>
      <c r="D4993" s="15">
        <v>307859.0</v>
      </c>
      <c r="E4993" s="15" t="s">
        <v>1548</v>
      </c>
      <c r="F4993" s="15" t="s">
        <v>1684</v>
      </c>
      <c r="G4993" s="7">
        <v>27.935</v>
      </c>
      <c r="H4993" s="15">
        <v>41.0</v>
      </c>
      <c r="I4993" s="15" t="s">
        <v>1686</v>
      </c>
      <c r="J4993" s="15" t="s">
        <v>19561</v>
      </c>
      <c r="K4993" s="15">
        <v>6.0</v>
      </c>
      <c r="L4993" s="15">
        <v>6.0</v>
      </c>
      <c r="M4993" s="41">
        <v>42369.0</v>
      </c>
      <c r="N4993" s="40">
        <v>42930.0</v>
      </c>
      <c r="O4993" s="15" t="s">
        <v>1554</v>
      </c>
      <c r="Q4993" s="7"/>
    </row>
    <row r="4994">
      <c r="A4994" s="39" t="s">
        <v>19562</v>
      </c>
      <c r="B4994" s="15">
        <v>1481785.0</v>
      </c>
      <c r="C4994" s="15" t="s">
        <v>19563</v>
      </c>
      <c r="D4994" s="15">
        <v>307866.0</v>
      </c>
      <c r="E4994" s="15" t="s">
        <v>1557</v>
      </c>
      <c r="F4994" s="15" t="s">
        <v>1611</v>
      </c>
      <c r="G4994" s="7">
        <v>44.36</v>
      </c>
      <c r="H4994" s="15" t="s">
        <v>4190</v>
      </c>
      <c r="I4994" s="15" t="s">
        <v>1586</v>
      </c>
      <c r="J4994" s="15" t="s">
        <v>19564</v>
      </c>
      <c r="K4994" s="15">
        <v>43.0</v>
      </c>
      <c r="L4994" s="15">
        <v>43.0</v>
      </c>
      <c r="M4994" s="40">
        <v>41824.0</v>
      </c>
      <c r="N4994" s="40">
        <v>42374.0</v>
      </c>
      <c r="O4994" s="15" t="s">
        <v>1554</v>
      </c>
      <c r="Q4994" s="7"/>
    </row>
    <row r="4995">
      <c r="A4995" s="39" t="s">
        <v>19565</v>
      </c>
      <c r="B4995" s="15">
        <v>1476584.0</v>
      </c>
      <c r="C4995" s="15" t="s">
        <v>19566</v>
      </c>
      <c r="D4995" s="15">
        <v>307867.0</v>
      </c>
      <c r="E4995" s="15" t="s">
        <v>1548</v>
      </c>
      <c r="F4995" s="15" t="s">
        <v>1626</v>
      </c>
      <c r="G4995" s="7">
        <v>9.895</v>
      </c>
      <c r="H4995" s="15" t="s">
        <v>19567</v>
      </c>
      <c r="I4995" s="15" t="s">
        <v>1628</v>
      </c>
      <c r="J4995" s="15" t="s">
        <v>19568</v>
      </c>
      <c r="K4995" s="15">
        <v>2.0</v>
      </c>
      <c r="L4995" s="15">
        <v>2.0</v>
      </c>
      <c r="M4995" s="41">
        <v>42361.0</v>
      </c>
      <c r="N4995" s="40">
        <v>42377.0</v>
      </c>
      <c r="O4995" s="15" t="s">
        <v>1554</v>
      </c>
      <c r="Q4995" s="7"/>
    </row>
    <row r="4996">
      <c r="A4996" s="39" t="s">
        <v>19569</v>
      </c>
      <c r="B4996" s="15">
        <v>1445553.0</v>
      </c>
      <c r="C4996" s="15" t="s">
        <v>19570</v>
      </c>
      <c r="D4996" s="15">
        <v>307868.0</v>
      </c>
      <c r="E4996" s="15" t="s">
        <v>1557</v>
      </c>
      <c r="F4996" s="15" t="s">
        <v>1767</v>
      </c>
      <c r="G4996" s="7">
        <v>32.0</v>
      </c>
      <c r="H4996" s="42">
        <v>43250.0</v>
      </c>
      <c r="I4996" s="15" t="s">
        <v>1586</v>
      </c>
      <c r="J4996" s="15" t="s">
        <v>19571</v>
      </c>
      <c r="K4996" s="15">
        <v>48.0</v>
      </c>
      <c r="L4996" s="15">
        <v>49.0</v>
      </c>
      <c r="M4996" s="40">
        <v>42236.0</v>
      </c>
      <c r="N4996" s="40">
        <v>42375.0</v>
      </c>
      <c r="O4996" s="15" t="s">
        <v>2353</v>
      </c>
      <c r="Q4996" s="7"/>
    </row>
    <row r="4997">
      <c r="A4997" s="39" t="s">
        <v>19572</v>
      </c>
      <c r="B4997" s="15">
        <v>1246849.0</v>
      </c>
      <c r="C4997" s="15" t="s">
        <v>19573</v>
      </c>
      <c r="D4997" s="15">
        <v>307869.0</v>
      </c>
      <c r="E4997" s="15" t="s">
        <v>2014</v>
      </c>
      <c r="F4997" s="15" t="s">
        <v>2018</v>
      </c>
      <c r="G4997" s="7">
        <v>1.317</v>
      </c>
      <c r="H4997" s="15" t="s">
        <v>2023</v>
      </c>
      <c r="I4997" s="15" t="s">
        <v>1628</v>
      </c>
      <c r="J4997" s="15" t="s">
        <v>19574</v>
      </c>
      <c r="K4997" s="15">
        <v>1.0</v>
      </c>
      <c r="L4997" s="15">
        <v>1.0</v>
      </c>
      <c r="M4997" s="41">
        <v>42365.0</v>
      </c>
      <c r="N4997" s="40">
        <v>42453.0</v>
      </c>
      <c r="O4997" s="15" t="s">
        <v>1554</v>
      </c>
      <c r="Q4997" s="7"/>
    </row>
    <row r="4998">
      <c r="A4998" s="39" t="s">
        <v>19575</v>
      </c>
      <c r="B4998" s="15">
        <v>1211280.0</v>
      </c>
      <c r="C4998" s="15" t="s">
        <v>19577</v>
      </c>
      <c r="D4998" s="15">
        <v>307871.0</v>
      </c>
      <c r="E4998" s="15" t="s">
        <v>1557</v>
      </c>
      <c r="F4998" s="15" t="s">
        <v>1767</v>
      </c>
      <c r="G4998" s="7">
        <v>162.327</v>
      </c>
      <c r="H4998" s="15" t="s">
        <v>2820</v>
      </c>
      <c r="I4998" s="15" t="s">
        <v>1586</v>
      </c>
      <c r="J4998" s="15" t="s">
        <v>19578</v>
      </c>
      <c r="K4998" s="15">
        <v>194.0</v>
      </c>
      <c r="L4998" s="15">
        <v>178.0</v>
      </c>
      <c r="M4998" s="40">
        <v>41147.0</v>
      </c>
      <c r="N4998" s="40">
        <v>42374.0</v>
      </c>
      <c r="O4998" s="15" t="s">
        <v>1554</v>
      </c>
      <c r="Q4998" s="7"/>
    </row>
    <row r="4999">
      <c r="A4999" s="39" t="s">
        <v>19579</v>
      </c>
      <c r="B4999" s="15">
        <v>10848.0</v>
      </c>
      <c r="C4999" s="15" t="s">
        <v>19580</v>
      </c>
      <c r="D4999" s="15">
        <v>307872.0</v>
      </c>
      <c r="E4999" s="15" t="s">
        <v>1808</v>
      </c>
      <c r="F4999" s="15" t="s">
        <v>3154</v>
      </c>
      <c r="G4999" s="7">
        <v>6.089</v>
      </c>
      <c r="H4999" s="15" t="s">
        <v>1828</v>
      </c>
      <c r="I4999" s="15" t="s">
        <v>1586</v>
      </c>
      <c r="J4999" s="15" t="s">
        <v>19581</v>
      </c>
      <c r="K4999" s="15">
        <v>10.0</v>
      </c>
      <c r="L4999" s="15">
        <v>10.0</v>
      </c>
      <c r="M4999" s="40">
        <v>35276.0</v>
      </c>
      <c r="N4999" s="40">
        <v>42375.0</v>
      </c>
      <c r="O4999" s="15" t="s">
        <v>1554</v>
      </c>
      <c r="Q4999" s="7"/>
    </row>
    <row r="5000">
      <c r="A5000" s="39" t="s">
        <v>19582</v>
      </c>
      <c r="B5000" s="15">
        <v>1035482.0</v>
      </c>
      <c r="C5000" s="15" t="s">
        <v>19583</v>
      </c>
      <c r="D5000" s="15">
        <v>307873.0</v>
      </c>
      <c r="E5000" s="15" t="s">
        <v>1557</v>
      </c>
      <c r="F5000" s="15" t="s">
        <v>1833</v>
      </c>
      <c r="G5000" s="7">
        <v>69.118</v>
      </c>
      <c r="H5000" s="15" t="s">
        <v>2400</v>
      </c>
      <c r="I5000" s="15" t="s">
        <v>1586</v>
      </c>
      <c r="J5000" s="15" t="s">
        <v>19584</v>
      </c>
      <c r="K5000" s="15">
        <v>102.0</v>
      </c>
      <c r="L5000" s="15">
        <v>102.0</v>
      </c>
      <c r="M5000" s="40">
        <v>40740.0</v>
      </c>
      <c r="N5000" s="40">
        <v>42374.0</v>
      </c>
      <c r="O5000" s="15" t="s">
        <v>1554</v>
      </c>
      <c r="Q5000" s="7"/>
    </row>
    <row r="5001">
      <c r="A5001" s="39" t="s">
        <v>19586</v>
      </c>
      <c r="B5001" s="15">
        <v>103216.0</v>
      </c>
      <c r="C5001" s="15" t="s">
        <v>19587</v>
      </c>
      <c r="D5001" s="15">
        <v>307874.0</v>
      </c>
      <c r="E5001" s="15" t="s">
        <v>1557</v>
      </c>
      <c r="F5001" s="15" t="s">
        <v>1767</v>
      </c>
      <c r="G5001" s="7">
        <v>32.684</v>
      </c>
      <c r="H5001" s="15" t="s">
        <v>1705</v>
      </c>
      <c r="I5001" s="15" t="s">
        <v>1586</v>
      </c>
      <c r="J5001" s="15" t="s">
        <v>19588</v>
      </c>
      <c r="K5001" s="15">
        <v>45.0</v>
      </c>
      <c r="L5001" s="15">
        <v>44.0</v>
      </c>
      <c r="M5001" s="40">
        <v>37835.0</v>
      </c>
      <c r="N5001" s="40">
        <v>42374.0</v>
      </c>
      <c r="O5001" s="15" t="s">
        <v>1554</v>
      </c>
      <c r="Q5001" s="7"/>
    </row>
    <row r="5002">
      <c r="A5002" s="39" t="s">
        <v>19589</v>
      </c>
      <c r="B5002" s="15">
        <v>1739611.0</v>
      </c>
      <c r="C5002" s="15" t="s">
        <v>19590</v>
      </c>
      <c r="D5002" s="15">
        <v>307876.0</v>
      </c>
      <c r="E5002" s="15" t="s">
        <v>1557</v>
      </c>
      <c r="F5002" s="15" t="s">
        <v>1833</v>
      </c>
      <c r="G5002" s="7">
        <v>34.176</v>
      </c>
      <c r="H5002" s="15">
        <v>45.0</v>
      </c>
      <c r="I5002" s="15" t="s">
        <v>1586</v>
      </c>
      <c r="J5002" s="15" t="s">
        <v>19591</v>
      </c>
      <c r="K5002" s="15">
        <v>50.0</v>
      </c>
      <c r="L5002" s="15">
        <v>50.0</v>
      </c>
      <c r="M5002" s="41">
        <v>42298.0</v>
      </c>
      <c r="N5002" s="40">
        <v>42551.0</v>
      </c>
      <c r="O5002" s="15" t="s">
        <v>1554</v>
      </c>
      <c r="Q5002" s="7"/>
    </row>
    <row r="5003">
      <c r="A5003" s="39" t="s">
        <v>19592</v>
      </c>
      <c r="B5003" s="15">
        <v>1739610.0</v>
      </c>
      <c r="C5003" s="15" t="s">
        <v>19593</v>
      </c>
      <c r="D5003" s="15">
        <v>307877.0</v>
      </c>
      <c r="E5003" s="15" t="s">
        <v>1557</v>
      </c>
      <c r="F5003" s="15" t="s">
        <v>1833</v>
      </c>
      <c r="G5003" s="7">
        <v>39.399</v>
      </c>
      <c r="H5003" s="15" t="s">
        <v>1792</v>
      </c>
      <c r="I5003" s="15" t="s">
        <v>1586</v>
      </c>
      <c r="J5003" s="15" t="s">
        <v>19595</v>
      </c>
      <c r="K5003" s="15">
        <v>61.0</v>
      </c>
      <c r="L5003" s="15">
        <v>60.0</v>
      </c>
      <c r="M5003" s="41">
        <v>42298.0</v>
      </c>
      <c r="N5003" s="40">
        <v>42551.0</v>
      </c>
      <c r="O5003" s="15" t="s">
        <v>1554</v>
      </c>
      <c r="Q5003" s="7"/>
    </row>
    <row r="5004">
      <c r="A5004" s="39" t="s">
        <v>19596</v>
      </c>
      <c r="B5004" s="15">
        <v>1739609.0</v>
      </c>
      <c r="C5004" s="15" t="s">
        <v>19597</v>
      </c>
      <c r="D5004" s="15">
        <v>307878.0</v>
      </c>
      <c r="E5004" s="15" t="s">
        <v>1557</v>
      </c>
      <c r="F5004" s="15" t="s">
        <v>1833</v>
      </c>
      <c r="G5004" s="7">
        <v>34.155</v>
      </c>
      <c r="H5004" s="15" t="s">
        <v>8889</v>
      </c>
      <c r="I5004" s="15" t="s">
        <v>1586</v>
      </c>
      <c r="J5004" s="15" t="s">
        <v>19598</v>
      </c>
      <c r="K5004" s="15">
        <v>50.0</v>
      </c>
      <c r="L5004" s="15">
        <v>50.0</v>
      </c>
      <c r="M5004" s="41">
        <v>42298.0</v>
      </c>
      <c r="N5004" s="40">
        <v>42551.0</v>
      </c>
      <c r="O5004" s="15" t="s">
        <v>1554</v>
      </c>
      <c r="Q5004" s="7"/>
    </row>
    <row r="5005">
      <c r="A5005" s="39" t="s">
        <v>19599</v>
      </c>
      <c r="B5005" s="15">
        <v>1739608.0</v>
      </c>
      <c r="C5005" s="15" t="s">
        <v>19600</v>
      </c>
      <c r="D5005" s="15">
        <v>307879.0</v>
      </c>
      <c r="E5005" s="15" t="s">
        <v>1557</v>
      </c>
      <c r="F5005" s="15" t="s">
        <v>1833</v>
      </c>
      <c r="G5005" s="7">
        <v>38.751</v>
      </c>
      <c r="H5005" s="15" t="s">
        <v>1828</v>
      </c>
      <c r="I5005" s="15" t="s">
        <v>1586</v>
      </c>
      <c r="J5005" s="15" t="s">
        <v>19601</v>
      </c>
      <c r="K5005" s="15">
        <v>61.0</v>
      </c>
      <c r="L5005" s="15">
        <v>60.0</v>
      </c>
      <c r="M5005" s="41">
        <v>42298.0</v>
      </c>
      <c r="N5005" s="40">
        <v>42551.0</v>
      </c>
      <c r="O5005" s="15" t="s">
        <v>1554</v>
      </c>
      <c r="Q5005" s="7"/>
    </row>
    <row r="5006">
      <c r="A5006" s="39" t="s">
        <v>19603</v>
      </c>
      <c r="B5006" s="15">
        <v>1739607.0</v>
      </c>
      <c r="C5006" s="15" t="s">
        <v>19604</v>
      </c>
      <c r="D5006" s="15">
        <v>307880.0</v>
      </c>
      <c r="E5006" s="15" t="s">
        <v>1557</v>
      </c>
      <c r="F5006" s="15" t="s">
        <v>1833</v>
      </c>
      <c r="G5006" s="7">
        <v>39.474</v>
      </c>
      <c r="H5006" s="15" t="s">
        <v>3097</v>
      </c>
      <c r="I5006" s="15" t="s">
        <v>1586</v>
      </c>
      <c r="J5006" s="15" t="s">
        <v>19605</v>
      </c>
      <c r="K5006" s="15">
        <v>62.0</v>
      </c>
      <c r="L5006" s="15">
        <v>62.0</v>
      </c>
      <c r="M5006" s="41">
        <v>42298.0</v>
      </c>
      <c r="N5006" s="40">
        <v>42551.0</v>
      </c>
      <c r="O5006" s="15" t="s">
        <v>1554</v>
      </c>
      <c r="Q5006" s="7"/>
    </row>
    <row r="5007">
      <c r="A5007" s="39" t="s">
        <v>19606</v>
      </c>
      <c r="B5007" s="15">
        <v>1734382.0</v>
      </c>
      <c r="C5007" s="15" t="s">
        <v>19607</v>
      </c>
      <c r="D5007" s="15">
        <v>307881.0</v>
      </c>
      <c r="E5007" s="15" t="s">
        <v>1557</v>
      </c>
      <c r="F5007" s="15" t="s">
        <v>1611</v>
      </c>
      <c r="G5007" s="7">
        <v>18.609</v>
      </c>
      <c r="H5007" s="15" t="s">
        <v>2699</v>
      </c>
      <c r="I5007" s="15" t="s">
        <v>1586</v>
      </c>
      <c r="J5007" s="15" t="s">
        <v>19608</v>
      </c>
      <c r="K5007" s="15">
        <v>25.0</v>
      </c>
      <c r="L5007" s="15">
        <v>25.0</v>
      </c>
      <c r="M5007" s="41">
        <v>42288.0</v>
      </c>
      <c r="N5007" s="40">
        <v>42495.0</v>
      </c>
      <c r="O5007" s="15" t="s">
        <v>1554</v>
      </c>
      <c r="Q5007" s="7"/>
    </row>
    <row r="5008">
      <c r="A5008" s="39" t="s">
        <v>19610</v>
      </c>
      <c r="B5008" s="15">
        <v>1732064.0</v>
      </c>
      <c r="C5008" s="15" t="s">
        <v>19611</v>
      </c>
      <c r="D5008" s="15">
        <v>307882.0</v>
      </c>
      <c r="E5008" s="15" t="s">
        <v>1557</v>
      </c>
      <c r="F5008" s="15" t="s">
        <v>1833</v>
      </c>
      <c r="G5008" s="7">
        <v>40.67</v>
      </c>
      <c r="H5008" s="15" t="s">
        <v>3862</v>
      </c>
      <c r="I5008" s="15" t="s">
        <v>1586</v>
      </c>
      <c r="J5008" s="15" t="s">
        <v>19612</v>
      </c>
      <c r="K5008" s="15">
        <v>59.0</v>
      </c>
      <c r="L5008" s="15">
        <v>59.0</v>
      </c>
      <c r="M5008" s="41">
        <v>42288.0</v>
      </c>
      <c r="N5008" s="40">
        <v>42374.0</v>
      </c>
      <c r="O5008" s="15" t="s">
        <v>1554</v>
      </c>
      <c r="Q5008" s="7"/>
    </row>
    <row r="5009">
      <c r="A5009" s="39" t="s">
        <v>19613</v>
      </c>
      <c r="B5009" s="15">
        <v>1718600.0</v>
      </c>
      <c r="C5009" s="15" t="s">
        <v>19614</v>
      </c>
      <c r="D5009" s="15">
        <v>307883.0</v>
      </c>
      <c r="E5009" s="15" t="s">
        <v>1557</v>
      </c>
      <c r="F5009" s="15" t="s">
        <v>1833</v>
      </c>
      <c r="G5009" s="7">
        <v>58.065</v>
      </c>
      <c r="H5009" s="15" t="s">
        <v>19615</v>
      </c>
      <c r="I5009" s="15" t="s">
        <v>1586</v>
      </c>
      <c r="J5009" s="15" t="s">
        <v>19616</v>
      </c>
      <c r="K5009" s="15">
        <v>94.0</v>
      </c>
      <c r="L5009" s="15">
        <v>94.0</v>
      </c>
      <c r="M5009" s="40">
        <v>42270.0</v>
      </c>
      <c r="N5009" s="40">
        <v>42374.0</v>
      </c>
      <c r="O5009" s="15" t="s">
        <v>1554</v>
      </c>
      <c r="Q5009" s="7"/>
    </row>
    <row r="5010">
      <c r="A5010" s="39" t="s">
        <v>19617</v>
      </c>
      <c r="B5010" s="15">
        <v>1718599.0</v>
      </c>
      <c r="C5010" s="15" t="s">
        <v>19618</v>
      </c>
      <c r="D5010" s="15">
        <v>307884.0</v>
      </c>
      <c r="E5010" s="15" t="s">
        <v>1557</v>
      </c>
      <c r="F5010" s="15" t="s">
        <v>1833</v>
      </c>
      <c r="G5010" s="7">
        <v>76.271</v>
      </c>
      <c r="H5010" s="15" t="s">
        <v>6183</v>
      </c>
      <c r="I5010" s="15" t="s">
        <v>1586</v>
      </c>
      <c r="J5010" s="15" t="s">
        <v>19619</v>
      </c>
      <c r="K5010" s="15">
        <v>140.0</v>
      </c>
      <c r="L5010" s="15">
        <v>128.0</v>
      </c>
      <c r="M5010" s="40">
        <v>42270.0</v>
      </c>
      <c r="N5010" s="40">
        <v>42374.0</v>
      </c>
      <c r="O5010" s="15" t="s">
        <v>1554</v>
      </c>
      <c r="Q5010" s="7"/>
    </row>
    <row r="5011">
      <c r="A5011" s="39" t="s">
        <v>19620</v>
      </c>
      <c r="B5011" s="15">
        <v>1718273.0</v>
      </c>
      <c r="C5011" s="15" t="s">
        <v>19621</v>
      </c>
      <c r="D5011" s="15">
        <v>307885.0</v>
      </c>
      <c r="E5011" s="15" t="s">
        <v>1557</v>
      </c>
      <c r="F5011" s="15" t="s">
        <v>1833</v>
      </c>
      <c r="G5011" s="7">
        <v>62.181</v>
      </c>
      <c r="H5011" s="15" t="s">
        <v>4117</v>
      </c>
      <c r="I5011" s="15" t="s">
        <v>1586</v>
      </c>
      <c r="J5011" s="15" t="s">
        <v>19622</v>
      </c>
      <c r="K5011" s="15">
        <v>88.0</v>
      </c>
      <c r="L5011" s="15">
        <v>88.0</v>
      </c>
      <c r="M5011" s="40">
        <v>42276.0</v>
      </c>
      <c r="N5011" s="40">
        <v>42542.0</v>
      </c>
      <c r="O5011" s="15" t="s">
        <v>1554</v>
      </c>
      <c r="Q5011" s="7"/>
    </row>
    <row r="5012">
      <c r="A5012" s="39" t="s">
        <v>19623</v>
      </c>
      <c r="B5012" s="15">
        <v>1718172.0</v>
      </c>
      <c r="C5012" s="15" t="s">
        <v>19624</v>
      </c>
      <c r="D5012" s="15">
        <v>307886.0</v>
      </c>
      <c r="E5012" s="15" t="s">
        <v>1557</v>
      </c>
      <c r="F5012" s="15" t="s">
        <v>1833</v>
      </c>
      <c r="G5012" s="7">
        <v>50.999</v>
      </c>
      <c r="H5012" s="15" t="s">
        <v>13856</v>
      </c>
      <c r="I5012" s="15" t="s">
        <v>1586</v>
      </c>
      <c r="J5012" s="15" t="s">
        <v>19626</v>
      </c>
      <c r="K5012" s="15">
        <v>88.0</v>
      </c>
      <c r="L5012" s="15">
        <v>87.0</v>
      </c>
      <c r="M5012" s="41">
        <v>42288.0</v>
      </c>
      <c r="N5012" s="40">
        <v>42374.0</v>
      </c>
      <c r="O5012" s="15" t="s">
        <v>1554</v>
      </c>
      <c r="Q5012" s="7"/>
    </row>
    <row r="5013">
      <c r="A5013" s="39" t="s">
        <v>19627</v>
      </c>
      <c r="B5013" s="15">
        <v>1718171.0</v>
      </c>
      <c r="C5013" s="15" t="s">
        <v>19628</v>
      </c>
      <c r="D5013" s="15">
        <v>307887.0</v>
      </c>
      <c r="E5013" s="15" t="s">
        <v>1557</v>
      </c>
      <c r="F5013" s="15" t="s">
        <v>1833</v>
      </c>
      <c r="G5013" s="7">
        <v>50.614</v>
      </c>
      <c r="H5013" s="15" t="s">
        <v>3832</v>
      </c>
      <c r="I5013" s="15" t="s">
        <v>1586</v>
      </c>
      <c r="J5013" s="15" t="s">
        <v>19629</v>
      </c>
      <c r="K5013" s="15">
        <v>92.0</v>
      </c>
      <c r="L5013" s="15">
        <v>91.0</v>
      </c>
      <c r="M5013" s="41">
        <v>42288.0</v>
      </c>
      <c r="N5013" s="40">
        <v>42374.0</v>
      </c>
      <c r="O5013" s="15" t="s">
        <v>1554</v>
      </c>
      <c r="Q5013" s="7"/>
    </row>
    <row r="5014">
      <c r="A5014" s="39" t="s">
        <v>19630</v>
      </c>
      <c r="B5014" s="15">
        <v>1718161.0</v>
      </c>
      <c r="C5014" s="15" t="s">
        <v>19631</v>
      </c>
      <c r="D5014" s="15">
        <v>307888.0</v>
      </c>
      <c r="E5014" s="15" t="s">
        <v>1557</v>
      </c>
      <c r="F5014" s="15" t="s">
        <v>1833</v>
      </c>
      <c r="G5014" s="7">
        <v>54.439</v>
      </c>
      <c r="H5014" s="15" t="s">
        <v>5382</v>
      </c>
      <c r="I5014" s="15" t="s">
        <v>1586</v>
      </c>
      <c r="J5014" s="15" t="s">
        <v>19633</v>
      </c>
      <c r="K5014" s="15">
        <v>92.0</v>
      </c>
      <c r="L5014" s="15">
        <v>92.0</v>
      </c>
      <c r="M5014" s="41">
        <v>42288.0</v>
      </c>
      <c r="N5014" s="40">
        <v>42451.0</v>
      </c>
      <c r="O5014" s="15" t="s">
        <v>1554</v>
      </c>
      <c r="Q5014" s="7"/>
    </row>
    <row r="5015">
      <c r="A5015" s="39" t="s">
        <v>19634</v>
      </c>
      <c r="B5015" s="15">
        <v>1718158.0</v>
      </c>
      <c r="C5015" s="15" t="s">
        <v>19635</v>
      </c>
      <c r="D5015" s="15">
        <v>307889.0</v>
      </c>
      <c r="E5015" s="15" t="s">
        <v>1557</v>
      </c>
      <c r="F5015" s="15" t="s">
        <v>1833</v>
      </c>
      <c r="G5015" s="7">
        <v>42.265</v>
      </c>
      <c r="H5015" s="15" t="s">
        <v>2103</v>
      </c>
      <c r="I5015" s="15" t="s">
        <v>1586</v>
      </c>
      <c r="J5015" s="15" t="s">
        <v>19636</v>
      </c>
      <c r="K5015" s="15">
        <v>70.0</v>
      </c>
      <c r="L5015" s="15">
        <v>70.0</v>
      </c>
      <c r="M5015" s="40">
        <v>42270.0</v>
      </c>
      <c r="N5015" s="40">
        <v>42374.0</v>
      </c>
      <c r="O5015" s="15" t="s">
        <v>1554</v>
      </c>
      <c r="Q5015" s="7"/>
    </row>
    <row r="5016">
      <c r="A5016" s="39" t="s">
        <v>19637</v>
      </c>
      <c r="B5016" s="15">
        <v>1716041.0</v>
      </c>
      <c r="C5016" s="15" t="s">
        <v>19638</v>
      </c>
      <c r="D5016" s="15">
        <v>307890.0</v>
      </c>
      <c r="E5016" s="15" t="s">
        <v>1557</v>
      </c>
      <c r="F5016" s="15" t="s">
        <v>1767</v>
      </c>
      <c r="G5016" s="7">
        <v>93.879</v>
      </c>
      <c r="H5016" s="15" t="s">
        <v>4821</v>
      </c>
      <c r="I5016" s="15" t="s">
        <v>1586</v>
      </c>
      <c r="J5016" s="15" t="s">
        <v>19639</v>
      </c>
      <c r="K5016" s="15">
        <v>191.0</v>
      </c>
      <c r="L5016" s="15">
        <v>178.0</v>
      </c>
      <c r="M5016" s="40">
        <v>42276.0</v>
      </c>
      <c r="N5016" s="40">
        <v>42444.0</v>
      </c>
      <c r="O5016" s="15" t="s">
        <v>1554</v>
      </c>
      <c r="Q5016" s="7"/>
    </row>
    <row r="5017">
      <c r="A5017" s="39" t="s">
        <v>19640</v>
      </c>
      <c r="B5017" s="15">
        <v>1701853.0</v>
      </c>
      <c r="C5017" s="15" t="s">
        <v>19641</v>
      </c>
      <c r="D5017" s="15">
        <v>307891.0</v>
      </c>
      <c r="E5017" s="15" t="s">
        <v>1557</v>
      </c>
      <c r="F5017" s="15" t="s">
        <v>1833</v>
      </c>
      <c r="G5017" s="7">
        <v>52.088</v>
      </c>
      <c r="H5017" s="15" t="s">
        <v>4499</v>
      </c>
      <c r="I5017" s="15" t="s">
        <v>1586</v>
      </c>
      <c r="J5017" s="15" t="s">
        <v>19642</v>
      </c>
      <c r="K5017" s="15">
        <v>99.0</v>
      </c>
      <c r="L5017" s="15">
        <v>97.0</v>
      </c>
      <c r="M5017" s="40">
        <v>42270.0</v>
      </c>
      <c r="N5017" s="40">
        <v>42374.0</v>
      </c>
      <c r="O5017" s="15" t="s">
        <v>1554</v>
      </c>
      <c r="Q5017" s="7"/>
    </row>
    <row r="5018">
      <c r="A5018" s="39" t="s">
        <v>19643</v>
      </c>
      <c r="B5018" s="15">
        <v>1701849.0</v>
      </c>
      <c r="C5018" s="15" t="s">
        <v>19644</v>
      </c>
      <c r="D5018" s="15">
        <v>307892.0</v>
      </c>
      <c r="E5018" s="15" t="s">
        <v>1557</v>
      </c>
      <c r="F5018" s="15" t="s">
        <v>1833</v>
      </c>
      <c r="G5018" s="7">
        <v>51.161</v>
      </c>
      <c r="H5018" s="15" t="s">
        <v>3029</v>
      </c>
      <c r="I5018" s="15" t="s">
        <v>1586</v>
      </c>
      <c r="J5018" s="15" t="s">
        <v>19646</v>
      </c>
      <c r="K5018" s="15">
        <v>86.0</v>
      </c>
      <c r="L5018" s="15">
        <v>86.0</v>
      </c>
      <c r="M5018" s="40">
        <v>42270.0</v>
      </c>
      <c r="N5018" s="40">
        <v>42374.0</v>
      </c>
      <c r="O5018" s="15" t="s">
        <v>1554</v>
      </c>
      <c r="Q5018" s="7"/>
    </row>
    <row r="5019">
      <c r="A5019" s="39" t="s">
        <v>19647</v>
      </c>
      <c r="B5019" s="15">
        <v>1701845.0</v>
      </c>
      <c r="C5019" s="15" t="s">
        <v>19648</v>
      </c>
      <c r="D5019" s="15">
        <v>307893.0</v>
      </c>
      <c r="E5019" s="15" t="s">
        <v>1557</v>
      </c>
      <c r="F5019" s="15" t="s">
        <v>1833</v>
      </c>
      <c r="G5019" s="7">
        <v>52.055</v>
      </c>
      <c r="H5019" s="15" t="s">
        <v>3542</v>
      </c>
      <c r="I5019" s="15" t="s">
        <v>1586</v>
      </c>
      <c r="J5019" s="15" t="s">
        <v>19649</v>
      </c>
      <c r="K5019" s="15">
        <v>90.0</v>
      </c>
      <c r="L5019" s="15">
        <v>90.0</v>
      </c>
      <c r="M5019" s="40">
        <v>42239.0</v>
      </c>
      <c r="N5019" s="40">
        <v>42374.0</v>
      </c>
      <c r="O5019" s="15" t="s">
        <v>1554</v>
      </c>
      <c r="Q5019" s="7"/>
    </row>
    <row r="5020">
      <c r="A5020" s="39" t="s">
        <v>19650</v>
      </c>
      <c r="B5020" s="15">
        <v>1698715.0</v>
      </c>
      <c r="C5020" s="15" t="s">
        <v>19651</v>
      </c>
      <c r="D5020" s="15">
        <v>307894.0</v>
      </c>
      <c r="E5020" s="15" t="s">
        <v>1557</v>
      </c>
      <c r="F5020" s="15" t="s">
        <v>1833</v>
      </c>
      <c r="G5020" s="7">
        <v>55.617</v>
      </c>
      <c r="H5020" s="15" t="s">
        <v>3086</v>
      </c>
      <c r="I5020" s="15" t="s">
        <v>1586</v>
      </c>
      <c r="J5020" s="15" t="s">
        <v>19652</v>
      </c>
      <c r="K5020" s="15">
        <v>95.0</v>
      </c>
      <c r="L5020" s="15">
        <v>95.0</v>
      </c>
      <c r="M5020" s="40">
        <v>42245.0</v>
      </c>
      <c r="N5020" s="40">
        <v>42374.0</v>
      </c>
      <c r="O5020" s="15" t="s">
        <v>1554</v>
      </c>
      <c r="Q5020" s="7"/>
    </row>
    <row r="5021">
      <c r="A5021" s="39" t="s">
        <v>19654</v>
      </c>
      <c r="B5021" s="15">
        <v>1698714.0</v>
      </c>
      <c r="C5021" s="15" t="s">
        <v>19655</v>
      </c>
      <c r="D5021" s="15">
        <v>307895.0</v>
      </c>
      <c r="E5021" s="15" t="s">
        <v>1557</v>
      </c>
      <c r="F5021" s="15" t="s">
        <v>1833</v>
      </c>
      <c r="G5021" s="7">
        <v>75.626</v>
      </c>
      <c r="H5021" s="15" t="s">
        <v>10407</v>
      </c>
      <c r="I5021" s="15" t="s">
        <v>1586</v>
      </c>
      <c r="J5021" s="15" t="s">
        <v>19656</v>
      </c>
      <c r="K5021" s="15">
        <v>140.0</v>
      </c>
      <c r="L5021" s="15">
        <v>130.0</v>
      </c>
      <c r="M5021" s="40">
        <v>42270.0</v>
      </c>
      <c r="N5021" s="40">
        <v>42374.0</v>
      </c>
      <c r="O5021" s="15" t="s">
        <v>1554</v>
      </c>
      <c r="Q5021" s="7"/>
    </row>
    <row r="5022">
      <c r="A5022" s="39" t="s">
        <v>19657</v>
      </c>
      <c r="B5022" s="15">
        <v>1699095.0</v>
      </c>
      <c r="C5022" s="15" t="s">
        <v>19658</v>
      </c>
      <c r="D5022" s="15">
        <v>306529.0</v>
      </c>
      <c r="E5022" s="15" t="s">
        <v>1548</v>
      </c>
      <c r="F5022" s="15" t="s">
        <v>1684</v>
      </c>
      <c r="G5022" s="7">
        <v>27.395</v>
      </c>
      <c r="H5022" s="15" t="s">
        <v>6633</v>
      </c>
      <c r="I5022" s="15" t="s">
        <v>1567</v>
      </c>
      <c r="J5022" s="15" t="s">
        <v>19659</v>
      </c>
      <c r="K5022" s="15">
        <v>7.0</v>
      </c>
      <c r="L5022" s="15">
        <v>7.0</v>
      </c>
      <c r="M5022" s="41">
        <v>42355.0</v>
      </c>
      <c r="N5022" s="40">
        <v>42374.0</v>
      </c>
      <c r="O5022" s="15" t="s">
        <v>1554</v>
      </c>
      <c r="Q5022" s="7"/>
    </row>
    <row r="5023">
      <c r="A5023" s="39" t="s">
        <v>19660</v>
      </c>
      <c r="B5023" s="15">
        <v>1640970.0</v>
      </c>
      <c r="C5023" s="15" t="s">
        <v>19661</v>
      </c>
      <c r="D5023" s="15">
        <v>307055.0</v>
      </c>
      <c r="E5023" s="15" t="s">
        <v>1557</v>
      </c>
      <c r="F5023" s="15" t="s">
        <v>1767</v>
      </c>
      <c r="G5023" s="7">
        <v>66.103</v>
      </c>
      <c r="H5023" s="15" t="s">
        <v>3776</v>
      </c>
      <c r="I5023" s="15" t="s">
        <v>1586</v>
      </c>
      <c r="J5023" s="15" t="s">
        <v>19663</v>
      </c>
      <c r="K5023" s="15">
        <v>89.0</v>
      </c>
      <c r="L5023" s="15">
        <v>89.0</v>
      </c>
      <c r="M5023" s="40">
        <v>42130.0</v>
      </c>
      <c r="N5023" s="40">
        <v>42445.0</v>
      </c>
      <c r="O5023" s="15" t="s">
        <v>1554</v>
      </c>
      <c r="Q5023" s="7"/>
    </row>
    <row r="5024">
      <c r="A5024" s="39" t="s">
        <v>19664</v>
      </c>
      <c r="B5024" s="15">
        <v>1636257.0</v>
      </c>
      <c r="C5024" s="15" t="s">
        <v>19665</v>
      </c>
      <c r="D5024" s="15">
        <v>307065.0</v>
      </c>
      <c r="E5024" s="15" t="s">
        <v>1557</v>
      </c>
      <c r="F5024" s="15" t="s">
        <v>1833</v>
      </c>
      <c r="G5024" s="7">
        <v>44.249</v>
      </c>
      <c r="H5024" s="15" t="s">
        <v>1902</v>
      </c>
      <c r="I5024" s="15" t="s">
        <v>1586</v>
      </c>
      <c r="J5024" s="15" t="s">
        <v>19666</v>
      </c>
      <c r="K5024" s="15">
        <v>84.0</v>
      </c>
      <c r="L5024" s="15">
        <v>84.0</v>
      </c>
      <c r="M5024" s="40">
        <v>42240.0</v>
      </c>
      <c r="N5024" s="40">
        <v>42440.0</v>
      </c>
      <c r="O5024" s="15" t="s">
        <v>1554</v>
      </c>
      <c r="Q5024" s="7"/>
    </row>
    <row r="5025">
      <c r="A5025" s="39" t="s">
        <v>19667</v>
      </c>
      <c r="B5025" s="15">
        <v>1675555.0</v>
      </c>
      <c r="C5025" s="15" t="s">
        <v>19669</v>
      </c>
      <c r="D5025" s="15">
        <v>307201.0</v>
      </c>
      <c r="E5025" s="15" t="s">
        <v>1557</v>
      </c>
      <c r="F5025" s="15" t="s">
        <v>1833</v>
      </c>
      <c r="G5025" s="7">
        <v>58.671</v>
      </c>
      <c r="H5025" s="15" t="s">
        <v>3086</v>
      </c>
      <c r="I5025" s="15" t="s">
        <v>1586</v>
      </c>
      <c r="J5025" s="15" t="s">
        <v>19670</v>
      </c>
      <c r="K5025" s="15">
        <v>112.0</v>
      </c>
      <c r="L5025" s="15">
        <v>112.0</v>
      </c>
      <c r="M5025" s="40">
        <v>42225.0</v>
      </c>
      <c r="N5025" s="40">
        <v>42542.0</v>
      </c>
      <c r="O5025" s="15" t="s">
        <v>1554</v>
      </c>
      <c r="Q5025" s="7"/>
    </row>
    <row r="5026">
      <c r="A5026" s="39" t="s">
        <v>19671</v>
      </c>
      <c r="B5026" s="15">
        <v>1690431.0</v>
      </c>
      <c r="C5026" s="15" t="s">
        <v>19672</v>
      </c>
      <c r="D5026" s="15">
        <v>307716.0</v>
      </c>
      <c r="E5026" s="15" t="s">
        <v>1557</v>
      </c>
      <c r="F5026" s="15" t="s">
        <v>1767</v>
      </c>
      <c r="G5026" s="7">
        <v>162.252</v>
      </c>
      <c r="H5026" s="15" t="s">
        <v>6565</v>
      </c>
      <c r="I5026" s="15" t="s">
        <v>1586</v>
      </c>
      <c r="J5026" s="15" t="s">
        <v>19673</v>
      </c>
      <c r="K5026" s="15">
        <v>300.0</v>
      </c>
      <c r="L5026" s="15">
        <v>300.0</v>
      </c>
      <c r="M5026" s="40">
        <v>42245.0</v>
      </c>
      <c r="N5026" s="40">
        <v>42374.0</v>
      </c>
      <c r="O5026" s="15" t="s">
        <v>1554</v>
      </c>
      <c r="Q5026" s="7"/>
    </row>
    <row r="5027">
      <c r="A5027" s="39" t="s">
        <v>19675</v>
      </c>
      <c r="B5027" s="15">
        <v>1690425.0</v>
      </c>
      <c r="C5027" s="15" t="s">
        <v>19676</v>
      </c>
      <c r="D5027" s="15">
        <v>307717.0</v>
      </c>
      <c r="E5027" s="15" t="s">
        <v>1557</v>
      </c>
      <c r="F5027" s="15" t="s">
        <v>1833</v>
      </c>
      <c r="G5027" s="7">
        <v>49.949</v>
      </c>
      <c r="H5027" s="15" t="s">
        <v>6204</v>
      </c>
      <c r="I5027" s="15" t="s">
        <v>1586</v>
      </c>
      <c r="J5027" s="15" t="s">
        <v>19677</v>
      </c>
      <c r="K5027" s="15">
        <v>72.0</v>
      </c>
      <c r="L5027" s="15">
        <v>72.0</v>
      </c>
      <c r="M5027" s="40">
        <v>42234.0</v>
      </c>
      <c r="N5027" s="40">
        <v>42374.0</v>
      </c>
      <c r="O5027" s="15" t="s">
        <v>1554</v>
      </c>
      <c r="Q5027" s="7"/>
    </row>
    <row r="5028">
      <c r="A5028" s="39" t="s">
        <v>19678</v>
      </c>
      <c r="B5028" s="15">
        <v>1679530.0</v>
      </c>
      <c r="C5028" s="15" t="s">
        <v>19679</v>
      </c>
      <c r="D5028" s="15">
        <v>307718.0</v>
      </c>
      <c r="E5028" s="15" t="s">
        <v>1557</v>
      </c>
      <c r="F5028" s="15" t="s">
        <v>1833</v>
      </c>
      <c r="G5028" s="7">
        <v>72.79</v>
      </c>
      <c r="H5028" s="15" t="s">
        <v>4096</v>
      </c>
      <c r="I5028" s="15" t="s">
        <v>1586</v>
      </c>
      <c r="J5028" s="15" t="s">
        <v>19680</v>
      </c>
      <c r="K5028" s="15">
        <v>141.0</v>
      </c>
      <c r="L5028" s="15">
        <v>139.0</v>
      </c>
      <c r="M5028" s="40">
        <v>42200.0</v>
      </c>
      <c r="N5028" s="40">
        <v>42374.0</v>
      </c>
      <c r="O5028" s="15" t="s">
        <v>1554</v>
      </c>
      <c r="Q5028" s="7"/>
    </row>
    <row r="5029">
      <c r="A5029" s="39" t="s">
        <v>19681</v>
      </c>
      <c r="B5029" s="15">
        <v>1675609.0</v>
      </c>
      <c r="C5029" s="15" t="s">
        <v>19682</v>
      </c>
      <c r="D5029" s="15">
        <v>307719.0</v>
      </c>
      <c r="E5029" s="15" t="s">
        <v>1557</v>
      </c>
      <c r="F5029" s="15" t="s">
        <v>1833</v>
      </c>
      <c r="G5029" s="7">
        <v>48.754</v>
      </c>
      <c r="H5029" s="15" t="s">
        <v>2189</v>
      </c>
      <c r="I5029" s="15" t="s">
        <v>1586</v>
      </c>
      <c r="J5029" s="15" t="s">
        <v>19684</v>
      </c>
      <c r="K5029" s="15">
        <v>76.0</v>
      </c>
      <c r="L5029" s="15">
        <v>76.0</v>
      </c>
      <c r="M5029" s="40">
        <v>42200.0</v>
      </c>
      <c r="N5029" s="40">
        <v>42374.0</v>
      </c>
      <c r="O5029" s="15" t="s">
        <v>1554</v>
      </c>
      <c r="Q5029" s="7"/>
    </row>
    <row r="5030">
      <c r="A5030" s="39" t="s">
        <v>19685</v>
      </c>
      <c r="B5030" s="15">
        <v>1675598.0</v>
      </c>
      <c r="C5030" s="15" t="s">
        <v>19686</v>
      </c>
      <c r="D5030" s="15">
        <v>307720.0</v>
      </c>
      <c r="E5030" s="15" t="s">
        <v>1557</v>
      </c>
      <c r="F5030" s="15" t="s">
        <v>1611</v>
      </c>
      <c r="G5030" s="7">
        <v>40.024</v>
      </c>
      <c r="H5030" s="15" t="s">
        <v>2141</v>
      </c>
      <c r="I5030" s="15" t="s">
        <v>1586</v>
      </c>
      <c r="J5030" s="15" t="s">
        <v>19687</v>
      </c>
      <c r="K5030" s="15">
        <v>50.0</v>
      </c>
      <c r="L5030" s="15">
        <v>50.0</v>
      </c>
      <c r="M5030" s="40">
        <v>42200.0</v>
      </c>
      <c r="N5030" s="40">
        <v>42374.0</v>
      </c>
      <c r="O5030" s="15" t="s">
        <v>1554</v>
      </c>
      <c r="Q5030" s="7"/>
    </row>
    <row r="5031">
      <c r="A5031" s="39" t="s">
        <v>19688</v>
      </c>
      <c r="B5031" s="15">
        <v>1674927.0</v>
      </c>
      <c r="C5031" s="15" t="s">
        <v>19689</v>
      </c>
      <c r="D5031" s="15">
        <v>307721.0</v>
      </c>
      <c r="E5031" s="15" t="s">
        <v>1557</v>
      </c>
      <c r="F5031" s="15" t="s">
        <v>1833</v>
      </c>
      <c r="G5031" s="7">
        <v>50.165</v>
      </c>
      <c r="H5031" s="15" t="s">
        <v>13375</v>
      </c>
      <c r="I5031" s="15" t="s">
        <v>1586</v>
      </c>
      <c r="J5031" s="15" t="s">
        <v>19691</v>
      </c>
      <c r="K5031" s="15">
        <v>73.0</v>
      </c>
      <c r="L5031" s="15">
        <v>73.0</v>
      </c>
      <c r="M5031" s="40">
        <v>42234.0</v>
      </c>
      <c r="N5031" s="40">
        <v>42374.0</v>
      </c>
      <c r="O5031" s="15" t="s">
        <v>1554</v>
      </c>
      <c r="Q5031" s="7"/>
    </row>
    <row r="5032">
      <c r="A5032" s="39" t="s">
        <v>19692</v>
      </c>
      <c r="B5032" s="15">
        <v>1674926.0</v>
      </c>
      <c r="C5032" s="15" t="s">
        <v>19693</v>
      </c>
      <c r="D5032" s="15">
        <v>307722.0</v>
      </c>
      <c r="E5032" s="15" t="s">
        <v>1557</v>
      </c>
      <c r="F5032" s="15" t="s">
        <v>1833</v>
      </c>
      <c r="G5032" s="7">
        <v>50.113</v>
      </c>
      <c r="H5032" s="15" t="s">
        <v>11392</v>
      </c>
      <c r="I5032" s="15" t="s">
        <v>1586</v>
      </c>
      <c r="J5032" s="15" t="s">
        <v>19694</v>
      </c>
      <c r="K5032" s="15">
        <v>75.0</v>
      </c>
      <c r="L5032" s="15">
        <v>75.0</v>
      </c>
      <c r="M5032" s="40">
        <v>42234.0</v>
      </c>
      <c r="N5032" s="40">
        <v>42374.0</v>
      </c>
      <c r="O5032" s="15" t="s">
        <v>1554</v>
      </c>
      <c r="Q5032" s="7"/>
    </row>
    <row r="5033">
      <c r="A5033" s="39" t="s">
        <v>19695</v>
      </c>
      <c r="B5033" s="15">
        <v>1673889.0</v>
      </c>
      <c r="C5033" s="15" t="s">
        <v>19696</v>
      </c>
      <c r="D5033" s="15">
        <v>307723.0</v>
      </c>
      <c r="E5033" s="15" t="s">
        <v>1557</v>
      </c>
      <c r="F5033" s="15" t="s">
        <v>1833</v>
      </c>
      <c r="G5033" s="7">
        <v>58.338</v>
      </c>
      <c r="H5033" s="15">
        <v>62.0</v>
      </c>
      <c r="I5033" s="15" t="s">
        <v>1586</v>
      </c>
      <c r="J5033" s="15" t="s">
        <v>19697</v>
      </c>
      <c r="K5033" s="15">
        <v>106.0</v>
      </c>
      <c r="L5033" s="15">
        <v>106.0</v>
      </c>
      <c r="M5033" s="40">
        <v>42200.0</v>
      </c>
      <c r="N5033" s="40">
        <v>42374.0</v>
      </c>
      <c r="O5033" s="15" t="s">
        <v>1554</v>
      </c>
      <c r="Q5033" s="7"/>
    </row>
    <row r="5034">
      <c r="A5034" s="39" t="s">
        <v>19698</v>
      </c>
      <c r="B5034" s="15">
        <v>1673877.0</v>
      </c>
      <c r="C5034" s="15" t="s">
        <v>19700</v>
      </c>
      <c r="D5034" s="15">
        <v>307724.0</v>
      </c>
      <c r="E5034" s="15" t="s">
        <v>1557</v>
      </c>
      <c r="F5034" s="15" t="s">
        <v>1833</v>
      </c>
      <c r="G5034" s="7">
        <v>49.452</v>
      </c>
      <c r="H5034" s="15" t="s">
        <v>17295</v>
      </c>
      <c r="I5034" s="15" t="s">
        <v>1586</v>
      </c>
      <c r="J5034" s="15" t="s">
        <v>19701</v>
      </c>
      <c r="K5034" s="15">
        <v>75.0</v>
      </c>
      <c r="L5034" s="15">
        <v>75.0</v>
      </c>
      <c r="M5034" s="40">
        <v>42234.0</v>
      </c>
      <c r="N5034" s="40">
        <v>42430.0</v>
      </c>
      <c r="O5034" s="15" t="s">
        <v>1554</v>
      </c>
      <c r="Q5034" s="7"/>
    </row>
    <row r="5035">
      <c r="A5035" s="39" t="s">
        <v>19702</v>
      </c>
      <c r="B5035" s="15">
        <v>1698713.0</v>
      </c>
      <c r="C5035" s="15" t="s">
        <v>19703</v>
      </c>
      <c r="D5035" s="15">
        <v>307896.0</v>
      </c>
      <c r="E5035" s="15" t="s">
        <v>1557</v>
      </c>
      <c r="F5035" s="15" t="s">
        <v>1833</v>
      </c>
      <c r="G5035" s="7">
        <v>57.766</v>
      </c>
      <c r="H5035" s="15" t="s">
        <v>2840</v>
      </c>
      <c r="I5035" s="15" t="s">
        <v>1586</v>
      </c>
      <c r="J5035" s="15" t="s">
        <v>19704</v>
      </c>
      <c r="K5035" s="15">
        <v>105.0</v>
      </c>
      <c r="L5035" s="15">
        <v>105.0</v>
      </c>
      <c r="M5035" s="40">
        <v>42245.0</v>
      </c>
      <c r="N5035" s="40">
        <v>42374.0</v>
      </c>
      <c r="O5035" s="15" t="s">
        <v>1554</v>
      </c>
      <c r="Q5035" s="7"/>
    </row>
    <row r="5036">
      <c r="A5036" s="39" t="s">
        <v>19705</v>
      </c>
      <c r="B5036" s="15">
        <v>1698712.0</v>
      </c>
      <c r="C5036" s="15" t="s">
        <v>19707</v>
      </c>
      <c r="D5036" s="15">
        <v>307897.0</v>
      </c>
      <c r="E5036" s="15" t="s">
        <v>1557</v>
      </c>
      <c r="F5036" s="15" t="s">
        <v>1833</v>
      </c>
      <c r="G5036" s="7">
        <v>55.094</v>
      </c>
      <c r="H5036" s="15" t="s">
        <v>10442</v>
      </c>
      <c r="I5036" s="15" t="s">
        <v>1586</v>
      </c>
      <c r="J5036" s="15" t="s">
        <v>19708</v>
      </c>
      <c r="K5036" s="15">
        <v>95.0</v>
      </c>
      <c r="L5036" s="15">
        <v>95.0</v>
      </c>
      <c r="M5036" s="40">
        <v>42245.0</v>
      </c>
      <c r="N5036" s="40">
        <v>42374.0</v>
      </c>
      <c r="O5036" s="15" t="s">
        <v>1554</v>
      </c>
      <c r="Q5036" s="7"/>
    </row>
    <row r="5037">
      <c r="A5037" s="39" t="s">
        <v>19709</v>
      </c>
      <c r="B5037" s="15">
        <v>1698711.0</v>
      </c>
      <c r="C5037" s="15" t="s">
        <v>19710</v>
      </c>
      <c r="D5037" s="15">
        <v>307898.0</v>
      </c>
      <c r="E5037" s="15" t="s">
        <v>1557</v>
      </c>
      <c r="F5037" s="15" t="s">
        <v>1833</v>
      </c>
      <c r="G5037" s="7">
        <v>75.816</v>
      </c>
      <c r="H5037" s="15" t="s">
        <v>10407</v>
      </c>
      <c r="I5037" s="15" t="s">
        <v>1586</v>
      </c>
      <c r="J5037" s="15" t="s">
        <v>19711</v>
      </c>
      <c r="K5037" s="15">
        <v>141.0</v>
      </c>
      <c r="L5037" s="15">
        <v>130.0</v>
      </c>
      <c r="M5037" s="40">
        <v>42245.0</v>
      </c>
      <c r="N5037" s="40">
        <v>42374.0</v>
      </c>
      <c r="O5037" s="15" t="s">
        <v>1554</v>
      </c>
      <c r="Q5037" s="7"/>
    </row>
    <row r="5038">
      <c r="A5038" s="39" t="s">
        <v>19712</v>
      </c>
      <c r="B5038" s="15">
        <v>1698710.0</v>
      </c>
      <c r="C5038" s="15" t="s">
        <v>19713</v>
      </c>
      <c r="D5038" s="15">
        <v>307899.0</v>
      </c>
      <c r="E5038" s="15" t="s">
        <v>1557</v>
      </c>
      <c r="F5038" s="15" t="s">
        <v>1767</v>
      </c>
      <c r="G5038" s="7">
        <v>153.714</v>
      </c>
      <c r="H5038" s="15" t="s">
        <v>8929</v>
      </c>
      <c r="I5038" s="15" t="s">
        <v>1586</v>
      </c>
      <c r="J5038" s="15" t="s">
        <v>19715</v>
      </c>
      <c r="K5038" s="15">
        <v>251.0</v>
      </c>
      <c r="L5038" s="15">
        <v>224.0</v>
      </c>
      <c r="M5038" s="40">
        <v>42245.0</v>
      </c>
      <c r="N5038" s="40">
        <v>42521.0</v>
      </c>
      <c r="O5038" s="15" t="s">
        <v>1554</v>
      </c>
      <c r="Q5038" s="7"/>
    </row>
    <row r="5039">
      <c r="A5039" s="39" t="s">
        <v>19716</v>
      </c>
      <c r="B5039" s="15">
        <v>1698709.0</v>
      </c>
      <c r="C5039" s="15" t="s">
        <v>19717</v>
      </c>
      <c r="D5039" s="15">
        <v>307900.0</v>
      </c>
      <c r="E5039" s="15" t="s">
        <v>1557</v>
      </c>
      <c r="F5039" s="15" t="s">
        <v>1833</v>
      </c>
      <c r="G5039" s="7">
        <v>59.052</v>
      </c>
      <c r="H5039" s="15" t="s">
        <v>14676</v>
      </c>
      <c r="I5039" s="15" t="s">
        <v>1586</v>
      </c>
      <c r="J5039" s="15" t="s">
        <v>19718</v>
      </c>
      <c r="K5039" s="15">
        <v>79.0</v>
      </c>
      <c r="L5039" s="15">
        <v>79.0</v>
      </c>
      <c r="M5039" s="40">
        <v>42270.0</v>
      </c>
      <c r="N5039" s="40">
        <v>42374.0</v>
      </c>
      <c r="O5039" s="15" t="s">
        <v>1554</v>
      </c>
      <c r="Q5039" s="7"/>
    </row>
    <row r="5040">
      <c r="A5040" s="39" t="s">
        <v>19719</v>
      </c>
      <c r="B5040" s="15">
        <v>1698451.0</v>
      </c>
      <c r="C5040" s="15" t="s">
        <v>19720</v>
      </c>
      <c r="D5040" s="15">
        <v>307901.0</v>
      </c>
      <c r="E5040" s="15" t="s">
        <v>1557</v>
      </c>
      <c r="F5040" s="15" t="s">
        <v>1767</v>
      </c>
      <c r="G5040" s="7">
        <v>167.431</v>
      </c>
      <c r="H5040" s="15" t="s">
        <v>2396</v>
      </c>
      <c r="I5040" s="15" t="s">
        <v>1586</v>
      </c>
      <c r="J5040" s="15" t="s">
        <v>19721</v>
      </c>
      <c r="K5040" s="15">
        <v>301.0</v>
      </c>
      <c r="L5040" s="15">
        <v>301.0</v>
      </c>
      <c r="M5040" s="40">
        <v>42240.0</v>
      </c>
      <c r="N5040" s="40">
        <v>42374.0</v>
      </c>
      <c r="O5040" s="15" t="s">
        <v>1554</v>
      </c>
      <c r="Q5040" s="7"/>
    </row>
    <row r="5041">
      <c r="A5041" s="39" t="s">
        <v>19723</v>
      </c>
      <c r="B5041" s="15">
        <v>1698441.0</v>
      </c>
      <c r="C5041" s="15" t="s">
        <v>19724</v>
      </c>
      <c r="D5041" s="15">
        <v>307902.0</v>
      </c>
      <c r="E5041" s="15" t="s">
        <v>1557</v>
      </c>
      <c r="F5041" s="15" t="s">
        <v>1833</v>
      </c>
      <c r="G5041" s="7">
        <v>52.357</v>
      </c>
      <c r="H5041" s="15" t="s">
        <v>3286</v>
      </c>
      <c r="I5041" s="15" t="s">
        <v>1586</v>
      </c>
      <c r="J5041" s="15" t="s">
        <v>19725</v>
      </c>
      <c r="K5041" s="15">
        <v>93.0</v>
      </c>
      <c r="L5041" s="15">
        <v>93.0</v>
      </c>
      <c r="M5041" s="40">
        <v>42245.0</v>
      </c>
      <c r="N5041" s="40">
        <v>42374.0</v>
      </c>
      <c r="O5041" s="15" t="s">
        <v>1554</v>
      </c>
      <c r="Q5041" s="7"/>
    </row>
    <row r="5042">
      <c r="A5042" s="39" t="s">
        <v>19726</v>
      </c>
      <c r="B5042" s="15">
        <v>1698420.0</v>
      </c>
      <c r="C5042" s="15" t="s">
        <v>19727</v>
      </c>
      <c r="D5042" s="15">
        <v>307903.0</v>
      </c>
      <c r="E5042" s="15" t="s">
        <v>1557</v>
      </c>
      <c r="F5042" s="15" t="s">
        <v>1833</v>
      </c>
      <c r="G5042" s="7">
        <v>51.409</v>
      </c>
      <c r="H5042" s="15" t="s">
        <v>3286</v>
      </c>
      <c r="I5042" s="15" t="s">
        <v>1586</v>
      </c>
      <c r="J5042" s="15" t="s">
        <v>19728</v>
      </c>
      <c r="K5042" s="15">
        <v>90.0</v>
      </c>
      <c r="L5042" s="15">
        <v>89.0</v>
      </c>
      <c r="M5042" s="40">
        <v>42240.0</v>
      </c>
      <c r="N5042" s="40">
        <v>42374.0</v>
      </c>
      <c r="O5042" s="15" t="s">
        <v>1554</v>
      </c>
      <c r="Q5042" s="7"/>
    </row>
    <row r="5043">
      <c r="A5043" s="39" t="s">
        <v>19729</v>
      </c>
      <c r="B5043" s="15">
        <v>1698417.0</v>
      </c>
      <c r="C5043" s="15" t="s">
        <v>19730</v>
      </c>
      <c r="D5043" s="15">
        <v>307904.0</v>
      </c>
      <c r="E5043" s="15" t="s">
        <v>1557</v>
      </c>
      <c r="F5043" s="15" t="s">
        <v>1833</v>
      </c>
      <c r="G5043" s="7">
        <v>53.219</v>
      </c>
      <c r="H5043" s="15" t="s">
        <v>4499</v>
      </c>
      <c r="I5043" s="15" t="s">
        <v>1586</v>
      </c>
      <c r="J5043" s="15" t="s">
        <v>19731</v>
      </c>
      <c r="K5043" s="15">
        <v>100.0</v>
      </c>
      <c r="L5043" s="15">
        <v>99.0</v>
      </c>
      <c r="M5043" s="40">
        <v>42239.0</v>
      </c>
      <c r="N5043" s="40">
        <v>42374.0</v>
      </c>
      <c r="O5043" s="15" t="s">
        <v>1554</v>
      </c>
      <c r="Q5043" s="7"/>
    </row>
    <row r="5044">
      <c r="A5044" s="39" t="s">
        <v>19732</v>
      </c>
      <c r="B5044" s="15">
        <v>1698366.0</v>
      </c>
      <c r="C5044" s="15" t="s">
        <v>19733</v>
      </c>
      <c r="D5044" s="15">
        <v>307905.0</v>
      </c>
      <c r="E5044" s="15" t="s">
        <v>1557</v>
      </c>
      <c r="F5044" s="15" t="s">
        <v>1833</v>
      </c>
      <c r="G5044" s="7">
        <v>49.421</v>
      </c>
      <c r="H5044" s="15" t="s">
        <v>10412</v>
      </c>
      <c r="I5044" s="15" t="s">
        <v>1586</v>
      </c>
      <c r="J5044" s="15" t="s">
        <v>19735</v>
      </c>
      <c r="K5044" s="15">
        <v>89.0</v>
      </c>
      <c r="L5044" s="15">
        <v>88.0</v>
      </c>
      <c r="M5044" s="40">
        <v>42239.0</v>
      </c>
      <c r="N5044" s="40">
        <v>42375.0</v>
      </c>
      <c r="O5044" s="15" t="s">
        <v>1554</v>
      </c>
      <c r="Q5044" s="7"/>
    </row>
    <row r="5045">
      <c r="A5045" s="39" t="s">
        <v>19736</v>
      </c>
      <c r="B5045" s="15">
        <v>1698357.0</v>
      </c>
      <c r="C5045" s="15" t="s">
        <v>19737</v>
      </c>
      <c r="D5045" s="15">
        <v>307906.0</v>
      </c>
      <c r="E5045" s="15" t="s">
        <v>1557</v>
      </c>
      <c r="F5045" s="15" t="s">
        <v>1833</v>
      </c>
      <c r="G5045" s="7">
        <v>59.652</v>
      </c>
      <c r="H5045" s="15" t="s">
        <v>2840</v>
      </c>
      <c r="I5045" s="15" t="s">
        <v>1586</v>
      </c>
      <c r="J5045" s="15" t="s">
        <v>19738</v>
      </c>
      <c r="K5045" s="15">
        <v>105.0</v>
      </c>
      <c r="L5045" s="15">
        <v>105.0</v>
      </c>
      <c r="M5045" s="40">
        <v>42234.0</v>
      </c>
      <c r="N5045" s="40">
        <v>42374.0</v>
      </c>
      <c r="O5045" s="15" t="s">
        <v>1554</v>
      </c>
      <c r="Q5045" s="7"/>
    </row>
    <row r="5046">
      <c r="A5046" s="39" t="s">
        <v>19739</v>
      </c>
      <c r="B5046" s="15">
        <v>1698356.0</v>
      </c>
      <c r="C5046" s="15" t="s">
        <v>19740</v>
      </c>
      <c r="D5046" s="15">
        <v>307907.0</v>
      </c>
      <c r="E5046" s="15" t="s">
        <v>1557</v>
      </c>
      <c r="F5046" s="15" t="s">
        <v>1833</v>
      </c>
      <c r="G5046" s="7">
        <v>57.293</v>
      </c>
      <c r="H5046" s="15" t="s">
        <v>4430</v>
      </c>
      <c r="I5046" s="15" t="s">
        <v>1586</v>
      </c>
      <c r="J5046" s="15" t="s">
        <v>19741</v>
      </c>
      <c r="K5046" s="15">
        <v>101.0</v>
      </c>
      <c r="L5046" s="15">
        <v>101.0</v>
      </c>
      <c r="M5046" s="40">
        <v>42234.0</v>
      </c>
      <c r="N5046" s="40">
        <v>42374.0</v>
      </c>
      <c r="O5046" s="15" t="s">
        <v>1554</v>
      </c>
      <c r="Q5046" s="7"/>
    </row>
    <row r="5047">
      <c r="A5047" s="39" t="s">
        <v>19742</v>
      </c>
      <c r="B5047" s="15">
        <v>1698252.0</v>
      </c>
      <c r="C5047" s="15" t="s">
        <v>19743</v>
      </c>
      <c r="D5047" s="15">
        <v>307908.0</v>
      </c>
      <c r="E5047" s="15" t="s">
        <v>1557</v>
      </c>
      <c r="F5047" s="15" t="s">
        <v>1833</v>
      </c>
      <c r="G5047" s="7">
        <v>71.214</v>
      </c>
      <c r="H5047" s="15" t="s">
        <v>13987</v>
      </c>
      <c r="I5047" s="15" t="s">
        <v>1586</v>
      </c>
      <c r="J5047" s="15" t="s">
        <v>19745</v>
      </c>
      <c r="K5047" s="15">
        <v>97.0</v>
      </c>
      <c r="L5047" s="15">
        <v>97.0</v>
      </c>
      <c r="M5047" s="40">
        <v>42234.0</v>
      </c>
      <c r="N5047" s="40">
        <v>42374.0</v>
      </c>
      <c r="O5047" s="15" t="s">
        <v>1554</v>
      </c>
      <c r="Q5047" s="7"/>
    </row>
    <row r="5048">
      <c r="A5048" s="39" t="s">
        <v>19746</v>
      </c>
      <c r="B5048" s="15">
        <v>1691955.0</v>
      </c>
      <c r="C5048" s="15" t="s">
        <v>19747</v>
      </c>
      <c r="D5048" s="15">
        <v>307909.0</v>
      </c>
      <c r="E5048" s="15" t="s">
        <v>1557</v>
      </c>
      <c r="F5048" s="15" t="s">
        <v>1767</v>
      </c>
      <c r="G5048" s="7">
        <v>52.955</v>
      </c>
      <c r="H5048" s="15" t="s">
        <v>2668</v>
      </c>
      <c r="I5048" s="15" t="s">
        <v>1586</v>
      </c>
      <c r="J5048" s="15" t="s">
        <v>19748</v>
      </c>
      <c r="K5048" s="15">
        <v>103.0</v>
      </c>
      <c r="L5048" s="15">
        <v>103.0</v>
      </c>
      <c r="M5048" s="40">
        <v>42239.0</v>
      </c>
      <c r="N5048" s="40">
        <v>42374.0</v>
      </c>
      <c r="O5048" s="15" t="s">
        <v>1554</v>
      </c>
      <c r="Q5048" s="7"/>
    </row>
    <row r="5049">
      <c r="A5049" s="39" t="s">
        <v>19749</v>
      </c>
      <c r="B5049" s="15">
        <v>1691954.0</v>
      </c>
      <c r="C5049" s="15" t="s">
        <v>19750</v>
      </c>
      <c r="D5049" s="15">
        <v>307910.0</v>
      </c>
      <c r="E5049" s="15" t="s">
        <v>1557</v>
      </c>
      <c r="F5049" s="15" t="s">
        <v>1833</v>
      </c>
      <c r="G5049" s="7">
        <v>126.341</v>
      </c>
      <c r="H5049" s="15" t="s">
        <v>1813</v>
      </c>
      <c r="I5049" s="15" t="s">
        <v>1586</v>
      </c>
      <c r="J5049" s="15" t="s">
        <v>19751</v>
      </c>
      <c r="K5049" s="15">
        <v>184.0</v>
      </c>
      <c r="L5049" s="15">
        <v>178.0</v>
      </c>
      <c r="M5049" s="40">
        <v>42239.0</v>
      </c>
      <c r="N5049" s="40">
        <v>42375.0</v>
      </c>
      <c r="O5049" s="15" t="s">
        <v>1554</v>
      </c>
      <c r="Q5049" s="7"/>
    </row>
    <row r="5050">
      <c r="A5050" s="39" t="s">
        <v>19753</v>
      </c>
      <c r="B5050" s="15">
        <v>1690818.0</v>
      </c>
      <c r="C5050" s="15" t="s">
        <v>19754</v>
      </c>
      <c r="D5050" s="15">
        <v>307911.0</v>
      </c>
      <c r="E5050" s="15" t="s">
        <v>1557</v>
      </c>
      <c r="F5050" s="15" t="s">
        <v>1833</v>
      </c>
      <c r="G5050" s="7">
        <v>60.934</v>
      </c>
      <c r="H5050" s="15" t="s">
        <v>8937</v>
      </c>
      <c r="I5050" s="15" t="s">
        <v>1586</v>
      </c>
      <c r="J5050" s="15" t="s">
        <v>19755</v>
      </c>
      <c r="K5050" s="15">
        <v>90.0</v>
      </c>
      <c r="L5050" s="15">
        <v>90.0</v>
      </c>
      <c r="M5050" s="40">
        <v>42270.0</v>
      </c>
      <c r="N5050" s="40">
        <v>42374.0</v>
      </c>
      <c r="O5050" s="15" t="s">
        <v>1554</v>
      </c>
      <c r="Q5050" s="7"/>
    </row>
    <row r="5051">
      <c r="A5051" s="39" t="s">
        <v>19756</v>
      </c>
      <c r="B5051" s="15">
        <v>1690817.0</v>
      </c>
      <c r="C5051" s="15" t="s">
        <v>19757</v>
      </c>
      <c r="D5051" s="15">
        <v>307912.0</v>
      </c>
      <c r="E5051" s="15" t="s">
        <v>1557</v>
      </c>
      <c r="F5051" s="15" t="s">
        <v>1833</v>
      </c>
      <c r="G5051" s="7">
        <v>43.15</v>
      </c>
      <c r="H5051" s="15" t="s">
        <v>8937</v>
      </c>
      <c r="I5051" s="15" t="s">
        <v>1586</v>
      </c>
      <c r="J5051" s="15" t="s">
        <v>19758</v>
      </c>
      <c r="K5051" s="15">
        <v>52.0</v>
      </c>
      <c r="L5051" s="15">
        <v>52.0</v>
      </c>
      <c r="M5051" s="40">
        <v>42234.0</v>
      </c>
      <c r="N5051" s="40">
        <v>42374.0</v>
      </c>
      <c r="O5051" s="15" t="s">
        <v>1554</v>
      </c>
      <c r="Q5051" s="7"/>
    </row>
    <row r="5052">
      <c r="A5052" s="39" t="s">
        <v>19759</v>
      </c>
      <c r="B5052" s="15">
        <v>1690805.0</v>
      </c>
      <c r="C5052" s="15" t="s">
        <v>19760</v>
      </c>
      <c r="D5052" s="15">
        <v>307913.0</v>
      </c>
      <c r="E5052" s="15" t="s">
        <v>1557</v>
      </c>
      <c r="F5052" s="15" t="s">
        <v>1833</v>
      </c>
      <c r="G5052" s="7">
        <v>29.605</v>
      </c>
      <c r="H5052" s="15">
        <v>54.0</v>
      </c>
      <c r="I5052" s="15" t="s">
        <v>1586</v>
      </c>
      <c r="J5052" s="15" t="s">
        <v>19762</v>
      </c>
      <c r="K5052" s="15">
        <v>42.0</v>
      </c>
      <c r="L5052" s="15">
        <v>42.0</v>
      </c>
      <c r="M5052" s="40">
        <v>42245.0</v>
      </c>
      <c r="N5052" s="40">
        <v>42460.0</v>
      </c>
      <c r="O5052" s="15" t="s">
        <v>1554</v>
      </c>
      <c r="Q5052" s="7"/>
    </row>
    <row r="5053">
      <c r="A5053" s="39" t="s">
        <v>19763</v>
      </c>
      <c r="B5053" s="15">
        <v>1690456.0</v>
      </c>
      <c r="C5053" s="15" t="s">
        <v>19764</v>
      </c>
      <c r="D5053" s="15">
        <v>307914.0</v>
      </c>
      <c r="E5053" s="15" t="s">
        <v>1557</v>
      </c>
      <c r="F5053" s="15" t="s">
        <v>1767</v>
      </c>
      <c r="G5053" s="7">
        <v>162.486</v>
      </c>
      <c r="H5053" s="15" t="s">
        <v>2451</v>
      </c>
      <c r="I5053" s="15" t="s">
        <v>1586</v>
      </c>
      <c r="J5053" s="15" t="s">
        <v>19765</v>
      </c>
      <c r="K5053" s="15">
        <v>267.0</v>
      </c>
      <c r="L5053" s="15">
        <v>247.0</v>
      </c>
      <c r="M5053" s="40">
        <v>42240.0</v>
      </c>
      <c r="N5053" s="40">
        <v>42971.0</v>
      </c>
      <c r="O5053" s="15" t="s">
        <v>1554</v>
      </c>
      <c r="Q5053" s="7"/>
    </row>
    <row r="5054">
      <c r="A5054" s="39" t="s">
        <v>19766</v>
      </c>
      <c r="B5054" s="15">
        <v>1610829.0</v>
      </c>
      <c r="C5054" s="15" t="s">
        <v>19767</v>
      </c>
      <c r="D5054" s="15">
        <v>307915.0</v>
      </c>
      <c r="E5054" s="15" t="s">
        <v>1557</v>
      </c>
      <c r="F5054" s="15" t="s">
        <v>1833</v>
      </c>
      <c r="G5054" s="7">
        <v>49.462</v>
      </c>
      <c r="H5054" s="15" t="s">
        <v>3973</v>
      </c>
      <c r="I5054" s="15" t="s">
        <v>1586</v>
      </c>
      <c r="J5054" s="15" t="s">
        <v>19769</v>
      </c>
      <c r="K5054" s="15">
        <v>72.0</v>
      </c>
      <c r="L5054" s="15">
        <v>72.0</v>
      </c>
      <c r="M5054" s="40">
        <v>42049.0</v>
      </c>
      <c r="N5054" s="40">
        <v>42374.0</v>
      </c>
      <c r="O5054" s="15" t="s">
        <v>1554</v>
      </c>
      <c r="Q5054" s="7"/>
    </row>
    <row r="5055">
      <c r="A5055" s="39" t="s">
        <v>19770</v>
      </c>
      <c r="B5055" s="15">
        <v>1606763.0</v>
      </c>
      <c r="C5055" s="15" t="s">
        <v>19771</v>
      </c>
      <c r="D5055" s="15">
        <v>307916.0</v>
      </c>
      <c r="E5055" s="15" t="s">
        <v>1557</v>
      </c>
      <c r="F5055" s="15" t="s">
        <v>1833</v>
      </c>
      <c r="G5055" s="7">
        <v>62.738</v>
      </c>
      <c r="H5055" s="15" t="s">
        <v>13375</v>
      </c>
      <c r="I5055" s="15" t="s">
        <v>1586</v>
      </c>
      <c r="J5055" s="15" t="s">
        <v>19772</v>
      </c>
      <c r="K5055" s="15">
        <v>100.0</v>
      </c>
      <c r="L5055" s="15">
        <v>99.0</v>
      </c>
      <c r="M5055" s="40">
        <v>42049.0</v>
      </c>
      <c r="N5055" s="40">
        <v>42374.0</v>
      </c>
      <c r="O5055" s="15" t="s">
        <v>1554</v>
      </c>
      <c r="Q5055" s="7"/>
    </row>
    <row r="5056">
      <c r="A5056" s="39" t="s">
        <v>19773</v>
      </c>
      <c r="B5056" s="15">
        <v>1598146.0</v>
      </c>
      <c r="C5056" s="15" t="s">
        <v>19774</v>
      </c>
      <c r="D5056" s="15">
        <v>307917.0</v>
      </c>
      <c r="E5056" s="15" t="s">
        <v>1557</v>
      </c>
      <c r="F5056" s="15" t="s">
        <v>1611</v>
      </c>
      <c r="G5056" s="7">
        <v>77.266</v>
      </c>
      <c r="H5056" s="15">
        <v>42.0</v>
      </c>
      <c r="I5056" s="15" t="s">
        <v>1586</v>
      </c>
      <c r="J5056" s="15" t="s">
        <v>19775</v>
      </c>
      <c r="K5056" s="15">
        <v>130.0</v>
      </c>
      <c r="L5056" s="15">
        <v>130.0</v>
      </c>
      <c r="M5056" s="40">
        <v>42085.0</v>
      </c>
      <c r="N5056" s="40">
        <v>42374.0</v>
      </c>
      <c r="O5056" s="15" t="s">
        <v>1554</v>
      </c>
      <c r="Q5056" s="7"/>
    </row>
    <row r="5057">
      <c r="A5057" s="39" t="s">
        <v>19777</v>
      </c>
      <c r="B5057" s="15">
        <v>1597976.0</v>
      </c>
      <c r="C5057" s="15" t="s">
        <v>19778</v>
      </c>
      <c r="D5057" s="15">
        <v>307918.0</v>
      </c>
      <c r="E5057" s="15" t="s">
        <v>1557</v>
      </c>
      <c r="F5057" s="15" t="s">
        <v>1767</v>
      </c>
      <c r="G5057" s="7">
        <v>147.589</v>
      </c>
      <c r="H5057" s="15" t="s">
        <v>2580</v>
      </c>
      <c r="I5057" s="15" t="s">
        <v>1586</v>
      </c>
      <c r="J5057" s="15" t="s">
        <v>19779</v>
      </c>
      <c r="K5057" s="15">
        <v>258.0</v>
      </c>
      <c r="L5057" s="15">
        <v>210.0</v>
      </c>
      <c r="M5057" s="40">
        <v>42065.0</v>
      </c>
      <c r="N5057" s="40">
        <v>42374.0</v>
      </c>
      <c r="O5057" s="15" t="s">
        <v>1554</v>
      </c>
      <c r="Q5057" s="7"/>
    </row>
    <row r="5058">
      <c r="A5058" s="39" t="s">
        <v>19780</v>
      </c>
      <c r="B5058" s="15">
        <v>1597966.0</v>
      </c>
      <c r="C5058" s="15" t="s">
        <v>19781</v>
      </c>
      <c r="D5058" s="15">
        <v>307919.0</v>
      </c>
      <c r="E5058" s="15" t="s">
        <v>1557</v>
      </c>
      <c r="F5058" s="15" t="s">
        <v>1611</v>
      </c>
      <c r="G5058" s="7">
        <v>40.0</v>
      </c>
      <c r="H5058" s="15" t="s">
        <v>2223</v>
      </c>
      <c r="I5058" s="15" t="s">
        <v>1586</v>
      </c>
      <c r="J5058" s="15" t="s">
        <v>19782</v>
      </c>
      <c r="K5058" s="15">
        <v>50.0</v>
      </c>
      <c r="L5058" s="15">
        <v>50.0</v>
      </c>
      <c r="M5058" s="40">
        <v>42049.0</v>
      </c>
      <c r="N5058" s="40">
        <v>42374.0</v>
      </c>
      <c r="O5058" s="15" t="s">
        <v>1554</v>
      </c>
      <c r="Q5058" s="7"/>
    </row>
    <row r="5059">
      <c r="A5059" s="39" t="s">
        <v>19784</v>
      </c>
      <c r="B5059" s="15">
        <v>1591073.0</v>
      </c>
      <c r="C5059" s="15" t="s">
        <v>19785</v>
      </c>
      <c r="D5059" s="15">
        <v>307920.0</v>
      </c>
      <c r="E5059" s="15" t="s">
        <v>1557</v>
      </c>
      <c r="F5059" s="15" t="s">
        <v>1833</v>
      </c>
      <c r="G5059" s="7">
        <v>40.759</v>
      </c>
      <c r="H5059" s="15" t="s">
        <v>4331</v>
      </c>
      <c r="I5059" s="15" t="s">
        <v>1586</v>
      </c>
      <c r="J5059" s="15" t="s">
        <v>19786</v>
      </c>
      <c r="K5059" s="15">
        <v>72.0</v>
      </c>
      <c r="L5059" s="15">
        <v>72.0</v>
      </c>
      <c r="M5059" s="40">
        <v>42020.0</v>
      </c>
      <c r="N5059" s="40">
        <v>42374.0</v>
      </c>
      <c r="O5059" s="15" t="s">
        <v>1554</v>
      </c>
      <c r="Q5059" s="7"/>
    </row>
    <row r="5060">
      <c r="A5060" s="39" t="s">
        <v>19787</v>
      </c>
      <c r="B5060" s="15">
        <v>1591072.0</v>
      </c>
      <c r="C5060" s="15" t="s">
        <v>19788</v>
      </c>
      <c r="D5060" s="15">
        <v>307921.0</v>
      </c>
      <c r="E5060" s="15" t="s">
        <v>1557</v>
      </c>
      <c r="F5060" s="15" t="s">
        <v>1833</v>
      </c>
      <c r="G5060" s="7">
        <v>38.392</v>
      </c>
      <c r="H5060" s="15" t="s">
        <v>3554</v>
      </c>
      <c r="I5060" s="15" t="s">
        <v>1586</v>
      </c>
      <c r="J5060" s="15" t="s">
        <v>19789</v>
      </c>
      <c r="K5060" s="15">
        <v>60.0</v>
      </c>
      <c r="L5060" s="15">
        <v>60.0</v>
      </c>
      <c r="M5060" s="40">
        <v>42020.0</v>
      </c>
      <c r="N5060" s="40">
        <v>42374.0</v>
      </c>
      <c r="O5060" s="15" t="s">
        <v>1554</v>
      </c>
      <c r="Q5060" s="7"/>
    </row>
    <row r="5061">
      <c r="A5061" s="39" t="s">
        <v>19790</v>
      </c>
      <c r="B5061" s="15">
        <v>1589755.0</v>
      </c>
      <c r="C5061" s="15" t="s">
        <v>19792</v>
      </c>
      <c r="D5061" s="15">
        <v>307922.0</v>
      </c>
      <c r="E5061" s="15" t="s">
        <v>1557</v>
      </c>
      <c r="F5061" s="15" t="s">
        <v>1833</v>
      </c>
      <c r="G5061" s="7">
        <v>43.724</v>
      </c>
      <c r="H5061" s="15" t="s">
        <v>2118</v>
      </c>
      <c r="I5061" s="15" t="s">
        <v>1586</v>
      </c>
      <c r="J5061" s="15" t="s">
        <v>19793</v>
      </c>
      <c r="K5061" s="15">
        <v>74.0</v>
      </c>
      <c r="L5061" s="15">
        <v>74.0</v>
      </c>
      <c r="M5061" s="40">
        <v>42049.0</v>
      </c>
      <c r="N5061" s="40">
        <v>42374.0</v>
      </c>
      <c r="O5061" s="15" t="s">
        <v>1554</v>
      </c>
      <c r="Q5061" s="7"/>
    </row>
    <row r="5062">
      <c r="A5062" s="39" t="s">
        <v>19794</v>
      </c>
      <c r="B5062" s="15">
        <v>1589751.0</v>
      </c>
      <c r="C5062" s="15" t="s">
        <v>19795</v>
      </c>
      <c r="D5062" s="15">
        <v>307923.0</v>
      </c>
      <c r="E5062" s="15" t="s">
        <v>1557</v>
      </c>
      <c r="F5062" s="15" t="s">
        <v>1833</v>
      </c>
      <c r="G5062" s="7">
        <v>44.952</v>
      </c>
      <c r="H5062" s="15" t="s">
        <v>2005</v>
      </c>
      <c r="I5062" s="15" t="s">
        <v>1586</v>
      </c>
      <c r="J5062" s="15" t="s">
        <v>19796</v>
      </c>
      <c r="K5062" s="15">
        <v>74.0</v>
      </c>
      <c r="L5062" s="15">
        <v>74.0</v>
      </c>
      <c r="M5062" s="40">
        <v>42049.0</v>
      </c>
      <c r="N5062" s="40">
        <v>42374.0</v>
      </c>
      <c r="O5062" s="15" t="s">
        <v>1554</v>
      </c>
      <c r="Q5062" s="7"/>
    </row>
    <row r="5063">
      <c r="A5063" s="39" t="s">
        <v>19797</v>
      </c>
      <c r="B5063" s="15">
        <v>1589750.0</v>
      </c>
      <c r="C5063" s="15" t="s">
        <v>19798</v>
      </c>
      <c r="D5063" s="15">
        <v>307924.0</v>
      </c>
      <c r="E5063" s="15" t="s">
        <v>1557</v>
      </c>
      <c r="F5063" s="15" t="s">
        <v>1833</v>
      </c>
      <c r="G5063" s="7">
        <v>37.246</v>
      </c>
      <c r="H5063" s="15" t="s">
        <v>2950</v>
      </c>
      <c r="I5063" s="15" t="s">
        <v>1586</v>
      </c>
      <c r="J5063" s="15" t="s">
        <v>19799</v>
      </c>
      <c r="K5063" s="15">
        <v>60.0</v>
      </c>
      <c r="L5063" s="15">
        <v>60.0</v>
      </c>
      <c r="M5063" s="40">
        <v>42049.0</v>
      </c>
      <c r="N5063" s="40">
        <v>42374.0</v>
      </c>
      <c r="O5063" s="15" t="s">
        <v>1554</v>
      </c>
      <c r="Q5063" s="7"/>
    </row>
    <row r="5064">
      <c r="A5064" s="39" t="s">
        <v>19801</v>
      </c>
      <c r="B5064" s="15">
        <v>1589749.0</v>
      </c>
      <c r="C5064" s="15" t="s">
        <v>19802</v>
      </c>
      <c r="D5064" s="15">
        <v>307925.0</v>
      </c>
      <c r="E5064" s="15" t="s">
        <v>1557</v>
      </c>
      <c r="F5064" s="15" t="s">
        <v>1833</v>
      </c>
      <c r="G5064" s="7">
        <v>35.644</v>
      </c>
      <c r="H5064" s="15" t="s">
        <v>2049</v>
      </c>
      <c r="I5064" s="15" t="s">
        <v>1586</v>
      </c>
      <c r="J5064" s="15" t="s">
        <v>19803</v>
      </c>
      <c r="K5064" s="15">
        <v>56.0</v>
      </c>
      <c r="L5064" s="15">
        <v>56.0</v>
      </c>
      <c r="M5064" s="40">
        <v>42022.0</v>
      </c>
      <c r="N5064" s="40">
        <v>42374.0</v>
      </c>
      <c r="O5064" s="15" t="s">
        <v>1554</v>
      </c>
      <c r="Q5064" s="7"/>
    </row>
    <row r="5065">
      <c r="A5065" s="39" t="s">
        <v>19804</v>
      </c>
      <c r="B5065" s="15">
        <v>1589747.0</v>
      </c>
      <c r="C5065" s="15" t="s">
        <v>19805</v>
      </c>
      <c r="D5065" s="15">
        <v>307926.0</v>
      </c>
      <c r="E5065" s="15" t="s">
        <v>1557</v>
      </c>
      <c r="F5065" s="15" t="s">
        <v>1833</v>
      </c>
      <c r="G5065" s="7">
        <v>48.216</v>
      </c>
      <c r="H5065" s="15" t="s">
        <v>3776</v>
      </c>
      <c r="I5065" s="15" t="s">
        <v>1586</v>
      </c>
      <c r="J5065" s="15" t="s">
        <v>19806</v>
      </c>
      <c r="K5065" s="15">
        <v>62.0</v>
      </c>
      <c r="L5065" s="15">
        <v>61.0</v>
      </c>
      <c r="M5065" s="40">
        <v>42022.0</v>
      </c>
      <c r="N5065" s="40">
        <v>42374.0</v>
      </c>
      <c r="O5065" s="15" t="s">
        <v>1554</v>
      </c>
      <c r="Q5065" s="7"/>
    </row>
    <row r="5066">
      <c r="A5066" s="39" t="s">
        <v>19807</v>
      </c>
      <c r="B5066" s="15">
        <v>1589746.0</v>
      </c>
      <c r="C5066" s="15" t="s">
        <v>19809</v>
      </c>
      <c r="D5066" s="15">
        <v>307927.0</v>
      </c>
      <c r="E5066" s="15" t="s">
        <v>1557</v>
      </c>
      <c r="F5066" s="15" t="s">
        <v>1833</v>
      </c>
      <c r="G5066" s="7">
        <v>49.714</v>
      </c>
      <c r="H5066" s="15" t="s">
        <v>10401</v>
      </c>
      <c r="I5066" s="15" t="s">
        <v>1586</v>
      </c>
      <c r="J5066" s="15" t="s">
        <v>19810</v>
      </c>
      <c r="K5066" s="15">
        <v>68.0</v>
      </c>
      <c r="L5066" s="15">
        <v>67.0</v>
      </c>
      <c r="M5066" s="40">
        <v>42022.0</v>
      </c>
      <c r="N5066" s="40">
        <v>42374.0</v>
      </c>
      <c r="O5066" s="15" t="s">
        <v>1554</v>
      </c>
      <c r="Q5066" s="7"/>
    </row>
    <row r="5067">
      <c r="A5067" s="39" t="s">
        <v>19811</v>
      </c>
      <c r="B5067" s="15">
        <v>1589298.0</v>
      </c>
      <c r="C5067" s="15" t="s">
        <v>19812</v>
      </c>
      <c r="D5067" s="15">
        <v>307928.0</v>
      </c>
      <c r="E5067" s="15" t="s">
        <v>1557</v>
      </c>
      <c r="F5067" s="15" t="s">
        <v>1833</v>
      </c>
      <c r="G5067" s="7">
        <v>116.138</v>
      </c>
      <c r="H5067" s="15" t="s">
        <v>3255</v>
      </c>
      <c r="I5067" s="15" t="s">
        <v>1586</v>
      </c>
      <c r="J5067" s="15" t="s">
        <v>19813</v>
      </c>
      <c r="K5067" s="15">
        <v>164.0</v>
      </c>
      <c r="L5067" s="15">
        <v>156.0</v>
      </c>
      <c r="M5067" s="40">
        <v>42036.0</v>
      </c>
      <c r="N5067" s="40">
        <v>42374.0</v>
      </c>
      <c r="O5067" s="15" t="s">
        <v>1554</v>
      </c>
      <c r="Q5067" s="7"/>
    </row>
    <row r="5068">
      <c r="A5068" s="39" t="s">
        <v>19814</v>
      </c>
      <c r="B5068" s="15">
        <v>1589297.0</v>
      </c>
      <c r="C5068" s="15" t="s">
        <v>19815</v>
      </c>
      <c r="D5068" s="15">
        <v>307929.0</v>
      </c>
      <c r="E5068" s="15" t="s">
        <v>1557</v>
      </c>
      <c r="F5068" s="15" t="s">
        <v>1611</v>
      </c>
      <c r="G5068" s="7">
        <v>66.708</v>
      </c>
      <c r="H5068" s="15" t="s">
        <v>3260</v>
      </c>
      <c r="I5068" s="15" t="s">
        <v>1586</v>
      </c>
      <c r="J5068" s="15" t="s">
        <v>19817</v>
      </c>
      <c r="K5068" s="15">
        <v>110.0</v>
      </c>
      <c r="L5068" s="15">
        <v>110.0</v>
      </c>
      <c r="M5068" s="40">
        <v>42036.0</v>
      </c>
      <c r="N5068" s="40">
        <v>42374.0</v>
      </c>
      <c r="O5068" s="15" t="s">
        <v>1554</v>
      </c>
      <c r="Q5068" s="7"/>
    </row>
    <row r="5069">
      <c r="A5069" s="39" t="s">
        <v>19818</v>
      </c>
      <c r="B5069" s="15">
        <v>1589274.0</v>
      </c>
      <c r="C5069" s="15" t="s">
        <v>19819</v>
      </c>
      <c r="D5069" s="15">
        <v>307930.0</v>
      </c>
      <c r="E5069" s="15" t="s">
        <v>1557</v>
      </c>
      <c r="F5069" s="15" t="s">
        <v>1833</v>
      </c>
      <c r="G5069" s="7">
        <v>52.927</v>
      </c>
      <c r="H5069" s="15" t="s">
        <v>2831</v>
      </c>
      <c r="I5069" s="15" t="s">
        <v>1586</v>
      </c>
      <c r="J5069" s="15" t="s">
        <v>19820</v>
      </c>
      <c r="K5069" s="15">
        <v>86.0</v>
      </c>
      <c r="L5069" s="15">
        <v>84.0</v>
      </c>
      <c r="M5069" s="40">
        <v>42022.0</v>
      </c>
      <c r="N5069" s="40">
        <v>42374.0</v>
      </c>
      <c r="O5069" s="15" t="s">
        <v>1554</v>
      </c>
      <c r="Q5069" s="7"/>
    </row>
    <row r="5070">
      <c r="A5070" s="39" t="s">
        <v>19822</v>
      </c>
      <c r="B5070" s="15">
        <v>1589273.0</v>
      </c>
      <c r="C5070" s="15" t="s">
        <v>19823</v>
      </c>
      <c r="D5070" s="15">
        <v>307931.0</v>
      </c>
      <c r="E5070" s="15" t="s">
        <v>1557</v>
      </c>
      <c r="F5070" s="15" t="s">
        <v>1611</v>
      </c>
      <c r="G5070" s="7">
        <v>45.626</v>
      </c>
      <c r="H5070" s="15">
        <v>52.0</v>
      </c>
      <c r="I5070" s="15" t="s">
        <v>1586</v>
      </c>
      <c r="J5070" s="15" t="s">
        <v>19824</v>
      </c>
      <c r="K5070" s="15">
        <v>76.0</v>
      </c>
      <c r="L5070" s="15">
        <v>73.0</v>
      </c>
      <c r="M5070" s="40">
        <v>42022.0</v>
      </c>
      <c r="N5070" s="40">
        <v>42374.0</v>
      </c>
      <c r="O5070" s="15" t="s">
        <v>1554</v>
      </c>
      <c r="Q5070" s="7"/>
    </row>
    <row r="5071">
      <c r="A5071" s="39" t="s">
        <v>19825</v>
      </c>
      <c r="B5071" s="15">
        <v>1589265.0</v>
      </c>
      <c r="C5071" s="15" t="s">
        <v>19826</v>
      </c>
      <c r="D5071" s="15">
        <v>307932.0</v>
      </c>
      <c r="E5071" s="15" t="s">
        <v>1557</v>
      </c>
      <c r="F5071" s="15" t="s">
        <v>1767</v>
      </c>
      <c r="G5071" s="7">
        <v>162.101</v>
      </c>
      <c r="H5071" s="15" t="s">
        <v>1696</v>
      </c>
      <c r="I5071" s="15" t="s">
        <v>1586</v>
      </c>
      <c r="J5071" s="15" t="s">
        <v>19827</v>
      </c>
      <c r="K5071" s="15">
        <v>266.0</v>
      </c>
      <c r="L5071" s="15">
        <v>262.0</v>
      </c>
      <c r="M5071" s="40">
        <v>42035.0</v>
      </c>
      <c r="N5071" s="40">
        <v>42374.0</v>
      </c>
      <c r="O5071" s="15" t="s">
        <v>1554</v>
      </c>
      <c r="Q5071" s="7"/>
    </row>
    <row r="5072">
      <c r="A5072" s="39" t="s">
        <v>19828</v>
      </c>
      <c r="B5072" s="15">
        <v>1527516.0</v>
      </c>
      <c r="C5072" s="15" t="s">
        <v>19829</v>
      </c>
      <c r="D5072" s="15">
        <v>307933.0</v>
      </c>
      <c r="E5072" s="15" t="s">
        <v>1557</v>
      </c>
      <c r="F5072" s="15" t="s">
        <v>1833</v>
      </c>
      <c r="G5072" s="7">
        <v>50.882</v>
      </c>
      <c r="H5072" s="15">
        <v>64.0</v>
      </c>
      <c r="I5072" s="15" t="s">
        <v>1586</v>
      </c>
      <c r="J5072" s="15" t="s">
        <v>19831</v>
      </c>
      <c r="K5072" s="15">
        <v>93.0</v>
      </c>
      <c r="L5072" s="15">
        <v>90.0</v>
      </c>
      <c r="M5072" s="40">
        <v>41892.0</v>
      </c>
      <c r="N5072" s="40">
        <v>42374.0</v>
      </c>
      <c r="O5072" s="15" t="s">
        <v>1554</v>
      </c>
      <c r="Q5072" s="7"/>
    </row>
    <row r="5073">
      <c r="A5073" s="39" t="s">
        <v>19832</v>
      </c>
      <c r="B5073" s="15">
        <v>1673871.0</v>
      </c>
      <c r="C5073" s="15" t="s">
        <v>19833</v>
      </c>
      <c r="D5073" s="15">
        <v>307727.0</v>
      </c>
      <c r="E5073" s="15" t="s">
        <v>1557</v>
      </c>
      <c r="F5073" s="15" t="s">
        <v>1767</v>
      </c>
      <c r="G5073" s="7">
        <v>170.527</v>
      </c>
      <c r="H5073" s="15" t="s">
        <v>1602</v>
      </c>
      <c r="I5073" s="15" t="s">
        <v>1586</v>
      </c>
      <c r="J5073" s="15" t="s">
        <v>19834</v>
      </c>
      <c r="K5073" s="15">
        <v>274.0</v>
      </c>
      <c r="L5073" s="15">
        <v>275.0</v>
      </c>
      <c r="M5073" s="40">
        <v>42225.0</v>
      </c>
      <c r="N5073" s="40">
        <v>42374.0</v>
      </c>
      <c r="O5073" s="15" t="s">
        <v>1554</v>
      </c>
      <c r="Q5073" s="7"/>
    </row>
    <row r="5074">
      <c r="A5074" s="39" t="s">
        <v>19835</v>
      </c>
      <c r="B5074" s="15">
        <v>1662332.0</v>
      </c>
      <c r="C5074" s="15" t="s">
        <v>19836</v>
      </c>
      <c r="D5074" s="15">
        <v>307728.0</v>
      </c>
      <c r="E5074" s="15" t="s">
        <v>1557</v>
      </c>
      <c r="F5074" s="15" t="s">
        <v>1833</v>
      </c>
      <c r="G5074" s="7">
        <v>36.065</v>
      </c>
      <c r="H5074" s="15" t="s">
        <v>4100</v>
      </c>
      <c r="I5074" s="15" t="s">
        <v>1586</v>
      </c>
      <c r="J5074" s="15" t="s">
        <v>19837</v>
      </c>
      <c r="K5074" s="15">
        <v>45.0</v>
      </c>
      <c r="L5074" s="15">
        <v>45.0</v>
      </c>
      <c r="M5074" s="40">
        <v>42225.0</v>
      </c>
      <c r="N5074" s="40">
        <v>42531.0</v>
      </c>
      <c r="O5074" s="15" t="s">
        <v>1554</v>
      </c>
      <c r="Q5074" s="7"/>
    </row>
    <row r="5075">
      <c r="A5075" s="39" t="s">
        <v>19839</v>
      </c>
      <c r="B5075" s="15">
        <v>1662284.0</v>
      </c>
      <c r="C5075" s="15" t="s">
        <v>19840</v>
      </c>
      <c r="D5075" s="15">
        <v>307729.0</v>
      </c>
      <c r="E5075" s="15" t="s">
        <v>1557</v>
      </c>
      <c r="F5075" s="15" t="s">
        <v>1833</v>
      </c>
      <c r="G5075" s="7">
        <v>56.826</v>
      </c>
      <c r="H5075" s="15" t="s">
        <v>4108</v>
      </c>
      <c r="I5075" s="15" t="s">
        <v>1586</v>
      </c>
      <c r="J5075" s="15" t="s">
        <v>19841</v>
      </c>
      <c r="K5075" s="15">
        <v>105.0</v>
      </c>
      <c r="L5075" s="15">
        <v>105.0</v>
      </c>
      <c r="M5075" s="40">
        <v>42225.0</v>
      </c>
      <c r="N5075" s="40">
        <v>42374.0</v>
      </c>
      <c r="O5075" s="15" t="s">
        <v>1554</v>
      </c>
      <c r="Q5075" s="7"/>
    </row>
    <row r="5076">
      <c r="A5076" s="39" t="s">
        <v>19842</v>
      </c>
      <c r="B5076" s="15">
        <v>1649240.0</v>
      </c>
      <c r="C5076" s="15" t="s">
        <v>19843</v>
      </c>
      <c r="D5076" s="15">
        <v>307730.0</v>
      </c>
      <c r="E5076" s="15" t="s">
        <v>1557</v>
      </c>
      <c r="F5076" s="15" t="s">
        <v>1767</v>
      </c>
      <c r="G5076" s="7">
        <v>29.237</v>
      </c>
      <c r="H5076" s="15">
        <v>53.0</v>
      </c>
      <c r="I5076" s="15" t="s">
        <v>1586</v>
      </c>
      <c r="J5076" s="15" t="s">
        <v>19844</v>
      </c>
      <c r="K5076" s="15">
        <v>43.0</v>
      </c>
      <c r="L5076" s="15">
        <v>43.0</v>
      </c>
      <c r="M5076" s="40">
        <v>42144.0</v>
      </c>
      <c r="N5076" s="40">
        <v>42374.0</v>
      </c>
      <c r="O5076" s="15" t="s">
        <v>1554</v>
      </c>
      <c r="Q5076" s="7"/>
    </row>
    <row r="5077">
      <c r="A5077" s="39" t="s">
        <v>19846</v>
      </c>
      <c r="B5077" s="15">
        <v>1649239.0</v>
      </c>
      <c r="C5077" s="15" t="s">
        <v>19847</v>
      </c>
      <c r="D5077" s="15">
        <v>307731.0</v>
      </c>
      <c r="E5077" s="15" t="s">
        <v>1557</v>
      </c>
      <c r="F5077" s="15" t="s">
        <v>1767</v>
      </c>
      <c r="G5077" s="7">
        <v>32.675</v>
      </c>
      <c r="H5077" s="15" t="s">
        <v>2540</v>
      </c>
      <c r="I5077" s="15" t="s">
        <v>1586</v>
      </c>
      <c r="J5077" s="15" t="s">
        <v>19848</v>
      </c>
      <c r="K5077" s="15">
        <v>44.0</v>
      </c>
      <c r="L5077" s="15">
        <v>44.0</v>
      </c>
      <c r="M5077" s="40">
        <v>42144.0</v>
      </c>
      <c r="N5077" s="40">
        <v>42374.0</v>
      </c>
      <c r="O5077" s="15" t="s">
        <v>1554</v>
      </c>
      <c r="Q5077" s="7"/>
    </row>
    <row r="5078">
      <c r="A5078" s="39" t="s">
        <v>19849</v>
      </c>
      <c r="B5078" s="15">
        <v>1647465.0</v>
      </c>
      <c r="C5078" s="15" t="s">
        <v>19850</v>
      </c>
      <c r="D5078" s="15">
        <v>307732.0</v>
      </c>
      <c r="E5078" s="15" t="s">
        <v>1557</v>
      </c>
      <c r="F5078" s="15" t="s">
        <v>1767</v>
      </c>
      <c r="G5078" s="7">
        <v>33.509</v>
      </c>
      <c r="H5078" s="15" t="s">
        <v>1597</v>
      </c>
      <c r="I5078" s="15" t="s">
        <v>1586</v>
      </c>
      <c r="J5078" s="15" t="s">
        <v>19851</v>
      </c>
      <c r="K5078" s="15">
        <v>47.0</v>
      </c>
      <c r="L5078" s="15">
        <v>47.0</v>
      </c>
      <c r="M5078" s="40">
        <v>42270.0</v>
      </c>
      <c r="N5078" s="41">
        <v>42691.0</v>
      </c>
      <c r="O5078" s="15" t="s">
        <v>1554</v>
      </c>
      <c r="Q5078" s="7"/>
    </row>
    <row r="5079">
      <c r="A5079" s="39" t="s">
        <v>19852</v>
      </c>
      <c r="B5079" s="15">
        <v>1647455.0</v>
      </c>
      <c r="C5079" s="15" t="s">
        <v>19854</v>
      </c>
      <c r="D5079" s="15">
        <v>307733.0</v>
      </c>
      <c r="E5079" s="15" t="s">
        <v>1557</v>
      </c>
      <c r="F5079" s="15" t="s">
        <v>1767</v>
      </c>
      <c r="G5079" s="7">
        <v>29.733</v>
      </c>
      <c r="H5079" s="15">
        <v>53.0</v>
      </c>
      <c r="I5079" s="15" t="s">
        <v>1586</v>
      </c>
      <c r="J5079" s="15" t="s">
        <v>19855</v>
      </c>
      <c r="K5079" s="15">
        <v>43.0</v>
      </c>
      <c r="L5079" s="15">
        <v>43.0</v>
      </c>
      <c r="M5079" s="40">
        <v>42270.0</v>
      </c>
      <c r="N5079" s="41">
        <v>42692.0</v>
      </c>
      <c r="O5079" s="15" t="s">
        <v>1554</v>
      </c>
      <c r="Q5079" s="7"/>
    </row>
    <row r="5080">
      <c r="A5080" s="39" t="s">
        <v>19856</v>
      </c>
      <c r="B5080" s="15">
        <v>1673876.0</v>
      </c>
      <c r="C5080" s="15" t="s">
        <v>19857</v>
      </c>
      <c r="D5080" s="15">
        <v>307725.0</v>
      </c>
      <c r="E5080" s="15" t="s">
        <v>1557</v>
      </c>
      <c r="F5080" s="15" t="s">
        <v>1833</v>
      </c>
      <c r="G5080" s="7">
        <v>49.158</v>
      </c>
      <c r="H5080" s="15">
        <v>60.0</v>
      </c>
      <c r="I5080" s="15" t="s">
        <v>1586</v>
      </c>
      <c r="J5080" s="15" t="s">
        <v>19858</v>
      </c>
      <c r="K5080" s="15">
        <v>87.0</v>
      </c>
      <c r="L5080" s="15">
        <v>86.0</v>
      </c>
      <c r="M5080" s="40">
        <v>42225.0</v>
      </c>
      <c r="N5080" s="40">
        <v>42405.0</v>
      </c>
      <c r="O5080" s="15" t="s">
        <v>1554</v>
      </c>
      <c r="Q5080" s="7"/>
    </row>
    <row r="5081">
      <c r="A5081" s="39" t="s">
        <v>19859</v>
      </c>
      <c r="B5081" s="15">
        <v>1673873.0</v>
      </c>
      <c r="C5081" s="15" t="s">
        <v>19860</v>
      </c>
      <c r="D5081" s="15">
        <v>307726.0</v>
      </c>
      <c r="E5081" s="15" t="s">
        <v>1557</v>
      </c>
      <c r="F5081" s="15" t="s">
        <v>1833</v>
      </c>
      <c r="G5081" s="7">
        <v>52.392</v>
      </c>
      <c r="H5081" s="15" t="s">
        <v>4108</v>
      </c>
      <c r="I5081" s="15" t="s">
        <v>1586</v>
      </c>
      <c r="J5081" s="15" t="s">
        <v>19862</v>
      </c>
      <c r="K5081" s="15">
        <v>101.0</v>
      </c>
      <c r="L5081" s="15">
        <v>100.0</v>
      </c>
      <c r="M5081" s="40">
        <v>42200.0</v>
      </c>
      <c r="N5081" s="40">
        <v>42374.0</v>
      </c>
      <c r="O5081" s="15" t="s">
        <v>1554</v>
      </c>
      <c r="Q5081" s="7"/>
    </row>
    <row r="5082">
      <c r="A5082" s="39" t="s">
        <v>19863</v>
      </c>
      <c r="B5082" s="15">
        <v>12027.0</v>
      </c>
      <c r="C5082" s="15" t="s">
        <v>19864</v>
      </c>
      <c r="D5082" s="15">
        <v>15459.0</v>
      </c>
      <c r="E5082" s="15" t="s">
        <v>1548</v>
      </c>
      <c r="F5082" s="15" t="s">
        <v>4850</v>
      </c>
      <c r="G5082" s="7">
        <v>4.276</v>
      </c>
      <c r="H5082" s="15" t="s">
        <v>5391</v>
      </c>
      <c r="I5082" s="15" t="s">
        <v>1586</v>
      </c>
      <c r="J5082" s="15" t="s">
        <v>19865</v>
      </c>
      <c r="K5082" s="15">
        <v>4.0</v>
      </c>
      <c r="L5082" s="15">
        <v>4.0</v>
      </c>
      <c r="M5082" s="40">
        <v>32478.0</v>
      </c>
      <c r="N5082" s="40">
        <v>42045.0</v>
      </c>
      <c r="O5082" s="15" t="s">
        <v>1554</v>
      </c>
      <c r="Q5082" s="7"/>
    </row>
    <row r="5083">
      <c r="A5083" s="39" t="s">
        <v>19866</v>
      </c>
      <c r="B5083" s="15">
        <v>1498171.0</v>
      </c>
      <c r="C5083" s="15" t="s">
        <v>19867</v>
      </c>
      <c r="D5083" s="15">
        <v>307934.0</v>
      </c>
      <c r="E5083" s="15" t="s">
        <v>1557</v>
      </c>
      <c r="F5083" s="15" t="s">
        <v>1833</v>
      </c>
      <c r="G5083" s="7">
        <v>40.592</v>
      </c>
      <c r="H5083" s="15" t="s">
        <v>3870</v>
      </c>
      <c r="I5083" s="15" t="s">
        <v>1586</v>
      </c>
      <c r="J5083" s="15" t="s">
        <v>19868</v>
      </c>
      <c r="K5083" s="15">
        <v>54.0</v>
      </c>
      <c r="L5083" s="15">
        <v>54.0</v>
      </c>
      <c r="M5083" s="40">
        <v>42124.0</v>
      </c>
      <c r="N5083" s="40">
        <v>42374.0</v>
      </c>
      <c r="O5083" s="15" t="s">
        <v>1554</v>
      </c>
      <c r="Q5083" s="7"/>
    </row>
    <row r="5084">
      <c r="A5084" s="39" t="s">
        <v>19870</v>
      </c>
      <c r="B5084" s="15">
        <v>1429794.0</v>
      </c>
      <c r="C5084" s="15" t="s">
        <v>19871</v>
      </c>
      <c r="D5084" s="15">
        <v>307935.0</v>
      </c>
      <c r="E5084" s="15" t="s">
        <v>1557</v>
      </c>
      <c r="F5084" s="15" t="s">
        <v>1767</v>
      </c>
      <c r="G5084" s="7">
        <v>170.286</v>
      </c>
      <c r="H5084" s="15" t="s">
        <v>11674</v>
      </c>
      <c r="I5084" s="15" t="s">
        <v>1586</v>
      </c>
      <c r="J5084" s="15" t="s">
        <v>19872</v>
      </c>
      <c r="K5084" s="15">
        <v>303.0</v>
      </c>
      <c r="L5084" s="15">
        <v>291.0</v>
      </c>
      <c r="M5084" s="41">
        <v>41973.0</v>
      </c>
      <c r="N5084" s="40">
        <v>42374.0</v>
      </c>
      <c r="O5084" s="15" t="s">
        <v>1554</v>
      </c>
      <c r="Q5084" s="7"/>
    </row>
    <row r="5085">
      <c r="A5085" s="39" t="s">
        <v>19873</v>
      </c>
      <c r="B5085" s="15">
        <v>1506716.0</v>
      </c>
      <c r="C5085" s="15" t="s">
        <v>19874</v>
      </c>
      <c r="D5085" s="15">
        <v>307936.0</v>
      </c>
      <c r="E5085" s="15" t="s">
        <v>1557</v>
      </c>
      <c r="F5085" s="15" t="s">
        <v>1833</v>
      </c>
      <c r="G5085" s="7">
        <v>57.253</v>
      </c>
      <c r="H5085" s="15">
        <v>68.0</v>
      </c>
      <c r="I5085" s="15" t="s">
        <v>1586</v>
      </c>
      <c r="J5085" s="15" t="s">
        <v>19875</v>
      </c>
      <c r="K5085" s="15">
        <v>93.0</v>
      </c>
      <c r="L5085" s="15">
        <v>92.0</v>
      </c>
      <c r="M5085" s="40">
        <v>41857.0</v>
      </c>
      <c r="N5085" s="40">
        <v>42374.0</v>
      </c>
      <c r="O5085" s="15" t="s">
        <v>1554</v>
      </c>
      <c r="Q5085" s="7"/>
    </row>
    <row r="5086">
      <c r="A5086" s="39" t="s">
        <v>19877</v>
      </c>
      <c r="B5086" s="15">
        <v>1527520.0</v>
      </c>
      <c r="C5086" s="15" t="s">
        <v>19878</v>
      </c>
      <c r="D5086" s="15">
        <v>307937.0</v>
      </c>
      <c r="E5086" s="15" t="s">
        <v>1557</v>
      </c>
      <c r="F5086" s="15" t="s">
        <v>1833</v>
      </c>
      <c r="G5086" s="7">
        <v>52.647</v>
      </c>
      <c r="H5086" s="15" t="s">
        <v>2831</v>
      </c>
      <c r="I5086" s="15" t="s">
        <v>1586</v>
      </c>
      <c r="J5086" s="15" t="s">
        <v>19879</v>
      </c>
      <c r="K5086" s="15">
        <v>95.0</v>
      </c>
      <c r="L5086" s="15">
        <v>94.0</v>
      </c>
      <c r="M5086" s="40">
        <v>41877.0</v>
      </c>
      <c r="N5086" s="40">
        <v>42374.0</v>
      </c>
      <c r="O5086" s="15" t="s">
        <v>1554</v>
      </c>
      <c r="Q5086" s="7"/>
    </row>
    <row r="5087">
      <c r="A5087" s="39" t="s">
        <v>19880</v>
      </c>
      <c r="B5087" s="15">
        <v>1527531.0</v>
      </c>
      <c r="C5087" s="15" t="s">
        <v>19881</v>
      </c>
      <c r="D5087" s="15">
        <v>307938.0</v>
      </c>
      <c r="E5087" s="15" t="s">
        <v>1557</v>
      </c>
      <c r="F5087" s="15" t="s">
        <v>1767</v>
      </c>
      <c r="G5087" s="7">
        <v>86.252</v>
      </c>
      <c r="H5087" s="15" t="s">
        <v>5806</v>
      </c>
      <c r="I5087" s="15" t="s">
        <v>1586</v>
      </c>
      <c r="J5087" s="15" t="s">
        <v>19882</v>
      </c>
      <c r="K5087" s="15">
        <v>125.0</v>
      </c>
      <c r="L5087" s="15">
        <v>125.0</v>
      </c>
      <c r="M5087" s="40">
        <v>42186.0</v>
      </c>
      <c r="N5087" s="40">
        <v>42374.0</v>
      </c>
      <c r="O5087" s="15" t="s">
        <v>1554</v>
      </c>
      <c r="Q5087" s="7"/>
    </row>
    <row r="5088">
      <c r="A5088" s="39" t="s">
        <v>19883</v>
      </c>
      <c r="B5088" s="15">
        <v>1527534.0</v>
      </c>
      <c r="C5088" s="15" t="s">
        <v>19885</v>
      </c>
      <c r="D5088" s="15">
        <v>307939.0</v>
      </c>
      <c r="E5088" s="15" t="s">
        <v>1557</v>
      </c>
      <c r="F5088" s="15" t="s">
        <v>1833</v>
      </c>
      <c r="G5088" s="7">
        <v>49.717</v>
      </c>
      <c r="H5088" s="15">
        <v>61.0</v>
      </c>
      <c r="I5088" s="15" t="s">
        <v>1586</v>
      </c>
      <c r="J5088" s="15" t="s">
        <v>19886</v>
      </c>
      <c r="K5088" s="15">
        <v>88.0</v>
      </c>
      <c r="L5088" s="15">
        <v>87.0</v>
      </c>
      <c r="M5088" s="40">
        <v>41877.0</v>
      </c>
      <c r="N5088" s="40">
        <v>42374.0</v>
      </c>
      <c r="O5088" s="15" t="s">
        <v>1554</v>
      </c>
      <c r="Q5088" s="7"/>
    </row>
    <row r="5089">
      <c r="A5089" s="39" t="s">
        <v>19887</v>
      </c>
      <c r="B5089" s="15">
        <v>1357715.0</v>
      </c>
      <c r="C5089" s="15" t="s">
        <v>19888</v>
      </c>
      <c r="D5089" s="15">
        <v>307940.0</v>
      </c>
      <c r="E5089" s="15" t="s">
        <v>1557</v>
      </c>
      <c r="F5089" s="15" t="s">
        <v>1767</v>
      </c>
      <c r="G5089" s="7">
        <v>169.223</v>
      </c>
      <c r="H5089" s="15">
        <v>46.0</v>
      </c>
      <c r="I5089" s="15" t="s">
        <v>1586</v>
      </c>
      <c r="J5089" s="15" t="s">
        <v>19889</v>
      </c>
      <c r="K5089" s="15">
        <v>170.0</v>
      </c>
      <c r="L5089" s="15">
        <v>170.0</v>
      </c>
      <c r="M5089" s="40">
        <v>41851.0</v>
      </c>
      <c r="N5089" s="40">
        <v>42374.0</v>
      </c>
      <c r="O5089" s="15" t="s">
        <v>1554</v>
      </c>
      <c r="Q5089" s="7"/>
    </row>
    <row r="5090">
      <c r="A5090" s="39" t="s">
        <v>19890</v>
      </c>
      <c r="B5090" s="15">
        <v>1354511.0</v>
      </c>
      <c r="C5090" s="15" t="s">
        <v>19891</v>
      </c>
      <c r="D5090" s="15">
        <v>307941.0</v>
      </c>
      <c r="E5090" s="15" t="s">
        <v>1557</v>
      </c>
      <c r="F5090" s="15" t="s">
        <v>1833</v>
      </c>
      <c r="G5090" s="7">
        <v>50.856</v>
      </c>
      <c r="H5090" s="15">
        <v>64.0</v>
      </c>
      <c r="I5090" s="15" t="s">
        <v>1586</v>
      </c>
      <c r="J5090" s="15" t="s">
        <v>19893</v>
      </c>
      <c r="K5090" s="15">
        <v>98.0</v>
      </c>
      <c r="L5090" s="15">
        <v>95.0</v>
      </c>
      <c r="M5090" s="41">
        <v>41923.0</v>
      </c>
      <c r="N5090" s="40">
        <v>42374.0</v>
      </c>
      <c r="O5090" s="15" t="s">
        <v>1554</v>
      </c>
      <c r="Q5090" s="7"/>
    </row>
    <row r="5091">
      <c r="A5091" s="39" t="s">
        <v>19894</v>
      </c>
      <c r="B5091" s="15">
        <v>1340750.0</v>
      </c>
      <c r="C5091" s="15" t="s">
        <v>19895</v>
      </c>
      <c r="D5091" s="15">
        <v>307942.0</v>
      </c>
      <c r="E5091" s="15" t="s">
        <v>1557</v>
      </c>
      <c r="F5091" s="15" t="s">
        <v>1767</v>
      </c>
      <c r="G5091" s="7">
        <v>87.712</v>
      </c>
      <c r="H5091" s="15" t="s">
        <v>6565</v>
      </c>
      <c r="I5091" s="15" t="s">
        <v>1586</v>
      </c>
      <c r="J5091" s="15" t="s">
        <v>19896</v>
      </c>
      <c r="K5091" s="15">
        <v>131.0</v>
      </c>
      <c r="L5091" s="15">
        <v>131.0</v>
      </c>
      <c r="M5091" s="40">
        <v>41478.0</v>
      </c>
      <c r="N5091" s="40">
        <v>42374.0</v>
      </c>
      <c r="O5091" s="15" t="s">
        <v>1554</v>
      </c>
      <c r="Q5091" s="7"/>
    </row>
    <row r="5092">
      <c r="A5092" s="39" t="s">
        <v>19897</v>
      </c>
      <c r="B5092" s="15">
        <v>1327935.0</v>
      </c>
      <c r="C5092" s="15" t="s">
        <v>19898</v>
      </c>
      <c r="D5092" s="15">
        <v>307943.0</v>
      </c>
      <c r="E5092" s="15" t="s">
        <v>1557</v>
      </c>
      <c r="F5092" s="15" t="s">
        <v>1767</v>
      </c>
      <c r="G5092" s="7">
        <v>182.145</v>
      </c>
      <c r="H5092" s="15" t="s">
        <v>1902</v>
      </c>
      <c r="I5092" s="15" t="s">
        <v>1586</v>
      </c>
      <c r="J5092" s="15" t="s">
        <v>19900</v>
      </c>
      <c r="K5092" s="15">
        <v>295.0</v>
      </c>
      <c r="L5092" s="15">
        <v>268.0</v>
      </c>
      <c r="M5092" s="40">
        <v>41793.0</v>
      </c>
      <c r="N5092" s="40">
        <v>42551.0</v>
      </c>
      <c r="O5092" s="15" t="s">
        <v>1554</v>
      </c>
      <c r="Q5092" s="7"/>
    </row>
    <row r="5093">
      <c r="A5093" s="39" t="s">
        <v>19901</v>
      </c>
      <c r="B5093" s="15">
        <v>1296661.0</v>
      </c>
      <c r="C5093" s="15" t="s">
        <v>19902</v>
      </c>
      <c r="D5093" s="15">
        <v>307944.0</v>
      </c>
      <c r="E5093" s="15" t="s">
        <v>1557</v>
      </c>
      <c r="F5093" s="15" t="s">
        <v>1767</v>
      </c>
      <c r="G5093" s="7">
        <v>45.552</v>
      </c>
      <c r="H5093" s="15" t="s">
        <v>2197</v>
      </c>
      <c r="I5093" s="15" t="s">
        <v>1586</v>
      </c>
      <c r="J5093" s="15" t="s">
        <v>19903</v>
      </c>
      <c r="K5093" s="15">
        <v>94.0</v>
      </c>
      <c r="L5093" s="15">
        <v>94.0</v>
      </c>
      <c r="M5093" s="40">
        <v>41478.0</v>
      </c>
      <c r="N5093" s="40">
        <v>42375.0</v>
      </c>
      <c r="O5093" s="15" t="s">
        <v>1554</v>
      </c>
      <c r="Q5093" s="7"/>
    </row>
    <row r="5094">
      <c r="A5094" s="39" t="s">
        <v>19904</v>
      </c>
      <c r="B5094" s="15">
        <v>1296656.0</v>
      </c>
      <c r="C5094" s="15" t="s">
        <v>19905</v>
      </c>
      <c r="D5094" s="15">
        <v>307945.0</v>
      </c>
      <c r="E5094" s="15" t="s">
        <v>1557</v>
      </c>
      <c r="F5094" s="15" t="s">
        <v>1767</v>
      </c>
      <c r="G5094" s="7">
        <v>138.877</v>
      </c>
      <c r="H5094" s="15" t="s">
        <v>3070</v>
      </c>
      <c r="I5094" s="15" t="s">
        <v>1586</v>
      </c>
      <c r="J5094" s="15" t="s">
        <v>19906</v>
      </c>
      <c r="K5094" s="15">
        <v>223.0</v>
      </c>
      <c r="L5094" s="15">
        <v>220.0</v>
      </c>
      <c r="M5094" s="40">
        <v>41478.0</v>
      </c>
      <c r="N5094" s="40">
        <v>42430.0</v>
      </c>
      <c r="O5094" s="15" t="s">
        <v>1554</v>
      </c>
      <c r="Q5094" s="7"/>
    </row>
    <row r="5095">
      <c r="A5095" s="39" t="s">
        <v>19908</v>
      </c>
      <c r="B5095" s="15">
        <v>1296655.0</v>
      </c>
      <c r="C5095" s="15" t="s">
        <v>19909</v>
      </c>
      <c r="D5095" s="15">
        <v>307946.0</v>
      </c>
      <c r="E5095" s="15" t="s">
        <v>1557</v>
      </c>
      <c r="F5095" s="15" t="s">
        <v>1767</v>
      </c>
      <c r="G5095" s="7">
        <v>137.918</v>
      </c>
      <c r="H5095" s="15" t="s">
        <v>3070</v>
      </c>
      <c r="I5095" s="15" t="s">
        <v>1586</v>
      </c>
      <c r="J5095" s="15" t="s">
        <v>19910</v>
      </c>
      <c r="K5095" s="15">
        <v>222.0</v>
      </c>
      <c r="L5095" s="15">
        <v>218.0</v>
      </c>
      <c r="M5095" s="40">
        <v>41478.0</v>
      </c>
      <c r="N5095" s="40">
        <v>42430.0</v>
      </c>
      <c r="O5095" s="15" t="s">
        <v>1554</v>
      </c>
      <c r="Q5095" s="7"/>
    </row>
    <row r="5096">
      <c r="A5096" s="39" t="s">
        <v>19911</v>
      </c>
      <c r="B5096" s="15">
        <v>1229760.0</v>
      </c>
      <c r="C5096" s="15" t="s">
        <v>19912</v>
      </c>
      <c r="D5096" s="15">
        <v>307947.0</v>
      </c>
      <c r="E5096" s="15" t="s">
        <v>1557</v>
      </c>
      <c r="F5096" s="15" t="s">
        <v>1767</v>
      </c>
      <c r="G5096" s="7">
        <v>43.216</v>
      </c>
      <c r="H5096" s="15" t="s">
        <v>1823</v>
      </c>
      <c r="I5096" s="15" t="s">
        <v>1586</v>
      </c>
      <c r="J5096" s="15" t="s">
        <v>19913</v>
      </c>
      <c r="K5096" s="15">
        <v>82.0</v>
      </c>
      <c r="L5096" s="15">
        <v>82.0</v>
      </c>
      <c r="M5096" s="41">
        <v>41192.0</v>
      </c>
      <c r="N5096" s="40">
        <v>42374.0</v>
      </c>
      <c r="O5096" s="15" t="s">
        <v>1554</v>
      </c>
      <c r="Q5096" s="7"/>
    </row>
    <row r="5097">
      <c r="A5097" s="39" t="s">
        <v>19915</v>
      </c>
      <c r="B5097" s="15">
        <v>1175663.0</v>
      </c>
      <c r="C5097" s="15" t="s">
        <v>19916</v>
      </c>
      <c r="D5097" s="15">
        <v>307948.0</v>
      </c>
      <c r="E5097" s="15" t="s">
        <v>1557</v>
      </c>
      <c r="F5097" s="15" t="s">
        <v>1833</v>
      </c>
      <c r="G5097" s="7">
        <v>58.637</v>
      </c>
      <c r="H5097" s="15" t="s">
        <v>1666</v>
      </c>
      <c r="I5097" s="15" t="s">
        <v>1586</v>
      </c>
      <c r="J5097" s="15" t="s">
        <v>19917</v>
      </c>
      <c r="K5097" s="15">
        <v>75.0</v>
      </c>
      <c r="L5097" s="15">
        <v>75.0</v>
      </c>
      <c r="M5097" s="40">
        <v>41066.0</v>
      </c>
      <c r="N5097" s="40">
        <v>42375.0</v>
      </c>
      <c r="O5097" s="15" t="s">
        <v>2353</v>
      </c>
      <c r="Q5097" s="7"/>
    </row>
    <row r="5098">
      <c r="A5098" s="39" t="s">
        <v>19918</v>
      </c>
      <c r="B5098" s="15">
        <v>1175662.0</v>
      </c>
      <c r="C5098" s="15" t="s">
        <v>19919</v>
      </c>
      <c r="D5098" s="15">
        <v>307949.0</v>
      </c>
      <c r="E5098" s="15" t="s">
        <v>1557</v>
      </c>
      <c r="F5098" s="15" t="s">
        <v>1833</v>
      </c>
      <c r="G5098" s="7">
        <v>43.225</v>
      </c>
      <c r="H5098" s="15" t="s">
        <v>1634</v>
      </c>
      <c r="I5098" s="15" t="s">
        <v>1586</v>
      </c>
      <c r="J5098" s="15" t="s">
        <v>19920</v>
      </c>
      <c r="K5098" s="15">
        <v>56.0</v>
      </c>
      <c r="L5098" s="15">
        <v>56.0</v>
      </c>
      <c r="M5098" s="40">
        <v>41066.0</v>
      </c>
      <c r="N5098" s="40">
        <v>42374.0</v>
      </c>
      <c r="O5098" s="15" t="s">
        <v>1554</v>
      </c>
      <c r="Q5098" s="7"/>
    </row>
    <row r="5099">
      <c r="A5099" s="39" t="s">
        <v>19921</v>
      </c>
      <c r="B5099" s="15">
        <v>1175659.0</v>
      </c>
      <c r="C5099" s="15" t="s">
        <v>19923</v>
      </c>
      <c r="D5099" s="15">
        <v>307950.0</v>
      </c>
      <c r="E5099" s="15" t="s">
        <v>1557</v>
      </c>
      <c r="F5099" s="15" t="s">
        <v>1833</v>
      </c>
      <c r="G5099" s="7">
        <v>55.108</v>
      </c>
      <c r="H5099" s="15" t="s">
        <v>4308</v>
      </c>
      <c r="I5099" s="15" t="s">
        <v>1586</v>
      </c>
      <c r="J5099" s="15" t="s">
        <v>19924</v>
      </c>
      <c r="K5099" s="15">
        <v>74.0</v>
      </c>
      <c r="L5099" s="15">
        <v>74.0</v>
      </c>
      <c r="M5099" s="40">
        <v>41066.0</v>
      </c>
      <c r="N5099" s="40">
        <v>42375.0</v>
      </c>
      <c r="O5099" s="15" t="s">
        <v>2353</v>
      </c>
      <c r="Q5099" s="7"/>
    </row>
    <row r="5100">
      <c r="A5100" s="39" t="s">
        <v>19925</v>
      </c>
      <c r="B5100" s="15">
        <v>1175657.0</v>
      </c>
      <c r="C5100" s="15" t="s">
        <v>19926</v>
      </c>
      <c r="D5100" s="15">
        <v>307951.0</v>
      </c>
      <c r="E5100" s="15" t="s">
        <v>1557</v>
      </c>
      <c r="F5100" s="15" t="s">
        <v>1833</v>
      </c>
      <c r="G5100" s="7">
        <v>59.878</v>
      </c>
      <c r="H5100" s="15" t="s">
        <v>4653</v>
      </c>
      <c r="I5100" s="15" t="s">
        <v>1586</v>
      </c>
      <c r="J5100" s="15" t="s">
        <v>19927</v>
      </c>
      <c r="K5100" s="15">
        <v>81.0</v>
      </c>
      <c r="L5100" s="15">
        <v>81.0</v>
      </c>
      <c r="M5100" s="40">
        <v>41066.0</v>
      </c>
      <c r="N5100" s="40">
        <v>42375.0</v>
      </c>
      <c r="O5100" s="15" t="s">
        <v>1554</v>
      </c>
      <c r="Q5100" s="7"/>
    </row>
    <row r="5101">
      <c r="A5101" s="39" t="s">
        <v>19928</v>
      </c>
      <c r="B5101" s="15">
        <v>1165134.0</v>
      </c>
      <c r="C5101" s="15" t="s">
        <v>19929</v>
      </c>
      <c r="D5101" s="15">
        <v>307952.0</v>
      </c>
      <c r="E5101" s="15" t="s">
        <v>1557</v>
      </c>
      <c r="F5101" s="15" t="s">
        <v>1833</v>
      </c>
      <c r="G5101" s="7">
        <v>32.414</v>
      </c>
      <c r="H5101" s="15" t="s">
        <v>8397</v>
      </c>
      <c r="I5101" s="15" t="s">
        <v>1586</v>
      </c>
      <c r="J5101" s="15" t="s">
        <v>19931</v>
      </c>
      <c r="K5101" s="15">
        <v>61.0</v>
      </c>
      <c r="L5101" s="15">
        <v>59.0</v>
      </c>
      <c r="M5101" s="40">
        <v>40995.0</v>
      </c>
      <c r="N5101" s="40">
        <v>42374.0</v>
      </c>
      <c r="O5101" s="15" t="s">
        <v>1554</v>
      </c>
      <c r="Q5101" s="7"/>
    </row>
    <row r="5102">
      <c r="A5102" s="39" t="s">
        <v>19932</v>
      </c>
      <c r="B5102" s="15">
        <v>1089127.0</v>
      </c>
      <c r="C5102" s="15" t="s">
        <v>19933</v>
      </c>
      <c r="D5102" s="15">
        <v>307953.0</v>
      </c>
      <c r="E5102" s="15" t="s">
        <v>1557</v>
      </c>
      <c r="F5102" s="15" t="s">
        <v>1833</v>
      </c>
      <c r="G5102" s="7">
        <v>68.839</v>
      </c>
      <c r="H5102" s="15" t="s">
        <v>4308</v>
      </c>
      <c r="I5102" s="15" t="s">
        <v>1586</v>
      </c>
      <c r="J5102" s="15" t="s">
        <v>19934</v>
      </c>
      <c r="K5102" s="15">
        <v>104.0</v>
      </c>
      <c r="L5102" s="15">
        <v>104.0</v>
      </c>
      <c r="M5102" s="40">
        <v>40853.0</v>
      </c>
      <c r="N5102" s="40">
        <v>42374.0</v>
      </c>
      <c r="O5102" s="15" t="s">
        <v>1554</v>
      </c>
      <c r="Q5102" s="7"/>
    </row>
    <row r="5103">
      <c r="A5103" s="39" t="s">
        <v>19935</v>
      </c>
      <c r="B5103" s="15">
        <v>1035485.0</v>
      </c>
      <c r="C5103" s="15" t="s">
        <v>19936</v>
      </c>
      <c r="D5103" s="15">
        <v>307954.0</v>
      </c>
      <c r="E5103" s="15" t="s">
        <v>1557</v>
      </c>
      <c r="F5103" s="15" t="s">
        <v>1833</v>
      </c>
      <c r="G5103" s="7">
        <v>75.933</v>
      </c>
      <c r="H5103" s="15">
        <v>63.0</v>
      </c>
      <c r="I5103" s="15" t="s">
        <v>1586</v>
      </c>
      <c r="J5103" s="15" t="s">
        <v>19937</v>
      </c>
      <c r="K5103" s="15">
        <v>142.0</v>
      </c>
      <c r="L5103" s="15">
        <v>140.0</v>
      </c>
      <c r="M5103" s="40">
        <v>40740.0</v>
      </c>
      <c r="N5103" s="40">
        <v>42374.0</v>
      </c>
      <c r="O5103" s="15" t="s">
        <v>1554</v>
      </c>
      <c r="Q5103" s="7"/>
    </row>
    <row r="5104">
      <c r="A5104" s="39" t="s">
        <v>19939</v>
      </c>
      <c r="B5104" s="15">
        <v>1034149.0</v>
      </c>
      <c r="C5104" s="15" t="s">
        <v>19940</v>
      </c>
      <c r="D5104" s="15">
        <v>307955.0</v>
      </c>
      <c r="E5104" s="15" t="s">
        <v>1557</v>
      </c>
      <c r="F5104" s="15" t="s">
        <v>1833</v>
      </c>
      <c r="G5104" s="7">
        <v>68.346</v>
      </c>
      <c r="H5104" s="15" t="s">
        <v>4308</v>
      </c>
      <c r="I5104" s="15" t="s">
        <v>1586</v>
      </c>
      <c r="J5104" s="15" t="s">
        <v>19941</v>
      </c>
      <c r="K5104" s="15">
        <v>99.0</v>
      </c>
      <c r="L5104" s="15">
        <v>99.0</v>
      </c>
      <c r="M5104" s="40">
        <v>40740.0</v>
      </c>
      <c r="N5104" s="40">
        <v>42374.0</v>
      </c>
      <c r="O5104" s="15" t="s">
        <v>1554</v>
      </c>
      <c r="Q5104" s="7"/>
    </row>
    <row r="5105">
      <c r="A5105" s="39" t="s">
        <v>19942</v>
      </c>
      <c r="B5105" s="15">
        <v>1034143.0</v>
      </c>
      <c r="C5105" s="15" t="s">
        <v>19943</v>
      </c>
      <c r="D5105" s="15">
        <v>307956.0</v>
      </c>
      <c r="E5105" s="15" t="s">
        <v>1557</v>
      </c>
      <c r="F5105" s="15" t="s">
        <v>1833</v>
      </c>
      <c r="G5105" s="7">
        <v>68.293</v>
      </c>
      <c r="H5105" s="15" t="s">
        <v>4308</v>
      </c>
      <c r="I5105" s="15" t="s">
        <v>1586</v>
      </c>
      <c r="J5105" s="15" t="s">
        <v>19944</v>
      </c>
      <c r="K5105" s="15">
        <v>99.0</v>
      </c>
      <c r="L5105" s="15">
        <v>99.0</v>
      </c>
      <c r="M5105" s="40">
        <v>40740.0</v>
      </c>
      <c r="N5105" s="40">
        <v>42374.0</v>
      </c>
      <c r="O5105" s="15" t="s">
        <v>1554</v>
      </c>
      <c r="Q5105" s="7"/>
    </row>
    <row r="5106">
      <c r="A5106" s="39" t="s">
        <v>19945</v>
      </c>
      <c r="B5106" s="15">
        <v>1034128.0</v>
      </c>
      <c r="C5106" s="15" t="s">
        <v>19946</v>
      </c>
      <c r="D5106" s="15">
        <v>307957.0</v>
      </c>
      <c r="E5106" s="15" t="s">
        <v>1557</v>
      </c>
      <c r="F5106" s="15" t="s">
        <v>1767</v>
      </c>
      <c r="G5106" s="7">
        <v>153.401</v>
      </c>
      <c r="H5106" s="15" t="s">
        <v>8929</v>
      </c>
      <c r="I5106" s="15" t="s">
        <v>1586</v>
      </c>
      <c r="J5106" s="15" t="s">
        <v>19948</v>
      </c>
      <c r="K5106" s="15">
        <v>252.0</v>
      </c>
      <c r="L5106" s="15">
        <v>222.0</v>
      </c>
      <c r="M5106" s="40">
        <v>40740.0</v>
      </c>
      <c r="N5106" s="40">
        <v>42374.0</v>
      </c>
      <c r="O5106" s="15" t="s">
        <v>1554</v>
      </c>
      <c r="Q5106" s="7"/>
    </row>
    <row r="5107">
      <c r="A5107" s="39" t="s">
        <v>19949</v>
      </c>
      <c r="B5107" s="15">
        <v>1572754.0</v>
      </c>
      <c r="C5107" s="15" t="s">
        <v>19950</v>
      </c>
      <c r="D5107" s="15">
        <v>307958.0</v>
      </c>
      <c r="E5107" s="15" t="s">
        <v>1557</v>
      </c>
      <c r="F5107" s="15" t="s">
        <v>1611</v>
      </c>
      <c r="G5107" s="7">
        <v>40.477</v>
      </c>
      <c r="H5107" s="15" t="s">
        <v>2279</v>
      </c>
      <c r="I5107" s="15" t="s">
        <v>1586</v>
      </c>
      <c r="J5107" s="15" t="s">
        <v>19951</v>
      </c>
      <c r="K5107" s="15">
        <v>50.0</v>
      </c>
      <c r="L5107" s="15">
        <v>50.0</v>
      </c>
      <c r="M5107" s="40">
        <v>42088.0</v>
      </c>
      <c r="N5107" s="40">
        <v>42535.0</v>
      </c>
      <c r="O5107" s="15" t="s">
        <v>1554</v>
      </c>
      <c r="Q5107" s="7"/>
    </row>
    <row r="5108">
      <c r="A5108" s="39" t="s">
        <v>19953</v>
      </c>
      <c r="B5108" s="15">
        <v>1572753.0</v>
      </c>
      <c r="C5108" s="15" t="s">
        <v>19954</v>
      </c>
      <c r="D5108" s="15">
        <v>307959.0</v>
      </c>
      <c r="E5108" s="15" t="s">
        <v>1557</v>
      </c>
      <c r="F5108" s="15" t="s">
        <v>1611</v>
      </c>
      <c r="G5108" s="7">
        <v>40.829</v>
      </c>
      <c r="H5108" s="15" t="s">
        <v>2279</v>
      </c>
      <c r="I5108" s="15" t="s">
        <v>1586</v>
      </c>
      <c r="J5108" s="15" t="s">
        <v>19955</v>
      </c>
      <c r="K5108" s="15">
        <v>45.0</v>
      </c>
      <c r="L5108" s="15">
        <v>45.0</v>
      </c>
      <c r="M5108" s="40">
        <v>42088.0</v>
      </c>
      <c r="N5108" s="40">
        <v>42535.0</v>
      </c>
      <c r="O5108" s="15" t="s">
        <v>1554</v>
      </c>
      <c r="Q5108" s="7"/>
    </row>
    <row r="5109">
      <c r="A5109" s="39" t="s">
        <v>19956</v>
      </c>
      <c r="B5109" s="15">
        <v>1572750.0</v>
      </c>
      <c r="C5109" s="15" t="s">
        <v>19957</v>
      </c>
      <c r="D5109" s="15">
        <v>307960.0</v>
      </c>
      <c r="E5109" s="15" t="s">
        <v>1557</v>
      </c>
      <c r="F5109" s="15" t="s">
        <v>1767</v>
      </c>
      <c r="G5109" s="7">
        <v>33.755</v>
      </c>
      <c r="H5109" s="15" t="s">
        <v>2648</v>
      </c>
      <c r="I5109" s="15" t="s">
        <v>1586</v>
      </c>
      <c r="J5109" s="15" t="s">
        <v>19958</v>
      </c>
      <c r="K5109" s="15">
        <v>50.0</v>
      </c>
      <c r="L5109" s="15">
        <v>50.0</v>
      </c>
      <c r="M5109" s="40">
        <v>42255.0</v>
      </c>
      <c r="N5109" s="40">
        <v>42374.0</v>
      </c>
      <c r="O5109" s="15" t="s">
        <v>1554</v>
      </c>
      <c r="Q5109" s="7"/>
    </row>
    <row r="5110">
      <c r="A5110" s="39" t="s">
        <v>19959</v>
      </c>
      <c r="B5110" s="15">
        <v>1572747.0</v>
      </c>
      <c r="C5110" s="15" t="s">
        <v>19960</v>
      </c>
      <c r="D5110" s="15">
        <v>307961.0</v>
      </c>
      <c r="E5110" s="15" t="s">
        <v>1557</v>
      </c>
      <c r="F5110" s="15" t="s">
        <v>1833</v>
      </c>
      <c r="G5110" s="7">
        <v>52.139</v>
      </c>
      <c r="H5110" s="15" t="s">
        <v>2440</v>
      </c>
      <c r="I5110" s="15" t="s">
        <v>1586</v>
      </c>
      <c r="J5110" s="15" t="s">
        <v>19962</v>
      </c>
      <c r="K5110" s="15">
        <v>80.0</v>
      </c>
      <c r="L5110" s="15">
        <v>79.0</v>
      </c>
      <c r="M5110" s="40">
        <v>42255.0</v>
      </c>
      <c r="N5110" s="40">
        <v>42374.0</v>
      </c>
      <c r="O5110" s="15" t="s">
        <v>1554</v>
      </c>
      <c r="Q5110" s="7"/>
    </row>
    <row r="5111">
      <c r="A5111" s="39" t="s">
        <v>19963</v>
      </c>
      <c r="B5111" s="15">
        <v>1572744.0</v>
      </c>
      <c r="C5111" s="15" t="s">
        <v>19964</v>
      </c>
      <c r="D5111" s="15">
        <v>307962.0</v>
      </c>
      <c r="E5111" s="15" t="s">
        <v>1557</v>
      </c>
      <c r="F5111" s="15" t="s">
        <v>1767</v>
      </c>
      <c r="G5111" s="7">
        <v>35.764</v>
      </c>
      <c r="H5111" s="15" t="s">
        <v>2950</v>
      </c>
      <c r="I5111" s="15" t="s">
        <v>1586</v>
      </c>
      <c r="J5111" s="15" t="s">
        <v>19965</v>
      </c>
      <c r="K5111" s="15">
        <v>51.0</v>
      </c>
      <c r="L5111" s="15">
        <v>51.0</v>
      </c>
      <c r="M5111" s="40">
        <v>42255.0</v>
      </c>
      <c r="N5111" s="40">
        <v>42374.0</v>
      </c>
      <c r="O5111" s="15" t="s">
        <v>1554</v>
      </c>
      <c r="Q5111" s="7"/>
    </row>
    <row r="5112">
      <c r="A5112" s="39" t="s">
        <v>19966</v>
      </c>
      <c r="B5112" s="15">
        <v>1572743.0</v>
      </c>
      <c r="C5112" s="15" t="s">
        <v>19967</v>
      </c>
      <c r="D5112" s="15">
        <v>307963.0</v>
      </c>
      <c r="E5112" s="15" t="s">
        <v>1557</v>
      </c>
      <c r="F5112" s="15" t="s">
        <v>1833</v>
      </c>
      <c r="G5112" s="7">
        <v>50.078</v>
      </c>
      <c r="H5112" s="15" t="s">
        <v>1710</v>
      </c>
      <c r="I5112" s="15" t="s">
        <v>1586</v>
      </c>
      <c r="J5112" s="15" t="s">
        <v>19969</v>
      </c>
      <c r="K5112" s="15">
        <v>80.0</v>
      </c>
      <c r="L5112" s="15">
        <v>79.0</v>
      </c>
      <c r="M5112" s="40">
        <v>42255.0</v>
      </c>
      <c r="N5112" s="40">
        <v>42374.0</v>
      </c>
      <c r="O5112" s="15" t="s">
        <v>1554</v>
      </c>
      <c r="Q5112" s="7"/>
    </row>
    <row r="5113">
      <c r="A5113" s="39" t="s">
        <v>19970</v>
      </c>
      <c r="B5113" s="15">
        <v>1567485.0</v>
      </c>
      <c r="C5113" s="15" t="s">
        <v>19971</v>
      </c>
      <c r="D5113" s="15">
        <v>307964.0</v>
      </c>
      <c r="E5113" s="15" t="s">
        <v>1557</v>
      </c>
      <c r="F5113" s="15" t="s">
        <v>1833</v>
      </c>
      <c r="G5113" s="7">
        <v>58.546</v>
      </c>
      <c r="H5113" s="15" t="s">
        <v>1572</v>
      </c>
      <c r="I5113" s="15" t="s">
        <v>1586</v>
      </c>
      <c r="J5113" s="15" t="s">
        <v>19972</v>
      </c>
      <c r="K5113" s="15">
        <v>70.0</v>
      </c>
      <c r="L5113" s="15">
        <v>70.0</v>
      </c>
      <c r="M5113" s="40">
        <v>42039.0</v>
      </c>
      <c r="N5113" s="40">
        <v>42374.0</v>
      </c>
      <c r="O5113" s="15" t="s">
        <v>1554</v>
      </c>
      <c r="Q5113" s="7"/>
    </row>
    <row r="5114">
      <c r="A5114" s="39" t="s">
        <v>19973</v>
      </c>
      <c r="B5114" s="15">
        <v>1567029.0</v>
      </c>
      <c r="C5114" s="15" t="s">
        <v>19974</v>
      </c>
      <c r="D5114" s="15">
        <v>307965.0</v>
      </c>
      <c r="E5114" s="15" t="s">
        <v>1557</v>
      </c>
      <c r="F5114" s="15" t="s">
        <v>1767</v>
      </c>
      <c r="G5114" s="7">
        <v>171.541</v>
      </c>
      <c r="H5114" s="15" t="s">
        <v>1902</v>
      </c>
      <c r="I5114" s="15" t="s">
        <v>1586</v>
      </c>
      <c r="J5114" s="15" t="s">
        <v>19975</v>
      </c>
      <c r="K5114" s="15">
        <v>292.0</v>
      </c>
      <c r="L5114" s="15">
        <v>291.0</v>
      </c>
      <c r="M5114" s="40">
        <v>41982.0</v>
      </c>
      <c r="N5114" s="40">
        <v>42374.0</v>
      </c>
      <c r="O5114" s="15" t="s">
        <v>1554</v>
      </c>
      <c r="Q5114" s="7"/>
    </row>
    <row r="5115">
      <c r="A5115" s="39" t="s">
        <v>19977</v>
      </c>
      <c r="B5115" s="15">
        <v>1567028.0</v>
      </c>
      <c r="C5115" s="15" t="s">
        <v>19978</v>
      </c>
      <c r="D5115" s="15">
        <v>307966.0</v>
      </c>
      <c r="E5115" s="15" t="s">
        <v>1557</v>
      </c>
      <c r="F5115" s="15" t="s">
        <v>1767</v>
      </c>
      <c r="G5115" s="7">
        <v>170.822</v>
      </c>
      <c r="H5115" s="15" t="s">
        <v>2524</v>
      </c>
      <c r="I5115" s="15" t="s">
        <v>1586</v>
      </c>
      <c r="J5115" s="15" t="s">
        <v>19979</v>
      </c>
      <c r="K5115" s="15">
        <v>295.0</v>
      </c>
      <c r="L5115" s="15">
        <v>293.0</v>
      </c>
      <c r="M5115" s="40">
        <v>41982.0</v>
      </c>
      <c r="N5115" s="40">
        <v>42374.0</v>
      </c>
      <c r="O5115" s="15" t="s">
        <v>1554</v>
      </c>
      <c r="Q5115" s="7"/>
    </row>
    <row r="5116">
      <c r="A5116" s="39" t="s">
        <v>19980</v>
      </c>
      <c r="B5116" s="15">
        <v>1567027.0</v>
      </c>
      <c r="C5116" s="15" t="s">
        <v>19981</v>
      </c>
      <c r="D5116" s="15">
        <v>307967.0</v>
      </c>
      <c r="E5116" s="15" t="s">
        <v>1557</v>
      </c>
      <c r="F5116" s="15" t="s">
        <v>1767</v>
      </c>
      <c r="G5116" s="7">
        <v>170.336</v>
      </c>
      <c r="H5116" s="15" t="s">
        <v>2524</v>
      </c>
      <c r="I5116" s="15" t="s">
        <v>1586</v>
      </c>
      <c r="J5116" s="15" t="s">
        <v>19982</v>
      </c>
      <c r="K5116" s="15">
        <v>288.0</v>
      </c>
      <c r="L5116" s="15">
        <v>286.0</v>
      </c>
      <c r="M5116" s="40">
        <v>41982.0</v>
      </c>
      <c r="N5116" s="40">
        <v>42374.0</v>
      </c>
      <c r="O5116" s="15" t="s">
        <v>1554</v>
      </c>
      <c r="Q5116" s="7"/>
    </row>
    <row r="5117">
      <c r="A5117" s="39" t="s">
        <v>19983</v>
      </c>
      <c r="B5117" s="15">
        <v>1567026.0</v>
      </c>
      <c r="C5117" s="15" t="s">
        <v>19985</v>
      </c>
      <c r="D5117" s="15">
        <v>307968.0</v>
      </c>
      <c r="E5117" s="15" t="s">
        <v>1557</v>
      </c>
      <c r="F5117" s="15" t="s">
        <v>1767</v>
      </c>
      <c r="G5117" s="7">
        <v>170.473</v>
      </c>
      <c r="H5117" s="15" t="s">
        <v>2597</v>
      </c>
      <c r="I5117" s="15" t="s">
        <v>1586</v>
      </c>
      <c r="J5117" s="15" t="s">
        <v>19986</v>
      </c>
      <c r="K5117" s="15">
        <v>273.0</v>
      </c>
      <c r="L5117" s="15">
        <v>271.0</v>
      </c>
      <c r="M5117" s="40">
        <v>41982.0</v>
      </c>
      <c r="N5117" s="40">
        <v>42374.0</v>
      </c>
      <c r="O5117" s="15" t="s">
        <v>1554</v>
      </c>
      <c r="Q5117" s="7"/>
    </row>
    <row r="5118">
      <c r="A5118" s="39" t="s">
        <v>19987</v>
      </c>
      <c r="B5118" s="15">
        <v>1567005.0</v>
      </c>
      <c r="C5118" s="15" t="s">
        <v>19988</v>
      </c>
      <c r="D5118" s="15">
        <v>307969.0</v>
      </c>
      <c r="E5118" s="15" t="s">
        <v>1557</v>
      </c>
      <c r="F5118" s="15" t="s">
        <v>1833</v>
      </c>
      <c r="G5118" s="7">
        <v>110.764</v>
      </c>
      <c r="H5118" s="15" t="s">
        <v>2154</v>
      </c>
      <c r="I5118" s="15" t="s">
        <v>1586</v>
      </c>
      <c r="J5118" s="15" t="s">
        <v>19989</v>
      </c>
      <c r="K5118" s="15">
        <v>252.0</v>
      </c>
      <c r="L5118" s="15">
        <v>250.0</v>
      </c>
      <c r="M5118" s="41">
        <v>41972.0</v>
      </c>
      <c r="N5118" s="40">
        <v>42374.0</v>
      </c>
      <c r="O5118" s="15" t="s">
        <v>1554</v>
      </c>
      <c r="Q5118" s="7"/>
    </row>
    <row r="5119">
      <c r="A5119" s="39" t="s">
        <v>19990</v>
      </c>
      <c r="B5119" s="15">
        <v>1560286.0</v>
      </c>
      <c r="C5119" s="15" t="s">
        <v>19991</v>
      </c>
      <c r="D5119" s="15">
        <v>307970.0</v>
      </c>
      <c r="E5119" s="15" t="s">
        <v>1557</v>
      </c>
      <c r="F5119" s="15" t="s">
        <v>1833</v>
      </c>
      <c r="G5119" s="7">
        <v>60.609</v>
      </c>
      <c r="H5119" s="15" t="s">
        <v>8941</v>
      </c>
      <c r="I5119" s="15" t="s">
        <v>1586</v>
      </c>
      <c r="J5119" s="15" t="s">
        <v>19993</v>
      </c>
      <c r="K5119" s="15">
        <v>96.0</v>
      </c>
      <c r="L5119" s="15">
        <v>95.0</v>
      </c>
      <c r="M5119" s="40">
        <v>41951.0</v>
      </c>
      <c r="N5119" s="40">
        <v>42374.0</v>
      </c>
      <c r="O5119" s="15" t="s">
        <v>1554</v>
      </c>
      <c r="Q5119" s="7"/>
    </row>
    <row r="5120">
      <c r="A5120" s="39" t="s">
        <v>19994</v>
      </c>
      <c r="B5120" s="15">
        <v>1560285.0</v>
      </c>
      <c r="C5120" s="15" t="s">
        <v>19995</v>
      </c>
      <c r="D5120" s="15">
        <v>307971.0</v>
      </c>
      <c r="E5120" s="15" t="s">
        <v>1557</v>
      </c>
      <c r="F5120" s="15" t="s">
        <v>1833</v>
      </c>
      <c r="G5120" s="7">
        <v>52.967</v>
      </c>
      <c r="H5120" s="15" t="s">
        <v>3832</v>
      </c>
      <c r="I5120" s="15" t="s">
        <v>1586</v>
      </c>
      <c r="J5120" s="15" t="s">
        <v>19996</v>
      </c>
      <c r="K5120" s="15">
        <v>93.0</v>
      </c>
      <c r="L5120" s="15">
        <v>92.0</v>
      </c>
      <c r="M5120" s="40">
        <v>41951.0</v>
      </c>
      <c r="N5120" s="40">
        <v>42374.0</v>
      </c>
      <c r="O5120" s="15" t="s">
        <v>1554</v>
      </c>
      <c r="Q5120" s="7"/>
    </row>
    <row r="5121">
      <c r="A5121" s="39" t="s">
        <v>19997</v>
      </c>
      <c r="B5121" s="15">
        <v>1556289.0</v>
      </c>
      <c r="C5121" s="15" t="s">
        <v>19998</v>
      </c>
      <c r="D5121" s="15">
        <v>307972.0</v>
      </c>
      <c r="E5121" s="15" t="s">
        <v>1557</v>
      </c>
      <c r="F5121" s="15" t="s">
        <v>1833</v>
      </c>
      <c r="G5121" s="7">
        <v>57.328</v>
      </c>
      <c r="H5121" s="15" t="s">
        <v>2038</v>
      </c>
      <c r="I5121" s="15" t="s">
        <v>1586</v>
      </c>
      <c r="J5121" s="15" t="s">
        <v>20000</v>
      </c>
      <c r="K5121" s="15">
        <v>107.0</v>
      </c>
      <c r="L5121" s="15">
        <v>107.0</v>
      </c>
      <c r="M5121" s="40">
        <v>41951.0</v>
      </c>
      <c r="N5121" s="40">
        <v>42374.0</v>
      </c>
      <c r="O5121" s="15" t="s">
        <v>1554</v>
      </c>
      <c r="Q5121" s="7"/>
    </row>
    <row r="5122">
      <c r="A5122" s="39" t="s">
        <v>20001</v>
      </c>
      <c r="B5122" s="15">
        <v>1555233.0</v>
      </c>
      <c r="C5122" s="15" t="s">
        <v>20002</v>
      </c>
      <c r="D5122" s="15">
        <v>307973.0</v>
      </c>
      <c r="E5122" s="15" t="s">
        <v>1557</v>
      </c>
      <c r="F5122" s="15" t="s">
        <v>1833</v>
      </c>
      <c r="G5122" s="7">
        <v>43.68</v>
      </c>
      <c r="H5122" s="15" t="s">
        <v>6204</v>
      </c>
      <c r="I5122" s="15" t="s">
        <v>1586</v>
      </c>
      <c r="J5122" s="15" t="s">
        <v>20003</v>
      </c>
      <c r="K5122" s="15">
        <v>71.0</v>
      </c>
      <c r="L5122" s="15">
        <v>71.0</v>
      </c>
      <c r="M5122" s="41">
        <v>41925.0</v>
      </c>
      <c r="N5122" s="40">
        <v>42374.0</v>
      </c>
      <c r="O5122" s="15" t="s">
        <v>1554</v>
      </c>
      <c r="Q5122" s="7"/>
    </row>
    <row r="5123">
      <c r="A5123" s="39" t="s">
        <v>20004</v>
      </c>
      <c r="B5123" s="15">
        <v>665884.0</v>
      </c>
      <c r="C5123" s="15" t="s">
        <v>20005</v>
      </c>
      <c r="D5123" s="15">
        <v>307767.0</v>
      </c>
      <c r="E5123" s="15" t="s">
        <v>1557</v>
      </c>
      <c r="F5123" s="15" t="s">
        <v>1833</v>
      </c>
      <c r="G5123" s="7">
        <v>29.459</v>
      </c>
      <c r="H5123" s="15" t="s">
        <v>11674</v>
      </c>
      <c r="I5123" s="15" t="s">
        <v>1586</v>
      </c>
      <c r="J5123" s="15" t="s">
        <v>20006</v>
      </c>
      <c r="K5123" s="15">
        <v>52.0</v>
      </c>
      <c r="L5123" s="15">
        <v>52.0</v>
      </c>
      <c r="M5123" s="40">
        <v>40047.0</v>
      </c>
      <c r="N5123" s="40">
        <v>42384.0</v>
      </c>
      <c r="O5123" s="15" t="s">
        <v>1554</v>
      </c>
      <c r="Q5123" s="7"/>
    </row>
    <row r="5124">
      <c r="A5124" s="39" t="s">
        <v>20008</v>
      </c>
      <c r="B5124" s="15">
        <v>665883.0</v>
      </c>
      <c r="C5124" s="15" t="s">
        <v>20009</v>
      </c>
      <c r="D5124" s="15">
        <v>307768.0</v>
      </c>
      <c r="E5124" s="15" t="s">
        <v>1557</v>
      </c>
      <c r="F5124" s="15" t="s">
        <v>1833</v>
      </c>
      <c r="G5124" s="7">
        <v>32.182</v>
      </c>
      <c r="H5124" s="15" t="s">
        <v>4283</v>
      </c>
      <c r="I5124" s="15" t="s">
        <v>1586</v>
      </c>
      <c r="J5124" s="15" t="s">
        <v>20010</v>
      </c>
      <c r="K5124" s="15">
        <v>55.0</v>
      </c>
      <c r="L5124" s="15">
        <v>55.0</v>
      </c>
      <c r="M5124" s="40">
        <v>40047.0</v>
      </c>
      <c r="N5124" s="40">
        <v>42384.0</v>
      </c>
      <c r="O5124" s="15" t="s">
        <v>1554</v>
      </c>
      <c r="Q5124" s="7"/>
    </row>
    <row r="5125">
      <c r="A5125" s="39" t="s">
        <v>20011</v>
      </c>
      <c r="B5125" s="15">
        <v>1567014.0</v>
      </c>
      <c r="C5125" s="15" t="s">
        <v>20012</v>
      </c>
      <c r="D5125" s="15">
        <v>260193.0</v>
      </c>
      <c r="E5125" s="15" t="s">
        <v>1557</v>
      </c>
      <c r="F5125" s="15" t="s">
        <v>1578</v>
      </c>
      <c r="G5125" s="7">
        <v>46.895</v>
      </c>
      <c r="H5125" s="42">
        <v>43309.0</v>
      </c>
      <c r="I5125" s="15" t="s">
        <v>1586</v>
      </c>
      <c r="J5125" s="15" t="s">
        <v>20013</v>
      </c>
      <c r="K5125" s="15">
        <v>77.0</v>
      </c>
      <c r="L5125" s="15">
        <v>77.0</v>
      </c>
      <c r="M5125" s="41">
        <v>42001.0</v>
      </c>
      <c r="N5125" s="40">
        <v>42374.0</v>
      </c>
      <c r="O5125" s="15" t="s">
        <v>1554</v>
      </c>
      <c r="Q5125" s="7"/>
    </row>
    <row r="5126">
      <c r="A5126" s="39" t="s">
        <v>20014</v>
      </c>
      <c r="B5126" s="15">
        <v>1582151.0</v>
      </c>
      <c r="C5126" s="15" t="s">
        <v>20015</v>
      </c>
      <c r="D5126" s="15">
        <v>268765.0</v>
      </c>
      <c r="E5126" s="15" t="s">
        <v>1557</v>
      </c>
      <c r="F5126" s="15" t="s">
        <v>1833</v>
      </c>
      <c r="G5126" s="7">
        <v>41.507</v>
      </c>
      <c r="H5126" s="42">
        <v>43311.0</v>
      </c>
      <c r="I5126" s="15" t="s">
        <v>1586</v>
      </c>
      <c r="J5126" s="15" t="s">
        <v>20017</v>
      </c>
      <c r="K5126" s="15">
        <v>52.0</v>
      </c>
      <c r="L5126" s="15">
        <v>52.0</v>
      </c>
      <c r="M5126" s="41">
        <v>41984.0</v>
      </c>
      <c r="N5126" s="40">
        <v>42376.0</v>
      </c>
      <c r="O5126" s="15" t="s">
        <v>1554</v>
      </c>
      <c r="Q5126" s="7"/>
    </row>
    <row r="5127">
      <c r="A5127" s="39" t="s">
        <v>20018</v>
      </c>
      <c r="B5127" s="15">
        <v>1582156.0</v>
      </c>
      <c r="C5127" s="15" t="s">
        <v>20019</v>
      </c>
      <c r="D5127" s="15">
        <v>268771.0</v>
      </c>
      <c r="E5127" s="15" t="s">
        <v>1557</v>
      </c>
      <c r="F5127" s="15" t="s">
        <v>1767</v>
      </c>
      <c r="G5127" s="7">
        <v>44.461</v>
      </c>
      <c r="H5127" s="42">
        <v>43371.0</v>
      </c>
      <c r="I5127" s="15" t="s">
        <v>1586</v>
      </c>
      <c r="J5127" s="15" t="s">
        <v>20020</v>
      </c>
      <c r="K5127" s="15">
        <v>81.0</v>
      </c>
      <c r="L5127" s="15">
        <v>81.0</v>
      </c>
      <c r="M5127" s="41">
        <v>41984.0</v>
      </c>
      <c r="N5127" s="40">
        <v>42376.0</v>
      </c>
      <c r="O5127" s="15" t="s">
        <v>1554</v>
      </c>
      <c r="Q5127" s="7"/>
    </row>
    <row r="5128">
      <c r="A5128" s="39" t="s">
        <v>20021</v>
      </c>
      <c r="B5128" s="15">
        <v>1587520.0</v>
      </c>
      <c r="C5128" s="15" t="s">
        <v>20022</v>
      </c>
      <c r="D5128" s="15">
        <v>270704.0</v>
      </c>
      <c r="E5128" s="15" t="s">
        <v>1557</v>
      </c>
      <c r="F5128" s="15" t="s">
        <v>1611</v>
      </c>
      <c r="G5128" s="7">
        <v>39.133</v>
      </c>
      <c r="H5128" s="15" t="s">
        <v>1705</v>
      </c>
      <c r="I5128" s="15" t="s">
        <v>1586</v>
      </c>
      <c r="J5128" s="15" t="s">
        <v>20024</v>
      </c>
      <c r="K5128" s="15">
        <v>42.0</v>
      </c>
      <c r="L5128" s="15">
        <v>42.0</v>
      </c>
      <c r="M5128" s="40">
        <v>42245.0</v>
      </c>
      <c r="N5128" s="40">
        <v>42374.0</v>
      </c>
      <c r="O5128" s="15" t="s">
        <v>1554</v>
      </c>
      <c r="Q5128" s="7"/>
    </row>
    <row r="5129">
      <c r="A5129" s="39" t="s">
        <v>20025</v>
      </c>
      <c r="B5129" s="15">
        <v>1582150.0</v>
      </c>
      <c r="C5129" s="15" t="s">
        <v>20026</v>
      </c>
      <c r="D5129" s="15">
        <v>268764.0</v>
      </c>
      <c r="E5129" s="15" t="s">
        <v>1557</v>
      </c>
      <c r="F5129" s="15" t="s">
        <v>1833</v>
      </c>
      <c r="G5129" s="7">
        <v>41.56</v>
      </c>
      <c r="H5129" s="42">
        <v>43373.0</v>
      </c>
      <c r="I5129" s="15" t="s">
        <v>1586</v>
      </c>
      <c r="J5129" s="15" t="s">
        <v>20027</v>
      </c>
      <c r="K5129" s="15">
        <v>55.0</v>
      </c>
      <c r="L5129" s="15">
        <v>55.0</v>
      </c>
      <c r="M5129" s="41">
        <v>41984.0</v>
      </c>
      <c r="N5129" s="40">
        <v>42376.0</v>
      </c>
      <c r="O5129" s="15" t="s">
        <v>1554</v>
      </c>
      <c r="Q5129" s="7"/>
    </row>
    <row r="5130">
      <c r="A5130" s="39" t="s">
        <v>20028</v>
      </c>
      <c r="B5130" s="15">
        <v>1582155.0</v>
      </c>
      <c r="C5130" s="15" t="s">
        <v>20029</v>
      </c>
      <c r="D5130" s="15">
        <v>268770.0</v>
      </c>
      <c r="E5130" s="15" t="s">
        <v>1557</v>
      </c>
      <c r="F5130" s="15" t="s">
        <v>1767</v>
      </c>
      <c r="G5130" s="7">
        <v>33.274</v>
      </c>
      <c r="H5130" s="42">
        <v>43280.0</v>
      </c>
      <c r="I5130" s="15" t="s">
        <v>1586</v>
      </c>
      <c r="J5130" s="15" t="s">
        <v>20031</v>
      </c>
      <c r="K5130" s="15">
        <v>53.0</v>
      </c>
      <c r="L5130" s="15">
        <v>53.0</v>
      </c>
      <c r="M5130" s="41">
        <v>41984.0</v>
      </c>
      <c r="N5130" s="40">
        <v>42376.0</v>
      </c>
      <c r="O5130" s="15" t="s">
        <v>1554</v>
      </c>
      <c r="Q5130" s="7"/>
    </row>
    <row r="5131">
      <c r="A5131" s="39" t="s">
        <v>20032</v>
      </c>
      <c r="B5131" s="15">
        <v>1610509.0</v>
      </c>
      <c r="C5131" s="15" t="s">
        <v>20033</v>
      </c>
      <c r="D5131" s="15">
        <v>270702.0</v>
      </c>
      <c r="E5131" s="15" t="s">
        <v>1557</v>
      </c>
      <c r="F5131" s="15" t="s">
        <v>1833</v>
      </c>
      <c r="G5131" s="7">
        <v>45.045</v>
      </c>
      <c r="H5131" s="15">
        <v>56.0</v>
      </c>
      <c r="I5131" s="15" t="s">
        <v>1586</v>
      </c>
      <c r="J5131" s="15" t="s">
        <v>20034</v>
      </c>
      <c r="K5131" s="15">
        <v>64.0</v>
      </c>
      <c r="L5131" s="15">
        <v>64.0</v>
      </c>
      <c r="M5131" s="40">
        <v>42162.0</v>
      </c>
      <c r="N5131" s="40">
        <v>42438.0</v>
      </c>
      <c r="O5131" s="15" t="s">
        <v>1554</v>
      </c>
      <c r="Q5131" s="7"/>
    </row>
    <row r="5132">
      <c r="A5132" s="39" t="s">
        <v>20035</v>
      </c>
      <c r="B5132" s="15">
        <v>1728958.0</v>
      </c>
      <c r="C5132" s="15" t="s">
        <v>20036</v>
      </c>
      <c r="D5132" s="15">
        <v>297419.0</v>
      </c>
      <c r="E5132" s="15" t="s">
        <v>1557</v>
      </c>
      <c r="F5132" s="15" t="s">
        <v>1833</v>
      </c>
      <c r="G5132" s="7">
        <v>111.751</v>
      </c>
      <c r="H5132" s="15">
        <v>39.0</v>
      </c>
      <c r="I5132" s="15" t="s">
        <v>1586</v>
      </c>
      <c r="J5132" s="15" t="s">
        <v>20038</v>
      </c>
      <c r="K5132" s="15">
        <v>181.0</v>
      </c>
      <c r="L5132" s="15">
        <v>160.0</v>
      </c>
      <c r="M5132" s="40">
        <v>42286.0</v>
      </c>
      <c r="N5132" s="40">
        <v>42376.0</v>
      </c>
      <c r="O5132" s="15" t="s">
        <v>1554</v>
      </c>
      <c r="Q5132" s="7"/>
    </row>
    <row r="5133">
      <c r="A5133" s="39" t="s">
        <v>20039</v>
      </c>
      <c r="B5133" s="15">
        <v>1567011.0</v>
      </c>
      <c r="C5133" s="15" t="s">
        <v>20041</v>
      </c>
      <c r="D5133" s="15">
        <v>260197.0</v>
      </c>
      <c r="E5133" s="15" t="s">
        <v>1557</v>
      </c>
      <c r="F5133" s="15" t="s">
        <v>1578</v>
      </c>
      <c r="G5133" s="7">
        <v>35.703</v>
      </c>
      <c r="H5133" s="15" t="s">
        <v>20042</v>
      </c>
      <c r="I5133" s="15" t="s">
        <v>1586</v>
      </c>
      <c r="J5133" s="15" t="s">
        <v>20043</v>
      </c>
      <c r="K5133" s="15">
        <v>63.0</v>
      </c>
      <c r="L5133" s="15">
        <v>63.0</v>
      </c>
      <c r="M5133" s="41">
        <v>42001.0</v>
      </c>
      <c r="N5133" s="40">
        <v>42374.0</v>
      </c>
      <c r="O5133" s="15" t="s">
        <v>1554</v>
      </c>
      <c r="Q5133" s="7"/>
    </row>
    <row r="5134">
      <c r="A5134" s="39" t="s">
        <v>20044</v>
      </c>
      <c r="B5134" s="15">
        <v>1582153.0</v>
      </c>
      <c r="C5134" s="15" t="s">
        <v>20045</v>
      </c>
      <c r="D5134" s="15">
        <v>268768.0</v>
      </c>
      <c r="E5134" s="15" t="s">
        <v>1557</v>
      </c>
      <c r="F5134" s="15" t="s">
        <v>1767</v>
      </c>
      <c r="G5134" s="7">
        <v>32.846</v>
      </c>
      <c r="H5134" s="42">
        <v>43189.0</v>
      </c>
      <c r="I5134" s="15" t="s">
        <v>1586</v>
      </c>
      <c r="J5134" s="15" t="s">
        <v>20046</v>
      </c>
      <c r="K5134" s="15">
        <v>54.0</v>
      </c>
      <c r="L5134" s="15">
        <v>54.0</v>
      </c>
      <c r="M5134" s="41">
        <v>41984.0</v>
      </c>
      <c r="N5134" s="40">
        <v>42376.0</v>
      </c>
      <c r="O5134" s="15" t="s">
        <v>1554</v>
      </c>
      <c r="Q5134" s="7"/>
    </row>
    <row r="5135">
      <c r="A5135" s="39" t="s">
        <v>20047</v>
      </c>
      <c r="B5135" s="15">
        <v>1582157.0</v>
      </c>
      <c r="C5135" s="15" t="s">
        <v>20048</v>
      </c>
      <c r="D5135" s="15">
        <v>268772.0</v>
      </c>
      <c r="E5135" s="15" t="s">
        <v>1557</v>
      </c>
      <c r="F5135" s="15" t="s">
        <v>1767</v>
      </c>
      <c r="G5135" s="7">
        <v>52.261</v>
      </c>
      <c r="H5135" s="42">
        <v>43371.0</v>
      </c>
      <c r="I5135" s="15" t="s">
        <v>1586</v>
      </c>
      <c r="J5135" s="15" t="s">
        <v>20049</v>
      </c>
      <c r="K5135" s="15">
        <v>93.0</v>
      </c>
      <c r="L5135" s="15">
        <v>93.0</v>
      </c>
      <c r="M5135" s="41">
        <v>41984.0</v>
      </c>
      <c r="N5135" s="40">
        <v>42376.0</v>
      </c>
      <c r="O5135" s="15" t="s">
        <v>1554</v>
      </c>
      <c r="Q5135" s="7"/>
    </row>
    <row r="5136">
      <c r="A5136" s="39" t="s">
        <v>20051</v>
      </c>
      <c r="B5136" s="15">
        <v>1582154.0</v>
      </c>
      <c r="C5136" s="15" t="s">
        <v>20052</v>
      </c>
      <c r="D5136" s="15">
        <v>268769.0</v>
      </c>
      <c r="E5136" s="15" t="s">
        <v>1557</v>
      </c>
      <c r="F5136" s="15" t="s">
        <v>1767</v>
      </c>
      <c r="G5136" s="7">
        <v>49.316</v>
      </c>
      <c r="H5136" s="42">
        <v>43219.0</v>
      </c>
      <c r="I5136" s="15" t="s">
        <v>1586</v>
      </c>
      <c r="J5136" s="15" t="s">
        <v>20053</v>
      </c>
      <c r="K5136" s="15">
        <v>76.0</v>
      </c>
      <c r="L5136" s="15">
        <v>76.0</v>
      </c>
      <c r="M5136" s="41">
        <v>41984.0</v>
      </c>
      <c r="N5136" s="40">
        <v>42376.0</v>
      </c>
      <c r="O5136" s="15" t="s">
        <v>1554</v>
      </c>
      <c r="Q5136" s="7"/>
    </row>
    <row r="5137">
      <c r="A5137" s="39" t="s">
        <v>20054</v>
      </c>
      <c r="B5137" s="15">
        <v>1610508.0</v>
      </c>
      <c r="C5137" s="15" t="s">
        <v>20055</v>
      </c>
      <c r="D5137" s="15">
        <v>270680.0</v>
      </c>
      <c r="E5137" s="15" t="s">
        <v>1557</v>
      </c>
      <c r="F5137" s="15" t="s">
        <v>1611</v>
      </c>
      <c r="G5137" s="7">
        <v>38.625</v>
      </c>
      <c r="H5137" s="15" t="s">
        <v>5391</v>
      </c>
      <c r="I5137" s="15" t="s">
        <v>1586</v>
      </c>
      <c r="J5137" s="15" t="s">
        <v>20056</v>
      </c>
      <c r="K5137" s="15">
        <v>43.0</v>
      </c>
      <c r="L5137" s="15">
        <v>43.0</v>
      </c>
      <c r="M5137" s="40">
        <v>42099.0</v>
      </c>
      <c r="N5137" s="40">
        <v>42374.0</v>
      </c>
      <c r="O5137" s="15" t="s">
        <v>1554</v>
      </c>
      <c r="Q5137" s="7"/>
    </row>
    <row r="5138">
      <c r="A5138" s="39" t="s">
        <v>20057</v>
      </c>
      <c r="B5138" s="15">
        <v>1664247.0</v>
      </c>
      <c r="C5138" s="15" t="s">
        <v>20059</v>
      </c>
      <c r="D5138" s="15">
        <v>285741.0</v>
      </c>
      <c r="E5138" s="15" t="s">
        <v>1557</v>
      </c>
      <c r="F5138" s="15" t="s">
        <v>1611</v>
      </c>
      <c r="G5138" s="7">
        <v>72.825</v>
      </c>
      <c r="H5138" s="15" t="s">
        <v>6716</v>
      </c>
      <c r="I5138" s="15" t="s">
        <v>1586</v>
      </c>
      <c r="J5138" s="15" t="s">
        <v>20060</v>
      </c>
      <c r="K5138" s="15">
        <v>160.0</v>
      </c>
      <c r="L5138" s="15">
        <v>160.0</v>
      </c>
      <c r="M5138" s="40">
        <v>42245.0</v>
      </c>
      <c r="N5138" s="40">
        <v>42418.0</v>
      </c>
      <c r="O5138" s="15" t="s">
        <v>1554</v>
      </c>
      <c r="Q5138" s="7"/>
    </row>
    <row r="5139">
      <c r="A5139" s="39" t="s">
        <v>20061</v>
      </c>
      <c r="B5139" s="15">
        <v>1416334.0</v>
      </c>
      <c r="C5139" s="15" t="s">
        <v>20062</v>
      </c>
      <c r="D5139" s="15">
        <v>217792.0</v>
      </c>
      <c r="E5139" s="15" t="s">
        <v>1557</v>
      </c>
      <c r="F5139" s="15" t="s">
        <v>1767</v>
      </c>
      <c r="G5139" s="7">
        <v>38.269</v>
      </c>
      <c r="H5139" s="15" t="s">
        <v>2334</v>
      </c>
      <c r="I5139" s="15" t="s">
        <v>1586</v>
      </c>
      <c r="J5139" s="15" t="s">
        <v>20063</v>
      </c>
      <c r="K5139" s="15">
        <v>54.0</v>
      </c>
      <c r="L5139" s="15">
        <v>54.0</v>
      </c>
      <c r="M5139" s="40">
        <v>41732.0</v>
      </c>
      <c r="N5139" s="40">
        <v>42376.0</v>
      </c>
      <c r="O5139" s="15" t="s">
        <v>1554</v>
      </c>
      <c r="Q5139" s="7"/>
    </row>
    <row r="5140">
      <c r="A5140" s="39" t="s">
        <v>20064</v>
      </c>
      <c r="B5140" s="15">
        <v>1465639.0</v>
      </c>
      <c r="C5140" s="15" t="s">
        <v>20065</v>
      </c>
      <c r="D5140" s="15">
        <v>234377.0</v>
      </c>
      <c r="E5140" s="15" t="s">
        <v>1557</v>
      </c>
      <c r="F5140" s="15" t="s">
        <v>1611</v>
      </c>
      <c r="G5140" s="7">
        <v>39.425</v>
      </c>
      <c r="H5140" s="15" t="s">
        <v>4283</v>
      </c>
      <c r="I5140" s="15" t="s">
        <v>1586</v>
      </c>
      <c r="J5140" s="15" t="s">
        <v>20067</v>
      </c>
      <c r="K5140" s="15">
        <v>48.0</v>
      </c>
      <c r="L5140" s="15">
        <v>48.0</v>
      </c>
      <c r="M5140" s="40">
        <v>41797.0</v>
      </c>
      <c r="N5140" s="40">
        <v>42378.0</v>
      </c>
      <c r="O5140" s="15" t="s">
        <v>2353</v>
      </c>
      <c r="Q5140" s="7"/>
    </row>
    <row r="5141">
      <c r="A5141" s="39" t="s">
        <v>20068</v>
      </c>
      <c r="B5141" s="15">
        <v>387910.0</v>
      </c>
      <c r="C5141" s="15" t="s">
        <v>20069</v>
      </c>
      <c r="D5141" s="15">
        <v>307770.0</v>
      </c>
      <c r="E5141" s="15" t="s">
        <v>1557</v>
      </c>
      <c r="F5141" s="15" t="s">
        <v>1833</v>
      </c>
      <c r="G5141" s="7">
        <v>43.189</v>
      </c>
      <c r="H5141" s="15" t="s">
        <v>4283</v>
      </c>
      <c r="I5141" s="15" t="s">
        <v>1586</v>
      </c>
      <c r="J5141" s="15" t="s">
        <v>20070</v>
      </c>
      <c r="K5141" s="15">
        <v>68.0</v>
      </c>
      <c r="L5141" s="15">
        <v>68.0</v>
      </c>
      <c r="M5141" s="41">
        <v>39021.0</v>
      </c>
      <c r="N5141" s="40">
        <v>42375.0</v>
      </c>
      <c r="O5141" s="15" t="s">
        <v>1554</v>
      </c>
      <c r="Q5141" s="7"/>
    </row>
    <row r="5142">
      <c r="A5142" s="39" t="s">
        <v>20071</v>
      </c>
      <c r="B5142" s="15">
        <v>1654891.0</v>
      </c>
      <c r="C5142" s="15" t="s">
        <v>20072</v>
      </c>
      <c r="D5142" s="15">
        <v>308496.0</v>
      </c>
      <c r="E5142" s="15" t="s">
        <v>1557</v>
      </c>
      <c r="F5142" s="15" t="s">
        <v>1767</v>
      </c>
      <c r="G5142" s="7">
        <v>156.833</v>
      </c>
      <c r="H5142" s="15" t="s">
        <v>1962</v>
      </c>
      <c r="I5142" s="15" t="s">
        <v>1586</v>
      </c>
      <c r="J5142" s="15" t="s">
        <v>20074</v>
      </c>
      <c r="K5142" s="15">
        <v>265.0</v>
      </c>
      <c r="L5142" s="15">
        <v>265.0</v>
      </c>
      <c r="M5142" s="41">
        <v>42307.0</v>
      </c>
      <c r="N5142" s="40">
        <v>42521.0</v>
      </c>
      <c r="O5142" s="15" t="s">
        <v>1554</v>
      </c>
      <c r="Q5142" s="7"/>
    </row>
    <row r="5143">
      <c r="A5143" s="39" t="s">
        <v>20075</v>
      </c>
      <c r="B5143" s="15">
        <v>1340712.0</v>
      </c>
      <c r="C5143" s="15" t="s">
        <v>20076</v>
      </c>
      <c r="D5143" s="15">
        <v>308758.0</v>
      </c>
      <c r="E5143" s="15" t="s">
        <v>1557</v>
      </c>
      <c r="F5143" s="15" t="s">
        <v>1767</v>
      </c>
      <c r="G5143" s="7">
        <v>154.434</v>
      </c>
      <c r="H5143" s="15" t="s">
        <v>4171</v>
      </c>
      <c r="I5143" s="15" t="s">
        <v>1586</v>
      </c>
      <c r="J5143" s="15" t="s">
        <v>20077</v>
      </c>
      <c r="K5143" s="15">
        <v>268.0</v>
      </c>
      <c r="L5143" s="15">
        <v>236.0</v>
      </c>
      <c r="M5143" s="40">
        <v>41539.0</v>
      </c>
      <c r="N5143" s="40">
        <v>42383.0</v>
      </c>
      <c r="O5143" s="15" t="s">
        <v>1554</v>
      </c>
      <c r="Q5143" s="7"/>
    </row>
    <row r="5144">
      <c r="A5144" s="39" t="s">
        <v>20078</v>
      </c>
      <c r="B5144" s="15">
        <v>1555235.0</v>
      </c>
      <c r="C5144" s="15" t="s">
        <v>20079</v>
      </c>
      <c r="D5144" s="15">
        <v>308859.0</v>
      </c>
      <c r="E5144" s="15" t="s">
        <v>1557</v>
      </c>
      <c r="F5144" s="15" t="s">
        <v>1833</v>
      </c>
      <c r="G5144" s="7">
        <v>53.183</v>
      </c>
      <c r="H5144" s="15" t="s">
        <v>3832</v>
      </c>
      <c r="I5144" s="15" t="s">
        <v>1586</v>
      </c>
      <c r="J5144" s="15" t="s">
        <v>20080</v>
      </c>
      <c r="K5144" s="15">
        <v>95.0</v>
      </c>
      <c r="L5144" s="15">
        <v>95.0</v>
      </c>
      <c r="M5144" s="41">
        <v>41925.0</v>
      </c>
      <c r="N5144" s="40">
        <v>42383.0</v>
      </c>
      <c r="O5144" s="15" t="s">
        <v>1554</v>
      </c>
      <c r="Q5144" s="7"/>
    </row>
    <row r="5145">
      <c r="A5145" s="39" t="s">
        <v>20081</v>
      </c>
      <c r="B5145" s="15">
        <v>1654890.0</v>
      </c>
      <c r="C5145" s="15" t="s">
        <v>20082</v>
      </c>
      <c r="D5145" s="15">
        <v>308638.0</v>
      </c>
      <c r="E5145" s="15" t="s">
        <v>1557</v>
      </c>
      <c r="F5145" s="15" t="s">
        <v>1833</v>
      </c>
      <c r="G5145" s="7">
        <v>60.216</v>
      </c>
      <c r="H5145" s="15" t="s">
        <v>7049</v>
      </c>
      <c r="I5145" s="15" t="s">
        <v>1586</v>
      </c>
      <c r="J5145" s="15" t="s">
        <v>20084</v>
      </c>
      <c r="K5145" s="15">
        <v>105.0</v>
      </c>
      <c r="L5145" s="15">
        <v>105.0</v>
      </c>
      <c r="M5145" s="41">
        <v>42307.0</v>
      </c>
      <c r="N5145" s="40">
        <v>42521.0</v>
      </c>
      <c r="O5145" s="15" t="s">
        <v>1554</v>
      </c>
      <c r="Q5145" s="7"/>
    </row>
    <row r="5146">
      <c r="A5146" s="39" t="s">
        <v>20085</v>
      </c>
      <c r="B5146" s="15">
        <v>1636271.0</v>
      </c>
      <c r="C5146" s="15" t="s">
        <v>20086</v>
      </c>
      <c r="D5146" s="15">
        <v>308884.0</v>
      </c>
      <c r="E5146" s="15" t="s">
        <v>1557</v>
      </c>
      <c r="F5146" s="15" t="s">
        <v>1833</v>
      </c>
      <c r="G5146" s="7">
        <v>32.894</v>
      </c>
      <c r="H5146" s="15">
        <v>51.0</v>
      </c>
      <c r="I5146" s="15" t="s">
        <v>1586</v>
      </c>
      <c r="J5146" s="15" t="s">
        <v>20087</v>
      </c>
      <c r="K5146" s="15">
        <v>52.0</v>
      </c>
      <c r="L5146" s="15">
        <v>52.0</v>
      </c>
      <c r="M5146" s="40">
        <v>42099.0</v>
      </c>
      <c r="N5146" s="40">
        <v>42392.0</v>
      </c>
      <c r="O5146" s="15" t="s">
        <v>1554</v>
      </c>
      <c r="Q5146" s="7"/>
    </row>
    <row r="5147">
      <c r="A5147" s="39" t="s">
        <v>20088</v>
      </c>
      <c r="B5147" s="15">
        <v>1524882.0</v>
      </c>
      <c r="C5147" s="15" t="s">
        <v>20089</v>
      </c>
      <c r="D5147" s="15">
        <v>308962.0</v>
      </c>
      <c r="E5147" s="15" t="s">
        <v>1557</v>
      </c>
      <c r="F5147" s="15" t="s">
        <v>1833</v>
      </c>
      <c r="G5147" s="7">
        <v>50.827</v>
      </c>
      <c r="H5147" s="15" t="s">
        <v>1834</v>
      </c>
      <c r="I5147" s="15" t="s">
        <v>1586</v>
      </c>
      <c r="J5147" s="15" t="s">
        <v>20090</v>
      </c>
      <c r="K5147" s="15">
        <v>73.0</v>
      </c>
      <c r="L5147" s="15">
        <v>72.0</v>
      </c>
      <c r="M5147" s="40">
        <v>41857.0</v>
      </c>
      <c r="N5147" s="40">
        <v>42392.0</v>
      </c>
      <c r="O5147" s="15" t="s">
        <v>1554</v>
      </c>
      <c r="Q5147" s="7"/>
    </row>
    <row r="5148">
      <c r="A5148" s="39" t="s">
        <v>20092</v>
      </c>
      <c r="B5148" s="15">
        <v>1582152.0</v>
      </c>
      <c r="C5148" s="15" t="s">
        <v>20093</v>
      </c>
      <c r="D5148" s="15">
        <v>275397.0</v>
      </c>
      <c r="E5148" s="15" t="s">
        <v>1557</v>
      </c>
      <c r="F5148" s="15" t="s">
        <v>1767</v>
      </c>
      <c r="G5148" s="7">
        <v>131.704</v>
      </c>
      <c r="H5148" s="42">
        <v>43216.0</v>
      </c>
      <c r="I5148" s="15" t="s">
        <v>1586</v>
      </c>
      <c r="J5148" s="15" t="s">
        <v>20094</v>
      </c>
      <c r="K5148" s="15">
        <v>192.0</v>
      </c>
      <c r="L5148" s="15">
        <v>190.0</v>
      </c>
      <c r="M5148" s="41">
        <v>41984.0</v>
      </c>
      <c r="N5148" s="40">
        <v>42975.0</v>
      </c>
      <c r="O5148" s="15" t="s">
        <v>1554</v>
      </c>
      <c r="Q5148" s="7"/>
    </row>
    <row r="5149">
      <c r="A5149" s="39" t="s">
        <v>20095</v>
      </c>
      <c r="B5149" s="15">
        <v>1654884.0</v>
      </c>
      <c r="C5149" s="15" t="s">
        <v>20096</v>
      </c>
      <c r="D5149" s="15">
        <v>309567.0</v>
      </c>
      <c r="E5149" s="15" t="s">
        <v>1557</v>
      </c>
      <c r="F5149" s="15" t="s">
        <v>1767</v>
      </c>
      <c r="G5149" s="7">
        <v>51.896</v>
      </c>
      <c r="H5149" s="15" t="s">
        <v>1572</v>
      </c>
      <c r="I5149" s="15" t="s">
        <v>1586</v>
      </c>
      <c r="J5149" s="15" t="s">
        <v>20097</v>
      </c>
      <c r="K5149" s="15">
        <v>104.0</v>
      </c>
      <c r="L5149" s="15">
        <v>104.0</v>
      </c>
      <c r="M5149" s="41">
        <v>42307.0</v>
      </c>
      <c r="N5149" s="40">
        <v>42521.0</v>
      </c>
      <c r="O5149" s="15" t="s">
        <v>1554</v>
      </c>
      <c r="Q5149" s="7"/>
    </row>
    <row r="5150">
      <c r="A5150" s="39" t="s">
        <v>20099</v>
      </c>
      <c r="B5150" s="15">
        <v>1775963.0</v>
      </c>
      <c r="C5150" s="15" t="s">
        <v>20100</v>
      </c>
      <c r="D5150" s="15">
        <v>310150.0</v>
      </c>
      <c r="E5150" s="15" t="s">
        <v>1548</v>
      </c>
      <c r="F5150" s="15" t="s">
        <v>1911</v>
      </c>
      <c r="G5150" s="7">
        <v>9.59</v>
      </c>
      <c r="H5150" s="15" t="s">
        <v>3584</v>
      </c>
      <c r="I5150" s="15" t="s">
        <v>1628</v>
      </c>
      <c r="J5150" s="15" t="s">
        <v>20101</v>
      </c>
      <c r="K5150" s="15">
        <v>1.0</v>
      </c>
      <c r="L5150" s="15">
        <v>1.0</v>
      </c>
      <c r="M5150" s="40">
        <v>42381.0</v>
      </c>
      <c r="N5150" s="40">
        <v>42481.0</v>
      </c>
      <c r="O5150" s="15" t="s">
        <v>1554</v>
      </c>
      <c r="Q5150" s="7"/>
    </row>
    <row r="5151">
      <c r="A5151" s="39" t="s">
        <v>20102</v>
      </c>
      <c r="B5151" s="15">
        <v>1776109.0</v>
      </c>
      <c r="C5151" s="15" t="s">
        <v>20103</v>
      </c>
      <c r="D5151" s="15">
        <v>310652.0</v>
      </c>
      <c r="E5151" s="15" t="s">
        <v>1548</v>
      </c>
      <c r="F5151" s="15" t="s">
        <v>2788</v>
      </c>
      <c r="G5151" s="7">
        <v>9.13</v>
      </c>
      <c r="H5151" s="15" t="s">
        <v>4396</v>
      </c>
      <c r="I5151" s="15" t="s">
        <v>1560</v>
      </c>
      <c r="J5151" s="15" t="s">
        <v>20104</v>
      </c>
      <c r="K5151" s="15">
        <v>2.0</v>
      </c>
      <c r="L5151" s="15">
        <v>2.0</v>
      </c>
      <c r="M5151" s="40">
        <v>42380.0</v>
      </c>
      <c r="N5151" s="40">
        <v>42613.0</v>
      </c>
      <c r="O5151" s="15" t="s">
        <v>1554</v>
      </c>
      <c r="Q5151" s="7"/>
    </row>
    <row r="5152">
      <c r="A5152" s="39" t="s">
        <v>20106</v>
      </c>
      <c r="B5152" s="15">
        <v>1664246.0</v>
      </c>
      <c r="C5152" s="15" t="s">
        <v>20107</v>
      </c>
      <c r="D5152" s="15">
        <v>285740.0</v>
      </c>
      <c r="E5152" s="15" t="s">
        <v>1557</v>
      </c>
      <c r="F5152" s="15" t="s">
        <v>1833</v>
      </c>
      <c r="G5152" s="7">
        <v>62.22</v>
      </c>
      <c r="H5152" s="15" t="s">
        <v>10437</v>
      </c>
      <c r="I5152" s="15" t="s">
        <v>1586</v>
      </c>
      <c r="J5152" s="15" t="s">
        <v>20108</v>
      </c>
      <c r="K5152" s="15">
        <v>86.0</v>
      </c>
      <c r="L5152" s="15">
        <v>86.0</v>
      </c>
      <c r="M5152" s="40">
        <v>42245.0</v>
      </c>
      <c r="N5152" s="40">
        <v>42405.0</v>
      </c>
      <c r="O5152" s="15" t="s">
        <v>1554</v>
      </c>
      <c r="Q5152" s="7"/>
    </row>
    <row r="5153">
      <c r="A5153" s="39" t="s">
        <v>20109</v>
      </c>
      <c r="B5153" s="15">
        <v>1778558.0</v>
      </c>
      <c r="C5153" s="15" t="s">
        <v>20110</v>
      </c>
      <c r="D5153" s="15">
        <v>310885.0</v>
      </c>
      <c r="E5153" s="15" t="s">
        <v>1808</v>
      </c>
      <c r="F5153" s="15" t="s">
        <v>1578</v>
      </c>
      <c r="G5153" s="7">
        <v>1.846</v>
      </c>
      <c r="H5153" s="15" t="s">
        <v>1700</v>
      </c>
      <c r="I5153" s="15" t="s">
        <v>1560</v>
      </c>
      <c r="J5153" s="15" t="s">
        <v>20111</v>
      </c>
      <c r="K5153" s="15">
        <v>2.0</v>
      </c>
      <c r="L5153" s="15">
        <v>2.0</v>
      </c>
      <c r="M5153" s="40">
        <v>42388.0</v>
      </c>
      <c r="N5153" s="40">
        <v>42405.0</v>
      </c>
      <c r="O5153" s="15" t="s">
        <v>1554</v>
      </c>
      <c r="Q5153" s="7"/>
    </row>
    <row r="5154">
      <c r="A5154" s="39" t="s">
        <v>20113</v>
      </c>
      <c r="B5154" s="15">
        <v>1777015.0</v>
      </c>
      <c r="C5154" s="15" t="s">
        <v>20114</v>
      </c>
      <c r="D5154" s="15">
        <v>310889.0</v>
      </c>
      <c r="E5154" s="15" t="s">
        <v>1638</v>
      </c>
      <c r="F5154" s="15" t="s">
        <v>2849</v>
      </c>
      <c r="G5154" s="7">
        <v>11.907</v>
      </c>
      <c r="H5154" s="15" t="s">
        <v>1613</v>
      </c>
      <c r="I5154" s="15" t="s">
        <v>1628</v>
      </c>
      <c r="J5154" s="15" t="s">
        <v>20115</v>
      </c>
      <c r="K5154" s="15">
        <v>1.0</v>
      </c>
      <c r="L5154" s="15">
        <v>1.0</v>
      </c>
      <c r="M5154" s="40">
        <v>42382.0</v>
      </c>
      <c r="N5154" s="40">
        <v>42844.0</v>
      </c>
      <c r="O5154" s="15" t="s">
        <v>1554</v>
      </c>
      <c r="Q5154" s="7"/>
    </row>
    <row r="5155">
      <c r="A5155" s="39" t="s">
        <v>20116</v>
      </c>
      <c r="B5155" s="15">
        <v>1732177.0</v>
      </c>
      <c r="C5155" s="15" t="s">
        <v>20117</v>
      </c>
      <c r="D5155" s="15">
        <v>310893.0</v>
      </c>
      <c r="E5155" s="15" t="s">
        <v>1557</v>
      </c>
      <c r="F5155" s="15" t="s">
        <v>1578</v>
      </c>
      <c r="G5155" s="7">
        <v>64.323</v>
      </c>
      <c r="H5155" s="15" t="s">
        <v>2857</v>
      </c>
      <c r="I5155" s="15" t="s">
        <v>1618</v>
      </c>
      <c r="J5155" s="15" t="s">
        <v>20119</v>
      </c>
      <c r="K5155" s="15">
        <v>87.0</v>
      </c>
      <c r="L5155" s="15">
        <v>87.0</v>
      </c>
      <c r="M5155" s="40">
        <v>42279.0</v>
      </c>
      <c r="N5155" s="40">
        <v>42406.0</v>
      </c>
      <c r="O5155" s="15" t="s">
        <v>1554</v>
      </c>
      <c r="Q5155" s="7"/>
    </row>
    <row r="5156">
      <c r="A5156" s="39" t="s">
        <v>20120</v>
      </c>
      <c r="B5156" s="15">
        <v>1675317.0</v>
      </c>
      <c r="C5156" s="15" t="s">
        <v>20121</v>
      </c>
      <c r="D5156" s="15">
        <v>310897.0</v>
      </c>
      <c r="E5156" s="15" t="s">
        <v>1557</v>
      </c>
      <c r="F5156" s="15" t="s">
        <v>1833</v>
      </c>
      <c r="G5156" s="7">
        <v>34.997</v>
      </c>
      <c r="H5156" s="15">
        <v>34.0</v>
      </c>
      <c r="I5156" s="15" t="s">
        <v>1586</v>
      </c>
      <c r="J5156" s="15" t="s">
        <v>20122</v>
      </c>
      <c r="K5156" s="15">
        <v>43.0</v>
      </c>
      <c r="L5156" s="15">
        <v>43.0</v>
      </c>
      <c r="M5156" s="40">
        <v>42200.0</v>
      </c>
      <c r="N5156" s="40">
        <v>42405.0</v>
      </c>
      <c r="O5156" s="15" t="s">
        <v>1554</v>
      </c>
      <c r="Q5156" s="7"/>
    </row>
    <row r="5157">
      <c r="A5157" s="39" t="s">
        <v>20123</v>
      </c>
      <c r="B5157" s="15">
        <v>1654601.0</v>
      </c>
      <c r="C5157" s="15" t="s">
        <v>20124</v>
      </c>
      <c r="D5157" s="15">
        <v>310901.0</v>
      </c>
      <c r="E5157" s="15" t="s">
        <v>1557</v>
      </c>
      <c r="F5157" s="15" t="s">
        <v>1611</v>
      </c>
      <c r="G5157" s="7">
        <v>45.633</v>
      </c>
      <c r="H5157" s="15" t="s">
        <v>2365</v>
      </c>
      <c r="I5157" s="15" t="s">
        <v>1586</v>
      </c>
      <c r="J5157" s="15" t="s">
        <v>20125</v>
      </c>
      <c r="K5157" s="15">
        <v>61.0</v>
      </c>
      <c r="L5157" s="15">
        <v>61.0</v>
      </c>
      <c r="M5157" s="40">
        <v>42183.0</v>
      </c>
      <c r="N5157" s="40">
        <v>42406.0</v>
      </c>
      <c r="O5157" s="15" t="s">
        <v>1554</v>
      </c>
      <c r="Q5157" s="7"/>
    </row>
    <row r="5158">
      <c r="A5158" s="39" t="s">
        <v>20127</v>
      </c>
      <c r="B5158" s="15">
        <v>1569055.0</v>
      </c>
      <c r="C5158" s="15" t="s">
        <v>20128</v>
      </c>
      <c r="D5158" s="15">
        <v>310905.0</v>
      </c>
      <c r="E5158" s="15" t="s">
        <v>1548</v>
      </c>
      <c r="F5158" s="15" t="s">
        <v>1786</v>
      </c>
      <c r="G5158" s="7">
        <v>8.612</v>
      </c>
      <c r="H5158" s="15">
        <v>49.0</v>
      </c>
      <c r="I5158" s="15" t="s">
        <v>1628</v>
      </c>
      <c r="J5158" s="15" t="s">
        <v>20129</v>
      </c>
      <c r="K5158" s="15">
        <v>6.0</v>
      </c>
      <c r="L5158" s="15">
        <v>6.0</v>
      </c>
      <c r="M5158" s="41">
        <v>41990.0</v>
      </c>
      <c r="N5158" s="40">
        <v>42650.0</v>
      </c>
      <c r="O5158" s="15" t="s">
        <v>1554</v>
      </c>
      <c r="Q5158" s="7"/>
    </row>
    <row r="5159">
      <c r="A5159" s="39" t="s">
        <v>20131</v>
      </c>
      <c r="B5159" s="15">
        <v>1483485.0</v>
      </c>
      <c r="C5159" s="15" t="s">
        <v>20132</v>
      </c>
      <c r="D5159" s="15">
        <v>310909.0</v>
      </c>
      <c r="E5159" s="15" t="s">
        <v>4407</v>
      </c>
      <c r="F5159" s="15" t="s">
        <v>1578</v>
      </c>
      <c r="G5159" s="7">
        <v>41.941</v>
      </c>
      <c r="H5159" s="15" t="s">
        <v>2126</v>
      </c>
      <c r="I5159" s="15" t="s">
        <v>1586</v>
      </c>
      <c r="J5159" s="15" t="s">
        <v>20133</v>
      </c>
      <c r="K5159" s="15">
        <v>56.0</v>
      </c>
      <c r="L5159" s="15">
        <v>56.0</v>
      </c>
      <c r="M5159" s="40">
        <v>42259.0</v>
      </c>
      <c r="N5159" s="40">
        <v>42405.0</v>
      </c>
      <c r="O5159" s="15" t="s">
        <v>1554</v>
      </c>
      <c r="Q5159" s="7"/>
    </row>
    <row r="5160">
      <c r="A5160" s="39" t="s">
        <v>20134</v>
      </c>
      <c r="B5160" s="15">
        <v>307898.0</v>
      </c>
      <c r="C5160" s="15" t="s">
        <v>20135</v>
      </c>
      <c r="D5160" s="15">
        <v>310913.0</v>
      </c>
      <c r="E5160" s="15" t="s">
        <v>1557</v>
      </c>
      <c r="F5160" s="15" t="s">
        <v>1767</v>
      </c>
      <c r="G5160" s="7">
        <v>142.096</v>
      </c>
      <c r="H5160" s="42">
        <v>43220.0</v>
      </c>
      <c r="I5160" s="15" t="s">
        <v>1586</v>
      </c>
      <c r="J5160" s="15" t="s">
        <v>20136</v>
      </c>
      <c r="K5160" s="15">
        <v>224.0</v>
      </c>
      <c r="L5160" s="15">
        <v>221.0</v>
      </c>
      <c r="M5160" s="40">
        <v>42375.0</v>
      </c>
      <c r="N5160" s="40">
        <v>42979.0</v>
      </c>
      <c r="O5160" s="15" t="s">
        <v>1554</v>
      </c>
      <c r="Q5160" s="7"/>
    </row>
    <row r="5161">
      <c r="A5161" s="39" t="s">
        <v>20137</v>
      </c>
      <c r="B5161" s="15">
        <v>32620.0</v>
      </c>
      <c r="C5161" s="15" t="s">
        <v>20139</v>
      </c>
      <c r="D5161" s="15">
        <v>310917.0</v>
      </c>
      <c r="E5161" s="15" t="s">
        <v>1548</v>
      </c>
      <c r="F5161" s="15" t="s">
        <v>1911</v>
      </c>
      <c r="G5161" s="7">
        <v>10.423</v>
      </c>
      <c r="H5161" s="15" t="s">
        <v>5806</v>
      </c>
      <c r="I5161" s="15" t="s">
        <v>1628</v>
      </c>
      <c r="J5161" s="15" t="s">
        <v>20140</v>
      </c>
      <c r="K5161" s="15">
        <v>1.0</v>
      </c>
      <c r="L5161" s="15">
        <v>1.0</v>
      </c>
      <c r="M5161" s="40">
        <v>42388.0</v>
      </c>
      <c r="N5161" s="40">
        <v>42405.0</v>
      </c>
      <c r="O5161" s="15" t="s">
        <v>1554</v>
      </c>
      <c r="Q5161" s="7"/>
    </row>
    <row r="5162">
      <c r="A5162" s="39" t="s">
        <v>20141</v>
      </c>
      <c r="B5162" s="15">
        <v>1778570.0</v>
      </c>
      <c r="C5162" s="15" t="s">
        <v>20142</v>
      </c>
      <c r="D5162" s="15">
        <v>310921.0</v>
      </c>
      <c r="E5162" s="15" t="s">
        <v>2014</v>
      </c>
      <c r="F5162" s="15" t="s">
        <v>1578</v>
      </c>
      <c r="G5162" s="7">
        <v>1.21</v>
      </c>
      <c r="H5162" s="15" t="s">
        <v>3066</v>
      </c>
      <c r="I5162" s="15" t="s">
        <v>1560</v>
      </c>
      <c r="J5162" s="15" t="s">
        <v>20143</v>
      </c>
      <c r="K5162" s="15">
        <v>1.0</v>
      </c>
      <c r="L5162" s="15">
        <v>1.0</v>
      </c>
      <c r="M5162" s="40">
        <v>42388.0</v>
      </c>
      <c r="N5162" s="40">
        <v>42457.0</v>
      </c>
      <c r="O5162" s="15" t="s">
        <v>1554</v>
      </c>
      <c r="Q5162" s="7"/>
    </row>
    <row r="5163">
      <c r="A5163" s="39" t="s">
        <v>20144</v>
      </c>
      <c r="B5163" s="15">
        <v>1732063.0</v>
      </c>
      <c r="C5163" s="15" t="s">
        <v>20145</v>
      </c>
      <c r="D5163" s="15">
        <v>310925.0</v>
      </c>
      <c r="E5163" s="15" t="s">
        <v>1557</v>
      </c>
      <c r="F5163" s="15" t="s">
        <v>1833</v>
      </c>
      <c r="G5163" s="7">
        <v>127.726</v>
      </c>
      <c r="H5163" s="42">
        <v>43250.0</v>
      </c>
      <c r="I5163" s="15" t="s">
        <v>1586</v>
      </c>
      <c r="J5163" s="15" t="s">
        <v>20146</v>
      </c>
      <c r="K5163" s="15">
        <v>156.0</v>
      </c>
      <c r="L5163" s="15">
        <v>156.0</v>
      </c>
      <c r="M5163" s="41">
        <v>42288.0</v>
      </c>
      <c r="N5163" s="40">
        <v>42405.0</v>
      </c>
      <c r="O5163" s="15" t="s">
        <v>1554</v>
      </c>
      <c r="Q5163" s="7"/>
    </row>
    <row r="5164">
      <c r="A5164" s="39" t="s">
        <v>20148</v>
      </c>
      <c r="B5164" s="15">
        <v>1654889.0</v>
      </c>
      <c r="C5164" s="15" t="s">
        <v>20149</v>
      </c>
      <c r="D5164" s="15">
        <v>310929.0</v>
      </c>
      <c r="E5164" s="15" t="s">
        <v>1557</v>
      </c>
      <c r="F5164" s="15" t="s">
        <v>1833</v>
      </c>
      <c r="G5164" s="7">
        <v>41.085</v>
      </c>
      <c r="H5164" s="15" t="s">
        <v>1943</v>
      </c>
      <c r="I5164" s="15" t="s">
        <v>1586</v>
      </c>
      <c r="J5164" s="15" t="s">
        <v>20150</v>
      </c>
      <c r="K5164" s="15">
        <v>91.0</v>
      </c>
      <c r="L5164" s="15">
        <v>91.0</v>
      </c>
      <c r="M5164" s="41">
        <v>42307.0</v>
      </c>
      <c r="N5164" s="40">
        <v>42521.0</v>
      </c>
      <c r="O5164" s="15" t="s">
        <v>1554</v>
      </c>
      <c r="Q5164" s="7"/>
    </row>
    <row r="5165">
      <c r="A5165" s="39" t="s">
        <v>20151</v>
      </c>
      <c r="B5165" s="15">
        <v>1636189.0</v>
      </c>
      <c r="C5165" s="15" t="s">
        <v>20152</v>
      </c>
      <c r="D5165" s="15">
        <v>310933.0</v>
      </c>
      <c r="E5165" s="15" t="s">
        <v>1557</v>
      </c>
      <c r="F5165" s="15" t="s">
        <v>1611</v>
      </c>
      <c r="G5165" s="7">
        <v>72.192</v>
      </c>
      <c r="H5165" s="15" t="s">
        <v>3776</v>
      </c>
      <c r="I5165" s="15" t="s">
        <v>1586</v>
      </c>
      <c r="J5165" s="15" t="s">
        <v>20153</v>
      </c>
      <c r="K5165" s="15">
        <v>86.0</v>
      </c>
      <c r="L5165" s="15">
        <v>86.0</v>
      </c>
      <c r="M5165" s="40">
        <v>42111.0</v>
      </c>
      <c r="N5165" s="40">
        <v>42551.0</v>
      </c>
      <c r="O5165" s="15" t="s">
        <v>1554</v>
      </c>
      <c r="Q5165" s="7"/>
    </row>
    <row r="5166">
      <c r="A5166" s="39" t="s">
        <v>20155</v>
      </c>
      <c r="B5166" s="15">
        <v>1589748.0</v>
      </c>
      <c r="C5166" s="15" t="s">
        <v>20156</v>
      </c>
      <c r="D5166" s="15">
        <v>310937.0</v>
      </c>
      <c r="E5166" s="15" t="s">
        <v>1557</v>
      </c>
      <c r="F5166" s="15" t="s">
        <v>1833</v>
      </c>
      <c r="G5166" s="7">
        <v>81.541</v>
      </c>
      <c r="H5166" s="15" t="s">
        <v>10437</v>
      </c>
      <c r="I5166" s="15" t="s">
        <v>1586</v>
      </c>
      <c r="J5166" s="15" t="s">
        <v>20157</v>
      </c>
      <c r="K5166" s="15">
        <v>119.0</v>
      </c>
      <c r="L5166" s="15">
        <v>118.0</v>
      </c>
      <c r="M5166" s="40">
        <v>42022.0</v>
      </c>
      <c r="N5166" s="40">
        <v>42405.0</v>
      </c>
      <c r="O5166" s="15" t="s">
        <v>1554</v>
      </c>
      <c r="Q5166" s="7"/>
    </row>
    <row r="5167">
      <c r="A5167" s="39" t="s">
        <v>20158</v>
      </c>
      <c r="B5167" s="15">
        <v>1567453.0</v>
      </c>
      <c r="C5167" s="15" t="s">
        <v>20159</v>
      </c>
      <c r="D5167" s="15">
        <v>310941.0</v>
      </c>
      <c r="E5167" s="15" t="s">
        <v>1557</v>
      </c>
      <c r="F5167" s="15" t="s">
        <v>1833</v>
      </c>
      <c r="G5167" s="7">
        <v>31.703</v>
      </c>
      <c r="H5167" s="15">
        <v>48.0</v>
      </c>
      <c r="I5167" s="15" t="s">
        <v>1586</v>
      </c>
      <c r="J5167" s="15" t="s">
        <v>20160</v>
      </c>
      <c r="K5167" s="15">
        <v>50.0</v>
      </c>
      <c r="L5167" s="15">
        <v>50.0</v>
      </c>
      <c r="M5167" s="41">
        <v>41972.0</v>
      </c>
      <c r="N5167" s="40">
        <v>42405.0</v>
      </c>
      <c r="O5167" s="15" t="s">
        <v>1554</v>
      </c>
      <c r="Q5167" s="7"/>
    </row>
    <row r="5168">
      <c r="A5168" s="39" t="s">
        <v>20161</v>
      </c>
      <c r="B5168" s="15">
        <v>1296659.0</v>
      </c>
      <c r="C5168" s="15" t="s">
        <v>20163</v>
      </c>
      <c r="D5168" s="15">
        <v>310945.0</v>
      </c>
      <c r="E5168" s="15" t="s">
        <v>1557</v>
      </c>
      <c r="F5168" s="15" t="s">
        <v>1767</v>
      </c>
      <c r="G5168" s="7">
        <v>54.312</v>
      </c>
      <c r="H5168" s="15" t="s">
        <v>2668</v>
      </c>
      <c r="I5168" s="15" t="s">
        <v>1586</v>
      </c>
      <c r="J5168" s="15" t="s">
        <v>20164</v>
      </c>
      <c r="K5168" s="15">
        <v>103.0</v>
      </c>
      <c r="L5168" s="15">
        <v>103.0</v>
      </c>
      <c r="M5168" s="40">
        <v>41478.0</v>
      </c>
      <c r="N5168" s="40">
        <v>42405.0</v>
      </c>
      <c r="O5168" s="15" t="s">
        <v>1554</v>
      </c>
      <c r="Q5168" s="7"/>
    </row>
    <row r="5169">
      <c r="A5169" s="39" t="s">
        <v>20165</v>
      </c>
      <c r="B5169" s="15">
        <v>1729937.0</v>
      </c>
      <c r="C5169" s="15" t="s">
        <v>20166</v>
      </c>
      <c r="D5169" s="15">
        <v>302409.0</v>
      </c>
      <c r="E5169" s="15" t="s">
        <v>1557</v>
      </c>
      <c r="F5169" s="15" t="s">
        <v>1767</v>
      </c>
      <c r="G5169" s="7">
        <v>98.765</v>
      </c>
      <c r="H5169" s="15" t="s">
        <v>4736</v>
      </c>
      <c r="I5169" s="15" t="s">
        <v>1586</v>
      </c>
      <c r="J5169" s="15" t="s">
        <v>20167</v>
      </c>
      <c r="K5169" s="15">
        <v>189.0</v>
      </c>
      <c r="L5169" s="15">
        <v>172.0</v>
      </c>
      <c r="M5169" s="41">
        <v>42324.0</v>
      </c>
      <c r="N5169" s="40">
        <v>42405.0</v>
      </c>
      <c r="O5169" s="15" t="s">
        <v>1554</v>
      </c>
      <c r="Q5169" s="7"/>
    </row>
    <row r="5170">
      <c r="A5170" s="39" t="s">
        <v>20168</v>
      </c>
      <c r="B5170" s="15">
        <v>1778559.0</v>
      </c>
      <c r="C5170" s="15" t="s">
        <v>20169</v>
      </c>
      <c r="D5170" s="15">
        <v>310884.0</v>
      </c>
      <c r="E5170" s="15" t="s">
        <v>1808</v>
      </c>
      <c r="F5170" s="15" t="s">
        <v>1578</v>
      </c>
      <c r="G5170" s="7">
        <v>1.853</v>
      </c>
      <c r="H5170" s="15" t="s">
        <v>4776</v>
      </c>
      <c r="I5170" s="15" t="s">
        <v>1560</v>
      </c>
      <c r="J5170" s="15" t="s">
        <v>20171</v>
      </c>
      <c r="K5170" s="15">
        <v>2.0</v>
      </c>
      <c r="L5170" s="15">
        <v>2.0</v>
      </c>
      <c r="M5170" s="40">
        <v>42388.0</v>
      </c>
      <c r="N5170" s="40">
        <v>42405.0</v>
      </c>
      <c r="O5170" s="15" t="s">
        <v>1554</v>
      </c>
      <c r="Q5170" s="7"/>
    </row>
    <row r="5171">
      <c r="A5171" s="39" t="s">
        <v>20172</v>
      </c>
      <c r="B5171" s="15">
        <v>1003177.0</v>
      </c>
      <c r="C5171" s="15" t="s">
        <v>20173</v>
      </c>
      <c r="D5171" s="15">
        <v>310888.0</v>
      </c>
      <c r="E5171" s="15" t="s">
        <v>1557</v>
      </c>
      <c r="F5171" s="15" t="s">
        <v>1578</v>
      </c>
      <c r="G5171" s="7">
        <v>134.742</v>
      </c>
      <c r="H5171" s="15" t="s">
        <v>3827</v>
      </c>
      <c r="I5171" s="15" t="s">
        <v>1586</v>
      </c>
      <c r="J5171" s="15" t="s">
        <v>20174</v>
      </c>
      <c r="K5171" s="15">
        <v>227.0</v>
      </c>
      <c r="L5171" s="15">
        <v>227.0</v>
      </c>
      <c r="M5171" s="41">
        <v>42318.0</v>
      </c>
      <c r="N5171" s="40">
        <v>42405.0</v>
      </c>
      <c r="O5171" s="15" t="s">
        <v>2353</v>
      </c>
      <c r="Q5171" s="7"/>
    </row>
    <row r="5172">
      <c r="A5172" s="39" t="s">
        <v>20175</v>
      </c>
      <c r="B5172" s="15">
        <v>1742596.0</v>
      </c>
      <c r="C5172" s="15" t="s">
        <v>20176</v>
      </c>
      <c r="D5172" s="15">
        <v>310892.0</v>
      </c>
      <c r="E5172" s="15" t="s">
        <v>1808</v>
      </c>
      <c r="F5172" s="15" t="s">
        <v>1809</v>
      </c>
      <c r="G5172" s="7">
        <v>43283.0</v>
      </c>
      <c r="H5172" s="15" t="s">
        <v>2686</v>
      </c>
      <c r="I5172" s="15" t="s">
        <v>1628</v>
      </c>
      <c r="J5172" s="15" t="s">
        <v>20178</v>
      </c>
      <c r="K5172" s="15">
        <v>5.0</v>
      </c>
      <c r="L5172" s="15">
        <v>5.0</v>
      </c>
      <c r="M5172" s="40">
        <v>42381.0</v>
      </c>
      <c r="N5172" s="40">
        <v>42405.0</v>
      </c>
      <c r="O5172" s="15" t="s">
        <v>1554</v>
      </c>
      <c r="Q5172" s="7"/>
    </row>
    <row r="5173">
      <c r="A5173" s="39" t="s">
        <v>20179</v>
      </c>
      <c r="B5173" s="15">
        <v>1676267.0</v>
      </c>
      <c r="C5173" s="15" t="s">
        <v>20180</v>
      </c>
      <c r="D5173" s="15">
        <v>310896.0</v>
      </c>
      <c r="E5173" s="15" t="s">
        <v>1659</v>
      </c>
      <c r="F5173" s="15" t="s">
        <v>10279</v>
      </c>
      <c r="G5173" s="7">
        <v>16.944</v>
      </c>
      <c r="H5173" s="15" t="s">
        <v>20181</v>
      </c>
      <c r="I5173" s="15" t="s">
        <v>1552</v>
      </c>
      <c r="J5173" s="15" t="s">
        <v>20182</v>
      </c>
      <c r="K5173" s="15">
        <v>4.0</v>
      </c>
      <c r="L5173" s="15">
        <v>4.0</v>
      </c>
      <c r="M5173" s="40">
        <v>42375.0</v>
      </c>
      <c r="N5173" s="41">
        <v>42725.0</v>
      </c>
      <c r="O5173" s="15" t="s">
        <v>1554</v>
      </c>
      <c r="Q5173" s="7"/>
    </row>
    <row r="5174">
      <c r="A5174" s="39" t="s">
        <v>20183</v>
      </c>
      <c r="B5174" s="15">
        <v>1654919.0</v>
      </c>
      <c r="C5174" s="15" t="s">
        <v>20184</v>
      </c>
      <c r="D5174" s="15">
        <v>310900.0</v>
      </c>
      <c r="E5174" s="15" t="s">
        <v>1557</v>
      </c>
      <c r="F5174" s="15" t="s">
        <v>1767</v>
      </c>
      <c r="G5174" s="7">
        <v>131.903</v>
      </c>
      <c r="H5174" s="15" t="s">
        <v>2334</v>
      </c>
      <c r="I5174" s="15" t="s">
        <v>1586</v>
      </c>
      <c r="J5174" s="15" t="s">
        <v>20186</v>
      </c>
      <c r="K5174" s="15">
        <v>228.0</v>
      </c>
      <c r="L5174" s="15">
        <v>228.0</v>
      </c>
      <c r="M5174" s="40">
        <v>42190.0</v>
      </c>
      <c r="N5174" s="40">
        <v>42405.0</v>
      </c>
      <c r="O5174" s="15" t="s">
        <v>1554</v>
      </c>
      <c r="Q5174" s="7"/>
    </row>
    <row r="5175">
      <c r="A5175" s="39" t="s">
        <v>20187</v>
      </c>
      <c r="B5175" s="15">
        <v>1569056.0</v>
      </c>
      <c r="C5175" s="15" t="s">
        <v>20188</v>
      </c>
      <c r="D5175" s="15">
        <v>310904.0</v>
      </c>
      <c r="E5175" s="15" t="s">
        <v>1548</v>
      </c>
      <c r="F5175" s="15" t="s">
        <v>1786</v>
      </c>
      <c r="G5175" s="7">
        <v>8.54</v>
      </c>
      <c r="H5175" s="15" t="s">
        <v>5042</v>
      </c>
      <c r="I5175" s="15" t="s">
        <v>1628</v>
      </c>
      <c r="J5175" s="15" t="s">
        <v>20189</v>
      </c>
      <c r="K5175" s="15">
        <v>6.0</v>
      </c>
      <c r="L5175" s="15">
        <v>6.0</v>
      </c>
      <c r="M5175" s="41">
        <v>41990.0</v>
      </c>
      <c r="N5175" s="40">
        <v>42650.0</v>
      </c>
      <c r="O5175" s="15" t="s">
        <v>1554</v>
      </c>
      <c r="Q5175" s="7"/>
    </row>
    <row r="5176">
      <c r="A5176" s="39" t="s">
        <v>20190</v>
      </c>
      <c r="B5176" s="15">
        <v>1569052.0</v>
      </c>
      <c r="C5176" s="15" t="s">
        <v>20191</v>
      </c>
      <c r="D5176" s="15">
        <v>310908.0</v>
      </c>
      <c r="E5176" s="15" t="s">
        <v>1548</v>
      </c>
      <c r="F5176" s="15" t="s">
        <v>1786</v>
      </c>
      <c r="G5176" s="7">
        <v>8.628</v>
      </c>
      <c r="H5176" s="15" t="s">
        <v>1792</v>
      </c>
      <c r="I5176" s="15" t="s">
        <v>1628</v>
      </c>
      <c r="J5176" s="15" t="s">
        <v>20192</v>
      </c>
      <c r="K5176" s="15">
        <v>6.0</v>
      </c>
      <c r="L5176" s="15">
        <v>6.0</v>
      </c>
      <c r="M5176" s="41">
        <v>41990.0</v>
      </c>
      <c r="N5176" s="40">
        <v>42650.0</v>
      </c>
      <c r="O5176" s="15" t="s">
        <v>1554</v>
      </c>
      <c r="Q5176" s="7"/>
    </row>
    <row r="5177">
      <c r="A5177" s="39" t="s">
        <v>20193</v>
      </c>
      <c r="B5177" s="15">
        <v>1416032.0</v>
      </c>
      <c r="C5177" s="15" t="s">
        <v>20194</v>
      </c>
      <c r="D5177" s="15">
        <v>310912.0</v>
      </c>
      <c r="E5177" s="15" t="s">
        <v>1557</v>
      </c>
      <c r="F5177" s="15" t="s">
        <v>1611</v>
      </c>
      <c r="G5177" s="7">
        <v>60.875</v>
      </c>
      <c r="H5177" s="15" t="s">
        <v>2000</v>
      </c>
      <c r="I5177" s="15" t="s">
        <v>1586</v>
      </c>
      <c r="J5177" s="15" t="s">
        <v>20195</v>
      </c>
      <c r="K5177" s="15">
        <v>76.0</v>
      </c>
      <c r="L5177" s="15">
        <v>76.0</v>
      </c>
      <c r="M5177" s="41">
        <v>41622.0</v>
      </c>
      <c r="N5177" s="40">
        <v>42405.0</v>
      </c>
      <c r="O5177" s="15" t="s">
        <v>1554</v>
      </c>
      <c r="Q5177" s="7"/>
    </row>
    <row r="5178">
      <c r="A5178" s="39" t="s">
        <v>20197</v>
      </c>
      <c r="B5178" s="15">
        <v>1755679.0</v>
      </c>
      <c r="C5178" s="15" t="s">
        <v>20198</v>
      </c>
      <c r="D5178" s="15">
        <v>310924.0</v>
      </c>
      <c r="E5178" s="15" t="s">
        <v>1557</v>
      </c>
      <c r="F5178" s="15" t="s">
        <v>1767</v>
      </c>
      <c r="G5178" s="7">
        <v>165.031</v>
      </c>
      <c r="H5178" s="15" t="s">
        <v>2668</v>
      </c>
      <c r="I5178" s="15" t="s">
        <v>1586</v>
      </c>
      <c r="J5178" s="15" t="s">
        <v>20199</v>
      </c>
      <c r="K5178" s="15">
        <v>224.0</v>
      </c>
      <c r="L5178" s="15">
        <v>224.0</v>
      </c>
      <c r="M5178" s="40">
        <v>42346.0</v>
      </c>
      <c r="N5178" s="40">
        <v>42782.0</v>
      </c>
      <c r="O5178" s="15" t="s">
        <v>1554</v>
      </c>
      <c r="Q5178" s="7"/>
    </row>
    <row r="5179">
      <c r="A5179" s="39" t="s">
        <v>20200</v>
      </c>
      <c r="B5179" s="15">
        <v>1655305.0</v>
      </c>
      <c r="C5179" s="15" t="s">
        <v>20201</v>
      </c>
      <c r="D5179" s="15">
        <v>310928.0</v>
      </c>
      <c r="E5179" s="15" t="s">
        <v>1557</v>
      </c>
      <c r="F5179" s="15" t="s">
        <v>1767</v>
      </c>
      <c r="G5179" s="7">
        <v>168.771</v>
      </c>
      <c r="H5179" s="15" t="s">
        <v>2396</v>
      </c>
      <c r="I5179" s="15" t="s">
        <v>1586</v>
      </c>
      <c r="J5179" s="15" t="s">
        <v>20202</v>
      </c>
      <c r="K5179" s="15">
        <v>274.0</v>
      </c>
      <c r="L5179" s="15">
        <v>272.0</v>
      </c>
      <c r="M5179" s="41">
        <v>42369.0</v>
      </c>
      <c r="N5179" s="40">
        <v>42534.0</v>
      </c>
      <c r="O5179" s="15" t="s">
        <v>1554</v>
      </c>
      <c r="Q5179" s="7"/>
    </row>
    <row r="5180">
      <c r="A5180" s="39" t="s">
        <v>20203</v>
      </c>
      <c r="B5180" s="15">
        <v>1636270.0</v>
      </c>
      <c r="C5180" s="15" t="s">
        <v>20204</v>
      </c>
      <c r="D5180" s="15">
        <v>310932.0</v>
      </c>
      <c r="E5180" s="15" t="s">
        <v>1557</v>
      </c>
      <c r="F5180" s="15" t="s">
        <v>1611</v>
      </c>
      <c r="G5180" s="7">
        <v>36.315</v>
      </c>
      <c r="H5180" s="15" t="s">
        <v>1778</v>
      </c>
      <c r="I5180" s="15" t="s">
        <v>1586</v>
      </c>
      <c r="J5180" s="15" t="s">
        <v>20206</v>
      </c>
      <c r="K5180" s="15">
        <v>44.0</v>
      </c>
      <c r="L5180" s="15">
        <v>44.0</v>
      </c>
      <c r="M5180" s="40">
        <v>42099.0</v>
      </c>
      <c r="N5180" s="40">
        <v>42405.0</v>
      </c>
      <c r="O5180" s="15" t="s">
        <v>1554</v>
      </c>
      <c r="Q5180" s="7"/>
    </row>
    <row r="5181">
      <c r="A5181" s="39" t="s">
        <v>20207</v>
      </c>
      <c r="B5181" s="15">
        <v>1589752.0</v>
      </c>
      <c r="C5181" s="15" t="s">
        <v>20208</v>
      </c>
      <c r="D5181" s="15">
        <v>310936.0</v>
      </c>
      <c r="E5181" s="15" t="s">
        <v>1557</v>
      </c>
      <c r="F5181" s="15" t="s">
        <v>1833</v>
      </c>
      <c r="G5181" s="7">
        <v>37.99</v>
      </c>
      <c r="H5181" s="15" t="s">
        <v>2049</v>
      </c>
      <c r="I5181" s="15" t="s">
        <v>1586</v>
      </c>
      <c r="J5181" s="15" t="s">
        <v>20209</v>
      </c>
      <c r="K5181" s="15">
        <v>61.0</v>
      </c>
      <c r="L5181" s="15">
        <v>61.0</v>
      </c>
      <c r="M5181" s="40">
        <v>42049.0</v>
      </c>
      <c r="N5181" s="40">
        <v>42406.0</v>
      </c>
      <c r="O5181" s="15" t="s">
        <v>1554</v>
      </c>
      <c r="Q5181" s="7"/>
    </row>
    <row r="5182">
      <c r="A5182" s="39" t="s">
        <v>20210</v>
      </c>
      <c r="B5182" s="15">
        <v>1567468.0</v>
      </c>
      <c r="C5182" s="15" t="s">
        <v>20211</v>
      </c>
      <c r="D5182" s="15">
        <v>310940.0</v>
      </c>
      <c r="E5182" s="15" t="s">
        <v>1557</v>
      </c>
      <c r="F5182" s="15" t="s">
        <v>1833</v>
      </c>
      <c r="G5182" s="7">
        <v>51.492</v>
      </c>
      <c r="H5182" s="15">
        <v>64.0</v>
      </c>
      <c r="I5182" s="15" t="s">
        <v>1586</v>
      </c>
      <c r="J5182" s="15" t="s">
        <v>20212</v>
      </c>
      <c r="K5182" s="15">
        <v>91.0</v>
      </c>
      <c r="L5182" s="15">
        <v>91.0</v>
      </c>
      <c r="M5182" s="41">
        <v>42001.0</v>
      </c>
      <c r="N5182" s="40">
        <v>42405.0</v>
      </c>
      <c r="O5182" s="15" t="s">
        <v>1554</v>
      </c>
      <c r="Q5182" s="7"/>
    </row>
    <row r="5183">
      <c r="A5183" s="39" t="s">
        <v>20214</v>
      </c>
      <c r="B5183" s="15">
        <v>1445811.0</v>
      </c>
      <c r="D5183" s="15">
        <v>0.0</v>
      </c>
      <c r="E5183" s="15" t="s">
        <v>1557</v>
      </c>
      <c r="F5183" s="15" t="s">
        <v>1767</v>
      </c>
      <c r="G5183" s="7">
        <v>151.419</v>
      </c>
      <c r="H5183" s="15" t="s">
        <v>2820</v>
      </c>
      <c r="I5183" s="15" t="s">
        <v>1586</v>
      </c>
      <c r="J5183" s="15" t="s">
        <v>20215</v>
      </c>
      <c r="K5183" s="15">
        <v>216.0</v>
      </c>
      <c r="L5183" s="15">
        <v>211.0</v>
      </c>
      <c r="M5183" s="41">
        <v>41955.0</v>
      </c>
      <c r="N5183" s="40">
        <v>42045.0</v>
      </c>
      <c r="O5183" s="15" t="s">
        <v>1554</v>
      </c>
      <c r="Q5183" s="7"/>
    </row>
    <row r="5184">
      <c r="A5184" s="39" t="s">
        <v>20216</v>
      </c>
      <c r="B5184" s="15">
        <v>1716042.0</v>
      </c>
      <c r="C5184" s="15" t="s">
        <v>20217</v>
      </c>
      <c r="D5184" s="15">
        <v>295793.0</v>
      </c>
      <c r="E5184" s="15" t="s">
        <v>1557</v>
      </c>
      <c r="F5184" s="15" t="s">
        <v>1767</v>
      </c>
      <c r="G5184" s="7">
        <v>93.464</v>
      </c>
      <c r="H5184" s="15" t="s">
        <v>1772</v>
      </c>
      <c r="I5184" s="15" t="s">
        <v>1586</v>
      </c>
      <c r="J5184" s="15" t="s">
        <v>20218</v>
      </c>
      <c r="K5184" s="15">
        <v>184.0</v>
      </c>
      <c r="L5184" s="15">
        <v>173.0</v>
      </c>
      <c r="M5184" s="41">
        <v>42364.0</v>
      </c>
      <c r="N5184" s="40">
        <v>42405.0</v>
      </c>
      <c r="O5184" s="15" t="s">
        <v>1554</v>
      </c>
      <c r="Q5184" s="7"/>
    </row>
    <row r="5185">
      <c r="A5185" s="39" t="s">
        <v>20219</v>
      </c>
      <c r="B5185" s="15">
        <v>1785753.0</v>
      </c>
      <c r="C5185" s="15" t="s">
        <v>20220</v>
      </c>
      <c r="D5185" s="15">
        <v>28159.0</v>
      </c>
      <c r="E5185" s="15" t="s">
        <v>1557</v>
      </c>
      <c r="F5185" s="15" t="s">
        <v>2763</v>
      </c>
      <c r="G5185" s="7">
        <v>186.713</v>
      </c>
      <c r="H5185" s="15" t="s">
        <v>3097</v>
      </c>
      <c r="I5185" s="15" t="s">
        <v>1573</v>
      </c>
      <c r="J5185" s="15" t="s">
        <v>20221</v>
      </c>
      <c r="K5185" s="15">
        <v>247.0</v>
      </c>
      <c r="L5185" s="15">
        <v>247.0</v>
      </c>
      <c r="M5185" s="41">
        <v>39440.0</v>
      </c>
      <c r="N5185" s="40">
        <v>42406.0</v>
      </c>
      <c r="O5185" s="15" t="s">
        <v>1554</v>
      </c>
      <c r="Q5185" s="7"/>
    </row>
    <row r="5186">
      <c r="A5186" s="39" t="s">
        <v>20223</v>
      </c>
      <c r="B5186" s="15">
        <v>64318.0</v>
      </c>
      <c r="C5186" s="15" t="s">
        <v>20224</v>
      </c>
      <c r="D5186" s="15">
        <v>311759.0</v>
      </c>
      <c r="E5186" s="15" t="s">
        <v>1548</v>
      </c>
      <c r="F5186" s="15" t="s">
        <v>1801</v>
      </c>
      <c r="G5186" s="7">
        <v>10.29</v>
      </c>
      <c r="H5186" s="15" t="s">
        <v>1756</v>
      </c>
      <c r="I5186" s="15" t="s">
        <v>1803</v>
      </c>
      <c r="J5186" s="15" t="s">
        <v>20225</v>
      </c>
      <c r="K5186" s="15">
        <v>1.0</v>
      </c>
      <c r="L5186" s="15">
        <v>1.0</v>
      </c>
      <c r="M5186" s="40">
        <v>40072.0</v>
      </c>
      <c r="N5186" s="40">
        <v>42411.0</v>
      </c>
      <c r="O5186" s="15" t="s">
        <v>1554</v>
      </c>
      <c r="Q5186" s="7"/>
    </row>
    <row r="5187">
      <c r="A5187" s="39" t="s">
        <v>20226</v>
      </c>
      <c r="B5187" s="15">
        <v>1654883.0</v>
      </c>
      <c r="C5187" s="15" t="s">
        <v>20227</v>
      </c>
      <c r="D5187" s="15">
        <v>310930.0</v>
      </c>
      <c r="E5187" s="15" t="s">
        <v>1557</v>
      </c>
      <c r="F5187" s="15" t="s">
        <v>1767</v>
      </c>
      <c r="G5187" s="7">
        <v>94.766</v>
      </c>
      <c r="H5187" s="15" t="s">
        <v>8889</v>
      </c>
      <c r="I5187" s="15" t="s">
        <v>1586</v>
      </c>
      <c r="J5187" s="15" t="s">
        <v>20228</v>
      </c>
      <c r="K5187" s="15">
        <v>194.0</v>
      </c>
      <c r="L5187" s="15">
        <v>194.0</v>
      </c>
      <c r="M5187" s="41">
        <v>42307.0</v>
      </c>
      <c r="N5187" s="40">
        <v>42521.0</v>
      </c>
      <c r="O5187" s="15" t="s">
        <v>1554</v>
      </c>
      <c r="Q5187" s="7"/>
    </row>
    <row r="5188">
      <c r="A5188" s="39" t="s">
        <v>20229</v>
      </c>
      <c r="B5188" s="15">
        <v>1622192.0</v>
      </c>
      <c r="C5188" s="15" t="s">
        <v>20230</v>
      </c>
      <c r="D5188" s="15">
        <v>310934.0</v>
      </c>
      <c r="E5188" s="15" t="s">
        <v>1557</v>
      </c>
      <c r="F5188" s="15" t="s">
        <v>1833</v>
      </c>
      <c r="G5188" s="7">
        <v>75.987</v>
      </c>
      <c r="H5188" s="15" t="s">
        <v>2540</v>
      </c>
      <c r="I5188" s="15" t="s">
        <v>1586</v>
      </c>
      <c r="J5188" s="15" t="s">
        <v>20232</v>
      </c>
      <c r="K5188" s="15">
        <v>98.0</v>
      </c>
      <c r="L5188" s="15">
        <v>98.0</v>
      </c>
      <c r="M5188" s="40">
        <v>42109.0</v>
      </c>
      <c r="N5188" s="40">
        <v>42405.0</v>
      </c>
      <c r="O5188" s="15" t="s">
        <v>1554</v>
      </c>
      <c r="Q5188" s="7"/>
    </row>
    <row r="5189">
      <c r="A5189" s="39" t="s">
        <v>20233</v>
      </c>
      <c r="B5189" s="15">
        <v>1572712.0</v>
      </c>
      <c r="C5189" s="15" t="s">
        <v>20234</v>
      </c>
      <c r="D5189" s="15">
        <v>310938.0</v>
      </c>
      <c r="E5189" s="15" t="s">
        <v>1557</v>
      </c>
      <c r="F5189" s="15" t="s">
        <v>1833</v>
      </c>
      <c r="G5189" s="7">
        <v>141.298</v>
      </c>
      <c r="H5189" s="42">
        <v>43280.0</v>
      </c>
      <c r="I5189" s="15" t="s">
        <v>1586</v>
      </c>
      <c r="J5189" s="15" t="s">
        <v>20235</v>
      </c>
      <c r="K5189" s="15">
        <v>201.0</v>
      </c>
      <c r="L5189" s="15">
        <v>201.0</v>
      </c>
      <c r="M5189" s="40">
        <v>42198.0</v>
      </c>
      <c r="N5189" s="40">
        <v>42405.0</v>
      </c>
      <c r="O5189" s="15" t="s">
        <v>1554</v>
      </c>
      <c r="Q5189" s="7"/>
    </row>
    <row r="5190">
      <c r="A5190" s="39" t="s">
        <v>20236</v>
      </c>
      <c r="B5190" s="15">
        <v>1556290.0</v>
      </c>
      <c r="C5190" s="15" t="s">
        <v>20237</v>
      </c>
      <c r="D5190" s="15">
        <v>310942.0</v>
      </c>
      <c r="E5190" s="15" t="s">
        <v>1557</v>
      </c>
      <c r="F5190" s="15" t="s">
        <v>1833</v>
      </c>
      <c r="G5190" s="7">
        <v>133.531</v>
      </c>
      <c r="H5190" s="15" t="s">
        <v>1772</v>
      </c>
      <c r="I5190" s="15" t="s">
        <v>1586</v>
      </c>
      <c r="J5190" s="15" t="s">
        <v>20239</v>
      </c>
      <c r="K5190" s="15">
        <v>281.0</v>
      </c>
      <c r="L5190" s="15">
        <v>235.0</v>
      </c>
      <c r="M5190" s="40">
        <v>41951.0</v>
      </c>
      <c r="N5190" s="40">
        <v>42405.0</v>
      </c>
      <c r="O5190" s="15" t="s">
        <v>1554</v>
      </c>
      <c r="Q5190" s="7"/>
    </row>
    <row r="5191">
      <c r="A5191" s="39" t="s">
        <v>20240</v>
      </c>
      <c r="B5191" s="15">
        <v>1615758.0</v>
      </c>
      <c r="C5191" s="15" t="s">
        <v>20241</v>
      </c>
      <c r="D5191" s="15">
        <v>308206.0</v>
      </c>
      <c r="E5191" s="15" t="s">
        <v>1548</v>
      </c>
      <c r="F5191" s="15" t="s">
        <v>16718</v>
      </c>
      <c r="G5191" s="7">
        <v>18.467</v>
      </c>
      <c r="H5191" s="15" t="s">
        <v>20242</v>
      </c>
      <c r="I5191" s="15" t="s">
        <v>1803</v>
      </c>
      <c r="J5191" s="15" t="s">
        <v>20243</v>
      </c>
      <c r="K5191" s="15">
        <v>3.0</v>
      </c>
      <c r="L5191" s="15">
        <v>3.0</v>
      </c>
      <c r="M5191" s="40">
        <v>42374.0</v>
      </c>
      <c r="N5191" s="40">
        <v>42464.0</v>
      </c>
      <c r="O5191" s="15" t="s">
        <v>1554</v>
      </c>
      <c r="Q5191" s="7"/>
    </row>
    <row r="5192">
      <c r="A5192" s="39" t="s">
        <v>20244</v>
      </c>
      <c r="B5192" s="15">
        <v>1766767.0</v>
      </c>
      <c r="C5192" s="15" t="s">
        <v>20245</v>
      </c>
      <c r="D5192" s="15">
        <v>310788.0</v>
      </c>
      <c r="E5192" s="15" t="s">
        <v>1577</v>
      </c>
      <c r="F5192" s="15" t="s">
        <v>1578</v>
      </c>
      <c r="G5192" s="7">
        <v>6.656</v>
      </c>
      <c r="H5192" s="15" t="s">
        <v>2075</v>
      </c>
      <c r="I5192" s="15" t="s">
        <v>1552</v>
      </c>
      <c r="J5192" s="15" t="s">
        <v>20247</v>
      </c>
      <c r="K5192" s="15">
        <v>3.0</v>
      </c>
      <c r="L5192" s="15">
        <v>3.0</v>
      </c>
      <c r="M5192" s="40">
        <v>42382.0</v>
      </c>
      <c r="N5192" s="40">
        <v>42405.0</v>
      </c>
      <c r="O5192" s="15" t="s">
        <v>1554</v>
      </c>
      <c r="Q5192" s="7"/>
    </row>
    <row r="5193">
      <c r="A5193" s="39" t="s">
        <v>20248</v>
      </c>
      <c r="B5193" s="15">
        <v>1766828.0</v>
      </c>
      <c r="C5193" s="15" t="s">
        <v>20249</v>
      </c>
      <c r="D5193" s="15">
        <v>310891.0</v>
      </c>
      <c r="E5193" s="15" t="s">
        <v>1808</v>
      </c>
      <c r="F5193" s="15" t="s">
        <v>1809</v>
      </c>
      <c r="G5193" s="7">
        <v>2.965</v>
      </c>
      <c r="H5193" s="15" t="s">
        <v>1813</v>
      </c>
      <c r="I5193" s="15" t="s">
        <v>1628</v>
      </c>
      <c r="J5193" s="15" t="s">
        <v>20250</v>
      </c>
      <c r="K5193" s="15">
        <v>6.0</v>
      </c>
      <c r="L5193" s="15">
        <v>6.0</v>
      </c>
      <c r="M5193" s="41">
        <v>42348.0</v>
      </c>
      <c r="N5193" s="40">
        <v>42506.0</v>
      </c>
      <c r="O5193" s="15" t="s">
        <v>1554</v>
      </c>
      <c r="Q5193" s="7"/>
    </row>
    <row r="5194">
      <c r="A5194" s="39" t="s">
        <v>20251</v>
      </c>
      <c r="B5194" s="15">
        <v>1698369.0</v>
      </c>
      <c r="C5194" s="15" t="s">
        <v>20252</v>
      </c>
      <c r="D5194" s="15">
        <v>310895.0</v>
      </c>
      <c r="E5194" s="15" t="s">
        <v>1557</v>
      </c>
      <c r="F5194" s="15" t="s">
        <v>1833</v>
      </c>
      <c r="G5194" s="7">
        <v>24.847</v>
      </c>
      <c r="H5194" s="15" t="s">
        <v>2193</v>
      </c>
      <c r="I5194" s="15" t="s">
        <v>1586</v>
      </c>
      <c r="J5194" s="15" t="s">
        <v>20253</v>
      </c>
      <c r="K5194" s="15">
        <v>48.0</v>
      </c>
      <c r="L5194" s="15">
        <v>48.0</v>
      </c>
      <c r="M5194" s="40">
        <v>42276.0</v>
      </c>
      <c r="N5194" s="40">
        <v>42405.0</v>
      </c>
      <c r="O5194" s="15" t="s">
        <v>1554</v>
      </c>
      <c r="Q5194" s="7"/>
    </row>
    <row r="5195">
      <c r="A5195" s="39" t="s">
        <v>20255</v>
      </c>
      <c r="B5195" s="15">
        <v>1573458.0</v>
      </c>
      <c r="C5195" s="15" t="s">
        <v>20256</v>
      </c>
      <c r="D5195" s="15">
        <v>310903.0</v>
      </c>
      <c r="E5195" s="15" t="s">
        <v>1557</v>
      </c>
      <c r="F5195" s="15" t="s">
        <v>1833</v>
      </c>
      <c r="G5195" s="7">
        <v>48.666</v>
      </c>
      <c r="H5195" s="15" t="s">
        <v>10412</v>
      </c>
      <c r="I5195" s="15" t="s">
        <v>1586</v>
      </c>
      <c r="J5195" s="15" t="s">
        <v>20257</v>
      </c>
      <c r="K5195" s="15">
        <v>79.0</v>
      </c>
      <c r="L5195" s="15">
        <v>79.0</v>
      </c>
      <c r="M5195" s="40">
        <v>42175.0</v>
      </c>
      <c r="N5195" s="40">
        <v>42405.0</v>
      </c>
      <c r="O5195" s="15" t="s">
        <v>1554</v>
      </c>
      <c r="Q5195" s="7"/>
    </row>
    <row r="5196">
      <c r="A5196" s="39" t="s">
        <v>20258</v>
      </c>
      <c r="B5196" s="15">
        <v>1569053.0</v>
      </c>
      <c r="C5196" s="15" t="s">
        <v>20259</v>
      </c>
      <c r="D5196" s="15">
        <v>310907.0</v>
      </c>
      <c r="E5196" s="15" t="s">
        <v>1548</v>
      </c>
      <c r="F5196" s="15" t="s">
        <v>1786</v>
      </c>
      <c r="G5196" s="7">
        <v>8.607</v>
      </c>
      <c r="H5196" s="15" t="s">
        <v>2864</v>
      </c>
      <c r="I5196" s="15" t="s">
        <v>1628</v>
      </c>
      <c r="J5196" s="15" t="s">
        <v>20260</v>
      </c>
      <c r="K5196" s="15">
        <v>6.0</v>
      </c>
      <c r="L5196" s="15">
        <v>6.0</v>
      </c>
      <c r="M5196" s="41">
        <v>41990.0</v>
      </c>
      <c r="N5196" s="40">
        <v>42650.0</v>
      </c>
      <c r="O5196" s="15" t="s">
        <v>1554</v>
      </c>
      <c r="Q5196" s="7"/>
    </row>
    <row r="5197">
      <c r="A5197" s="39" t="s">
        <v>20262</v>
      </c>
      <c r="B5197" s="15">
        <v>1437363.0</v>
      </c>
      <c r="C5197" s="15" t="s">
        <v>20263</v>
      </c>
      <c r="D5197" s="15">
        <v>310911.0</v>
      </c>
      <c r="E5197" s="15" t="s">
        <v>1557</v>
      </c>
      <c r="F5197" s="15" t="s">
        <v>1767</v>
      </c>
      <c r="G5197" s="7">
        <v>33.596</v>
      </c>
      <c r="H5197" s="15">
        <v>30.0</v>
      </c>
      <c r="I5197" s="15" t="s">
        <v>1586</v>
      </c>
      <c r="J5197" s="15" t="s">
        <v>20264</v>
      </c>
      <c r="K5197" s="15">
        <v>49.0</v>
      </c>
      <c r="L5197" s="15">
        <v>50.0</v>
      </c>
      <c r="M5197" s="40">
        <v>41893.0</v>
      </c>
      <c r="N5197" s="40">
        <v>42406.0</v>
      </c>
      <c r="O5197" s="15" t="s">
        <v>1554</v>
      </c>
      <c r="Q5197" s="7"/>
    </row>
    <row r="5198">
      <c r="A5198" s="39" t="s">
        <v>20265</v>
      </c>
      <c r="B5198" s="15">
        <v>1778572.0</v>
      </c>
      <c r="C5198" s="15" t="s">
        <v>20266</v>
      </c>
      <c r="D5198" s="15">
        <v>310919.0</v>
      </c>
      <c r="E5198" s="15" t="s">
        <v>2014</v>
      </c>
      <c r="F5198" s="15" t="s">
        <v>1578</v>
      </c>
      <c r="G5198" s="7">
        <v>1.223</v>
      </c>
      <c r="H5198" s="15" t="s">
        <v>1792</v>
      </c>
      <c r="I5198" s="15" t="s">
        <v>1560</v>
      </c>
      <c r="J5198" s="15" t="s">
        <v>20267</v>
      </c>
      <c r="K5198" s="15">
        <v>1.0</v>
      </c>
      <c r="L5198" s="15">
        <v>1.0</v>
      </c>
      <c r="M5198" s="40">
        <v>42388.0</v>
      </c>
      <c r="N5198" s="40">
        <v>42405.0</v>
      </c>
      <c r="O5198" s="15" t="s">
        <v>1554</v>
      </c>
      <c r="Q5198" s="7"/>
    </row>
    <row r="5199">
      <c r="A5199" s="39" t="s">
        <v>20268</v>
      </c>
      <c r="B5199" s="15">
        <v>1778560.0</v>
      </c>
      <c r="C5199" s="15" t="s">
        <v>20269</v>
      </c>
      <c r="D5199" s="15">
        <v>310923.0</v>
      </c>
      <c r="E5199" s="15" t="s">
        <v>1808</v>
      </c>
      <c r="F5199" s="15" t="s">
        <v>1578</v>
      </c>
      <c r="G5199" s="7">
        <v>1.722</v>
      </c>
      <c r="H5199" s="15" t="s">
        <v>1792</v>
      </c>
      <c r="I5199" s="15" t="s">
        <v>1560</v>
      </c>
      <c r="J5199" s="15" t="s">
        <v>20271</v>
      </c>
      <c r="K5199" s="15">
        <v>2.0</v>
      </c>
      <c r="L5199" s="15">
        <v>2.0</v>
      </c>
      <c r="M5199" s="40">
        <v>42388.0</v>
      </c>
      <c r="N5199" s="40">
        <v>42405.0</v>
      </c>
      <c r="O5199" s="15" t="s">
        <v>1554</v>
      </c>
      <c r="Q5199" s="7"/>
    </row>
    <row r="5200">
      <c r="A5200" s="39" t="s">
        <v>20272</v>
      </c>
      <c r="B5200" s="15">
        <v>1662330.0</v>
      </c>
      <c r="C5200" s="15" t="s">
        <v>20273</v>
      </c>
      <c r="D5200" s="15">
        <v>310927.0</v>
      </c>
      <c r="E5200" s="15" t="s">
        <v>1557</v>
      </c>
      <c r="F5200" s="15" t="s">
        <v>1833</v>
      </c>
      <c r="G5200" s="7">
        <v>44.496</v>
      </c>
      <c r="H5200" s="15" t="s">
        <v>3468</v>
      </c>
      <c r="I5200" s="15" t="s">
        <v>1586</v>
      </c>
      <c r="J5200" s="15" t="s">
        <v>20274</v>
      </c>
      <c r="K5200" s="15">
        <v>61.0</v>
      </c>
      <c r="L5200" s="15">
        <v>61.0</v>
      </c>
      <c r="M5200" s="40">
        <v>42225.0</v>
      </c>
      <c r="N5200" s="40">
        <v>42531.0</v>
      </c>
      <c r="O5200" s="15" t="s">
        <v>1554</v>
      </c>
      <c r="Q5200" s="7"/>
    </row>
    <row r="5201">
      <c r="A5201" s="39" t="s">
        <v>20275</v>
      </c>
      <c r="B5201" s="15">
        <v>1647311.0</v>
      </c>
      <c r="C5201" s="15" t="s">
        <v>20276</v>
      </c>
      <c r="D5201" s="15">
        <v>310931.0</v>
      </c>
      <c r="E5201" s="15" t="s">
        <v>1557</v>
      </c>
      <c r="F5201" s="15" t="s">
        <v>1833</v>
      </c>
      <c r="G5201" s="7">
        <v>75.796</v>
      </c>
      <c r="H5201" s="15">
        <v>63.0</v>
      </c>
      <c r="I5201" s="15" t="s">
        <v>1586</v>
      </c>
      <c r="J5201" s="15" t="s">
        <v>20277</v>
      </c>
      <c r="K5201" s="15">
        <v>149.0</v>
      </c>
      <c r="L5201" s="15">
        <v>147.0</v>
      </c>
      <c r="M5201" s="40">
        <v>42130.0</v>
      </c>
      <c r="N5201" s="40">
        <v>42405.0</v>
      </c>
      <c r="O5201" s="15" t="s">
        <v>1554</v>
      </c>
      <c r="Q5201" s="7"/>
    </row>
    <row r="5202">
      <c r="A5202" s="39" t="s">
        <v>20278</v>
      </c>
      <c r="B5202" s="15">
        <v>1622191.0</v>
      </c>
      <c r="C5202" s="15" t="s">
        <v>20279</v>
      </c>
      <c r="D5202" s="15">
        <v>310935.0</v>
      </c>
      <c r="E5202" s="15" t="s">
        <v>1557</v>
      </c>
      <c r="F5202" s="15" t="s">
        <v>1833</v>
      </c>
      <c r="G5202" s="7">
        <v>76.276</v>
      </c>
      <c r="H5202" s="15" t="s">
        <v>2540</v>
      </c>
      <c r="I5202" s="15" t="s">
        <v>1586</v>
      </c>
      <c r="J5202" s="15" t="s">
        <v>20280</v>
      </c>
      <c r="K5202" s="15">
        <v>97.0</v>
      </c>
      <c r="L5202" s="15">
        <v>97.0</v>
      </c>
      <c r="M5202" s="40">
        <v>42109.0</v>
      </c>
      <c r="N5202" s="40">
        <v>42405.0</v>
      </c>
      <c r="O5202" s="15" t="s">
        <v>1554</v>
      </c>
      <c r="Q5202" s="7"/>
    </row>
    <row r="5203">
      <c r="A5203" s="39" t="s">
        <v>20282</v>
      </c>
      <c r="B5203" s="15">
        <v>1567484.0</v>
      </c>
      <c r="C5203" s="15" t="s">
        <v>20283</v>
      </c>
      <c r="D5203" s="15">
        <v>310939.0</v>
      </c>
      <c r="E5203" s="15" t="s">
        <v>1557</v>
      </c>
      <c r="F5203" s="15" t="s">
        <v>1767</v>
      </c>
      <c r="G5203" s="7">
        <v>106.071</v>
      </c>
      <c r="H5203" s="15" t="s">
        <v>2342</v>
      </c>
      <c r="I5203" s="15" t="s">
        <v>1586</v>
      </c>
      <c r="J5203" s="15" t="s">
        <v>20284</v>
      </c>
      <c r="K5203" s="15">
        <v>126.0</v>
      </c>
      <c r="L5203" s="15">
        <v>124.0</v>
      </c>
      <c r="M5203" s="41">
        <v>41993.0</v>
      </c>
      <c r="N5203" s="40">
        <v>42405.0</v>
      </c>
      <c r="O5203" s="15" t="s">
        <v>1554</v>
      </c>
      <c r="Q5203" s="7"/>
    </row>
    <row r="5204">
      <c r="A5204" s="39" t="s">
        <v>20285</v>
      </c>
      <c r="B5204" s="15">
        <v>1542912.0</v>
      </c>
      <c r="C5204" s="15" t="s">
        <v>20286</v>
      </c>
      <c r="D5204" s="15">
        <v>310943.0</v>
      </c>
      <c r="E5204" s="15" t="s">
        <v>1557</v>
      </c>
      <c r="F5204" s="15" t="s">
        <v>1833</v>
      </c>
      <c r="G5204" s="7">
        <v>52.155</v>
      </c>
      <c r="H5204" s="15" t="s">
        <v>2038</v>
      </c>
      <c r="I5204" s="15" t="s">
        <v>1586</v>
      </c>
      <c r="J5204" s="15" t="s">
        <v>20287</v>
      </c>
      <c r="K5204" s="15">
        <v>103.0</v>
      </c>
      <c r="L5204" s="15">
        <v>100.0</v>
      </c>
      <c r="M5204" s="41">
        <v>41923.0</v>
      </c>
      <c r="N5204" s="40">
        <v>42405.0</v>
      </c>
      <c r="O5204" s="15" t="s">
        <v>1554</v>
      </c>
      <c r="Q5204" s="7"/>
    </row>
    <row r="5205">
      <c r="A5205" s="39" t="s">
        <v>20288</v>
      </c>
      <c r="B5205" s="15">
        <v>665886.0</v>
      </c>
      <c r="D5205" s="15">
        <v>0.0</v>
      </c>
      <c r="E5205" s="15" t="s">
        <v>1557</v>
      </c>
      <c r="F5205" s="15" t="s">
        <v>1833</v>
      </c>
      <c r="G5205" s="7">
        <v>28.643</v>
      </c>
      <c r="H5205" s="15" t="s">
        <v>4287</v>
      </c>
      <c r="I5205" s="15" t="s">
        <v>1586</v>
      </c>
      <c r="J5205" s="15" t="s">
        <v>20289</v>
      </c>
      <c r="K5205" s="15" t="s">
        <v>1722</v>
      </c>
      <c r="L5205" s="15">
        <v>51.0</v>
      </c>
      <c r="M5205" s="40">
        <v>40047.0</v>
      </c>
      <c r="N5205" s="40">
        <v>40047.0</v>
      </c>
      <c r="O5205" s="15" t="s">
        <v>1554</v>
      </c>
      <c r="Q5205" s="7"/>
    </row>
    <row r="5206">
      <c r="A5206" s="39" t="s">
        <v>20291</v>
      </c>
      <c r="B5206" s="15">
        <v>1777016.0</v>
      </c>
      <c r="C5206" s="15" t="s">
        <v>20292</v>
      </c>
      <c r="D5206" s="15">
        <v>310886.0</v>
      </c>
      <c r="E5206" s="15" t="s">
        <v>1638</v>
      </c>
      <c r="F5206" s="15" t="s">
        <v>1639</v>
      </c>
      <c r="G5206" s="7">
        <v>5.003</v>
      </c>
      <c r="H5206" s="15" t="s">
        <v>2648</v>
      </c>
      <c r="I5206" s="15" t="s">
        <v>1740</v>
      </c>
      <c r="J5206" s="15" t="s">
        <v>20293</v>
      </c>
      <c r="K5206" s="15">
        <v>2.0</v>
      </c>
      <c r="L5206" s="15">
        <v>2.0</v>
      </c>
      <c r="M5206" s="40">
        <v>42382.0</v>
      </c>
      <c r="N5206" s="40">
        <v>42495.0</v>
      </c>
      <c r="O5206" s="15" t="s">
        <v>1554</v>
      </c>
      <c r="Q5206" s="7"/>
    </row>
    <row r="5207">
      <c r="A5207" s="39" t="s">
        <v>20294</v>
      </c>
      <c r="B5207" s="15">
        <v>1776177.0</v>
      </c>
      <c r="C5207" s="15" t="s">
        <v>20295</v>
      </c>
      <c r="D5207" s="15">
        <v>310890.0</v>
      </c>
      <c r="E5207" s="15" t="s">
        <v>1638</v>
      </c>
      <c r="F5207" s="15" t="s">
        <v>2849</v>
      </c>
      <c r="G5207" s="7">
        <v>15.078</v>
      </c>
      <c r="H5207" s="15" t="s">
        <v>2580</v>
      </c>
      <c r="I5207" s="15" t="s">
        <v>1628</v>
      </c>
      <c r="J5207" s="15" t="s">
        <v>20296</v>
      </c>
      <c r="K5207" s="15">
        <v>1.0</v>
      </c>
      <c r="L5207" s="15">
        <v>1.0</v>
      </c>
      <c r="M5207" s="40">
        <v>42380.0</v>
      </c>
      <c r="N5207" s="40">
        <v>42405.0</v>
      </c>
      <c r="O5207" s="15" t="s">
        <v>1554</v>
      </c>
      <c r="Q5207" s="7"/>
    </row>
    <row r="5208">
      <c r="A5208" s="39" t="s">
        <v>20297</v>
      </c>
      <c r="B5208" s="15">
        <v>1712539.0</v>
      </c>
      <c r="C5208" s="15" t="s">
        <v>20298</v>
      </c>
      <c r="D5208" s="15">
        <v>310894.0</v>
      </c>
      <c r="E5208" s="15" t="s">
        <v>1557</v>
      </c>
      <c r="F5208" s="15" t="s">
        <v>1611</v>
      </c>
      <c r="G5208" s="7">
        <v>41.62</v>
      </c>
      <c r="H5208" s="15" t="s">
        <v>2271</v>
      </c>
      <c r="I5208" s="15" t="s">
        <v>1586</v>
      </c>
      <c r="J5208" s="15" t="s">
        <v>20300</v>
      </c>
      <c r="K5208" s="15">
        <v>48.0</v>
      </c>
      <c r="L5208" s="15">
        <v>48.0</v>
      </c>
      <c r="M5208" s="40">
        <v>42261.0</v>
      </c>
      <c r="N5208" s="40">
        <v>42405.0</v>
      </c>
      <c r="O5208" s="15" t="s">
        <v>1554</v>
      </c>
      <c r="Q5208" s="7"/>
    </row>
    <row r="5209">
      <c r="A5209" s="39" t="s">
        <v>20301</v>
      </c>
      <c r="B5209" s="15">
        <v>1667322.0</v>
      </c>
      <c r="C5209" s="15" t="s">
        <v>20302</v>
      </c>
      <c r="D5209" s="15">
        <v>310898.0</v>
      </c>
      <c r="E5209" s="15" t="s">
        <v>1557</v>
      </c>
      <c r="F5209" s="15" t="s">
        <v>1833</v>
      </c>
      <c r="G5209" s="7">
        <v>33.399</v>
      </c>
      <c r="H5209" s="15" t="s">
        <v>2640</v>
      </c>
      <c r="I5209" s="15" t="s">
        <v>1586</v>
      </c>
      <c r="J5209" s="15" t="s">
        <v>20303</v>
      </c>
      <c r="K5209" s="15">
        <v>56.0</v>
      </c>
      <c r="L5209" s="15">
        <v>56.0</v>
      </c>
      <c r="M5209" s="40">
        <v>42184.0</v>
      </c>
      <c r="N5209" s="40">
        <v>42522.0</v>
      </c>
      <c r="O5209" s="15" t="s">
        <v>1554</v>
      </c>
      <c r="Q5209" s="7"/>
    </row>
    <row r="5210">
      <c r="A5210" s="39" t="s">
        <v>20304</v>
      </c>
      <c r="B5210" s="15">
        <v>1636313.0</v>
      </c>
      <c r="C5210" s="15" t="s">
        <v>20305</v>
      </c>
      <c r="D5210" s="15">
        <v>310902.0</v>
      </c>
      <c r="E5210" s="15" t="s">
        <v>1557</v>
      </c>
      <c r="F5210" s="15" t="s">
        <v>1611</v>
      </c>
      <c r="G5210" s="7">
        <v>36.051</v>
      </c>
      <c r="H5210" s="15" t="s">
        <v>3973</v>
      </c>
      <c r="I5210" s="15" t="s">
        <v>1586</v>
      </c>
      <c r="J5210" s="15" t="s">
        <v>20306</v>
      </c>
      <c r="K5210" s="15">
        <v>41.0</v>
      </c>
      <c r="L5210" s="15">
        <v>41.0</v>
      </c>
      <c r="M5210" s="40">
        <v>42099.0</v>
      </c>
      <c r="N5210" s="40">
        <v>42405.0</v>
      </c>
      <c r="O5210" s="15" t="s">
        <v>1554</v>
      </c>
      <c r="Q5210" s="7"/>
    </row>
    <row r="5211">
      <c r="A5211" s="39" t="s">
        <v>20307</v>
      </c>
      <c r="B5211" s="15">
        <v>1569054.0</v>
      </c>
      <c r="C5211" s="15" t="s">
        <v>20308</v>
      </c>
      <c r="D5211" s="15">
        <v>310906.0</v>
      </c>
      <c r="E5211" s="15" t="s">
        <v>1548</v>
      </c>
      <c r="F5211" s="15" t="s">
        <v>1786</v>
      </c>
      <c r="G5211" s="7">
        <v>8.613</v>
      </c>
      <c r="H5211" s="15" t="s">
        <v>4821</v>
      </c>
      <c r="I5211" s="15" t="s">
        <v>1628</v>
      </c>
      <c r="J5211" s="15" t="s">
        <v>20310</v>
      </c>
      <c r="K5211" s="15">
        <v>6.0</v>
      </c>
      <c r="L5211" s="15">
        <v>6.0</v>
      </c>
      <c r="M5211" s="41">
        <v>41990.0</v>
      </c>
      <c r="N5211" s="40">
        <v>42650.0</v>
      </c>
      <c r="O5211" s="15" t="s">
        <v>1554</v>
      </c>
      <c r="Q5211" s="7"/>
    </row>
    <row r="5212">
      <c r="A5212" s="39" t="s">
        <v>20311</v>
      </c>
      <c r="B5212" s="15">
        <v>1457322.0</v>
      </c>
      <c r="C5212" s="15" t="s">
        <v>20312</v>
      </c>
      <c r="D5212" s="15">
        <v>310910.0</v>
      </c>
      <c r="E5212" s="15" t="s">
        <v>1548</v>
      </c>
      <c r="F5212" s="15" t="s">
        <v>3116</v>
      </c>
      <c r="G5212" s="7">
        <v>6.391</v>
      </c>
      <c r="H5212" s="15" t="s">
        <v>3584</v>
      </c>
      <c r="I5212" s="15" t="s">
        <v>1803</v>
      </c>
      <c r="J5212" s="15" t="s">
        <v>20313</v>
      </c>
      <c r="K5212" s="15">
        <v>1.0</v>
      </c>
      <c r="L5212" s="15">
        <v>1.0</v>
      </c>
      <c r="M5212" s="40">
        <v>42395.0</v>
      </c>
      <c r="N5212" s="40">
        <v>42405.0</v>
      </c>
      <c r="O5212" s="15" t="s">
        <v>1554</v>
      </c>
      <c r="Q5212" s="7"/>
    </row>
    <row r="5213">
      <c r="A5213" s="39" t="s">
        <v>20314</v>
      </c>
      <c r="B5213" s="15">
        <v>1778580.0</v>
      </c>
      <c r="C5213" s="15" t="s">
        <v>20315</v>
      </c>
      <c r="D5213" s="15">
        <v>310914.0</v>
      </c>
      <c r="E5213" s="15" t="s">
        <v>1548</v>
      </c>
      <c r="F5213" s="15" t="s">
        <v>2032</v>
      </c>
      <c r="G5213" s="7">
        <v>6.421</v>
      </c>
      <c r="H5213" s="15" t="s">
        <v>8179</v>
      </c>
      <c r="I5213" s="15" t="s">
        <v>2034</v>
      </c>
      <c r="J5213" s="15" t="s">
        <v>20316</v>
      </c>
      <c r="K5213" s="15">
        <v>1.0</v>
      </c>
      <c r="L5213" s="15">
        <v>1.0</v>
      </c>
      <c r="M5213" s="40">
        <v>42387.0</v>
      </c>
      <c r="N5213" s="40">
        <v>42405.0</v>
      </c>
      <c r="O5213" s="15" t="s">
        <v>1554</v>
      </c>
      <c r="Q5213" s="7"/>
    </row>
    <row r="5214">
      <c r="A5214" s="39" t="s">
        <v>20318</v>
      </c>
      <c r="B5214" s="15">
        <v>1778573.0</v>
      </c>
      <c r="C5214" s="15" t="s">
        <v>20319</v>
      </c>
      <c r="D5214" s="15">
        <v>310918.0</v>
      </c>
      <c r="E5214" s="15" t="s">
        <v>2014</v>
      </c>
      <c r="F5214" s="15" t="s">
        <v>1578</v>
      </c>
      <c r="G5214" s="7">
        <v>1.21</v>
      </c>
      <c r="H5214" s="15" t="s">
        <v>1745</v>
      </c>
      <c r="I5214" s="15" t="s">
        <v>1560</v>
      </c>
      <c r="J5214" s="15" t="s">
        <v>20320</v>
      </c>
      <c r="K5214" s="15">
        <v>1.0</v>
      </c>
      <c r="L5214" s="15">
        <v>1.0</v>
      </c>
      <c r="M5214" s="40">
        <v>42388.0</v>
      </c>
      <c r="N5214" s="40">
        <v>42405.0</v>
      </c>
      <c r="O5214" s="15" t="s">
        <v>1554</v>
      </c>
      <c r="Q5214" s="7"/>
    </row>
    <row r="5215">
      <c r="A5215" s="39" t="s">
        <v>20321</v>
      </c>
      <c r="B5215" s="15">
        <v>1778561.0</v>
      </c>
      <c r="C5215" s="15" t="s">
        <v>20322</v>
      </c>
      <c r="D5215" s="15">
        <v>310922.0</v>
      </c>
      <c r="E5215" s="15" t="s">
        <v>1808</v>
      </c>
      <c r="F5215" s="15" t="s">
        <v>1578</v>
      </c>
      <c r="G5215" s="7">
        <v>1.714</v>
      </c>
      <c r="H5215" s="15" t="s">
        <v>8889</v>
      </c>
      <c r="I5215" s="15" t="s">
        <v>1560</v>
      </c>
      <c r="J5215" s="15" t="s">
        <v>20324</v>
      </c>
      <c r="K5215" s="15">
        <v>2.0</v>
      </c>
      <c r="L5215" s="15">
        <v>2.0</v>
      </c>
      <c r="M5215" s="40">
        <v>42388.0</v>
      </c>
      <c r="N5215" s="40">
        <v>42405.0</v>
      </c>
      <c r="O5215" s="15" t="s">
        <v>1554</v>
      </c>
      <c r="Q5215" s="7"/>
    </row>
    <row r="5216">
      <c r="A5216" s="39" t="s">
        <v>20325</v>
      </c>
      <c r="B5216" s="15">
        <v>1679524.0</v>
      </c>
      <c r="C5216" s="15" t="s">
        <v>20326</v>
      </c>
      <c r="D5216" s="15">
        <v>310926.0</v>
      </c>
      <c r="E5216" s="15" t="s">
        <v>1557</v>
      </c>
      <c r="F5216" s="15" t="s">
        <v>1833</v>
      </c>
      <c r="G5216" s="7">
        <v>75.339</v>
      </c>
      <c r="H5216" s="15">
        <v>63.0</v>
      </c>
      <c r="I5216" s="15" t="s">
        <v>1586</v>
      </c>
      <c r="J5216" s="15" t="s">
        <v>20327</v>
      </c>
      <c r="K5216" s="15">
        <v>144.0</v>
      </c>
      <c r="L5216" s="15">
        <v>142.0</v>
      </c>
      <c r="M5216" s="40">
        <v>42200.0</v>
      </c>
      <c r="N5216" s="40">
        <v>42405.0</v>
      </c>
      <c r="O5216" s="15" t="s">
        <v>1554</v>
      </c>
      <c r="Q5216" s="7"/>
    </row>
    <row r="5217">
      <c r="A5217" s="39" t="s">
        <v>20328</v>
      </c>
      <c r="B5217" s="15">
        <v>1788315.0</v>
      </c>
      <c r="C5217" s="15" t="s">
        <v>20329</v>
      </c>
      <c r="D5217" s="15">
        <v>311074.0</v>
      </c>
      <c r="E5217" s="15" t="s">
        <v>1808</v>
      </c>
      <c r="F5217" s="15" t="s">
        <v>2436</v>
      </c>
      <c r="G5217" s="7">
        <v>5.212</v>
      </c>
      <c r="H5217" s="15" t="s">
        <v>1613</v>
      </c>
      <c r="I5217" s="15" t="s">
        <v>1686</v>
      </c>
      <c r="J5217" s="15" t="s">
        <v>20330</v>
      </c>
      <c r="K5217" s="15">
        <v>5.0</v>
      </c>
      <c r="L5217" s="15">
        <v>5.0</v>
      </c>
      <c r="M5217" s="40">
        <v>42401.0</v>
      </c>
      <c r="N5217" s="40">
        <v>42411.0</v>
      </c>
      <c r="O5217" s="15" t="s">
        <v>1554</v>
      </c>
      <c r="Q5217" s="7"/>
    </row>
    <row r="5218">
      <c r="A5218" s="39" t="s">
        <v>20332</v>
      </c>
      <c r="B5218" s="15">
        <v>1781241.0</v>
      </c>
      <c r="C5218" s="15" t="s">
        <v>20333</v>
      </c>
      <c r="D5218" s="15">
        <v>311077.0</v>
      </c>
      <c r="E5218" s="15" t="s">
        <v>1548</v>
      </c>
      <c r="F5218" s="15" t="s">
        <v>1578</v>
      </c>
      <c r="G5218" s="7">
        <v>9.581</v>
      </c>
      <c r="H5218" s="15" t="s">
        <v>2640</v>
      </c>
      <c r="I5218" s="15" t="s">
        <v>1573</v>
      </c>
      <c r="J5218" s="15" t="s">
        <v>20334</v>
      </c>
      <c r="K5218" s="15">
        <v>2.0</v>
      </c>
      <c r="L5218" s="15">
        <v>2.0</v>
      </c>
      <c r="M5218" s="40">
        <v>42400.0</v>
      </c>
      <c r="N5218" s="40">
        <v>42411.0</v>
      </c>
      <c r="O5218" s="15" t="s">
        <v>1554</v>
      </c>
      <c r="Q5218" s="7"/>
    </row>
    <row r="5219">
      <c r="A5219" s="39" t="s">
        <v>20335</v>
      </c>
      <c r="B5219" s="15">
        <v>137443.0</v>
      </c>
      <c r="C5219" s="15" t="s">
        <v>20336</v>
      </c>
      <c r="D5219" s="15">
        <v>311730.0</v>
      </c>
      <c r="E5219" s="15" t="s">
        <v>1557</v>
      </c>
      <c r="F5219" s="15" t="s">
        <v>1827</v>
      </c>
      <c r="G5219" s="7">
        <v>140.122</v>
      </c>
      <c r="H5219" s="15" t="s">
        <v>1881</v>
      </c>
      <c r="I5219" s="15" t="s">
        <v>1686</v>
      </c>
      <c r="J5219" s="15" t="s">
        <v>20337</v>
      </c>
      <c r="K5219" s="15">
        <v>75.0</v>
      </c>
      <c r="L5219" s="15">
        <v>76.0</v>
      </c>
      <c r="M5219" s="40">
        <v>42400.0</v>
      </c>
      <c r="N5219" s="40">
        <v>42411.0</v>
      </c>
      <c r="O5219" s="15" t="s">
        <v>1554</v>
      </c>
      <c r="Q5219" s="7"/>
    </row>
    <row r="5220">
      <c r="A5220" s="39" t="s">
        <v>20338</v>
      </c>
      <c r="B5220" s="15">
        <v>1780507.0</v>
      </c>
      <c r="C5220" s="15" t="s">
        <v>20340</v>
      </c>
      <c r="D5220" s="15">
        <v>295864.0</v>
      </c>
      <c r="E5220" s="15" t="s">
        <v>1557</v>
      </c>
      <c r="F5220" s="15" t="s">
        <v>1827</v>
      </c>
      <c r="G5220" s="7">
        <v>129.563</v>
      </c>
      <c r="H5220" s="15" t="s">
        <v>2288</v>
      </c>
      <c r="I5220" s="15" t="s">
        <v>1686</v>
      </c>
      <c r="J5220" s="15" t="s">
        <v>20341</v>
      </c>
      <c r="K5220" s="15">
        <v>78.0</v>
      </c>
      <c r="L5220" s="15">
        <v>77.0</v>
      </c>
      <c r="M5220" s="40">
        <v>42401.0</v>
      </c>
      <c r="N5220" s="40">
        <v>42541.0</v>
      </c>
      <c r="O5220" s="15" t="s">
        <v>1554</v>
      </c>
      <c r="Q5220" s="7"/>
    </row>
    <row r="5221">
      <c r="A5221" s="39" t="s">
        <v>20342</v>
      </c>
      <c r="B5221" s="15">
        <v>1329649.0</v>
      </c>
      <c r="C5221" s="15" t="s">
        <v>20343</v>
      </c>
      <c r="D5221" s="15">
        <v>312360.0</v>
      </c>
      <c r="E5221" s="15" t="s">
        <v>1808</v>
      </c>
      <c r="F5221" s="15" t="s">
        <v>2436</v>
      </c>
      <c r="G5221" s="7">
        <v>5.203</v>
      </c>
      <c r="H5221" s="15">
        <v>48.0</v>
      </c>
      <c r="I5221" s="15" t="s">
        <v>1686</v>
      </c>
      <c r="J5221" s="15" t="s">
        <v>20344</v>
      </c>
      <c r="K5221" s="15">
        <v>4.0</v>
      </c>
      <c r="L5221" s="15">
        <v>4.0</v>
      </c>
      <c r="M5221" s="40">
        <v>42413.0</v>
      </c>
      <c r="N5221" s="40">
        <v>42418.0</v>
      </c>
      <c r="O5221" s="15" t="s">
        <v>1554</v>
      </c>
      <c r="Q5221" s="7"/>
    </row>
    <row r="5222">
      <c r="A5222" s="39" t="s">
        <v>20345</v>
      </c>
      <c r="B5222" s="15">
        <v>1490026.0</v>
      </c>
      <c r="C5222" s="15" t="s">
        <v>20346</v>
      </c>
      <c r="D5222" s="15">
        <v>312642.0</v>
      </c>
      <c r="E5222" s="15" t="s">
        <v>1916</v>
      </c>
      <c r="F5222" s="15" t="s">
        <v>1917</v>
      </c>
      <c r="G5222" s="7">
        <v>7.663</v>
      </c>
      <c r="H5222" s="15" t="s">
        <v>8889</v>
      </c>
      <c r="I5222" s="15" t="s">
        <v>1628</v>
      </c>
      <c r="J5222" s="15" t="s">
        <v>20347</v>
      </c>
      <c r="K5222" s="15">
        <v>3.0</v>
      </c>
      <c r="L5222" s="15">
        <v>3.0</v>
      </c>
      <c r="M5222" s="40">
        <v>42412.0</v>
      </c>
      <c r="N5222" s="40">
        <v>42650.0</v>
      </c>
      <c r="O5222" s="15" t="s">
        <v>1554</v>
      </c>
      <c r="Q5222" s="7"/>
    </row>
    <row r="5223">
      <c r="A5223" s="39" t="s">
        <v>20349</v>
      </c>
      <c r="B5223" s="15">
        <v>1770618.0</v>
      </c>
      <c r="C5223" s="15" t="s">
        <v>20350</v>
      </c>
      <c r="D5223" s="15">
        <v>312655.0</v>
      </c>
      <c r="E5223" s="15" t="s">
        <v>1548</v>
      </c>
      <c r="F5223" s="15" t="s">
        <v>1786</v>
      </c>
      <c r="G5223" s="7">
        <v>7.925</v>
      </c>
      <c r="H5223" s="15" t="s">
        <v>1602</v>
      </c>
      <c r="I5223" s="15" t="s">
        <v>1628</v>
      </c>
      <c r="J5223" s="15" t="s">
        <v>20351</v>
      </c>
      <c r="K5223" s="15">
        <v>2.0</v>
      </c>
      <c r="L5223" s="15">
        <v>2.0</v>
      </c>
      <c r="M5223" s="40">
        <v>42418.0</v>
      </c>
      <c r="N5223" s="40">
        <v>42489.0</v>
      </c>
      <c r="O5223" s="15" t="s">
        <v>1554</v>
      </c>
      <c r="Q5223" s="7"/>
    </row>
    <row r="5224">
      <c r="A5224" s="39" t="s">
        <v>20352</v>
      </c>
      <c r="B5224" s="15">
        <v>1798085.0</v>
      </c>
      <c r="C5224" s="15" t="s">
        <v>20353</v>
      </c>
      <c r="D5224" s="15">
        <v>312709.0</v>
      </c>
      <c r="E5224" s="15" t="s">
        <v>1638</v>
      </c>
      <c r="F5224" s="15" t="s">
        <v>1639</v>
      </c>
      <c r="G5224" s="7">
        <v>6.038</v>
      </c>
      <c r="H5224" s="15" t="s">
        <v>2392</v>
      </c>
      <c r="I5224" s="15" t="s">
        <v>1740</v>
      </c>
      <c r="J5224" s="15" t="s">
        <v>20354</v>
      </c>
      <c r="K5224" s="15">
        <v>3.0</v>
      </c>
      <c r="L5224" s="15">
        <v>3.0</v>
      </c>
      <c r="M5224" s="40">
        <v>42415.0</v>
      </c>
      <c r="N5224" s="40">
        <v>42422.0</v>
      </c>
      <c r="O5224" s="15" t="s">
        <v>1554</v>
      </c>
      <c r="Q5224" s="7"/>
    </row>
    <row r="5225">
      <c r="A5225" s="39" t="s">
        <v>20355</v>
      </c>
      <c r="B5225" s="15">
        <v>1750712.0</v>
      </c>
      <c r="C5225" s="15" t="s">
        <v>20356</v>
      </c>
      <c r="D5225" s="15">
        <v>312792.0</v>
      </c>
      <c r="E5225" s="15" t="s">
        <v>1557</v>
      </c>
      <c r="F5225" s="15" t="s">
        <v>1992</v>
      </c>
      <c r="G5225" s="7">
        <v>111.246</v>
      </c>
      <c r="H5225" s="15" t="s">
        <v>3550</v>
      </c>
      <c r="I5225" s="15" t="s">
        <v>1560</v>
      </c>
      <c r="J5225" s="15" t="s">
        <v>20358</v>
      </c>
      <c r="K5225" s="15">
        <v>118.0</v>
      </c>
      <c r="L5225" s="15">
        <v>118.0</v>
      </c>
      <c r="M5225" s="40">
        <v>42416.0</v>
      </c>
      <c r="N5225" s="40">
        <v>42422.0</v>
      </c>
      <c r="O5225" s="15" t="s">
        <v>1554</v>
      </c>
      <c r="Q5225" s="7"/>
    </row>
    <row r="5226">
      <c r="A5226" s="39" t="s">
        <v>20359</v>
      </c>
      <c r="B5226" s="15">
        <v>1685758.0</v>
      </c>
      <c r="C5226" s="15" t="s">
        <v>20360</v>
      </c>
      <c r="D5226" s="15">
        <v>314346.0</v>
      </c>
      <c r="E5226" s="15" t="s">
        <v>1577</v>
      </c>
      <c r="F5226" s="15" t="s">
        <v>1578</v>
      </c>
      <c r="G5226" s="7">
        <v>3.003</v>
      </c>
      <c r="H5226" s="15" t="s">
        <v>2981</v>
      </c>
      <c r="I5226" s="15" t="s">
        <v>1706</v>
      </c>
      <c r="J5226" s="15" t="s">
        <v>20361</v>
      </c>
      <c r="K5226" s="15">
        <v>2.0</v>
      </c>
      <c r="L5226" s="15">
        <v>2.0</v>
      </c>
      <c r="M5226" s="40">
        <v>42431.0</v>
      </c>
      <c r="N5226" s="40">
        <v>42438.0</v>
      </c>
      <c r="O5226" s="15" t="s">
        <v>1554</v>
      </c>
      <c r="Q5226" s="7"/>
    </row>
    <row r="5227">
      <c r="A5227" s="39" t="s">
        <v>20362</v>
      </c>
      <c r="B5227" s="15">
        <v>1685759.0</v>
      </c>
      <c r="C5227" s="15" t="s">
        <v>20363</v>
      </c>
      <c r="D5227" s="15">
        <v>314394.0</v>
      </c>
      <c r="E5227" s="15" t="s">
        <v>1577</v>
      </c>
      <c r="F5227" s="15" t="s">
        <v>1578</v>
      </c>
      <c r="G5227" s="7">
        <v>3.124</v>
      </c>
      <c r="H5227" s="15" t="s">
        <v>1551</v>
      </c>
      <c r="I5227" s="15" t="s">
        <v>1706</v>
      </c>
      <c r="J5227" s="15" t="s">
        <v>20364</v>
      </c>
      <c r="K5227" s="15">
        <v>2.0</v>
      </c>
      <c r="L5227" s="15">
        <v>2.0</v>
      </c>
      <c r="M5227" s="40">
        <v>42431.0</v>
      </c>
      <c r="N5227" s="40">
        <v>42438.0</v>
      </c>
      <c r="O5227" s="15" t="s">
        <v>1554</v>
      </c>
      <c r="Q5227" s="7"/>
    </row>
    <row r="5228">
      <c r="A5228" s="39" t="s">
        <v>20365</v>
      </c>
      <c r="B5228" s="15">
        <v>1714570.0</v>
      </c>
      <c r="C5228" s="15" t="s">
        <v>20366</v>
      </c>
      <c r="D5228" s="15">
        <v>314396.0</v>
      </c>
      <c r="E5228" s="15" t="s">
        <v>1548</v>
      </c>
      <c r="F5228" s="15" t="s">
        <v>1578</v>
      </c>
      <c r="G5228" s="7">
        <v>43135.0</v>
      </c>
      <c r="H5228" s="15" t="s">
        <v>5179</v>
      </c>
      <c r="I5228" s="15" t="s">
        <v>1628</v>
      </c>
      <c r="J5228" s="15" t="s">
        <v>20368</v>
      </c>
      <c r="K5228" s="15" t="s">
        <v>1722</v>
      </c>
      <c r="L5228" s="15" t="s">
        <v>1722</v>
      </c>
      <c r="M5228" s="40">
        <v>42431.0</v>
      </c>
      <c r="N5228" s="40">
        <v>42438.0</v>
      </c>
      <c r="O5228" s="15" t="s">
        <v>1554</v>
      </c>
      <c r="Q5228" s="7"/>
    </row>
    <row r="5229">
      <c r="A5229" s="39" t="s">
        <v>20369</v>
      </c>
      <c r="B5229" s="15">
        <v>1685734.0</v>
      </c>
      <c r="C5229" s="15" t="s">
        <v>20370</v>
      </c>
      <c r="D5229" s="15">
        <v>314612.0</v>
      </c>
      <c r="E5229" s="15" t="s">
        <v>1577</v>
      </c>
      <c r="F5229" s="15" t="s">
        <v>1578</v>
      </c>
      <c r="G5229" s="7">
        <v>1.137</v>
      </c>
      <c r="H5229" s="15" t="s">
        <v>2548</v>
      </c>
      <c r="I5229" s="15" t="s">
        <v>1706</v>
      </c>
      <c r="J5229" s="15" t="s">
        <v>20371</v>
      </c>
      <c r="K5229" s="15">
        <v>1.0</v>
      </c>
      <c r="L5229" s="15">
        <v>1.0</v>
      </c>
      <c r="M5229" s="40">
        <v>42431.0</v>
      </c>
      <c r="N5229" s="40">
        <v>42438.0</v>
      </c>
      <c r="O5229" s="15" t="s">
        <v>1554</v>
      </c>
      <c r="Q5229" s="7"/>
    </row>
    <row r="5230">
      <c r="A5230" s="39" t="s">
        <v>20372</v>
      </c>
      <c r="B5230" s="15">
        <v>1685733.0</v>
      </c>
      <c r="C5230" s="15" t="s">
        <v>20373</v>
      </c>
      <c r="D5230" s="15">
        <v>314613.0</v>
      </c>
      <c r="E5230" s="15" t="s">
        <v>1577</v>
      </c>
      <c r="F5230" s="15" t="s">
        <v>1578</v>
      </c>
      <c r="G5230" s="7">
        <v>1.182</v>
      </c>
      <c r="H5230" s="15" t="s">
        <v>1745</v>
      </c>
      <c r="I5230" s="15" t="s">
        <v>1706</v>
      </c>
      <c r="J5230" s="15" t="s">
        <v>20374</v>
      </c>
      <c r="K5230" s="15">
        <v>1.0</v>
      </c>
      <c r="L5230" s="15">
        <v>1.0</v>
      </c>
      <c r="M5230" s="40">
        <v>42431.0</v>
      </c>
      <c r="N5230" s="40">
        <v>42438.0</v>
      </c>
      <c r="O5230" s="15" t="s">
        <v>1554</v>
      </c>
      <c r="Q5230" s="7"/>
    </row>
    <row r="5231">
      <c r="A5231" s="39" t="s">
        <v>20375</v>
      </c>
      <c r="B5231" s="15">
        <v>1685732.0</v>
      </c>
      <c r="C5231" s="15" t="s">
        <v>20376</v>
      </c>
      <c r="D5231" s="15">
        <v>314614.0</v>
      </c>
      <c r="E5231" s="15" t="s">
        <v>1577</v>
      </c>
      <c r="F5231" s="15" t="s">
        <v>1578</v>
      </c>
      <c r="G5231" s="7">
        <v>1.096</v>
      </c>
      <c r="H5231" s="15" t="s">
        <v>1813</v>
      </c>
      <c r="I5231" s="15" t="s">
        <v>1706</v>
      </c>
      <c r="J5231" s="15" t="s">
        <v>20377</v>
      </c>
      <c r="K5231" s="15">
        <v>1.0</v>
      </c>
      <c r="L5231" s="15">
        <v>1.0</v>
      </c>
      <c r="M5231" s="40">
        <v>42431.0</v>
      </c>
      <c r="N5231" s="40">
        <v>42438.0</v>
      </c>
      <c r="O5231" s="15" t="s">
        <v>1554</v>
      </c>
      <c r="Q5231" s="7"/>
    </row>
    <row r="5232">
      <c r="A5232" s="39" t="s">
        <v>20379</v>
      </c>
      <c r="B5232" s="15">
        <v>1685731.0</v>
      </c>
      <c r="C5232" s="15" t="s">
        <v>20380</v>
      </c>
      <c r="D5232" s="15">
        <v>314615.0</v>
      </c>
      <c r="E5232" s="15" t="s">
        <v>1577</v>
      </c>
      <c r="F5232" s="15" t="s">
        <v>1578</v>
      </c>
      <c r="G5232" s="7">
        <v>1.113</v>
      </c>
      <c r="H5232" s="15" t="s">
        <v>3653</v>
      </c>
      <c r="I5232" s="15" t="s">
        <v>1706</v>
      </c>
      <c r="J5232" s="15" t="s">
        <v>20381</v>
      </c>
      <c r="K5232" s="15">
        <v>1.0</v>
      </c>
      <c r="L5232" s="15">
        <v>1.0</v>
      </c>
      <c r="M5232" s="40">
        <v>42431.0</v>
      </c>
      <c r="N5232" s="40">
        <v>42438.0</v>
      </c>
      <c r="O5232" s="15" t="s">
        <v>1554</v>
      </c>
      <c r="Q5232" s="7"/>
    </row>
    <row r="5233">
      <c r="A5233" s="39" t="s">
        <v>20382</v>
      </c>
      <c r="B5233" s="15">
        <v>1685730.0</v>
      </c>
      <c r="C5233" s="15" t="s">
        <v>20383</v>
      </c>
      <c r="D5233" s="15">
        <v>314616.0</v>
      </c>
      <c r="E5233" s="15" t="s">
        <v>1577</v>
      </c>
      <c r="F5233" s="15" t="s">
        <v>1578</v>
      </c>
      <c r="G5233" s="7">
        <v>1.045</v>
      </c>
      <c r="H5233" s="15" t="s">
        <v>2075</v>
      </c>
      <c r="I5233" s="15" t="s">
        <v>1706</v>
      </c>
      <c r="J5233" s="15" t="s">
        <v>20384</v>
      </c>
      <c r="K5233" s="15">
        <v>1.0</v>
      </c>
      <c r="L5233" s="15">
        <v>1.0</v>
      </c>
      <c r="M5233" s="40">
        <v>42431.0</v>
      </c>
      <c r="N5233" s="40">
        <v>42438.0</v>
      </c>
      <c r="O5233" s="15" t="s">
        <v>1554</v>
      </c>
      <c r="Q5233" s="7"/>
    </row>
    <row r="5234">
      <c r="A5234" s="39" t="s">
        <v>20385</v>
      </c>
      <c r="B5234" s="15">
        <v>1685729.0</v>
      </c>
      <c r="C5234" s="15" t="s">
        <v>20386</v>
      </c>
      <c r="D5234" s="15">
        <v>314617.0</v>
      </c>
      <c r="E5234" s="15" t="s">
        <v>1577</v>
      </c>
      <c r="F5234" s="15" t="s">
        <v>1578</v>
      </c>
      <c r="G5234" s="7">
        <v>0.838</v>
      </c>
      <c r="H5234" s="15" t="s">
        <v>10437</v>
      </c>
      <c r="I5234" s="15" t="s">
        <v>1706</v>
      </c>
      <c r="J5234" s="15" t="s">
        <v>20388</v>
      </c>
      <c r="K5234" s="15">
        <v>1.0</v>
      </c>
      <c r="L5234" s="15">
        <v>1.0</v>
      </c>
      <c r="M5234" s="40">
        <v>42431.0</v>
      </c>
      <c r="N5234" s="40">
        <v>42438.0</v>
      </c>
      <c r="O5234" s="15" t="s">
        <v>1554</v>
      </c>
      <c r="Q5234" s="7"/>
    </row>
    <row r="5235">
      <c r="A5235" s="39" t="s">
        <v>20389</v>
      </c>
      <c r="B5235" s="15">
        <v>1685728.0</v>
      </c>
      <c r="C5235" s="15" t="s">
        <v>20390</v>
      </c>
      <c r="D5235" s="15">
        <v>314618.0</v>
      </c>
      <c r="E5235" s="15" t="s">
        <v>1577</v>
      </c>
      <c r="F5235" s="15" t="s">
        <v>1578</v>
      </c>
      <c r="G5235" s="7">
        <v>1.082</v>
      </c>
      <c r="H5235" s="15" t="s">
        <v>2392</v>
      </c>
      <c r="I5235" s="15" t="s">
        <v>1706</v>
      </c>
      <c r="J5235" s="15" t="s">
        <v>20391</v>
      </c>
      <c r="K5235" s="15">
        <v>1.0</v>
      </c>
      <c r="L5235" s="15">
        <v>1.0</v>
      </c>
      <c r="M5235" s="40">
        <v>42431.0</v>
      </c>
      <c r="N5235" s="40">
        <v>42438.0</v>
      </c>
      <c r="O5235" s="15" t="s">
        <v>1554</v>
      </c>
      <c r="Q5235" s="7"/>
    </row>
    <row r="5236">
      <c r="A5236" s="39" t="s">
        <v>20392</v>
      </c>
      <c r="B5236" s="15">
        <v>1685727.0</v>
      </c>
      <c r="C5236" s="15" t="s">
        <v>20393</v>
      </c>
      <c r="D5236" s="15">
        <v>314619.0</v>
      </c>
      <c r="E5236" s="15" t="s">
        <v>1577</v>
      </c>
      <c r="F5236" s="15" t="s">
        <v>1578</v>
      </c>
      <c r="G5236" s="7">
        <v>1.131</v>
      </c>
      <c r="H5236" s="15" t="s">
        <v>1902</v>
      </c>
      <c r="I5236" s="15" t="s">
        <v>1706</v>
      </c>
      <c r="J5236" s="15" t="s">
        <v>20394</v>
      </c>
      <c r="K5236" s="15">
        <v>1.0</v>
      </c>
      <c r="L5236" s="15">
        <v>1.0</v>
      </c>
      <c r="M5236" s="40">
        <v>42431.0</v>
      </c>
      <c r="N5236" s="40">
        <v>42438.0</v>
      </c>
      <c r="O5236" s="15" t="s">
        <v>1554</v>
      </c>
      <c r="Q5236" s="7"/>
    </row>
    <row r="5237">
      <c r="A5237" s="39" t="s">
        <v>20396</v>
      </c>
      <c r="B5237" s="15">
        <v>1685726.0</v>
      </c>
      <c r="C5237" s="15" t="s">
        <v>20397</v>
      </c>
      <c r="D5237" s="15">
        <v>314620.0</v>
      </c>
      <c r="E5237" s="15" t="s">
        <v>1577</v>
      </c>
      <c r="F5237" s="15" t="s">
        <v>1578</v>
      </c>
      <c r="G5237" s="7">
        <v>1.123</v>
      </c>
      <c r="H5237" s="15" t="s">
        <v>2864</v>
      </c>
      <c r="I5237" s="15" t="s">
        <v>1706</v>
      </c>
      <c r="J5237" s="15" t="s">
        <v>20398</v>
      </c>
      <c r="K5237" s="15">
        <v>1.0</v>
      </c>
      <c r="L5237" s="15">
        <v>1.0</v>
      </c>
      <c r="M5237" s="40">
        <v>42431.0</v>
      </c>
      <c r="N5237" s="40">
        <v>42438.0</v>
      </c>
      <c r="O5237" s="15" t="s">
        <v>1554</v>
      </c>
      <c r="Q5237" s="7"/>
    </row>
    <row r="5238">
      <c r="A5238" s="39" t="s">
        <v>20399</v>
      </c>
      <c r="B5238" s="15">
        <v>1685725.0</v>
      </c>
      <c r="C5238" s="15" t="s">
        <v>20400</v>
      </c>
      <c r="D5238" s="15">
        <v>314621.0</v>
      </c>
      <c r="E5238" s="15" t="s">
        <v>1577</v>
      </c>
      <c r="F5238" s="15" t="s">
        <v>1578</v>
      </c>
      <c r="G5238" s="7">
        <v>1.693</v>
      </c>
      <c r="H5238" s="15" t="s">
        <v>2320</v>
      </c>
      <c r="I5238" s="15" t="s">
        <v>1706</v>
      </c>
      <c r="J5238" s="15" t="s">
        <v>20401</v>
      </c>
      <c r="K5238" s="15">
        <v>1.0</v>
      </c>
      <c r="L5238" s="15">
        <v>1.0</v>
      </c>
      <c r="M5238" s="40">
        <v>42431.0</v>
      </c>
      <c r="N5238" s="40">
        <v>42438.0</v>
      </c>
      <c r="O5238" s="15" t="s">
        <v>1554</v>
      </c>
      <c r="Q5238" s="7"/>
    </row>
    <row r="5239">
      <c r="A5239" s="39" t="s">
        <v>20402</v>
      </c>
      <c r="B5239" s="15">
        <v>1685724.0</v>
      </c>
      <c r="C5239" s="15" t="s">
        <v>20403</v>
      </c>
      <c r="D5239" s="15">
        <v>314622.0</v>
      </c>
      <c r="E5239" s="15" t="s">
        <v>1577</v>
      </c>
      <c r="F5239" s="15" t="s">
        <v>1578</v>
      </c>
      <c r="G5239" s="7">
        <v>1.217</v>
      </c>
      <c r="H5239" s="15" t="s">
        <v>3101</v>
      </c>
      <c r="I5239" s="15" t="s">
        <v>1706</v>
      </c>
      <c r="J5239" s="15" t="s">
        <v>20405</v>
      </c>
      <c r="K5239" s="15">
        <v>1.0</v>
      </c>
      <c r="L5239" s="15">
        <v>1.0</v>
      </c>
      <c r="M5239" s="40">
        <v>42431.0</v>
      </c>
      <c r="N5239" s="40">
        <v>42438.0</v>
      </c>
      <c r="O5239" s="15" t="s">
        <v>1554</v>
      </c>
      <c r="Q5239" s="7"/>
    </row>
    <row r="5240">
      <c r="A5240" s="39" t="s">
        <v>20406</v>
      </c>
      <c r="B5240" s="15">
        <v>1685757.0</v>
      </c>
      <c r="C5240" s="15" t="s">
        <v>20407</v>
      </c>
      <c r="D5240" s="15">
        <v>314623.0</v>
      </c>
      <c r="E5240" s="15" t="s">
        <v>1577</v>
      </c>
      <c r="F5240" s="15" t="s">
        <v>1578</v>
      </c>
      <c r="G5240" s="7">
        <v>4.441</v>
      </c>
      <c r="H5240" s="15" t="s">
        <v>1828</v>
      </c>
      <c r="I5240" s="15" t="s">
        <v>1706</v>
      </c>
      <c r="J5240" s="15" t="s">
        <v>20408</v>
      </c>
      <c r="K5240" s="15">
        <v>3.0</v>
      </c>
      <c r="L5240" s="15">
        <v>3.0</v>
      </c>
      <c r="M5240" s="40">
        <v>42431.0</v>
      </c>
      <c r="N5240" s="40">
        <v>42438.0</v>
      </c>
      <c r="O5240" s="15" t="s">
        <v>1554</v>
      </c>
      <c r="Q5240" s="7"/>
    </row>
    <row r="5241">
      <c r="A5241" s="39" t="s">
        <v>20409</v>
      </c>
      <c r="B5241" s="15">
        <v>1685756.0</v>
      </c>
      <c r="C5241" s="15" t="s">
        <v>20410</v>
      </c>
      <c r="D5241" s="15">
        <v>314624.0</v>
      </c>
      <c r="E5241" s="15" t="s">
        <v>1577</v>
      </c>
      <c r="F5241" s="15" t="s">
        <v>1578</v>
      </c>
      <c r="G5241" s="7">
        <v>4.282</v>
      </c>
      <c r="H5241" s="15">
        <v>42.0</v>
      </c>
      <c r="I5241" s="15" t="s">
        <v>1706</v>
      </c>
      <c r="J5241" s="15" t="s">
        <v>20411</v>
      </c>
      <c r="K5241" s="15">
        <v>2.0</v>
      </c>
      <c r="L5241" s="15">
        <v>2.0</v>
      </c>
      <c r="M5241" s="40">
        <v>42431.0</v>
      </c>
      <c r="N5241" s="40">
        <v>42438.0</v>
      </c>
      <c r="O5241" s="15" t="s">
        <v>1554</v>
      </c>
      <c r="Q5241" s="7"/>
    </row>
    <row r="5242">
      <c r="A5242" s="39" t="s">
        <v>20412</v>
      </c>
      <c r="B5242" s="15">
        <v>1685755.0</v>
      </c>
      <c r="C5242" s="15" t="s">
        <v>20413</v>
      </c>
      <c r="D5242" s="15">
        <v>314625.0</v>
      </c>
      <c r="E5242" s="15" t="s">
        <v>1577</v>
      </c>
      <c r="F5242" s="15" t="s">
        <v>1578</v>
      </c>
      <c r="G5242" s="7">
        <v>6.38</v>
      </c>
      <c r="H5242" s="15" t="s">
        <v>3584</v>
      </c>
      <c r="I5242" s="15" t="s">
        <v>1706</v>
      </c>
      <c r="J5242" s="15" t="s">
        <v>20415</v>
      </c>
      <c r="K5242" s="15">
        <v>3.0</v>
      </c>
      <c r="L5242" s="15">
        <v>3.0</v>
      </c>
      <c r="M5242" s="40">
        <v>42431.0</v>
      </c>
      <c r="N5242" s="40">
        <v>42438.0</v>
      </c>
      <c r="O5242" s="15" t="s">
        <v>1554</v>
      </c>
      <c r="Q5242" s="7"/>
    </row>
    <row r="5243">
      <c r="A5243" s="39" t="s">
        <v>20416</v>
      </c>
      <c r="B5243" s="15">
        <v>1685754.0</v>
      </c>
      <c r="C5243" s="15" t="s">
        <v>20417</v>
      </c>
      <c r="D5243" s="15">
        <v>314626.0</v>
      </c>
      <c r="E5243" s="15" t="s">
        <v>1577</v>
      </c>
      <c r="F5243" s="15" t="s">
        <v>1578</v>
      </c>
      <c r="G5243" s="7">
        <v>2.256</v>
      </c>
      <c r="H5243" s="15" t="s">
        <v>2279</v>
      </c>
      <c r="I5243" s="15" t="s">
        <v>1706</v>
      </c>
      <c r="J5243" s="15" t="s">
        <v>20418</v>
      </c>
      <c r="K5243" s="15">
        <v>2.0</v>
      </c>
      <c r="L5243" s="15">
        <v>2.0</v>
      </c>
      <c r="M5243" s="40">
        <v>42431.0</v>
      </c>
      <c r="N5243" s="40">
        <v>42438.0</v>
      </c>
      <c r="O5243" s="15" t="s">
        <v>1554</v>
      </c>
      <c r="Q5243" s="7"/>
    </row>
    <row r="5244">
      <c r="A5244" s="39" t="s">
        <v>20419</v>
      </c>
      <c r="B5244" s="15">
        <v>1685753.0</v>
      </c>
      <c r="C5244" s="15" t="s">
        <v>20420</v>
      </c>
      <c r="D5244" s="15">
        <v>314627.0</v>
      </c>
      <c r="E5244" s="15" t="s">
        <v>1577</v>
      </c>
      <c r="F5244" s="15" t="s">
        <v>1578</v>
      </c>
      <c r="G5244" s="7">
        <v>2.259</v>
      </c>
      <c r="H5244" s="15" t="s">
        <v>2049</v>
      </c>
      <c r="I5244" s="15" t="s">
        <v>1706</v>
      </c>
      <c r="J5244" s="15" t="s">
        <v>20421</v>
      </c>
      <c r="K5244" s="15">
        <v>2.0</v>
      </c>
      <c r="L5244" s="15">
        <v>2.0</v>
      </c>
      <c r="M5244" s="40">
        <v>42431.0</v>
      </c>
      <c r="N5244" s="40">
        <v>42438.0</v>
      </c>
      <c r="O5244" s="15" t="s">
        <v>1554</v>
      </c>
      <c r="Q5244" s="7"/>
    </row>
    <row r="5245">
      <c r="A5245" s="39" t="s">
        <v>20422</v>
      </c>
      <c r="B5245" s="15">
        <v>1685752.0</v>
      </c>
      <c r="C5245" s="15" t="s">
        <v>20423</v>
      </c>
      <c r="D5245" s="15">
        <v>314628.0</v>
      </c>
      <c r="E5245" s="15" t="s">
        <v>1577</v>
      </c>
      <c r="F5245" s="15" t="s">
        <v>1578</v>
      </c>
      <c r="G5245" s="7">
        <v>1.776</v>
      </c>
      <c r="H5245" s="15">
        <v>41.0</v>
      </c>
      <c r="I5245" s="15" t="s">
        <v>1706</v>
      </c>
      <c r="J5245" s="15" t="s">
        <v>20424</v>
      </c>
      <c r="K5245" s="15">
        <v>2.0</v>
      </c>
      <c r="L5245" s="15">
        <v>2.0</v>
      </c>
      <c r="M5245" s="40">
        <v>42431.0</v>
      </c>
      <c r="N5245" s="40">
        <v>42438.0</v>
      </c>
      <c r="O5245" s="15" t="s">
        <v>1554</v>
      </c>
      <c r="Q5245" s="7"/>
    </row>
    <row r="5246">
      <c r="A5246" s="39" t="s">
        <v>20425</v>
      </c>
      <c r="B5246" s="15">
        <v>1685751.0</v>
      </c>
      <c r="C5246" s="15" t="s">
        <v>20427</v>
      </c>
      <c r="D5246" s="15">
        <v>314629.0</v>
      </c>
      <c r="E5246" s="15" t="s">
        <v>1577</v>
      </c>
      <c r="F5246" s="15" t="s">
        <v>1578</v>
      </c>
      <c r="G5246" s="7">
        <v>1.627</v>
      </c>
      <c r="H5246" s="15">
        <v>50.0</v>
      </c>
      <c r="I5246" s="15" t="s">
        <v>1706</v>
      </c>
      <c r="J5246" s="15" t="s">
        <v>20428</v>
      </c>
      <c r="K5246" s="15">
        <v>2.0</v>
      </c>
      <c r="L5246" s="15">
        <v>2.0</v>
      </c>
      <c r="M5246" s="40">
        <v>42431.0</v>
      </c>
      <c r="N5246" s="40">
        <v>42438.0</v>
      </c>
      <c r="O5246" s="15" t="s">
        <v>1554</v>
      </c>
      <c r="Q5246" s="7"/>
    </row>
    <row r="5247">
      <c r="A5247" s="39" t="s">
        <v>20429</v>
      </c>
      <c r="B5247" s="15">
        <v>1685750.0</v>
      </c>
      <c r="C5247" s="15" t="s">
        <v>20430</v>
      </c>
      <c r="D5247" s="15">
        <v>314630.0</v>
      </c>
      <c r="E5247" s="15" t="s">
        <v>1577</v>
      </c>
      <c r="F5247" s="15" t="s">
        <v>1578</v>
      </c>
      <c r="G5247" s="7">
        <v>1.775</v>
      </c>
      <c r="H5247" s="15" t="s">
        <v>2836</v>
      </c>
      <c r="I5247" s="15" t="s">
        <v>1706</v>
      </c>
      <c r="J5247" s="15" t="s">
        <v>20431</v>
      </c>
      <c r="K5247" s="15">
        <v>2.0</v>
      </c>
      <c r="L5247" s="15">
        <v>2.0</v>
      </c>
      <c r="M5247" s="40">
        <v>42431.0</v>
      </c>
      <c r="N5247" s="40">
        <v>42438.0</v>
      </c>
      <c r="O5247" s="15" t="s">
        <v>1554</v>
      </c>
      <c r="Q5247" s="7"/>
    </row>
    <row r="5248">
      <c r="A5248" s="39" t="s">
        <v>20432</v>
      </c>
      <c r="B5248" s="15">
        <v>1809112.0</v>
      </c>
      <c r="C5248" s="15" t="s">
        <v>20433</v>
      </c>
      <c r="D5248" s="15">
        <v>314631.0</v>
      </c>
      <c r="E5248" s="15" t="s">
        <v>1577</v>
      </c>
      <c r="F5248" s="15" t="s">
        <v>1578</v>
      </c>
      <c r="G5248" s="7">
        <v>2.022</v>
      </c>
      <c r="H5248" s="15">
        <v>45.0</v>
      </c>
      <c r="I5248" s="15" t="s">
        <v>1706</v>
      </c>
      <c r="J5248" s="15" t="s">
        <v>20434</v>
      </c>
      <c r="K5248" s="15">
        <v>2.0</v>
      </c>
      <c r="L5248" s="15">
        <v>2.0</v>
      </c>
      <c r="M5248" s="40">
        <v>42431.0</v>
      </c>
      <c r="N5248" s="40">
        <v>42551.0</v>
      </c>
      <c r="O5248" s="15" t="s">
        <v>1554</v>
      </c>
      <c r="Q5248" s="7"/>
    </row>
    <row r="5249">
      <c r="A5249" s="39" t="s">
        <v>20435</v>
      </c>
      <c r="B5249" s="15">
        <v>1685786.0</v>
      </c>
      <c r="C5249" s="15" t="s">
        <v>20436</v>
      </c>
      <c r="D5249" s="15">
        <v>314632.0</v>
      </c>
      <c r="E5249" s="15" t="s">
        <v>1577</v>
      </c>
      <c r="F5249" s="15" t="s">
        <v>1578</v>
      </c>
      <c r="G5249" s="7">
        <v>1.932</v>
      </c>
      <c r="H5249" s="15" t="s">
        <v>3255</v>
      </c>
      <c r="I5249" s="15" t="s">
        <v>1706</v>
      </c>
      <c r="J5249" s="15" t="s">
        <v>20437</v>
      </c>
      <c r="K5249" s="15">
        <v>2.0</v>
      </c>
      <c r="L5249" s="15">
        <v>2.0</v>
      </c>
      <c r="M5249" s="40">
        <v>42431.0</v>
      </c>
      <c r="N5249" s="40">
        <v>42438.0</v>
      </c>
      <c r="O5249" s="15" t="s">
        <v>1554</v>
      </c>
      <c r="Q5249" s="7"/>
    </row>
    <row r="5250">
      <c r="A5250" s="39" t="s">
        <v>20438</v>
      </c>
      <c r="B5250" s="15">
        <v>1685785.0</v>
      </c>
      <c r="C5250" s="15" t="s">
        <v>20439</v>
      </c>
      <c r="D5250" s="15">
        <v>314633.0</v>
      </c>
      <c r="E5250" s="15" t="s">
        <v>1577</v>
      </c>
      <c r="F5250" s="15" t="s">
        <v>1578</v>
      </c>
      <c r="G5250" s="7">
        <v>2.205</v>
      </c>
      <c r="H5250" s="15" t="s">
        <v>7408</v>
      </c>
      <c r="I5250" s="15" t="s">
        <v>1706</v>
      </c>
      <c r="J5250" s="15" t="s">
        <v>20441</v>
      </c>
      <c r="K5250" s="15">
        <v>2.0</v>
      </c>
      <c r="L5250" s="15">
        <v>2.0</v>
      </c>
      <c r="M5250" s="40">
        <v>42431.0</v>
      </c>
      <c r="N5250" s="40">
        <v>42438.0</v>
      </c>
      <c r="O5250" s="15" t="s">
        <v>1554</v>
      </c>
      <c r="Q5250" s="7"/>
    </row>
    <row r="5251">
      <c r="A5251" s="39" t="s">
        <v>20442</v>
      </c>
      <c r="B5251" s="15">
        <v>1685784.0</v>
      </c>
      <c r="C5251" s="15" t="s">
        <v>20443</v>
      </c>
      <c r="D5251" s="15">
        <v>314634.0</v>
      </c>
      <c r="E5251" s="15" t="s">
        <v>1577</v>
      </c>
      <c r="F5251" s="15" t="s">
        <v>1578</v>
      </c>
      <c r="G5251" s="7">
        <v>2.304</v>
      </c>
      <c r="H5251" s="15" t="s">
        <v>1859</v>
      </c>
      <c r="I5251" s="15" t="s">
        <v>1706</v>
      </c>
      <c r="J5251" s="15" t="s">
        <v>20444</v>
      </c>
      <c r="K5251" s="15">
        <v>2.0</v>
      </c>
      <c r="L5251" s="15">
        <v>2.0</v>
      </c>
      <c r="M5251" s="40">
        <v>42431.0</v>
      </c>
      <c r="N5251" s="40">
        <v>42438.0</v>
      </c>
      <c r="O5251" s="15" t="s">
        <v>1554</v>
      </c>
      <c r="Q5251" s="7"/>
    </row>
    <row r="5252">
      <c r="A5252" s="39" t="s">
        <v>20445</v>
      </c>
      <c r="B5252" s="15">
        <v>1685783.0</v>
      </c>
      <c r="C5252" s="15" t="s">
        <v>20446</v>
      </c>
      <c r="D5252" s="15">
        <v>314635.0</v>
      </c>
      <c r="E5252" s="15" t="s">
        <v>1577</v>
      </c>
      <c r="F5252" s="15" t="s">
        <v>1578</v>
      </c>
      <c r="G5252" s="7">
        <v>2.939</v>
      </c>
      <c r="H5252" s="15" t="s">
        <v>1714</v>
      </c>
      <c r="I5252" s="15" t="s">
        <v>1706</v>
      </c>
      <c r="J5252" s="15" t="s">
        <v>20447</v>
      </c>
      <c r="K5252" s="15">
        <v>2.0</v>
      </c>
      <c r="L5252" s="15">
        <v>2.0</v>
      </c>
      <c r="M5252" s="40">
        <v>42431.0</v>
      </c>
      <c r="N5252" s="40">
        <v>42438.0</v>
      </c>
      <c r="O5252" s="15" t="s">
        <v>1554</v>
      </c>
      <c r="Q5252" s="7"/>
    </row>
    <row r="5253">
      <c r="A5253" s="39" t="s">
        <v>20448</v>
      </c>
      <c r="B5253" s="15">
        <v>1685781.0</v>
      </c>
      <c r="C5253" s="15" t="s">
        <v>20449</v>
      </c>
      <c r="D5253" s="15">
        <v>314636.0</v>
      </c>
      <c r="E5253" s="15" t="s">
        <v>1577</v>
      </c>
      <c r="F5253" s="15" t="s">
        <v>1578</v>
      </c>
      <c r="G5253" s="7">
        <v>2.175</v>
      </c>
      <c r="H5253" s="15">
        <v>45.0</v>
      </c>
      <c r="I5253" s="15" t="s">
        <v>1706</v>
      </c>
      <c r="J5253" s="15" t="s">
        <v>20450</v>
      </c>
      <c r="K5253" s="15">
        <v>2.0</v>
      </c>
      <c r="L5253" s="15">
        <v>2.0</v>
      </c>
      <c r="M5253" s="40">
        <v>42431.0</v>
      </c>
      <c r="N5253" s="40">
        <v>42438.0</v>
      </c>
      <c r="O5253" s="15" t="s">
        <v>1554</v>
      </c>
      <c r="Q5253" s="7"/>
    </row>
    <row r="5254">
      <c r="A5254" s="39" t="s">
        <v>20451</v>
      </c>
      <c r="B5254" s="15">
        <v>1685749.0</v>
      </c>
      <c r="C5254" s="15" t="s">
        <v>20452</v>
      </c>
      <c r="D5254" s="15">
        <v>314637.0</v>
      </c>
      <c r="E5254" s="15" t="s">
        <v>1577</v>
      </c>
      <c r="F5254" s="15" t="s">
        <v>1578</v>
      </c>
      <c r="G5254" s="7">
        <v>1.66</v>
      </c>
      <c r="H5254" s="15" t="s">
        <v>2451</v>
      </c>
      <c r="I5254" s="15" t="s">
        <v>1706</v>
      </c>
      <c r="J5254" s="15" t="s">
        <v>20454</v>
      </c>
      <c r="K5254" s="15">
        <v>2.0</v>
      </c>
      <c r="L5254" s="15">
        <v>2.0</v>
      </c>
      <c r="M5254" s="40">
        <v>42431.0</v>
      </c>
      <c r="N5254" s="40">
        <v>42438.0</v>
      </c>
      <c r="O5254" s="15" t="s">
        <v>1554</v>
      </c>
      <c r="Q5254" s="7"/>
    </row>
    <row r="5255">
      <c r="A5255" s="39" t="s">
        <v>20455</v>
      </c>
      <c r="B5255" s="15">
        <v>1685748.0</v>
      </c>
      <c r="C5255" s="15" t="s">
        <v>20456</v>
      </c>
      <c r="D5255" s="15">
        <v>314638.0</v>
      </c>
      <c r="E5255" s="15" t="s">
        <v>1577</v>
      </c>
      <c r="F5255" s="15" t="s">
        <v>1578</v>
      </c>
      <c r="G5255" s="7">
        <v>1.762</v>
      </c>
      <c r="H5255" s="15" t="s">
        <v>3604</v>
      </c>
      <c r="I5255" s="15" t="s">
        <v>1706</v>
      </c>
      <c r="J5255" s="15" t="s">
        <v>20457</v>
      </c>
      <c r="K5255" s="15">
        <v>2.0</v>
      </c>
      <c r="L5255" s="15">
        <v>2.0</v>
      </c>
      <c r="M5255" s="40">
        <v>42431.0</v>
      </c>
      <c r="N5255" s="40">
        <v>42438.0</v>
      </c>
      <c r="O5255" s="15" t="s">
        <v>1554</v>
      </c>
      <c r="Q5255" s="7"/>
    </row>
    <row r="5256">
      <c r="A5256" s="39" t="s">
        <v>20458</v>
      </c>
      <c r="B5256" s="15">
        <v>1685747.0</v>
      </c>
      <c r="C5256" s="15" t="s">
        <v>20459</v>
      </c>
      <c r="D5256" s="15">
        <v>314639.0</v>
      </c>
      <c r="E5256" s="15" t="s">
        <v>1577</v>
      </c>
      <c r="F5256" s="15" t="s">
        <v>1578</v>
      </c>
      <c r="G5256" s="7">
        <v>1.632</v>
      </c>
      <c r="H5256" s="15" t="s">
        <v>4821</v>
      </c>
      <c r="I5256" s="15" t="s">
        <v>1706</v>
      </c>
      <c r="J5256" s="15" t="s">
        <v>20460</v>
      </c>
      <c r="K5256" s="15">
        <v>2.0</v>
      </c>
      <c r="L5256" s="15">
        <v>2.0</v>
      </c>
      <c r="M5256" s="40">
        <v>42431.0</v>
      </c>
      <c r="N5256" s="40">
        <v>42438.0</v>
      </c>
      <c r="O5256" s="15" t="s">
        <v>1554</v>
      </c>
      <c r="Q5256" s="7"/>
    </row>
    <row r="5257">
      <c r="A5257" s="39" t="s">
        <v>20461</v>
      </c>
      <c r="B5257" s="15">
        <v>1685746.0</v>
      </c>
      <c r="C5257" s="15" t="s">
        <v>20462</v>
      </c>
      <c r="D5257" s="15">
        <v>314640.0</v>
      </c>
      <c r="E5257" s="15" t="s">
        <v>1577</v>
      </c>
      <c r="F5257" s="15" t="s">
        <v>1578</v>
      </c>
      <c r="G5257" s="7">
        <v>2.301</v>
      </c>
      <c r="H5257" s="15" t="s">
        <v>1685</v>
      </c>
      <c r="I5257" s="15" t="s">
        <v>1706</v>
      </c>
      <c r="J5257" s="15" t="s">
        <v>20463</v>
      </c>
      <c r="K5257" s="15">
        <v>2.0</v>
      </c>
      <c r="L5257" s="15">
        <v>2.0</v>
      </c>
      <c r="M5257" s="40">
        <v>42431.0</v>
      </c>
      <c r="N5257" s="40">
        <v>42438.0</v>
      </c>
      <c r="O5257" s="15" t="s">
        <v>1554</v>
      </c>
      <c r="Q5257" s="7"/>
    </row>
    <row r="5258">
      <c r="A5258" s="39" t="s">
        <v>20464</v>
      </c>
      <c r="B5258" s="15">
        <v>1685745.0</v>
      </c>
      <c r="C5258" s="15" t="s">
        <v>20466</v>
      </c>
      <c r="D5258" s="15">
        <v>314641.0</v>
      </c>
      <c r="E5258" s="15" t="s">
        <v>1577</v>
      </c>
      <c r="F5258" s="15" t="s">
        <v>1578</v>
      </c>
      <c r="G5258" s="7">
        <v>1.931</v>
      </c>
      <c r="H5258" s="15">
        <v>38.0</v>
      </c>
      <c r="I5258" s="15" t="s">
        <v>1706</v>
      </c>
      <c r="J5258" s="15" t="s">
        <v>20467</v>
      </c>
      <c r="K5258" s="15">
        <v>2.0</v>
      </c>
      <c r="L5258" s="15">
        <v>2.0</v>
      </c>
      <c r="M5258" s="40">
        <v>42431.0</v>
      </c>
      <c r="N5258" s="40">
        <v>42438.0</v>
      </c>
      <c r="O5258" s="15" t="s">
        <v>1554</v>
      </c>
      <c r="Q5258" s="7"/>
    </row>
    <row r="5259">
      <c r="A5259" s="39" t="s">
        <v>20468</v>
      </c>
      <c r="B5259" s="15">
        <v>1685744.0</v>
      </c>
      <c r="C5259" s="15" t="s">
        <v>20469</v>
      </c>
      <c r="D5259" s="15">
        <v>314642.0</v>
      </c>
      <c r="E5259" s="15" t="s">
        <v>1577</v>
      </c>
      <c r="F5259" s="15" t="s">
        <v>1578</v>
      </c>
      <c r="G5259" s="7">
        <v>1.821</v>
      </c>
      <c r="H5259" s="15" t="s">
        <v>1983</v>
      </c>
      <c r="I5259" s="15" t="s">
        <v>1706</v>
      </c>
      <c r="J5259" s="15" t="s">
        <v>20470</v>
      </c>
      <c r="K5259" s="15">
        <v>2.0</v>
      </c>
      <c r="L5259" s="15">
        <v>2.0</v>
      </c>
      <c r="M5259" s="40">
        <v>42431.0</v>
      </c>
      <c r="N5259" s="40">
        <v>42438.0</v>
      </c>
      <c r="O5259" s="15" t="s">
        <v>1554</v>
      </c>
      <c r="Q5259" s="7"/>
    </row>
    <row r="5260">
      <c r="A5260" s="39" t="s">
        <v>20471</v>
      </c>
      <c r="B5260" s="15">
        <v>1685743.0</v>
      </c>
      <c r="C5260" s="15" t="s">
        <v>20472</v>
      </c>
      <c r="D5260" s="15">
        <v>314643.0</v>
      </c>
      <c r="E5260" s="15" t="s">
        <v>1577</v>
      </c>
      <c r="F5260" s="15" t="s">
        <v>1578</v>
      </c>
      <c r="G5260" s="7">
        <v>2.678</v>
      </c>
      <c r="H5260" s="15" t="s">
        <v>1813</v>
      </c>
      <c r="I5260" s="15" t="s">
        <v>1706</v>
      </c>
      <c r="J5260" s="15" t="s">
        <v>20473</v>
      </c>
      <c r="K5260" s="15">
        <v>2.0</v>
      </c>
      <c r="L5260" s="15">
        <v>2.0</v>
      </c>
      <c r="M5260" s="40">
        <v>42431.0</v>
      </c>
      <c r="N5260" s="40">
        <v>42438.0</v>
      </c>
      <c r="O5260" s="15" t="s">
        <v>1554</v>
      </c>
      <c r="Q5260" s="7"/>
    </row>
    <row r="5261">
      <c r="A5261" s="39" t="s">
        <v>20474</v>
      </c>
      <c r="B5261" s="15">
        <v>1685742.0</v>
      </c>
      <c r="C5261" s="15" t="s">
        <v>20475</v>
      </c>
      <c r="D5261" s="15">
        <v>314644.0</v>
      </c>
      <c r="E5261" s="15" t="s">
        <v>1577</v>
      </c>
      <c r="F5261" s="15" t="s">
        <v>1578</v>
      </c>
      <c r="G5261" s="7">
        <v>1.888</v>
      </c>
      <c r="H5261" s="15" t="s">
        <v>3066</v>
      </c>
      <c r="I5261" s="15" t="s">
        <v>1706</v>
      </c>
      <c r="J5261" s="15" t="s">
        <v>20476</v>
      </c>
      <c r="K5261" s="15">
        <v>2.0</v>
      </c>
      <c r="L5261" s="15">
        <v>2.0</v>
      </c>
      <c r="M5261" s="40">
        <v>42431.0</v>
      </c>
      <c r="N5261" s="40">
        <v>42438.0</v>
      </c>
      <c r="O5261" s="15" t="s">
        <v>1554</v>
      </c>
      <c r="Q5261" s="7"/>
    </row>
    <row r="5262">
      <c r="A5262" s="39" t="s">
        <v>20477</v>
      </c>
      <c r="B5262" s="15">
        <v>1685741.0</v>
      </c>
      <c r="C5262" s="15" t="s">
        <v>20478</v>
      </c>
      <c r="D5262" s="15">
        <v>314645.0</v>
      </c>
      <c r="E5262" s="15" t="s">
        <v>1577</v>
      </c>
      <c r="F5262" s="15" t="s">
        <v>1578</v>
      </c>
      <c r="G5262" s="7">
        <v>1.963</v>
      </c>
      <c r="H5262" s="15" t="s">
        <v>1572</v>
      </c>
      <c r="I5262" s="15" t="s">
        <v>1706</v>
      </c>
      <c r="J5262" s="15" t="s">
        <v>20479</v>
      </c>
      <c r="K5262" s="15">
        <v>2.0</v>
      </c>
      <c r="L5262" s="15">
        <v>2.0</v>
      </c>
      <c r="M5262" s="40">
        <v>42431.0</v>
      </c>
      <c r="N5262" s="40">
        <v>42438.0</v>
      </c>
      <c r="O5262" s="15" t="s">
        <v>1554</v>
      </c>
      <c r="Q5262" s="7"/>
    </row>
    <row r="5263">
      <c r="A5263" s="39" t="s">
        <v>20481</v>
      </c>
      <c r="B5263" s="15">
        <v>1685740.0</v>
      </c>
      <c r="C5263" s="15" t="s">
        <v>20482</v>
      </c>
      <c r="D5263" s="15">
        <v>314646.0</v>
      </c>
      <c r="E5263" s="15" t="s">
        <v>1577</v>
      </c>
      <c r="F5263" s="15" t="s">
        <v>1578</v>
      </c>
      <c r="G5263" s="7">
        <v>4.301</v>
      </c>
      <c r="H5263" s="15" t="s">
        <v>4595</v>
      </c>
      <c r="I5263" s="15" t="s">
        <v>1706</v>
      </c>
      <c r="J5263" s="15" t="s">
        <v>20483</v>
      </c>
      <c r="K5263" s="15">
        <v>2.0</v>
      </c>
      <c r="L5263" s="15">
        <v>2.0</v>
      </c>
      <c r="M5263" s="40">
        <v>42431.0</v>
      </c>
      <c r="N5263" s="40">
        <v>42438.0</v>
      </c>
      <c r="O5263" s="15" t="s">
        <v>1554</v>
      </c>
      <c r="Q5263" s="7"/>
    </row>
    <row r="5264">
      <c r="A5264" s="39" t="s">
        <v>20484</v>
      </c>
      <c r="B5264" s="15">
        <v>1685739.0</v>
      </c>
      <c r="C5264" s="15" t="s">
        <v>20485</v>
      </c>
      <c r="D5264" s="15">
        <v>314647.0</v>
      </c>
      <c r="E5264" s="15" t="s">
        <v>1577</v>
      </c>
      <c r="F5264" s="15" t="s">
        <v>1578</v>
      </c>
      <c r="G5264" s="7">
        <v>1.587</v>
      </c>
      <c r="H5264" s="15" t="s">
        <v>3297</v>
      </c>
      <c r="I5264" s="15" t="s">
        <v>1706</v>
      </c>
      <c r="J5264" s="15" t="s">
        <v>20486</v>
      </c>
      <c r="K5264" s="15">
        <v>2.0</v>
      </c>
      <c r="L5264" s="15">
        <v>2.0</v>
      </c>
      <c r="M5264" s="40">
        <v>42431.0</v>
      </c>
      <c r="N5264" s="40">
        <v>42438.0</v>
      </c>
      <c r="O5264" s="15" t="s">
        <v>1554</v>
      </c>
      <c r="Q5264" s="7"/>
    </row>
    <row r="5265">
      <c r="A5265" s="39" t="s">
        <v>20487</v>
      </c>
      <c r="B5265" s="15">
        <v>1685738.0</v>
      </c>
      <c r="C5265" s="15" t="s">
        <v>20488</v>
      </c>
      <c r="D5265" s="15">
        <v>314648.0</v>
      </c>
      <c r="E5265" s="15" t="s">
        <v>1577</v>
      </c>
      <c r="F5265" s="15" t="s">
        <v>1578</v>
      </c>
      <c r="G5265" s="7">
        <v>1.898</v>
      </c>
      <c r="H5265" s="15" t="s">
        <v>3776</v>
      </c>
      <c r="I5265" s="15" t="s">
        <v>1706</v>
      </c>
      <c r="J5265" s="15" t="s">
        <v>20490</v>
      </c>
      <c r="K5265" s="15">
        <v>2.0</v>
      </c>
      <c r="L5265" s="15">
        <v>2.0</v>
      </c>
      <c r="M5265" s="40">
        <v>42431.0</v>
      </c>
      <c r="N5265" s="40">
        <v>42438.0</v>
      </c>
      <c r="O5265" s="15" t="s">
        <v>1554</v>
      </c>
      <c r="Q5265" s="7"/>
    </row>
    <row r="5266">
      <c r="A5266" s="39" t="s">
        <v>20491</v>
      </c>
      <c r="B5266" s="15">
        <v>1685737.0</v>
      </c>
      <c r="C5266" s="15" t="s">
        <v>20492</v>
      </c>
      <c r="D5266" s="15">
        <v>314649.0</v>
      </c>
      <c r="E5266" s="15" t="s">
        <v>1577</v>
      </c>
      <c r="F5266" s="15" t="s">
        <v>1578</v>
      </c>
      <c r="G5266" s="7">
        <v>2.198</v>
      </c>
      <c r="H5266" s="15" t="s">
        <v>1813</v>
      </c>
      <c r="I5266" s="15" t="s">
        <v>1706</v>
      </c>
      <c r="J5266" s="15" t="s">
        <v>20493</v>
      </c>
      <c r="K5266" s="15">
        <v>2.0</v>
      </c>
      <c r="L5266" s="15">
        <v>2.0</v>
      </c>
      <c r="M5266" s="40">
        <v>42431.0</v>
      </c>
      <c r="N5266" s="40">
        <v>42438.0</v>
      </c>
      <c r="O5266" s="15" t="s">
        <v>1554</v>
      </c>
      <c r="Q5266" s="7"/>
    </row>
    <row r="5267">
      <c r="A5267" s="39" t="s">
        <v>20494</v>
      </c>
      <c r="B5267" s="15">
        <v>1685736.0</v>
      </c>
      <c r="C5267" s="15" t="s">
        <v>20495</v>
      </c>
      <c r="D5267" s="15">
        <v>314650.0</v>
      </c>
      <c r="E5267" s="15" t="s">
        <v>1577</v>
      </c>
      <c r="F5267" s="15" t="s">
        <v>1578</v>
      </c>
      <c r="G5267" s="7">
        <v>1.915</v>
      </c>
      <c r="H5267" s="42">
        <v>43281.0</v>
      </c>
      <c r="I5267" s="15" t="s">
        <v>1706</v>
      </c>
      <c r="J5267" s="15" t="s">
        <v>20496</v>
      </c>
      <c r="K5267" s="15">
        <v>2.0</v>
      </c>
      <c r="L5267" s="15">
        <v>2.0</v>
      </c>
      <c r="M5267" s="40">
        <v>42431.0</v>
      </c>
      <c r="N5267" s="40">
        <v>42438.0</v>
      </c>
      <c r="O5267" s="15" t="s">
        <v>1554</v>
      </c>
      <c r="Q5267" s="7"/>
    </row>
    <row r="5268">
      <c r="A5268" s="39" t="s">
        <v>20497</v>
      </c>
      <c r="B5268" s="15">
        <v>1685735.0</v>
      </c>
      <c r="C5268" s="15" t="s">
        <v>20498</v>
      </c>
      <c r="D5268" s="15">
        <v>314651.0</v>
      </c>
      <c r="E5268" s="15" t="s">
        <v>1577</v>
      </c>
      <c r="F5268" s="15" t="s">
        <v>1578</v>
      </c>
      <c r="G5268" s="7">
        <v>2.862</v>
      </c>
      <c r="H5268" s="15" t="s">
        <v>4401</v>
      </c>
      <c r="I5268" s="15" t="s">
        <v>1706</v>
      </c>
      <c r="J5268" s="15" t="s">
        <v>20500</v>
      </c>
      <c r="K5268" s="15">
        <v>2.0</v>
      </c>
      <c r="L5268" s="15">
        <v>2.0</v>
      </c>
      <c r="M5268" s="40">
        <v>42431.0</v>
      </c>
      <c r="N5268" s="40">
        <v>42438.0</v>
      </c>
      <c r="O5268" s="15" t="s">
        <v>1554</v>
      </c>
      <c r="Q5268" s="7"/>
    </row>
    <row r="5269">
      <c r="A5269" s="39" t="s">
        <v>20501</v>
      </c>
      <c r="B5269" s="15">
        <v>1685780.0</v>
      </c>
      <c r="C5269" s="15" t="s">
        <v>20502</v>
      </c>
      <c r="D5269" s="15">
        <v>314653.0</v>
      </c>
      <c r="E5269" s="15" t="s">
        <v>1577</v>
      </c>
      <c r="F5269" s="15" t="s">
        <v>1578</v>
      </c>
      <c r="G5269" s="7">
        <v>1.802</v>
      </c>
      <c r="H5269" s="15" t="s">
        <v>2428</v>
      </c>
      <c r="I5269" s="15" t="s">
        <v>1706</v>
      </c>
      <c r="J5269" s="15" t="s">
        <v>20503</v>
      </c>
      <c r="K5269" s="15">
        <v>2.0</v>
      </c>
      <c r="L5269" s="15">
        <v>2.0</v>
      </c>
      <c r="M5269" s="40">
        <v>42431.0</v>
      </c>
      <c r="N5269" s="40">
        <v>42438.0</v>
      </c>
      <c r="O5269" s="15" t="s">
        <v>1554</v>
      </c>
      <c r="Q5269" s="7"/>
    </row>
    <row r="5270">
      <c r="A5270" s="39" t="s">
        <v>20504</v>
      </c>
      <c r="B5270" s="15">
        <v>1685779.0</v>
      </c>
      <c r="C5270" s="15" t="s">
        <v>20505</v>
      </c>
      <c r="D5270" s="15">
        <v>314654.0</v>
      </c>
      <c r="E5270" s="15" t="s">
        <v>1577</v>
      </c>
      <c r="F5270" s="15" t="s">
        <v>1578</v>
      </c>
      <c r="G5270" s="7">
        <v>2.987</v>
      </c>
      <c r="H5270" s="15" t="s">
        <v>2163</v>
      </c>
      <c r="I5270" s="15" t="s">
        <v>1706</v>
      </c>
      <c r="J5270" s="15" t="s">
        <v>20506</v>
      </c>
      <c r="K5270" s="15">
        <v>2.0</v>
      </c>
      <c r="L5270" s="15">
        <v>2.0</v>
      </c>
      <c r="M5270" s="40">
        <v>42431.0</v>
      </c>
      <c r="N5270" s="40">
        <v>42438.0</v>
      </c>
      <c r="O5270" s="15" t="s">
        <v>1554</v>
      </c>
      <c r="Q5270" s="7"/>
    </row>
    <row r="5271">
      <c r="A5271" s="39" t="s">
        <v>20507</v>
      </c>
      <c r="B5271" s="15">
        <v>1685778.0</v>
      </c>
      <c r="C5271" s="15" t="s">
        <v>20508</v>
      </c>
      <c r="D5271" s="15">
        <v>314655.0</v>
      </c>
      <c r="E5271" s="15" t="s">
        <v>1577</v>
      </c>
      <c r="F5271" s="15" t="s">
        <v>1578</v>
      </c>
      <c r="G5271" s="7">
        <v>2.927</v>
      </c>
      <c r="H5271" s="15" t="s">
        <v>2141</v>
      </c>
      <c r="I5271" s="15" t="s">
        <v>1706</v>
      </c>
      <c r="J5271" s="15" t="s">
        <v>20510</v>
      </c>
      <c r="K5271" s="15">
        <v>2.0</v>
      </c>
      <c r="L5271" s="15">
        <v>2.0</v>
      </c>
      <c r="M5271" s="40">
        <v>42431.0</v>
      </c>
      <c r="N5271" s="40">
        <v>42438.0</v>
      </c>
      <c r="O5271" s="15" t="s">
        <v>1554</v>
      </c>
      <c r="Q5271" s="7"/>
    </row>
    <row r="5272">
      <c r="A5272" s="39" t="s">
        <v>20511</v>
      </c>
      <c r="B5272" s="15">
        <v>1685777.0</v>
      </c>
      <c r="C5272" s="15" t="s">
        <v>20512</v>
      </c>
      <c r="D5272" s="15">
        <v>314656.0</v>
      </c>
      <c r="E5272" s="15" t="s">
        <v>1577</v>
      </c>
      <c r="F5272" s="15" t="s">
        <v>1578</v>
      </c>
      <c r="G5272" s="7">
        <v>2.039</v>
      </c>
      <c r="H5272" s="15" t="s">
        <v>3538</v>
      </c>
      <c r="I5272" s="15" t="s">
        <v>1706</v>
      </c>
      <c r="J5272" s="15" t="s">
        <v>20513</v>
      </c>
      <c r="K5272" s="15">
        <v>2.0</v>
      </c>
      <c r="L5272" s="15">
        <v>2.0</v>
      </c>
      <c r="M5272" s="40">
        <v>42431.0</v>
      </c>
      <c r="N5272" s="40">
        <v>42438.0</v>
      </c>
      <c r="O5272" s="15" t="s">
        <v>1554</v>
      </c>
      <c r="Q5272" s="7"/>
    </row>
    <row r="5273">
      <c r="A5273" s="39" t="s">
        <v>20514</v>
      </c>
      <c r="B5273" s="15">
        <v>1685776.0</v>
      </c>
      <c r="C5273" s="15" t="s">
        <v>20515</v>
      </c>
      <c r="D5273" s="15">
        <v>314657.0</v>
      </c>
      <c r="E5273" s="15" t="s">
        <v>1577</v>
      </c>
      <c r="F5273" s="15" t="s">
        <v>1578</v>
      </c>
      <c r="G5273" s="7">
        <v>2.732</v>
      </c>
      <c r="H5273" s="15" t="s">
        <v>2300</v>
      </c>
      <c r="I5273" s="15" t="s">
        <v>1706</v>
      </c>
      <c r="J5273" s="15" t="s">
        <v>20516</v>
      </c>
      <c r="K5273" s="15">
        <v>2.0</v>
      </c>
      <c r="L5273" s="15">
        <v>2.0</v>
      </c>
      <c r="M5273" s="40">
        <v>42431.0</v>
      </c>
      <c r="N5273" s="40">
        <v>42438.0</v>
      </c>
      <c r="O5273" s="15" t="s">
        <v>1554</v>
      </c>
      <c r="Q5273" s="7"/>
    </row>
    <row r="5274">
      <c r="A5274" s="39" t="s">
        <v>20518</v>
      </c>
      <c r="B5274" s="15">
        <v>1685775.0</v>
      </c>
      <c r="C5274" s="15" t="s">
        <v>20519</v>
      </c>
      <c r="D5274" s="15">
        <v>314658.0</v>
      </c>
      <c r="E5274" s="15" t="s">
        <v>1577</v>
      </c>
      <c r="F5274" s="15" t="s">
        <v>1578</v>
      </c>
      <c r="G5274" s="7">
        <v>1.912</v>
      </c>
      <c r="H5274" s="15">
        <v>51.0</v>
      </c>
      <c r="I5274" s="15" t="s">
        <v>1706</v>
      </c>
      <c r="J5274" s="15" t="s">
        <v>20520</v>
      </c>
      <c r="K5274" s="15">
        <v>2.0</v>
      </c>
      <c r="L5274" s="15">
        <v>2.0</v>
      </c>
      <c r="M5274" s="40">
        <v>42431.0</v>
      </c>
      <c r="N5274" s="40">
        <v>42438.0</v>
      </c>
      <c r="O5274" s="15" t="s">
        <v>1554</v>
      </c>
      <c r="Q5274" s="7"/>
    </row>
    <row r="5275">
      <c r="A5275" s="39" t="s">
        <v>20521</v>
      </c>
      <c r="B5275" s="15">
        <v>1685774.0</v>
      </c>
      <c r="C5275" s="15" t="s">
        <v>20522</v>
      </c>
      <c r="D5275" s="15">
        <v>314659.0</v>
      </c>
      <c r="E5275" s="15" t="s">
        <v>1577</v>
      </c>
      <c r="F5275" s="15" t="s">
        <v>1578</v>
      </c>
      <c r="G5275" s="7">
        <v>2.903</v>
      </c>
      <c r="H5275" s="15" t="s">
        <v>2686</v>
      </c>
      <c r="I5275" s="15" t="s">
        <v>1706</v>
      </c>
      <c r="J5275" s="15" t="s">
        <v>20523</v>
      </c>
      <c r="K5275" s="15">
        <v>2.0</v>
      </c>
      <c r="L5275" s="15">
        <v>2.0</v>
      </c>
      <c r="M5275" s="40">
        <v>42431.0</v>
      </c>
      <c r="N5275" s="40">
        <v>42438.0</v>
      </c>
      <c r="O5275" s="15" t="s">
        <v>1554</v>
      </c>
      <c r="Q5275" s="7"/>
    </row>
    <row r="5276">
      <c r="A5276" s="39" t="s">
        <v>20524</v>
      </c>
      <c r="B5276" s="15">
        <v>1685773.0</v>
      </c>
      <c r="C5276" s="15" t="s">
        <v>20525</v>
      </c>
      <c r="D5276" s="15">
        <v>314660.0</v>
      </c>
      <c r="E5276" s="15" t="s">
        <v>1577</v>
      </c>
      <c r="F5276" s="15" t="s">
        <v>1578</v>
      </c>
      <c r="G5276" s="7">
        <v>3.91</v>
      </c>
      <c r="H5276" s="15" t="s">
        <v>2197</v>
      </c>
      <c r="I5276" s="15" t="s">
        <v>1706</v>
      </c>
      <c r="J5276" s="15" t="s">
        <v>20526</v>
      </c>
      <c r="K5276" s="15">
        <v>2.0</v>
      </c>
      <c r="L5276" s="15">
        <v>2.0</v>
      </c>
      <c r="M5276" s="40">
        <v>42431.0</v>
      </c>
      <c r="N5276" s="40">
        <v>42438.0</v>
      </c>
      <c r="O5276" s="15" t="s">
        <v>1554</v>
      </c>
      <c r="Q5276" s="7"/>
    </row>
    <row r="5277">
      <c r="A5277" s="39" t="s">
        <v>20528</v>
      </c>
      <c r="B5277" s="15">
        <v>1685772.0</v>
      </c>
      <c r="C5277" s="15" t="s">
        <v>20529</v>
      </c>
      <c r="D5277" s="15">
        <v>314661.0</v>
      </c>
      <c r="E5277" s="15" t="s">
        <v>1577</v>
      </c>
      <c r="F5277" s="15" t="s">
        <v>1578</v>
      </c>
      <c r="G5277" s="7">
        <v>2.999</v>
      </c>
      <c r="H5277" s="15" t="s">
        <v>4606</v>
      </c>
      <c r="I5277" s="15" t="s">
        <v>1706</v>
      </c>
      <c r="J5277" s="15" t="s">
        <v>20530</v>
      </c>
      <c r="K5277" s="15">
        <v>2.0</v>
      </c>
      <c r="L5277" s="15">
        <v>2.0</v>
      </c>
      <c r="M5277" s="40">
        <v>42431.0</v>
      </c>
      <c r="N5277" s="40">
        <v>42438.0</v>
      </c>
      <c r="O5277" s="15" t="s">
        <v>1554</v>
      </c>
      <c r="Q5277" s="7"/>
    </row>
    <row r="5278">
      <c r="A5278" s="39" t="s">
        <v>20531</v>
      </c>
      <c r="B5278" s="15">
        <v>1685771.0</v>
      </c>
      <c r="C5278" s="15" t="s">
        <v>20532</v>
      </c>
      <c r="D5278" s="15">
        <v>314662.0</v>
      </c>
      <c r="E5278" s="15" t="s">
        <v>1577</v>
      </c>
      <c r="F5278" s="15" t="s">
        <v>1578</v>
      </c>
      <c r="G5278" s="7">
        <v>3.049</v>
      </c>
      <c r="H5278" s="15" t="s">
        <v>3255</v>
      </c>
      <c r="I5278" s="15" t="s">
        <v>1706</v>
      </c>
      <c r="J5278" s="15" t="s">
        <v>20533</v>
      </c>
      <c r="K5278" s="15">
        <v>2.0</v>
      </c>
      <c r="L5278" s="15">
        <v>2.0</v>
      </c>
      <c r="M5278" s="40">
        <v>42431.0</v>
      </c>
      <c r="N5278" s="40">
        <v>42438.0</v>
      </c>
      <c r="O5278" s="15" t="s">
        <v>1554</v>
      </c>
      <c r="Q5278" s="7"/>
    </row>
    <row r="5279">
      <c r="A5279" s="39" t="s">
        <v>20535</v>
      </c>
      <c r="B5279" s="15">
        <v>1685770.0</v>
      </c>
      <c r="C5279" s="15" t="s">
        <v>20536</v>
      </c>
      <c r="D5279" s="15">
        <v>314663.0</v>
      </c>
      <c r="E5279" s="15" t="s">
        <v>1577</v>
      </c>
      <c r="F5279" s="15" t="s">
        <v>1578</v>
      </c>
      <c r="G5279" s="7">
        <v>3.091</v>
      </c>
      <c r="H5279" s="15" t="s">
        <v>3653</v>
      </c>
      <c r="I5279" s="15" t="s">
        <v>1706</v>
      </c>
      <c r="J5279" s="15" t="s">
        <v>20537</v>
      </c>
      <c r="K5279" s="15">
        <v>2.0</v>
      </c>
      <c r="L5279" s="15">
        <v>2.0</v>
      </c>
      <c r="M5279" s="40">
        <v>42431.0</v>
      </c>
      <c r="N5279" s="40">
        <v>42438.0</v>
      </c>
      <c r="O5279" s="15" t="s">
        <v>1554</v>
      </c>
      <c r="Q5279" s="7"/>
    </row>
    <row r="5280">
      <c r="A5280" s="39" t="s">
        <v>20538</v>
      </c>
      <c r="B5280" s="15">
        <v>1685769.0</v>
      </c>
      <c r="C5280" s="15" t="s">
        <v>20539</v>
      </c>
      <c r="D5280" s="15">
        <v>314664.0</v>
      </c>
      <c r="E5280" s="15" t="s">
        <v>1577</v>
      </c>
      <c r="F5280" s="15" t="s">
        <v>1578</v>
      </c>
      <c r="G5280" s="7">
        <v>2.746</v>
      </c>
      <c r="H5280" s="15" t="s">
        <v>1772</v>
      </c>
      <c r="I5280" s="15" t="s">
        <v>1706</v>
      </c>
      <c r="J5280" s="15" t="s">
        <v>20540</v>
      </c>
      <c r="K5280" s="15">
        <v>2.0</v>
      </c>
      <c r="L5280" s="15">
        <v>2.0</v>
      </c>
      <c r="M5280" s="40">
        <v>42431.0</v>
      </c>
      <c r="N5280" s="40">
        <v>42438.0</v>
      </c>
      <c r="O5280" s="15" t="s">
        <v>1554</v>
      </c>
      <c r="Q5280" s="7"/>
    </row>
    <row r="5281">
      <c r="A5281" s="39" t="s">
        <v>20541</v>
      </c>
      <c r="B5281" s="15">
        <v>1685768.0</v>
      </c>
      <c r="C5281" s="15" t="s">
        <v>20543</v>
      </c>
      <c r="D5281" s="15">
        <v>314665.0</v>
      </c>
      <c r="E5281" s="15" t="s">
        <v>1577</v>
      </c>
      <c r="F5281" s="15" t="s">
        <v>1578</v>
      </c>
      <c r="G5281" s="7">
        <v>1.709</v>
      </c>
      <c r="H5281" s="15" t="s">
        <v>3097</v>
      </c>
      <c r="I5281" s="15" t="s">
        <v>1706</v>
      </c>
      <c r="J5281" s="15" t="s">
        <v>20544</v>
      </c>
      <c r="K5281" s="15">
        <v>2.0</v>
      </c>
      <c r="L5281" s="15">
        <v>2.0</v>
      </c>
      <c r="M5281" s="40">
        <v>42431.0</v>
      </c>
      <c r="N5281" s="40">
        <v>42438.0</v>
      </c>
      <c r="O5281" s="15" t="s">
        <v>1554</v>
      </c>
      <c r="Q5281" s="7"/>
    </row>
    <row r="5282">
      <c r="A5282" s="39" t="s">
        <v>20545</v>
      </c>
      <c r="B5282" s="15">
        <v>1685767.0</v>
      </c>
      <c r="C5282" s="15" t="s">
        <v>20546</v>
      </c>
      <c r="D5282" s="15">
        <v>314666.0</v>
      </c>
      <c r="E5282" s="15" t="s">
        <v>1577</v>
      </c>
      <c r="F5282" s="15" t="s">
        <v>1578</v>
      </c>
      <c r="G5282" s="7">
        <v>3.208</v>
      </c>
      <c r="H5282" s="15" t="s">
        <v>2668</v>
      </c>
      <c r="I5282" s="15" t="s">
        <v>1706</v>
      </c>
      <c r="J5282" s="15" t="s">
        <v>20547</v>
      </c>
      <c r="K5282" s="15">
        <v>2.0</v>
      </c>
      <c r="L5282" s="15">
        <v>2.0</v>
      </c>
      <c r="M5282" s="40">
        <v>42431.0</v>
      </c>
      <c r="N5282" s="40">
        <v>42438.0</v>
      </c>
      <c r="O5282" s="15" t="s">
        <v>1554</v>
      </c>
      <c r="Q5282" s="7"/>
    </row>
    <row r="5283">
      <c r="A5283" s="39" t="s">
        <v>20548</v>
      </c>
      <c r="B5283" s="15">
        <v>1685766.0</v>
      </c>
      <c r="C5283" s="15" t="s">
        <v>20549</v>
      </c>
      <c r="D5283" s="15">
        <v>314667.0</v>
      </c>
      <c r="E5283" s="15" t="s">
        <v>1577</v>
      </c>
      <c r="F5283" s="15" t="s">
        <v>1578</v>
      </c>
      <c r="G5283" s="7">
        <v>3.531</v>
      </c>
      <c r="H5283" s="15">
        <v>44.0</v>
      </c>
      <c r="I5283" s="15" t="s">
        <v>1706</v>
      </c>
      <c r="J5283" s="15" t="s">
        <v>20550</v>
      </c>
      <c r="K5283" s="15">
        <v>2.0</v>
      </c>
      <c r="L5283" s="15">
        <v>2.0</v>
      </c>
      <c r="M5283" s="40">
        <v>42431.0</v>
      </c>
      <c r="N5283" s="40">
        <v>42438.0</v>
      </c>
      <c r="O5283" s="15" t="s">
        <v>1554</v>
      </c>
      <c r="Q5283" s="7"/>
    </row>
    <row r="5284">
      <c r="A5284" s="39" t="s">
        <v>20552</v>
      </c>
      <c r="B5284" s="15">
        <v>1685765.0</v>
      </c>
      <c r="C5284" s="15" t="s">
        <v>20553</v>
      </c>
      <c r="D5284" s="15">
        <v>314668.0</v>
      </c>
      <c r="E5284" s="15" t="s">
        <v>1577</v>
      </c>
      <c r="F5284" s="15" t="s">
        <v>1578</v>
      </c>
      <c r="G5284" s="7">
        <v>1.677</v>
      </c>
      <c r="H5284" s="15" t="s">
        <v>1714</v>
      </c>
      <c r="I5284" s="15" t="s">
        <v>1706</v>
      </c>
      <c r="J5284" s="15" t="s">
        <v>20554</v>
      </c>
      <c r="K5284" s="15">
        <v>2.0</v>
      </c>
      <c r="L5284" s="15">
        <v>2.0</v>
      </c>
      <c r="M5284" s="40">
        <v>42431.0</v>
      </c>
      <c r="N5284" s="40">
        <v>42438.0</v>
      </c>
      <c r="O5284" s="15" t="s">
        <v>1554</v>
      </c>
      <c r="Q5284" s="7"/>
    </row>
    <row r="5285">
      <c r="A5285" s="39" t="s">
        <v>20555</v>
      </c>
      <c r="B5285" s="15">
        <v>1685764.0</v>
      </c>
      <c r="C5285" s="15" t="s">
        <v>20556</v>
      </c>
      <c r="D5285" s="15">
        <v>314669.0</v>
      </c>
      <c r="E5285" s="15" t="s">
        <v>1577</v>
      </c>
      <c r="F5285" s="15" t="s">
        <v>1578</v>
      </c>
      <c r="G5285" s="7">
        <v>2.023</v>
      </c>
      <c r="H5285" s="15" t="s">
        <v>1591</v>
      </c>
      <c r="I5285" s="15" t="s">
        <v>1706</v>
      </c>
      <c r="J5285" s="15" t="s">
        <v>20557</v>
      </c>
      <c r="K5285" s="15">
        <v>2.0</v>
      </c>
      <c r="L5285" s="15">
        <v>2.0</v>
      </c>
      <c r="M5285" s="40">
        <v>42431.0</v>
      </c>
      <c r="N5285" s="40">
        <v>42438.0</v>
      </c>
      <c r="O5285" s="15" t="s">
        <v>1554</v>
      </c>
      <c r="Q5285" s="7"/>
    </row>
    <row r="5286">
      <c r="A5286" s="39" t="s">
        <v>20558</v>
      </c>
      <c r="B5286" s="15">
        <v>1685763.0</v>
      </c>
      <c r="C5286" s="15" t="s">
        <v>20559</v>
      </c>
      <c r="D5286" s="15">
        <v>314670.0</v>
      </c>
      <c r="E5286" s="15" t="s">
        <v>1577</v>
      </c>
      <c r="F5286" s="15" t="s">
        <v>1578</v>
      </c>
      <c r="G5286" s="7">
        <v>3.481</v>
      </c>
      <c r="H5286" s="15" t="s">
        <v>3823</v>
      </c>
      <c r="I5286" s="15" t="s">
        <v>1706</v>
      </c>
      <c r="J5286" s="15" t="s">
        <v>20560</v>
      </c>
      <c r="K5286" s="15">
        <v>2.0</v>
      </c>
      <c r="L5286" s="15">
        <v>2.0</v>
      </c>
      <c r="M5286" s="40">
        <v>42431.0</v>
      </c>
      <c r="N5286" s="40">
        <v>42438.0</v>
      </c>
      <c r="O5286" s="15" t="s">
        <v>1554</v>
      </c>
      <c r="Q5286" s="7"/>
    </row>
    <row r="5287">
      <c r="A5287" s="39" t="s">
        <v>20561</v>
      </c>
      <c r="B5287" s="15">
        <v>1685762.0</v>
      </c>
      <c r="C5287" s="15" t="s">
        <v>20562</v>
      </c>
      <c r="D5287" s="15">
        <v>314671.0</v>
      </c>
      <c r="E5287" s="15" t="s">
        <v>1577</v>
      </c>
      <c r="F5287" s="15" t="s">
        <v>1578</v>
      </c>
      <c r="G5287" s="7">
        <v>2.164</v>
      </c>
      <c r="H5287" s="15" t="s">
        <v>3097</v>
      </c>
      <c r="I5287" s="15" t="s">
        <v>1706</v>
      </c>
      <c r="J5287" s="15" t="s">
        <v>20564</v>
      </c>
      <c r="K5287" s="15">
        <v>2.0</v>
      </c>
      <c r="L5287" s="15">
        <v>2.0</v>
      </c>
      <c r="M5287" s="40">
        <v>42431.0</v>
      </c>
      <c r="N5287" s="40">
        <v>42438.0</v>
      </c>
      <c r="O5287" s="15" t="s">
        <v>1554</v>
      </c>
      <c r="Q5287" s="7"/>
    </row>
    <row r="5288">
      <c r="A5288" s="39" t="s">
        <v>20565</v>
      </c>
      <c r="B5288" s="15">
        <v>1685761.0</v>
      </c>
      <c r="C5288" s="15" t="s">
        <v>20566</v>
      </c>
      <c r="D5288" s="15">
        <v>314672.0</v>
      </c>
      <c r="E5288" s="15" t="s">
        <v>1577</v>
      </c>
      <c r="F5288" s="15" t="s">
        <v>1578</v>
      </c>
      <c r="G5288" s="7">
        <v>2.191</v>
      </c>
      <c r="H5288" s="15" t="s">
        <v>2648</v>
      </c>
      <c r="I5288" s="15" t="s">
        <v>1706</v>
      </c>
      <c r="J5288" s="15" t="s">
        <v>20567</v>
      </c>
      <c r="K5288" s="15">
        <v>2.0</v>
      </c>
      <c r="L5288" s="15">
        <v>2.0</v>
      </c>
      <c r="M5288" s="40">
        <v>42431.0</v>
      </c>
      <c r="N5288" s="40">
        <v>42438.0</v>
      </c>
      <c r="O5288" s="15" t="s">
        <v>1554</v>
      </c>
      <c r="Q5288" s="7"/>
    </row>
    <row r="5289">
      <c r="A5289" s="39" t="s">
        <v>20568</v>
      </c>
      <c r="B5289" s="15">
        <v>1685760.0</v>
      </c>
      <c r="C5289" s="15" t="s">
        <v>20569</v>
      </c>
      <c r="D5289" s="15">
        <v>314673.0</v>
      </c>
      <c r="E5289" s="15" t="s">
        <v>1577</v>
      </c>
      <c r="F5289" s="15" t="s">
        <v>1578</v>
      </c>
      <c r="G5289" s="7">
        <v>2.546</v>
      </c>
      <c r="H5289" s="15" t="s">
        <v>2981</v>
      </c>
      <c r="I5289" s="15" t="s">
        <v>1706</v>
      </c>
      <c r="J5289" s="15" t="s">
        <v>20570</v>
      </c>
      <c r="K5289" s="15">
        <v>2.0</v>
      </c>
      <c r="L5289" s="15">
        <v>2.0</v>
      </c>
      <c r="M5289" s="40">
        <v>42431.0</v>
      </c>
      <c r="N5289" s="40">
        <v>42438.0</v>
      </c>
      <c r="O5289" s="15" t="s">
        <v>1554</v>
      </c>
      <c r="Q5289" s="7"/>
    </row>
    <row r="5290">
      <c r="A5290" s="39" t="s">
        <v>20571</v>
      </c>
      <c r="B5290" s="15">
        <v>1804153.0</v>
      </c>
      <c r="C5290" s="15" t="s">
        <v>20572</v>
      </c>
      <c r="D5290" s="15">
        <v>313224.0</v>
      </c>
      <c r="E5290" s="15" t="s">
        <v>1577</v>
      </c>
      <c r="F5290" s="15" t="s">
        <v>1578</v>
      </c>
      <c r="G5290" s="7">
        <v>8.66</v>
      </c>
      <c r="H5290" s="15" t="s">
        <v>1591</v>
      </c>
      <c r="I5290" s="15" t="s">
        <v>1706</v>
      </c>
      <c r="J5290" s="15" t="s">
        <v>20574</v>
      </c>
      <c r="K5290" s="15">
        <v>2.0</v>
      </c>
      <c r="L5290" s="15">
        <v>2.0</v>
      </c>
      <c r="M5290" s="40">
        <v>42424.0</v>
      </c>
      <c r="N5290" s="40">
        <v>42426.0</v>
      </c>
      <c r="O5290" s="15" t="s">
        <v>1554</v>
      </c>
      <c r="Q5290" s="7"/>
    </row>
    <row r="5291">
      <c r="A5291" s="39" t="s">
        <v>20575</v>
      </c>
      <c r="B5291" s="15">
        <v>481315.0</v>
      </c>
      <c r="C5291" s="15" t="s">
        <v>20576</v>
      </c>
      <c r="D5291" s="15">
        <v>313525.0</v>
      </c>
      <c r="E5291" s="15" t="s">
        <v>1557</v>
      </c>
      <c r="F5291" s="15" t="s">
        <v>1827</v>
      </c>
      <c r="G5291" s="7">
        <v>124.049</v>
      </c>
      <c r="H5291" s="15" t="s">
        <v>2400</v>
      </c>
      <c r="I5291" s="15" t="s">
        <v>1686</v>
      </c>
      <c r="J5291" s="15" t="s">
        <v>20577</v>
      </c>
      <c r="K5291" s="15">
        <v>79.0</v>
      </c>
      <c r="L5291" s="15">
        <v>79.0</v>
      </c>
      <c r="M5291" s="40">
        <v>41163.0</v>
      </c>
      <c r="N5291" s="40">
        <v>42430.0</v>
      </c>
      <c r="O5291" s="15" t="s">
        <v>1554</v>
      </c>
      <c r="Q5291" s="7"/>
    </row>
    <row r="5292">
      <c r="A5292" s="39" t="s">
        <v>20578</v>
      </c>
      <c r="B5292" s="15">
        <v>1804155.0</v>
      </c>
      <c r="C5292" s="15" t="s">
        <v>20579</v>
      </c>
      <c r="D5292" s="15">
        <v>313403.0</v>
      </c>
      <c r="E5292" s="15" t="s">
        <v>1577</v>
      </c>
      <c r="F5292" s="15" t="s">
        <v>1578</v>
      </c>
      <c r="G5292" s="7">
        <v>7.047</v>
      </c>
      <c r="H5292" s="15" t="s">
        <v>2197</v>
      </c>
      <c r="I5292" s="15" t="s">
        <v>1706</v>
      </c>
      <c r="J5292" s="15" t="s">
        <v>20581</v>
      </c>
      <c r="K5292" s="15">
        <v>2.0</v>
      </c>
      <c r="L5292" s="15">
        <v>2.0</v>
      </c>
      <c r="M5292" s="40">
        <v>42424.0</v>
      </c>
      <c r="N5292" s="40">
        <v>42430.0</v>
      </c>
      <c r="O5292" s="15" t="s">
        <v>1554</v>
      </c>
      <c r="Q5292" s="7"/>
    </row>
    <row r="5293">
      <c r="A5293" s="39" t="s">
        <v>20582</v>
      </c>
      <c r="B5293" s="15">
        <v>1765754.0</v>
      </c>
      <c r="C5293" s="15" t="s">
        <v>20583</v>
      </c>
      <c r="D5293" s="15">
        <v>313549.0</v>
      </c>
      <c r="E5293" s="15" t="s">
        <v>1638</v>
      </c>
      <c r="F5293" s="15" t="s">
        <v>1639</v>
      </c>
      <c r="G5293" s="7">
        <v>5.713</v>
      </c>
      <c r="H5293" s="15" t="s">
        <v>3973</v>
      </c>
      <c r="I5293" s="15" t="s">
        <v>1740</v>
      </c>
      <c r="J5293" s="15" t="s">
        <v>20584</v>
      </c>
      <c r="K5293" s="15">
        <v>2.0</v>
      </c>
      <c r="L5293" s="15">
        <v>2.0</v>
      </c>
      <c r="M5293" s="40">
        <v>42420.0</v>
      </c>
      <c r="N5293" s="40">
        <v>42430.0</v>
      </c>
      <c r="O5293" s="15" t="s">
        <v>1554</v>
      </c>
      <c r="Q5293" s="7"/>
    </row>
    <row r="5294">
      <c r="A5294" s="39" t="s">
        <v>20585</v>
      </c>
      <c r="B5294" s="15">
        <v>1797140.0</v>
      </c>
      <c r="C5294" s="15" t="s">
        <v>20586</v>
      </c>
      <c r="D5294" s="15">
        <v>313553.0</v>
      </c>
      <c r="E5294" s="15" t="s">
        <v>1557</v>
      </c>
      <c r="F5294" s="15" t="s">
        <v>6500</v>
      </c>
      <c r="G5294" s="7">
        <v>70.812</v>
      </c>
      <c r="H5294" s="15" t="s">
        <v>2699</v>
      </c>
      <c r="I5294" s="15" t="s">
        <v>1618</v>
      </c>
      <c r="J5294" s="15" t="s">
        <v>20587</v>
      </c>
      <c r="K5294" s="15">
        <v>95.0</v>
      </c>
      <c r="L5294" s="15">
        <v>95.0</v>
      </c>
      <c r="M5294" s="40">
        <v>42415.0</v>
      </c>
      <c r="N5294" s="40">
        <v>42430.0</v>
      </c>
      <c r="O5294" s="15" t="s">
        <v>1554</v>
      </c>
      <c r="Q5294" s="7"/>
    </row>
    <row r="5295">
      <c r="A5295" s="39" t="s">
        <v>20589</v>
      </c>
      <c r="B5295" s="15">
        <v>1804157.0</v>
      </c>
      <c r="C5295" s="15" t="s">
        <v>20590</v>
      </c>
      <c r="D5295" s="15">
        <v>313445.0</v>
      </c>
      <c r="E5295" s="15" t="s">
        <v>1577</v>
      </c>
      <c r="F5295" s="15" t="s">
        <v>1578</v>
      </c>
      <c r="G5295" s="7">
        <v>8.187</v>
      </c>
      <c r="H5295" s="15" t="s">
        <v>2484</v>
      </c>
      <c r="I5295" s="15" t="s">
        <v>1706</v>
      </c>
      <c r="J5295" s="15" t="s">
        <v>20591</v>
      </c>
      <c r="K5295" s="15">
        <v>2.0</v>
      </c>
      <c r="L5295" s="15">
        <v>2.0</v>
      </c>
      <c r="M5295" s="40">
        <v>42424.0</v>
      </c>
      <c r="N5295" s="40">
        <v>42430.0</v>
      </c>
      <c r="O5295" s="15" t="s">
        <v>1554</v>
      </c>
      <c r="Q5295" s="7"/>
    </row>
    <row r="5296">
      <c r="A5296" s="39" t="s">
        <v>20592</v>
      </c>
      <c r="B5296" s="15">
        <v>1804154.0</v>
      </c>
      <c r="C5296" s="15" t="s">
        <v>20593</v>
      </c>
      <c r="D5296" s="15">
        <v>313306.0</v>
      </c>
      <c r="E5296" s="15" t="s">
        <v>1577</v>
      </c>
      <c r="F5296" s="15" t="s">
        <v>1578</v>
      </c>
      <c r="G5296" s="7">
        <v>7.897</v>
      </c>
      <c r="H5296" s="15" t="s">
        <v>1849</v>
      </c>
      <c r="I5296" s="15" t="s">
        <v>1706</v>
      </c>
      <c r="J5296" s="15" t="s">
        <v>20594</v>
      </c>
      <c r="K5296" s="15">
        <v>2.0</v>
      </c>
      <c r="L5296" s="15">
        <v>2.0</v>
      </c>
      <c r="M5296" s="40">
        <v>42424.0</v>
      </c>
      <c r="N5296" s="40">
        <v>42430.0</v>
      </c>
      <c r="O5296" s="15" t="s">
        <v>1554</v>
      </c>
      <c r="Q5296" s="7"/>
    </row>
    <row r="5297">
      <c r="A5297" s="39" t="s">
        <v>20595</v>
      </c>
      <c r="B5297" s="15">
        <v>1804156.0</v>
      </c>
      <c r="C5297" s="15" t="s">
        <v>20596</v>
      </c>
      <c r="D5297" s="15">
        <v>313446.0</v>
      </c>
      <c r="E5297" s="15" t="s">
        <v>1577</v>
      </c>
      <c r="F5297" s="15" t="s">
        <v>1578</v>
      </c>
      <c r="G5297" s="7">
        <v>6.36</v>
      </c>
      <c r="H5297" s="15" t="s">
        <v>2005</v>
      </c>
      <c r="I5297" s="15" t="s">
        <v>1706</v>
      </c>
      <c r="J5297" s="15" t="s">
        <v>20598</v>
      </c>
      <c r="K5297" s="15">
        <v>2.0</v>
      </c>
      <c r="L5297" s="15">
        <v>2.0</v>
      </c>
      <c r="M5297" s="40">
        <v>42424.0</v>
      </c>
      <c r="N5297" s="40">
        <v>42430.0</v>
      </c>
      <c r="O5297" s="15" t="s">
        <v>1554</v>
      </c>
      <c r="Q5297" s="7"/>
    </row>
    <row r="5298">
      <c r="A5298" s="39" t="s">
        <v>20599</v>
      </c>
      <c r="B5298" s="15">
        <v>1732175.0</v>
      </c>
      <c r="C5298" s="15" t="s">
        <v>20600</v>
      </c>
      <c r="D5298" s="15">
        <v>313551.0</v>
      </c>
      <c r="E5298" s="15" t="s">
        <v>1557</v>
      </c>
      <c r="F5298" s="15" t="s">
        <v>6215</v>
      </c>
      <c r="G5298" s="7">
        <v>29.763</v>
      </c>
      <c r="H5298" s="15" t="s">
        <v>17858</v>
      </c>
      <c r="I5298" s="15" t="s">
        <v>1618</v>
      </c>
      <c r="J5298" s="15" t="s">
        <v>20601</v>
      </c>
      <c r="K5298" s="15">
        <v>43.0</v>
      </c>
      <c r="L5298" s="15">
        <v>43.0</v>
      </c>
      <c r="M5298" s="40">
        <v>42279.0</v>
      </c>
      <c r="N5298" s="40">
        <v>42430.0</v>
      </c>
      <c r="O5298" s="15" t="s">
        <v>1554</v>
      </c>
      <c r="Q5298" s="7"/>
    </row>
    <row r="5299">
      <c r="A5299" s="39" t="s">
        <v>20602</v>
      </c>
      <c r="B5299" s="15">
        <v>1884917.0</v>
      </c>
      <c r="C5299" s="15" t="s">
        <v>20603</v>
      </c>
      <c r="D5299" s="15">
        <v>314778.0</v>
      </c>
      <c r="E5299" s="15" t="s">
        <v>1548</v>
      </c>
      <c r="F5299" s="15" t="s">
        <v>18494</v>
      </c>
      <c r="G5299" s="7">
        <v>8.904</v>
      </c>
      <c r="H5299" s="15" t="s">
        <v>2820</v>
      </c>
      <c r="I5299" s="15" t="s">
        <v>1686</v>
      </c>
      <c r="J5299" s="15" t="s">
        <v>20604</v>
      </c>
      <c r="K5299" s="15">
        <v>6.0</v>
      </c>
      <c r="L5299" s="15">
        <v>6.0</v>
      </c>
      <c r="M5299" s="40">
        <v>41868.0</v>
      </c>
      <c r="N5299" s="40">
        <v>42599.0</v>
      </c>
      <c r="O5299" s="15" t="s">
        <v>1554</v>
      </c>
      <c r="Q5299" s="7"/>
    </row>
    <row r="5300">
      <c r="A5300" s="39" t="s">
        <v>20605</v>
      </c>
      <c r="B5300" s="15">
        <v>674996.0</v>
      </c>
      <c r="C5300" s="15" t="s">
        <v>20606</v>
      </c>
      <c r="D5300" s="15">
        <v>315216.0</v>
      </c>
      <c r="E5300" s="15" t="s">
        <v>1808</v>
      </c>
      <c r="F5300" s="15" t="s">
        <v>1809</v>
      </c>
      <c r="G5300" s="7">
        <v>2.748</v>
      </c>
      <c r="H5300" s="15" t="s">
        <v>1685</v>
      </c>
      <c r="I5300" s="15" t="s">
        <v>1628</v>
      </c>
      <c r="J5300" s="15" t="s">
        <v>20607</v>
      </c>
      <c r="K5300" s="15">
        <v>6.0</v>
      </c>
      <c r="L5300" s="15">
        <v>6.0</v>
      </c>
      <c r="M5300" s="40">
        <v>40185.0</v>
      </c>
      <c r="N5300" s="40">
        <v>42444.0</v>
      </c>
      <c r="O5300" s="15" t="s">
        <v>1554</v>
      </c>
      <c r="Q5300" s="7"/>
    </row>
    <row r="5301">
      <c r="A5301" s="39" t="s">
        <v>20608</v>
      </c>
      <c r="B5301" s="15">
        <v>12127.0</v>
      </c>
      <c r="C5301" s="15" t="s">
        <v>20609</v>
      </c>
      <c r="D5301" s="15">
        <v>15292.0</v>
      </c>
      <c r="E5301" s="15" t="s">
        <v>1548</v>
      </c>
      <c r="F5301" s="15" t="s">
        <v>1776</v>
      </c>
      <c r="G5301" s="7">
        <v>8.101</v>
      </c>
      <c r="H5301" s="15" t="s">
        <v>2000</v>
      </c>
      <c r="I5301" s="15" t="s">
        <v>1686</v>
      </c>
      <c r="J5301" s="15" t="s">
        <v>20610</v>
      </c>
      <c r="K5301" s="15">
        <v>3.0</v>
      </c>
      <c r="L5301" s="15">
        <v>3.0</v>
      </c>
      <c r="M5301" s="41">
        <v>33191.0</v>
      </c>
      <c r="N5301" s="41">
        <v>42307.0</v>
      </c>
      <c r="O5301" s="15" t="s">
        <v>1554</v>
      </c>
      <c r="Q5301" s="7"/>
    </row>
    <row r="5302">
      <c r="A5302" s="39" t="s">
        <v>20611</v>
      </c>
      <c r="B5302" s="15">
        <v>1809767.0</v>
      </c>
      <c r="C5302" s="15" t="s">
        <v>20612</v>
      </c>
      <c r="D5302" s="15">
        <v>316117.0</v>
      </c>
      <c r="E5302" s="15" t="s">
        <v>1548</v>
      </c>
      <c r="F5302" s="15" t="s">
        <v>1771</v>
      </c>
      <c r="G5302" s="7">
        <v>6.017</v>
      </c>
      <c r="H5302" s="15">
        <v>49.0</v>
      </c>
      <c r="I5302" s="15" t="s">
        <v>1628</v>
      </c>
      <c r="J5302" s="15" t="s">
        <v>20613</v>
      </c>
      <c r="K5302" s="15">
        <v>6.0</v>
      </c>
      <c r="L5302" s="15">
        <v>6.0</v>
      </c>
      <c r="M5302" s="40">
        <v>42449.0</v>
      </c>
      <c r="N5302" s="40">
        <v>42457.0</v>
      </c>
      <c r="O5302" s="15" t="s">
        <v>1554</v>
      </c>
      <c r="Q5302" s="7"/>
    </row>
    <row r="5303">
      <c r="A5303" s="39" t="s">
        <v>20615</v>
      </c>
      <c r="B5303" s="15">
        <v>1813599.0</v>
      </c>
      <c r="C5303" s="15" t="s">
        <v>20616</v>
      </c>
      <c r="D5303" s="15">
        <v>316309.0</v>
      </c>
      <c r="E5303" s="15" t="s">
        <v>1557</v>
      </c>
      <c r="F5303" s="15" t="s">
        <v>1982</v>
      </c>
      <c r="G5303" s="7">
        <v>362.276</v>
      </c>
      <c r="H5303" s="15" t="s">
        <v>1685</v>
      </c>
      <c r="I5303" s="15" t="s">
        <v>1740</v>
      </c>
      <c r="J5303" s="15" t="s">
        <v>20617</v>
      </c>
      <c r="K5303" s="15">
        <v>491.0</v>
      </c>
      <c r="L5303" s="15">
        <v>491.0</v>
      </c>
      <c r="M5303" s="40">
        <v>42448.0</v>
      </c>
      <c r="N5303" s="40">
        <v>42458.0</v>
      </c>
      <c r="O5303" s="15" t="s">
        <v>1554</v>
      </c>
      <c r="Q5303" s="7"/>
    </row>
    <row r="5304">
      <c r="A5304" s="39" t="s">
        <v>20618</v>
      </c>
      <c r="B5304" s="15">
        <v>1815581.0</v>
      </c>
      <c r="C5304" s="15" t="s">
        <v>20619</v>
      </c>
      <c r="D5304" s="15">
        <v>316821.0</v>
      </c>
      <c r="E5304" s="15" t="s">
        <v>1548</v>
      </c>
      <c r="F5304" s="15" t="s">
        <v>1790</v>
      </c>
      <c r="G5304" s="7">
        <v>17.608</v>
      </c>
      <c r="H5304" s="15" t="s">
        <v>1828</v>
      </c>
      <c r="I5304" s="15" t="s">
        <v>1628</v>
      </c>
      <c r="J5304" s="15" t="s">
        <v>20620</v>
      </c>
      <c r="K5304" s="15">
        <v>12.0</v>
      </c>
      <c r="L5304" s="15">
        <v>12.0</v>
      </c>
      <c r="M5304" s="40">
        <v>42454.0</v>
      </c>
      <c r="N5304" s="41">
        <v>42684.0</v>
      </c>
      <c r="O5304" s="15" t="s">
        <v>1554</v>
      </c>
      <c r="Q5304" s="7"/>
    </row>
    <row r="5305">
      <c r="A5305" s="39" t="s">
        <v>20621</v>
      </c>
      <c r="B5305" s="15">
        <v>1077832.0</v>
      </c>
      <c r="C5305" s="15" t="s">
        <v>20622</v>
      </c>
      <c r="D5305" s="15">
        <v>316823.0</v>
      </c>
      <c r="E5305" s="15" t="s">
        <v>1548</v>
      </c>
      <c r="F5305" s="15" t="s">
        <v>5261</v>
      </c>
      <c r="G5305" s="7">
        <v>2.984</v>
      </c>
      <c r="H5305" s="15" t="s">
        <v>3823</v>
      </c>
      <c r="I5305" s="15" t="s">
        <v>1552</v>
      </c>
      <c r="J5305" s="15" t="s">
        <v>20624</v>
      </c>
      <c r="K5305" s="15">
        <v>1.0</v>
      </c>
      <c r="L5305" s="15">
        <v>1.0</v>
      </c>
      <c r="M5305" s="40">
        <v>40783.0</v>
      </c>
      <c r="N5305" s="40">
        <v>42459.0</v>
      </c>
      <c r="O5305" s="15" t="s">
        <v>1554</v>
      </c>
      <c r="Q5305" s="7"/>
    </row>
    <row r="5306">
      <c r="A5306" s="39" t="s">
        <v>20625</v>
      </c>
      <c r="B5306" s="15">
        <v>1714272.0</v>
      </c>
      <c r="C5306" s="15" t="s">
        <v>20626</v>
      </c>
      <c r="D5306" s="15">
        <v>40235.0</v>
      </c>
      <c r="E5306" s="15" t="s">
        <v>1664</v>
      </c>
      <c r="F5306" s="15" t="s">
        <v>1665</v>
      </c>
      <c r="G5306" s="7">
        <v>17.036</v>
      </c>
      <c r="H5306" s="15">
        <v>68.0</v>
      </c>
      <c r="I5306" s="15" t="s">
        <v>1586</v>
      </c>
      <c r="J5306" s="15" t="s">
        <v>20627</v>
      </c>
      <c r="K5306" s="15">
        <v>37.0</v>
      </c>
      <c r="L5306" s="15">
        <v>37.0</v>
      </c>
      <c r="M5306" s="40">
        <v>40057.0</v>
      </c>
      <c r="N5306" s="40">
        <v>41029.0</v>
      </c>
      <c r="O5306" s="15" t="s">
        <v>1554</v>
      </c>
      <c r="Q5306" s="7"/>
    </row>
    <row r="5307">
      <c r="A5307" s="39" t="s">
        <v>20628</v>
      </c>
      <c r="B5307" s="15">
        <v>1755588.0</v>
      </c>
      <c r="C5307" s="15" t="s">
        <v>20629</v>
      </c>
      <c r="D5307" s="15">
        <v>242975.0</v>
      </c>
      <c r="E5307" s="15" t="s">
        <v>1548</v>
      </c>
      <c r="F5307" s="15" t="s">
        <v>1776</v>
      </c>
      <c r="G5307" s="7">
        <v>9.276</v>
      </c>
      <c r="H5307" s="15" t="s">
        <v>5663</v>
      </c>
      <c r="I5307" s="15" t="s">
        <v>1686</v>
      </c>
      <c r="J5307" s="15" t="s">
        <v>20630</v>
      </c>
      <c r="K5307" s="15">
        <v>1.0</v>
      </c>
      <c r="L5307" s="15">
        <v>1.0</v>
      </c>
      <c r="M5307" s="40">
        <v>41724.0</v>
      </c>
      <c r="N5307" s="40">
        <v>41949.0</v>
      </c>
      <c r="O5307" s="15" t="s">
        <v>1554</v>
      </c>
      <c r="Q5307" s="7"/>
    </row>
    <row r="5308">
      <c r="A5308" s="39" t="s">
        <v>20631</v>
      </c>
      <c r="B5308" s="15">
        <v>1054649.0</v>
      </c>
      <c r="C5308" s="15" t="s">
        <v>20632</v>
      </c>
      <c r="D5308" s="15">
        <v>288325.0</v>
      </c>
      <c r="E5308" s="15" t="s">
        <v>1638</v>
      </c>
      <c r="F5308" s="15" t="s">
        <v>1578</v>
      </c>
      <c r="G5308" s="7">
        <v>3.218</v>
      </c>
      <c r="H5308" s="15" t="s">
        <v>3468</v>
      </c>
      <c r="I5308" s="15" t="s">
        <v>1552</v>
      </c>
      <c r="J5308" s="15" t="s">
        <v>20634</v>
      </c>
      <c r="K5308" s="15">
        <v>2.0</v>
      </c>
      <c r="L5308" s="15">
        <v>2.0</v>
      </c>
      <c r="M5308" s="40">
        <v>42174.0</v>
      </c>
      <c r="N5308" s="40">
        <v>42236.0</v>
      </c>
      <c r="O5308" s="15" t="s">
        <v>1554</v>
      </c>
      <c r="Q5308" s="7"/>
    </row>
    <row r="5309">
      <c r="A5309" s="39" t="s">
        <v>20635</v>
      </c>
      <c r="B5309" s="15">
        <v>1823757.0</v>
      </c>
      <c r="C5309" s="15" t="s">
        <v>20636</v>
      </c>
      <c r="D5309" s="15">
        <v>310651.0</v>
      </c>
      <c r="E5309" s="15" t="s">
        <v>1548</v>
      </c>
      <c r="F5309" s="15" t="s">
        <v>4820</v>
      </c>
      <c r="G5309" s="7">
        <v>14.924</v>
      </c>
      <c r="H5309" s="15" t="s">
        <v>2189</v>
      </c>
      <c r="I5309" s="15" t="s">
        <v>1686</v>
      </c>
      <c r="J5309" s="15" t="s">
        <v>20637</v>
      </c>
      <c r="K5309" s="15">
        <v>14.0</v>
      </c>
      <c r="L5309" s="15">
        <v>14.0</v>
      </c>
      <c r="M5309" s="40">
        <v>42400.0</v>
      </c>
      <c r="N5309" s="40">
        <v>42404.0</v>
      </c>
      <c r="O5309" s="15" t="s">
        <v>1554</v>
      </c>
      <c r="Q5309" s="7"/>
    </row>
    <row r="5310">
      <c r="A5310" s="39" t="s">
        <v>20638</v>
      </c>
      <c r="B5310" s="15">
        <v>1756191.0</v>
      </c>
      <c r="C5310" s="15" t="s">
        <v>20639</v>
      </c>
      <c r="D5310" s="15">
        <v>317158.0</v>
      </c>
      <c r="E5310" s="15" t="s">
        <v>1808</v>
      </c>
      <c r="F5310" s="15" t="s">
        <v>2436</v>
      </c>
      <c r="G5310" s="7">
        <v>4.765</v>
      </c>
      <c r="H5310" s="15" t="s">
        <v>2640</v>
      </c>
      <c r="I5310" s="15" t="s">
        <v>1686</v>
      </c>
      <c r="J5310" s="15" t="s">
        <v>20640</v>
      </c>
      <c r="K5310" s="15">
        <v>3.0</v>
      </c>
      <c r="L5310" s="15">
        <v>3.0</v>
      </c>
      <c r="M5310" s="40">
        <v>42460.0</v>
      </c>
      <c r="N5310" s="40">
        <v>42498.0</v>
      </c>
      <c r="O5310" s="15" t="s">
        <v>1554</v>
      </c>
      <c r="Q5310" s="7"/>
    </row>
    <row r="5311">
      <c r="A5311" s="39" t="s">
        <v>20642</v>
      </c>
      <c r="B5311" s="15">
        <v>60456.0</v>
      </c>
      <c r="C5311" s="15" t="s">
        <v>20643</v>
      </c>
      <c r="D5311" s="15">
        <v>317362.0</v>
      </c>
      <c r="E5311" s="15" t="s">
        <v>1548</v>
      </c>
      <c r="F5311" s="15" t="s">
        <v>5033</v>
      </c>
      <c r="G5311" s="7">
        <v>16.806</v>
      </c>
      <c r="H5311" s="15" t="s">
        <v>20644</v>
      </c>
      <c r="I5311" s="15" t="s">
        <v>1628</v>
      </c>
      <c r="J5311" s="15" t="s">
        <v>20645</v>
      </c>
      <c r="K5311" s="15">
        <v>5.0</v>
      </c>
      <c r="L5311" s="15">
        <v>5.0</v>
      </c>
      <c r="M5311" s="40">
        <v>35612.0</v>
      </c>
      <c r="N5311" s="40">
        <v>42464.0</v>
      </c>
      <c r="O5311" s="15" t="s">
        <v>1554</v>
      </c>
      <c r="Q5311" s="7"/>
    </row>
    <row r="5312">
      <c r="A5312" s="39" t="s">
        <v>20646</v>
      </c>
      <c r="B5312" s="15">
        <v>442302.0</v>
      </c>
      <c r="C5312" s="15" t="s">
        <v>20647</v>
      </c>
      <c r="D5312" s="15">
        <v>317364.0</v>
      </c>
      <c r="E5312" s="15" t="s">
        <v>1638</v>
      </c>
      <c r="F5312" s="15" t="s">
        <v>1649</v>
      </c>
      <c r="G5312" s="7">
        <v>4.396</v>
      </c>
      <c r="H5312" s="15" t="s">
        <v>20648</v>
      </c>
      <c r="I5312" s="15" t="s">
        <v>1686</v>
      </c>
      <c r="J5312" s="15" t="s">
        <v>20649</v>
      </c>
      <c r="K5312" s="15">
        <v>3.0</v>
      </c>
      <c r="L5312" s="15">
        <v>3.0</v>
      </c>
      <c r="M5312" s="40">
        <v>41682.0</v>
      </c>
      <c r="N5312" s="40">
        <v>42464.0</v>
      </c>
      <c r="O5312" s="15" t="s">
        <v>1554</v>
      </c>
      <c r="Q5312" s="7"/>
    </row>
    <row r="5313">
      <c r="A5313" s="39" t="s">
        <v>20650</v>
      </c>
      <c r="B5313" s="15">
        <v>1812308.0</v>
      </c>
      <c r="C5313" s="15" t="s">
        <v>20651</v>
      </c>
      <c r="D5313" s="15">
        <v>317755.0</v>
      </c>
      <c r="E5313" s="15" t="s">
        <v>1808</v>
      </c>
      <c r="F5313" s="15" t="s">
        <v>1809</v>
      </c>
      <c r="G5313" s="7">
        <v>5.461</v>
      </c>
      <c r="H5313" s="15" t="s">
        <v>20653</v>
      </c>
      <c r="I5313" s="15" t="s">
        <v>1628</v>
      </c>
      <c r="J5313" s="15" t="s">
        <v>20654</v>
      </c>
      <c r="K5313" s="15">
        <v>8.0</v>
      </c>
      <c r="L5313" s="15">
        <v>8.0</v>
      </c>
      <c r="M5313" s="40">
        <v>42445.0</v>
      </c>
      <c r="N5313" s="40">
        <v>42752.0</v>
      </c>
      <c r="O5313" s="15" t="s">
        <v>1554</v>
      </c>
      <c r="Q5313" s="7"/>
    </row>
    <row r="5314">
      <c r="A5314" s="39" t="s">
        <v>20655</v>
      </c>
      <c r="B5314" s="15">
        <v>590745.0</v>
      </c>
      <c r="C5314" s="15" t="s">
        <v>20656</v>
      </c>
      <c r="D5314" s="15">
        <v>318036.0</v>
      </c>
      <c r="E5314" s="15" t="s">
        <v>1916</v>
      </c>
      <c r="F5314" s="15" t="s">
        <v>2532</v>
      </c>
      <c r="G5314" s="7">
        <v>8.183</v>
      </c>
      <c r="H5314" s="15" t="s">
        <v>4606</v>
      </c>
      <c r="I5314" s="15" t="s">
        <v>1686</v>
      </c>
      <c r="J5314" s="15" t="s">
        <v>20657</v>
      </c>
      <c r="K5314" s="15">
        <v>2.0</v>
      </c>
      <c r="L5314" s="15">
        <v>2.0</v>
      </c>
      <c r="M5314" s="40">
        <v>39844.0</v>
      </c>
      <c r="N5314" s="40">
        <v>42471.0</v>
      </c>
      <c r="O5314" s="15" t="s">
        <v>1554</v>
      </c>
      <c r="Q5314" s="7"/>
    </row>
    <row r="5315">
      <c r="A5315" s="39" t="s">
        <v>20658</v>
      </c>
      <c r="B5315" s="15">
        <v>1822365.0</v>
      </c>
      <c r="C5315" s="15" t="s">
        <v>20659</v>
      </c>
      <c r="D5315" s="15">
        <v>318037.0</v>
      </c>
      <c r="E5315" s="15" t="s">
        <v>1916</v>
      </c>
      <c r="F5315" s="15" t="s">
        <v>2532</v>
      </c>
      <c r="G5315" s="7">
        <v>7.47</v>
      </c>
      <c r="H5315" s="15" t="s">
        <v>1607</v>
      </c>
      <c r="I5315" s="15" t="s">
        <v>1686</v>
      </c>
      <c r="J5315" s="15" t="s">
        <v>20660</v>
      </c>
      <c r="K5315" s="15">
        <v>4.0</v>
      </c>
      <c r="L5315" s="15">
        <v>4.0</v>
      </c>
      <c r="M5315" s="40">
        <v>42465.0</v>
      </c>
      <c r="N5315" s="40">
        <v>42471.0</v>
      </c>
      <c r="O5315" s="15" t="s">
        <v>1554</v>
      </c>
      <c r="Q5315" s="7"/>
    </row>
    <row r="5316">
      <c r="A5316" s="39" t="s">
        <v>20662</v>
      </c>
      <c r="B5316" s="15">
        <v>1604871.0</v>
      </c>
      <c r="C5316" s="15" t="s">
        <v>20663</v>
      </c>
      <c r="D5316" s="15">
        <v>318038.0</v>
      </c>
      <c r="E5316" s="15" t="s">
        <v>1548</v>
      </c>
      <c r="F5316" s="15" t="s">
        <v>1776</v>
      </c>
      <c r="G5316" s="7">
        <v>7.382</v>
      </c>
      <c r="H5316" s="15" t="s">
        <v>2324</v>
      </c>
      <c r="I5316" s="15" t="s">
        <v>1686</v>
      </c>
      <c r="J5316" s="15" t="s">
        <v>20664</v>
      </c>
      <c r="K5316" s="15">
        <v>1.0</v>
      </c>
      <c r="L5316" s="15">
        <v>1.0</v>
      </c>
      <c r="M5316" s="40">
        <v>42462.0</v>
      </c>
      <c r="N5316" s="40">
        <v>42471.0</v>
      </c>
      <c r="O5316" s="15" t="s">
        <v>1554</v>
      </c>
      <c r="Q5316" s="7"/>
    </row>
    <row r="5317">
      <c r="A5317" s="39" t="s">
        <v>20665</v>
      </c>
      <c r="B5317" s="15">
        <v>1712572.0</v>
      </c>
      <c r="C5317" s="15" t="s">
        <v>20666</v>
      </c>
      <c r="D5317" s="15">
        <v>318562.0</v>
      </c>
      <c r="E5317" s="15" t="s">
        <v>1548</v>
      </c>
      <c r="F5317" s="15" t="s">
        <v>16718</v>
      </c>
      <c r="G5317" s="7">
        <v>18.236</v>
      </c>
      <c r="H5317" s="15" t="s">
        <v>20667</v>
      </c>
      <c r="I5317" s="15" t="s">
        <v>1803</v>
      </c>
      <c r="J5317" s="15" t="s">
        <v>20668</v>
      </c>
      <c r="K5317" s="15">
        <v>3.0</v>
      </c>
      <c r="L5317" s="15">
        <v>3.0</v>
      </c>
      <c r="M5317" s="40">
        <v>42263.0</v>
      </c>
      <c r="N5317" s="40">
        <v>42480.0</v>
      </c>
      <c r="O5317" s="15" t="s">
        <v>1554</v>
      </c>
      <c r="Q5317" s="7"/>
    </row>
    <row r="5318">
      <c r="A5318" s="39" t="s">
        <v>20669</v>
      </c>
      <c r="B5318" s="15">
        <v>1788436.0</v>
      </c>
      <c r="C5318" s="15" t="s">
        <v>20670</v>
      </c>
      <c r="D5318" s="15">
        <v>318899.0</v>
      </c>
      <c r="E5318" s="15" t="s">
        <v>1557</v>
      </c>
      <c r="F5318" s="15" t="s">
        <v>2628</v>
      </c>
      <c r="G5318" s="7">
        <v>37.545</v>
      </c>
      <c r="H5318" s="15" t="s">
        <v>9707</v>
      </c>
      <c r="I5318" s="15" t="s">
        <v>1686</v>
      </c>
      <c r="J5318" s="15" t="s">
        <v>20672</v>
      </c>
      <c r="K5318" s="15">
        <v>33.0</v>
      </c>
      <c r="L5318" s="15">
        <v>33.0</v>
      </c>
      <c r="M5318" s="40">
        <v>42474.0</v>
      </c>
      <c r="N5318" s="40">
        <v>42480.0</v>
      </c>
      <c r="O5318" s="15" t="s">
        <v>1554</v>
      </c>
      <c r="Q5318" s="7"/>
    </row>
    <row r="5319">
      <c r="A5319" s="39" t="s">
        <v>20673</v>
      </c>
      <c r="B5319" s="15">
        <v>1788433.0</v>
      </c>
      <c r="C5319" s="15" t="s">
        <v>20674</v>
      </c>
      <c r="D5319" s="15">
        <v>319065.0</v>
      </c>
      <c r="E5319" s="15" t="s">
        <v>1557</v>
      </c>
      <c r="F5319" s="15" t="s">
        <v>2628</v>
      </c>
      <c r="G5319" s="7">
        <v>38.073</v>
      </c>
      <c r="H5319" s="15">
        <v>55.0</v>
      </c>
      <c r="I5319" s="15" t="s">
        <v>1686</v>
      </c>
      <c r="J5319" s="15" t="s">
        <v>20675</v>
      </c>
      <c r="K5319" s="15">
        <v>33.0</v>
      </c>
      <c r="L5319" s="15">
        <v>33.0</v>
      </c>
      <c r="M5319" s="40">
        <v>42474.0</v>
      </c>
      <c r="N5319" s="40">
        <v>42480.0</v>
      </c>
      <c r="O5319" s="15" t="s">
        <v>1554</v>
      </c>
      <c r="Q5319" s="7"/>
    </row>
    <row r="5320">
      <c r="A5320" s="39" t="s">
        <v>20676</v>
      </c>
      <c r="B5320" s="15">
        <v>1788432.0</v>
      </c>
      <c r="C5320" s="15" t="s">
        <v>20677</v>
      </c>
      <c r="D5320" s="15">
        <v>319066.0</v>
      </c>
      <c r="E5320" s="15" t="s">
        <v>1557</v>
      </c>
      <c r="F5320" s="15" t="s">
        <v>2628</v>
      </c>
      <c r="G5320" s="7">
        <v>37.556</v>
      </c>
      <c r="H5320" s="15" t="s">
        <v>6716</v>
      </c>
      <c r="I5320" s="15" t="s">
        <v>1686</v>
      </c>
      <c r="J5320" s="15" t="s">
        <v>20678</v>
      </c>
      <c r="K5320" s="15">
        <v>33.0</v>
      </c>
      <c r="L5320" s="15">
        <v>33.0</v>
      </c>
      <c r="M5320" s="40">
        <v>42474.0</v>
      </c>
      <c r="N5320" s="40">
        <v>42480.0</v>
      </c>
      <c r="O5320" s="15" t="s">
        <v>1554</v>
      </c>
      <c r="Q5320" s="7"/>
    </row>
    <row r="5321">
      <c r="A5321" s="39" t="s">
        <v>20680</v>
      </c>
      <c r="B5321" s="15">
        <v>1764086.0</v>
      </c>
      <c r="C5321" s="15" t="s">
        <v>20681</v>
      </c>
      <c r="D5321" s="15">
        <v>319067.0</v>
      </c>
      <c r="E5321" s="15" t="s">
        <v>1548</v>
      </c>
      <c r="F5321" s="15" t="s">
        <v>3116</v>
      </c>
      <c r="G5321" s="7">
        <v>6.403</v>
      </c>
      <c r="H5321" s="15" t="s">
        <v>2820</v>
      </c>
      <c r="I5321" s="15" t="s">
        <v>1803</v>
      </c>
      <c r="J5321" s="15" t="s">
        <v>20682</v>
      </c>
      <c r="K5321" s="15">
        <v>1.0</v>
      </c>
      <c r="L5321" s="15">
        <v>1.0</v>
      </c>
      <c r="M5321" s="40">
        <v>42478.0</v>
      </c>
      <c r="N5321" s="40">
        <v>42480.0</v>
      </c>
      <c r="O5321" s="15" t="s">
        <v>1554</v>
      </c>
      <c r="Q5321" s="7"/>
    </row>
    <row r="5322">
      <c r="A5322" s="39" t="s">
        <v>20683</v>
      </c>
      <c r="B5322" s="15">
        <v>1764085.0</v>
      </c>
      <c r="C5322" s="15" t="s">
        <v>20684</v>
      </c>
      <c r="D5322" s="15">
        <v>319068.0</v>
      </c>
      <c r="E5322" s="15" t="s">
        <v>1548</v>
      </c>
      <c r="F5322" s="15" t="s">
        <v>3116</v>
      </c>
      <c r="G5322" s="7">
        <v>6.456</v>
      </c>
      <c r="H5322" s="15">
        <v>43.0</v>
      </c>
      <c r="I5322" s="15" t="s">
        <v>1803</v>
      </c>
      <c r="J5322" s="15" t="s">
        <v>20685</v>
      </c>
      <c r="K5322" s="15">
        <v>1.0</v>
      </c>
      <c r="L5322" s="15">
        <v>1.0</v>
      </c>
      <c r="M5322" s="40">
        <v>42478.0</v>
      </c>
      <c r="N5322" s="40">
        <v>42480.0</v>
      </c>
      <c r="O5322" s="15" t="s">
        <v>1554</v>
      </c>
      <c r="Q5322" s="7"/>
    </row>
    <row r="5323">
      <c r="A5323" s="39" t="s">
        <v>20686</v>
      </c>
      <c r="B5323" s="15">
        <v>1712570.0</v>
      </c>
      <c r="C5323" s="15" t="s">
        <v>20687</v>
      </c>
      <c r="D5323" s="15">
        <v>319069.0</v>
      </c>
      <c r="E5323" s="15" t="s">
        <v>1548</v>
      </c>
      <c r="F5323" s="15" t="s">
        <v>16718</v>
      </c>
      <c r="G5323" s="7">
        <v>6.317</v>
      </c>
      <c r="H5323" s="15" t="s">
        <v>20688</v>
      </c>
      <c r="I5323" s="15" t="s">
        <v>1803</v>
      </c>
      <c r="J5323" s="15" t="s">
        <v>20689</v>
      </c>
      <c r="K5323" s="15">
        <v>2.0</v>
      </c>
      <c r="L5323" s="15">
        <v>2.0</v>
      </c>
      <c r="M5323" s="40">
        <v>42263.0</v>
      </c>
      <c r="N5323" s="40">
        <v>42480.0</v>
      </c>
      <c r="O5323" s="15" t="s">
        <v>1554</v>
      </c>
      <c r="Q5323" s="7"/>
    </row>
    <row r="5324">
      <c r="A5324" s="39" t="s">
        <v>20691</v>
      </c>
      <c r="B5324" s="15">
        <v>1549864.0</v>
      </c>
      <c r="C5324" s="15" t="s">
        <v>20692</v>
      </c>
      <c r="D5324" s="15">
        <v>319070.0</v>
      </c>
      <c r="E5324" s="15" t="s">
        <v>1659</v>
      </c>
      <c r="F5324" s="15" t="s">
        <v>1578</v>
      </c>
      <c r="G5324" s="7">
        <v>10.323</v>
      </c>
      <c r="H5324" s="15" t="s">
        <v>20693</v>
      </c>
      <c r="I5324" s="15" t="s">
        <v>1686</v>
      </c>
      <c r="J5324" s="15" t="s">
        <v>20694</v>
      </c>
      <c r="K5324" s="15">
        <v>10.0</v>
      </c>
      <c r="L5324" s="15">
        <v>10.0</v>
      </c>
      <c r="M5324" s="40">
        <v>42466.0</v>
      </c>
      <c r="N5324" s="40">
        <v>42480.0</v>
      </c>
      <c r="O5324" s="15" t="s">
        <v>1554</v>
      </c>
      <c r="Q5324" s="7"/>
    </row>
    <row r="5325">
      <c r="A5325" s="39" t="s">
        <v>20695</v>
      </c>
      <c r="B5325" s="15">
        <v>336987.0</v>
      </c>
      <c r="D5325" s="15">
        <v>0.0</v>
      </c>
      <c r="E5325" s="15" t="s">
        <v>1808</v>
      </c>
      <c r="F5325" s="15" t="s">
        <v>1809</v>
      </c>
      <c r="G5325" s="7">
        <v>5.176</v>
      </c>
      <c r="H5325" s="15" t="s">
        <v>20696</v>
      </c>
      <c r="I5325" s="15" t="s">
        <v>1628</v>
      </c>
      <c r="J5325" s="15" t="s">
        <v>20697</v>
      </c>
      <c r="K5325" s="15">
        <v>7.0</v>
      </c>
      <c r="L5325" s="15">
        <v>7.0</v>
      </c>
      <c r="M5325" s="40">
        <v>42683.0</v>
      </c>
      <c r="N5325" s="41">
        <v>43018.0</v>
      </c>
      <c r="O5325" s="15" t="s">
        <v>1554</v>
      </c>
      <c r="Q5325" s="7"/>
    </row>
    <row r="5326">
      <c r="A5326" s="39" t="s">
        <v>20698</v>
      </c>
      <c r="B5326" s="15">
        <v>1826059.0</v>
      </c>
      <c r="C5326" s="15" t="s">
        <v>20699</v>
      </c>
      <c r="D5326" s="15">
        <v>319114.0</v>
      </c>
      <c r="E5326" s="15" t="s">
        <v>1548</v>
      </c>
      <c r="F5326" s="15" t="s">
        <v>1776</v>
      </c>
      <c r="G5326" s="7">
        <v>7.367</v>
      </c>
      <c r="H5326" s="15" t="s">
        <v>2648</v>
      </c>
      <c r="I5326" s="15" t="s">
        <v>1686</v>
      </c>
      <c r="J5326" s="15" t="s">
        <v>20701</v>
      </c>
      <c r="K5326" s="15">
        <v>1.0</v>
      </c>
      <c r="L5326" s="15">
        <v>1.0</v>
      </c>
      <c r="M5326" s="40">
        <v>42472.0</v>
      </c>
      <c r="N5326" s="40">
        <v>42480.0</v>
      </c>
      <c r="O5326" s="15" t="s">
        <v>1554</v>
      </c>
      <c r="Q5326" s="7"/>
    </row>
    <row r="5327">
      <c r="A5327" s="39" t="s">
        <v>20702</v>
      </c>
      <c r="B5327" s="15">
        <v>1825924.0</v>
      </c>
      <c r="C5327" s="15" t="s">
        <v>20703</v>
      </c>
      <c r="D5327" s="15">
        <v>319115.0</v>
      </c>
      <c r="E5327" s="15" t="s">
        <v>1548</v>
      </c>
      <c r="F5327" s="15" t="s">
        <v>1771</v>
      </c>
      <c r="G5327" s="7">
        <v>5.62</v>
      </c>
      <c r="H5327" s="15" t="s">
        <v>1802</v>
      </c>
      <c r="I5327" s="15" t="s">
        <v>1628</v>
      </c>
      <c r="J5327" s="15" t="s">
        <v>20704</v>
      </c>
      <c r="K5327" s="15">
        <v>6.0</v>
      </c>
      <c r="L5327" s="15">
        <v>6.0</v>
      </c>
      <c r="M5327" s="40">
        <v>42478.0</v>
      </c>
      <c r="N5327" s="40">
        <v>42480.0</v>
      </c>
      <c r="O5327" s="15" t="s">
        <v>1554</v>
      </c>
      <c r="Q5327" s="7"/>
    </row>
    <row r="5328">
      <c r="A5328" s="39" t="s">
        <v>20705</v>
      </c>
      <c r="B5328" s="15">
        <v>1821756.0</v>
      </c>
      <c r="C5328" s="15" t="s">
        <v>20706</v>
      </c>
      <c r="D5328" s="15">
        <v>319116.0</v>
      </c>
      <c r="E5328" s="15" t="s">
        <v>1638</v>
      </c>
      <c r="F5328" s="15" t="s">
        <v>1863</v>
      </c>
      <c r="G5328" s="7">
        <v>23.195</v>
      </c>
      <c r="H5328" s="15" t="s">
        <v>20707</v>
      </c>
      <c r="I5328" s="15" t="s">
        <v>1686</v>
      </c>
      <c r="J5328" s="15" t="s">
        <v>20708</v>
      </c>
      <c r="K5328" s="15">
        <v>11.0</v>
      </c>
      <c r="L5328" s="15">
        <v>11.0</v>
      </c>
      <c r="M5328" s="40">
        <v>42469.0</v>
      </c>
      <c r="N5328" s="40">
        <v>42480.0</v>
      </c>
      <c r="O5328" s="15" t="s">
        <v>1554</v>
      </c>
      <c r="Q5328" s="7"/>
    </row>
    <row r="5329">
      <c r="A5329" s="39" t="s">
        <v>20710</v>
      </c>
      <c r="B5329" s="15">
        <v>1819678.0</v>
      </c>
      <c r="C5329" s="15" t="s">
        <v>20711</v>
      </c>
      <c r="D5329" s="15">
        <v>319117.0</v>
      </c>
      <c r="E5329" s="15" t="s">
        <v>2014</v>
      </c>
      <c r="F5329" s="15" t="s">
        <v>1578</v>
      </c>
      <c r="G5329" s="7">
        <v>1.335</v>
      </c>
      <c r="H5329" s="15" t="s">
        <v>2451</v>
      </c>
      <c r="I5329" s="15" t="s">
        <v>1628</v>
      </c>
      <c r="J5329" s="15" t="s">
        <v>20712</v>
      </c>
      <c r="K5329" s="15">
        <v>2.0</v>
      </c>
      <c r="L5329" s="15">
        <v>2.0</v>
      </c>
      <c r="M5329" s="40">
        <v>42471.0</v>
      </c>
      <c r="N5329" s="40">
        <v>42480.0</v>
      </c>
      <c r="O5329" s="15" t="s">
        <v>1554</v>
      </c>
      <c r="Q5329" s="7"/>
    </row>
    <row r="5330">
      <c r="A5330" s="39" t="s">
        <v>20713</v>
      </c>
      <c r="B5330" s="15">
        <v>1811230.0</v>
      </c>
      <c r="C5330" s="15" t="s">
        <v>20714</v>
      </c>
      <c r="D5330" s="15">
        <v>319118.0</v>
      </c>
      <c r="E5330" s="15" t="s">
        <v>1638</v>
      </c>
      <c r="F5330" s="15" t="s">
        <v>1863</v>
      </c>
      <c r="G5330" s="7">
        <v>43163.0</v>
      </c>
      <c r="H5330" s="15" t="s">
        <v>2023</v>
      </c>
      <c r="I5330" s="15" t="s">
        <v>1686</v>
      </c>
      <c r="J5330" s="15" t="s">
        <v>20715</v>
      </c>
      <c r="K5330" s="15">
        <v>1.0</v>
      </c>
      <c r="L5330" s="15">
        <v>1.0</v>
      </c>
      <c r="M5330" s="40">
        <v>42476.0</v>
      </c>
      <c r="N5330" s="40">
        <v>42480.0</v>
      </c>
      <c r="O5330" s="15" t="s">
        <v>1554</v>
      </c>
      <c r="Q5330" s="7"/>
    </row>
    <row r="5331">
      <c r="A5331" s="39" t="s">
        <v>20716</v>
      </c>
      <c r="B5331" s="15">
        <v>1833938.0</v>
      </c>
      <c r="C5331" s="15" t="s">
        <v>20718</v>
      </c>
      <c r="D5331" s="15">
        <v>319527.0</v>
      </c>
      <c r="E5331" s="15" t="s">
        <v>1638</v>
      </c>
      <c r="F5331" s="15" t="s">
        <v>1639</v>
      </c>
      <c r="G5331" s="7">
        <v>5.211</v>
      </c>
      <c r="H5331" s="15" t="s">
        <v>4614</v>
      </c>
      <c r="I5331" s="15" t="s">
        <v>1740</v>
      </c>
      <c r="J5331" s="15" t="s">
        <v>20719</v>
      </c>
      <c r="K5331" s="15">
        <v>2.0</v>
      </c>
      <c r="L5331" s="15">
        <v>2.0</v>
      </c>
      <c r="M5331" s="40">
        <v>42479.0</v>
      </c>
      <c r="N5331" s="40">
        <v>42487.0</v>
      </c>
      <c r="O5331" s="15" t="s">
        <v>1554</v>
      </c>
      <c r="Q5331" s="7"/>
    </row>
    <row r="5332">
      <c r="A5332" s="39" t="s">
        <v>20720</v>
      </c>
      <c r="B5332" s="15">
        <v>1841147.0</v>
      </c>
      <c r="C5332" s="15" t="s">
        <v>20721</v>
      </c>
      <c r="D5332" s="15">
        <v>313552.0</v>
      </c>
      <c r="E5332" s="15" t="s">
        <v>2014</v>
      </c>
      <c r="F5332" s="15" t="s">
        <v>1578</v>
      </c>
      <c r="G5332" s="7">
        <v>1.361</v>
      </c>
      <c r="H5332" s="15" t="s">
        <v>2440</v>
      </c>
      <c r="I5332" s="15" t="s">
        <v>1628</v>
      </c>
      <c r="J5332" s="15" t="s">
        <v>20722</v>
      </c>
      <c r="K5332" s="15">
        <v>1.0</v>
      </c>
      <c r="L5332" s="15">
        <v>1.0</v>
      </c>
      <c r="M5332" s="40">
        <v>42423.0</v>
      </c>
      <c r="N5332" s="40">
        <v>42489.0</v>
      </c>
      <c r="O5332" s="15" t="s">
        <v>1554</v>
      </c>
      <c r="Q5332" s="7"/>
    </row>
    <row r="5333">
      <c r="A5333" s="39" t="s">
        <v>20723</v>
      </c>
      <c r="B5333" s="15">
        <v>1833824.0</v>
      </c>
      <c r="C5333" s="15" t="s">
        <v>20724</v>
      </c>
      <c r="D5333" s="15">
        <v>319735.0</v>
      </c>
      <c r="E5333" s="15" t="s">
        <v>1548</v>
      </c>
      <c r="F5333" s="15" t="s">
        <v>1771</v>
      </c>
      <c r="G5333" s="7">
        <v>5.625</v>
      </c>
      <c r="H5333" s="15" t="s">
        <v>2189</v>
      </c>
      <c r="I5333" s="15" t="s">
        <v>1628</v>
      </c>
      <c r="J5333" s="15" t="s">
        <v>20726</v>
      </c>
      <c r="K5333" s="15">
        <v>6.0</v>
      </c>
      <c r="L5333" s="15">
        <v>6.0</v>
      </c>
      <c r="M5333" s="40">
        <v>42479.0</v>
      </c>
      <c r="N5333" s="40">
        <v>42488.0</v>
      </c>
      <c r="O5333" s="15" t="s">
        <v>1554</v>
      </c>
      <c r="Q5333" s="7"/>
    </row>
    <row r="5334">
      <c r="A5334" s="39" t="s">
        <v>20727</v>
      </c>
      <c r="B5334" s="15">
        <v>1770265.0</v>
      </c>
      <c r="C5334" s="15" t="s">
        <v>20728</v>
      </c>
      <c r="D5334" s="15">
        <v>320120.0</v>
      </c>
      <c r="E5334" s="15" t="s">
        <v>1548</v>
      </c>
      <c r="F5334" s="15" t="s">
        <v>1771</v>
      </c>
      <c r="G5334" s="7">
        <v>5.726</v>
      </c>
      <c r="H5334" s="15" t="s">
        <v>2324</v>
      </c>
      <c r="I5334" s="15" t="s">
        <v>1628</v>
      </c>
      <c r="J5334" s="15" t="s">
        <v>20729</v>
      </c>
      <c r="K5334" s="15">
        <v>5.0</v>
      </c>
      <c r="L5334" s="15">
        <v>5.0</v>
      </c>
      <c r="M5334" s="40">
        <v>42487.0</v>
      </c>
      <c r="N5334" s="40">
        <v>42489.0</v>
      </c>
      <c r="O5334" s="15" t="s">
        <v>1554</v>
      </c>
      <c r="Q5334" s="7"/>
    </row>
    <row r="5335">
      <c r="A5335" s="39" t="s">
        <v>20731</v>
      </c>
      <c r="B5335" s="15">
        <v>1837089.0</v>
      </c>
      <c r="C5335" s="15" t="s">
        <v>20732</v>
      </c>
      <c r="D5335" s="15">
        <v>319976.0</v>
      </c>
      <c r="E5335" s="15" t="s">
        <v>1548</v>
      </c>
      <c r="F5335" s="15" t="s">
        <v>5261</v>
      </c>
      <c r="G5335" s="7">
        <v>3.038</v>
      </c>
      <c r="H5335" s="15" t="s">
        <v>2597</v>
      </c>
      <c r="I5335" s="15" t="s">
        <v>1552</v>
      </c>
      <c r="J5335" s="15" t="s">
        <v>20733</v>
      </c>
      <c r="K5335" s="15">
        <v>1.0</v>
      </c>
      <c r="L5335" s="15">
        <v>1.0</v>
      </c>
      <c r="M5335" s="40">
        <v>42486.0</v>
      </c>
      <c r="N5335" s="40">
        <v>42489.0</v>
      </c>
      <c r="O5335" s="15" t="s">
        <v>1554</v>
      </c>
      <c r="Q5335" s="7"/>
    </row>
    <row r="5336">
      <c r="A5336" s="39" t="s">
        <v>20734</v>
      </c>
      <c r="B5336" s="15">
        <v>1737586.0</v>
      </c>
      <c r="C5336" s="15" t="s">
        <v>20735</v>
      </c>
      <c r="D5336" s="15">
        <v>320121.0</v>
      </c>
      <c r="E5336" s="15" t="s">
        <v>1548</v>
      </c>
      <c r="F5336" s="15" t="s">
        <v>4820</v>
      </c>
      <c r="G5336" s="7">
        <v>15.247</v>
      </c>
      <c r="H5336" s="15" t="s">
        <v>2241</v>
      </c>
      <c r="I5336" s="15" t="s">
        <v>1686</v>
      </c>
      <c r="J5336" s="15" t="s">
        <v>20736</v>
      </c>
      <c r="K5336" s="15">
        <v>14.0</v>
      </c>
      <c r="L5336" s="15">
        <v>14.0</v>
      </c>
      <c r="M5336" s="40">
        <v>42485.0</v>
      </c>
      <c r="N5336" s="40">
        <v>42808.0</v>
      </c>
      <c r="O5336" s="15" t="s">
        <v>1554</v>
      </c>
      <c r="Q5336" s="7"/>
    </row>
    <row r="5337">
      <c r="A5337" s="39" t="s">
        <v>20737</v>
      </c>
      <c r="B5337" s="15">
        <v>1675863.0</v>
      </c>
      <c r="C5337" s="15" t="s">
        <v>20738</v>
      </c>
      <c r="D5337" s="15">
        <v>320117.0</v>
      </c>
      <c r="E5337" s="15" t="s">
        <v>1557</v>
      </c>
      <c r="F5337" s="15" t="s">
        <v>1992</v>
      </c>
      <c r="G5337" s="7">
        <v>134.272</v>
      </c>
      <c r="H5337" s="15" t="s">
        <v>2824</v>
      </c>
      <c r="I5337" s="15" t="s">
        <v>1560</v>
      </c>
      <c r="J5337" s="15" t="s">
        <v>20740</v>
      </c>
      <c r="K5337" s="15">
        <v>144.0</v>
      </c>
      <c r="L5337" s="15">
        <v>144.0</v>
      </c>
      <c r="M5337" s="40">
        <v>42482.0</v>
      </c>
      <c r="N5337" s="40">
        <v>42489.0</v>
      </c>
      <c r="O5337" s="15" t="s">
        <v>1554</v>
      </c>
      <c r="Q5337" s="7"/>
    </row>
    <row r="5338">
      <c r="A5338" s="39" t="s">
        <v>20741</v>
      </c>
      <c r="B5338" s="15">
        <v>1675866.0</v>
      </c>
      <c r="C5338" s="15" t="s">
        <v>20742</v>
      </c>
      <c r="D5338" s="15">
        <v>320122.0</v>
      </c>
      <c r="E5338" s="15" t="s">
        <v>1557</v>
      </c>
      <c r="F5338" s="15" t="s">
        <v>1992</v>
      </c>
      <c r="G5338" s="7">
        <v>105.555</v>
      </c>
      <c r="H5338" s="15" t="s">
        <v>4283</v>
      </c>
      <c r="I5338" s="15" t="s">
        <v>1560</v>
      </c>
      <c r="J5338" s="15" t="s">
        <v>20743</v>
      </c>
      <c r="K5338" s="15">
        <v>119.0</v>
      </c>
      <c r="L5338" s="15">
        <v>119.0</v>
      </c>
      <c r="M5338" s="40">
        <v>42482.0</v>
      </c>
      <c r="N5338" s="40">
        <v>42895.0</v>
      </c>
      <c r="O5338" s="15" t="s">
        <v>1554</v>
      </c>
      <c r="Q5338" s="7"/>
    </row>
    <row r="5339">
      <c r="A5339" s="39" t="s">
        <v>20744</v>
      </c>
      <c r="B5339" s="15">
        <v>1825931.0</v>
      </c>
      <c r="C5339" s="15" t="s">
        <v>20745</v>
      </c>
      <c r="D5339" s="15">
        <v>320119.0</v>
      </c>
      <c r="E5339" s="15" t="s">
        <v>1808</v>
      </c>
      <c r="F5339" s="15" t="s">
        <v>1809</v>
      </c>
      <c r="G5339" s="7">
        <v>2.748</v>
      </c>
      <c r="H5339" s="15" t="s">
        <v>2118</v>
      </c>
      <c r="I5339" s="15" t="s">
        <v>1628</v>
      </c>
      <c r="J5339" s="15" t="s">
        <v>20746</v>
      </c>
      <c r="K5339" s="15">
        <v>6.0</v>
      </c>
      <c r="L5339" s="15">
        <v>6.0</v>
      </c>
      <c r="M5339" s="40">
        <v>42483.0</v>
      </c>
      <c r="N5339" s="40">
        <v>42489.0</v>
      </c>
      <c r="O5339" s="15" t="s">
        <v>1554</v>
      </c>
      <c r="Q5339" s="7"/>
    </row>
    <row r="5340">
      <c r="A5340" s="39" t="s">
        <v>20748</v>
      </c>
      <c r="B5340" s="15">
        <v>1843764.0</v>
      </c>
      <c r="C5340" s="15" t="s">
        <v>20749</v>
      </c>
      <c r="D5340" s="15">
        <v>321675.0</v>
      </c>
      <c r="E5340" s="15" t="s">
        <v>1577</v>
      </c>
      <c r="F5340" s="15" t="s">
        <v>1578</v>
      </c>
      <c r="G5340" s="7">
        <v>43254.0</v>
      </c>
      <c r="H5340" s="15" t="s">
        <v>8889</v>
      </c>
      <c r="I5340" s="15" t="s">
        <v>1686</v>
      </c>
      <c r="J5340" s="15" t="s">
        <v>20750</v>
      </c>
      <c r="K5340" s="15">
        <v>2.0</v>
      </c>
      <c r="L5340" s="15">
        <v>2.0</v>
      </c>
      <c r="M5340" s="40">
        <v>42499.0</v>
      </c>
      <c r="N5340" s="40">
        <v>42506.0</v>
      </c>
      <c r="O5340" s="15" t="s">
        <v>1554</v>
      </c>
      <c r="Q5340" s="7"/>
    </row>
    <row r="5341">
      <c r="A5341" s="39" t="s">
        <v>20751</v>
      </c>
      <c r="B5341" s="15">
        <v>1843758.0</v>
      </c>
      <c r="C5341" s="15" t="s">
        <v>20752</v>
      </c>
      <c r="D5341" s="15">
        <v>321679.0</v>
      </c>
      <c r="E5341" s="15" t="s">
        <v>1577</v>
      </c>
      <c r="F5341" s="15" t="s">
        <v>1578</v>
      </c>
      <c r="G5341" s="7">
        <v>2.608</v>
      </c>
      <c r="H5341" s="15" t="s">
        <v>3097</v>
      </c>
      <c r="I5341" s="15" t="s">
        <v>1686</v>
      </c>
      <c r="J5341" s="15" t="s">
        <v>20753</v>
      </c>
      <c r="K5341" s="15">
        <v>2.0</v>
      </c>
      <c r="L5341" s="15">
        <v>2.0</v>
      </c>
      <c r="M5341" s="40">
        <v>42499.0</v>
      </c>
      <c r="N5341" s="40">
        <v>42506.0</v>
      </c>
      <c r="O5341" s="15" t="s">
        <v>1554</v>
      </c>
      <c r="Q5341" s="7"/>
    </row>
    <row r="5342">
      <c r="A5342" s="39" t="s">
        <v>20754</v>
      </c>
      <c r="B5342" s="15">
        <v>1843753.0</v>
      </c>
      <c r="C5342" s="15" t="s">
        <v>20755</v>
      </c>
      <c r="D5342" s="15">
        <v>321683.0</v>
      </c>
      <c r="E5342" s="15" t="s">
        <v>1577</v>
      </c>
      <c r="F5342" s="15" t="s">
        <v>1578</v>
      </c>
      <c r="G5342" s="7">
        <v>2.468</v>
      </c>
      <c r="H5342" s="15" t="s">
        <v>2836</v>
      </c>
      <c r="I5342" s="15" t="s">
        <v>1686</v>
      </c>
      <c r="J5342" s="15" t="s">
        <v>20756</v>
      </c>
      <c r="K5342" s="15">
        <v>2.0</v>
      </c>
      <c r="L5342" s="15">
        <v>2.0</v>
      </c>
      <c r="M5342" s="40">
        <v>42499.0</v>
      </c>
      <c r="N5342" s="40">
        <v>42506.0</v>
      </c>
      <c r="O5342" s="15" t="s">
        <v>1554</v>
      </c>
      <c r="Q5342" s="7"/>
    </row>
    <row r="5343">
      <c r="A5343" s="39" t="s">
        <v>20758</v>
      </c>
      <c r="B5343" s="15">
        <v>1843749.0</v>
      </c>
      <c r="C5343" s="15" t="s">
        <v>20759</v>
      </c>
      <c r="D5343" s="15">
        <v>321687.0</v>
      </c>
      <c r="E5343" s="15" t="s">
        <v>1577</v>
      </c>
      <c r="F5343" s="15" t="s">
        <v>1578</v>
      </c>
      <c r="G5343" s="7">
        <v>2.723</v>
      </c>
      <c r="H5343" s="15" t="s">
        <v>2241</v>
      </c>
      <c r="I5343" s="15" t="s">
        <v>1686</v>
      </c>
      <c r="J5343" s="15" t="s">
        <v>20760</v>
      </c>
      <c r="K5343" s="15">
        <v>2.0</v>
      </c>
      <c r="L5343" s="15">
        <v>2.0</v>
      </c>
      <c r="M5343" s="40">
        <v>42499.0</v>
      </c>
      <c r="N5343" s="40">
        <v>42506.0</v>
      </c>
      <c r="O5343" s="15" t="s">
        <v>1554</v>
      </c>
      <c r="Q5343" s="7"/>
    </row>
    <row r="5344">
      <c r="A5344" s="39" t="s">
        <v>20761</v>
      </c>
      <c r="B5344" s="15">
        <v>1843739.0</v>
      </c>
      <c r="C5344" s="15" t="s">
        <v>20762</v>
      </c>
      <c r="D5344" s="15">
        <v>321691.0</v>
      </c>
      <c r="E5344" s="15" t="s">
        <v>1664</v>
      </c>
      <c r="F5344" s="15" t="s">
        <v>15173</v>
      </c>
      <c r="G5344" s="7">
        <v>2.308</v>
      </c>
      <c r="H5344" s="15" t="s">
        <v>1977</v>
      </c>
      <c r="I5344" s="15" t="s">
        <v>1686</v>
      </c>
      <c r="J5344" s="15" t="s">
        <v>20763</v>
      </c>
      <c r="K5344" s="15">
        <v>3.0</v>
      </c>
      <c r="L5344" s="15">
        <v>3.0</v>
      </c>
      <c r="M5344" s="40">
        <v>42499.0</v>
      </c>
      <c r="N5344" s="40">
        <v>42506.0</v>
      </c>
      <c r="O5344" s="15" t="s">
        <v>1554</v>
      </c>
      <c r="Q5344" s="7"/>
    </row>
    <row r="5345">
      <c r="A5345" s="39" t="s">
        <v>20764</v>
      </c>
      <c r="B5345" s="15">
        <v>1843735.0</v>
      </c>
      <c r="C5345" s="15" t="s">
        <v>20766</v>
      </c>
      <c r="D5345" s="15">
        <v>321695.0</v>
      </c>
      <c r="E5345" s="15" t="s">
        <v>1664</v>
      </c>
      <c r="F5345" s="15" t="s">
        <v>15173</v>
      </c>
      <c r="G5345" s="7">
        <v>2.226</v>
      </c>
      <c r="H5345" s="15" t="s">
        <v>4204</v>
      </c>
      <c r="I5345" s="15" t="s">
        <v>1686</v>
      </c>
      <c r="J5345" s="15" t="s">
        <v>20767</v>
      </c>
      <c r="K5345" s="15">
        <v>3.0</v>
      </c>
      <c r="L5345" s="15">
        <v>3.0</v>
      </c>
      <c r="M5345" s="40">
        <v>42499.0</v>
      </c>
      <c r="N5345" s="40">
        <v>42506.0</v>
      </c>
      <c r="O5345" s="15" t="s">
        <v>1554</v>
      </c>
      <c r="Q5345" s="7"/>
    </row>
    <row r="5346">
      <c r="A5346" s="39" t="s">
        <v>20768</v>
      </c>
      <c r="B5346" s="15">
        <v>1662286.0</v>
      </c>
      <c r="C5346" s="15" t="s">
        <v>20769</v>
      </c>
      <c r="D5346" s="15">
        <v>321699.0</v>
      </c>
      <c r="E5346" s="15" t="s">
        <v>1557</v>
      </c>
      <c r="F5346" s="15" t="s">
        <v>2004</v>
      </c>
      <c r="G5346" s="7">
        <v>14.334</v>
      </c>
      <c r="H5346" s="15" t="s">
        <v>1918</v>
      </c>
      <c r="I5346" s="15" t="s">
        <v>1686</v>
      </c>
      <c r="J5346" s="15" t="s">
        <v>20770</v>
      </c>
      <c r="K5346" s="15">
        <v>16.0</v>
      </c>
      <c r="L5346" s="15">
        <v>16.0</v>
      </c>
      <c r="M5346" s="40">
        <v>42500.0</v>
      </c>
      <c r="N5346" s="40">
        <v>42506.0</v>
      </c>
      <c r="O5346" s="15" t="s">
        <v>1554</v>
      </c>
      <c r="Q5346" s="7"/>
    </row>
    <row r="5347">
      <c r="A5347" s="39" t="s">
        <v>20771</v>
      </c>
      <c r="B5347" s="15">
        <v>1843772.0</v>
      </c>
      <c r="C5347" s="15" t="s">
        <v>20772</v>
      </c>
      <c r="D5347" s="15">
        <v>321703.0</v>
      </c>
      <c r="E5347" s="15" t="s">
        <v>1577</v>
      </c>
      <c r="F5347" s="15" t="s">
        <v>1578</v>
      </c>
      <c r="G5347" s="7">
        <v>1.28</v>
      </c>
      <c r="H5347" s="15" t="s">
        <v>2548</v>
      </c>
      <c r="I5347" s="15" t="s">
        <v>1686</v>
      </c>
      <c r="J5347" s="15" t="s">
        <v>20773</v>
      </c>
      <c r="K5347" s="15">
        <v>1.0</v>
      </c>
      <c r="L5347" s="15">
        <v>1.0</v>
      </c>
      <c r="M5347" s="40">
        <v>42499.0</v>
      </c>
      <c r="N5347" s="40">
        <v>42506.0</v>
      </c>
      <c r="O5347" s="15" t="s">
        <v>1554</v>
      </c>
      <c r="Q5347" s="7"/>
    </row>
    <row r="5348">
      <c r="A5348" s="39" t="s">
        <v>20774</v>
      </c>
      <c r="B5348" s="15">
        <v>1843768.0</v>
      </c>
      <c r="C5348" s="15" t="s">
        <v>20775</v>
      </c>
      <c r="D5348" s="15">
        <v>321707.0</v>
      </c>
      <c r="E5348" s="15" t="s">
        <v>1577</v>
      </c>
      <c r="F5348" s="15" t="s">
        <v>1578</v>
      </c>
      <c r="G5348" s="7">
        <v>2.75</v>
      </c>
      <c r="H5348" s="15" t="s">
        <v>2178</v>
      </c>
      <c r="I5348" s="15" t="s">
        <v>1686</v>
      </c>
      <c r="J5348" s="15" t="s">
        <v>20777</v>
      </c>
      <c r="K5348" s="15">
        <v>2.0</v>
      </c>
      <c r="L5348" s="15">
        <v>2.0</v>
      </c>
      <c r="M5348" s="40">
        <v>42499.0</v>
      </c>
      <c r="N5348" s="40">
        <v>42506.0</v>
      </c>
      <c r="O5348" s="15" t="s">
        <v>1554</v>
      </c>
      <c r="Q5348" s="7"/>
    </row>
    <row r="5349">
      <c r="A5349" s="39" t="s">
        <v>20778</v>
      </c>
      <c r="B5349" s="15">
        <v>1769780.0</v>
      </c>
      <c r="C5349" s="15" t="s">
        <v>20779</v>
      </c>
      <c r="D5349" s="15">
        <v>321432.0</v>
      </c>
      <c r="E5349" s="15" t="s">
        <v>1548</v>
      </c>
      <c r="F5349" s="15" t="s">
        <v>2788</v>
      </c>
      <c r="G5349" s="7">
        <v>8.919</v>
      </c>
      <c r="H5349" s="15" t="s">
        <v>2392</v>
      </c>
      <c r="I5349" s="15" t="s">
        <v>1560</v>
      </c>
      <c r="J5349" s="15" t="s">
        <v>20780</v>
      </c>
      <c r="K5349" s="15">
        <v>2.0</v>
      </c>
      <c r="L5349" s="15">
        <v>2.0</v>
      </c>
      <c r="M5349" s="40">
        <v>42495.0</v>
      </c>
      <c r="N5349" s="40">
        <v>42506.0</v>
      </c>
      <c r="O5349" s="15" t="s">
        <v>1554</v>
      </c>
      <c r="Q5349" s="7"/>
    </row>
    <row r="5350">
      <c r="A5350" s="39" t="s">
        <v>20781</v>
      </c>
      <c r="B5350" s="15">
        <v>1843761.0</v>
      </c>
      <c r="C5350" s="15" t="s">
        <v>20782</v>
      </c>
      <c r="D5350" s="15">
        <v>321678.0</v>
      </c>
      <c r="E5350" s="15" t="s">
        <v>1664</v>
      </c>
      <c r="F5350" s="15" t="s">
        <v>15173</v>
      </c>
      <c r="G5350" s="7">
        <v>2.136</v>
      </c>
      <c r="H5350" s="15" t="s">
        <v>2351</v>
      </c>
      <c r="I5350" s="15" t="s">
        <v>1686</v>
      </c>
      <c r="J5350" s="15" t="s">
        <v>20783</v>
      </c>
      <c r="K5350" s="15">
        <v>3.0</v>
      </c>
      <c r="L5350" s="15">
        <v>3.0</v>
      </c>
      <c r="M5350" s="40">
        <v>42499.0</v>
      </c>
      <c r="N5350" s="40">
        <v>42506.0</v>
      </c>
      <c r="O5350" s="15" t="s">
        <v>1554</v>
      </c>
      <c r="Q5350" s="7"/>
    </row>
    <row r="5351">
      <c r="A5351" s="39" t="s">
        <v>20784</v>
      </c>
      <c r="B5351" s="15">
        <v>1843754.0</v>
      </c>
      <c r="C5351" s="15" t="s">
        <v>20786</v>
      </c>
      <c r="D5351" s="15">
        <v>321682.0</v>
      </c>
      <c r="E5351" s="15" t="s">
        <v>1577</v>
      </c>
      <c r="F5351" s="15" t="s">
        <v>1578</v>
      </c>
      <c r="G5351" s="7">
        <v>2.568</v>
      </c>
      <c r="H5351" s="15" t="s">
        <v>1700</v>
      </c>
      <c r="I5351" s="15" t="s">
        <v>1686</v>
      </c>
      <c r="J5351" s="15" t="s">
        <v>20787</v>
      </c>
      <c r="K5351" s="15">
        <v>2.0</v>
      </c>
      <c r="L5351" s="15">
        <v>2.0</v>
      </c>
      <c r="M5351" s="40">
        <v>42499.0</v>
      </c>
      <c r="N5351" s="40">
        <v>42506.0</v>
      </c>
      <c r="O5351" s="15" t="s">
        <v>1554</v>
      </c>
      <c r="Q5351" s="7"/>
    </row>
    <row r="5352">
      <c r="A5352" s="39" t="s">
        <v>20788</v>
      </c>
      <c r="B5352" s="15">
        <v>1843750.0</v>
      </c>
      <c r="C5352" s="15" t="s">
        <v>20789</v>
      </c>
      <c r="D5352" s="15">
        <v>321686.0</v>
      </c>
      <c r="E5352" s="15" t="s">
        <v>1577</v>
      </c>
      <c r="F5352" s="15" t="s">
        <v>1578</v>
      </c>
      <c r="G5352" s="7">
        <v>2.755</v>
      </c>
      <c r="H5352" s="15" t="s">
        <v>1918</v>
      </c>
      <c r="I5352" s="15" t="s">
        <v>1686</v>
      </c>
      <c r="J5352" s="15" t="s">
        <v>20790</v>
      </c>
      <c r="K5352" s="15">
        <v>2.0</v>
      </c>
      <c r="L5352" s="15">
        <v>2.0</v>
      </c>
      <c r="M5352" s="40">
        <v>42499.0</v>
      </c>
      <c r="N5352" s="40">
        <v>42506.0</v>
      </c>
      <c r="O5352" s="15" t="s">
        <v>1554</v>
      </c>
      <c r="Q5352" s="7"/>
    </row>
    <row r="5353">
      <c r="A5353" s="39" t="s">
        <v>20791</v>
      </c>
      <c r="B5353" s="15">
        <v>1843740.0</v>
      </c>
      <c r="C5353" s="15" t="s">
        <v>20792</v>
      </c>
      <c r="D5353" s="15">
        <v>321690.0</v>
      </c>
      <c r="E5353" s="15" t="s">
        <v>1664</v>
      </c>
      <c r="F5353" s="15" t="s">
        <v>15173</v>
      </c>
      <c r="G5353" s="7">
        <v>2.247</v>
      </c>
      <c r="H5353" s="15" t="s">
        <v>1640</v>
      </c>
      <c r="I5353" s="15" t="s">
        <v>1686</v>
      </c>
      <c r="J5353" s="15" t="s">
        <v>20794</v>
      </c>
      <c r="K5353" s="15">
        <v>3.0</v>
      </c>
      <c r="L5353" s="15">
        <v>3.0</v>
      </c>
      <c r="M5353" s="40">
        <v>42499.0</v>
      </c>
      <c r="N5353" s="40">
        <v>42506.0</v>
      </c>
      <c r="O5353" s="15" t="s">
        <v>1554</v>
      </c>
      <c r="Q5353" s="7"/>
    </row>
    <row r="5354">
      <c r="A5354" s="39" t="s">
        <v>20795</v>
      </c>
      <c r="B5354" s="15">
        <v>1843736.0</v>
      </c>
      <c r="C5354" s="15" t="s">
        <v>20796</v>
      </c>
      <c r="D5354" s="15">
        <v>321694.0</v>
      </c>
      <c r="E5354" s="15" t="s">
        <v>1664</v>
      </c>
      <c r="F5354" s="15" t="s">
        <v>15173</v>
      </c>
      <c r="G5354" s="7">
        <v>2.384</v>
      </c>
      <c r="H5354" s="15" t="s">
        <v>3798</v>
      </c>
      <c r="I5354" s="15" t="s">
        <v>1686</v>
      </c>
      <c r="J5354" s="15" t="s">
        <v>20797</v>
      </c>
      <c r="K5354" s="15">
        <v>3.0</v>
      </c>
      <c r="L5354" s="15">
        <v>3.0</v>
      </c>
      <c r="M5354" s="40">
        <v>42499.0</v>
      </c>
      <c r="N5354" s="40">
        <v>42506.0</v>
      </c>
      <c r="O5354" s="15" t="s">
        <v>1554</v>
      </c>
      <c r="Q5354" s="7"/>
    </row>
    <row r="5355">
      <c r="A5355" s="39" t="s">
        <v>20798</v>
      </c>
      <c r="B5355" s="15">
        <v>170325.0</v>
      </c>
      <c r="C5355" s="15" t="s">
        <v>20799</v>
      </c>
      <c r="D5355" s="15">
        <v>321698.0</v>
      </c>
      <c r="E5355" s="15" t="s">
        <v>1557</v>
      </c>
      <c r="F5355" s="15" t="s">
        <v>1827</v>
      </c>
      <c r="G5355" s="7">
        <v>125.171</v>
      </c>
      <c r="H5355" s="15" t="s">
        <v>13695</v>
      </c>
      <c r="I5355" s="15" t="s">
        <v>1686</v>
      </c>
      <c r="J5355" s="15" t="s">
        <v>20801</v>
      </c>
      <c r="K5355" s="15">
        <v>76.0</v>
      </c>
      <c r="L5355" s="15">
        <v>76.0</v>
      </c>
      <c r="M5355" s="40">
        <v>42502.0</v>
      </c>
      <c r="N5355" s="40">
        <v>42551.0</v>
      </c>
      <c r="O5355" s="15" t="s">
        <v>1554</v>
      </c>
      <c r="Q5355" s="7"/>
    </row>
    <row r="5356">
      <c r="A5356" s="39" t="s">
        <v>20802</v>
      </c>
      <c r="B5356" s="15">
        <v>1843773.0</v>
      </c>
      <c r="C5356" s="15" t="s">
        <v>20803</v>
      </c>
      <c r="D5356" s="15">
        <v>321702.0</v>
      </c>
      <c r="E5356" s="15" t="s">
        <v>1577</v>
      </c>
      <c r="F5356" s="15" t="s">
        <v>1578</v>
      </c>
      <c r="G5356" s="7">
        <v>2.589</v>
      </c>
      <c r="H5356" s="15" t="s">
        <v>1802</v>
      </c>
      <c r="I5356" s="15" t="s">
        <v>1706</v>
      </c>
      <c r="J5356" s="15" t="s">
        <v>20804</v>
      </c>
      <c r="K5356" s="15">
        <v>2.0</v>
      </c>
      <c r="L5356" s="15">
        <v>2.0</v>
      </c>
      <c r="M5356" s="40">
        <v>42499.0</v>
      </c>
      <c r="N5356" s="40">
        <v>42593.0</v>
      </c>
      <c r="O5356" s="15" t="s">
        <v>1554</v>
      </c>
      <c r="Q5356" s="7"/>
    </row>
    <row r="5357">
      <c r="A5357" s="39" t="s">
        <v>20805</v>
      </c>
      <c r="B5357" s="15">
        <v>1843769.0</v>
      </c>
      <c r="C5357" s="15" t="s">
        <v>20806</v>
      </c>
      <c r="D5357" s="15">
        <v>321706.0</v>
      </c>
      <c r="E5357" s="15" t="s">
        <v>1577</v>
      </c>
      <c r="F5357" s="15" t="s">
        <v>1578</v>
      </c>
      <c r="G5357" s="7">
        <v>1.845</v>
      </c>
      <c r="H5357" s="15" t="s">
        <v>3678</v>
      </c>
      <c r="I5357" s="15" t="s">
        <v>1686</v>
      </c>
      <c r="J5357" s="15" t="s">
        <v>20807</v>
      </c>
      <c r="K5357" s="15">
        <v>2.0</v>
      </c>
      <c r="L5357" s="15">
        <v>2.0</v>
      </c>
      <c r="M5357" s="40">
        <v>42499.0</v>
      </c>
      <c r="N5357" s="40">
        <v>42506.0</v>
      </c>
      <c r="O5357" s="15" t="s">
        <v>1554</v>
      </c>
      <c r="Q5357" s="7"/>
    </row>
    <row r="5358">
      <c r="A5358" s="39" t="s">
        <v>20809</v>
      </c>
      <c r="B5358" s="15">
        <v>1843765.0</v>
      </c>
      <c r="C5358" s="15" t="s">
        <v>20810</v>
      </c>
      <c r="D5358" s="15">
        <v>321710.0</v>
      </c>
      <c r="E5358" s="15" t="s">
        <v>1577</v>
      </c>
      <c r="F5358" s="15" t="s">
        <v>1578</v>
      </c>
      <c r="G5358" s="7">
        <v>2.782</v>
      </c>
      <c r="H5358" s="15" t="s">
        <v>2597</v>
      </c>
      <c r="I5358" s="15" t="s">
        <v>1686</v>
      </c>
      <c r="J5358" s="15" t="s">
        <v>20811</v>
      </c>
      <c r="K5358" s="15">
        <v>2.0</v>
      </c>
      <c r="L5358" s="15">
        <v>2.0</v>
      </c>
      <c r="M5358" s="40">
        <v>42499.0</v>
      </c>
      <c r="N5358" s="40">
        <v>42506.0</v>
      </c>
      <c r="O5358" s="15" t="s">
        <v>1554</v>
      </c>
      <c r="Q5358" s="7"/>
    </row>
    <row r="5359">
      <c r="A5359" s="39" t="s">
        <v>20812</v>
      </c>
      <c r="B5359" s="15">
        <v>1840528.0</v>
      </c>
      <c r="C5359" s="15" t="s">
        <v>20813</v>
      </c>
      <c r="D5359" s="15">
        <v>321430.0</v>
      </c>
      <c r="E5359" s="15" t="s">
        <v>1638</v>
      </c>
      <c r="F5359" s="15" t="s">
        <v>1863</v>
      </c>
      <c r="G5359" s="7">
        <v>24.899</v>
      </c>
      <c r="H5359" s="15" t="s">
        <v>20814</v>
      </c>
      <c r="I5359" s="15" t="s">
        <v>1552</v>
      </c>
      <c r="J5359" s="15" t="s">
        <v>20815</v>
      </c>
      <c r="K5359" s="15">
        <v>12.0</v>
      </c>
      <c r="L5359" s="15">
        <v>12.0</v>
      </c>
      <c r="M5359" s="40">
        <v>42499.0</v>
      </c>
      <c r="N5359" s="40">
        <v>42782.0</v>
      </c>
      <c r="O5359" s="15" t="s">
        <v>1554</v>
      </c>
      <c r="Q5359" s="7"/>
    </row>
    <row r="5360">
      <c r="A5360" s="39" t="s">
        <v>20817</v>
      </c>
      <c r="B5360" s="15">
        <v>1843762.0</v>
      </c>
      <c r="C5360" s="15" t="s">
        <v>20818</v>
      </c>
      <c r="D5360" s="15">
        <v>321677.0</v>
      </c>
      <c r="E5360" s="15" t="s">
        <v>1577</v>
      </c>
      <c r="F5360" s="15" t="s">
        <v>1578</v>
      </c>
      <c r="G5360" s="7">
        <v>2.684</v>
      </c>
      <c r="H5360" s="15" t="s">
        <v>3432</v>
      </c>
      <c r="I5360" s="15" t="s">
        <v>1686</v>
      </c>
      <c r="J5360" s="15" t="s">
        <v>20819</v>
      </c>
      <c r="K5360" s="15">
        <v>2.0</v>
      </c>
      <c r="L5360" s="15">
        <v>2.0</v>
      </c>
      <c r="M5360" s="40">
        <v>42499.0</v>
      </c>
      <c r="N5360" s="40">
        <v>42506.0</v>
      </c>
      <c r="O5360" s="15" t="s">
        <v>1554</v>
      </c>
      <c r="Q5360" s="7"/>
    </row>
    <row r="5361">
      <c r="A5361" s="39" t="s">
        <v>20820</v>
      </c>
      <c r="B5361" s="15">
        <v>1843756.0</v>
      </c>
      <c r="C5361" s="15" t="s">
        <v>20821</v>
      </c>
      <c r="D5361" s="15">
        <v>321681.0</v>
      </c>
      <c r="E5361" s="15" t="s">
        <v>1577</v>
      </c>
      <c r="F5361" s="15" t="s">
        <v>1578</v>
      </c>
      <c r="G5361" s="7">
        <v>2.861</v>
      </c>
      <c r="H5361" s="15" t="s">
        <v>2945</v>
      </c>
      <c r="I5361" s="15" t="s">
        <v>1686</v>
      </c>
      <c r="J5361" s="15" t="s">
        <v>20822</v>
      </c>
      <c r="K5361" s="15">
        <v>2.0</v>
      </c>
      <c r="L5361" s="15">
        <v>2.0</v>
      </c>
      <c r="M5361" s="40">
        <v>42499.0</v>
      </c>
      <c r="N5361" s="40">
        <v>42506.0</v>
      </c>
      <c r="O5361" s="15" t="s">
        <v>1554</v>
      </c>
      <c r="Q5361" s="7"/>
    </row>
    <row r="5362">
      <c r="A5362" s="39" t="s">
        <v>20824</v>
      </c>
      <c r="B5362" s="15">
        <v>1843751.0</v>
      </c>
      <c r="C5362" s="15" t="s">
        <v>20825</v>
      </c>
      <c r="D5362" s="15">
        <v>321685.0</v>
      </c>
      <c r="E5362" s="15" t="s">
        <v>1577</v>
      </c>
      <c r="F5362" s="15" t="s">
        <v>1578</v>
      </c>
      <c r="G5362" s="7">
        <v>2.623</v>
      </c>
      <c r="H5362" s="15" t="s">
        <v>2901</v>
      </c>
      <c r="I5362" s="15" t="s">
        <v>1686</v>
      </c>
      <c r="J5362" s="15" t="s">
        <v>20826</v>
      </c>
      <c r="K5362" s="15">
        <v>2.0</v>
      </c>
      <c r="L5362" s="15">
        <v>2.0</v>
      </c>
      <c r="M5362" s="40">
        <v>42499.0</v>
      </c>
      <c r="N5362" s="40">
        <v>42506.0</v>
      </c>
      <c r="O5362" s="15" t="s">
        <v>1554</v>
      </c>
      <c r="Q5362" s="7"/>
    </row>
    <row r="5363">
      <c r="A5363" s="39" t="s">
        <v>20827</v>
      </c>
      <c r="B5363" s="15">
        <v>1843741.0</v>
      </c>
      <c r="C5363" s="15" t="s">
        <v>20828</v>
      </c>
      <c r="D5363" s="15">
        <v>321689.0</v>
      </c>
      <c r="E5363" s="15" t="s">
        <v>1664</v>
      </c>
      <c r="F5363" s="15" t="s">
        <v>15173</v>
      </c>
      <c r="G5363" s="7">
        <v>2.125</v>
      </c>
      <c r="H5363" s="15" t="s">
        <v>2296</v>
      </c>
      <c r="I5363" s="15" t="s">
        <v>1686</v>
      </c>
      <c r="J5363" s="15" t="s">
        <v>20829</v>
      </c>
      <c r="K5363" s="15">
        <v>3.0</v>
      </c>
      <c r="L5363" s="15">
        <v>3.0</v>
      </c>
      <c r="M5363" s="40">
        <v>42499.0</v>
      </c>
      <c r="N5363" s="40">
        <v>42506.0</v>
      </c>
      <c r="O5363" s="15" t="s">
        <v>1554</v>
      </c>
      <c r="Q5363" s="7"/>
    </row>
    <row r="5364">
      <c r="A5364" s="39" t="s">
        <v>20830</v>
      </c>
      <c r="B5364" s="15">
        <v>1843737.0</v>
      </c>
      <c r="C5364" s="15" t="s">
        <v>20831</v>
      </c>
      <c r="D5364" s="15">
        <v>321693.0</v>
      </c>
      <c r="E5364" s="15" t="s">
        <v>1664</v>
      </c>
      <c r="F5364" s="15" t="s">
        <v>15173</v>
      </c>
      <c r="G5364" s="7">
        <v>2.23</v>
      </c>
      <c r="H5364" s="15" t="s">
        <v>2300</v>
      </c>
      <c r="I5364" s="15" t="s">
        <v>1686</v>
      </c>
      <c r="J5364" s="15" t="s">
        <v>20833</v>
      </c>
      <c r="K5364" s="15">
        <v>3.0</v>
      </c>
      <c r="L5364" s="15">
        <v>3.0</v>
      </c>
      <c r="M5364" s="40">
        <v>42499.0</v>
      </c>
      <c r="N5364" s="40">
        <v>42506.0</v>
      </c>
      <c r="O5364" s="15" t="s">
        <v>1554</v>
      </c>
      <c r="Q5364" s="7"/>
    </row>
    <row r="5365">
      <c r="A5365" s="39" t="s">
        <v>20834</v>
      </c>
      <c r="B5365" s="15">
        <v>1792583.0</v>
      </c>
      <c r="C5365" s="15" t="s">
        <v>20835</v>
      </c>
      <c r="D5365" s="15">
        <v>321697.0</v>
      </c>
      <c r="E5365" s="15" t="s">
        <v>1548</v>
      </c>
      <c r="F5365" s="15" t="s">
        <v>1911</v>
      </c>
      <c r="G5365" s="7">
        <v>9.896</v>
      </c>
      <c r="H5365" s="15">
        <v>42.0</v>
      </c>
      <c r="I5365" s="15" t="s">
        <v>1628</v>
      </c>
      <c r="J5365" s="15" t="s">
        <v>20836</v>
      </c>
      <c r="K5365" s="15">
        <v>1.0</v>
      </c>
      <c r="L5365" s="15">
        <v>1.0</v>
      </c>
      <c r="M5365" s="40">
        <v>42490.0</v>
      </c>
      <c r="N5365" s="40">
        <v>42506.0</v>
      </c>
      <c r="O5365" s="15" t="s">
        <v>1554</v>
      </c>
      <c r="Q5365" s="7"/>
    </row>
    <row r="5366">
      <c r="A5366" s="39" t="s">
        <v>20837</v>
      </c>
      <c r="B5366" s="15">
        <v>1843770.0</v>
      </c>
      <c r="C5366" s="15" t="s">
        <v>20838</v>
      </c>
      <c r="D5366" s="15">
        <v>321705.0</v>
      </c>
      <c r="E5366" s="15" t="s">
        <v>1577</v>
      </c>
      <c r="F5366" s="15" t="s">
        <v>1578</v>
      </c>
      <c r="G5366" s="7">
        <v>1.856</v>
      </c>
      <c r="H5366" s="42">
        <v>43159.0</v>
      </c>
      <c r="I5366" s="15" t="s">
        <v>1686</v>
      </c>
      <c r="J5366" s="15" t="s">
        <v>20839</v>
      </c>
      <c r="K5366" s="15">
        <v>2.0</v>
      </c>
      <c r="L5366" s="15">
        <v>2.0</v>
      </c>
      <c r="M5366" s="40">
        <v>42499.0</v>
      </c>
      <c r="N5366" s="40">
        <v>42506.0</v>
      </c>
      <c r="O5366" s="15" t="s">
        <v>1554</v>
      </c>
      <c r="Q5366" s="7"/>
    </row>
    <row r="5367">
      <c r="A5367" s="39" t="s">
        <v>20840</v>
      </c>
      <c r="B5367" s="15">
        <v>1843766.0</v>
      </c>
      <c r="C5367" s="15" t="s">
        <v>20841</v>
      </c>
      <c r="D5367" s="15">
        <v>321709.0</v>
      </c>
      <c r="E5367" s="15" t="s">
        <v>1577</v>
      </c>
      <c r="F5367" s="15" t="s">
        <v>1578</v>
      </c>
      <c r="G5367" s="7">
        <v>2.684</v>
      </c>
      <c r="H5367" s="15">
        <v>48.0</v>
      </c>
      <c r="I5367" s="15" t="s">
        <v>1686</v>
      </c>
      <c r="J5367" s="15" t="s">
        <v>20843</v>
      </c>
      <c r="K5367" s="15">
        <v>2.0</v>
      </c>
      <c r="L5367" s="15">
        <v>2.0</v>
      </c>
      <c r="M5367" s="40">
        <v>42499.0</v>
      </c>
      <c r="N5367" s="40">
        <v>42506.0</v>
      </c>
      <c r="O5367" s="15" t="s">
        <v>1554</v>
      </c>
      <c r="Q5367" s="7"/>
    </row>
    <row r="5368">
      <c r="A5368" s="39" t="s">
        <v>20844</v>
      </c>
      <c r="B5368" s="15">
        <v>1843763.0</v>
      </c>
      <c r="C5368" s="15" t="s">
        <v>20845</v>
      </c>
      <c r="D5368" s="15">
        <v>321676.0</v>
      </c>
      <c r="E5368" s="15" t="s">
        <v>1577</v>
      </c>
      <c r="F5368" s="15" t="s">
        <v>1578</v>
      </c>
      <c r="G5368" s="7">
        <v>1.474</v>
      </c>
      <c r="H5368" s="15" t="s">
        <v>2396</v>
      </c>
      <c r="I5368" s="15" t="s">
        <v>1686</v>
      </c>
      <c r="J5368" s="15" t="s">
        <v>20846</v>
      </c>
      <c r="K5368" s="15">
        <v>1.0</v>
      </c>
      <c r="L5368" s="15">
        <v>1.0</v>
      </c>
      <c r="M5368" s="40">
        <v>42499.0</v>
      </c>
      <c r="N5368" s="40">
        <v>42506.0</v>
      </c>
      <c r="O5368" s="15" t="s">
        <v>1554</v>
      </c>
      <c r="Q5368" s="7"/>
    </row>
    <row r="5369">
      <c r="A5369" s="39" t="s">
        <v>20847</v>
      </c>
      <c r="B5369" s="15">
        <v>1843757.0</v>
      </c>
      <c r="C5369" s="15" t="s">
        <v>20849</v>
      </c>
      <c r="D5369" s="15">
        <v>321680.0</v>
      </c>
      <c r="E5369" s="15" t="s">
        <v>1577</v>
      </c>
      <c r="F5369" s="15" t="s">
        <v>1578</v>
      </c>
      <c r="G5369" s="7">
        <v>2.712</v>
      </c>
      <c r="H5369" s="15" t="s">
        <v>4215</v>
      </c>
      <c r="I5369" s="15" t="s">
        <v>1686</v>
      </c>
      <c r="J5369" s="15" t="s">
        <v>20850</v>
      </c>
      <c r="K5369" s="15">
        <v>2.0</v>
      </c>
      <c r="L5369" s="15">
        <v>2.0</v>
      </c>
      <c r="M5369" s="40">
        <v>42499.0</v>
      </c>
      <c r="N5369" s="40">
        <v>42506.0</v>
      </c>
      <c r="O5369" s="15" t="s">
        <v>1554</v>
      </c>
      <c r="Q5369" s="7"/>
    </row>
    <row r="5370">
      <c r="A5370" s="39" t="s">
        <v>20851</v>
      </c>
      <c r="B5370" s="15">
        <v>1843752.0</v>
      </c>
      <c r="C5370" s="15" t="s">
        <v>20852</v>
      </c>
      <c r="D5370" s="15">
        <v>321684.0</v>
      </c>
      <c r="E5370" s="15" t="s">
        <v>1577</v>
      </c>
      <c r="F5370" s="15" t="s">
        <v>1578</v>
      </c>
      <c r="G5370" s="7">
        <v>2.645</v>
      </c>
      <c r="H5370" s="15" t="s">
        <v>2000</v>
      </c>
      <c r="I5370" s="15" t="s">
        <v>1686</v>
      </c>
      <c r="J5370" s="15" t="s">
        <v>20853</v>
      </c>
      <c r="K5370" s="15">
        <v>2.0</v>
      </c>
      <c r="L5370" s="15">
        <v>2.0</v>
      </c>
      <c r="M5370" s="40">
        <v>42499.0</v>
      </c>
      <c r="N5370" s="40">
        <v>42506.0</v>
      </c>
      <c r="O5370" s="15" t="s">
        <v>1554</v>
      </c>
      <c r="Q5370" s="7"/>
    </row>
    <row r="5371">
      <c r="A5371" s="39" t="s">
        <v>20854</v>
      </c>
      <c r="B5371" s="15">
        <v>1843742.0</v>
      </c>
      <c r="C5371" s="15" t="s">
        <v>20855</v>
      </c>
      <c r="D5371" s="15">
        <v>321688.0</v>
      </c>
      <c r="E5371" s="15" t="s">
        <v>1664</v>
      </c>
      <c r="F5371" s="15" t="s">
        <v>15173</v>
      </c>
      <c r="G5371" s="7">
        <v>2.164</v>
      </c>
      <c r="H5371" s="15" t="s">
        <v>5179</v>
      </c>
      <c r="I5371" s="15" t="s">
        <v>1686</v>
      </c>
      <c r="J5371" s="15" t="s">
        <v>20856</v>
      </c>
      <c r="K5371" s="15">
        <v>3.0</v>
      </c>
      <c r="L5371" s="15">
        <v>3.0</v>
      </c>
      <c r="M5371" s="40">
        <v>42499.0</v>
      </c>
      <c r="N5371" s="40">
        <v>42506.0</v>
      </c>
      <c r="O5371" s="15" t="s">
        <v>1554</v>
      </c>
      <c r="Q5371" s="7"/>
    </row>
    <row r="5372">
      <c r="A5372" s="39" t="s">
        <v>20857</v>
      </c>
      <c r="B5372" s="15">
        <v>1843738.0</v>
      </c>
      <c r="C5372" s="15" t="s">
        <v>20859</v>
      </c>
      <c r="D5372" s="15">
        <v>321692.0</v>
      </c>
      <c r="E5372" s="15" t="s">
        <v>1664</v>
      </c>
      <c r="F5372" s="15" t="s">
        <v>15173</v>
      </c>
      <c r="G5372" s="7">
        <v>2.24</v>
      </c>
      <c r="H5372" s="15" t="s">
        <v>2263</v>
      </c>
      <c r="I5372" s="15" t="s">
        <v>1686</v>
      </c>
      <c r="J5372" s="15" t="s">
        <v>20860</v>
      </c>
      <c r="K5372" s="15">
        <v>3.0</v>
      </c>
      <c r="L5372" s="15">
        <v>3.0</v>
      </c>
      <c r="M5372" s="40">
        <v>42499.0</v>
      </c>
      <c r="N5372" s="40">
        <v>42506.0</v>
      </c>
      <c r="O5372" s="15" t="s">
        <v>1554</v>
      </c>
      <c r="Q5372" s="7"/>
    </row>
    <row r="5373">
      <c r="A5373" s="39" t="s">
        <v>20861</v>
      </c>
      <c r="B5373" s="15">
        <v>1843734.0</v>
      </c>
      <c r="C5373" s="15" t="s">
        <v>20862</v>
      </c>
      <c r="D5373" s="15">
        <v>321696.0</v>
      </c>
      <c r="E5373" s="15" t="s">
        <v>1664</v>
      </c>
      <c r="F5373" s="15" t="s">
        <v>15173</v>
      </c>
      <c r="G5373" s="7">
        <v>2.194</v>
      </c>
      <c r="H5373" s="15" t="s">
        <v>4606</v>
      </c>
      <c r="I5373" s="15" t="s">
        <v>1686</v>
      </c>
      <c r="J5373" s="15" t="s">
        <v>20863</v>
      </c>
      <c r="K5373" s="15">
        <v>3.0</v>
      </c>
      <c r="L5373" s="15">
        <v>3.0</v>
      </c>
      <c r="M5373" s="40">
        <v>42499.0</v>
      </c>
      <c r="N5373" s="40">
        <v>42506.0</v>
      </c>
      <c r="O5373" s="15" t="s">
        <v>1554</v>
      </c>
      <c r="Q5373" s="7"/>
    </row>
    <row r="5374">
      <c r="A5374" s="39" t="s">
        <v>20864</v>
      </c>
      <c r="B5374" s="15">
        <v>1434070.0</v>
      </c>
      <c r="C5374" s="15" t="s">
        <v>20865</v>
      </c>
      <c r="D5374" s="15">
        <v>321700.0</v>
      </c>
      <c r="E5374" s="15" t="s">
        <v>1557</v>
      </c>
      <c r="F5374" s="15" t="s">
        <v>1822</v>
      </c>
      <c r="G5374" s="7">
        <v>8.082</v>
      </c>
      <c r="H5374" s="15">
        <v>45.0</v>
      </c>
      <c r="I5374" s="15" t="s">
        <v>1686</v>
      </c>
      <c r="J5374" s="15" t="s">
        <v>20867</v>
      </c>
      <c r="K5374" s="15">
        <v>6.0</v>
      </c>
      <c r="L5374" s="15">
        <v>6.0</v>
      </c>
      <c r="M5374" s="40">
        <v>42501.0</v>
      </c>
      <c r="N5374" s="40">
        <v>42506.0</v>
      </c>
      <c r="O5374" s="15" t="s">
        <v>1554</v>
      </c>
      <c r="Q5374" s="7"/>
    </row>
    <row r="5375">
      <c r="A5375" s="39" t="s">
        <v>20868</v>
      </c>
      <c r="B5375" s="15">
        <v>1843771.0</v>
      </c>
      <c r="C5375" s="15" t="s">
        <v>20869</v>
      </c>
      <c r="D5375" s="15">
        <v>321704.0</v>
      </c>
      <c r="E5375" s="15" t="s">
        <v>1577</v>
      </c>
      <c r="F5375" s="15" t="s">
        <v>1578</v>
      </c>
      <c r="G5375" s="7">
        <v>2.002</v>
      </c>
      <c r="H5375" s="15" t="s">
        <v>3538</v>
      </c>
      <c r="I5375" s="15" t="s">
        <v>1686</v>
      </c>
      <c r="J5375" s="15" t="s">
        <v>20870</v>
      </c>
      <c r="K5375" s="15">
        <v>2.0</v>
      </c>
      <c r="L5375" s="15">
        <v>2.0</v>
      </c>
      <c r="M5375" s="40">
        <v>42499.0</v>
      </c>
      <c r="N5375" s="40">
        <v>42506.0</v>
      </c>
      <c r="O5375" s="15" t="s">
        <v>1554</v>
      </c>
      <c r="Q5375" s="7"/>
    </row>
    <row r="5376">
      <c r="A5376" s="39" t="s">
        <v>20871</v>
      </c>
      <c r="B5376" s="15">
        <v>1843767.0</v>
      </c>
      <c r="C5376" s="15" t="s">
        <v>20873</v>
      </c>
      <c r="D5376" s="15">
        <v>321708.0</v>
      </c>
      <c r="E5376" s="15" t="s">
        <v>1577</v>
      </c>
      <c r="F5376" s="15" t="s">
        <v>1578</v>
      </c>
      <c r="G5376" s="7">
        <v>2.355</v>
      </c>
      <c r="H5376" s="15" t="s">
        <v>8889</v>
      </c>
      <c r="I5376" s="15" t="s">
        <v>1686</v>
      </c>
      <c r="J5376" s="15" t="s">
        <v>20874</v>
      </c>
      <c r="K5376" s="15">
        <v>2.0</v>
      </c>
      <c r="L5376" s="15">
        <v>2.0</v>
      </c>
      <c r="M5376" s="40">
        <v>42499.0</v>
      </c>
      <c r="N5376" s="40">
        <v>42506.0</v>
      </c>
      <c r="O5376" s="15" t="s">
        <v>1554</v>
      </c>
      <c r="Q5376" s="7"/>
    </row>
    <row r="5377">
      <c r="A5377" s="39" t="s">
        <v>20875</v>
      </c>
      <c r="B5377" s="15">
        <v>1848042.0</v>
      </c>
      <c r="C5377" s="15" t="s">
        <v>20876</v>
      </c>
      <c r="D5377" s="15">
        <v>322182.0</v>
      </c>
      <c r="E5377" s="15" t="s">
        <v>1638</v>
      </c>
      <c r="F5377" s="15" t="s">
        <v>1578</v>
      </c>
      <c r="G5377" s="7">
        <v>9.518</v>
      </c>
      <c r="H5377" s="15" t="s">
        <v>1918</v>
      </c>
      <c r="I5377" s="15" t="s">
        <v>1628</v>
      </c>
      <c r="J5377" s="15" t="s">
        <v>20877</v>
      </c>
      <c r="K5377" s="15">
        <v>2.0</v>
      </c>
      <c r="L5377" s="15">
        <v>2.0</v>
      </c>
      <c r="M5377" s="40">
        <v>42508.0</v>
      </c>
      <c r="N5377" s="40">
        <v>42513.0</v>
      </c>
      <c r="O5377" s="15" t="s">
        <v>1554</v>
      </c>
      <c r="Q5377" s="7"/>
    </row>
    <row r="5378">
      <c r="A5378" s="39" t="s">
        <v>20878</v>
      </c>
      <c r="B5378" s="15">
        <v>1435450.0</v>
      </c>
      <c r="C5378" s="15" t="s">
        <v>20879</v>
      </c>
      <c r="D5378" s="15">
        <v>322486.0</v>
      </c>
      <c r="E5378" s="15" t="s">
        <v>1548</v>
      </c>
      <c r="F5378" s="15" t="s">
        <v>2900</v>
      </c>
      <c r="G5378" s="7">
        <v>4.483</v>
      </c>
      <c r="H5378" s="15" t="s">
        <v>3776</v>
      </c>
      <c r="I5378" s="15" t="s">
        <v>1628</v>
      </c>
      <c r="J5378" s="15" t="s">
        <v>20881</v>
      </c>
      <c r="K5378" s="15">
        <v>2.0</v>
      </c>
      <c r="L5378" s="15">
        <v>2.0</v>
      </c>
      <c r="M5378" s="40">
        <v>41698.0</v>
      </c>
      <c r="N5378" s="40">
        <v>42513.0</v>
      </c>
      <c r="O5378" s="15" t="s">
        <v>1554</v>
      </c>
      <c r="Q5378" s="7"/>
    </row>
    <row r="5379">
      <c r="A5379" s="39" t="s">
        <v>20882</v>
      </c>
      <c r="B5379" s="15">
        <v>1844928.0</v>
      </c>
      <c r="C5379" s="15" t="s">
        <v>20883</v>
      </c>
      <c r="D5379" s="15">
        <v>322193.0</v>
      </c>
      <c r="E5379" s="15" t="s">
        <v>1808</v>
      </c>
      <c r="F5379" s="15" t="s">
        <v>1998</v>
      </c>
      <c r="G5379" s="7">
        <v>1.939</v>
      </c>
      <c r="H5379" s="15">
        <v>49.0</v>
      </c>
      <c r="I5379" s="15" t="s">
        <v>1686</v>
      </c>
      <c r="J5379" s="15" t="s">
        <v>20884</v>
      </c>
      <c r="K5379" s="15">
        <v>1.0</v>
      </c>
      <c r="L5379" s="15">
        <v>1.0</v>
      </c>
      <c r="M5379" s="40">
        <v>42504.0</v>
      </c>
      <c r="N5379" s="40">
        <v>42513.0</v>
      </c>
      <c r="O5379" s="15" t="s">
        <v>1554</v>
      </c>
      <c r="Q5379" s="7"/>
    </row>
    <row r="5380">
      <c r="A5380" s="39" t="s">
        <v>20885</v>
      </c>
      <c r="B5380" s="15">
        <v>1848040.0</v>
      </c>
      <c r="C5380" s="15" t="s">
        <v>20886</v>
      </c>
      <c r="D5380" s="15">
        <v>322487.0</v>
      </c>
      <c r="E5380" s="15" t="s">
        <v>1916</v>
      </c>
      <c r="F5380" s="15" t="s">
        <v>1917</v>
      </c>
      <c r="G5380" s="7">
        <v>7.535</v>
      </c>
      <c r="H5380" s="15" t="s">
        <v>4553</v>
      </c>
      <c r="I5380" s="15" t="s">
        <v>1628</v>
      </c>
      <c r="J5380" s="15" t="s">
        <v>20887</v>
      </c>
      <c r="K5380" s="15">
        <v>9.0</v>
      </c>
      <c r="L5380" s="15">
        <v>9.0</v>
      </c>
      <c r="M5380" s="40">
        <v>42505.0</v>
      </c>
      <c r="N5380" s="40">
        <v>42513.0</v>
      </c>
      <c r="O5380" s="15" t="s">
        <v>1554</v>
      </c>
      <c r="Q5380" s="7"/>
    </row>
    <row r="5381">
      <c r="A5381" s="39" t="s">
        <v>20888</v>
      </c>
      <c r="B5381" s="15">
        <v>1844927.0</v>
      </c>
      <c r="C5381" s="15" t="s">
        <v>20889</v>
      </c>
      <c r="D5381" s="15">
        <v>322485.0</v>
      </c>
      <c r="E5381" s="15" t="s">
        <v>1577</v>
      </c>
      <c r="F5381" s="15" t="s">
        <v>1578</v>
      </c>
      <c r="G5381" s="7">
        <v>11.163</v>
      </c>
      <c r="H5381" s="15" t="s">
        <v>1745</v>
      </c>
      <c r="I5381" s="15" t="s">
        <v>1560</v>
      </c>
      <c r="J5381" s="15" t="s">
        <v>20890</v>
      </c>
      <c r="K5381" s="15">
        <v>4.0</v>
      </c>
      <c r="L5381" s="15">
        <v>4.0</v>
      </c>
      <c r="M5381" s="40">
        <v>42504.0</v>
      </c>
      <c r="N5381" s="41">
        <v>43035.0</v>
      </c>
      <c r="O5381" s="15" t="s">
        <v>1554</v>
      </c>
      <c r="Q5381" s="7"/>
    </row>
    <row r="5382">
      <c r="A5382" s="39" t="s">
        <v>20892</v>
      </c>
      <c r="B5382" s="15">
        <v>1846169.0</v>
      </c>
      <c r="C5382" s="15" t="s">
        <v>20893</v>
      </c>
      <c r="D5382" s="15">
        <v>322484.0</v>
      </c>
      <c r="E5382" s="15" t="s">
        <v>1557</v>
      </c>
      <c r="F5382" s="15" t="s">
        <v>1827</v>
      </c>
      <c r="G5382" s="7">
        <v>137.448</v>
      </c>
      <c r="H5382" s="15" t="s">
        <v>4149</v>
      </c>
      <c r="I5382" s="15" t="s">
        <v>1686</v>
      </c>
      <c r="J5382" s="15" t="s">
        <v>20894</v>
      </c>
      <c r="K5382" s="15">
        <v>84.0</v>
      </c>
      <c r="L5382" s="15">
        <v>84.0</v>
      </c>
      <c r="M5382" s="40">
        <v>42504.0</v>
      </c>
      <c r="N5382" s="40">
        <v>42513.0</v>
      </c>
      <c r="O5382" s="15" t="s">
        <v>2353</v>
      </c>
      <c r="Q5382" s="7"/>
    </row>
    <row r="5383">
      <c r="A5383" s="39" t="s">
        <v>20895</v>
      </c>
      <c r="B5383" s="15">
        <v>1848169.0</v>
      </c>
      <c r="C5383" s="15" t="s">
        <v>20896</v>
      </c>
      <c r="D5383" s="15">
        <v>322488.0</v>
      </c>
      <c r="E5383" s="15" t="s">
        <v>1638</v>
      </c>
      <c r="F5383" s="15" t="s">
        <v>1578</v>
      </c>
      <c r="G5383" s="7">
        <v>9.419</v>
      </c>
      <c r="H5383" s="15" t="s">
        <v>1750</v>
      </c>
      <c r="I5383" s="15" t="s">
        <v>1628</v>
      </c>
      <c r="J5383" s="15" t="s">
        <v>20897</v>
      </c>
      <c r="K5383" s="15">
        <v>2.0</v>
      </c>
      <c r="L5383" s="15">
        <v>2.0</v>
      </c>
      <c r="M5383" s="40">
        <v>42508.0</v>
      </c>
      <c r="N5383" s="40">
        <v>42513.0</v>
      </c>
      <c r="O5383" s="15" t="s">
        <v>1554</v>
      </c>
      <c r="Q5383" s="7"/>
    </row>
    <row r="5384">
      <c r="A5384" s="39" t="s">
        <v>20898</v>
      </c>
      <c r="B5384" s="15">
        <v>1765736.0</v>
      </c>
      <c r="C5384" s="15" t="s">
        <v>20899</v>
      </c>
      <c r="D5384" s="15">
        <v>323483.0</v>
      </c>
      <c r="E5384" s="15" t="s">
        <v>1638</v>
      </c>
      <c r="F5384" s="15" t="s">
        <v>1639</v>
      </c>
      <c r="G5384" s="7">
        <v>43105.0</v>
      </c>
      <c r="H5384" s="15" t="s">
        <v>10442</v>
      </c>
      <c r="I5384" s="15" t="s">
        <v>1552</v>
      </c>
      <c r="J5384" s="15" t="s">
        <v>20901</v>
      </c>
      <c r="K5384" s="15">
        <v>2.0</v>
      </c>
      <c r="L5384" s="15">
        <v>2.0</v>
      </c>
      <c r="M5384" s="40">
        <v>42347.0</v>
      </c>
      <c r="N5384" s="40">
        <v>42521.0</v>
      </c>
      <c r="O5384" s="15" t="s">
        <v>1554</v>
      </c>
      <c r="Q5384" s="7"/>
    </row>
    <row r="5385">
      <c r="A5385" s="39" t="s">
        <v>20902</v>
      </c>
      <c r="B5385" s="15">
        <v>1462681.0</v>
      </c>
      <c r="C5385" s="15" t="s">
        <v>20903</v>
      </c>
      <c r="D5385" s="15">
        <v>323867.0</v>
      </c>
      <c r="E5385" s="15" t="s">
        <v>1548</v>
      </c>
      <c r="F5385" s="15" t="s">
        <v>1771</v>
      </c>
      <c r="G5385" s="7">
        <v>5.813</v>
      </c>
      <c r="H5385" s="15" t="s">
        <v>2540</v>
      </c>
      <c r="I5385" s="15" t="s">
        <v>1628</v>
      </c>
      <c r="J5385" s="15" t="s">
        <v>20904</v>
      </c>
      <c r="K5385" s="15">
        <v>7.0</v>
      </c>
      <c r="L5385" s="15">
        <v>7.0</v>
      </c>
      <c r="M5385" s="40">
        <v>42515.0</v>
      </c>
      <c r="N5385" s="40">
        <v>42802.0</v>
      </c>
      <c r="O5385" s="15" t="s">
        <v>1554</v>
      </c>
      <c r="Q5385" s="7"/>
    </row>
    <row r="5386">
      <c r="A5386" s="39" t="s">
        <v>20905</v>
      </c>
      <c r="B5386" s="15">
        <v>1768874.0</v>
      </c>
      <c r="C5386" s="15" t="s">
        <v>20906</v>
      </c>
      <c r="D5386" s="15">
        <v>323873.0</v>
      </c>
      <c r="E5386" s="15" t="s">
        <v>1638</v>
      </c>
      <c r="F5386" s="15" t="s">
        <v>1796</v>
      </c>
      <c r="G5386" s="7">
        <v>43437.0</v>
      </c>
      <c r="H5386" s="15" t="s">
        <v>20907</v>
      </c>
      <c r="I5386" s="15" t="s">
        <v>1628</v>
      </c>
      <c r="J5386" s="15" t="s">
        <v>20908</v>
      </c>
      <c r="K5386" s="15">
        <v>2.0</v>
      </c>
      <c r="L5386" s="15">
        <v>2.0</v>
      </c>
      <c r="M5386" s="41">
        <v>42358.0</v>
      </c>
      <c r="N5386" s="40">
        <v>42521.0</v>
      </c>
      <c r="O5386" s="15" t="s">
        <v>1554</v>
      </c>
      <c r="Q5386" s="7"/>
    </row>
    <row r="5387">
      <c r="A5387" s="39" t="s">
        <v>20909</v>
      </c>
      <c r="B5387" s="15">
        <v>1850906.0</v>
      </c>
      <c r="C5387" s="15" t="s">
        <v>20910</v>
      </c>
      <c r="D5387" s="15">
        <v>323868.0</v>
      </c>
      <c r="E5387" s="15" t="s">
        <v>1557</v>
      </c>
      <c r="F5387" s="15" t="s">
        <v>1992</v>
      </c>
      <c r="G5387" s="7">
        <v>128.058</v>
      </c>
      <c r="H5387" s="15" t="s">
        <v>3000</v>
      </c>
      <c r="I5387" s="15" t="s">
        <v>1560</v>
      </c>
      <c r="J5387" s="15" t="s">
        <v>20912</v>
      </c>
      <c r="K5387" s="15">
        <v>130.0</v>
      </c>
      <c r="L5387" s="15">
        <v>130.0</v>
      </c>
      <c r="M5387" s="40">
        <v>42514.0</v>
      </c>
      <c r="N5387" s="40">
        <v>42521.0</v>
      </c>
      <c r="O5387" s="15" t="s">
        <v>1554</v>
      </c>
      <c r="Q5387" s="7"/>
    </row>
    <row r="5388">
      <c r="A5388" s="39" t="s">
        <v>20913</v>
      </c>
      <c r="B5388" s="15">
        <v>1755198.0</v>
      </c>
      <c r="C5388" s="15" t="s">
        <v>20914</v>
      </c>
      <c r="D5388" s="15">
        <v>323874.0</v>
      </c>
      <c r="E5388" s="15" t="s">
        <v>2014</v>
      </c>
      <c r="F5388" s="15" t="s">
        <v>1578</v>
      </c>
      <c r="G5388" s="7">
        <v>1.386</v>
      </c>
      <c r="H5388" s="15" t="s">
        <v>3000</v>
      </c>
      <c r="I5388" s="15" t="s">
        <v>1628</v>
      </c>
      <c r="J5388" s="15" t="s">
        <v>20915</v>
      </c>
      <c r="K5388" s="15">
        <v>1.0</v>
      </c>
      <c r="L5388" s="15">
        <v>1.0</v>
      </c>
      <c r="M5388" s="40">
        <v>42472.0</v>
      </c>
      <c r="N5388" s="40">
        <v>42521.0</v>
      </c>
      <c r="O5388" s="15" t="s">
        <v>1554</v>
      </c>
      <c r="Q5388" s="7"/>
    </row>
    <row r="5389">
      <c r="A5389" s="39" t="s">
        <v>20916</v>
      </c>
      <c r="B5389" s="15">
        <v>327387.0</v>
      </c>
      <c r="C5389" s="15" t="s">
        <v>20917</v>
      </c>
      <c r="D5389" s="15">
        <v>322841.0</v>
      </c>
      <c r="E5389" s="15" t="s">
        <v>1548</v>
      </c>
      <c r="F5389" s="15" t="s">
        <v>2615</v>
      </c>
      <c r="G5389" s="7">
        <v>6.35</v>
      </c>
      <c r="H5389" s="15" t="s">
        <v>1710</v>
      </c>
      <c r="I5389" s="15" t="s">
        <v>1628</v>
      </c>
      <c r="J5389" s="15" t="s">
        <v>20918</v>
      </c>
      <c r="K5389" s="15">
        <v>4.0</v>
      </c>
      <c r="L5389" s="15">
        <v>4.0</v>
      </c>
      <c r="M5389" s="40">
        <v>42514.0</v>
      </c>
      <c r="N5389" s="40">
        <v>42521.0</v>
      </c>
      <c r="O5389" s="15" t="s">
        <v>1554</v>
      </c>
      <c r="Q5389" s="7"/>
    </row>
    <row r="5390">
      <c r="A5390" s="39" t="s">
        <v>20920</v>
      </c>
      <c r="B5390" s="15">
        <v>1661392.0</v>
      </c>
      <c r="C5390" s="15" t="s">
        <v>20921</v>
      </c>
      <c r="D5390" s="15">
        <v>323862.0</v>
      </c>
      <c r="E5390" s="15" t="s">
        <v>1638</v>
      </c>
      <c r="F5390" s="15" t="s">
        <v>5304</v>
      </c>
      <c r="G5390" s="7">
        <v>5.583</v>
      </c>
      <c r="H5390" s="15" t="s">
        <v>20922</v>
      </c>
      <c r="I5390" s="15" t="s">
        <v>1686</v>
      </c>
      <c r="J5390" s="15" t="s">
        <v>20923</v>
      </c>
      <c r="K5390" s="15">
        <v>3.0</v>
      </c>
      <c r="L5390" s="15">
        <v>3.0</v>
      </c>
      <c r="M5390" s="40">
        <v>42277.0</v>
      </c>
      <c r="N5390" s="40">
        <v>42521.0</v>
      </c>
      <c r="O5390" s="15" t="s">
        <v>1554</v>
      </c>
      <c r="Q5390" s="7"/>
    </row>
    <row r="5391">
      <c r="A5391" s="39" t="s">
        <v>20924</v>
      </c>
      <c r="B5391" s="15">
        <v>1826170.0</v>
      </c>
      <c r="C5391" s="15" t="s">
        <v>20925</v>
      </c>
      <c r="D5391" s="15">
        <v>323872.0</v>
      </c>
      <c r="E5391" s="15" t="s">
        <v>1557</v>
      </c>
      <c r="F5391" s="15" t="s">
        <v>1982</v>
      </c>
      <c r="G5391" s="7">
        <v>372.707</v>
      </c>
      <c r="H5391" s="15" t="s">
        <v>2392</v>
      </c>
      <c r="I5391" s="15" t="s">
        <v>1740</v>
      </c>
      <c r="J5391" s="15" t="s">
        <v>20926</v>
      </c>
      <c r="K5391" s="15">
        <v>472.0</v>
      </c>
      <c r="L5391" s="15">
        <v>470.0</v>
      </c>
      <c r="M5391" s="40">
        <v>42473.0</v>
      </c>
      <c r="N5391" s="40">
        <v>42740.0</v>
      </c>
      <c r="O5391" s="15" t="s">
        <v>1554</v>
      </c>
      <c r="Q5391" s="7"/>
    </row>
    <row r="5392">
      <c r="A5392" s="39" t="s">
        <v>20927</v>
      </c>
      <c r="B5392" s="15">
        <v>1746069.0</v>
      </c>
      <c r="C5392" s="15" t="s">
        <v>20928</v>
      </c>
      <c r="D5392" s="15">
        <v>323876.0</v>
      </c>
      <c r="E5392" s="15" t="s">
        <v>1548</v>
      </c>
      <c r="F5392" s="15" t="s">
        <v>1578</v>
      </c>
      <c r="G5392" s="7">
        <v>23.676</v>
      </c>
      <c r="H5392" s="15" t="s">
        <v>3550</v>
      </c>
      <c r="I5392" s="15" t="s">
        <v>1560</v>
      </c>
      <c r="J5392" s="15" t="s">
        <v>20930</v>
      </c>
      <c r="K5392" s="15">
        <v>1.0</v>
      </c>
      <c r="L5392" s="15">
        <v>1.0</v>
      </c>
      <c r="M5392" s="41">
        <v>42306.0</v>
      </c>
      <c r="N5392" s="40">
        <v>42521.0</v>
      </c>
      <c r="O5392" s="15" t="s">
        <v>1554</v>
      </c>
      <c r="Q5392" s="7"/>
    </row>
    <row r="5393">
      <c r="A5393" s="39" t="s">
        <v>20931</v>
      </c>
      <c r="B5393" s="15">
        <v>310681.0</v>
      </c>
      <c r="C5393" s="15" t="s">
        <v>20932</v>
      </c>
      <c r="D5393" s="15">
        <v>322679.0</v>
      </c>
      <c r="E5393" s="15" t="s">
        <v>1548</v>
      </c>
      <c r="F5393" s="15" t="s">
        <v>1911</v>
      </c>
      <c r="G5393" s="7">
        <v>9.622</v>
      </c>
      <c r="H5393" s="15" t="s">
        <v>2320</v>
      </c>
      <c r="I5393" s="15" t="s">
        <v>1628</v>
      </c>
      <c r="J5393" s="15" t="s">
        <v>20933</v>
      </c>
      <c r="K5393" s="15">
        <v>1.0</v>
      </c>
      <c r="L5393" s="15">
        <v>1.0</v>
      </c>
      <c r="M5393" s="40">
        <v>42510.0</v>
      </c>
      <c r="N5393" s="40">
        <v>42521.0</v>
      </c>
      <c r="O5393" s="15" t="s">
        <v>1554</v>
      </c>
      <c r="Q5393" s="7"/>
    </row>
    <row r="5394">
      <c r="A5394" s="39" t="s">
        <v>20934</v>
      </c>
      <c r="B5394" s="15">
        <v>1853865.0</v>
      </c>
      <c r="C5394" s="15" t="s">
        <v>20935</v>
      </c>
      <c r="D5394" s="15">
        <v>323861.0</v>
      </c>
      <c r="E5394" s="15" t="s">
        <v>1808</v>
      </c>
      <c r="F5394" s="15" t="s">
        <v>1809</v>
      </c>
      <c r="G5394" s="7">
        <v>2.683</v>
      </c>
      <c r="H5394" s="15" t="s">
        <v>1902</v>
      </c>
      <c r="I5394" s="15" t="s">
        <v>1628</v>
      </c>
      <c r="J5394" s="15" t="s">
        <v>20937</v>
      </c>
      <c r="K5394" s="15">
        <v>7.0</v>
      </c>
      <c r="L5394" s="15">
        <v>7.0</v>
      </c>
      <c r="M5394" s="40">
        <v>42491.0</v>
      </c>
      <c r="N5394" s="40">
        <v>42521.0</v>
      </c>
      <c r="O5394" s="15" t="s">
        <v>1554</v>
      </c>
      <c r="Q5394" s="7"/>
    </row>
    <row r="5395">
      <c r="A5395" s="39" t="s">
        <v>20938</v>
      </c>
      <c r="B5395" s="15">
        <v>1746074.0</v>
      </c>
      <c r="C5395" s="15" t="s">
        <v>20939</v>
      </c>
      <c r="D5395" s="15">
        <v>323875.0</v>
      </c>
      <c r="E5395" s="15" t="s">
        <v>1548</v>
      </c>
      <c r="F5395" s="15" t="s">
        <v>1578</v>
      </c>
      <c r="G5395" s="7">
        <v>20.433</v>
      </c>
      <c r="H5395" s="15" t="s">
        <v>6303</v>
      </c>
      <c r="I5395" s="15" t="s">
        <v>1686</v>
      </c>
      <c r="J5395" s="15" t="s">
        <v>20940</v>
      </c>
      <c r="K5395" s="15">
        <v>1.0</v>
      </c>
      <c r="L5395" s="15">
        <v>1.0</v>
      </c>
      <c r="M5395" s="41">
        <v>42306.0</v>
      </c>
      <c r="N5395" s="40">
        <v>42521.0</v>
      </c>
      <c r="O5395" s="15" t="s">
        <v>1554</v>
      </c>
      <c r="Q5395" s="7"/>
    </row>
    <row r="5396">
      <c r="A5396" s="39" t="s">
        <v>20941</v>
      </c>
      <c r="B5396" s="15">
        <v>1648484.0</v>
      </c>
      <c r="C5396" s="15" t="s">
        <v>20942</v>
      </c>
      <c r="D5396" s="15">
        <v>323863.0</v>
      </c>
      <c r="E5396" s="15" t="s">
        <v>1548</v>
      </c>
      <c r="F5396" s="15" t="s">
        <v>1578</v>
      </c>
      <c r="G5396" s="7">
        <v>9.168</v>
      </c>
      <c r="H5396" s="15" t="s">
        <v>2440</v>
      </c>
      <c r="I5396" s="15" t="s">
        <v>1706</v>
      </c>
      <c r="J5396" s="15" t="s">
        <v>20943</v>
      </c>
      <c r="K5396" s="15">
        <v>2.0</v>
      </c>
      <c r="L5396" s="15">
        <v>2.0</v>
      </c>
      <c r="M5396" s="40">
        <v>42216.0</v>
      </c>
      <c r="N5396" s="40">
        <v>42521.0</v>
      </c>
      <c r="O5396" s="15" t="s">
        <v>1554</v>
      </c>
      <c r="Q5396" s="7"/>
    </row>
    <row r="5397">
      <c r="A5397" s="39" t="s">
        <v>20945</v>
      </c>
      <c r="B5397" s="15">
        <v>1648483.0</v>
      </c>
      <c r="C5397" s="15" t="s">
        <v>20946</v>
      </c>
      <c r="D5397" s="15">
        <v>323864.0</v>
      </c>
      <c r="E5397" s="15" t="s">
        <v>1548</v>
      </c>
      <c r="F5397" s="15" t="s">
        <v>1578</v>
      </c>
      <c r="G5397" s="7">
        <v>8.644</v>
      </c>
      <c r="H5397" s="15" t="s">
        <v>1859</v>
      </c>
      <c r="I5397" s="15" t="s">
        <v>1706</v>
      </c>
      <c r="J5397" s="15" t="s">
        <v>20947</v>
      </c>
      <c r="K5397" s="15">
        <v>1.0</v>
      </c>
      <c r="L5397" s="15">
        <v>1.0</v>
      </c>
      <c r="M5397" s="40">
        <v>42216.0</v>
      </c>
      <c r="N5397" s="40">
        <v>42521.0</v>
      </c>
      <c r="O5397" s="15" t="s">
        <v>1554</v>
      </c>
      <c r="Q5397" s="7"/>
    </row>
    <row r="5398">
      <c r="A5398" s="39" t="s">
        <v>20948</v>
      </c>
      <c r="B5398" s="15">
        <v>1648482.0</v>
      </c>
      <c r="C5398" s="15" t="s">
        <v>20949</v>
      </c>
      <c r="D5398" s="15">
        <v>323865.0</v>
      </c>
      <c r="E5398" s="15" t="s">
        <v>1548</v>
      </c>
      <c r="F5398" s="15" t="s">
        <v>1578</v>
      </c>
      <c r="G5398" s="7">
        <v>9.357</v>
      </c>
      <c r="H5398" s="15" t="s">
        <v>1818</v>
      </c>
      <c r="I5398" s="15" t="s">
        <v>1706</v>
      </c>
      <c r="J5398" s="15" t="s">
        <v>20950</v>
      </c>
      <c r="K5398" s="15">
        <v>2.0</v>
      </c>
      <c r="L5398" s="15">
        <v>2.0</v>
      </c>
      <c r="M5398" s="40">
        <v>42216.0</v>
      </c>
      <c r="N5398" s="40">
        <v>42521.0</v>
      </c>
      <c r="O5398" s="15" t="s">
        <v>1554</v>
      </c>
      <c r="Q5398" s="7"/>
    </row>
    <row r="5399">
      <c r="A5399" s="39" t="s">
        <v>20951</v>
      </c>
      <c r="B5399" s="15">
        <v>1648481.0</v>
      </c>
      <c r="C5399" s="15" t="s">
        <v>20952</v>
      </c>
      <c r="D5399" s="15">
        <v>323866.0</v>
      </c>
      <c r="E5399" s="15" t="s">
        <v>1548</v>
      </c>
      <c r="F5399" s="15" t="s">
        <v>1578</v>
      </c>
      <c r="G5399" s="7">
        <v>8.531</v>
      </c>
      <c r="H5399" s="15" t="s">
        <v>2552</v>
      </c>
      <c r="I5399" s="15" t="s">
        <v>1706</v>
      </c>
      <c r="J5399" s="15" t="s">
        <v>20954</v>
      </c>
      <c r="K5399" s="15">
        <v>2.0</v>
      </c>
      <c r="L5399" s="15">
        <v>2.0</v>
      </c>
      <c r="M5399" s="40">
        <v>42216.0</v>
      </c>
      <c r="N5399" s="40">
        <v>42521.0</v>
      </c>
      <c r="O5399" s="15" t="s">
        <v>1554</v>
      </c>
      <c r="Q5399" s="7"/>
    </row>
    <row r="5400">
      <c r="A5400" s="39" t="s">
        <v>20955</v>
      </c>
      <c r="B5400" s="15">
        <v>1821222.0</v>
      </c>
      <c r="C5400" s="15" t="s">
        <v>20956</v>
      </c>
      <c r="D5400" s="15">
        <v>324249.0</v>
      </c>
      <c r="E5400" s="15" t="s">
        <v>1548</v>
      </c>
      <c r="F5400" s="15" t="s">
        <v>1801</v>
      </c>
      <c r="G5400" s="7">
        <v>10.864</v>
      </c>
      <c r="H5400" s="15" t="s">
        <v>3432</v>
      </c>
      <c r="I5400" s="15" t="s">
        <v>1560</v>
      </c>
      <c r="J5400" s="15" t="s">
        <v>20957</v>
      </c>
      <c r="K5400" s="15">
        <v>1.0</v>
      </c>
      <c r="L5400" s="15">
        <v>1.0</v>
      </c>
      <c r="M5400" s="40">
        <v>42462.0</v>
      </c>
      <c r="N5400" s="40">
        <v>42531.0</v>
      </c>
      <c r="O5400" s="15" t="s">
        <v>1554</v>
      </c>
      <c r="Q5400" s="7"/>
    </row>
    <row r="5401">
      <c r="A5401" s="39" t="s">
        <v>20958</v>
      </c>
      <c r="B5401" s="15">
        <v>64296.0</v>
      </c>
      <c r="C5401" s="15" t="s">
        <v>20959</v>
      </c>
      <c r="D5401" s="15">
        <v>324268.0</v>
      </c>
      <c r="E5401" s="15" t="s">
        <v>1548</v>
      </c>
      <c r="F5401" s="15" t="s">
        <v>1801</v>
      </c>
      <c r="G5401" s="7">
        <v>10.206</v>
      </c>
      <c r="H5401" s="15" t="s">
        <v>1782</v>
      </c>
      <c r="I5401" s="15" t="s">
        <v>1803</v>
      </c>
      <c r="J5401" s="15" t="s">
        <v>20960</v>
      </c>
      <c r="K5401" s="15">
        <v>1.0</v>
      </c>
      <c r="L5401" s="15">
        <v>1.0</v>
      </c>
      <c r="M5401" s="40">
        <v>40072.0</v>
      </c>
      <c r="N5401" s="40">
        <v>42531.0</v>
      </c>
      <c r="O5401" s="15" t="s">
        <v>1554</v>
      </c>
      <c r="Q5401" s="7"/>
    </row>
    <row r="5402">
      <c r="A5402" s="39" t="s">
        <v>20962</v>
      </c>
      <c r="B5402" s="15">
        <v>1856030.0</v>
      </c>
      <c r="C5402" s="15" t="s">
        <v>20963</v>
      </c>
      <c r="D5402" s="15">
        <v>325255.0</v>
      </c>
      <c r="E5402" s="15" t="s">
        <v>1638</v>
      </c>
      <c r="F5402" s="15" t="s">
        <v>1639</v>
      </c>
      <c r="G5402" s="7">
        <v>7.788</v>
      </c>
      <c r="H5402" s="15" t="s">
        <v>2211</v>
      </c>
      <c r="I5402" s="15" t="s">
        <v>1686</v>
      </c>
      <c r="J5402" s="15" t="s">
        <v>20964</v>
      </c>
      <c r="K5402" s="15">
        <v>2.0</v>
      </c>
      <c r="L5402" s="15">
        <v>2.0</v>
      </c>
      <c r="M5402" s="40">
        <v>42528.0</v>
      </c>
      <c r="N5402" s="40">
        <v>42531.0</v>
      </c>
      <c r="O5402" s="15" t="s">
        <v>1554</v>
      </c>
      <c r="Q5402" s="7"/>
    </row>
    <row r="5403">
      <c r="A5403" s="39" t="s">
        <v>20965</v>
      </c>
      <c r="B5403" s="15">
        <v>1776153.0</v>
      </c>
      <c r="C5403" s="15" t="s">
        <v>20966</v>
      </c>
      <c r="D5403" s="15">
        <v>325256.0</v>
      </c>
      <c r="E5403" s="15" t="s">
        <v>1808</v>
      </c>
      <c r="F5403" s="15" t="s">
        <v>2436</v>
      </c>
      <c r="G5403" s="7">
        <v>5.071</v>
      </c>
      <c r="H5403" s="15" t="s">
        <v>4070</v>
      </c>
      <c r="I5403" s="15" t="s">
        <v>1560</v>
      </c>
      <c r="J5403" s="15" t="s">
        <v>20967</v>
      </c>
      <c r="K5403" s="15">
        <v>4.0</v>
      </c>
      <c r="L5403" s="15">
        <v>4.0</v>
      </c>
      <c r="M5403" s="40">
        <v>42526.0</v>
      </c>
      <c r="N5403" s="40">
        <v>42531.0</v>
      </c>
      <c r="O5403" s="15" t="s">
        <v>1554</v>
      </c>
      <c r="Q5403" s="7"/>
    </row>
    <row r="5404">
      <c r="A5404" s="39" t="s">
        <v>20969</v>
      </c>
      <c r="B5404" s="15">
        <v>1307801.0</v>
      </c>
      <c r="C5404" s="15" t="s">
        <v>20970</v>
      </c>
      <c r="D5404" s="15">
        <v>325257.0</v>
      </c>
      <c r="E5404" s="15" t="s">
        <v>1548</v>
      </c>
      <c r="F5404" s="15" t="s">
        <v>1801</v>
      </c>
      <c r="G5404" s="7">
        <v>9.63</v>
      </c>
      <c r="H5404" s="15" t="s">
        <v>2275</v>
      </c>
      <c r="I5404" s="15" t="s">
        <v>1686</v>
      </c>
      <c r="J5404" s="15" t="s">
        <v>20971</v>
      </c>
      <c r="K5404" s="15">
        <v>1.0</v>
      </c>
      <c r="L5404" s="15">
        <v>1.0</v>
      </c>
      <c r="M5404" s="40">
        <v>40376.0</v>
      </c>
      <c r="N5404" s="40">
        <v>42531.0</v>
      </c>
      <c r="O5404" s="15" t="s">
        <v>1554</v>
      </c>
      <c r="Q5404" s="7"/>
    </row>
    <row r="5405">
      <c r="A5405" s="39" t="s">
        <v>20972</v>
      </c>
      <c r="B5405" s="15">
        <v>1264898.0</v>
      </c>
      <c r="C5405" s="15" t="s">
        <v>20973</v>
      </c>
      <c r="D5405" s="15">
        <v>325258.0</v>
      </c>
      <c r="E5405" s="15" t="s">
        <v>1548</v>
      </c>
      <c r="F5405" s="15" t="s">
        <v>1684</v>
      </c>
      <c r="G5405" s="7">
        <v>28.434</v>
      </c>
      <c r="H5405" s="15">
        <v>39.0</v>
      </c>
      <c r="I5405" s="15" t="s">
        <v>1686</v>
      </c>
      <c r="J5405" s="15" t="s">
        <v>20974</v>
      </c>
      <c r="K5405" s="15">
        <v>8.0</v>
      </c>
      <c r="L5405" s="15">
        <v>9.0</v>
      </c>
      <c r="M5405" s="40">
        <v>42523.0</v>
      </c>
      <c r="N5405" s="40">
        <v>42531.0</v>
      </c>
      <c r="O5405" s="15" t="s">
        <v>1554</v>
      </c>
      <c r="Q5405" s="7"/>
    </row>
    <row r="5406">
      <c r="A5406" s="39" t="s">
        <v>20975</v>
      </c>
      <c r="B5406" s="15">
        <v>1170424.0</v>
      </c>
      <c r="C5406" s="15" t="s">
        <v>20976</v>
      </c>
      <c r="D5406" s="15">
        <v>325259.0</v>
      </c>
      <c r="E5406" s="15" t="s">
        <v>1548</v>
      </c>
      <c r="F5406" s="15" t="s">
        <v>1578</v>
      </c>
      <c r="G5406" s="7">
        <v>9.537</v>
      </c>
      <c r="H5406" s="15" t="s">
        <v>5382</v>
      </c>
      <c r="I5406" s="15" t="s">
        <v>1560</v>
      </c>
      <c r="J5406" s="15" t="s">
        <v>20977</v>
      </c>
      <c r="K5406" s="15">
        <v>3.0</v>
      </c>
      <c r="L5406" s="15">
        <v>3.0</v>
      </c>
      <c r="M5406" s="40">
        <v>42461.0</v>
      </c>
      <c r="N5406" s="40">
        <v>42851.0</v>
      </c>
      <c r="O5406" s="15" t="s">
        <v>1554</v>
      </c>
      <c r="Q5406" s="7"/>
    </row>
    <row r="5407">
      <c r="A5407" s="39" t="s">
        <v>20979</v>
      </c>
      <c r="B5407" s="15">
        <v>1859149.0</v>
      </c>
      <c r="C5407" s="15" t="s">
        <v>20980</v>
      </c>
      <c r="D5407" s="15">
        <v>325264.0</v>
      </c>
      <c r="E5407" s="15" t="s">
        <v>1808</v>
      </c>
      <c r="F5407" s="15" t="s">
        <v>2232</v>
      </c>
      <c r="G5407" s="7">
        <v>2.803</v>
      </c>
      <c r="H5407" s="15" t="s">
        <v>2824</v>
      </c>
      <c r="I5407" s="15" t="s">
        <v>9533</v>
      </c>
      <c r="J5407" s="15" t="s">
        <v>20981</v>
      </c>
      <c r="K5407" s="15">
        <v>3.0</v>
      </c>
      <c r="L5407" s="15">
        <v>3.0</v>
      </c>
      <c r="M5407" s="40">
        <v>42526.0</v>
      </c>
      <c r="N5407" s="40">
        <v>42531.0</v>
      </c>
      <c r="O5407" s="15" t="s">
        <v>1554</v>
      </c>
      <c r="Q5407" s="7"/>
    </row>
    <row r="5408">
      <c r="A5408" s="39" t="s">
        <v>20982</v>
      </c>
      <c r="B5408" s="15">
        <v>1856031.0</v>
      </c>
      <c r="C5408" s="15" t="s">
        <v>20983</v>
      </c>
      <c r="D5408" s="15">
        <v>325265.0</v>
      </c>
      <c r="E5408" s="15" t="s">
        <v>1548</v>
      </c>
      <c r="F5408" s="15" t="s">
        <v>1911</v>
      </c>
      <c r="G5408" s="7">
        <v>9.31</v>
      </c>
      <c r="H5408" s="15" t="s">
        <v>1828</v>
      </c>
      <c r="I5408" s="15" t="s">
        <v>1628</v>
      </c>
      <c r="J5408" s="15" t="s">
        <v>20984</v>
      </c>
      <c r="K5408" s="15">
        <v>1.0</v>
      </c>
      <c r="L5408" s="15">
        <v>1.0</v>
      </c>
      <c r="M5408" s="40">
        <v>42527.0</v>
      </c>
      <c r="N5408" s="40">
        <v>42531.0</v>
      </c>
      <c r="O5408" s="15" t="s">
        <v>1554</v>
      </c>
      <c r="Q5408" s="7"/>
    </row>
    <row r="5409">
      <c r="A5409" s="39" t="s">
        <v>20985</v>
      </c>
      <c r="B5409" s="15">
        <v>1736759.0</v>
      </c>
      <c r="C5409" s="15" t="s">
        <v>20987</v>
      </c>
      <c r="D5409" s="15">
        <v>326001.0</v>
      </c>
      <c r="E5409" s="15" t="s">
        <v>2014</v>
      </c>
      <c r="F5409" s="15" t="s">
        <v>2018</v>
      </c>
      <c r="G5409" s="7">
        <v>1.367</v>
      </c>
      <c r="H5409" s="15" t="s">
        <v>1902</v>
      </c>
      <c r="I5409" s="15" t="s">
        <v>1628</v>
      </c>
      <c r="J5409" s="15" t="s">
        <v>20988</v>
      </c>
      <c r="K5409" s="15">
        <v>1.0</v>
      </c>
      <c r="L5409" s="15">
        <v>1.0</v>
      </c>
      <c r="M5409" s="40">
        <v>42529.0</v>
      </c>
      <c r="N5409" s="40">
        <v>42538.0</v>
      </c>
      <c r="O5409" s="15" t="s">
        <v>1554</v>
      </c>
      <c r="Q5409" s="7"/>
    </row>
    <row r="5410">
      <c r="A5410" s="39" t="s">
        <v>20989</v>
      </c>
      <c r="B5410" s="15">
        <v>79236.0</v>
      </c>
      <c r="C5410" s="15" t="s">
        <v>20990</v>
      </c>
      <c r="D5410" s="15">
        <v>326000.0</v>
      </c>
      <c r="E5410" s="15" t="s">
        <v>1808</v>
      </c>
      <c r="F5410" s="15" t="s">
        <v>1809</v>
      </c>
      <c r="G5410" s="7">
        <v>5.482</v>
      </c>
      <c r="H5410" s="15" t="s">
        <v>20991</v>
      </c>
      <c r="I5410" s="15" t="s">
        <v>1628</v>
      </c>
      <c r="J5410" s="15" t="s">
        <v>20992</v>
      </c>
      <c r="K5410" s="15">
        <v>8.0</v>
      </c>
      <c r="L5410" s="15">
        <v>8.0</v>
      </c>
      <c r="M5410" s="40">
        <v>42529.0</v>
      </c>
      <c r="N5410" s="40">
        <v>42538.0</v>
      </c>
      <c r="O5410" s="15" t="s">
        <v>1554</v>
      </c>
      <c r="Q5410" s="7"/>
    </row>
    <row r="5411">
      <c r="A5411" s="39" t="s">
        <v>20993</v>
      </c>
      <c r="B5411" s="15">
        <v>1856627.0</v>
      </c>
      <c r="C5411" s="15" t="s">
        <v>20994</v>
      </c>
      <c r="D5411" s="15">
        <v>325312.0</v>
      </c>
      <c r="E5411" s="15" t="s">
        <v>1548</v>
      </c>
      <c r="F5411" s="15" t="s">
        <v>5261</v>
      </c>
      <c r="G5411" s="7">
        <v>3.782</v>
      </c>
      <c r="H5411" s="15" t="s">
        <v>5368</v>
      </c>
      <c r="I5411" s="15" t="s">
        <v>1740</v>
      </c>
      <c r="J5411" s="15" t="s">
        <v>20996</v>
      </c>
      <c r="K5411" s="15">
        <v>1.0</v>
      </c>
      <c r="L5411" s="15">
        <v>1.0</v>
      </c>
      <c r="M5411" s="40">
        <v>42529.0</v>
      </c>
      <c r="N5411" s="40">
        <v>42632.0</v>
      </c>
      <c r="O5411" s="15" t="s">
        <v>1554</v>
      </c>
      <c r="Q5411" s="7"/>
    </row>
    <row r="5412">
      <c r="A5412" s="39" t="s">
        <v>20997</v>
      </c>
      <c r="B5412" s="15">
        <v>1857323.0</v>
      </c>
      <c r="C5412" s="15" t="s">
        <v>20998</v>
      </c>
      <c r="D5412" s="15">
        <v>326136.0</v>
      </c>
      <c r="E5412" s="15" t="s">
        <v>1548</v>
      </c>
      <c r="F5412" s="15" t="s">
        <v>5033</v>
      </c>
      <c r="G5412" s="7">
        <v>16.671</v>
      </c>
      <c r="H5412" s="15" t="s">
        <v>20999</v>
      </c>
      <c r="I5412" s="15" t="s">
        <v>2034</v>
      </c>
      <c r="J5412" s="15" t="s">
        <v>21000</v>
      </c>
      <c r="K5412" s="15">
        <v>5.0</v>
      </c>
      <c r="L5412" s="15">
        <v>5.0</v>
      </c>
      <c r="M5412" s="40">
        <v>42533.0</v>
      </c>
      <c r="N5412" s="40">
        <v>42541.0</v>
      </c>
      <c r="O5412" s="15" t="s">
        <v>1554</v>
      </c>
      <c r="Q5412" s="7"/>
    </row>
    <row r="5413">
      <c r="A5413" s="39" t="s">
        <v>21001</v>
      </c>
      <c r="B5413" s="15">
        <v>1859135.0</v>
      </c>
      <c r="C5413" s="15" t="s">
        <v>21002</v>
      </c>
      <c r="D5413" s="15">
        <v>326432.0</v>
      </c>
      <c r="E5413" s="15" t="s">
        <v>1808</v>
      </c>
      <c r="F5413" s="15" t="s">
        <v>1809</v>
      </c>
      <c r="G5413" s="7">
        <v>5.402</v>
      </c>
      <c r="H5413" s="15" t="s">
        <v>21004</v>
      </c>
      <c r="I5413" s="15" t="s">
        <v>1628</v>
      </c>
      <c r="J5413" s="15" t="s">
        <v>21005</v>
      </c>
      <c r="K5413" s="15">
        <v>8.0</v>
      </c>
      <c r="L5413" s="15">
        <v>8.0</v>
      </c>
      <c r="M5413" s="40">
        <v>42529.0</v>
      </c>
      <c r="N5413" s="40">
        <v>42551.0</v>
      </c>
      <c r="O5413" s="15" t="s">
        <v>1554</v>
      </c>
      <c r="Q5413" s="7"/>
    </row>
    <row r="5414">
      <c r="A5414" s="39" t="s">
        <v>21006</v>
      </c>
      <c r="B5414" s="15">
        <v>638660.0</v>
      </c>
      <c r="C5414" s="15" t="s">
        <v>21007</v>
      </c>
      <c r="D5414" s="15">
        <v>326525.0</v>
      </c>
      <c r="E5414" s="15" t="s">
        <v>1557</v>
      </c>
      <c r="F5414" s="15" t="s">
        <v>3454</v>
      </c>
      <c r="G5414" s="7">
        <v>126.965</v>
      </c>
      <c r="H5414" s="15" t="s">
        <v>2996</v>
      </c>
      <c r="I5414" s="15" t="s">
        <v>1686</v>
      </c>
      <c r="J5414" s="15" t="s">
        <v>21008</v>
      </c>
      <c r="K5414" s="15">
        <v>111.0</v>
      </c>
      <c r="L5414" s="15">
        <v>111.0</v>
      </c>
      <c r="M5414" s="40">
        <v>42538.0</v>
      </c>
      <c r="N5414" s="40">
        <v>42648.0</v>
      </c>
      <c r="O5414" s="15" t="s">
        <v>1554</v>
      </c>
      <c r="Q5414" s="7"/>
    </row>
    <row r="5415">
      <c r="A5415" s="39" t="s">
        <v>21009</v>
      </c>
      <c r="B5415" s="15">
        <v>1859161.0</v>
      </c>
      <c r="C5415" s="15" t="s">
        <v>21010</v>
      </c>
      <c r="D5415" s="15">
        <v>326682.0</v>
      </c>
      <c r="E5415" s="15" t="s">
        <v>1638</v>
      </c>
      <c r="F5415" s="15" t="s">
        <v>1639</v>
      </c>
      <c r="G5415" s="7">
        <v>5.162</v>
      </c>
      <c r="H5415" s="15" t="s">
        <v>2351</v>
      </c>
      <c r="I5415" s="15" t="s">
        <v>1552</v>
      </c>
      <c r="J5415" s="15" t="s">
        <v>21011</v>
      </c>
      <c r="K5415" s="15">
        <v>2.0</v>
      </c>
      <c r="L5415" s="15">
        <v>2.0</v>
      </c>
      <c r="M5415" s="40">
        <v>42541.0</v>
      </c>
      <c r="N5415" s="40">
        <v>42551.0</v>
      </c>
      <c r="O5415" s="15" t="s">
        <v>1554</v>
      </c>
      <c r="Q5415" s="7"/>
    </row>
    <row r="5416">
      <c r="A5416" s="39" t="s">
        <v>21012</v>
      </c>
      <c r="B5416" s="15">
        <v>1125677.0</v>
      </c>
      <c r="C5416" s="15" t="s">
        <v>21013</v>
      </c>
      <c r="D5416" s="15">
        <v>327354.0</v>
      </c>
      <c r="E5416" s="15" t="s">
        <v>1548</v>
      </c>
      <c r="F5416" s="15" t="s">
        <v>1801</v>
      </c>
      <c r="G5416" s="7">
        <v>10.158</v>
      </c>
      <c r="H5416" s="15" t="s">
        <v>2484</v>
      </c>
      <c r="I5416" s="15" t="s">
        <v>1803</v>
      </c>
      <c r="J5416" s="15" t="s">
        <v>21015</v>
      </c>
      <c r="K5416" s="15">
        <v>1.0</v>
      </c>
      <c r="L5416" s="15">
        <v>2.0</v>
      </c>
      <c r="M5416" s="40">
        <v>41187.0</v>
      </c>
      <c r="N5416" s="40">
        <v>42563.0</v>
      </c>
      <c r="O5416" s="15" t="s">
        <v>1554</v>
      </c>
      <c r="Q5416" s="7"/>
    </row>
    <row r="5417">
      <c r="A5417" s="39" t="s">
        <v>21016</v>
      </c>
      <c r="B5417" s="15">
        <v>1816486.0</v>
      </c>
      <c r="C5417" s="15" t="s">
        <v>21017</v>
      </c>
      <c r="D5417" s="15">
        <v>327355.0</v>
      </c>
      <c r="E5417" s="15" t="s">
        <v>1548</v>
      </c>
      <c r="F5417" s="15" t="s">
        <v>5261</v>
      </c>
      <c r="G5417" s="7">
        <v>2.522</v>
      </c>
      <c r="H5417" s="15">
        <v>38.0</v>
      </c>
      <c r="I5417" s="15" t="s">
        <v>1552</v>
      </c>
      <c r="J5417" s="15" t="s">
        <v>21018</v>
      </c>
      <c r="K5417" s="15">
        <v>1.0</v>
      </c>
      <c r="L5417" s="15">
        <v>1.0</v>
      </c>
      <c r="M5417" s="40">
        <v>42543.0</v>
      </c>
      <c r="N5417" s="40">
        <v>42551.0</v>
      </c>
      <c r="O5417" s="15" t="s">
        <v>1554</v>
      </c>
      <c r="Q5417" s="7"/>
    </row>
    <row r="5418">
      <c r="A5418" s="39" t="s">
        <v>21019</v>
      </c>
      <c r="B5418" s="15">
        <v>1816485.0</v>
      </c>
      <c r="C5418" s="15" t="s">
        <v>21020</v>
      </c>
      <c r="D5418" s="15">
        <v>327356.0</v>
      </c>
      <c r="E5418" s="15" t="s">
        <v>1548</v>
      </c>
      <c r="F5418" s="15" t="s">
        <v>5261</v>
      </c>
      <c r="G5418" s="7">
        <v>2.471</v>
      </c>
      <c r="H5418" s="15" t="s">
        <v>2440</v>
      </c>
      <c r="I5418" s="15" t="s">
        <v>1552</v>
      </c>
      <c r="J5418" s="15" t="s">
        <v>21021</v>
      </c>
      <c r="K5418" s="15">
        <v>1.0</v>
      </c>
      <c r="L5418" s="15">
        <v>1.0</v>
      </c>
      <c r="M5418" s="40">
        <v>42543.0</v>
      </c>
      <c r="N5418" s="40">
        <v>42551.0</v>
      </c>
      <c r="O5418" s="15" t="s">
        <v>1554</v>
      </c>
      <c r="Q5418" s="7"/>
    </row>
    <row r="5419">
      <c r="A5419" s="39" t="s">
        <v>21022</v>
      </c>
      <c r="B5419" s="15">
        <v>1816484.0</v>
      </c>
      <c r="C5419" s="15" t="s">
        <v>21023</v>
      </c>
      <c r="D5419" s="15">
        <v>327357.0</v>
      </c>
      <c r="E5419" s="15" t="s">
        <v>1548</v>
      </c>
      <c r="F5419" s="15" t="s">
        <v>5261</v>
      </c>
      <c r="G5419" s="7">
        <v>2.715</v>
      </c>
      <c r="H5419" s="15" t="s">
        <v>2005</v>
      </c>
      <c r="I5419" s="15" t="s">
        <v>1552</v>
      </c>
      <c r="J5419" s="15" t="s">
        <v>21025</v>
      </c>
      <c r="K5419" s="15">
        <v>1.0</v>
      </c>
      <c r="L5419" s="15">
        <v>1.0</v>
      </c>
      <c r="M5419" s="40">
        <v>42543.0</v>
      </c>
      <c r="N5419" s="40">
        <v>42551.0</v>
      </c>
      <c r="O5419" s="15" t="s">
        <v>1554</v>
      </c>
      <c r="Q5419" s="7"/>
    </row>
    <row r="5420">
      <c r="A5420" s="39" t="s">
        <v>21026</v>
      </c>
      <c r="B5420" s="15">
        <v>1756285.0</v>
      </c>
      <c r="C5420" s="15" t="s">
        <v>21027</v>
      </c>
      <c r="D5420" s="15">
        <v>327358.0</v>
      </c>
      <c r="E5420" s="15" t="s">
        <v>1638</v>
      </c>
      <c r="F5420" s="15" t="s">
        <v>1639</v>
      </c>
      <c r="G5420" s="7">
        <v>4.713</v>
      </c>
      <c r="H5420" s="15" t="s">
        <v>5042</v>
      </c>
      <c r="I5420" s="15" t="s">
        <v>1552</v>
      </c>
      <c r="J5420" s="15" t="s">
        <v>21028</v>
      </c>
      <c r="K5420" s="15">
        <v>3.0</v>
      </c>
      <c r="L5420" s="15">
        <v>3.0</v>
      </c>
      <c r="M5420" s="41">
        <v>42330.0</v>
      </c>
      <c r="N5420" s="40">
        <v>42551.0</v>
      </c>
      <c r="O5420" s="15" t="s">
        <v>1554</v>
      </c>
      <c r="Q5420" s="7"/>
    </row>
    <row r="5421">
      <c r="A5421" s="39" t="s">
        <v>21029</v>
      </c>
      <c r="B5421" s="15">
        <v>667516.0</v>
      </c>
      <c r="C5421" s="15" t="s">
        <v>21030</v>
      </c>
      <c r="D5421" s="15">
        <v>327359.0</v>
      </c>
      <c r="E5421" s="15" t="s">
        <v>1548</v>
      </c>
      <c r="F5421" s="15" t="s">
        <v>1801</v>
      </c>
      <c r="G5421" s="7">
        <v>10.122</v>
      </c>
      <c r="H5421" s="15" t="s">
        <v>2686</v>
      </c>
      <c r="I5421" s="15" t="s">
        <v>1560</v>
      </c>
      <c r="J5421" s="15" t="s">
        <v>21032</v>
      </c>
      <c r="K5421" s="15">
        <v>1.0</v>
      </c>
      <c r="L5421" s="15">
        <v>2.0</v>
      </c>
      <c r="M5421" s="40">
        <v>40056.0</v>
      </c>
      <c r="N5421" s="40">
        <v>42563.0</v>
      </c>
      <c r="O5421" s="15" t="s">
        <v>1554</v>
      </c>
      <c r="Q5421" s="7"/>
    </row>
    <row r="5422">
      <c r="A5422" s="39" t="s">
        <v>21033</v>
      </c>
      <c r="B5422" s="15">
        <v>1864484.0</v>
      </c>
      <c r="C5422" s="15" t="s">
        <v>21034</v>
      </c>
      <c r="D5422" s="15">
        <v>327360.0</v>
      </c>
      <c r="E5422" s="15" t="s">
        <v>1808</v>
      </c>
      <c r="F5422" s="15" t="s">
        <v>2436</v>
      </c>
      <c r="G5422" s="7">
        <v>5.224</v>
      </c>
      <c r="H5422" s="15" t="s">
        <v>3066</v>
      </c>
      <c r="I5422" s="15" t="s">
        <v>1686</v>
      </c>
      <c r="J5422" s="15" t="s">
        <v>21035</v>
      </c>
      <c r="K5422" s="15">
        <v>2.0</v>
      </c>
      <c r="L5422" s="15">
        <v>2.0</v>
      </c>
      <c r="M5422" s="40">
        <v>42546.0</v>
      </c>
      <c r="N5422" s="40">
        <v>42551.0</v>
      </c>
      <c r="O5422" s="15" t="s">
        <v>1554</v>
      </c>
      <c r="Q5422" s="7"/>
    </row>
    <row r="5423">
      <c r="A5423" s="39" t="s">
        <v>21037</v>
      </c>
      <c r="B5423" s="15">
        <v>1862978.0</v>
      </c>
      <c r="C5423" s="15" t="s">
        <v>21038</v>
      </c>
      <c r="D5423" s="15">
        <v>327361.0</v>
      </c>
      <c r="E5423" s="15" t="s">
        <v>1638</v>
      </c>
      <c r="F5423" s="15" t="s">
        <v>1863</v>
      </c>
      <c r="G5423" s="7">
        <v>23.958</v>
      </c>
      <c r="H5423" s="15" t="s">
        <v>21039</v>
      </c>
      <c r="I5423" s="15" t="s">
        <v>1686</v>
      </c>
      <c r="J5423" s="15" t="s">
        <v>21040</v>
      </c>
      <c r="K5423" s="15">
        <v>12.0</v>
      </c>
      <c r="L5423" s="15">
        <v>12.0</v>
      </c>
      <c r="M5423" s="40">
        <v>42547.0</v>
      </c>
      <c r="N5423" s="40">
        <v>42551.0</v>
      </c>
      <c r="O5423" s="15" t="s">
        <v>1554</v>
      </c>
      <c r="Q5423" s="7"/>
    </row>
    <row r="5424">
      <c r="A5424" s="39" t="s">
        <v>21041</v>
      </c>
      <c r="B5424" s="15">
        <v>1862127.0</v>
      </c>
      <c r="C5424" s="15" t="s">
        <v>21042</v>
      </c>
      <c r="D5424" s="15">
        <v>327362.0</v>
      </c>
      <c r="E5424" s="15" t="s">
        <v>1548</v>
      </c>
      <c r="F5424" s="15" t="s">
        <v>1911</v>
      </c>
      <c r="G5424" s="7">
        <v>9.369</v>
      </c>
      <c r="H5424" s="15" t="s">
        <v>1813</v>
      </c>
      <c r="I5424" s="15" t="s">
        <v>1628</v>
      </c>
      <c r="J5424" s="15" t="s">
        <v>21044</v>
      </c>
      <c r="K5424" s="15">
        <v>11.0</v>
      </c>
      <c r="L5424" s="15">
        <v>1.0</v>
      </c>
      <c r="M5424" s="40">
        <v>42546.0</v>
      </c>
      <c r="N5424" s="40">
        <v>42551.0</v>
      </c>
      <c r="O5424" s="15" t="s">
        <v>1554</v>
      </c>
      <c r="Q5424" s="7"/>
    </row>
    <row r="5425">
      <c r="A5425" s="39" t="s">
        <v>21045</v>
      </c>
      <c r="B5425" s="15">
        <v>1816488.0</v>
      </c>
      <c r="C5425" s="15" t="s">
        <v>21046</v>
      </c>
      <c r="D5425" s="15">
        <v>327364.0</v>
      </c>
      <c r="E5425" s="15" t="s">
        <v>1548</v>
      </c>
      <c r="F5425" s="15" t="s">
        <v>5261</v>
      </c>
      <c r="G5425" s="7">
        <v>2.631</v>
      </c>
      <c r="H5425" s="15" t="s">
        <v>1591</v>
      </c>
      <c r="I5425" s="15" t="s">
        <v>1552</v>
      </c>
      <c r="J5425" s="15" t="s">
        <v>21047</v>
      </c>
      <c r="K5425" s="15">
        <v>1.0</v>
      </c>
      <c r="L5425" s="15">
        <v>1.0</v>
      </c>
      <c r="M5425" s="40">
        <v>42543.0</v>
      </c>
      <c r="N5425" s="40">
        <v>42551.0</v>
      </c>
      <c r="O5425" s="15" t="s">
        <v>1554</v>
      </c>
      <c r="Q5425" s="7"/>
    </row>
    <row r="5426">
      <c r="A5426" s="39" t="s">
        <v>21048</v>
      </c>
      <c r="B5426" s="15">
        <v>1816487.0</v>
      </c>
      <c r="C5426" s="15" t="s">
        <v>21049</v>
      </c>
      <c r="D5426" s="15">
        <v>327365.0</v>
      </c>
      <c r="E5426" s="15" t="s">
        <v>1548</v>
      </c>
      <c r="F5426" s="15" t="s">
        <v>5261</v>
      </c>
      <c r="G5426" s="7">
        <v>2.479</v>
      </c>
      <c r="H5426" s="15" t="s">
        <v>2223</v>
      </c>
      <c r="I5426" s="15" t="s">
        <v>1552</v>
      </c>
      <c r="J5426" s="15" t="s">
        <v>21051</v>
      </c>
      <c r="K5426" s="15">
        <v>1.0</v>
      </c>
      <c r="L5426" s="15">
        <v>1.0</v>
      </c>
      <c r="M5426" s="40">
        <v>42543.0</v>
      </c>
      <c r="N5426" s="40">
        <v>42551.0</v>
      </c>
      <c r="O5426" s="15" t="s">
        <v>1554</v>
      </c>
      <c r="Q5426" s="7"/>
    </row>
    <row r="5427">
      <c r="A5427" s="39" t="s">
        <v>21052</v>
      </c>
      <c r="B5427" s="15">
        <v>1862826.0</v>
      </c>
      <c r="C5427" s="15" t="s">
        <v>21053</v>
      </c>
      <c r="D5427" s="15">
        <v>327664.0</v>
      </c>
      <c r="E5427" s="15" t="s">
        <v>1808</v>
      </c>
      <c r="F5427" s="15" t="s">
        <v>1578</v>
      </c>
      <c r="G5427" s="7">
        <v>2.951</v>
      </c>
      <c r="H5427" s="15" t="s">
        <v>1640</v>
      </c>
      <c r="I5427" s="15" t="s">
        <v>9533</v>
      </c>
      <c r="J5427" s="15" t="s">
        <v>21054</v>
      </c>
      <c r="K5427" s="15">
        <v>3.0</v>
      </c>
      <c r="L5427" s="15">
        <v>3.0</v>
      </c>
      <c r="M5427" s="40">
        <v>42548.0</v>
      </c>
      <c r="N5427" s="40">
        <v>42553.0</v>
      </c>
      <c r="O5427" s="15" t="s">
        <v>1554</v>
      </c>
      <c r="Q5427" s="7"/>
    </row>
    <row r="5428">
      <c r="A5428" s="39" t="s">
        <v>21055</v>
      </c>
      <c r="B5428" s="15">
        <v>1862822.0</v>
      </c>
      <c r="C5428" s="15" t="s">
        <v>21056</v>
      </c>
      <c r="D5428" s="15">
        <v>327401.0</v>
      </c>
      <c r="E5428" s="15" t="s">
        <v>1916</v>
      </c>
      <c r="F5428" s="15" t="s">
        <v>3423</v>
      </c>
      <c r="G5428" s="7">
        <v>3.26</v>
      </c>
      <c r="H5428" s="15" t="s">
        <v>5934</v>
      </c>
      <c r="I5428" s="15" t="s">
        <v>1686</v>
      </c>
      <c r="J5428" s="15" t="s">
        <v>21057</v>
      </c>
      <c r="K5428" s="15">
        <v>6.0</v>
      </c>
      <c r="L5428" s="15">
        <v>6.0</v>
      </c>
      <c r="M5428" s="40">
        <v>42546.0</v>
      </c>
      <c r="N5428" s="40">
        <v>42553.0</v>
      </c>
      <c r="O5428" s="15" t="s">
        <v>1554</v>
      </c>
      <c r="Q5428" s="7"/>
    </row>
    <row r="5429">
      <c r="A5429" s="39" t="s">
        <v>21059</v>
      </c>
      <c r="B5429" s="15">
        <v>1862824.0</v>
      </c>
      <c r="C5429" s="15" t="s">
        <v>21060</v>
      </c>
      <c r="D5429" s="15">
        <v>327661.0</v>
      </c>
      <c r="E5429" s="15" t="s">
        <v>1664</v>
      </c>
      <c r="F5429" s="15" t="s">
        <v>15173</v>
      </c>
      <c r="G5429" s="7">
        <v>2.264</v>
      </c>
      <c r="H5429" s="15" t="s">
        <v>6070</v>
      </c>
      <c r="I5429" s="15" t="s">
        <v>9533</v>
      </c>
      <c r="J5429" s="15" t="s">
        <v>21061</v>
      </c>
      <c r="K5429" s="15">
        <v>4.0</v>
      </c>
      <c r="L5429" s="15">
        <v>4.0</v>
      </c>
      <c r="M5429" s="40">
        <v>42548.0</v>
      </c>
      <c r="N5429" s="41">
        <v>42699.0</v>
      </c>
      <c r="O5429" s="15" t="s">
        <v>1554</v>
      </c>
      <c r="Q5429" s="7"/>
    </row>
    <row r="5430">
      <c r="A5430" s="39" t="s">
        <v>21062</v>
      </c>
      <c r="B5430" s="15">
        <v>1862823.0</v>
      </c>
      <c r="C5430" s="15" t="s">
        <v>21063</v>
      </c>
      <c r="D5430" s="15">
        <v>327662.0</v>
      </c>
      <c r="E5430" s="15" t="s">
        <v>1916</v>
      </c>
      <c r="F5430" s="15" t="s">
        <v>3423</v>
      </c>
      <c r="G5430" s="7">
        <v>3.138</v>
      </c>
      <c r="H5430" s="15" t="s">
        <v>2660</v>
      </c>
      <c r="I5430" s="15" t="s">
        <v>1686</v>
      </c>
      <c r="J5430" s="15" t="s">
        <v>21064</v>
      </c>
      <c r="K5430" s="15">
        <v>3.0</v>
      </c>
      <c r="L5430" s="15">
        <v>4.0</v>
      </c>
      <c r="M5430" s="40">
        <v>42546.0</v>
      </c>
      <c r="N5430" s="40">
        <v>42555.0</v>
      </c>
      <c r="O5430" s="15" t="s">
        <v>1554</v>
      </c>
      <c r="Q5430" s="7"/>
    </row>
    <row r="5431">
      <c r="A5431" s="39" t="s">
        <v>21066</v>
      </c>
      <c r="B5431" s="15">
        <v>1862825.0</v>
      </c>
      <c r="C5431" s="15" t="s">
        <v>21067</v>
      </c>
      <c r="D5431" s="15">
        <v>327665.0</v>
      </c>
      <c r="E5431" s="15" t="s">
        <v>1664</v>
      </c>
      <c r="F5431" s="15" t="s">
        <v>15173</v>
      </c>
      <c r="G5431" s="7">
        <v>2.262</v>
      </c>
      <c r="H5431" s="15" t="s">
        <v>2237</v>
      </c>
      <c r="I5431" s="15" t="s">
        <v>9533</v>
      </c>
      <c r="J5431" s="15" t="s">
        <v>21068</v>
      </c>
      <c r="K5431" s="15">
        <v>3.0</v>
      </c>
      <c r="L5431" s="15">
        <v>3.0</v>
      </c>
      <c r="M5431" s="40">
        <v>42548.0</v>
      </c>
      <c r="N5431" s="41">
        <v>42699.0</v>
      </c>
      <c r="O5431" s="15" t="s">
        <v>1554</v>
      </c>
      <c r="Q5431" s="7"/>
    </row>
    <row r="5432">
      <c r="A5432" s="39" t="s">
        <v>21069</v>
      </c>
      <c r="B5432" s="15">
        <v>1585246.0</v>
      </c>
      <c r="C5432" s="15" t="s">
        <v>21070</v>
      </c>
      <c r="D5432" s="15">
        <v>270235.0</v>
      </c>
      <c r="E5432" s="15" t="s">
        <v>1548</v>
      </c>
      <c r="F5432" s="15" t="s">
        <v>1890</v>
      </c>
      <c r="G5432" s="7">
        <v>13.434</v>
      </c>
      <c r="H5432" s="15" t="s">
        <v>6418</v>
      </c>
      <c r="I5432" s="15" t="s">
        <v>1560</v>
      </c>
      <c r="J5432" s="15" t="s">
        <v>21071</v>
      </c>
      <c r="K5432" s="15">
        <v>6.0</v>
      </c>
      <c r="L5432" s="15">
        <v>6.0</v>
      </c>
      <c r="M5432" s="40">
        <v>42404.0</v>
      </c>
      <c r="N5432" s="40">
        <v>42563.0</v>
      </c>
      <c r="O5432" s="15" t="s">
        <v>1554</v>
      </c>
      <c r="Q5432" s="7"/>
    </row>
    <row r="5433">
      <c r="A5433" s="39" t="s">
        <v>21072</v>
      </c>
      <c r="B5433" s="15">
        <v>1685502.0</v>
      </c>
      <c r="C5433" s="15" t="s">
        <v>21073</v>
      </c>
      <c r="D5433" s="15">
        <v>327702.0</v>
      </c>
      <c r="E5433" s="15" t="s">
        <v>1638</v>
      </c>
      <c r="F5433" s="15" t="s">
        <v>1796</v>
      </c>
      <c r="G5433" s="7">
        <v>3.206</v>
      </c>
      <c r="H5433" s="15" t="s">
        <v>21075</v>
      </c>
      <c r="I5433" s="15" t="s">
        <v>1552</v>
      </c>
      <c r="J5433" s="15" t="s">
        <v>21076</v>
      </c>
      <c r="K5433" s="15">
        <v>2.0</v>
      </c>
      <c r="L5433" s="15">
        <v>2.0</v>
      </c>
      <c r="M5433" s="40">
        <v>42551.0</v>
      </c>
      <c r="N5433" s="40">
        <v>42792.0</v>
      </c>
      <c r="O5433" s="15" t="s">
        <v>1554</v>
      </c>
      <c r="Q5433" s="7"/>
    </row>
    <row r="5434">
      <c r="A5434" s="39" t="s">
        <v>21077</v>
      </c>
      <c r="B5434" s="15">
        <v>1868621.0</v>
      </c>
      <c r="C5434" s="15" t="s">
        <v>21078</v>
      </c>
      <c r="D5434" s="15">
        <v>328030.0</v>
      </c>
      <c r="E5434" s="15" t="s">
        <v>1577</v>
      </c>
      <c r="F5434" s="15" t="s">
        <v>1578</v>
      </c>
      <c r="G5434" s="7">
        <v>27.709</v>
      </c>
      <c r="H5434" s="15" t="s">
        <v>2864</v>
      </c>
      <c r="I5434" s="15" t="s">
        <v>1560</v>
      </c>
      <c r="J5434" s="15" t="s">
        <v>21079</v>
      </c>
      <c r="K5434" s="15">
        <v>1.0</v>
      </c>
      <c r="L5434" s="15">
        <v>1.0</v>
      </c>
      <c r="M5434" s="40">
        <v>42556.0</v>
      </c>
      <c r="N5434" s="40">
        <v>42564.0</v>
      </c>
      <c r="O5434" s="15" t="s">
        <v>1554</v>
      </c>
      <c r="Q5434" s="7"/>
    </row>
    <row r="5435">
      <c r="A5435" s="39" t="s">
        <v>21080</v>
      </c>
      <c r="B5435" s="15">
        <v>35280.0</v>
      </c>
      <c r="C5435" s="15" t="s">
        <v>21081</v>
      </c>
      <c r="D5435" s="15">
        <v>328134.0</v>
      </c>
      <c r="E5435" s="15" t="s">
        <v>1548</v>
      </c>
      <c r="F5435" s="15" t="s">
        <v>2900</v>
      </c>
      <c r="G5435" s="7">
        <v>4.789</v>
      </c>
      <c r="H5435" s="15" t="s">
        <v>2548</v>
      </c>
      <c r="I5435" s="15" t="s">
        <v>1628</v>
      </c>
      <c r="J5435" s="15" t="s">
        <v>21082</v>
      </c>
      <c r="K5435" s="15">
        <v>5.0</v>
      </c>
      <c r="L5435" s="15">
        <v>5.0</v>
      </c>
      <c r="M5435" s="40">
        <v>42554.0</v>
      </c>
      <c r="N5435" s="40">
        <v>42564.0</v>
      </c>
      <c r="O5435" s="15" t="s">
        <v>1554</v>
      </c>
      <c r="Q5435" s="7"/>
    </row>
    <row r="5436">
      <c r="A5436" s="39" t="s">
        <v>21083</v>
      </c>
      <c r="B5436" s="15">
        <v>1676185.0</v>
      </c>
      <c r="C5436" s="15" t="s">
        <v>21085</v>
      </c>
      <c r="D5436" s="15">
        <v>328666.0</v>
      </c>
      <c r="E5436" s="15" t="s">
        <v>1577</v>
      </c>
      <c r="F5436" s="15" t="s">
        <v>1578</v>
      </c>
      <c r="G5436" s="7">
        <v>2.356</v>
      </c>
      <c r="H5436" s="15" t="s">
        <v>1591</v>
      </c>
      <c r="I5436" s="15" t="s">
        <v>1706</v>
      </c>
      <c r="J5436" s="15" t="s">
        <v>21086</v>
      </c>
      <c r="K5436" s="15">
        <v>1.0</v>
      </c>
      <c r="L5436" s="15">
        <v>1.0</v>
      </c>
      <c r="M5436" s="40">
        <v>42553.0</v>
      </c>
      <c r="N5436" s="40">
        <v>42563.0</v>
      </c>
      <c r="O5436" s="15" t="s">
        <v>1554</v>
      </c>
      <c r="Q5436" s="7"/>
    </row>
    <row r="5437">
      <c r="A5437" s="39" t="s">
        <v>21087</v>
      </c>
      <c r="B5437" s="15">
        <v>1788451.0</v>
      </c>
      <c r="C5437" s="15" t="s">
        <v>21088</v>
      </c>
      <c r="D5437" s="15">
        <v>328676.0</v>
      </c>
      <c r="E5437" s="15" t="s">
        <v>1808</v>
      </c>
      <c r="F5437" s="15" t="s">
        <v>1998</v>
      </c>
      <c r="G5437" s="7">
        <v>2.854</v>
      </c>
      <c r="H5437" s="15" t="s">
        <v>1792</v>
      </c>
      <c r="I5437" s="15" t="s">
        <v>1706</v>
      </c>
      <c r="J5437" s="15" t="s">
        <v>21089</v>
      </c>
      <c r="K5437" s="15">
        <v>5.0</v>
      </c>
      <c r="L5437" s="15">
        <v>5.0</v>
      </c>
      <c r="M5437" s="40">
        <v>42551.0</v>
      </c>
      <c r="N5437" s="40">
        <v>42563.0</v>
      </c>
      <c r="O5437" s="15" t="s">
        <v>1554</v>
      </c>
      <c r="Q5437" s="7"/>
    </row>
    <row r="5438">
      <c r="A5438" s="39" t="s">
        <v>21090</v>
      </c>
      <c r="B5438" s="15">
        <v>1788447.0</v>
      </c>
      <c r="C5438" s="15" t="s">
        <v>21091</v>
      </c>
      <c r="D5438" s="15">
        <v>328680.0</v>
      </c>
      <c r="E5438" s="15" t="s">
        <v>1808</v>
      </c>
      <c r="F5438" s="15" t="s">
        <v>1998</v>
      </c>
      <c r="G5438" s="7">
        <v>3.021</v>
      </c>
      <c r="H5438" s="15" t="s">
        <v>1983</v>
      </c>
      <c r="I5438" s="15" t="s">
        <v>1706</v>
      </c>
      <c r="J5438" s="15" t="s">
        <v>21093</v>
      </c>
      <c r="K5438" s="15">
        <v>5.0</v>
      </c>
      <c r="L5438" s="15">
        <v>5.0</v>
      </c>
      <c r="M5438" s="40">
        <v>42551.0</v>
      </c>
      <c r="N5438" s="40">
        <v>42563.0</v>
      </c>
      <c r="O5438" s="15" t="s">
        <v>1554</v>
      </c>
      <c r="Q5438" s="7"/>
    </row>
    <row r="5439">
      <c r="A5439" s="39" t="s">
        <v>21094</v>
      </c>
      <c r="B5439" s="15">
        <v>1788443.0</v>
      </c>
      <c r="C5439" s="15" t="s">
        <v>21095</v>
      </c>
      <c r="D5439" s="15">
        <v>328684.0</v>
      </c>
      <c r="E5439" s="15" t="s">
        <v>1808</v>
      </c>
      <c r="F5439" s="15" t="s">
        <v>1998</v>
      </c>
      <c r="G5439" s="7">
        <v>1.864</v>
      </c>
      <c r="H5439" s="15" t="s">
        <v>2304</v>
      </c>
      <c r="I5439" s="15" t="s">
        <v>1706</v>
      </c>
      <c r="J5439" s="15" t="s">
        <v>21096</v>
      </c>
      <c r="K5439" s="15">
        <v>3.0</v>
      </c>
      <c r="L5439" s="15">
        <v>3.0</v>
      </c>
      <c r="M5439" s="40">
        <v>42551.0</v>
      </c>
      <c r="N5439" s="40">
        <v>42563.0</v>
      </c>
      <c r="O5439" s="15" t="s">
        <v>1554</v>
      </c>
      <c r="Q5439" s="7"/>
    </row>
    <row r="5440">
      <c r="A5440" s="39" t="s">
        <v>21097</v>
      </c>
      <c r="B5440" s="15">
        <v>1788439.0</v>
      </c>
      <c r="C5440" s="15" t="s">
        <v>21098</v>
      </c>
      <c r="D5440" s="15">
        <v>328688.0</v>
      </c>
      <c r="E5440" s="15" t="s">
        <v>1808</v>
      </c>
      <c r="F5440" s="15" t="s">
        <v>1998</v>
      </c>
      <c r="G5440" s="7">
        <v>3.124</v>
      </c>
      <c r="H5440" s="15" t="s">
        <v>2178</v>
      </c>
      <c r="I5440" s="15" t="s">
        <v>1706</v>
      </c>
      <c r="J5440" s="15" t="s">
        <v>21099</v>
      </c>
      <c r="K5440" s="15">
        <v>5.0</v>
      </c>
      <c r="L5440" s="15">
        <v>5.0</v>
      </c>
      <c r="M5440" s="40">
        <v>42551.0</v>
      </c>
      <c r="N5440" s="40">
        <v>42563.0</v>
      </c>
      <c r="O5440" s="15" t="s">
        <v>1554</v>
      </c>
      <c r="Q5440" s="7"/>
    </row>
    <row r="5441">
      <c r="A5441" s="39" t="s">
        <v>21101</v>
      </c>
      <c r="B5441" s="15">
        <v>1193974.0</v>
      </c>
      <c r="C5441" s="15" t="s">
        <v>21102</v>
      </c>
      <c r="D5441" s="15">
        <v>328671.0</v>
      </c>
      <c r="E5441" s="15" t="s">
        <v>1548</v>
      </c>
      <c r="F5441" s="15" t="s">
        <v>1776</v>
      </c>
      <c r="G5441" s="7">
        <v>7.317</v>
      </c>
      <c r="H5441" s="15" t="s">
        <v>3432</v>
      </c>
      <c r="I5441" s="15" t="s">
        <v>1686</v>
      </c>
      <c r="J5441" s="15" t="s">
        <v>21103</v>
      </c>
      <c r="K5441" s="15">
        <v>1.0</v>
      </c>
      <c r="L5441" s="15">
        <v>1.0</v>
      </c>
      <c r="M5441" s="40">
        <v>42553.0</v>
      </c>
      <c r="N5441" s="40">
        <v>42835.0</v>
      </c>
      <c r="O5441" s="15" t="s">
        <v>1554</v>
      </c>
      <c r="Q5441" s="7"/>
    </row>
    <row r="5442">
      <c r="A5442" s="39" t="s">
        <v>21104</v>
      </c>
      <c r="B5442" s="15">
        <v>1788452.0</v>
      </c>
      <c r="C5442" s="15" t="s">
        <v>21105</v>
      </c>
      <c r="D5442" s="15">
        <v>328675.0</v>
      </c>
      <c r="E5442" s="15" t="s">
        <v>1808</v>
      </c>
      <c r="F5442" s="15" t="s">
        <v>1998</v>
      </c>
      <c r="G5442" s="7">
        <v>2.029</v>
      </c>
      <c r="H5442" s="15">
        <v>36.0</v>
      </c>
      <c r="I5442" s="15" t="s">
        <v>1706</v>
      </c>
      <c r="J5442" s="15" t="s">
        <v>21106</v>
      </c>
      <c r="K5442" s="15">
        <v>3.0</v>
      </c>
      <c r="L5442" s="15">
        <v>3.0</v>
      </c>
      <c r="M5442" s="40">
        <v>42551.0</v>
      </c>
      <c r="N5442" s="40">
        <v>42563.0</v>
      </c>
      <c r="O5442" s="15" t="s">
        <v>1554</v>
      </c>
      <c r="Q5442" s="7"/>
    </row>
    <row r="5443">
      <c r="A5443" s="39" t="s">
        <v>21107</v>
      </c>
      <c r="B5443" s="15">
        <v>1788448.0</v>
      </c>
      <c r="C5443" s="15" t="s">
        <v>21108</v>
      </c>
      <c r="D5443" s="15">
        <v>328679.0</v>
      </c>
      <c r="E5443" s="15" t="s">
        <v>1808</v>
      </c>
      <c r="F5443" s="15" t="s">
        <v>1998</v>
      </c>
      <c r="G5443" s="7">
        <v>2.651</v>
      </c>
      <c r="H5443" s="15">
        <v>44.0</v>
      </c>
      <c r="I5443" s="15" t="s">
        <v>1706</v>
      </c>
      <c r="J5443" s="15" t="s">
        <v>21110</v>
      </c>
      <c r="K5443" s="15">
        <v>4.0</v>
      </c>
      <c r="L5443" s="15">
        <v>4.0</v>
      </c>
      <c r="M5443" s="40">
        <v>42551.0</v>
      </c>
      <c r="N5443" s="40">
        <v>42563.0</v>
      </c>
      <c r="O5443" s="15" t="s">
        <v>1554</v>
      </c>
      <c r="Q5443" s="7"/>
    </row>
    <row r="5444">
      <c r="A5444" s="39" t="s">
        <v>21111</v>
      </c>
      <c r="B5444" s="15">
        <v>1788444.0</v>
      </c>
      <c r="C5444" s="15" t="s">
        <v>21112</v>
      </c>
      <c r="D5444" s="15">
        <v>328683.0</v>
      </c>
      <c r="E5444" s="15" t="s">
        <v>1808</v>
      </c>
      <c r="F5444" s="15" t="s">
        <v>1998</v>
      </c>
      <c r="G5444" s="7">
        <v>2.985</v>
      </c>
      <c r="H5444" s="15" t="s">
        <v>3882</v>
      </c>
      <c r="I5444" s="15" t="s">
        <v>1706</v>
      </c>
      <c r="J5444" s="15" t="s">
        <v>21113</v>
      </c>
      <c r="K5444" s="15">
        <v>3.0</v>
      </c>
      <c r="L5444" s="15">
        <v>3.0</v>
      </c>
      <c r="M5444" s="40">
        <v>42551.0</v>
      </c>
      <c r="N5444" s="40">
        <v>42563.0</v>
      </c>
      <c r="O5444" s="15" t="s">
        <v>1554</v>
      </c>
      <c r="Q5444" s="7"/>
    </row>
    <row r="5445">
      <c r="A5445" s="39" t="s">
        <v>21114</v>
      </c>
      <c r="B5445" s="15">
        <v>1788440.0</v>
      </c>
      <c r="C5445" s="15" t="s">
        <v>21115</v>
      </c>
      <c r="D5445" s="15">
        <v>328687.0</v>
      </c>
      <c r="E5445" s="15" t="s">
        <v>1808</v>
      </c>
      <c r="F5445" s="15" t="s">
        <v>1998</v>
      </c>
      <c r="G5445" s="7">
        <v>2.103</v>
      </c>
      <c r="H5445" s="15" t="s">
        <v>2324</v>
      </c>
      <c r="I5445" s="15" t="s">
        <v>1706</v>
      </c>
      <c r="J5445" s="15" t="s">
        <v>21116</v>
      </c>
      <c r="K5445" s="15">
        <v>3.0</v>
      </c>
      <c r="L5445" s="15">
        <v>3.0</v>
      </c>
      <c r="M5445" s="40">
        <v>42551.0</v>
      </c>
      <c r="N5445" s="40">
        <v>42563.0</v>
      </c>
      <c r="O5445" s="15" t="s">
        <v>1554</v>
      </c>
      <c r="Q5445" s="7"/>
    </row>
    <row r="5446">
      <c r="A5446" s="39" t="s">
        <v>21118</v>
      </c>
      <c r="B5446" s="15">
        <v>1676184.0</v>
      </c>
      <c r="C5446" s="15" t="s">
        <v>21119</v>
      </c>
      <c r="D5446" s="15">
        <v>328667.0</v>
      </c>
      <c r="E5446" s="15" t="s">
        <v>1808</v>
      </c>
      <c r="F5446" s="15" t="s">
        <v>1998</v>
      </c>
      <c r="G5446" s="7">
        <v>3.811</v>
      </c>
      <c r="H5446" s="15" t="s">
        <v>2864</v>
      </c>
      <c r="I5446" s="15" t="s">
        <v>1686</v>
      </c>
      <c r="J5446" s="15" t="s">
        <v>21120</v>
      </c>
      <c r="K5446" s="15">
        <v>3.0</v>
      </c>
      <c r="L5446" s="15">
        <v>3.0</v>
      </c>
      <c r="M5446" s="40">
        <v>42553.0</v>
      </c>
      <c r="N5446" s="40">
        <v>42563.0</v>
      </c>
      <c r="O5446" s="15" t="s">
        <v>1554</v>
      </c>
      <c r="Q5446" s="7"/>
    </row>
    <row r="5447">
      <c r="A5447" s="39" t="s">
        <v>21121</v>
      </c>
      <c r="B5447" s="15">
        <v>1788455.0</v>
      </c>
      <c r="C5447" s="15" t="s">
        <v>21122</v>
      </c>
      <c r="D5447" s="15">
        <v>328673.0</v>
      </c>
      <c r="E5447" s="15" t="s">
        <v>1808</v>
      </c>
      <c r="F5447" s="15" t="s">
        <v>1998</v>
      </c>
      <c r="G5447" s="7">
        <v>2.369</v>
      </c>
      <c r="H5447" s="15" t="s">
        <v>2580</v>
      </c>
      <c r="I5447" s="15" t="s">
        <v>1706</v>
      </c>
      <c r="J5447" s="15" t="s">
        <v>21123</v>
      </c>
      <c r="K5447" s="15">
        <v>3.0</v>
      </c>
      <c r="L5447" s="15">
        <v>3.0</v>
      </c>
      <c r="M5447" s="40">
        <v>42551.0</v>
      </c>
      <c r="N5447" s="40">
        <v>42563.0</v>
      </c>
      <c r="O5447" s="15" t="s">
        <v>1554</v>
      </c>
      <c r="Q5447" s="7"/>
    </row>
    <row r="5448">
      <c r="A5448" s="39" t="s">
        <v>21124</v>
      </c>
      <c r="B5448" s="15">
        <v>1788450.0</v>
      </c>
      <c r="C5448" s="15" t="s">
        <v>21125</v>
      </c>
      <c r="D5448" s="15">
        <v>328677.0</v>
      </c>
      <c r="E5448" s="15" t="s">
        <v>1808</v>
      </c>
      <c r="F5448" s="15" t="s">
        <v>1998</v>
      </c>
      <c r="G5448" s="7">
        <v>1.173</v>
      </c>
      <c r="H5448" s="15" t="s">
        <v>5934</v>
      </c>
      <c r="I5448" s="15" t="s">
        <v>1706</v>
      </c>
      <c r="J5448" s="15" t="s">
        <v>21127</v>
      </c>
      <c r="K5448" s="15">
        <v>1.0</v>
      </c>
      <c r="L5448" s="15">
        <v>1.0</v>
      </c>
      <c r="M5448" s="40">
        <v>42551.0</v>
      </c>
      <c r="N5448" s="40">
        <v>42563.0</v>
      </c>
      <c r="O5448" s="15" t="s">
        <v>1554</v>
      </c>
      <c r="Q5448" s="7"/>
    </row>
    <row r="5449">
      <c r="A5449" s="39" t="s">
        <v>21128</v>
      </c>
      <c r="B5449" s="15">
        <v>1788446.0</v>
      </c>
      <c r="C5449" s="15" t="s">
        <v>21129</v>
      </c>
      <c r="D5449" s="15">
        <v>328681.0</v>
      </c>
      <c r="E5449" s="15" t="s">
        <v>1808</v>
      </c>
      <c r="F5449" s="15" t="s">
        <v>1998</v>
      </c>
      <c r="G5449" s="7">
        <v>2.522</v>
      </c>
      <c r="H5449" s="15">
        <v>42.0</v>
      </c>
      <c r="I5449" s="15" t="s">
        <v>1706</v>
      </c>
      <c r="J5449" s="15" t="s">
        <v>21130</v>
      </c>
      <c r="K5449" s="15">
        <v>3.0</v>
      </c>
      <c r="L5449" s="15">
        <v>3.0</v>
      </c>
      <c r="M5449" s="40">
        <v>42551.0</v>
      </c>
      <c r="N5449" s="40">
        <v>42563.0</v>
      </c>
      <c r="O5449" s="15" t="s">
        <v>1554</v>
      </c>
      <c r="Q5449" s="7"/>
    </row>
    <row r="5450">
      <c r="A5450" s="39" t="s">
        <v>21131</v>
      </c>
      <c r="B5450" s="15">
        <v>1788442.0</v>
      </c>
      <c r="C5450" s="15" t="s">
        <v>21132</v>
      </c>
      <c r="D5450" s="15">
        <v>328685.0</v>
      </c>
      <c r="E5450" s="15" t="s">
        <v>1808</v>
      </c>
      <c r="F5450" s="15" t="s">
        <v>1998</v>
      </c>
      <c r="G5450" s="7">
        <v>2.187</v>
      </c>
      <c r="H5450" s="15" t="s">
        <v>1943</v>
      </c>
      <c r="I5450" s="15" t="s">
        <v>1706</v>
      </c>
      <c r="J5450" s="15" t="s">
        <v>21133</v>
      </c>
      <c r="K5450" s="15">
        <v>3.0</v>
      </c>
      <c r="L5450" s="15">
        <v>3.0</v>
      </c>
      <c r="M5450" s="40">
        <v>42551.0</v>
      </c>
      <c r="N5450" s="40">
        <v>42563.0</v>
      </c>
      <c r="O5450" s="15" t="s">
        <v>1554</v>
      </c>
      <c r="Q5450" s="7"/>
    </row>
    <row r="5451">
      <c r="A5451" s="39" t="s">
        <v>21134</v>
      </c>
      <c r="B5451" s="15">
        <v>1788438.0</v>
      </c>
      <c r="C5451" s="15" t="s">
        <v>21135</v>
      </c>
      <c r="D5451" s="15">
        <v>328689.0</v>
      </c>
      <c r="E5451" s="15" t="s">
        <v>1808</v>
      </c>
      <c r="F5451" s="15" t="s">
        <v>1998</v>
      </c>
      <c r="G5451" s="7">
        <v>2.32</v>
      </c>
      <c r="H5451" s="15" t="s">
        <v>1634</v>
      </c>
      <c r="I5451" s="15" t="s">
        <v>1706</v>
      </c>
      <c r="J5451" s="15" t="s">
        <v>21136</v>
      </c>
      <c r="K5451" s="15">
        <v>3.0</v>
      </c>
      <c r="L5451" s="15">
        <v>3.0</v>
      </c>
      <c r="M5451" s="40">
        <v>42551.0</v>
      </c>
      <c r="N5451" s="40">
        <v>42563.0</v>
      </c>
      <c r="O5451" s="15" t="s">
        <v>1554</v>
      </c>
      <c r="Q5451" s="7"/>
    </row>
    <row r="5452">
      <c r="A5452" s="39" t="s">
        <v>21137</v>
      </c>
      <c r="B5452" s="15">
        <v>1676182.0</v>
      </c>
      <c r="C5452" s="15" t="s">
        <v>21138</v>
      </c>
      <c r="D5452" s="15">
        <v>328669.0</v>
      </c>
      <c r="E5452" s="15" t="s">
        <v>1808</v>
      </c>
      <c r="F5452" s="15" t="s">
        <v>3154</v>
      </c>
      <c r="G5452" s="7">
        <v>5.184</v>
      </c>
      <c r="H5452" s="15" t="s">
        <v>2824</v>
      </c>
      <c r="I5452" s="15" t="s">
        <v>1586</v>
      </c>
      <c r="J5452" s="15" t="s">
        <v>21140</v>
      </c>
      <c r="K5452" s="15">
        <v>5.0</v>
      </c>
      <c r="L5452" s="15">
        <v>5.0</v>
      </c>
      <c r="M5452" s="40">
        <v>42553.0</v>
      </c>
      <c r="N5452" s="40">
        <v>42563.0</v>
      </c>
      <c r="O5452" s="15" t="s">
        <v>1554</v>
      </c>
      <c r="Q5452" s="7"/>
    </row>
    <row r="5453">
      <c r="A5453" s="39" t="s">
        <v>21141</v>
      </c>
      <c r="B5453" s="15">
        <v>1788454.0</v>
      </c>
      <c r="C5453" s="15" t="s">
        <v>21142</v>
      </c>
      <c r="D5453" s="15">
        <v>328674.0</v>
      </c>
      <c r="E5453" s="15" t="s">
        <v>1808</v>
      </c>
      <c r="F5453" s="15" t="s">
        <v>1998</v>
      </c>
      <c r="G5453" s="7">
        <v>1.784</v>
      </c>
      <c r="H5453" s="15" t="s">
        <v>1710</v>
      </c>
      <c r="I5453" s="15" t="s">
        <v>1706</v>
      </c>
      <c r="J5453" s="15" t="s">
        <v>21143</v>
      </c>
      <c r="K5453" s="15">
        <v>2.0</v>
      </c>
      <c r="L5453" s="15">
        <v>2.0</v>
      </c>
      <c r="M5453" s="40">
        <v>42551.0</v>
      </c>
      <c r="N5453" s="40">
        <v>42563.0</v>
      </c>
      <c r="O5453" s="15" t="s">
        <v>1554</v>
      </c>
      <c r="Q5453" s="7"/>
    </row>
    <row r="5454">
      <c r="A5454" s="39" t="s">
        <v>21144</v>
      </c>
      <c r="B5454" s="15">
        <v>1788449.0</v>
      </c>
      <c r="C5454" s="15" t="s">
        <v>21145</v>
      </c>
      <c r="D5454" s="15">
        <v>328678.0</v>
      </c>
      <c r="E5454" s="15" t="s">
        <v>1808</v>
      </c>
      <c r="F5454" s="15" t="s">
        <v>1998</v>
      </c>
      <c r="G5454" s="7">
        <v>1.828</v>
      </c>
      <c r="H5454" s="15" t="s">
        <v>7408</v>
      </c>
      <c r="I5454" s="15" t="s">
        <v>1706</v>
      </c>
      <c r="J5454" s="15" t="s">
        <v>21146</v>
      </c>
      <c r="K5454" s="15">
        <v>3.0</v>
      </c>
      <c r="L5454" s="15">
        <v>3.0</v>
      </c>
      <c r="M5454" s="40">
        <v>42551.0</v>
      </c>
      <c r="N5454" s="40">
        <v>42563.0</v>
      </c>
      <c r="O5454" s="15" t="s">
        <v>1554</v>
      </c>
      <c r="Q5454" s="7"/>
    </row>
    <row r="5455">
      <c r="A5455" s="39" t="s">
        <v>21147</v>
      </c>
      <c r="B5455" s="15">
        <v>1788445.0</v>
      </c>
      <c r="C5455" s="15" t="s">
        <v>21148</v>
      </c>
      <c r="D5455" s="15">
        <v>328682.0</v>
      </c>
      <c r="E5455" s="15" t="s">
        <v>1808</v>
      </c>
      <c r="F5455" s="15" t="s">
        <v>1998</v>
      </c>
      <c r="G5455" s="7">
        <v>2.533</v>
      </c>
      <c r="H5455" s="15">
        <v>45.0</v>
      </c>
      <c r="I5455" s="15" t="s">
        <v>1706</v>
      </c>
      <c r="J5455" s="15" t="s">
        <v>21149</v>
      </c>
      <c r="K5455" s="15">
        <v>4.0</v>
      </c>
      <c r="L5455" s="15">
        <v>4.0</v>
      </c>
      <c r="M5455" s="40">
        <v>42551.0</v>
      </c>
      <c r="N5455" s="40">
        <v>42563.0</v>
      </c>
      <c r="O5455" s="15" t="s">
        <v>1554</v>
      </c>
      <c r="Q5455" s="7"/>
    </row>
    <row r="5456">
      <c r="A5456" s="39" t="s">
        <v>21151</v>
      </c>
      <c r="B5456" s="15">
        <v>1788441.0</v>
      </c>
      <c r="C5456" s="15" t="s">
        <v>21152</v>
      </c>
      <c r="D5456" s="15">
        <v>328686.0</v>
      </c>
      <c r="E5456" s="15" t="s">
        <v>1808</v>
      </c>
      <c r="F5456" s="15" t="s">
        <v>1998</v>
      </c>
      <c r="G5456" s="7">
        <v>2.433</v>
      </c>
      <c r="H5456" s="15" t="s">
        <v>1792</v>
      </c>
      <c r="I5456" s="15" t="s">
        <v>1706</v>
      </c>
      <c r="J5456" s="15" t="s">
        <v>21153</v>
      </c>
      <c r="K5456" s="15">
        <v>3.0</v>
      </c>
      <c r="L5456" s="15">
        <v>3.0</v>
      </c>
      <c r="M5456" s="40">
        <v>42551.0</v>
      </c>
      <c r="N5456" s="40">
        <v>42563.0</v>
      </c>
      <c r="O5456" s="15" t="s">
        <v>1554</v>
      </c>
      <c r="Q5456" s="7"/>
    </row>
    <row r="5457">
      <c r="A5457" s="39" t="s">
        <v>21154</v>
      </c>
      <c r="B5457" s="15">
        <v>1788437.0</v>
      </c>
      <c r="C5457" s="15" t="s">
        <v>21155</v>
      </c>
      <c r="D5457" s="15">
        <v>328690.0</v>
      </c>
      <c r="E5457" s="15" t="s">
        <v>1808</v>
      </c>
      <c r="F5457" s="15" t="s">
        <v>1998</v>
      </c>
      <c r="G5457" s="7">
        <v>1.051</v>
      </c>
      <c r="H5457" s="15" t="s">
        <v>2178</v>
      </c>
      <c r="I5457" s="15" t="s">
        <v>1706</v>
      </c>
      <c r="J5457" s="15" t="s">
        <v>21156</v>
      </c>
      <c r="K5457" s="15">
        <v>1.0</v>
      </c>
      <c r="L5457" s="15">
        <v>1.0</v>
      </c>
      <c r="M5457" s="40">
        <v>42551.0</v>
      </c>
      <c r="N5457" s="40">
        <v>42563.0</v>
      </c>
      <c r="O5457" s="15" t="s">
        <v>1554</v>
      </c>
      <c r="Q5457" s="7"/>
    </row>
    <row r="5458">
      <c r="A5458" s="39" t="s">
        <v>21157</v>
      </c>
      <c r="B5458" s="15">
        <v>1676183.0</v>
      </c>
      <c r="C5458" s="15" t="s">
        <v>21158</v>
      </c>
      <c r="D5458" s="15">
        <v>328668.0</v>
      </c>
      <c r="E5458" s="15" t="s">
        <v>1808</v>
      </c>
      <c r="F5458" s="15" t="s">
        <v>3154</v>
      </c>
      <c r="G5458" s="7">
        <v>5.016</v>
      </c>
      <c r="H5458" s="15" t="s">
        <v>3407</v>
      </c>
      <c r="I5458" s="15" t="s">
        <v>1586</v>
      </c>
      <c r="J5458" s="15" t="s">
        <v>21159</v>
      </c>
      <c r="K5458" s="15">
        <v>4.0</v>
      </c>
      <c r="L5458" s="15">
        <v>4.0</v>
      </c>
      <c r="M5458" s="40">
        <v>42553.0</v>
      </c>
      <c r="N5458" s="40">
        <v>42565.0</v>
      </c>
      <c r="O5458" s="15" t="s">
        <v>1554</v>
      </c>
      <c r="Q5458" s="7"/>
    </row>
    <row r="5459">
      <c r="A5459" s="39" t="s">
        <v>21160</v>
      </c>
      <c r="B5459" s="15">
        <v>1676181.0</v>
      </c>
      <c r="C5459" s="15" t="s">
        <v>21161</v>
      </c>
      <c r="D5459" s="15">
        <v>328670.0</v>
      </c>
      <c r="E5459" s="15" t="s">
        <v>1808</v>
      </c>
      <c r="F5459" s="15" t="s">
        <v>3154</v>
      </c>
      <c r="G5459" s="7">
        <v>4.851</v>
      </c>
      <c r="H5459" s="15" t="s">
        <v>7408</v>
      </c>
      <c r="I5459" s="15" t="s">
        <v>1586</v>
      </c>
      <c r="J5459" s="15" t="s">
        <v>21162</v>
      </c>
      <c r="K5459" s="15">
        <v>4.0</v>
      </c>
      <c r="L5459" s="15">
        <v>4.0</v>
      </c>
      <c r="M5459" s="40">
        <v>42553.0</v>
      </c>
      <c r="N5459" s="40">
        <v>42565.0</v>
      </c>
      <c r="O5459" s="15" t="s">
        <v>1554</v>
      </c>
      <c r="Q5459" s="7"/>
    </row>
    <row r="5460">
      <c r="A5460" s="39" t="s">
        <v>21163</v>
      </c>
      <c r="B5460" s="15">
        <v>570949.0</v>
      </c>
      <c r="C5460" s="15" t="s">
        <v>21164</v>
      </c>
      <c r="D5460" s="15">
        <v>328874.0</v>
      </c>
      <c r="E5460" s="15" t="s">
        <v>2014</v>
      </c>
      <c r="F5460" s="15" t="s">
        <v>1578</v>
      </c>
      <c r="G5460" s="7">
        <v>0.748</v>
      </c>
      <c r="H5460" s="15" t="s">
        <v>4415</v>
      </c>
      <c r="I5460" s="15" t="s">
        <v>1628</v>
      </c>
      <c r="J5460" s="15" t="s">
        <v>21166</v>
      </c>
      <c r="K5460" s="15" t="s">
        <v>1722</v>
      </c>
      <c r="L5460" s="15" t="s">
        <v>1722</v>
      </c>
      <c r="M5460" s="40">
        <v>39754.0</v>
      </c>
      <c r="N5460" s="40">
        <v>42570.0</v>
      </c>
      <c r="O5460" s="15" t="s">
        <v>1554</v>
      </c>
      <c r="Q5460" s="7"/>
    </row>
    <row r="5461">
      <c r="A5461" s="39" t="s">
        <v>21167</v>
      </c>
      <c r="B5461" s="15">
        <v>405947.0</v>
      </c>
      <c r="C5461" s="15" t="s">
        <v>21168</v>
      </c>
      <c r="D5461" s="15">
        <v>329642.0</v>
      </c>
      <c r="E5461" s="15" t="s">
        <v>1557</v>
      </c>
      <c r="F5461" s="15" t="s">
        <v>1833</v>
      </c>
      <c r="G5461" s="7">
        <v>42.14</v>
      </c>
      <c r="H5461" s="15" t="s">
        <v>4479</v>
      </c>
      <c r="I5461" s="15" t="s">
        <v>1586</v>
      </c>
      <c r="J5461" s="15" t="s">
        <v>21169</v>
      </c>
      <c r="K5461" s="15">
        <v>61.0</v>
      </c>
      <c r="L5461" s="15">
        <v>61.0</v>
      </c>
      <c r="M5461" s="40">
        <v>39325.0</v>
      </c>
      <c r="N5461" s="40">
        <v>42570.0</v>
      </c>
      <c r="O5461" s="15" t="s">
        <v>1554</v>
      </c>
      <c r="Q5461" s="7"/>
    </row>
    <row r="5462">
      <c r="A5462" s="39" t="s">
        <v>21170</v>
      </c>
      <c r="B5462" s="15">
        <v>1871153.0</v>
      </c>
      <c r="C5462" s="15" t="s">
        <v>21171</v>
      </c>
      <c r="D5462" s="15">
        <v>329635.0</v>
      </c>
      <c r="E5462" s="15" t="s">
        <v>1659</v>
      </c>
      <c r="F5462" s="15" t="s">
        <v>10049</v>
      </c>
      <c r="G5462" s="7">
        <v>10.913</v>
      </c>
      <c r="H5462" s="15" t="s">
        <v>1849</v>
      </c>
      <c r="I5462" s="15" t="s">
        <v>1560</v>
      </c>
      <c r="J5462" s="15" t="s">
        <v>21173</v>
      </c>
      <c r="K5462" s="15">
        <v>1.0</v>
      </c>
      <c r="L5462" s="15">
        <v>1.0</v>
      </c>
      <c r="M5462" s="40">
        <v>42563.0</v>
      </c>
      <c r="N5462" s="40">
        <v>42570.0</v>
      </c>
      <c r="O5462" s="15" t="s">
        <v>1554</v>
      </c>
      <c r="Q5462" s="7"/>
    </row>
    <row r="5463">
      <c r="A5463" s="39" t="s">
        <v>21174</v>
      </c>
      <c r="B5463" s="15">
        <v>1743411.0</v>
      </c>
      <c r="C5463" s="15" t="s">
        <v>21175</v>
      </c>
      <c r="D5463" s="15">
        <v>329636.0</v>
      </c>
      <c r="E5463" s="15" t="s">
        <v>1808</v>
      </c>
      <c r="F5463" s="15" t="s">
        <v>2232</v>
      </c>
      <c r="G5463" s="7">
        <v>2.568</v>
      </c>
      <c r="H5463" s="15" t="s">
        <v>3317</v>
      </c>
      <c r="I5463" s="15" t="s">
        <v>1567</v>
      </c>
      <c r="J5463" s="15" t="s">
        <v>21176</v>
      </c>
      <c r="K5463" s="15">
        <v>2.0</v>
      </c>
      <c r="L5463" s="15">
        <v>2.0</v>
      </c>
      <c r="M5463" s="41">
        <v>42326.0</v>
      </c>
      <c r="N5463" s="40">
        <v>42570.0</v>
      </c>
      <c r="O5463" s="15" t="s">
        <v>1554</v>
      </c>
      <c r="Q5463" s="7"/>
    </row>
    <row r="5464">
      <c r="A5464" s="39" t="s">
        <v>21177</v>
      </c>
      <c r="B5464" s="15">
        <v>570950.0</v>
      </c>
      <c r="C5464" s="15" t="s">
        <v>21178</v>
      </c>
      <c r="D5464" s="15">
        <v>329637.0</v>
      </c>
      <c r="E5464" s="15" t="s">
        <v>2014</v>
      </c>
      <c r="F5464" s="15" t="s">
        <v>1578</v>
      </c>
      <c r="G5464" s="7">
        <v>0.745</v>
      </c>
      <c r="H5464" s="15" t="s">
        <v>4542</v>
      </c>
      <c r="I5464" s="15" t="s">
        <v>1628</v>
      </c>
      <c r="J5464" s="15" t="s">
        <v>21179</v>
      </c>
      <c r="K5464" s="15" t="s">
        <v>1722</v>
      </c>
      <c r="L5464" s="15" t="s">
        <v>1722</v>
      </c>
      <c r="M5464" s="40">
        <v>39754.0</v>
      </c>
      <c r="N5464" s="40">
        <v>42570.0</v>
      </c>
      <c r="O5464" s="15" t="s">
        <v>1554</v>
      </c>
      <c r="Q5464" s="7"/>
    </row>
    <row r="5465">
      <c r="A5465" s="39" t="s">
        <v>21180</v>
      </c>
      <c r="B5465" s="15">
        <v>1868472.0</v>
      </c>
      <c r="C5465" s="15" t="s">
        <v>21182</v>
      </c>
      <c r="D5465" s="15">
        <v>331041.0</v>
      </c>
      <c r="E5465" s="15" t="s">
        <v>1548</v>
      </c>
      <c r="F5465" s="15" t="s">
        <v>1786</v>
      </c>
      <c r="G5465" s="7">
        <v>43196.0</v>
      </c>
      <c r="H5465" s="15" t="s">
        <v>5806</v>
      </c>
      <c r="I5465" s="15" t="s">
        <v>1628</v>
      </c>
      <c r="J5465" s="15" t="s">
        <v>21183</v>
      </c>
      <c r="K5465" s="15">
        <v>2.0</v>
      </c>
      <c r="L5465" s="15">
        <v>2.0</v>
      </c>
      <c r="M5465" s="40">
        <v>42567.0</v>
      </c>
      <c r="N5465" s="40">
        <v>42575.0</v>
      </c>
      <c r="O5465" s="15" t="s">
        <v>1554</v>
      </c>
      <c r="Q5465" s="7"/>
    </row>
    <row r="5466">
      <c r="A5466" s="39" t="s">
        <v>21184</v>
      </c>
      <c r="B5466" s="15">
        <v>1871631.0</v>
      </c>
      <c r="C5466" s="15" t="s">
        <v>21185</v>
      </c>
      <c r="D5466" s="15">
        <v>331040.0</v>
      </c>
      <c r="E5466" s="15" t="s">
        <v>1548</v>
      </c>
      <c r="F5466" s="15" t="s">
        <v>1578</v>
      </c>
      <c r="G5466" s="7">
        <v>10.644</v>
      </c>
      <c r="H5466" s="15" t="s">
        <v>2309</v>
      </c>
      <c r="I5466" s="15" t="s">
        <v>1628</v>
      </c>
      <c r="J5466" s="15" t="s">
        <v>21186</v>
      </c>
      <c r="K5466" s="15">
        <v>1.0</v>
      </c>
      <c r="L5466" s="15">
        <v>1.0</v>
      </c>
      <c r="M5466" s="40">
        <v>42567.0</v>
      </c>
      <c r="N5466" s="40">
        <v>42576.0</v>
      </c>
      <c r="O5466" s="15" t="s">
        <v>1554</v>
      </c>
      <c r="Q5466" s="7"/>
    </row>
    <row r="5467">
      <c r="A5467" s="39" t="s">
        <v>21187</v>
      </c>
      <c r="B5467" s="15">
        <v>1873698.0</v>
      </c>
      <c r="C5467" s="15" t="s">
        <v>21188</v>
      </c>
      <c r="D5467" s="15">
        <v>331044.0</v>
      </c>
      <c r="E5467" s="15" t="s">
        <v>1557</v>
      </c>
      <c r="F5467" s="15" t="s">
        <v>2028</v>
      </c>
      <c r="G5467" s="7">
        <v>133.492</v>
      </c>
      <c r="H5467" s="15" t="s">
        <v>4396</v>
      </c>
      <c r="I5467" s="15" t="s">
        <v>1686</v>
      </c>
      <c r="J5467" s="15" t="s">
        <v>21189</v>
      </c>
      <c r="K5467" s="15">
        <v>143.0</v>
      </c>
      <c r="L5467" s="15">
        <v>143.0</v>
      </c>
      <c r="M5467" s="40">
        <v>42571.0</v>
      </c>
      <c r="N5467" s="40">
        <v>42576.0</v>
      </c>
      <c r="O5467" s="15" t="s">
        <v>1554</v>
      </c>
      <c r="Q5467" s="7"/>
    </row>
    <row r="5468">
      <c r="A5468" s="39" t="s">
        <v>21191</v>
      </c>
      <c r="B5468" s="15">
        <v>1873455.0</v>
      </c>
      <c r="C5468" s="15" t="s">
        <v>21192</v>
      </c>
      <c r="D5468" s="15">
        <v>330731.0</v>
      </c>
      <c r="E5468" s="15" t="s">
        <v>1548</v>
      </c>
      <c r="F5468" s="15" t="s">
        <v>1801</v>
      </c>
      <c r="G5468" s="7">
        <v>10.908</v>
      </c>
      <c r="H5468" s="15" t="s">
        <v>1720</v>
      </c>
      <c r="I5468" s="15" t="s">
        <v>1686</v>
      </c>
      <c r="J5468" s="15" t="s">
        <v>21193</v>
      </c>
      <c r="K5468" s="15">
        <v>1.0</v>
      </c>
      <c r="L5468" s="15">
        <v>1.0</v>
      </c>
      <c r="M5468" s="40">
        <v>42570.0</v>
      </c>
      <c r="N5468" s="40">
        <v>42576.0</v>
      </c>
      <c r="O5468" s="15" t="s">
        <v>1554</v>
      </c>
      <c r="Q5468" s="7"/>
    </row>
    <row r="5469">
      <c r="A5469" s="39" t="s">
        <v>21194</v>
      </c>
      <c r="B5469" s="15">
        <v>1872710.0</v>
      </c>
      <c r="C5469" s="15" t="s">
        <v>21195</v>
      </c>
      <c r="D5469" s="15">
        <v>331043.0</v>
      </c>
      <c r="E5469" s="15" t="s">
        <v>1548</v>
      </c>
      <c r="F5469" s="15" t="s">
        <v>1578</v>
      </c>
      <c r="G5469" s="7">
        <v>8.246</v>
      </c>
      <c r="H5469" s="15" t="s">
        <v>3321</v>
      </c>
      <c r="I5469" s="15" t="s">
        <v>1628</v>
      </c>
      <c r="J5469" s="15" t="s">
        <v>21196</v>
      </c>
      <c r="K5469" s="15">
        <v>5.0</v>
      </c>
      <c r="L5469" s="15">
        <v>5.0</v>
      </c>
      <c r="M5469" s="40">
        <v>42568.0</v>
      </c>
      <c r="N5469" s="40">
        <v>42576.0</v>
      </c>
      <c r="O5469" s="15" t="s">
        <v>1554</v>
      </c>
      <c r="Q5469" s="7"/>
    </row>
    <row r="5470">
      <c r="A5470" s="39" t="s">
        <v>21198</v>
      </c>
      <c r="B5470" s="15">
        <v>103723.0</v>
      </c>
      <c r="C5470" s="15" t="s">
        <v>21199</v>
      </c>
      <c r="D5470" s="15">
        <v>335748.0</v>
      </c>
      <c r="E5470" s="15" t="s">
        <v>1548</v>
      </c>
      <c r="F5470" s="15" t="s">
        <v>2032</v>
      </c>
      <c r="G5470" s="7">
        <v>6.863</v>
      </c>
      <c r="H5470" s="15" t="s">
        <v>17894</v>
      </c>
      <c r="I5470" s="15" t="s">
        <v>1628</v>
      </c>
      <c r="J5470" s="15" t="s">
        <v>21200</v>
      </c>
      <c r="K5470" s="15">
        <v>2.0</v>
      </c>
      <c r="L5470" s="15">
        <v>2.0</v>
      </c>
      <c r="M5470" s="40">
        <v>42577.0</v>
      </c>
      <c r="N5470" s="40">
        <v>42583.0</v>
      </c>
      <c r="O5470" s="15" t="s">
        <v>1554</v>
      </c>
      <c r="Q5470" s="7"/>
    </row>
    <row r="5471">
      <c r="A5471" s="39" t="s">
        <v>21201</v>
      </c>
      <c r="B5471" s="15">
        <v>1838079.0</v>
      </c>
      <c r="C5471" s="15" t="s">
        <v>21202</v>
      </c>
      <c r="D5471" s="15">
        <v>336042.0</v>
      </c>
      <c r="E5471" s="15" t="s">
        <v>1557</v>
      </c>
      <c r="F5471" s="15" t="s">
        <v>1833</v>
      </c>
      <c r="G5471" s="7">
        <v>52.924</v>
      </c>
      <c r="H5471" s="15" t="s">
        <v>3890</v>
      </c>
      <c r="I5471" s="15" t="s">
        <v>1586</v>
      </c>
      <c r="J5471" s="15" t="s">
        <v>21203</v>
      </c>
      <c r="K5471" s="15">
        <v>102.0</v>
      </c>
      <c r="L5471" s="15">
        <v>99.0</v>
      </c>
      <c r="M5471" s="40">
        <v>42491.0</v>
      </c>
      <c r="N5471" s="40">
        <v>42583.0</v>
      </c>
      <c r="O5471" s="15" t="s">
        <v>1554</v>
      </c>
      <c r="Q5471" s="7"/>
    </row>
    <row r="5472">
      <c r="A5472" s="39" t="s">
        <v>21204</v>
      </c>
      <c r="B5472" s="15">
        <v>1838078.0</v>
      </c>
      <c r="C5472" s="15" t="s">
        <v>21205</v>
      </c>
      <c r="D5472" s="15">
        <v>336043.0</v>
      </c>
      <c r="E5472" s="15" t="s">
        <v>1557</v>
      </c>
      <c r="F5472" s="15" t="s">
        <v>1833</v>
      </c>
      <c r="G5472" s="7">
        <v>93.139</v>
      </c>
      <c r="H5472" s="15" t="s">
        <v>3890</v>
      </c>
      <c r="I5472" s="15" t="s">
        <v>1586</v>
      </c>
      <c r="J5472" s="15" t="s">
        <v>21206</v>
      </c>
      <c r="K5472" s="15">
        <v>187.0</v>
      </c>
      <c r="L5472" s="15">
        <v>179.0</v>
      </c>
      <c r="M5472" s="40">
        <v>42491.0</v>
      </c>
      <c r="N5472" s="40">
        <v>42583.0</v>
      </c>
      <c r="O5472" s="15" t="s">
        <v>1554</v>
      </c>
      <c r="Q5472" s="7"/>
    </row>
    <row r="5473">
      <c r="A5473" s="39" t="s">
        <v>21208</v>
      </c>
      <c r="B5473" s="15">
        <v>1813613.0</v>
      </c>
      <c r="C5473" s="15" t="s">
        <v>21209</v>
      </c>
      <c r="D5473" s="15">
        <v>336038.0</v>
      </c>
      <c r="E5473" s="15" t="s">
        <v>1548</v>
      </c>
      <c r="F5473" s="15" t="s">
        <v>1578</v>
      </c>
      <c r="G5473" s="7">
        <v>9.808</v>
      </c>
      <c r="H5473" s="15" t="s">
        <v>3304</v>
      </c>
      <c r="I5473" s="15" t="s">
        <v>1686</v>
      </c>
      <c r="J5473" s="15" t="s">
        <v>21210</v>
      </c>
      <c r="K5473" s="15">
        <v>1.0</v>
      </c>
      <c r="L5473" s="15">
        <v>1.0</v>
      </c>
      <c r="M5473" s="40">
        <v>42577.0</v>
      </c>
      <c r="N5473" s="40">
        <v>42678.0</v>
      </c>
      <c r="O5473" s="15" t="s">
        <v>1554</v>
      </c>
      <c r="Q5473" s="7"/>
    </row>
    <row r="5474">
      <c r="A5474" s="39" t="s">
        <v>21211</v>
      </c>
      <c r="B5474" s="15">
        <v>1838077.0</v>
      </c>
      <c r="C5474" s="15" t="s">
        <v>21212</v>
      </c>
      <c r="D5474" s="15">
        <v>336044.0</v>
      </c>
      <c r="E5474" s="15" t="s">
        <v>1557</v>
      </c>
      <c r="F5474" s="15" t="s">
        <v>1833</v>
      </c>
      <c r="G5474" s="7">
        <v>52.684</v>
      </c>
      <c r="H5474" s="15" t="s">
        <v>3890</v>
      </c>
      <c r="I5474" s="15" t="s">
        <v>1586</v>
      </c>
      <c r="J5474" s="15" t="s">
        <v>21213</v>
      </c>
      <c r="K5474" s="15">
        <v>102.0</v>
      </c>
      <c r="L5474" s="15">
        <v>99.0</v>
      </c>
      <c r="M5474" s="40">
        <v>42491.0</v>
      </c>
      <c r="N5474" s="40">
        <v>42583.0</v>
      </c>
      <c r="O5474" s="15" t="s">
        <v>1554</v>
      </c>
      <c r="Q5474" s="7"/>
    </row>
    <row r="5475">
      <c r="A5475" s="39" t="s">
        <v>21215</v>
      </c>
      <c r="B5475" s="15">
        <v>1874886.0</v>
      </c>
      <c r="C5475" s="15" t="s">
        <v>21216</v>
      </c>
      <c r="D5475" s="15">
        <v>336039.0</v>
      </c>
      <c r="E5475" s="15" t="s">
        <v>1808</v>
      </c>
      <c r="F5475" s="15" t="s">
        <v>1809</v>
      </c>
      <c r="G5475" s="7">
        <v>2.759</v>
      </c>
      <c r="H5475" s="15" t="s">
        <v>2005</v>
      </c>
      <c r="I5475" s="15" t="s">
        <v>1628</v>
      </c>
      <c r="J5475" s="15" t="s">
        <v>21217</v>
      </c>
      <c r="K5475" s="15">
        <v>6.0</v>
      </c>
      <c r="L5475" s="15">
        <v>6.0</v>
      </c>
      <c r="M5475" s="40">
        <v>42575.0</v>
      </c>
      <c r="N5475" s="40">
        <v>42583.0</v>
      </c>
      <c r="O5475" s="15" t="s">
        <v>1554</v>
      </c>
      <c r="Q5475" s="7"/>
    </row>
    <row r="5476">
      <c r="A5476" s="39" t="s">
        <v>21218</v>
      </c>
      <c r="B5476" s="15">
        <v>1838070.0</v>
      </c>
      <c r="C5476" s="15" t="s">
        <v>21219</v>
      </c>
      <c r="D5476" s="15">
        <v>336045.0</v>
      </c>
      <c r="E5476" s="15" t="s">
        <v>1557</v>
      </c>
      <c r="F5476" s="15" t="s">
        <v>1833</v>
      </c>
      <c r="G5476" s="7">
        <v>52.689</v>
      </c>
      <c r="H5476" s="15" t="s">
        <v>3890</v>
      </c>
      <c r="I5476" s="15" t="s">
        <v>1586</v>
      </c>
      <c r="J5476" s="15" t="s">
        <v>21220</v>
      </c>
      <c r="K5476" s="15">
        <v>101.0</v>
      </c>
      <c r="L5476" s="15">
        <v>98.0</v>
      </c>
      <c r="M5476" s="40">
        <v>42491.0</v>
      </c>
      <c r="N5476" s="40">
        <v>42583.0</v>
      </c>
      <c r="O5476" s="15" t="s">
        <v>1554</v>
      </c>
      <c r="Q5476" s="7"/>
    </row>
    <row r="5477">
      <c r="A5477" s="39" t="s">
        <v>21221</v>
      </c>
      <c r="B5477" s="15">
        <v>1813615.0</v>
      </c>
      <c r="C5477" s="15" t="s">
        <v>21222</v>
      </c>
      <c r="D5477" s="15">
        <v>336275.0</v>
      </c>
      <c r="E5477" s="15" t="s">
        <v>1548</v>
      </c>
      <c r="F5477" s="15" t="s">
        <v>1578</v>
      </c>
      <c r="G5477" s="7">
        <v>9.224</v>
      </c>
      <c r="H5477" s="42">
        <v>43311.0</v>
      </c>
      <c r="I5477" s="15" t="s">
        <v>1686</v>
      </c>
      <c r="J5477" s="15" t="s">
        <v>21223</v>
      </c>
      <c r="K5477" s="15">
        <v>1.0</v>
      </c>
      <c r="L5477" s="15">
        <v>1.0</v>
      </c>
      <c r="M5477" s="40">
        <v>42577.0</v>
      </c>
      <c r="N5477" s="40">
        <v>42678.0</v>
      </c>
      <c r="O5477" s="15" t="s">
        <v>1554</v>
      </c>
      <c r="Q5477" s="7"/>
    </row>
    <row r="5478">
      <c r="A5478" s="39" t="s">
        <v>21225</v>
      </c>
      <c r="B5478" s="15">
        <v>676044.0</v>
      </c>
      <c r="C5478" s="15" t="s">
        <v>21226</v>
      </c>
      <c r="D5478" s="15">
        <v>339070.0</v>
      </c>
      <c r="E5478" s="15" t="s">
        <v>1808</v>
      </c>
      <c r="F5478" s="15" t="s">
        <v>1809</v>
      </c>
      <c r="G5478" s="7">
        <v>2.74</v>
      </c>
      <c r="H5478" s="15" t="s">
        <v>1943</v>
      </c>
      <c r="I5478" s="15" t="s">
        <v>1628</v>
      </c>
      <c r="J5478" s="15" t="s">
        <v>21227</v>
      </c>
      <c r="K5478" s="15">
        <v>6.0</v>
      </c>
      <c r="L5478" s="15">
        <v>6.0</v>
      </c>
      <c r="M5478" s="40">
        <v>40080.0</v>
      </c>
      <c r="N5478" s="40">
        <v>42598.0</v>
      </c>
      <c r="O5478" s="15" t="s">
        <v>1554</v>
      </c>
      <c r="Q5478" s="7"/>
    </row>
    <row r="5479">
      <c r="A5479" s="39" t="s">
        <v>21228</v>
      </c>
      <c r="B5479" s="15">
        <v>1608107.0</v>
      </c>
      <c r="C5479" s="15" t="s">
        <v>21229</v>
      </c>
      <c r="D5479" s="15">
        <v>339074.0</v>
      </c>
      <c r="E5479" s="15" t="s">
        <v>1548</v>
      </c>
      <c r="F5479" s="15" t="s">
        <v>1578</v>
      </c>
      <c r="G5479" s="7">
        <v>15.458</v>
      </c>
      <c r="H5479" s="15" t="s">
        <v>21230</v>
      </c>
      <c r="I5479" s="15" t="s">
        <v>1560</v>
      </c>
      <c r="J5479" s="15" t="s">
        <v>21231</v>
      </c>
      <c r="K5479" s="15">
        <v>3.0</v>
      </c>
      <c r="L5479" s="15">
        <v>3.0</v>
      </c>
      <c r="M5479" s="40">
        <v>42043.0</v>
      </c>
      <c r="N5479" s="40">
        <v>42598.0</v>
      </c>
      <c r="O5479" s="15" t="s">
        <v>1554</v>
      </c>
      <c r="Q5479" s="7"/>
    </row>
    <row r="5480">
      <c r="A5480" s="39" t="s">
        <v>21233</v>
      </c>
      <c r="B5480" s="15">
        <v>1795648.0</v>
      </c>
      <c r="C5480" s="15" t="s">
        <v>21234</v>
      </c>
      <c r="D5480" s="15">
        <v>336530.0</v>
      </c>
      <c r="E5480" s="15" t="s">
        <v>1548</v>
      </c>
      <c r="F5480" s="15" t="s">
        <v>1578</v>
      </c>
      <c r="G5480" s="7">
        <v>9.868</v>
      </c>
      <c r="H5480" s="15" t="s">
        <v>4563</v>
      </c>
      <c r="I5480" s="15" t="s">
        <v>1686</v>
      </c>
      <c r="J5480" s="15" t="s">
        <v>21235</v>
      </c>
      <c r="K5480" s="15">
        <v>1.0</v>
      </c>
      <c r="L5480" s="15">
        <v>1.0</v>
      </c>
      <c r="M5480" s="40">
        <v>42577.0</v>
      </c>
      <c r="N5480" s="40">
        <v>42678.0</v>
      </c>
      <c r="O5480" s="15" t="s">
        <v>1554</v>
      </c>
      <c r="Q5480" s="7"/>
    </row>
    <row r="5481">
      <c r="A5481" s="39" t="s">
        <v>21236</v>
      </c>
      <c r="B5481" s="15">
        <v>1884991.0</v>
      </c>
      <c r="C5481" s="15" t="s">
        <v>21237</v>
      </c>
      <c r="D5481" s="15">
        <v>339071.0</v>
      </c>
      <c r="E5481" s="15" t="s">
        <v>1808</v>
      </c>
      <c r="F5481" s="15" t="s">
        <v>1809</v>
      </c>
      <c r="G5481" s="7">
        <v>2.742</v>
      </c>
      <c r="H5481" s="15">
        <v>45.0</v>
      </c>
      <c r="I5481" s="15" t="s">
        <v>1628</v>
      </c>
      <c r="J5481" s="15" t="s">
        <v>21238</v>
      </c>
      <c r="K5481" s="15">
        <v>7.0</v>
      </c>
      <c r="L5481" s="15">
        <v>7.0</v>
      </c>
      <c r="M5481" s="40">
        <v>42589.0</v>
      </c>
      <c r="N5481" s="40">
        <v>42598.0</v>
      </c>
      <c r="O5481" s="15" t="s">
        <v>1554</v>
      </c>
      <c r="Q5481" s="7"/>
    </row>
    <row r="5482">
      <c r="A5482" s="39" t="s">
        <v>21239</v>
      </c>
      <c r="B5482" s="15">
        <v>1884832.0</v>
      </c>
      <c r="C5482" s="15" t="s">
        <v>21240</v>
      </c>
      <c r="D5482" s="15">
        <v>338306.0</v>
      </c>
      <c r="E5482" s="15" t="s">
        <v>1548</v>
      </c>
      <c r="F5482" s="15" t="s">
        <v>2900</v>
      </c>
      <c r="G5482" s="7">
        <v>3.935</v>
      </c>
      <c r="H5482" s="15" t="s">
        <v>1551</v>
      </c>
      <c r="I5482" s="15" t="s">
        <v>1628</v>
      </c>
      <c r="J5482" s="15" t="s">
        <v>21241</v>
      </c>
      <c r="K5482" s="15">
        <v>4.0</v>
      </c>
      <c r="L5482" s="15">
        <v>5.0</v>
      </c>
      <c r="M5482" s="40">
        <v>42590.0</v>
      </c>
      <c r="N5482" s="40">
        <v>42598.0</v>
      </c>
      <c r="O5482" s="15" t="s">
        <v>1554</v>
      </c>
      <c r="Q5482" s="7"/>
    </row>
    <row r="5483">
      <c r="A5483" s="39" t="s">
        <v>21242</v>
      </c>
      <c r="B5483" s="15">
        <v>1826822.0</v>
      </c>
      <c r="C5483" s="15" t="s">
        <v>21243</v>
      </c>
      <c r="D5483" s="15">
        <v>339073.0</v>
      </c>
      <c r="E5483" s="15" t="s">
        <v>1548</v>
      </c>
      <c r="F5483" s="15" t="s">
        <v>5261</v>
      </c>
      <c r="G5483" s="7">
        <v>2.506</v>
      </c>
      <c r="H5483" s="42">
        <v>43188.0</v>
      </c>
      <c r="I5483" s="15" t="s">
        <v>1552</v>
      </c>
      <c r="J5483" s="15" t="s">
        <v>21244</v>
      </c>
      <c r="K5483" s="15">
        <v>1.0</v>
      </c>
      <c r="L5483" s="15">
        <v>1.0</v>
      </c>
      <c r="M5483" s="40">
        <v>42591.0</v>
      </c>
      <c r="N5483" s="40">
        <v>42598.0</v>
      </c>
      <c r="O5483" s="15" t="s">
        <v>1554</v>
      </c>
      <c r="Q5483" s="7"/>
    </row>
    <row r="5484">
      <c r="A5484" s="39" t="s">
        <v>21245</v>
      </c>
      <c r="B5484" s="15">
        <v>1552662.0</v>
      </c>
      <c r="C5484" s="15" t="s">
        <v>21246</v>
      </c>
      <c r="D5484" s="15">
        <v>336557.0</v>
      </c>
      <c r="E5484" s="15" t="s">
        <v>1548</v>
      </c>
      <c r="F5484" s="15" t="s">
        <v>1578</v>
      </c>
      <c r="G5484" s="7">
        <v>9.863</v>
      </c>
      <c r="H5484" s="15" t="s">
        <v>1849</v>
      </c>
      <c r="I5484" s="15" t="s">
        <v>1560</v>
      </c>
      <c r="J5484" s="15" t="s">
        <v>21248</v>
      </c>
      <c r="K5484" s="15">
        <v>3.0</v>
      </c>
      <c r="L5484" s="15">
        <v>3.0</v>
      </c>
      <c r="M5484" s="40">
        <v>41920.0</v>
      </c>
      <c r="N5484" s="40">
        <v>42598.0</v>
      </c>
      <c r="O5484" s="15" t="s">
        <v>1554</v>
      </c>
      <c r="Q5484" s="7"/>
    </row>
    <row r="5485">
      <c r="A5485" s="39" t="s">
        <v>21249</v>
      </c>
      <c r="B5485" s="15">
        <v>1881013.0</v>
      </c>
      <c r="C5485" s="15" t="s">
        <v>21250</v>
      </c>
      <c r="D5485" s="15">
        <v>339072.0</v>
      </c>
      <c r="E5485" s="15" t="s">
        <v>1548</v>
      </c>
      <c r="F5485" s="15" t="s">
        <v>1633</v>
      </c>
      <c r="G5485" s="7">
        <v>6.775</v>
      </c>
      <c r="H5485" s="15" t="s">
        <v>3798</v>
      </c>
      <c r="I5485" s="15" t="s">
        <v>1628</v>
      </c>
      <c r="J5485" s="15" t="s">
        <v>21251</v>
      </c>
      <c r="K5485" s="15">
        <v>5.0</v>
      </c>
      <c r="L5485" s="15">
        <v>5.0</v>
      </c>
      <c r="M5485" s="40">
        <v>42582.0</v>
      </c>
      <c r="N5485" s="40">
        <v>42793.0</v>
      </c>
      <c r="O5485" s="15" t="s">
        <v>1554</v>
      </c>
      <c r="Q5485" s="7"/>
    </row>
    <row r="5486">
      <c r="A5486" s="39" t="s">
        <v>21252</v>
      </c>
      <c r="B5486" s="15">
        <v>179241.0</v>
      </c>
      <c r="C5486" s="15" t="s">
        <v>21253</v>
      </c>
      <c r="D5486" s="15">
        <v>15489.0</v>
      </c>
      <c r="E5486" s="15" t="s">
        <v>1557</v>
      </c>
      <c r="F5486" s="15" t="s">
        <v>2004</v>
      </c>
      <c r="G5486" s="7">
        <v>5.307</v>
      </c>
      <c r="H5486" s="15" t="s">
        <v>1700</v>
      </c>
      <c r="I5486" s="15" t="s">
        <v>1686</v>
      </c>
      <c r="J5486" s="15" t="s">
        <v>21254</v>
      </c>
      <c r="K5486" s="15">
        <v>6.0</v>
      </c>
      <c r="L5486" s="15">
        <v>6.0</v>
      </c>
      <c r="M5486" s="40">
        <v>34183.0</v>
      </c>
      <c r="N5486" s="41">
        <v>41996.0</v>
      </c>
      <c r="O5486" s="15" t="s">
        <v>1554</v>
      </c>
      <c r="Q5486" s="7"/>
    </row>
    <row r="5487">
      <c r="A5487" s="39" t="s">
        <v>21255</v>
      </c>
      <c r="B5487" s="15">
        <v>1891754.0</v>
      </c>
      <c r="C5487" s="15" t="s">
        <v>21256</v>
      </c>
      <c r="D5487" s="15">
        <v>14017.0</v>
      </c>
      <c r="E5487" s="15" t="s">
        <v>1557</v>
      </c>
      <c r="F5487" s="15" t="s">
        <v>2004</v>
      </c>
      <c r="G5487" s="7">
        <v>4.697</v>
      </c>
      <c r="H5487" s="15" t="s">
        <v>1912</v>
      </c>
      <c r="I5487" s="15" t="s">
        <v>1686</v>
      </c>
      <c r="J5487" s="15" t="s">
        <v>21257</v>
      </c>
      <c r="K5487" s="15">
        <v>6.0</v>
      </c>
      <c r="L5487" s="15">
        <v>6.0</v>
      </c>
      <c r="M5487" s="40">
        <v>34088.0</v>
      </c>
      <c r="N5487" s="40">
        <v>42635.0</v>
      </c>
      <c r="O5487" s="15" t="s">
        <v>1554</v>
      </c>
      <c r="Q5487" s="7"/>
    </row>
    <row r="5488">
      <c r="A5488" s="39" t="s">
        <v>21258</v>
      </c>
      <c r="B5488" s="15">
        <v>1891770.0</v>
      </c>
      <c r="C5488" s="15" t="s">
        <v>21259</v>
      </c>
      <c r="D5488" s="15">
        <v>14071.0</v>
      </c>
      <c r="E5488" s="15" t="s">
        <v>1557</v>
      </c>
      <c r="F5488" s="15" t="s">
        <v>2004</v>
      </c>
      <c r="G5488" s="7">
        <v>4.754</v>
      </c>
      <c r="H5488" s="15" t="s">
        <v>1559</v>
      </c>
      <c r="I5488" s="15" t="s">
        <v>1686</v>
      </c>
      <c r="J5488" s="15" t="s">
        <v>21260</v>
      </c>
      <c r="K5488" s="15">
        <v>5.0</v>
      </c>
      <c r="L5488" s="15">
        <v>5.0</v>
      </c>
      <c r="M5488" s="40">
        <v>34026.0</v>
      </c>
      <c r="N5488" s="40">
        <v>42635.0</v>
      </c>
      <c r="O5488" s="15" t="s">
        <v>1554</v>
      </c>
      <c r="Q5488" s="7"/>
    </row>
    <row r="5489">
      <c r="A5489" s="39" t="s">
        <v>21262</v>
      </c>
      <c r="B5489" s="15">
        <v>1891767.0</v>
      </c>
      <c r="C5489" s="15" t="s">
        <v>21263</v>
      </c>
      <c r="D5489" s="15">
        <v>14024.0</v>
      </c>
      <c r="E5489" s="15" t="s">
        <v>1557</v>
      </c>
      <c r="F5489" s="15" t="s">
        <v>2004</v>
      </c>
      <c r="G5489" s="7">
        <v>5.243</v>
      </c>
      <c r="H5489" s="15" t="s">
        <v>3070</v>
      </c>
      <c r="I5489" s="15" t="s">
        <v>1567</v>
      </c>
      <c r="J5489" s="15" t="s">
        <v>21264</v>
      </c>
      <c r="K5489" s="15">
        <v>8.0</v>
      </c>
      <c r="L5489" s="15">
        <v>7.0</v>
      </c>
      <c r="M5489" s="40">
        <v>34184.0</v>
      </c>
      <c r="N5489" s="40">
        <v>42635.0</v>
      </c>
      <c r="O5489" s="15" t="s">
        <v>1554</v>
      </c>
      <c r="Q5489" s="7"/>
    </row>
    <row r="5490">
      <c r="A5490" s="39" t="s">
        <v>21265</v>
      </c>
      <c r="B5490" s="15">
        <v>1891762.0</v>
      </c>
      <c r="C5490" s="15" t="s">
        <v>21266</v>
      </c>
      <c r="D5490" s="15">
        <v>14074.0</v>
      </c>
      <c r="E5490" s="15" t="s">
        <v>1557</v>
      </c>
      <c r="F5490" s="15" t="s">
        <v>2004</v>
      </c>
      <c r="G5490" s="7">
        <v>5.153</v>
      </c>
      <c r="H5490" s="15" t="s">
        <v>6418</v>
      </c>
      <c r="I5490" s="15" t="s">
        <v>1567</v>
      </c>
      <c r="J5490" s="15" t="s">
        <v>21267</v>
      </c>
      <c r="K5490" s="15">
        <v>6.0</v>
      </c>
      <c r="L5490" s="15">
        <v>6.0</v>
      </c>
      <c r="M5490" s="40">
        <v>30258.0</v>
      </c>
      <c r="N5490" s="40">
        <v>42635.0</v>
      </c>
      <c r="O5490" s="15" t="s">
        <v>1554</v>
      </c>
      <c r="Q5490" s="7"/>
    </row>
    <row r="5491">
      <c r="A5491" s="39" t="s">
        <v>21268</v>
      </c>
      <c r="B5491" s="15">
        <v>1891729.0</v>
      </c>
      <c r="C5491" s="15" t="s">
        <v>21269</v>
      </c>
      <c r="D5491" s="15">
        <v>14461.0</v>
      </c>
      <c r="E5491" s="15" t="s">
        <v>1557</v>
      </c>
      <c r="F5491" s="15" t="s">
        <v>2004</v>
      </c>
      <c r="G5491" s="7">
        <v>5.372</v>
      </c>
      <c r="H5491" s="15" t="s">
        <v>2777</v>
      </c>
      <c r="I5491" s="15" t="s">
        <v>1686</v>
      </c>
      <c r="J5491" s="15" t="s">
        <v>21270</v>
      </c>
      <c r="K5491" s="15">
        <v>6.0</v>
      </c>
      <c r="L5491" s="15">
        <v>6.0</v>
      </c>
      <c r="M5491" s="41">
        <v>32428.0</v>
      </c>
      <c r="N5491" s="40">
        <v>42635.0</v>
      </c>
      <c r="O5491" s="15" t="s">
        <v>1554</v>
      </c>
      <c r="Q5491" s="7"/>
    </row>
    <row r="5492">
      <c r="A5492" s="39" t="s">
        <v>21272</v>
      </c>
      <c r="B5492" s="15">
        <v>1812179.0</v>
      </c>
      <c r="C5492" s="15" t="s">
        <v>21273</v>
      </c>
      <c r="D5492" s="15">
        <v>339877.0</v>
      </c>
      <c r="E5492" s="15" t="s">
        <v>1548</v>
      </c>
      <c r="F5492" s="15" t="s">
        <v>4829</v>
      </c>
      <c r="G5492" s="7">
        <v>7.484</v>
      </c>
      <c r="H5492" s="15" t="s">
        <v>10545</v>
      </c>
      <c r="I5492" s="15" t="s">
        <v>1686</v>
      </c>
      <c r="J5492" s="15" t="s">
        <v>21274</v>
      </c>
      <c r="K5492" s="15">
        <v>2.0</v>
      </c>
      <c r="L5492" s="15">
        <v>2.0</v>
      </c>
      <c r="M5492" s="40">
        <v>42249.0</v>
      </c>
      <c r="N5492" s="40">
        <v>42606.0</v>
      </c>
      <c r="O5492" s="15" t="s">
        <v>1554</v>
      </c>
      <c r="Q5492" s="7"/>
    </row>
    <row r="5493">
      <c r="A5493" s="39" t="s">
        <v>21275</v>
      </c>
      <c r="B5493" s="15">
        <v>1887217.0</v>
      </c>
      <c r="C5493" s="15" t="s">
        <v>21276</v>
      </c>
      <c r="D5493" s="15">
        <v>339881.0</v>
      </c>
      <c r="E5493" s="15" t="s">
        <v>1557</v>
      </c>
      <c r="F5493" s="15" t="s">
        <v>1822</v>
      </c>
      <c r="G5493" s="7">
        <v>7.253</v>
      </c>
      <c r="H5493" s="15" t="s">
        <v>2005</v>
      </c>
      <c r="I5493" s="15" t="s">
        <v>1686</v>
      </c>
      <c r="J5493" s="15" t="s">
        <v>21277</v>
      </c>
      <c r="K5493" s="15">
        <v>7.0</v>
      </c>
      <c r="L5493" s="15">
        <v>7.0</v>
      </c>
      <c r="M5493" s="40">
        <v>42597.0</v>
      </c>
      <c r="N5493" s="40">
        <v>42606.0</v>
      </c>
      <c r="O5493" s="15" t="s">
        <v>1554</v>
      </c>
      <c r="Q5493" s="7"/>
    </row>
    <row r="5494">
      <c r="A5494" s="39" t="s">
        <v>21278</v>
      </c>
      <c r="B5494" s="15">
        <v>1887213.0</v>
      </c>
      <c r="C5494" s="15" t="s">
        <v>21280</v>
      </c>
      <c r="D5494" s="15">
        <v>339885.0</v>
      </c>
      <c r="E5494" s="15" t="s">
        <v>1557</v>
      </c>
      <c r="F5494" s="15" t="s">
        <v>1822</v>
      </c>
      <c r="G5494" s="7">
        <v>7.961</v>
      </c>
      <c r="H5494" s="15" t="s">
        <v>1792</v>
      </c>
      <c r="I5494" s="15" t="s">
        <v>1686</v>
      </c>
      <c r="J5494" s="15" t="s">
        <v>21281</v>
      </c>
      <c r="K5494" s="15">
        <v>8.0</v>
      </c>
      <c r="L5494" s="15">
        <v>8.0</v>
      </c>
      <c r="M5494" s="40">
        <v>42597.0</v>
      </c>
      <c r="N5494" s="40">
        <v>42606.0</v>
      </c>
      <c r="O5494" s="15" t="s">
        <v>1554</v>
      </c>
      <c r="Q5494" s="7"/>
    </row>
    <row r="5495">
      <c r="A5495" s="39" t="s">
        <v>21282</v>
      </c>
      <c r="B5495" s="15">
        <v>1887219.0</v>
      </c>
      <c r="C5495" s="15" t="s">
        <v>21283</v>
      </c>
      <c r="D5495" s="15">
        <v>339879.0</v>
      </c>
      <c r="E5495" s="15" t="s">
        <v>1557</v>
      </c>
      <c r="F5495" s="15" t="s">
        <v>1822</v>
      </c>
      <c r="G5495" s="7">
        <v>7.149</v>
      </c>
      <c r="H5495" s="15" t="s">
        <v>2049</v>
      </c>
      <c r="I5495" s="15" t="s">
        <v>1686</v>
      </c>
      <c r="J5495" s="15" t="s">
        <v>21284</v>
      </c>
      <c r="K5495" s="15">
        <v>6.0</v>
      </c>
      <c r="L5495" s="15">
        <v>6.0</v>
      </c>
      <c r="M5495" s="40">
        <v>42597.0</v>
      </c>
      <c r="N5495" s="40">
        <v>42606.0</v>
      </c>
      <c r="O5495" s="15" t="s">
        <v>1554</v>
      </c>
      <c r="Q5495" s="7"/>
    </row>
    <row r="5496">
      <c r="A5496" s="39" t="s">
        <v>21285</v>
      </c>
      <c r="B5496" s="15">
        <v>1887215.0</v>
      </c>
      <c r="C5496" s="15" t="s">
        <v>21286</v>
      </c>
      <c r="D5496" s="15">
        <v>339883.0</v>
      </c>
      <c r="E5496" s="15" t="s">
        <v>1557</v>
      </c>
      <c r="F5496" s="15" t="s">
        <v>1822</v>
      </c>
      <c r="G5496" s="7">
        <v>7.402</v>
      </c>
      <c r="H5496" s="15" t="s">
        <v>1859</v>
      </c>
      <c r="I5496" s="15" t="s">
        <v>1686</v>
      </c>
      <c r="J5496" s="15" t="s">
        <v>21287</v>
      </c>
      <c r="K5496" s="15">
        <v>6.0</v>
      </c>
      <c r="L5496" s="15">
        <v>6.0</v>
      </c>
      <c r="M5496" s="40">
        <v>42597.0</v>
      </c>
      <c r="N5496" s="40">
        <v>42606.0</v>
      </c>
      <c r="O5496" s="15" t="s">
        <v>1554</v>
      </c>
      <c r="Q5496" s="7"/>
    </row>
    <row r="5497">
      <c r="A5497" s="39" t="s">
        <v>21289</v>
      </c>
      <c r="B5497" s="15">
        <v>46916.0</v>
      </c>
      <c r="C5497" s="15" t="s">
        <v>21290</v>
      </c>
      <c r="D5497" s="15">
        <v>339878.0</v>
      </c>
      <c r="E5497" s="15" t="s">
        <v>1557</v>
      </c>
      <c r="F5497" s="15" t="s">
        <v>2628</v>
      </c>
      <c r="G5497" s="7">
        <v>32.69</v>
      </c>
      <c r="H5497" s="15" t="s">
        <v>17894</v>
      </c>
      <c r="I5497" s="15" t="s">
        <v>1686</v>
      </c>
      <c r="J5497" s="15" t="s">
        <v>21291</v>
      </c>
      <c r="K5497" s="15">
        <v>31.0</v>
      </c>
      <c r="L5497" s="15">
        <v>31.0</v>
      </c>
      <c r="M5497" s="40">
        <v>40814.0</v>
      </c>
      <c r="N5497" s="40">
        <v>42606.0</v>
      </c>
      <c r="O5497" s="15" t="s">
        <v>1554</v>
      </c>
      <c r="Q5497" s="7"/>
    </row>
    <row r="5498">
      <c r="A5498" s="39" t="s">
        <v>21292</v>
      </c>
      <c r="B5498" s="15">
        <v>1887216.0</v>
      </c>
      <c r="C5498" s="15" t="s">
        <v>21293</v>
      </c>
      <c r="D5498" s="15">
        <v>339882.0</v>
      </c>
      <c r="E5498" s="15" t="s">
        <v>1557</v>
      </c>
      <c r="F5498" s="15" t="s">
        <v>1822</v>
      </c>
      <c r="G5498" s="7">
        <v>7.282</v>
      </c>
      <c r="H5498" s="15" t="s">
        <v>1912</v>
      </c>
      <c r="I5498" s="15" t="s">
        <v>1686</v>
      </c>
      <c r="J5498" s="15" t="s">
        <v>21294</v>
      </c>
      <c r="K5498" s="15">
        <v>6.0</v>
      </c>
      <c r="L5498" s="15">
        <v>6.0</v>
      </c>
      <c r="M5498" s="40">
        <v>42597.0</v>
      </c>
      <c r="N5498" s="40">
        <v>42606.0</v>
      </c>
      <c r="O5498" s="15" t="s">
        <v>1554</v>
      </c>
      <c r="Q5498" s="7"/>
    </row>
    <row r="5499">
      <c r="A5499" s="39" t="s">
        <v>21296</v>
      </c>
      <c r="B5499" s="15">
        <v>1886606.0</v>
      </c>
      <c r="C5499" s="15" t="s">
        <v>21297</v>
      </c>
      <c r="D5499" s="15">
        <v>339886.0</v>
      </c>
      <c r="E5499" s="15" t="s">
        <v>1548</v>
      </c>
      <c r="F5499" s="15" t="s">
        <v>1911</v>
      </c>
      <c r="G5499" s="7">
        <v>9.859</v>
      </c>
      <c r="H5499" s="15" t="s">
        <v>2777</v>
      </c>
      <c r="I5499" s="15" t="s">
        <v>1628</v>
      </c>
      <c r="J5499" s="15" t="s">
        <v>21298</v>
      </c>
      <c r="K5499" s="15">
        <v>2.0</v>
      </c>
      <c r="L5499" s="15">
        <v>2.0</v>
      </c>
      <c r="M5499" s="40">
        <v>42595.0</v>
      </c>
      <c r="N5499" s="40">
        <v>42606.0</v>
      </c>
      <c r="O5499" s="15" t="s">
        <v>1554</v>
      </c>
      <c r="Q5499" s="7"/>
    </row>
    <row r="5500">
      <c r="A5500" s="39" t="s">
        <v>21299</v>
      </c>
      <c r="B5500" s="15">
        <v>1887218.0</v>
      </c>
      <c r="C5500" s="15" t="s">
        <v>21300</v>
      </c>
      <c r="D5500" s="15">
        <v>339880.0</v>
      </c>
      <c r="E5500" s="15" t="s">
        <v>1557</v>
      </c>
      <c r="F5500" s="15" t="s">
        <v>1822</v>
      </c>
      <c r="G5500" s="7">
        <v>7.277</v>
      </c>
      <c r="H5500" s="15" t="s">
        <v>1962</v>
      </c>
      <c r="I5500" s="15" t="s">
        <v>1686</v>
      </c>
      <c r="J5500" s="15" t="s">
        <v>21301</v>
      </c>
      <c r="K5500" s="15">
        <v>7.0</v>
      </c>
      <c r="L5500" s="15">
        <v>7.0</v>
      </c>
      <c r="M5500" s="40">
        <v>42597.0</v>
      </c>
      <c r="N5500" s="40">
        <v>42606.0</v>
      </c>
      <c r="O5500" s="15" t="s">
        <v>1554</v>
      </c>
      <c r="Q5500" s="7"/>
    </row>
    <row r="5501">
      <c r="A5501" s="39" t="s">
        <v>21302</v>
      </c>
      <c r="B5501" s="15">
        <v>1887214.0</v>
      </c>
      <c r="C5501" s="15" t="s">
        <v>21304</v>
      </c>
      <c r="D5501" s="15">
        <v>339884.0</v>
      </c>
      <c r="E5501" s="15" t="s">
        <v>1557</v>
      </c>
      <c r="F5501" s="15" t="s">
        <v>1822</v>
      </c>
      <c r="G5501" s="7">
        <v>7.527</v>
      </c>
      <c r="H5501" s="15" t="s">
        <v>2877</v>
      </c>
      <c r="I5501" s="15" t="s">
        <v>1686</v>
      </c>
      <c r="J5501" s="15" t="s">
        <v>21305</v>
      </c>
      <c r="K5501" s="15">
        <v>7.0</v>
      </c>
      <c r="L5501" s="15">
        <v>7.0</v>
      </c>
      <c r="M5501" s="40">
        <v>42597.0</v>
      </c>
      <c r="N5501" s="40">
        <v>42606.0</v>
      </c>
      <c r="O5501" s="15" t="s">
        <v>1554</v>
      </c>
      <c r="Q5501" s="7"/>
    </row>
    <row r="5502">
      <c r="A5502" s="39" t="s">
        <v>21306</v>
      </c>
      <c r="B5502" s="15">
        <v>1885927.0</v>
      </c>
      <c r="C5502" s="15" t="s">
        <v>21307</v>
      </c>
      <c r="D5502" s="15">
        <v>340167.0</v>
      </c>
      <c r="E5502" s="15" t="s">
        <v>1557</v>
      </c>
      <c r="F5502" s="15" t="s">
        <v>2004</v>
      </c>
      <c r="G5502" s="7">
        <v>7.299</v>
      </c>
      <c r="H5502" s="15" t="s">
        <v>2417</v>
      </c>
      <c r="I5502" s="15" t="s">
        <v>1686</v>
      </c>
      <c r="J5502" s="15" t="s">
        <v>21308</v>
      </c>
      <c r="K5502" s="15">
        <v>5.0</v>
      </c>
      <c r="L5502" s="15">
        <v>5.0</v>
      </c>
      <c r="M5502" s="40">
        <v>42602.0</v>
      </c>
      <c r="N5502" s="40">
        <v>42611.0</v>
      </c>
      <c r="O5502" s="15" t="s">
        <v>1554</v>
      </c>
      <c r="Q5502" s="7"/>
    </row>
    <row r="5503">
      <c r="A5503" s="39" t="s">
        <v>21309</v>
      </c>
      <c r="B5503" s="15">
        <v>1885928.0</v>
      </c>
      <c r="C5503" s="15" t="s">
        <v>21310</v>
      </c>
      <c r="D5503" s="15">
        <v>340441.0</v>
      </c>
      <c r="E5503" s="15" t="s">
        <v>1557</v>
      </c>
      <c r="F5503" s="15" t="s">
        <v>1822</v>
      </c>
      <c r="G5503" s="7">
        <v>5.748</v>
      </c>
      <c r="H5503" s="15" t="s">
        <v>6418</v>
      </c>
      <c r="I5503" s="15" t="s">
        <v>1686</v>
      </c>
      <c r="J5503" s="15" t="s">
        <v>21311</v>
      </c>
      <c r="K5503" s="15">
        <v>9.0</v>
      </c>
      <c r="L5503" s="15">
        <v>9.0</v>
      </c>
      <c r="M5503" s="40">
        <v>42602.0</v>
      </c>
      <c r="N5503" s="40">
        <v>42611.0</v>
      </c>
      <c r="O5503" s="15" t="s">
        <v>1554</v>
      </c>
      <c r="Q5503" s="7"/>
    </row>
    <row r="5504">
      <c r="A5504" s="39" t="s">
        <v>21312</v>
      </c>
      <c r="B5504" s="15">
        <v>1888318.0</v>
      </c>
      <c r="C5504" s="15" t="s">
        <v>21313</v>
      </c>
      <c r="D5504" s="15">
        <v>340454.0</v>
      </c>
      <c r="E5504" s="15" t="s">
        <v>1577</v>
      </c>
      <c r="F5504" s="15" t="s">
        <v>1578</v>
      </c>
      <c r="G5504" s="7">
        <v>4.268</v>
      </c>
      <c r="H5504" s="15" t="s">
        <v>2304</v>
      </c>
      <c r="I5504" s="15" t="s">
        <v>1706</v>
      </c>
      <c r="J5504" s="15" t="s">
        <v>21315</v>
      </c>
      <c r="K5504" s="15">
        <v>2.0</v>
      </c>
      <c r="L5504" s="15">
        <v>2.0</v>
      </c>
      <c r="M5504" s="40">
        <v>42602.0</v>
      </c>
      <c r="N5504" s="40">
        <v>42611.0</v>
      </c>
      <c r="O5504" s="15" t="s">
        <v>1554</v>
      </c>
      <c r="Q5504" s="7"/>
    </row>
    <row r="5505">
      <c r="A5505" s="39" t="s">
        <v>21316</v>
      </c>
      <c r="B5505" s="15">
        <v>1888308.0</v>
      </c>
      <c r="C5505" s="15" t="s">
        <v>21317</v>
      </c>
      <c r="D5505" s="15">
        <v>340458.0</v>
      </c>
      <c r="E5505" s="15" t="s">
        <v>1577</v>
      </c>
      <c r="F5505" s="15" t="s">
        <v>1578</v>
      </c>
      <c r="G5505" s="7">
        <v>12.162</v>
      </c>
      <c r="H5505" s="15" t="s">
        <v>2648</v>
      </c>
      <c r="I5505" s="15" t="s">
        <v>1686</v>
      </c>
      <c r="J5505" s="15" t="s">
        <v>21318</v>
      </c>
      <c r="K5505" s="15">
        <v>4.0</v>
      </c>
      <c r="L5505" s="15">
        <v>4.0</v>
      </c>
      <c r="M5505" s="40">
        <v>42602.0</v>
      </c>
      <c r="N5505" s="40">
        <v>42611.0</v>
      </c>
      <c r="O5505" s="15" t="s">
        <v>1554</v>
      </c>
      <c r="Q5505" s="7"/>
    </row>
    <row r="5506">
      <c r="A5506" s="39" t="s">
        <v>21319</v>
      </c>
      <c r="B5506" s="15">
        <v>1888953.0</v>
      </c>
      <c r="C5506" s="15" t="s">
        <v>21320</v>
      </c>
      <c r="D5506" s="15">
        <v>340440.0</v>
      </c>
      <c r="E5506" s="15" t="s">
        <v>1548</v>
      </c>
      <c r="F5506" s="15" t="s">
        <v>1911</v>
      </c>
      <c r="G5506" s="7">
        <v>9.837</v>
      </c>
      <c r="H5506" s="15" t="s">
        <v>1912</v>
      </c>
      <c r="I5506" s="15" t="s">
        <v>1628</v>
      </c>
      <c r="J5506" s="15" t="s">
        <v>21321</v>
      </c>
      <c r="K5506" s="15">
        <v>1.0</v>
      </c>
      <c r="L5506" s="15">
        <v>1.0</v>
      </c>
      <c r="M5506" s="40">
        <v>42602.0</v>
      </c>
      <c r="N5506" s="40">
        <v>42611.0</v>
      </c>
      <c r="O5506" s="15" t="s">
        <v>1554</v>
      </c>
      <c r="Q5506" s="7"/>
    </row>
    <row r="5507">
      <c r="A5507" s="39" t="s">
        <v>21322</v>
      </c>
      <c r="B5507" s="15">
        <v>1888309.0</v>
      </c>
      <c r="C5507" s="15" t="s">
        <v>21323</v>
      </c>
      <c r="D5507" s="15">
        <v>340457.0</v>
      </c>
      <c r="E5507" s="15" t="s">
        <v>1548</v>
      </c>
      <c r="F5507" s="15" t="s">
        <v>1776</v>
      </c>
      <c r="G5507" s="7">
        <v>8.946</v>
      </c>
      <c r="H5507" s="15">
        <v>43.0</v>
      </c>
      <c r="I5507" s="15" t="s">
        <v>1686</v>
      </c>
      <c r="J5507" s="15" t="s">
        <v>21324</v>
      </c>
      <c r="K5507" s="15">
        <v>1.0</v>
      </c>
      <c r="L5507" s="15">
        <v>1.0</v>
      </c>
      <c r="M5507" s="40">
        <v>42602.0</v>
      </c>
      <c r="N5507" s="40">
        <v>42611.0</v>
      </c>
      <c r="O5507" s="15" t="s">
        <v>1554</v>
      </c>
      <c r="Q5507" s="7"/>
    </row>
    <row r="5508">
      <c r="A5508" s="39" t="s">
        <v>21325</v>
      </c>
      <c r="B5508" s="15">
        <v>1890365.0</v>
      </c>
      <c r="C5508" s="15" t="s">
        <v>21326</v>
      </c>
      <c r="D5508" s="15">
        <v>340439.0</v>
      </c>
      <c r="E5508" s="15" t="s">
        <v>1548</v>
      </c>
      <c r="F5508" s="15" t="s">
        <v>1911</v>
      </c>
      <c r="G5508" s="7">
        <v>9.778</v>
      </c>
      <c r="H5508" s="15" t="s">
        <v>2320</v>
      </c>
      <c r="I5508" s="15" t="s">
        <v>1628</v>
      </c>
      <c r="J5508" s="15" t="s">
        <v>21328</v>
      </c>
      <c r="K5508" s="15">
        <v>1.0</v>
      </c>
      <c r="L5508" s="15">
        <v>1.0</v>
      </c>
      <c r="M5508" s="40">
        <v>42603.0</v>
      </c>
      <c r="N5508" s="40">
        <v>42611.0</v>
      </c>
      <c r="O5508" s="15" t="s">
        <v>1554</v>
      </c>
      <c r="Q5508" s="7"/>
    </row>
    <row r="5509">
      <c r="A5509" s="39" t="s">
        <v>21329</v>
      </c>
      <c r="B5509" s="15">
        <v>1735722.0</v>
      </c>
      <c r="C5509" s="15" t="s">
        <v>21330</v>
      </c>
      <c r="D5509" s="15">
        <v>340443.0</v>
      </c>
      <c r="E5509" s="15" t="s">
        <v>1664</v>
      </c>
      <c r="F5509" s="15" t="s">
        <v>1665</v>
      </c>
      <c r="G5509" s="7">
        <v>31.314</v>
      </c>
      <c r="H5509" s="15" t="s">
        <v>3657</v>
      </c>
      <c r="I5509" s="15" t="s">
        <v>1706</v>
      </c>
      <c r="J5509" s="15" t="s">
        <v>21331</v>
      </c>
      <c r="K5509" s="15">
        <v>47.0</v>
      </c>
      <c r="L5509" s="15">
        <v>47.0</v>
      </c>
      <c r="M5509" s="40">
        <v>42599.0</v>
      </c>
      <c r="N5509" s="40">
        <v>42611.0</v>
      </c>
      <c r="O5509" s="15" t="s">
        <v>1554</v>
      </c>
      <c r="Q5509" s="7"/>
    </row>
    <row r="5510">
      <c r="A5510" s="39" t="s">
        <v>21332</v>
      </c>
      <c r="B5510" s="15">
        <v>1888311.0</v>
      </c>
      <c r="C5510" s="15" t="s">
        <v>21333</v>
      </c>
      <c r="D5510" s="15">
        <v>340456.0</v>
      </c>
      <c r="E5510" s="15" t="s">
        <v>1548</v>
      </c>
      <c r="F5510" s="15" t="s">
        <v>1578</v>
      </c>
      <c r="G5510" s="7">
        <v>6.434</v>
      </c>
      <c r="H5510" s="15" t="s">
        <v>5521</v>
      </c>
      <c r="I5510" s="15" t="s">
        <v>1628</v>
      </c>
      <c r="J5510" s="15" t="s">
        <v>21334</v>
      </c>
      <c r="K5510" s="15">
        <v>2.0</v>
      </c>
      <c r="L5510" s="15">
        <v>2.0</v>
      </c>
      <c r="M5510" s="40">
        <v>42602.0</v>
      </c>
      <c r="N5510" s="40">
        <v>42611.0</v>
      </c>
      <c r="O5510" s="15" t="s">
        <v>1554</v>
      </c>
      <c r="Q5510" s="7"/>
    </row>
    <row r="5511">
      <c r="A5511" s="39" t="s">
        <v>21335</v>
      </c>
      <c r="B5511" s="15">
        <v>1882382.0</v>
      </c>
      <c r="C5511" s="15" t="s">
        <v>21336</v>
      </c>
      <c r="D5511" s="15">
        <v>340175.0</v>
      </c>
      <c r="E5511" s="15" t="s">
        <v>1808</v>
      </c>
      <c r="F5511" s="15" t="s">
        <v>2436</v>
      </c>
      <c r="G5511" s="7">
        <v>4.639</v>
      </c>
      <c r="H5511" s="15" t="s">
        <v>5806</v>
      </c>
      <c r="I5511" s="15" t="s">
        <v>1686</v>
      </c>
      <c r="J5511" s="15" t="s">
        <v>21337</v>
      </c>
      <c r="K5511" s="15">
        <v>3.0</v>
      </c>
      <c r="L5511" s="15">
        <v>3.0</v>
      </c>
      <c r="M5511" s="40">
        <v>42582.0</v>
      </c>
      <c r="N5511" s="40">
        <v>42611.0</v>
      </c>
      <c r="O5511" s="15" t="s">
        <v>1554</v>
      </c>
      <c r="Q5511" s="7"/>
    </row>
    <row r="5512">
      <c r="A5512" s="39" t="s">
        <v>21339</v>
      </c>
      <c r="B5512" s="15">
        <v>1887314.0</v>
      </c>
      <c r="C5512" s="15" t="s">
        <v>21340</v>
      </c>
      <c r="D5512" s="15">
        <v>340442.0</v>
      </c>
      <c r="E5512" s="15" t="s">
        <v>1557</v>
      </c>
      <c r="F5512" s="15" t="s">
        <v>3454</v>
      </c>
      <c r="G5512" s="7">
        <v>115.51</v>
      </c>
      <c r="H5512" s="15" t="s">
        <v>3776</v>
      </c>
      <c r="I5512" s="15" t="s">
        <v>1686</v>
      </c>
      <c r="J5512" s="15" t="s">
        <v>21341</v>
      </c>
      <c r="K5512" s="15">
        <v>100.0</v>
      </c>
      <c r="L5512" s="15">
        <v>100.0</v>
      </c>
      <c r="M5512" s="40">
        <v>42597.0</v>
      </c>
      <c r="N5512" s="40">
        <v>42611.0</v>
      </c>
      <c r="O5512" s="15" t="s">
        <v>1554</v>
      </c>
      <c r="Q5512" s="7"/>
    </row>
    <row r="5513">
      <c r="A5513" s="39" t="s">
        <v>21342</v>
      </c>
      <c r="B5513" s="15">
        <v>1888317.0</v>
      </c>
      <c r="C5513" s="15" t="s">
        <v>21343</v>
      </c>
      <c r="D5513" s="15">
        <v>340455.0</v>
      </c>
      <c r="E5513" s="15" t="s">
        <v>1577</v>
      </c>
      <c r="F5513" s="15" t="s">
        <v>1578</v>
      </c>
      <c r="G5513" s="7">
        <v>4.388</v>
      </c>
      <c r="H5513" s="15" t="s">
        <v>2316</v>
      </c>
      <c r="I5513" s="15" t="s">
        <v>1706</v>
      </c>
      <c r="J5513" s="15" t="s">
        <v>21344</v>
      </c>
      <c r="K5513" s="15">
        <v>3.0</v>
      </c>
      <c r="L5513" s="15">
        <v>3.0</v>
      </c>
      <c r="M5513" s="40">
        <v>42602.0</v>
      </c>
      <c r="N5513" s="40">
        <v>42611.0</v>
      </c>
      <c r="O5513" s="15" t="s">
        <v>1554</v>
      </c>
      <c r="Q5513" s="7"/>
    </row>
    <row r="5514">
      <c r="A5514" s="39" t="s">
        <v>21345</v>
      </c>
      <c r="B5514" s="15">
        <v>1848153.0</v>
      </c>
      <c r="C5514" s="15" t="s">
        <v>21346</v>
      </c>
      <c r="D5514" s="15">
        <v>342441.0</v>
      </c>
      <c r="E5514" s="15" t="s">
        <v>1548</v>
      </c>
      <c r="F5514" s="15" t="s">
        <v>5261</v>
      </c>
      <c r="G5514" s="7">
        <v>2.387</v>
      </c>
      <c r="H5514" s="15" t="s">
        <v>3255</v>
      </c>
      <c r="I5514" s="15" t="s">
        <v>1552</v>
      </c>
      <c r="J5514" s="15" t="s">
        <v>21347</v>
      </c>
      <c r="K5514" s="15">
        <v>1.0</v>
      </c>
      <c r="L5514" s="15">
        <v>1.0</v>
      </c>
      <c r="M5514" s="40">
        <v>42612.0</v>
      </c>
      <c r="N5514" s="40">
        <v>42622.0</v>
      </c>
      <c r="O5514" s="15" t="s">
        <v>1554</v>
      </c>
      <c r="Q5514" s="7"/>
    </row>
    <row r="5515">
      <c r="A5515" s="39" t="s">
        <v>21348</v>
      </c>
      <c r="B5515" s="15">
        <v>1788435.0</v>
      </c>
      <c r="C5515" s="15" t="s">
        <v>21349</v>
      </c>
      <c r="D5515" s="15">
        <v>342445.0</v>
      </c>
      <c r="E5515" s="15" t="s">
        <v>1557</v>
      </c>
      <c r="F5515" s="15" t="s">
        <v>2628</v>
      </c>
      <c r="G5515" s="7">
        <v>29.162</v>
      </c>
      <c r="H5515" s="42">
        <v>43190.0</v>
      </c>
      <c r="I5515" s="15" t="s">
        <v>1686</v>
      </c>
      <c r="J5515" s="15" t="s">
        <v>21351</v>
      </c>
      <c r="K5515" s="15">
        <v>27.0</v>
      </c>
      <c r="L5515" s="15">
        <v>27.0</v>
      </c>
      <c r="M5515" s="40">
        <v>42613.0</v>
      </c>
      <c r="N5515" s="40">
        <v>42622.0</v>
      </c>
      <c r="O5515" s="15" t="s">
        <v>1554</v>
      </c>
      <c r="Q5515" s="7"/>
    </row>
    <row r="5516">
      <c r="A5516" s="39" t="s">
        <v>21352</v>
      </c>
      <c r="B5516" s="15">
        <v>1849544.0</v>
      </c>
      <c r="C5516" s="15" t="s">
        <v>21353</v>
      </c>
      <c r="D5516" s="15">
        <v>342449.0</v>
      </c>
      <c r="E5516" s="15" t="s">
        <v>1548</v>
      </c>
      <c r="F5516" s="15" t="s">
        <v>1578</v>
      </c>
      <c r="G5516" s="7">
        <v>7.747</v>
      </c>
      <c r="H5516" s="15" t="s">
        <v>2375</v>
      </c>
      <c r="I5516" s="15" t="s">
        <v>1552</v>
      </c>
      <c r="J5516" s="15" t="s">
        <v>21354</v>
      </c>
      <c r="K5516" s="15">
        <v>1.0</v>
      </c>
      <c r="L5516" s="15">
        <v>1.0</v>
      </c>
      <c r="M5516" s="40">
        <v>42612.0</v>
      </c>
      <c r="N5516" s="40">
        <v>42622.0</v>
      </c>
      <c r="O5516" s="15" t="s">
        <v>1554</v>
      </c>
      <c r="Q5516" s="7"/>
    </row>
    <row r="5517">
      <c r="A5517" s="39" t="s">
        <v>21355</v>
      </c>
      <c r="B5517" s="15">
        <v>1849537.0</v>
      </c>
      <c r="C5517" s="15" t="s">
        <v>21356</v>
      </c>
      <c r="D5517" s="15">
        <v>342453.0</v>
      </c>
      <c r="E5517" s="15" t="s">
        <v>1548</v>
      </c>
      <c r="F5517" s="15" t="s">
        <v>15726</v>
      </c>
      <c r="G5517" s="7">
        <v>6.379</v>
      </c>
      <c r="H5517" s="15" t="s">
        <v>3297</v>
      </c>
      <c r="I5517" s="15" t="s">
        <v>1552</v>
      </c>
      <c r="J5517" s="15" t="s">
        <v>21357</v>
      </c>
      <c r="K5517" s="15">
        <v>2.0</v>
      </c>
      <c r="L5517" s="15">
        <v>2.0</v>
      </c>
      <c r="M5517" s="40">
        <v>42612.0</v>
      </c>
      <c r="N5517" s="40">
        <v>42622.0</v>
      </c>
      <c r="O5517" s="15" t="s">
        <v>1554</v>
      </c>
      <c r="Q5517" s="7"/>
    </row>
    <row r="5518">
      <c r="A5518" s="39" t="s">
        <v>21358</v>
      </c>
      <c r="B5518" s="15">
        <v>1849532.0</v>
      </c>
      <c r="C5518" s="15" t="s">
        <v>21359</v>
      </c>
      <c r="D5518" s="15">
        <v>342457.0</v>
      </c>
      <c r="E5518" s="15" t="s">
        <v>1548</v>
      </c>
      <c r="F5518" s="15" t="s">
        <v>5261</v>
      </c>
      <c r="G5518" s="7">
        <v>2.054</v>
      </c>
      <c r="H5518" s="15" t="s">
        <v>2548</v>
      </c>
      <c r="I5518" s="15" t="s">
        <v>1552</v>
      </c>
      <c r="J5518" s="15" t="s">
        <v>21361</v>
      </c>
      <c r="K5518" s="15">
        <v>1.0</v>
      </c>
      <c r="L5518" s="15">
        <v>1.0</v>
      </c>
      <c r="M5518" s="40">
        <v>42612.0</v>
      </c>
      <c r="N5518" s="40">
        <v>42622.0</v>
      </c>
      <c r="O5518" s="15" t="s">
        <v>1554</v>
      </c>
      <c r="Q5518" s="7"/>
    </row>
    <row r="5519">
      <c r="A5519" s="39" t="s">
        <v>21362</v>
      </c>
      <c r="B5519" s="15">
        <v>1848151.0</v>
      </c>
      <c r="C5519" s="15" t="s">
        <v>21363</v>
      </c>
      <c r="D5519" s="15">
        <v>342443.0</v>
      </c>
      <c r="E5519" s="15" t="s">
        <v>1548</v>
      </c>
      <c r="F5519" s="15" t="s">
        <v>5261</v>
      </c>
      <c r="G5519" s="7">
        <v>2.414</v>
      </c>
      <c r="H5519" s="15" t="s">
        <v>2158</v>
      </c>
      <c r="I5519" s="15" t="s">
        <v>1552</v>
      </c>
      <c r="J5519" s="15" t="s">
        <v>21364</v>
      </c>
      <c r="K5519" s="15">
        <v>1.0</v>
      </c>
      <c r="L5519" s="15">
        <v>1.0</v>
      </c>
      <c r="M5519" s="40">
        <v>42612.0</v>
      </c>
      <c r="N5519" s="40">
        <v>42622.0</v>
      </c>
      <c r="O5519" s="15" t="s">
        <v>1554</v>
      </c>
      <c r="Q5519" s="7"/>
    </row>
    <row r="5520">
      <c r="A5520" s="39" t="s">
        <v>21365</v>
      </c>
      <c r="B5520" s="15">
        <v>1891704.0</v>
      </c>
      <c r="C5520" s="15" t="s">
        <v>21366</v>
      </c>
      <c r="D5520" s="15">
        <v>342447.0</v>
      </c>
      <c r="E5520" s="15" t="s">
        <v>1638</v>
      </c>
      <c r="F5520" s="15" t="s">
        <v>1796</v>
      </c>
      <c r="G5520" s="7">
        <v>3.873</v>
      </c>
      <c r="H5520" s="15" t="s">
        <v>21367</v>
      </c>
      <c r="I5520" s="15" t="s">
        <v>1552</v>
      </c>
      <c r="J5520" s="15" t="s">
        <v>21368</v>
      </c>
      <c r="K5520" s="15">
        <v>2.0</v>
      </c>
      <c r="L5520" s="15">
        <v>2.0</v>
      </c>
      <c r="M5520" s="40">
        <v>42612.0</v>
      </c>
      <c r="N5520" s="40">
        <v>42844.0</v>
      </c>
      <c r="O5520" s="15" t="s">
        <v>1554</v>
      </c>
      <c r="Q5520" s="7"/>
    </row>
    <row r="5521">
      <c r="A5521" s="39" t="s">
        <v>21369</v>
      </c>
      <c r="B5521" s="15">
        <v>1849542.0</v>
      </c>
      <c r="C5521" s="15" t="s">
        <v>21370</v>
      </c>
      <c r="D5521" s="15">
        <v>342451.0</v>
      </c>
      <c r="E5521" s="15" t="s">
        <v>1638</v>
      </c>
      <c r="F5521" s="15" t="s">
        <v>1578</v>
      </c>
      <c r="G5521" s="7">
        <v>9.148</v>
      </c>
      <c r="H5521" s="15" t="s">
        <v>3304</v>
      </c>
      <c r="I5521" s="15" t="s">
        <v>1552</v>
      </c>
      <c r="J5521" s="15" t="s">
        <v>21372</v>
      </c>
      <c r="K5521" s="15">
        <v>2.0</v>
      </c>
      <c r="L5521" s="15">
        <v>2.0</v>
      </c>
      <c r="M5521" s="40">
        <v>42612.0</v>
      </c>
      <c r="N5521" s="40">
        <v>42622.0</v>
      </c>
      <c r="O5521" s="15" t="s">
        <v>1554</v>
      </c>
      <c r="Q5521" s="7"/>
    </row>
    <row r="5522">
      <c r="A5522" s="39" t="s">
        <v>21373</v>
      </c>
      <c r="B5522" s="15">
        <v>1849534.0</v>
      </c>
      <c r="C5522" s="15" t="s">
        <v>21374</v>
      </c>
      <c r="D5522" s="15">
        <v>342455.0</v>
      </c>
      <c r="E5522" s="15" t="s">
        <v>1638</v>
      </c>
      <c r="F5522" s="15" t="s">
        <v>1796</v>
      </c>
      <c r="G5522" s="7">
        <v>4.662</v>
      </c>
      <c r="H5522" s="15" t="s">
        <v>21375</v>
      </c>
      <c r="I5522" s="15" t="s">
        <v>1552</v>
      </c>
      <c r="J5522" s="15" t="s">
        <v>21376</v>
      </c>
      <c r="K5522" s="15">
        <v>2.0</v>
      </c>
      <c r="L5522" s="15">
        <v>2.0</v>
      </c>
      <c r="M5522" s="40">
        <v>42612.0</v>
      </c>
      <c r="N5522" s="40">
        <v>42622.0</v>
      </c>
      <c r="O5522" s="15" t="s">
        <v>1554</v>
      </c>
      <c r="Q5522" s="7"/>
    </row>
    <row r="5523">
      <c r="A5523" s="39" t="s">
        <v>21377</v>
      </c>
      <c r="B5523" s="15">
        <v>1848152.0</v>
      </c>
      <c r="C5523" s="15" t="s">
        <v>21378</v>
      </c>
      <c r="D5523" s="15">
        <v>342442.0</v>
      </c>
      <c r="E5523" s="15" t="s">
        <v>1548</v>
      </c>
      <c r="F5523" s="15" t="s">
        <v>5261</v>
      </c>
      <c r="G5523" s="7">
        <v>2.718</v>
      </c>
      <c r="H5523" s="15" t="s">
        <v>2193</v>
      </c>
      <c r="I5523" s="15" t="s">
        <v>1552</v>
      </c>
      <c r="J5523" s="15" t="s">
        <v>21379</v>
      </c>
      <c r="K5523" s="15">
        <v>1.0</v>
      </c>
      <c r="L5523" s="15">
        <v>1.0</v>
      </c>
      <c r="M5523" s="40">
        <v>42612.0</v>
      </c>
      <c r="N5523" s="40">
        <v>42622.0</v>
      </c>
      <c r="O5523" s="15" t="s">
        <v>1554</v>
      </c>
      <c r="Q5523" s="7"/>
    </row>
    <row r="5524">
      <c r="A5524" s="39" t="s">
        <v>21380</v>
      </c>
      <c r="B5524" s="15">
        <v>1891972.0</v>
      </c>
      <c r="C5524" s="15" t="s">
        <v>21381</v>
      </c>
      <c r="D5524" s="15">
        <v>342446.0</v>
      </c>
      <c r="E5524" s="15" t="s">
        <v>1808</v>
      </c>
      <c r="F5524" s="15" t="s">
        <v>2436</v>
      </c>
      <c r="G5524" s="7">
        <v>5.224</v>
      </c>
      <c r="H5524" s="15" t="s">
        <v>3653</v>
      </c>
      <c r="I5524" s="15" t="s">
        <v>1686</v>
      </c>
      <c r="J5524" s="15" t="s">
        <v>21383</v>
      </c>
      <c r="K5524" s="15">
        <v>4.0</v>
      </c>
      <c r="L5524" s="15">
        <v>4.0</v>
      </c>
      <c r="M5524" s="40">
        <v>42610.0</v>
      </c>
      <c r="N5524" s="40">
        <v>42622.0</v>
      </c>
      <c r="O5524" s="15" t="s">
        <v>1554</v>
      </c>
      <c r="Q5524" s="7"/>
    </row>
    <row r="5525">
      <c r="A5525" s="39" t="s">
        <v>21384</v>
      </c>
      <c r="B5525" s="15">
        <v>1849543.0</v>
      </c>
      <c r="C5525" s="15" t="s">
        <v>21385</v>
      </c>
      <c r="D5525" s="15">
        <v>342450.0</v>
      </c>
      <c r="E5525" s="15" t="s">
        <v>1638</v>
      </c>
      <c r="F5525" s="15" t="s">
        <v>1578</v>
      </c>
      <c r="G5525" s="7">
        <v>4.224</v>
      </c>
      <c r="H5525" s="15" t="s">
        <v>1962</v>
      </c>
      <c r="I5525" s="15" t="s">
        <v>1552</v>
      </c>
      <c r="J5525" s="15" t="s">
        <v>21386</v>
      </c>
      <c r="K5525" s="15">
        <v>1.0</v>
      </c>
      <c r="L5525" s="15">
        <v>1.0</v>
      </c>
      <c r="M5525" s="40">
        <v>42612.0</v>
      </c>
      <c r="N5525" s="40">
        <v>42622.0</v>
      </c>
      <c r="O5525" s="15" t="s">
        <v>1554</v>
      </c>
      <c r="Q5525" s="7"/>
    </row>
    <row r="5526">
      <c r="A5526" s="39" t="s">
        <v>21387</v>
      </c>
      <c r="B5526" s="15">
        <v>1849535.0</v>
      </c>
      <c r="C5526" s="15" t="s">
        <v>21388</v>
      </c>
      <c r="D5526" s="15">
        <v>342454.0</v>
      </c>
      <c r="E5526" s="15" t="s">
        <v>1638</v>
      </c>
      <c r="F5526" s="15" t="s">
        <v>1639</v>
      </c>
      <c r="G5526" s="7">
        <v>5.124</v>
      </c>
      <c r="H5526" s="15" t="s">
        <v>10028</v>
      </c>
      <c r="I5526" s="15" t="s">
        <v>1552</v>
      </c>
      <c r="J5526" s="15" t="s">
        <v>21389</v>
      </c>
      <c r="K5526" s="15">
        <v>2.0</v>
      </c>
      <c r="L5526" s="15">
        <v>2.0</v>
      </c>
      <c r="M5526" s="40">
        <v>42612.0</v>
      </c>
      <c r="N5526" s="40">
        <v>42622.0</v>
      </c>
      <c r="O5526" s="15" t="s">
        <v>1554</v>
      </c>
      <c r="Q5526" s="7"/>
    </row>
    <row r="5527">
      <c r="A5527" s="39" t="s">
        <v>21390</v>
      </c>
      <c r="B5527" s="15">
        <v>1849531.0</v>
      </c>
      <c r="C5527" s="15" t="s">
        <v>21391</v>
      </c>
      <c r="D5527" s="15">
        <v>342458.0</v>
      </c>
      <c r="E5527" s="15" t="s">
        <v>1548</v>
      </c>
      <c r="F5527" s="15" t="s">
        <v>5261</v>
      </c>
      <c r="G5527" s="7">
        <v>2.297</v>
      </c>
      <c r="H5527" s="15" t="s">
        <v>1756</v>
      </c>
      <c r="I5527" s="15" t="s">
        <v>1552</v>
      </c>
      <c r="J5527" s="15" t="s">
        <v>21392</v>
      </c>
      <c r="K5527" s="15">
        <v>1.0</v>
      </c>
      <c r="L5527" s="15">
        <v>1.0</v>
      </c>
      <c r="M5527" s="40">
        <v>42612.0</v>
      </c>
      <c r="N5527" s="40">
        <v>42622.0</v>
      </c>
      <c r="O5527" s="15" t="s">
        <v>1554</v>
      </c>
      <c r="Q5527" s="7"/>
    </row>
    <row r="5528">
      <c r="A5528" s="39" t="s">
        <v>21394</v>
      </c>
      <c r="B5528" s="15">
        <v>1788434.0</v>
      </c>
      <c r="C5528" s="15" t="s">
        <v>21395</v>
      </c>
      <c r="D5528" s="15">
        <v>341707.0</v>
      </c>
      <c r="E5528" s="15" t="s">
        <v>1557</v>
      </c>
      <c r="F5528" s="15" t="s">
        <v>2628</v>
      </c>
      <c r="G5528" s="7">
        <v>29.581</v>
      </c>
      <c r="H5528" s="15" t="s">
        <v>3870</v>
      </c>
      <c r="I5528" s="15" t="s">
        <v>1686</v>
      </c>
      <c r="J5528" s="15" t="s">
        <v>21396</v>
      </c>
      <c r="K5528" s="15">
        <v>28.0</v>
      </c>
      <c r="L5528" s="15">
        <v>28.0</v>
      </c>
      <c r="M5528" s="40">
        <v>42613.0</v>
      </c>
      <c r="N5528" s="40">
        <v>42622.0</v>
      </c>
      <c r="O5528" s="15" t="s">
        <v>1554</v>
      </c>
      <c r="Q5528" s="7"/>
    </row>
    <row r="5529">
      <c r="A5529" s="39" t="s">
        <v>21397</v>
      </c>
      <c r="B5529" s="15">
        <v>1848150.0</v>
      </c>
      <c r="C5529" s="15" t="s">
        <v>21398</v>
      </c>
      <c r="D5529" s="15">
        <v>342444.0</v>
      </c>
      <c r="E5529" s="15" t="s">
        <v>1548</v>
      </c>
      <c r="F5529" s="15" t="s">
        <v>5261</v>
      </c>
      <c r="G5529" s="7">
        <v>2.397</v>
      </c>
      <c r="H5529" s="15" t="s">
        <v>21399</v>
      </c>
      <c r="I5529" s="15" t="s">
        <v>1552</v>
      </c>
      <c r="J5529" s="15" t="s">
        <v>21400</v>
      </c>
      <c r="K5529" s="15">
        <v>1.0</v>
      </c>
      <c r="L5529" s="15">
        <v>1.0</v>
      </c>
      <c r="M5529" s="40">
        <v>42612.0</v>
      </c>
      <c r="N5529" s="40">
        <v>42622.0</v>
      </c>
      <c r="O5529" s="15" t="s">
        <v>1554</v>
      </c>
      <c r="Q5529" s="7"/>
    </row>
    <row r="5530">
      <c r="A5530" s="39" t="s">
        <v>21401</v>
      </c>
      <c r="B5530" s="15">
        <v>1849545.0</v>
      </c>
      <c r="C5530" s="15" t="s">
        <v>21402</v>
      </c>
      <c r="D5530" s="15">
        <v>342448.0</v>
      </c>
      <c r="E5530" s="15" t="s">
        <v>1548</v>
      </c>
      <c r="F5530" s="15" t="s">
        <v>1578</v>
      </c>
      <c r="G5530" s="7">
        <v>6.608</v>
      </c>
      <c r="H5530" s="15" t="s">
        <v>2392</v>
      </c>
      <c r="I5530" s="15" t="s">
        <v>1552</v>
      </c>
      <c r="J5530" s="15" t="s">
        <v>21403</v>
      </c>
      <c r="K5530" s="15">
        <v>1.0</v>
      </c>
      <c r="L5530" s="15">
        <v>1.0</v>
      </c>
      <c r="M5530" s="40">
        <v>42612.0</v>
      </c>
      <c r="N5530" s="40">
        <v>42622.0</v>
      </c>
      <c r="O5530" s="15" t="s">
        <v>1554</v>
      </c>
      <c r="Q5530" s="7"/>
    </row>
    <row r="5531">
      <c r="A5531" s="39" t="s">
        <v>21404</v>
      </c>
      <c r="B5531" s="15">
        <v>1849539.0</v>
      </c>
      <c r="C5531" s="15" t="s">
        <v>21405</v>
      </c>
      <c r="D5531" s="15">
        <v>342452.0</v>
      </c>
      <c r="E5531" s="15" t="s">
        <v>1577</v>
      </c>
      <c r="F5531" s="15" t="s">
        <v>1578</v>
      </c>
      <c r="G5531" s="7">
        <v>8.537</v>
      </c>
      <c r="H5531" s="15" t="s">
        <v>21406</v>
      </c>
      <c r="I5531" s="15" t="s">
        <v>1552</v>
      </c>
      <c r="J5531" s="15" t="s">
        <v>21407</v>
      </c>
      <c r="K5531" s="15">
        <v>3.0</v>
      </c>
      <c r="L5531" s="15">
        <v>3.0</v>
      </c>
      <c r="M5531" s="40">
        <v>42612.0</v>
      </c>
      <c r="N5531" s="40">
        <v>42622.0</v>
      </c>
      <c r="O5531" s="15" t="s">
        <v>1554</v>
      </c>
      <c r="Q5531" s="7"/>
    </row>
    <row r="5532">
      <c r="A5532" s="39" t="s">
        <v>21409</v>
      </c>
      <c r="B5532" s="15">
        <v>1849533.0</v>
      </c>
      <c r="C5532" s="15" t="s">
        <v>21410</v>
      </c>
      <c r="D5532" s="15">
        <v>342456.0</v>
      </c>
      <c r="E5532" s="15" t="s">
        <v>1638</v>
      </c>
      <c r="F5532" s="15" t="s">
        <v>1796</v>
      </c>
      <c r="G5532" s="7">
        <v>4.816</v>
      </c>
      <c r="H5532" s="15" t="s">
        <v>21411</v>
      </c>
      <c r="I5532" s="15" t="s">
        <v>1552</v>
      </c>
      <c r="J5532" s="15" t="s">
        <v>21412</v>
      </c>
      <c r="K5532" s="15">
        <v>2.0</v>
      </c>
      <c r="L5532" s="15">
        <v>2.0</v>
      </c>
      <c r="M5532" s="40">
        <v>42612.0</v>
      </c>
      <c r="N5532" s="40">
        <v>42622.0</v>
      </c>
      <c r="O5532" s="15" t="s">
        <v>1554</v>
      </c>
      <c r="Q5532" s="7"/>
    </row>
    <row r="5533">
      <c r="A5533" s="39" t="s">
        <v>21413</v>
      </c>
      <c r="B5533" s="15">
        <v>1892416.0</v>
      </c>
      <c r="C5533" s="15" t="s">
        <v>21414</v>
      </c>
      <c r="D5533" s="15">
        <v>342647.0</v>
      </c>
      <c r="E5533" s="15" t="s">
        <v>1548</v>
      </c>
      <c r="F5533" s="15" t="s">
        <v>1684</v>
      </c>
      <c r="G5533" s="7">
        <v>30.161</v>
      </c>
      <c r="H5533" s="15" t="s">
        <v>2864</v>
      </c>
      <c r="I5533" s="15" t="s">
        <v>1686</v>
      </c>
      <c r="J5533" s="15" t="s">
        <v>21415</v>
      </c>
      <c r="K5533" s="15">
        <v>10.0</v>
      </c>
      <c r="L5533" s="15">
        <v>10.0</v>
      </c>
      <c r="M5533" s="40">
        <v>42616.0</v>
      </c>
      <c r="N5533" s="40">
        <v>42625.0</v>
      </c>
      <c r="O5533" s="15" t="s">
        <v>1554</v>
      </c>
      <c r="Q5533" s="7"/>
    </row>
    <row r="5534">
      <c r="A5534" s="39" t="s">
        <v>21416</v>
      </c>
      <c r="B5534" s="15">
        <v>1897538.0</v>
      </c>
      <c r="C5534" s="15" t="s">
        <v>21417</v>
      </c>
      <c r="D5534" s="15">
        <v>342645.0</v>
      </c>
      <c r="E5534" s="15" t="s">
        <v>1664</v>
      </c>
      <c r="F5534" s="15" t="s">
        <v>15173</v>
      </c>
      <c r="G5534" s="7">
        <v>2.22</v>
      </c>
      <c r="H5534" s="15" t="s">
        <v>4215</v>
      </c>
      <c r="I5534" s="15" t="s">
        <v>1628</v>
      </c>
      <c r="J5534" s="15" t="s">
        <v>21418</v>
      </c>
      <c r="K5534" s="15">
        <v>3.0</v>
      </c>
      <c r="L5534" s="15">
        <v>3.0</v>
      </c>
      <c r="M5534" s="40">
        <v>42620.0</v>
      </c>
      <c r="N5534" s="40">
        <v>42625.0</v>
      </c>
      <c r="O5534" s="15" t="s">
        <v>1554</v>
      </c>
      <c r="Q5534" s="7"/>
    </row>
    <row r="5535">
      <c r="A5535" s="39" t="s">
        <v>21419</v>
      </c>
      <c r="B5535" s="15">
        <v>1849335.0</v>
      </c>
      <c r="C5535" s="15" t="s">
        <v>21420</v>
      </c>
      <c r="D5535" s="15">
        <v>342649.0</v>
      </c>
      <c r="E5535" s="15" t="s">
        <v>1638</v>
      </c>
      <c r="F5535" s="15" t="s">
        <v>1796</v>
      </c>
      <c r="G5535" s="7">
        <v>3.722</v>
      </c>
      <c r="H5535" s="15" t="s">
        <v>21421</v>
      </c>
      <c r="I5535" s="15" t="s">
        <v>1628</v>
      </c>
      <c r="J5535" s="15" t="s">
        <v>21422</v>
      </c>
      <c r="K5535" s="15">
        <v>2.0</v>
      </c>
      <c r="L5535" s="15">
        <v>2.0</v>
      </c>
      <c r="M5535" s="40">
        <v>42615.0</v>
      </c>
      <c r="N5535" s="40">
        <v>42876.0</v>
      </c>
      <c r="O5535" s="15" t="s">
        <v>1554</v>
      </c>
      <c r="Q5535" s="7"/>
    </row>
    <row r="5536">
      <c r="A5536" s="39" t="s">
        <v>21423</v>
      </c>
      <c r="B5536" s="15">
        <v>1895333.0</v>
      </c>
      <c r="C5536" s="15" t="s">
        <v>21424</v>
      </c>
      <c r="D5536" s="15">
        <v>342507.0</v>
      </c>
      <c r="E5536" s="15" t="s">
        <v>1557</v>
      </c>
      <c r="F5536" s="15" t="s">
        <v>6215</v>
      </c>
      <c r="G5536" s="7">
        <v>32.995</v>
      </c>
      <c r="H5536" s="42">
        <v>43245.0</v>
      </c>
      <c r="I5536" s="15" t="s">
        <v>1618</v>
      </c>
      <c r="J5536" s="15" t="s">
        <v>21425</v>
      </c>
      <c r="K5536" s="15">
        <v>45.0</v>
      </c>
      <c r="L5536" s="15">
        <v>45.0</v>
      </c>
      <c r="M5536" s="40">
        <v>42616.0</v>
      </c>
      <c r="N5536" s="40">
        <v>42625.0</v>
      </c>
      <c r="O5536" s="15" t="s">
        <v>1554</v>
      </c>
      <c r="Q5536" s="7"/>
    </row>
    <row r="5537">
      <c r="A5537" s="39" t="s">
        <v>21426</v>
      </c>
      <c r="B5537" s="15">
        <v>1884879.0</v>
      </c>
      <c r="C5537" s="15" t="s">
        <v>21427</v>
      </c>
      <c r="D5537" s="15">
        <v>342648.0</v>
      </c>
      <c r="E5537" s="15" t="s">
        <v>1548</v>
      </c>
      <c r="F5537" s="15" t="s">
        <v>18494</v>
      </c>
      <c r="G5537" s="7">
        <v>8.97</v>
      </c>
      <c r="H5537" s="15" t="s">
        <v>1813</v>
      </c>
      <c r="I5537" s="15" t="s">
        <v>1686</v>
      </c>
      <c r="J5537" s="15" t="s">
        <v>21428</v>
      </c>
      <c r="K5537" s="15">
        <v>6.0</v>
      </c>
      <c r="L5537" s="15">
        <v>6.0</v>
      </c>
      <c r="M5537" s="40">
        <v>42619.0</v>
      </c>
      <c r="N5537" s="40">
        <v>42625.0</v>
      </c>
      <c r="O5537" s="15" t="s">
        <v>1554</v>
      </c>
      <c r="Q5537" s="7"/>
    </row>
    <row r="5538">
      <c r="A5538" s="39" t="s">
        <v>21429</v>
      </c>
      <c r="B5538" s="15">
        <v>1895000.0</v>
      </c>
      <c r="C5538" s="15" t="s">
        <v>21430</v>
      </c>
      <c r="D5538" s="15">
        <v>342646.0</v>
      </c>
      <c r="E5538" s="15" t="s">
        <v>1638</v>
      </c>
      <c r="F5538" s="15" t="s">
        <v>1578</v>
      </c>
      <c r="G5538" s="7">
        <v>4.074</v>
      </c>
      <c r="H5538" s="15" t="s">
        <v>21431</v>
      </c>
      <c r="I5538" s="15" t="s">
        <v>1552</v>
      </c>
      <c r="J5538" s="15" t="s">
        <v>21432</v>
      </c>
      <c r="K5538" s="15">
        <v>3.0</v>
      </c>
      <c r="L5538" s="15">
        <v>3.0</v>
      </c>
      <c r="M5538" s="40">
        <v>42616.0</v>
      </c>
      <c r="N5538" s="40">
        <v>42625.0</v>
      </c>
      <c r="O5538" s="15" t="s">
        <v>1554</v>
      </c>
      <c r="Q5538" s="7"/>
    </row>
    <row r="5539">
      <c r="A5539" s="39" t="s">
        <v>21433</v>
      </c>
      <c r="B5539" s="15">
        <v>1863008.0</v>
      </c>
      <c r="C5539" s="15" t="s">
        <v>21434</v>
      </c>
      <c r="D5539" s="15">
        <v>343548.0</v>
      </c>
      <c r="E5539" s="15" t="s">
        <v>1557</v>
      </c>
      <c r="F5539" s="15" t="s">
        <v>1767</v>
      </c>
      <c r="G5539" s="7">
        <v>170.65</v>
      </c>
      <c r="H5539" s="15" t="s">
        <v>3550</v>
      </c>
      <c r="I5539" s="15" t="s">
        <v>1586</v>
      </c>
      <c r="J5539" s="15" t="s">
        <v>21435</v>
      </c>
      <c r="K5539" s="15">
        <v>277.0</v>
      </c>
      <c r="L5539" s="15">
        <v>269.0</v>
      </c>
      <c r="M5539" s="40">
        <v>42553.0</v>
      </c>
      <c r="N5539" s="40">
        <v>42636.0</v>
      </c>
      <c r="O5539" s="15" t="s">
        <v>1554</v>
      </c>
      <c r="Q5539" s="7"/>
    </row>
    <row r="5540">
      <c r="A5540" s="39" t="s">
        <v>21436</v>
      </c>
      <c r="B5540" s="15">
        <v>1815590.0</v>
      </c>
      <c r="C5540" s="15" t="s">
        <v>21437</v>
      </c>
      <c r="D5540" s="15">
        <v>344086.0</v>
      </c>
      <c r="E5540" s="15" t="s">
        <v>1557</v>
      </c>
      <c r="F5540" s="15" t="s">
        <v>1767</v>
      </c>
      <c r="G5540" s="7">
        <v>165.772</v>
      </c>
      <c r="H5540" s="15" t="s">
        <v>2103</v>
      </c>
      <c r="I5540" s="15" t="s">
        <v>1586</v>
      </c>
      <c r="J5540" s="15" t="s">
        <v>21438</v>
      </c>
      <c r="K5540" s="15">
        <v>268.0</v>
      </c>
      <c r="L5540" s="15">
        <v>268.0</v>
      </c>
      <c r="M5540" s="40">
        <v>42487.0</v>
      </c>
      <c r="N5540" s="40">
        <v>42636.0</v>
      </c>
      <c r="O5540" s="15" t="s">
        <v>1554</v>
      </c>
      <c r="Q5540" s="7"/>
    </row>
    <row r="5541">
      <c r="A5541" s="39" t="s">
        <v>21439</v>
      </c>
      <c r="B5541" s="15">
        <v>1815511.0</v>
      </c>
      <c r="C5541" s="15" t="s">
        <v>21440</v>
      </c>
      <c r="D5541" s="15">
        <v>344087.0</v>
      </c>
      <c r="E5541" s="15" t="s">
        <v>1557</v>
      </c>
      <c r="F5541" s="15" t="s">
        <v>1833</v>
      </c>
      <c r="G5541" s="7">
        <v>35.068</v>
      </c>
      <c r="H5541" s="15" t="s">
        <v>2864</v>
      </c>
      <c r="I5541" s="15" t="s">
        <v>1586</v>
      </c>
      <c r="J5541" s="15" t="s">
        <v>21441</v>
      </c>
      <c r="K5541" s="15">
        <v>51.0</v>
      </c>
      <c r="L5541" s="15">
        <v>51.0</v>
      </c>
      <c r="M5541" s="40">
        <v>42570.0</v>
      </c>
      <c r="N5541" s="40">
        <v>42636.0</v>
      </c>
      <c r="O5541" s="15" t="s">
        <v>1554</v>
      </c>
      <c r="Q5541" s="7"/>
    </row>
    <row r="5542">
      <c r="A5542" s="39" t="s">
        <v>21442</v>
      </c>
      <c r="B5542" s="15">
        <v>1815510.0</v>
      </c>
      <c r="C5542" s="15" t="s">
        <v>21443</v>
      </c>
      <c r="D5542" s="15">
        <v>344088.0</v>
      </c>
      <c r="E5542" s="15" t="s">
        <v>1557</v>
      </c>
      <c r="F5542" s="15" t="s">
        <v>1833</v>
      </c>
      <c r="G5542" s="7">
        <v>41.005</v>
      </c>
      <c r="H5542" s="15" t="s">
        <v>1828</v>
      </c>
      <c r="I5542" s="15" t="s">
        <v>1586</v>
      </c>
      <c r="J5542" s="15" t="s">
        <v>21444</v>
      </c>
      <c r="K5542" s="15">
        <v>61.0</v>
      </c>
      <c r="L5542" s="15">
        <v>60.0</v>
      </c>
      <c r="M5542" s="40">
        <v>42570.0</v>
      </c>
      <c r="N5542" s="40">
        <v>42636.0</v>
      </c>
      <c r="O5542" s="15" t="s">
        <v>1554</v>
      </c>
      <c r="Q5542" s="7"/>
    </row>
    <row r="5543">
      <c r="A5543" s="39" t="s">
        <v>21445</v>
      </c>
      <c r="B5543" s="15">
        <v>1887652.0</v>
      </c>
      <c r="C5543" s="15" t="s">
        <v>21446</v>
      </c>
      <c r="D5543" s="15">
        <v>344089.0</v>
      </c>
      <c r="E5543" s="15" t="s">
        <v>1557</v>
      </c>
      <c r="F5543" s="15" t="s">
        <v>1833</v>
      </c>
      <c r="G5543" s="7">
        <v>52.738</v>
      </c>
      <c r="H5543" s="15">
        <v>62.0</v>
      </c>
      <c r="I5543" s="15" t="s">
        <v>1586</v>
      </c>
      <c r="J5543" s="15" t="s">
        <v>21447</v>
      </c>
      <c r="K5543" s="15">
        <v>101.0</v>
      </c>
      <c r="L5543" s="15">
        <v>98.0</v>
      </c>
      <c r="M5543" s="40">
        <v>42606.0</v>
      </c>
      <c r="N5543" s="40">
        <v>42636.0</v>
      </c>
      <c r="O5543" s="15" t="s">
        <v>1554</v>
      </c>
      <c r="Q5543" s="7"/>
    </row>
    <row r="5544">
      <c r="A5544" s="39" t="s">
        <v>21448</v>
      </c>
      <c r="B5544" s="15">
        <v>1887651.0</v>
      </c>
      <c r="C5544" s="15" t="s">
        <v>21449</v>
      </c>
      <c r="D5544" s="15">
        <v>344090.0</v>
      </c>
      <c r="E5544" s="15" t="s">
        <v>1557</v>
      </c>
      <c r="F5544" s="15" t="s">
        <v>1833</v>
      </c>
      <c r="G5544" s="7">
        <v>41.857</v>
      </c>
      <c r="H5544" s="15" t="s">
        <v>9965</v>
      </c>
      <c r="I5544" s="15" t="s">
        <v>1586</v>
      </c>
      <c r="J5544" s="15" t="s">
        <v>21450</v>
      </c>
      <c r="K5544" s="15">
        <v>60.0</v>
      </c>
      <c r="L5544" s="15">
        <v>60.0</v>
      </c>
      <c r="M5544" s="40">
        <v>42627.0</v>
      </c>
      <c r="N5544" s="40">
        <v>42636.0</v>
      </c>
      <c r="O5544" s="15" t="s">
        <v>1554</v>
      </c>
      <c r="Q5544" s="7"/>
    </row>
    <row r="5545">
      <c r="A5545" s="39" t="s">
        <v>21451</v>
      </c>
      <c r="B5545" s="15">
        <v>1887650.0</v>
      </c>
      <c r="C5545" s="15" t="s">
        <v>21452</v>
      </c>
      <c r="D5545" s="15">
        <v>344091.0</v>
      </c>
      <c r="E5545" s="15" t="s">
        <v>1557</v>
      </c>
      <c r="F5545" s="15" t="s">
        <v>1833</v>
      </c>
      <c r="G5545" s="7">
        <v>78.302</v>
      </c>
      <c r="H5545" s="15" t="s">
        <v>4673</v>
      </c>
      <c r="I5545" s="15" t="s">
        <v>1586</v>
      </c>
      <c r="J5545" s="15" t="s">
        <v>21453</v>
      </c>
      <c r="K5545" s="15">
        <v>102.0</v>
      </c>
      <c r="L5545" s="15">
        <v>102.0</v>
      </c>
      <c r="M5545" s="40">
        <v>42606.0</v>
      </c>
      <c r="N5545" s="40">
        <v>42636.0</v>
      </c>
      <c r="O5545" s="15" t="s">
        <v>1554</v>
      </c>
      <c r="Q5545" s="7"/>
    </row>
    <row r="5546">
      <c r="A5546" s="39" t="s">
        <v>21454</v>
      </c>
      <c r="B5546" s="15">
        <v>1887649.0</v>
      </c>
      <c r="C5546" s="15" t="s">
        <v>21455</v>
      </c>
      <c r="D5546" s="15">
        <v>344092.0</v>
      </c>
      <c r="E5546" s="15" t="s">
        <v>1557</v>
      </c>
      <c r="F5546" s="15" t="s">
        <v>1833</v>
      </c>
      <c r="G5546" s="7">
        <v>52.726</v>
      </c>
      <c r="H5546" s="15" t="s">
        <v>3890</v>
      </c>
      <c r="I5546" s="15" t="s">
        <v>1586</v>
      </c>
      <c r="J5546" s="15" t="s">
        <v>21456</v>
      </c>
      <c r="K5546" s="15">
        <v>104.0</v>
      </c>
      <c r="L5546" s="15">
        <v>101.0</v>
      </c>
      <c r="M5546" s="40">
        <v>42606.0</v>
      </c>
      <c r="N5546" s="40">
        <v>42636.0</v>
      </c>
      <c r="O5546" s="15" t="s">
        <v>1554</v>
      </c>
      <c r="Q5546" s="7"/>
    </row>
    <row r="5547">
      <c r="A5547" s="39" t="s">
        <v>21457</v>
      </c>
      <c r="B5547" s="15">
        <v>1887648.0</v>
      </c>
      <c r="C5547" s="15" t="s">
        <v>21458</v>
      </c>
      <c r="D5547" s="15">
        <v>344093.0</v>
      </c>
      <c r="E5547" s="15" t="s">
        <v>1557</v>
      </c>
      <c r="F5547" s="15" t="s">
        <v>1833</v>
      </c>
      <c r="G5547" s="7">
        <v>44.536</v>
      </c>
      <c r="H5547" s="15" t="s">
        <v>14676</v>
      </c>
      <c r="I5547" s="15" t="s">
        <v>1586</v>
      </c>
      <c r="J5547" s="15" t="s">
        <v>21459</v>
      </c>
      <c r="K5547" s="15">
        <v>70.0</v>
      </c>
      <c r="L5547" s="15">
        <v>70.0</v>
      </c>
      <c r="M5547" s="40">
        <v>42627.0</v>
      </c>
      <c r="N5547" s="40">
        <v>42636.0</v>
      </c>
      <c r="O5547" s="15" t="s">
        <v>1554</v>
      </c>
      <c r="Q5547" s="7"/>
    </row>
    <row r="5548">
      <c r="A5548" s="39" t="s">
        <v>21461</v>
      </c>
      <c r="B5548" s="15">
        <v>1887647.0</v>
      </c>
      <c r="C5548" s="15" t="s">
        <v>21462</v>
      </c>
      <c r="D5548" s="15">
        <v>344094.0</v>
      </c>
      <c r="E5548" s="15" t="s">
        <v>1557</v>
      </c>
      <c r="F5548" s="15" t="s">
        <v>1833</v>
      </c>
      <c r="G5548" s="7">
        <v>45.285</v>
      </c>
      <c r="H5548" s="15" t="s">
        <v>4385</v>
      </c>
      <c r="I5548" s="15" t="s">
        <v>1586</v>
      </c>
      <c r="J5548" s="15" t="s">
        <v>21463</v>
      </c>
      <c r="K5548" s="15">
        <v>59.0</v>
      </c>
      <c r="L5548" s="15">
        <v>59.0</v>
      </c>
      <c r="M5548" s="40">
        <v>42606.0</v>
      </c>
      <c r="N5548" s="40">
        <v>42636.0</v>
      </c>
      <c r="O5548" s="15" t="s">
        <v>1554</v>
      </c>
      <c r="Q5548" s="7"/>
    </row>
    <row r="5549">
      <c r="A5549" s="39" t="s">
        <v>21464</v>
      </c>
      <c r="B5549" s="15">
        <v>1887646.0</v>
      </c>
      <c r="C5549" s="15" t="s">
        <v>21465</v>
      </c>
      <c r="D5549" s="15">
        <v>344095.0</v>
      </c>
      <c r="E5549" s="15" t="s">
        <v>1557</v>
      </c>
      <c r="F5549" s="15" t="s">
        <v>1833</v>
      </c>
      <c r="G5549" s="7">
        <v>44.929</v>
      </c>
      <c r="H5549" s="15" t="s">
        <v>9965</v>
      </c>
      <c r="I5549" s="15" t="s">
        <v>1586</v>
      </c>
      <c r="J5549" s="15" t="s">
        <v>21466</v>
      </c>
      <c r="K5549" s="15">
        <v>74.0</v>
      </c>
      <c r="L5549" s="15">
        <v>74.0</v>
      </c>
      <c r="M5549" s="40">
        <v>42606.0</v>
      </c>
      <c r="N5549" s="40">
        <v>42636.0</v>
      </c>
      <c r="O5549" s="15" t="s">
        <v>1554</v>
      </c>
      <c r="Q5549" s="7"/>
    </row>
    <row r="5550">
      <c r="A5550" s="39" t="s">
        <v>21467</v>
      </c>
      <c r="B5550" s="15">
        <v>1887645.0</v>
      </c>
      <c r="C5550" s="15" t="s">
        <v>21468</v>
      </c>
      <c r="D5550" s="15">
        <v>344096.0</v>
      </c>
      <c r="E5550" s="15" t="s">
        <v>1557</v>
      </c>
      <c r="F5550" s="15" t="s">
        <v>1833</v>
      </c>
      <c r="G5550" s="7">
        <v>93.686</v>
      </c>
      <c r="H5550" s="15">
        <v>62.0</v>
      </c>
      <c r="I5550" s="15" t="s">
        <v>1586</v>
      </c>
      <c r="J5550" s="15" t="s">
        <v>21470</v>
      </c>
      <c r="K5550" s="15">
        <v>186.0</v>
      </c>
      <c r="L5550" s="15">
        <v>178.0</v>
      </c>
      <c r="M5550" s="40">
        <v>42606.0</v>
      </c>
      <c r="N5550" s="40">
        <v>42636.0</v>
      </c>
      <c r="O5550" s="15" t="s">
        <v>1554</v>
      </c>
      <c r="Q5550" s="7"/>
    </row>
    <row r="5551">
      <c r="A5551" s="39" t="s">
        <v>21471</v>
      </c>
      <c r="B5551" s="15">
        <v>1887644.0</v>
      </c>
      <c r="C5551" s="15" t="s">
        <v>21472</v>
      </c>
      <c r="D5551" s="15">
        <v>344097.0</v>
      </c>
      <c r="E5551" s="15" t="s">
        <v>1557</v>
      </c>
      <c r="F5551" s="15" t="s">
        <v>1833</v>
      </c>
      <c r="G5551" s="7">
        <v>54.167</v>
      </c>
      <c r="H5551" s="15" t="s">
        <v>2497</v>
      </c>
      <c r="I5551" s="15" t="s">
        <v>1586</v>
      </c>
      <c r="J5551" s="15" t="s">
        <v>21473</v>
      </c>
      <c r="K5551" s="15">
        <v>80.0</v>
      </c>
      <c r="L5551" s="15">
        <v>80.0</v>
      </c>
      <c r="M5551" s="40">
        <v>42606.0</v>
      </c>
      <c r="N5551" s="40">
        <v>42636.0</v>
      </c>
      <c r="O5551" s="15" t="s">
        <v>1554</v>
      </c>
      <c r="Q5551" s="7"/>
    </row>
    <row r="5552">
      <c r="A5552" s="39" t="s">
        <v>21474</v>
      </c>
      <c r="B5552" s="15">
        <v>1887643.0</v>
      </c>
      <c r="C5552" s="15" t="s">
        <v>21475</v>
      </c>
      <c r="D5552" s="15">
        <v>344098.0</v>
      </c>
      <c r="E5552" s="15" t="s">
        <v>1557</v>
      </c>
      <c r="F5552" s="15" t="s">
        <v>1833</v>
      </c>
      <c r="G5552" s="7">
        <v>47.898</v>
      </c>
      <c r="H5552" s="15" t="s">
        <v>8725</v>
      </c>
      <c r="I5552" s="15" t="s">
        <v>1586</v>
      </c>
      <c r="J5552" s="15" t="s">
        <v>21476</v>
      </c>
      <c r="K5552" s="15">
        <v>79.0</v>
      </c>
      <c r="L5552" s="15">
        <v>79.0</v>
      </c>
      <c r="M5552" s="40">
        <v>42606.0</v>
      </c>
      <c r="N5552" s="40">
        <v>42636.0</v>
      </c>
      <c r="O5552" s="15" t="s">
        <v>1554</v>
      </c>
      <c r="Q5552" s="7"/>
    </row>
    <row r="5553">
      <c r="A5553" s="39" t="s">
        <v>21477</v>
      </c>
      <c r="B5553" s="15">
        <v>1887641.0</v>
      </c>
      <c r="C5553" s="15" t="s">
        <v>21478</v>
      </c>
      <c r="D5553" s="15">
        <v>344099.0</v>
      </c>
      <c r="E5553" s="15" t="s">
        <v>1557</v>
      </c>
      <c r="F5553" s="15" t="s">
        <v>1833</v>
      </c>
      <c r="G5553" s="7">
        <v>92.58</v>
      </c>
      <c r="H5553" s="15" t="s">
        <v>8929</v>
      </c>
      <c r="I5553" s="15" t="s">
        <v>1586</v>
      </c>
      <c r="J5553" s="15" t="s">
        <v>21479</v>
      </c>
      <c r="K5553" s="15">
        <v>170.0</v>
      </c>
      <c r="L5553" s="15">
        <v>168.0</v>
      </c>
      <c r="M5553" s="40">
        <v>42606.0</v>
      </c>
      <c r="N5553" s="40">
        <v>42636.0</v>
      </c>
      <c r="O5553" s="15" t="s">
        <v>1554</v>
      </c>
      <c r="Q5553" s="7"/>
    </row>
    <row r="5554">
      <c r="A5554" s="39" t="s">
        <v>21481</v>
      </c>
      <c r="B5554" s="15">
        <v>1883379.0</v>
      </c>
      <c r="C5554" s="15" t="s">
        <v>21482</v>
      </c>
      <c r="D5554" s="15">
        <v>344100.0</v>
      </c>
      <c r="E5554" s="15" t="s">
        <v>4407</v>
      </c>
      <c r="F5554" s="15" t="s">
        <v>1578</v>
      </c>
      <c r="G5554" s="7">
        <v>241.147</v>
      </c>
      <c r="H5554" s="15" t="s">
        <v>4215</v>
      </c>
      <c r="I5554" s="15" t="s">
        <v>1586</v>
      </c>
      <c r="J5554" s="15" t="s">
        <v>21483</v>
      </c>
      <c r="K5554" s="15">
        <v>278.0</v>
      </c>
      <c r="L5554" s="15">
        <v>271.0</v>
      </c>
      <c r="M5554" s="40">
        <v>42596.0</v>
      </c>
      <c r="N5554" s="40">
        <v>42636.0</v>
      </c>
      <c r="O5554" s="15" t="s">
        <v>1554</v>
      </c>
      <c r="Q5554" s="7"/>
    </row>
    <row r="5555">
      <c r="A5555" s="39" t="s">
        <v>21484</v>
      </c>
      <c r="B5555" s="15">
        <v>1883377.0</v>
      </c>
      <c r="C5555" s="15" t="s">
        <v>21485</v>
      </c>
      <c r="D5555" s="15">
        <v>344101.0</v>
      </c>
      <c r="E5555" s="15" t="s">
        <v>1557</v>
      </c>
      <c r="F5555" s="15" t="s">
        <v>1767</v>
      </c>
      <c r="G5555" s="7">
        <v>229.501</v>
      </c>
      <c r="H5555" s="15" t="s">
        <v>2000</v>
      </c>
      <c r="I5555" s="15" t="s">
        <v>1586</v>
      </c>
      <c r="J5555" s="15" t="s">
        <v>21486</v>
      </c>
      <c r="K5555" s="15">
        <v>247.0</v>
      </c>
      <c r="L5555" s="15">
        <v>247.0</v>
      </c>
      <c r="M5555" s="40">
        <v>42596.0</v>
      </c>
      <c r="N5555" s="40">
        <v>42636.0</v>
      </c>
      <c r="O5555" s="15" t="s">
        <v>1554</v>
      </c>
      <c r="Q5555" s="7"/>
    </row>
    <row r="5556">
      <c r="A5556" s="39" t="s">
        <v>21487</v>
      </c>
      <c r="B5556" s="15">
        <v>1883374.0</v>
      </c>
      <c r="C5556" s="15" t="s">
        <v>21488</v>
      </c>
      <c r="D5556" s="15">
        <v>344102.0</v>
      </c>
      <c r="E5556" s="15" t="s">
        <v>1557</v>
      </c>
      <c r="F5556" s="15" t="s">
        <v>1767</v>
      </c>
      <c r="G5556" s="7">
        <v>246.39</v>
      </c>
      <c r="H5556" s="15" t="s">
        <v>2417</v>
      </c>
      <c r="I5556" s="15" t="s">
        <v>1586</v>
      </c>
      <c r="J5556" s="15" t="s">
        <v>21489</v>
      </c>
      <c r="K5556" s="15">
        <v>293.0</v>
      </c>
      <c r="L5556" s="15">
        <v>285.0</v>
      </c>
      <c r="M5556" s="40">
        <v>42596.0</v>
      </c>
      <c r="N5556" s="40">
        <v>42636.0</v>
      </c>
      <c r="O5556" s="15" t="s">
        <v>1554</v>
      </c>
      <c r="Q5556" s="7"/>
    </row>
    <row r="5557">
      <c r="A5557" s="39" t="s">
        <v>21491</v>
      </c>
      <c r="B5557" s="15">
        <v>1883373.0</v>
      </c>
      <c r="C5557" s="15" t="s">
        <v>21492</v>
      </c>
      <c r="D5557" s="15">
        <v>344103.0</v>
      </c>
      <c r="E5557" s="15" t="s">
        <v>1557</v>
      </c>
      <c r="F5557" s="15" t="s">
        <v>1767</v>
      </c>
      <c r="G5557" s="7">
        <v>240.761</v>
      </c>
      <c r="H5557" s="15" t="s">
        <v>2324</v>
      </c>
      <c r="I5557" s="15" t="s">
        <v>1586</v>
      </c>
      <c r="J5557" s="15" t="s">
        <v>21493</v>
      </c>
      <c r="K5557" s="15">
        <v>280.0</v>
      </c>
      <c r="L5557" s="15">
        <v>271.0</v>
      </c>
      <c r="M5557" s="40">
        <v>42596.0</v>
      </c>
      <c r="N5557" s="40">
        <v>42636.0</v>
      </c>
      <c r="O5557" s="15" t="s">
        <v>1554</v>
      </c>
      <c r="Q5557" s="7"/>
    </row>
    <row r="5558">
      <c r="A5558" s="39" t="s">
        <v>21494</v>
      </c>
      <c r="B5558" s="15">
        <v>1883372.0</v>
      </c>
      <c r="C5558" s="15" t="s">
        <v>21495</v>
      </c>
      <c r="D5558" s="15">
        <v>344104.0</v>
      </c>
      <c r="E5558" s="15" t="s">
        <v>1557</v>
      </c>
      <c r="F5558" s="15" t="s">
        <v>1767</v>
      </c>
      <c r="G5558" s="7">
        <v>223.935</v>
      </c>
      <c r="H5558" s="15" t="s">
        <v>3973</v>
      </c>
      <c r="I5558" s="15" t="s">
        <v>1586</v>
      </c>
      <c r="J5558" s="15" t="s">
        <v>21496</v>
      </c>
      <c r="K5558" s="15">
        <v>241.0</v>
      </c>
      <c r="L5558" s="15">
        <v>241.0</v>
      </c>
      <c r="M5558" s="40">
        <v>42596.0</v>
      </c>
      <c r="N5558" s="40">
        <v>42636.0</v>
      </c>
      <c r="O5558" s="15" t="s">
        <v>1554</v>
      </c>
      <c r="Q5558" s="7"/>
    </row>
    <row r="5559">
      <c r="A5559" s="39" t="s">
        <v>21497</v>
      </c>
      <c r="B5559" s="15">
        <v>1883371.0</v>
      </c>
      <c r="C5559" s="15" t="s">
        <v>21498</v>
      </c>
      <c r="D5559" s="15">
        <v>344105.0</v>
      </c>
      <c r="E5559" s="15" t="s">
        <v>1557</v>
      </c>
      <c r="F5559" s="15" t="s">
        <v>1767</v>
      </c>
      <c r="G5559" s="7">
        <v>244.84</v>
      </c>
      <c r="H5559" s="15" t="s">
        <v>4821</v>
      </c>
      <c r="I5559" s="15" t="s">
        <v>1586</v>
      </c>
      <c r="J5559" s="15" t="s">
        <v>21499</v>
      </c>
      <c r="K5559" s="15">
        <v>288.0</v>
      </c>
      <c r="L5559" s="15">
        <v>277.0</v>
      </c>
      <c r="M5559" s="40">
        <v>42596.0</v>
      </c>
      <c r="N5559" s="40">
        <v>42636.0</v>
      </c>
      <c r="O5559" s="15" t="s">
        <v>1554</v>
      </c>
      <c r="Q5559" s="7"/>
    </row>
    <row r="5560">
      <c r="A5560" s="39" t="s">
        <v>21500</v>
      </c>
      <c r="B5560" s="15">
        <v>1883370.0</v>
      </c>
      <c r="C5560" s="15" t="s">
        <v>21501</v>
      </c>
      <c r="D5560" s="15">
        <v>344106.0</v>
      </c>
      <c r="E5560" s="15" t="s">
        <v>1557</v>
      </c>
      <c r="F5560" s="15" t="s">
        <v>1767</v>
      </c>
      <c r="G5560" s="7">
        <v>246.291</v>
      </c>
      <c r="H5560" s="15" t="s">
        <v>2263</v>
      </c>
      <c r="I5560" s="15" t="s">
        <v>1586</v>
      </c>
      <c r="J5560" s="15" t="s">
        <v>21502</v>
      </c>
      <c r="K5560" s="15">
        <v>289.0</v>
      </c>
      <c r="L5560" s="15">
        <v>277.0</v>
      </c>
      <c r="M5560" s="40">
        <v>42596.0</v>
      </c>
      <c r="N5560" s="40">
        <v>42636.0</v>
      </c>
      <c r="O5560" s="15" t="s">
        <v>1554</v>
      </c>
      <c r="Q5560" s="7"/>
    </row>
    <row r="5561">
      <c r="A5561" s="39" t="s">
        <v>21503</v>
      </c>
      <c r="B5561" s="15">
        <v>1874002.0</v>
      </c>
      <c r="C5561" s="15" t="s">
        <v>21504</v>
      </c>
      <c r="D5561" s="15">
        <v>344107.0</v>
      </c>
      <c r="E5561" s="15" t="s">
        <v>1557</v>
      </c>
      <c r="F5561" s="15" t="s">
        <v>1611</v>
      </c>
      <c r="G5561" s="7">
        <v>24.32</v>
      </c>
      <c r="H5561" s="42">
        <v>43220.0</v>
      </c>
      <c r="I5561" s="15" t="s">
        <v>1586</v>
      </c>
      <c r="J5561" s="15" t="s">
        <v>21506</v>
      </c>
      <c r="K5561" s="15">
        <v>36.0</v>
      </c>
      <c r="L5561" s="15">
        <v>36.0</v>
      </c>
      <c r="M5561" s="40">
        <v>42571.0</v>
      </c>
      <c r="N5561" s="40">
        <v>42636.0</v>
      </c>
      <c r="O5561" s="15" t="s">
        <v>1554</v>
      </c>
      <c r="Q5561" s="7"/>
    </row>
    <row r="5562">
      <c r="A5562" s="39" t="s">
        <v>21507</v>
      </c>
      <c r="B5562" s="15">
        <v>1874001.0</v>
      </c>
      <c r="C5562" s="15" t="s">
        <v>21508</v>
      </c>
      <c r="D5562" s="15">
        <v>344108.0</v>
      </c>
      <c r="E5562" s="15" t="s">
        <v>1557</v>
      </c>
      <c r="F5562" s="15" t="s">
        <v>1611</v>
      </c>
      <c r="G5562" s="7">
        <v>26.504</v>
      </c>
      <c r="H5562" s="42">
        <v>43189.0</v>
      </c>
      <c r="I5562" s="15" t="s">
        <v>1586</v>
      </c>
      <c r="J5562" s="15" t="s">
        <v>21509</v>
      </c>
      <c r="K5562" s="15">
        <v>46.0</v>
      </c>
      <c r="L5562" s="15">
        <v>46.0</v>
      </c>
      <c r="M5562" s="40">
        <v>42571.0</v>
      </c>
      <c r="N5562" s="40">
        <v>42636.0</v>
      </c>
      <c r="O5562" s="15" t="s">
        <v>1554</v>
      </c>
      <c r="Q5562" s="7"/>
    </row>
    <row r="5563">
      <c r="A5563" s="39" t="s">
        <v>21510</v>
      </c>
      <c r="B5563" s="15">
        <v>1874000.0</v>
      </c>
      <c r="C5563" s="15" t="s">
        <v>21511</v>
      </c>
      <c r="D5563" s="15">
        <v>344109.0</v>
      </c>
      <c r="E5563" s="15" t="s">
        <v>1557</v>
      </c>
      <c r="F5563" s="15" t="s">
        <v>1611</v>
      </c>
      <c r="G5563" s="7">
        <v>25.908</v>
      </c>
      <c r="H5563" s="42">
        <v>43311.0</v>
      </c>
      <c r="I5563" s="15" t="s">
        <v>1586</v>
      </c>
      <c r="J5563" s="15" t="s">
        <v>21512</v>
      </c>
      <c r="K5563" s="15">
        <v>40.0</v>
      </c>
      <c r="L5563" s="15">
        <v>40.0</v>
      </c>
      <c r="M5563" s="40">
        <v>42571.0</v>
      </c>
      <c r="N5563" s="40">
        <v>42636.0</v>
      </c>
      <c r="O5563" s="15" t="s">
        <v>1554</v>
      </c>
      <c r="Q5563" s="7"/>
    </row>
    <row r="5564">
      <c r="A5564" s="39" t="s">
        <v>21514</v>
      </c>
      <c r="B5564" s="15">
        <v>1873999.0</v>
      </c>
      <c r="C5564" s="15" t="s">
        <v>21515</v>
      </c>
      <c r="D5564" s="15">
        <v>344110.0</v>
      </c>
      <c r="E5564" s="15" t="s">
        <v>1557</v>
      </c>
      <c r="F5564" s="15" t="s">
        <v>1767</v>
      </c>
      <c r="G5564" s="7">
        <v>162.415</v>
      </c>
      <c r="H5564" s="15" t="s">
        <v>1607</v>
      </c>
      <c r="I5564" s="15" t="s">
        <v>1586</v>
      </c>
      <c r="J5564" s="15" t="s">
        <v>21516</v>
      </c>
      <c r="K5564" s="15">
        <v>302.0</v>
      </c>
      <c r="L5564" s="15">
        <v>302.0</v>
      </c>
      <c r="M5564" s="40">
        <v>42571.0</v>
      </c>
      <c r="N5564" s="40">
        <v>42636.0</v>
      </c>
      <c r="O5564" s="15" t="s">
        <v>1554</v>
      </c>
      <c r="Q5564" s="7"/>
    </row>
    <row r="5565">
      <c r="A5565" s="39" t="s">
        <v>21517</v>
      </c>
      <c r="B5565" s="15">
        <v>1873998.0</v>
      </c>
      <c r="C5565" s="15" t="s">
        <v>21518</v>
      </c>
      <c r="D5565" s="15">
        <v>344111.0</v>
      </c>
      <c r="E5565" s="15" t="s">
        <v>1557</v>
      </c>
      <c r="F5565" s="15" t="s">
        <v>1767</v>
      </c>
      <c r="G5565" s="7">
        <v>162.151</v>
      </c>
      <c r="H5565" s="15" t="s">
        <v>1607</v>
      </c>
      <c r="I5565" s="15" t="s">
        <v>1586</v>
      </c>
      <c r="J5565" s="15" t="s">
        <v>21519</v>
      </c>
      <c r="K5565" s="15">
        <v>304.0</v>
      </c>
      <c r="L5565" s="15">
        <v>304.0</v>
      </c>
      <c r="M5565" s="40">
        <v>42576.0</v>
      </c>
      <c r="N5565" s="40">
        <v>42636.0</v>
      </c>
      <c r="O5565" s="15" t="s">
        <v>1554</v>
      </c>
      <c r="Q5565" s="7"/>
    </row>
    <row r="5566">
      <c r="A5566" s="39" t="s">
        <v>21521</v>
      </c>
      <c r="B5566" s="15">
        <v>1873990.0</v>
      </c>
      <c r="C5566" s="15" t="s">
        <v>21522</v>
      </c>
      <c r="D5566" s="15">
        <v>344112.0</v>
      </c>
      <c r="E5566" s="15" t="s">
        <v>1557</v>
      </c>
      <c r="F5566" s="15" t="s">
        <v>1767</v>
      </c>
      <c r="G5566" s="7">
        <v>87.662</v>
      </c>
      <c r="H5566" s="15">
        <v>39.0</v>
      </c>
      <c r="I5566" s="15" t="s">
        <v>1586</v>
      </c>
      <c r="J5566" s="15" t="s">
        <v>21523</v>
      </c>
      <c r="K5566" s="15">
        <v>152.0</v>
      </c>
      <c r="L5566" s="15">
        <v>133.0</v>
      </c>
      <c r="M5566" s="40">
        <v>42571.0</v>
      </c>
      <c r="N5566" s="40">
        <v>42636.0</v>
      </c>
      <c r="O5566" s="15" t="s">
        <v>1554</v>
      </c>
      <c r="Q5566" s="7"/>
    </row>
    <row r="5567">
      <c r="A5567" s="39" t="s">
        <v>21524</v>
      </c>
      <c r="B5567" s="15">
        <v>1639815.0</v>
      </c>
      <c r="C5567" s="15" t="s">
        <v>21525</v>
      </c>
      <c r="D5567" s="15">
        <v>344113.0</v>
      </c>
      <c r="E5567" s="15" t="s">
        <v>4407</v>
      </c>
      <c r="F5567" s="15" t="s">
        <v>1578</v>
      </c>
      <c r="G5567" s="7">
        <v>94.555</v>
      </c>
      <c r="H5567" s="15" t="s">
        <v>3604</v>
      </c>
      <c r="I5567" s="15" t="s">
        <v>1586</v>
      </c>
      <c r="J5567" s="15" t="s">
        <v>21526</v>
      </c>
      <c r="K5567" s="15">
        <v>188.0</v>
      </c>
      <c r="L5567" s="15">
        <v>174.0</v>
      </c>
      <c r="M5567" s="40">
        <v>42510.0</v>
      </c>
      <c r="N5567" s="40">
        <v>42636.0</v>
      </c>
      <c r="O5567" s="15" t="s">
        <v>1554</v>
      </c>
      <c r="Q5567" s="7"/>
    </row>
    <row r="5568">
      <c r="A5568" s="39" t="s">
        <v>21528</v>
      </c>
      <c r="B5568" s="15">
        <v>1639814.0</v>
      </c>
      <c r="C5568" s="15" t="s">
        <v>21529</v>
      </c>
      <c r="D5568" s="15">
        <v>344114.0</v>
      </c>
      <c r="E5568" s="15" t="s">
        <v>1557</v>
      </c>
      <c r="F5568" s="15" t="s">
        <v>1611</v>
      </c>
      <c r="G5568" s="7">
        <v>72.979</v>
      </c>
      <c r="H5568" s="15" t="s">
        <v>3055</v>
      </c>
      <c r="I5568" s="15" t="s">
        <v>1586</v>
      </c>
      <c r="J5568" s="15" t="s">
        <v>21530</v>
      </c>
      <c r="K5568" s="15">
        <v>94.0</v>
      </c>
      <c r="L5568" s="15">
        <v>94.0</v>
      </c>
      <c r="M5568" s="40">
        <v>42510.0</v>
      </c>
      <c r="N5568" s="40">
        <v>42636.0</v>
      </c>
      <c r="O5568" s="15" t="s">
        <v>1554</v>
      </c>
      <c r="Q5568" s="7"/>
    </row>
    <row r="5569">
      <c r="A5569" s="39" t="s">
        <v>21531</v>
      </c>
      <c r="B5569" s="15">
        <v>160796.0</v>
      </c>
      <c r="C5569" s="15" t="s">
        <v>21532</v>
      </c>
      <c r="D5569" s="15">
        <v>344115.0</v>
      </c>
      <c r="E5569" s="15" t="s">
        <v>1557</v>
      </c>
      <c r="F5569" s="15" t="s">
        <v>2028</v>
      </c>
      <c r="G5569" s="7">
        <v>222.832</v>
      </c>
      <c r="H5569" s="42">
        <v>43251.0</v>
      </c>
      <c r="I5569" s="15" t="s">
        <v>1686</v>
      </c>
      <c r="J5569" s="15" t="s">
        <v>21533</v>
      </c>
      <c r="K5569" s="15">
        <v>211.0</v>
      </c>
      <c r="L5569" s="15">
        <v>211.0</v>
      </c>
      <c r="M5569" s="40">
        <v>42634.0</v>
      </c>
      <c r="N5569" s="40">
        <v>42636.0</v>
      </c>
      <c r="O5569" s="15" t="s">
        <v>1554</v>
      </c>
      <c r="Q5569" s="7"/>
    </row>
    <row r="5570">
      <c r="A5570" s="39" t="s">
        <v>21535</v>
      </c>
      <c r="B5570" s="15">
        <v>1543206.0</v>
      </c>
      <c r="C5570" s="15" t="s">
        <v>21536</v>
      </c>
      <c r="D5570" s="15">
        <v>344116.0</v>
      </c>
      <c r="E5570" s="15" t="s">
        <v>1557</v>
      </c>
      <c r="F5570" s="15" t="s">
        <v>1611</v>
      </c>
      <c r="G5570" s="7">
        <v>17.641</v>
      </c>
      <c r="H5570" s="15">
        <v>29.0</v>
      </c>
      <c r="I5570" s="15" t="s">
        <v>1586</v>
      </c>
      <c r="J5570" s="15" t="s">
        <v>21537</v>
      </c>
      <c r="K5570" s="15">
        <v>20.0</v>
      </c>
      <c r="L5570" s="15">
        <v>20.0</v>
      </c>
      <c r="M5570" s="40">
        <v>42554.0</v>
      </c>
      <c r="N5570" s="40">
        <v>42636.0</v>
      </c>
      <c r="O5570" s="15" t="s">
        <v>1554</v>
      </c>
      <c r="Q5570" s="7"/>
    </row>
    <row r="5571">
      <c r="A5571" s="39" t="s">
        <v>21538</v>
      </c>
      <c r="B5571" s="15">
        <v>1814960.0</v>
      </c>
      <c r="C5571" s="15" t="s">
        <v>21539</v>
      </c>
      <c r="D5571" s="15">
        <v>344117.0</v>
      </c>
      <c r="E5571" s="15" t="s">
        <v>1557</v>
      </c>
      <c r="F5571" s="15" t="s">
        <v>1833</v>
      </c>
      <c r="G5571" s="7">
        <v>32.649</v>
      </c>
      <c r="H5571" s="15" t="s">
        <v>2752</v>
      </c>
      <c r="I5571" s="15" t="s">
        <v>1586</v>
      </c>
      <c r="J5571" s="15" t="s">
        <v>21540</v>
      </c>
      <c r="K5571" s="15">
        <v>48.0</v>
      </c>
      <c r="L5571" s="15">
        <v>48.0</v>
      </c>
      <c r="M5571" s="40">
        <v>42543.0</v>
      </c>
      <c r="N5571" s="40">
        <v>42636.0</v>
      </c>
      <c r="O5571" s="15" t="s">
        <v>1554</v>
      </c>
      <c r="Q5571" s="7"/>
    </row>
    <row r="5572">
      <c r="A5572" s="39" t="s">
        <v>21542</v>
      </c>
      <c r="B5572" s="15">
        <v>1814958.0</v>
      </c>
      <c r="C5572" s="15" t="s">
        <v>21543</v>
      </c>
      <c r="D5572" s="15">
        <v>344118.0</v>
      </c>
      <c r="E5572" s="15" t="s">
        <v>1557</v>
      </c>
      <c r="F5572" s="15" t="s">
        <v>1833</v>
      </c>
      <c r="G5572" s="7">
        <v>33.105</v>
      </c>
      <c r="H5572" s="15" t="s">
        <v>3309</v>
      </c>
      <c r="I5572" s="15" t="s">
        <v>1586</v>
      </c>
      <c r="J5572" s="15" t="s">
        <v>21544</v>
      </c>
      <c r="K5572" s="15">
        <v>50.0</v>
      </c>
      <c r="L5572" s="15">
        <v>49.0</v>
      </c>
      <c r="M5572" s="40">
        <v>42543.0</v>
      </c>
      <c r="N5572" s="40">
        <v>42636.0</v>
      </c>
      <c r="O5572" s="15" t="s">
        <v>1554</v>
      </c>
      <c r="Q5572" s="7"/>
    </row>
    <row r="5573">
      <c r="A5573" s="39" t="s">
        <v>21545</v>
      </c>
      <c r="B5573" s="15">
        <v>1805466.0</v>
      </c>
      <c r="C5573" s="15" t="s">
        <v>21546</v>
      </c>
      <c r="D5573" s="15">
        <v>344128.0</v>
      </c>
      <c r="E5573" s="15" t="s">
        <v>1557</v>
      </c>
      <c r="F5573" s="15" t="s">
        <v>1611</v>
      </c>
      <c r="G5573" s="7">
        <v>39.444</v>
      </c>
      <c r="H5573" s="15" t="s">
        <v>3973</v>
      </c>
      <c r="I5573" s="15" t="s">
        <v>1586</v>
      </c>
      <c r="J5573" s="15" t="s">
        <v>21547</v>
      </c>
      <c r="K5573" s="15">
        <v>49.0</v>
      </c>
      <c r="L5573" s="15">
        <v>49.0</v>
      </c>
      <c r="M5573" s="40">
        <v>42522.0</v>
      </c>
      <c r="N5573" s="40">
        <v>42636.0</v>
      </c>
      <c r="O5573" s="15" t="s">
        <v>1554</v>
      </c>
      <c r="Q5573" s="7"/>
    </row>
    <row r="5574">
      <c r="A5574" s="39" t="s">
        <v>21549</v>
      </c>
      <c r="B5574" s="15">
        <v>1805465.0</v>
      </c>
      <c r="C5574" s="15" t="s">
        <v>21550</v>
      </c>
      <c r="D5574" s="15">
        <v>344129.0</v>
      </c>
      <c r="E5574" s="15" t="s">
        <v>1557</v>
      </c>
      <c r="F5574" s="15" t="s">
        <v>1611</v>
      </c>
      <c r="G5574" s="7">
        <v>39.158</v>
      </c>
      <c r="H5574" s="15" t="s">
        <v>2540</v>
      </c>
      <c r="I5574" s="15" t="s">
        <v>1586</v>
      </c>
      <c r="J5574" s="15" t="s">
        <v>21551</v>
      </c>
      <c r="K5574" s="15">
        <v>53.0</v>
      </c>
      <c r="L5574" s="15">
        <v>53.0</v>
      </c>
      <c r="M5574" s="40">
        <v>42522.0</v>
      </c>
      <c r="N5574" s="40">
        <v>42636.0</v>
      </c>
      <c r="O5574" s="15" t="s">
        <v>1554</v>
      </c>
      <c r="Q5574" s="7"/>
    </row>
    <row r="5575">
      <c r="A5575" s="39" t="s">
        <v>21552</v>
      </c>
      <c r="B5575" s="15">
        <v>1805464.0</v>
      </c>
      <c r="C5575" s="15" t="s">
        <v>21553</v>
      </c>
      <c r="D5575" s="15">
        <v>344130.0</v>
      </c>
      <c r="E5575" s="15" t="s">
        <v>1557</v>
      </c>
      <c r="F5575" s="15" t="s">
        <v>1611</v>
      </c>
      <c r="G5575" s="7">
        <v>39.434</v>
      </c>
      <c r="H5575" s="15">
        <v>51.0</v>
      </c>
      <c r="I5575" s="15" t="s">
        <v>1586</v>
      </c>
      <c r="J5575" s="15" t="s">
        <v>21554</v>
      </c>
      <c r="K5575" s="15">
        <v>53.0</v>
      </c>
      <c r="L5575" s="15">
        <v>53.0</v>
      </c>
      <c r="M5575" s="40">
        <v>42522.0</v>
      </c>
      <c r="N5575" s="40">
        <v>42636.0</v>
      </c>
      <c r="O5575" s="15" t="s">
        <v>1554</v>
      </c>
      <c r="Q5575" s="7"/>
    </row>
    <row r="5576">
      <c r="A5576" s="39" t="s">
        <v>21555</v>
      </c>
      <c r="B5576" s="15">
        <v>1792222.0</v>
      </c>
      <c r="C5576" s="15" t="s">
        <v>21556</v>
      </c>
      <c r="D5576" s="15">
        <v>344131.0</v>
      </c>
      <c r="E5576" s="15" t="s">
        <v>1557</v>
      </c>
      <c r="F5576" s="15" t="s">
        <v>1767</v>
      </c>
      <c r="G5576" s="7">
        <v>44.885</v>
      </c>
      <c r="H5576" s="15" t="s">
        <v>2193</v>
      </c>
      <c r="I5576" s="15" t="s">
        <v>1586</v>
      </c>
      <c r="J5576" s="15" t="s">
        <v>21558</v>
      </c>
      <c r="K5576" s="15">
        <v>83.0</v>
      </c>
      <c r="L5576" s="15">
        <v>83.0</v>
      </c>
      <c r="M5576" s="40">
        <v>42535.0</v>
      </c>
      <c r="N5576" s="40">
        <v>42741.0</v>
      </c>
      <c r="O5576" s="15" t="s">
        <v>1554</v>
      </c>
      <c r="Q5576" s="7"/>
    </row>
    <row r="5577">
      <c r="A5577" s="39" t="s">
        <v>21559</v>
      </c>
      <c r="B5577" s="15">
        <v>1698439.0</v>
      </c>
      <c r="C5577" s="15" t="s">
        <v>21560</v>
      </c>
      <c r="D5577" s="15">
        <v>344132.0</v>
      </c>
      <c r="E5577" s="15" t="s">
        <v>1557</v>
      </c>
      <c r="F5577" s="15" t="s">
        <v>1611</v>
      </c>
      <c r="G5577" s="7">
        <v>40.57</v>
      </c>
      <c r="H5577" s="15" t="s">
        <v>6418</v>
      </c>
      <c r="I5577" s="15" t="s">
        <v>1586</v>
      </c>
      <c r="J5577" s="15" t="s">
        <v>21561</v>
      </c>
      <c r="K5577" s="15">
        <v>45.0</v>
      </c>
      <c r="L5577" s="15">
        <v>45.0</v>
      </c>
      <c r="M5577" s="40">
        <v>42494.0</v>
      </c>
      <c r="N5577" s="40">
        <v>42636.0</v>
      </c>
      <c r="O5577" s="15" t="s">
        <v>1554</v>
      </c>
      <c r="Q5577" s="7"/>
    </row>
    <row r="5578">
      <c r="A5578" s="39" t="s">
        <v>21562</v>
      </c>
      <c r="B5578" s="15">
        <v>1654928.0</v>
      </c>
      <c r="C5578" s="15" t="s">
        <v>21563</v>
      </c>
      <c r="D5578" s="15">
        <v>344134.0</v>
      </c>
      <c r="E5578" s="15" t="s">
        <v>1557</v>
      </c>
      <c r="F5578" s="15" t="s">
        <v>1767</v>
      </c>
      <c r="G5578" s="7">
        <v>168.758</v>
      </c>
      <c r="H5578" s="15" t="s">
        <v>2304</v>
      </c>
      <c r="I5578" s="15" t="s">
        <v>1586</v>
      </c>
      <c r="J5578" s="15" t="s">
        <v>21564</v>
      </c>
      <c r="K5578" s="15">
        <v>203.0</v>
      </c>
      <c r="L5578" s="15">
        <v>203.0</v>
      </c>
      <c r="M5578" s="40">
        <v>42490.0</v>
      </c>
      <c r="N5578" s="40">
        <v>42636.0</v>
      </c>
      <c r="O5578" s="15" t="s">
        <v>1554</v>
      </c>
      <c r="Q5578" s="7"/>
    </row>
    <row r="5579">
      <c r="A5579" s="39" t="s">
        <v>21565</v>
      </c>
      <c r="B5579" s="15">
        <v>1654927.0</v>
      </c>
      <c r="C5579" s="15" t="s">
        <v>21566</v>
      </c>
      <c r="D5579" s="15">
        <v>344136.0</v>
      </c>
      <c r="E5579" s="15" t="s">
        <v>1557</v>
      </c>
      <c r="F5579" s="15" t="s">
        <v>1833</v>
      </c>
      <c r="G5579" s="7">
        <v>50.934</v>
      </c>
      <c r="H5579" s="15" t="s">
        <v>2540</v>
      </c>
      <c r="I5579" s="15" t="s">
        <v>1586</v>
      </c>
      <c r="J5579" s="15" t="s">
        <v>21567</v>
      </c>
      <c r="K5579" s="15">
        <v>78.0</v>
      </c>
      <c r="L5579" s="15">
        <v>78.0</v>
      </c>
      <c r="M5579" s="40">
        <v>42490.0</v>
      </c>
      <c r="N5579" s="40">
        <v>42636.0</v>
      </c>
      <c r="O5579" s="15" t="s">
        <v>1554</v>
      </c>
      <c r="Q5579" s="7"/>
    </row>
    <row r="5580">
      <c r="A5580" s="39" t="s">
        <v>21569</v>
      </c>
      <c r="B5580" s="15">
        <v>1654926.0</v>
      </c>
      <c r="C5580" s="15" t="s">
        <v>21570</v>
      </c>
      <c r="D5580" s="15">
        <v>344138.0</v>
      </c>
      <c r="E5580" s="15" t="s">
        <v>1557</v>
      </c>
      <c r="F5580" s="15" t="s">
        <v>1767</v>
      </c>
      <c r="G5580" s="7">
        <v>170.77</v>
      </c>
      <c r="H5580" s="15" t="s">
        <v>3361</v>
      </c>
      <c r="I5580" s="15" t="s">
        <v>1586</v>
      </c>
      <c r="J5580" s="15" t="s">
        <v>21571</v>
      </c>
      <c r="K5580" s="15">
        <v>269.0</v>
      </c>
      <c r="L5580" s="15">
        <v>269.0</v>
      </c>
      <c r="M5580" s="40">
        <v>42490.0</v>
      </c>
      <c r="N5580" s="40">
        <v>42636.0</v>
      </c>
      <c r="O5580" s="15" t="s">
        <v>1554</v>
      </c>
      <c r="Q5580" s="7"/>
    </row>
    <row r="5581">
      <c r="A5581" s="39" t="s">
        <v>21572</v>
      </c>
      <c r="B5581" s="15">
        <v>1654782.0</v>
      </c>
      <c r="C5581" s="15" t="s">
        <v>21573</v>
      </c>
      <c r="D5581" s="15">
        <v>344140.0</v>
      </c>
      <c r="E5581" s="15" t="s">
        <v>1557</v>
      </c>
      <c r="F5581" s="15" t="s">
        <v>1833</v>
      </c>
      <c r="G5581" s="7">
        <v>29.338</v>
      </c>
      <c r="H5581" s="15" t="s">
        <v>3246</v>
      </c>
      <c r="I5581" s="15" t="s">
        <v>1586</v>
      </c>
      <c r="J5581" s="15" t="s">
        <v>21574</v>
      </c>
      <c r="K5581" s="15">
        <v>43.0</v>
      </c>
      <c r="L5581" s="15">
        <v>43.0</v>
      </c>
      <c r="M5581" s="40">
        <v>42491.0</v>
      </c>
      <c r="N5581" s="40">
        <v>42971.0</v>
      </c>
      <c r="O5581" s="15" t="s">
        <v>1554</v>
      </c>
      <c r="Q5581" s="7"/>
    </row>
    <row r="5582">
      <c r="A5582" s="39" t="s">
        <v>21575</v>
      </c>
      <c r="B5582" s="15">
        <v>1654781.0</v>
      </c>
      <c r="C5582" s="15" t="s">
        <v>21576</v>
      </c>
      <c r="D5582" s="15">
        <v>344142.0</v>
      </c>
      <c r="E5582" s="15" t="s">
        <v>1557</v>
      </c>
      <c r="F5582" s="15" t="s">
        <v>1833</v>
      </c>
      <c r="G5582" s="7">
        <v>29.254</v>
      </c>
      <c r="H5582" s="15" t="s">
        <v>1634</v>
      </c>
      <c r="I5582" s="15" t="s">
        <v>1586</v>
      </c>
      <c r="J5582" s="15" t="s">
        <v>21578</v>
      </c>
      <c r="K5582" s="15">
        <v>44.0</v>
      </c>
      <c r="L5582" s="15">
        <v>44.0</v>
      </c>
      <c r="M5582" s="40">
        <v>42491.0</v>
      </c>
      <c r="N5582" s="40">
        <v>42971.0</v>
      </c>
      <c r="O5582" s="15" t="s">
        <v>1554</v>
      </c>
      <c r="Q5582" s="7"/>
    </row>
    <row r="5583">
      <c r="A5583" s="39" t="s">
        <v>21579</v>
      </c>
      <c r="B5583" s="15">
        <v>1654780.0</v>
      </c>
      <c r="C5583" s="15" t="s">
        <v>21580</v>
      </c>
      <c r="D5583" s="15">
        <v>344143.0</v>
      </c>
      <c r="E5583" s="15" t="s">
        <v>1557</v>
      </c>
      <c r="F5583" s="15" t="s">
        <v>1833</v>
      </c>
      <c r="G5583" s="7">
        <v>29.347</v>
      </c>
      <c r="H5583" s="15" t="s">
        <v>1634</v>
      </c>
      <c r="I5583" s="15" t="s">
        <v>1586</v>
      </c>
      <c r="J5583" s="15" t="s">
        <v>21581</v>
      </c>
      <c r="K5583" s="15">
        <v>45.0</v>
      </c>
      <c r="L5583" s="15">
        <v>45.0</v>
      </c>
      <c r="M5583" s="40">
        <v>42491.0</v>
      </c>
      <c r="N5583" s="40">
        <v>42971.0</v>
      </c>
      <c r="O5583" s="15" t="s">
        <v>1554</v>
      </c>
      <c r="Q5583" s="7"/>
    </row>
    <row r="5584">
      <c r="A5584" s="39" t="s">
        <v>21582</v>
      </c>
      <c r="B5584" s="15">
        <v>1654740.0</v>
      </c>
      <c r="C5584" s="15" t="s">
        <v>21583</v>
      </c>
      <c r="D5584" s="15">
        <v>344144.0</v>
      </c>
      <c r="E5584" s="15" t="s">
        <v>1557</v>
      </c>
      <c r="F5584" s="15" t="s">
        <v>1833</v>
      </c>
      <c r="G5584" s="7">
        <v>29.249</v>
      </c>
      <c r="H5584" s="15">
        <v>54.0</v>
      </c>
      <c r="I5584" s="15" t="s">
        <v>1586</v>
      </c>
      <c r="J5584" s="15" t="s">
        <v>21584</v>
      </c>
      <c r="K5584" s="15">
        <v>44.0</v>
      </c>
      <c r="L5584" s="15">
        <v>44.0</v>
      </c>
      <c r="M5584" s="40">
        <v>42491.0</v>
      </c>
      <c r="N5584" s="40">
        <v>42971.0</v>
      </c>
      <c r="O5584" s="15" t="s">
        <v>1554</v>
      </c>
      <c r="Q5584" s="7"/>
    </row>
    <row r="5585">
      <c r="A5585" s="39" t="s">
        <v>21586</v>
      </c>
      <c r="B5585" s="15">
        <v>1647411.0</v>
      </c>
      <c r="C5585" s="15" t="s">
        <v>21587</v>
      </c>
      <c r="D5585" s="15">
        <v>344145.0</v>
      </c>
      <c r="E5585" s="15" t="s">
        <v>1557</v>
      </c>
      <c r="F5585" s="15" t="s">
        <v>1767</v>
      </c>
      <c r="G5585" s="7">
        <v>111.325</v>
      </c>
      <c r="H5585" s="15" t="s">
        <v>6565</v>
      </c>
      <c r="I5585" s="15" t="s">
        <v>1586</v>
      </c>
      <c r="J5585" s="15" t="s">
        <v>21588</v>
      </c>
      <c r="K5585" s="15">
        <v>148.0</v>
      </c>
      <c r="L5585" s="15">
        <v>148.0</v>
      </c>
      <c r="M5585" s="40">
        <v>42490.0</v>
      </c>
      <c r="N5585" s="40">
        <v>42636.0</v>
      </c>
      <c r="O5585" s="15" t="s">
        <v>1554</v>
      </c>
      <c r="Q5585" s="7"/>
    </row>
    <row r="5586">
      <c r="A5586" s="39" t="s">
        <v>21589</v>
      </c>
      <c r="B5586" s="15">
        <v>1815509.0</v>
      </c>
      <c r="C5586" s="15" t="s">
        <v>21590</v>
      </c>
      <c r="D5586" s="15">
        <v>344146.0</v>
      </c>
      <c r="E5586" s="15" t="s">
        <v>1557</v>
      </c>
      <c r="F5586" s="15" t="s">
        <v>1767</v>
      </c>
      <c r="G5586" s="7">
        <v>251.042</v>
      </c>
      <c r="H5586" s="42">
        <v>43339.0</v>
      </c>
      <c r="I5586" s="15" t="s">
        <v>1586</v>
      </c>
      <c r="J5586" s="15" t="s">
        <v>21591</v>
      </c>
      <c r="K5586" s="15">
        <v>291.0</v>
      </c>
      <c r="L5586" s="15">
        <v>291.0</v>
      </c>
      <c r="M5586" s="40">
        <v>42522.0</v>
      </c>
      <c r="N5586" s="40">
        <v>42636.0</v>
      </c>
      <c r="O5586" s="15" t="s">
        <v>1554</v>
      </c>
      <c r="Q5586" s="7"/>
    </row>
    <row r="5587">
      <c r="A5587" s="39" t="s">
        <v>21592</v>
      </c>
      <c r="B5587" s="15">
        <v>1873887.0</v>
      </c>
      <c r="C5587" s="15" t="s">
        <v>21593</v>
      </c>
      <c r="D5587" s="15">
        <v>344147.0</v>
      </c>
      <c r="E5587" s="15" t="s">
        <v>1557</v>
      </c>
      <c r="F5587" s="15" t="s">
        <v>1833</v>
      </c>
      <c r="G5587" s="7">
        <v>42.429</v>
      </c>
      <c r="H5587" s="15" t="s">
        <v>4308</v>
      </c>
      <c r="I5587" s="15" t="s">
        <v>1586</v>
      </c>
      <c r="J5587" s="15" t="s">
        <v>21594</v>
      </c>
      <c r="K5587" s="15">
        <v>64.0</v>
      </c>
      <c r="L5587" s="15">
        <v>64.0</v>
      </c>
      <c r="M5587" s="40">
        <v>42576.0</v>
      </c>
      <c r="N5587" s="40">
        <v>42636.0</v>
      </c>
      <c r="O5587" s="15" t="s">
        <v>1554</v>
      </c>
      <c r="Q5587" s="7"/>
    </row>
    <row r="5588">
      <c r="A5588" s="39" t="s">
        <v>21595</v>
      </c>
      <c r="B5588" s="15">
        <v>1873777.0</v>
      </c>
      <c r="C5588" s="15" t="s">
        <v>21596</v>
      </c>
      <c r="D5588" s="15">
        <v>344148.0</v>
      </c>
      <c r="E5588" s="15" t="s">
        <v>1557</v>
      </c>
      <c r="F5588" s="15" t="s">
        <v>1833</v>
      </c>
      <c r="G5588" s="7">
        <v>50.082</v>
      </c>
      <c r="H5588" s="15" t="s">
        <v>13375</v>
      </c>
      <c r="I5588" s="15" t="s">
        <v>1586</v>
      </c>
      <c r="J5588" s="15" t="s">
        <v>21597</v>
      </c>
      <c r="K5588" s="15">
        <v>75.0</v>
      </c>
      <c r="L5588" s="15">
        <v>75.0</v>
      </c>
      <c r="M5588" s="40">
        <v>42571.0</v>
      </c>
      <c r="N5588" s="40">
        <v>42636.0</v>
      </c>
      <c r="O5588" s="15" t="s">
        <v>1554</v>
      </c>
      <c r="Q5588" s="7"/>
    </row>
    <row r="5589">
      <c r="A5589" s="39" t="s">
        <v>21598</v>
      </c>
      <c r="B5589" s="15">
        <v>1873696.0</v>
      </c>
      <c r="C5589" s="15" t="s">
        <v>21599</v>
      </c>
      <c r="D5589" s="15">
        <v>344149.0</v>
      </c>
      <c r="E5589" s="15" t="s">
        <v>1557</v>
      </c>
      <c r="F5589" s="15" t="s">
        <v>1833</v>
      </c>
      <c r="G5589" s="7">
        <v>76.012</v>
      </c>
      <c r="H5589" s="15" t="s">
        <v>3227</v>
      </c>
      <c r="I5589" s="15" t="s">
        <v>1586</v>
      </c>
      <c r="J5589" s="15" t="s">
        <v>21601</v>
      </c>
      <c r="K5589" s="15">
        <v>140.0</v>
      </c>
      <c r="L5589" s="15">
        <v>126.0</v>
      </c>
      <c r="M5589" s="40">
        <v>42576.0</v>
      </c>
      <c r="N5589" s="40">
        <v>42636.0</v>
      </c>
      <c r="O5589" s="15" t="s">
        <v>1554</v>
      </c>
      <c r="Q5589" s="7"/>
    </row>
    <row r="5590">
      <c r="A5590" s="39" t="s">
        <v>21602</v>
      </c>
      <c r="B5590" s="15">
        <v>1873452.0</v>
      </c>
      <c r="C5590" s="15" t="s">
        <v>21603</v>
      </c>
      <c r="D5590" s="15">
        <v>344151.0</v>
      </c>
      <c r="E5590" s="15" t="s">
        <v>1557</v>
      </c>
      <c r="F5590" s="15" t="s">
        <v>1833</v>
      </c>
      <c r="G5590" s="7">
        <v>38.773</v>
      </c>
      <c r="H5590" s="15" t="s">
        <v>9965</v>
      </c>
      <c r="I5590" s="15" t="s">
        <v>1586</v>
      </c>
      <c r="J5590" s="15" t="s">
        <v>21604</v>
      </c>
      <c r="K5590" s="15">
        <v>59.0</v>
      </c>
      <c r="L5590" s="15">
        <v>59.0</v>
      </c>
      <c r="M5590" s="40">
        <v>42569.0</v>
      </c>
      <c r="N5590" s="40">
        <v>42636.0</v>
      </c>
      <c r="O5590" s="15" t="s">
        <v>1554</v>
      </c>
      <c r="Q5590" s="7"/>
    </row>
    <row r="5591">
      <c r="A5591" s="39" t="s">
        <v>21605</v>
      </c>
      <c r="B5591" s="15">
        <v>1871690.0</v>
      </c>
      <c r="C5591" s="15" t="s">
        <v>21606</v>
      </c>
      <c r="D5591" s="15">
        <v>344152.0</v>
      </c>
      <c r="E5591" s="15" t="s">
        <v>1557</v>
      </c>
      <c r="F5591" s="15" t="s">
        <v>1833</v>
      </c>
      <c r="G5591" s="7">
        <v>36.202</v>
      </c>
      <c r="H5591" s="15">
        <v>36.0</v>
      </c>
      <c r="I5591" s="15" t="s">
        <v>1586</v>
      </c>
      <c r="J5591" s="15" t="s">
        <v>21608</v>
      </c>
      <c r="K5591" s="15">
        <v>52.0</v>
      </c>
      <c r="L5591" s="15">
        <v>52.0</v>
      </c>
      <c r="M5591" s="40">
        <v>42567.0</v>
      </c>
      <c r="N5591" s="40">
        <v>42636.0</v>
      </c>
      <c r="O5591" s="15" t="s">
        <v>1554</v>
      </c>
      <c r="Q5591" s="7"/>
    </row>
    <row r="5592">
      <c r="A5592" s="39" t="s">
        <v>21609</v>
      </c>
      <c r="B5592" s="15">
        <v>1814957.0</v>
      </c>
      <c r="C5592" s="15" t="s">
        <v>21610</v>
      </c>
      <c r="D5592" s="15">
        <v>344119.0</v>
      </c>
      <c r="E5592" s="15" t="s">
        <v>1557</v>
      </c>
      <c r="F5592" s="15" t="s">
        <v>1833</v>
      </c>
      <c r="G5592" s="7">
        <v>32.729</v>
      </c>
      <c r="H5592" s="15" t="s">
        <v>2316</v>
      </c>
      <c r="I5592" s="15" t="s">
        <v>1586</v>
      </c>
      <c r="J5592" s="15" t="s">
        <v>21611</v>
      </c>
      <c r="K5592" s="15">
        <v>50.0</v>
      </c>
      <c r="L5592" s="15">
        <v>49.0</v>
      </c>
      <c r="M5592" s="40">
        <v>42543.0</v>
      </c>
      <c r="N5592" s="40">
        <v>42636.0</v>
      </c>
      <c r="O5592" s="15" t="s">
        <v>1554</v>
      </c>
      <c r="Q5592" s="7"/>
    </row>
    <row r="5593">
      <c r="A5593" s="39" t="s">
        <v>21612</v>
      </c>
      <c r="B5593" s="15">
        <v>1805956.0</v>
      </c>
      <c r="C5593" s="15" t="s">
        <v>21613</v>
      </c>
      <c r="D5593" s="15">
        <v>344120.0</v>
      </c>
      <c r="E5593" s="15" t="s">
        <v>1557</v>
      </c>
      <c r="F5593" s="15" t="s">
        <v>1767</v>
      </c>
      <c r="G5593" s="7">
        <v>163.345</v>
      </c>
      <c r="H5593" s="15" t="s">
        <v>2857</v>
      </c>
      <c r="I5593" s="15" t="s">
        <v>1586</v>
      </c>
      <c r="J5593" s="15" t="s">
        <v>21614</v>
      </c>
      <c r="K5593" s="15">
        <v>297.0</v>
      </c>
      <c r="L5593" s="15">
        <v>294.0</v>
      </c>
      <c r="M5593" s="40">
        <v>42471.0</v>
      </c>
      <c r="N5593" s="40">
        <v>42636.0</v>
      </c>
      <c r="O5593" s="15" t="s">
        <v>1554</v>
      </c>
      <c r="Q5593" s="7"/>
    </row>
    <row r="5594">
      <c r="A5594" s="39" t="s">
        <v>21616</v>
      </c>
      <c r="B5594" s="15">
        <v>1805954.0</v>
      </c>
      <c r="C5594" s="15" t="s">
        <v>21617</v>
      </c>
      <c r="D5594" s="15">
        <v>344121.0</v>
      </c>
      <c r="E5594" s="15" t="s">
        <v>1557</v>
      </c>
      <c r="F5594" s="15" t="s">
        <v>1767</v>
      </c>
      <c r="G5594" s="7">
        <v>162.359</v>
      </c>
      <c r="H5594" s="15" t="s">
        <v>1607</v>
      </c>
      <c r="I5594" s="15" t="s">
        <v>1586</v>
      </c>
      <c r="J5594" s="15" t="s">
        <v>21618</v>
      </c>
      <c r="K5594" s="15">
        <v>300.0</v>
      </c>
      <c r="L5594" s="15">
        <v>300.0</v>
      </c>
      <c r="M5594" s="40">
        <v>42471.0</v>
      </c>
      <c r="N5594" s="40">
        <v>42636.0</v>
      </c>
      <c r="O5594" s="15" t="s">
        <v>1554</v>
      </c>
      <c r="Q5594" s="7"/>
    </row>
    <row r="5595">
      <c r="A5595" s="39" t="s">
        <v>21620</v>
      </c>
      <c r="B5595" s="15">
        <v>1805953.0</v>
      </c>
      <c r="C5595" s="15" t="s">
        <v>21621</v>
      </c>
      <c r="D5595" s="15">
        <v>344122.0</v>
      </c>
      <c r="E5595" s="15" t="s">
        <v>1557</v>
      </c>
      <c r="F5595" s="15" t="s">
        <v>1767</v>
      </c>
      <c r="G5595" s="7">
        <v>164.443</v>
      </c>
      <c r="H5595" s="15" t="s">
        <v>2233</v>
      </c>
      <c r="I5595" s="15" t="s">
        <v>1586</v>
      </c>
      <c r="J5595" s="15" t="s">
        <v>21622</v>
      </c>
      <c r="K5595" s="15">
        <v>288.0</v>
      </c>
      <c r="L5595" s="15">
        <v>288.0</v>
      </c>
      <c r="M5595" s="40">
        <v>42471.0</v>
      </c>
      <c r="N5595" s="40">
        <v>42636.0</v>
      </c>
      <c r="O5595" s="15" t="s">
        <v>1554</v>
      </c>
      <c r="Q5595" s="7"/>
    </row>
    <row r="5596">
      <c r="A5596" s="39" t="s">
        <v>21623</v>
      </c>
      <c r="B5596" s="15">
        <v>1805952.0</v>
      </c>
      <c r="C5596" s="15" t="s">
        <v>21624</v>
      </c>
      <c r="D5596" s="15">
        <v>344123.0</v>
      </c>
      <c r="E5596" s="15" t="s">
        <v>1557</v>
      </c>
      <c r="F5596" s="15" t="s">
        <v>1767</v>
      </c>
      <c r="G5596" s="7">
        <v>161.929</v>
      </c>
      <c r="H5596" s="15" t="s">
        <v>1607</v>
      </c>
      <c r="I5596" s="15" t="s">
        <v>1586</v>
      </c>
      <c r="J5596" s="15" t="s">
        <v>21625</v>
      </c>
      <c r="K5596" s="15">
        <v>296.0</v>
      </c>
      <c r="L5596" s="15">
        <v>296.0</v>
      </c>
      <c r="M5596" s="40">
        <v>42471.0</v>
      </c>
      <c r="N5596" s="40">
        <v>42636.0</v>
      </c>
      <c r="O5596" s="15" t="s">
        <v>1554</v>
      </c>
      <c r="Q5596" s="7"/>
    </row>
    <row r="5597">
      <c r="A5597" s="39" t="s">
        <v>21627</v>
      </c>
      <c r="B5597" s="15">
        <v>1805951.0</v>
      </c>
      <c r="C5597" s="15" t="s">
        <v>21628</v>
      </c>
      <c r="D5597" s="15">
        <v>344124.0</v>
      </c>
      <c r="E5597" s="15" t="s">
        <v>1557</v>
      </c>
      <c r="F5597" s="15" t="s">
        <v>1767</v>
      </c>
      <c r="G5597" s="7">
        <v>163.041</v>
      </c>
      <c r="H5597" s="15" t="s">
        <v>1607</v>
      </c>
      <c r="I5597" s="15" t="s">
        <v>1586</v>
      </c>
      <c r="J5597" s="15" t="s">
        <v>21629</v>
      </c>
      <c r="K5597" s="15">
        <v>302.0</v>
      </c>
      <c r="L5597" s="15">
        <v>302.0</v>
      </c>
      <c r="M5597" s="40">
        <v>42471.0</v>
      </c>
      <c r="N5597" s="40">
        <v>42636.0</v>
      </c>
      <c r="O5597" s="15" t="s">
        <v>1554</v>
      </c>
      <c r="Q5597" s="7"/>
    </row>
    <row r="5598">
      <c r="A5598" s="39" t="s">
        <v>21630</v>
      </c>
      <c r="B5598" s="15">
        <v>1805950.0</v>
      </c>
      <c r="C5598" s="15" t="s">
        <v>21631</v>
      </c>
      <c r="D5598" s="15">
        <v>344125.0</v>
      </c>
      <c r="E5598" s="15" t="s">
        <v>1557</v>
      </c>
      <c r="F5598" s="15" t="s">
        <v>1767</v>
      </c>
      <c r="G5598" s="7">
        <v>162.375</v>
      </c>
      <c r="H5598" s="15" t="s">
        <v>6565</v>
      </c>
      <c r="I5598" s="15" t="s">
        <v>1586</v>
      </c>
      <c r="J5598" s="15" t="s">
        <v>21632</v>
      </c>
      <c r="K5598" s="15">
        <v>301.0</v>
      </c>
      <c r="L5598" s="15">
        <v>301.0</v>
      </c>
      <c r="M5598" s="40">
        <v>42471.0</v>
      </c>
      <c r="N5598" s="40">
        <v>42636.0</v>
      </c>
      <c r="O5598" s="15" t="s">
        <v>1554</v>
      </c>
      <c r="Q5598" s="7"/>
    </row>
    <row r="5599">
      <c r="A5599" s="39" t="s">
        <v>21633</v>
      </c>
      <c r="B5599" s="15">
        <v>1805948.0</v>
      </c>
      <c r="C5599" s="15" t="s">
        <v>21634</v>
      </c>
      <c r="D5599" s="15">
        <v>344126.0</v>
      </c>
      <c r="E5599" s="15" t="s">
        <v>1557</v>
      </c>
      <c r="F5599" s="15" t="s">
        <v>1767</v>
      </c>
      <c r="G5599" s="7">
        <v>161.552</v>
      </c>
      <c r="H5599" s="15" t="s">
        <v>1607</v>
      </c>
      <c r="I5599" s="15" t="s">
        <v>1586</v>
      </c>
      <c r="J5599" s="15" t="s">
        <v>21636</v>
      </c>
      <c r="K5599" s="15">
        <v>294.0</v>
      </c>
      <c r="L5599" s="15">
        <v>291.0</v>
      </c>
      <c r="M5599" s="40">
        <v>42471.0</v>
      </c>
      <c r="N5599" s="40">
        <v>42636.0</v>
      </c>
      <c r="O5599" s="15" t="s">
        <v>1554</v>
      </c>
      <c r="Q5599" s="7"/>
    </row>
    <row r="5600">
      <c r="A5600" s="39" t="s">
        <v>21637</v>
      </c>
      <c r="B5600" s="15">
        <v>1805467.0</v>
      </c>
      <c r="C5600" s="15" t="s">
        <v>21638</v>
      </c>
      <c r="D5600" s="15">
        <v>344127.0</v>
      </c>
      <c r="E5600" s="15" t="s">
        <v>1557</v>
      </c>
      <c r="F5600" s="15" t="s">
        <v>1611</v>
      </c>
      <c r="G5600" s="7">
        <v>39.274</v>
      </c>
      <c r="H5600" s="15" t="s">
        <v>1640</v>
      </c>
      <c r="I5600" s="15" t="s">
        <v>1586</v>
      </c>
      <c r="J5600" s="15" t="s">
        <v>21639</v>
      </c>
      <c r="K5600" s="15">
        <v>49.0</v>
      </c>
      <c r="L5600" s="15">
        <v>49.0</v>
      </c>
      <c r="M5600" s="40">
        <v>42522.0</v>
      </c>
      <c r="N5600" s="40">
        <v>42636.0</v>
      </c>
      <c r="O5600" s="15" t="s">
        <v>1554</v>
      </c>
      <c r="Q5600" s="7"/>
    </row>
    <row r="5601">
      <c r="A5601" s="39" t="s">
        <v>21640</v>
      </c>
      <c r="B5601" s="15">
        <v>1871687.0</v>
      </c>
      <c r="C5601" s="15" t="s">
        <v>21641</v>
      </c>
      <c r="D5601" s="15">
        <v>344153.0</v>
      </c>
      <c r="E5601" s="15" t="s">
        <v>1557</v>
      </c>
      <c r="F5601" s="15" t="s">
        <v>1833</v>
      </c>
      <c r="G5601" s="7">
        <v>32.409</v>
      </c>
      <c r="H5601" s="15" t="s">
        <v>4287</v>
      </c>
      <c r="I5601" s="15" t="s">
        <v>1586</v>
      </c>
      <c r="J5601" s="15" t="s">
        <v>21642</v>
      </c>
      <c r="K5601" s="15">
        <v>48.0</v>
      </c>
      <c r="L5601" s="15">
        <v>48.0</v>
      </c>
      <c r="M5601" s="40">
        <v>42567.0</v>
      </c>
      <c r="N5601" s="40">
        <v>42636.0</v>
      </c>
      <c r="O5601" s="15" t="s">
        <v>1554</v>
      </c>
      <c r="Q5601" s="7"/>
    </row>
    <row r="5602">
      <c r="A5602" s="39" t="s">
        <v>21644</v>
      </c>
      <c r="B5602" s="15">
        <v>1871681.0</v>
      </c>
      <c r="C5602" s="15" t="s">
        <v>21645</v>
      </c>
      <c r="D5602" s="15">
        <v>344155.0</v>
      </c>
      <c r="E5602" s="15" t="s">
        <v>1557</v>
      </c>
      <c r="F5602" s="15" t="s">
        <v>1833</v>
      </c>
      <c r="G5602" s="7">
        <v>31.987</v>
      </c>
      <c r="H5602" s="15" t="s">
        <v>4479</v>
      </c>
      <c r="I5602" s="15" t="s">
        <v>1586</v>
      </c>
      <c r="J5602" s="15" t="s">
        <v>21646</v>
      </c>
      <c r="K5602" s="15">
        <v>51.0</v>
      </c>
      <c r="L5602" s="15">
        <v>51.0</v>
      </c>
      <c r="M5602" s="40">
        <v>42567.0</v>
      </c>
      <c r="N5602" s="40">
        <v>42636.0</v>
      </c>
      <c r="O5602" s="15" t="s">
        <v>1554</v>
      </c>
      <c r="Q5602" s="7"/>
    </row>
    <row r="5603">
      <c r="A5603" s="39" t="s">
        <v>21647</v>
      </c>
      <c r="B5603" s="15">
        <v>1871313.0</v>
      </c>
      <c r="C5603" s="15" t="s">
        <v>21648</v>
      </c>
      <c r="D5603" s="15">
        <v>344157.0</v>
      </c>
      <c r="E5603" s="15" t="s">
        <v>1557</v>
      </c>
      <c r="F5603" s="15" t="s">
        <v>1767</v>
      </c>
      <c r="G5603" s="7">
        <v>180.219</v>
      </c>
      <c r="H5603" s="15" t="s">
        <v>2648</v>
      </c>
      <c r="I5603" s="15" t="s">
        <v>1586</v>
      </c>
      <c r="J5603" s="15" t="s">
        <v>21649</v>
      </c>
      <c r="K5603" s="15">
        <v>274.0</v>
      </c>
      <c r="L5603" s="15">
        <v>273.0</v>
      </c>
      <c r="M5603" s="40">
        <v>42567.0</v>
      </c>
      <c r="N5603" s="40">
        <v>42636.0</v>
      </c>
      <c r="O5603" s="15" t="s">
        <v>1554</v>
      </c>
      <c r="Q5603" s="7"/>
    </row>
    <row r="5604">
      <c r="A5604" s="39" t="s">
        <v>21650</v>
      </c>
      <c r="B5604" s="15">
        <v>1852657.0</v>
      </c>
      <c r="C5604" s="15" t="s">
        <v>21651</v>
      </c>
      <c r="D5604" s="15">
        <v>344158.0</v>
      </c>
      <c r="E5604" s="15" t="s">
        <v>1557</v>
      </c>
      <c r="F5604" s="15" t="s">
        <v>1611</v>
      </c>
      <c r="G5604" s="7">
        <v>42.201</v>
      </c>
      <c r="H5604" s="15" t="s">
        <v>5483</v>
      </c>
      <c r="I5604" s="15" t="s">
        <v>1586</v>
      </c>
      <c r="J5604" s="15" t="s">
        <v>21652</v>
      </c>
      <c r="K5604" s="15">
        <v>51.0</v>
      </c>
      <c r="L5604" s="15">
        <v>51.0</v>
      </c>
      <c r="M5604" s="40">
        <v>42556.0</v>
      </c>
      <c r="N5604" s="40">
        <v>42636.0</v>
      </c>
      <c r="O5604" s="15" t="s">
        <v>1554</v>
      </c>
      <c r="Q5604" s="7"/>
    </row>
    <row r="5605">
      <c r="A5605" s="39" t="s">
        <v>21654</v>
      </c>
      <c r="B5605" s="15">
        <v>1852641.0</v>
      </c>
      <c r="C5605" s="15" t="s">
        <v>21655</v>
      </c>
      <c r="D5605" s="15">
        <v>344159.0</v>
      </c>
      <c r="E5605" s="15" t="s">
        <v>1557</v>
      </c>
      <c r="F5605" s="15" t="s">
        <v>1611</v>
      </c>
      <c r="G5605" s="7">
        <v>75.147</v>
      </c>
      <c r="H5605" s="15" t="s">
        <v>1572</v>
      </c>
      <c r="I5605" s="15" t="s">
        <v>1586</v>
      </c>
      <c r="J5605" s="15" t="s">
        <v>21656</v>
      </c>
      <c r="K5605" s="15">
        <v>100.0</v>
      </c>
      <c r="L5605" s="15">
        <v>92.0</v>
      </c>
      <c r="M5605" s="40">
        <v>42539.0</v>
      </c>
      <c r="N5605" s="40">
        <v>42913.0</v>
      </c>
      <c r="O5605" s="15" t="s">
        <v>1554</v>
      </c>
      <c r="Q5605" s="7"/>
    </row>
    <row r="5606">
      <c r="A5606" s="39" t="s">
        <v>21657</v>
      </c>
      <c r="B5606" s="15">
        <v>1852629.0</v>
      </c>
      <c r="C5606" s="15" t="s">
        <v>21658</v>
      </c>
      <c r="D5606" s="15">
        <v>344160.0</v>
      </c>
      <c r="E5606" s="15" t="s">
        <v>1557</v>
      </c>
      <c r="F5606" s="15" t="s">
        <v>1833</v>
      </c>
      <c r="G5606" s="7">
        <v>40.749</v>
      </c>
      <c r="H5606" s="15" t="s">
        <v>2640</v>
      </c>
      <c r="I5606" s="15" t="s">
        <v>1586</v>
      </c>
      <c r="J5606" s="15" t="s">
        <v>21659</v>
      </c>
      <c r="K5606" s="15">
        <v>71.0</v>
      </c>
      <c r="L5606" s="15">
        <v>70.0</v>
      </c>
      <c r="M5606" s="40">
        <v>42571.0</v>
      </c>
      <c r="N5606" s="41">
        <v>42703.0</v>
      </c>
      <c r="O5606" s="15" t="s">
        <v>1554</v>
      </c>
      <c r="Q5606" s="7"/>
    </row>
    <row r="5607">
      <c r="A5607" s="39" t="s">
        <v>21660</v>
      </c>
      <c r="B5607" s="15">
        <v>1852628.0</v>
      </c>
      <c r="C5607" s="15" t="s">
        <v>21661</v>
      </c>
      <c r="D5607" s="15">
        <v>344161.0</v>
      </c>
      <c r="E5607" s="15" t="s">
        <v>1557</v>
      </c>
      <c r="F5607" s="15" t="s">
        <v>1767</v>
      </c>
      <c r="G5607" s="7">
        <v>163.201</v>
      </c>
      <c r="H5607" s="15" t="s">
        <v>4283</v>
      </c>
      <c r="I5607" s="15" t="s">
        <v>1586</v>
      </c>
      <c r="J5607" s="15" t="s">
        <v>21663</v>
      </c>
      <c r="K5607" s="15">
        <v>281.0</v>
      </c>
      <c r="L5607" s="15">
        <v>271.0</v>
      </c>
      <c r="M5607" s="40">
        <v>42543.0</v>
      </c>
      <c r="N5607" s="40">
        <v>42636.0</v>
      </c>
      <c r="O5607" s="15" t="s">
        <v>1554</v>
      </c>
      <c r="Q5607" s="7"/>
    </row>
    <row r="5608">
      <c r="A5608" s="39" t="s">
        <v>21664</v>
      </c>
      <c r="B5608" s="15">
        <v>1852627.0</v>
      </c>
      <c r="C5608" s="15" t="s">
        <v>21665</v>
      </c>
      <c r="D5608" s="15">
        <v>344162.0</v>
      </c>
      <c r="E5608" s="15" t="s">
        <v>1557</v>
      </c>
      <c r="F5608" s="15" t="s">
        <v>1611</v>
      </c>
      <c r="G5608" s="7">
        <v>39.616</v>
      </c>
      <c r="H5608" s="15" t="s">
        <v>1572</v>
      </c>
      <c r="I5608" s="15" t="s">
        <v>1586</v>
      </c>
      <c r="J5608" s="15" t="s">
        <v>21666</v>
      </c>
      <c r="K5608" s="15">
        <v>55.0</v>
      </c>
      <c r="L5608" s="15">
        <v>55.0</v>
      </c>
      <c r="M5608" s="40">
        <v>42543.0</v>
      </c>
      <c r="N5608" s="40">
        <v>42636.0</v>
      </c>
      <c r="O5608" s="15" t="s">
        <v>1554</v>
      </c>
      <c r="Q5608" s="7"/>
    </row>
    <row r="5609">
      <c r="A5609" s="39" t="s">
        <v>21667</v>
      </c>
      <c r="B5609" s="15">
        <v>1852625.0</v>
      </c>
      <c r="C5609" s="15" t="s">
        <v>21668</v>
      </c>
      <c r="D5609" s="15">
        <v>344163.0</v>
      </c>
      <c r="E5609" s="15" t="s">
        <v>1557</v>
      </c>
      <c r="F5609" s="15" t="s">
        <v>1767</v>
      </c>
      <c r="G5609" s="7">
        <v>168.272</v>
      </c>
      <c r="H5609" s="15" t="s">
        <v>2597</v>
      </c>
      <c r="I5609" s="15" t="s">
        <v>1586</v>
      </c>
      <c r="J5609" s="15" t="s">
        <v>21669</v>
      </c>
      <c r="K5609" s="15">
        <v>292.0</v>
      </c>
      <c r="L5609" s="15">
        <v>275.0</v>
      </c>
      <c r="M5609" s="40">
        <v>42571.0</v>
      </c>
      <c r="N5609" s="40">
        <v>42971.0</v>
      </c>
      <c r="O5609" s="15" t="s">
        <v>1554</v>
      </c>
      <c r="Q5609" s="7"/>
    </row>
    <row r="5610">
      <c r="A5610" s="39" t="s">
        <v>21671</v>
      </c>
      <c r="B5610" s="15">
        <v>1852564.0</v>
      </c>
      <c r="C5610" s="15" t="s">
        <v>21672</v>
      </c>
      <c r="D5610" s="15">
        <v>344165.0</v>
      </c>
      <c r="E5610" s="15" t="s">
        <v>1557</v>
      </c>
      <c r="F5610" s="15" t="s">
        <v>1767</v>
      </c>
      <c r="G5610" s="7">
        <v>162.308</v>
      </c>
      <c r="H5610" s="15" t="s">
        <v>6565</v>
      </c>
      <c r="I5610" s="15" t="s">
        <v>1586</v>
      </c>
      <c r="J5610" s="15" t="s">
        <v>21673</v>
      </c>
      <c r="K5610" s="15">
        <v>298.0</v>
      </c>
      <c r="L5610" s="15">
        <v>295.0</v>
      </c>
      <c r="M5610" s="40">
        <v>42543.0</v>
      </c>
      <c r="N5610" s="40">
        <v>42636.0</v>
      </c>
      <c r="O5610" s="15" t="s">
        <v>1554</v>
      </c>
      <c r="Q5610" s="7"/>
    </row>
    <row r="5611">
      <c r="A5611" s="39" t="s">
        <v>21674</v>
      </c>
      <c r="B5611" s="15">
        <v>1852563.0</v>
      </c>
      <c r="C5611" s="15" t="s">
        <v>21675</v>
      </c>
      <c r="D5611" s="15">
        <v>344166.0</v>
      </c>
      <c r="E5611" s="15" t="s">
        <v>1557</v>
      </c>
      <c r="F5611" s="15" t="s">
        <v>1833</v>
      </c>
      <c r="G5611" s="7">
        <v>51.802</v>
      </c>
      <c r="H5611" s="15" t="s">
        <v>5042</v>
      </c>
      <c r="I5611" s="15" t="s">
        <v>1586</v>
      </c>
      <c r="J5611" s="15" t="s">
        <v>21676</v>
      </c>
      <c r="K5611" s="15">
        <v>88.0</v>
      </c>
      <c r="L5611" s="15">
        <v>87.0</v>
      </c>
      <c r="M5611" s="40">
        <v>42543.0</v>
      </c>
      <c r="N5611" s="40">
        <v>42636.0</v>
      </c>
      <c r="O5611" s="15" t="s">
        <v>1554</v>
      </c>
      <c r="Q5611" s="7"/>
    </row>
    <row r="5612">
      <c r="A5612" s="39" t="s">
        <v>21677</v>
      </c>
      <c r="B5612" s="15">
        <v>1838138.0</v>
      </c>
      <c r="C5612" s="15" t="s">
        <v>21678</v>
      </c>
      <c r="D5612" s="15">
        <v>344167.0</v>
      </c>
      <c r="E5612" s="15" t="s">
        <v>4407</v>
      </c>
      <c r="F5612" s="15" t="s">
        <v>1578</v>
      </c>
      <c r="G5612" s="7">
        <v>39.64</v>
      </c>
      <c r="H5612" s="15">
        <v>65.0</v>
      </c>
      <c r="I5612" s="15" t="s">
        <v>1586</v>
      </c>
      <c r="J5612" s="15" t="s">
        <v>21680</v>
      </c>
      <c r="K5612" s="15">
        <v>58.0</v>
      </c>
      <c r="L5612" s="15">
        <v>58.0</v>
      </c>
      <c r="M5612" s="40">
        <v>42523.0</v>
      </c>
      <c r="N5612" s="40">
        <v>42636.0</v>
      </c>
      <c r="O5612" s="15" t="s">
        <v>1554</v>
      </c>
      <c r="Q5612" s="7"/>
    </row>
    <row r="5613">
      <c r="A5613" s="39" t="s">
        <v>21681</v>
      </c>
      <c r="B5613" s="15">
        <v>1838137.0</v>
      </c>
      <c r="C5613" s="15" t="s">
        <v>21682</v>
      </c>
      <c r="D5613" s="15">
        <v>344168.0</v>
      </c>
      <c r="E5613" s="15" t="s">
        <v>4407</v>
      </c>
      <c r="F5613" s="15" t="s">
        <v>1578</v>
      </c>
      <c r="G5613" s="7">
        <v>38.071</v>
      </c>
      <c r="H5613" s="15" t="s">
        <v>4171</v>
      </c>
      <c r="I5613" s="15" t="s">
        <v>1586</v>
      </c>
      <c r="J5613" s="15" t="s">
        <v>21683</v>
      </c>
      <c r="K5613" s="15">
        <v>56.0</v>
      </c>
      <c r="L5613" s="15">
        <v>56.0</v>
      </c>
      <c r="M5613" s="40">
        <v>42523.0</v>
      </c>
      <c r="N5613" s="40">
        <v>42636.0</v>
      </c>
      <c r="O5613" s="15" t="s">
        <v>1554</v>
      </c>
      <c r="Q5613" s="7"/>
    </row>
    <row r="5614">
      <c r="A5614" s="39" t="s">
        <v>21684</v>
      </c>
      <c r="B5614" s="15">
        <v>1837867.0</v>
      </c>
      <c r="C5614" s="15" t="s">
        <v>21685</v>
      </c>
      <c r="D5614" s="15">
        <v>344169.0</v>
      </c>
      <c r="E5614" s="15" t="s">
        <v>1557</v>
      </c>
      <c r="F5614" s="15" t="s">
        <v>1767</v>
      </c>
      <c r="G5614" s="7">
        <v>170.788</v>
      </c>
      <c r="H5614" s="15" t="s">
        <v>3361</v>
      </c>
      <c r="I5614" s="15" t="s">
        <v>1586</v>
      </c>
      <c r="J5614" s="15" t="s">
        <v>21686</v>
      </c>
      <c r="K5614" s="15">
        <v>274.0</v>
      </c>
      <c r="L5614" s="15">
        <v>274.0</v>
      </c>
      <c r="M5614" s="40">
        <v>42523.0</v>
      </c>
      <c r="N5614" s="40">
        <v>42636.0</v>
      </c>
      <c r="O5614" s="15" t="s">
        <v>1554</v>
      </c>
      <c r="Q5614" s="7"/>
    </row>
    <row r="5615">
      <c r="A5615" s="39" t="s">
        <v>21688</v>
      </c>
      <c r="B5615" s="15">
        <v>1837830.0</v>
      </c>
      <c r="C5615" s="15" t="s">
        <v>21689</v>
      </c>
      <c r="D5615" s="15">
        <v>344170.0</v>
      </c>
      <c r="E5615" s="15" t="s">
        <v>1557</v>
      </c>
      <c r="F5615" s="15" t="s">
        <v>1767</v>
      </c>
      <c r="G5615" s="7">
        <v>161.14</v>
      </c>
      <c r="H5615" s="15" t="s">
        <v>1607</v>
      </c>
      <c r="I5615" s="15" t="s">
        <v>1586</v>
      </c>
      <c r="J5615" s="15" t="s">
        <v>21690</v>
      </c>
      <c r="K5615" s="15">
        <v>292.0</v>
      </c>
      <c r="L5615" s="15">
        <v>292.0</v>
      </c>
      <c r="M5615" s="40">
        <v>42523.0</v>
      </c>
      <c r="N5615" s="40">
        <v>42636.0</v>
      </c>
      <c r="O5615" s="15" t="s">
        <v>1554</v>
      </c>
      <c r="Q5615" s="7"/>
    </row>
    <row r="5616">
      <c r="A5616" s="39" t="s">
        <v>21691</v>
      </c>
      <c r="B5616" s="15">
        <v>1821560.0</v>
      </c>
      <c r="C5616" s="15" t="s">
        <v>21692</v>
      </c>
      <c r="D5616" s="15">
        <v>344171.0</v>
      </c>
      <c r="E5616" s="15" t="s">
        <v>1557</v>
      </c>
      <c r="F5616" s="15" t="s">
        <v>1833</v>
      </c>
      <c r="G5616" s="7">
        <v>59.265</v>
      </c>
      <c r="H5616" s="15" t="s">
        <v>1666</v>
      </c>
      <c r="I5616" s="15" t="s">
        <v>1586</v>
      </c>
      <c r="J5616" s="15" t="s">
        <v>21693</v>
      </c>
      <c r="K5616" s="15">
        <v>87.0</v>
      </c>
      <c r="L5616" s="15">
        <v>87.0</v>
      </c>
      <c r="M5616" s="40">
        <v>42463.0</v>
      </c>
      <c r="N5616" s="40">
        <v>42636.0</v>
      </c>
      <c r="O5616" s="15" t="s">
        <v>1554</v>
      </c>
      <c r="Q5616" s="7"/>
    </row>
    <row r="5617">
      <c r="A5617" s="39" t="s">
        <v>21695</v>
      </c>
      <c r="B5617" s="15">
        <v>1821558.0</v>
      </c>
      <c r="C5617" s="15" t="s">
        <v>21696</v>
      </c>
      <c r="D5617" s="15">
        <v>344173.0</v>
      </c>
      <c r="E5617" s="15" t="s">
        <v>1557</v>
      </c>
      <c r="F5617" s="15" t="s">
        <v>1833</v>
      </c>
      <c r="G5617" s="7">
        <v>53.431</v>
      </c>
      <c r="H5617" s="15" t="s">
        <v>6615</v>
      </c>
      <c r="I5617" s="15" t="s">
        <v>1586</v>
      </c>
      <c r="J5617" s="15" t="s">
        <v>21697</v>
      </c>
      <c r="K5617" s="15">
        <v>84.0</v>
      </c>
      <c r="L5617" s="15">
        <v>84.0</v>
      </c>
      <c r="M5617" s="40">
        <v>42463.0</v>
      </c>
      <c r="N5617" s="40">
        <v>42636.0</v>
      </c>
      <c r="O5617" s="15" t="s">
        <v>1554</v>
      </c>
      <c r="Q5617" s="7"/>
    </row>
    <row r="5618">
      <c r="A5618" s="39" t="s">
        <v>21698</v>
      </c>
      <c r="B5618" s="15">
        <v>1815957.0</v>
      </c>
      <c r="C5618" s="15" t="s">
        <v>21699</v>
      </c>
      <c r="D5618" s="15">
        <v>344174.0</v>
      </c>
      <c r="E5618" s="15" t="s">
        <v>1557</v>
      </c>
      <c r="F5618" s="15" t="s">
        <v>1767</v>
      </c>
      <c r="G5618" s="7">
        <v>93.129</v>
      </c>
      <c r="H5618" s="15" t="s">
        <v>3798</v>
      </c>
      <c r="I5618" s="15" t="s">
        <v>1586</v>
      </c>
      <c r="J5618" s="15" t="s">
        <v>21700</v>
      </c>
      <c r="K5618" s="15">
        <v>185.0</v>
      </c>
      <c r="L5618" s="15">
        <v>172.0</v>
      </c>
      <c r="M5618" s="40">
        <v>42451.0</v>
      </c>
      <c r="N5618" s="40">
        <v>42636.0</v>
      </c>
      <c r="O5618" s="15" t="s">
        <v>1554</v>
      </c>
      <c r="Q5618" s="7"/>
    </row>
    <row r="5619">
      <c r="A5619" s="39" t="s">
        <v>21701</v>
      </c>
      <c r="B5619" s="15">
        <v>1815955.0</v>
      </c>
      <c r="C5619" s="15" t="s">
        <v>21702</v>
      </c>
      <c r="D5619" s="15">
        <v>344175.0</v>
      </c>
      <c r="E5619" s="15" t="s">
        <v>1557</v>
      </c>
      <c r="F5619" s="15" t="s">
        <v>1833</v>
      </c>
      <c r="G5619" s="7">
        <v>40.273</v>
      </c>
      <c r="H5619" s="15" t="s">
        <v>3568</v>
      </c>
      <c r="I5619" s="15" t="s">
        <v>1586</v>
      </c>
      <c r="J5619" s="15" t="s">
        <v>21703</v>
      </c>
      <c r="K5619" s="15">
        <v>66.0</v>
      </c>
      <c r="L5619" s="15">
        <v>66.0</v>
      </c>
      <c r="M5619" s="40">
        <v>42515.0</v>
      </c>
      <c r="N5619" s="40">
        <v>42636.0</v>
      </c>
      <c r="O5619" s="15" t="s">
        <v>1554</v>
      </c>
      <c r="Q5619" s="7"/>
    </row>
    <row r="5620">
      <c r="A5620" s="39" t="s">
        <v>21705</v>
      </c>
      <c r="B5620" s="15">
        <v>1815631.0</v>
      </c>
      <c r="C5620" s="15" t="s">
        <v>21706</v>
      </c>
      <c r="D5620" s="15">
        <v>344176.0</v>
      </c>
      <c r="E5620" s="15" t="s">
        <v>1557</v>
      </c>
      <c r="F5620" s="15" t="s">
        <v>1767</v>
      </c>
      <c r="G5620" s="7">
        <v>159.878</v>
      </c>
      <c r="H5620" s="15" t="s">
        <v>2316</v>
      </c>
      <c r="I5620" s="15" t="s">
        <v>1586</v>
      </c>
      <c r="J5620" s="15" t="s">
        <v>21707</v>
      </c>
      <c r="K5620" s="15">
        <v>262.0</v>
      </c>
      <c r="L5620" s="15">
        <v>259.0</v>
      </c>
      <c r="M5620" s="40">
        <v>42565.0</v>
      </c>
      <c r="N5620" s="40">
        <v>42636.0</v>
      </c>
      <c r="O5620" s="15" t="s">
        <v>1554</v>
      </c>
      <c r="Q5620" s="7"/>
    </row>
    <row r="5621">
      <c r="A5621" s="39" t="s">
        <v>21708</v>
      </c>
      <c r="B5621" s="15">
        <v>1873959.0</v>
      </c>
      <c r="C5621" s="15" t="s">
        <v>21709</v>
      </c>
      <c r="D5621" s="15">
        <v>344177.0</v>
      </c>
      <c r="E5621" s="15" t="s">
        <v>1557</v>
      </c>
      <c r="F5621" s="15" t="s">
        <v>1611</v>
      </c>
      <c r="G5621" s="7">
        <v>44.57</v>
      </c>
      <c r="H5621" s="15" t="s">
        <v>2365</v>
      </c>
      <c r="I5621" s="15" t="s">
        <v>1586</v>
      </c>
      <c r="J5621" s="15" t="s">
        <v>21710</v>
      </c>
      <c r="K5621" s="15">
        <v>56.0</v>
      </c>
      <c r="L5621" s="15">
        <v>56.0</v>
      </c>
      <c r="M5621" s="40">
        <v>42583.0</v>
      </c>
      <c r="N5621" s="40">
        <v>42636.0</v>
      </c>
      <c r="O5621" s="15" t="s">
        <v>1554</v>
      </c>
      <c r="Q5621" s="7"/>
    </row>
    <row r="5622">
      <c r="A5622" s="39" t="s">
        <v>21711</v>
      </c>
      <c r="B5622" s="15">
        <v>1873958.0</v>
      </c>
      <c r="C5622" s="15" t="s">
        <v>21712</v>
      </c>
      <c r="D5622" s="15">
        <v>344178.0</v>
      </c>
      <c r="E5622" s="15" t="s">
        <v>1557</v>
      </c>
      <c r="F5622" s="15" t="s">
        <v>1611</v>
      </c>
      <c r="G5622" s="7">
        <v>43.902</v>
      </c>
      <c r="H5622" s="15" t="s">
        <v>2361</v>
      </c>
      <c r="I5622" s="15" t="s">
        <v>1586</v>
      </c>
      <c r="J5622" s="15" t="s">
        <v>21714</v>
      </c>
      <c r="K5622" s="15">
        <v>56.0</v>
      </c>
      <c r="L5622" s="15">
        <v>56.0</v>
      </c>
      <c r="M5622" s="40">
        <v>42583.0</v>
      </c>
      <c r="N5622" s="40">
        <v>42636.0</v>
      </c>
      <c r="O5622" s="15" t="s">
        <v>1554</v>
      </c>
      <c r="Q5622" s="7"/>
    </row>
    <row r="5623">
      <c r="A5623" s="39" t="s">
        <v>21715</v>
      </c>
      <c r="B5623" s="15">
        <v>1873949.0</v>
      </c>
      <c r="C5623" s="15" t="s">
        <v>21716</v>
      </c>
      <c r="D5623" s="15">
        <v>344179.0</v>
      </c>
      <c r="E5623" s="15" t="s">
        <v>1557</v>
      </c>
      <c r="F5623" s="15" t="s">
        <v>1611</v>
      </c>
      <c r="G5623" s="7">
        <v>40.008</v>
      </c>
      <c r="H5623" s="15" t="s">
        <v>2965</v>
      </c>
      <c r="I5623" s="15" t="s">
        <v>1586</v>
      </c>
      <c r="J5623" s="15" t="s">
        <v>21717</v>
      </c>
      <c r="K5623" s="15">
        <v>46.0</v>
      </c>
      <c r="L5623" s="15">
        <v>46.0</v>
      </c>
      <c r="M5623" s="40">
        <v>42576.0</v>
      </c>
      <c r="N5623" s="40">
        <v>42636.0</v>
      </c>
      <c r="O5623" s="15" t="s">
        <v>1554</v>
      </c>
      <c r="Q5623" s="7"/>
    </row>
    <row r="5624">
      <c r="A5624" s="39" t="s">
        <v>21718</v>
      </c>
      <c r="B5624" s="15">
        <v>1873895.0</v>
      </c>
      <c r="C5624" s="15" t="s">
        <v>21719</v>
      </c>
      <c r="D5624" s="15">
        <v>344180.0</v>
      </c>
      <c r="E5624" s="15" t="s">
        <v>1557</v>
      </c>
      <c r="F5624" s="15" t="s">
        <v>1833</v>
      </c>
      <c r="G5624" s="7">
        <v>53.623</v>
      </c>
      <c r="H5624" s="15" t="s">
        <v>3542</v>
      </c>
      <c r="I5624" s="15" t="s">
        <v>1586</v>
      </c>
      <c r="J5624" s="15" t="s">
        <v>21720</v>
      </c>
      <c r="K5624" s="15">
        <v>91.0</v>
      </c>
      <c r="L5624" s="15">
        <v>91.0</v>
      </c>
      <c r="M5624" s="40">
        <v>42576.0</v>
      </c>
      <c r="N5624" s="40">
        <v>42636.0</v>
      </c>
      <c r="O5624" s="15" t="s">
        <v>1554</v>
      </c>
      <c r="Q5624" s="7"/>
    </row>
    <row r="5625">
      <c r="A5625" s="39" t="s">
        <v>21722</v>
      </c>
      <c r="B5625" s="15">
        <v>1873891.0</v>
      </c>
      <c r="C5625" s="15" t="s">
        <v>21723</v>
      </c>
      <c r="D5625" s="15">
        <v>344181.0</v>
      </c>
      <c r="E5625" s="15" t="s">
        <v>1557</v>
      </c>
      <c r="F5625" s="15" t="s">
        <v>1833</v>
      </c>
      <c r="G5625" s="7">
        <v>52.501</v>
      </c>
      <c r="H5625" s="15" t="s">
        <v>6661</v>
      </c>
      <c r="I5625" s="15" t="s">
        <v>1586</v>
      </c>
      <c r="J5625" s="15" t="s">
        <v>21724</v>
      </c>
      <c r="K5625" s="15">
        <v>94.0</v>
      </c>
      <c r="L5625" s="15">
        <v>94.0</v>
      </c>
      <c r="M5625" s="40">
        <v>42571.0</v>
      </c>
      <c r="N5625" s="40">
        <v>42636.0</v>
      </c>
      <c r="O5625" s="15" t="s">
        <v>1554</v>
      </c>
      <c r="Q5625" s="7"/>
    </row>
    <row r="5626">
      <c r="A5626" s="39" t="s">
        <v>21725</v>
      </c>
      <c r="B5626" s="15">
        <v>1873889.0</v>
      </c>
      <c r="C5626" s="15" t="s">
        <v>21726</v>
      </c>
      <c r="D5626" s="15">
        <v>344182.0</v>
      </c>
      <c r="E5626" s="15" t="s">
        <v>1557</v>
      </c>
      <c r="F5626" s="15" t="s">
        <v>1833</v>
      </c>
      <c r="G5626" s="7">
        <v>52.496</v>
      </c>
      <c r="H5626" s="15" t="s">
        <v>6661</v>
      </c>
      <c r="I5626" s="15" t="s">
        <v>1586</v>
      </c>
      <c r="J5626" s="15" t="s">
        <v>21727</v>
      </c>
      <c r="K5626" s="15">
        <v>93.0</v>
      </c>
      <c r="L5626" s="15">
        <v>93.0</v>
      </c>
      <c r="M5626" s="40">
        <v>42571.0</v>
      </c>
      <c r="N5626" s="40">
        <v>42636.0</v>
      </c>
      <c r="O5626" s="15" t="s">
        <v>1554</v>
      </c>
      <c r="Q5626" s="7"/>
    </row>
    <row r="5627">
      <c r="A5627" s="39" t="s">
        <v>21728</v>
      </c>
      <c r="B5627" s="15">
        <v>1863010.0</v>
      </c>
      <c r="C5627" s="15" t="s">
        <v>21729</v>
      </c>
      <c r="D5627" s="15">
        <v>344183.0</v>
      </c>
      <c r="E5627" s="15" t="s">
        <v>1557</v>
      </c>
      <c r="F5627" s="15" t="s">
        <v>1767</v>
      </c>
      <c r="G5627" s="7">
        <v>108.05</v>
      </c>
      <c r="H5627" s="15" t="s">
        <v>1607</v>
      </c>
      <c r="I5627" s="15" t="s">
        <v>1586</v>
      </c>
      <c r="J5627" s="15" t="s">
        <v>21731</v>
      </c>
      <c r="K5627" s="15">
        <v>144.0</v>
      </c>
      <c r="L5627" s="15">
        <v>139.0</v>
      </c>
      <c r="M5627" s="40">
        <v>42553.0</v>
      </c>
      <c r="N5627" s="40">
        <v>42636.0</v>
      </c>
      <c r="O5627" s="15" t="s">
        <v>1554</v>
      </c>
      <c r="Q5627" s="7"/>
    </row>
    <row r="5628">
      <c r="A5628" s="39" t="s">
        <v>21732</v>
      </c>
      <c r="B5628" s="15">
        <v>1863009.0</v>
      </c>
      <c r="C5628" s="15" t="s">
        <v>21733</v>
      </c>
      <c r="D5628" s="15">
        <v>344184.0</v>
      </c>
      <c r="E5628" s="15" t="s">
        <v>1557</v>
      </c>
      <c r="F5628" s="15" t="s">
        <v>1767</v>
      </c>
      <c r="G5628" s="7">
        <v>168.993</v>
      </c>
      <c r="H5628" s="15" t="s">
        <v>3568</v>
      </c>
      <c r="I5628" s="15" t="s">
        <v>1586</v>
      </c>
      <c r="J5628" s="15" t="s">
        <v>21734</v>
      </c>
      <c r="K5628" s="15">
        <v>277.0</v>
      </c>
      <c r="L5628" s="15">
        <v>269.0</v>
      </c>
      <c r="M5628" s="40">
        <v>42553.0</v>
      </c>
      <c r="N5628" s="40">
        <v>42636.0</v>
      </c>
      <c r="O5628" s="15" t="s">
        <v>1554</v>
      </c>
      <c r="Q5628" s="7"/>
    </row>
    <row r="5629">
      <c r="A5629" s="39" t="s">
        <v>21735</v>
      </c>
      <c r="B5629" s="15">
        <v>1863007.0</v>
      </c>
      <c r="C5629" s="15" t="s">
        <v>21736</v>
      </c>
      <c r="D5629" s="15">
        <v>344185.0</v>
      </c>
      <c r="E5629" s="15" t="s">
        <v>1557</v>
      </c>
      <c r="F5629" s="15" t="s">
        <v>1767</v>
      </c>
      <c r="G5629" s="7">
        <v>166.634</v>
      </c>
      <c r="H5629" s="15" t="s">
        <v>3568</v>
      </c>
      <c r="I5629" s="15" t="s">
        <v>1586</v>
      </c>
      <c r="J5629" s="15" t="s">
        <v>21737</v>
      </c>
      <c r="K5629" s="15">
        <v>276.0</v>
      </c>
      <c r="L5629" s="15">
        <v>265.0</v>
      </c>
      <c r="M5629" s="40">
        <v>42553.0</v>
      </c>
      <c r="N5629" s="40">
        <v>42636.0</v>
      </c>
      <c r="O5629" s="15" t="s">
        <v>1554</v>
      </c>
      <c r="Q5629" s="7"/>
    </row>
    <row r="5630">
      <c r="A5630" s="39" t="s">
        <v>21739</v>
      </c>
      <c r="B5630" s="15">
        <v>1862962.0</v>
      </c>
      <c r="C5630" s="15" t="s">
        <v>21740</v>
      </c>
      <c r="D5630" s="15">
        <v>344186.0</v>
      </c>
      <c r="E5630" s="15" t="s">
        <v>1557</v>
      </c>
      <c r="F5630" s="15" t="s">
        <v>1833</v>
      </c>
      <c r="G5630" s="7">
        <v>22.179</v>
      </c>
      <c r="H5630" s="15" t="s">
        <v>3827</v>
      </c>
      <c r="I5630" s="15" t="s">
        <v>1586</v>
      </c>
      <c r="J5630" s="15" t="s">
        <v>21741</v>
      </c>
      <c r="K5630" s="15">
        <v>37.0</v>
      </c>
      <c r="L5630" s="15">
        <v>37.0</v>
      </c>
      <c r="M5630" s="40">
        <v>42552.0</v>
      </c>
      <c r="N5630" s="40">
        <v>42636.0</v>
      </c>
      <c r="O5630" s="15" t="s">
        <v>1554</v>
      </c>
      <c r="Q5630" s="7"/>
    </row>
    <row r="5631">
      <c r="A5631" s="39" t="s">
        <v>21742</v>
      </c>
      <c r="B5631" s="15">
        <v>1862961.0</v>
      </c>
      <c r="C5631" s="15" t="s">
        <v>21743</v>
      </c>
      <c r="D5631" s="15">
        <v>344187.0</v>
      </c>
      <c r="E5631" s="15" t="s">
        <v>1557</v>
      </c>
      <c r="F5631" s="15" t="s">
        <v>1833</v>
      </c>
      <c r="G5631" s="7">
        <v>21.697</v>
      </c>
      <c r="H5631" s="15" t="s">
        <v>6303</v>
      </c>
      <c r="I5631" s="15" t="s">
        <v>1586</v>
      </c>
      <c r="J5631" s="15" t="s">
        <v>21744</v>
      </c>
      <c r="K5631" s="15">
        <v>38.0</v>
      </c>
      <c r="L5631" s="15">
        <v>38.0</v>
      </c>
      <c r="M5631" s="40">
        <v>42552.0</v>
      </c>
      <c r="N5631" s="40">
        <v>42636.0</v>
      </c>
      <c r="O5631" s="15" t="s">
        <v>1554</v>
      </c>
      <c r="Q5631" s="7"/>
    </row>
    <row r="5632">
      <c r="A5632" s="39" t="s">
        <v>21745</v>
      </c>
      <c r="B5632" s="15">
        <v>1821228.0</v>
      </c>
      <c r="C5632" s="15" t="s">
        <v>21747</v>
      </c>
      <c r="D5632" s="15">
        <v>344196.0</v>
      </c>
      <c r="E5632" s="15" t="s">
        <v>1557</v>
      </c>
      <c r="F5632" s="15" t="s">
        <v>1611</v>
      </c>
      <c r="G5632" s="7">
        <v>17.861</v>
      </c>
      <c r="H5632" s="42">
        <v>43219.0</v>
      </c>
      <c r="I5632" s="15" t="s">
        <v>1586</v>
      </c>
      <c r="J5632" s="15" t="s">
        <v>21748</v>
      </c>
      <c r="K5632" s="15">
        <v>20.0</v>
      </c>
      <c r="L5632" s="15">
        <v>20.0</v>
      </c>
      <c r="M5632" s="40">
        <v>42523.0</v>
      </c>
      <c r="N5632" s="40">
        <v>42636.0</v>
      </c>
      <c r="O5632" s="15" t="s">
        <v>1554</v>
      </c>
      <c r="Q5632" s="7"/>
    </row>
    <row r="5633">
      <c r="A5633" s="39" t="s">
        <v>21749</v>
      </c>
      <c r="B5633" s="15">
        <v>1678786.0</v>
      </c>
      <c r="C5633" s="15" t="s">
        <v>21750</v>
      </c>
      <c r="D5633" s="15">
        <v>344197.0</v>
      </c>
      <c r="E5633" s="15" t="s">
        <v>1548</v>
      </c>
      <c r="F5633" s="15" t="s">
        <v>5033</v>
      </c>
      <c r="G5633" s="7">
        <v>16.072</v>
      </c>
      <c r="H5633" s="15" t="s">
        <v>21751</v>
      </c>
      <c r="I5633" s="15" t="s">
        <v>1628</v>
      </c>
      <c r="J5633" s="15" t="s">
        <v>21752</v>
      </c>
      <c r="K5633" s="15">
        <v>5.0</v>
      </c>
      <c r="L5633" s="15">
        <v>5.0</v>
      </c>
      <c r="M5633" s="40">
        <v>42632.0</v>
      </c>
      <c r="N5633" s="40">
        <v>42636.0</v>
      </c>
      <c r="O5633" s="15" t="s">
        <v>1554</v>
      </c>
      <c r="Q5633" s="7"/>
    </row>
    <row r="5634">
      <c r="A5634" s="39" t="s">
        <v>21753</v>
      </c>
      <c r="B5634" s="15">
        <v>1608064.0</v>
      </c>
      <c r="C5634" s="15" t="s">
        <v>21754</v>
      </c>
      <c r="D5634" s="15">
        <v>344198.0</v>
      </c>
      <c r="E5634" s="15" t="s">
        <v>1548</v>
      </c>
      <c r="F5634" s="15" t="s">
        <v>1890</v>
      </c>
      <c r="G5634" s="7">
        <v>12.978</v>
      </c>
      <c r="H5634" s="15" t="s">
        <v>2451</v>
      </c>
      <c r="I5634" s="15" t="s">
        <v>1560</v>
      </c>
      <c r="J5634" s="15" t="s">
        <v>21756</v>
      </c>
      <c r="K5634" s="15">
        <v>5.0</v>
      </c>
      <c r="L5634" s="15">
        <v>5.0</v>
      </c>
      <c r="M5634" s="40">
        <v>42043.0</v>
      </c>
      <c r="N5634" s="40">
        <v>42636.0</v>
      </c>
      <c r="O5634" s="15" t="s">
        <v>1554</v>
      </c>
      <c r="Q5634" s="7"/>
    </row>
    <row r="5635">
      <c r="A5635" s="39" t="s">
        <v>21757</v>
      </c>
      <c r="B5635" s="15">
        <v>1608063.0</v>
      </c>
      <c r="C5635" s="15" t="s">
        <v>21758</v>
      </c>
      <c r="D5635" s="15">
        <v>344199.0</v>
      </c>
      <c r="E5635" s="15" t="s">
        <v>1548</v>
      </c>
      <c r="F5635" s="15" t="s">
        <v>1578</v>
      </c>
      <c r="G5635" s="7">
        <v>12.93</v>
      </c>
      <c r="H5635" s="15" t="s">
        <v>17858</v>
      </c>
      <c r="I5635" s="15" t="s">
        <v>1560</v>
      </c>
      <c r="J5635" s="15" t="s">
        <v>21759</v>
      </c>
      <c r="K5635" s="15">
        <v>4.0</v>
      </c>
      <c r="L5635" s="15">
        <v>4.0</v>
      </c>
      <c r="M5635" s="40">
        <v>42043.0</v>
      </c>
      <c r="N5635" s="40">
        <v>42636.0</v>
      </c>
      <c r="O5635" s="15" t="s">
        <v>1554</v>
      </c>
      <c r="Q5635" s="7"/>
    </row>
    <row r="5636">
      <c r="A5636" s="39" t="s">
        <v>21760</v>
      </c>
      <c r="B5636" s="15">
        <v>1608060.0</v>
      </c>
      <c r="C5636" s="15" t="s">
        <v>21761</v>
      </c>
      <c r="D5636" s="15">
        <v>344202.0</v>
      </c>
      <c r="E5636" s="15" t="s">
        <v>1548</v>
      </c>
      <c r="F5636" s="15" t="s">
        <v>5290</v>
      </c>
      <c r="G5636" s="7">
        <v>18.593</v>
      </c>
      <c r="H5636" s="15" t="s">
        <v>21762</v>
      </c>
      <c r="I5636" s="15" t="s">
        <v>1560</v>
      </c>
      <c r="J5636" s="15" t="s">
        <v>21764</v>
      </c>
      <c r="K5636" s="15">
        <v>3.0</v>
      </c>
      <c r="L5636" s="15">
        <v>3.0</v>
      </c>
      <c r="M5636" s="40">
        <v>42043.0</v>
      </c>
      <c r="N5636" s="40">
        <v>42636.0</v>
      </c>
      <c r="O5636" s="15" t="s">
        <v>1554</v>
      </c>
      <c r="Q5636" s="7"/>
    </row>
    <row r="5637">
      <c r="A5637" s="39" t="s">
        <v>21765</v>
      </c>
      <c r="B5637" s="15">
        <v>1608049.0</v>
      </c>
      <c r="C5637" s="15" t="s">
        <v>21766</v>
      </c>
      <c r="D5637" s="15">
        <v>344203.0</v>
      </c>
      <c r="E5637" s="15" t="s">
        <v>1548</v>
      </c>
      <c r="F5637" s="15" t="s">
        <v>1890</v>
      </c>
      <c r="G5637" s="7">
        <v>13.169</v>
      </c>
      <c r="H5637" s="15" t="s">
        <v>2189</v>
      </c>
      <c r="I5637" s="15" t="s">
        <v>1560</v>
      </c>
      <c r="J5637" s="15" t="s">
        <v>21767</v>
      </c>
      <c r="K5637" s="15">
        <v>5.0</v>
      </c>
      <c r="L5637" s="15">
        <v>5.0</v>
      </c>
      <c r="M5637" s="40">
        <v>42043.0</v>
      </c>
      <c r="N5637" s="40">
        <v>42636.0</v>
      </c>
      <c r="O5637" s="15" t="s">
        <v>1554</v>
      </c>
      <c r="Q5637" s="7"/>
    </row>
    <row r="5638">
      <c r="A5638" s="39" t="s">
        <v>21768</v>
      </c>
      <c r="B5638" s="15">
        <v>1608048.0</v>
      </c>
      <c r="C5638" s="15" t="s">
        <v>21769</v>
      </c>
      <c r="D5638" s="15">
        <v>344204.0</v>
      </c>
      <c r="E5638" s="15" t="s">
        <v>1548</v>
      </c>
      <c r="F5638" s="15" t="s">
        <v>3116</v>
      </c>
      <c r="G5638" s="7">
        <v>11.718</v>
      </c>
      <c r="H5638" s="15" t="s">
        <v>21770</v>
      </c>
      <c r="I5638" s="15" t="s">
        <v>1560</v>
      </c>
      <c r="J5638" s="15" t="s">
        <v>21771</v>
      </c>
      <c r="K5638" s="15">
        <v>4.0</v>
      </c>
      <c r="L5638" s="15">
        <v>4.0</v>
      </c>
      <c r="M5638" s="40">
        <v>42043.0</v>
      </c>
      <c r="N5638" s="40">
        <v>42636.0</v>
      </c>
      <c r="O5638" s="15" t="s">
        <v>1554</v>
      </c>
      <c r="Q5638" s="7"/>
    </row>
    <row r="5639">
      <c r="A5639" s="39" t="s">
        <v>21772</v>
      </c>
      <c r="B5639" s="15">
        <v>1608047.0</v>
      </c>
      <c r="C5639" s="15" t="s">
        <v>21773</v>
      </c>
      <c r="D5639" s="15">
        <v>344205.0</v>
      </c>
      <c r="E5639" s="15" t="s">
        <v>1548</v>
      </c>
      <c r="F5639" s="15" t="s">
        <v>5290</v>
      </c>
      <c r="G5639" s="7">
        <v>18.467</v>
      </c>
      <c r="H5639" s="15" t="s">
        <v>21774</v>
      </c>
      <c r="I5639" s="15" t="s">
        <v>1560</v>
      </c>
      <c r="J5639" s="15" t="s">
        <v>21776</v>
      </c>
      <c r="K5639" s="15">
        <v>3.0</v>
      </c>
      <c r="L5639" s="15">
        <v>3.0</v>
      </c>
      <c r="M5639" s="40">
        <v>42043.0</v>
      </c>
      <c r="N5639" s="40">
        <v>42636.0</v>
      </c>
      <c r="O5639" s="15" t="s">
        <v>1554</v>
      </c>
      <c r="Q5639" s="7"/>
    </row>
    <row r="5640">
      <c r="A5640" s="39" t="s">
        <v>21777</v>
      </c>
      <c r="B5640" s="15">
        <v>1608041.0</v>
      </c>
      <c r="C5640" s="15" t="s">
        <v>21778</v>
      </c>
      <c r="D5640" s="15">
        <v>344206.0</v>
      </c>
      <c r="E5640" s="15" t="s">
        <v>1548</v>
      </c>
      <c r="F5640" s="15" t="s">
        <v>1890</v>
      </c>
      <c r="G5640" s="7">
        <v>11.843</v>
      </c>
      <c r="H5640" s="15" t="s">
        <v>3836</v>
      </c>
      <c r="I5640" s="15" t="s">
        <v>1560</v>
      </c>
      <c r="J5640" s="15" t="s">
        <v>21779</v>
      </c>
      <c r="K5640" s="15">
        <v>5.0</v>
      </c>
      <c r="L5640" s="15">
        <v>5.0</v>
      </c>
      <c r="M5640" s="40">
        <v>42043.0</v>
      </c>
      <c r="N5640" s="40">
        <v>42636.0</v>
      </c>
      <c r="O5640" s="15" t="s">
        <v>1554</v>
      </c>
      <c r="Q5640" s="7"/>
    </row>
    <row r="5641">
      <c r="A5641" s="39" t="s">
        <v>21780</v>
      </c>
      <c r="B5641" s="15">
        <v>1115692.0</v>
      </c>
      <c r="C5641" s="15" t="s">
        <v>21781</v>
      </c>
      <c r="D5641" s="15">
        <v>344207.0</v>
      </c>
      <c r="E5641" s="15" t="s">
        <v>1638</v>
      </c>
      <c r="F5641" s="15" t="s">
        <v>1796</v>
      </c>
      <c r="G5641" s="7">
        <v>4.663</v>
      </c>
      <c r="H5641" s="15" t="s">
        <v>21782</v>
      </c>
      <c r="I5641" s="15" t="s">
        <v>1628</v>
      </c>
      <c r="J5641" s="15" t="s">
        <v>21783</v>
      </c>
      <c r="K5641" s="15">
        <v>2.0</v>
      </c>
      <c r="L5641" s="15">
        <v>2.0</v>
      </c>
      <c r="M5641" s="40">
        <v>42630.0</v>
      </c>
      <c r="N5641" s="40">
        <v>42636.0</v>
      </c>
      <c r="O5641" s="15" t="s">
        <v>1554</v>
      </c>
      <c r="Q5641" s="7"/>
    </row>
    <row r="5642">
      <c r="A5642" s="39" t="s">
        <v>21784</v>
      </c>
      <c r="B5642" s="15">
        <v>28874.0</v>
      </c>
      <c r="C5642" s="15" t="s">
        <v>21785</v>
      </c>
      <c r="D5642" s="15">
        <v>344208.0</v>
      </c>
      <c r="E5642" s="15" t="s">
        <v>1557</v>
      </c>
      <c r="F5642" s="15" t="s">
        <v>2028</v>
      </c>
      <c r="G5642" s="7">
        <v>217.124</v>
      </c>
      <c r="H5642" s="42">
        <v>43190.0</v>
      </c>
      <c r="I5642" s="15" t="s">
        <v>1686</v>
      </c>
      <c r="J5642" s="15" t="s">
        <v>21787</v>
      </c>
      <c r="K5642" s="15">
        <v>206.0</v>
      </c>
      <c r="L5642" s="15">
        <v>206.0</v>
      </c>
      <c r="M5642" s="40">
        <v>42634.0</v>
      </c>
      <c r="N5642" s="40">
        <v>42636.0</v>
      </c>
      <c r="O5642" s="15" t="s">
        <v>1554</v>
      </c>
      <c r="Q5642" s="7"/>
    </row>
    <row r="5643">
      <c r="A5643" s="39" t="s">
        <v>21788</v>
      </c>
      <c r="B5643" s="15">
        <v>1891963.0</v>
      </c>
      <c r="C5643" s="15" t="s">
        <v>21789</v>
      </c>
      <c r="D5643" s="15">
        <v>344209.0</v>
      </c>
      <c r="E5643" s="15" t="s">
        <v>1557</v>
      </c>
      <c r="F5643" s="15" t="s">
        <v>1833</v>
      </c>
      <c r="G5643" s="7">
        <v>61.626</v>
      </c>
      <c r="H5643" s="15">
        <v>65.0</v>
      </c>
      <c r="I5643" s="15" t="s">
        <v>1586</v>
      </c>
      <c r="J5643" s="15" t="s">
        <v>21790</v>
      </c>
      <c r="K5643" s="15">
        <v>96.0</v>
      </c>
      <c r="L5643" s="15">
        <v>95.0</v>
      </c>
      <c r="M5643" s="40">
        <v>42627.0</v>
      </c>
      <c r="N5643" s="40">
        <v>42636.0</v>
      </c>
      <c r="O5643" s="15" t="s">
        <v>1554</v>
      </c>
      <c r="Q5643" s="7"/>
    </row>
    <row r="5644">
      <c r="A5644" s="39" t="s">
        <v>21791</v>
      </c>
      <c r="B5644" s="15">
        <v>1891703.0</v>
      </c>
      <c r="C5644" s="15" t="s">
        <v>21792</v>
      </c>
      <c r="D5644" s="15">
        <v>344210.0</v>
      </c>
      <c r="E5644" s="15" t="s">
        <v>1557</v>
      </c>
      <c r="F5644" s="15" t="s">
        <v>1767</v>
      </c>
      <c r="G5644" s="7">
        <v>160.985</v>
      </c>
      <c r="H5644" s="15" t="s">
        <v>12937</v>
      </c>
      <c r="I5644" s="15" t="s">
        <v>1586</v>
      </c>
      <c r="J5644" s="15" t="s">
        <v>21793</v>
      </c>
      <c r="K5644" s="15">
        <v>291.0</v>
      </c>
      <c r="L5644" s="15">
        <v>258.0</v>
      </c>
      <c r="M5644" s="40">
        <v>42627.0</v>
      </c>
      <c r="N5644" s="40">
        <v>42636.0</v>
      </c>
      <c r="O5644" s="15" t="s">
        <v>1554</v>
      </c>
      <c r="Q5644" s="7"/>
    </row>
    <row r="5645">
      <c r="A5645" s="39" t="s">
        <v>21794</v>
      </c>
      <c r="B5645" s="15">
        <v>1887656.0</v>
      </c>
      <c r="C5645" s="15" t="s">
        <v>21795</v>
      </c>
      <c r="D5645" s="15">
        <v>344211.0</v>
      </c>
      <c r="E5645" s="15" t="s">
        <v>1557</v>
      </c>
      <c r="F5645" s="15" t="s">
        <v>1833</v>
      </c>
      <c r="G5645" s="7">
        <v>52.077</v>
      </c>
      <c r="H5645" s="15" t="s">
        <v>8941</v>
      </c>
      <c r="I5645" s="15" t="s">
        <v>1586</v>
      </c>
      <c r="J5645" s="15" t="s">
        <v>21796</v>
      </c>
      <c r="K5645" s="15">
        <v>79.0</v>
      </c>
      <c r="L5645" s="15">
        <v>79.0</v>
      </c>
      <c r="M5645" s="40">
        <v>42606.0</v>
      </c>
      <c r="N5645" s="40">
        <v>42752.0</v>
      </c>
      <c r="O5645" s="15" t="s">
        <v>1554</v>
      </c>
      <c r="Q5645" s="7"/>
    </row>
    <row r="5646">
      <c r="A5646" s="39" t="s">
        <v>21798</v>
      </c>
      <c r="B5646" s="15">
        <v>1887655.0</v>
      </c>
      <c r="C5646" s="15" t="s">
        <v>21799</v>
      </c>
      <c r="D5646" s="15">
        <v>344212.0</v>
      </c>
      <c r="E5646" s="15" t="s">
        <v>1557</v>
      </c>
      <c r="F5646" s="15" t="s">
        <v>1833</v>
      </c>
      <c r="G5646" s="7">
        <v>57.804</v>
      </c>
      <c r="H5646" s="15" t="s">
        <v>4419</v>
      </c>
      <c r="I5646" s="15" t="s">
        <v>1586</v>
      </c>
      <c r="J5646" s="15" t="s">
        <v>21800</v>
      </c>
      <c r="K5646" s="15">
        <v>93.0</v>
      </c>
      <c r="L5646" s="15">
        <v>93.0</v>
      </c>
      <c r="M5646" s="40">
        <v>42606.0</v>
      </c>
      <c r="N5646" s="40">
        <v>42636.0</v>
      </c>
      <c r="O5646" s="15" t="s">
        <v>1554</v>
      </c>
      <c r="Q5646" s="7"/>
    </row>
    <row r="5647">
      <c r="A5647" s="39" t="s">
        <v>21801</v>
      </c>
      <c r="B5647" s="15">
        <v>1887654.0</v>
      </c>
      <c r="C5647" s="15" t="s">
        <v>21802</v>
      </c>
      <c r="D5647" s="15">
        <v>344213.0</v>
      </c>
      <c r="E5647" s="15" t="s">
        <v>1557</v>
      </c>
      <c r="F5647" s="15" t="s">
        <v>1833</v>
      </c>
      <c r="G5647" s="7">
        <v>66.611</v>
      </c>
      <c r="H5647" s="15" t="s">
        <v>8179</v>
      </c>
      <c r="I5647" s="15" t="s">
        <v>1586</v>
      </c>
      <c r="J5647" s="15" t="s">
        <v>21803</v>
      </c>
      <c r="K5647" s="15">
        <v>97.0</v>
      </c>
      <c r="L5647" s="15">
        <v>97.0</v>
      </c>
      <c r="M5647" s="40">
        <v>42606.0</v>
      </c>
      <c r="N5647" s="40">
        <v>42752.0</v>
      </c>
      <c r="O5647" s="15" t="s">
        <v>1554</v>
      </c>
      <c r="Q5647" s="7"/>
    </row>
    <row r="5648">
      <c r="A5648" s="39" t="s">
        <v>21804</v>
      </c>
      <c r="B5648" s="15">
        <v>876449.0</v>
      </c>
      <c r="C5648" s="15" t="s">
        <v>21805</v>
      </c>
      <c r="D5648" s="15">
        <v>344214.0</v>
      </c>
      <c r="E5648" s="15" t="s">
        <v>1557</v>
      </c>
      <c r="F5648" s="15" t="s">
        <v>1611</v>
      </c>
      <c r="G5648" s="7">
        <v>41.809</v>
      </c>
      <c r="H5648" s="15" t="s">
        <v>1700</v>
      </c>
      <c r="I5648" s="15" t="s">
        <v>1586</v>
      </c>
      <c r="J5648" s="15" t="s">
        <v>21806</v>
      </c>
      <c r="K5648" s="15">
        <v>80.0</v>
      </c>
      <c r="L5648" s="15">
        <v>80.0</v>
      </c>
      <c r="M5648" s="40">
        <v>41312.0</v>
      </c>
      <c r="N5648" s="40">
        <v>42636.0</v>
      </c>
      <c r="O5648" s="15" t="s">
        <v>1554</v>
      </c>
      <c r="Q5648" s="7"/>
    </row>
    <row r="5649">
      <c r="A5649" s="39" t="s">
        <v>21807</v>
      </c>
      <c r="B5649" s="15">
        <v>1902502.0</v>
      </c>
      <c r="C5649" s="15" t="s">
        <v>21808</v>
      </c>
      <c r="D5649" s="15">
        <v>344215.0</v>
      </c>
      <c r="E5649" s="15" t="s">
        <v>1548</v>
      </c>
      <c r="F5649" s="15" t="s">
        <v>1776</v>
      </c>
      <c r="G5649" s="7">
        <v>9.112</v>
      </c>
      <c r="H5649" s="15">
        <v>51.0</v>
      </c>
      <c r="I5649" s="15" t="s">
        <v>1686</v>
      </c>
      <c r="J5649" s="15" t="s">
        <v>21809</v>
      </c>
      <c r="K5649" s="15">
        <v>1.0</v>
      </c>
      <c r="L5649" s="15">
        <v>1.0</v>
      </c>
      <c r="M5649" s="40">
        <v>42634.0</v>
      </c>
      <c r="N5649" s="40">
        <v>42636.0</v>
      </c>
      <c r="O5649" s="15" t="s">
        <v>1554</v>
      </c>
      <c r="Q5649" s="7"/>
    </row>
    <row r="5650">
      <c r="A5650" s="39" t="s">
        <v>21811</v>
      </c>
      <c r="B5650" s="15">
        <v>1902501.0</v>
      </c>
      <c r="C5650" s="15" t="s">
        <v>21812</v>
      </c>
      <c r="D5650" s="15">
        <v>344216.0</v>
      </c>
      <c r="E5650" s="15" t="s">
        <v>1548</v>
      </c>
      <c r="F5650" s="15" t="s">
        <v>1776</v>
      </c>
      <c r="G5650" s="7">
        <v>8.938</v>
      </c>
      <c r="H5650" s="15" t="s">
        <v>2296</v>
      </c>
      <c r="I5650" s="15" t="s">
        <v>1686</v>
      </c>
      <c r="J5650" s="15" t="s">
        <v>21813</v>
      </c>
      <c r="K5650" s="15">
        <v>1.0</v>
      </c>
      <c r="L5650" s="15">
        <v>1.0</v>
      </c>
      <c r="M5650" s="40">
        <v>42634.0</v>
      </c>
      <c r="N5650" s="40">
        <v>42636.0</v>
      </c>
      <c r="O5650" s="15" t="s">
        <v>1554</v>
      </c>
      <c r="Q5650" s="7"/>
    </row>
    <row r="5651">
      <c r="A5651" s="39" t="s">
        <v>21814</v>
      </c>
      <c r="B5651" s="15">
        <v>1899566.0</v>
      </c>
      <c r="C5651" s="15" t="s">
        <v>21815</v>
      </c>
      <c r="D5651" s="15">
        <v>344217.0</v>
      </c>
      <c r="E5651" s="15" t="s">
        <v>1548</v>
      </c>
      <c r="F5651" s="15" t="s">
        <v>1786</v>
      </c>
      <c r="G5651" s="7">
        <v>8.525</v>
      </c>
      <c r="H5651" s="15">
        <v>42.0</v>
      </c>
      <c r="I5651" s="15" t="s">
        <v>1628</v>
      </c>
      <c r="J5651" s="15" t="s">
        <v>21816</v>
      </c>
      <c r="K5651" s="15">
        <v>6.0</v>
      </c>
      <c r="L5651" s="15">
        <v>6.0</v>
      </c>
      <c r="M5651" s="40">
        <v>42632.0</v>
      </c>
      <c r="N5651" s="40">
        <v>42636.0</v>
      </c>
      <c r="O5651" s="15" t="s">
        <v>1554</v>
      </c>
      <c r="Q5651" s="7"/>
    </row>
    <row r="5652">
      <c r="A5652" s="39" t="s">
        <v>21817</v>
      </c>
      <c r="B5652" s="15">
        <v>1883202.0</v>
      </c>
      <c r="C5652" s="15" t="s">
        <v>21818</v>
      </c>
      <c r="D5652" s="15">
        <v>344218.0</v>
      </c>
      <c r="E5652" s="15" t="s">
        <v>1557</v>
      </c>
      <c r="F5652" s="15" t="s">
        <v>1833</v>
      </c>
      <c r="G5652" s="7">
        <v>44.513</v>
      </c>
      <c r="H5652" s="15" t="s">
        <v>4673</v>
      </c>
      <c r="I5652" s="15" t="s">
        <v>1586</v>
      </c>
      <c r="J5652" s="15" t="s">
        <v>21820</v>
      </c>
      <c r="K5652" s="15">
        <v>61.0</v>
      </c>
      <c r="L5652" s="15">
        <v>61.0</v>
      </c>
      <c r="M5652" s="40">
        <v>42590.0</v>
      </c>
      <c r="N5652" s="40">
        <v>42636.0</v>
      </c>
      <c r="O5652" s="15" t="s">
        <v>1554</v>
      </c>
      <c r="Q5652" s="7"/>
    </row>
    <row r="5653">
      <c r="A5653" s="39" t="s">
        <v>21821</v>
      </c>
      <c r="B5653" s="15">
        <v>1862960.0</v>
      </c>
      <c r="C5653" s="15" t="s">
        <v>21822</v>
      </c>
      <c r="D5653" s="15">
        <v>344188.0</v>
      </c>
      <c r="E5653" s="15" t="s">
        <v>1557</v>
      </c>
      <c r="F5653" s="15" t="s">
        <v>1833</v>
      </c>
      <c r="G5653" s="7">
        <v>22.24</v>
      </c>
      <c r="H5653" s="15" t="s">
        <v>3554</v>
      </c>
      <c r="I5653" s="15" t="s">
        <v>1586</v>
      </c>
      <c r="J5653" s="15" t="s">
        <v>21823</v>
      </c>
      <c r="K5653" s="15">
        <v>38.0</v>
      </c>
      <c r="L5653" s="15">
        <v>38.0</v>
      </c>
      <c r="M5653" s="40">
        <v>42552.0</v>
      </c>
      <c r="N5653" s="40">
        <v>42636.0</v>
      </c>
      <c r="O5653" s="15" t="s">
        <v>1554</v>
      </c>
      <c r="Q5653" s="7"/>
    </row>
    <row r="5654">
      <c r="A5654" s="39" t="s">
        <v>21824</v>
      </c>
      <c r="B5654" s="15">
        <v>1862959.0</v>
      </c>
      <c r="C5654" s="15" t="s">
        <v>21825</v>
      </c>
      <c r="D5654" s="15">
        <v>344189.0</v>
      </c>
      <c r="E5654" s="15" t="s">
        <v>1557</v>
      </c>
      <c r="F5654" s="15" t="s">
        <v>1833</v>
      </c>
      <c r="G5654" s="7">
        <v>22.884</v>
      </c>
      <c r="H5654" s="15" t="s">
        <v>3568</v>
      </c>
      <c r="I5654" s="15" t="s">
        <v>1586</v>
      </c>
      <c r="J5654" s="15" t="s">
        <v>21826</v>
      </c>
      <c r="K5654" s="15">
        <v>40.0</v>
      </c>
      <c r="L5654" s="15">
        <v>40.0</v>
      </c>
      <c r="M5654" s="40">
        <v>42552.0</v>
      </c>
      <c r="N5654" s="40">
        <v>42636.0</v>
      </c>
      <c r="O5654" s="15" t="s">
        <v>1554</v>
      </c>
      <c r="Q5654" s="7"/>
    </row>
    <row r="5655">
      <c r="A5655" s="39" t="s">
        <v>21827</v>
      </c>
      <c r="B5655" s="15">
        <v>1862958.0</v>
      </c>
      <c r="C5655" s="15" t="s">
        <v>21828</v>
      </c>
      <c r="D5655" s="15">
        <v>344190.0</v>
      </c>
      <c r="E5655" s="15" t="s">
        <v>1557</v>
      </c>
      <c r="F5655" s="15" t="s">
        <v>1833</v>
      </c>
      <c r="G5655" s="7">
        <v>22.825</v>
      </c>
      <c r="H5655" s="15" t="s">
        <v>3827</v>
      </c>
      <c r="I5655" s="15" t="s">
        <v>1586</v>
      </c>
      <c r="J5655" s="15" t="s">
        <v>21829</v>
      </c>
      <c r="K5655" s="15">
        <v>40.0</v>
      </c>
      <c r="L5655" s="15">
        <v>40.0</v>
      </c>
      <c r="M5655" s="40">
        <v>42552.0</v>
      </c>
      <c r="N5655" s="40">
        <v>42636.0</v>
      </c>
      <c r="O5655" s="15" t="s">
        <v>1554</v>
      </c>
      <c r="Q5655" s="7"/>
    </row>
    <row r="5656">
      <c r="A5656" s="39" t="s">
        <v>21830</v>
      </c>
      <c r="B5656" s="15">
        <v>1844477.0</v>
      </c>
      <c r="C5656" s="15" t="s">
        <v>21831</v>
      </c>
      <c r="D5656" s="15">
        <v>344191.0</v>
      </c>
      <c r="E5656" s="15" t="s">
        <v>1557</v>
      </c>
      <c r="F5656" s="15" t="s">
        <v>1833</v>
      </c>
      <c r="G5656" s="7">
        <v>58.566</v>
      </c>
      <c r="H5656" s="15" t="s">
        <v>10545</v>
      </c>
      <c r="I5656" s="15" t="s">
        <v>1586</v>
      </c>
      <c r="J5656" s="15" t="s">
        <v>21832</v>
      </c>
      <c r="K5656" s="15">
        <v>74.0</v>
      </c>
      <c r="L5656" s="15">
        <v>74.0</v>
      </c>
      <c r="M5656" s="40">
        <v>42505.0</v>
      </c>
      <c r="N5656" s="40">
        <v>42636.0</v>
      </c>
      <c r="O5656" s="15" t="s">
        <v>1554</v>
      </c>
      <c r="Q5656" s="7"/>
    </row>
    <row r="5657">
      <c r="A5657" s="39" t="s">
        <v>21834</v>
      </c>
      <c r="B5657" s="15">
        <v>1837862.0</v>
      </c>
      <c r="C5657" s="15" t="s">
        <v>21835</v>
      </c>
      <c r="D5657" s="15">
        <v>344192.0</v>
      </c>
      <c r="E5657" s="15" t="s">
        <v>1557</v>
      </c>
      <c r="F5657" s="15" t="s">
        <v>1833</v>
      </c>
      <c r="G5657" s="7">
        <v>33.697</v>
      </c>
      <c r="H5657" s="15" t="s">
        <v>2820</v>
      </c>
      <c r="I5657" s="15" t="s">
        <v>1586</v>
      </c>
      <c r="J5657" s="15" t="s">
        <v>21836</v>
      </c>
      <c r="K5657" s="15">
        <v>35.0</v>
      </c>
      <c r="L5657" s="15">
        <v>35.0</v>
      </c>
      <c r="M5657" s="40">
        <v>42576.0</v>
      </c>
      <c r="N5657" s="40">
        <v>42636.0</v>
      </c>
      <c r="O5657" s="15" t="s">
        <v>1554</v>
      </c>
      <c r="Q5657" s="7"/>
    </row>
    <row r="5658">
      <c r="A5658" s="39" t="s">
        <v>21837</v>
      </c>
      <c r="B5658" s="15">
        <v>1837850.0</v>
      </c>
      <c r="C5658" s="15" t="s">
        <v>21838</v>
      </c>
      <c r="D5658" s="15">
        <v>344193.0</v>
      </c>
      <c r="E5658" s="15" t="s">
        <v>1557</v>
      </c>
      <c r="F5658" s="15" t="s">
        <v>1611</v>
      </c>
      <c r="G5658" s="7">
        <v>72.697</v>
      </c>
      <c r="H5658" s="15" t="s">
        <v>3776</v>
      </c>
      <c r="I5658" s="15" t="s">
        <v>1586</v>
      </c>
      <c r="J5658" s="15" t="s">
        <v>21839</v>
      </c>
      <c r="K5658" s="15">
        <v>95.0</v>
      </c>
      <c r="L5658" s="15">
        <v>93.0</v>
      </c>
      <c r="M5658" s="40">
        <v>42539.0</v>
      </c>
      <c r="N5658" s="40">
        <v>42636.0</v>
      </c>
      <c r="O5658" s="15" t="s">
        <v>1554</v>
      </c>
      <c r="Q5658" s="7"/>
    </row>
    <row r="5659">
      <c r="A5659" s="39" t="s">
        <v>21840</v>
      </c>
      <c r="B5659" s="15">
        <v>1837842.0</v>
      </c>
      <c r="C5659" s="15" t="s">
        <v>21841</v>
      </c>
      <c r="D5659" s="15">
        <v>344194.0</v>
      </c>
      <c r="E5659" s="15" t="s">
        <v>1557</v>
      </c>
      <c r="F5659" s="15" t="s">
        <v>1611</v>
      </c>
      <c r="G5659" s="7">
        <v>39.235</v>
      </c>
      <c r="H5659" s="15" t="s">
        <v>2901</v>
      </c>
      <c r="I5659" s="15" t="s">
        <v>1586</v>
      </c>
      <c r="J5659" s="15" t="s">
        <v>21842</v>
      </c>
      <c r="K5659" s="15">
        <v>45.0</v>
      </c>
      <c r="L5659" s="15">
        <v>45.0</v>
      </c>
      <c r="M5659" s="40">
        <v>42543.0</v>
      </c>
      <c r="N5659" s="40">
        <v>42636.0</v>
      </c>
      <c r="O5659" s="15" t="s">
        <v>1554</v>
      </c>
      <c r="Q5659" s="7"/>
    </row>
    <row r="5660">
      <c r="A5660" s="39" t="s">
        <v>21843</v>
      </c>
      <c r="B5660" s="15">
        <v>1837218.0</v>
      </c>
      <c r="C5660" s="15" t="s">
        <v>21844</v>
      </c>
      <c r="D5660" s="15">
        <v>344195.0</v>
      </c>
      <c r="E5660" s="15" t="s">
        <v>1557</v>
      </c>
      <c r="F5660" s="15" t="s">
        <v>1833</v>
      </c>
      <c r="G5660" s="7">
        <v>49.167</v>
      </c>
      <c r="H5660" s="15" t="s">
        <v>1813</v>
      </c>
      <c r="I5660" s="15" t="s">
        <v>1586</v>
      </c>
      <c r="J5660" s="15" t="s">
        <v>21845</v>
      </c>
      <c r="K5660" s="15">
        <v>83.0</v>
      </c>
      <c r="L5660" s="15">
        <v>83.0</v>
      </c>
      <c r="M5660" s="40">
        <v>42487.0</v>
      </c>
      <c r="N5660" s="40">
        <v>42636.0</v>
      </c>
      <c r="O5660" s="15" t="s">
        <v>1554</v>
      </c>
      <c r="Q5660" s="7"/>
    </row>
    <row r="5661">
      <c r="A5661" s="39" t="s">
        <v>21846</v>
      </c>
      <c r="B5661" s="15">
        <v>1868596.0</v>
      </c>
      <c r="C5661" s="15" t="s">
        <v>21847</v>
      </c>
      <c r="D5661" s="15">
        <v>344223.0</v>
      </c>
      <c r="E5661" s="15" t="s">
        <v>1557</v>
      </c>
      <c r="F5661" s="15" t="s">
        <v>1833</v>
      </c>
      <c r="G5661" s="7">
        <v>43.277</v>
      </c>
      <c r="H5661" s="15" t="s">
        <v>9648</v>
      </c>
      <c r="I5661" s="15" t="s">
        <v>1586</v>
      </c>
      <c r="J5661" s="15" t="s">
        <v>21849</v>
      </c>
      <c r="K5661" s="15">
        <v>64.0</v>
      </c>
      <c r="L5661" s="15">
        <v>64.0</v>
      </c>
      <c r="M5661" s="40">
        <v>42556.0</v>
      </c>
      <c r="N5661" s="40">
        <v>42636.0</v>
      </c>
      <c r="O5661" s="15" t="s">
        <v>1554</v>
      </c>
      <c r="Q5661" s="7"/>
    </row>
    <row r="5662">
      <c r="A5662" s="39" t="s">
        <v>21850</v>
      </c>
      <c r="B5662" s="15">
        <v>1864623.0</v>
      </c>
      <c r="C5662" s="15" t="s">
        <v>21851</v>
      </c>
      <c r="D5662" s="15">
        <v>344224.0</v>
      </c>
      <c r="E5662" s="15" t="s">
        <v>1557</v>
      </c>
      <c r="F5662" s="15" t="s">
        <v>1611</v>
      </c>
      <c r="G5662" s="7">
        <v>41.76</v>
      </c>
      <c r="H5662" s="15" t="s">
        <v>3973</v>
      </c>
      <c r="I5662" s="15" t="s">
        <v>1586</v>
      </c>
      <c r="J5662" s="15" t="s">
        <v>21852</v>
      </c>
      <c r="K5662" s="15">
        <v>52.0</v>
      </c>
      <c r="L5662" s="15">
        <v>52.0</v>
      </c>
      <c r="M5662" s="40">
        <v>42553.0</v>
      </c>
      <c r="N5662" s="40">
        <v>42871.0</v>
      </c>
      <c r="O5662" s="15" t="s">
        <v>1554</v>
      </c>
      <c r="Q5662" s="7"/>
    </row>
    <row r="5663">
      <c r="A5663" s="39" t="s">
        <v>21853</v>
      </c>
      <c r="B5663" s="15">
        <v>1864622.0</v>
      </c>
      <c r="C5663" s="15" t="s">
        <v>21854</v>
      </c>
      <c r="D5663" s="15">
        <v>344225.0</v>
      </c>
      <c r="E5663" s="15" t="s">
        <v>1557</v>
      </c>
      <c r="F5663" s="15" t="s">
        <v>1767</v>
      </c>
      <c r="G5663" s="7">
        <v>41.918</v>
      </c>
      <c r="H5663" s="15" t="s">
        <v>3246</v>
      </c>
      <c r="I5663" s="15" t="s">
        <v>1586</v>
      </c>
      <c r="J5663" s="15" t="s">
        <v>21855</v>
      </c>
      <c r="K5663" s="15">
        <v>65.0</v>
      </c>
      <c r="L5663" s="15">
        <v>64.0</v>
      </c>
      <c r="M5663" s="40">
        <v>42553.0</v>
      </c>
      <c r="N5663" s="40">
        <v>42636.0</v>
      </c>
      <c r="O5663" s="15" t="s">
        <v>1554</v>
      </c>
      <c r="Q5663" s="7"/>
    </row>
    <row r="5664">
      <c r="A5664" s="39" t="s">
        <v>21856</v>
      </c>
      <c r="B5664" s="15">
        <v>1863011.0</v>
      </c>
      <c r="C5664" s="15" t="s">
        <v>21857</v>
      </c>
      <c r="D5664" s="15">
        <v>344226.0</v>
      </c>
      <c r="E5664" s="15" t="s">
        <v>1557</v>
      </c>
      <c r="F5664" s="15" t="s">
        <v>1767</v>
      </c>
      <c r="G5664" s="7">
        <v>169.621</v>
      </c>
      <c r="H5664" s="15" t="s">
        <v>1714</v>
      </c>
      <c r="I5664" s="15" t="s">
        <v>1586</v>
      </c>
      <c r="J5664" s="15" t="s">
        <v>21859</v>
      </c>
      <c r="K5664" s="15">
        <v>271.0</v>
      </c>
      <c r="L5664" s="15">
        <v>269.0</v>
      </c>
      <c r="M5664" s="40">
        <v>42553.0</v>
      </c>
      <c r="N5664" s="40">
        <v>42636.0</v>
      </c>
      <c r="O5664" s="15" t="s">
        <v>1554</v>
      </c>
      <c r="Q5664" s="7"/>
    </row>
    <row r="5665">
      <c r="A5665" s="39" t="s">
        <v>21860</v>
      </c>
      <c r="B5665" s="15">
        <v>1810705.0</v>
      </c>
      <c r="C5665" s="15" t="s">
        <v>21861</v>
      </c>
      <c r="D5665" s="15">
        <v>343487.0</v>
      </c>
      <c r="E5665" s="15" t="s">
        <v>1557</v>
      </c>
      <c r="F5665" s="15" t="s">
        <v>1611</v>
      </c>
      <c r="G5665" s="7">
        <v>42.418</v>
      </c>
      <c r="H5665" s="15" t="s">
        <v>2981</v>
      </c>
      <c r="I5665" s="15" t="s">
        <v>1586</v>
      </c>
      <c r="J5665" s="15" t="s">
        <v>21862</v>
      </c>
      <c r="K5665" s="15">
        <v>64.0</v>
      </c>
      <c r="L5665" s="15">
        <v>64.0</v>
      </c>
      <c r="M5665" s="40">
        <v>42487.0</v>
      </c>
      <c r="N5665" s="40">
        <v>42632.0</v>
      </c>
      <c r="O5665" s="15" t="s">
        <v>1554</v>
      </c>
      <c r="Q5665" s="7"/>
    </row>
    <row r="5666">
      <c r="A5666" s="39" t="s">
        <v>21863</v>
      </c>
      <c r="B5666" s="15">
        <v>1708712.0</v>
      </c>
      <c r="C5666" s="15" t="s">
        <v>21864</v>
      </c>
      <c r="D5666" s="15">
        <v>343491.0</v>
      </c>
      <c r="E5666" s="15" t="s">
        <v>1638</v>
      </c>
      <c r="F5666" s="15" t="s">
        <v>2849</v>
      </c>
      <c r="G5666" s="7">
        <v>9.639</v>
      </c>
      <c r="H5666" s="15" t="s">
        <v>2304</v>
      </c>
      <c r="I5666" s="15" t="s">
        <v>1552</v>
      </c>
      <c r="J5666" s="15" t="s">
        <v>21865</v>
      </c>
      <c r="K5666" s="15">
        <v>1.0</v>
      </c>
      <c r="L5666" s="15">
        <v>1.0</v>
      </c>
      <c r="M5666" s="40">
        <v>42311.0</v>
      </c>
      <c r="N5666" s="40">
        <v>42632.0</v>
      </c>
      <c r="O5666" s="15" t="s">
        <v>1554</v>
      </c>
      <c r="Q5666" s="7"/>
    </row>
    <row r="5667">
      <c r="A5667" s="39" t="s">
        <v>21866</v>
      </c>
      <c r="B5667" s="15">
        <v>1838074.0</v>
      </c>
      <c r="C5667" s="15" t="s">
        <v>21867</v>
      </c>
      <c r="D5667" s="15">
        <v>343506.0</v>
      </c>
      <c r="E5667" s="15" t="s">
        <v>1557</v>
      </c>
      <c r="F5667" s="15" t="s">
        <v>1833</v>
      </c>
      <c r="G5667" s="7">
        <v>93.577</v>
      </c>
      <c r="H5667" s="15" t="s">
        <v>2038</v>
      </c>
      <c r="I5667" s="15" t="s">
        <v>1586</v>
      </c>
      <c r="J5667" s="15" t="s">
        <v>21869</v>
      </c>
      <c r="K5667" s="15">
        <v>172.0</v>
      </c>
      <c r="L5667" s="15">
        <v>163.0</v>
      </c>
      <c r="M5667" s="40">
        <v>42491.0</v>
      </c>
      <c r="N5667" s="40">
        <v>42632.0</v>
      </c>
      <c r="O5667" s="15" t="s">
        <v>1554</v>
      </c>
      <c r="Q5667" s="7"/>
    </row>
    <row r="5668">
      <c r="A5668" s="39" t="s">
        <v>21870</v>
      </c>
      <c r="B5668" s="15">
        <v>1838067.0</v>
      </c>
      <c r="C5668" s="15" t="s">
        <v>21871</v>
      </c>
      <c r="D5668" s="15">
        <v>343510.0</v>
      </c>
      <c r="E5668" s="15" t="s">
        <v>1557</v>
      </c>
      <c r="F5668" s="15" t="s">
        <v>1833</v>
      </c>
      <c r="G5668" s="7">
        <v>74.073</v>
      </c>
      <c r="H5668" s="15" t="s">
        <v>10407</v>
      </c>
      <c r="I5668" s="15" t="s">
        <v>1586</v>
      </c>
      <c r="J5668" s="15" t="s">
        <v>21872</v>
      </c>
      <c r="K5668" s="15">
        <v>95.0</v>
      </c>
      <c r="L5668" s="15">
        <v>95.0</v>
      </c>
      <c r="M5668" s="40">
        <v>42491.0</v>
      </c>
      <c r="N5668" s="40">
        <v>42632.0</v>
      </c>
      <c r="O5668" s="15" t="s">
        <v>1554</v>
      </c>
      <c r="Q5668" s="7"/>
    </row>
    <row r="5669">
      <c r="A5669" s="39" t="s">
        <v>21873</v>
      </c>
      <c r="B5669" s="15">
        <v>1838063.0</v>
      </c>
      <c r="C5669" s="15" t="s">
        <v>21875</v>
      </c>
      <c r="D5669" s="15">
        <v>343514.0</v>
      </c>
      <c r="E5669" s="15" t="s">
        <v>1557</v>
      </c>
      <c r="F5669" s="15" t="s">
        <v>1833</v>
      </c>
      <c r="G5669" s="7">
        <v>46.57</v>
      </c>
      <c r="H5669" s="15" t="s">
        <v>2632</v>
      </c>
      <c r="I5669" s="15" t="s">
        <v>1586</v>
      </c>
      <c r="J5669" s="15" t="s">
        <v>21876</v>
      </c>
      <c r="K5669" s="15">
        <v>67.0</v>
      </c>
      <c r="L5669" s="15">
        <v>67.0</v>
      </c>
      <c r="M5669" s="40">
        <v>42491.0</v>
      </c>
      <c r="N5669" s="40">
        <v>42632.0</v>
      </c>
      <c r="O5669" s="15" t="s">
        <v>1554</v>
      </c>
      <c r="Q5669" s="7"/>
    </row>
    <row r="5670">
      <c r="A5670" s="39" t="s">
        <v>21877</v>
      </c>
      <c r="B5670" s="15">
        <v>1777065.0</v>
      </c>
      <c r="C5670" s="15" t="s">
        <v>21878</v>
      </c>
      <c r="D5670" s="15">
        <v>343518.0</v>
      </c>
      <c r="E5670" s="15" t="s">
        <v>1557</v>
      </c>
      <c r="F5670" s="15" t="s">
        <v>1767</v>
      </c>
      <c r="G5670" s="7">
        <v>90.552</v>
      </c>
      <c r="H5670" s="15" t="s">
        <v>3097</v>
      </c>
      <c r="I5670" s="15" t="s">
        <v>1586</v>
      </c>
      <c r="J5670" s="15" t="s">
        <v>21879</v>
      </c>
      <c r="K5670" s="15">
        <v>164.0</v>
      </c>
      <c r="L5670" s="15">
        <v>159.0</v>
      </c>
      <c r="M5670" s="40">
        <v>42458.0</v>
      </c>
      <c r="N5670" s="40">
        <v>42632.0</v>
      </c>
      <c r="O5670" s="15" t="s">
        <v>1554</v>
      </c>
      <c r="Q5670" s="7"/>
    </row>
    <row r="5671">
      <c r="A5671" s="39" t="s">
        <v>21880</v>
      </c>
      <c r="B5671" s="15">
        <v>1883200.0</v>
      </c>
      <c r="C5671" s="15" t="s">
        <v>21881</v>
      </c>
      <c r="D5671" s="15">
        <v>344219.0</v>
      </c>
      <c r="E5671" s="15" t="s">
        <v>1557</v>
      </c>
      <c r="F5671" s="15" t="s">
        <v>1833</v>
      </c>
      <c r="G5671" s="7">
        <v>45.206</v>
      </c>
      <c r="H5671" s="15" t="s">
        <v>4673</v>
      </c>
      <c r="I5671" s="15" t="s">
        <v>1586</v>
      </c>
      <c r="J5671" s="15" t="s">
        <v>21882</v>
      </c>
      <c r="K5671" s="15">
        <v>62.0</v>
      </c>
      <c r="L5671" s="15">
        <v>62.0</v>
      </c>
      <c r="M5671" s="40">
        <v>42590.0</v>
      </c>
      <c r="N5671" s="40">
        <v>42636.0</v>
      </c>
      <c r="O5671" s="15" t="s">
        <v>1554</v>
      </c>
      <c r="Q5671" s="7"/>
    </row>
    <row r="5672">
      <c r="A5672" s="39" t="s">
        <v>21883</v>
      </c>
      <c r="B5672" s="15">
        <v>1871692.0</v>
      </c>
      <c r="C5672" s="15" t="s">
        <v>21884</v>
      </c>
      <c r="D5672" s="15">
        <v>344220.0</v>
      </c>
      <c r="E5672" s="15" t="s">
        <v>1557</v>
      </c>
      <c r="F5672" s="15" t="s">
        <v>1833</v>
      </c>
      <c r="G5672" s="7">
        <v>37.933</v>
      </c>
      <c r="H5672" s="15" t="s">
        <v>3260</v>
      </c>
      <c r="I5672" s="15" t="s">
        <v>1586</v>
      </c>
      <c r="J5672" s="15" t="s">
        <v>21886</v>
      </c>
      <c r="K5672" s="15">
        <v>60.0</v>
      </c>
      <c r="L5672" s="15">
        <v>60.0</v>
      </c>
      <c r="M5672" s="40">
        <v>42571.0</v>
      </c>
      <c r="N5672" s="40">
        <v>42636.0</v>
      </c>
      <c r="O5672" s="15" t="s">
        <v>1554</v>
      </c>
      <c r="Q5672" s="7"/>
    </row>
    <row r="5673">
      <c r="A5673" s="39" t="s">
        <v>21887</v>
      </c>
      <c r="B5673" s="15">
        <v>1868654.0</v>
      </c>
      <c r="C5673" s="15" t="s">
        <v>21888</v>
      </c>
      <c r="D5673" s="15">
        <v>344221.0</v>
      </c>
      <c r="E5673" s="15" t="s">
        <v>1557</v>
      </c>
      <c r="F5673" s="15" t="s">
        <v>1767</v>
      </c>
      <c r="G5673" s="7">
        <v>158.081</v>
      </c>
      <c r="H5673" s="15" t="s">
        <v>1962</v>
      </c>
      <c r="I5673" s="15" t="s">
        <v>1586</v>
      </c>
      <c r="J5673" s="15" t="s">
        <v>21889</v>
      </c>
      <c r="K5673" s="15">
        <v>214.0</v>
      </c>
      <c r="L5673" s="15">
        <v>209.0</v>
      </c>
      <c r="M5673" s="40">
        <v>42556.0</v>
      </c>
      <c r="N5673" s="40">
        <v>42636.0</v>
      </c>
      <c r="O5673" s="15" t="s">
        <v>1554</v>
      </c>
      <c r="Q5673" s="7"/>
    </row>
    <row r="5674">
      <c r="A5674" s="39" t="s">
        <v>21890</v>
      </c>
      <c r="B5674" s="15">
        <v>1868599.0</v>
      </c>
      <c r="C5674" s="15" t="s">
        <v>21891</v>
      </c>
      <c r="D5674" s="15">
        <v>344222.0</v>
      </c>
      <c r="E5674" s="15" t="s">
        <v>1557</v>
      </c>
      <c r="F5674" s="15" t="s">
        <v>1833</v>
      </c>
      <c r="G5674" s="7">
        <v>43.773</v>
      </c>
      <c r="H5674" s="15" t="s">
        <v>3568</v>
      </c>
      <c r="I5674" s="15" t="s">
        <v>1586</v>
      </c>
      <c r="J5674" s="15" t="s">
        <v>21892</v>
      </c>
      <c r="K5674" s="15">
        <v>68.0</v>
      </c>
      <c r="L5674" s="15">
        <v>68.0</v>
      </c>
      <c r="M5674" s="40">
        <v>42571.0</v>
      </c>
      <c r="N5674" s="40">
        <v>42636.0</v>
      </c>
      <c r="O5674" s="15" t="s">
        <v>1554</v>
      </c>
      <c r="Q5674" s="7"/>
    </row>
    <row r="5675">
      <c r="A5675" s="39" t="s">
        <v>21894</v>
      </c>
      <c r="B5675" s="15">
        <v>1777053.0</v>
      </c>
      <c r="C5675" s="15" t="s">
        <v>21895</v>
      </c>
      <c r="D5675" s="15">
        <v>343522.0</v>
      </c>
      <c r="E5675" s="15" t="s">
        <v>1557</v>
      </c>
      <c r="F5675" s="15" t="s">
        <v>1833</v>
      </c>
      <c r="G5675" s="7">
        <v>36.938</v>
      </c>
      <c r="H5675" s="15" t="s">
        <v>3286</v>
      </c>
      <c r="I5675" s="15" t="s">
        <v>1586</v>
      </c>
      <c r="J5675" s="15" t="s">
        <v>21896</v>
      </c>
      <c r="K5675" s="15">
        <v>57.0</v>
      </c>
      <c r="L5675" s="15">
        <v>57.0</v>
      </c>
      <c r="M5675" s="40">
        <v>42410.0</v>
      </c>
      <c r="N5675" s="40">
        <v>42632.0</v>
      </c>
      <c r="O5675" s="15" t="s">
        <v>1554</v>
      </c>
      <c r="Q5675" s="7"/>
    </row>
    <row r="5676">
      <c r="A5676" s="39" t="s">
        <v>21897</v>
      </c>
      <c r="B5676" s="15">
        <v>1701842.0</v>
      </c>
      <c r="C5676" s="15" t="s">
        <v>21898</v>
      </c>
      <c r="D5676" s="15">
        <v>343526.0</v>
      </c>
      <c r="E5676" s="15" t="s">
        <v>1557</v>
      </c>
      <c r="F5676" s="15" t="s">
        <v>1833</v>
      </c>
      <c r="G5676" s="7">
        <v>33.477</v>
      </c>
      <c r="H5676" s="15">
        <v>39.0</v>
      </c>
      <c r="I5676" s="15" t="s">
        <v>1586</v>
      </c>
      <c r="J5676" s="15" t="s">
        <v>21899</v>
      </c>
      <c r="K5676" s="15">
        <v>36.0</v>
      </c>
      <c r="L5676" s="15">
        <v>35.0</v>
      </c>
      <c r="M5676" s="40">
        <v>42444.0</v>
      </c>
      <c r="N5676" s="40">
        <v>42632.0</v>
      </c>
      <c r="O5676" s="15" t="s">
        <v>1554</v>
      </c>
      <c r="Q5676" s="7"/>
    </row>
    <row r="5677">
      <c r="A5677" s="39" t="s">
        <v>21900</v>
      </c>
      <c r="B5677" s="15">
        <v>1567487.0</v>
      </c>
      <c r="C5677" s="15" t="s">
        <v>21901</v>
      </c>
      <c r="D5677" s="15">
        <v>343534.0</v>
      </c>
      <c r="E5677" s="15" t="s">
        <v>1557</v>
      </c>
      <c r="F5677" s="15" t="s">
        <v>1578</v>
      </c>
      <c r="G5677" s="7">
        <v>39.873</v>
      </c>
      <c r="H5677" s="15" t="s">
        <v>3255</v>
      </c>
      <c r="I5677" s="15" t="s">
        <v>1586</v>
      </c>
      <c r="J5677" s="15" t="s">
        <v>21902</v>
      </c>
      <c r="K5677" s="15">
        <v>56.0</v>
      </c>
      <c r="L5677" s="15">
        <v>56.0</v>
      </c>
      <c r="M5677" s="41">
        <v>42308.0</v>
      </c>
      <c r="N5677" s="40">
        <v>42632.0</v>
      </c>
      <c r="O5677" s="15" t="s">
        <v>1554</v>
      </c>
      <c r="Q5677" s="7"/>
    </row>
    <row r="5678">
      <c r="A5678" s="39" t="s">
        <v>21904</v>
      </c>
      <c r="B5678" s="15">
        <v>1838065.0</v>
      </c>
      <c r="C5678" s="15" t="s">
        <v>21905</v>
      </c>
      <c r="D5678" s="15">
        <v>343512.0</v>
      </c>
      <c r="E5678" s="15" t="s">
        <v>1557</v>
      </c>
      <c r="F5678" s="15" t="s">
        <v>1833</v>
      </c>
      <c r="G5678" s="7">
        <v>92.618</v>
      </c>
      <c r="H5678" s="15" t="s">
        <v>3890</v>
      </c>
      <c r="I5678" s="15" t="s">
        <v>1586</v>
      </c>
      <c r="J5678" s="15" t="s">
        <v>21906</v>
      </c>
      <c r="K5678" s="15">
        <v>187.0</v>
      </c>
      <c r="L5678" s="15">
        <v>179.0</v>
      </c>
      <c r="M5678" s="40">
        <v>42491.0</v>
      </c>
      <c r="N5678" s="40">
        <v>42632.0</v>
      </c>
      <c r="O5678" s="15" t="s">
        <v>1554</v>
      </c>
      <c r="Q5678" s="7"/>
    </row>
    <row r="5679">
      <c r="A5679" s="39" t="s">
        <v>21907</v>
      </c>
      <c r="B5679" s="15">
        <v>1838061.0</v>
      </c>
      <c r="C5679" s="15" t="s">
        <v>21908</v>
      </c>
      <c r="D5679" s="15">
        <v>343516.0</v>
      </c>
      <c r="E5679" s="15" t="s">
        <v>1557</v>
      </c>
      <c r="F5679" s="15" t="s">
        <v>1833</v>
      </c>
      <c r="G5679" s="7">
        <v>93.843</v>
      </c>
      <c r="H5679" s="15" t="s">
        <v>3890</v>
      </c>
      <c r="I5679" s="15" t="s">
        <v>1586</v>
      </c>
      <c r="J5679" s="15" t="s">
        <v>21909</v>
      </c>
      <c r="K5679" s="15">
        <v>190.0</v>
      </c>
      <c r="L5679" s="15">
        <v>182.0</v>
      </c>
      <c r="M5679" s="40">
        <v>42491.0</v>
      </c>
      <c r="N5679" s="40">
        <v>42632.0</v>
      </c>
      <c r="O5679" s="15" t="s">
        <v>1554</v>
      </c>
      <c r="Q5679" s="7"/>
    </row>
    <row r="5680">
      <c r="A5680" s="39" t="s">
        <v>21911</v>
      </c>
      <c r="B5680" s="15">
        <v>1777063.0</v>
      </c>
      <c r="C5680" s="15" t="s">
        <v>21912</v>
      </c>
      <c r="D5680" s="15">
        <v>343520.0</v>
      </c>
      <c r="E5680" s="15" t="s">
        <v>1557</v>
      </c>
      <c r="F5680" s="15" t="s">
        <v>1611</v>
      </c>
      <c r="G5680" s="7">
        <v>45.417</v>
      </c>
      <c r="H5680" s="15" t="s">
        <v>10848</v>
      </c>
      <c r="I5680" s="15" t="s">
        <v>1586</v>
      </c>
      <c r="J5680" s="15" t="s">
        <v>21913</v>
      </c>
      <c r="K5680" s="15">
        <v>49.0</v>
      </c>
      <c r="L5680" s="15">
        <v>49.0</v>
      </c>
      <c r="M5680" s="40">
        <v>42442.0</v>
      </c>
      <c r="N5680" s="40">
        <v>42632.0</v>
      </c>
      <c r="O5680" s="15" t="s">
        <v>1554</v>
      </c>
      <c r="Q5680" s="7"/>
    </row>
    <row r="5681">
      <c r="A5681" s="39" t="s">
        <v>21914</v>
      </c>
      <c r="B5681" s="15">
        <v>1776293.0</v>
      </c>
      <c r="C5681" s="15" t="s">
        <v>21915</v>
      </c>
      <c r="D5681" s="15">
        <v>343524.0</v>
      </c>
      <c r="E5681" s="15" t="s">
        <v>1557</v>
      </c>
      <c r="F5681" s="15" t="s">
        <v>1767</v>
      </c>
      <c r="G5681" s="7">
        <v>165.868</v>
      </c>
      <c r="H5681" s="15" t="s">
        <v>2524</v>
      </c>
      <c r="I5681" s="15" t="s">
        <v>1586</v>
      </c>
      <c r="J5681" s="15" t="s">
        <v>21916</v>
      </c>
      <c r="K5681" s="15">
        <v>238.0</v>
      </c>
      <c r="L5681" s="15">
        <v>238.0</v>
      </c>
      <c r="M5681" s="40">
        <v>42400.0</v>
      </c>
      <c r="N5681" s="40">
        <v>42632.0</v>
      </c>
      <c r="O5681" s="15" t="s">
        <v>1554</v>
      </c>
      <c r="Q5681" s="7"/>
    </row>
    <row r="5682">
      <c r="A5682" s="39" t="s">
        <v>21917</v>
      </c>
      <c r="B5682" s="15">
        <v>1647285.0</v>
      </c>
      <c r="C5682" s="15" t="s">
        <v>21918</v>
      </c>
      <c r="D5682" s="15">
        <v>343532.0</v>
      </c>
      <c r="E5682" s="15" t="s">
        <v>1557</v>
      </c>
      <c r="F5682" s="15" t="s">
        <v>1833</v>
      </c>
      <c r="G5682" s="7">
        <v>83.324</v>
      </c>
      <c r="H5682" s="15" t="s">
        <v>2965</v>
      </c>
      <c r="I5682" s="15" t="s">
        <v>1586</v>
      </c>
      <c r="J5682" s="15" t="s">
        <v>21920</v>
      </c>
      <c r="K5682" s="15">
        <v>115.0</v>
      </c>
      <c r="L5682" s="15">
        <v>115.0</v>
      </c>
      <c r="M5682" s="40">
        <v>42233.0</v>
      </c>
      <c r="N5682" s="40">
        <v>42632.0</v>
      </c>
      <c r="O5682" s="15" t="s">
        <v>1554</v>
      </c>
      <c r="Q5682" s="7"/>
    </row>
    <row r="5683">
      <c r="A5683" s="39" t="s">
        <v>21921</v>
      </c>
      <c r="B5683" s="15">
        <v>1838084.0</v>
      </c>
      <c r="C5683" s="15" t="s">
        <v>21922</v>
      </c>
      <c r="D5683" s="15">
        <v>343536.0</v>
      </c>
      <c r="E5683" s="15" t="s">
        <v>1557</v>
      </c>
      <c r="F5683" s="15" t="s">
        <v>1833</v>
      </c>
      <c r="G5683" s="7">
        <v>73.752</v>
      </c>
      <c r="H5683" s="15" t="s">
        <v>7956</v>
      </c>
      <c r="I5683" s="15" t="s">
        <v>1586</v>
      </c>
      <c r="J5683" s="15" t="s">
        <v>21923</v>
      </c>
      <c r="K5683" s="15">
        <v>92.0</v>
      </c>
      <c r="L5683" s="15">
        <v>91.0</v>
      </c>
      <c r="M5683" s="40">
        <v>42491.0</v>
      </c>
      <c r="N5683" s="40">
        <v>42632.0</v>
      </c>
      <c r="O5683" s="15" t="s">
        <v>1554</v>
      </c>
      <c r="Q5683" s="7"/>
    </row>
    <row r="5684">
      <c r="A5684" s="39" t="s">
        <v>21924</v>
      </c>
      <c r="B5684" s="15">
        <v>1450169.0</v>
      </c>
      <c r="C5684" s="15" t="s">
        <v>21925</v>
      </c>
      <c r="D5684" s="15">
        <v>343483.0</v>
      </c>
      <c r="E5684" s="15" t="s">
        <v>1557</v>
      </c>
      <c r="F5684" s="15" t="s">
        <v>1833</v>
      </c>
      <c r="G5684" s="7">
        <v>41.871</v>
      </c>
      <c r="H5684" s="15" t="s">
        <v>2098</v>
      </c>
      <c r="I5684" s="15" t="s">
        <v>1586</v>
      </c>
      <c r="J5684" s="15" t="s">
        <v>21926</v>
      </c>
      <c r="K5684" s="15">
        <v>52.0</v>
      </c>
      <c r="L5684" s="15">
        <v>52.0</v>
      </c>
      <c r="M5684" s="40">
        <v>42388.0</v>
      </c>
      <c r="N5684" s="40">
        <v>42632.0</v>
      </c>
      <c r="O5684" s="15" t="s">
        <v>1554</v>
      </c>
      <c r="Q5684" s="7"/>
    </row>
    <row r="5685">
      <c r="A5685" s="39" t="s">
        <v>21928</v>
      </c>
      <c r="B5685" s="15">
        <v>1796992.0</v>
      </c>
      <c r="C5685" s="15" t="s">
        <v>21929</v>
      </c>
      <c r="D5685" s="15">
        <v>343488.0</v>
      </c>
      <c r="E5685" s="15" t="s">
        <v>1557</v>
      </c>
      <c r="F5685" s="15" t="s">
        <v>1767</v>
      </c>
      <c r="G5685" s="7">
        <v>138.081</v>
      </c>
      <c r="H5685" s="15" t="s">
        <v>2699</v>
      </c>
      <c r="I5685" s="15" t="s">
        <v>1586</v>
      </c>
      <c r="J5685" s="15" t="s">
        <v>21930</v>
      </c>
      <c r="K5685" s="15">
        <v>177.0</v>
      </c>
      <c r="L5685" s="15">
        <v>177.0</v>
      </c>
      <c r="M5685" s="40">
        <v>42451.0</v>
      </c>
      <c r="N5685" s="40">
        <v>42632.0</v>
      </c>
      <c r="O5685" s="15" t="s">
        <v>1554</v>
      </c>
      <c r="Q5685" s="7"/>
    </row>
    <row r="5686">
      <c r="A5686" s="39" t="s">
        <v>21931</v>
      </c>
      <c r="B5686" s="15">
        <v>1497851.0</v>
      </c>
      <c r="C5686" s="15" t="s">
        <v>21932</v>
      </c>
      <c r="D5686" s="15">
        <v>343492.0</v>
      </c>
      <c r="E5686" s="15" t="s">
        <v>1557</v>
      </c>
      <c r="F5686" s="15" t="s">
        <v>1767</v>
      </c>
      <c r="G5686" s="7">
        <v>152.069</v>
      </c>
      <c r="H5686" s="15" t="s">
        <v>1591</v>
      </c>
      <c r="I5686" s="15" t="s">
        <v>1586</v>
      </c>
      <c r="J5686" s="15" t="s">
        <v>21933</v>
      </c>
      <c r="K5686" s="15">
        <v>34.0</v>
      </c>
      <c r="L5686" s="15">
        <v>34.0</v>
      </c>
      <c r="M5686" s="40">
        <v>41773.0</v>
      </c>
      <c r="N5686" s="40">
        <v>42632.0</v>
      </c>
      <c r="O5686" s="15" t="s">
        <v>1554</v>
      </c>
      <c r="Q5686" s="7"/>
    </row>
    <row r="5687">
      <c r="A5687" s="39" t="s">
        <v>21934</v>
      </c>
      <c r="B5687" s="15">
        <v>1838073.0</v>
      </c>
      <c r="C5687" s="15" t="s">
        <v>21935</v>
      </c>
      <c r="D5687" s="15">
        <v>343507.0</v>
      </c>
      <c r="E5687" s="15" t="s">
        <v>1557</v>
      </c>
      <c r="F5687" s="15" t="s">
        <v>1833</v>
      </c>
      <c r="G5687" s="7">
        <v>75.68</v>
      </c>
      <c r="H5687" s="15" t="s">
        <v>3227</v>
      </c>
      <c r="I5687" s="15" t="s">
        <v>1586</v>
      </c>
      <c r="J5687" s="15" t="s">
        <v>21936</v>
      </c>
      <c r="K5687" s="15">
        <v>106.0</v>
      </c>
      <c r="L5687" s="15">
        <v>105.0</v>
      </c>
      <c r="M5687" s="40">
        <v>42491.0</v>
      </c>
      <c r="N5687" s="40">
        <v>42632.0</v>
      </c>
      <c r="O5687" s="15" t="s">
        <v>1554</v>
      </c>
      <c r="Q5687" s="7"/>
    </row>
    <row r="5688">
      <c r="A5688" s="39" t="s">
        <v>21937</v>
      </c>
      <c r="B5688" s="15">
        <v>1838066.0</v>
      </c>
      <c r="C5688" s="15" t="s">
        <v>21938</v>
      </c>
      <c r="D5688" s="15">
        <v>343511.0</v>
      </c>
      <c r="E5688" s="15" t="s">
        <v>1557</v>
      </c>
      <c r="F5688" s="15" t="s">
        <v>1833</v>
      </c>
      <c r="G5688" s="7">
        <v>46.6</v>
      </c>
      <c r="H5688" s="15">
        <v>60.0</v>
      </c>
      <c r="I5688" s="15" t="s">
        <v>1586</v>
      </c>
      <c r="J5688" s="15" t="s">
        <v>21940</v>
      </c>
      <c r="K5688" s="15">
        <v>68.0</v>
      </c>
      <c r="L5688" s="15">
        <v>68.0</v>
      </c>
      <c r="M5688" s="40">
        <v>42491.0</v>
      </c>
      <c r="N5688" s="40">
        <v>42632.0</v>
      </c>
      <c r="O5688" s="15" t="s">
        <v>1554</v>
      </c>
      <c r="Q5688" s="7"/>
    </row>
    <row r="5689">
      <c r="A5689" s="39" t="s">
        <v>21941</v>
      </c>
      <c r="B5689" s="15">
        <v>1838062.0</v>
      </c>
      <c r="C5689" s="15" t="s">
        <v>21942</v>
      </c>
      <c r="D5689" s="15">
        <v>343515.0</v>
      </c>
      <c r="E5689" s="15" t="s">
        <v>1557</v>
      </c>
      <c r="F5689" s="15" t="s">
        <v>1833</v>
      </c>
      <c r="G5689" s="7">
        <v>54.99</v>
      </c>
      <c r="H5689" s="15">
        <v>67.0</v>
      </c>
      <c r="I5689" s="15" t="s">
        <v>1586</v>
      </c>
      <c r="J5689" s="15" t="s">
        <v>21943</v>
      </c>
      <c r="K5689" s="15">
        <v>86.0</v>
      </c>
      <c r="L5689" s="15">
        <v>86.0</v>
      </c>
      <c r="M5689" s="40">
        <v>42491.0</v>
      </c>
      <c r="N5689" s="40">
        <v>42632.0</v>
      </c>
      <c r="O5689" s="15" t="s">
        <v>1554</v>
      </c>
      <c r="Q5689" s="7"/>
    </row>
    <row r="5690">
      <c r="A5690" s="39" t="s">
        <v>21944</v>
      </c>
      <c r="B5690" s="15">
        <v>1777064.0</v>
      </c>
      <c r="C5690" s="15" t="s">
        <v>21945</v>
      </c>
      <c r="D5690" s="15">
        <v>343519.0</v>
      </c>
      <c r="E5690" s="15" t="s">
        <v>1557</v>
      </c>
      <c r="F5690" s="15" t="s">
        <v>1833</v>
      </c>
      <c r="G5690" s="7">
        <v>50.183</v>
      </c>
      <c r="H5690" s="15" t="s">
        <v>9693</v>
      </c>
      <c r="I5690" s="15" t="s">
        <v>1586</v>
      </c>
      <c r="J5690" s="15" t="s">
        <v>21946</v>
      </c>
      <c r="K5690" s="15">
        <v>73.0</v>
      </c>
      <c r="L5690" s="15">
        <v>73.0</v>
      </c>
      <c r="M5690" s="40">
        <v>42442.0</v>
      </c>
      <c r="N5690" s="40">
        <v>42632.0</v>
      </c>
      <c r="O5690" s="15" t="s">
        <v>1554</v>
      </c>
      <c r="Q5690" s="7"/>
    </row>
    <row r="5691">
      <c r="A5691" s="39" t="s">
        <v>21947</v>
      </c>
      <c r="B5691" s="15">
        <v>1777052.0</v>
      </c>
      <c r="C5691" s="15" t="s">
        <v>21948</v>
      </c>
      <c r="D5691" s="15">
        <v>343523.0</v>
      </c>
      <c r="E5691" s="15" t="s">
        <v>1557</v>
      </c>
      <c r="F5691" s="15" t="s">
        <v>1833</v>
      </c>
      <c r="G5691" s="7">
        <v>49.033</v>
      </c>
      <c r="H5691" s="15" t="s">
        <v>3101</v>
      </c>
      <c r="I5691" s="15" t="s">
        <v>1586</v>
      </c>
      <c r="J5691" s="15" t="s">
        <v>21949</v>
      </c>
      <c r="K5691" s="15">
        <v>80.0</v>
      </c>
      <c r="L5691" s="15">
        <v>80.0</v>
      </c>
      <c r="M5691" s="40">
        <v>42410.0</v>
      </c>
      <c r="N5691" s="40">
        <v>42632.0</v>
      </c>
      <c r="O5691" s="15" t="s">
        <v>1554</v>
      </c>
      <c r="Q5691" s="7"/>
    </row>
    <row r="5692">
      <c r="A5692" s="39" t="s">
        <v>21951</v>
      </c>
      <c r="B5692" s="15">
        <v>1200862.0</v>
      </c>
      <c r="C5692" s="15" t="s">
        <v>21952</v>
      </c>
      <c r="D5692" s="15">
        <v>343535.0</v>
      </c>
      <c r="E5692" s="15" t="s">
        <v>1557</v>
      </c>
      <c r="F5692" s="15" t="s">
        <v>1767</v>
      </c>
      <c r="G5692" s="7">
        <v>133.798</v>
      </c>
      <c r="H5692" s="15">
        <v>30.0</v>
      </c>
      <c r="I5692" s="15" t="s">
        <v>1586</v>
      </c>
      <c r="J5692" s="15" t="s">
        <v>21953</v>
      </c>
      <c r="K5692" s="15">
        <v>179.0</v>
      </c>
      <c r="L5692" s="15">
        <v>177.0</v>
      </c>
      <c r="M5692" s="40">
        <v>42374.0</v>
      </c>
      <c r="N5692" s="40">
        <v>42632.0</v>
      </c>
      <c r="O5692" s="15" t="s">
        <v>1554</v>
      </c>
      <c r="Q5692" s="7"/>
    </row>
    <row r="5693">
      <c r="A5693" s="39" t="s">
        <v>21954</v>
      </c>
      <c r="B5693" s="15">
        <v>1838081.0</v>
      </c>
      <c r="C5693" s="15" t="s">
        <v>21955</v>
      </c>
      <c r="D5693" s="15">
        <v>343539.0</v>
      </c>
      <c r="E5693" s="15" t="s">
        <v>1557</v>
      </c>
      <c r="F5693" s="15" t="s">
        <v>1833</v>
      </c>
      <c r="G5693" s="7">
        <v>49.768</v>
      </c>
      <c r="H5693" s="15" t="s">
        <v>4419</v>
      </c>
      <c r="I5693" s="15" t="s">
        <v>1586</v>
      </c>
      <c r="J5693" s="15" t="s">
        <v>21956</v>
      </c>
      <c r="K5693" s="15">
        <v>71.0</v>
      </c>
      <c r="L5693" s="15">
        <v>71.0</v>
      </c>
      <c r="M5693" s="40">
        <v>42491.0</v>
      </c>
      <c r="N5693" s="40">
        <v>42632.0</v>
      </c>
      <c r="O5693" s="15" t="s">
        <v>1554</v>
      </c>
      <c r="Q5693" s="7"/>
    </row>
    <row r="5694">
      <c r="A5694" s="39" t="s">
        <v>21958</v>
      </c>
      <c r="B5694" s="15">
        <v>1838071.0</v>
      </c>
      <c r="C5694" s="15" t="s">
        <v>21959</v>
      </c>
      <c r="D5694" s="15">
        <v>343509.0</v>
      </c>
      <c r="E5694" s="15" t="s">
        <v>1557</v>
      </c>
      <c r="F5694" s="15" t="s">
        <v>1833</v>
      </c>
      <c r="G5694" s="7">
        <v>75.462</v>
      </c>
      <c r="H5694" s="15" t="s">
        <v>10654</v>
      </c>
      <c r="I5694" s="15" t="s">
        <v>1586</v>
      </c>
      <c r="J5694" s="15" t="s">
        <v>21960</v>
      </c>
      <c r="K5694" s="15">
        <v>99.0</v>
      </c>
      <c r="L5694" s="15">
        <v>99.0</v>
      </c>
      <c r="M5694" s="40">
        <v>42491.0</v>
      </c>
      <c r="N5694" s="40">
        <v>42632.0</v>
      </c>
      <c r="O5694" s="15" t="s">
        <v>1554</v>
      </c>
      <c r="Q5694" s="7"/>
    </row>
    <row r="5695">
      <c r="A5695" s="39" t="s">
        <v>21961</v>
      </c>
      <c r="B5695" s="15">
        <v>1838064.0</v>
      </c>
      <c r="C5695" s="15" t="s">
        <v>21962</v>
      </c>
      <c r="D5695" s="15">
        <v>343513.0</v>
      </c>
      <c r="E5695" s="15" t="s">
        <v>1557</v>
      </c>
      <c r="F5695" s="15" t="s">
        <v>1833</v>
      </c>
      <c r="G5695" s="7">
        <v>55.524</v>
      </c>
      <c r="H5695" s="15">
        <v>65.0</v>
      </c>
      <c r="I5695" s="15" t="s">
        <v>1586</v>
      </c>
      <c r="J5695" s="15" t="s">
        <v>21963</v>
      </c>
      <c r="K5695" s="15">
        <v>98.0</v>
      </c>
      <c r="L5695" s="15">
        <v>98.0</v>
      </c>
      <c r="M5695" s="40">
        <v>42491.0</v>
      </c>
      <c r="N5695" s="40">
        <v>42632.0</v>
      </c>
      <c r="O5695" s="15" t="s">
        <v>1554</v>
      </c>
      <c r="Q5695" s="7"/>
    </row>
    <row r="5696">
      <c r="A5696" s="39" t="s">
        <v>21964</v>
      </c>
      <c r="B5696" s="15">
        <v>1777072.0</v>
      </c>
      <c r="C5696" s="15" t="s">
        <v>21965</v>
      </c>
      <c r="D5696" s="15">
        <v>343517.0</v>
      </c>
      <c r="E5696" s="15" t="s">
        <v>1557</v>
      </c>
      <c r="F5696" s="15" t="s">
        <v>1767</v>
      </c>
      <c r="G5696" s="7">
        <v>93.754</v>
      </c>
      <c r="H5696" s="15" t="s">
        <v>4821</v>
      </c>
      <c r="I5696" s="15" t="s">
        <v>1586</v>
      </c>
      <c r="J5696" s="15" t="s">
        <v>21966</v>
      </c>
      <c r="K5696" s="15">
        <v>191.0</v>
      </c>
      <c r="L5696" s="15">
        <v>178.0</v>
      </c>
      <c r="M5696" s="40">
        <v>42410.0</v>
      </c>
      <c r="N5696" s="40">
        <v>42632.0</v>
      </c>
      <c r="O5696" s="15" t="s">
        <v>1554</v>
      </c>
      <c r="Q5696" s="7"/>
    </row>
    <row r="5697">
      <c r="A5697" s="39" t="s">
        <v>21967</v>
      </c>
      <c r="B5697" s="15">
        <v>1777054.0</v>
      </c>
      <c r="C5697" s="15" t="s">
        <v>21969</v>
      </c>
      <c r="D5697" s="15">
        <v>343521.0</v>
      </c>
      <c r="E5697" s="15" t="s">
        <v>1557</v>
      </c>
      <c r="F5697" s="15" t="s">
        <v>1833</v>
      </c>
      <c r="G5697" s="7">
        <v>36.629</v>
      </c>
      <c r="H5697" s="15" t="s">
        <v>3685</v>
      </c>
      <c r="I5697" s="15" t="s">
        <v>1586</v>
      </c>
      <c r="J5697" s="15" t="s">
        <v>21970</v>
      </c>
      <c r="K5697" s="15">
        <v>55.0</v>
      </c>
      <c r="L5697" s="15">
        <v>55.0</v>
      </c>
      <c r="M5697" s="40">
        <v>42410.0</v>
      </c>
      <c r="N5697" s="40">
        <v>42632.0</v>
      </c>
      <c r="O5697" s="15" t="s">
        <v>1554</v>
      </c>
      <c r="Q5697" s="7"/>
    </row>
    <row r="5698">
      <c r="A5698" s="39" t="s">
        <v>21971</v>
      </c>
      <c r="B5698" s="15">
        <v>1775140.0</v>
      </c>
      <c r="C5698" s="15" t="s">
        <v>21972</v>
      </c>
      <c r="D5698" s="15">
        <v>343525.0</v>
      </c>
      <c r="E5698" s="15" t="s">
        <v>1557</v>
      </c>
      <c r="F5698" s="15" t="s">
        <v>1833</v>
      </c>
      <c r="G5698" s="7">
        <v>38.975</v>
      </c>
      <c r="H5698" s="15" t="s">
        <v>3070</v>
      </c>
      <c r="I5698" s="15" t="s">
        <v>1586</v>
      </c>
      <c r="J5698" s="15" t="s">
        <v>21973</v>
      </c>
      <c r="K5698" s="15">
        <v>67.0</v>
      </c>
      <c r="L5698" s="15">
        <v>67.0</v>
      </c>
      <c r="M5698" s="40">
        <v>42388.0</v>
      </c>
      <c r="N5698" s="40">
        <v>42632.0</v>
      </c>
      <c r="O5698" s="15" t="s">
        <v>1554</v>
      </c>
      <c r="Q5698" s="7"/>
    </row>
    <row r="5699">
      <c r="A5699" s="39" t="s">
        <v>21974</v>
      </c>
      <c r="B5699" s="15">
        <v>1622193.0</v>
      </c>
      <c r="C5699" s="15" t="s">
        <v>21975</v>
      </c>
      <c r="D5699" s="15">
        <v>343533.0</v>
      </c>
      <c r="E5699" s="15" t="s">
        <v>1557</v>
      </c>
      <c r="F5699" s="15" t="s">
        <v>1833</v>
      </c>
      <c r="G5699" s="7">
        <v>43.505</v>
      </c>
      <c r="H5699" s="15" t="s">
        <v>6271</v>
      </c>
      <c r="I5699" s="15" t="s">
        <v>1586</v>
      </c>
      <c r="J5699" s="15" t="s">
        <v>21976</v>
      </c>
      <c r="K5699" s="15">
        <v>71.0</v>
      </c>
      <c r="L5699" s="15">
        <v>71.0</v>
      </c>
      <c r="M5699" s="40">
        <v>42109.0</v>
      </c>
      <c r="N5699" s="40">
        <v>42632.0</v>
      </c>
      <c r="O5699" s="15" t="s">
        <v>1554</v>
      </c>
      <c r="Q5699" s="7"/>
    </row>
    <row r="5700">
      <c r="A5700" s="39" t="s">
        <v>21978</v>
      </c>
      <c r="B5700" s="15">
        <v>1838083.0</v>
      </c>
      <c r="C5700" s="15" t="s">
        <v>21979</v>
      </c>
      <c r="D5700" s="15">
        <v>343537.0</v>
      </c>
      <c r="E5700" s="15" t="s">
        <v>1557</v>
      </c>
      <c r="F5700" s="15" t="s">
        <v>1833</v>
      </c>
      <c r="G5700" s="7">
        <v>58.308</v>
      </c>
      <c r="H5700" s="15" t="s">
        <v>21980</v>
      </c>
      <c r="I5700" s="15" t="s">
        <v>1586</v>
      </c>
      <c r="J5700" s="15" t="s">
        <v>21981</v>
      </c>
      <c r="K5700" s="15">
        <v>89.0</v>
      </c>
      <c r="L5700" s="15">
        <v>89.0</v>
      </c>
      <c r="M5700" s="40">
        <v>42491.0</v>
      </c>
      <c r="N5700" s="40">
        <v>42632.0</v>
      </c>
      <c r="O5700" s="15" t="s">
        <v>1554</v>
      </c>
      <c r="Q5700" s="7"/>
    </row>
    <row r="5701">
      <c r="A5701" s="39" t="s">
        <v>21982</v>
      </c>
      <c r="B5701" s="15">
        <v>1785960.0</v>
      </c>
      <c r="C5701" s="15" t="s">
        <v>21983</v>
      </c>
      <c r="D5701" s="15">
        <v>343489.0</v>
      </c>
      <c r="E5701" s="15" t="s">
        <v>1557</v>
      </c>
      <c r="F5701" s="15" t="s">
        <v>1767</v>
      </c>
      <c r="G5701" s="7">
        <v>167.619</v>
      </c>
      <c r="H5701" s="15" t="s">
        <v>1983</v>
      </c>
      <c r="I5701" s="15" t="s">
        <v>1586</v>
      </c>
      <c r="J5701" s="15" t="s">
        <v>21984</v>
      </c>
      <c r="K5701" s="15">
        <v>261.0</v>
      </c>
      <c r="L5701" s="15">
        <v>244.0</v>
      </c>
      <c r="M5701" s="40">
        <v>42397.0</v>
      </c>
      <c r="N5701" s="40">
        <v>42632.0</v>
      </c>
      <c r="O5701" s="15" t="s">
        <v>1554</v>
      </c>
      <c r="Q5701" s="7"/>
    </row>
    <row r="5702">
      <c r="A5702" s="39" t="s">
        <v>21985</v>
      </c>
      <c r="B5702" s="15">
        <v>1838080.0</v>
      </c>
      <c r="C5702" s="15" t="s">
        <v>21987</v>
      </c>
      <c r="D5702" s="15">
        <v>343504.0</v>
      </c>
      <c r="E5702" s="15" t="s">
        <v>1557</v>
      </c>
      <c r="F5702" s="15" t="s">
        <v>1833</v>
      </c>
      <c r="G5702" s="7">
        <v>45.858</v>
      </c>
      <c r="H5702" s="15" t="s">
        <v>12271</v>
      </c>
      <c r="I5702" s="15" t="s">
        <v>1586</v>
      </c>
      <c r="J5702" s="15" t="s">
        <v>21988</v>
      </c>
      <c r="K5702" s="15">
        <v>80.0</v>
      </c>
      <c r="L5702" s="15">
        <v>79.0</v>
      </c>
      <c r="M5702" s="40">
        <v>42491.0</v>
      </c>
      <c r="N5702" s="40">
        <v>42632.0</v>
      </c>
      <c r="O5702" s="15" t="s">
        <v>1554</v>
      </c>
      <c r="Q5702" s="7"/>
    </row>
    <row r="5703">
      <c r="A5703" s="39" t="s">
        <v>21989</v>
      </c>
      <c r="B5703" s="15">
        <v>1838072.0</v>
      </c>
      <c r="C5703" s="15" t="s">
        <v>21990</v>
      </c>
      <c r="D5703" s="15">
        <v>343508.0</v>
      </c>
      <c r="E5703" s="15" t="s">
        <v>1557</v>
      </c>
      <c r="F5703" s="15" t="s">
        <v>1833</v>
      </c>
      <c r="G5703" s="7">
        <v>17.119</v>
      </c>
      <c r="H5703" s="15" t="s">
        <v>15279</v>
      </c>
      <c r="I5703" s="15" t="s">
        <v>1586</v>
      </c>
      <c r="J5703" s="15" t="s">
        <v>21991</v>
      </c>
      <c r="K5703" s="15">
        <v>27.0</v>
      </c>
      <c r="L5703" s="15">
        <v>27.0</v>
      </c>
      <c r="M5703" s="40">
        <v>42491.0</v>
      </c>
      <c r="N5703" s="40">
        <v>42632.0</v>
      </c>
      <c r="O5703" s="15" t="s">
        <v>1554</v>
      </c>
      <c r="Q5703" s="7"/>
    </row>
    <row r="5704">
      <c r="A5704" s="39" t="s">
        <v>21992</v>
      </c>
      <c r="B5704" s="15">
        <v>1838082.0</v>
      </c>
      <c r="C5704" s="15" t="s">
        <v>21993</v>
      </c>
      <c r="D5704" s="15">
        <v>343538.0</v>
      </c>
      <c r="E5704" s="15" t="s">
        <v>1557</v>
      </c>
      <c r="F5704" s="15" t="s">
        <v>1833</v>
      </c>
      <c r="G5704" s="7">
        <v>45.858</v>
      </c>
      <c r="H5704" s="15" t="s">
        <v>12271</v>
      </c>
      <c r="I5704" s="15" t="s">
        <v>1586</v>
      </c>
      <c r="J5704" s="15" t="s">
        <v>21994</v>
      </c>
      <c r="K5704" s="15">
        <v>80.0</v>
      </c>
      <c r="L5704" s="15">
        <v>79.0</v>
      </c>
      <c r="M5704" s="40">
        <v>42491.0</v>
      </c>
      <c r="N5704" s="40">
        <v>42632.0</v>
      </c>
      <c r="O5704" s="15" t="s">
        <v>1554</v>
      </c>
      <c r="Q5704" s="7"/>
    </row>
    <row r="5705">
      <c r="A5705" s="39" t="s">
        <v>21996</v>
      </c>
      <c r="B5705" s="15">
        <v>1853762.0</v>
      </c>
      <c r="C5705" s="15" t="s">
        <v>21997</v>
      </c>
      <c r="D5705" s="15">
        <v>343486.0</v>
      </c>
      <c r="E5705" s="15" t="s">
        <v>1548</v>
      </c>
      <c r="F5705" s="15" t="s">
        <v>1786</v>
      </c>
      <c r="G5705" s="7">
        <v>8.506</v>
      </c>
      <c r="H5705" s="15" t="s">
        <v>3538</v>
      </c>
      <c r="I5705" s="15" t="s">
        <v>1628</v>
      </c>
      <c r="J5705" s="15" t="s">
        <v>21998</v>
      </c>
      <c r="K5705" s="15">
        <v>6.0</v>
      </c>
      <c r="L5705" s="15">
        <v>6.0</v>
      </c>
      <c r="M5705" s="40">
        <v>42626.0</v>
      </c>
      <c r="N5705" s="40">
        <v>42632.0</v>
      </c>
      <c r="O5705" s="15" t="s">
        <v>1554</v>
      </c>
      <c r="Q5705" s="7"/>
    </row>
    <row r="5706">
      <c r="A5706" s="39" t="s">
        <v>21999</v>
      </c>
      <c r="B5706" s="15">
        <v>1754217.0</v>
      </c>
      <c r="C5706" s="15" t="s">
        <v>22000</v>
      </c>
      <c r="D5706" s="15">
        <v>343490.0</v>
      </c>
      <c r="E5706" s="15" t="s">
        <v>1557</v>
      </c>
      <c r="F5706" s="15" t="s">
        <v>1767</v>
      </c>
      <c r="G5706" s="7">
        <v>32.637</v>
      </c>
      <c r="H5706" s="15" t="s">
        <v>3286</v>
      </c>
      <c r="I5706" s="15" t="s">
        <v>1586</v>
      </c>
      <c r="J5706" s="15" t="s">
        <v>22001</v>
      </c>
      <c r="K5706" s="15">
        <v>36.0</v>
      </c>
      <c r="L5706" s="15">
        <v>36.0</v>
      </c>
      <c r="M5706" s="40">
        <v>42388.0</v>
      </c>
      <c r="N5706" s="40">
        <v>42632.0</v>
      </c>
      <c r="O5706" s="15" t="s">
        <v>1554</v>
      </c>
      <c r="Q5706" s="7"/>
    </row>
    <row r="5707">
      <c r="A5707" s="39" t="s">
        <v>22002</v>
      </c>
      <c r="B5707" s="15">
        <v>1838075.0</v>
      </c>
      <c r="C5707" s="15" t="s">
        <v>22003</v>
      </c>
      <c r="D5707" s="15">
        <v>343505.0</v>
      </c>
      <c r="E5707" s="15" t="s">
        <v>1557</v>
      </c>
      <c r="F5707" s="15" t="s">
        <v>1833</v>
      </c>
      <c r="G5707" s="7">
        <v>80.65</v>
      </c>
      <c r="H5707" s="15">
        <v>47.0</v>
      </c>
      <c r="I5707" s="15" t="s">
        <v>1586</v>
      </c>
      <c r="J5707" s="15" t="s">
        <v>22005</v>
      </c>
      <c r="K5707" s="15">
        <v>116.0</v>
      </c>
      <c r="L5707" s="15">
        <v>114.0</v>
      </c>
      <c r="M5707" s="40">
        <v>42491.0</v>
      </c>
      <c r="N5707" s="40">
        <v>42632.0</v>
      </c>
      <c r="O5707" s="15" t="s">
        <v>1554</v>
      </c>
      <c r="Q5707" s="7"/>
    </row>
    <row r="5708">
      <c r="A5708" s="39" t="s">
        <v>22006</v>
      </c>
      <c r="B5708" s="15">
        <v>1871678.0</v>
      </c>
      <c r="C5708" s="15" t="s">
        <v>22007</v>
      </c>
      <c r="D5708" s="15">
        <v>344156.0</v>
      </c>
      <c r="E5708" s="15" t="s">
        <v>1557</v>
      </c>
      <c r="F5708" s="15" t="s">
        <v>1833</v>
      </c>
      <c r="G5708" s="7">
        <v>34.396</v>
      </c>
      <c r="H5708" s="15" t="s">
        <v>6303</v>
      </c>
      <c r="I5708" s="15" t="s">
        <v>1586</v>
      </c>
      <c r="J5708" s="15" t="s">
        <v>22008</v>
      </c>
      <c r="K5708" s="15">
        <v>51.0</v>
      </c>
      <c r="L5708" s="15">
        <v>51.0</v>
      </c>
      <c r="M5708" s="40">
        <v>42567.0</v>
      </c>
      <c r="N5708" s="40">
        <v>42636.0</v>
      </c>
      <c r="O5708" s="15" t="s">
        <v>1554</v>
      </c>
      <c r="Q5708" s="7"/>
    </row>
    <row r="5709">
      <c r="A5709" s="39" t="s">
        <v>22009</v>
      </c>
      <c r="B5709" s="15">
        <v>1608075.0</v>
      </c>
      <c r="C5709" s="15" t="s">
        <v>22010</v>
      </c>
      <c r="D5709" s="15">
        <v>344319.0</v>
      </c>
      <c r="E5709" s="15" t="s">
        <v>1548</v>
      </c>
      <c r="F5709" s="15" t="s">
        <v>5290</v>
      </c>
      <c r="G5709" s="7">
        <v>13.309</v>
      </c>
      <c r="H5709" s="15" t="s">
        <v>22011</v>
      </c>
      <c r="I5709" s="15" t="s">
        <v>1560</v>
      </c>
      <c r="J5709" s="15" t="s">
        <v>22012</v>
      </c>
      <c r="K5709" s="15">
        <v>3.0</v>
      </c>
      <c r="L5709" s="15">
        <v>3.0</v>
      </c>
      <c r="M5709" s="40">
        <v>42043.0</v>
      </c>
      <c r="N5709" s="40">
        <v>42639.0</v>
      </c>
      <c r="O5709" s="15" t="s">
        <v>1554</v>
      </c>
      <c r="Q5709" s="7"/>
    </row>
    <row r="5710">
      <c r="A5710" s="39" t="s">
        <v>22013</v>
      </c>
      <c r="B5710" s="15">
        <v>1608072.0</v>
      </c>
      <c r="C5710" s="15" t="s">
        <v>22014</v>
      </c>
      <c r="D5710" s="15">
        <v>344320.0</v>
      </c>
      <c r="E5710" s="15" t="s">
        <v>1548</v>
      </c>
      <c r="F5710" s="15" t="s">
        <v>1578</v>
      </c>
      <c r="G5710" s="7">
        <v>10.925</v>
      </c>
      <c r="H5710" s="15" t="s">
        <v>6303</v>
      </c>
      <c r="I5710" s="15" t="s">
        <v>1560</v>
      </c>
      <c r="J5710" s="15" t="s">
        <v>22016</v>
      </c>
      <c r="K5710" s="15">
        <v>3.0</v>
      </c>
      <c r="L5710" s="15">
        <v>3.0</v>
      </c>
      <c r="M5710" s="40">
        <v>42043.0</v>
      </c>
      <c r="N5710" s="40">
        <v>42639.0</v>
      </c>
      <c r="O5710" s="15" t="s">
        <v>1554</v>
      </c>
      <c r="Q5710" s="7"/>
    </row>
    <row r="5711">
      <c r="A5711" s="39" t="s">
        <v>22017</v>
      </c>
      <c r="B5711" s="15">
        <v>1608068.0</v>
      </c>
      <c r="C5711" s="15" t="s">
        <v>22018</v>
      </c>
      <c r="D5711" s="15">
        <v>344321.0</v>
      </c>
      <c r="E5711" s="15" t="s">
        <v>1548</v>
      </c>
      <c r="F5711" s="15" t="s">
        <v>5290</v>
      </c>
      <c r="G5711" s="7">
        <v>20.231</v>
      </c>
      <c r="H5711" s="15" t="s">
        <v>22019</v>
      </c>
      <c r="I5711" s="15" t="s">
        <v>1560</v>
      </c>
      <c r="J5711" s="15" t="s">
        <v>22020</v>
      </c>
      <c r="K5711" s="15">
        <v>3.0</v>
      </c>
      <c r="L5711" s="15">
        <v>3.0</v>
      </c>
      <c r="M5711" s="40">
        <v>42043.0</v>
      </c>
      <c r="N5711" s="40">
        <v>42639.0</v>
      </c>
      <c r="O5711" s="15" t="s">
        <v>1554</v>
      </c>
      <c r="Q5711" s="7"/>
    </row>
    <row r="5712">
      <c r="A5712" s="39" t="s">
        <v>22022</v>
      </c>
      <c r="B5712" s="15">
        <v>1608067.0</v>
      </c>
      <c r="C5712" s="15" t="s">
        <v>22023</v>
      </c>
      <c r="D5712" s="15">
        <v>344322.0</v>
      </c>
      <c r="E5712" s="15" t="s">
        <v>1548</v>
      </c>
      <c r="F5712" s="15" t="s">
        <v>1890</v>
      </c>
      <c r="G5712" s="7">
        <v>15.462</v>
      </c>
      <c r="H5712" s="15" t="s">
        <v>4283</v>
      </c>
      <c r="I5712" s="15" t="s">
        <v>1560</v>
      </c>
      <c r="J5712" s="15" t="s">
        <v>22024</v>
      </c>
      <c r="K5712" s="15">
        <v>5.0</v>
      </c>
      <c r="L5712" s="15">
        <v>5.0</v>
      </c>
      <c r="M5712" s="40">
        <v>42043.0</v>
      </c>
      <c r="N5712" s="40">
        <v>42639.0</v>
      </c>
      <c r="O5712" s="15" t="s">
        <v>1554</v>
      </c>
      <c r="Q5712" s="7"/>
    </row>
    <row r="5713">
      <c r="A5713" s="39" t="s">
        <v>22025</v>
      </c>
      <c r="B5713" s="15">
        <v>1608066.0</v>
      </c>
      <c r="C5713" s="15" t="s">
        <v>22026</v>
      </c>
      <c r="D5713" s="15">
        <v>344323.0</v>
      </c>
      <c r="E5713" s="15" t="s">
        <v>1548</v>
      </c>
      <c r="F5713" s="15" t="s">
        <v>1890</v>
      </c>
      <c r="G5713" s="7">
        <v>12.291</v>
      </c>
      <c r="H5713" s="15" t="s">
        <v>2440</v>
      </c>
      <c r="I5713" s="15" t="s">
        <v>1560</v>
      </c>
      <c r="J5713" s="15" t="s">
        <v>22027</v>
      </c>
      <c r="K5713" s="15">
        <v>6.0</v>
      </c>
      <c r="L5713" s="15">
        <v>6.0</v>
      </c>
      <c r="M5713" s="40">
        <v>42043.0</v>
      </c>
      <c r="N5713" s="40">
        <v>42639.0</v>
      </c>
      <c r="O5713" s="15" t="s">
        <v>1554</v>
      </c>
      <c r="Q5713" s="7"/>
    </row>
    <row r="5714">
      <c r="A5714" s="39" t="s">
        <v>22028</v>
      </c>
      <c r="B5714" s="15">
        <v>1608065.0</v>
      </c>
      <c r="C5714" s="15" t="s">
        <v>22030</v>
      </c>
      <c r="D5714" s="15">
        <v>344324.0</v>
      </c>
      <c r="E5714" s="15" t="s">
        <v>1548</v>
      </c>
      <c r="F5714" s="15" t="s">
        <v>1578</v>
      </c>
      <c r="G5714" s="7">
        <v>13.732</v>
      </c>
      <c r="H5714" s="15" t="s">
        <v>2428</v>
      </c>
      <c r="I5714" s="15" t="s">
        <v>1560</v>
      </c>
      <c r="J5714" s="15" t="s">
        <v>22031</v>
      </c>
      <c r="K5714" s="15">
        <v>3.0</v>
      </c>
      <c r="L5714" s="15">
        <v>3.0</v>
      </c>
      <c r="M5714" s="40">
        <v>42043.0</v>
      </c>
      <c r="N5714" s="40">
        <v>42639.0</v>
      </c>
      <c r="O5714" s="15" t="s">
        <v>1554</v>
      </c>
      <c r="Q5714" s="7"/>
    </row>
    <row r="5715">
      <c r="A5715" s="39" t="s">
        <v>22032</v>
      </c>
      <c r="B5715" s="15">
        <v>683735.0</v>
      </c>
      <c r="C5715" s="15" t="s">
        <v>22033</v>
      </c>
      <c r="D5715" s="15">
        <v>40107.0</v>
      </c>
      <c r="E5715" s="15" t="s">
        <v>1557</v>
      </c>
      <c r="F5715" s="15" t="s">
        <v>1767</v>
      </c>
      <c r="G5715" s="7">
        <v>43.97</v>
      </c>
      <c r="H5715" s="15" t="s">
        <v>1859</v>
      </c>
      <c r="I5715" s="15" t="s">
        <v>1586</v>
      </c>
      <c r="J5715" s="15" t="s">
        <v>22034</v>
      </c>
      <c r="K5715" s="15">
        <v>66.0</v>
      </c>
      <c r="L5715" s="15">
        <v>66.0</v>
      </c>
      <c r="M5715" s="41">
        <v>40107.0</v>
      </c>
      <c r="N5715" s="40">
        <v>41674.0</v>
      </c>
      <c r="O5715" s="15" t="s">
        <v>1554</v>
      </c>
      <c r="Q5715" s="7"/>
    </row>
    <row r="5716">
      <c r="A5716" s="39" t="s">
        <v>22035</v>
      </c>
      <c r="B5716" s="15">
        <v>1815968.0</v>
      </c>
      <c r="C5716" s="15" t="s">
        <v>22036</v>
      </c>
      <c r="D5716" s="15">
        <v>312576.0</v>
      </c>
      <c r="E5716" s="15" t="s">
        <v>1557</v>
      </c>
      <c r="F5716" s="15" t="s">
        <v>1767</v>
      </c>
      <c r="G5716" s="7">
        <v>103.445</v>
      </c>
      <c r="H5716" s="15" t="s">
        <v>1918</v>
      </c>
      <c r="I5716" s="15" t="s">
        <v>1586</v>
      </c>
      <c r="J5716" s="15" t="s">
        <v>22038</v>
      </c>
      <c r="K5716" s="15">
        <v>122.0</v>
      </c>
      <c r="L5716" s="15">
        <v>122.0</v>
      </c>
      <c r="M5716" s="40">
        <v>42612.0</v>
      </c>
      <c r="N5716" s="40">
        <v>42636.0</v>
      </c>
      <c r="O5716" s="15" t="s">
        <v>1554</v>
      </c>
      <c r="Q5716" s="7"/>
    </row>
    <row r="5717">
      <c r="A5717" s="39" t="s">
        <v>22039</v>
      </c>
      <c r="B5717" s="15">
        <v>1792245.0</v>
      </c>
      <c r="C5717" s="15" t="s">
        <v>22040</v>
      </c>
      <c r="D5717" s="15">
        <v>297631.0</v>
      </c>
      <c r="E5717" s="15" t="s">
        <v>1557</v>
      </c>
      <c r="F5717" s="15" t="s">
        <v>1767</v>
      </c>
      <c r="G5717" s="7">
        <v>157.501</v>
      </c>
      <c r="H5717" s="15" t="s">
        <v>2320</v>
      </c>
      <c r="I5717" s="15" t="s">
        <v>1586</v>
      </c>
      <c r="J5717" s="15" t="s">
        <v>22041</v>
      </c>
      <c r="K5717" s="15">
        <v>245.0</v>
      </c>
      <c r="L5717" s="15">
        <v>226.0</v>
      </c>
      <c r="M5717" s="40">
        <v>42441.0</v>
      </c>
      <c r="N5717" s="40">
        <v>42636.0</v>
      </c>
      <c r="O5717" s="15" t="s">
        <v>1554</v>
      </c>
      <c r="Q5717" s="7"/>
    </row>
    <row r="5718">
      <c r="A5718" s="39" t="s">
        <v>22042</v>
      </c>
      <c r="B5718" s="15">
        <v>1608141.0</v>
      </c>
      <c r="C5718" s="15" t="s">
        <v>22043</v>
      </c>
      <c r="D5718" s="15">
        <v>344329.0</v>
      </c>
      <c r="E5718" s="15" t="s">
        <v>1548</v>
      </c>
      <c r="F5718" s="15" t="s">
        <v>1578</v>
      </c>
      <c r="G5718" s="7">
        <v>12.774</v>
      </c>
      <c r="H5718" s="15" t="s">
        <v>2597</v>
      </c>
      <c r="I5718" s="15" t="s">
        <v>1560</v>
      </c>
      <c r="J5718" s="15" t="s">
        <v>22044</v>
      </c>
      <c r="K5718" s="15">
        <v>4.0</v>
      </c>
      <c r="L5718" s="15">
        <v>4.0</v>
      </c>
      <c r="M5718" s="40">
        <v>42043.0</v>
      </c>
      <c r="N5718" s="40">
        <v>42640.0</v>
      </c>
      <c r="O5718" s="15" t="s">
        <v>1554</v>
      </c>
      <c r="Q5718" s="7"/>
    </row>
    <row r="5719">
      <c r="A5719" s="39" t="s">
        <v>22046</v>
      </c>
      <c r="B5719" s="15">
        <v>1821549.0</v>
      </c>
      <c r="C5719" s="15" t="s">
        <v>22047</v>
      </c>
      <c r="D5719" s="15">
        <v>344343.0</v>
      </c>
      <c r="E5719" s="15" t="s">
        <v>1557</v>
      </c>
      <c r="F5719" s="15" t="s">
        <v>1833</v>
      </c>
      <c r="G5719" s="7">
        <v>53.717</v>
      </c>
      <c r="H5719" s="15" t="s">
        <v>4308</v>
      </c>
      <c r="I5719" s="15" t="s">
        <v>1586</v>
      </c>
      <c r="J5719" s="15" t="s">
        <v>22048</v>
      </c>
      <c r="K5719" s="15">
        <v>86.0</v>
      </c>
      <c r="L5719" s="15">
        <v>86.0</v>
      </c>
      <c r="M5719" s="40">
        <v>42463.0</v>
      </c>
      <c r="N5719" s="40">
        <v>42752.0</v>
      </c>
      <c r="O5719" s="15" t="s">
        <v>1554</v>
      </c>
      <c r="Q5719" s="7"/>
    </row>
    <row r="5720">
      <c r="A5720" s="39" t="s">
        <v>22050</v>
      </c>
      <c r="B5720" s="15">
        <v>1796997.0</v>
      </c>
      <c r="C5720" s="15" t="s">
        <v>22051</v>
      </c>
      <c r="D5720" s="15">
        <v>344344.0</v>
      </c>
      <c r="E5720" s="15" t="s">
        <v>1557</v>
      </c>
      <c r="F5720" s="15" t="s">
        <v>1833</v>
      </c>
      <c r="G5720" s="7">
        <v>59.443</v>
      </c>
      <c r="H5720" s="15" t="s">
        <v>1792</v>
      </c>
      <c r="I5720" s="15" t="s">
        <v>1586</v>
      </c>
      <c r="J5720" s="15" t="s">
        <v>22052</v>
      </c>
      <c r="K5720" s="15">
        <v>95.0</v>
      </c>
      <c r="L5720" s="15">
        <v>95.0</v>
      </c>
      <c r="M5720" s="40">
        <v>42434.0</v>
      </c>
      <c r="N5720" s="40">
        <v>42913.0</v>
      </c>
      <c r="O5720" s="15" t="s">
        <v>1554</v>
      </c>
      <c r="Q5720" s="7"/>
    </row>
    <row r="5721">
      <c r="A5721" s="39" t="s">
        <v>22053</v>
      </c>
      <c r="B5721" s="15">
        <v>1608109.0</v>
      </c>
      <c r="C5721" s="15" t="s">
        <v>22054</v>
      </c>
      <c r="D5721" s="15">
        <v>344490.0</v>
      </c>
      <c r="E5721" s="15" t="s">
        <v>1548</v>
      </c>
      <c r="F5721" s="15" t="s">
        <v>1890</v>
      </c>
      <c r="G5721" s="7">
        <v>13.49</v>
      </c>
      <c r="H5721" s="15" t="s">
        <v>2342</v>
      </c>
      <c r="I5721" s="15" t="s">
        <v>1560</v>
      </c>
      <c r="J5721" s="15" t="s">
        <v>22055</v>
      </c>
      <c r="K5721" s="15">
        <v>6.0</v>
      </c>
      <c r="L5721" s="15">
        <v>6.0</v>
      </c>
      <c r="M5721" s="40">
        <v>42043.0</v>
      </c>
      <c r="N5721" s="40">
        <v>42640.0</v>
      </c>
      <c r="O5721" s="15" t="s">
        <v>1554</v>
      </c>
      <c r="Q5721" s="7"/>
    </row>
    <row r="5722">
      <c r="A5722" s="39" t="s">
        <v>22056</v>
      </c>
      <c r="B5722" s="15">
        <v>1543199.0</v>
      </c>
      <c r="C5722" s="15" t="s">
        <v>22057</v>
      </c>
      <c r="D5722" s="15">
        <v>344583.0</v>
      </c>
      <c r="E5722" s="15" t="s">
        <v>1557</v>
      </c>
      <c r="F5722" s="15" t="s">
        <v>1611</v>
      </c>
      <c r="G5722" s="7">
        <v>39.696</v>
      </c>
      <c r="H5722" s="15">
        <v>49.0</v>
      </c>
      <c r="I5722" s="15" t="s">
        <v>1586</v>
      </c>
      <c r="J5722" s="15" t="s">
        <v>22058</v>
      </c>
      <c r="K5722" s="15">
        <v>47.0</v>
      </c>
      <c r="L5722" s="15">
        <v>47.0</v>
      </c>
      <c r="M5722" s="40">
        <v>42446.0</v>
      </c>
      <c r="N5722" s="40">
        <v>42640.0</v>
      </c>
      <c r="O5722" s="15" t="s">
        <v>1554</v>
      </c>
      <c r="Q5722" s="7"/>
    </row>
    <row r="5723">
      <c r="A5723" s="39" t="s">
        <v>22060</v>
      </c>
      <c r="B5723" s="15">
        <v>1278479.0</v>
      </c>
      <c r="C5723" s="15" t="s">
        <v>22061</v>
      </c>
      <c r="D5723" s="15">
        <v>344584.0</v>
      </c>
      <c r="E5723" s="15" t="s">
        <v>1557</v>
      </c>
      <c r="F5723" s="15" t="s">
        <v>1767</v>
      </c>
      <c r="G5723" s="7">
        <v>194.437</v>
      </c>
      <c r="H5723" s="15" t="s">
        <v>2320</v>
      </c>
      <c r="I5723" s="15" t="s">
        <v>1586</v>
      </c>
      <c r="J5723" s="15" t="s">
        <v>22062</v>
      </c>
      <c r="K5723" s="15">
        <v>240.0</v>
      </c>
      <c r="L5723" s="15">
        <v>230.0</v>
      </c>
      <c r="M5723" s="40">
        <v>42442.0</v>
      </c>
      <c r="N5723" s="40">
        <v>42640.0</v>
      </c>
      <c r="O5723" s="15" t="s">
        <v>1554</v>
      </c>
      <c r="Q5723" s="7"/>
    </row>
    <row r="5724">
      <c r="A5724" s="39" t="s">
        <v>22063</v>
      </c>
      <c r="B5724" s="15">
        <v>1608105.0</v>
      </c>
      <c r="C5724" s="15" t="s">
        <v>22064</v>
      </c>
      <c r="D5724" s="15">
        <v>344586.0</v>
      </c>
      <c r="E5724" s="15" t="s">
        <v>1548</v>
      </c>
      <c r="F5724" s="15" t="s">
        <v>1890</v>
      </c>
      <c r="G5724" s="7">
        <v>14.731</v>
      </c>
      <c r="H5724" s="15" t="s">
        <v>1912</v>
      </c>
      <c r="I5724" s="15" t="s">
        <v>1560</v>
      </c>
      <c r="J5724" s="15" t="s">
        <v>22065</v>
      </c>
      <c r="K5724" s="15">
        <v>5.0</v>
      </c>
      <c r="L5724" s="15">
        <v>5.0</v>
      </c>
      <c r="M5724" s="40">
        <v>42043.0</v>
      </c>
      <c r="N5724" s="40">
        <v>42640.0</v>
      </c>
      <c r="O5724" s="15" t="s">
        <v>1554</v>
      </c>
      <c r="Q5724" s="7"/>
    </row>
    <row r="5725">
      <c r="A5725" s="39" t="s">
        <v>22066</v>
      </c>
      <c r="B5725" s="15">
        <v>1608104.0</v>
      </c>
      <c r="C5725" s="15" t="s">
        <v>22067</v>
      </c>
      <c r="D5725" s="15">
        <v>344587.0</v>
      </c>
      <c r="E5725" s="15" t="s">
        <v>1548</v>
      </c>
      <c r="F5725" s="15" t="s">
        <v>1890</v>
      </c>
      <c r="G5725" s="7">
        <v>12.651</v>
      </c>
      <c r="H5725" s="15" t="s">
        <v>1602</v>
      </c>
      <c r="I5725" s="15" t="s">
        <v>1560</v>
      </c>
      <c r="J5725" s="15" t="s">
        <v>22068</v>
      </c>
      <c r="K5725" s="15">
        <v>6.0</v>
      </c>
      <c r="L5725" s="15">
        <v>6.0</v>
      </c>
      <c r="M5725" s="40">
        <v>42043.0</v>
      </c>
      <c r="N5725" s="40">
        <v>42640.0</v>
      </c>
      <c r="O5725" s="15" t="s">
        <v>1554</v>
      </c>
      <c r="Q5725" s="7"/>
    </row>
    <row r="5726">
      <c r="A5726" s="39" t="s">
        <v>22070</v>
      </c>
      <c r="B5726" s="15">
        <v>1608102.0</v>
      </c>
      <c r="C5726" s="15" t="s">
        <v>22071</v>
      </c>
      <c r="D5726" s="15">
        <v>344588.0</v>
      </c>
      <c r="E5726" s="15" t="s">
        <v>1548</v>
      </c>
      <c r="F5726" s="15" t="s">
        <v>1890</v>
      </c>
      <c r="G5726" s="7">
        <v>12.247</v>
      </c>
      <c r="H5726" s="15" t="s">
        <v>2141</v>
      </c>
      <c r="I5726" s="15" t="s">
        <v>1560</v>
      </c>
      <c r="J5726" s="15" t="s">
        <v>22072</v>
      </c>
      <c r="K5726" s="15">
        <v>6.0</v>
      </c>
      <c r="L5726" s="15">
        <v>6.0</v>
      </c>
      <c r="M5726" s="40">
        <v>42043.0</v>
      </c>
      <c r="N5726" s="40">
        <v>42640.0</v>
      </c>
      <c r="O5726" s="15" t="s">
        <v>1554</v>
      </c>
      <c r="Q5726" s="7"/>
    </row>
    <row r="5727">
      <c r="A5727" s="39" t="s">
        <v>22073</v>
      </c>
      <c r="B5727" s="15">
        <v>1608101.0</v>
      </c>
      <c r="C5727" s="15" t="s">
        <v>22074</v>
      </c>
      <c r="D5727" s="15">
        <v>344589.0</v>
      </c>
      <c r="E5727" s="15" t="s">
        <v>1548</v>
      </c>
      <c r="F5727" s="15" t="s">
        <v>5290</v>
      </c>
      <c r="G5727" s="7">
        <v>12.349</v>
      </c>
      <c r="H5727" s="15" t="s">
        <v>22075</v>
      </c>
      <c r="I5727" s="15" t="s">
        <v>1560</v>
      </c>
      <c r="J5727" s="15" t="s">
        <v>22076</v>
      </c>
      <c r="K5727" s="15">
        <v>3.0</v>
      </c>
      <c r="L5727" s="15">
        <v>3.0</v>
      </c>
      <c r="M5727" s="40">
        <v>42043.0</v>
      </c>
      <c r="N5727" s="40">
        <v>42640.0</v>
      </c>
      <c r="O5727" s="15" t="s">
        <v>1554</v>
      </c>
      <c r="Q5727" s="7"/>
    </row>
    <row r="5728">
      <c r="A5728" s="39" t="s">
        <v>22077</v>
      </c>
      <c r="B5728" s="15">
        <v>1608100.0</v>
      </c>
      <c r="C5728" s="15" t="s">
        <v>22078</v>
      </c>
      <c r="D5728" s="15">
        <v>344590.0</v>
      </c>
      <c r="E5728" s="15" t="s">
        <v>1548</v>
      </c>
      <c r="F5728" s="15" t="s">
        <v>1890</v>
      </c>
      <c r="G5728" s="7">
        <v>7.202</v>
      </c>
      <c r="H5728" s="15" t="s">
        <v>4283</v>
      </c>
      <c r="I5728" s="15" t="s">
        <v>1560</v>
      </c>
      <c r="J5728" s="15" t="s">
        <v>22080</v>
      </c>
      <c r="K5728" s="15">
        <v>1.0</v>
      </c>
      <c r="L5728" s="15">
        <v>1.0</v>
      </c>
      <c r="M5728" s="40">
        <v>42043.0</v>
      </c>
      <c r="N5728" s="40">
        <v>42640.0</v>
      </c>
      <c r="O5728" s="15" t="s">
        <v>1554</v>
      </c>
      <c r="Q5728" s="7"/>
    </row>
    <row r="5729">
      <c r="A5729" s="39" t="s">
        <v>22081</v>
      </c>
      <c r="B5729" s="15">
        <v>1608097.0</v>
      </c>
      <c r="C5729" s="15" t="s">
        <v>22082</v>
      </c>
      <c r="D5729" s="15">
        <v>344591.0</v>
      </c>
      <c r="E5729" s="15" t="s">
        <v>1548</v>
      </c>
      <c r="F5729" s="15" t="s">
        <v>1578</v>
      </c>
      <c r="G5729" s="7">
        <v>10.937</v>
      </c>
      <c r="H5729" s="15" t="s">
        <v>22083</v>
      </c>
      <c r="I5729" s="15" t="s">
        <v>1560</v>
      </c>
      <c r="J5729" s="15" t="s">
        <v>22084</v>
      </c>
      <c r="K5729" s="15">
        <v>3.0</v>
      </c>
      <c r="L5729" s="15">
        <v>3.0</v>
      </c>
      <c r="M5729" s="40">
        <v>42043.0</v>
      </c>
      <c r="N5729" s="40">
        <v>42640.0</v>
      </c>
      <c r="O5729" s="15" t="s">
        <v>1554</v>
      </c>
      <c r="Q5729" s="7"/>
    </row>
    <row r="5730">
      <c r="A5730" s="39" t="s">
        <v>22085</v>
      </c>
      <c r="B5730" s="15">
        <v>1608095.0</v>
      </c>
      <c r="C5730" s="15" t="s">
        <v>22086</v>
      </c>
      <c r="D5730" s="15">
        <v>344592.0</v>
      </c>
      <c r="E5730" s="15" t="s">
        <v>1548</v>
      </c>
      <c r="F5730" s="15" t="s">
        <v>5290</v>
      </c>
      <c r="G5730" s="7">
        <v>10.151</v>
      </c>
      <c r="H5730" s="15" t="s">
        <v>22087</v>
      </c>
      <c r="I5730" s="15" t="s">
        <v>1560</v>
      </c>
      <c r="J5730" s="15" t="s">
        <v>22088</v>
      </c>
      <c r="K5730" s="15">
        <v>3.0</v>
      </c>
      <c r="L5730" s="15">
        <v>3.0</v>
      </c>
      <c r="M5730" s="40">
        <v>42043.0</v>
      </c>
      <c r="N5730" s="40">
        <v>42640.0</v>
      </c>
      <c r="O5730" s="15" t="s">
        <v>1554</v>
      </c>
      <c r="Q5730" s="7"/>
    </row>
    <row r="5731">
      <c r="A5731" s="39" t="s">
        <v>22090</v>
      </c>
      <c r="B5731" s="15">
        <v>1608094.0</v>
      </c>
      <c r="C5731" s="15" t="s">
        <v>22091</v>
      </c>
      <c r="D5731" s="15">
        <v>344593.0</v>
      </c>
      <c r="E5731" s="15" t="s">
        <v>1548</v>
      </c>
      <c r="F5731" s="15" t="s">
        <v>5290</v>
      </c>
      <c r="G5731" s="7">
        <v>18.291</v>
      </c>
      <c r="H5731" s="15" t="s">
        <v>22092</v>
      </c>
      <c r="I5731" s="15" t="s">
        <v>1560</v>
      </c>
      <c r="J5731" s="15" t="s">
        <v>22093</v>
      </c>
      <c r="K5731" s="15">
        <v>3.0</v>
      </c>
      <c r="L5731" s="15">
        <v>3.0</v>
      </c>
      <c r="M5731" s="40">
        <v>42043.0</v>
      </c>
      <c r="N5731" s="40">
        <v>42640.0</v>
      </c>
      <c r="O5731" s="15" t="s">
        <v>1554</v>
      </c>
      <c r="Q5731" s="7"/>
    </row>
    <row r="5732">
      <c r="A5732" s="39" t="s">
        <v>22094</v>
      </c>
      <c r="B5732" s="15">
        <v>1608093.0</v>
      </c>
      <c r="C5732" s="15" t="s">
        <v>22095</v>
      </c>
      <c r="D5732" s="15">
        <v>344594.0</v>
      </c>
      <c r="E5732" s="15" t="s">
        <v>1548</v>
      </c>
      <c r="F5732" s="15" t="s">
        <v>1578</v>
      </c>
      <c r="G5732" s="7">
        <v>12.86</v>
      </c>
      <c r="H5732" s="15" t="s">
        <v>1823</v>
      </c>
      <c r="I5732" s="15" t="s">
        <v>1560</v>
      </c>
      <c r="J5732" s="15" t="s">
        <v>22096</v>
      </c>
      <c r="K5732" s="15">
        <v>4.0</v>
      </c>
      <c r="L5732" s="15">
        <v>4.0</v>
      </c>
      <c r="M5732" s="40">
        <v>42043.0</v>
      </c>
      <c r="N5732" s="40">
        <v>42640.0</v>
      </c>
      <c r="O5732" s="15" t="s">
        <v>1554</v>
      </c>
      <c r="Q5732" s="7"/>
    </row>
    <row r="5733">
      <c r="A5733" s="39" t="s">
        <v>22098</v>
      </c>
      <c r="B5733" s="15">
        <v>1608091.0</v>
      </c>
      <c r="C5733" s="15" t="s">
        <v>22099</v>
      </c>
      <c r="D5733" s="15">
        <v>344595.0</v>
      </c>
      <c r="E5733" s="15" t="s">
        <v>1548</v>
      </c>
      <c r="F5733" s="15" t="s">
        <v>1578</v>
      </c>
      <c r="G5733" s="7">
        <v>9.591</v>
      </c>
      <c r="H5733" s="15" t="s">
        <v>3097</v>
      </c>
      <c r="I5733" s="15" t="s">
        <v>1560</v>
      </c>
      <c r="J5733" s="15" t="s">
        <v>22100</v>
      </c>
      <c r="K5733" s="15">
        <v>3.0</v>
      </c>
      <c r="L5733" s="15">
        <v>3.0</v>
      </c>
      <c r="M5733" s="40">
        <v>42043.0</v>
      </c>
      <c r="N5733" s="40">
        <v>42640.0</v>
      </c>
      <c r="O5733" s="15" t="s">
        <v>1554</v>
      </c>
      <c r="Q5733" s="7"/>
    </row>
    <row r="5734">
      <c r="A5734" s="39" t="s">
        <v>22101</v>
      </c>
      <c r="B5734" s="15">
        <v>1608090.0</v>
      </c>
      <c r="C5734" s="15" t="s">
        <v>22102</v>
      </c>
      <c r="D5734" s="15">
        <v>344596.0</v>
      </c>
      <c r="E5734" s="15" t="s">
        <v>1548</v>
      </c>
      <c r="F5734" s="15" t="s">
        <v>1890</v>
      </c>
      <c r="G5734" s="7">
        <v>11.28</v>
      </c>
      <c r="H5734" s="15">
        <v>48.0</v>
      </c>
      <c r="I5734" s="15" t="s">
        <v>1560</v>
      </c>
      <c r="J5734" s="15" t="s">
        <v>22103</v>
      </c>
      <c r="K5734" s="15">
        <v>3.0</v>
      </c>
      <c r="L5734" s="15">
        <v>3.0</v>
      </c>
      <c r="M5734" s="40">
        <v>42043.0</v>
      </c>
      <c r="N5734" s="40">
        <v>42640.0</v>
      </c>
      <c r="O5734" s="15" t="s">
        <v>1554</v>
      </c>
      <c r="Q5734" s="7"/>
    </row>
    <row r="5735">
      <c r="A5735" s="39" t="s">
        <v>22104</v>
      </c>
      <c r="B5735" s="15">
        <v>1608089.0</v>
      </c>
      <c r="C5735" s="15" t="s">
        <v>22105</v>
      </c>
      <c r="D5735" s="15">
        <v>344597.0</v>
      </c>
      <c r="E5735" s="15" t="s">
        <v>1548</v>
      </c>
      <c r="F5735" s="15" t="s">
        <v>1890</v>
      </c>
      <c r="G5735" s="7">
        <v>13.408</v>
      </c>
      <c r="H5735" s="15" t="s">
        <v>2945</v>
      </c>
      <c r="I5735" s="15" t="s">
        <v>1560</v>
      </c>
      <c r="J5735" s="15" t="s">
        <v>22107</v>
      </c>
      <c r="K5735" s="15">
        <v>6.0</v>
      </c>
      <c r="L5735" s="15">
        <v>6.0</v>
      </c>
      <c r="M5735" s="40">
        <v>42043.0</v>
      </c>
      <c r="N5735" s="40">
        <v>42640.0</v>
      </c>
      <c r="O5735" s="15" t="s">
        <v>1554</v>
      </c>
      <c r="Q5735" s="7"/>
    </row>
    <row r="5736">
      <c r="A5736" s="39" t="s">
        <v>22108</v>
      </c>
      <c r="B5736" s="15">
        <v>1608088.0</v>
      </c>
      <c r="C5736" s="15" t="s">
        <v>22109</v>
      </c>
      <c r="D5736" s="15">
        <v>344598.0</v>
      </c>
      <c r="E5736" s="15" t="s">
        <v>1548</v>
      </c>
      <c r="F5736" s="15" t="s">
        <v>1578</v>
      </c>
      <c r="G5736" s="7">
        <v>10.787</v>
      </c>
      <c r="H5736" s="15" t="s">
        <v>1844</v>
      </c>
      <c r="I5736" s="15" t="s">
        <v>1560</v>
      </c>
      <c r="J5736" s="15" t="s">
        <v>22110</v>
      </c>
      <c r="K5736" s="15">
        <v>4.0</v>
      </c>
      <c r="L5736" s="15">
        <v>4.0</v>
      </c>
      <c r="M5736" s="40">
        <v>42043.0</v>
      </c>
      <c r="N5736" s="40">
        <v>42640.0</v>
      </c>
      <c r="O5736" s="15" t="s">
        <v>1554</v>
      </c>
      <c r="Q5736" s="7"/>
    </row>
    <row r="5737">
      <c r="A5737" s="39" t="s">
        <v>22111</v>
      </c>
      <c r="B5737" s="15">
        <v>1608085.0</v>
      </c>
      <c r="C5737" s="15" t="s">
        <v>22112</v>
      </c>
      <c r="D5737" s="15">
        <v>344599.0</v>
      </c>
      <c r="E5737" s="15" t="s">
        <v>1548</v>
      </c>
      <c r="F5737" s="15" t="s">
        <v>1890</v>
      </c>
      <c r="G5737" s="7">
        <v>8.683</v>
      </c>
      <c r="H5737" s="15" t="s">
        <v>1700</v>
      </c>
      <c r="I5737" s="15" t="s">
        <v>1560</v>
      </c>
      <c r="J5737" s="15" t="s">
        <v>22114</v>
      </c>
      <c r="K5737" s="15">
        <v>2.0</v>
      </c>
      <c r="L5737" s="15">
        <v>2.0</v>
      </c>
      <c r="M5737" s="40">
        <v>42043.0</v>
      </c>
      <c r="N5737" s="40">
        <v>42640.0</v>
      </c>
      <c r="O5737" s="15" t="s">
        <v>1554</v>
      </c>
      <c r="Q5737" s="7"/>
    </row>
    <row r="5738">
      <c r="A5738" s="39" t="s">
        <v>22115</v>
      </c>
      <c r="B5738" s="15">
        <v>1608083.0</v>
      </c>
      <c r="C5738" s="15" t="s">
        <v>22116</v>
      </c>
      <c r="D5738" s="15">
        <v>344600.0</v>
      </c>
      <c r="E5738" s="15" t="s">
        <v>1548</v>
      </c>
      <c r="F5738" s="15" t="s">
        <v>16718</v>
      </c>
      <c r="G5738" s="7">
        <v>19.171</v>
      </c>
      <c r="H5738" s="15" t="s">
        <v>22117</v>
      </c>
      <c r="I5738" s="15" t="s">
        <v>1560</v>
      </c>
      <c r="J5738" s="15" t="s">
        <v>22118</v>
      </c>
      <c r="K5738" s="15">
        <v>3.0</v>
      </c>
      <c r="L5738" s="15">
        <v>3.0</v>
      </c>
      <c r="M5738" s="40">
        <v>42043.0</v>
      </c>
      <c r="N5738" s="40">
        <v>42640.0</v>
      </c>
      <c r="O5738" s="15" t="s">
        <v>1554</v>
      </c>
      <c r="Q5738" s="7"/>
    </row>
    <row r="5739">
      <c r="A5739" s="39" t="s">
        <v>22119</v>
      </c>
      <c r="B5739" s="15">
        <v>687803.0</v>
      </c>
      <c r="C5739" s="15" t="s">
        <v>22120</v>
      </c>
      <c r="D5739" s="15">
        <v>344601.0</v>
      </c>
      <c r="E5739" s="15" t="s">
        <v>1557</v>
      </c>
      <c r="F5739" s="15" t="s">
        <v>1767</v>
      </c>
      <c r="G5739" s="7">
        <v>174.307</v>
      </c>
      <c r="H5739" s="15" t="s">
        <v>2640</v>
      </c>
      <c r="I5739" s="15" t="s">
        <v>1586</v>
      </c>
      <c r="J5739" s="15" t="s">
        <v>22122</v>
      </c>
      <c r="K5739" s="15">
        <v>235.0</v>
      </c>
      <c r="L5739" s="15">
        <v>227.0</v>
      </c>
      <c r="M5739" s="40">
        <v>42442.0</v>
      </c>
      <c r="N5739" s="40">
        <v>42640.0</v>
      </c>
      <c r="O5739" s="15" t="s">
        <v>1554</v>
      </c>
      <c r="Q5739" s="7"/>
    </row>
    <row r="5740">
      <c r="A5740" s="39" t="s">
        <v>22123</v>
      </c>
      <c r="B5740" s="15">
        <v>1792032.0</v>
      </c>
      <c r="C5740" s="15" t="s">
        <v>22124</v>
      </c>
      <c r="D5740" s="15">
        <v>344602.0</v>
      </c>
      <c r="E5740" s="15" t="s">
        <v>1557</v>
      </c>
      <c r="F5740" s="15" t="s">
        <v>1767</v>
      </c>
      <c r="G5740" s="7">
        <v>221.908</v>
      </c>
      <c r="H5740" s="15" t="s">
        <v>2857</v>
      </c>
      <c r="I5740" s="15" t="s">
        <v>1586</v>
      </c>
      <c r="J5740" s="15" t="s">
        <v>22125</v>
      </c>
      <c r="K5740" s="15">
        <v>317.0</v>
      </c>
      <c r="L5740" s="15">
        <v>317.0</v>
      </c>
      <c r="M5740" s="40">
        <v>42434.0</v>
      </c>
      <c r="N5740" s="40">
        <v>42640.0</v>
      </c>
      <c r="O5740" s="15" t="s">
        <v>1554</v>
      </c>
      <c r="Q5740" s="7"/>
    </row>
    <row r="5741">
      <c r="A5741" s="39" t="s">
        <v>22126</v>
      </c>
      <c r="B5741" s="15">
        <v>1784982.0</v>
      </c>
      <c r="C5741" s="15" t="s">
        <v>22127</v>
      </c>
      <c r="D5741" s="15">
        <v>344603.0</v>
      </c>
      <c r="E5741" s="15" t="s">
        <v>1557</v>
      </c>
      <c r="F5741" s="15" t="s">
        <v>1578</v>
      </c>
      <c r="G5741" s="7">
        <v>50.509</v>
      </c>
      <c r="H5741" s="15" t="s">
        <v>1962</v>
      </c>
      <c r="I5741" s="15" t="s">
        <v>1586</v>
      </c>
      <c r="J5741" s="15" t="s">
        <v>22129</v>
      </c>
      <c r="K5741" s="15">
        <v>77.0</v>
      </c>
      <c r="L5741" s="15">
        <v>76.0</v>
      </c>
      <c r="M5741" s="40">
        <v>42442.0</v>
      </c>
      <c r="N5741" s="40">
        <v>42640.0</v>
      </c>
      <c r="O5741" s="15" t="s">
        <v>1554</v>
      </c>
      <c r="Q5741" s="7"/>
    </row>
    <row r="5742">
      <c r="A5742" s="39" t="s">
        <v>22130</v>
      </c>
      <c r="B5742" s="15">
        <v>1784956.0</v>
      </c>
      <c r="C5742" s="15" t="s">
        <v>22131</v>
      </c>
      <c r="D5742" s="15">
        <v>344604.0</v>
      </c>
      <c r="E5742" s="15" t="s">
        <v>1557</v>
      </c>
      <c r="F5742" s="15" t="s">
        <v>1833</v>
      </c>
      <c r="G5742" s="7">
        <v>52.129</v>
      </c>
      <c r="H5742" s="15" t="s">
        <v>4096</v>
      </c>
      <c r="I5742" s="15" t="s">
        <v>1586</v>
      </c>
      <c r="J5742" s="15" t="s">
        <v>22132</v>
      </c>
      <c r="K5742" s="15">
        <v>87.0</v>
      </c>
      <c r="L5742" s="15">
        <v>87.0</v>
      </c>
      <c r="M5742" s="40">
        <v>42442.0</v>
      </c>
      <c r="N5742" s="40">
        <v>42640.0</v>
      </c>
      <c r="O5742" s="15" t="s">
        <v>1554</v>
      </c>
      <c r="Q5742" s="7"/>
    </row>
    <row r="5743">
      <c r="A5743" s="39" t="s">
        <v>22133</v>
      </c>
      <c r="B5743" s="15">
        <v>1718278.0</v>
      </c>
      <c r="C5743" s="15" t="s">
        <v>22134</v>
      </c>
      <c r="D5743" s="15">
        <v>344605.0</v>
      </c>
      <c r="E5743" s="15" t="s">
        <v>4407</v>
      </c>
      <c r="F5743" s="15" t="s">
        <v>1578</v>
      </c>
      <c r="G5743" s="7">
        <v>46.877</v>
      </c>
      <c r="H5743" s="15" t="s">
        <v>5627</v>
      </c>
      <c r="I5743" s="15" t="s">
        <v>1586</v>
      </c>
      <c r="J5743" s="15" t="s">
        <v>22135</v>
      </c>
      <c r="K5743" s="15">
        <v>86.0</v>
      </c>
      <c r="L5743" s="15">
        <v>86.0</v>
      </c>
      <c r="M5743" s="40">
        <v>42417.0</v>
      </c>
      <c r="N5743" s="40">
        <v>42640.0</v>
      </c>
      <c r="O5743" s="15" t="s">
        <v>1554</v>
      </c>
      <c r="Q5743" s="7"/>
    </row>
    <row r="5744">
      <c r="A5744" s="39" t="s">
        <v>22137</v>
      </c>
      <c r="B5744" s="15">
        <v>1647400.0</v>
      </c>
      <c r="C5744" s="15" t="s">
        <v>22138</v>
      </c>
      <c r="D5744" s="15">
        <v>344606.0</v>
      </c>
      <c r="E5744" s="15" t="s">
        <v>1557</v>
      </c>
      <c r="F5744" s="15" t="s">
        <v>1833</v>
      </c>
      <c r="G5744" s="7">
        <v>41.17</v>
      </c>
      <c r="H5744" s="15" t="s">
        <v>1696</v>
      </c>
      <c r="I5744" s="15" t="s">
        <v>1586</v>
      </c>
      <c r="J5744" s="15" t="s">
        <v>22139</v>
      </c>
      <c r="K5744" s="15">
        <v>59.0</v>
      </c>
      <c r="L5744" s="15">
        <v>59.0</v>
      </c>
      <c r="M5744" s="40">
        <v>42431.0</v>
      </c>
      <c r="N5744" s="40">
        <v>42640.0</v>
      </c>
      <c r="O5744" s="15" t="s">
        <v>1554</v>
      </c>
      <c r="Q5744" s="7"/>
    </row>
    <row r="5745">
      <c r="A5745" s="39" t="s">
        <v>22140</v>
      </c>
      <c r="B5745" s="15">
        <v>1605379.0</v>
      </c>
      <c r="C5745" s="15" t="s">
        <v>22141</v>
      </c>
      <c r="D5745" s="15">
        <v>344607.0</v>
      </c>
      <c r="E5745" s="15" t="s">
        <v>1557</v>
      </c>
      <c r="F5745" s="15" t="s">
        <v>1767</v>
      </c>
      <c r="G5745" s="7">
        <v>104.906</v>
      </c>
      <c r="H5745" s="15" t="s">
        <v>2233</v>
      </c>
      <c r="I5745" s="15" t="s">
        <v>1586</v>
      </c>
      <c r="J5745" s="15" t="s">
        <v>22142</v>
      </c>
      <c r="K5745" s="15">
        <v>178.0</v>
      </c>
      <c r="L5745" s="15">
        <v>165.0</v>
      </c>
      <c r="M5745" s="40">
        <v>42430.0</v>
      </c>
      <c r="N5745" s="40">
        <v>42640.0</v>
      </c>
      <c r="O5745" s="15" t="s">
        <v>1554</v>
      </c>
      <c r="Q5745" s="7"/>
    </row>
    <row r="5746">
      <c r="A5746" s="39" t="s">
        <v>22144</v>
      </c>
      <c r="B5746" s="15">
        <v>1543205.0</v>
      </c>
      <c r="C5746" s="15" t="s">
        <v>22145</v>
      </c>
      <c r="D5746" s="15">
        <v>344608.0</v>
      </c>
      <c r="E5746" s="15" t="s">
        <v>1557</v>
      </c>
      <c r="F5746" s="15" t="s">
        <v>1578</v>
      </c>
      <c r="G5746" s="7">
        <v>52.437</v>
      </c>
      <c r="H5746" s="15">
        <v>46.0</v>
      </c>
      <c r="I5746" s="15" t="s">
        <v>1586</v>
      </c>
      <c r="J5746" s="15" t="s">
        <v>22146</v>
      </c>
      <c r="K5746" s="15">
        <v>76.0</v>
      </c>
      <c r="L5746" s="15">
        <v>76.0</v>
      </c>
      <c r="M5746" s="40">
        <v>42446.0</v>
      </c>
      <c r="N5746" s="40">
        <v>42640.0</v>
      </c>
      <c r="O5746" s="15" t="s">
        <v>1554</v>
      </c>
      <c r="Q5746" s="7"/>
    </row>
    <row r="5747">
      <c r="A5747" s="39" t="s">
        <v>22147</v>
      </c>
      <c r="B5747" s="15">
        <v>1543203.0</v>
      </c>
      <c r="C5747" s="15" t="s">
        <v>22148</v>
      </c>
      <c r="D5747" s="15">
        <v>344609.0</v>
      </c>
      <c r="E5747" s="15" t="s">
        <v>1557</v>
      </c>
      <c r="F5747" s="15" t="s">
        <v>1833</v>
      </c>
      <c r="G5747" s="7">
        <v>60.606</v>
      </c>
      <c r="H5747" s="15" t="s">
        <v>2131</v>
      </c>
      <c r="I5747" s="15" t="s">
        <v>1586</v>
      </c>
      <c r="J5747" s="15" t="s">
        <v>22149</v>
      </c>
      <c r="K5747" s="15">
        <v>76.0</v>
      </c>
      <c r="L5747" s="15">
        <v>76.0</v>
      </c>
      <c r="M5747" s="40">
        <v>42446.0</v>
      </c>
      <c r="N5747" s="40">
        <v>42640.0</v>
      </c>
      <c r="O5747" s="15" t="s">
        <v>1554</v>
      </c>
      <c r="Q5747" s="7"/>
    </row>
    <row r="5748">
      <c r="A5748" s="39" t="s">
        <v>22150</v>
      </c>
      <c r="B5748" s="15">
        <v>1543201.0</v>
      </c>
      <c r="C5748" s="15" t="s">
        <v>22151</v>
      </c>
      <c r="D5748" s="15">
        <v>344610.0</v>
      </c>
      <c r="E5748" s="15" t="s">
        <v>1557</v>
      </c>
      <c r="F5748" s="15" t="s">
        <v>1611</v>
      </c>
      <c r="G5748" s="7">
        <v>43.602</v>
      </c>
      <c r="H5748" s="15" t="s">
        <v>1782</v>
      </c>
      <c r="I5748" s="15" t="s">
        <v>1586</v>
      </c>
      <c r="J5748" s="15" t="s">
        <v>22153</v>
      </c>
      <c r="K5748" s="15">
        <v>50.0</v>
      </c>
      <c r="L5748" s="15">
        <v>50.0</v>
      </c>
      <c r="M5748" s="40">
        <v>42446.0</v>
      </c>
      <c r="N5748" s="40">
        <v>42640.0</v>
      </c>
      <c r="O5748" s="15" t="s">
        <v>1554</v>
      </c>
      <c r="Q5748" s="7"/>
    </row>
    <row r="5749">
      <c r="A5749" s="39" t="s">
        <v>22154</v>
      </c>
      <c r="B5749" s="15">
        <v>1821727.0</v>
      </c>
      <c r="C5749" s="15" t="s">
        <v>22155</v>
      </c>
      <c r="D5749" s="15">
        <v>344611.0</v>
      </c>
      <c r="E5749" s="15" t="s">
        <v>1557</v>
      </c>
      <c r="F5749" s="15" t="s">
        <v>1833</v>
      </c>
      <c r="G5749" s="7">
        <v>48.67</v>
      </c>
      <c r="H5749" s="15" t="s">
        <v>2497</v>
      </c>
      <c r="I5749" s="15" t="s">
        <v>1586</v>
      </c>
      <c r="J5749" s="15" t="s">
        <v>22156</v>
      </c>
      <c r="K5749" s="15">
        <v>81.0</v>
      </c>
      <c r="L5749" s="15">
        <v>81.0</v>
      </c>
      <c r="M5749" s="40">
        <v>42471.0</v>
      </c>
      <c r="N5749" s="40">
        <v>42640.0</v>
      </c>
      <c r="O5749" s="15" t="s">
        <v>1554</v>
      </c>
      <c r="Q5749" s="7"/>
    </row>
    <row r="5750">
      <c r="A5750" s="39" t="s">
        <v>22157</v>
      </c>
      <c r="B5750" s="15">
        <v>1821723.0</v>
      </c>
      <c r="C5750" s="15" t="s">
        <v>22158</v>
      </c>
      <c r="D5750" s="15">
        <v>344612.0</v>
      </c>
      <c r="E5750" s="15" t="s">
        <v>1557</v>
      </c>
      <c r="F5750" s="15" t="s">
        <v>1833</v>
      </c>
      <c r="G5750" s="7">
        <v>53.935</v>
      </c>
      <c r="H5750" s="15">
        <v>63.0</v>
      </c>
      <c r="I5750" s="15" t="s">
        <v>1586</v>
      </c>
      <c r="J5750" s="15" t="s">
        <v>22159</v>
      </c>
      <c r="K5750" s="15">
        <v>94.0</v>
      </c>
      <c r="L5750" s="15">
        <v>93.0</v>
      </c>
      <c r="M5750" s="40">
        <v>42471.0</v>
      </c>
      <c r="N5750" s="40">
        <v>42640.0</v>
      </c>
      <c r="O5750" s="15" t="s">
        <v>1554</v>
      </c>
      <c r="Q5750" s="7"/>
    </row>
    <row r="5751">
      <c r="A5751" s="39" t="s">
        <v>22161</v>
      </c>
      <c r="B5751" s="15">
        <v>1608119.0</v>
      </c>
      <c r="C5751" s="15" t="s">
        <v>22162</v>
      </c>
      <c r="D5751" s="15">
        <v>344785.0</v>
      </c>
      <c r="E5751" s="15" t="s">
        <v>1548</v>
      </c>
      <c r="F5751" s="15" t="s">
        <v>1890</v>
      </c>
      <c r="G5751" s="7">
        <v>11.103</v>
      </c>
      <c r="H5751" s="15" t="s">
        <v>3022</v>
      </c>
      <c r="I5751" s="15" t="s">
        <v>1560</v>
      </c>
      <c r="J5751" s="15" t="s">
        <v>22163</v>
      </c>
      <c r="K5751" s="15">
        <v>5.0</v>
      </c>
      <c r="L5751" s="15">
        <v>5.0</v>
      </c>
      <c r="M5751" s="40">
        <v>42043.0</v>
      </c>
      <c r="N5751" s="40">
        <v>42643.0</v>
      </c>
      <c r="O5751" s="15" t="s">
        <v>1554</v>
      </c>
      <c r="Q5751" s="7"/>
    </row>
    <row r="5752">
      <c r="A5752" s="39" t="s">
        <v>22164</v>
      </c>
      <c r="B5752" s="15">
        <v>1608139.0</v>
      </c>
      <c r="C5752" s="15" t="s">
        <v>22165</v>
      </c>
      <c r="D5752" s="15">
        <v>345025.0</v>
      </c>
      <c r="E5752" s="15" t="s">
        <v>1548</v>
      </c>
      <c r="F5752" s="15" t="s">
        <v>1578</v>
      </c>
      <c r="G5752" s="7">
        <v>15.94</v>
      </c>
      <c r="H5752" s="15" t="s">
        <v>22166</v>
      </c>
      <c r="I5752" s="15" t="s">
        <v>1560</v>
      </c>
      <c r="J5752" s="15" t="s">
        <v>22167</v>
      </c>
      <c r="K5752" s="15">
        <v>4.0</v>
      </c>
      <c r="L5752" s="15">
        <v>4.0</v>
      </c>
      <c r="M5752" s="40">
        <v>42043.0</v>
      </c>
      <c r="N5752" s="40">
        <v>42643.0</v>
      </c>
      <c r="O5752" s="15" t="s">
        <v>1554</v>
      </c>
      <c r="Q5752" s="7"/>
    </row>
    <row r="5753">
      <c r="A5753" s="39" t="s">
        <v>22169</v>
      </c>
      <c r="B5753" s="15">
        <v>1608137.0</v>
      </c>
      <c r="C5753" s="15" t="s">
        <v>22170</v>
      </c>
      <c r="D5753" s="15">
        <v>345026.0</v>
      </c>
      <c r="E5753" s="15" t="s">
        <v>1548</v>
      </c>
      <c r="F5753" s="15" t="s">
        <v>1578</v>
      </c>
      <c r="G5753" s="7">
        <v>10.306</v>
      </c>
      <c r="H5753" s="15" t="s">
        <v>2945</v>
      </c>
      <c r="I5753" s="15" t="s">
        <v>1560</v>
      </c>
      <c r="J5753" s="15" t="s">
        <v>22171</v>
      </c>
      <c r="K5753" s="15">
        <v>4.0</v>
      </c>
      <c r="L5753" s="15">
        <v>4.0</v>
      </c>
      <c r="M5753" s="40">
        <v>42043.0</v>
      </c>
      <c r="N5753" s="40">
        <v>42643.0</v>
      </c>
      <c r="O5753" s="15" t="s">
        <v>1554</v>
      </c>
      <c r="Q5753" s="7"/>
    </row>
    <row r="5754">
      <c r="A5754" s="39" t="s">
        <v>22172</v>
      </c>
      <c r="B5754" s="15">
        <v>1608134.0</v>
      </c>
      <c r="C5754" s="15" t="s">
        <v>22173</v>
      </c>
      <c r="D5754" s="15">
        <v>345027.0</v>
      </c>
      <c r="E5754" s="15" t="s">
        <v>1548</v>
      </c>
      <c r="F5754" s="15" t="s">
        <v>1890</v>
      </c>
      <c r="G5754" s="7">
        <v>13.706</v>
      </c>
      <c r="H5754" s="15">
        <v>46.0</v>
      </c>
      <c r="I5754" s="15" t="s">
        <v>1560</v>
      </c>
      <c r="J5754" s="15" t="s">
        <v>22174</v>
      </c>
      <c r="K5754" s="15">
        <v>6.0</v>
      </c>
      <c r="L5754" s="15">
        <v>6.0</v>
      </c>
      <c r="M5754" s="40">
        <v>42043.0</v>
      </c>
      <c r="N5754" s="40">
        <v>42643.0</v>
      </c>
      <c r="O5754" s="15" t="s">
        <v>1554</v>
      </c>
      <c r="Q5754" s="7"/>
    </row>
    <row r="5755">
      <c r="A5755" s="39" t="s">
        <v>22176</v>
      </c>
      <c r="B5755" s="15">
        <v>1608127.0</v>
      </c>
      <c r="C5755" s="15" t="s">
        <v>22177</v>
      </c>
      <c r="D5755" s="15">
        <v>345028.0</v>
      </c>
      <c r="E5755" s="15" t="s">
        <v>1548</v>
      </c>
      <c r="F5755" s="15" t="s">
        <v>1578</v>
      </c>
      <c r="G5755" s="7">
        <v>10.855</v>
      </c>
      <c r="H5755" s="15" t="s">
        <v>22178</v>
      </c>
      <c r="I5755" s="15" t="s">
        <v>1560</v>
      </c>
      <c r="J5755" s="15" t="s">
        <v>22179</v>
      </c>
      <c r="K5755" s="15">
        <v>3.0</v>
      </c>
      <c r="L5755" s="15">
        <v>3.0</v>
      </c>
      <c r="M5755" s="40">
        <v>42043.0</v>
      </c>
      <c r="N5755" s="40">
        <v>42643.0</v>
      </c>
      <c r="O5755" s="15" t="s">
        <v>1554</v>
      </c>
      <c r="Q5755" s="7"/>
    </row>
    <row r="5756">
      <c r="A5756" s="39" t="s">
        <v>22180</v>
      </c>
      <c r="B5756" s="15">
        <v>1608126.0</v>
      </c>
      <c r="C5756" s="15" t="s">
        <v>22181</v>
      </c>
      <c r="D5756" s="15">
        <v>345029.0</v>
      </c>
      <c r="E5756" s="15" t="s">
        <v>1548</v>
      </c>
      <c r="F5756" s="15" t="s">
        <v>1578</v>
      </c>
      <c r="G5756" s="7">
        <v>10.802</v>
      </c>
      <c r="H5756" s="15" t="s">
        <v>22182</v>
      </c>
      <c r="I5756" s="15" t="s">
        <v>1560</v>
      </c>
      <c r="J5756" s="15" t="s">
        <v>22183</v>
      </c>
      <c r="K5756" s="15">
        <v>3.0</v>
      </c>
      <c r="L5756" s="15">
        <v>3.0</v>
      </c>
      <c r="M5756" s="40">
        <v>42043.0</v>
      </c>
      <c r="N5756" s="40">
        <v>42643.0</v>
      </c>
      <c r="O5756" s="15" t="s">
        <v>1554</v>
      </c>
      <c r="Q5756" s="7"/>
    </row>
    <row r="5757">
      <c r="A5757" s="39" t="s">
        <v>22184</v>
      </c>
      <c r="B5757" s="15">
        <v>1608123.0</v>
      </c>
      <c r="C5757" s="15" t="s">
        <v>22185</v>
      </c>
      <c r="D5757" s="15">
        <v>345030.0</v>
      </c>
      <c r="E5757" s="15" t="s">
        <v>1548</v>
      </c>
      <c r="F5757" s="15" t="s">
        <v>1578</v>
      </c>
      <c r="G5757" s="7">
        <v>11.37</v>
      </c>
      <c r="H5757" s="15" t="s">
        <v>2141</v>
      </c>
      <c r="I5757" s="15" t="s">
        <v>1560</v>
      </c>
      <c r="J5757" s="15" t="s">
        <v>22186</v>
      </c>
      <c r="K5757" s="15">
        <v>5.0</v>
      </c>
      <c r="L5757" s="15">
        <v>5.0</v>
      </c>
      <c r="M5757" s="40">
        <v>42043.0</v>
      </c>
      <c r="N5757" s="40">
        <v>42643.0</v>
      </c>
      <c r="O5757" s="15" t="s">
        <v>1554</v>
      </c>
      <c r="Q5757" s="7"/>
    </row>
    <row r="5758">
      <c r="A5758" s="39" t="s">
        <v>22188</v>
      </c>
      <c r="B5758" s="15">
        <v>1899219.0</v>
      </c>
      <c r="C5758" s="15" t="s">
        <v>22189</v>
      </c>
      <c r="D5758" s="15">
        <v>345031.0</v>
      </c>
      <c r="E5758" s="15" t="s">
        <v>1808</v>
      </c>
      <c r="F5758" s="15" t="s">
        <v>1809</v>
      </c>
      <c r="G5758" s="7">
        <v>2.749</v>
      </c>
      <c r="H5758" s="15" t="s">
        <v>2023</v>
      </c>
      <c r="I5758" s="15" t="s">
        <v>1628</v>
      </c>
      <c r="J5758" s="15" t="s">
        <v>22190</v>
      </c>
      <c r="K5758" s="15">
        <v>7.0</v>
      </c>
      <c r="L5758" s="15">
        <v>7.0</v>
      </c>
      <c r="M5758" s="40">
        <v>42637.0</v>
      </c>
      <c r="N5758" s="40">
        <v>42643.0</v>
      </c>
      <c r="O5758" s="15" t="s">
        <v>1554</v>
      </c>
      <c r="Q5758" s="7"/>
    </row>
    <row r="5759">
      <c r="A5759" s="39" t="s">
        <v>22191</v>
      </c>
      <c r="B5759" s="15">
        <v>1608146.0</v>
      </c>
      <c r="C5759" s="15" t="s">
        <v>22192</v>
      </c>
      <c r="D5759" s="15">
        <v>345032.0</v>
      </c>
      <c r="E5759" s="15" t="s">
        <v>1548</v>
      </c>
      <c r="F5759" s="15" t="s">
        <v>1890</v>
      </c>
      <c r="G5759" s="7">
        <v>10.833</v>
      </c>
      <c r="H5759" s="15" t="s">
        <v>5368</v>
      </c>
      <c r="I5759" s="15" t="s">
        <v>1560</v>
      </c>
      <c r="J5759" s="15" t="s">
        <v>22193</v>
      </c>
      <c r="K5759" s="15">
        <v>5.0</v>
      </c>
      <c r="L5759" s="15">
        <v>5.0</v>
      </c>
      <c r="M5759" s="40">
        <v>42043.0</v>
      </c>
      <c r="N5759" s="40">
        <v>42643.0</v>
      </c>
      <c r="O5759" s="15" t="s">
        <v>1554</v>
      </c>
      <c r="Q5759" s="7"/>
    </row>
    <row r="5760">
      <c r="A5760" s="39" t="s">
        <v>22195</v>
      </c>
      <c r="B5760" s="15">
        <v>1608144.0</v>
      </c>
      <c r="C5760" s="15" t="s">
        <v>22196</v>
      </c>
      <c r="D5760" s="15">
        <v>345033.0</v>
      </c>
      <c r="E5760" s="15" t="s">
        <v>1548</v>
      </c>
      <c r="F5760" s="15" t="s">
        <v>3116</v>
      </c>
      <c r="G5760" s="7">
        <v>10.729</v>
      </c>
      <c r="H5760" s="15" t="s">
        <v>22197</v>
      </c>
      <c r="I5760" s="15" t="s">
        <v>1560</v>
      </c>
      <c r="J5760" s="15" t="s">
        <v>22198</v>
      </c>
      <c r="K5760" s="15">
        <v>3.0</v>
      </c>
      <c r="L5760" s="15">
        <v>3.0</v>
      </c>
      <c r="M5760" s="40">
        <v>42043.0</v>
      </c>
      <c r="N5760" s="40">
        <v>42643.0</v>
      </c>
      <c r="O5760" s="15" t="s">
        <v>1554</v>
      </c>
      <c r="Q5760" s="7"/>
    </row>
    <row r="5761">
      <c r="A5761" s="39" t="s">
        <v>22199</v>
      </c>
      <c r="B5761" s="15">
        <v>1608140.0</v>
      </c>
      <c r="C5761" s="15" t="s">
        <v>22200</v>
      </c>
      <c r="D5761" s="15">
        <v>345034.0</v>
      </c>
      <c r="E5761" s="15" t="s">
        <v>1548</v>
      </c>
      <c r="F5761" s="15" t="s">
        <v>5290</v>
      </c>
      <c r="G5761" s="7">
        <v>12.072</v>
      </c>
      <c r="H5761" s="15" t="s">
        <v>22201</v>
      </c>
      <c r="I5761" s="15" t="s">
        <v>1560</v>
      </c>
      <c r="J5761" s="15" t="s">
        <v>22202</v>
      </c>
      <c r="K5761" s="15">
        <v>3.0</v>
      </c>
      <c r="L5761" s="15">
        <v>3.0</v>
      </c>
      <c r="M5761" s="40">
        <v>42043.0</v>
      </c>
      <c r="N5761" s="40">
        <v>42643.0</v>
      </c>
      <c r="O5761" s="15" t="s">
        <v>1554</v>
      </c>
      <c r="Q5761" s="7"/>
    </row>
    <row r="5762">
      <c r="A5762" s="39" t="s">
        <v>22204</v>
      </c>
      <c r="B5762" s="15">
        <v>1821561.0</v>
      </c>
      <c r="C5762" s="15" t="s">
        <v>22205</v>
      </c>
      <c r="D5762" s="15">
        <v>344618.0</v>
      </c>
      <c r="E5762" s="15" t="s">
        <v>1557</v>
      </c>
      <c r="F5762" s="15" t="s">
        <v>1833</v>
      </c>
      <c r="G5762" s="7">
        <v>46.895</v>
      </c>
      <c r="H5762" s="15">
        <v>67.0</v>
      </c>
      <c r="I5762" s="15" t="s">
        <v>1586</v>
      </c>
      <c r="J5762" s="15" t="s">
        <v>22206</v>
      </c>
      <c r="K5762" s="15">
        <v>71.0</v>
      </c>
      <c r="L5762" s="15">
        <v>71.0</v>
      </c>
      <c r="M5762" s="40">
        <v>42463.0</v>
      </c>
      <c r="N5762" s="40">
        <v>42640.0</v>
      </c>
      <c r="O5762" s="15" t="s">
        <v>1554</v>
      </c>
      <c r="Q5762" s="7"/>
    </row>
    <row r="5763">
      <c r="A5763" s="39" t="s">
        <v>22207</v>
      </c>
      <c r="B5763" s="15">
        <v>1821559.0</v>
      </c>
      <c r="C5763" s="15" t="s">
        <v>22208</v>
      </c>
      <c r="D5763" s="15">
        <v>344619.0</v>
      </c>
      <c r="E5763" s="15" t="s">
        <v>1557</v>
      </c>
      <c r="F5763" s="15" t="s">
        <v>1833</v>
      </c>
      <c r="G5763" s="7">
        <v>49.286</v>
      </c>
      <c r="H5763" s="15" t="s">
        <v>9965</v>
      </c>
      <c r="I5763" s="15" t="s">
        <v>1586</v>
      </c>
      <c r="J5763" s="15" t="s">
        <v>22209</v>
      </c>
      <c r="K5763" s="15">
        <v>80.0</v>
      </c>
      <c r="L5763" s="15">
        <v>80.0</v>
      </c>
      <c r="M5763" s="40">
        <v>42463.0</v>
      </c>
      <c r="N5763" s="40">
        <v>42640.0</v>
      </c>
      <c r="O5763" s="15" t="s">
        <v>1554</v>
      </c>
      <c r="Q5763" s="7"/>
    </row>
    <row r="5764">
      <c r="A5764" s="39" t="s">
        <v>22211</v>
      </c>
      <c r="B5764" s="15">
        <v>1821557.0</v>
      </c>
      <c r="C5764" s="15" t="s">
        <v>22212</v>
      </c>
      <c r="D5764" s="15">
        <v>344620.0</v>
      </c>
      <c r="E5764" s="15" t="s">
        <v>1557</v>
      </c>
      <c r="F5764" s="15" t="s">
        <v>1833</v>
      </c>
      <c r="G5764" s="7">
        <v>42.979</v>
      </c>
      <c r="H5764" s="15" t="s">
        <v>4100</v>
      </c>
      <c r="I5764" s="15" t="s">
        <v>1586</v>
      </c>
      <c r="J5764" s="15" t="s">
        <v>22213</v>
      </c>
      <c r="K5764" s="15">
        <v>70.0</v>
      </c>
      <c r="L5764" s="15">
        <v>70.0</v>
      </c>
      <c r="M5764" s="40">
        <v>42463.0</v>
      </c>
      <c r="N5764" s="40">
        <v>42640.0</v>
      </c>
      <c r="O5764" s="15" t="s">
        <v>1554</v>
      </c>
      <c r="Q5764" s="7"/>
    </row>
    <row r="5765">
      <c r="A5765" s="39" t="s">
        <v>22214</v>
      </c>
      <c r="B5765" s="15">
        <v>1821556.0</v>
      </c>
      <c r="C5765" s="15" t="s">
        <v>22215</v>
      </c>
      <c r="D5765" s="15">
        <v>344621.0</v>
      </c>
      <c r="E5765" s="15" t="s">
        <v>1557</v>
      </c>
      <c r="F5765" s="15" t="s">
        <v>1833</v>
      </c>
      <c r="G5765" s="7">
        <v>50.346</v>
      </c>
      <c r="H5765" s="15" t="s">
        <v>8941</v>
      </c>
      <c r="I5765" s="15" t="s">
        <v>1586</v>
      </c>
      <c r="J5765" s="15" t="s">
        <v>22216</v>
      </c>
      <c r="K5765" s="15">
        <v>80.0</v>
      </c>
      <c r="L5765" s="15">
        <v>80.0</v>
      </c>
      <c r="M5765" s="40">
        <v>42463.0</v>
      </c>
      <c r="N5765" s="40">
        <v>42752.0</v>
      </c>
      <c r="O5765" s="15" t="s">
        <v>1554</v>
      </c>
      <c r="Q5765" s="7"/>
    </row>
    <row r="5766">
      <c r="A5766" s="39" t="s">
        <v>22217</v>
      </c>
      <c r="B5766" s="15">
        <v>1821554.0</v>
      </c>
      <c r="C5766" s="15" t="s">
        <v>22219</v>
      </c>
      <c r="D5766" s="15">
        <v>344622.0</v>
      </c>
      <c r="E5766" s="15" t="s">
        <v>1557</v>
      </c>
      <c r="F5766" s="15" t="s">
        <v>1833</v>
      </c>
      <c r="G5766" s="7">
        <v>76.972</v>
      </c>
      <c r="H5766" s="15" t="s">
        <v>3227</v>
      </c>
      <c r="I5766" s="15" t="s">
        <v>1586</v>
      </c>
      <c r="J5766" s="15" t="s">
        <v>22220</v>
      </c>
      <c r="K5766" s="15">
        <v>109.0</v>
      </c>
      <c r="L5766" s="15">
        <v>108.0</v>
      </c>
      <c r="M5766" s="40">
        <v>42463.0</v>
      </c>
      <c r="N5766" s="40">
        <v>42640.0</v>
      </c>
      <c r="O5766" s="15" t="s">
        <v>1554</v>
      </c>
      <c r="Q5766" s="7"/>
    </row>
    <row r="5767">
      <c r="A5767" s="39" t="s">
        <v>22221</v>
      </c>
      <c r="B5767" s="15">
        <v>1821553.0</v>
      </c>
      <c r="C5767" s="15" t="s">
        <v>22222</v>
      </c>
      <c r="D5767" s="15">
        <v>344623.0</v>
      </c>
      <c r="E5767" s="15" t="s">
        <v>1557</v>
      </c>
      <c r="F5767" s="15" t="s">
        <v>1833</v>
      </c>
      <c r="G5767" s="7">
        <v>49.894</v>
      </c>
      <c r="H5767" s="15" t="s">
        <v>14676</v>
      </c>
      <c r="I5767" s="15" t="s">
        <v>1586</v>
      </c>
      <c r="J5767" s="15" t="s">
        <v>22223</v>
      </c>
      <c r="K5767" s="15">
        <v>78.0</v>
      </c>
      <c r="L5767" s="15">
        <v>78.0</v>
      </c>
      <c r="M5767" s="40">
        <v>42463.0</v>
      </c>
      <c r="N5767" s="40">
        <v>42640.0</v>
      </c>
      <c r="O5767" s="15" t="s">
        <v>1554</v>
      </c>
      <c r="Q5767" s="7"/>
    </row>
    <row r="5768">
      <c r="A5768" s="39" t="s">
        <v>22224</v>
      </c>
      <c r="B5768" s="15">
        <v>1821552.0</v>
      </c>
      <c r="C5768" s="15" t="s">
        <v>22225</v>
      </c>
      <c r="D5768" s="15">
        <v>344624.0</v>
      </c>
      <c r="E5768" s="15" t="s">
        <v>1557</v>
      </c>
      <c r="F5768" s="15" t="s">
        <v>1833</v>
      </c>
      <c r="G5768" s="7">
        <v>43.982</v>
      </c>
      <c r="H5768" s="15" t="s">
        <v>2154</v>
      </c>
      <c r="I5768" s="15" t="s">
        <v>1586</v>
      </c>
      <c r="J5768" s="15" t="s">
        <v>22226</v>
      </c>
      <c r="K5768" s="15">
        <v>67.0</v>
      </c>
      <c r="L5768" s="15">
        <v>67.0</v>
      </c>
      <c r="M5768" s="40">
        <v>42463.0</v>
      </c>
      <c r="N5768" s="40">
        <v>42640.0</v>
      </c>
      <c r="O5768" s="15" t="s">
        <v>1554</v>
      </c>
      <c r="Q5768" s="7"/>
    </row>
    <row r="5769">
      <c r="A5769" s="39" t="s">
        <v>22228</v>
      </c>
      <c r="B5769" s="15">
        <v>1821551.0</v>
      </c>
      <c r="C5769" s="15" t="s">
        <v>22229</v>
      </c>
      <c r="D5769" s="15">
        <v>344625.0</v>
      </c>
      <c r="E5769" s="15" t="s">
        <v>1557</v>
      </c>
      <c r="F5769" s="15" t="s">
        <v>1833</v>
      </c>
      <c r="G5769" s="7">
        <v>50.636</v>
      </c>
      <c r="H5769" s="15" t="s">
        <v>2632</v>
      </c>
      <c r="I5769" s="15" t="s">
        <v>1586</v>
      </c>
      <c r="J5769" s="15" t="s">
        <v>22230</v>
      </c>
      <c r="K5769" s="15">
        <v>75.0</v>
      </c>
      <c r="L5769" s="15">
        <v>75.0</v>
      </c>
      <c r="M5769" s="40">
        <v>42463.0</v>
      </c>
      <c r="N5769" s="40">
        <v>42640.0</v>
      </c>
      <c r="O5769" s="15" t="s">
        <v>1554</v>
      </c>
      <c r="Q5769" s="7"/>
    </row>
    <row r="5770">
      <c r="A5770" s="39" t="s">
        <v>22231</v>
      </c>
      <c r="B5770" s="15">
        <v>1821541.0</v>
      </c>
      <c r="C5770" s="15" t="s">
        <v>22232</v>
      </c>
      <c r="D5770" s="15">
        <v>344626.0</v>
      </c>
      <c r="E5770" s="15" t="s">
        <v>1557</v>
      </c>
      <c r="F5770" s="15" t="s">
        <v>1833</v>
      </c>
      <c r="G5770" s="7">
        <v>44.872</v>
      </c>
      <c r="H5770" s="15" t="s">
        <v>2400</v>
      </c>
      <c r="I5770" s="15" t="s">
        <v>1586</v>
      </c>
      <c r="J5770" s="15" t="s">
        <v>22233</v>
      </c>
      <c r="K5770" s="15">
        <v>67.0</v>
      </c>
      <c r="L5770" s="15">
        <v>67.0</v>
      </c>
      <c r="M5770" s="40">
        <v>42463.0</v>
      </c>
      <c r="N5770" s="40">
        <v>42640.0</v>
      </c>
      <c r="O5770" s="15" t="s">
        <v>1554</v>
      </c>
      <c r="Q5770" s="7"/>
    </row>
    <row r="5771">
      <c r="A5771" s="39" t="s">
        <v>22234</v>
      </c>
      <c r="B5771" s="15">
        <v>1821538.0</v>
      </c>
      <c r="C5771" s="15" t="s">
        <v>22235</v>
      </c>
      <c r="D5771" s="15">
        <v>344627.0</v>
      </c>
      <c r="E5771" s="15" t="s">
        <v>1557</v>
      </c>
      <c r="F5771" s="15" t="s">
        <v>1833</v>
      </c>
      <c r="G5771" s="7">
        <v>42.395</v>
      </c>
      <c r="H5771" s="15" t="s">
        <v>9774</v>
      </c>
      <c r="I5771" s="15" t="s">
        <v>1586</v>
      </c>
      <c r="J5771" s="15" t="s">
        <v>22237</v>
      </c>
      <c r="K5771" s="15">
        <v>69.0</v>
      </c>
      <c r="L5771" s="15">
        <v>69.0</v>
      </c>
      <c r="M5771" s="40">
        <v>42463.0</v>
      </c>
      <c r="N5771" s="40">
        <v>42640.0</v>
      </c>
      <c r="O5771" s="15" t="s">
        <v>1554</v>
      </c>
      <c r="Q5771" s="7"/>
    </row>
    <row r="5772">
      <c r="A5772" s="39" t="s">
        <v>22238</v>
      </c>
      <c r="B5772" s="15">
        <v>1821537.0</v>
      </c>
      <c r="C5772" s="15" t="s">
        <v>22239</v>
      </c>
      <c r="D5772" s="15">
        <v>344628.0</v>
      </c>
      <c r="E5772" s="15" t="s">
        <v>1557</v>
      </c>
      <c r="F5772" s="15" t="s">
        <v>1833</v>
      </c>
      <c r="G5772" s="7">
        <v>43.516</v>
      </c>
      <c r="H5772" s="15" t="s">
        <v>11392</v>
      </c>
      <c r="I5772" s="15" t="s">
        <v>1586</v>
      </c>
      <c r="J5772" s="15" t="s">
        <v>22240</v>
      </c>
      <c r="K5772" s="15">
        <v>66.0</v>
      </c>
      <c r="L5772" s="15">
        <v>66.0</v>
      </c>
      <c r="M5772" s="40">
        <v>42463.0</v>
      </c>
      <c r="N5772" s="40">
        <v>42640.0</v>
      </c>
      <c r="O5772" s="15" t="s">
        <v>1554</v>
      </c>
      <c r="Q5772" s="7"/>
    </row>
    <row r="5773">
      <c r="A5773" s="39" t="s">
        <v>22241</v>
      </c>
      <c r="B5773" s="15">
        <v>1815972.0</v>
      </c>
      <c r="C5773" s="15" t="s">
        <v>22242</v>
      </c>
      <c r="D5773" s="15">
        <v>344629.0</v>
      </c>
      <c r="E5773" s="15" t="s">
        <v>1557</v>
      </c>
      <c r="F5773" s="15" t="s">
        <v>1833</v>
      </c>
      <c r="G5773" s="7">
        <v>52.561</v>
      </c>
      <c r="H5773" s="15" t="s">
        <v>4117</v>
      </c>
      <c r="I5773" s="15" t="s">
        <v>1586</v>
      </c>
      <c r="J5773" s="15" t="s">
        <v>22243</v>
      </c>
      <c r="K5773" s="15">
        <v>91.0</v>
      </c>
      <c r="L5773" s="15">
        <v>91.0</v>
      </c>
      <c r="M5773" s="40">
        <v>42463.0</v>
      </c>
      <c r="N5773" s="40">
        <v>42640.0</v>
      </c>
      <c r="O5773" s="15" t="s">
        <v>1554</v>
      </c>
      <c r="Q5773" s="7"/>
    </row>
    <row r="5774">
      <c r="A5774" s="39" t="s">
        <v>22245</v>
      </c>
      <c r="B5774" s="15">
        <v>1815969.0</v>
      </c>
      <c r="C5774" s="15" t="s">
        <v>22246</v>
      </c>
      <c r="D5774" s="15">
        <v>344630.0</v>
      </c>
      <c r="E5774" s="15" t="s">
        <v>1557</v>
      </c>
      <c r="F5774" s="15" t="s">
        <v>1833</v>
      </c>
      <c r="G5774" s="7">
        <v>53.486</v>
      </c>
      <c r="H5774" s="15" t="s">
        <v>4653</v>
      </c>
      <c r="I5774" s="15" t="s">
        <v>1586</v>
      </c>
      <c r="J5774" s="15" t="s">
        <v>22247</v>
      </c>
      <c r="K5774" s="15">
        <v>98.0</v>
      </c>
      <c r="L5774" s="15">
        <v>97.0</v>
      </c>
      <c r="M5774" s="40">
        <v>42463.0</v>
      </c>
      <c r="N5774" s="40">
        <v>42640.0</v>
      </c>
      <c r="O5774" s="15" t="s">
        <v>1554</v>
      </c>
      <c r="Q5774" s="7"/>
    </row>
    <row r="5775">
      <c r="A5775" s="39" t="s">
        <v>22248</v>
      </c>
      <c r="B5775" s="15">
        <v>1815608.0</v>
      </c>
      <c r="C5775" s="15" t="s">
        <v>22249</v>
      </c>
      <c r="D5775" s="15">
        <v>344631.0</v>
      </c>
      <c r="E5775" s="15" t="s">
        <v>1557</v>
      </c>
      <c r="F5775" s="15" t="s">
        <v>1833</v>
      </c>
      <c r="G5775" s="7">
        <v>54.751</v>
      </c>
      <c r="H5775" s="15" t="s">
        <v>2840</v>
      </c>
      <c r="I5775" s="15" t="s">
        <v>1586</v>
      </c>
      <c r="J5775" s="15" t="s">
        <v>22250</v>
      </c>
      <c r="K5775" s="15">
        <v>96.0</v>
      </c>
      <c r="L5775" s="15">
        <v>96.0</v>
      </c>
      <c r="M5775" s="40">
        <v>42463.0</v>
      </c>
      <c r="N5775" s="40">
        <v>42640.0</v>
      </c>
      <c r="O5775" s="15" t="s">
        <v>1554</v>
      </c>
      <c r="Q5775" s="7"/>
    </row>
    <row r="5776">
      <c r="A5776" s="39" t="s">
        <v>22251</v>
      </c>
      <c r="B5776" s="15">
        <v>1805459.0</v>
      </c>
      <c r="C5776" s="15" t="s">
        <v>22253</v>
      </c>
      <c r="D5776" s="15">
        <v>344632.0</v>
      </c>
      <c r="E5776" s="15" t="s">
        <v>1557</v>
      </c>
      <c r="F5776" s="15" t="s">
        <v>1833</v>
      </c>
      <c r="G5776" s="7">
        <v>52.428</v>
      </c>
      <c r="H5776" s="15" t="s">
        <v>3029</v>
      </c>
      <c r="I5776" s="15" t="s">
        <v>1586</v>
      </c>
      <c r="J5776" s="15" t="s">
        <v>22254</v>
      </c>
      <c r="K5776" s="15">
        <v>99.0</v>
      </c>
      <c r="L5776" s="15">
        <v>98.0</v>
      </c>
      <c r="M5776" s="40">
        <v>42451.0</v>
      </c>
      <c r="N5776" s="40">
        <v>42640.0</v>
      </c>
      <c r="O5776" s="15" t="s">
        <v>1554</v>
      </c>
      <c r="Q5776" s="7"/>
    </row>
    <row r="5777">
      <c r="A5777" s="39" t="s">
        <v>22255</v>
      </c>
      <c r="B5777" s="15">
        <v>1805457.0</v>
      </c>
      <c r="C5777" s="15" t="s">
        <v>22256</v>
      </c>
      <c r="D5777" s="15">
        <v>344633.0</v>
      </c>
      <c r="E5777" s="15" t="s">
        <v>1557</v>
      </c>
      <c r="F5777" s="15" t="s">
        <v>1833</v>
      </c>
      <c r="G5777" s="7">
        <v>77.832</v>
      </c>
      <c r="H5777" s="15" t="s">
        <v>8962</v>
      </c>
      <c r="I5777" s="15" t="s">
        <v>1586</v>
      </c>
      <c r="J5777" s="15" t="s">
        <v>22257</v>
      </c>
      <c r="K5777" s="15">
        <v>136.0</v>
      </c>
      <c r="L5777" s="15">
        <v>135.0</v>
      </c>
      <c r="M5777" s="40">
        <v>42451.0</v>
      </c>
      <c r="N5777" s="40">
        <v>42640.0</v>
      </c>
      <c r="O5777" s="15" t="s">
        <v>1554</v>
      </c>
      <c r="Q5777" s="7"/>
    </row>
    <row r="5778">
      <c r="A5778" s="39" t="s">
        <v>22258</v>
      </c>
      <c r="B5778" s="15">
        <v>1796998.0</v>
      </c>
      <c r="C5778" s="15" t="s">
        <v>22259</v>
      </c>
      <c r="D5778" s="15">
        <v>344634.0</v>
      </c>
      <c r="E5778" s="15" t="s">
        <v>1557</v>
      </c>
      <c r="F5778" s="15" t="s">
        <v>1611</v>
      </c>
      <c r="G5778" s="7">
        <v>43.267</v>
      </c>
      <c r="H5778" s="15">
        <v>54.0</v>
      </c>
      <c r="I5778" s="15" t="s">
        <v>1586</v>
      </c>
      <c r="J5778" s="15" t="s">
        <v>22261</v>
      </c>
      <c r="K5778" s="15">
        <v>53.0</v>
      </c>
      <c r="L5778" s="15">
        <v>53.0</v>
      </c>
      <c r="M5778" s="40">
        <v>42451.0</v>
      </c>
      <c r="N5778" s="40">
        <v>42640.0</v>
      </c>
      <c r="O5778" s="15" t="s">
        <v>1554</v>
      </c>
      <c r="Q5778" s="7"/>
    </row>
    <row r="5779">
      <c r="A5779" s="39" t="s">
        <v>22262</v>
      </c>
      <c r="B5779" s="15">
        <v>1796996.0</v>
      </c>
      <c r="C5779" s="15" t="s">
        <v>22263</v>
      </c>
      <c r="D5779" s="15">
        <v>344635.0</v>
      </c>
      <c r="E5779" s="15" t="s">
        <v>1557</v>
      </c>
      <c r="F5779" s="15" t="s">
        <v>1833</v>
      </c>
      <c r="G5779" s="7">
        <v>58.56</v>
      </c>
      <c r="H5779" s="15" t="s">
        <v>2831</v>
      </c>
      <c r="I5779" s="15" t="s">
        <v>1586</v>
      </c>
      <c r="J5779" s="15" t="s">
        <v>22264</v>
      </c>
      <c r="K5779" s="15">
        <v>100.0</v>
      </c>
      <c r="L5779" s="15">
        <v>100.0</v>
      </c>
      <c r="M5779" s="40">
        <v>42434.0</v>
      </c>
      <c r="N5779" s="40">
        <v>42640.0</v>
      </c>
      <c r="O5779" s="15" t="s">
        <v>1554</v>
      </c>
      <c r="Q5779" s="7"/>
    </row>
    <row r="5780">
      <c r="A5780" s="39" t="s">
        <v>22265</v>
      </c>
      <c r="B5780" s="15">
        <v>1796995.0</v>
      </c>
      <c r="C5780" s="15" t="s">
        <v>22266</v>
      </c>
      <c r="D5780" s="15">
        <v>344636.0</v>
      </c>
      <c r="E5780" s="15" t="s">
        <v>1557</v>
      </c>
      <c r="F5780" s="15" t="s">
        <v>1833</v>
      </c>
      <c r="G5780" s="7">
        <v>58.871</v>
      </c>
      <c r="H5780" s="15" t="s">
        <v>4467</v>
      </c>
      <c r="I5780" s="15" t="s">
        <v>1586</v>
      </c>
      <c r="J5780" s="15" t="s">
        <v>22267</v>
      </c>
      <c r="K5780" s="15">
        <v>98.0</v>
      </c>
      <c r="L5780" s="15">
        <v>98.0</v>
      </c>
      <c r="M5780" s="40">
        <v>42434.0</v>
      </c>
      <c r="N5780" s="40">
        <v>42640.0</v>
      </c>
      <c r="O5780" s="15" t="s">
        <v>1554</v>
      </c>
      <c r="Q5780" s="7"/>
    </row>
    <row r="5781">
      <c r="A5781" s="39" t="s">
        <v>22268</v>
      </c>
      <c r="B5781" s="15">
        <v>1796994.0</v>
      </c>
      <c r="C5781" s="15" t="s">
        <v>22269</v>
      </c>
      <c r="D5781" s="15">
        <v>344637.0</v>
      </c>
      <c r="E5781" s="15" t="s">
        <v>1557</v>
      </c>
      <c r="F5781" s="15" t="s">
        <v>1767</v>
      </c>
      <c r="G5781" s="7">
        <v>51.29</v>
      </c>
      <c r="H5781" s="15" t="s">
        <v>4190</v>
      </c>
      <c r="I5781" s="15" t="s">
        <v>1586</v>
      </c>
      <c r="J5781" s="15" t="s">
        <v>22270</v>
      </c>
      <c r="K5781" s="15">
        <v>79.0</v>
      </c>
      <c r="L5781" s="15">
        <v>79.0</v>
      </c>
      <c r="M5781" s="40">
        <v>42434.0</v>
      </c>
      <c r="N5781" s="40">
        <v>42640.0</v>
      </c>
      <c r="O5781" s="15" t="s">
        <v>1554</v>
      </c>
      <c r="Q5781" s="7"/>
    </row>
    <row r="5782">
      <c r="A5782" s="39" t="s">
        <v>22272</v>
      </c>
      <c r="B5782" s="15">
        <v>1792253.0</v>
      </c>
      <c r="C5782" s="15" t="s">
        <v>22273</v>
      </c>
      <c r="D5782" s="15">
        <v>344638.0</v>
      </c>
      <c r="E5782" s="15" t="s">
        <v>1557</v>
      </c>
      <c r="F5782" s="15" t="s">
        <v>1833</v>
      </c>
      <c r="G5782" s="7">
        <v>53.411</v>
      </c>
      <c r="H5782" s="15" t="s">
        <v>4499</v>
      </c>
      <c r="I5782" s="15" t="s">
        <v>1586</v>
      </c>
      <c r="J5782" s="15" t="s">
        <v>22274</v>
      </c>
      <c r="K5782" s="15">
        <v>102.0</v>
      </c>
      <c r="L5782" s="15">
        <v>101.0</v>
      </c>
      <c r="M5782" s="40">
        <v>42442.0</v>
      </c>
      <c r="N5782" s="40">
        <v>42640.0</v>
      </c>
      <c r="O5782" s="15" t="s">
        <v>1554</v>
      </c>
      <c r="Q5782" s="7"/>
    </row>
    <row r="5783">
      <c r="A5783" s="39" t="s">
        <v>22275</v>
      </c>
      <c r="B5783" s="15">
        <v>1608058.0</v>
      </c>
      <c r="C5783" s="15" t="s">
        <v>22276</v>
      </c>
      <c r="D5783" s="15">
        <v>344639.0</v>
      </c>
      <c r="E5783" s="15" t="s">
        <v>1548</v>
      </c>
      <c r="F5783" s="15" t="s">
        <v>1578</v>
      </c>
      <c r="G5783" s="7">
        <v>9.924</v>
      </c>
      <c r="H5783" s="15" t="s">
        <v>13695</v>
      </c>
      <c r="I5783" s="15" t="s">
        <v>1560</v>
      </c>
      <c r="J5783" s="15" t="s">
        <v>22277</v>
      </c>
      <c r="K5783" s="15">
        <v>3.0</v>
      </c>
      <c r="L5783" s="15">
        <v>3.0</v>
      </c>
      <c r="M5783" s="40">
        <v>42043.0</v>
      </c>
      <c r="N5783" s="40">
        <v>42640.0</v>
      </c>
      <c r="O5783" s="15" t="s">
        <v>1554</v>
      </c>
      <c r="Q5783" s="7"/>
    </row>
    <row r="5784">
      <c r="A5784" s="39" t="s">
        <v>22278</v>
      </c>
      <c r="B5784" s="15">
        <v>1792269.0</v>
      </c>
      <c r="C5784" s="15" t="s">
        <v>22279</v>
      </c>
      <c r="D5784" s="15">
        <v>344640.0</v>
      </c>
      <c r="E5784" s="15" t="s">
        <v>1557</v>
      </c>
      <c r="F5784" s="15" t="s">
        <v>1833</v>
      </c>
      <c r="G5784" s="7">
        <v>43.293</v>
      </c>
      <c r="H5784" s="15" t="s">
        <v>4283</v>
      </c>
      <c r="I5784" s="15" t="s">
        <v>1586</v>
      </c>
      <c r="J5784" s="15" t="s">
        <v>22280</v>
      </c>
      <c r="K5784" s="15">
        <v>69.0</v>
      </c>
      <c r="L5784" s="15">
        <v>69.0</v>
      </c>
      <c r="M5784" s="40">
        <v>42460.0</v>
      </c>
      <c r="N5784" s="40">
        <v>42640.0</v>
      </c>
      <c r="O5784" s="15" t="s">
        <v>1554</v>
      </c>
      <c r="Q5784" s="7"/>
    </row>
    <row r="5785">
      <c r="A5785" s="39" t="s">
        <v>22281</v>
      </c>
      <c r="B5785" s="15">
        <v>1608114.0</v>
      </c>
      <c r="C5785" s="15" t="s">
        <v>22282</v>
      </c>
      <c r="D5785" s="15">
        <v>344641.0</v>
      </c>
      <c r="E5785" s="15" t="s">
        <v>1548</v>
      </c>
      <c r="F5785" s="15" t="s">
        <v>1890</v>
      </c>
      <c r="G5785" s="7">
        <v>11.541</v>
      </c>
      <c r="H5785" s="15" t="s">
        <v>3361</v>
      </c>
      <c r="I5785" s="15" t="s">
        <v>1560</v>
      </c>
      <c r="J5785" s="15" t="s">
        <v>22284</v>
      </c>
      <c r="K5785" s="15">
        <v>5.0</v>
      </c>
      <c r="L5785" s="15">
        <v>5.0</v>
      </c>
      <c r="M5785" s="40">
        <v>42043.0</v>
      </c>
      <c r="N5785" s="40">
        <v>42640.0</v>
      </c>
      <c r="O5785" s="15" t="s">
        <v>1554</v>
      </c>
      <c r="Q5785" s="7"/>
    </row>
    <row r="5786">
      <c r="A5786" s="39" t="s">
        <v>22285</v>
      </c>
      <c r="B5786" s="15">
        <v>1608112.0</v>
      </c>
      <c r="C5786" s="15" t="s">
        <v>22286</v>
      </c>
      <c r="D5786" s="15">
        <v>344642.0</v>
      </c>
      <c r="E5786" s="15" t="s">
        <v>1548</v>
      </c>
      <c r="F5786" s="15" t="s">
        <v>1890</v>
      </c>
      <c r="G5786" s="7">
        <v>11.165</v>
      </c>
      <c r="H5786" s="15" t="s">
        <v>2163</v>
      </c>
      <c r="I5786" s="15" t="s">
        <v>1560</v>
      </c>
      <c r="J5786" s="15" t="s">
        <v>22287</v>
      </c>
      <c r="K5786" s="15">
        <v>5.0</v>
      </c>
      <c r="L5786" s="15">
        <v>5.0</v>
      </c>
      <c r="M5786" s="40">
        <v>42043.0</v>
      </c>
      <c r="N5786" s="40">
        <v>42640.0</v>
      </c>
      <c r="O5786" s="15" t="s">
        <v>1554</v>
      </c>
      <c r="Q5786" s="7"/>
    </row>
    <row r="5787">
      <c r="A5787" s="39" t="s">
        <v>22288</v>
      </c>
      <c r="B5787" s="15">
        <v>1608111.0</v>
      </c>
      <c r="C5787" s="15" t="s">
        <v>22289</v>
      </c>
      <c r="D5787" s="15">
        <v>344643.0</v>
      </c>
      <c r="E5787" s="15" t="s">
        <v>1548</v>
      </c>
      <c r="F5787" s="15" t="s">
        <v>1890</v>
      </c>
      <c r="G5787" s="7">
        <v>14.191</v>
      </c>
      <c r="H5787" s="15" t="s">
        <v>2524</v>
      </c>
      <c r="I5787" s="15" t="s">
        <v>1560</v>
      </c>
      <c r="J5787" s="15" t="s">
        <v>22290</v>
      </c>
      <c r="K5787" s="15">
        <v>6.0</v>
      </c>
      <c r="L5787" s="15">
        <v>6.0</v>
      </c>
      <c r="M5787" s="40">
        <v>42043.0</v>
      </c>
      <c r="N5787" s="40">
        <v>42640.0</v>
      </c>
      <c r="O5787" s="15" t="s">
        <v>1554</v>
      </c>
      <c r="Q5787" s="7"/>
    </row>
    <row r="5788">
      <c r="A5788" s="39" t="s">
        <v>22292</v>
      </c>
      <c r="B5788" s="15">
        <v>1608110.0</v>
      </c>
      <c r="C5788" s="15" t="s">
        <v>22293</v>
      </c>
      <c r="D5788" s="15">
        <v>344644.0</v>
      </c>
      <c r="E5788" s="15" t="s">
        <v>1548</v>
      </c>
      <c r="F5788" s="15" t="s">
        <v>1890</v>
      </c>
      <c r="G5788" s="7">
        <v>12.734</v>
      </c>
      <c r="H5788" s="15" t="s">
        <v>2392</v>
      </c>
      <c r="I5788" s="15" t="s">
        <v>1560</v>
      </c>
      <c r="J5788" s="15" t="s">
        <v>22294</v>
      </c>
      <c r="K5788" s="15">
        <v>6.0</v>
      </c>
      <c r="L5788" s="15">
        <v>6.0</v>
      </c>
      <c r="M5788" s="40">
        <v>42043.0</v>
      </c>
      <c r="N5788" s="40">
        <v>42640.0</v>
      </c>
      <c r="O5788" s="15" t="s">
        <v>1554</v>
      </c>
      <c r="Q5788" s="7"/>
    </row>
    <row r="5789">
      <c r="A5789" s="39" t="s">
        <v>22295</v>
      </c>
      <c r="B5789" s="15">
        <v>1821566.0</v>
      </c>
      <c r="C5789" s="15" t="s">
        <v>22296</v>
      </c>
      <c r="D5789" s="15">
        <v>344613.0</v>
      </c>
      <c r="E5789" s="15" t="s">
        <v>1557</v>
      </c>
      <c r="F5789" s="15" t="s">
        <v>1833</v>
      </c>
      <c r="G5789" s="7">
        <v>98.136</v>
      </c>
      <c r="H5789" s="15" t="s">
        <v>4842</v>
      </c>
      <c r="I5789" s="15" t="s">
        <v>1586</v>
      </c>
      <c r="J5789" s="15" t="s">
        <v>22297</v>
      </c>
      <c r="K5789" s="15">
        <v>203.0</v>
      </c>
      <c r="L5789" s="15">
        <v>198.0</v>
      </c>
      <c r="M5789" s="40">
        <v>42463.0</v>
      </c>
      <c r="N5789" s="40">
        <v>42640.0</v>
      </c>
      <c r="O5789" s="15" t="s">
        <v>1554</v>
      </c>
      <c r="Q5789" s="7"/>
    </row>
    <row r="5790">
      <c r="A5790" s="39" t="s">
        <v>22298</v>
      </c>
      <c r="B5790" s="15">
        <v>1821565.0</v>
      </c>
      <c r="C5790" s="15" t="s">
        <v>22299</v>
      </c>
      <c r="D5790" s="15">
        <v>344614.0</v>
      </c>
      <c r="E5790" s="15" t="s">
        <v>1557</v>
      </c>
      <c r="F5790" s="15" t="s">
        <v>1833</v>
      </c>
      <c r="G5790" s="7">
        <v>51.884</v>
      </c>
      <c r="H5790" s="15" t="s">
        <v>8941</v>
      </c>
      <c r="I5790" s="15" t="s">
        <v>1586</v>
      </c>
      <c r="J5790" s="15" t="s">
        <v>22301</v>
      </c>
      <c r="K5790" s="15">
        <v>86.0</v>
      </c>
      <c r="L5790" s="15">
        <v>86.0</v>
      </c>
      <c r="M5790" s="40">
        <v>42463.0</v>
      </c>
      <c r="N5790" s="40">
        <v>42752.0</v>
      </c>
      <c r="O5790" s="15" t="s">
        <v>1554</v>
      </c>
      <c r="Q5790" s="7"/>
    </row>
    <row r="5791">
      <c r="A5791" s="39" t="s">
        <v>22302</v>
      </c>
      <c r="B5791" s="15">
        <v>1821564.0</v>
      </c>
      <c r="C5791" s="15" t="s">
        <v>22303</v>
      </c>
      <c r="D5791" s="15">
        <v>344615.0</v>
      </c>
      <c r="E5791" s="15" t="s">
        <v>1557</v>
      </c>
      <c r="F5791" s="15" t="s">
        <v>1833</v>
      </c>
      <c r="G5791" s="7">
        <v>59.337</v>
      </c>
      <c r="H5791" s="15" t="s">
        <v>2632</v>
      </c>
      <c r="I5791" s="15" t="s">
        <v>1586</v>
      </c>
      <c r="J5791" s="15" t="s">
        <v>22304</v>
      </c>
      <c r="K5791" s="15">
        <v>89.0</v>
      </c>
      <c r="L5791" s="15">
        <v>89.0</v>
      </c>
      <c r="M5791" s="40">
        <v>42463.0</v>
      </c>
      <c r="N5791" s="40">
        <v>42640.0</v>
      </c>
      <c r="O5791" s="15" t="s">
        <v>1554</v>
      </c>
      <c r="Q5791" s="7"/>
    </row>
    <row r="5792">
      <c r="A5792" s="39" t="s">
        <v>22305</v>
      </c>
      <c r="B5792" s="15">
        <v>1821563.0</v>
      </c>
      <c r="C5792" s="15" t="s">
        <v>22307</v>
      </c>
      <c r="D5792" s="15">
        <v>344616.0</v>
      </c>
      <c r="E5792" s="15" t="s">
        <v>1557</v>
      </c>
      <c r="F5792" s="15" t="s">
        <v>1833</v>
      </c>
      <c r="G5792" s="7">
        <v>50.127</v>
      </c>
      <c r="H5792" s="15">
        <v>67.0</v>
      </c>
      <c r="I5792" s="15" t="s">
        <v>1586</v>
      </c>
      <c r="J5792" s="15" t="s">
        <v>22308</v>
      </c>
      <c r="K5792" s="15">
        <v>83.0</v>
      </c>
      <c r="L5792" s="15">
        <v>83.0</v>
      </c>
      <c r="M5792" s="40">
        <v>42463.0</v>
      </c>
      <c r="N5792" s="40">
        <v>42640.0</v>
      </c>
      <c r="O5792" s="15" t="s">
        <v>1554</v>
      </c>
      <c r="Q5792" s="7"/>
    </row>
    <row r="5793">
      <c r="A5793" s="39" t="s">
        <v>22309</v>
      </c>
      <c r="B5793" s="15">
        <v>1821562.0</v>
      </c>
      <c r="C5793" s="15" t="s">
        <v>22310</v>
      </c>
      <c r="D5793" s="15">
        <v>344617.0</v>
      </c>
      <c r="E5793" s="15" t="s">
        <v>1557</v>
      </c>
      <c r="F5793" s="15" t="s">
        <v>1833</v>
      </c>
      <c r="G5793" s="7">
        <v>47.88</v>
      </c>
      <c r="H5793" s="15" t="s">
        <v>9774</v>
      </c>
      <c r="I5793" s="15" t="s">
        <v>1586</v>
      </c>
      <c r="J5793" s="15" t="s">
        <v>22311</v>
      </c>
      <c r="K5793" s="15">
        <v>74.0</v>
      </c>
      <c r="L5793" s="15">
        <v>74.0</v>
      </c>
      <c r="M5793" s="40">
        <v>42463.0</v>
      </c>
      <c r="N5793" s="40">
        <v>42640.0</v>
      </c>
      <c r="O5793" s="15" t="s">
        <v>1554</v>
      </c>
      <c r="Q5793" s="7"/>
    </row>
    <row r="5794">
      <c r="A5794" s="39" t="s">
        <v>22312</v>
      </c>
      <c r="B5794" s="15">
        <v>1904439.0</v>
      </c>
      <c r="C5794" s="15" t="s">
        <v>22313</v>
      </c>
      <c r="D5794" s="15">
        <v>345346.0</v>
      </c>
      <c r="E5794" s="15" t="s">
        <v>1916</v>
      </c>
      <c r="F5794" s="15" t="s">
        <v>2532</v>
      </c>
      <c r="G5794" s="7">
        <v>8.126</v>
      </c>
      <c r="H5794" s="15" t="s">
        <v>2869</v>
      </c>
      <c r="I5794" s="15" t="s">
        <v>1686</v>
      </c>
      <c r="J5794" s="15" t="s">
        <v>22314</v>
      </c>
      <c r="K5794" s="15">
        <v>4.0</v>
      </c>
      <c r="L5794" s="15">
        <v>4.0</v>
      </c>
      <c r="M5794" s="40">
        <v>42644.0</v>
      </c>
      <c r="N5794" s="40">
        <v>42648.0</v>
      </c>
      <c r="O5794" s="15" t="s">
        <v>1554</v>
      </c>
      <c r="Q5794" s="7"/>
    </row>
    <row r="5795">
      <c r="A5795" s="39" t="s">
        <v>22316</v>
      </c>
      <c r="B5795" s="15">
        <v>1903340.0</v>
      </c>
      <c r="C5795" s="15" t="s">
        <v>22317</v>
      </c>
      <c r="D5795" s="15">
        <v>345461.0</v>
      </c>
      <c r="E5795" s="15" t="s">
        <v>1548</v>
      </c>
      <c r="F5795" s="15" t="s">
        <v>1801</v>
      </c>
      <c r="G5795" s="7">
        <v>10.588</v>
      </c>
      <c r="H5795" s="15" t="s">
        <v>4821</v>
      </c>
      <c r="I5795" s="15" t="s">
        <v>1560</v>
      </c>
      <c r="J5795" s="15" t="s">
        <v>22318</v>
      </c>
      <c r="K5795" s="15">
        <v>2.0</v>
      </c>
      <c r="L5795" s="15">
        <v>2.0</v>
      </c>
      <c r="M5795" s="40">
        <v>42639.0</v>
      </c>
      <c r="N5795" s="41">
        <v>42660.0</v>
      </c>
      <c r="O5795" s="15" t="s">
        <v>1554</v>
      </c>
      <c r="Q5795" s="7"/>
    </row>
    <row r="5796">
      <c r="A5796" s="39" t="s">
        <v>22319</v>
      </c>
      <c r="B5796" s="15">
        <v>1840644.0</v>
      </c>
      <c r="C5796" s="15" t="s">
        <v>22320</v>
      </c>
      <c r="D5796" s="15">
        <v>345627.0</v>
      </c>
      <c r="E5796" s="15" t="s">
        <v>1638</v>
      </c>
      <c r="F5796" s="15" t="s">
        <v>2849</v>
      </c>
      <c r="G5796" s="7">
        <v>14.623</v>
      </c>
      <c r="H5796" s="15" t="s">
        <v>1710</v>
      </c>
      <c r="I5796" s="15" t="s">
        <v>1628</v>
      </c>
      <c r="J5796" s="15" t="s">
        <v>22321</v>
      </c>
      <c r="K5796" s="15">
        <v>1.0</v>
      </c>
      <c r="L5796" s="15">
        <v>1.0</v>
      </c>
      <c r="M5796" s="40">
        <v>42648.0</v>
      </c>
      <c r="N5796" s="40">
        <v>42650.0</v>
      </c>
      <c r="O5796" s="15" t="s">
        <v>1554</v>
      </c>
      <c r="Q5796" s="7"/>
    </row>
    <row r="5797">
      <c r="A5797" s="39" t="s">
        <v>22322</v>
      </c>
      <c r="B5797" s="15">
        <v>1903318.0</v>
      </c>
      <c r="C5797" s="15" t="s">
        <v>22324</v>
      </c>
      <c r="D5797" s="15">
        <v>345050.0</v>
      </c>
      <c r="E5797" s="15" t="s">
        <v>1548</v>
      </c>
      <c r="F5797" s="15" t="s">
        <v>4829</v>
      </c>
      <c r="G5797" s="7">
        <v>7.753</v>
      </c>
      <c r="H5797" s="15" t="s">
        <v>4736</v>
      </c>
      <c r="I5797" s="15" t="s">
        <v>1686</v>
      </c>
      <c r="J5797" s="15" t="s">
        <v>22325</v>
      </c>
      <c r="K5797" s="15">
        <v>3.0</v>
      </c>
      <c r="L5797" s="15">
        <v>3.0</v>
      </c>
      <c r="M5797" s="40">
        <v>42639.0</v>
      </c>
      <c r="N5797" s="40">
        <v>42990.0</v>
      </c>
      <c r="O5797" s="15" t="s">
        <v>1554</v>
      </c>
      <c r="Q5797" s="7"/>
    </row>
    <row r="5798">
      <c r="A5798" s="39" t="s">
        <v>22326</v>
      </c>
      <c r="B5798" s="15">
        <v>1811408.0</v>
      </c>
      <c r="C5798" s="15" t="s">
        <v>22327</v>
      </c>
      <c r="D5798" s="15">
        <v>348330.0</v>
      </c>
      <c r="E5798" s="15" t="s">
        <v>1548</v>
      </c>
      <c r="F5798" s="15" t="s">
        <v>1578</v>
      </c>
      <c r="G5798" s="7">
        <v>7.725</v>
      </c>
      <c r="H5798" s="15" t="s">
        <v>22328</v>
      </c>
      <c r="I5798" s="15" t="s">
        <v>1628</v>
      </c>
      <c r="J5798" s="15" t="s">
        <v>22329</v>
      </c>
      <c r="K5798" s="15">
        <v>3.0</v>
      </c>
      <c r="L5798" s="15">
        <v>3.0</v>
      </c>
      <c r="M5798" s="40">
        <v>42650.0</v>
      </c>
      <c r="N5798" s="41">
        <v>42656.0</v>
      </c>
      <c r="O5798" s="15" t="s">
        <v>1554</v>
      </c>
      <c r="Q5798" s="7"/>
    </row>
    <row r="5799">
      <c r="A5799" s="39" t="s">
        <v>22330</v>
      </c>
      <c r="B5799" s="15">
        <v>1906245.0</v>
      </c>
      <c r="C5799" s="15" t="s">
        <v>22332</v>
      </c>
      <c r="D5799" s="15">
        <v>348111.0</v>
      </c>
      <c r="E5799" s="15" t="s">
        <v>1548</v>
      </c>
      <c r="F5799" s="15" t="s">
        <v>2374</v>
      </c>
      <c r="G5799" s="7">
        <v>10.056</v>
      </c>
      <c r="H5799" s="15" t="s">
        <v>4331</v>
      </c>
      <c r="I5799" s="15" t="s">
        <v>1560</v>
      </c>
      <c r="J5799" s="15" t="s">
        <v>22333</v>
      </c>
      <c r="K5799" s="15">
        <v>1.0</v>
      </c>
      <c r="L5799" s="15">
        <v>1.0</v>
      </c>
      <c r="M5799" s="41">
        <v>42653.0</v>
      </c>
      <c r="N5799" s="41">
        <v>42656.0</v>
      </c>
      <c r="O5799" s="15" t="s">
        <v>1554</v>
      </c>
      <c r="Q5799" s="7"/>
    </row>
    <row r="5800">
      <c r="A5800" s="39" t="s">
        <v>22334</v>
      </c>
      <c r="B5800" s="15">
        <v>1906317.0</v>
      </c>
      <c r="C5800" s="15" t="s">
        <v>22335</v>
      </c>
      <c r="D5800" s="15">
        <v>348329.0</v>
      </c>
      <c r="E5800" s="15" t="s">
        <v>1808</v>
      </c>
      <c r="F5800" s="15" t="s">
        <v>1809</v>
      </c>
      <c r="G5800" s="7">
        <v>2.905</v>
      </c>
      <c r="H5800" s="15" t="s">
        <v>1685</v>
      </c>
      <c r="I5800" s="15" t="s">
        <v>1628</v>
      </c>
      <c r="J5800" s="15" t="s">
        <v>22336</v>
      </c>
      <c r="K5800" s="15">
        <v>6.0</v>
      </c>
      <c r="L5800" s="15">
        <v>6.0</v>
      </c>
      <c r="M5800" s="41">
        <v>42653.0</v>
      </c>
      <c r="N5800" s="41">
        <v>42656.0</v>
      </c>
      <c r="O5800" s="15" t="s">
        <v>1554</v>
      </c>
      <c r="Q5800" s="7"/>
    </row>
    <row r="5801">
      <c r="A5801" s="39" t="s">
        <v>22337</v>
      </c>
      <c r="B5801" s="15">
        <v>291286.0</v>
      </c>
      <c r="C5801" s="15" t="s">
        <v>22338</v>
      </c>
      <c r="D5801" s="15">
        <v>348328.0</v>
      </c>
      <c r="E5801" s="15" t="s">
        <v>1548</v>
      </c>
      <c r="F5801" s="15" t="s">
        <v>1911</v>
      </c>
      <c r="G5801" s="7">
        <v>10.154</v>
      </c>
      <c r="H5801" s="15" t="s">
        <v>3895</v>
      </c>
      <c r="I5801" s="15" t="s">
        <v>1628</v>
      </c>
      <c r="J5801" s="15" t="s">
        <v>22339</v>
      </c>
      <c r="K5801" s="15">
        <v>2.0</v>
      </c>
      <c r="L5801" s="15">
        <v>2.0</v>
      </c>
      <c r="M5801" s="40">
        <v>42651.0</v>
      </c>
      <c r="N5801" s="41">
        <v>42656.0</v>
      </c>
      <c r="O5801" s="15" t="s">
        <v>1554</v>
      </c>
      <c r="Q5801" s="7"/>
    </row>
    <row r="5802">
      <c r="A5802" s="39" t="s">
        <v>22340</v>
      </c>
      <c r="B5802" s="15">
        <v>1904880.0</v>
      </c>
      <c r="C5802" s="15" t="s">
        <v>22342</v>
      </c>
      <c r="D5802" s="15">
        <v>348726.0</v>
      </c>
      <c r="E5802" s="15" t="s">
        <v>1808</v>
      </c>
      <c r="F5802" s="15" t="s">
        <v>1809</v>
      </c>
      <c r="G5802" s="7">
        <v>2.636</v>
      </c>
      <c r="H5802" s="15" t="s">
        <v>5934</v>
      </c>
      <c r="I5802" s="15" t="s">
        <v>1628</v>
      </c>
      <c r="J5802" s="15" t="s">
        <v>22343</v>
      </c>
      <c r="K5802" s="15">
        <v>5.0</v>
      </c>
      <c r="L5802" s="15">
        <v>5.0</v>
      </c>
      <c r="M5802" s="40">
        <v>42652.0</v>
      </c>
      <c r="N5802" s="41">
        <v>42660.0</v>
      </c>
      <c r="O5802" s="15" t="s">
        <v>1554</v>
      </c>
      <c r="Q5802" s="7"/>
    </row>
    <row r="5803">
      <c r="A5803" s="39" t="s">
        <v>22344</v>
      </c>
      <c r="B5803" s="15">
        <v>1904881.0</v>
      </c>
      <c r="C5803" s="15" t="s">
        <v>22345</v>
      </c>
      <c r="D5803" s="15">
        <v>348357.0</v>
      </c>
      <c r="E5803" s="15" t="s">
        <v>1808</v>
      </c>
      <c r="F5803" s="15" t="s">
        <v>1809</v>
      </c>
      <c r="G5803" s="7">
        <v>5.23</v>
      </c>
      <c r="H5803" s="15" t="s">
        <v>22346</v>
      </c>
      <c r="I5803" s="15" t="s">
        <v>1628</v>
      </c>
      <c r="J5803" s="15" t="s">
        <v>22347</v>
      </c>
      <c r="K5803" s="15">
        <v>8.0</v>
      </c>
      <c r="L5803" s="15">
        <v>8.0</v>
      </c>
      <c r="M5803" s="40">
        <v>42652.0</v>
      </c>
      <c r="N5803" s="41">
        <v>42660.0</v>
      </c>
      <c r="O5803" s="15" t="s">
        <v>1554</v>
      </c>
      <c r="Q5803" s="7"/>
    </row>
    <row r="5804">
      <c r="A5804" s="39" t="s">
        <v>22348</v>
      </c>
      <c r="B5804" s="15">
        <v>1907771.0</v>
      </c>
      <c r="C5804" s="15" t="s">
        <v>22349</v>
      </c>
      <c r="D5804" s="15">
        <v>348721.0</v>
      </c>
      <c r="E5804" s="15" t="s">
        <v>1808</v>
      </c>
      <c r="F5804" s="15" t="s">
        <v>2436</v>
      </c>
      <c r="G5804" s="7">
        <v>5.166</v>
      </c>
      <c r="H5804" s="15" t="s">
        <v>2023</v>
      </c>
      <c r="I5804" s="15" t="s">
        <v>1686</v>
      </c>
      <c r="J5804" s="15" t="s">
        <v>22351</v>
      </c>
      <c r="K5804" s="15">
        <v>5.0</v>
      </c>
      <c r="L5804" s="15">
        <v>5.0</v>
      </c>
      <c r="M5804" s="41">
        <v>42657.0</v>
      </c>
      <c r="N5804" s="41">
        <v>42660.0</v>
      </c>
      <c r="O5804" s="15" t="s">
        <v>1554</v>
      </c>
      <c r="Q5804" s="7"/>
    </row>
    <row r="5805">
      <c r="A5805" s="39" t="s">
        <v>22352</v>
      </c>
      <c r="B5805" s="15">
        <v>1904884.0</v>
      </c>
      <c r="C5805" s="15" t="s">
        <v>22353</v>
      </c>
      <c r="D5805" s="15">
        <v>348359.0</v>
      </c>
      <c r="E5805" s="15" t="s">
        <v>1808</v>
      </c>
      <c r="F5805" s="15" t="s">
        <v>1809</v>
      </c>
      <c r="G5805" s="7">
        <v>2.621</v>
      </c>
      <c r="H5805" s="15" t="s">
        <v>2064</v>
      </c>
      <c r="I5805" s="15" t="s">
        <v>1628</v>
      </c>
      <c r="J5805" s="15" t="s">
        <v>22354</v>
      </c>
      <c r="K5805" s="15">
        <v>5.0</v>
      </c>
      <c r="L5805" s="15">
        <v>5.0</v>
      </c>
      <c r="M5805" s="40">
        <v>42652.0</v>
      </c>
      <c r="N5805" s="41">
        <v>42660.0</v>
      </c>
      <c r="O5805" s="15" t="s">
        <v>1554</v>
      </c>
      <c r="Q5805" s="7"/>
    </row>
    <row r="5806">
      <c r="A5806" s="39" t="s">
        <v>22355</v>
      </c>
      <c r="B5806" s="15">
        <v>1904883.0</v>
      </c>
      <c r="C5806" s="15" t="s">
        <v>22356</v>
      </c>
      <c r="D5806" s="15">
        <v>348723.0</v>
      </c>
      <c r="E5806" s="15" t="s">
        <v>1808</v>
      </c>
      <c r="F5806" s="15" t="s">
        <v>1809</v>
      </c>
      <c r="G5806" s="7">
        <v>5.145</v>
      </c>
      <c r="H5806" s="15" t="s">
        <v>22357</v>
      </c>
      <c r="I5806" s="15" t="s">
        <v>1628</v>
      </c>
      <c r="J5806" s="15" t="s">
        <v>22358</v>
      </c>
      <c r="K5806" s="15">
        <v>7.0</v>
      </c>
      <c r="L5806" s="15">
        <v>7.0</v>
      </c>
      <c r="M5806" s="40">
        <v>42652.0</v>
      </c>
      <c r="N5806" s="41">
        <v>42660.0</v>
      </c>
      <c r="O5806" s="15" t="s">
        <v>1554</v>
      </c>
      <c r="Q5806" s="7"/>
    </row>
    <row r="5807">
      <c r="A5807" s="39" t="s">
        <v>22359</v>
      </c>
      <c r="B5807" s="15">
        <v>1908808.0</v>
      </c>
      <c r="C5807" s="15" t="s">
        <v>22361</v>
      </c>
      <c r="D5807" s="15">
        <v>348719.0</v>
      </c>
      <c r="E5807" s="15" t="s">
        <v>1638</v>
      </c>
      <c r="F5807" s="15" t="s">
        <v>2849</v>
      </c>
      <c r="G5807" s="7">
        <v>19.406</v>
      </c>
      <c r="H5807" s="15" t="s">
        <v>2263</v>
      </c>
      <c r="I5807" s="15" t="s">
        <v>1552</v>
      </c>
      <c r="J5807" s="15" t="s">
        <v>22362</v>
      </c>
      <c r="K5807" s="15">
        <v>1.0</v>
      </c>
      <c r="L5807" s="15">
        <v>1.0</v>
      </c>
      <c r="M5807" s="41">
        <v>42655.0</v>
      </c>
      <c r="N5807" s="41">
        <v>42661.0</v>
      </c>
      <c r="O5807" s="15" t="s">
        <v>1554</v>
      </c>
      <c r="Q5807" s="7"/>
    </row>
    <row r="5808">
      <c r="A5808" s="39" t="s">
        <v>22363</v>
      </c>
      <c r="B5808" s="15">
        <v>1906668.0</v>
      </c>
      <c r="C5808" s="15" t="s">
        <v>22364</v>
      </c>
      <c r="D5808" s="15">
        <v>348722.0</v>
      </c>
      <c r="E5808" s="15" t="s">
        <v>1808</v>
      </c>
      <c r="F5808" s="15" t="s">
        <v>1809</v>
      </c>
      <c r="G5808" s="7">
        <v>5.213</v>
      </c>
      <c r="H5808" s="15" t="s">
        <v>22365</v>
      </c>
      <c r="I5808" s="15" t="s">
        <v>1628</v>
      </c>
      <c r="J5808" s="15" t="s">
        <v>22366</v>
      </c>
      <c r="K5808" s="15">
        <v>8.0</v>
      </c>
      <c r="L5808" s="15">
        <v>8.0</v>
      </c>
      <c r="M5808" s="41">
        <v>42654.0</v>
      </c>
      <c r="N5808" s="41">
        <v>42660.0</v>
      </c>
      <c r="O5808" s="15" t="s">
        <v>1554</v>
      </c>
      <c r="Q5808" s="7"/>
    </row>
    <row r="5809">
      <c r="A5809" s="39" t="s">
        <v>22367</v>
      </c>
      <c r="B5809" s="15">
        <v>1904882.0</v>
      </c>
      <c r="C5809" s="15" t="s">
        <v>22368</v>
      </c>
      <c r="D5809" s="15">
        <v>348724.0</v>
      </c>
      <c r="E5809" s="15" t="s">
        <v>1808</v>
      </c>
      <c r="F5809" s="15" t="s">
        <v>1809</v>
      </c>
      <c r="G5809" s="7">
        <v>5.349</v>
      </c>
      <c r="H5809" s="15" t="s">
        <v>22369</v>
      </c>
      <c r="I5809" s="15" t="s">
        <v>1628</v>
      </c>
      <c r="J5809" s="15" t="s">
        <v>22371</v>
      </c>
      <c r="K5809" s="15">
        <v>8.0</v>
      </c>
      <c r="L5809" s="15">
        <v>8.0</v>
      </c>
      <c r="M5809" s="40">
        <v>42652.0</v>
      </c>
      <c r="N5809" s="41">
        <v>42660.0</v>
      </c>
      <c r="O5809" s="15" t="s">
        <v>1554</v>
      </c>
      <c r="Q5809" s="7"/>
    </row>
    <row r="5810">
      <c r="A5810" s="39" t="s">
        <v>22372</v>
      </c>
      <c r="B5810" s="15">
        <v>1908807.0</v>
      </c>
      <c r="C5810" s="15" t="s">
        <v>22373</v>
      </c>
      <c r="D5810" s="15">
        <v>349010.0</v>
      </c>
      <c r="E5810" s="15" t="s">
        <v>1638</v>
      </c>
      <c r="F5810" s="15" t="s">
        <v>2849</v>
      </c>
      <c r="G5810" s="7">
        <v>23.635</v>
      </c>
      <c r="H5810" s="15" t="s">
        <v>6058</v>
      </c>
      <c r="I5810" s="15" t="s">
        <v>1552</v>
      </c>
      <c r="J5810" s="15" t="s">
        <v>22374</v>
      </c>
      <c r="K5810" s="15">
        <v>2.0</v>
      </c>
      <c r="L5810" s="15">
        <v>2.0</v>
      </c>
      <c r="M5810" s="41">
        <v>42655.0</v>
      </c>
      <c r="N5810" s="41">
        <v>42661.0</v>
      </c>
      <c r="O5810" s="15" t="s">
        <v>1554</v>
      </c>
      <c r="Q5810" s="7"/>
    </row>
    <row r="5811">
      <c r="A5811" s="39" t="s">
        <v>22375</v>
      </c>
      <c r="B5811" s="15">
        <v>1908806.0</v>
      </c>
      <c r="C5811" s="15" t="s">
        <v>22376</v>
      </c>
      <c r="D5811" s="15">
        <v>349011.0</v>
      </c>
      <c r="E5811" s="15" t="s">
        <v>1638</v>
      </c>
      <c r="F5811" s="15" t="s">
        <v>2849</v>
      </c>
      <c r="G5811" s="7">
        <v>15.207</v>
      </c>
      <c r="H5811" s="15" t="s">
        <v>1700</v>
      </c>
      <c r="I5811" s="15" t="s">
        <v>1552</v>
      </c>
      <c r="J5811" s="15" t="s">
        <v>22377</v>
      </c>
      <c r="K5811" s="15">
        <v>1.0</v>
      </c>
      <c r="L5811" s="15">
        <v>1.0</v>
      </c>
      <c r="M5811" s="41">
        <v>42655.0</v>
      </c>
      <c r="N5811" s="41">
        <v>42661.0</v>
      </c>
      <c r="O5811" s="15" t="s">
        <v>1554</v>
      </c>
      <c r="Q5811" s="7"/>
    </row>
    <row r="5812">
      <c r="A5812" s="39" t="s">
        <v>22378</v>
      </c>
      <c r="B5812" s="15">
        <v>1908811.0</v>
      </c>
      <c r="C5812" s="15" t="s">
        <v>22379</v>
      </c>
      <c r="D5812" s="15">
        <v>348743.0</v>
      </c>
      <c r="E5812" s="15" t="s">
        <v>1638</v>
      </c>
      <c r="F5812" s="15" t="s">
        <v>2849</v>
      </c>
      <c r="G5812" s="7">
        <v>19.293</v>
      </c>
      <c r="H5812" s="15">
        <v>46.0</v>
      </c>
      <c r="I5812" s="15" t="s">
        <v>1552</v>
      </c>
      <c r="J5812" s="15" t="s">
        <v>22380</v>
      </c>
      <c r="K5812" s="15">
        <v>2.0</v>
      </c>
      <c r="L5812" s="15">
        <v>2.0</v>
      </c>
      <c r="M5812" s="41">
        <v>42655.0</v>
      </c>
      <c r="N5812" s="40">
        <v>42872.0</v>
      </c>
      <c r="O5812" s="15" t="s">
        <v>1554</v>
      </c>
      <c r="Q5812" s="7"/>
    </row>
    <row r="5813">
      <c r="A5813" s="39" t="s">
        <v>22381</v>
      </c>
      <c r="B5813" s="15">
        <v>1740165.0</v>
      </c>
      <c r="C5813" s="15" t="s">
        <v>22382</v>
      </c>
      <c r="D5813" s="15">
        <v>349161.0</v>
      </c>
      <c r="E5813" s="15" t="s">
        <v>1808</v>
      </c>
      <c r="F5813" s="15" t="s">
        <v>1809</v>
      </c>
      <c r="G5813" s="7">
        <v>2.759</v>
      </c>
      <c r="H5813" s="15" t="s">
        <v>2005</v>
      </c>
      <c r="I5813" s="15" t="s">
        <v>1628</v>
      </c>
      <c r="J5813" s="15" t="s">
        <v>22384</v>
      </c>
      <c r="K5813" s="15">
        <v>6.0</v>
      </c>
      <c r="L5813" s="15">
        <v>6.0</v>
      </c>
      <c r="M5813" s="40">
        <v>42479.0</v>
      </c>
      <c r="N5813" s="41">
        <v>42662.0</v>
      </c>
      <c r="O5813" s="15" t="s">
        <v>1554</v>
      </c>
      <c r="Q5813" s="7"/>
    </row>
    <row r="5814">
      <c r="A5814" s="39" t="s">
        <v>22385</v>
      </c>
      <c r="B5814" s="15">
        <v>1445810.0</v>
      </c>
      <c r="C5814" s="15" t="s">
        <v>22386</v>
      </c>
      <c r="D5814" s="15">
        <v>310944.0</v>
      </c>
      <c r="E5814" s="15" t="s">
        <v>1557</v>
      </c>
      <c r="F5814" s="15" t="s">
        <v>1767</v>
      </c>
      <c r="G5814" s="7">
        <v>151.417</v>
      </c>
      <c r="H5814" s="15" t="s">
        <v>2820</v>
      </c>
      <c r="I5814" s="15" t="s">
        <v>1586</v>
      </c>
      <c r="J5814" s="15" t="s">
        <v>22387</v>
      </c>
      <c r="K5814" s="15">
        <v>216.0</v>
      </c>
      <c r="L5814" s="15">
        <v>211.0</v>
      </c>
      <c r="M5814" s="41">
        <v>41955.0</v>
      </c>
      <c r="N5814" s="40">
        <v>42405.0</v>
      </c>
      <c r="O5814" s="15" t="s">
        <v>1554</v>
      </c>
      <c r="Q5814" s="7"/>
    </row>
    <row r="5815">
      <c r="A5815" s="39" t="s">
        <v>22388</v>
      </c>
      <c r="B5815" s="15">
        <v>1907767.0</v>
      </c>
      <c r="C5815" s="15" t="s">
        <v>22389</v>
      </c>
      <c r="D5815" s="15">
        <v>349749.0</v>
      </c>
      <c r="E5815" s="15" t="s">
        <v>1557</v>
      </c>
      <c r="F5815" s="15" t="s">
        <v>2628</v>
      </c>
      <c r="G5815" s="7">
        <v>41.981</v>
      </c>
      <c r="H5815" s="15" t="s">
        <v>1918</v>
      </c>
      <c r="I5815" s="15" t="s">
        <v>1686</v>
      </c>
      <c r="J5815" s="15" t="s">
        <v>22390</v>
      </c>
      <c r="K5815" s="15">
        <v>35.0</v>
      </c>
      <c r="L5815" s="15">
        <v>35.0</v>
      </c>
      <c r="M5815" s="41">
        <v>42661.0</v>
      </c>
      <c r="N5815" s="41">
        <v>42664.0</v>
      </c>
      <c r="O5815" s="15" t="s">
        <v>1554</v>
      </c>
      <c r="Q5815" s="7"/>
    </row>
    <row r="5816">
      <c r="A5816" s="39" t="s">
        <v>22391</v>
      </c>
      <c r="B5816" s="15">
        <v>1881951.0</v>
      </c>
      <c r="C5816" s="15" t="s">
        <v>22392</v>
      </c>
      <c r="D5816" s="15">
        <v>260159.0</v>
      </c>
      <c r="E5816" s="15" t="s">
        <v>1548</v>
      </c>
      <c r="F5816" s="15" t="s">
        <v>18494</v>
      </c>
      <c r="G5816" s="7">
        <v>8.884</v>
      </c>
      <c r="H5816" s="15" t="s">
        <v>1685</v>
      </c>
      <c r="I5816" s="15" t="s">
        <v>1686</v>
      </c>
      <c r="J5816" s="15" t="s">
        <v>22394</v>
      </c>
      <c r="K5816" s="15">
        <v>6.0</v>
      </c>
      <c r="L5816" s="15">
        <v>6.0</v>
      </c>
      <c r="M5816" s="40">
        <v>41884.0</v>
      </c>
      <c r="N5816" s="40">
        <v>42577.0</v>
      </c>
      <c r="O5816" s="15" t="s">
        <v>1554</v>
      </c>
      <c r="Q5816" s="7"/>
    </row>
    <row r="5817">
      <c r="A5817" s="39" t="s">
        <v>22395</v>
      </c>
      <c r="B5817" s="15">
        <v>1897732.0</v>
      </c>
      <c r="C5817" s="15" t="s">
        <v>22396</v>
      </c>
      <c r="D5817" s="15">
        <v>302026.0</v>
      </c>
      <c r="E5817" s="15" t="s">
        <v>1577</v>
      </c>
      <c r="F5817" s="15" t="s">
        <v>1578</v>
      </c>
      <c r="G5817" s="7">
        <v>4.85</v>
      </c>
      <c r="H5817" s="15" t="s">
        <v>1597</v>
      </c>
      <c r="I5817" s="15" t="s">
        <v>1560</v>
      </c>
      <c r="J5817" s="15" t="s">
        <v>22397</v>
      </c>
      <c r="K5817" s="15">
        <v>3.0</v>
      </c>
      <c r="L5817" s="15">
        <v>3.0</v>
      </c>
      <c r="M5817" s="40">
        <v>42311.0</v>
      </c>
      <c r="N5817" s="40">
        <v>42622.0</v>
      </c>
      <c r="O5817" s="15" t="s">
        <v>1554</v>
      </c>
      <c r="Q5817" s="7"/>
    </row>
    <row r="5818">
      <c r="A5818" s="39" t="s">
        <v>22398</v>
      </c>
      <c r="B5818" s="15">
        <v>1872719.0</v>
      </c>
      <c r="C5818" s="15" t="s">
        <v>22399</v>
      </c>
      <c r="D5818" s="15">
        <v>304909.0</v>
      </c>
      <c r="E5818" s="15" t="s">
        <v>1548</v>
      </c>
      <c r="F5818" s="15" t="s">
        <v>1578</v>
      </c>
      <c r="G5818" s="7">
        <v>2.903</v>
      </c>
      <c r="H5818" s="15" t="s">
        <v>1745</v>
      </c>
      <c r="I5818" s="15" t="s">
        <v>1628</v>
      </c>
      <c r="J5818" s="15" t="s">
        <v>22400</v>
      </c>
      <c r="K5818" s="15">
        <v>1.0</v>
      </c>
      <c r="L5818" s="15">
        <v>1.0</v>
      </c>
      <c r="M5818" s="41">
        <v>42337.0</v>
      </c>
      <c r="N5818" s="40">
        <v>42570.0</v>
      </c>
      <c r="O5818" s="15" t="s">
        <v>1554</v>
      </c>
      <c r="Q5818" s="7"/>
    </row>
    <row r="5819">
      <c r="A5819" s="39" t="s">
        <v>22402</v>
      </c>
      <c r="B5819" s="15">
        <v>766791.0</v>
      </c>
      <c r="C5819" s="15" t="s">
        <v>22403</v>
      </c>
      <c r="D5819" s="15">
        <v>241029.0</v>
      </c>
      <c r="E5819" s="15" t="s">
        <v>1548</v>
      </c>
      <c r="F5819" s="15" t="s">
        <v>1684</v>
      </c>
      <c r="G5819" s="7">
        <v>28.941</v>
      </c>
      <c r="H5819" s="15" t="s">
        <v>2375</v>
      </c>
      <c r="I5819" s="15" t="s">
        <v>1686</v>
      </c>
      <c r="J5819" s="15" t="s">
        <v>22404</v>
      </c>
      <c r="K5819" s="15">
        <v>10.0</v>
      </c>
      <c r="L5819" s="15">
        <v>10.0</v>
      </c>
      <c r="M5819" s="40">
        <v>40350.0</v>
      </c>
      <c r="N5819" s="40">
        <v>41710.0</v>
      </c>
      <c r="O5819" s="15" t="s">
        <v>1554</v>
      </c>
      <c r="Q5819" s="7"/>
    </row>
    <row r="5820">
      <c r="A5820" s="39" t="s">
        <v>22405</v>
      </c>
      <c r="B5820" s="15">
        <v>103724.0</v>
      </c>
      <c r="C5820" s="15" t="s">
        <v>22406</v>
      </c>
      <c r="D5820" s="15">
        <v>351253.0</v>
      </c>
      <c r="E5820" s="15" t="s">
        <v>1548</v>
      </c>
      <c r="F5820" s="15" t="s">
        <v>2032</v>
      </c>
      <c r="G5820" s="7">
        <v>6.719</v>
      </c>
      <c r="H5820" s="15">
        <v>65.0</v>
      </c>
      <c r="I5820" s="15" t="s">
        <v>2034</v>
      </c>
      <c r="J5820" s="15" t="s">
        <v>22407</v>
      </c>
      <c r="K5820" s="15">
        <v>3.0</v>
      </c>
      <c r="L5820" s="15">
        <v>3.0</v>
      </c>
      <c r="M5820" s="41">
        <v>42668.0</v>
      </c>
      <c r="N5820" s="41">
        <v>42671.0</v>
      </c>
      <c r="O5820" s="15" t="s">
        <v>1554</v>
      </c>
      <c r="Q5820" s="7"/>
    </row>
    <row r="5821">
      <c r="A5821" s="39" t="s">
        <v>22408</v>
      </c>
      <c r="B5821" s="15">
        <v>1911555.0</v>
      </c>
      <c r="C5821" s="15" t="s">
        <v>22410</v>
      </c>
      <c r="D5821" s="15">
        <v>351252.0</v>
      </c>
      <c r="E5821" s="15" t="s">
        <v>1808</v>
      </c>
      <c r="F5821" s="15" t="s">
        <v>2436</v>
      </c>
      <c r="G5821" s="7">
        <v>5.414</v>
      </c>
      <c r="H5821" s="15" t="s">
        <v>5488</v>
      </c>
      <c r="I5821" s="15" t="s">
        <v>1686</v>
      </c>
      <c r="J5821" s="15" t="s">
        <v>22411</v>
      </c>
      <c r="K5821" s="15">
        <v>5.0</v>
      </c>
      <c r="L5821" s="15">
        <v>5.0</v>
      </c>
      <c r="M5821" s="41">
        <v>42668.0</v>
      </c>
      <c r="N5821" s="40">
        <v>42874.0</v>
      </c>
      <c r="O5821" s="15" t="s">
        <v>1554</v>
      </c>
      <c r="Q5821" s="7"/>
    </row>
    <row r="5822">
      <c r="A5822" s="39" t="s">
        <v>22412</v>
      </c>
      <c r="B5822" s="15">
        <v>1916650.0</v>
      </c>
      <c r="C5822" s="15" t="s">
        <v>22413</v>
      </c>
      <c r="D5822" s="15">
        <v>338014.0</v>
      </c>
      <c r="E5822" s="15" t="s">
        <v>1548</v>
      </c>
      <c r="F5822" s="15" t="s">
        <v>2788</v>
      </c>
      <c r="G5822" s="7">
        <v>43290.0</v>
      </c>
      <c r="H5822" s="15" t="s">
        <v>1849</v>
      </c>
      <c r="I5822" s="15" t="s">
        <v>1560</v>
      </c>
      <c r="J5822" s="15" t="s">
        <v>22414</v>
      </c>
      <c r="K5822" s="15">
        <v>2.0</v>
      </c>
      <c r="L5822" s="15">
        <v>2.0</v>
      </c>
      <c r="M5822" s="41">
        <v>42668.0</v>
      </c>
      <c r="N5822" s="41">
        <v>42684.0</v>
      </c>
      <c r="O5822" s="15" t="s">
        <v>1554</v>
      </c>
      <c r="Q5822" s="7"/>
    </row>
    <row r="5823">
      <c r="A5823" s="39" t="s">
        <v>22415</v>
      </c>
      <c r="B5823" s="15">
        <v>1911439.0</v>
      </c>
      <c r="C5823" s="15" t="s">
        <v>22413</v>
      </c>
      <c r="D5823" s="15">
        <v>338014.0</v>
      </c>
      <c r="E5823" s="15" t="s">
        <v>1577</v>
      </c>
      <c r="F5823" s="15" t="s">
        <v>1578</v>
      </c>
      <c r="G5823" s="7">
        <v>9.22</v>
      </c>
      <c r="H5823" s="15" t="s">
        <v>2049</v>
      </c>
      <c r="I5823" s="15" t="s">
        <v>1560</v>
      </c>
      <c r="J5823" s="15" t="s">
        <v>22416</v>
      </c>
      <c r="K5823" s="15">
        <v>1.0</v>
      </c>
      <c r="L5823" s="15">
        <v>1.0</v>
      </c>
      <c r="M5823" s="41">
        <v>42668.0</v>
      </c>
      <c r="N5823" s="40">
        <v>42675.0</v>
      </c>
      <c r="O5823" s="15" t="s">
        <v>1554</v>
      </c>
      <c r="Q5823" s="7"/>
    </row>
    <row r="5824">
      <c r="A5824" s="39" t="s">
        <v>22418</v>
      </c>
      <c r="B5824" s="15">
        <v>1911438.0</v>
      </c>
      <c r="C5824" s="15" t="s">
        <v>22413</v>
      </c>
      <c r="D5824" s="15">
        <v>338014.0</v>
      </c>
      <c r="E5824" s="15" t="s">
        <v>1577</v>
      </c>
      <c r="F5824" s="15" t="s">
        <v>1578</v>
      </c>
      <c r="G5824" s="7">
        <v>9.875</v>
      </c>
      <c r="H5824" s="15" t="s">
        <v>2103</v>
      </c>
      <c r="I5824" s="15" t="s">
        <v>1560</v>
      </c>
      <c r="J5824" s="15" t="s">
        <v>22419</v>
      </c>
      <c r="K5824" s="15">
        <v>1.0</v>
      </c>
      <c r="L5824" s="15">
        <v>1.0</v>
      </c>
      <c r="M5824" s="41">
        <v>42668.0</v>
      </c>
      <c r="N5824" s="40">
        <v>42675.0</v>
      </c>
      <c r="O5824" s="15" t="s">
        <v>1554</v>
      </c>
      <c r="Q5824" s="7"/>
    </row>
    <row r="5825">
      <c r="A5825" s="39" t="s">
        <v>22420</v>
      </c>
      <c r="B5825" s="15">
        <v>1911434.0</v>
      </c>
      <c r="C5825" s="15" t="s">
        <v>22413</v>
      </c>
      <c r="D5825" s="15">
        <v>338014.0</v>
      </c>
      <c r="E5825" s="15" t="s">
        <v>1548</v>
      </c>
      <c r="F5825" s="15" t="s">
        <v>1890</v>
      </c>
      <c r="G5825" s="7">
        <v>11.308</v>
      </c>
      <c r="H5825" s="15" t="s">
        <v>3070</v>
      </c>
      <c r="I5825" s="15" t="s">
        <v>1560</v>
      </c>
      <c r="J5825" s="15" t="s">
        <v>22421</v>
      </c>
      <c r="K5825" s="15">
        <v>5.0</v>
      </c>
      <c r="L5825" s="15">
        <v>5.0</v>
      </c>
      <c r="M5825" s="41">
        <v>42668.0</v>
      </c>
      <c r="N5825" s="40">
        <v>42675.0</v>
      </c>
      <c r="O5825" s="15" t="s">
        <v>1554</v>
      </c>
      <c r="Q5825" s="7"/>
    </row>
    <row r="5826">
      <c r="A5826" s="39" t="s">
        <v>22422</v>
      </c>
      <c r="B5826" s="15">
        <v>1911435.0</v>
      </c>
      <c r="C5826" s="15" t="s">
        <v>22413</v>
      </c>
      <c r="D5826" s="15">
        <v>338014.0</v>
      </c>
      <c r="E5826" s="15" t="s">
        <v>1548</v>
      </c>
      <c r="F5826" s="15" t="s">
        <v>1890</v>
      </c>
      <c r="G5826" s="7">
        <v>11.238</v>
      </c>
      <c r="H5826" s="15" t="s">
        <v>2141</v>
      </c>
      <c r="I5826" s="15" t="s">
        <v>1560</v>
      </c>
      <c r="J5826" s="15" t="s">
        <v>22423</v>
      </c>
      <c r="K5826" s="15">
        <v>5.0</v>
      </c>
      <c r="L5826" s="15">
        <v>5.0</v>
      </c>
      <c r="M5826" s="41">
        <v>42668.0</v>
      </c>
      <c r="N5826" s="40">
        <v>42675.0</v>
      </c>
      <c r="O5826" s="15" t="s">
        <v>1554</v>
      </c>
      <c r="Q5826" s="7"/>
    </row>
    <row r="5827">
      <c r="A5827" s="39" t="s">
        <v>22425</v>
      </c>
      <c r="B5827" s="15">
        <v>1911442.0</v>
      </c>
      <c r="C5827" s="15" t="s">
        <v>22413</v>
      </c>
      <c r="D5827" s="15">
        <v>338014.0</v>
      </c>
      <c r="E5827" s="15" t="s">
        <v>1548</v>
      </c>
      <c r="F5827" s="15" t="s">
        <v>2788</v>
      </c>
      <c r="G5827" s="7">
        <v>9.018</v>
      </c>
      <c r="H5827" s="15" t="s">
        <v>2440</v>
      </c>
      <c r="I5827" s="15" t="s">
        <v>1560</v>
      </c>
      <c r="J5827" s="15" t="s">
        <v>22426</v>
      </c>
      <c r="K5827" s="15">
        <v>2.0</v>
      </c>
      <c r="L5827" s="15">
        <v>2.0</v>
      </c>
      <c r="M5827" s="41">
        <v>42668.0</v>
      </c>
      <c r="N5827" s="40">
        <v>42675.0</v>
      </c>
      <c r="O5827" s="15" t="s">
        <v>1554</v>
      </c>
      <c r="Q5827" s="7"/>
    </row>
    <row r="5828">
      <c r="A5828" s="39" t="s">
        <v>22427</v>
      </c>
      <c r="B5828" s="15">
        <v>1908802.0</v>
      </c>
      <c r="C5828" s="15" t="s">
        <v>22428</v>
      </c>
      <c r="D5828" s="15">
        <v>352519.0</v>
      </c>
      <c r="E5828" s="15" t="s">
        <v>1808</v>
      </c>
      <c r="F5828" s="15" t="s">
        <v>1998</v>
      </c>
      <c r="G5828" s="7">
        <v>2.229</v>
      </c>
      <c r="H5828" s="15" t="s">
        <v>1818</v>
      </c>
      <c r="I5828" s="15" t="s">
        <v>1686</v>
      </c>
      <c r="J5828" s="15" t="s">
        <v>22429</v>
      </c>
      <c r="K5828" s="15">
        <v>2.0</v>
      </c>
      <c r="L5828" s="15">
        <v>2.0</v>
      </c>
      <c r="M5828" s="41">
        <v>42674.0</v>
      </c>
      <c r="N5828" s="40">
        <v>42678.0</v>
      </c>
      <c r="O5828" s="15" t="s">
        <v>1554</v>
      </c>
      <c r="Q5828" s="7"/>
    </row>
    <row r="5829">
      <c r="A5829" s="39" t="s">
        <v>22431</v>
      </c>
      <c r="B5829" s="15">
        <v>1913024.0</v>
      </c>
      <c r="C5829" s="15" t="s">
        <v>22432</v>
      </c>
      <c r="D5829" s="15">
        <v>352391.0</v>
      </c>
      <c r="E5829" s="15" t="s">
        <v>1548</v>
      </c>
      <c r="F5829" s="15" t="s">
        <v>1771</v>
      </c>
      <c r="G5829" s="7">
        <v>6.205</v>
      </c>
      <c r="H5829" s="15" t="s">
        <v>2107</v>
      </c>
      <c r="I5829" s="15" t="s">
        <v>1628</v>
      </c>
      <c r="J5829" s="15" t="s">
        <v>22433</v>
      </c>
      <c r="K5829" s="15">
        <v>6.0</v>
      </c>
      <c r="L5829" s="15">
        <v>6.0</v>
      </c>
      <c r="M5829" s="40">
        <v>42676.0</v>
      </c>
      <c r="N5829" s="40">
        <v>42678.0</v>
      </c>
      <c r="O5829" s="15" t="s">
        <v>1554</v>
      </c>
      <c r="Q5829" s="7"/>
    </row>
    <row r="5830">
      <c r="A5830" s="39" t="s">
        <v>22434</v>
      </c>
      <c r="B5830" s="15">
        <v>1914154.0</v>
      </c>
      <c r="C5830" s="15" t="s">
        <v>22435</v>
      </c>
      <c r="D5830" s="15">
        <v>352512.0</v>
      </c>
      <c r="E5830" s="15" t="s">
        <v>1638</v>
      </c>
      <c r="F5830" s="15" t="s">
        <v>2849</v>
      </c>
      <c r="G5830" s="7">
        <v>11.557</v>
      </c>
      <c r="H5830" s="15" t="s">
        <v>2668</v>
      </c>
      <c r="I5830" s="15" t="s">
        <v>1552</v>
      </c>
      <c r="J5830" s="15" t="s">
        <v>22436</v>
      </c>
      <c r="K5830" s="15">
        <v>1.0</v>
      </c>
      <c r="L5830" s="15">
        <v>1.0</v>
      </c>
      <c r="M5830" s="40">
        <v>42676.0</v>
      </c>
      <c r="N5830" s="40">
        <v>42678.0</v>
      </c>
      <c r="O5830" s="15" t="s">
        <v>1554</v>
      </c>
      <c r="Q5830" s="7"/>
    </row>
    <row r="5831">
      <c r="A5831" s="39" t="s">
        <v>22437</v>
      </c>
      <c r="B5831" s="15">
        <v>1912344.0</v>
      </c>
      <c r="C5831" s="15" t="s">
        <v>22438</v>
      </c>
      <c r="D5831" s="15">
        <v>352514.0</v>
      </c>
      <c r="E5831" s="15" t="s">
        <v>1808</v>
      </c>
      <c r="F5831" s="15" t="s">
        <v>1809</v>
      </c>
      <c r="G5831" s="7">
        <v>2.738</v>
      </c>
      <c r="H5831" s="15" t="s">
        <v>3066</v>
      </c>
      <c r="I5831" s="15" t="s">
        <v>1628</v>
      </c>
      <c r="J5831" s="15" t="s">
        <v>22440</v>
      </c>
      <c r="K5831" s="15">
        <v>6.0</v>
      </c>
      <c r="L5831" s="15">
        <v>6.0</v>
      </c>
      <c r="M5831" s="41">
        <v>42674.0</v>
      </c>
      <c r="N5831" s="40">
        <v>42799.0</v>
      </c>
      <c r="O5831" s="15" t="s">
        <v>1554</v>
      </c>
      <c r="Q5831" s="7"/>
    </row>
    <row r="5832">
      <c r="A5832" s="39" t="s">
        <v>22441</v>
      </c>
      <c r="B5832" s="15">
        <v>1911102.0</v>
      </c>
      <c r="C5832" s="15" t="s">
        <v>22442</v>
      </c>
      <c r="D5832" s="15">
        <v>352517.0</v>
      </c>
      <c r="E5832" s="15" t="s">
        <v>1577</v>
      </c>
      <c r="F5832" s="15" t="s">
        <v>1578</v>
      </c>
      <c r="G5832" s="7">
        <v>9.85</v>
      </c>
      <c r="H5832" s="15" t="s">
        <v>2197</v>
      </c>
      <c r="I5832" s="15" t="s">
        <v>1560</v>
      </c>
      <c r="J5832" s="15" t="s">
        <v>22443</v>
      </c>
      <c r="K5832" s="15">
        <v>5.0</v>
      </c>
      <c r="L5832" s="15">
        <v>5.0</v>
      </c>
      <c r="M5832" s="41">
        <v>42672.0</v>
      </c>
      <c r="N5832" s="40">
        <v>42678.0</v>
      </c>
      <c r="O5832" s="15" t="s">
        <v>1554</v>
      </c>
      <c r="Q5832" s="7"/>
    </row>
    <row r="5833">
      <c r="A5833" s="39" t="s">
        <v>22444</v>
      </c>
      <c r="B5833" s="15">
        <v>1912234.0</v>
      </c>
      <c r="C5833" s="15" t="s">
        <v>22445</v>
      </c>
      <c r="D5833" s="15">
        <v>352515.0</v>
      </c>
      <c r="E5833" s="15" t="s">
        <v>1548</v>
      </c>
      <c r="F5833" s="15" t="s">
        <v>1578</v>
      </c>
      <c r="G5833" s="7">
        <v>10.562</v>
      </c>
      <c r="H5833" s="15" t="s">
        <v>2877</v>
      </c>
      <c r="I5833" s="15" t="s">
        <v>1560</v>
      </c>
      <c r="J5833" s="15" t="s">
        <v>22446</v>
      </c>
      <c r="K5833" s="15">
        <v>1.0</v>
      </c>
      <c r="L5833" s="15">
        <v>1.0</v>
      </c>
      <c r="M5833" s="40">
        <v>42676.0</v>
      </c>
      <c r="N5833" s="40">
        <v>42678.0</v>
      </c>
      <c r="O5833" s="15" t="s">
        <v>1554</v>
      </c>
      <c r="Q5833" s="7"/>
    </row>
    <row r="5834">
      <c r="A5834" s="39" t="s">
        <v>22448</v>
      </c>
      <c r="B5834" s="15">
        <v>1868221.0</v>
      </c>
      <c r="C5834" s="15" t="s">
        <v>22449</v>
      </c>
      <c r="D5834" s="15">
        <v>352520.0</v>
      </c>
      <c r="E5834" s="15" t="s">
        <v>1808</v>
      </c>
      <c r="F5834" s="15" t="s">
        <v>1998</v>
      </c>
      <c r="G5834" s="7">
        <v>2.0</v>
      </c>
      <c r="H5834" s="15" t="s">
        <v>5391</v>
      </c>
      <c r="I5834" s="15" t="s">
        <v>1686</v>
      </c>
      <c r="J5834" s="15" t="s">
        <v>22450</v>
      </c>
      <c r="K5834" s="15">
        <v>1.0</v>
      </c>
      <c r="L5834" s="15">
        <v>1.0</v>
      </c>
      <c r="M5834" s="40">
        <v>42675.0</v>
      </c>
      <c r="N5834" s="40">
        <v>42678.0</v>
      </c>
      <c r="O5834" s="15" t="s">
        <v>1554</v>
      </c>
      <c r="Q5834" s="7"/>
    </row>
    <row r="5835">
      <c r="A5835" s="39" t="s">
        <v>22451</v>
      </c>
      <c r="B5835" s="15">
        <v>1911104.0</v>
      </c>
      <c r="C5835" s="15" t="s">
        <v>22452</v>
      </c>
      <c r="D5835" s="15">
        <v>352516.0</v>
      </c>
      <c r="E5835" s="15" t="s">
        <v>1548</v>
      </c>
      <c r="F5835" s="15" t="s">
        <v>2374</v>
      </c>
      <c r="G5835" s="7">
        <v>10.193</v>
      </c>
      <c r="H5835" s="15" t="s">
        <v>6583</v>
      </c>
      <c r="I5835" s="15" t="s">
        <v>1686</v>
      </c>
      <c r="J5835" s="15" t="s">
        <v>22453</v>
      </c>
      <c r="K5835" s="15">
        <v>1.0</v>
      </c>
      <c r="L5835" s="15">
        <v>1.0</v>
      </c>
      <c r="M5835" s="41">
        <v>42672.0</v>
      </c>
      <c r="N5835" s="40">
        <v>42678.0</v>
      </c>
      <c r="O5835" s="15" t="s">
        <v>1554</v>
      </c>
      <c r="Q5835" s="7"/>
    </row>
    <row r="5836">
      <c r="A5836" s="39" t="s">
        <v>22454</v>
      </c>
      <c r="B5836" s="15">
        <v>1912759.0</v>
      </c>
      <c r="C5836" s="15" t="s">
        <v>22456</v>
      </c>
      <c r="D5836" s="15">
        <v>352513.0</v>
      </c>
      <c r="E5836" s="15" t="s">
        <v>1557</v>
      </c>
      <c r="F5836" s="15" t="s">
        <v>1822</v>
      </c>
      <c r="G5836" s="7">
        <v>8.155</v>
      </c>
      <c r="H5836" s="15" t="s">
        <v>4563</v>
      </c>
      <c r="I5836" s="15" t="s">
        <v>1686</v>
      </c>
      <c r="J5836" s="15" t="s">
        <v>22457</v>
      </c>
      <c r="K5836" s="15">
        <v>6.0</v>
      </c>
      <c r="L5836" s="15">
        <v>6.0</v>
      </c>
      <c r="M5836" s="41">
        <v>42674.0</v>
      </c>
      <c r="N5836" s="40">
        <v>42678.0</v>
      </c>
      <c r="O5836" s="15" t="s">
        <v>1554</v>
      </c>
      <c r="Q5836" s="7"/>
    </row>
    <row r="5837">
      <c r="A5837" s="39" t="s">
        <v>22458</v>
      </c>
      <c r="B5837" s="15">
        <v>83872.0</v>
      </c>
      <c r="C5837" s="15" t="s">
        <v>22459</v>
      </c>
      <c r="D5837" s="15">
        <v>352510.0</v>
      </c>
      <c r="E5837" s="15" t="s">
        <v>1548</v>
      </c>
      <c r="F5837" s="15" t="s">
        <v>5033</v>
      </c>
      <c r="G5837" s="7">
        <v>17.269</v>
      </c>
      <c r="H5837" s="15" t="s">
        <v>22460</v>
      </c>
      <c r="I5837" s="15" t="s">
        <v>1628</v>
      </c>
      <c r="J5837" s="15" t="s">
        <v>22461</v>
      </c>
      <c r="K5837" s="15">
        <v>5.0</v>
      </c>
      <c r="L5837" s="15">
        <v>5.0</v>
      </c>
      <c r="M5837" s="40">
        <v>42676.0</v>
      </c>
      <c r="N5837" s="40">
        <v>42678.0</v>
      </c>
      <c r="O5837" s="15" t="s">
        <v>1554</v>
      </c>
      <c r="Q5837" s="7"/>
    </row>
    <row r="5838">
      <c r="A5838" s="39" t="s">
        <v>22462</v>
      </c>
      <c r="B5838" s="15">
        <v>239364.0</v>
      </c>
      <c r="C5838" s="15" t="s">
        <v>22464</v>
      </c>
      <c r="D5838" s="15">
        <v>16209.0</v>
      </c>
      <c r="E5838" s="15" t="s">
        <v>1664</v>
      </c>
      <c r="F5838" s="15" t="s">
        <v>1664</v>
      </c>
      <c r="G5838" s="7">
        <v>509.086</v>
      </c>
      <c r="H5838" s="15" t="s">
        <v>2836</v>
      </c>
      <c r="I5838" s="15" t="s">
        <v>1722</v>
      </c>
      <c r="J5838" s="15" t="s">
        <v>22465</v>
      </c>
      <c r="K5838" s="15" t="s">
        <v>1722</v>
      </c>
      <c r="L5838" s="15" t="s">
        <v>1722</v>
      </c>
      <c r="M5838" s="40">
        <v>38734.0</v>
      </c>
      <c r="N5838" s="40">
        <v>41862.0</v>
      </c>
      <c r="O5838" s="15" t="s">
        <v>22466</v>
      </c>
      <c r="Q5838" s="7"/>
    </row>
    <row r="5839">
      <c r="A5839" s="39" t="s">
        <v>22467</v>
      </c>
      <c r="B5839" s="15">
        <v>1885248.0</v>
      </c>
      <c r="C5839" s="15" t="s">
        <v>22468</v>
      </c>
      <c r="D5839" s="15">
        <v>336046.0</v>
      </c>
      <c r="E5839" s="15" t="s">
        <v>1548</v>
      </c>
      <c r="F5839" s="15" t="s">
        <v>18494</v>
      </c>
      <c r="G5839" s="7">
        <v>8.798</v>
      </c>
      <c r="H5839" s="15" t="s">
        <v>3255</v>
      </c>
      <c r="I5839" s="15" t="s">
        <v>1686</v>
      </c>
      <c r="J5839" s="15" t="s">
        <v>22469</v>
      </c>
      <c r="K5839" s="15">
        <v>6.0</v>
      </c>
      <c r="L5839" s="15">
        <v>6.0</v>
      </c>
      <c r="M5839" s="40">
        <v>42194.0</v>
      </c>
      <c r="N5839" s="40">
        <v>42678.0</v>
      </c>
      <c r="O5839" s="15" t="s">
        <v>1554</v>
      </c>
      <c r="Q5839" s="7"/>
    </row>
    <row r="5840">
      <c r="A5840" s="39" t="s">
        <v>22471</v>
      </c>
      <c r="B5840" s="15">
        <v>1869111.0</v>
      </c>
      <c r="C5840" s="15" t="s">
        <v>22472</v>
      </c>
      <c r="D5840" s="15">
        <v>353085.0</v>
      </c>
      <c r="E5840" s="15" t="s">
        <v>1548</v>
      </c>
      <c r="F5840" s="15" t="s">
        <v>1626</v>
      </c>
      <c r="G5840" s="7">
        <v>9.789</v>
      </c>
      <c r="H5840" s="15" t="s">
        <v>22473</v>
      </c>
      <c r="I5840" s="15" t="s">
        <v>1628</v>
      </c>
      <c r="J5840" s="15" t="s">
        <v>22474</v>
      </c>
      <c r="K5840" s="15">
        <v>2.0</v>
      </c>
      <c r="L5840" s="15">
        <v>2.0</v>
      </c>
      <c r="M5840" s="41">
        <v>42662.0</v>
      </c>
      <c r="N5840" s="41">
        <v>42684.0</v>
      </c>
      <c r="O5840" s="15" t="s">
        <v>1554</v>
      </c>
      <c r="Q5840" s="7"/>
    </row>
    <row r="5841">
      <c r="A5841" s="39" t="s">
        <v>22475</v>
      </c>
      <c r="B5841" s="15">
        <v>268591.0</v>
      </c>
      <c r="C5841" s="15" t="s">
        <v>22476</v>
      </c>
      <c r="D5841" s="15">
        <v>353087.0</v>
      </c>
      <c r="E5841" s="15" t="s">
        <v>1557</v>
      </c>
      <c r="F5841" s="15" t="s">
        <v>1992</v>
      </c>
      <c r="G5841" s="7">
        <v>131.855</v>
      </c>
      <c r="H5841" s="15" t="s">
        <v>2877</v>
      </c>
      <c r="I5841" s="15" t="s">
        <v>1560</v>
      </c>
      <c r="J5841" s="15" t="s">
        <v>22477</v>
      </c>
      <c r="K5841" s="15">
        <v>156.0</v>
      </c>
      <c r="L5841" s="15">
        <v>156.0</v>
      </c>
      <c r="M5841" s="40">
        <v>42347.0</v>
      </c>
      <c r="N5841" s="41">
        <v>42684.0</v>
      </c>
      <c r="O5841" s="15" t="s">
        <v>1554</v>
      </c>
      <c r="Q5841" s="7"/>
    </row>
    <row r="5842">
      <c r="A5842" s="39" t="s">
        <v>22478</v>
      </c>
      <c r="B5842" s="15">
        <v>1737555.0</v>
      </c>
      <c r="C5842" s="15" t="s">
        <v>22479</v>
      </c>
      <c r="D5842" s="15">
        <v>353086.0</v>
      </c>
      <c r="E5842" s="15" t="s">
        <v>1808</v>
      </c>
      <c r="F5842" s="15" t="s">
        <v>1809</v>
      </c>
      <c r="G5842" s="7">
        <v>5.172</v>
      </c>
      <c r="H5842" s="15" t="s">
        <v>22480</v>
      </c>
      <c r="I5842" s="15" t="s">
        <v>1628</v>
      </c>
      <c r="J5842" s="15" t="s">
        <v>22481</v>
      </c>
      <c r="K5842" s="15">
        <v>7.0</v>
      </c>
      <c r="L5842" s="15">
        <v>7.0</v>
      </c>
      <c r="M5842" s="41">
        <v>42663.0</v>
      </c>
      <c r="N5842" s="41">
        <v>42684.0</v>
      </c>
      <c r="O5842" s="15" t="s">
        <v>1554</v>
      </c>
      <c r="Q5842" s="7"/>
    </row>
    <row r="5843">
      <c r="A5843" s="39" t="s">
        <v>22483</v>
      </c>
      <c r="B5843" s="15">
        <v>1916647.0</v>
      </c>
      <c r="C5843" s="15" t="s">
        <v>22413</v>
      </c>
      <c r="D5843" s="15">
        <v>338014.0</v>
      </c>
      <c r="E5843" s="15" t="s">
        <v>1577</v>
      </c>
      <c r="F5843" s="15" t="s">
        <v>1578</v>
      </c>
      <c r="G5843" s="7">
        <v>10.025</v>
      </c>
      <c r="H5843" s="15" t="s">
        <v>6565</v>
      </c>
      <c r="I5843" s="15" t="s">
        <v>1560</v>
      </c>
      <c r="J5843" s="15" t="s">
        <v>22484</v>
      </c>
      <c r="K5843" s="15">
        <v>1.0</v>
      </c>
      <c r="L5843" s="15">
        <v>1.0</v>
      </c>
      <c r="M5843" s="41">
        <v>42667.0</v>
      </c>
      <c r="N5843" s="41">
        <v>42684.0</v>
      </c>
      <c r="O5843" s="15" t="s">
        <v>1554</v>
      </c>
      <c r="Q5843" s="7"/>
    </row>
    <row r="5844">
      <c r="A5844" s="39" t="s">
        <v>22485</v>
      </c>
      <c r="B5844" s="15">
        <v>1883366.0</v>
      </c>
      <c r="C5844" s="15" t="s">
        <v>22486</v>
      </c>
      <c r="D5844" s="15">
        <v>353682.0</v>
      </c>
      <c r="E5844" s="15" t="s">
        <v>4407</v>
      </c>
      <c r="F5844" s="15" t="s">
        <v>1578</v>
      </c>
      <c r="G5844" s="7">
        <v>198.19</v>
      </c>
      <c r="H5844" s="15" t="s">
        <v>2118</v>
      </c>
      <c r="I5844" s="15" t="s">
        <v>1586</v>
      </c>
      <c r="J5844" s="15" t="s">
        <v>22487</v>
      </c>
      <c r="K5844" s="15">
        <v>250.0</v>
      </c>
      <c r="L5844" s="15">
        <v>240.0</v>
      </c>
      <c r="M5844" s="41">
        <v>42654.0</v>
      </c>
      <c r="N5844" s="41">
        <v>42689.0</v>
      </c>
      <c r="O5844" s="15" t="s">
        <v>1554</v>
      </c>
      <c r="Q5844" s="7"/>
    </row>
    <row r="5845">
      <c r="A5845" s="39" t="s">
        <v>22488</v>
      </c>
      <c r="B5845" s="15">
        <v>1883365.0</v>
      </c>
      <c r="C5845" s="15" t="s">
        <v>22489</v>
      </c>
      <c r="D5845" s="15">
        <v>353683.0</v>
      </c>
      <c r="E5845" s="15" t="s">
        <v>4407</v>
      </c>
      <c r="F5845" s="15" t="s">
        <v>1578</v>
      </c>
      <c r="G5845" s="7">
        <v>172.345</v>
      </c>
      <c r="H5845" s="15" t="s">
        <v>2320</v>
      </c>
      <c r="I5845" s="15" t="s">
        <v>1586</v>
      </c>
      <c r="J5845" s="15" t="s">
        <v>22491</v>
      </c>
      <c r="K5845" s="15">
        <v>219.0</v>
      </c>
      <c r="L5845" s="15">
        <v>214.0</v>
      </c>
      <c r="M5845" s="41">
        <v>42654.0</v>
      </c>
      <c r="N5845" s="41">
        <v>42689.0</v>
      </c>
      <c r="O5845" s="15" t="s">
        <v>1554</v>
      </c>
      <c r="Q5845" s="7"/>
    </row>
    <row r="5846">
      <c r="A5846" s="39" t="s">
        <v>22492</v>
      </c>
      <c r="B5846" s="15">
        <v>1837931.0</v>
      </c>
      <c r="C5846" s="15" t="s">
        <v>22493</v>
      </c>
      <c r="D5846" s="15">
        <v>353684.0</v>
      </c>
      <c r="E5846" s="15" t="s">
        <v>1557</v>
      </c>
      <c r="F5846" s="15" t="s">
        <v>1767</v>
      </c>
      <c r="G5846" s="7">
        <v>169.936</v>
      </c>
      <c r="H5846" s="15" t="s">
        <v>1602</v>
      </c>
      <c r="I5846" s="15" t="s">
        <v>1586</v>
      </c>
      <c r="J5846" s="15" t="s">
        <v>22494</v>
      </c>
      <c r="K5846" s="15">
        <v>273.0</v>
      </c>
      <c r="L5846" s="15">
        <v>273.0</v>
      </c>
      <c r="M5846" s="40">
        <v>42505.0</v>
      </c>
      <c r="N5846" s="41">
        <v>42689.0</v>
      </c>
      <c r="O5846" s="15" t="s">
        <v>1554</v>
      </c>
      <c r="Q5846" s="7"/>
    </row>
    <row r="5847">
      <c r="A5847" s="39" t="s">
        <v>22495</v>
      </c>
      <c r="B5847" s="15">
        <v>1837930.0</v>
      </c>
      <c r="C5847" s="15" t="s">
        <v>22496</v>
      </c>
      <c r="D5847" s="15">
        <v>353685.0</v>
      </c>
      <c r="E5847" s="15" t="s">
        <v>1557</v>
      </c>
      <c r="F5847" s="15" t="s">
        <v>1767</v>
      </c>
      <c r="G5847" s="7">
        <v>168.929</v>
      </c>
      <c r="H5847" s="15" t="s">
        <v>1602</v>
      </c>
      <c r="I5847" s="15" t="s">
        <v>1586</v>
      </c>
      <c r="J5847" s="15" t="s">
        <v>22498</v>
      </c>
      <c r="K5847" s="15">
        <v>266.0</v>
      </c>
      <c r="L5847" s="15">
        <v>266.0</v>
      </c>
      <c r="M5847" s="40">
        <v>42505.0</v>
      </c>
      <c r="N5847" s="41">
        <v>42689.0</v>
      </c>
      <c r="O5847" s="15" t="s">
        <v>1554</v>
      </c>
      <c r="Q5847" s="7"/>
    </row>
    <row r="5848">
      <c r="A5848" s="39" t="s">
        <v>22499</v>
      </c>
      <c r="B5848" s="15">
        <v>1815522.0</v>
      </c>
      <c r="C5848" s="15" t="s">
        <v>22500</v>
      </c>
      <c r="D5848" s="15">
        <v>353686.0</v>
      </c>
      <c r="E5848" s="15" t="s">
        <v>1557</v>
      </c>
      <c r="F5848" s="15" t="s">
        <v>1767</v>
      </c>
      <c r="G5848" s="7">
        <v>186.386</v>
      </c>
      <c r="H5848" s="15" t="s">
        <v>1710</v>
      </c>
      <c r="I5848" s="15" t="s">
        <v>1586</v>
      </c>
      <c r="J5848" s="15" t="s">
        <v>22501</v>
      </c>
      <c r="K5848" s="15">
        <v>241.0</v>
      </c>
      <c r="L5848" s="15">
        <v>229.0</v>
      </c>
      <c r="M5848" s="41">
        <v>42654.0</v>
      </c>
      <c r="N5848" s="41">
        <v>42689.0</v>
      </c>
      <c r="O5848" s="15" t="s">
        <v>1554</v>
      </c>
      <c r="Q5848" s="7"/>
    </row>
    <row r="5849">
      <c r="A5849" s="39" t="s">
        <v>22502</v>
      </c>
      <c r="B5849" s="15">
        <v>1815521.0</v>
      </c>
      <c r="C5849" s="15" t="s">
        <v>22503</v>
      </c>
      <c r="D5849" s="15">
        <v>353687.0</v>
      </c>
      <c r="E5849" s="15" t="s">
        <v>1557</v>
      </c>
      <c r="F5849" s="15" t="s">
        <v>1767</v>
      </c>
      <c r="G5849" s="7">
        <v>185.102</v>
      </c>
      <c r="H5849" s="15" t="s">
        <v>1983</v>
      </c>
      <c r="I5849" s="15" t="s">
        <v>1586</v>
      </c>
      <c r="J5849" s="15" t="s">
        <v>22504</v>
      </c>
      <c r="K5849" s="15">
        <v>225.0</v>
      </c>
      <c r="L5849" s="15">
        <v>221.0</v>
      </c>
      <c r="M5849" s="41">
        <v>42654.0</v>
      </c>
      <c r="N5849" s="41">
        <v>42689.0</v>
      </c>
      <c r="O5849" s="15" t="s">
        <v>1554</v>
      </c>
      <c r="Q5849" s="7"/>
    </row>
    <row r="5850">
      <c r="A5850" s="39" t="s">
        <v>22506</v>
      </c>
      <c r="B5850" s="15">
        <v>1813771.0</v>
      </c>
      <c r="C5850" s="15" t="s">
        <v>22507</v>
      </c>
      <c r="D5850" s="15">
        <v>353688.0</v>
      </c>
      <c r="E5850" s="15" t="s">
        <v>4407</v>
      </c>
      <c r="F5850" s="15" t="s">
        <v>1578</v>
      </c>
      <c r="G5850" s="7">
        <v>77.375</v>
      </c>
      <c r="H5850" s="15" t="s">
        <v>2540</v>
      </c>
      <c r="I5850" s="15" t="s">
        <v>1586</v>
      </c>
      <c r="J5850" s="15" t="s">
        <v>22508</v>
      </c>
      <c r="K5850" s="15">
        <v>135.0</v>
      </c>
      <c r="L5850" s="15">
        <v>135.0</v>
      </c>
      <c r="M5850" s="40">
        <v>42543.0</v>
      </c>
      <c r="N5850" s="41">
        <v>42689.0</v>
      </c>
      <c r="O5850" s="15" t="s">
        <v>1554</v>
      </c>
      <c r="Q5850" s="7"/>
    </row>
    <row r="5851">
      <c r="A5851" s="39" t="s">
        <v>22509</v>
      </c>
      <c r="B5851" s="15">
        <v>1755695.0</v>
      </c>
      <c r="C5851" s="15" t="s">
        <v>22510</v>
      </c>
      <c r="D5851" s="15">
        <v>353689.0</v>
      </c>
      <c r="E5851" s="15" t="s">
        <v>1557</v>
      </c>
      <c r="F5851" s="15" t="s">
        <v>1611</v>
      </c>
      <c r="G5851" s="7">
        <v>40.47</v>
      </c>
      <c r="H5851" s="15" t="s">
        <v>2324</v>
      </c>
      <c r="I5851" s="15" t="s">
        <v>1586</v>
      </c>
      <c r="J5851" s="15" t="s">
        <v>22511</v>
      </c>
      <c r="K5851" s="15">
        <v>56.0</v>
      </c>
      <c r="L5851" s="15">
        <v>56.0</v>
      </c>
      <c r="M5851" s="40">
        <v>42613.0</v>
      </c>
      <c r="N5851" s="41">
        <v>42689.0</v>
      </c>
      <c r="O5851" s="15" t="s">
        <v>1554</v>
      </c>
      <c r="Q5851" s="7"/>
    </row>
    <row r="5852">
      <c r="A5852" s="39" t="s">
        <v>22512</v>
      </c>
      <c r="B5852" s="15">
        <v>1701837.0</v>
      </c>
      <c r="C5852" s="15" t="s">
        <v>22513</v>
      </c>
      <c r="D5852" s="15">
        <v>353690.0</v>
      </c>
      <c r="E5852" s="15" t="s">
        <v>1557</v>
      </c>
      <c r="F5852" s="15" t="s">
        <v>1833</v>
      </c>
      <c r="G5852" s="7">
        <v>33.181</v>
      </c>
      <c r="H5852" s="15" t="s">
        <v>1602</v>
      </c>
      <c r="I5852" s="15" t="s">
        <v>1586</v>
      </c>
      <c r="J5852" s="15" t="s">
        <v>22515</v>
      </c>
      <c r="K5852" s="15">
        <v>44.0</v>
      </c>
      <c r="L5852" s="15">
        <v>42.0</v>
      </c>
      <c r="M5852" s="40">
        <v>42444.0</v>
      </c>
      <c r="N5852" s="41">
        <v>42689.0</v>
      </c>
      <c r="O5852" s="15" t="s">
        <v>1554</v>
      </c>
      <c r="Q5852" s="7"/>
    </row>
    <row r="5853">
      <c r="A5853" s="39" t="s">
        <v>22516</v>
      </c>
      <c r="B5853" s="15">
        <v>1701830.0</v>
      </c>
      <c r="C5853" s="15" t="s">
        <v>22517</v>
      </c>
      <c r="D5853" s="15">
        <v>353691.0</v>
      </c>
      <c r="E5853" s="15" t="s">
        <v>1557</v>
      </c>
      <c r="F5853" s="15" t="s">
        <v>1833</v>
      </c>
      <c r="G5853" s="7">
        <v>37.395</v>
      </c>
      <c r="H5853" s="15" t="s">
        <v>2668</v>
      </c>
      <c r="I5853" s="15" t="s">
        <v>1586</v>
      </c>
      <c r="J5853" s="15" t="s">
        <v>22518</v>
      </c>
      <c r="K5853" s="15">
        <v>49.0</v>
      </c>
      <c r="L5853" s="15">
        <v>49.0</v>
      </c>
      <c r="M5853" s="40">
        <v>42444.0</v>
      </c>
      <c r="N5853" s="41">
        <v>42689.0</v>
      </c>
      <c r="O5853" s="15" t="s">
        <v>1554</v>
      </c>
      <c r="Q5853" s="7"/>
    </row>
    <row r="5854">
      <c r="A5854" s="39" t="s">
        <v>22519</v>
      </c>
      <c r="B5854" s="15">
        <v>1701828.0</v>
      </c>
      <c r="C5854" s="15" t="s">
        <v>22520</v>
      </c>
      <c r="D5854" s="15">
        <v>353692.0</v>
      </c>
      <c r="E5854" s="15" t="s">
        <v>4407</v>
      </c>
      <c r="F5854" s="15" t="s">
        <v>1578</v>
      </c>
      <c r="G5854" s="7">
        <v>42.186</v>
      </c>
      <c r="H5854" s="15" t="s">
        <v>2524</v>
      </c>
      <c r="I5854" s="15" t="s">
        <v>1586</v>
      </c>
      <c r="J5854" s="15" t="s">
        <v>22521</v>
      </c>
      <c r="K5854" s="15">
        <v>51.0</v>
      </c>
      <c r="L5854" s="15">
        <v>49.0</v>
      </c>
      <c r="M5854" s="40">
        <v>42444.0</v>
      </c>
      <c r="N5854" s="41">
        <v>42689.0</v>
      </c>
      <c r="O5854" s="15" t="s">
        <v>1554</v>
      </c>
      <c r="Q5854" s="7"/>
    </row>
    <row r="5855">
      <c r="A5855" s="39" t="s">
        <v>22523</v>
      </c>
      <c r="B5855" s="15">
        <v>1701827.0</v>
      </c>
      <c r="C5855" s="15" t="s">
        <v>22524</v>
      </c>
      <c r="D5855" s="15">
        <v>353693.0</v>
      </c>
      <c r="E5855" s="15" t="s">
        <v>4407</v>
      </c>
      <c r="F5855" s="15" t="s">
        <v>1578</v>
      </c>
      <c r="G5855" s="7">
        <v>41.063</v>
      </c>
      <c r="H5855" s="15" t="s">
        <v>3070</v>
      </c>
      <c r="I5855" s="15" t="s">
        <v>1586</v>
      </c>
      <c r="J5855" s="15" t="s">
        <v>22525</v>
      </c>
      <c r="K5855" s="15">
        <v>49.0</v>
      </c>
      <c r="L5855" s="15">
        <v>48.0</v>
      </c>
      <c r="M5855" s="40">
        <v>42444.0</v>
      </c>
      <c r="N5855" s="41">
        <v>42689.0</v>
      </c>
      <c r="O5855" s="15" t="s">
        <v>1554</v>
      </c>
      <c r="Q5855" s="7"/>
    </row>
    <row r="5856">
      <c r="A5856" s="39" t="s">
        <v>22526</v>
      </c>
      <c r="B5856" s="15">
        <v>1701826.0</v>
      </c>
      <c r="C5856" s="15" t="s">
        <v>22527</v>
      </c>
      <c r="D5856" s="15">
        <v>353694.0</v>
      </c>
      <c r="E5856" s="15" t="s">
        <v>4407</v>
      </c>
      <c r="F5856" s="15" t="s">
        <v>1578</v>
      </c>
      <c r="G5856" s="7">
        <v>40.498</v>
      </c>
      <c r="H5856" s="15" t="s">
        <v>2019</v>
      </c>
      <c r="I5856" s="15" t="s">
        <v>1586</v>
      </c>
      <c r="J5856" s="15" t="s">
        <v>22528</v>
      </c>
      <c r="K5856" s="15">
        <v>52.0</v>
      </c>
      <c r="L5856" s="15">
        <v>51.0</v>
      </c>
      <c r="M5856" s="40">
        <v>42444.0</v>
      </c>
      <c r="N5856" s="41">
        <v>42689.0</v>
      </c>
      <c r="O5856" s="15" t="s">
        <v>1554</v>
      </c>
      <c r="Q5856" s="7"/>
    </row>
    <row r="5857">
      <c r="A5857" s="39" t="s">
        <v>22530</v>
      </c>
      <c r="B5857" s="15">
        <v>1701824.0</v>
      </c>
      <c r="C5857" s="15" t="s">
        <v>22531</v>
      </c>
      <c r="D5857" s="15">
        <v>353695.0</v>
      </c>
      <c r="E5857" s="15" t="s">
        <v>4407</v>
      </c>
      <c r="F5857" s="15" t="s">
        <v>1578</v>
      </c>
      <c r="G5857" s="7">
        <v>41.807</v>
      </c>
      <c r="H5857" s="15" t="s">
        <v>3000</v>
      </c>
      <c r="I5857" s="15" t="s">
        <v>1586</v>
      </c>
      <c r="J5857" s="15" t="s">
        <v>22532</v>
      </c>
      <c r="K5857" s="15">
        <v>52.0</v>
      </c>
      <c r="L5857" s="15">
        <v>51.0</v>
      </c>
      <c r="M5857" s="40">
        <v>42444.0</v>
      </c>
      <c r="N5857" s="41">
        <v>42689.0</v>
      </c>
      <c r="O5857" s="15" t="s">
        <v>1554</v>
      </c>
      <c r="Q5857" s="7"/>
    </row>
    <row r="5858">
      <c r="A5858" s="39" t="s">
        <v>22533</v>
      </c>
      <c r="B5858" s="15">
        <v>1701814.0</v>
      </c>
      <c r="C5858" s="15" t="s">
        <v>22534</v>
      </c>
      <c r="D5858" s="15">
        <v>353696.0</v>
      </c>
      <c r="E5858" s="15" t="s">
        <v>4407</v>
      </c>
      <c r="F5858" s="15" t="s">
        <v>1578</v>
      </c>
      <c r="G5858" s="7">
        <v>34.563</v>
      </c>
      <c r="H5858" s="15" t="s">
        <v>1902</v>
      </c>
      <c r="I5858" s="15" t="s">
        <v>1586</v>
      </c>
      <c r="J5858" s="15" t="s">
        <v>22535</v>
      </c>
      <c r="K5858" s="15">
        <v>38.0</v>
      </c>
      <c r="L5858" s="15">
        <v>37.0</v>
      </c>
      <c r="M5858" s="40">
        <v>42444.0</v>
      </c>
      <c r="N5858" s="41">
        <v>42689.0</v>
      </c>
      <c r="O5858" s="15" t="s">
        <v>1554</v>
      </c>
      <c r="Q5858" s="7"/>
    </row>
    <row r="5859">
      <c r="A5859" s="39" t="s">
        <v>22536</v>
      </c>
      <c r="B5859" s="15">
        <v>1701813.0</v>
      </c>
      <c r="C5859" s="15" t="s">
        <v>22538</v>
      </c>
      <c r="D5859" s="15">
        <v>353697.0</v>
      </c>
      <c r="E5859" s="15" t="s">
        <v>4407</v>
      </c>
      <c r="F5859" s="15" t="s">
        <v>1578</v>
      </c>
      <c r="G5859" s="7">
        <v>42.927</v>
      </c>
      <c r="H5859" s="15" t="s">
        <v>1602</v>
      </c>
      <c r="I5859" s="15" t="s">
        <v>1586</v>
      </c>
      <c r="J5859" s="15" t="s">
        <v>22539</v>
      </c>
      <c r="K5859" s="15">
        <v>54.0</v>
      </c>
      <c r="L5859" s="15">
        <v>53.0</v>
      </c>
      <c r="M5859" s="40">
        <v>42444.0</v>
      </c>
      <c r="N5859" s="41">
        <v>42689.0</v>
      </c>
      <c r="O5859" s="15" t="s">
        <v>1554</v>
      </c>
      <c r="Q5859" s="7"/>
    </row>
    <row r="5860">
      <c r="A5860" s="39" t="s">
        <v>22540</v>
      </c>
      <c r="B5860" s="15">
        <v>1701812.0</v>
      </c>
      <c r="C5860" s="15" t="s">
        <v>22541</v>
      </c>
      <c r="D5860" s="15">
        <v>353698.0</v>
      </c>
      <c r="E5860" s="15" t="s">
        <v>4407</v>
      </c>
      <c r="F5860" s="15" t="s">
        <v>1578</v>
      </c>
      <c r="G5860" s="7">
        <v>41.887</v>
      </c>
      <c r="H5860" s="15" t="s">
        <v>2820</v>
      </c>
      <c r="I5860" s="15" t="s">
        <v>1586</v>
      </c>
      <c r="J5860" s="15" t="s">
        <v>22542</v>
      </c>
      <c r="K5860" s="15">
        <v>52.0</v>
      </c>
      <c r="L5860" s="15">
        <v>51.0</v>
      </c>
      <c r="M5860" s="40">
        <v>42444.0</v>
      </c>
      <c r="N5860" s="41">
        <v>42689.0</v>
      </c>
      <c r="O5860" s="15" t="s">
        <v>1554</v>
      </c>
      <c r="Q5860" s="7"/>
    </row>
    <row r="5861">
      <c r="A5861" s="39" t="s">
        <v>22543</v>
      </c>
      <c r="B5861" s="15">
        <v>1701811.0</v>
      </c>
      <c r="C5861" s="15" t="s">
        <v>22544</v>
      </c>
      <c r="D5861" s="15">
        <v>353699.0</v>
      </c>
      <c r="E5861" s="15" t="s">
        <v>4407</v>
      </c>
      <c r="F5861" s="15" t="s">
        <v>1578</v>
      </c>
      <c r="G5861" s="7">
        <v>41.105</v>
      </c>
      <c r="H5861" s="15" t="s">
        <v>2223</v>
      </c>
      <c r="I5861" s="15" t="s">
        <v>1586</v>
      </c>
      <c r="J5861" s="15" t="s">
        <v>22545</v>
      </c>
      <c r="K5861" s="15">
        <v>49.0</v>
      </c>
      <c r="L5861" s="15">
        <v>48.0</v>
      </c>
      <c r="M5861" s="40">
        <v>42444.0</v>
      </c>
      <c r="N5861" s="41">
        <v>42689.0</v>
      </c>
      <c r="O5861" s="15" t="s">
        <v>1554</v>
      </c>
      <c r="Q5861" s="7"/>
    </row>
    <row r="5862">
      <c r="A5862" s="39" t="s">
        <v>22547</v>
      </c>
      <c r="B5862" s="15">
        <v>1541686.0</v>
      </c>
      <c r="C5862" s="15" t="s">
        <v>22548</v>
      </c>
      <c r="D5862" s="15">
        <v>353701.0</v>
      </c>
      <c r="E5862" s="15" t="s">
        <v>1557</v>
      </c>
      <c r="F5862" s="15" t="s">
        <v>1767</v>
      </c>
      <c r="G5862" s="7">
        <v>134.927</v>
      </c>
      <c r="H5862" s="42">
        <v>43157.0</v>
      </c>
      <c r="I5862" s="15" t="s">
        <v>1586</v>
      </c>
      <c r="J5862" s="15" t="s">
        <v>22549</v>
      </c>
      <c r="K5862" s="15">
        <v>174.0</v>
      </c>
      <c r="L5862" s="15">
        <v>171.0</v>
      </c>
      <c r="M5862" s="40">
        <v>42569.0</v>
      </c>
      <c r="N5862" s="41">
        <v>42689.0</v>
      </c>
      <c r="O5862" s="15" t="s">
        <v>1554</v>
      </c>
      <c r="Q5862" s="7"/>
    </row>
    <row r="5863">
      <c r="A5863" s="39" t="s">
        <v>22550</v>
      </c>
      <c r="B5863" s="15">
        <v>1874540.0</v>
      </c>
      <c r="C5863" s="15" t="s">
        <v>22551</v>
      </c>
      <c r="D5863" s="15">
        <v>353702.0</v>
      </c>
      <c r="E5863" s="15" t="s">
        <v>4407</v>
      </c>
      <c r="F5863" s="15" t="s">
        <v>1578</v>
      </c>
      <c r="G5863" s="7">
        <v>42.685</v>
      </c>
      <c r="H5863" s="15" t="s">
        <v>1591</v>
      </c>
      <c r="I5863" s="15" t="s">
        <v>1586</v>
      </c>
      <c r="J5863" s="15" t="s">
        <v>22552</v>
      </c>
      <c r="K5863" s="15">
        <v>54.0</v>
      </c>
      <c r="L5863" s="15">
        <v>54.0</v>
      </c>
      <c r="M5863" s="40">
        <v>42590.0</v>
      </c>
      <c r="N5863" s="41">
        <v>42689.0</v>
      </c>
      <c r="O5863" s="15" t="s">
        <v>1554</v>
      </c>
      <c r="Q5863" s="7"/>
    </row>
    <row r="5864">
      <c r="A5864" s="39" t="s">
        <v>22553</v>
      </c>
      <c r="B5864" s="15">
        <v>1874539.0</v>
      </c>
      <c r="C5864" s="15" t="s">
        <v>22554</v>
      </c>
      <c r="D5864" s="15">
        <v>353703.0</v>
      </c>
      <c r="E5864" s="15" t="s">
        <v>4407</v>
      </c>
      <c r="F5864" s="15" t="s">
        <v>1578</v>
      </c>
      <c r="G5864" s="7">
        <v>39.949</v>
      </c>
      <c r="H5864" s="15" t="s">
        <v>2141</v>
      </c>
      <c r="I5864" s="15" t="s">
        <v>1586</v>
      </c>
      <c r="J5864" s="15" t="s">
        <v>22556</v>
      </c>
      <c r="K5864" s="15">
        <v>65.0</v>
      </c>
      <c r="L5864" s="15">
        <v>65.0</v>
      </c>
      <c r="M5864" s="40">
        <v>42590.0</v>
      </c>
      <c r="N5864" s="41">
        <v>42689.0</v>
      </c>
      <c r="O5864" s="15" t="s">
        <v>1554</v>
      </c>
      <c r="Q5864" s="7"/>
    </row>
    <row r="5865">
      <c r="A5865" s="39" t="s">
        <v>22557</v>
      </c>
      <c r="B5865" s="15">
        <v>1792274.0</v>
      </c>
      <c r="C5865" s="15" t="s">
        <v>22558</v>
      </c>
      <c r="D5865" s="15">
        <v>353704.0</v>
      </c>
      <c r="E5865" s="15" t="s">
        <v>4407</v>
      </c>
      <c r="F5865" s="15" t="s">
        <v>1578</v>
      </c>
      <c r="G5865" s="7">
        <v>88.994</v>
      </c>
      <c r="H5865" s="15">
        <v>27.0</v>
      </c>
      <c r="I5865" s="15" t="s">
        <v>1586</v>
      </c>
      <c r="J5865" s="15" t="s">
        <v>22559</v>
      </c>
      <c r="K5865" s="15">
        <v>80.0</v>
      </c>
      <c r="L5865" s="15">
        <v>80.0</v>
      </c>
      <c r="M5865" s="40">
        <v>42582.0</v>
      </c>
      <c r="N5865" s="41">
        <v>42689.0</v>
      </c>
      <c r="O5865" s="15" t="s">
        <v>1554</v>
      </c>
      <c r="Q5865" s="7"/>
    </row>
    <row r="5866">
      <c r="A5866" s="39" t="s">
        <v>22560</v>
      </c>
      <c r="B5866" s="15">
        <v>1792273.0</v>
      </c>
      <c r="C5866" s="15" t="s">
        <v>22561</v>
      </c>
      <c r="D5866" s="15">
        <v>353705.0</v>
      </c>
      <c r="E5866" s="15" t="s">
        <v>4407</v>
      </c>
      <c r="F5866" s="15" t="s">
        <v>1578</v>
      </c>
      <c r="G5866" s="7">
        <v>46.575</v>
      </c>
      <c r="H5866" s="42">
        <v>43312.0</v>
      </c>
      <c r="I5866" s="15" t="s">
        <v>1586</v>
      </c>
      <c r="J5866" s="15" t="s">
        <v>22562</v>
      </c>
      <c r="K5866" s="15">
        <v>61.0</v>
      </c>
      <c r="L5866" s="15">
        <v>61.0</v>
      </c>
      <c r="M5866" s="40">
        <v>42582.0</v>
      </c>
      <c r="N5866" s="41">
        <v>42689.0</v>
      </c>
      <c r="O5866" s="15" t="s">
        <v>1554</v>
      </c>
      <c r="Q5866" s="7"/>
    </row>
    <row r="5867">
      <c r="A5867" s="39" t="s">
        <v>22563</v>
      </c>
      <c r="B5867" s="15">
        <v>1792272.0</v>
      </c>
      <c r="C5867" s="15" t="s">
        <v>22564</v>
      </c>
      <c r="D5867" s="15">
        <v>353706.0</v>
      </c>
      <c r="E5867" s="15" t="s">
        <v>4407</v>
      </c>
      <c r="F5867" s="15" t="s">
        <v>1578</v>
      </c>
      <c r="G5867" s="7">
        <v>39.29</v>
      </c>
      <c r="H5867" s="15" t="s">
        <v>9551</v>
      </c>
      <c r="I5867" s="15" t="s">
        <v>1586</v>
      </c>
      <c r="J5867" s="15" t="s">
        <v>22565</v>
      </c>
      <c r="K5867" s="15">
        <v>48.0</v>
      </c>
      <c r="L5867" s="15">
        <v>48.0</v>
      </c>
      <c r="M5867" s="40">
        <v>42582.0</v>
      </c>
      <c r="N5867" s="41">
        <v>42689.0</v>
      </c>
      <c r="O5867" s="15" t="s">
        <v>1554</v>
      </c>
      <c r="Q5867" s="7"/>
    </row>
    <row r="5868">
      <c r="A5868" s="39" t="s">
        <v>22567</v>
      </c>
      <c r="B5868" s="15">
        <v>1805492.0</v>
      </c>
      <c r="C5868" s="15" t="s">
        <v>22568</v>
      </c>
      <c r="D5868" s="15">
        <v>314140.0</v>
      </c>
      <c r="E5868" s="15" t="s">
        <v>1557</v>
      </c>
      <c r="F5868" s="15" t="s">
        <v>22569</v>
      </c>
      <c r="G5868" s="7">
        <v>17.714</v>
      </c>
      <c r="H5868" s="15" t="s">
        <v>3407</v>
      </c>
      <c r="I5868" s="15" t="s">
        <v>1618</v>
      </c>
      <c r="J5868" s="15" t="s">
        <v>22570</v>
      </c>
      <c r="K5868" s="15">
        <v>39.0</v>
      </c>
      <c r="L5868" s="15">
        <v>39.0</v>
      </c>
      <c r="M5868" s="40">
        <v>42430.0</v>
      </c>
      <c r="N5868" s="41">
        <v>42691.0</v>
      </c>
      <c r="O5868" s="15" t="s">
        <v>1554</v>
      </c>
      <c r="Q5868" s="7"/>
    </row>
    <row r="5869">
      <c r="A5869" s="39" t="s">
        <v>22571</v>
      </c>
      <c r="B5869" s="15">
        <v>740971.0</v>
      </c>
      <c r="C5869" s="15" t="s">
        <v>22572</v>
      </c>
      <c r="D5869" s="15">
        <v>353920.0</v>
      </c>
      <c r="E5869" s="15" t="s">
        <v>1557</v>
      </c>
      <c r="F5869" s="15" t="s">
        <v>2628</v>
      </c>
      <c r="G5869" s="7">
        <v>31.481</v>
      </c>
      <c r="H5869" s="15" t="s">
        <v>5042</v>
      </c>
      <c r="I5869" s="15" t="s">
        <v>1686</v>
      </c>
      <c r="J5869" s="15" t="s">
        <v>22573</v>
      </c>
      <c r="K5869" s="15">
        <v>32.0</v>
      </c>
      <c r="L5869" s="15">
        <v>32.0</v>
      </c>
      <c r="M5869" s="41">
        <v>42688.0</v>
      </c>
      <c r="N5869" s="41">
        <v>42691.0</v>
      </c>
      <c r="O5869" s="15" t="s">
        <v>1554</v>
      </c>
      <c r="Q5869" s="7"/>
    </row>
    <row r="5870">
      <c r="A5870" s="39" t="s">
        <v>22575</v>
      </c>
      <c r="B5870" s="15">
        <v>1354498.0</v>
      </c>
      <c r="C5870" s="15" t="s">
        <v>22576</v>
      </c>
      <c r="D5870" s="15">
        <v>353921.0</v>
      </c>
      <c r="E5870" s="15" t="s">
        <v>1548</v>
      </c>
      <c r="F5870" s="15" t="s">
        <v>1801</v>
      </c>
      <c r="G5870" s="7">
        <v>10.471</v>
      </c>
      <c r="H5870" s="15" t="s">
        <v>4521</v>
      </c>
      <c r="I5870" s="15" t="s">
        <v>1567</v>
      </c>
      <c r="J5870" s="15" t="s">
        <v>22577</v>
      </c>
      <c r="K5870" s="15">
        <v>1.0</v>
      </c>
      <c r="L5870" s="15">
        <v>1.0</v>
      </c>
      <c r="M5870" s="40">
        <v>41470.0</v>
      </c>
      <c r="N5870" s="41">
        <v>42695.0</v>
      </c>
      <c r="O5870" s="15" t="s">
        <v>1554</v>
      </c>
      <c r="Q5870" s="7"/>
    </row>
    <row r="5871">
      <c r="A5871" s="39" t="s">
        <v>22578</v>
      </c>
      <c r="B5871" s="15">
        <v>1788294.0</v>
      </c>
      <c r="C5871" s="15" t="s">
        <v>22579</v>
      </c>
      <c r="D5871" s="15">
        <v>325763.0</v>
      </c>
      <c r="E5871" s="15" t="s">
        <v>1557</v>
      </c>
      <c r="F5871" s="15" t="s">
        <v>1611</v>
      </c>
      <c r="G5871" s="7">
        <v>38.979</v>
      </c>
      <c r="H5871" s="15" t="s">
        <v>3304</v>
      </c>
      <c r="I5871" s="15" t="s">
        <v>1586</v>
      </c>
      <c r="J5871" s="15" t="s">
        <v>22581</v>
      </c>
      <c r="K5871" s="15">
        <v>49.0</v>
      </c>
      <c r="L5871" s="15">
        <v>49.0</v>
      </c>
      <c r="M5871" s="40">
        <v>42537.0</v>
      </c>
      <c r="N5871" s="41">
        <v>42689.0</v>
      </c>
      <c r="O5871" s="15" t="s">
        <v>1554</v>
      </c>
      <c r="Q5871" s="7"/>
    </row>
    <row r="5872">
      <c r="A5872" s="39" t="s">
        <v>22582</v>
      </c>
      <c r="B5872" s="15">
        <v>1813769.0</v>
      </c>
      <c r="C5872" s="15" t="s">
        <v>22583</v>
      </c>
      <c r="D5872" s="15">
        <v>313147.0</v>
      </c>
      <c r="E5872" s="15" t="s">
        <v>4407</v>
      </c>
      <c r="F5872" s="15" t="s">
        <v>1578</v>
      </c>
      <c r="G5872" s="7">
        <v>45.342</v>
      </c>
      <c r="H5872" s="15" t="s">
        <v>8889</v>
      </c>
      <c r="I5872" s="15" t="s">
        <v>1586</v>
      </c>
      <c r="J5872" s="15" t="s">
        <v>22584</v>
      </c>
      <c r="K5872" s="15">
        <v>74.0</v>
      </c>
      <c r="L5872" s="15">
        <v>74.0</v>
      </c>
      <c r="M5872" s="40">
        <v>42523.0</v>
      </c>
      <c r="N5872" s="41">
        <v>42689.0</v>
      </c>
      <c r="O5872" s="15" t="s">
        <v>1554</v>
      </c>
      <c r="Q5872" s="7"/>
    </row>
    <row r="5873">
      <c r="A5873" s="39" t="s">
        <v>22585</v>
      </c>
      <c r="B5873" s="15">
        <v>1813782.0</v>
      </c>
      <c r="C5873" s="15" t="s">
        <v>22583</v>
      </c>
      <c r="D5873" s="15">
        <v>313147.0</v>
      </c>
      <c r="E5873" s="15" t="s">
        <v>1557</v>
      </c>
      <c r="F5873" s="15" t="s">
        <v>1833</v>
      </c>
      <c r="G5873" s="7">
        <v>114.18</v>
      </c>
      <c r="H5873" s="15" t="s">
        <v>2640</v>
      </c>
      <c r="I5873" s="15" t="s">
        <v>1586</v>
      </c>
      <c r="J5873" s="15" t="s">
        <v>22586</v>
      </c>
      <c r="K5873" s="15">
        <v>168.0</v>
      </c>
      <c r="L5873" s="15">
        <v>168.0</v>
      </c>
      <c r="M5873" s="40">
        <v>42523.0</v>
      </c>
      <c r="N5873" s="41">
        <v>42689.0</v>
      </c>
      <c r="O5873" s="15" t="s">
        <v>1554</v>
      </c>
      <c r="Q5873" s="7"/>
    </row>
    <row r="5874">
      <c r="A5874" s="39" t="s">
        <v>22588</v>
      </c>
      <c r="B5874" s="15">
        <v>1912598.0</v>
      </c>
      <c r="C5874" s="15" t="s">
        <v>22589</v>
      </c>
      <c r="D5874" s="15">
        <v>353261.0</v>
      </c>
      <c r="E5874" s="15" t="s">
        <v>1548</v>
      </c>
      <c r="F5874" s="15" t="s">
        <v>1771</v>
      </c>
      <c r="G5874" s="7">
        <v>5.857</v>
      </c>
      <c r="H5874" s="15" t="s">
        <v>1572</v>
      </c>
      <c r="I5874" s="15" t="s">
        <v>1628</v>
      </c>
      <c r="J5874" s="15" t="s">
        <v>22590</v>
      </c>
      <c r="K5874" s="15">
        <v>8.0</v>
      </c>
      <c r="L5874" s="15">
        <v>8.0</v>
      </c>
      <c r="M5874" s="40">
        <v>42680.0</v>
      </c>
      <c r="N5874" s="41">
        <v>42688.0</v>
      </c>
      <c r="O5874" s="15" t="s">
        <v>1554</v>
      </c>
      <c r="Q5874" s="7"/>
    </row>
    <row r="5875">
      <c r="A5875" s="39" t="s">
        <v>22591</v>
      </c>
      <c r="B5875" s="15">
        <v>1857099.0</v>
      </c>
      <c r="C5875" s="15" t="s">
        <v>22592</v>
      </c>
      <c r="D5875" s="15">
        <v>324529.0</v>
      </c>
      <c r="E5875" s="15" t="s">
        <v>1557</v>
      </c>
      <c r="F5875" s="15" t="s">
        <v>1833</v>
      </c>
      <c r="G5875" s="7">
        <v>43.788</v>
      </c>
      <c r="H5875" s="15" t="s">
        <v>1670</v>
      </c>
      <c r="I5875" s="15" t="s">
        <v>1586</v>
      </c>
      <c r="J5875" s="15" t="s">
        <v>22593</v>
      </c>
      <c r="K5875" s="15">
        <v>65.0</v>
      </c>
      <c r="L5875" s="15">
        <v>65.0</v>
      </c>
      <c r="M5875" s="40">
        <v>42571.0</v>
      </c>
      <c r="N5875" s="41">
        <v>42689.0</v>
      </c>
      <c r="O5875" s="15" t="s">
        <v>1554</v>
      </c>
      <c r="Q5875" s="7"/>
    </row>
    <row r="5876">
      <c r="A5876" s="39" t="s">
        <v>22595</v>
      </c>
      <c r="B5876" s="15">
        <v>1857100.0</v>
      </c>
      <c r="C5876" s="15" t="s">
        <v>22596</v>
      </c>
      <c r="D5876" s="15">
        <v>324531.0</v>
      </c>
      <c r="E5876" s="15" t="s">
        <v>1557</v>
      </c>
      <c r="F5876" s="15" t="s">
        <v>1767</v>
      </c>
      <c r="G5876" s="7">
        <v>89.817</v>
      </c>
      <c r="H5876" s="15" t="s">
        <v>5806</v>
      </c>
      <c r="I5876" s="15" t="s">
        <v>1586</v>
      </c>
      <c r="J5876" s="15" t="s">
        <v>22597</v>
      </c>
      <c r="K5876" s="15">
        <v>130.0</v>
      </c>
      <c r="L5876" s="15">
        <v>130.0</v>
      </c>
      <c r="M5876" s="40">
        <v>42571.0</v>
      </c>
      <c r="N5876" s="41">
        <v>42689.0</v>
      </c>
      <c r="O5876" s="15" t="s">
        <v>1554</v>
      </c>
      <c r="Q5876" s="7"/>
    </row>
    <row r="5877">
      <c r="A5877" s="39" t="s">
        <v>22598</v>
      </c>
      <c r="B5877" s="15">
        <v>1883367.0</v>
      </c>
      <c r="C5877" s="15" t="s">
        <v>22599</v>
      </c>
      <c r="D5877" s="15">
        <v>353501.0</v>
      </c>
      <c r="E5877" s="15" t="s">
        <v>4407</v>
      </c>
      <c r="F5877" s="15" t="s">
        <v>1578</v>
      </c>
      <c r="G5877" s="7">
        <v>191.983</v>
      </c>
      <c r="H5877" s="15" t="s">
        <v>2857</v>
      </c>
      <c r="I5877" s="15" t="s">
        <v>1586</v>
      </c>
      <c r="J5877" s="15" t="s">
        <v>22600</v>
      </c>
      <c r="K5877" s="15">
        <v>246.0</v>
      </c>
      <c r="L5877" s="15">
        <v>238.0</v>
      </c>
      <c r="M5877" s="41">
        <v>42654.0</v>
      </c>
      <c r="N5877" s="41">
        <v>42689.0</v>
      </c>
      <c r="O5877" s="15" t="s">
        <v>1554</v>
      </c>
      <c r="Q5877" s="7"/>
    </row>
    <row r="5878">
      <c r="A5878" s="39" t="s">
        <v>22601</v>
      </c>
      <c r="B5878" s="15">
        <v>1813779.0</v>
      </c>
      <c r="C5878" s="15" t="s">
        <v>22602</v>
      </c>
      <c r="D5878" s="15">
        <v>353666.0</v>
      </c>
      <c r="E5878" s="15" t="s">
        <v>1557</v>
      </c>
      <c r="F5878" s="15" t="s">
        <v>1611</v>
      </c>
      <c r="G5878" s="7">
        <v>40.443</v>
      </c>
      <c r="H5878" s="15" t="s">
        <v>5934</v>
      </c>
      <c r="I5878" s="15" t="s">
        <v>1586</v>
      </c>
      <c r="J5878" s="15" t="s">
        <v>22603</v>
      </c>
      <c r="K5878" s="15">
        <v>60.0</v>
      </c>
      <c r="L5878" s="15">
        <v>60.0</v>
      </c>
      <c r="M5878" s="40">
        <v>42543.0</v>
      </c>
      <c r="N5878" s="41">
        <v>42689.0</v>
      </c>
      <c r="O5878" s="15" t="s">
        <v>1554</v>
      </c>
      <c r="Q5878" s="7"/>
    </row>
    <row r="5879">
      <c r="A5879" s="39" t="s">
        <v>22605</v>
      </c>
      <c r="B5879" s="15">
        <v>1814280.0</v>
      </c>
      <c r="C5879" s="15" t="s">
        <v>22606</v>
      </c>
      <c r="D5879" s="15">
        <v>353667.0</v>
      </c>
      <c r="E5879" s="15" t="s">
        <v>4407</v>
      </c>
      <c r="F5879" s="15" t="s">
        <v>1578</v>
      </c>
      <c r="G5879" s="7">
        <v>42.702</v>
      </c>
      <c r="H5879" s="15">
        <v>32.0</v>
      </c>
      <c r="I5879" s="15" t="s">
        <v>1586</v>
      </c>
      <c r="J5879" s="15" t="s">
        <v>22607</v>
      </c>
      <c r="K5879" s="15">
        <v>58.0</v>
      </c>
      <c r="L5879" s="15">
        <v>58.0</v>
      </c>
      <c r="M5879" s="40">
        <v>42582.0</v>
      </c>
      <c r="N5879" s="41">
        <v>42689.0</v>
      </c>
      <c r="O5879" s="15" t="s">
        <v>1554</v>
      </c>
      <c r="Q5879" s="7"/>
    </row>
    <row r="5880">
      <c r="A5880" s="39" t="s">
        <v>22608</v>
      </c>
      <c r="B5880" s="15">
        <v>1813783.0</v>
      </c>
      <c r="C5880" s="15" t="s">
        <v>22609</v>
      </c>
      <c r="D5880" s="15">
        <v>353668.0</v>
      </c>
      <c r="E5880" s="15" t="s">
        <v>1557</v>
      </c>
      <c r="F5880" s="15" t="s">
        <v>1833</v>
      </c>
      <c r="G5880" s="7">
        <v>125.114</v>
      </c>
      <c r="H5880" s="15" t="s">
        <v>1902</v>
      </c>
      <c r="I5880" s="15" t="s">
        <v>1586</v>
      </c>
      <c r="J5880" s="15" t="s">
        <v>22610</v>
      </c>
      <c r="K5880" s="15">
        <v>209.0</v>
      </c>
      <c r="L5880" s="15">
        <v>188.0</v>
      </c>
      <c r="M5880" s="40">
        <v>42543.0</v>
      </c>
      <c r="N5880" s="41">
        <v>42689.0</v>
      </c>
      <c r="O5880" s="15" t="s">
        <v>1554</v>
      </c>
      <c r="Q5880" s="7"/>
    </row>
    <row r="5881">
      <c r="A5881" s="39" t="s">
        <v>22611</v>
      </c>
      <c r="B5881" s="15">
        <v>1813781.0</v>
      </c>
      <c r="C5881" s="15" t="s">
        <v>22612</v>
      </c>
      <c r="D5881" s="15">
        <v>353669.0</v>
      </c>
      <c r="E5881" s="15" t="s">
        <v>1557</v>
      </c>
      <c r="F5881" s="15" t="s">
        <v>1833</v>
      </c>
      <c r="G5881" s="7">
        <v>59.518</v>
      </c>
      <c r="H5881" s="15" t="s">
        <v>7049</v>
      </c>
      <c r="I5881" s="15" t="s">
        <v>1586</v>
      </c>
      <c r="J5881" s="15" t="s">
        <v>22613</v>
      </c>
      <c r="K5881" s="15">
        <v>71.0</v>
      </c>
      <c r="L5881" s="15">
        <v>71.0</v>
      </c>
      <c r="M5881" s="40">
        <v>42543.0</v>
      </c>
      <c r="N5881" s="41">
        <v>42689.0</v>
      </c>
      <c r="O5881" s="15" t="s">
        <v>1554</v>
      </c>
      <c r="Q5881" s="7"/>
    </row>
    <row r="5882">
      <c r="A5882" s="39" t="s">
        <v>22614</v>
      </c>
      <c r="B5882" s="15">
        <v>1873985.0</v>
      </c>
      <c r="C5882" s="15" t="s">
        <v>22615</v>
      </c>
      <c r="D5882" s="15">
        <v>353670.0</v>
      </c>
      <c r="E5882" s="15" t="s">
        <v>1557</v>
      </c>
      <c r="F5882" s="15" t="s">
        <v>1833</v>
      </c>
      <c r="G5882" s="7">
        <v>47.564</v>
      </c>
      <c r="H5882" s="15" t="s">
        <v>2660</v>
      </c>
      <c r="I5882" s="15" t="s">
        <v>1586</v>
      </c>
      <c r="J5882" s="15" t="s">
        <v>22617</v>
      </c>
      <c r="K5882" s="15">
        <v>94.0</v>
      </c>
      <c r="L5882" s="15">
        <v>94.0</v>
      </c>
      <c r="M5882" s="40">
        <v>42583.0</v>
      </c>
      <c r="N5882" s="41">
        <v>42689.0</v>
      </c>
      <c r="O5882" s="15" t="s">
        <v>1554</v>
      </c>
      <c r="Q5882" s="7"/>
    </row>
    <row r="5883">
      <c r="A5883" s="39" t="s">
        <v>22618</v>
      </c>
      <c r="B5883" s="15">
        <v>1814288.0</v>
      </c>
      <c r="C5883" s="15" t="s">
        <v>22619</v>
      </c>
      <c r="D5883" s="15">
        <v>353671.0</v>
      </c>
      <c r="E5883" s="15" t="s">
        <v>4407</v>
      </c>
      <c r="F5883" s="15" t="s">
        <v>1578</v>
      </c>
      <c r="G5883" s="7">
        <v>42.696</v>
      </c>
      <c r="H5883" s="15">
        <v>32.0</v>
      </c>
      <c r="I5883" s="15" t="s">
        <v>1586</v>
      </c>
      <c r="J5883" s="15" t="s">
        <v>22620</v>
      </c>
      <c r="K5883" s="15">
        <v>58.0</v>
      </c>
      <c r="L5883" s="15">
        <v>58.0</v>
      </c>
      <c r="M5883" s="40">
        <v>42582.0</v>
      </c>
      <c r="N5883" s="41">
        <v>42689.0</v>
      </c>
      <c r="O5883" s="15" t="s">
        <v>1554</v>
      </c>
      <c r="Q5883" s="7"/>
    </row>
    <row r="5884">
      <c r="A5884" s="39" t="s">
        <v>22621</v>
      </c>
      <c r="B5884" s="15">
        <v>1814287.0</v>
      </c>
      <c r="C5884" s="15" t="s">
        <v>22622</v>
      </c>
      <c r="D5884" s="15">
        <v>353672.0</v>
      </c>
      <c r="E5884" s="15" t="s">
        <v>4407</v>
      </c>
      <c r="F5884" s="15" t="s">
        <v>1578</v>
      </c>
      <c r="G5884" s="7">
        <v>42.894</v>
      </c>
      <c r="H5884" s="15">
        <v>32.0</v>
      </c>
      <c r="I5884" s="15" t="s">
        <v>1586</v>
      </c>
      <c r="J5884" s="15" t="s">
        <v>22623</v>
      </c>
      <c r="K5884" s="15">
        <v>58.0</v>
      </c>
      <c r="L5884" s="15">
        <v>58.0</v>
      </c>
      <c r="M5884" s="40">
        <v>42582.0</v>
      </c>
      <c r="N5884" s="41">
        <v>42689.0</v>
      </c>
      <c r="O5884" s="15" t="s">
        <v>1554</v>
      </c>
      <c r="Q5884" s="7"/>
    </row>
    <row r="5885">
      <c r="A5885" s="39" t="s">
        <v>22624</v>
      </c>
      <c r="B5885" s="15">
        <v>1814286.0</v>
      </c>
      <c r="C5885" s="15" t="s">
        <v>22626</v>
      </c>
      <c r="D5885" s="15">
        <v>353673.0</v>
      </c>
      <c r="E5885" s="15" t="s">
        <v>4407</v>
      </c>
      <c r="F5885" s="15" t="s">
        <v>1578</v>
      </c>
      <c r="G5885" s="7">
        <v>42.82</v>
      </c>
      <c r="H5885" s="15">
        <v>32.0</v>
      </c>
      <c r="I5885" s="15" t="s">
        <v>1586</v>
      </c>
      <c r="J5885" s="15" t="s">
        <v>22627</v>
      </c>
      <c r="K5885" s="15">
        <v>58.0</v>
      </c>
      <c r="L5885" s="15">
        <v>58.0</v>
      </c>
      <c r="M5885" s="40">
        <v>42582.0</v>
      </c>
      <c r="N5885" s="41">
        <v>42689.0</v>
      </c>
      <c r="O5885" s="15" t="s">
        <v>1554</v>
      </c>
      <c r="Q5885" s="7"/>
    </row>
    <row r="5886">
      <c r="A5886" s="39" t="s">
        <v>22628</v>
      </c>
      <c r="B5886" s="15">
        <v>1814285.0</v>
      </c>
      <c r="C5886" s="15" t="s">
        <v>22629</v>
      </c>
      <c r="D5886" s="15">
        <v>353674.0</v>
      </c>
      <c r="E5886" s="15" t="s">
        <v>4407</v>
      </c>
      <c r="F5886" s="15" t="s">
        <v>1578</v>
      </c>
      <c r="G5886" s="7">
        <v>42.696</v>
      </c>
      <c r="H5886" s="15">
        <v>32.0</v>
      </c>
      <c r="I5886" s="15" t="s">
        <v>1586</v>
      </c>
      <c r="J5886" s="15" t="s">
        <v>22630</v>
      </c>
      <c r="K5886" s="15">
        <v>58.0</v>
      </c>
      <c r="L5886" s="15">
        <v>58.0</v>
      </c>
      <c r="M5886" s="40">
        <v>42582.0</v>
      </c>
      <c r="N5886" s="41">
        <v>42689.0</v>
      </c>
      <c r="O5886" s="15" t="s">
        <v>1554</v>
      </c>
      <c r="Q5886" s="7"/>
    </row>
    <row r="5887">
      <c r="A5887" s="39" t="s">
        <v>22631</v>
      </c>
      <c r="B5887" s="15">
        <v>1814284.0</v>
      </c>
      <c r="C5887" s="15" t="s">
        <v>22632</v>
      </c>
      <c r="D5887" s="15">
        <v>353675.0</v>
      </c>
      <c r="E5887" s="15" t="s">
        <v>4407</v>
      </c>
      <c r="F5887" s="15" t="s">
        <v>1578</v>
      </c>
      <c r="G5887" s="7">
        <v>88.421</v>
      </c>
      <c r="H5887" s="42">
        <v>43158.0</v>
      </c>
      <c r="I5887" s="15" t="s">
        <v>1586</v>
      </c>
      <c r="J5887" s="15" t="s">
        <v>22633</v>
      </c>
      <c r="K5887" s="15">
        <v>79.0</v>
      </c>
      <c r="L5887" s="15">
        <v>79.0</v>
      </c>
      <c r="M5887" s="40">
        <v>42582.0</v>
      </c>
      <c r="N5887" s="41">
        <v>42689.0</v>
      </c>
      <c r="O5887" s="15" t="s">
        <v>1554</v>
      </c>
      <c r="Q5887" s="7"/>
    </row>
    <row r="5888">
      <c r="A5888" s="39" t="s">
        <v>22635</v>
      </c>
      <c r="B5888" s="15">
        <v>1814283.0</v>
      </c>
      <c r="C5888" s="15" t="s">
        <v>22636</v>
      </c>
      <c r="D5888" s="15">
        <v>353676.0</v>
      </c>
      <c r="E5888" s="15" t="s">
        <v>4407</v>
      </c>
      <c r="F5888" s="15" t="s">
        <v>1578</v>
      </c>
      <c r="G5888" s="7">
        <v>89.937</v>
      </c>
      <c r="H5888" s="42">
        <v>43369.0</v>
      </c>
      <c r="I5888" s="15" t="s">
        <v>1586</v>
      </c>
      <c r="J5888" s="15" t="s">
        <v>22637</v>
      </c>
      <c r="K5888" s="15">
        <v>82.0</v>
      </c>
      <c r="L5888" s="15">
        <v>82.0</v>
      </c>
      <c r="M5888" s="40">
        <v>42582.0</v>
      </c>
      <c r="N5888" s="41">
        <v>42689.0</v>
      </c>
      <c r="O5888" s="15" t="s">
        <v>1554</v>
      </c>
      <c r="Q5888" s="7"/>
    </row>
    <row r="5889">
      <c r="A5889" s="39" t="s">
        <v>22638</v>
      </c>
      <c r="B5889" s="15">
        <v>1814282.0</v>
      </c>
      <c r="C5889" s="15" t="s">
        <v>22639</v>
      </c>
      <c r="D5889" s="15">
        <v>353677.0</v>
      </c>
      <c r="E5889" s="15" t="s">
        <v>4407</v>
      </c>
      <c r="F5889" s="15" t="s">
        <v>1578</v>
      </c>
      <c r="G5889" s="7">
        <v>89.01</v>
      </c>
      <c r="H5889" s="15">
        <v>27.0</v>
      </c>
      <c r="I5889" s="15" t="s">
        <v>1586</v>
      </c>
      <c r="J5889" s="15" t="s">
        <v>22640</v>
      </c>
      <c r="K5889" s="15">
        <v>80.0</v>
      </c>
      <c r="L5889" s="15">
        <v>80.0</v>
      </c>
      <c r="M5889" s="40">
        <v>42582.0</v>
      </c>
      <c r="N5889" s="41">
        <v>42689.0</v>
      </c>
      <c r="O5889" s="15" t="s">
        <v>1554</v>
      </c>
      <c r="Q5889" s="7"/>
    </row>
    <row r="5890">
      <c r="A5890" s="39" t="s">
        <v>22641</v>
      </c>
      <c r="B5890" s="15">
        <v>1814281.0</v>
      </c>
      <c r="C5890" s="15" t="s">
        <v>22642</v>
      </c>
      <c r="D5890" s="15">
        <v>353678.0</v>
      </c>
      <c r="E5890" s="15" t="s">
        <v>4407</v>
      </c>
      <c r="F5890" s="15" t="s">
        <v>1578</v>
      </c>
      <c r="G5890" s="7">
        <v>42.696</v>
      </c>
      <c r="H5890" s="15">
        <v>32.0</v>
      </c>
      <c r="I5890" s="15" t="s">
        <v>1586</v>
      </c>
      <c r="J5890" s="15" t="s">
        <v>22644</v>
      </c>
      <c r="K5890" s="15">
        <v>58.0</v>
      </c>
      <c r="L5890" s="15">
        <v>58.0</v>
      </c>
      <c r="M5890" s="40">
        <v>42582.0</v>
      </c>
      <c r="N5890" s="41">
        <v>42689.0</v>
      </c>
      <c r="O5890" s="15" t="s">
        <v>1554</v>
      </c>
      <c r="Q5890" s="7"/>
    </row>
    <row r="5891">
      <c r="A5891" s="39" t="s">
        <v>22645</v>
      </c>
      <c r="B5891" s="15">
        <v>1883369.0</v>
      </c>
      <c r="C5891" s="15" t="s">
        <v>22646</v>
      </c>
      <c r="D5891" s="15">
        <v>353680.0</v>
      </c>
      <c r="E5891" s="15" t="s">
        <v>4407</v>
      </c>
      <c r="F5891" s="15" t="s">
        <v>1578</v>
      </c>
      <c r="G5891" s="7">
        <v>174.83</v>
      </c>
      <c r="H5891" s="15">
        <v>39.0</v>
      </c>
      <c r="I5891" s="15" t="s">
        <v>1586</v>
      </c>
      <c r="J5891" s="15" t="s">
        <v>22647</v>
      </c>
      <c r="K5891" s="15">
        <v>237.0</v>
      </c>
      <c r="L5891" s="15">
        <v>229.0</v>
      </c>
      <c r="M5891" s="41">
        <v>42654.0</v>
      </c>
      <c r="N5891" s="41">
        <v>42689.0</v>
      </c>
      <c r="O5891" s="15" t="s">
        <v>1554</v>
      </c>
      <c r="Q5891" s="7"/>
    </row>
    <row r="5892">
      <c r="A5892" s="39" t="s">
        <v>22648</v>
      </c>
      <c r="B5892" s="15">
        <v>1883368.0</v>
      </c>
      <c r="C5892" s="15" t="s">
        <v>22649</v>
      </c>
      <c r="D5892" s="15">
        <v>353681.0</v>
      </c>
      <c r="E5892" s="15" t="s">
        <v>4407</v>
      </c>
      <c r="F5892" s="15" t="s">
        <v>1578</v>
      </c>
      <c r="G5892" s="7">
        <v>216.121</v>
      </c>
      <c r="H5892" s="15" t="s">
        <v>2820</v>
      </c>
      <c r="I5892" s="15" t="s">
        <v>1586</v>
      </c>
      <c r="J5892" s="15" t="s">
        <v>22650</v>
      </c>
      <c r="K5892" s="15">
        <v>270.0</v>
      </c>
      <c r="L5892" s="15">
        <v>266.0</v>
      </c>
      <c r="M5892" s="41">
        <v>42654.0</v>
      </c>
      <c r="N5892" s="41">
        <v>42689.0</v>
      </c>
      <c r="O5892" s="15" t="s">
        <v>1554</v>
      </c>
      <c r="Q5892" s="7"/>
    </row>
    <row r="5893">
      <c r="A5893" s="39" t="s">
        <v>22652</v>
      </c>
      <c r="B5893" s="15">
        <v>1213198.0</v>
      </c>
      <c r="C5893" s="15" t="s">
        <v>22653</v>
      </c>
      <c r="D5893" s="15">
        <v>354165.0</v>
      </c>
      <c r="E5893" s="15" t="s">
        <v>1548</v>
      </c>
      <c r="F5893" s="15" t="s">
        <v>1890</v>
      </c>
      <c r="G5893" s="7">
        <v>11.931</v>
      </c>
      <c r="H5893" s="15" t="s">
        <v>2820</v>
      </c>
      <c r="I5893" s="15" t="s">
        <v>1567</v>
      </c>
      <c r="J5893" s="15" t="s">
        <v>22654</v>
      </c>
      <c r="K5893" s="15">
        <v>5.0</v>
      </c>
      <c r="L5893" s="15">
        <v>5.0</v>
      </c>
      <c r="M5893" s="40">
        <v>42675.0</v>
      </c>
      <c r="N5893" s="41">
        <v>42695.0</v>
      </c>
      <c r="O5893" s="15" t="s">
        <v>1554</v>
      </c>
      <c r="Q5893" s="7"/>
    </row>
    <row r="5894">
      <c r="A5894" s="39" t="s">
        <v>22655</v>
      </c>
      <c r="B5894" s="15">
        <v>1868169.0</v>
      </c>
      <c r="C5894" s="15" t="s">
        <v>22656</v>
      </c>
      <c r="D5894" s="15">
        <v>306400.0</v>
      </c>
      <c r="E5894" s="15" t="s">
        <v>1557</v>
      </c>
      <c r="F5894" s="15" t="s">
        <v>1767</v>
      </c>
      <c r="G5894" s="7">
        <v>157.855</v>
      </c>
      <c r="H5894" s="15" t="s">
        <v>2877</v>
      </c>
      <c r="I5894" s="15" t="s">
        <v>1586</v>
      </c>
      <c r="J5894" s="15" t="s">
        <v>22657</v>
      </c>
      <c r="K5894" s="15">
        <v>206.0</v>
      </c>
      <c r="L5894" s="15">
        <v>202.0</v>
      </c>
      <c r="M5894" s="40">
        <v>42553.0</v>
      </c>
      <c r="N5894" s="41">
        <v>42691.0</v>
      </c>
      <c r="O5894" s="15" t="s">
        <v>1554</v>
      </c>
      <c r="Q5894" s="7"/>
    </row>
    <row r="5895">
      <c r="A5895" s="39" t="s">
        <v>22659</v>
      </c>
      <c r="B5895" s="15">
        <v>1868170.0</v>
      </c>
      <c r="C5895" s="15" t="s">
        <v>22660</v>
      </c>
      <c r="D5895" s="15">
        <v>306398.0</v>
      </c>
      <c r="E5895" s="15" t="s">
        <v>1557</v>
      </c>
      <c r="F5895" s="15" t="s">
        <v>1833</v>
      </c>
      <c r="G5895" s="7">
        <v>41.224</v>
      </c>
      <c r="H5895" s="15" t="s">
        <v>3836</v>
      </c>
      <c r="I5895" s="15" t="s">
        <v>1586</v>
      </c>
      <c r="J5895" s="15" t="s">
        <v>22661</v>
      </c>
      <c r="K5895" s="15">
        <v>59.0</v>
      </c>
      <c r="L5895" s="15">
        <v>59.0</v>
      </c>
      <c r="M5895" s="40">
        <v>42553.0</v>
      </c>
      <c r="N5895" s="41">
        <v>42691.0</v>
      </c>
      <c r="O5895" s="15" t="s">
        <v>1554</v>
      </c>
      <c r="Q5895" s="7"/>
    </row>
    <row r="5896">
      <c r="A5896" s="39" t="s">
        <v>22662</v>
      </c>
      <c r="B5896" s="15">
        <v>1325446.0</v>
      </c>
      <c r="C5896" s="15" t="s">
        <v>22599</v>
      </c>
      <c r="D5896" s="15">
        <v>353501.0</v>
      </c>
      <c r="E5896" s="15" t="s">
        <v>1548</v>
      </c>
      <c r="F5896" s="15" t="s">
        <v>1801</v>
      </c>
      <c r="G5896" s="7">
        <v>9.224</v>
      </c>
      <c r="H5896" s="15" t="s">
        <v>6070</v>
      </c>
      <c r="I5896" s="15" t="s">
        <v>1567</v>
      </c>
      <c r="J5896" s="15" t="s">
        <v>22663</v>
      </c>
      <c r="K5896" s="15">
        <v>1.0</v>
      </c>
      <c r="L5896" s="15">
        <v>1.0</v>
      </c>
      <c r="M5896" s="40">
        <v>41397.0</v>
      </c>
      <c r="N5896" s="40">
        <v>42998.0</v>
      </c>
      <c r="O5896" s="15" t="s">
        <v>1554</v>
      </c>
      <c r="Q5896" s="7"/>
    </row>
    <row r="5897">
      <c r="A5897" s="39" t="s">
        <v>22664</v>
      </c>
      <c r="B5897" s="15">
        <v>1846259.0</v>
      </c>
      <c r="C5897" s="15" t="s">
        <v>22665</v>
      </c>
      <c r="D5897" s="15">
        <v>355039.0</v>
      </c>
      <c r="E5897" s="15" t="s">
        <v>1548</v>
      </c>
      <c r="F5897" s="15" t="s">
        <v>1890</v>
      </c>
      <c r="G5897" s="7">
        <v>11.919</v>
      </c>
      <c r="H5897" s="15" t="s">
        <v>2877</v>
      </c>
      <c r="I5897" s="15" t="s">
        <v>1686</v>
      </c>
      <c r="J5897" s="15" t="s">
        <v>22666</v>
      </c>
      <c r="K5897" s="15">
        <v>5.0</v>
      </c>
      <c r="L5897" s="15">
        <v>5.0</v>
      </c>
      <c r="M5897" s="40">
        <v>42586.0</v>
      </c>
      <c r="N5897" s="40">
        <v>42993.0</v>
      </c>
      <c r="O5897" s="15" t="s">
        <v>1554</v>
      </c>
      <c r="Q5897" s="7"/>
    </row>
    <row r="5898">
      <c r="A5898" s="39" t="s">
        <v>22667</v>
      </c>
      <c r="B5898" s="15">
        <v>1917232.0</v>
      </c>
      <c r="C5898" s="15" t="s">
        <v>22668</v>
      </c>
      <c r="D5898" s="15">
        <v>355304.0</v>
      </c>
      <c r="E5898" s="15" t="s">
        <v>1557</v>
      </c>
      <c r="F5898" s="15" t="s">
        <v>2763</v>
      </c>
      <c r="G5898" s="7">
        <v>327.147</v>
      </c>
      <c r="H5898" s="15" t="s">
        <v>1859</v>
      </c>
      <c r="I5898" s="15" t="s">
        <v>1573</v>
      </c>
      <c r="J5898" s="15" t="s">
        <v>22669</v>
      </c>
      <c r="K5898" s="15">
        <v>357.0</v>
      </c>
      <c r="L5898" s="15">
        <v>357.0</v>
      </c>
      <c r="M5898" s="41">
        <v>42693.0</v>
      </c>
      <c r="N5898" s="41">
        <v>42703.0</v>
      </c>
      <c r="O5898" s="15" t="s">
        <v>1554</v>
      </c>
      <c r="Q5898" s="7"/>
    </row>
    <row r="5899">
      <c r="A5899" s="39" t="s">
        <v>22671</v>
      </c>
      <c r="B5899" s="15">
        <v>1919062.0</v>
      </c>
      <c r="C5899" s="15" t="s">
        <v>22672</v>
      </c>
      <c r="D5899" s="15">
        <v>356067.0</v>
      </c>
      <c r="E5899" s="15" t="s">
        <v>1808</v>
      </c>
      <c r="F5899" s="15" t="s">
        <v>1809</v>
      </c>
      <c r="G5899" s="7">
        <v>2.757</v>
      </c>
      <c r="H5899" s="15" t="s">
        <v>5391</v>
      </c>
      <c r="I5899" s="15" t="s">
        <v>1628</v>
      </c>
      <c r="J5899" s="15" t="s">
        <v>22673</v>
      </c>
      <c r="K5899" s="15">
        <v>5.0</v>
      </c>
      <c r="L5899" s="15">
        <v>5.0</v>
      </c>
      <c r="M5899" s="41">
        <v>42700.0</v>
      </c>
      <c r="N5899" s="40">
        <v>42710.0</v>
      </c>
      <c r="O5899" s="15" t="s">
        <v>1554</v>
      </c>
      <c r="Q5899" s="7"/>
    </row>
    <row r="5900">
      <c r="A5900" s="39" t="s">
        <v>22674</v>
      </c>
      <c r="B5900" s="15">
        <v>172394.0</v>
      </c>
      <c r="C5900" s="15" t="s">
        <v>22675</v>
      </c>
      <c r="D5900" s="15">
        <v>356438.0</v>
      </c>
      <c r="E5900" s="15" t="s">
        <v>1808</v>
      </c>
      <c r="F5900" s="15" t="s">
        <v>1809</v>
      </c>
      <c r="G5900" s="7">
        <v>2.632</v>
      </c>
      <c r="H5900" s="15" t="s">
        <v>1828</v>
      </c>
      <c r="I5900" s="15" t="s">
        <v>1628</v>
      </c>
      <c r="J5900" s="15" t="s">
        <v>22676</v>
      </c>
      <c r="K5900" s="15">
        <v>5.0</v>
      </c>
      <c r="L5900" s="15">
        <v>5.0</v>
      </c>
      <c r="M5900" s="41">
        <v>42700.0</v>
      </c>
      <c r="N5900" s="40">
        <v>42710.0</v>
      </c>
      <c r="O5900" s="15" t="s">
        <v>1554</v>
      </c>
      <c r="Q5900" s="7"/>
    </row>
    <row r="5901">
      <c r="A5901" s="39" t="s">
        <v>22678</v>
      </c>
      <c r="B5901" s="15">
        <v>1919247.0</v>
      </c>
      <c r="C5901" s="15" t="s">
        <v>22679</v>
      </c>
      <c r="D5901" s="15">
        <v>356437.0</v>
      </c>
      <c r="E5901" s="15" t="s">
        <v>1557</v>
      </c>
      <c r="F5901" s="15" t="s">
        <v>2004</v>
      </c>
      <c r="G5901" s="7">
        <v>5.108</v>
      </c>
      <c r="H5901" s="15" t="s">
        <v>2869</v>
      </c>
      <c r="I5901" s="15" t="s">
        <v>1686</v>
      </c>
      <c r="J5901" s="15" t="s">
        <v>22680</v>
      </c>
      <c r="K5901" s="15">
        <v>6.0</v>
      </c>
      <c r="L5901" s="15">
        <v>6.0</v>
      </c>
      <c r="M5901" s="41">
        <v>42700.0</v>
      </c>
      <c r="N5901" s="40">
        <v>42710.0</v>
      </c>
      <c r="O5901" s="15" t="s">
        <v>1554</v>
      </c>
      <c r="Q5901" s="7"/>
    </row>
    <row r="5902">
      <c r="A5902" s="39" t="s">
        <v>22681</v>
      </c>
      <c r="B5902" s="15">
        <v>1923976.0</v>
      </c>
      <c r="C5902" s="15" t="s">
        <v>22682</v>
      </c>
      <c r="D5902" s="15">
        <v>357484.0</v>
      </c>
      <c r="E5902" s="15" t="s">
        <v>1557</v>
      </c>
      <c r="F5902" s="15" t="s">
        <v>2628</v>
      </c>
      <c r="G5902" s="7">
        <v>33.562</v>
      </c>
      <c r="H5902" s="15" t="s">
        <v>2033</v>
      </c>
      <c r="I5902" s="15" t="s">
        <v>1686</v>
      </c>
      <c r="J5902" s="15" t="s">
        <v>22683</v>
      </c>
      <c r="K5902" s="15">
        <v>35.0</v>
      </c>
      <c r="L5902" s="15">
        <v>34.0</v>
      </c>
      <c r="M5902" s="40">
        <v>42711.0</v>
      </c>
      <c r="N5902" s="41">
        <v>42718.0</v>
      </c>
      <c r="O5902" s="15" t="s">
        <v>1554</v>
      </c>
      <c r="Q5902" s="7"/>
    </row>
    <row r="5903">
      <c r="A5903" s="39" t="s">
        <v>22684</v>
      </c>
      <c r="B5903" s="15">
        <v>1926498.0</v>
      </c>
      <c r="C5903" s="15" t="s">
        <v>22686</v>
      </c>
      <c r="D5903" s="15">
        <v>357469.0</v>
      </c>
      <c r="E5903" s="15" t="s">
        <v>1808</v>
      </c>
      <c r="F5903" s="15" t="s">
        <v>2436</v>
      </c>
      <c r="G5903" s="7">
        <v>4.284</v>
      </c>
      <c r="H5903" s="15" t="s">
        <v>1849</v>
      </c>
      <c r="I5903" s="15" t="s">
        <v>1686</v>
      </c>
      <c r="J5903" s="15" t="s">
        <v>22687</v>
      </c>
      <c r="K5903" s="15">
        <v>2.0</v>
      </c>
      <c r="L5903" s="15">
        <v>2.0</v>
      </c>
      <c r="M5903" s="41">
        <v>42717.0</v>
      </c>
      <c r="N5903" s="41">
        <v>42719.0</v>
      </c>
      <c r="O5903" s="15" t="s">
        <v>1554</v>
      </c>
      <c r="Q5903" s="7"/>
    </row>
    <row r="5904">
      <c r="A5904" s="39" t="s">
        <v>22688</v>
      </c>
      <c r="B5904" s="15">
        <v>1920748.0</v>
      </c>
      <c r="C5904" s="15" t="s">
        <v>22689</v>
      </c>
      <c r="D5904" s="15">
        <v>357487.0</v>
      </c>
      <c r="E5904" s="15" t="s">
        <v>1548</v>
      </c>
      <c r="F5904" s="15" t="s">
        <v>1684</v>
      </c>
      <c r="G5904" s="7">
        <v>28.363</v>
      </c>
      <c r="H5904" s="15" t="s">
        <v>2197</v>
      </c>
      <c r="I5904" s="15" t="s">
        <v>1686</v>
      </c>
      <c r="J5904" s="15" t="s">
        <v>22690</v>
      </c>
      <c r="K5904" s="15">
        <v>7.0</v>
      </c>
      <c r="L5904" s="15">
        <v>8.0</v>
      </c>
      <c r="M5904" s="40">
        <v>42710.0</v>
      </c>
      <c r="N5904" s="40">
        <v>42793.0</v>
      </c>
      <c r="O5904" s="15" t="s">
        <v>1554</v>
      </c>
      <c r="Q5904" s="7"/>
    </row>
    <row r="5905">
      <c r="A5905" s="39" t="s">
        <v>22691</v>
      </c>
      <c r="B5905" s="15">
        <v>1921825.0</v>
      </c>
      <c r="C5905" s="15" t="s">
        <v>22692</v>
      </c>
      <c r="D5905" s="15">
        <v>357485.0</v>
      </c>
      <c r="E5905" s="15" t="s">
        <v>1638</v>
      </c>
      <c r="F5905" s="15" t="s">
        <v>1639</v>
      </c>
      <c r="G5905" s="7">
        <v>4.58</v>
      </c>
      <c r="H5905" s="15" t="s">
        <v>8889</v>
      </c>
      <c r="I5905" s="15" t="s">
        <v>1740</v>
      </c>
      <c r="J5905" s="15" t="s">
        <v>22693</v>
      </c>
      <c r="K5905" s="15">
        <v>2.0</v>
      </c>
      <c r="L5905" s="15">
        <v>2.0</v>
      </c>
      <c r="M5905" s="40">
        <v>42710.0</v>
      </c>
      <c r="N5905" s="41">
        <v>42718.0</v>
      </c>
      <c r="O5905" s="15" t="s">
        <v>1554</v>
      </c>
      <c r="Q5905" s="7"/>
    </row>
    <row r="5906">
      <c r="A5906" s="39" t="s">
        <v>22694</v>
      </c>
      <c r="B5906" s="15">
        <v>1920698.0</v>
      </c>
      <c r="C5906" s="15" t="s">
        <v>22695</v>
      </c>
      <c r="D5906" s="15">
        <v>356613.0</v>
      </c>
      <c r="E5906" s="15" t="s">
        <v>1548</v>
      </c>
      <c r="F5906" s="15" t="s">
        <v>2374</v>
      </c>
      <c r="G5906" s="7">
        <v>10.623</v>
      </c>
      <c r="H5906" s="15" t="s">
        <v>1559</v>
      </c>
      <c r="I5906" s="15" t="s">
        <v>1560</v>
      </c>
      <c r="J5906" s="15" t="s">
        <v>22697</v>
      </c>
      <c r="K5906" s="15">
        <v>1.0</v>
      </c>
      <c r="L5906" s="15">
        <v>1.0</v>
      </c>
      <c r="M5906" s="41">
        <v>42701.0</v>
      </c>
      <c r="N5906" s="41">
        <v>42718.0</v>
      </c>
      <c r="O5906" s="15" t="s">
        <v>1554</v>
      </c>
      <c r="Q5906" s="7"/>
    </row>
    <row r="5907">
      <c r="A5907" s="39" t="s">
        <v>22698</v>
      </c>
      <c r="B5907" s="15">
        <v>1921009.0</v>
      </c>
      <c r="C5907" s="15" t="s">
        <v>22699</v>
      </c>
      <c r="D5907" s="15">
        <v>357486.0</v>
      </c>
      <c r="E5907" s="15" t="s">
        <v>1548</v>
      </c>
      <c r="F5907" s="15" t="s">
        <v>1633</v>
      </c>
      <c r="G5907" s="7">
        <v>7.599</v>
      </c>
      <c r="H5907" s="15" t="s">
        <v>2324</v>
      </c>
      <c r="I5907" s="15" t="s">
        <v>1628</v>
      </c>
      <c r="J5907" s="15" t="s">
        <v>22700</v>
      </c>
      <c r="K5907" s="15">
        <v>5.0</v>
      </c>
      <c r="L5907" s="15">
        <v>5.0</v>
      </c>
      <c r="M5907" s="40">
        <v>42710.0</v>
      </c>
      <c r="N5907" s="41">
        <v>42718.0</v>
      </c>
      <c r="O5907" s="15" t="s">
        <v>1554</v>
      </c>
      <c r="Q5907" s="7"/>
    </row>
    <row r="5908">
      <c r="A5908" s="39" t="s">
        <v>22701</v>
      </c>
      <c r="B5908" s="15">
        <v>1925153.0</v>
      </c>
      <c r="C5908" s="15" t="s">
        <v>22702</v>
      </c>
      <c r="D5908" s="15">
        <v>357630.0</v>
      </c>
      <c r="E5908" s="15" t="s">
        <v>1808</v>
      </c>
      <c r="F5908" s="15" t="s">
        <v>1809</v>
      </c>
      <c r="G5908" s="7">
        <v>2.791</v>
      </c>
      <c r="H5908" s="15" t="s">
        <v>2178</v>
      </c>
      <c r="I5908" s="15" t="s">
        <v>1628</v>
      </c>
      <c r="J5908" s="15" t="s">
        <v>22703</v>
      </c>
      <c r="K5908" s="15">
        <v>6.0</v>
      </c>
      <c r="L5908" s="15">
        <v>6.0</v>
      </c>
      <c r="M5908" s="41">
        <v>42716.0</v>
      </c>
      <c r="N5908" s="41">
        <v>42720.0</v>
      </c>
      <c r="O5908" s="15" t="s">
        <v>1554</v>
      </c>
      <c r="Q5908" s="7"/>
    </row>
    <row r="5909">
      <c r="A5909" s="39" t="s">
        <v>22704</v>
      </c>
      <c r="B5909" s="15">
        <v>67082.0</v>
      </c>
      <c r="C5909" s="15" t="s">
        <v>22705</v>
      </c>
      <c r="D5909" s="15">
        <v>357638.0</v>
      </c>
      <c r="E5909" s="15" t="s">
        <v>1557</v>
      </c>
      <c r="F5909" s="15" t="s">
        <v>2028</v>
      </c>
      <c r="G5909" s="7">
        <v>163.005</v>
      </c>
      <c r="H5909" s="42">
        <v>43155.0</v>
      </c>
      <c r="I5909" s="15" t="s">
        <v>1686</v>
      </c>
      <c r="J5909" s="15" t="s">
        <v>22706</v>
      </c>
      <c r="K5909" s="15">
        <v>210.0</v>
      </c>
      <c r="L5909" s="15">
        <v>210.0</v>
      </c>
      <c r="M5909" s="41">
        <v>42714.0</v>
      </c>
      <c r="N5909" s="41">
        <v>42720.0</v>
      </c>
      <c r="O5909" s="15" t="s">
        <v>1554</v>
      </c>
      <c r="Q5909" s="7"/>
    </row>
    <row r="5910">
      <c r="A5910" s="39" t="s">
        <v>22708</v>
      </c>
      <c r="B5910" s="15">
        <v>1926969.0</v>
      </c>
      <c r="C5910" s="15" t="s">
        <v>22709</v>
      </c>
      <c r="D5910" s="15">
        <v>357835.0</v>
      </c>
      <c r="E5910" s="15" t="s">
        <v>1548</v>
      </c>
      <c r="F5910" s="15" t="s">
        <v>1578</v>
      </c>
      <c r="G5910" s="7">
        <v>7.915</v>
      </c>
      <c r="H5910" s="15" t="s">
        <v>1714</v>
      </c>
      <c r="I5910" s="15" t="s">
        <v>1560</v>
      </c>
      <c r="J5910" s="15" t="s">
        <v>22710</v>
      </c>
      <c r="K5910" s="15">
        <v>1.0</v>
      </c>
      <c r="L5910" s="15">
        <v>1.0</v>
      </c>
      <c r="M5910" s="41">
        <v>42719.0</v>
      </c>
      <c r="N5910" s="41">
        <v>42720.0</v>
      </c>
      <c r="O5910" s="15" t="s">
        <v>1554</v>
      </c>
      <c r="Q5910" s="7"/>
    </row>
    <row r="5911">
      <c r="A5911" s="39" t="s">
        <v>22711</v>
      </c>
      <c r="B5911" s="15">
        <v>1926968.0</v>
      </c>
      <c r="C5911" s="15" t="s">
        <v>22712</v>
      </c>
      <c r="D5911" s="15">
        <v>357836.0</v>
      </c>
      <c r="E5911" s="15" t="s">
        <v>1548</v>
      </c>
      <c r="F5911" s="15" t="s">
        <v>2788</v>
      </c>
      <c r="G5911" s="7">
        <v>7.835</v>
      </c>
      <c r="H5911" s="15" t="s">
        <v>2597</v>
      </c>
      <c r="I5911" s="15" t="s">
        <v>1560</v>
      </c>
      <c r="J5911" s="15" t="s">
        <v>22713</v>
      </c>
      <c r="K5911" s="15">
        <v>2.0</v>
      </c>
      <c r="L5911" s="15">
        <v>2.0</v>
      </c>
      <c r="M5911" s="41">
        <v>42719.0</v>
      </c>
      <c r="N5911" s="41">
        <v>42720.0</v>
      </c>
      <c r="O5911" s="15" t="s">
        <v>1554</v>
      </c>
      <c r="Q5911" s="7"/>
    </row>
    <row r="5912">
      <c r="A5912" s="39" t="s">
        <v>22714</v>
      </c>
      <c r="B5912" s="15">
        <v>1926967.0</v>
      </c>
      <c r="C5912" s="15" t="s">
        <v>22715</v>
      </c>
      <c r="D5912" s="15">
        <v>357837.0</v>
      </c>
      <c r="E5912" s="15" t="s">
        <v>1548</v>
      </c>
      <c r="F5912" s="15" t="s">
        <v>2788</v>
      </c>
      <c r="G5912" s="7">
        <v>9.756</v>
      </c>
      <c r="H5912" s="15" t="s">
        <v>2820</v>
      </c>
      <c r="I5912" s="15" t="s">
        <v>1560</v>
      </c>
      <c r="J5912" s="15" t="s">
        <v>22717</v>
      </c>
      <c r="K5912" s="15">
        <v>2.0</v>
      </c>
      <c r="L5912" s="15">
        <v>2.0</v>
      </c>
      <c r="M5912" s="41">
        <v>42719.0</v>
      </c>
      <c r="N5912" s="41">
        <v>42720.0</v>
      </c>
      <c r="O5912" s="15" t="s">
        <v>1554</v>
      </c>
      <c r="Q5912" s="7"/>
    </row>
    <row r="5913">
      <c r="A5913" s="39" t="s">
        <v>22718</v>
      </c>
      <c r="B5913" s="15">
        <v>1925152.0</v>
      </c>
      <c r="C5913" s="15" t="s">
        <v>22719</v>
      </c>
      <c r="D5913" s="15">
        <v>357838.0</v>
      </c>
      <c r="E5913" s="15" t="s">
        <v>2014</v>
      </c>
      <c r="F5913" s="15" t="s">
        <v>2018</v>
      </c>
      <c r="G5913" s="7">
        <v>1.365</v>
      </c>
      <c r="H5913" s="15">
        <v>39.0</v>
      </c>
      <c r="I5913" s="15" t="s">
        <v>1628</v>
      </c>
      <c r="J5913" s="15" t="s">
        <v>22720</v>
      </c>
      <c r="K5913" s="15">
        <v>1.0</v>
      </c>
      <c r="L5913" s="15">
        <v>1.0</v>
      </c>
      <c r="M5913" s="41">
        <v>42716.0</v>
      </c>
      <c r="N5913" s="41">
        <v>42720.0</v>
      </c>
      <c r="O5913" s="15" t="s">
        <v>1554</v>
      </c>
      <c r="Q5913" s="7"/>
    </row>
    <row r="5914">
      <c r="A5914" s="39" t="s">
        <v>22721</v>
      </c>
      <c r="B5914" s="15">
        <v>1925019.0</v>
      </c>
      <c r="C5914" s="15" t="s">
        <v>22722</v>
      </c>
      <c r="D5914" s="15">
        <v>357839.0</v>
      </c>
      <c r="E5914" s="15" t="s">
        <v>1557</v>
      </c>
      <c r="F5914" s="15" t="s">
        <v>2004</v>
      </c>
      <c r="G5914" s="7">
        <v>5.186</v>
      </c>
      <c r="H5914" s="15" t="s">
        <v>1591</v>
      </c>
      <c r="I5914" s="15" t="s">
        <v>1686</v>
      </c>
      <c r="J5914" s="15" t="s">
        <v>22723</v>
      </c>
      <c r="K5914" s="15">
        <v>7.0</v>
      </c>
      <c r="L5914" s="15">
        <v>7.0</v>
      </c>
      <c r="M5914" s="41">
        <v>42716.0</v>
      </c>
      <c r="N5914" s="41">
        <v>42720.0</v>
      </c>
      <c r="O5914" s="15" t="s">
        <v>1554</v>
      </c>
      <c r="Q5914" s="7"/>
    </row>
    <row r="5915">
      <c r="A5915" s="39" t="s">
        <v>22725</v>
      </c>
      <c r="B5915" s="15">
        <v>1926997.0</v>
      </c>
      <c r="C5915" s="15" t="s">
        <v>22726</v>
      </c>
      <c r="D5915" s="15">
        <v>357840.0</v>
      </c>
      <c r="E5915" s="15" t="s">
        <v>1664</v>
      </c>
      <c r="F5915" s="15" t="s">
        <v>1664</v>
      </c>
      <c r="G5915" s="7">
        <v>7.567</v>
      </c>
      <c r="H5915" s="15" t="s">
        <v>1670</v>
      </c>
      <c r="I5915" s="15" t="s">
        <v>1560</v>
      </c>
      <c r="J5915" s="15" t="s">
        <v>22727</v>
      </c>
      <c r="K5915" s="15">
        <v>1.0</v>
      </c>
      <c r="L5915" s="15">
        <v>1.0</v>
      </c>
      <c r="M5915" s="41">
        <v>42719.0</v>
      </c>
      <c r="N5915" s="41">
        <v>42720.0</v>
      </c>
      <c r="O5915" s="15" t="s">
        <v>1554</v>
      </c>
      <c r="Q5915" s="7"/>
    </row>
    <row r="5916">
      <c r="A5916" s="39" t="s">
        <v>22728</v>
      </c>
      <c r="B5916" s="15">
        <v>1926996.0</v>
      </c>
      <c r="C5916" s="15" t="s">
        <v>22729</v>
      </c>
      <c r="D5916" s="15">
        <v>357841.0</v>
      </c>
      <c r="E5916" s="15" t="s">
        <v>1548</v>
      </c>
      <c r="F5916" s="15" t="s">
        <v>1578</v>
      </c>
      <c r="G5916" s="7">
        <v>8.051</v>
      </c>
      <c r="H5916" s="15" t="s">
        <v>2836</v>
      </c>
      <c r="I5916" s="15" t="s">
        <v>1560</v>
      </c>
      <c r="J5916" s="15" t="s">
        <v>22730</v>
      </c>
      <c r="K5916" s="15">
        <v>2.0</v>
      </c>
      <c r="L5916" s="15">
        <v>2.0</v>
      </c>
      <c r="M5916" s="41">
        <v>42719.0</v>
      </c>
      <c r="N5916" s="41">
        <v>42720.0</v>
      </c>
      <c r="O5916" s="15" t="s">
        <v>1554</v>
      </c>
      <c r="Q5916" s="7"/>
    </row>
    <row r="5917">
      <c r="A5917" s="39" t="s">
        <v>22731</v>
      </c>
      <c r="B5917" s="15">
        <v>1926998.0</v>
      </c>
      <c r="C5917" s="15" t="s">
        <v>22732</v>
      </c>
      <c r="D5917" s="15">
        <v>357842.0</v>
      </c>
      <c r="E5917" s="15" t="s">
        <v>1664</v>
      </c>
      <c r="F5917" s="15" t="s">
        <v>1664</v>
      </c>
      <c r="G5917" s="7">
        <v>7.401</v>
      </c>
      <c r="H5917" s="15" t="s">
        <v>4595</v>
      </c>
      <c r="I5917" s="15" t="s">
        <v>1560</v>
      </c>
      <c r="J5917" s="15" t="s">
        <v>22734</v>
      </c>
      <c r="K5917" s="15">
        <v>3.0</v>
      </c>
      <c r="L5917" s="15">
        <v>3.0</v>
      </c>
      <c r="M5917" s="41">
        <v>42719.0</v>
      </c>
      <c r="N5917" s="41">
        <v>42720.0</v>
      </c>
      <c r="O5917" s="15" t="s">
        <v>1554</v>
      </c>
      <c r="Q5917" s="7"/>
    </row>
    <row r="5918">
      <c r="A5918" s="39" t="s">
        <v>22735</v>
      </c>
      <c r="B5918" s="15">
        <v>1922513.0</v>
      </c>
      <c r="C5918" s="15" t="s">
        <v>22736</v>
      </c>
      <c r="D5918" s="15">
        <v>358102.0</v>
      </c>
      <c r="E5918" s="15" t="s">
        <v>1664</v>
      </c>
      <c r="F5918" s="15" t="s">
        <v>1664</v>
      </c>
      <c r="G5918" s="7">
        <v>4.208</v>
      </c>
      <c r="H5918" s="15" t="s">
        <v>5042</v>
      </c>
      <c r="I5918" s="15" t="s">
        <v>1560</v>
      </c>
      <c r="J5918" s="15" t="s">
        <v>22737</v>
      </c>
      <c r="K5918" s="15">
        <v>2.0</v>
      </c>
      <c r="L5918" s="15">
        <v>2.0</v>
      </c>
      <c r="M5918" s="41">
        <v>42714.0</v>
      </c>
      <c r="N5918" s="41">
        <v>42726.0</v>
      </c>
      <c r="O5918" s="15" t="s">
        <v>1554</v>
      </c>
      <c r="Q5918" s="7"/>
    </row>
    <row r="5919">
      <c r="A5919" s="39" t="s">
        <v>22738</v>
      </c>
      <c r="B5919" s="15">
        <v>1923741.0</v>
      </c>
      <c r="C5919" s="15" t="s">
        <v>22739</v>
      </c>
      <c r="D5919" s="15">
        <v>358546.0</v>
      </c>
      <c r="E5919" s="15" t="s">
        <v>1664</v>
      </c>
      <c r="F5919" s="15" t="s">
        <v>1664</v>
      </c>
      <c r="G5919" s="7">
        <v>2.838</v>
      </c>
      <c r="H5919" s="15" t="s">
        <v>22740</v>
      </c>
      <c r="I5919" s="15" t="s">
        <v>1560</v>
      </c>
      <c r="J5919" s="15" t="s">
        <v>22741</v>
      </c>
      <c r="K5919" s="15">
        <v>2.0</v>
      </c>
      <c r="L5919" s="15">
        <v>2.0</v>
      </c>
      <c r="M5919" s="41">
        <v>42714.0</v>
      </c>
      <c r="N5919" s="40">
        <v>42738.0</v>
      </c>
      <c r="O5919" s="15" t="s">
        <v>1554</v>
      </c>
      <c r="Q5919" s="7"/>
    </row>
    <row r="5920">
      <c r="A5920" s="39" t="s">
        <v>22743</v>
      </c>
      <c r="B5920" s="15">
        <v>1922709.0</v>
      </c>
      <c r="C5920" s="15" t="s">
        <v>22744</v>
      </c>
      <c r="D5920" s="15">
        <v>358542.0</v>
      </c>
      <c r="E5920" s="15" t="s">
        <v>1664</v>
      </c>
      <c r="F5920" s="15" t="s">
        <v>1664</v>
      </c>
      <c r="G5920" s="7">
        <v>4.478</v>
      </c>
      <c r="H5920" s="15" t="s">
        <v>22745</v>
      </c>
      <c r="I5920" s="15" t="s">
        <v>1560</v>
      </c>
      <c r="J5920" s="15" t="s">
        <v>22746</v>
      </c>
      <c r="K5920" s="15">
        <v>2.0</v>
      </c>
      <c r="L5920" s="15">
        <v>2.0</v>
      </c>
      <c r="M5920" s="41">
        <v>42714.0</v>
      </c>
      <c r="N5920" s="40">
        <v>42738.0</v>
      </c>
      <c r="O5920" s="15" t="s">
        <v>1554</v>
      </c>
      <c r="Q5920" s="7"/>
    </row>
    <row r="5921">
      <c r="A5921" s="39" t="s">
        <v>22747</v>
      </c>
      <c r="B5921" s="15">
        <v>1923416.0</v>
      </c>
      <c r="C5921" s="15" t="s">
        <v>22748</v>
      </c>
      <c r="D5921" s="15">
        <v>358550.0</v>
      </c>
      <c r="E5921" s="15" t="s">
        <v>1664</v>
      </c>
      <c r="F5921" s="15" t="s">
        <v>1664</v>
      </c>
      <c r="G5921" s="7">
        <v>10.233</v>
      </c>
      <c r="H5921" s="15" t="s">
        <v>1849</v>
      </c>
      <c r="I5921" s="15" t="s">
        <v>1560</v>
      </c>
      <c r="J5921" s="15" t="s">
        <v>22749</v>
      </c>
      <c r="K5921" s="15">
        <v>6.0</v>
      </c>
      <c r="L5921" s="15">
        <v>6.0</v>
      </c>
      <c r="M5921" s="41">
        <v>42714.0</v>
      </c>
      <c r="N5921" s="40">
        <v>42738.0</v>
      </c>
      <c r="O5921" s="15" t="s">
        <v>1554</v>
      </c>
      <c r="Q5921" s="7"/>
    </row>
    <row r="5922">
      <c r="A5922" s="39" t="s">
        <v>22750</v>
      </c>
      <c r="B5922" s="15">
        <v>1922898.0</v>
      </c>
      <c r="C5922" s="15" t="s">
        <v>22751</v>
      </c>
      <c r="D5922" s="15">
        <v>358554.0</v>
      </c>
      <c r="E5922" s="15" t="s">
        <v>1664</v>
      </c>
      <c r="F5922" s="15" t="s">
        <v>1664</v>
      </c>
      <c r="G5922" s="7">
        <v>30.268</v>
      </c>
      <c r="H5922" s="15" t="s">
        <v>22753</v>
      </c>
      <c r="I5922" s="15" t="s">
        <v>1560</v>
      </c>
      <c r="J5922" s="15" t="s">
        <v>22754</v>
      </c>
      <c r="K5922" s="15">
        <v>11.0</v>
      </c>
      <c r="L5922" s="15">
        <v>11.0</v>
      </c>
      <c r="M5922" s="41">
        <v>42714.0</v>
      </c>
      <c r="N5922" s="40">
        <v>42738.0</v>
      </c>
      <c r="O5922" s="15" t="s">
        <v>1554</v>
      </c>
      <c r="Q5922" s="7"/>
    </row>
    <row r="5923">
      <c r="A5923" s="39" t="s">
        <v>22755</v>
      </c>
      <c r="B5923" s="15">
        <v>1922357.0</v>
      </c>
      <c r="C5923" s="15" t="s">
        <v>22756</v>
      </c>
      <c r="D5923" s="15">
        <v>358541.0</v>
      </c>
      <c r="E5923" s="15" t="s">
        <v>1664</v>
      </c>
      <c r="F5923" s="15" t="s">
        <v>1664</v>
      </c>
      <c r="G5923" s="7">
        <v>2.96</v>
      </c>
      <c r="H5923" s="15" t="s">
        <v>22757</v>
      </c>
      <c r="I5923" s="15" t="s">
        <v>1560</v>
      </c>
      <c r="J5923" s="15" t="s">
        <v>22758</v>
      </c>
      <c r="K5923" s="15">
        <v>2.0</v>
      </c>
      <c r="L5923" s="15">
        <v>2.0</v>
      </c>
      <c r="M5923" s="41">
        <v>42714.0</v>
      </c>
      <c r="N5923" s="40">
        <v>42738.0</v>
      </c>
      <c r="O5923" s="15" t="s">
        <v>1554</v>
      </c>
      <c r="Q5923" s="7"/>
    </row>
    <row r="5924">
      <c r="A5924" s="39" t="s">
        <v>22759</v>
      </c>
      <c r="B5924" s="15">
        <v>1923751.0</v>
      </c>
      <c r="C5924" s="15" t="s">
        <v>22760</v>
      </c>
      <c r="D5924" s="15">
        <v>358545.0</v>
      </c>
      <c r="E5924" s="15" t="s">
        <v>1664</v>
      </c>
      <c r="F5924" s="15" t="s">
        <v>1664</v>
      </c>
      <c r="G5924" s="7">
        <v>10.305</v>
      </c>
      <c r="H5924" s="15" t="s">
        <v>2580</v>
      </c>
      <c r="I5924" s="15" t="s">
        <v>1560</v>
      </c>
      <c r="J5924" s="15" t="s">
        <v>22761</v>
      </c>
      <c r="K5924" s="15">
        <v>1.0</v>
      </c>
      <c r="L5924" s="15">
        <v>1.0</v>
      </c>
      <c r="M5924" s="41">
        <v>42714.0</v>
      </c>
      <c r="N5924" s="41">
        <v>42726.0</v>
      </c>
      <c r="O5924" s="15" t="s">
        <v>1554</v>
      </c>
      <c r="Q5924" s="7"/>
    </row>
    <row r="5925">
      <c r="A5925" s="39" t="s">
        <v>22763</v>
      </c>
      <c r="B5925" s="15">
        <v>1923419.0</v>
      </c>
      <c r="C5925" s="15" t="s">
        <v>22764</v>
      </c>
      <c r="D5925" s="15">
        <v>358549.0</v>
      </c>
      <c r="E5925" s="15" t="s">
        <v>1664</v>
      </c>
      <c r="F5925" s="15" t="s">
        <v>1664</v>
      </c>
      <c r="G5925" s="7">
        <v>11.076</v>
      </c>
      <c r="H5925" s="15" t="s">
        <v>22765</v>
      </c>
      <c r="I5925" s="15" t="s">
        <v>1560</v>
      </c>
      <c r="J5925" s="15" t="s">
        <v>22766</v>
      </c>
      <c r="K5925" s="15">
        <v>3.0</v>
      </c>
      <c r="L5925" s="15">
        <v>3.0</v>
      </c>
      <c r="M5925" s="41">
        <v>42714.0</v>
      </c>
      <c r="N5925" s="40">
        <v>42738.0</v>
      </c>
      <c r="O5925" s="15" t="s">
        <v>1554</v>
      </c>
      <c r="Q5925" s="7"/>
    </row>
    <row r="5926">
      <c r="A5926" s="39" t="s">
        <v>22767</v>
      </c>
      <c r="B5926" s="15">
        <v>1923003.0</v>
      </c>
      <c r="C5926" s="15" t="s">
        <v>22768</v>
      </c>
      <c r="D5926" s="15">
        <v>358553.0</v>
      </c>
      <c r="E5926" s="15" t="s">
        <v>1664</v>
      </c>
      <c r="F5926" s="15" t="s">
        <v>1664</v>
      </c>
      <c r="G5926" s="7">
        <v>10.837</v>
      </c>
      <c r="H5926" s="15" t="s">
        <v>22769</v>
      </c>
      <c r="I5926" s="15" t="s">
        <v>1560</v>
      </c>
      <c r="J5926" s="15" t="s">
        <v>22770</v>
      </c>
      <c r="K5926" s="15">
        <v>3.0</v>
      </c>
      <c r="L5926" s="15">
        <v>3.0</v>
      </c>
      <c r="M5926" s="41">
        <v>42714.0</v>
      </c>
      <c r="N5926" s="40">
        <v>42738.0</v>
      </c>
      <c r="O5926" s="15" t="s">
        <v>1554</v>
      </c>
      <c r="Q5926" s="7"/>
    </row>
    <row r="5927">
      <c r="A5927" s="39" t="s">
        <v>22771</v>
      </c>
      <c r="B5927" s="15">
        <v>1922434.0</v>
      </c>
      <c r="C5927" s="15" t="s">
        <v>22772</v>
      </c>
      <c r="D5927" s="15">
        <v>358557.0</v>
      </c>
      <c r="E5927" s="15" t="s">
        <v>1664</v>
      </c>
      <c r="F5927" s="15" t="s">
        <v>1664</v>
      </c>
      <c r="G5927" s="7">
        <v>8.805</v>
      </c>
      <c r="H5927" s="15" t="s">
        <v>4479</v>
      </c>
      <c r="I5927" s="15" t="s">
        <v>1560</v>
      </c>
      <c r="J5927" s="15" t="s">
        <v>22774</v>
      </c>
      <c r="K5927" s="15">
        <v>2.0</v>
      </c>
      <c r="L5927" s="15">
        <v>2.0</v>
      </c>
      <c r="M5927" s="41">
        <v>42714.0</v>
      </c>
      <c r="N5927" s="41">
        <v>42726.0</v>
      </c>
      <c r="O5927" s="15" t="s">
        <v>1554</v>
      </c>
      <c r="Q5927" s="7"/>
    </row>
    <row r="5928">
      <c r="A5928" s="39" t="s">
        <v>22775</v>
      </c>
      <c r="B5928" s="15">
        <v>1922387.0</v>
      </c>
      <c r="C5928" s="15" t="s">
        <v>22776</v>
      </c>
      <c r="D5928" s="15">
        <v>358540.0</v>
      </c>
      <c r="E5928" s="15" t="s">
        <v>1664</v>
      </c>
      <c r="F5928" s="15" t="s">
        <v>1664</v>
      </c>
      <c r="G5928" s="7">
        <v>12.648</v>
      </c>
      <c r="H5928" s="15" t="s">
        <v>1983</v>
      </c>
      <c r="I5928" s="15" t="s">
        <v>1560</v>
      </c>
      <c r="J5928" s="15" t="s">
        <v>22777</v>
      </c>
      <c r="K5928" s="15">
        <v>4.0</v>
      </c>
      <c r="L5928" s="15">
        <v>4.0</v>
      </c>
      <c r="M5928" s="41">
        <v>42714.0</v>
      </c>
      <c r="N5928" s="40">
        <v>42738.0</v>
      </c>
      <c r="O5928" s="15" t="s">
        <v>1554</v>
      </c>
      <c r="Q5928" s="7"/>
    </row>
    <row r="5929">
      <c r="A5929" s="39" t="s">
        <v>22778</v>
      </c>
      <c r="B5929" s="15">
        <v>1923776.0</v>
      </c>
      <c r="C5929" s="15" t="s">
        <v>22779</v>
      </c>
      <c r="D5929" s="15">
        <v>358544.0</v>
      </c>
      <c r="E5929" s="15" t="s">
        <v>1664</v>
      </c>
      <c r="F5929" s="15" t="s">
        <v>1664</v>
      </c>
      <c r="G5929" s="7">
        <v>2.745</v>
      </c>
      <c r="H5929" s="15" t="s">
        <v>22780</v>
      </c>
      <c r="I5929" s="15" t="s">
        <v>1560</v>
      </c>
      <c r="J5929" s="15" t="s">
        <v>22781</v>
      </c>
      <c r="K5929" s="15">
        <v>2.0</v>
      </c>
      <c r="L5929" s="15">
        <v>2.0</v>
      </c>
      <c r="M5929" s="41">
        <v>42714.0</v>
      </c>
      <c r="N5929" s="40">
        <v>42738.0</v>
      </c>
      <c r="O5929" s="15" t="s">
        <v>1554</v>
      </c>
      <c r="Q5929" s="7"/>
    </row>
    <row r="5930">
      <c r="A5930" s="39" t="s">
        <v>22783</v>
      </c>
      <c r="B5930" s="15">
        <v>1923492.0</v>
      </c>
      <c r="C5930" s="15" t="s">
        <v>22784</v>
      </c>
      <c r="D5930" s="15">
        <v>358548.0</v>
      </c>
      <c r="E5930" s="15" t="s">
        <v>1664</v>
      </c>
      <c r="F5930" s="15" t="s">
        <v>1664</v>
      </c>
      <c r="G5930" s="7">
        <v>10.757</v>
      </c>
      <c r="H5930" s="15" t="s">
        <v>22785</v>
      </c>
      <c r="I5930" s="15" t="s">
        <v>1560</v>
      </c>
      <c r="J5930" s="15" t="s">
        <v>22786</v>
      </c>
      <c r="K5930" s="15">
        <v>3.0</v>
      </c>
      <c r="L5930" s="15">
        <v>3.0</v>
      </c>
      <c r="M5930" s="41">
        <v>42714.0</v>
      </c>
      <c r="N5930" s="40">
        <v>42738.0</v>
      </c>
      <c r="O5930" s="15" t="s">
        <v>1554</v>
      </c>
      <c r="Q5930" s="7"/>
    </row>
    <row r="5931">
      <c r="A5931" s="39" t="s">
        <v>22787</v>
      </c>
      <c r="B5931" s="15">
        <v>1922879.0</v>
      </c>
      <c r="C5931" s="15" t="s">
        <v>22788</v>
      </c>
      <c r="D5931" s="15">
        <v>358556.0</v>
      </c>
      <c r="E5931" s="15" t="s">
        <v>1664</v>
      </c>
      <c r="F5931" s="15" t="s">
        <v>1664</v>
      </c>
      <c r="G5931" s="7">
        <v>3.436</v>
      </c>
      <c r="H5931" s="15" t="s">
        <v>22790</v>
      </c>
      <c r="I5931" s="15" t="s">
        <v>1560</v>
      </c>
      <c r="J5931" s="15" t="s">
        <v>22791</v>
      </c>
      <c r="K5931" s="15">
        <v>2.0</v>
      </c>
      <c r="L5931" s="15">
        <v>2.0</v>
      </c>
      <c r="M5931" s="41">
        <v>42714.0</v>
      </c>
      <c r="N5931" s="40">
        <v>42738.0</v>
      </c>
      <c r="O5931" s="15" t="s">
        <v>1554</v>
      </c>
      <c r="Q5931" s="7"/>
    </row>
    <row r="5932">
      <c r="A5932" s="39" t="s">
        <v>22792</v>
      </c>
      <c r="B5932" s="15">
        <v>1923004.0</v>
      </c>
      <c r="C5932" s="15" t="s">
        <v>22793</v>
      </c>
      <c r="D5932" s="15">
        <v>358552.0</v>
      </c>
      <c r="E5932" s="15" t="s">
        <v>1664</v>
      </c>
      <c r="F5932" s="15" t="s">
        <v>1664</v>
      </c>
      <c r="G5932" s="7">
        <v>10.542</v>
      </c>
      <c r="H5932" s="15" t="s">
        <v>22794</v>
      </c>
      <c r="I5932" s="15" t="s">
        <v>1560</v>
      </c>
      <c r="J5932" s="15" t="s">
        <v>22795</v>
      </c>
      <c r="K5932" s="15">
        <v>3.0</v>
      </c>
      <c r="L5932" s="15">
        <v>3.0</v>
      </c>
      <c r="M5932" s="41">
        <v>42714.0</v>
      </c>
      <c r="N5932" s="40">
        <v>42738.0</v>
      </c>
      <c r="O5932" s="15" t="s">
        <v>1554</v>
      </c>
      <c r="Q5932" s="7"/>
    </row>
    <row r="5933">
      <c r="A5933" s="39" t="s">
        <v>22796</v>
      </c>
      <c r="B5933" s="15">
        <v>1923415.0</v>
      </c>
      <c r="C5933" s="15" t="s">
        <v>22797</v>
      </c>
      <c r="D5933" s="15">
        <v>358238.0</v>
      </c>
      <c r="E5933" s="15" t="s">
        <v>1664</v>
      </c>
      <c r="F5933" s="15" t="s">
        <v>1664</v>
      </c>
      <c r="G5933" s="7">
        <v>9.839</v>
      </c>
      <c r="H5933" s="15" t="s">
        <v>6418</v>
      </c>
      <c r="I5933" s="15" t="s">
        <v>1560</v>
      </c>
      <c r="J5933" s="15" t="s">
        <v>22799</v>
      </c>
      <c r="K5933" s="15">
        <v>5.0</v>
      </c>
      <c r="L5933" s="15">
        <v>5.0</v>
      </c>
      <c r="M5933" s="41">
        <v>42714.0</v>
      </c>
      <c r="N5933" s="40">
        <v>42738.0</v>
      </c>
      <c r="O5933" s="15" t="s">
        <v>1554</v>
      </c>
      <c r="Q5933" s="7"/>
    </row>
    <row r="5934">
      <c r="A5934" s="39" t="s">
        <v>22800</v>
      </c>
      <c r="B5934" s="15">
        <v>1926511.0</v>
      </c>
      <c r="C5934" s="15" t="s">
        <v>22801</v>
      </c>
      <c r="D5934" s="15">
        <v>358543.0</v>
      </c>
      <c r="E5934" s="15" t="s">
        <v>1548</v>
      </c>
      <c r="F5934" s="15" t="s">
        <v>1578</v>
      </c>
      <c r="G5934" s="7">
        <v>7.768</v>
      </c>
      <c r="H5934" s="15" t="s">
        <v>2981</v>
      </c>
      <c r="I5934" s="15" t="s">
        <v>1686</v>
      </c>
      <c r="J5934" s="15" t="s">
        <v>22802</v>
      </c>
      <c r="K5934" s="15">
        <v>1.0</v>
      </c>
      <c r="L5934" s="15">
        <v>1.0</v>
      </c>
      <c r="M5934" s="41">
        <v>42723.0</v>
      </c>
      <c r="N5934" s="41">
        <v>42726.0</v>
      </c>
      <c r="O5934" s="15" t="s">
        <v>1554</v>
      </c>
      <c r="Q5934" s="7"/>
    </row>
    <row r="5935">
      <c r="A5935" s="39" t="s">
        <v>22803</v>
      </c>
      <c r="B5935" s="15">
        <v>1923727.0</v>
      </c>
      <c r="C5935" s="15" t="s">
        <v>22804</v>
      </c>
      <c r="D5935" s="15">
        <v>358547.0</v>
      </c>
      <c r="E5935" s="15" t="s">
        <v>1664</v>
      </c>
      <c r="F5935" s="15" t="s">
        <v>1664</v>
      </c>
      <c r="G5935" s="7">
        <v>2.858</v>
      </c>
      <c r="H5935" s="15" t="s">
        <v>22805</v>
      </c>
      <c r="I5935" s="15" t="s">
        <v>1560</v>
      </c>
      <c r="J5935" s="15" t="s">
        <v>22806</v>
      </c>
      <c r="K5935" s="15">
        <v>2.0</v>
      </c>
      <c r="L5935" s="15">
        <v>2.0</v>
      </c>
      <c r="M5935" s="41">
        <v>42714.0</v>
      </c>
      <c r="N5935" s="40">
        <v>42738.0</v>
      </c>
      <c r="O5935" s="15" t="s">
        <v>1554</v>
      </c>
      <c r="Q5935" s="7"/>
    </row>
    <row r="5936">
      <c r="A5936" s="39" t="s">
        <v>22807</v>
      </c>
      <c r="B5936" s="15">
        <v>1923017.0</v>
      </c>
      <c r="C5936" s="15" t="s">
        <v>22808</v>
      </c>
      <c r="D5936" s="15">
        <v>358551.0</v>
      </c>
      <c r="E5936" s="15" t="s">
        <v>1664</v>
      </c>
      <c r="F5936" s="15" t="s">
        <v>1664</v>
      </c>
      <c r="G5936" s="7">
        <v>3.358</v>
      </c>
      <c r="H5936" s="15" t="s">
        <v>22809</v>
      </c>
      <c r="I5936" s="15" t="s">
        <v>1560</v>
      </c>
      <c r="J5936" s="15" t="s">
        <v>22810</v>
      </c>
      <c r="K5936" s="15">
        <v>2.0</v>
      </c>
      <c r="L5936" s="15">
        <v>2.0</v>
      </c>
      <c r="M5936" s="41">
        <v>42714.0</v>
      </c>
      <c r="N5936" s="40">
        <v>42738.0</v>
      </c>
      <c r="O5936" s="15" t="s">
        <v>1554</v>
      </c>
      <c r="Q5936" s="7"/>
    </row>
    <row r="5937">
      <c r="A5937" s="39" t="s">
        <v>22811</v>
      </c>
      <c r="B5937" s="15">
        <v>1922884.0</v>
      </c>
      <c r="C5937" s="15" t="s">
        <v>22812</v>
      </c>
      <c r="D5937" s="15">
        <v>358555.0</v>
      </c>
      <c r="E5937" s="15" t="s">
        <v>1664</v>
      </c>
      <c r="F5937" s="15" t="s">
        <v>1664</v>
      </c>
      <c r="G5937" s="7">
        <v>12.096</v>
      </c>
      <c r="H5937" s="15" t="s">
        <v>22813</v>
      </c>
      <c r="I5937" s="15" t="s">
        <v>1560</v>
      </c>
      <c r="J5937" s="15" t="s">
        <v>22815</v>
      </c>
      <c r="K5937" s="15">
        <v>3.0</v>
      </c>
      <c r="L5937" s="15">
        <v>3.0</v>
      </c>
      <c r="M5937" s="41">
        <v>42714.0</v>
      </c>
      <c r="N5937" s="40">
        <v>42738.0</v>
      </c>
      <c r="O5937" s="15" t="s">
        <v>1554</v>
      </c>
      <c r="Q5937" s="7"/>
    </row>
    <row r="5938">
      <c r="A5938" s="39" t="s">
        <v>22816</v>
      </c>
      <c r="B5938" s="15">
        <v>1825688.0</v>
      </c>
      <c r="C5938" s="15" t="s">
        <v>22817</v>
      </c>
      <c r="D5938" s="15">
        <v>357854.0</v>
      </c>
      <c r="E5938" s="15" t="s">
        <v>1638</v>
      </c>
      <c r="F5938" s="15" t="s">
        <v>1796</v>
      </c>
      <c r="G5938" s="7">
        <v>3.705</v>
      </c>
      <c r="H5938" s="15" t="s">
        <v>22818</v>
      </c>
      <c r="I5938" s="15" t="s">
        <v>1552</v>
      </c>
      <c r="J5938" s="15" t="s">
        <v>22819</v>
      </c>
      <c r="K5938" s="15">
        <v>2.0</v>
      </c>
      <c r="L5938" s="15">
        <v>3.0</v>
      </c>
      <c r="M5938" s="40">
        <v>42471.0</v>
      </c>
      <c r="N5938" s="41">
        <v>42731.0</v>
      </c>
      <c r="O5938" s="15" t="s">
        <v>1554</v>
      </c>
      <c r="Q5938" s="7"/>
    </row>
    <row r="5939">
      <c r="A5939" s="39" t="s">
        <v>22821</v>
      </c>
      <c r="B5939" s="15">
        <v>1923200.0</v>
      </c>
      <c r="C5939" s="15" t="s">
        <v>22822</v>
      </c>
      <c r="D5939" s="15">
        <v>358909.0</v>
      </c>
      <c r="E5939" s="15" t="s">
        <v>1664</v>
      </c>
      <c r="F5939" s="15" t="s">
        <v>1664</v>
      </c>
      <c r="G5939" s="7">
        <v>3.049</v>
      </c>
      <c r="H5939" s="15">
        <v>57.0</v>
      </c>
      <c r="I5939" s="15" t="s">
        <v>1560</v>
      </c>
      <c r="J5939" s="15" t="s">
        <v>22823</v>
      </c>
      <c r="K5939" s="15">
        <v>2.0</v>
      </c>
      <c r="L5939" s="15">
        <v>2.0</v>
      </c>
      <c r="M5939" s="41">
        <v>42714.0</v>
      </c>
      <c r="N5939" s="40">
        <v>42738.0</v>
      </c>
      <c r="O5939" s="15" t="s">
        <v>1554</v>
      </c>
      <c r="Q5939" s="7"/>
    </row>
    <row r="5940">
      <c r="A5940" s="39" t="s">
        <v>22824</v>
      </c>
      <c r="B5940" s="15">
        <v>1923196.0</v>
      </c>
      <c r="C5940" s="15" t="s">
        <v>22825</v>
      </c>
      <c r="D5940" s="15">
        <v>358913.0</v>
      </c>
      <c r="E5940" s="15" t="s">
        <v>1664</v>
      </c>
      <c r="F5940" s="15" t="s">
        <v>1664</v>
      </c>
      <c r="G5940" s="7">
        <v>2.803</v>
      </c>
      <c r="H5940" s="15" t="s">
        <v>2869</v>
      </c>
      <c r="I5940" s="15" t="s">
        <v>1560</v>
      </c>
      <c r="J5940" s="15" t="s">
        <v>22826</v>
      </c>
      <c r="K5940" s="15">
        <v>2.0</v>
      </c>
      <c r="L5940" s="15">
        <v>2.0</v>
      </c>
      <c r="M5940" s="41">
        <v>42714.0</v>
      </c>
      <c r="N5940" s="40">
        <v>42738.0</v>
      </c>
      <c r="O5940" s="15" t="s">
        <v>1554</v>
      </c>
      <c r="Q5940" s="7"/>
    </row>
    <row r="5941">
      <c r="A5941" s="39" t="s">
        <v>22827</v>
      </c>
      <c r="B5941" s="15">
        <v>1923167.0</v>
      </c>
      <c r="C5941" s="15" t="s">
        <v>22828</v>
      </c>
      <c r="D5941" s="15">
        <v>358917.0</v>
      </c>
      <c r="E5941" s="15" t="s">
        <v>1664</v>
      </c>
      <c r="F5941" s="15" t="s">
        <v>1664</v>
      </c>
      <c r="G5941" s="7">
        <v>11.081</v>
      </c>
      <c r="H5941" s="15" t="s">
        <v>3317</v>
      </c>
      <c r="I5941" s="15" t="s">
        <v>1560</v>
      </c>
      <c r="J5941" s="15" t="s">
        <v>22829</v>
      </c>
      <c r="K5941" s="15">
        <v>3.0</v>
      </c>
      <c r="L5941" s="15">
        <v>3.0</v>
      </c>
      <c r="M5941" s="41">
        <v>42714.0</v>
      </c>
      <c r="N5941" s="41">
        <v>42731.0</v>
      </c>
      <c r="O5941" s="15" t="s">
        <v>1554</v>
      </c>
      <c r="Q5941" s="7"/>
    </row>
    <row r="5942">
      <c r="A5942" s="39" t="s">
        <v>22830</v>
      </c>
      <c r="B5942" s="15">
        <v>1922972.0</v>
      </c>
      <c r="C5942" s="15" t="s">
        <v>22831</v>
      </c>
      <c r="D5942" s="15">
        <v>358921.0</v>
      </c>
      <c r="E5942" s="15" t="s">
        <v>1664</v>
      </c>
      <c r="F5942" s="15" t="s">
        <v>1664</v>
      </c>
      <c r="G5942" s="7">
        <v>3.034</v>
      </c>
      <c r="H5942" s="15" t="s">
        <v>2075</v>
      </c>
      <c r="I5942" s="15" t="s">
        <v>1560</v>
      </c>
      <c r="J5942" s="15" t="s">
        <v>22832</v>
      </c>
      <c r="K5942" s="15">
        <v>1.0</v>
      </c>
      <c r="L5942" s="15">
        <v>1.0</v>
      </c>
      <c r="M5942" s="41">
        <v>42714.0</v>
      </c>
      <c r="N5942" s="40">
        <v>42738.0</v>
      </c>
      <c r="O5942" s="15" t="s">
        <v>1554</v>
      </c>
      <c r="Q5942" s="7"/>
    </row>
    <row r="5943">
      <c r="A5943" s="39" t="s">
        <v>22834</v>
      </c>
      <c r="B5943" s="15">
        <v>1922933.0</v>
      </c>
      <c r="C5943" s="15" t="s">
        <v>22835</v>
      </c>
      <c r="D5943" s="15">
        <v>358925.0</v>
      </c>
      <c r="E5943" s="15" t="s">
        <v>1664</v>
      </c>
      <c r="F5943" s="15" t="s">
        <v>1664</v>
      </c>
      <c r="G5943" s="7">
        <v>12.877</v>
      </c>
      <c r="H5943" s="15" t="s">
        <v>5934</v>
      </c>
      <c r="I5943" s="15" t="s">
        <v>1560</v>
      </c>
      <c r="J5943" s="15" t="s">
        <v>22836</v>
      </c>
      <c r="K5943" s="15">
        <v>2.0</v>
      </c>
      <c r="L5943" s="15">
        <v>2.0</v>
      </c>
      <c r="M5943" s="41">
        <v>42714.0</v>
      </c>
      <c r="N5943" s="41">
        <v>42731.0</v>
      </c>
      <c r="O5943" s="15" t="s">
        <v>1554</v>
      </c>
      <c r="Q5943" s="7"/>
    </row>
    <row r="5944">
      <c r="A5944" s="39" t="s">
        <v>22837</v>
      </c>
      <c r="B5944" s="15">
        <v>1922928.0</v>
      </c>
      <c r="C5944" s="15" t="s">
        <v>22838</v>
      </c>
      <c r="D5944" s="15">
        <v>358929.0</v>
      </c>
      <c r="E5944" s="15" t="s">
        <v>1664</v>
      </c>
      <c r="F5944" s="15" t="s">
        <v>1664</v>
      </c>
      <c r="G5944" s="7">
        <v>4.971</v>
      </c>
      <c r="H5944" s="15" t="s">
        <v>5663</v>
      </c>
      <c r="I5944" s="15" t="s">
        <v>1560</v>
      </c>
      <c r="J5944" s="15" t="s">
        <v>22839</v>
      </c>
      <c r="K5944" s="15">
        <v>3.0</v>
      </c>
      <c r="L5944" s="15">
        <v>3.0</v>
      </c>
      <c r="M5944" s="41">
        <v>42714.0</v>
      </c>
      <c r="N5944" s="40">
        <v>42738.0</v>
      </c>
      <c r="O5944" s="15" t="s">
        <v>1554</v>
      </c>
      <c r="Q5944" s="7"/>
    </row>
    <row r="5945">
      <c r="A5945" s="39" t="s">
        <v>22840</v>
      </c>
      <c r="B5945" s="15">
        <v>1922892.0</v>
      </c>
      <c r="C5945" s="15" t="s">
        <v>22841</v>
      </c>
      <c r="D5945" s="15">
        <v>358933.0</v>
      </c>
      <c r="E5945" s="15" t="s">
        <v>1664</v>
      </c>
      <c r="F5945" s="15" t="s">
        <v>1664</v>
      </c>
      <c r="G5945" s="7">
        <v>13.072</v>
      </c>
      <c r="H5945" s="15" t="s">
        <v>2316</v>
      </c>
      <c r="I5945" s="15" t="s">
        <v>1560</v>
      </c>
      <c r="J5945" s="15" t="s">
        <v>22843</v>
      </c>
      <c r="K5945" s="15">
        <v>2.0</v>
      </c>
      <c r="L5945" s="15">
        <v>2.0</v>
      </c>
      <c r="M5945" s="41">
        <v>42714.0</v>
      </c>
      <c r="N5945" s="41">
        <v>42731.0</v>
      </c>
      <c r="O5945" s="15" t="s">
        <v>1554</v>
      </c>
      <c r="Q5945" s="7"/>
    </row>
    <row r="5946">
      <c r="A5946" s="39" t="s">
        <v>22844</v>
      </c>
      <c r="B5946" s="15">
        <v>1922808.0</v>
      </c>
      <c r="C5946" s="15" t="s">
        <v>22845</v>
      </c>
      <c r="D5946" s="15">
        <v>358937.0</v>
      </c>
      <c r="E5946" s="15" t="s">
        <v>1664</v>
      </c>
      <c r="F5946" s="15" t="s">
        <v>1664</v>
      </c>
      <c r="G5946" s="7">
        <v>3.639</v>
      </c>
      <c r="H5946" s="15">
        <v>52.0</v>
      </c>
      <c r="I5946" s="15" t="s">
        <v>1560</v>
      </c>
      <c r="J5946" s="15" t="s">
        <v>22846</v>
      </c>
      <c r="K5946" s="15">
        <v>2.0</v>
      </c>
      <c r="L5946" s="15">
        <v>2.0</v>
      </c>
      <c r="M5946" s="41">
        <v>42714.0</v>
      </c>
      <c r="N5946" s="40">
        <v>42738.0</v>
      </c>
      <c r="O5946" s="15" t="s">
        <v>1554</v>
      </c>
      <c r="Q5946" s="7"/>
    </row>
    <row r="5947">
      <c r="A5947" s="39" t="s">
        <v>22847</v>
      </c>
      <c r="B5947" s="15">
        <v>1926644.0</v>
      </c>
      <c r="C5947" s="15" t="s">
        <v>22848</v>
      </c>
      <c r="D5947" s="15">
        <v>358941.0</v>
      </c>
      <c r="E5947" s="15" t="s">
        <v>1638</v>
      </c>
      <c r="F5947" s="15" t="s">
        <v>4692</v>
      </c>
      <c r="G5947" s="7">
        <v>12.839</v>
      </c>
      <c r="H5947" s="15" t="s">
        <v>5475</v>
      </c>
      <c r="I5947" s="15" t="s">
        <v>1552</v>
      </c>
      <c r="J5947" s="15" t="s">
        <v>22849</v>
      </c>
      <c r="K5947" s="15">
        <v>1.0</v>
      </c>
      <c r="L5947" s="15">
        <v>1.0</v>
      </c>
      <c r="M5947" s="41">
        <v>42721.0</v>
      </c>
      <c r="N5947" s="41">
        <v>42731.0</v>
      </c>
      <c r="O5947" s="15" t="s">
        <v>1554</v>
      </c>
      <c r="Q5947" s="7"/>
    </row>
    <row r="5948">
      <c r="A5948" s="39" t="s">
        <v>22851</v>
      </c>
      <c r="B5948" s="15">
        <v>1923240.0</v>
      </c>
      <c r="C5948" s="15" t="s">
        <v>22852</v>
      </c>
      <c r="D5948" s="15">
        <v>358945.0</v>
      </c>
      <c r="E5948" s="15" t="s">
        <v>1664</v>
      </c>
      <c r="F5948" s="15" t="s">
        <v>1664</v>
      </c>
      <c r="G5948" s="7">
        <v>2.662</v>
      </c>
      <c r="H5948" s="15" t="s">
        <v>2324</v>
      </c>
      <c r="I5948" s="15" t="s">
        <v>1560</v>
      </c>
      <c r="J5948" s="15" t="s">
        <v>22853</v>
      </c>
      <c r="K5948" s="15">
        <v>2.0</v>
      </c>
      <c r="L5948" s="15">
        <v>2.0</v>
      </c>
      <c r="M5948" s="41">
        <v>42714.0</v>
      </c>
      <c r="N5948" s="40">
        <v>42738.0</v>
      </c>
      <c r="O5948" s="15" t="s">
        <v>1554</v>
      </c>
      <c r="Q5948" s="7"/>
    </row>
    <row r="5949">
      <c r="A5949" s="39" t="s">
        <v>22854</v>
      </c>
      <c r="B5949" s="15">
        <v>1923236.0</v>
      </c>
      <c r="C5949" s="15" t="s">
        <v>22855</v>
      </c>
      <c r="D5949" s="15">
        <v>358949.0</v>
      </c>
      <c r="E5949" s="15" t="s">
        <v>1664</v>
      </c>
      <c r="F5949" s="15" t="s">
        <v>1664</v>
      </c>
      <c r="G5949" s="7">
        <v>2.654</v>
      </c>
      <c r="H5949" s="15" t="s">
        <v>2000</v>
      </c>
      <c r="I5949" s="15" t="s">
        <v>1560</v>
      </c>
      <c r="J5949" s="15" t="s">
        <v>22856</v>
      </c>
      <c r="K5949" s="15">
        <v>2.0</v>
      </c>
      <c r="L5949" s="15">
        <v>2.0</v>
      </c>
      <c r="M5949" s="41">
        <v>42714.0</v>
      </c>
      <c r="N5949" s="40">
        <v>42738.0</v>
      </c>
      <c r="O5949" s="15" t="s">
        <v>1554</v>
      </c>
      <c r="Q5949" s="7"/>
    </row>
    <row r="5950">
      <c r="A5950" s="39" t="s">
        <v>22857</v>
      </c>
      <c r="B5950" s="15">
        <v>1923232.0</v>
      </c>
      <c r="C5950" s="15" t="s">
        <v>22858</v>
      </c>
      <c r="D5950" s="15">
        <v>358953.0</v>
      </c>
      <c r="E5950" s="15" t="s">
        <v>1664</v>
      </c>
      <c r="F5950" s="15" t="s">
        <v>1664</v>
      </c>
      <c r="G5950" s="7">
        <v>2.718</v>
      </c>
      <c r="H5950" s="15" t="s">
        <v>2484</v>
      </c>
      <c r="I5950" s="15" t="s">
        <v>1560</v>
      </c>
      <c r="J5950" s="15" t="s">
        <v>22860</v>
      </c>
      <c r="K5950" s="15">
        <v>2.0</v>
      </c>
      <c r="L5950" s="15">
        <v>2.0</v>
      </c>
      <c r="M5950" s="41">
        <v>42714.0</v>
      </c>
      <c r="N5950" s="40">
        <v>42738.0</v>
      </c>
      <c r="O5950" s="15" t="s">
        <v>1554</v>
      </c>
      <c r="Q5950" s="7"/>
    </row>
    <row r="5951">
      <c r="A5951" s="39" t="s">
        <v>22861</v>
      </c>
      <c r="B5951" s="15">
        <v>1923228.0</v>
      </c>
      <c r="C5951" s="15" t="s">
        <v>22862</v>
      </c>
      <c r="D5951" s="15">
        <v>358957.0</v>
      </c>
      <c r="E5951" s="15" t="s">
        <v>1664</v>
      </c>
      <c r="F5951" s="15" t="s">
        <v>1664</v>
      </c>
      <c r="G5951" s="7">
        <v>2.802</v>
      </c>
      <c r="H5951" s="15">
        <v>50.0</v>
      </c>
      <c r="I5951" s="15" t="s">
        <v>1560</v>
      </c>
      <c r="J5951" s="15" t="s">
        <v>22863</v>
      </c>
      <c r="K5951" s="15">
        <v>2.0</v>
      </c>
      <c r="L5951" s="15">
        <v>2.0</v>
      </c>
      <c r="M5951" s="41">
        <v>42714.0</v>
      </c>
      <c r="N5951" s="40">
        <v>42738.0</v>
      </c>
      <c r="O5951" s="15" t="s">
        <v>1554</v>
      </c>
      <c r="Q5951" s="7"/>
    </row>
    <row r="5952">
      <c r="A5952" s="39" t="s">
        <v>22864</v>
      </c>
      <c r="B5952" s="15">
        <v>1923222.0</v>
      </c>
      <c r="C5952" s="15" t="s">
        <v>22865</v>
      </c>
      <c r="D5952" s="15">
        <v>358961.0</v>
      </c>
      <c r="E5952" s="15" t="s">
        <v>1664</v>
      </c>
      <c r="F5952" s="15" t="s">
        <v>1664</v>
      </c>
      <c r="G5952" s="7">
        <v>3.447</v>
      </c>
      <c r="H5952" s="15" t="s">
        <v>3882</v>
      </c>
      <c r="I5952" s="15" t="s">
        <v>1560</v>
      </c>
      <c r="J5952" s="15" t="s">
        <v>22866</v>
      </c>
      <c r="K5952" s="15">
        <v>2.0</v>
      </c>
      <c r="L5952" s="15">
        <v>2.0</v>
      </c>
      <c r="M5952" s="41">
        <v>42714.0</v>
      </c>
      <c r="N5952" s="40">
        <v>42738.0</v>
      </c>
      <c r="O5952" s="15" t="s">
        <v>1554</v>
      </c>
      <c r="Q5952" s="7"/>
    </row>
    <row r="5953">
      <c r="A5953" s="39" t="s">
        <v>22868</v>
      </c>
      <c r="B5953" s="15">
        <v>1923218.0</v>
      </c>
      <c r="C5953" s="15" t="s">
        <v>22869</v>
      </c>
      <c r="D5953" s="15">
        <v>358965.0</v>
      </c>
      <c r="E5953" s="15" t="s">
        <v>1664</v>
      </c>
      <c r="F5953" s="15" t="s">
        <v>1664</v>
      </c>
      <c r="G5953" s="7">
        <v>3.179</v>
      </c>
      <c r="H5953" s="15" t="s">
        <v>1613</v>
      </c>
      <c r="I5953" s="15" t="s">
        <v>1560</v>
      </c>
      <c r="J5953" s="15" t="s">
        <v>22870</v>
      </c>
      <c r="K5953" s="15">
        <v>2.0</v>
      </c>
      <c r="L5953" s="15">
        <v>2.0</v>
      </c>
      <c r="M5953" s="41">
        <v>42714.0</v>
      </c>
      <c r="N5953" s="40">
        <v>42738.0</v>
      </c>
      <c r="O5953" s="15" t="s">
        <v>1554</v>
      </c>
      <c r="Q5953" s="7"/>
    </row>
    <row r="5954">
      <c r="A5954" s="39" t="s">
        <v>22871</v>
      </c>
      <c r="B5954" s="15">
        <v>1923214.0</v>
      </c>
      <c r="C5954" s="15" t="s">
        <v>22872</v>
      </c>
      <c r="D5954" s="15">
        <v>358969.0</v>
      </c>
      <c r="E5954" s="15" t="s">
        <v>1664</v>
      </c>
      <c r="F5954" s="15" t="s">
        <v>1664</v>
      </c>
      <c r="G5954" s="7">
        <v>3.164</v>
      </c>
      <c r="H5954" s="15" t="s">
        <v>1772</v>
      </c>
      <c r="I5954" s="15" t="s">
        <v>1560</v>
      </c>
      <c r="J5954" s="15" t="s">
        <v>22873</v>
      </c>
      <c r="K5954" s="15">
        <v>2.0</v>
      </c>
      <c r="L5954" s="15">
        <v>2.0</v>
      </c>
      <c r="M5954" s="41">
        <v>42714.0</v>
      </c>
      <c r="N5954" s="40">
        <v>42738.0</v>
      </c>
      <c r="O5954" s="15" t="s">
        <v>1554</v>
      </c>
      <c r="Q5954" s="7"/>
    </row>
    <row r="5955">
      <c r="A5955" s="39" t="s">
        <v>22874</v>
      </c>
      <c r="B5955" s="15">
        <v>1923210.0</v>
      </c>
      <c r="C5955" s="15" t="s">
        <v>22875</v>
      </c>
      <c r="D5955" s="15">
        <v>358973.0</v>
      </c>
      <c r="E5955" s="15" t="s">
        <v>1664</v>
      </c>
      <c r="F5955" s="15" t="s">
        <v>1664</v>
      </c>
      <c r="G5955" s="7">
        <v>2.223</v>
      </c>
      <c r="H5955" s="15" t="s">
        <v>5483</v>
      </c>
      <c r="I5955" s="15" t="s">
        <v>1560</v>
      </c>
      <c r="J5955" s="15" t="s">
        <v>22876</v>
      </c>
      <c r="K5955" s="15">
        <v>2.0</v>
      </c>
      <c r="L5955" s="15">
        <v>2.0</v>
      </c>
      <c r="M5955" s="41">
        <v>42714.0</v>
      </c>
      <c r="N5955" s="40">
        <v>42738.0</v>
      </c>
      <c r="O5955" s="15" t="s">
        <v>1554</v>
      </c>
      <c r="Q5955" s="7"/>
    </row>
    <row r="5956">
      <c r="A5956" s="39" t="s">
        <v>22878</v>
      </c>
      <c r="B5956" s="15">
        <v>1923205.0</v>
      </c>
      <c r="C5956" s="15" t="s">
        <v>22879</v>
      </c>
      <c r="D5956" s="15">
        <v>358977.0</v>
      </c>
      <c r="E5956" s="15" t="s">
        <v>1664</v>
      </c>
      <c r="F5956" s="15" t="s">
        <v>1664</v>
      </c>
      <c r="G5956" s="7">
        <v>4.288</v>
      </c>
      <c r="H5956" s="15" t="s">
        <v>2284</v>
      </c>
      <c r="I5956" s="15" t="s">
        <v>1560</v>
      </c>
      <c r="J5956" s="15" t="s">
        <v>22880</v>
      </c>
      <c r="K5956" s="15">
        <v>3.0</v>
      </c>
      <c r="L5956" s="15">
        <v>3.0</v>
      </c>
      <c r="M5956" s="41">
        <v>42714.0</v>
      </c>
      <c r="N5956" s="40">
        <v>42738.0</v>
      </c>
      <c r="O5956" s="15" t="s">
        <v>1554</v>
      </c>
      <c r="Q5956" s="7"/>
    </row>
    <row r="5957">
      <c r="A5957" s="39" t="s">
        <v>22881</v>
      </c>
      <c r="B5957" s="15">
        <v>1922768.0</v>
      </c>
      <c r="C5957" s="15" t="s">
        <v>22882</v>
      </c>
      <c r="D5957" s="15">
        <v>358981.0</v>
      </c>
      <c r="E5957" s="15" t="s">
        <v>1664</v>
      </c>
      <c r="F5957" s="15" t="s">
        <v>1664</v>
      </c>
      <c r="G5957" s="7">
        <v>9.512</v>
      </c>
      <c r="H5957" s="15" t="s">
        <v>4553</v>
      </c>
      <c r="I5957" s="15" t="s">
        <v>1560</v>
      </c>
      <c r="J5957" s="15" t="s">
        <v>22883</v>
      </c>
      <c r="K5957" s="15">
        <v>1.0</v>
      </c>
      <c r="L5957" s="15">
        <v>1.0</v>
      </c>
      <c r="M5957" s="41">
        <v>42714.0</v>
      </c>
      <c r="N5957" s="41">
        <v>42731.0</v>
      </c>
      <c r="O5957" s="15" t="s">
        <v>1554</v>
      </c>
      <c r="Q5957" s="7"/>
    </row>
    <row r="5958">
      <c r="A5958" s="39" t="s">
        <v>22884</v>
      </c>
      <c r="B5958" s="15">
        <v>1922688.0</v>
      </c>
      <c r="C5958" s="15" t="s">
        <v>22885</v>
      </c>
      <c r="D5958" s="15">
        <v>358985.0</v>
      </c>
      <c r="E5958" s="15" t="s">
        <v>1664</v>
      </c>
      <c r="F5958" s="15" t="s">
        <v>1664</v>
      </c>
      <c r="G5958" s="7">
        <v>3.458</v>
      </c>
      <c r="H5958" s="15" t="s">
        <v>1844</v>
      </c>
      <c r="I5958" s="15" t="s">
        <v>1560</v>
      </c>
      <c r="J5958" s="15" t="s">
        <v>22887</v>
      </c>
      <c r="K5958" s="15">
        <v>2.0</v>
      </c>
      <c r="L5958" s="15">
        <v>2.0</v>
      </c>
      <c r="M5958" s="41">
        <v>42714.0</v>
      </c>
      <c r="N5958" s="40">
        <v>42738.0</v>
      </c>
      <c r="O5958" s="15" t="s">
        <v>1554</v>
      </c>
      <c r="Q5958" s="7"/>
    </row>
    <row r="5959">
      <c r="A5959" s="39" t="s">
        <v>22888</v>
      </c>
      <c r="B5959" s="15">
        <v>1922598.0</v>
      </c>
      <c r="C5959" s="15" t="s">
        <v>22889</v>
      </c>
      <c r="D5959" s="15">
        <v>358993.0</v>
      </c>
      <c r="E5959" s="15" t="s">
        <v>1664</v>
      </c>
      <c r="F5959" s="15" t="s">
        <v>1664</v>
      </c>
      <c r="G5959" s="7">
        <v>9.949</v>
      </c>
      <c r="H5959" s="15" t="s">
        <v>3255</v>
      </c>
      <c r="I5959" s="15" t="s">
        <v>1560</v>
      </c>
      <c r="J5959" s="15" t="s">
        <v>22890</v>
      </c>
      <c r="K5959" s="15">
        <v>2.0</v>
      </c>
      <c r="L5959" s="15">
        <v>2.0</v>
      </c>
      <c r="M5959" s="41">
        <v>42714.0</v>
      </c>
      <c r="N5959" s="41">
        <v>42731.0</v>
      </c>
      <c r="O5959" s="15" t="s">
        <v>1554</v>
      </c>
      <c r="Q5959" s="7"/>
    </row>
    <row r="5960">
      <c r="A5960" s="39" t="s">
        <v>22891</v>
      </c>
      <c r="B5960" s="15">
        <v>1922531.0</v>
      </c>
      <c r="C5960" s="15" t="s">
        <v>22892</v>
      </c>
      <c r="D5960" s="15">
        <v>358997.0</v>
      </c>
      <c r="E5960" s="15" t="s">
        <v>1664</v>
      </c>
      <c r="F5960" s="15" t="s">
        <v>1664</v>
      </c>
      <c r="G5960" s="7">
        <v>6.313</v>
      </c>
      <c r="H5960" s="15" t="s">
        <v>4149</v>
      </c>
      <c r="I5960" s="15" t="s">
        <v>1560</v>
      </c>
      <c r="J5960" s="15" t="s">
        <v>22893</v>
      </c>
      <c r="K5960" s="15">
        <v>1.0</v>
      </c>
      <c r="L5960" s="15">
        <v>1.0</v>
      </c>
      <c r="M5960" s="41">
        <v>42714.0</v>
      </c>
      <c r="N5960" s="41">
        <v>42731.0</v>
      </c>
      <c r="O5960" s="15" t="s">
        <v>1554</v>
      </c>
      <c r="Q5960" s="7"/>
    </row>
    <row r="5961">
      <c r="A5961" s="39" t="s">
        <v>22895</v>
      </c>
      <c r="B5961" s="15">
        <v>1922594.0</v>
      </c>
      <c r="C5961" s="15" t="s">
        <v>22896</v>
      </c>
      <c r="D5961" s="15">
        <v>358206.0</v>
      </c>
      <c r="E5961" s="15" t="s">
        <v>1664</v>
      </c>
      <c r="F5961" s="15" t="s">
        <v>1664</v>
      </c>
      <c r="G5961" s="7">
        <v>9.888</v>
      </c>
      <c r="H5961" s="15" t="s">
        <v>2552</v>
      </c>
      <c r="I5961" s="15" t="s">
        <v>1560</v>
      </c>
      <c r="J5961" s="15" t="s">
        <v>22897</v>
      </c>
      <c r="K5961" s="15">
        <v>2.0</v>
      </c>
      <c r="L5961" s="15">
        <v>2.0</v>
      </c>
      <c r="M5961" s="41">
        <v>42714.0</v>
      </c>
      <c r="N5961" s="41">
        <v>42731.0</v>
      </c>
      <c r="O5961" s="15" t="s">
        <v>1554</v>
      </c>
      <c r="Q5961" s="7"/>
    </row>
    <row r="5962">
      <c r="A5962" s="39" t="s">
        <v>22898</v>
      </c>
      <c r="B5962" s="15">
        <v>1922471.0</v>
      </c>
      <c r="C5962" s="15" t="s">
        <v>22899</v>
      </c>
      <c r="D5962" s="15">
        <v>358596.0</v>
      </c>
      <c r="E5962" s="15" t="s">
        <v>1664</v>
      </c>
      <c r="F5962" s="15" t="s">
        <v>1664</v>
      </c>
      <c r="G5962" s="7">
        <v>3.22</v>
      </c>
      <c r="H5962" s="15" t="s">
        <v>1640</v>
      </c>
      <c r="I5962" s="15" t="s">
        <v>1560</v>
      </c>
      <c r="J5962" s="15" t="s">
        <v>22900</v>
      </c>
      <c r="K5962" s="15">
        <v>1.0</v>
      </c>
      <c r="L5962" s="15">
        <v>1.0</v>
      </c>
      <c r="M5962" s="41">
        <v>42714.0</v>
      </c>
      <c r="N5962" s="40">
        <v>42738.0</v>
      </c>
      <c r="O5962" s="15" t="s">
        <v>1554</v>
      </c>
      <c r="Q5962" s="7"/>
    </row>
    <row r="5963">
      <c r="A5963" s="39" t="s">
        <v>22901</v>
      </c>
      <c r="B5963" s="15">
        <v>1923197.0</v>
      </c>
      <c r="C5963" s="15" t="s">
        <v>22902</v>
      </c>
      <c r="D5963" s="15">
        <v>358912.0</v>
      </c>
      <c r="E5963" s="15" t="s">
        <v>1664</v>
      </c>
      <c r="F5963" s="15" t="s">
        <v>1664</v>
      </c>
      <c r="G5963" s="7">
        <v>2.543</v>
      </c>
      <c r="H5963" s="15" t="s">
        <v>7408</v>
      </c>
      <c r="I5963" s="15" t="s">
        <v>1560</v>
      </c>
      <c r="J5963" s="15" t="s">
        <v>22904</v>
      </c>
      <c r="K5963" s="15">
        <v>2.0</v>
      </c>
      <c r="L5963" s="15">
        <v>2.0</v>
      </c>
      <c r="M5963" s="41">
        <v>42714.0</v>
      </c>
      <c r="N5963" s="40">
        <v>42738.0</v>
      </c>
      <c r="O5963" s="15" t="s">
        <v>1554</v>
      </c>
      <c r="Q5963" s="7"/>
    </row>
    <row r="5964">
      <c r="A5964" s="39" t="s">
        <v>22905</v>
      </c>
      <c r="B5964" s="15">
        <v>1923169.0</v>
      </c>
      <c r="C5964" s="15" t="s">
        <v>22906</v>
      </c>
      <c r="D5964" s="15">
        <v>358916.0</v>
      </c>
      <c r="E5964" s="15" t="s">
        <v>1664</v>
      </c>
      <c r="F5964" s="15" t="s">
        <v>1664</v>
      </c>
      <c r="G5964" s="7">
        <v>4.213</v>
      </c>
      <c r="H5964" s="15" t="s">
        <v>2361</v>
      </c>
      <c r="I5964" s="15" t="s">
        <v>1560</v>
      </c>
      <c r="J5964" s="15" t="s">
        <v>22907</v>
      </c>
      <c r="K5964" s="15">
        <v>3.0</v>
      </c>
      <c r="L5964" s="15">
        <v>3.0</v>
      </c>
      <c r="M5964" s="41">
        <v>42714.0</v>
      </c>
      <c r="N5964" s="40">
        <v>42738.0</v>
      </c>
      <c r="O5964" s="15" t="s">
        <v>1554</v>
      </c>
      <c r="Q5964" s="7"/>
    </row>
    <row r="5965">
      <c r="A5965" s="39" t="s">
        <v>22908</v>
      </c>
      <c r="B5965" s="15">
        <v>1923104.0</v>
      </c>
      <c r="C5965" s="15" t="s">
        <v>22909</v>
      </c>
      <c r="D5965" s="15">
        <v>358920.0</v>
      </c>
      <c r="E5965" s="15" t="s">
        <v>1664</v>
      </c>
      <c r="F5965" s="15" t="s">
        <v>1664</v>
      </c>
      <c r="G5965" s="7">
        <v>8.358</v>
      </c>
      <c r="H5965" s="15" t="s">
        <v>2396</v>
      </c>
      <c r="I5965" s="15" t="s">
        <v>1560</v>
      </c>
      <c r="J5965" s="15" t="s">
        <v>22910</v>
      </c>
      <c r="K5965" s="15">
        <v>2.0</v>
      </c>
      <c r="L5965" s="15">
        <v>2.0</v>
      </c>
      <c r="M5965" s="41">
        <v>42714.0</v>
      </c>
      <c r="N5965" s="41">
        <v>42731.0</v>
      </c>
      <c r="O5965" s="15" t="s">
        <v>1554</v>
      </c>
      <c r="Q5965" s="7"/>
    </row>
    <row r="5966">
      <c r="A5966" s="39" t="s">
        <v>22912</v>
      </c>
      <c r="B5966" s="15">
        <v>1922936.0</v>
      </c>
      <c r="C5966" s="15" t="s">
        <v>22913</v>
      </c>
      <c r="D5966" s="15">
        <v>358924.0</v>
      </c>
      <c r="E5966" s="15" t="s">
        <v>1664</v>
      </c>
      <c r="F5966" s="15" t="s">
        <v>1664</v>
      </c>
      <c r="G5966" s="7">
        <v>16.196</v>
      </c>
      <c r="H5966" s="15" t="s">
        <v>1607</v>
      </c>
      <c r="I5966" s="15" t="s">
        <v>1560</v>
      </c>
      <c r="J5966" s="15" t="s">
        <v>22914</v>
      </c>
      <c r="K5966" s="15">
        <v>6.0</v>
      </c>
      <c r="L5966" s="15">
        <v>6.0</v>
      </c>
      <c r="M5966" s="41">
        <v>42714.0</v>
      </c>
      <c r="N5966" s="40">
        <v>42738.0</v>
      </c>
      <c r="O5966" s="15" t="s">
        <v>1554</v>
      </c>
      <c r="Q5966" s="7"/>
    </row>
    <row r="5967">
      <c r="A5967" s="39" t="s">
        <v>22915</v>
      </c>
      <c r="B5967" s="15">
        <v>1922930.0</v>
      </c>
      <c r="C5967" s="15" t="s">
        <v>22916</v>
      </c>
      <c r="D5967" s="15">
        <v>358928.0</v>
      </c>
      <c r="E5967" s="15" t="s">
        <v>1664</v>
      </c>
      <c r="F5967" s="15" t="s">
        <v>1664</v>
      </c>
      <c r="G5967" s="7">
        <v>10.283</v>
      </c>
      <c r="H5967" s="15" t="s">
        <v>8397</v>
      </c>
      <c r="I5967" s="15" t="s">
        <v>1560</v>
      </c>
      <c r="J5967" s="15" t="s">
        <v>22917</v>
      </c>
      <c r="K5967" s="15">
        <v>1.0</v>
      </c>
      <c r="L5967" s="15">
        <v>1.0</v>
      </c>
      <c r="M5967" s="41">
        <v>42714.0</v>
      </c>
      <c r="N5967" s="41">
        <v>42731.0</v>
      </c>
      <c r="O5967" s="15" t="s">
        <v>1554</v>
      </c>
      <c r="Q5967" s="7"/>
    </row>
    <row r="5968">
      <c r="A5968" s="39" t="s">
        <v>22918</v>
      </c>
      <c r="B5968" s="15">
        <v>1922837.0</v>
      </c>
      <c r="C5968" s="15" t="s">
        <v>22919</v>
      </c>
      <c r="D5968" s="15">
        <v>358936.0</v>
      </c>
      <c r="E5968" s="15" t="s">
        <v>1664</v>
      </c>
      <c r="F5968" s="15" t="s">
        <v>1664</v>
      </c>
      <c r="G5968" s="7">
        <v>6.784</v>
      </c>
      <c r="H5968" s="15" t="s">
        <v>2365</v>
      </c>
      <c r="I5968" s="15" t="s">
        <v>1560</v>
      </c>
      <c r="J5968" s="15" t="s">
        <v>22920</v>
      </c>
      <c r="K5968" s="15">
        <v>4.0</v>
      </c>
      <c r="L5968" s="15">
        <v>4.0</v>
      </c>
      <c r="M5968" s="41">
        <v>42714.0</v>
      </c>
      <c r="N5968" s="41">
        <v>42731.0</v>
      </c>
      <c r="O5968" s="15" t="s">
        <v>1554</v>
      </c>
      <c r="Q5968" s="7"/>
    </row>
    <row r="5969">
      <c r="A5969" s="39" t="s">
        <v>22922</v>
      </c>
      <c r="B5969" s="15">
        <v>1922900.0</v>
      </c>
      <c r="C5969" s="15" t="s">
        <v>22923</v>
      </c>
      <c r="D5969" s="15">
        <v>358932.0</v>
      </c>
      <c r="E5969" s="15" t="s">
        <v>1664</v>
      </c>
      <c r="F5969" s="15" t="s">
        <v>1664</v>
      </c>
      <c r="G5969" s="7">
        <v>9.073</v>
      </c>
      <c r="H5969" s="15" t="s">
        <v>2163</v>
      </c>
      <c r="I5969" s="15" t="s">
        <v>1560</v>
      </c>
      <c r="J5969" s="15" t="s">
        <v>22924</v>
      </c>
      <c r="K5969" s="15">
        <v>2.0</v>
      </c>
      <c r="L5969" s="15">
        <v>2.0</v>
      </c>
      <c r="M5969" s="41">
        <v>42714.0</v>
      </c>
      <c r="N5969" s="41">
        <v>42731.0</v>
      </c>
      <c r="O5969" s="15" t="s">
        <v>1554</v>
      </c>
      <c r="Q5969" s="7"/>
    </row>
    <row r="5970">
      <c r="A5970" s="39" t="s">
        <v>22925</v>
      </c>
      <c r="B5970" s="15">
        <v>1927714.0</v>
      </c>
      <c r="C5970" s="15" t="s">
        <v>22926</v>
      </c>
      <c r="D5970" s="15">
        <v>358940.0</v>
      </c>
      <c r="E5970" s="15" t="s">
        <v>1548</v>
      </c>
      <c r="F5970" s="15" t="s">
        <v>1626</v>
      </c>
      <c r="G5970" s="7">
        <v>13.946</v>
      </c>
      <c r="H5970" s="15" t="s">
        <v>22927</v>
      </c>
      <c r="I5970" s="15" t="s">
        <v>1628</v>
      </c>
      <c r="J5970" s="15" t="s">
        <v>22928</v>
      </c>
      <c r="K5970" s="15">
        <v>2.0</v>
      </c>
      <c r="L5970" s="15">
        <v>2.0</v>
      </c>
      <c r="M5970" s="41">
        <v>42724.0</v>
      </c>
      <c r="N5970" s="41">
        <v>42731.0</v>
      </c>
      <c r="O5970" s="15" t="s">
        <v>1554</v>
      </c>
      <c r="Q5970" s="7"/>
    </row>
    <row r="5971">
      <c r="A5971" s="39" t="s">
        <v>22929</v>
      </c>
      <c r="B5971" s="15">
        <v>1923241.0</v>
      </c>
      <c r="C5971" s="15" t="s">
        <v>22930</v>
      </c>
      <c r="D5971" s="15">
        <v>358944.0</v>
      </c>
      <c r="E5971" s="15" t="s">
        <v>1664</v>
      </c>
      <c r="F5971" s="15" t="s">
        <v>1664</v>
      </c>
      <c r="G5971" s="7">
        <v>2.721</v>
      </c>
      <c r="H5971" s="15" t="s">
        <v>3836</v>
      </c>
      <c r="I5971" s="15" t="s">
        <v>1560</v>
      </c>
      <c r="J5971" s="15" t="s">
        <v>22932</v>
      </c>
      <c r="K5971" s="15">
        <v>2.0</v>
      </c>
      <c r="L5971" s="15">
        <v>2.0</v>
      </c>
      <c r="M5971" s="41">
        <v>42714.0</v>
      </c>
      <c r="N5971" s="40">
        <v>42738.0</v>
      </c>
      <c r="O5971" s="15" t="s">
        <v>1554</v>
      </c>
      <c r="Q5971" s="7"/>
    </row>
    <row r="5972">
      <c r="A5972" s="39" t="s">
        <v>22933</v>
      </c>
      <c r="B5972" s="15">
        <v>1923237.0</v>
      </c>
      <c r="C5972" s="15" t="s">
        <v>22934</v>
      </c>
      <c r="D5972" s="15">
        <v>358948.0</v>
      </c>
      <c r="E5972" s="15" t="s">
        <v>1664</v>
      </c>
      <c r="F5972" s="15" t="s">
        <v>1664</v>
      </c>
      <c r="G5972" s="7">
        <v>2.767</v>
      </c>
      <c r="H5972" s="15" t="s">
        <v>3604</v>
      </c>
      <c r="I5972" s="15" t="s">
        <v>1560</v>
      </c>
      <c r="J5972" s="15" t="s">
        <v>22935</v>
      </c>
      <c r="K5972" s="15">
        <v>2.0</v>
      </c>
      <c r="L5972" s="15">
        <v>2.0</v>
      </c>
      <c r="M5972" s="41">
        <v>42714.0</v>
      </c>
      <c r="N5972" s="40">
        <v>42738.0</v>
      </c>
      <c r="O5972" s="15" t="s">
        <v>1554</v>
      </c>
      <c r="Q5972" s="7"/>
    </row>
    <row r="5973">
      <c r="A5973" s="39" t="s">
        <v>22936</v>
      </c>
      <c r="B5973" s="15">
        <v>1923233.0</v>
      </c>
      <c r="C5973" s="15" t="s">
        <v>22937</v>
      </c>
      <c r="D5973" s="15">
        <v>358952.0</v>
      </c>
      <c r="E5973" s="15" t="s">
        <v>1664</v>
      </c>
      <c r="F5973" s="15" t="s">
        <v>1664</v>
      </c>
      <c r="G5973" s="7">
        <v>2.748</v>
      </c>
      <c r="H5973" s="15" t="s">
        <v>2263</v>
      </c>
      <c r="I5973" s="15" t="s">
        <v>1560</v>
      </c>
      <c r="J5973" s="15" t="s">
        <v>22938</v>
      </c>
      <c r="K5973" s="15">
        <v>2.0</v>
      </c>
      <c r="L5973" s="15">
        <v>2.0</v>
      </c>
      <c r="M5973" s="41">
        <v>42714.0</v>
      </c>
      <c r="N5973" s="40">
        <v>42738.0</v>
      </c>
      <c r="O5973" s="15" t="s">
        <v>1554</v>
      </c>
      <c r="Q5973" s="7"/>
    </row>
    <row r="5974">
      <c r="A5974" s="39" t="s">
        <v>22939</v>
      </c>
      <c r="B5974" s="15">
        <v>1923229.0</v>
      </c>
      <c r="C5974" s="15" t="s">
        <v>22940</v>
      </c>
      <c r="D5974" s="15">
        <v>358956.0</v>
      </c>
      <c r="E5974" s="15" t="s">
        <v>1664</v>
      </c>
      <c r="F5974" s="15" t="s">
        <v>1664</v>
      </c>
      <c r="G5974" s="7">
        <v>2.787</v>
      </c>
      <c r="H5974" s="15" t="s">
        <v>1772</v>
      </c>
      <c r="I5974" s="15" t="s">
        <v>1560</v>
      </c>
      <c r="J5974" s="15" t="s">
        <v>22942</v>
      </c>
      <c r="K5974" s="15">
        <v>2.0</v>
      </c>
      <c r="L5974" s="15">
        <v>2.0</v>
      </c>
      <c r="M5974" s="41">
        <v>42714.0</v>
      </c>
      <c r="N5974" s="40">
        <v>42738.0</v>
      </c>
      <c r="O5974" s="15" t="s">
        <v>1554</v>
      </c>
      <c r="Q5974" s="7"/>
    </row>
    <row r="5975">
      <c r="A5975" s="39" t="s">
        <v>22943</v>
      </c>
      <c r="B5975" s="15">
        <v>1923223.0</v>
      </c>
      <c r="C5975" s="15" t="s">
        <v>22944</v>
      </c>
      <c r="D5975" s="15">
        <v>358960.0</v>
      </c>
      <c r="E5975" s="15" t="s">
        <v>1664</v>
      </c>
      <c r="F5975" s="15" t="s">
        <v>1664</v>
      </c>
      <c r="G5975" s="7">
        <v>2.841</v>
      </c>
      <c r="H5975" s="15" t="s">
        <v>2223</v>
      </c>
      <c r="I5975" s="15" t="s">
        <v>1560</v>
      </c>
      <c r="J5975" s="15" t="s">
        <v>22945</v>
      </c>
      <c r="K5975" s="15">
        <v>2.0</v>
      </c>
      <c r="L5975" s="15">
        <v>2.0</v>
      </c>
      <c r="M5975" s="41">
        <v>42714.0</v>
      </c>
      <c r="N5975" s="40">
        <v>42738.0</v>
      </c>
      <c r="O5975" s="15" t="s">
        <v>1554</v>
      </c>
      <c r="Q5975" s="7"/>
    </row>
    <row r="5976">
      <c r="A5976" s="39" t="s">
        <v>22946</v>
      </c>
      <c r="B5976" s="15">
        <v>1923219.0</v>
      </c>
      <c r="C5976" s="15" t="s">
        <v>22947</v>
      </c>
      <c r="D5976" s="15">
        <v>358964.0</v>
      </c>
      <c r="E5976" s="15" t="s">
        <v>1664</v>
      </c>
      <c r="F5976" s="15" t="s">
        <v>1664</v>
      </c>
      <c r="G5976" s="7">
        <v>3.325</v>
      </c>
      <c r="H5976" s="15" t="s">
        <v>3407</v>
      </c>
      <c r="I5976" s="15" t="s">
        <v>1560</v>
      </c>
      <c r="J5976" s="15" t="s">
        <v>22948</v>
      </c>
      <c r="K5976" s="15">
        <v>2.0</v>
      </c>
      <c r="L5976" s="15">
        <v>2.0</v>
      </c>
      <c r="M5976" s="41">
        <v>42714.0</v>
      </c>
      <c r="N5976" s="40">
        <v>42738.0</v>
      </c>
      <c r="O5976" s="15" t="s">
        <v>1554</v>
      </c>
      <c r="Q5976" s="7"/>
    </row>
    <row r="5977">
      <c r="A5977" s="39" t="s">
        <v>22949</v>
      </c>
      <c r="B5977" s="15">
        <v>1923215.0</v>
      </c>
      <c r="C5977" s="15" t="s">
        <v>22950</v>
      </c>
      <c r="D5977" s="15">
        <v>358968.0</v>
      </c>
      <c r="E5977" s="15" t="s">
        <v>1664</v>
      </c>
      <c r="F5977" s="15" t="s">
        <v>1664</v>
      </c>
      <c r="G5977" s="7">
        <v>3.237</v>
      </c>
      <c r="H5977" s="15" t="s">
        <v>5382</v>
      </c>
      <c r="I5977" s="15" t="s">
        <v>1560</v>
      </c>
      <c r="J5977" s="15" t="s">
        <v>22952</v>
      </c>
      <c r="K5977" s="15">
        <v>2.0</v>
      </c>
      <c r="L5977" s="15">
        <v>2.0</v>
      </c>
      <c r="M5977" s="41">
        <v>42714.0</v>
      </c>
      <c r="N5977" s="40">
        <v>42738.0</v>
      </c>
      <c r="O5977" s="15" t="s">
        <v>1554</v>
      </c>
      <c r="Q5977" s="7"/>
    </row>
    <row r="5978">
      <c r="A5978" s="39" t="s">
        <v>22953</v>
      </c>
      <c r="B5978" s="15">
        <v>1923211.0</v>
      </c>
      <c r="C5978" s="15" t="s">
        <v>22954</v>
      </c>
      <c r="D5978" s="15">
        <v>358972.0</v>
      </c>
      <c r="E5978" s="15" t="s">
        <v>1664</v>
      </c>
      <c r="F5978" s="15" t="s">
        <v>1664</v>
      </c>
      <c r="G5978" s="7">
        <v>3.284</v>
      </c>
      <c r="H5978" s="15" t="s">
        <v>4606</v>
      </c>
      <c r="I5978" s="15" t="s">
        <v>1560</v>
      </c>
      <c r="J5978" s="15" t="s">
        <v>22955</v>
      </c>
      <c r="K5978" s="15">
        <v>2.0</v>
      </c>
      <c r="L5978" s="15">
        <v>2.0</v>
      </c>
      <c r="M5978" s="41">
        <v>42714.0</v>
      </c>
      <c r="N5978" s="40">
        <v>42738.0</v>
      </c>
      <c r="O5978" s="15" t="s">
        <v>1554</v>
      </c>
      <c r="Q5978" s="7"/>
    </row>
    <row r="5979">
      <c r="A5979" s="39" t="s">
        <v>22956</v>
      </c>
      <c r="B5979" s="15">
        <v>1923206.0</v>
      </c>
      <c r="C5979" s="15" t="s">
        <v>22957</v>
      </c>
      <c r="D5979" s="15">
        <v>358976.0</v>
      </c>
      <c r="E5979" s="15" t="s">
        <v>1664</v>
      </c>
      <c r="F5979" s="15" t="s">
        <v>1664</v>
      </c>
      <c r="G5979" s="7">
        <v>3.152</v>
      </c>
      <c r="H5979" s="15" t="s">
        <v>3604</v>
      </c>
      <c r="I5979" s="15" t="s">
        <v>1560</v>
      </c>
      <c r="J5979" s="15" t="s">
        <v>22958</v>
      </c>
      <c r="K5979" s="15">
        <v>2.0</v>
      </c>
      <c r="L5979" s="15">
        <v>2.0</v>
      </c>
      <c r="M5979" s="41">
        <v>42714.0</v>
      </c>
      <c r="N5979" s="40">
        <v>42738.0</v>
      </c>
      <c r="O5979" s="15" t="s">
        <v>1554</v>
      </c>
      <c r="Q5979" s="7"/>
    </row>
    <row r="5980">
      <c r="A5980" s="39" t="s">
        <v>22959</v>
      </c>
      <c r="B5980" s="15">
        <v>1923201.0</v>
      </c>
      <c r="C5980" s="15" t="s">
        <v>22960</v>
      </c>
      <c r="D5980" s="15">
        <v>358980.0</v>
      </c>
      <c r="E5980" s="15" t="s">
        <v>1664</v>
      </c>
      <c r="F5980" s="15" t="s">
        <v>1664</v>
      </c>
      <c r="G5980" s="7">
        <v>3.113</v>
      </c>
      <c r="H5980" s="15" t="s">
        <v>2836</v>
      </c>
      <c r="I5980" s="15" t="s">
        <v>1560</v>
      </c>
      <c r="J5980" s="15" t="s">
        <v>22962</v>
      </c>
      <c r="K5980" s="15">
        <v>2.0</v>
      </c>
      <c r="L5980" s="15">
        <v>2.0</v>
      </c>
      <c r="M5980" s="41">
        <v>42714.0</v>
      </c>
      <c r="N5980" s="40">
        <v>42738.0</v>
      </c>
      <c r="O5980" s="15" t="s">
        <v>1554</v>
      </c>
      <c r="Q5980" s="7"/>
    </row>
    <row r="5981">
      <c r="A5981" s="39" t="s">
        <v>22963</v>
      </c>
      <c r="B5981" s="15">
        <v>1922696.0</v>
      </c>
      <c r="C5981" s="15" t="s">
        <v>22964</v>
      </c>
      <c r="D5981" s="15">
        <v>358984.0</v>
      </c>
      <c r="E5981" s="15" t="s">
        <v>1664</v>
      </c>
      <c r="F5981" s="15" t="s">
        <v>1664</v>
      </c>
      <c r="G5981" s="7">
        <v>3.023</v>
      </c>
      <c r="H5981" s="15" t="s">
        <v>2279</v>
      </c>
      <c r="I5981" s="15" t="s">
        <v>1560</v>
      </c>
      <c r="J5981" s="15" t="s">
        <v>22965</v>
      </c>
      <c r="K5981" s="15">
        <v>2.0</v>
      </c>
      <c r="L5981" s="15">
        <v>2.0</v>
      </c>
      <c r="M5981" s="41">
        <v>42714.0</v>
      </c>
      <c r="N5981" s="40">
        <v>42738.0</v>
      </c>
      <c r="O5981" s="15" t="s">
        <v>1554</v>
      </c>
      <c r="Q5981" s="7"/>
    </row>
    <row r="5982">
      <c r="A5982" s="39" t="s">
        <v>22966</v>
      </c>
      <c r="B5982" s="15">
        <v>1922608.0</v>
      </c>
      <c r="C5982" s="15" t="s">
        <v>22967</v>
      </c>
      <c r="D5982" s="15">
        <v>358992.0</v>
      </c>
      <c r="E5982" s="15" t="s">
        <v>1664</v>
      </c>
      <c r="F5982" s="15" t="s">
        <v>1664</v>
      </c>
      <c r="G5982" s="7">
        <v>8.507</v>
      </c>
      <c r="H5982" s="15" t="s">
        <v>1700</v>
      </c>
      <c r="I5982" s="15" t="s">
        <v>1560</v>
      </c>
      <c r="J5982" s="15" t="s">
        <v>22968</v>
      </c>
      <c r="K5982" s="15">
        <v>1.0</v>
      </c>
      <c r="L5982" s="15">
        <v>1.0</v>
      </c>
      <c r="M5982" s="41">
        <v>42714.0</v>
      </c>
      <c r="N5982" s="41">
        <v>42731.0</v>
      </c>
      <c r="O5982" s="15" t="s">
        <v>1554</v>
      </c>
      <c r="Q5982" s="7"/>
    </row>
    <row r="5983">
      <c r="A5983" s="39" t="s">
        <v>22969</v>
      </c>
      <c r="B5983" s="15">
        <v>1922557.0</v>
      </c>
      <c r="C5983" s="15" t="s">
        <v>22970</v>
      </c>
      <c r="D5983" s="15">
        <v>358996.0</v>
      </c>
      <c r="E5983" s="15" t="s">
        <v>1664</v>
      </c>
      <c r="F5983" s="15" t="s">
        <v>1664</v>
      </c>
      <c r="G5983" s="7">
        <v>43413.0</v>
      </c>
      <c r="H5983" s="15" t="s">
        <v>1943</v>
      </c>
      <c r="I5983" s="15" t="s">
        <v>1560</v>
      </c>
      <c r="J5983" s="15" t="s">
        <v>22972</v>
      </c>
      <c r="K5983" s="15">
        <v>2.0</v>
      </c>
      <c r="L5983" s="15">
        <v>2.0</v>
      </c>
      <c r="M5983" s="41">
        <v>42714.0</v>
      </c>
      <c r="N5983" s="41">
        <v>42731.0</v>
      </c>
      <c r="O5983" s="15" t="s">
        <v>1554</v>
      </c>
      <c r="Q5983" s="7"/>
    </row>
    <row r="5984">
      <c r="A5984" s="39" t="s">
        <v>22973</v>
      </c>
      <c r="B5984" s="15">
        <v>1923198.0</v>
      </c>
      <c r="C5984" s="15" t="s">
        <v>22974</v>
      </c>
      <c r="D5984" s="15">
        <v>358911.0</v>
      </c>
      <c r="E5984" s="15" t="s">
        <v>1664</v>
      </c>
      <c r="F5984" s="15" t="s">
        <v>1664</v>
      </c>
      <c r="G5984" s="7">
        <v>2.75</v>
      </c>
      <c r="H5984" s="15" t="s">
        <v>1792</v>
      </c>
      <c r="I5984" s="15" t="s">
        <v>1560</v>
      </c>
      <c r="J5984" s="15" t="s">
        <v>22975</v>
      </c>
      <c r="K5984" s="15">
        <v>3.0</v>
      </c>
      <c r="L5984" s="15">
        <v>3.0</v>
      </c>
      <c r="M5984" s="41">
        <v>42714.0</v>
      </c>
      <c r="N5984" s="40">
        <v>42738.0</v>
      </c>
      <c r="O5984" s="15" t="s">
        <v>1554</v>
      </c>
      <c r="Q5984" s="7"/>
    </row>
    <row r="5985">
      <c r="A5985" s="39" t="s">
        <v>22976</v>
      </c>
      <c r="B5985" s="15">
        <v>1923194.0</v>
      </c>
      <c r="C5985" s="15" t="s">
        <v>22977</v>
      </c>
      <c r="D5985" s="15">
        <v>358915.0</v>
      </c>
      <c r="E5985" s="15" t="s">
        <v>1664</v>
      </c>
      <c r="F5985" s="15" t="s">
        <v>1664</v>
      </c>
      <c r="G5985" s="7">
        <v>3.936</v>
      </c>
      <c r="H5985" s="15" t="s">
        <v>4902</v>
      </c>
      <c r="I5985" s="15" t="s">
        <v>1560</v>
      </c>
      <c r="J5985" s="15" t="s">
        <v>22978</v>
      </c>
      <c r="K5985" s="15">
        <v>3.0</v>
      </c>
      <c r="L5985" s="15">
        <v>3.0</v>
      </c>
      <c r="M5985" s="41">
        <v>42714.0</v>
      </c>
      <c r="N5985" s="40">
        <v>42738.0</v>
      </c>
      <c r="O5985" s="15" t="s">
        <v>1554</v>
      </c>
      <c r="Q5985" s="7"/>
    </row>
    <row r="5986">
      <c r="A5986" s="39" t="s">
        <v>22979</v>
      </c>
      <c r="B5986" s="15">
        <v>1923111.0</v>
      </c>
      <c r="C5986" s="15" t="s">
        <v>22980</v>
      </c>
      <c r="D5986" s="15">
        <v>358919.0</v>
      </c>
      <c r="E5986" s="15" t="s">
        <v>1664</v>
      </c>
      <c r="F5986" s="15" t="s">
        <v>1664</v>
      </c>
      <c r="G5986" s="7">
        <v>8.584</v>
      </c>
      <c r="H5986" s="15" t="s">
        <v>3568</v>
      </c>
      <c r="I5986" s="15" t="s">
        <v>1560</v>
      </c>
      <c r="J5986" s="15" t="s">
        <v>22982</v>
      </c>
      <c r="K5986" s="15">
        <v>1.0</v>
      </c>
      <c r="L5986" s="15">
        <v>1.0</v>
      </c>
      <c r="M5986" s="41">
        <v>42714.0</v>
      </c>
      <c r="N5986" s="41">
        <v>42731.0</v>
      </c>
      <c r="O5986" s="15" t="s">
        <v>1554</v>
      </c>
      <c r="Q5986" s="7"/>
    </row>
    <row r="5987">
      <c r="A5987" s="39" t="s">
        <v>22983</v>
      </c>
      <c r="B5987" s="15">
        <v>1922937.0</v>
      </c>
      <c r="C5987" s="15" t="s">
        <v>22984</v>
      </c>
      <c r="D5987" s="15">
        <v>358923.0</v>
      </c>
      <c r="E5987" s="15" t="s">
        <v>1664</v>
      </c>
      <c r="F5987" s="15" t="s">
        <v>1664</v>
      </c>
      <c r="G5987" s="7">
        <v>13.517</v>
      </c>
      <c r="H5987" s="15" t="s">
        <v>1696</v>
      </c>
      <c r="I5987" s="15" t="s">
        <v>1560</v>
      </c>
      <c r="J5987" s="15" t="s">
        <v>22985</v>
      </c>
      <c r="K5987" s="15">
        <v>4.0</v>
      </c>
      <c r="L5987" s="15">
        <v>4.0</v>
      </c>
      <c r="M5987" s="41">
        <v>42714.0</v>
      </c>
      <c r="N5987" s="40">
        <v>42738.0</v>
      </c>
      <c r="O5987" s="15" t="s">
        <v>1554</v>
      </c>
      <c r="Q5987" s="7"/>
    </row>
    <row r="5988">
      <c r="A5988" s="39" t="s">
        <v>22986</v>
      </c>
      <c r="B5988" s="15">
        <v>1922931.0</v>
      </c>
      <c r="C5988" s="15" t="s">
        <v>22987</v>
      </c>
      <c r="D5988" s="15">
        <v>358927.0</v>
      </c>
      <c r="E5988" s="15" t="s">
        <v>1664</v>
      </c>
      <c r="F5988" s="15" t="s">
        <v>1664</v>
      </c>
      <c r="G5988" s="7">
        <v>11.177</v>
      </c>
      <c r="H5988" s="15" t="s">
        <v>2342</v>
      </c>
      <c r="I5988" s="15" t="s">
        <v>1560</v>
      </c>
      <c r="J5988" s="15" t="s">
        <v>22988</v>
      </c>
      <c r="K5988" s="15">
        <v>3.0</v>
      </c>
      <c r="L5988" s="15">
        <v>3.0</v>
      </c>
      <c r="M5988" s="41">
        <v>42714.0</v>
      </c>
      <c r="N5988" s="41">
        <v>42731.0</v>
      </c>
      <c r="O5988" s="15" t="s">
        <v>1554</v>
      </c>
      <c r="Q5988" s="7"/>
    </row>
    <row r="5989">
      <c r="A5989" s="39" t="s">
        <v>22989</v>
      </c>
      <c r="B5989" s="15">
        <v>1922903.0</v>
      </c>
      <c r="C5989" s="15" t="s">
        <v>22990</v>
      </c>
      <c r="D5989" s="15">
        <v>358931.0</v>
      </c>
      <c r="E5989" s="15" t="s">
        <v>1664</v>
      </c>
      <c r="F5989" s="15" t="s">
        <v>1664</v>
      </c>
      <c r="G5989" s="7">
        <v>13.913</v>
      </c>
      <c r="H5989" s="15" t="s">
        <v>22992</v>
      </c>
      <c r="I5989" s="15" t="s">
        <v>1560</v>
      </c>
      <c r="J5989" s="15" t="s">
        <v>22993</v>
      </c>
      <c r="K5989" s="15">
        <v>3.0</v>
      </c>
      <c r="L5989" s="15">
        <v>3.0</v>
      </c>
      <c r="M5989" s="41">
        <v>42714.0</v>
      </c>
      <c r="N5989" s="40">
        <v>42738.0</v>
      </c>
      <c r="O5989" s="15" t="s">
        <v>1554</v>
      </c>
      <c r="Q5989" s="7"/>
    </row>
    <row r="5990">
      <c r="A5990" s="39" t="s">
        <v>22994</v>
      </c>
      <c r="B5990" s="15">
        <v>1922885.0</v>
      </c>
      <c r="C5990" s="15" t="s">
        <v>22995</v>
      </c>
      <c r="D5990" s="15">
        <v>358935.0</v>
      </c>
      <c r="E5990" s="15" t="s">
        <v>1664</v>
      </c>
      <c r="F5990" s="15" t="s">
        <v>1664</v>
      </c>
      <c r="G5990" s="7">
        <v>12.369</v>
      </c>
      <c r="H5990" s="15" t="s">
        <v>22996</v>
      </c>
      <c r="I5990" s="15" t="s">
        <v>1560</v>
      </c>
      <c r="J5990" s="15" t="s">
        <v>22997</v>
      </c>
      <c r="K5990" s="15">
        <v>3.0</v>
      </c>
      <c r="L5990" s="15">
        <v>3.0</v>
      </c>
      <c r="M5990" s="41">
        <v>42714.0</v>
      </c>
      <c r="N5990" s="40">
        <v>42738.0</v>
      </c>
      <c r="O5990" s="15" t="s">
        <v>1554</v>
      </c>
      <c r="Q5990" s="7"/>
    </row>
    <row r="5991">
      <c r="A5991" s="39" t="s">
        <v>22998</v>
      </c>
      <c r="B5991" s="15">
        <v>262175.0</v>
      </c>
      <c r="C5991" s="15" t="s">
        <v>22999</v>
      </c>
      <c r="D5991" s="15">
        <v>358939.0</v>
      </c>
      <c r="E5991" s="15" t="s">
        <v>1557</v>
      </c>
      <c r="F5991" s="15" t="s">
        <v>1992</v>
      </c>
      <c r="G5991" s="7">
        <v>112.536</v>
      </c>
      <c r="H5991" s="15" t="s">
        <v>2392</v>
      </c>
      <c r="I5991" s="15" t="s">
        <v>1560</v>
      </c>
      <c r="J5991" s="15" t="s">
        <v>23001</v>
      </c>
      <c r="K5991" s="15">
        <v>123.0</v>
      </c>
      <c r="L5991" s="15">
        <v>123.0</v>
      </c>
      <c r="M5991" s="41">
        <v>42724.0</v>
      </c>
      <c r="N5991" s="41">
        <v>42731.0</v>
      </c>
      <c r="O5991" s="15" t="s">
        <v>1554</v>
      </c>
      <c r="Q5991" s="7"/>
    </row>
    <row r="5992">
      <c r="A5992" s="39" t="s">
        <v>23002</v>
      </c>
      <c r="B5992" s="15">
        <v>1923242.0</v>
      </c>
      <c r="C5992" s="15" t="s">
        <v>23003</v>
      </c>
      <c r="D5992" s="15">
        <v>358943.0</v>
      </c>
      <c r="E5992" s="15" t="s">
        <v>1664</v>
      </c>
      <c r="F5992" s="15" t="s">
        <v>1664</v>
      </c>
      <c r="G5992" s="7">
        <v>2.782</v>
      </c>
      <c r="H5992" s="15" t="s">
        <v>2178</v>
      </c>
      <c r="I5992" s="15" t="s">
        <v>1560</v>
      </c>
      <c r="J5992" s="15" t="s">
        <v>23004</v>
      </c>
      <c r="K5992" s="15">
        <v>2.0</v>
      </c>
      <c r="L5992" s="15">
        <v>2.0</v>
      </c>
      <c r="M5992" s="41">
        <v>42714.0</v>
      </c>
      <c r="N5992" s="40">
        <v>42738.0</v>
      </c>
      <c r="O5992" s="15" t="s">
        <v>1554</v>
      </c>
      <c r="Q5992" s="7"/>
    </row>
    <row r="5993">
      <c r="A5993" s="39" t="s">
        <v>23005</v>
      </c>
      <c r="B5993" s="15">
        <v>1923238.0</v>
      </c>
      <c r="C5993" s="15" t="s">
        <v>23006</v>
      </c>
      <c r="D5993" s="15">
        <v>358947.0</v>
      </c>
      <c r="E5993" s="15" t="s">
        <v>1664</v>
      </c>
      <c r="F5993" s="15" t="s">
        <v>1664</v>
      </c>
      <c r="G5993" s="7">
        <v>3.25</v>
      </c>
      <c r="H5993" s="15" t="s">
        <v>6070</v>
      </c>
      <c r="I5993" s="15" t="s">
        <v>1560</v>
      </c>
      <c r="J5993" s="15" t="s">
        <v>23007</v>
      </c>
      <c r="K5993" s="15">
        <v>2.0</v>
      </c>
      <c r="L5993" s="15">
        <v>2.0</v>
      </c>
      <c r="M5993" s="41">
        <v>42714.0</v>
      </c>
      <c r="N5993" s="40">
        <v>42738.0</v>
      </c>
      <c r="O5993" s="15" t="s">
        <v>1554</v>
      </c>
      <c r="Q5993" s="7"/>
    </row>
    <row r="5994">
      <c r="A5994" s="39" t="s">
        <v>23009</v>
      </c>
      <c r="B5994" s="15">
        <v>1923234.0</v>
      </c>
      <c r="C5994" s="15" t="s">
        <v>23010</v>
      </c>
      <c r="D5994" s="15">
        <v>358951.0</v>
      </c>
      <c r="E5994" s="15" t="s">
        <v>1664</v>
      </c>
      <c r="F5994" s="15" t="s">
        <v>1664</v>
      </c>
      <c r="G5994" s="7">
        <v>2.642</v>
      </c>
      <c r="H5994" s="15" t="s">
        <v>1983</v>
      </c>
      <c r="I5994" s="15" t="s">
        <v>1560</v>
      </c>
      <c r="J5994" s="15" t="s">
        <v>23011</v>
      </c>
      <c r="K5994" s="15">
        <v>2.0</v>
      </c>
      <c r="L5994" s="15">
        <v>2.0</v>
      </c>
      <c r="M5994" s="41">
        <v>42714.0</v>
      </c>
      <c r="N5994" s="40">
        <v>42738.0</v>
      </c>
      <c r="O5994" s="15" t="s">
        <v>1554</v>
      </c>
      <c r="Q5994" s="7"/>
    </row>
    <row r="5995">
      <c r="A5995" s="39" t="s">
        <v>23012</v>
      </c>
      <c r="B5995" s="15">
        <v>1923230.0</v>
      </c>
      <c r="C5995" s="15" t="s">
        <v>23013</v>
      </c>
      <c r="D5995" s="15">
        <v>358955.0</v>
      </c>
      <c r="E5995" s="15" t="s">
        <v>1664</v>
      </c>
      <c r="F5995" s="15" t="s">
        <v>1664</v>
      </c>
      <c r="G5995" s="7">
        <v>2.791</v>
      </c>
      <c r="H5995" s="15" t="s">
        <v>3066</v>
      </c>
      <c r="I5995" s="15" t="s">
        <v>1560</v>
      </c>
      <c r="J5995" s="15" t="s">
        <v>23014</v>
      </c>
      <c r="K5995" s="15">
        <v>2.0</v>
      </c>
      <c r="L5995" s="15">
        <v>2.0</v>
      </c>
      <c r="M5995" s="41">
        <v>42714.0</v>
      </c>
      <c r="N5995" s="40">
        <v>42738.0</v>
      </c>
      <c r="O5995" s="15" t="s">
        <v>1554</v>
      </c>
      <c r="Q5995" s="7"/>
    </row>
    <row r="5996">
      <c r="A5996" s="39" t="s">
        <v>23015</v>
      </c>
      <c r="B5996" s="15">
        <v>1923224.0</v>
      </c>
      <c r="C5996" s="15" t="s">
        <v>23016</v>
      </c>
      <c r="D5996" s="15">
        <v>358959.0</v>
      </c>
      <c r="E5996" s="15" t="s">
        <v>1664</v>
      </c>
      <c r="F5996" s="15" t="s">
        <v>1664</v>
      </c>
      <c r="G5996" s="7">
        <v>2.585</v>
      </c>
      <c r="H5996" s="15" t="s">
        <v>2158</v>
      </c>
      <c r="I5996" s="15" t="s">
        <v>1560</v>
      </c>
      <c r="J5996" s="15" t="s">
        <v>23018</v>
      </c>
      <c r="K5996" s="15">
        <v>3.0</v>
      </c>
      <c r="L5996" s="15">
        <v>3.0</v>
      </c>
      <c r="M5996" s="41">
        <v>42714.0</v>
      </c>
      <c r="N5996" s="40">
        <v>42738.0</v>
      </c>
      <c r="O5996" s="15" t="s">
        <v>1554</v>
      </c>
      <c r="Q5996" s="7"/>
    </row>
    <row r="5997">
      <c r="A5997" s="39" t="s">
        <v>23019</v>
      </c>
      <c r="B5997" s="15">
        <v>1923220.0</v>
      </c>
      <c r="C5997" s="15" t="s">
        <v>23020</v>
      </c>
      <c r="D5997" s="15">
        <v>358963.0</v>
      </c>
      <c r="E5997" s="15" t="s">
        <v>1664</v>
      </c>
      <c r="F5997" s="15" t="s">
        <v>1664</v>
      </c>
      <c r="G5997" s="7">
        <v>3.057</v>
      </c>
      <c r="H5997" s="15" t="s">
        <v>2075</v>
      </c>
      <c r="I5997" s="15" t="s">
        <v>1560</v>
      </c>
      <c r="J5997" s="15" t="s">
        <v>23021</v>
      </c>
      <c r="K5997" s="15">
        <v>2.0</v>
      </c>
      <c r="L5997" s="15">
        <v>2.0</v>
      </c>
      <c r="M5997" s="41">
        <v>42714.0</v>
      </c>
      <c r="N5997" s="40">
        <v>42738.0</v>
      </c>
      <c r="O5997" s="15" t="s">
        <v>1554</v>
      </c>
      <c r="Q5997" s="7"/>
    </row>
    <row r="5998">
      <c r="A5998" s="39" t="s">
        <v>23022</v>
      </c>
      <c r="B5998" s="15">
        <v>1923216.0</v>
      </c>
      <c r="C5998" s="15" t="s">
        <v>23023</v>
      </c>
      <c r="D5998" s="15">
        <v>358967.0</v>
      </c>
      <c r="E5998" s="15" t="s">
        <v>1664</v>
      </c>
      <c r="F5998" s="15" t="s">
        <v>1664</v>
      </c>
      <c r="G5998" s="7">
        <v>5.221</v>
      </c>
      <c r="H5998" s="15">
        <v>56.0</v>
      </c>
      <c r="I5998" s="15" t="s">
        <v>1560</v>
      </c>
      <c r="J5998" s="15" t="s">
        <v>23024</v>
      </c>
      <c r="K5998" s="15">
        <v>3.0</v>
      </c>
      <c r="L5998" s="15">
        <v>3.0</v>
      </c>
      <c r="M5998" s="41">
        <v>42714.0</v>
      </c>
      <c r="N5998" s="40">
        <v>42738.0</v>
      </c>
      <c r="O5998" s="15" t="s">
        <v>1554</v>
      </c>
      <c r="Q5998" s="7"/>
    </row>
    <row r="5999">
      <c r="A5999" s="39" t="s">
        <v>23025</v>
      </c>
      <c r="B5999" s="15">
        <v>1923212.0</v>
      </c>
      <c r="C5999" s="15" t="s">
        <v>23027</v>
      </c>
      <c r="D5999" s="15">
        <v>358971.0</v>
      </c>
      <c r="E5999" s="15" t="s">
        <v>1664</v>
      </c>
      <c r="F5999" s="15" t="s">
        <v>1664</v>
      </c>
      <c r="G5999" s="7">
        <v>3.211</v>
      </c>
      <c r="H5999" s="15" t="s">
        <v>2540</v>
      </c>
      <c r="I5999" s="15" t="s">
        <v>1560</v>
      </c>
      <c r="J5999" s="15" t="s">
        <v>23028</v>
      </c>
      <c r="K5999" s="15">
        <v>2.0</v>
      </c>
      <c r="L5999" s="15">
        <v>2.0</v>
      </c>
      <c r="M5999" s="41">
        <v>42714.0</v>
      </c>
      <c r="N5999" s="40">
        <v>42738.0</v>
      </c>
      <c r="O5999" s="15" t="s">
        <v>1554</v>
      </c>
      <c r="Q5999" s="7"/>
    </row>
    <row r="6000">
      <c r="A6000" s="39" t="s">
        <v>23029</v>
      </c>
      <c r="B6000" s="15">
        <v>1923208.0</v>
      </c>
      <c r="C6000" s="15" t="s">
        <v>23030</v>
      </c>
      <c r="D6000" s="15">
        <v>358975.0</v>
      </c>
      <c r="E6000" s="15" t="s">
        <v>1664</v>
      </c>
      <c r="F6000" s="15" t="s">
        <v>1664</v>
      </c>
      <c r="G6000" s="7">
        <v>3.076</v>
      </c>
      <c r="H6000" s="15" t="s">
        <v>5521</v>
      </c>
      <c r="I6000" s="15" t="s">
        <v>1560</v>
      </c>
      <c r="J6000" s="15" t="s">
        <v>23031</v>
      </c>
      <c r="K6000" s="15">
        <v>2.0</v>
      </c>
      <c r="L6000" s="15">
        <v>2.0</v>
      </c>
      <c r="M6000" s="41">
        <v>42714.0</v>
      </c>
      <c r="N6000" s="40">
        <v>42738.0</v>
      </c>
      <c r="O6000" s="15" t="s">
        <v>1554</v>
      </c>
      <c r="Q6000" s="7"/>
    </row>
    <row r="6001">
      <c r="A6001" s="39" t="s">
        <v>23032</v>
      </c>
      <c r="B6001" s="15">
        <v>1923203.0</v>
      </c>
      <c r="C6001" s="15" t="s">
        <v>23033</v>
      </c>
      <c r="D6001" s="15">
        <v>358979.0</v>
      </c>
      <c r="E6001" s="15" t="s">
        <v>1664</v>
      </c>
      <c r="F6001" s="15" t="s">
        <v>1664</v>
      </c>
      <c r="G6001" s="7">
        <v>3.226</v>
      </c>
      <c r="H6001" s="15" t="s">
        <v>2524</v>
      </c>
      <c r="I6001" s="15" t="s">
        <v>1560</v>
      </c>
      <c r="J6001" s="15" t="s">
        <v>23034</v>
      </c>
      <c r="K6001" s="15">
        <v>2.0</v>
      </c>
      <c r="L6001" s="15">
        <v>2.0</v>
      </c>
      <c r="M6001" s="41">
        <v>42714.0</v>
      </c>
      <c r="N6001" s="40">
        <v>42738.0</v>
      </c>
      <c r="O6001" s="15" t="s">
        <v>1554</v>
      </c>
      <c r="Q6001" s="7"/>
    </row>
    <row r="6002">
      <c r="A6002" s="39" t="s">
        <v>23035</v>
      </c>
      <c r="B6002" s="15">
        <v>1922698.0</v>
      </c>
      <c r="C6002" s="15" t="s">
        <v>23036</v>
      </c>
      <c r="D6002" s="15">
        <v>358983.0</v>
      </c>
      <c r="E6002" s="15" t="s">
        <v>1664</v>
      </c>
      <c r="F6002" s="15" t="s">
        <v>1664</v>
      </c>
      <c r="G6002" s="7">
        <v>2.729</v>
      </c>
      <c r="H6002" s="15" t="s">
        <v>2965</v>
      </c>
      <c r="I6002" s="15" t="s">
        <v>1560</v>
      </c>
      <c r="J6002" s="15" t="s">
        <v>23038</v>
      </c>
      <c r="K6002" s="15">
        <v>2.0</v>
      </c>
      <c r="L6002" s="15">
        <v>2.0</v>
      </c>
      <c r="M6002" s="41">
        <v>42714.0</v>
      </c>
      <c r="N6002" s="40">
        <v>42738.0</v>
      </c>
      <c r="O6002" s="15" t="s">
        <v>1554</v>
      </c>
      <c r="Q6002" s="7"/>
    </row>
    <row r="6003">
      <c r="A6003" s="39" t="s">
        <v>23039</v>
      </c>
      <c r="B6003" s="15">
        <v>1922681.0</v>
      </c>
      <c r="C6003" s="15" t="s">
        <v>23040</v>
      </c>
      <c r="D6003" s="15">
        <v>358987.0</v>
      </c>
      <c r="E6003" s="15" t="s">
        <v>1664</v>
      </c>
      <c r="F6003" s="15" t="s">
        <v>1664</v>
      </c>
      <c r="G6003" s="7">
        <v>4.902</v>
      </c>
      <c r="H6003" s="15" t="s">
        <v>1756</v>
      </c>
      <c r="I6003" s="15" t="s">
        <v>1560</v>
      </c>
      <c r="J6003" s="15" t="s">
        <v>23041</v>
      </c>
      <c r="K6003" s="15">
        <v>2.0</v>
      </c>
      <c r="L6003" s="15">
        <v>2.0</v>
      </c>
      <c r="M6003" s="41">
        <v>42714.0</v>
      </c>
      <c r="N6003" s="40">
        <v>42738.0</v>
      </c>
      <c r="O6003" s="15" t="s">
        <v>1554</v>
      </c>
      <c r="Q6003" s="7"/>
    </row>
    <row r="6004">
      <c r="A6004" s="39" t="s">
        <v>23042</v>
      </c>
      <c r="B6004" s="15">
        <v>1922617.0</v>
      </c>
      <c r="C6004" s="15" t="s">
        <v>23043</v>
      </c>
      <c r="D6004" s="15">
        <v>358991.0</v>
      </c>
      <c r="E6004" s="15" t="s">
        <v>1664</v>
      </c>
      <c r="F6004" s="15" t="s">
        <v>1664</v>
      </c>
      <c r="G6004" s="7">
        <v>9.214</v>
      </c>
      <c r="H6004" s="15" t="s">
        <v>2279</v>
      </c>
      <c r="I6004" s="15" t="s">
        <v>1560</v>
      </c>
      <c r="J6004" s="15" t="s">
        <v>23044</v>
      </c>
      <c r="K6004" s="15">
        <v>2.0</v>
      </c>
      <c r="L6004" s="15">
        <v>2.0</v>
      </c>
      <c r="M6004" s="41">
        <v>42714.0</v>
      </c>
      <c r="N6004" s="41">
        <v>42731.0</v>
      </c>
      <c r="O6004" s="15" t="s">
        <v>1554</v>
      </c>
      <c r="Q6004" s="7"/>
    </row>
    <row r="6005">
      <c r="A6005" s="39" t="s">
        <v>23045</v>
      </c>
      <c r="B6005" s="15">
        <v>1922578.0</v>
      </c>
      <c r="C6005" s="15" t="s">
        <v>23046</v>
      </c>
      <c r="D6005" s="15">
        <v>358995.0</v>
      </c>
      <c r="E6005" s="15" t="s">
        <v>1664</v>
      </c>
      <c r="F6005" s="15" t="s">
        <v>1664</v>
      </c>
      <c r="G6005" s="7">
        <v>8.955</v>
      </c>
      <c r="H6005" s="15" t="s">
        <v>1859</v>
      </c>
      <c r="I6005" s="15" t="s">
        <v>1560</v>
      </c>
      <c r="J6005" s="15" t="s">
        <v>23047</v>
      </c>
      <c r="K6005" s="15">
        <v>2.0</v>
      </c>
      <c r="L6005" s="15">
        <v>2.0</v>
      </c>
      <c r="M6005" s="41">
        <v>42714.0</v>
      </c>
      <c r="N6005" s="41">
        <v>42731.0</v>
      </c>
      <c r="O6005" s="15" t="s">
        <v>1554</v>
      </c>
      <c r="Q6005" s="7"/>
    </row>
    <row r="6006">
      <c r="A6006" s="39" t="s">
        <v>23048</v>
      </c>
      <c r="B6006" s="15">
        <v>1922483.0</v>
      </c>
      <c r="C6006" s="15" t="s">
        <v>23049</v>
      </c>
      <c r="D6006" s="15">
        <v>358999.0</v>
      </c>
      <c r="E6006" s="15" t="s">
        <v>1664</v>
      </c>
      <c r="F6006" s="15" t="s">
        <v>1664</v>
      </c>
      <c r="G6006" s="7">
        <v>3.168</v>
      </c>
      <c r="H6006" s="15" t="s">
        <v>1957</v>
      </c>
      <c r="I6006" s="15" t="s">
        <v>1560</v>
      </c>
      <c r="J6006" s="15" t="s">
        <v>23050</v>
      </c>
      <c r="K6006" s="15">
        <v>1.0</v>
      </c>
      <c r="L6006" s="15">
        <v>1.0</v>
      </c>
      <c r="M6006" s="41">
        <v>42714.0</v>
      </c>
      <c r="N6006" s="40">
        <v>42738.0</v>
      </c>
      <c r="O6006" s="15" t="s">
        <v>1554</v>
      </c>
      <c r="Q6006" s="7"/>
    </row>
    <row r="6007">
      <c r="A6007" s="39" t="s">
        <v>23051</v>
      </c>
      <c r="B6007" s="15">
        <v>1923195.0</v>
      </c>
      <c r="C6007" s="15" t="s">
        <v>23052</v>
      </c>
      <c r="D6007" s="15">
        <v>358914.0</v>
      </c>
      <c r="E6007" s="15" t="s">
        <v>1664</v>
      </c>
      <c r="F6007" s="15" t="s">
        <v>1664</v>
      </c>
      <c r="G6007" s="7">
        <v>2.85</v>
      </c>
      <c r="H6007" s="15" t="s">
        <v>4401</v>
      </c>
      <c r="I6007" s="15" t="s">
        <v>1560</v>
      </c>
      <c r="J6007" s="15" t="s">
        <v>23053</v>
      </c>
      <c r="K6007" s="15">
        <v>2.0</v>
      </c>
      <c r="L6007" s="15">
        <v>2.0</v>
      </c>
      <c r="M6007" s="41">
        <v>42714.0</v>
      </c>
      <c r="N6007" s="40">
        <v>42738.0</v>
      </c>
      <c r="O6007" s="15" t="s">
        <v>1554</v>
      </c>
      <c r="Q6007" s="7"/>
    </row>
    <row r="6008">
      <c r="A6008" s="39" t="s">
        <v>23054</v>
      </c>
      <c r="B6008" s="15">
        <v>1923199.0</v>
      </c>
      <c r="C6008" s="15" t="s">
        <v>23055</v>
      </c>
      <c r="D6008" s="15">
        <v>358910.0</v>
      </c>
      <c r="E6008" s="15" t="s">
        <v>1664</v>
      </c>
      <c r="F6008" s="15" t="s">
        <v>1664</v>
      </c>
      <c r="G6008" s="7">
        <v>2.566</v>
      </c>
      <c r="H6008" s="15" t="s">
        <v>2075</v>
      </c>
      <c r="I6008" s="15" t="s">
        <v>1560</v>
      </c>
      <c r="J6008" s="15" t="s">
        <v>23056</v>
      </c>
      <c r="K6008" s="15">
        <v>2.0</v>
      </c>
      <c r="L6008" s="15">
        <v>2.0</v>
      </c>
      <c r="M6008" s="41">
        <v>42714.0</v>
      </c>
      <c r="N6008" s="40">
        <v>42738.0</v>
      </c>
      <c r="O6008" s="15" t="s">
        <v>1554</v>
      </c>
      <c r="Q6008" s="7"/>
    </row>
    <row r="6009">
      <c r="A6009" s="39" t="s">
        <v>23057</v>
      </c>
      <c r="B6009" s="15">
        <v>1923127.0</v>
      </c>
      <c r="C6009" s="15" t="s">
        <v>23058</v>
      </c>
      <c r="D6009" s="15">
        <v>358918.0</v>
      </c>
      <c r="E6009" s="15" t="s">
        <v>1664</v>
      </c>
      <c r="F6009" s="15" t="s">
        <v>1664</v>
      </c>
      <c r="G6009" s="7">
        <v>10.188</v>
      </c>
      <c r="H6009" s="15" t="s">
        <v>6565</v>
      </c>
      <c r="I6009" s="15" t="s">
        <v>1560</v>
      </c>
      <c r="J6009" s="15" t="s">
        <v>23059</v>
      </c>
      <c r="K6009" s="15">
        <v>1.0</v>
      </c>
      <c r="L6009" s="15">
        <v>1.0</v>
      </c>
      <c r="M6009" s="41">
        <v>42714.0</v>
      </c>
      <c r="N6009" s="41">
        <v>42731.0</v>
      </c>
      <c r="O6009" s="15" t="s">
        <v>1554</v>
      </c>
      <c r="Q6009" s="7"/>
    </row>
    <row r="6010">
      <c r="A6010" s="39" t="s">
        <v>23061</v>
      </c>
      <c r="B6010" s="15">
        <v>1922948.0</v>
      </c>
      <c r="C6010" s="15" t="s">
        <v>23062</v>
      </c>
      <c r="D6010" s="15">
        <v>358922.0</v>
      </c>
      <c r="E6010" s="15" t="s">
        <v>1664</v>
      </c>
      <c r="F6010" s="15" t="s">
        <v>1664</v>
      </c>
      <c r="G6010" s="7">
        <v>2.252</v>
      </c>
      <c r="H6010" s="15" t="s">
        <v>5391</v>
      </c>
      <c r="I6010" s="15" t="s">
        <v>1560</v>
      </c>
      <c r="J6010" s="15" t="s">
        <v>23063</v>
      </c>
      <c r="K6010" s="15">
        <v>2.0</v>
      </c>
      <c r="L6010" s="15">
        <v>2.0</v>
      </c>
      <c r="M6010" s="41">
        <v>42714.0</v>
      </c>
      <c r="N6010" s="41">
        <v>42731.0</v>
      </c>
      <c r="O6010" s="15" t="s">
        <v>1554</v>
      </c>
      <c r="Q6010" s="7"/>
    </row>
    <row r="6011">
      <c r="A6011" s="39" t="s">
        <v>23064</v>
      </c>
      <c r="B6011" s="15">
        <v>1922932.0</v>
      </c>
      <c r="C6011" s="15" t="s">
        <v>23065</v>
      </c>
      <c r="D6011" s="15">
        <v>358926.0</v>
      </c>
      <c r="E6011" s="15" t="s">
        <v>1664</v>
      </c>
      <c r="F6011" s="15" t="s">
        <v>1664</v>
      </c>
      <c r="G6011" s="7">
        <v>10.892</v>
      </c>
      <c r="H6011" s="15" t="s">
        <v>2288</v>
      </c>
      <c r="I6011" s="15" t="s">
        <v>1560</v>
      </c>
      <c r="J6011" s="15" t="s">
        <v>23066</v>
      </c>
      <c r="K6011" s="15">
        <v>4.0</v>
      </c>
      <c r="L6011" s="15">
        <v>4.0</v>
      </c>
      <c r="M6011" s="41">
        <v>42714.0</v>
      </c>
      <c r="N6011" s="41">
        <v>42731.0</v>
      </c>
      <c r="O6011" s="15" t="s">
        <v>1554</v>
      </c>
      <c r="Q6011" s="7"/>
    </row>
    <row r="6012">
      <c r="A6012" s="39" t="s">
        <v>23067</v>
      </c>
      <c r="B6012" s="15">
        <v>1922782.0</v>
      </c>
      <c r="C6012" s="15" t="s">
        <v>23068</v>
      </c>
      <c r="D6012" s="15">
        <v>358938.0</v>
      </c>
      <c r="E6012" s="15" t="s">
        <v>1664</v>
      </c>
      <c r="F6012" s="15" t="s">
        <v>1664</v>
      </c>
      <c r="G6012" s="7">
        <v>8.729</v>
      </c>
      <c r="H6012" s="15">
        <v>50.0</v>
      </c>
      <c r="I6012" s="15" t="s">
        <v>1560</v>
      </c>
      <c r="J6012" s="15" t="s">
        <v>23069</v>
      </c>
      <c r="K6012" s="15">
        <v>1.0</v>
      </c>
      <c r="L6012" s="15">
        <v>1.0</v>
      </c>
      <c r="M6012" s="41">
        <v>42714.0</v>
      </c>
      <c r="N6012" s="41">
        <v>42731.0</v>
      </c>
      <c r="O6012" s="15" t="s">
        <v>1554</v>
      </c>
      <c r="Q6012" s="7"/>
    </row>
    <row r="6013">
      <c r="A6013" s="39" t="s">
        <v>23070</v>
      </c>
      <c r="B6013" s="15">
        <v>1922886.0</v>
      </c>
      <c r="C6013" s="15" t="s">
        <v>23071</v>
      </c>
      <c r="D6013" s="15">
        <v>358934.0</v>
      </c>
      <c r="E6013" s="15" t="s">
        <v>1664</v>
      </c>
      <c r="F6013" s="15" t="s">
        <v>1664</v>
      </c>
      <c r="G6013" s="7">
        <v>12.871</v>
      </c>
      <c r="H6013" s="15" t="s">
        <v>23073</v>
      </c>
      <c r="I6013" s="15" t="s">
        <v>1560</v>
      </c>
      <c r="J6013" s="15" t="s">
        <v>23074</v>
      </c>
      <c r="K6013" s="15">
        <v>3.0</v>
      </c>
      <c r="L6013" s="15">
        <v>3.0</v>
      </c>
      <c r="M6013" s="41">
        <v>42714.0</v>
      </c>
      <c r="N6013" s="40">
        <v>42738.0</v>
      </c>
      <c r="O6013" s="15" t="s">
        <v>1554</v>
      </c>
      <c r="Q6013" s="7"/>
    </row>
    <row r="6014">
      <c r="A6014" s="39" t="s">
        <v>23075</v>
      </c>
      <c r="B6014" s="15">
        <v>1922905.0</v>
      </c>
      <c r="C6014" s="15" t="s">
        <v>23076</v>
      </c>
      <c r="D6014" s="15">
        <v>358930.0</v>
      </c>
      <c r="E6014" s="15" t="s">
        <v>1664</v>
      </c>
      <c r="F6014" s="15" t="s">
        <v>1664</v>
      </c>
      <c r="G6014" s="7">
        <v>24.514</v>
      </c>
      <c r="H6014" s="15" t="s">
        <v>23077</v>
      </c>
      <c r="I6014" s="15" t="s">
        <v>1560</v>
      </c>
      <c r="J6014" s="15" t="s">
        <v>23078</v>
      </c>
      <c r="K6014" s="15">
        <v>10.0</v>
      </c>
      <c r="L6014" s="15">
        <v>10.0</v>
      </c>
      <c r="M6014" s="41">
        <v>42714.0</v>
      </c>
      <c r="N6014" s="40">
        <v>42738.0</v>
      </c>
      <c r="O6014" s="15" t="s">
        <v>1554</v>
      </c>
      <c r="Q6014" s="7"/>
    </row>
    <row r="6015">
      <c r="A6015" s="39" t="s">
        <v>23079</v>
      </c>
      <c r="B6015" s="15">
        <v>1923248.0</v>
      </c>
      <c r="C6015" s="15" t="s">
        <v>23080</v>
      </c>
      <c r="D6015" s="15">
        <v>358942.0</v>
      </c>
      <c r="E6015" s="15" t="s">
        <v>1664</v>
      </c>
      <c r="F6015" s="15" t="s">
        <v>1664</v>
      </c>
      <c r="G6015" s="7">
        <v>4.64</v>
      </c>
      <c r="H6015" s="15" t="s">
        <v>23081</v>
      </c>
      <c r="I6015" s="15" t="s">
        <v>1560</v>
      </c>
      <c r="J6015" s="15" t="s">
        <v>23082</v>
      </c>
      <c r="K6015" s="15">
        <v>3.0</v>
      </c>
      <c r="L6015" s="15">
        <v>3.0</v>
      </c>
      <c r="M6015" s="41">
        <v>42714.0</v>
      </c>
      <c r="N6015" s="40">
        <v>42738.0</v>
      </c>
      <c r="O6015" s="15" t="s">
        <v>1554</v>
      </c>
      <c r="Q6015" s="7"/>
    </row>
    <row r="6016">
      <c r="A6016" s="39" t="s">
        <v>23083</v>
      </c>
      <c r="B6016" s="15">
        <v>1923239.0</v>
      </c>
      <c r="C6016" s="15" t="s">
        <v>23084</v>
      </c>
      <c r="D6016" s="15">
        <v>358946.0</v>
      </c>
      <c r="E6016" s="15" t="s">
        <v>1664</v>
      </c>
      <c r="F6016" s="15" t="s">
        <v>1664</v>
      </c>
      <c r="G6016" s="7">
        <v>2.892</v>
      </c>
      <c r="H6016" s="15">
        <v>50.0</v>
      </c>
      <c r="I6016" s="15" t="s">
        <v>1560</v>
      </c>
      <c r="J6016" s="15" t="s">
        <v>23085</v>
      </c>
      <c r="K6016" s="15">
        <v>2.0</v>
      </c>
      <c r="L6016" s="15">
        <v>2.0</v>
      </c>
      <c r="M6016" s="41">
        <v>42714.0</v>
      </c>
      <c r="N6016" s="40">
        <v>42738.0</v>
      </c>
      <c r="O6016" s="15" t="s">
        <v>1554</v>
      </c>
      <c r="Q6016" s="7"/>
    </row>
    <row r="6017">
      <c r="A6017" s="39" t="s">
        <v>23086</v>
      </c>
      <c r="B6017" s="15">
        <v>1923235.0</v>
      </c>
      <c r="C6017" s="15" t="s">
        <v>23087</v>
      </c>
      <c r="D6017" s="15">
        <v>358950.0</v>
      </c>
      <c r="E6017" s="15" t="s">
        <v>1664</v>
      </c>
      <c r="F6017" s="15" t="s">
        <v>1664</v>
      </c>
      <c r="G6017" s="7">
        <v>2.721</v>
      </c>
      <c r="H6017" s="15" t="s">
        <v>1943</v>
      </c>
      <c r="I6017" s="15" t="s">
        <v>1560</v>
      </c>
      <c r="J6017" s="15" t="s">
        <v>23088</v>
      </c>
      <c r="K6017" s="15">
        <v>2.0</v>
      </c>
      <c r="L6017" s="15">
        <v>2.0</v>
      </c>
      <c r="M6017" s="41">
        <v>42714.0</v>
      </c>
      <c r="N6017" s="40">
        <v>42738.0</v>
      </c>
      <c r="O6017" s="15" t="s">
        <v>1554</v>
      </c>
      <c r="Q6017" s="7"/>
    </row>
    <row r="6018">
      <c r="A6018" s="39" t="s">
        <v>23090</v>
      </c>
      <c r="B6018" s="15">
        <v>1923231.0</v>
      </c>
      <c r="C6018" s="15" t="s">
        <v>23091</v>
      </c>
      <c r="D6018" s="15">
        <v>358954.0</v>
      </c>
      <c r="E6018" s="15" t="s">
        <v>1664</v>
      </c>
      <c r="F6018" s="15" t="s">
        <v>1664</v>
      </c>
      <c r="G6018" s="7">
        <v>2.645</v>
      </c>
      <c r="H6018" s="15" t="s">
        <v>3776</v>
      </c>
      <c r="I6018" s="15" t="s">
        <v>1560</v>
      </c>
      <c r="J6018" s="15" t="s">
        <v>23092</v>
      </c>
      <c r="K6018" s="15">
        <v>2.0</v>
      </c>
      <c r="L6018" s="15">
        <v>2.0</v>
      </c>
      <c r="M6018" s="41">
        <v>42714.0</v>
      </c>
      <c r="N6018" s="40">
        <v>42738.0</v>
      </c>
      <c r="O6018" s="15" t="s">
        <v>1554</v>
      </c>
      <c r="Q6018" s="7"/>
    </row>
    <row r="6019">
      <c r="A6019" s="39" t="s">
        <v>23093</v>
      </c>
      <c r="B6019" s="15">
        <v>1923225.0</v>
      </c>
      <c r="C6019" s="15" t="s">
        <v>23094</v>
      </c>
      <c r="D6019" s="15">
        <v>358958.0</v>
      </c>
      <c r="E6019" s="15" t="s">
        <v>1664</v>
      </c>
      <c r="F6019" s="15" t="s">
        <v>1664</v>
      </c>
      <c r="G6019" s="7">
        <v>2.768</v>
      </c>
      <c r="H6019" s="15" t="s">
        <v>1902</v>
      </c>
      <c r="I6019" s="15" t="s">
        <v>1560</v>
      </c>
      <c r="J6019" s="15" t="s">
        <v>23095</v>
      </c>
      <c r="K6019" s="15">
        <v>3.0</v>
      </c>
      <c r="L6019" s="15">
        <v>3.0</v>
      </c>
      <c r="M6019" s="41">
        <v>42714.0</v>
      </c>
      <c r="N6019" s="40">
        <v>42738.0</v>
      </c>
      <c r="O6019" s="15" t="s">
        <v>1554</v>
      </c>
      <c r="Q6019" s="7"/>
    </row>
    <row r="6020">
      <c r="A6020" s="39" t="s">
        <v>23096</v>
      </c>
      <c r="B6020" s="15">
        <v>1923221.0</v>
      </c>
      <c r="C6020" s="15" t="s">
        <v>23097</v>
      </c>
      <c r="D6020" s="15">
        <v>358962.0</v>
      </c>
      <c r="E6020" s="15" t="s">
        <v>1664</v>
      </c>
      <c r="F6020" s="15" t="s">
        <v>1664</v>
      </c>
      <c r="G6020" s="7">
        <v>3.342</v>
      </c>
      <c r="H6020" s="15" t="s">
        <v>2580</v>
      </c>
      <c r="I6020" s="15" t="s">
        <v>1560</v>
      </c>
      <c r="J6020" s="15" t="s">
        <v>23098</v>
      </c>
      <c r="K6020" s="15">
        <v>2.0</v>
      </c>
      <c r="L6020" s="15">
        <v>2.0</v>
      </c>
      <c r="M6020" s="41">
        <v>42714.0</v>
      </c>
      <c r="N6020" s="40">
        <v>42738.0</v>
      </c>
      <c r="O6020" s="15" t="s">
        <v>1554</v>
      </c>
      <c r="Q6020" s="7"/>
    </row>
    <row r="6021">
      <c r="A6021" s="39" t="s">
        <v>23099</v>
      </c>
      <c r="B6021" s="15">
        <v>1923217.0</v>
      </c>
      <c r="C6021" s="15" t="s">
        <v>23100</v>
      </c>
      <c r="D6021" s="15">
        <v>358966.0</v>
      </c>
      <c r="E6021" s="15" t="s">
        <v>1664</v>
      </c>
      <c r="F6021" s="15" t="s">
        <v>1664</v>
      </c>
      <c r="G6021" s="7">
        <v>3.215</v>
      </c>
      <c r="H6021" s="15" t="s">
        <v>3538</v>
      </c>
      <c r="I6021" s="15" t="s">
        <v>1560</v>
      </c>
      <c r="J6021" s="15" t="s">
        <v>23102</v>
      </c>
      <c r="K6021" s="15">
        <v>2.0</v>
      </c>
      <c r="L6021" s="15">
        <v>2.0</v>
      </c>
      <c r="M6021" s="41">
        <v>42714.0</v>
      </c>
      <c r="N6021" s="40">
        <v>42738.0</v>
      </c>
      <c r="O6021" s="15" t="s">
        <v>1554</v>
      </c>
      <c r="Q6021" s="7"/>
    </row>
    <row r="6022">
      <c r="A6022" s="39" t="s">
        <v>23103</v>
      </c>
      <c r="B6022" s="15">
        <v>1923213.0</v>
      </c>
      <c r="C6022" s="15" t="s">
        <v>23104</v>
      </c>
      <c r="D6022" s="15">
        <v>358970.0</v>
      </c>
      <c r="E6022" s="15" t="s">
        <v>1664</v>
      </c>
      <c r="F6022" s="15" t="s">
        <v>1664</v>
      </c>
      <c r="G6022" s="7">
        <v>3.344</v>
      </c>
      <c r="H6022" s="15">
        <v>44.0</v>
      </c>
      <c r="I6022" s="15" t="s">
        <v>1560</v>
      </c>
      <c r="J6022" s="15" t="s">
        <v>23105</v>
      </c>
      <c r="K6022" s="15">
        <v>2.0</v>
      </c>
      <c r="L6022" s="15">
        <v>2.0</v>
      </c>
      <c r="M6022" s="41">
        <v>42714.0</v>
      </c>
      <c r="N6022" s="40">
        <v>42738.0</v>
      </c>
      <c r="O6022" s="15" t="s">
        <v>1554</v>
      </c>
      <c r="Q6022" s="7"/>
    </row>
    <row r="6023">
      <c r="A6023" s="39" t="s">
        <v>23106</v>
      </c>
      <c r="B6023" s="15">
        <v>1923209.0</v>
      </c>
      <c r="C6023" s="15" t="s">
        <v>23107</v>
      </c>
      <c r="D6023" s="15">
        <v>358974.0</v>
      </c>
      <c r="E6023" s="15" t="s">
        <v>1664</v>
      </c>
      <c r="F6023" s="15" t="s">
        <v>1664</v>
      </c>
      <c r="G6023" s="7">
        <v>3.119</v>
      </c>
      <c r="H6023" s="15" t="s">
        <v>2524</v>
      </c>
      <c r="I6023" s="15" t="s">
        <v>1560</v>
      </c>
      <c r="J6023" s="15" t="s">
        <v>23108</v>
      </c>
      <c r="K6023" s="15">
        <v>2.0</v>
      </c>
      <c r="L6023" s="15">
        <v>2.0</v>
      </c>
      <c r="M6023" s="41">
        <v>42714.0</v>
      </c>
      <c r="N6023" s="40">
        <v>42738.0</v>
      </c>
      <c r="O6023" s="15" t="s">
        <v>1554</v>
      </c>
      <c r="Q6023" s="7"/>
    </row>
    <row r="6024">
      <c r="A6024" s="39" t="s">
        <v>23110</v>
      </c>
      <c r="B6024" s="15">
        <v>1923204.0</v>
      </c>
      <c r="C6024" s="15" t="s">
        <v>23111</v>
      </c>
      <c r="D6024" s="15">
        <v>358978.0</v>
      </c>
      <c r="E6024" s="15" t="s">
        <v>1664</v>
      </c>
      <c r="F6024" s="15" t="s">
        <v>1664</v>
      </c>
      <c r="G6024" s="7">
        <v>3.252</v>
      </c>
      <c r="H6024" s="15" t="s">
        <v>2019</v>
      </c>
      <c r="I6024" s="15" t="s">
        <v>1560</v>
      </c>
      <c r="J6024" s="15" t="s">
        <v>23112</v>
      </c>
      <c r="K6024" s="15">
        <v>2.0</v>
      </c>
      <c r="L6024" s="15">
        <v>2.0</v>
      </c>
      <c r="M6024" s="41">
        <v>42714.0</v>
      </c>
      <c r="N6024" s="40">
        <v>42738.0</v>
      </c>
      <c r="O6024" s="15" t="s">
        <v>1554</v>
      </c>
      <c r="Q6024" s="7"/>
    </row>
    <row r="6025">
      <c r="A6025" s="39" t="s">
        <v>23113</v>
      </c>
      <c r="B6025" s="15">
        <v>1922725.0</v>
      </c>
      <c r="C6025" s="15" t="s">
        <v>23114</v>
      </c>
      <c r="D6025" s="15">
        <v>358982.0</v>
      </c>
      <c r="E6025" s="15" t="s">
        <v>1664</v>
      </c>
      <c r="F6025" s="15" t="s">
        <v>1664</v>
      </c>
      <c r="G6025" s="7">
        <v>5.201</v>
      </c>
      <c r="H6025" s="15" t="s">
        <v>1572</v>
      </c>
      <c r="I6025" s="15" t="s">
        <v>1560</v>
      </c>
      <c r="J6025" s="15" t="s">
        <v>23115</v>
      </c>
      <c r="K6025" s="15">
        <v>3.0</v>
      </c>
      <c r="L6025" s="15">
        <v>3.0</v>
      </c>
      <c r="M6025" s="41">
        <v>42714.0</v>
      </c>
      <c r="N6025" s="40">
        <v>42738.0</v>
      </c>
      <c r="O6025" s="15" t="s">
        <v>1554</v>
      </c>
      <c r="Q6025" s="7"/>
    </row>
    <row r="6026">
      <c r="A6026" s="39" t="s">
        <v>23116</v>
      </c>
      <c r="B6026" s="15">
        <v>1922685.0</v>
      </c>
      <c r="C6026" s="15" t="s">
        <v>23118</v>
      </c>
      <c r="D6026" s="15">
        <v>358986.0</v>
      </c>
      <c r="E6026" s="15" t="s">
        <v>1664</v>
      </c>
      <c r="F6026" s="15" t="s">
        <v>1664</v>
      </c>
      <c r="G6026" s="7">
        <v>3.57</v>
      </c>
      <c r="H6026" s="15" t="s">
        <v>2981</v>
      </c>
      <c r="I6026" s="15" t="s">
        <v>1560</v>
      </c>
      <c r="J6026" s="15" t="s">
        <v>23119</v>
      </c>
      <c r="K6026" s="15">
        <v>2.0</v>
      </c>
      <c r="L6026" s="15">
        <v>2.0</v>
      </c>
      <c r="M6026" s="41">
        <v>42714.0</v>
      </c>
      <c r="N6026" s="40">
        <v>42738.0</v>
      </c>
      <c r="O6026" s="15" t="s">
        <v>1554</v>
      </c>
      <c r="Q6026" s="7"/>
    </row>
    <row r="6027">
      <c r="A6027" s="39" t="s">
        <v>23120</v>
      </c>
      <c r="B6027" s="15">
        <v>1922620.0</v>
      </c>
      <c r="C6027" s="15" t="s">
        <v>23121</v>
      </c>
      <c r="D6027" s="15">
        <v>358990.0</v>
      </c>
      <c r="E6027" s="15" t="s">
        <v>1664</v>
      </c>
      <c r="F6027" s="15" t="s">
        <v>1664</v>
      </c>
      <c r="G6027" s="7">
        <v>9.107</v>
      </c>
      <c r="H6027" s="15" t="s">
        <v>3432</v>
      </c>
      <c r="I6027" s="15" t="s">
        <v>1560</v>
      </c>
      <c r="J6027" s="15" t="s">
        <v>23122</v>
      </c>
      <c r="K6027" s="15">
        <v>1.0</v>
      </c>
      <c r="L6027" s="15">
        <v>1.0</v>
      </c>
      <c r="M6027" s="41">
        <v>42714.0</v>
      </c>
      <c r="N6027" s="41">
        <v>42731.0</v>
      </c>
      <c r="O6027" s="15" t="s">
        <v>1554</v>
      </c>
      <c r="Q6027" s="7"/>
    </row>
    <row r="6028">
      <c r="A6028" s="39" t="s">
        <v>23123</v>
      </c>
      <c r="B6028" s="15">
        <v>1922587.0</v>
      </c>
      <c r="C6028" s="15" t="s">
        <v>23124</v>
      </c>
      <c r="D6028" s="15">
        <v>358994.0</v>
      </c>
      <c r="E6028" s="15" t="s">
        <v>1664</v>
      </c>
      <c r="F6028" s="15" t="s">
        <v>1664</v>
      </c>
      <c r="G6028" s="7">
        <v>8.943</v>
      </c>
      <c r="H6028" s="15" t="s">
        <v>1579</v>
      </c>
      <c r="I6028" s="15" t="s">
        <v>1560</v>
      </c>
      <c r="J6028" s="15" t="s">
        <v>23125</v>
      </c>
      <c r="K6028" s="15">
        <v>2.0</v>
      </c>
      <c r="L6028" s="15">
        <v>2.0</v>
      </c>
      <c r="M6028" s="41">
        <v>42714.0</v>
      </c>
      <c r="N6028" s="41">
        <v>42731.0</v>
      </c>
      <c r="O6028" s="15" t="s">
        <v>1554</v>
      </c>
      <c r="Q6028" s="7"/>
    </row>
    <row r="6029">
      <c r="A6029" s="39" t="s">
        <v>23127</v>
      </c>
      <c r="B6029" s="15">
        <v>1922487.0</v>
      </c>
      <c r="C6029" s="15" t="s">
        <v>23128</v>
      </c>
      <c r="D6029" s="15">
        <v>358998.0</v>
      </c>
      <c r="E6029" s="15" t="s">
        <v>1664</v>
      </c>
      <c r="F6029" s="15" t="s">
        <v>1664</v>
      </c>
      <c r="G6029" s="7">
        <v>4.491</v>
      </c>
      <c r="H6029" s="15" t="s">
        <v>3297</v>
      </c>
      <c r="I6029" s="15" t="s">
        <v>1560</v>
      </c>
      <c r="J6029" s="15" t="s">
        <v>23129</v>
      </c>
      <c r="K6029" s="15">
        <v>2.0</v>
      </c>
      <c r="L6029" s="15">
        <v>2.0</v>
      </c>
      <c r="M6029" s="41">
        <v>42714.0</v>
      </c>
      <c r="N6029" s="40">
        <v>42738.0</v>
      </c>
      <c r="O6029" s="15" t="s">
        <v>1554</v>
      </c>
      <c r="Q6029" s="7"/>
    </row>
    <row r="6030">
      <c r="A6030" s="39" t="s">
        <v>23130</v>
      </c>
      <c r="B6030" s="15">
        <v>1922664.0</v>
      </c>
      <c r="C6030" s="15" t="s">
        <v>23131</v>
      </c>
      <c r="D6030" s="15">
        <v>358988.0</v>
      </c>
      <c r="E6030" s="15" t="s">
        <v>1664</v>
      </c>
      <c r="F6030" s="15" t="s">
        <v>1664</v>
      </c>
      <c r="G6030" s="7">
        <v>7.38</v>
      </c>
      <c r="H6030" s="15" t="s">
        <v>23132</v>
      </c>
      <c r="I6030" s="15" t="s">
        <v>1560</v>
      </c>
      <c r="J6030" s="15" t="s">
        <v>23133</v>
      </c>
      <c r="K6030" s="15">
        <v>2.0</v>
      </c>
      <c r="L6030" s="15">
        <v>2.0</v>
      </c>
      <c r="M6030" s="41">
        <v>42714.0</v>
      </c>
      <c r="N6030" s="40">
        <v>42738.0</v>
      </c>
      <c r="O6030" s="15" t="s">
        <v>1554</v>
      </c>
      <c r="Q6030" s="7"/>
    </row>
    <row r="6031">
      <c r="A6031" s="39" t="s">
        <v>23134</v>
      </c>
      <c r="B6031" s="15">
        <v>1922663.0</v>
      </c>
      <c r="C6031" s="15" t="s">
        <v>23135</v>
      </c>
      <c r="D6031" s="15">
        <v>358989.0</v>
      </c>
      <c r="E6031" s="15" t="s">
        <v>1664</v>
      </c>
      <c r="F6031" s="15" t="s">
        <v>1664</v>
      </c>
      <c r="G6031" s="7">
        <v>8.178</v>
      </c>
      <c r="H6031" s="15" t="s">
        <v>23136</v>
      </c>
      <c r="I6031" s="15" t="s">
        <v>1560</v>
      </c>
      <c r="J6031" s="15" t="s">
        <v>23137</v>
      </c>
      <c r="K6031" s="15">
        <v>2.0</v>
      </c>
      <c r="L6031" s="15">
        <v>2.0</v>
      </c>
      <c r="M6031" s="41">
        <v>42714.0</v>
      </c>
      <c r="N6031" s="40">
        <v>42738.0</v>
      </c>
      <c r="O6031" s="15" t="s">
        <v>1554</v>
      </c>
      <c r="Q6031" s="7"/>
    </row>
    <row r="6032">
      <c r="A6032" s="39" t="s">
        <v>23139</v>
      </c>
      <c r="B6032" s="15">
        <v>1923369.0</v>
      </c>
      <c r="C6032" s="15" t="s">
        <v>23140</v>
      </c>
      <c r="D6032" s="15">
        <v>359101.0</v>
      </c>
      <c r="E6032" s="15" t="s">
        <v>1664</v>
      </c>
      <c r="F6032" s="15" t="s">
        <v>1664</v>
      </c>
      <c r="G6032" s="7">
        <v>8.518</v>
      </c>
      <c r="H6032" s="15" t="s">
        <v>1772</v>
      </c>
      <c r="I6032" s="15" t="s">
        <v>1560</v>
      </c>
      <c r="J6032" s="15" t="s">
        <v>23141</v>
      </c>
      <c r="K6032" s="15">
        <v>2.0</v>
      </c>
      <c r="L6032" s="15">
        <v>2.0</v>
      </c>
      <c r="M6032" s="41">
        <v>42714.0</v>
      </c>
      <c r="N6032" s="41">
        <v>42733.0</v>
      </c>
      <c r="O6032" s="15" t="s">
        <v>1554</v>
      </c>
      <c r="Q6032" s="7"/>
    </row>
    <row r="6033">
      <c r="A6033" s="39" t="s">
        <v>23142</v>
      </c>
      <c r="B6033" s="15">
        <v>1922359.0</v>
      </c>
      <c r="C6033" s="15" t="s">
        <v>23143</v>
      </c>
      <c r="D6033" s="15">
        <v>359240.0</v>
      </c>
      <c r="E6033" s="15" t="s">
        <v>1664</v>
      </c>
      <c r="F6033" s="15" t="s">
        <v>1664</v>
      </c>
      <c r="G6033" s="7">
        <v>7.382</v>
      </c>
      <c r="H6033" s="15" t="s">
        <v>13306</v>
      </c>
      <c r="I6033" s="15" t="s">
        <v>1560</v>
      </c>
      <c r="J6033" s="15" t="s">
        <v>23144</v>
      </c>
      <c r="K6033" s="15">
        <v>2.0</v>
      </c>
      <c r="L6033" s="15">
        <v>2.0</v>
      </c>
      <c r="M6033" s="41">
        <v>42714.0</v>
      </c>
      <c r="N6033" s="40">
        <v>42738.0</v>
      </c>
      <c r="O6033" s="15" t="s">
        <v>1554</v>
      </c>
      <c r="Q6033" s="7"/>
    </row>
    <row r="6034">
      <c r="A6034" s="39" t="s">
        <v>23145</v>
      </c>
      <c r="B6034" s="15">
        <v>1922353.0</v>
      </c>
      <c r="C6034" s="15" t="s">
        <v>23146</v>
      </c>
      <c r="D6034" s="15">
        <v>359244.0</v>
      </c>
      <c r="E6034" s="15" t="s">
        <v>1664</v>
      </c>
      <c r="F6034" s="15" t="s">
        <v>1664</v>
      </c>
      <c r="G6034" s="7">
        <v>6.856</v>
      </c>
      <c r="H6034" s="15" t="s">
        <v>2945</v>
      </c>
      <c r="I6034" s="15" t="s">
        <v>1560</v>
      </c>
      <c r="J6034" s="15" t="s">
        <v>23148</v>
      </c>
      <c r="K6034" s="15">
        <v>3.0</v>
      </c>
      <c r="L6034" s="15">
        <v>3.0</v>
      </c>
      <c r="M6034" s="41">
        <v>42714.0</v>
      </c>
      <c r="N6034" s="41">
        <v>42733.0</v>
      </c>
      <c r="O6034" s="15" t="s">
        <v>1554</v>
      </c>
      <c r="Q6034" s="7"/>
    </row>
    <row r="6035">
      <c r="A6035" s="39" t="s">
        <v>23149</v>
      </c>
      <c r="B6035" s="15">
        <v>1906170.0</v>
      </c>
      <c r="C6035" s="15" t="s">
        <v>23150</v>
      </c>
      <c r="D6035" s="15">
        <v>359252.0</v>
      </c>
      <c r="E6035" s="15" t="s">
        <v>1548</v>
      </c>
      <c r="F6035" s="15" t="s">
        <v>1848</v>
      </c>
      <c r="G6035" s="7">
        <v>5.547</v>
      </c>
      <c r="H6035" s="15">
        <v>55.0</v>
      </c>
      <c r="I6035" s="15" t="s">
        <v>1686</v>
      </c>
      <c r="J6035" s="15" t="s">
        <v>23151</v>
      </c>
      <c r="K6035" s="15">
        <v>2.0</v>
      </c>
      <c r="L6035" s="15">
        <v>2.0</v>
      </c>
      <c r="M6035" s="41">
        <v>42731.0</v>
      </c>
      <c r="N6035" s="41">
        <v>42733.0</v>
      </c>
      <c r="O6035" s="15" t="s">
        <v>1554</v>
      </c>
      <c r="Q6035" s="7"/>
    </row>
    <row r="6036">
      <c r="A6036" s="39" t="s">
        <v>23152</v>
      </c>
      <c r="B6036" s="15">
        <v>1922450.0</v>
      </c>
      <c r="C6036" s="15" t="s">
        <v>23153</v>
      </c>
      <c r="D6036" s="15">
        <v>359215.0</v>
      </c>
      <c r="E6036" s="15" t="s">
        <v>1664</v>
      </c>
      <c r="F6036" s="15" t="s">
        <v>1664</v>
      </c>
      <c r="G6036" s="7">
        <v>3.244</v>
      </c>
      <c r="H6036" s="15" t="s">
        <v>2023</v>
      </c>
      <c r="I6036" s="15" t="s">
        <v>1560</v>
      </c>
      <c r="J6036" s="15" t="s">
        <v>23154</v>
      </c>
      <c r="K6036" s="15">
        <v>1.0</v>
      </c>
      <c r="L6036" s="15">
        <v>1.0</v>
      </c>
      <c r="M6036" s="41">
        <v>42714.0</v>
      </c>
      <c r="N6036" s="41">
        <v>42733.0</v>
      </c>
      <c r="O6036" s="15" t="s">
        <v>1554</v>
      </c>
      <c r="Q6036" s="7"/>
    </row>
    <row r="6037">
      <c r="A6037" s="39" t="s">
        <v>23155</v>
      </c>
      <c r="B6037" s="15">
        <v>1922356.0</v>
      </c>
      <c r="C6037" s="15" t="s">
        <v>23156</v>
      </c>
      <c r="D6037" s="15">
        <v>359241.0</v>
      </c>
      <c r="E6037" s="15" t="s">
        <v>1664</v>
      </c>
      <c r="F6037" s="15" t="s">
        <v>1664</v>
      </c>
      <c r="G6037" s="7">
        <v>3.277</v>
      </c>
      <c r="H6037" s="15" t="s">
        <v>23157</v>
      </c>
      <c r="I6037" s="15" t="s">
        <v>1560</v>
      </c>
      <c r="J6037" s="15" t="s">
        <v>23158</v>
      </c>
      <c r="K6037" s="15">
        <v>2.0</v>
      </c>
      <c r="L6037" s="15">
        <v>2.0</v>
      </c>
      <c r="M6037" s="41">
        <v>42714.0</v>
      </c>
      <c r="N6037" s="40">
        <v>42738.0</v>
      </c>
      <c r="O6037" s="15" t="s">
        <v>1554</v>
      </c>
      <c r="Q6037" s="7"/>
    </row>
    <row r="6038">
      <c r="A6038" s="39" t="s">
        <v>23159</v>
      </c>
      <c r="B6038" s="15">
        <v>1922352.0</v>
      </c>
      <c r="C6038" s="15" t="s">
        <v>23161</v>
      </c>
      <c r="D6038" s="15">
        <v>359245.0</v>
      </c>
      <c r="E6038" s="15" t="s">
        <v>1664</v>
      </c>
      <c r="F6038" s="15" t="s">
        <v>1664</v>
      </c>
      <c r="G6038" s="7">
        <v>11.54</v>
      </c>
      <c r="H6038" s="15" t="s">
        <v>3550</v>
      </c>
      <c r="I6038" s="15" t="s">
        <v>1560</v>
      </c>
      <c r="J6038" s="15" t="s">
        <v>23162</v>
      </c>
      <c r="K6038" s="15">
        <v>6.0</v>
      </c>
      <c r="L6038" s="15">
        <v>6.0</v>
      </c>
      <c r="M6038" s="41">
        <v>42714.0</v>
      </c>
      <c r="N6038" s="40">
        <v>42738.0</v>
      </c>
      <c r="O6038" s="15" t="s">
        <v>1554</v>
      </c>
      <c r="Q6038" s="7"/>
    </row>
    <row r="6039">
      <c r="A6039" s="39" t="s">
        <v>23163</v>
      </c>
      <c r="B6039" s="15">
        <v>1922360.0</v>
      </c>
      <c r="C6039" s="15" t="s">
        <v>23164</v>
      </c>
      <c r="D6039" s="15">
        <v>359239.0</v>
      </c>
      <c r="E6039" s="15" t="s">
        <v>1664</v>
      </c>
      <c r="F6039" s="15" t="s">
        <v>1664</v>
      </c>
      <c r="G6039" s="7">
        <v>9.154</v>
      </c>
      <c r="H6039" s="15" t="s">
        <v>2189</v>
      </c>
      <c r="I6039" s="15" t="s">
        <v>1560</v>
      </c>
      <c r="J6039" s="15" t="s">
        <v>23165</v>
      </c>
      <c r="K6039" s="15">
        <v>4.0</v>
      </c>
      <c r="L6039" s="15">
        <v>4.0</v>
      </c>
      <c r="M6039" s="41">
        <v>42714.0</v>
      </c>
      <c r="N6039" s="40">
        <v>42738.0</v>
      </c>
      <c r="O6039" s="15" t="s">
        <v>1554</v>
      </c>
      <c r="Q6039" s="7"/>
    </row>
    <row r="6040">
      <c r="A6040" s="39" t="s">
        <v>23166</v>
      </c>
      <c r="B6040" s="15">
        <v>1922354.0</v>
      </c>
      <c r="C6040" s="15" t="s">
        <v>23167</v>
      </c>
      <c r="D6040" s="15">
        <v>359243.0</v>
      </c>
      <c r="E6040" s="15" t="s">
        <v>1664</v>
      </c>
      <c r="F6040" s="15" t="s">
        <v>1664</v>
      </c>
      <c r="G6040" s="7">
        <v>2.953</v>
      </c>
      <c r="H6040" s="15">
        <v>47.0</v>
      </c>
      <c r="I6040" s="15" t="s">
        <v>1560</v>
      </c>
      <c r="J6040" s="15" t="s">
        <v>23168</v>
      </c>
      <c r="K6040" s="15">
        <v>1.0</v>
      </c>
      <c r="L6040" s="15">
        <v>1.0</v>
      </c>
      <c r="M6040" s="41">
        <v>42714.0</v>
      </c>
      <c r="N6040" s="41">
        <v>42733.0</v>
      </c>
      <c r="O6040" s="15" t="s">
        <v>1554</v>
      </c>
      <c r="Q6040" s="7"/>
    </row>
    <row r="6041">
      <c r="A6041" s="39" t="s">
        <v>23169</v>
      </c>
      <c r="B6041" s="15">
        <v>1922350.0</v>
      </c>
      <c r="C6041" s="15" t="s">
        <v>23170</v>
      </c>
      <c r="D6041" s="15">
        <v>359247.0</v>
      </c>
      <c r="E6041" s="15" t="s">
        <v>1664</v>
      </c>
      <c r="F6041" s="15" t="s">
        <v>1664</v>
      </c>
      <c r="G6041" s="7">
        <v>20.278</v>
      </c>
      <c r="H6041" s="15" t="s">
        <v>3321</v>
      </c>
      <c r="I6041" s="15" t="s">
        <v>1560</v>
      </c>
      <c r="J6041" s="15" t="s">
        <v>23171</v>
      </c>
      <c r="K6041" s="15">
        <v>2.0</v>
      </c>
      <c r="L6041" s="15">
        <v>2.0</v>
      </c>
      <c r="M6041" s="41">
        <v>42714.0</v>
      </c>
      <c r="N6041" s="41">
        <v>42733.0</v>
      </c>
      <c r="O6041" s="15" t="s">
        <v>1554</v>
      </c>
      <c r="Q6041" s="7"/>
    </row>
    <row r="6042">
      <c r="A6042" s="39" t="s">
        <v>23172</v>
      </c>
      <c r="B6042" s="15">
        <v>1906173.0</v>
      </c>
      <c r="C6042" s="15" t="s">
        <v>23173</v>
      </c>
      <c r="D6042" s="15">
        <v>359251.0</v>
      </c>
      <c r="E6042" s="15" t="s">
        <v>1548</v>
      </c>
      <c r="F6042" s="15" t="s">
        <v>1848</v>
      </c>
      <c r="G6042" s="7">
        <v>6.009</v>
      </c>
      <c r="H6042" s="15" t="s">
        <v>2131</v>
      </c>
      <c r="I6042" s="15" t="s">
        <v>1686</v>
      </c>
      <c r="J6042" s="15" t="s">
        <v>23175</v>
      </c>
      <c r="K6042" s="15">
        <v>2.0</v>
      </c>
      <c r="L6042" s="15">
        <v>2.0</v>
      </c>
      <c r="M6042" s="41">
        <v>42731.0</v>
      </c>
      <c r="N6042" s="41">
        <v>42733.0</v>
      </c>
      <c r="O6042" s="15" t="s">
        <v>1554</v>
      </c>
      <c r="Q6042" s="7"/>
    </row>
    <row r="6043">
      <c r="A6043" s="39" t="s">
        <v>23176</v>
      </c>
      <c r="B6043" s="15">
        <v>1922440.0</v>
      </c>
      <c r="C6043" s="15" t="s">
        <v>23177</v>
      </c>
      <c r="D6043" s="15">
        <v>359255.0</v>
      </c>
      <c r="E6043" s="15" t="s">
        <v>1664</v>
      </c>
      <c r="F6043" s="15" t="s">
        <v>1664</v>
      </c>
      <c r="G6043" s="7">
        <v>2.785</v>
      </c>
      <c r="H6043" s="15" t="s">
        <v>2885</v>
      </c>
      <c r="I6043" s="15" t="s">
        <v>1560</v>
      </c>
      <c r="J6043" s="15" t="s">
        <v>23178</v>
      </c>
      <c r="K6043" s="15">
        <v>1.0</v>
      </c>
      <c r="L6043" s="15">
        <v>1.0</v>
      </c>
      <c r="M6043" s="41">
        <v>42714.0</v>
      </c>
      <c r="N6043" s="41">
        <v>42733.0</v>
      </c>
      <c r="O6043" s="15" t="s">
        <v>1554</v>
      </c>
      <c r="Q6043" s="7"/>
    </row>
    <row r="6044">
      <c r="A6044" s="39" t="s">
        <v>23179</v>
      </c>
      <c r="B6044" s="15">
        <v>1922436.0</v>
      </c>
      <c r="C6044" s="15" t="s">
        <v>23180</v>
      </c>
      <c r="D6044" s="15">
        <v>359259.0</v>
      </c>
      <c r="E6044" s="15" t="s">
        <v>1664</v>
      </c>
      <c r="F6044" s="15" t="s">
        <v>1664</v>
      </c>
      <c r="G6044" s="7">
        <v>2.584</v>
      </c>
      <c r="H6044" s="15" t="s">
        <v>3973</v>
      </c>
      <c r="I6044" s="15" t="s">
        <v>1560</v>
      </c>
      <c r="J6044" s="15" t="s">
        <v>23181</v>
      </c>
      <c r="K6044" s="15">
        <v>1.0</v>
      </c>
      <c r="L6044" s="15">
        <v>1.0</v>
      </c>
      <c r="M6044" s="41">
        <v>42714.0</v>
      </c>
      <c r="N6044" s="41">
        <v>42733.0</v>
      </c>
      <c r="O6044" s="15" t="s">
        <v>1554</v>
      </c>
      <c r="Q6044" s="7"/>
    </row>
    <row r="6045">
      <c r="A6045" s="39" t="s">
        <v>23182</v>
      </c>
      <c r="B6045" s="15">
        <v>1922431.0</v>
      </c>
      <c r="C6045" s="15" t="s">
        <v>23183</v>
      </c>
      <c r="D6045" s="15">
        <v>359263.0</v>
      </c>
      <c r="E6045" s="15" t="s">
        <v>1664</v>
      </c>
      <c r="F6045" s="15" t="s">
        <v>1664</v>
      </c>
      <c r="G6045" s="7">
        <v>10.177</v>
      </c>
      <c r="H6045" s="15" t="s">
        <v>1859</v>
      </c>
      <c r="I6045" s="15" t="s">
        <v>1560</v>
      </c>
      <c r="J6045" s="15" t="s">
        <v>23184</v>
      </c>
      <c r="K6045" s="15">
        <v>2.0</v>
      </c>
      <c r="L6045" s="15">
        <v>2.0</v>
      </c>
      <c r="M6045" s="41">
        <v>42714.0</v>
      </c>
      <c r="N6045" s="41">
        <v>42733.0</v>
      </c>
      <c r="O6045" s="15" t="s">
        <v>1554</v>
      </c>
      <c r="Q6045" s="7"/>
    </row>
    <row r="6046">
      <c r="A6046" s="39" t="s">
        <v>23185</v>
      </c>
      <c r="B6046" s="15">
        <v>1922393.0</v>
      </c>
      <c r="C6046" s="15" t="s">
        <v>23186</v>
      </c>
      <c r="D6046" s="15">
        <v>359267.0</v>
      </c>
      <c r="E6046" s="15" t="s">
        <v>1638</v>
      </c>
      <c r="F6046" s="15" t="s">
        <v>4692</v>
      </c>
      <c r="G6046" s="7">
        <v>9.925</v>
      </c>
      <c r="H6046" s="15" t="s">
        <v>1745</v>
      </c>
      <c r="I6046" s="15" t="s">
        <v>1552</v>
      </c>
      <c r="J6046" s="15" t="s">
        <v>23188</v>
      </c>
      <c r="K6046" s="15">
        <v>1.0</v>
      </c>
      <c r="L6046" s="15">
        <v>1.0</v>
      </c>
      <c r="M6046" s="41">
        <v>42714.0</v>
      </c>
      <c r="N6046" s="40">
        <v>42738.0</v>
      </c>
      <c r="O6046" s="15" t="s">
        <v>1554</v>
      </c>
      <c r="Q6046" s="7"/>
    </row>
    <row r="6047">
      <c r="A6047" s="39" t="s">
        <v>23189</v>
      </c>
      <c r="B6047" s="15">
        <v>1922439.0</v>
      </c>
      <c r="C6047" s="15" t="s">
        <v>23190</v>
      </c>
      <c r="D6047" s="15">
        <v>359256.0</v>
      </c>
      <c r="E6047" s="15" t="s">
        <v>1664</v>
      </c>
      <c r="F6047" s="15" t="s">
        <v>1664</v>
      </c>
      <c r="G6047" s="7">
        <v>2.544</v>
      </c>
      <c r="H6047" s="15" t="s">
        <v>2901</v>
      </c>
      <c r="I6047" s="15" t="s">
        <v>1560</v>
      </c>
      <c r="J6047" s="15" t="s">
        <v>23191</v>
      </c>
      <c r="K6047" s="15">
        <v>1.0</v>
      </c>
      <c r="L6047" s="15">
        <v>1.0</v>
      </c>
      <c r="M6047" s="41">
        <v>42714.0</v>
      </c>
      <c r="N6047" s="41">
        <v>42733.0</v>
      </c>
      <c r="O6047" s="15" t="s">
        <v>1554</v>
      </c>
      <c r="Q6047" s="7"/>
    </row>
    <row r="6048">
      <c r="A6048" s="39" t="s">
        <v>23192</v>
      </c>
      <c r="B6048" s="15">
        <v>1922435.0</v>
      </c>
      <c r="C6048" s="15" t="s">
        <v>23193</v>
      </c>
      <c r="D6048" s="15">
        <v>359260.0</v>
      </c>
      <c r="E6048" s="15" t="s">
        <v>1664</v>
      </c>
      <c r="F6048" s="15" t="s">
        <v>1664</v>
      </c>
      <c r="G6048" s="7">
        <v>9.054</v>
      </c>
      <c r="H6048" s="15" t="s">
        <v>2005</v>
      </c>
      <c r="I6048" s="15" t="s">
        <v>1560</v>
      </c>
      <c r="J6048" s="15" t="s">
        <v>23194</v>
      </c>
      <c r="K6048" s="15">
        <v>2.0</v>
      </c>
      <c r="L6048" s="15">
        <v>2.0</v>
      </c>
      <c r="M6048" s="41">
        <v>42714.0</v>
      </c>
      <c r="N6048" s="41">
        <v>42733.0</v>
      </c>
      <c r="O6048" s="15" t="s">
        <v>1554</v>
      </c>
      <c r="Q6048" s="7"/>
    </row>
    <row r="6049">
      <c r="A6049" s="39" t="s">
        <v>23196</v>
      </c>
      <c r="B6049" s="15">
        <v>1922430.0</v>
      </c>
      <c r="C6049" s="15" t="s">
        <v>23197</v>
      </c>
      <c r="D6049" s="15">
        <v>359264.0</v>
      </c>
      <c r="E6049" s="15" t="s">
        <v>1664</v>
      </c>
      <c r="F6049" s="15" t="s">
        <v>1664</v>
      </c>
      <c r="G6049" s="7">
        <v>9.599</v>
      </c>
      <c r="H6049" s="15" t="s">
        <v>1685</v>
      </c>
      <c r="I6049" s="15" t="s">
        <v>1560</v>
      </c>
      <c r="J6049" s="15" t="s">
        <v>23198</v>
      </c>
      <c r="K6049" s="15">
        <v>1.0</v>
      </c>
      <c r="L6049" s="15">
        <v>1.0</v>
      </c>
      <c r="M6049" s="41">
        <v>42714.0</v>
      </c>
      <c r="N6049" s="41">
        <v>42733.0</v>
      </c>
      <c r="O6049" s="15" t="s">
        <v>1554</v>
      </c>
      <c r="Q6049" s="7"/>
    </row>
    <row r="6050">
      <c r="A6050" s="39" t="s">
        <v>23199</v>
      </c>
      <c r="B6050" s="15">
        <v>1922392.0</v>
      </c>
      <c r="C6050" s="15" t="s">
        <v>23200</v>
      </c>
      <c r="D6050" s="15">
        <v>359268.0</v>
      </c>
      <c r="E6050" s="15" t="s">
        <v>1664</v>
      </c>
      <c r="F6050" s="15" t="s">
        <v>1664</v>
      </c>
      <c r="G6050" s="7">
        <v>5.163</v>
      </c>
      <c r="H6050" s="15" t="s">
        <v>23201</v>
      </c>
      <c r="I6050" s="15" t="s">
        <v>1560</v>
      </c>
      <c r="J6050" s="15" t="s">
        <v>23202</v>
      </c>
      <c r="K6050" s="15">
        <v>3.0</v>
      </c>
      <c r="L6050" s="15">
        <v>3.0</v>
      </c>
      <c r="M6050" s="41">
        <v>42714.0</v>
      </c>
      <c r="N6050" s="40">
        <v>42738.0</v>
      </c>
      <c r="O6050" s="15" t="s">
        <v>1554</v>
      </c>
      <c r="Q6050" s="7"/>
    </row>
    <row r="6051">
      <c r="A6051" s="39" t="s">
        <v>23203</v>
      </c>
      <c r="B6051" s="15">
        <v>1922386.0</v>
      </c>
      <c r="C6051" s="15" t="s">
        <v>23204</v>
      </c>
      <c r="D6051" s="15">
        <v>359272.0</v>
      </c>
      <c r="E6051" s="15" t="s">
        <v>1664</v>
      </c>
      <c r="F6051" s="15" t="s">
        <v>1664</v>
      </c>
      <c r="G6051" s="7">
        <v>10.128</v>
      </c>
      <c r="H6051" s="15" t="s">
        <v>2877</v>
      </c>
      <c r="I6051" s="15" t="s">
        <v>1560</v>
      </c>
      <c r="J6051" s="15" t="s">
        <v>23206</v>
      </c>
      <c r="K6051" s="15">
        <v>5.0</v>
      </c>
      <c r="L6051" s="15">
        <v>5.0</v>
      </c>
      <c r="M6051" s="41">
        <v>42714.0</v>
      </c>
      <c r="N6051" s="40">
        <v>42738.0</v>
      </c>
      <c r="O6051" s="15" t="s">
        <v>1554</v>
      </c>
      <c r="Q6051" s="7"/>
    </row>
    <row r="6052">
      <c r="A6052" s="39" t="s">
        <v>23207</v>
      </c>
      <c r="B6052" s="15">
        <v>1922378.0</v>
      </c>
      <c r="C6052" s="15" t="s">
        <v>23208</v>
      </c>
      <c r="D6052" s="15">
        <v>359276.0</v>
      </c>
      <c r="E6052" s="15" t="s">
        <v>1664</v>
      </c>
      <c r="F6052" s="15" t="s">
        <v>1664</v>
      </c>
      <c r="G6052" s="7">
        <v>6.877</v>
      </c>
      <c r="H6052" s="15" t="s">
        <v>2223</v>
      </c>
      <c r="I6052" s="15" t="s">
        <v>1560</v>
      </c>
      <c r="J6052" s="15" t="s">
        <v>23209</v>
      </c>
      <c r="K6052" s="15">
        <v>1.0</v>
      </c>
      <c r="L6052" s="15">
        <v>1.0</v>
      </c>
      <c r="M6052" s="41">
        <v>42714.0</v>
      </c>
      <c r="N6052" s="40">
        <v>42740.0</v>
      </c>
      <c r="O6052" s="15" t="s">
        <v>1554</v>
      </c>
      <c r="Q6052" s="7"/>
    </row>
    <row r="6053">
      <c r="A6053" s="39" t="s">
        <v>23210</v>
      </c>
      <c r="B6053" s="15">
        <v>1922362.0</v>
      </c>
      <c r="C6053" s="15" t="s">
        <v>23211</v>
      </c>
      <c r="D6053" s="15">
        <v>359284.0</v>
      </c>
      <c r="E6053" s="15" t="s">
        <v>1664</v>
      </c>
      <c r="F6053" s="15" t="s">
        <v>1664</v>
      </c>
      <c r="G6053" s="7">
        <v>7.612</v>
      </c>
      <c r="H6053" s="15" t="s">
        <v>3255</v>
      </c>
      <c r="I6053" s="15" t="s">
        <v>1560</v>
      </c>
      <c r="J6053" s="15" t="s">
        <v>23212</v>
      </c>
      <c r="K6053" s="15">
        <v>1.0</v>
      </c>
      <c r="L6053" s="15">
        <v>1.0</v>
      </c>
      <c r="M6053" s="41">
        <v>42714.0</v>
      </c>
      <c r="N6053" s="41">
        <v>42733.0</v>
      </c>
      <c r="O6053" s="15" t="s">
        <v>1554</v>
      </c>
      <c r="Q6053" s="7"/>
    </row>
    <row r="6054">
      <c r="A6054" s="39" t="s">
        <v>23213</v>
      </c>
      <c r="B6054" s="15">
        <v>1922368.0</v>
      </c>
      <c r="C6054" s="15" t="s">
        <v>23214</v>
      </c>
      <c r="D6054" s="15">
        <v>359280.0</v>
      </c>
      <c r="E6054" s="15" t="s">
        <v>1664</v>
      </c>
      <c r="F6054" s="15" t="s">
        <v>1664</v>
      </c>
      <c r="G6054" s="7">
        <v>12.469</v>
      </c>
      <c r="H6054" s="15" t="s">
        <v>3297</v>
      </c>
      <c r="I6054" s="15" t="s">
        <v>1560</v>
      </c>
      <c r="J6054" s="15" t="s">
        <v>23216</v>
      </c>
      <c r="K6054" s="15">
        <v>1.0</v>
      </c>
      <c r="L6054" s="15">
        <v>1.0</v>
      </c>
      <c r="M6054" s="41">
        <v>42714.0</v>
      </c>
      <c r="N6054" s="41">
        <v>42733.0</v>
      </c>
      <c r="O6054" s="15" t="s">
        <v>1554</v>
      </c>
      <c r="Q6054" s="7"/>
    </row>
    <row r="6055">
      <c r="A6055" s="39" t="s">
        <v>23217</v>
      </c>
      <c r="B6055" s="15">
        <v>1922497.0</v>
      </c>
      <c r="C6055" s="15" t="s">
        <v>23218</v>
      </c>
      <c r="D6055" s="15">
        <v>359292.0</v>
      </c>
      <c r="E6055" s="15" t="s">
        <v>1664</v>
      </c>
      <c r="F6055" s="15" t="s">
        <v>1664</v>
      </c>
      <c r="G6055" s="7">
        <v>9.528</v>
      </c>
      <c r="H6055" s="15">
        <v>43.0</v>
      </c>
      <c r="I6055" s="15" t="s">
        <v>1560</v>
      </c>
      <c r="J6055" s="15" t="s">
        <v>23219</v>
      </c>
      <c r="K6055" s="15">
        <v>2.0</v>
      </c>
      <c r="L6055" s="15">
        <v>2.0</v>
      </c>
      <c r="M6055" s="41">
        <v>42714.0</v>
      </c>
      <c r="N6055" s="41">
        <v>42733.0</v>
      </c>
      <c r="O6055" s="15" t="s">
        <v>1554</v>
      </c>
      <c r="Q6055" s="7"/>
    </row>
    <row r="6056">
      <c r="A6056" s="39" t="s">
        <v>23220</v>
      </c>
      <c r="B6056" s="15">
        <v>1922524.0</v>
      </c>
      <c r="C6056" s="15" t="s">
        <v>23221</v>
      </c>
      <c r="D6056" s="15">
        <v>359288.0</v>
      </c>
      <c r="E6056" s="15" t="s">
        <v>1664</v>
      </c>
      <c r="F6056" s="15" t="s">
        <v>1664</v>
      </c>
      <c r="G6056" s="7">
        <v>3.597</v>
      </c>
      <c r="H6056" s="15" t="s">
        <v>23222</v>
      </c>
      <c r="I6056" s="15" t="s">
        <v>1560</v>
      </c>
      <c r="J6056" s="15" t="s">
        <v>23223</v>
      </c>
      <c r="K6056" s="15">
        <v>2.0</v>
      </c>
      <c r="L6056" s="15">
        <v>2.0</v>
      </c>
      <c r="M6056" s="41">
        <v>42714.0</v>
      </c>
      <c r="N6056" s="40">
        <v>42738.0</v>
      </c>
      <c r="O6056" s="15" t="s">
        <v>1554</v>
      </c>
      <c r="Q6056" s="7"/>
    </row>
    <row r="6057">
      <c r="A6057" s="39" t="s">
        <v>23225</v>
      </c>
      <c r="B6057" s="15">
        <v>1922464.0</v>
      </c>
      <c r="C6057" s="15" t="s">
        <v>23226</v>
      </c>
      <c r="D6057" s="15">
        <v>359296.0</v>
      </c>
      <c r="E6057" s="15" t="s">
        <v>1664</v>
      </c>
      <c r="F6057" s="15" t="s">
        <v>1664</v>
      </c>
      <c r="G6057" s="7">
        <v>4.369</v>
      </c>
      <c r="H6057" s="15" t="s">
        <v>23227</v>
      </c>
      <c r="I6057" s="15" t="s">
        <v>1560</v>
      </c>
      <c r="J6057" s="15" t="s">
        <v>23228</v>
      </c>
      <c r="K6057" s="15">
        <v>2.0</v>
      </c>
      <c r="L6057" s="15">
        <v>2.0</v>
      </c>
      <c r="M6057" s="41">
        <v>42714.0</v>
      </c>
      <c r="N6057" s="40">
        <v>42738.0</v>
      </c>
      <c r="O6057" s="15" t="s">
        <v>1554</v>
      </c>
      <c r="Q6057" s="7"/>
    </row>
    <row r="6058">
      <c r="A6058" s="39" t="s">
        <v>23229</v>
      </c>
      <c r="B6058" s="15">
        <v>1922456.0</v>
      </c>
      <c r="C6058" s="15" t="s">
        <v>23230</v>
      </c>
      <c r="D6058" s="15">
        <v>359300.0</v>
      </c>
      <c r="E6058" s="15" t="s">
        <v>1664</v>
      </c>
      <c r="F6058" s="15" t="s">
        <v>1664</v>
      </c>
      <c r="G6058" s="7">
        <v>2.687</v>
      </c>
      <c r="H6058" s="15" t="s">
        <v>10545</v>
      </c>
      <c r="I6058" s="15" t="s">
        <v>1560</v>
      </c>
      <c r="J6058" s="15" t="s">
        <v>23231</v>
      </c>
      <c r="K6058" s="15">
        <v>1.0</v>
      </c>
      <c r="L6058" s="15">
        <v>1.0</v>
      </c>
      <c r="M6058" s="41">
        <v>42714.0</v>
      </c>
      <c r="N6058" s="41">
        <v>42733.0</v>
      </c>
      <c r="O6058" s="15" t="s">
        <v>1554</v>
      </c>
      <c r="Q6058" s="7"/>
    </row>
    <row r="6059">
      <c r="A6059" s="39" t="s">
        <v>23233</v>
      </c>
      <c r="B6059" s="15">
        <v>1922451.0</v>
      </c>
      <c r="C6059" s="15" t="s">
        <v>23234</v>
      </c>
      <c r="D6059" s="15">
        <v>359304.0</v>
      </c>
      <c r="E6059" s="15" t="s">
        <v>1664</v>
      </c>
      <c r="F6059" s="15" t="s">
        <v>1664</v>
      </c>
      <c r="G6059" s="7">
        <v>3.61</v>
      </c>
      <c r="H6059" s="15" t="s">
        <v>3242</v>
      </c>
      <c r="I6059" s="15" t="s">
        <v>1560</v>
      </c>
      <c r="J6059" s="15" t="s">
        <v>23235</v>
      </c>
      <c r="K6059" s="15">
        <v>2.0</v>
      </c>
      <c r="L6059" s="15">
        <v>2.0</v>
      </c>
      <c r="M6059" s="41">
        <v>42714.0</v>
      </c>
      <c r="N6059" s="41">
        <v>42733.0</v>
      </c>
      <c r="O6059" s="15" t="s">
        <v>1554</v>
      </c>
      <c r="Q6059" s="7"/>
    </row>
    <row r="6060">
      <c r="A6060" s="39" t="s">
        <v>23236</v>
      </c>
      <c r="B6060" s="15">
        <v>1922446.0</v>
      </c>
      <c r="C6060" s="15" t="s">
        <v>23237</v>
      </c>
      <c r="D6060" s="15">
        <v>359308.0</v>
      </c>
      <c r="E6060" s="15" t="s">
        <v>1664</v>
      </c>
      <c r="F6060" s="15" t="s">
        <v>1664</v>
      </c>
      <c r="G6060" s="7">
        <v>4.198</v>
      </c>
      <c r="H6060" s="15" t="s">
        <v>3242</v>
      </c>
      <c r="I6060" s="15" t="s">
        <v>1560</v>
      </c>
      <c r="J6060" s="15" t="s">
        <v>23238</v>
      </c>
      <c r="K6060" s="15">
        <v>1.0</v>
      </c>
      <c r="L6060" s="15">
        <v>1.0</v>
      </c>
      <c r="M6060" s="41">
        <v>42714.0</v>
      </c>
      <c r="N6060" s="41">
        <v>42733.0</v>
      </c>
      <c r="O6060" s="15" t="s">
        <v>1554</v>
      </c>
      <c r="Q6060" s="7"/>
    </row>
    <row r="6061">
      <c r="A6061" s="39" t="s">
        <v>23239</v>
      </c>
      <c r="B6061" s="15">
        <v>1922442.0</v>
      </c>
      <c r="C6061" s="15" t="s">
        <v>23240</v>
      </c>
      <c r="D6061" s="15">
        <v>359312.0</v>
      </c>
      <c r="E6061" s="15" t="s">
        <v>1664</v>
      </c>
      <c r="F6061" s="15" t="s">
        <v>1664</v>
      </c>
      <c r="G6061" s="7">
        <v>2.962</v>
      </c>
      <c r="H6061" s="15" t="s">
        <v>3070</v>
      </c>
      <c r="I6061" s="15" t="s">
        <v>1560</v>
      </c>
      <c r="J6061" s="15" t="s">
        <v>23241</v>
      </c>
      <c r="K6061" s="15">
        <v>1.0</v>
      </c>
      <c r="L6061" s="15">
        <v>1.0</v>
      </c>
      <c r="M6061" s="41">
        <v>42714.0</v>
      </c>
      <c r="N6061" s="41">
        <v>42733.0</v>
      </c>
      <c r="O6061" s="15" t="s">
        <v>1554</v>
      </c>
      <c r="Q6061" s="7"/>
    </row>
    <row r="6062">
      <c r="A6062" s="39" t="s">
        <v>23243</v>
      </c>
      <c r="B6062" s="15">
        <v>1923760.0</v>
      </c>
      <c r="C6062" s="15" t="s">
        <v>23244</v>
      </c>
      <c r="D6062" s="15">
        <v>359328.0</v>
      </c>
      <c r="E6062" s="15" t="s">
        <v>1664</v>
      </c>
      <c r="F6062" s="15" t="s">
        <v>1664</v>
      </c>
      <c r="G6062" s="7">
        <v>11.374</v>
      </c>
      <c r="H6062" s="15" t="s">
        <v>2158</v>
      </c>
      <c r="I6062" s="15" t="s">
        <v>1560</v>
      </c>
      <c r="J6062" s="15" t="s">
        <v>23245</v>
      </c>
      <c r="K6062" s="15">
        <v>3.0</v>
      </c>
      <c r="L6062" s="15">
        <v>3.0</v>
      </c>
      <c r="M6062" s="41">
        <v>42714.0</v>
      </c>
      <c r="N6062" s="40">
        <v>42738.0</v>
      </c>
      <c r="O6062" s="15" t="s">
        <v>1554</v>
      </c>
      <c r="Q6062" s="7"/>
    </row>
    <row r="6063">
      <c r="A6063" s="39" t="s">
        <v>23246</v>
      </c>
      <c r="B6063" s="15">
        <v>1923654.0</v>
      </c>
      <c r="C6063" s="15" t="s">
        <v>23247</v>
      </c>
      <c r="D6063" s="15">
        <v>359332.0</v>
      </c>
      <c r="E6063" s="15" t="s">
        <v>1664</v>
      </c>
      <c r="F6063" s="15" t="s">
        <v>1664</v>
      </c>
      <c r="G6063" s="7">
        <v>9.997</v>
      </c>
      <c r="H6063" s="15" t="s">
        <v>1591</v>
      </c>
      <c r="I6063" s="15" t="s">
        <v>1560</v>
      </c>
      <c r="J6063" s="15" t="s">
        <v>23248</v>
      </c>
      <c r="K6063" s="15">
        <v>2.0</v>
      </c>
      <c r="L6063" s="15">
        <v>2.0</v>
      </c>
      <c r="M6063" s="41">
        <v>42714.0</v>
      </c>
      <c r="N6063" s="41">
        <v>42733.0</v>
      </c>
      <c r="O6063" s="15" t="s">
        <v>1554</v>
      </c>
      <c r="Q6063" s="7"/>
    </row>
    <row r="6064">
      <c r="A6064" s="39" t="s">
        <v>23249</v>
      </c>
      <c r="B6064" s="15">
        <v>1923463.0</v>
      </c>
      <c r="C6064" s="15" t="s">
        <v>23250</v>
      </c>
      <c r="D6064" s="15">
        <v>359336.0</v>
      </c>
      <c r="E6064" s="15" t="s">
        <v>1664</v>
      </c>
      <c r="F6064" s="15" t="s">
        <v>1664</v>
      </c>
      <c r="G6064" s="7">
        <v>12.384</v>
      </c>
      <c r="H6064" s="15" t="s">
        <v>1710</v>
      </c>
      <c r="I6064" s="15" t="s">
        <v>1560</v>
      </c>
      <c r="J6064" s="15" t="s">
        <v>23252</v>
      </c>
      <c r="K6064" s="15">
        <v>3.0</v>
      </c>
      <c r="L6064" s="15">
        <v>3.0</v>
      </c>
      <c r="M6064" s="41">
        <v>42714.0</v>
      </c>
      <c r="N6064" s="40">
        <v>42738.0</v>
      </c>
      <c r="O6064" s="15" t="s">
        <v>1554</v>
      </c>
      <c r="Q6064" s="7"/>
    </row>
    <row r="6065">
      <c r="A6065" s="39" t="s">
        <v>23253</v>
      </c>
      <c r="B6065" s="15">
        <v>1923409.0</v>
      </c>
      <c r="C6065" s="15" t="s">
        <v>23254</v>
      </c>
      <c r="D6065" s="15">
        <v>359340.0</v>
      </c>
      <c r="E6065" s="15" t="s">
        <v>1664</v>
      </c>
      <c r="F6065" s="15" t="s">
        <v>1664</v>
      </c>
      <c r="G6065" s="7">
        <v>9.324</v>
      </c>
      <c r="H6065" s="15">
        <v>44.0</v>
      </c>
      <c r="I6065" s="15" t="s">
        <v>1560</v>
      </c>
      <c r="J6065" s="15" t="s">
        <v>23255</v>
      </c>
      <c r="K6065" s="15">
        <v>2.0</v>
      </c>
      <c r="L6065" s="15">
        <v>2.0</v>
      </c>
      <c r="M6065" s="41">
        <v>42714.0</v>
      </c>
      <c r="N6065" s="41">
        <v>42733.0</v>
      </c>
      <c r="O6065" s="15" t="s">
        <v>1554</v>
      </c>
      <c r="Q6065" s="7"/>
    </row>
    <row r="6066">
      <c r="A6066" s="39" t="s">
        <v>23257</v>
      </c>
      <c r="B6066" s="15">
        <v>1923307.0</v>
      </c>
      <c r="C6066" s="15" t="s">
        <v>23258</v>
      </c>
      <c r="D6066" s="15">
        <v>359344.0</v>
      </c>
      <c r="E6066" s="15" t="s">
        <v>1664</v>
      </c>
      <c r="F6066" s="15" t="s">
        <v>1664</v>
      </c>
      <c r="G6066" s="7">
        <v>7.198</v>
      </c>
      <c r="H6066" s="15" t="s">
        <v>2284</v>
      </c>
      <c r="I6066" s="15" t="s">
        <v>1560</v>
      </c>
      <c r="J6066" s="15" t="s">
        <v>23259</v>
      </c>
      <c r="K6066" s="15">
        <v>2.0</v>
      </c>
      <c r="L6066" s="15">
        <v>2.0</v>
      </c>
      <c r="M6066" s="41">
        <v>42714.0</v>
      </c>
      <c r="N6066" s="40">
        <v>42738.0</v>
      </c>
      <c r="O6066" s="15" t="s">
        <v>1554</v>
      </c>
      <c r="Q6066" s="7"/>
    </row>
    <row r="6067">
      <c r="A6067" s="39" t="s">
        <v>23260</v>
      </c>
      <c r="B6067" s="15">
        <v>1547219.0</v>
      </c>
      <c r="C6067" s="15" t="s">
        <v>23261</v>
      </c>
      <c r="D6067" s="15">
        <v>359253.0</v>
      </c>
      <c r="E6067" s="15" t="s">
        <v>1664</v>
      </c>
      <c r="F6067" s="15" t="s">
        <v>1664</v>
      </c>
      <c r="G6067" s="7">
        <v>5.991</v>
      </c>
      <c r="H6067" s="15" t="s">
        <v>2417</v>
      </c>
      <c r="I6067" s="15" t="s">
        <v>1560</v>
      </c>
      <c r="J6067" s="15" t="s">
        <v>23262</v>
      </c>
      <c r="K6067" s="15">
        <v>4.0</v>
      </c>
      <c r="L6067" s="15">
        <v>4.0</v>
      </c>
      <c r="M6067" s="41">
        <v>42714.0</v>
      </c>
      <c r="N6067" s="40">
        <v>42738.0</v>
      </c>
      <c r="O6067" s="15" t="s">
        <v>1554</v>
      </c>
      <c r="Q6067" s="7"/>
    </row>
    <row r="6068">
      <c r="A6068" s="39" t="s">
        <v>23263</v>
      </c>
      <c r="B6068" s="15">
        <v>1922438.0</v>
      </c>
      <c r="C6068" s="15" t="s">
        <v>23264</v>
      </c>
      <c r="D6068" s="15">
        <v>359257.0</v>
      </c>
      <c r="E6068" s="15" t="s">
        <v>1664</v>
      </c>
      <c r="F6068" s="15" t="s">
        <v>1664</v>
      </c>
      <c r="G6068" s="7">
        <v>3.95</v>
      </c>
      <c r="H6068" s="15" t="s">
        <v>2000</v>
      </c>
      <c r="I6068" s="15" t="s">
        <v>1560</v>
      </c>
      <c r="J6068" s="15" t="s">
        <v>23266</v>
      </c>
      <c r="K6068" s="15">
        <v>2.0</v>
      </c>
      <c r="L6068" s="15">
        <v>2.0</v>
      </c>
      <c r="M6068" s="41">
        <v>42714.0</v>
      </c>
      <c r="N6068" s="41">
        <v>42733.0</v>
      </c>
      <c r="O6068" s="15" t="s">
        <v>1554</v>
      </c>
      <c r="Q6068" s="7"/>
    </row>
    <row r="6069">
      <c r="A6069" s="39" t="s">
        <v>23267</v>
      </c>
      <c r="B6069" s="15">
        <v>1922433.0</v>
      </c>
      <c r="C6069" s="15" t="s">
        <v>23268</v>
      </c>
      <c r="D6069" s="15">
        <v>359261.0</v>
      </c>
      <c r="E6069" s="15" t="s">
        <v>1664</v>
      </c>
      <c r="F6069" s="15" t="s">
        <v>1664</v>
      </c>
      <c r="G6069" s="7">
        <v>4.653</v>
      </c>
      <c r="H6069" s="15" t="s">
        <v>23269</v>
      </c>
      <c r="I6069" s="15" t="s">
        <v>1560</v>
      </c>
      <c r="J6069" s="15" t="s">
        <v>23270</v>
      </c>
      <c r="K6069" s="15">
        <v>4.0</v>
      </c>
      <c r="L6069" s="15">
        <v>4.0</v>
      </c>
      <c r="M6069" s="41">
        <v>42714.0</v>
      </c>
      <c r="N6069" s="40">
        <v>42738.0</v>
      </c>
      <c r="O6069" s="15" t="s">
        <v>1554</v>
      </c>
      <c r="Q6069" s="7"/>
    </row>
    <row r="6070">
      <c r="A6070" s="39" t="s">
        <v>23271</v>
      </c>
      <c r="B6070" s="15">
        <v>1922429.0</v>
      </c>
      <c r="C6070" s="15" t="s">
        <v>23272</v>
      </c>
      <c r="D6070" s="15">
        <v>359265.0</v>
      </c>
      <c r="E6070" s="15" t="s">
        <v>1664</v>
      </c>
      <c r="F6070" s="15" t="s">
        <v>1664</v>
      </c>
      <c r="G6070" s="7">
        <v>11.959</v>
      </c>
      <c r="H6070" s="15" t="s">
        <v>1559</v>
      </c>
      <c r="I6070" s="15" t="s">
        <v>1560</v>
      </c>
      <c r="J6070" s="15" t="s">
        <v>23273</v>
      </c>
      <c r="K6070" s="15">
        <v>5.0</v>
      </c>
      <c r="L6070" s="15">
        <v>5.0</v>
      </c>
      <c r="M6070" s="41">
        <v>42714.0</v>
      </c>
      <c r="N6070" s="40">
        <v>42738.0</v>
      </c>
      <c r="O6070" s="15" t="s">
        <v>1554</v>
      </c>
      <c r="Q6070" s="7"/>
    </row>
    <row r="6071">
      <c r="A6071" s="39" t="s">
        <v>23274</v>
      </c>
      <c r="B6071" s="15">
        <v>1922391.0</v>
      </c>
      <c r="C6071" s="15" t="s">
        <v>23275</v>
      </c>
      <c r="D6071" s="15">
        <v>359269.0</v>
      </c>
      <c r="E6071" s="15" t="s">
        <v>1664</v>
      </c>
      <c r="F6071" s="15" t="s">
        <v>1664</v>
      </c>
      <c r="G6071" s="7">
        <v>29.385</v>
      </c>
      <c r="H6071" s="15" t="s">
        <v>3070</v>
      </c>
      <c r="I6071" s="15" t="s">
        <v>1560</v>
      </c>
      <c r="J6071" s="15" t="s">
        <v>23276</v>
      </c>
      <c r="K6071" s="15">
        <v>7.0</v>
      </c>
      <c r="L6071" s="15">
        <v>7.0</v>
      </c>
      <c r="M6071" s="41">
        <v>42714.0</v>
      </c>
      <c r="N6071" s="41">
        <v>42733.0</v>
      </c>
      <c r="O6071" s="15" t="s">
        <v>1554</v>
      </c>
      <c r="Q6071" s="7"/>
    </row>
    <row r="6072">
      <c r="A6072" s="39" t="s">
        <v>23278</v>
      </c>
      <c r="B6072" s="15">
        <v>1922385.0</v>
      </c>
      <c r="C6072" s="15" t="s">
        <v>23279</v>
      </c>
      <c r="D6072" s="15">
        <v>359273.0</v>
      </c>
      <c r="E6072" s="15" t="s">
        <v>1664</v>
      </c>
      <c r="F6072" s="15" t="s">
        <v>1664</v>
      </c>
      <c r="G6072" s="7">
        <v>10.084</v>
      </c>
      <c r="H6072" s="15" t="s">
        <v>7887</v>
      </c>
      <c r="I6072" s="15" t="s">
        <v>1560</v>
      </c>
      <c r="J6072" s="15" t="s">
        <v>23280</v>
      </c>
      <c r="K6072" s="15">
        <v>3.0</v>
      </c>
      <c r="L6072" s="15">
        <v>3.0</v>
      </c>
      <c r="M6072" s="41">
        <v>42714.0</v>
      </c>
      <c r="N6072" s="40">
        <v>42738.0</v>
      </c>
      <c r="O6072" s="15" t="s">
        <v>1554</v>
      </c>
      <c r="Q6072" s="7"/>
    </row>
    <row r="6073">
      <c r="A6073" s="39" t="s">
        <v>23281</v>
      </c>
      <c r="B6073" s="15">
        <v>1922377.0</v>
      </c>
      <c r="C6073" s="15" t="s">
        <v>23282</v>
      </c>
      <c r="D6073" s="15">
        <v>359277.0</v>
      </c>
      <c r="E6073" s="15" t="s">
        <v>1664</v>
      </c>
      <c r="F6073" s="15" t="s">
        <v>1664</v>
      </c>
      <c r="G6073" s="7">
        <v>6.589</v>
      </c>
      <c r="H6073" s="15" t="s">
        <v>3097</v>
      </c>
      <c r="I6073" s="15" t="s">
        <v>1560</v>
      </c>
      <c r="J6073" s="15" t="s">
        <v>23283</v>
      </c>
      <c r="K6073" s="15">
        <v>1.0</v>
      </c>
      <c r="L6073" s="15">
        <v>1.0</v>
      </c>
      <c r="M6073" s="41">
        <v>42714.0</v>
      </c>
      <c r="N6073" s="40">
        <v>42740.0</v>
      </c>
      <c r="O6073" s="15" t="s">
        <v>1554</v>
      </c>
      <c r="Q6073" s="7"/>
    </row>
    <row r="6074">
      <c r="A6074" s="39" t="s">
        <v>23284</v>
      </c>
      <c r="B6074" s="15">
        <v>1922367.0</v>
      </c>
      <c r="C6074" s="15" t="s">
        <v>23285</v>
      </c>
      <c r="D6074" s="15">
        <v>359281.0</v>
      </c>
      <c r="E6074" s="15" t="s">
        <v>1664</v>
      </c>
      <c r="F6074" s="15" t="s">
        <v>1664</v>
      </c>
      <c r="G6074" s="7">
        <v>11.058</v>
      </c>
      <c r="H6074" s="15" t="s">
        <v>4563</v>
      </c>
      <c r="I6074" s="15" t="s">
        <v>1560</v>
      </c>
      <c r="J6074" s="15" t="s">
        <v>23287</v>
      </c>
      <c r="K6074" s="15">
        <v>3.0</v>
      </c>
      <c r="L6074" s="15">
        <v>3.0</v>
      </c>
      <c r="M6074" s="41">
        <v>42714.0</v>
      </c>
      <c r="N6074" s="40">
        <v>42738.0</v>
      </c>
      <c r="O6074" s="15" t="s">
        <v>1554</v>
      </c>
      <c r="Q6074" s="7"/>
    </row>
    <row r="6075">
      <c r="A6075" s="39" t="s">
        <v>23288</v>
      </c>
      <c r="B6075" s="15">
        <v>1923278.0</v>
      </c>
      <c r="C6075" s="15" t="s">
        <v>23289</v>
      </c>
      <c r="D6075" s="15">
        <v>359285.0</v>
      </c>
      <c r="E6075" s="15" t="s">
        <v>1664</v>
      </c>
      <c r="F6075" s="15" t="s">
        <v>1664</v>
      </c>
      <c r="G6075" s="7">
        <v>2.328</v>
      </c>
      <c r="H6075" s="15" t="s">
        <v>2981</v>
      </c>
      <c r="I6075" s="15" t="s">
        <v>1560</v>
      </c>
      <c r="J6075" s="15" t="s">
        <v>23290</v>
      </c>
      <c r="K6075" s="15">
        <v>2.0</v>
      </c>
      <c r="L6075" s="15">
        <v>2.0</v>
      </c>
      <c r="M6075" s="41">
        <v>42714.0</v>
      </c>
      <c r="N6075" s="40">
        <v>42738.0</v>
      </c>
      <c r="O6075" s="15" t="s">
        <v>1554</v>
      </c>
      <c r="Q6075" s="7"/>
    </row>
    <row r="6076">
      <c r="A6076" s="39" t="s">
        <v>23291</v>
      </c>
      <c r="B6076" s="15">
        <v>1922496.0</v>
      </c>
      <c r="C6076" s="15" t="s">
        <v>23292</v>
      </c>
      <c r="D6076" s="15">
        <v>359293.0</v>
      </c>
      <c r="E6076" s="15" t="s">
        <v>1664</v>
      </c>
      <c r="F6076" s="15" t="s">
        <v>1664</v>
      </c>
      <c r="G6076" s="7">
        <v>9.974</v>
      </c>
      <c r="H6076" s="15" t="s">
        <v>6633</v>
      </c>
      <c r="I6076" s="15" t="s">
        <v>1560</v>
      </c>
      <c r="J6076" s="15" t="s">
        <v>23293</v>
      </c>
      <c r="K6076" s="15">
        <v>2.0</v>
      </c>
      <c r="L6076" s="15">
        <v>2.0</v>
      </c>
      <c r="M6076" s="41">
        <v>42714.0</v>
      </c>
      <c r="N6076" s="41">
        <v>42733.0</v>
      </c>
      <c r="O6076" s="15" t="s">
        <v>1554</v>
      </c>
      <c r="Q6076" s="7"/>
    </row>
    <row r="6077">
      <c r="A6077" s="39" t="s">
        <v>23295</v>
      </c>
      <c r="B6077" s="15">
        <v>1922504.0</v>
      </c>
      <c r="C6077" s="15" t="s">
        <v>23296</v>
      </c>
      <c r="D6077" s="15">
        <v>359289.0</v>
      </c>
      <c r="E6077" s="15" t="s">
        <v>1664</v>
      </c>
      <c r="F6077" s="15" t="s">
        <v>1664</v>
      </c>
      <c r="G6077" s="7">
        <v>3.266</v>
      </c>
      <c r="H6077" s="15" t="s">
        <v>23297</v>
      </c>
      <c r="I6077" s="15" t="s">
        <v>1560</v>
      </c>
      <c r="J6077" s="15" t="s">
        <v>23298</v>
      </c>
      <c r="K6077" s="15">
        <v>2.0</v>
      </c>
      <c r="L6077" s="15">
        <v>2.0</v>
      </c>
      <c r="M6077" s="41">
        <v>42714.0</v>
      </c>
      <c r="N6077" s="40">
        <v>42738.0</v>
      </c>
      <c r="O6077" s="15" t="s">
        <v>1554</v>
      </c>
      <c r="Q6077" s="7"/>
    </row>
    <row r="6078">
      <c r="A6078" s="39" t="s">
        <v>23299</v>
      </c>
      <c r="B6078" s="15">
        <v>1922461.0</v>
      </c>
      <c r="C6078" s="15" t="s">
        <v>23300</v>
      </c>
      <c r="D6078" s="15">
        <v>359297.0</v>
      </c>
      <c r="E6078" s="15" t="s">
        <v>1664</v>
      </c>
      <c r="F6078" s="15" t="s">
        <v>1664</v>
      </c>
      <c r="G6078" s="7">
        <v>4.035</v>
      </c>
      <c r="H6078" s="15" t="s">
        <v>7049</v>
      </c>
      <c r="I6078" s="15" t="s">
        <v>1560</v>
      </c>
      <c r="J6078" s="15" t="s">
        <v>23301</v>
      </c>
      <c r="K6078" s="15">
        <v>2.0</v>
      </c>
      <c r="L6078" s="15">
        <v>2.0</v>
      </c>
      <c r="M6078" s="41">
        <v>42714.0</v>
      </c>
      <c r="N6078" s="41">
        <v>42733.0</v>
      </c>
      <c r="O6078" s="15" t="s">
        <v>1554</v>
      </c>
      <c r="Q6078" s="7"/>
    </row>
    <row r="6079">
      <c r="A6079" s="39" t="s">
        <v>23302</v>
      </c>
      <c r="B6079" s="15">
        <v>1922455.0</v>
      </c>
      <c r="C6079" s="15" t="s">
        <v>23303</v>
      </c>
      <c r="D6079" s="15">
        <v>359301.0</v>
      </c>
      <c r="E6079" s="15" t="s">
        <v>1664</v>
      </c>
      <c r="F6079" s="15" t="s">
        <v>1664</v>
      </c>
      <c r="G6079" s="7">
        <v>2.816</v>
      </c>
      <c r="H6079" s="15" t="s">
        <v>3227</v>
      </c>
      <c r="I6079" s="15" t="s">
        <v>1560</v>
      </c>
      <c r="J6079" s="15" t="s">
        <v>23304</v>
      </c>
      <c r="K6079" s="15">
        <v>1.0</v>
      </c>
      <c r="L6079" s="15">
        <v>1.0</v>
      </c>
      <c r="M6079" s="41">
        <v>42714.0</v>
      </c>
      <c r="N6079" s="41">
        <v>42733.0</v>
      </c>
      <c r="O6079" s="15" t="s">
        <v>1554</v>
      </c>
      <c r="Q6079" s="7"/>
    </row>
    <row r="6080">
      <c r="A6080" s="39" t="s">
        <v>23306</v>
      </c>
      <c r="B6080" s="15">
        <v>1922445.0</v>
      </c>
      <c r="C6080" s="15" t="s">
        <v>23307</v>
      </c>
      <c r="D6080" s="15">
        <v>359309.0</v>
      </c>
      <c r="E6080" s="15" t="s">
        <v>1664</v>
      </c>
      <c r="F6080" s="15" t="s">
        <v>1664</v>
      </c>
      <c r="G6080" s="7">
        <v>3.761</v>
      </c>
      <c r="H6080" s="15">
        <v>45.0</v>
      </c>
      <c r="I6080" s="15" t="s">
        <v>1560</v>
      </c>
      <c r="J6080" s="15" t="s">
        <v>23308</v>
      </c>
      <c r="K6080" s="15">
        <v>1.0</v>
      </c>
      <c r="L6080" s="15">
        <v>1.0</v>
      </c>
      <c r="M6080" s="41">
        <v>42714.0</v>
      </c>
      <c r="N6080" s="41">
        <v>42733.0</v>
      </c>
      <c r="O6080" s="15" t="s">
        <v>1554</v>
      </c>
      <c r="Q6080" s="7"/>
    </row>
    <row r="6081">
      <c r="A6081" s="39" t="s">
        <v>23309</v>
      </c>
      <c r="B6081" s="15">
        <v>1922449.0</v>
      </c>
      <c r="C6081" s="15" t="s">
        <v>23310</v>
      </c>
      <c r="D6081" s="15">
        <v>359305.0</v>
      </c>
      <c r="E6081" s="15" t="s">
        <v>1664</v>
      </c>
      <c r="F6081" s="15" t="s">
        <v>1664</v>
      </c>
      <c r="G6081" s="7">
        <v>3.537</v>
      </c>
      <c r="H6081" s="15" t="s">
        <v>1772</v>
      </c>
      <c r="I6081" s="15" t="s">
        <v>1560</v>
      </c>
      <c r="J6081" s="15" t="s">
        <v>23311</v>
      </c>
      <c r="K6081" s="15">
        <v>1.0</v>
      </c>
      <c r="L6081" s="15">
        <v>1.0</v>
      </c>
      <c r="M6081" s="41">
        <v>42714.0</v>
      </c>
      <c r="N6081" s="41">
        <v>42733.0</v>
      </c>
      <c r="O6081" s="15" t="s">
        <v>1554</v>
      </c>
      <c r="Q6081" s="7"/>
    </row>
    <row r="6082">
      <c r="A6082" s="39" t="s">
        <v>23312</v>
      </c>
      <c r="B6082" s="15">
        <v>1922441.0</v>
      </c>
      <c r="C6082" s="15" t="s">
        <v>23313</v>
      </c>
      <c r="D6082" s="15">
        <v>359313.0</v>
      </c>
      <c r="E6082" s="15" t="s">
        <v>1664</v>
      </c>
      <c r="F6082" s="15" t="s">
        <v>1664</v>
      </c>
      <c r="G6082" s="7">
        <v>3.003</v>
      </c>
      <c r="H6082" s="15" t="s">
        <v>4563</v>
      </c>
      <c r="I6082" s="15" t="s">
        <v>1560</v>
      </c>
      <c r="J6082" s="15" t="s">
        <v>23315</v>
      </c>
      <c r="K6082" s="15">
        <v>1.0</v>
      </c>
      <c r="L6082" s="15">
        <v>1.0</v>
      </c>
      <c r="M6082" s="41">
        <v>42714.0</v>
      </c>
      <c r="N6082" s="41">
        <v>42733.0</v>
      </c>
      <c r="O6082" s="15" t="s">
        <v>1554</v>
      </c>
      <c r="Q6082" s="7"/>
    </row>
    <row r="6083">
      <c r="A6083" s="39" t="s">
        <v>23316</v>
      </c>
      <c r="B6083" s="15">
        <v>1923744.0</v>
      </c>
      <c r="C6083" s="15" t="s">
        <v>23317</v>
      </c>
      <c r="D6083" s="15">
        <v>359329.0</v>
      </c>
      <c r="E6083" s="15" t="s">
        <v>1664</v>
      </c>
      <c r="F6083" s="15" t="s">
        <v>1664</v>
      </c>
      <c r="G6083" s="7">
        <v>20.843</v>
      </c>
      <c r="H6083" s="15" t="s">
        <v>23318</v>
      </c>
      <c r="I6083" s="15" t="s">
        <v>1560</v>
      </c>
      <c r="J6083" s="15" t="s">
        <v>23319</v>
      </c>
      <c r="K6083" s="15">
        <v>4.0</v>
      </c>
      <c r="L6083" s="15">
        <v>4.0</v>
      </c>
      <c r="M6083" s="41">
        <v>42714.0</v>
      </c>
      <c r="N6083" s="40">
        <v>42738.0</v>
      </c>
      <c r="O6083" s="15" t="s">
        <v>1554</v>
      </c>
      <c r="Q6083" s="7"/>
    </row>
    <row r="6084">
      <c r="A6084" s="39" t="s">
        <v>23320</v>
      </c>
      <c r="B6084" s="15">
        <v>1923451.0</v>
      </c>
      <c r="C6084" s="15" t="s">
        <v>23321</v>
      </c>
      <c r="D6084" s="15">
        <v>359337.0</v>
      </c>
      <c r="E6084" s="15" t="s">
        <v>1664</v>
      </c>
      <c r="F6084" s="15" t="s">
        <v>1664</v>
      </c>
      <c r="G6084" s="7">
        <v>8.675</v>
      </c>
      <c r="H6084" s="15" t="s">
        <v>1714</v>
      </c>
      <c r="I6084" s="15" t="s">
        <v>1560</v>
      </c>
      <c r="J6084" s="15" t="s">
        <v>23322</v>
      </c>
      <c r="K6084" s="15">
        <v>2.0</v>
      </c>
      <c r="L6084" s="15">
        <v>2.0</v>
      </c>
      <c r="M6084" s="41">
        <v>42714.0</v>
      </c>
      <c r="N6084" s="41">
        <v>42733.0</v>
      </c>
      <c r="O6084" s="15" t="s">
        <v>1554</v>
      </c>
      <c r="Q6084" s="7"/>
    </row>
    <row r="6085">
      <c r="A6085" s="39" t="s">
        <v>23324</v>
      </c>
      <c r="B6085" s="15">
        <v>1923615.0</v>
      </c>
      <c r="C6085" s="15" t="s">
        <v>23325</v>
      </c>
      <c r="D6085" s="15">
        <v>359333.0</v>
      </c>
      <c r="E6085" s="15" t="s">
        <v>1664</v>
      </c>
      <c r="F6085" s="15" t="s">
        <v>1664</v>
      </c>
      <c r="G6085" s="7">
        <v>8.452</v>
      </c>
      <c r="H6085" s="15" t="s">
        <v>2023</v>
      </c>
      <c r="I6085" s="15" t="s">
        <v>1560</v>
      </c>
      <c r="J6085" s="15" t="s">
        <v>23326</v>
      </c>
      <c r="K6085" s="15">
        <v>1.0</v>
      </c>
      <c r="L6085" s="15">
        <v>1.0</v>
      </c>
      <c r="M6085" s="41">
        <v>42714.0</v>
      </c>
      <c r="N6085" s="41">
        <v>42733.0</v>
      </c>
      <c r="O6085" s="15" t="s">
        <v>1554</v>
      </c>
      <c r="Q6085" s="7"/>
    </row>
    <row r="6086">
      <c r="A6086" s="39" t="s">
        <v>23327</v>
      </c>
      <c r="B6086" s="15">
        <v>1923285.0</v>
      </c>
      <c r="C6086" s="15" t="s">
        <v>23328</v>
      </c>
      <c r="D6086" s="15">
        <v>359345.0</v>
      </c>
      <c r="E6086" s="15" t="s">
        <v>1664</v>
      </c>
      <c r="F6086" s="15" t="s">
        <v>1664</v>
      </c>
      <c r="G6086" s="7">
        <v>5.516</v>
      </c>
      <c r="H6086" s="15" t="s">
        <v>2901</v>
      </c>
      <c r="I6086" s="15" t="s">
        <v>1560</v>
      </c>
      <c r="J6086" s="15" t="s">
        <v>23329</v>
      </c>
      <c r="K6086" s="15">
        <v>1.0</v>
      </c>
      <c r="L6086" s="15">
        <v>1.0</v>
      </c>
      <c r="M6086" s="41">
        <v>42714.0</v>
      </c>
      <c r="N6086" s="40">
        <v>42738.0</v>
      </c>
      <c r="O6086" s="15" t="s">
        <v>1554</v>
      </c>
      <c r="Q6086" s="7"/>
    </row>
    <row r="6087">
      <c r="A6087" s="39" t="s">
        <v>23330</v>
      </c>
      <c r="B6087" s="15">
        <v>1923399.0</v>
      </c>
      <c r="C6087" s="15" t="s">
        <v>23331</v>
      </c>
      <c r="D6087" s="15">
        <v>359341.0</v>
      </c>
      <c r="E6087" s="15" t="s">
        <v>1664</v>
      </c>
      <c r="F6087" s="15" t="s">
        <v>1664</v>
      </c>
      <c r="G6087" s="7">
        <v>3.705</v>
      </c>
      <c r="H6087" s="15" t="s">
        <v>1720</v>
      </c>
      <c r="I6087" s="15" t="s">
        <v>1560</v>
      </c>
      <c r="J6087" s="15" t="s">
        <v>23332</v>
      </c>
      <c r="K6087" s="15">
        <v>2.0</v>
      </c>
      <c r="L6087" s="15">
        <v>2.0</v>
      </c>
      <c r="M6087" s="41">
        <v>42714.0</v>
      </c>
      <c r="N6087" s="40">
        <v>42738.0</v>
      </c>
      <c r="O6087" s="15" t="s">
        <v>1554</v>
      </c>
      <c r="Q6087" s="7"/>
    </row>
    <row r="6088">
      <c r="A6088" s="39" t="s">
        <v>23334</v>
      </c>
      <c r="B6088" s="15">
        <v>1922379.0</v>
      </c>
      <c r="C6088" s="15" t="s">
        <v>23335</v>
      </c>
      <c r="D6088" s="15">
        <v>359275.0</v>
      </c>
      <c r="E6088" s="15" t="s">
        <v>1664</v>
      </c>
      <c r="F6088" s="15" t="s">
        <v>1664</v>
      </c>
      <c r="G6088" s="7">
        <v>8.175</v>
      </c>
      <c r="H6088" s="15" t="s">
        <v>1792</v>
      </c>
      <c r="I6088" s="15" t="s">
        <v>1560</v>
      </c>
      <c r="J6088" s="15" t="s">
        <v>23336</v>
      </c>
      <c r="K6088" s="15">
        <v>1.0</v>
      </c>
      <c r="L6088" s="15">
        <v>1.0</v>
      </c>
      <c r="M6088" s="41">
        <v>42714.0</v>
      </c>
      <c r="N6088" s="41">
        <v>42733.0</v>
      </c>
      <c r="O6088" s="15" t="s">
        <v>1554</v>
      </c>
      <c r="Q6088" s="7"/>
    </row>
    <row r="6089">
      <c r="A6089" s="39" t="s">
        <v>23337</v>
      </c>
      <c r="B6089" s="15">
        <v>1922388.0</v>
      </c>
      <c r="C6089" s="15" t="s">
        <v>23338</v>
      </c>
      <c r="D6089" s="15">
        <v>359271.0</v>
      </c>
      <c r="E6089" s="15" t="s">
        <v>1664</v>
      </c>
      <c r="F6089" s="15" t="s">
        <v>1664</v>
      </c>
      <c r="G6089" s="7">
        <v>9.888</v>
      </c>
      <c r="H6089" s="15" t="s">
        <v>2981</v>
      </c>
      <c r="I6089" s="15" t="s">
        <v>1560</v>
      </c>
      <c r="J6089" s="15" t="s">
        <v>23339</v>
      </c>
      <c r="K6089" s="15">
        <v>2.0</v>
      </c>
      <c r="L6089" s="15">
        <v>2.0</v>
      </c>
      <c r="M6089" s="41">
        <v>42714.0</v>
      </c>
      <c r="N6089" s="41">
        <v>42733.0</v>
      </c>
      <c r="O6089" s="15" t="s">
        <v>1554</v>
      </c>
      <c r="Q6089" s="7"/>
    </row>
    <row r="6090">
      <c r="A6090" s="39" t="s">
        <v>23340</v>
      </c>
      <c r="B6090" s="15">
        <v>1922365.0</v>
      </c>
      <c r="C6090" s="15" t="s">
        <v>23342</v>
      </c>
      <c r="D6090" s="15">
        <v>359283.0</v>
      </c>
      <c r="E6090" s="15" t="s">
        <v>1664</v>
      </c>
      <c r="F6090" s="15" t="s">
        <v>1664</v>
      </c>
      <c r="G6090" s="7">
        <v>11.112</v>
      </c>
      <c r="H6090" s="15" t="s">
        <v>5934</v>
      </c>
      <c r="I6090" s="15" t="s">
        <v>1560</v>
      </c>
      <c r="J6090" s="15" t="s">
        <v>23343</v>
      </c>
      <c r="K6090" s="15">
        <v>6.0</v>
      </c>
      <c r="L6090" s="15">
        <v>6.0</v>
      </c>
      <c r="M6090" s="41">
        <v>42714.0</v>
      </c>
      <c r="N6090" s="40">
        <v>42738.0</v>
      </c>
      <c r="O6090" s="15" t="s">
        <v>1554</v>
      </c>
      <c r="Q6090" s="7"/>
    </row>
    <row r="6091">
      <c r="A6091" s="39" t="s">
        <v>23344</v>
      </c>
      <c r="B6091" s="15">
        <v>1922370.0</v>
      </c>
      <c r="C6091" s="15" t="s">
        <v>23345</v>
      </c>
      <c r="D6091" s="15">
        <v>359279.0</v>
      </c>
      <c r="E6091" s="15" t="s">
        <v>1664</v>
      </c>
      <c r="F6091" s="15" t="s">
        <v>1664</v>
      </c>
      <c r="G6091" s="7">
        <v>4.998</v>
      </c>
      <c r="H6091" s="15" t="s">
        <v>1700</v>
      </c>
      <c r="I6091" s="15" t="s">
        <v>1560</v>
      </c>
      <c r="J6091" s="15" t="s">
        <v>23346</v>
      </c>
      <c r="K6091" s="15">
        <v>2.0</v>
      </c>
      <c r="L6091" s="15">
        <v>2.0</v>
      </c>
      <c r="M6091" s="41">
        <v>42714.0</v>
      </c>
      <c r="N6091" s="40">
        <v>42738.0</v>
      </c>
      <c r="O6091" s="15" t="s">
        <v>1554</v>
      </c>
      <c r="Q6091" s="7"/>
    </row>
    <row r="6092">
      <c r="A6092" s="39" t="s">
        <v>23347</v>
      </c>
      <c r="B6092" s="15">
        <v>1922525.0</v>
      </c>
      <c r="C6092" s="15" t="s">
        <v>23348</v>
      </c>
      <c r="D6092" s="15">
        <v>359287.0</v>
      </c>
      <c r="E6092" s="15" t="s">
        <v>1664</v>
      </c>
      <c r="F6092" s="15" t="s">
        <v>1664</v>
      </c>
      <c r="G6092" s="7">
        <v>3.458</v>
      </c>
      <c r="H6092" s="15" t="s">
        <v>23349</v>
      </c>
      <c r="I6092" s="15" t="s">
        <v>1560</v>
      </c>
      <c r="J6092" s="15" t="s">
        <v>23350</v>
      </c>
      <c r="K6092" s="15">
        <v>2.0</v>
      </c>
      <c r="L6092" s="15">
        <v>2.0</v>
      </c>
      <c r="M6092" s="41">
        <v>42714.0</v>
      </c>
      <c r="N6092" s="40">
        <v>42738.0</v>
      </c>
      <c r="O6092" s="15" t="s">
        <v>1554</v>
      </c>
      <c r="Q6092" s="7"/>
    </row>
    <row r="6093">
      <c r="A6093" s="39" t="s">
        <v>23352</v>
      </c>
      <c r="B6093" s="15">
        <v>1922498.0</v>
      </c>
      <c r="C6093" s="15" t="s">
        <v>23353</v>
      </c>
      <c r="D6093" s="15">
        <v>359291.0</v>
      </c>
      <c r="E6093" s="15" t="s">
        <v>1664</v>
      </c>
      <c r="F6093" s="15" t="s">
        <v>1664</v>
      </c>
      <c r="G6093" s="7">
        <v>9.521</v>
      </c>
      <c r="H6093" s="15" t="s">
        <v>3317</v>
      </c>
      <c r="I6093" s="15" t="s">
        <v>1560</v>
      </c>
      <c r="J6093" s="15" t="s">
        <v>23354</v>
      </c>
      <c r="K6093" s="15">
        <v>1.0</v>
      </c>
      <c r="L6093" s="15">
        <v>1.0</v>
      </c>
      <c r="M6093" s="41">
        <v>42714.0</v>
      </c>
      <c r="N6093" s="41">
        <v>42733.0</v>
      </c>
      <c r="O6093" s="15" t="s">
        <v>1554</v>
      </c>
      <c r="Q6093" s="7"/>
    </row>
    <row r="6094">
      <c r="A6094" s="39" t="s">
        <v>23355</v>
      </c>
      <c r="B6094" s="15">
        <v>1922492.0</v>
      </c>
      <c r="C6094" s="15" t="s">
        <v>23356</v>
      </c>
      <c r="D6094" s="15">
        <v>359295.0</v>
      </c>
      <c r="E6094" s="15" t="s">
        <v>1664</v>
      </c>
      <c r="F6094" s="15" t="s">
        <v>1664</v>
      </c>
      <c r="G6094" s="7">
        <v>9.211</v>
      </c>
      <c r="H6094" s="15">
        <v>43.0</v>
      </c>
      <c r="I6094" s="15" t="s">
        <v>1560</v>
      </c>
      <c r="J6094" s="15" t="s">
        <v>23357</v>
      </c>
      <c r="K6094" s="15">
        <v>2.0</v>
      </c>
      <c r="L6094" s="15">
        <v>2.0</v>
      </c>
      <c r="M6094" s="41">
        <v>42714.0</v>
      </c>
      <c r="N6094" s="41">
        <v>42733.0</v>
      </c>
      <c r="O6094" s="15" t="s">
        <v>1554</v>
      </c>
      <c r="Q6094" s="7"/>
    </row>
    <row r="6095">
      <c r="A6095" s="39" t="s">
        <v>23358</v>
      </c>
      <c r="B6095" s="15">
        <v>1922458.0</v>
      </c>
      <c r="C6095" s="15" t="s">
        <v>23359</v>
      </c>
      <c r="D6095" s="15">
        <v>359299.0</v>
      </c>
      <c r="E6095" s="15" t="s">
        <v>1664</v>
      </c>
      <c r="F6095" s="15" t="s">
        <v>1664</v>
      </c>
      <c r="G6095" s="7">
        <v>2.881</v>
      </c>
      <c r="H6095" s="15" t="s">
        <v>4415</v>
      </c>
      <c r="I6095" s="15" t="s">
        <v>1560</v>
      </c>
      <c r="J6095" s="15" t="s">
        <v>23360</v>
      </c>
      <c r="K6095" s="15">
        <v>1.0</v>
      </c>
      <c r="L6095" s="15">
        <v>1.0</v>
      </c>
      <c r="M6095" s="41">
        <v>42714.0</v>
      </c>
      <c r="N6095" s="41">
        <v>42733.0</v>
      </c>
      <c r="O6095" s="15" t="s">
        <v>1554</v>
      </c>
      <c r="Q6095" s="7"/>
    </row>
    <row r="6096">
      <c r="A6096" s="39" t="s">
        <v>23362</v>
      </c>
      <c r="B6096" s="15">
        <v>1922452.0</v>
      </c>
      <c r="C6096" s="15" t="s">
        <v>23363</v>
      </c>
      <c r="D6096" s="15">
        <v>359303.0</v>
      </c>
      <c r="E6096" s="15" t="s">
        <v>1664</v>
      </c>
      <c r="F6096" s="15" t="s">
        <v>1664</v>
      </c>
      <c r="G6096" s="7">
        <v>2.677</v>
      </c>
      <c r="H6096" s="15" t="s">
        <v>11392</v>
      </c>
      <c r="I6096" s="15" t="s">
        <v>1560</v>
      </c>
      <c r="J6096" s="15" t="s">
        <v>23364</v>
      </c>
      <c r="K6096" s="15">
        <v>2.0</v>
      </c>
      <c r="L6096" s="15">
        <v>2.0</v>
      </c>
      <c r="M6096" s="41">
        <v>42714.0</v>
      </c>
      <c r="N6096" s="41">
        <v>42733.0</v>
      </c>
      <c r="O6096" s="15" t="s">
        <v>1554</v>
      </c>
      <c r="Q6096" s="7"/>
    </row>
    <row r="6097">
      <c r="A6097" s="39" t="s">
        <v>23365</v>
      </c>
      <c r="B6097" s="15">
        <v>1922447.0</v>
      </c>
      <c r="C6097" s="15" t="s">
        <v>23366</v>
      </c>
      <c r="D6097" s="15">
        <v>359307.0</v>
      </c>
      <c r="E6097" s="15" t="s">
        <v>1664</v>
      </c>
      <c r="F6097" s="15" t="s">
        <v>1664</v>
      </c>
      <c r="G6097" s="7">
        <v>2.624</v>
      </c>
      <c r="H6097" s="15" t="s">
        <v>3097</v>
      </c>
      <c r="I6097" s="15" t="s">
        <v>1560</v>
      </c>
      <c r="J6097" s="15" t="s">
        <v>23367</v>
      </c>
      <c r="K6097" s="15">
        <v>1.0</v>
      </c>
      <c r="L6097" s="15">
        <v>1.0</v>
      </c>
      <c r="M6097" s="41">
        <v>42714.0</v>
      </c>
      <c r="N6097" s="41">
        <v>42733.0</v>
      </c>
      <c r="O6097" s="15" t="s">
        <v>1554</v>
      </c>
      <c r="Q6097" s="7"/>
    </row>
    <row r="6098">
      <c r="A6098" s="39" t="s">
        <v>23368</v>
      </c>
      <c r="B6098" s="15">
        <v>1922443.0</v>
      </c>
      <c r="C6098" s="15" t="s">
        <v>23369</v>
      </c>
      <c r="D6098" s="15">
        <v>359311.0</v>
      </c>
      <c r="E6098" s="15" t="s">
        <v>1664</v>
      </c>
      <c r="F6098" s="15" t="s">
        <v>1664</v>
      </c>
      <c r="G6098" s="7">
        <v>2.417</v>
      </c>
      <c r="H6098" s="15" t="s">
        <v>6565</v>
      </c>
      <c r="I6098" s="15" t="s">
        <v>1560</v>
      </c>
      <c r="J6098" s="15" t="s">
        <v>23370</v>
      </c>
      <c r="K6098" s="15">
        <v>1.0</v>
      </c>
      <c r="L6098" s="15">
        <v>1.0</v>
      </c>
      <c r="M6098" s="41">
        <v>42714.0</v>
      </c>
      <c r="N6098" s="41">
        <v>42733.0</v>
      </c>
      <c r="O6098" s="15" t="s">
        <v>1554</v>
      </c>
      <c r="Q6098" s="7"/>
    </row>
    <row r="6099">
      <c r="A6099" s="39" t="s">
        <v>23371</v>
      </c>
      <c r="B6099" s="15">
        <v>1923779.0</v>
      </c>
      <c r="C6099" s="15" t="s">
        <v>23372</v>
      </c>
      <c r="D6099" s="15">
        <v>359327.0</v>
      </c>
      <c r="E6099" s="15" t="s">
        <v>1664</v>
      </c>
      <c r="F6099" s="15" t="s">
        <v>1664</v>
      </c>
      <c r="G6099" s="7">
        <v>3.226</v>
      </c>
      <c r="H6099" s="15" t="s">
        <v>4117</v>
      </c>
      <c r="I6099" s="15" t="s">
        <v>1560</v>
      </c>
      <c r="J6099" s="15" t="s">
        <v>23374</v>
      </c>
      <c r="K6099" s="15">
        <v>2.0</v>
      </c>
      <c r="L6099" s="15">
        <v>2.0</v>
      </c>
      <c r="M6099" s="41">
        <v>42714.0</v>
      </c>
      <c r="N6099" s="41">
        <v>42733.0</v>
      </c>
      <c r="O6099" s="15" t="s">
        <v>1554</v>
      </c>
      <c r="Q6099" s="7"/>
    </row>
    <row r="6100">
      <c r="A6100" s="39" t="s">
        <v>23375</v>
      </c>
      <c r="B6100" s="15">
        <v>1923680.0</v>
      </c>
      <c r="C6100" s="15" t="s">
        <v>23376</v>
      </c>
      <c r="D6100" s="15">
        <v>359331.0</v>
      </c>
      <c r="E6100" s="15" t="s">
        <v>1664</v>
      </c>
      <c r="F6100" s="15" t="s">
        <v>1664</v>
      </c>
      <c r="G6100" s="7">
        <v>8.0</v>
      </c>
      <c r="H6100" s="15" t="s">
        <v>1617</v>
      </c>
      <c r="I6100" s="15" t="s">
        <v>1560</v>
      </c>
      <c r="J6100" s="15" t="s">
        <v>23377</v>
      </c>
      <c r="K6100" s="15">
        <v>2.0</v>
      </c>
      <c r="L6100" s="15">
        <v>2.0</v>
      </c>
      <c r="M6100" s="41">
        <v>42714.0</v>
      </c>
      <c r="N6100" s="40">
        <v>42738.0</v>
      </c>
      <c r="O6100" s="15" t="s">
        <v>1554</v>
      </c>
      <c r="Q6100" s="7"/>
    </row>
    <row r="6101">
      <c r="A6101" s="39" t="s">
        <v>23378</v>
      </c>
      <c r="B6101" s="15">
        <v>1923530.0</v>
      </c>
      <c r="C6101" s="15" t="s">
        <v>23379</v>
      </c>
      <c r="D6101" s="15">
        <v>359335.0</v>
      </c>
      <c r="E6101" s="15" t="s">
        <v>1664</v>
      </c>
      <c r="F6101" s="15" t="s">
        <v>1664</v>
      </c>
      <c r="G6101" s="7">
        <v>10.0</v>
      </c>
      <c r="H6101" s="15" t="s">
        <v>3407</v>
      </c>
      <c r="I6101" s="15" t="s">
        <v>1560</v>
      </c>
      <c r="J6101" s="15" t="s">
        <v>23380</v>
      </c>
      <c r="K6101" s="15">
        <v>2.0</v>
      </c>
      <c r="L6101" s="15">
        <v>2.0</v>
      </c>
      <c r="M6101" s="41">
        <v>42714.0</v>
      </c>
      <c r="N6101" s="41">
        <v>42733.0</v>
      </c>
      <c r="O6101" s="15" t="s">
        <v>1554</v>
      </c>
      <c r="Q6101" s="7"/>
    </row>
    <row r="6102">
      <c r="A6102" s="39" t="s">
        <v>23382</v>
      </c>
      <c r="B6102" s="15">
        <v>1923418.0</v>
      </c>
      <c r="C6102" s="15" t="s">
        <v>23383</v>
      </c>
      <c r="D6102" s="15">
        <v>359339.0</v>
      </c>
      <c r="E6102" s="15" t="s">
        <v>1664</v>
      </c>
      <c r="F6102" s="15" t="s">
        <v>1664</v>
      </c>
      <c r="G6102" s="7">
        <v>9.893</v>
      </c>
      <c r="H6102" s="15" t="s">
        <v>2223</v>
      </c>
      <c r="I6102" s="15" t="s">
        <v>1560</v>
      </c>
      <c r="J6102" s="15" t="s">
        <v>23384</v>
      </c>
      <c r="K6102" s="15">
        <v>1.0</v>
      </c>
      <c r="L6102" s="15">
        <v>1.0</v>
      </c>
      <c r="M6102" s="41">
        <v>42714.0</v>
      </c>
      <c r="N6102" s="41">
        <v>42733.0</v>
      </c>
      <c r="O6102" s="15" t="s">
        <v>1554</v>
      </c>
      <c r="Q6102" s="7"/>
    </row>
    <row r="6103">
      <c r="A6103" s="39" t="s">
        <v>23385</v>
      </c>
      <c r="B6103" s="15">
        <v>1923333.0</v>
      </c>
      <c r="C6103" s="15" t="s">
        <v>23386</v>
      </c>
      <c r="D6103" s="15">
        <v>359343.0</v>
      </c>
      <c r="E6103" s="15" t="s">
        <v>1664</v>
      </c>
      <c r="F6103" s="15" t="s">
        <v>1664</v>
      </c>
      <c r="G6103" s="7">
        <v>11.189</v>
      </c>
      <c r="H6103" s="15" t="s">
        <v>1792</v>
      </c>
      <c r="I6103" s="15" t="s">
        <v>1560</v>
      </c>
      <c r="J6103" s="15" t="s">
        <v>23387</v>
      </c>
      <c r="K6103" s="15">
        <v>5.0</v>
      </c>
      <c r="L6103" s="15">
        <v>5.0</v>
      </c>
      <c r="M6103" s="41">
        <v>42714.0</v>
      </c>
      <c r="N6103" s="40">
        <v>42738.0</v>
      </c>
      <c r="O6103" s="15" t="s">
        <v>1554</v>
      </c>
      <c r="Q6103" s="7"/>
    </row>
    <row r="6104">
      <c r="A6104" s="39" t="s">
        <v>23388</v>
      </c>
      <c r="B6104" s="15">
        <v>1923280.0</v>
      </c>
      <c r="C6104" s="15" t="s">
        <v>23389</v>
      </c>
      <c r="D6104" s="15">
        <v>359347.0</v>
      </c>
      <c r="E6104" s="15" t="s">
        <v>1664</v>
      </c>
      <c r="F6104" s="15" t="s">
        <v>1664</v>
      </c>
      <c r="G6104" s="7">
        <v>3.477</v>
      </c>
      <c r="H6104" s="15" t="s">
        <v>2864</v>
      </c>
      <c r="I6104" s="15" t="s">
        <v>1560</v>
      </c>
      <c r="J6104" s="15" t="s">
        <v>23390</v>
      </c>
      <c r="K6104" s="15">
        <v>2.0</v>
      </c>
      <c r="L6104" s="15">
        <v>2.0</v>
      </c>
      <c r="M6104" s="41">
        <v>42714.0</v>
      </c>
      <c r="N6104" s="40">
        <v>42738.0</v>
      </c>
      <c r="O6104" s="15" t="s">
        <v>1554</v>
      </c>
      <c r="Q6104" s="7"/>
    </row>
    <row r="6105">
      <c r="A6105" s="39" t="s">
        <v>23391</v>
      </c>
      <c r="B6105" s="15">
        <v>1922361.0</v>
      </c>
      <c r="C6105" s="15" t="s">
        <v>23393</v>
      </c>
      <c r="D6105" s="15">
        <v>359238.0</v>
      </c>
      <c r="E6105" s="15" t="s">
        <v>1664</v>
      </c>
      <c r="F6105" s="15" t="s">
        <v>1664</v>
      </c>
      <c r="G6105" s="7">
        <v>11.035</v>
      </c>
      <c r="H6105" s="15" t="s">
        <v>2033</v>
      </c>
      <c r="I6105" s="15" t="s">
        <v>1560</v>
      </c>
      <c r="J6105" s="15" t="s">
        <v>23394</v>
      </c>
      <c r="K6105" s="15">
        <v>5.0</v>
      </c>
      <c r="L6105" s="15">
        <v>5.0</v>
      </c>
      <c r="M6105" s="41">
        <v>42714.0</v>
      </c>
      <c r="N6105" s="40">
        <v>42738.0</v>
      </c>
      <c r="O6105" s="15" t="s">
        <v>1554</v>
      </c>
      <c r="Q6105" s="7"/>
    </row>
    <row r="6106">
      <c r="A6106" s="39" t="s">
        <v>23395</v>
      </c>
      <c r="B6106" s="15">
        <v>1922355.0</v>
      </c>
      <c r="C6106" s="15" t="s">
        <v>23396</v>
      </c>
      <c r="D6106" s="15">
        <v>359242.0</v>
      </c>
      <c r="E6106" s="15" t="s">
        <v>1664</v>
      </c>
      <c r="F6106" s="15" t="s">
        <v>1664</v>
      </c>
      <c r="G6106" s="7">
        <v>4.49</v>
      </c>
      <c r="H6106" s="15" t="s">
        <v>23397</v>
      </c>
      <c r="I6106" s="15" t="s">
        <v>1560</v>
      </c>
      <c r="J6106" s="15" t="s">
        <v>23398</v>
      </c>
      <c r="K6106" s="15">
        <v>2.0</v>
      </c>
      <c r="L6106" s="15">
        <v>2.0</v>
      </c>
      <c r="M6106" s="41">
        <v>42714.0</v>
      </c>
      <c r="N6106" s="40">
        <v>42738.0</v>
      </c>
      <c r="O6106" s="15" t="s">
        <v>1554</v>
      </c>
      <c r="Q6106" s="7"/>
    </row>
    <row r="6107">
      <c r="A6107" s="39" t="s">
        <v>23399</v>
      </c>
      <c r="B6107" s="15">
        <v>1906175.0</v>
      </c>
      <c r="C6107" s="15" t="s">
        <v>23400</v>
      </c>
      <c r="D6107" s="15">
        <v>359250.0</v>
      </c>
      <c r="E6107" s="15" t="s">
        <v>1548</v>
      </c>
      <c r="F6107" s="15" t="s">
        <v>1848</v>
      </c>
      <c r="G6107" s="7">
        <v>5.818</v>
      </c>
      <c r="H6107" s="15" t="s">
        <v>4842</v>
      </c>
      <c r="I6107" s="15" t="s">
        <v>1686</v>
      </c>
      <c r="J6107" s="15" t="s">
        <v>23401</v>
      </c>
      <c r="K6107" s="15">
        <v>2.0</v>
      </c>
      <c r="L6107" s="15">
        <v>2.0</v>
      </c>
      <c r="M6107" s="41">
        <v>42731.0</v>
      </c>
      <c r="N6107" s="40">
        <v>42979.0</v>
      </c>
      <c r="O6107" s="15" t="s">
        <v>1554</v>
      </c>
      <c r="Q6107" s="7"/>
    </row>
    <row r="6108">
      <c r="A6108" s="39" t="s">
        <v>23403</v>
      </c>
      <c r="B6108" s="15">
        <v>1922351.0</v>
      </c>
      <c r="C6108" s="15" t="s">
        <v>23404</v>
      </c>
      <c r="D6108" s="15">
        <v>359246.0</v>
      </c>
      <c r="E6108" s="15" t="s">
        <v>1664</v>
      </c>
      <c r="F6108" s="15" t="s">
        <v>1664</v>
      </c>
      <c r="G6108" s="7">
        <v>24.648</v>
      </c>
      <c r="H6108" s="15" t="s">
        <v>2392</v>
      </c>
      <c r="I6108" s="15" t="s">
        <v>1560</v>
      </c>
      <c r="J6108" s="15" t="s">
        <v>23405</v>
      </c>
      <c r="K6108" s="15">
        <v>9.0</v>
      </c>
      <c r="L6108" s="15">
        <v>9.0</v>
      </c>
      <c r="M6108" s="41">
        <v>42714.0</v>
      </c>
      <c r="N6108" s="41">
        <v>42733.0</v>
      </c>
      <c r="O6108" s="15" t="s">
        <v>1554</v>
      </c>
      <c r="Q6108" s="7"/>
    </row>
    <row r="6109">
      <c r="A6109" s="39" t="s">
        <v>23406</v>
      </c>
      <c r="B6109" s="15">
        <v>1930269.0</v>
      </c>
      <c r="C6109" s="15" t="s">
        <v>23407</v>
      </c>
      <c r="D6109" s="15">
        <v>359254.0</v>
      </c>
      <c r="E6109" s="15" t="s">
        <v>1548</v>
      </c>
      <c r="F6109" s="15" t="s">
        <v>2900</v>
      </c>
      <c r="G6109" s="7">
        <v>4.044</v>
      </c>
      <c r="H6109" s="15" t="s">
        <v>1750</v>
      </c>
      <c r="I6109" s="15" t="s">
        <v>1628</v>
      </c>
      <c r="J6109" s="15" t="s">
        <v>23408</v>
      </c>
      <c r="K6109" s="15">
        <v>6.0</v>
      </c>
      <c r="L6109" s="15">
        <v>6.0</v>
      </c>
      <c r="M6109" s="41">
        <v>42732.0</v>
      </c>
      <c r="N6109" s="41">
        <v>42733.0</v>
      </c>
      <c r="O6109" s="15" t="s">
        <v>1554</v>
      </c>
      <c r="Q6109" s="7"/>
    </row>
    <row r="6110">
      <c r="A6110" s="39" t="s">
        <v>23409</v>
      </c>
      <c r="B6110" s="15">
        <v>1922437.0</v>
      </c>
      <c r="C6110" s="15" t="s">
        <v>23410</v>
      </c>
      <c r="D6110" s="15">
        <v>359258.0</v>
      </c>
      <c r="E6110" s="15" t="s">
        <v>1664</v>
      </c>
      <c r="F6110" s="15" t="s">
        <v>1664</v>
      </c>
      <c r="G6110" s="7">
        <v>4.282</v>
      </c>
      <c r="H6110" s="15" t="s">
        <v>1802</v>
      </c>
      <c r="I6110" s="15" t="s">
        <v>1560</v>
      </c>
      <c r="J6110" s="15" t="s">
        <v>23412</v>
      </c>
      <c r="K6110" s="15">
        <v>2.0</v>
      </c>
      <c r="L6110" s="15">
        <v>2.0</v>
      </c>
      <c r="M6110" s="41">
        <v>42714.0</v>
      </c>
      <c r="N6110" s="41">
        <v>42733.0</v>
      </c>
      <c r="O6110" s="15" t="s">
        <v>1554</v>
      </c>
      <c r="Q6110" s="7"/>
    </row>
    <row r="6111">
      <c r="A6111" s="39" t="s">
        <v>23413</v>
      </c>
      <c r="B6111" s="15">
        <v>1922432.0</v>
      </c>
      <c r="C6111" s="15" t="s">
        <v>23414</v>
      </c>
      <c r="D6111" s="15">
        <v>359262.0</v>
      </c>
      <c r="E6111" s="15" t="s">
        <v>1664</v>
      </c>
      <c r="F6111" s="15" t="s">
        <v>1664</v>
      </c>
      <c r="G6111" s="7">
        <v>10.256</v>
      </c>
      <c r="H6111" s="15" t="s">
        <v>1994</v>
      </c>
      <c r="I6111" s="15" t="s">
        <v>1560</v>
      </c>
      <c r="J6111" s="15" t="s">
        <v>23415</v>
      </c>
      <c r="K6111" s="15">
        <v>2.0</v>
      </c>
      <c r="L6111" s="15">
        <v>2.0</v>
      </c>
      <c r="M6111" s="41">
        <v>42714.0</v>
      </c>
      <c r="N6111" s="41">
        <v>42733.0</v>
      </c>
      <c r="O6111" s="15" t="s">
        <v>1554</v>
      </c>
      <c r="Q6111" s="7"/>
    </row>
    <row r="6112">
      <c r="A6112" s="39" t="s">
        <v>23416</v>
      </c>
      <c r="B6112" s="15">
        <v>1922428.0</v>
      </c>
      <c r="C6112" s="15" t="s">
        <v>23417</v>
      </c>
      <c r="D6112" s="15">
        <v>359266.0</v>
      </c>
      <c r="E6112" s="15" t="s">
        <v>1664</v>
      </c>
      <c r="F6112" s="15" t="s">
        <v>1664</v>
      </c>
      <c r="G6112" s="7">
        <v>10.973</v>
      </c>
      <c r="H6112" s="15" t="s">
        <v>5368</v>
      </c>
      <c r="I6112" s="15" t="s">
        <v>1560</v>
      </c>
      <c r="J6112" s="15" t="s">
        <v>23418</v>
      </c>
      <c r="K6112" s="15">
        <v>6.0</v>
      </c>
      <c r="L6112" s="15">
        <v>6.0</v>
      </c>
      <c r="M6112" s="41">
        <v>42714.0</v>
      </c>
      <c r="N6112" s="40">
        <v>42738.0</v>
      </c>
      <c r="O6112" s="15" t="s">
        <v>1554</v>
      </c>
      <c r="Q6112" s="7"/>
    </row>
    <row r="6113">
      <c r="A6113" s="39" t="s">
        <v>23419</v>
      </c>
      <c r="B6113" s="15">
        <v>1922390.0</v>
      </c>
      <c r="C6113" s="15" t="s">
        <v>23420</v>
      </c>
      <c r="D6113" s="15">
        <v>359270.0</v>
      </c>
      <c r="E6113" s="15" t="s">
        <v>1664</v>
      </c>
      <c r="F6113" s="15" t="s">
        <v>1664</v>
      </c>
      <c r="G6113" s="7">
        <v>12.996</v>
      </c>
      <c r="H6113" s="15" t="s">
        <v>1782</v>
      </c>
      <c r="I6113" s="15" t="s">
        <v>1560</v>
      </c>
      <c r="J6113" s="15" t="s">
        <v>23422</v>
      </c>
      <c r="K6113" s="15">
        <v>4.0</v>
      </c>
      <c r="L6113" s="15">
        <v>4.0</v>
      </c>
      <c r="M6113" s="41">
        <v>42714.0</v>
      </c>
      <c r="N6113" s="40">
        <v>42738.0</v>
      </c>
      <c r="O6113" s="15" t="s">
        <v>1554</v>
      </c>
      <c r="Q6113" s="7"/>
    </row>
    <row r="6114">
      <c r="A6114" s="39" t="s">
        <v>23423</v>
      </c>
      <c r="B6114" s="15">
        <v>1922381.0</v>
      </c>
      <c r="C6114" s="15" t="s">
        <v>23424</v>
      </c>
      <c r="D6114" s="15">
        <v>359274.0</v>
      </c>
      <c r="E6114" s="15" t="s">
        <v>1664</v>
      </c>
      <c r="F6114" s="15" t="s">
        <v>1664</v>
      </c>
      <c r="G6114" s="7">
        <v>10.817</v>
      </c>
      <c r="H6114" s="15">
        <v>47.0</v>
      </c>
      <c r="I6114" s="15" t="s">
        <v>1560</v>
      </c>
      <c r="J6114" s="15" t="s">
        <v>23425</v>
      </c>
      <c r="K6114" s="15">
        <v>5.0</v>
      </c>
      <c r="L6114" s="15">
        <v>5.0</v>
      </c>
      <c r="M6114" s="41">
        <v>42714.0</v>
      </c>
      <c r="N6114" s="40">
        <v>42738.0</v>
      </c>
      <c r="O6114" s="15" t="s">
        <v>1554</v>
      </c>
      <c r="Q6114" s="7"/>
    </row>
    <row r="6115">
      <c r="A6115" s="39" t="s">
        <v>23426</v>
      </c>
      <c r="B6115" s="15">
        <v>1922376.0</v>
      </c>
      <c r="C6115" s="15" t="s">
        <v>23427</v>
      </c>
      <c r="D6115" s="15">
        <v>359278.0</v>
      </c>
      <c r="E6115" s="15" t="s">
        <v>1664</v>
      </c>
      <c r="F6115" s="15" t="s">
        <v>1664</v>
      </c>
      <c r="G6115" s="7">
        <v>6.969</v>
      </c>
      <c r="H6115" s="15" t="s">
        <v>2440</v>
      </c>
      <c r="I6115" s="15" t="s">
        <v>1560</v>
      </c>
      <c r="J6115" s="15" t="s">
        <v>23428</v>
      </c>
      <c r="K6115" s="15">
        <v>2.0</v>
      </c>
      <c r="L6115" s="15">
        <v>2.0</v>
      </c>
      <c r="M6115" s="41">
        <v>42714.0</v>
      </c>
      <c r="N6115" s="40">
        <v>42738.0</v>
      </c>
      <c r="O6115" s="15" t="s">
        <v>1554</v>
      </c>
      <c r="Q6115" s="7"/>
    </row>
    <row r="6116">
      <c r="A6116" s="39" t="s">
        <v>23430</v>
      </c>
      <c r="B6116" s="15">
        <v>1922366.0</v>
      </c>
      <c r="C6116" s="15" t="s">
        <v>23431</v>
      </c>
      <c r="D6116" s="15">
        <v>359282.0</v>
      </c>
      <c r="E6116" s="15" t="s">
        <v>1664</v>
      </c>
      <c r="F6116" s="15" t="s">
        <v>1664</v>
      </c>
      <c r="G6116" s="7">
        <v>12.395</v>
      </c>
      <c r="H6116" s="15" t="s">
        <v>5663</v>
      </c>
      <c r="I6116" s="15" t="s">
        <v>1560</v>
      </c>
      <c r="J6116" s="15" t="s">
        <v>23432</v>
      </c>
      <c r="K6116" s="15">
        <v>4.0</v>
      </c>
      <c r="L6116" s="15">
        <v>4.0</v>
      </c>
      <c r="M6116" s="41">
        <v>42714.0</v>
      </c>
      <c r="N6116" s="40">
        <v>42738.0</v>
      </c>
      <c r="O6116" s="15" t="s">
        <v>1554</v>
      </c>
      <c r="Q6116" s="7"/>
    </row>
    <row r="6117">
      <c r="A6117" s="39" t="s">
        <v>23433</v>
      </c>
      <c r="B6117" s="15">
        <v>1923262.0</v>
      </c>
      <c r="C6117" s="15" t="s">
        <v>23434</v>
      </c>
      <c r="D6117" s="15">
        <v>359286.0</v>
      </c>
      <c r="E6117" s="15" t="s">
        <v>1664</v>
      </c>
      <c r="F6117" s="15" t="s">
        <v>1664</v>
      </c>
      <c r="G6117" s="7">
        <v>4.401</v>
      </c>
      <c r="H6117" s="15" t="s">
        <v>1772</v>
      </c>
      <c r="I6117" s="15" t="s">
        <v>1560</v>
      </c>
      <c r="J6117" s="15" t="s">
        <v>23435</v>
      </c>
      <c r="K6117" s="15">
        <v>3.0</v>
      </c>
      <c r="L6117" s="15">
        <v>3.0</v>
      </c>
      <c r="M6117" s="41">
        <v>42714.0</v>
      </c>
      <c r="N6117" s="40">
        <v>42738.0</v>
      </c>
      <c r="O6117" s="15" t="s">
        <v>1554</v>
      </c>
      <c r="Q6117" s="7"/>
    </row>
    <row r="6118">
      <c r="A6118" s="39" t="s">
        <v>23436</v>
      </c>
      <c r="B6118" s="15">
        <v>1922499.0</v>
      </c>
      <c r="C6118" s="15" t="s">
        <v>23437</v>
      </c>
      <c r="D6118" s="15">
        <v>359290.0</v>
      </c>
      <c r="E6118" s="15" t="s">
        <v>1664</v>
      </c>
      <c r="F6118" s="15" t="s">
        <v>1664</v>
      </c>
      <c r="G6118" s="7">
        <v>9.84</v>
      </c>
      <c r="H6118" s="15" t="s">
        <v>2223</v>
      </c>
      <c r="I6118" s="15" t="s">
        <v>1560</v>
      </c>
      <c r="J6118" s="15" t="s">
        <v>23439</v>
      </c>
      <c r="K6118" s="15">
        <v>1.0</v>
      </c>
      <c r="L6118" s="15">
        <v>1.0</v>
      </c>
      <c r="M6118" s="41">
        <v>42714.0</v>
      </c>
      <c r="N6118" s="41">
        <v>42733.0</v>
      </c>
      <c r="O6118" s="15" t="s">
        <v>1554</v>
      </c>
      <c r="Q6118" s="7"/>
    </row>
    <row r="6119">
      <c r="A6119" s="39" t="s">
        <v>23440</v>
      </c>
      <c r="B6119" s="15">
        <v>1922493.0</v>
      </c>
      <c r="C6119" s="15" t="s">
        <v>23441</v>
      </c>
      <c r="D6119" s="15">
        <v>359294.0</v>
      </c>
      <c r="E6119" s="15" t="s">
        <v>1664</v>
      </c>
      <c r="F6119" s="15" t="s">
        <v>1664</v>
      </c>
      <c r="G6119" s="7">
        <v>9.973</v>
      </c>
      <c r="H6119" s="15" t="s">
        <v>2019</v>
      </c>
      <c r="I6119" s="15" t="s">
        <v>1560</v>
      </c>
      <c r="J6119" s="15" t="s">
        <v>23442</v>
      </c>
      <c r="K6119" s="15">
        <v>1.0</v>
      </c>
      <c r="L6119" s="15">
        <v>1.0</v>
      </c>
      <c r="M6119" s="41">
        <v>42714.0</v>
      </c>
      <c r="N6119" s="41">
        <v>42733.0</v>
      </c>
      <c r="O6119" s="15" t="s">
        <v>1554</v>
      </c>
      <c r="Q6119" s="7"/>
    </row>
    <row r="6120">
      <c r="A6120" s="39" t="s">
        <v>23443</v>
      </c>
      <c r="B6120" s="15">
        <v>1922460.0</v>
      </c>
      <c r="C6120" s="15" t="s">
        <v>23444</v>
      </c>
      <c r="D6120" s="15">
        <v>359298.0</v>
      </c>
      <c r="E6120" s="15" t="s">
        <v>1664</v>
      </c>
      <c r="F6120" s="15" t="s">
        <v>1664</v>
      </c>
      <c r="G6120" s="7">
        <v>3.906</v>
      </c>
      <c r="H6120" s="15" t="s">
        <v>4415</v>
      </c>
      <c r="I6120" s="15" t="s">
        <v>1560</v>
      </c>
      <c r="J6120" s="15" t="s">
        <v>23445</v>
      </c>
      <c r="K6120" s="15">
        <v>2.0</v>
      </c>
      <c r="L6120" s="15">
        <v>2.0</v>
      </c>
      <c r="M6120" s="41">
        <v>42714.0</v>
      </c>
      <c r="N6120" s="41">
        <v>42733.0</v>
      </c>
      <c r="O6120" s="15" t="s">
        <v>1554</v>
      </c>
      <c r="Q6120" s="7"/>
    </row>
    <row r="6121">
      <c r="A6121" s="39" t="s">
        <v>23447</v>
      </c>
      <c r="B6121" s="15">
        <v>1922448.0</v>
      </c>
      <c r="C6121" s="15" t="s">
        <v>23448</v>
      </c>
      <c r="D6121" s="15">
        <v>359306.0</v>
      </c>
      <c r="E6121" s="15" t="s">
        <v>1664</v>
      </c>
      <c r="F6121" s="15" t="s">
        <v>1664</v>
      </c>
      <c r="G6121" s="7">
        <v>3.79</v>
      </c>
      <c r="H6121" s="15" t="s">
        <v>10412</v>
      </c>
      <c r="I6121" s="15" t="s">
        <v>1560</v>
      </c>
      <c r="J6121" s="15" t="s">
        <v>23449</v>
      </c>
      <c r="K6121" s="15">
        <v>1.0</v>
      </c>
      <c r="L6121" s="15">
        <v>1.0</v>
      </c>
      <c r="M6121" s="41">
        <v>42714.0</v>
      </c>
      <c r="N6121" s="41">
        <v>42733.0</v>
      </c>
      <c r="O6121" s="15" t="s">
        <v>1554</v>
      </c>
      <c r="Q6121" s="7"/>
    </row>
    <row r="6122">
      <c r="A6122" s="39" t="s">
        <v>23450</v>
      </c>
      <c r="B6122" s="15">
        <v>1922454.0</v>
      </c>
      <c r="C6122" s="15" t="s">
        <v>23451</v>
      </c>
      <c r="D6122" s="15">
        <v>359302.0</v>
      </c>
      <c r="E6122" s="15" t="s">
        <v>1664</v>
      </c>
      <c r="F6122" s="15" t="s">
        <v>1664</v>
      </c>
      <c r="G6122" s="7">
        <v>2.317</v>
      </c>
      <c r="H6122" s="15" t="s">
        <v>1710</v>
      </c>
      <c r="I6122" s="15" t="s">
        <v>1560</v>
      </c>
      <c r="J6122" s="15" t="s">
        <v>23452</v>
      </c>
      <c r="K6122" s="15">
        <v>1.0</v>
      </c>
      <c r="L6122" s="15">
        <v>1.0</v>
      </c>
      <c r="M6122" s="41">
        <v>42714.0</v>
      </c>
      <c r="N6122" s="41">
        <v>42733.0</v>
      </c>
      <c r="O6122" s="15" t="s">
        <v>1554</v>
      </c>
      <c r="Q6122" s="7"/>
    </row>
    <row r="6123">
      <c r="A6123" s="39" t="s">
        <v>23453</v>
      </c>
      <c r="B6123" s="15">
        <v>1922444.0</v>
      </c>
      <c r="C6123" s="15" t="s">
        <v>23454</v>
      </c>
      <c r="D6123" s="15">
        <v>359310.0</v>
      </c>
      <c r="E6123" s="15" t="s">
        <v>1664</v>
      </c>
      <c r="F6123" s="15" t="s">
        <v>1664</v>
      </c>
      <c r="G6123" s="7">
        <v>4.527</v>
      </c>
      <c r="H6123" s="15">
        <v>46.0</v>
      </c>
      <c r="I6123" s="15" t="s">
        <v>1560</v>
      </c>
      <c r="J6123" s="15" t="s">
        <v>23455</v>
      </c>
      <c r="K6123" s="15">
        <v>1.0</v>
      </c>
      <c r="L6123" s="15">
        <v>1.0</v>
      </c>
      <c r="M6123" s="41">
        <v>42714.0</v>
      </c>
      <c r="N6123" s="41">
        <v>42733.0</v>
      </c>
      <c r="O6123" s="15" t="s">
        <v>1554</v>
      </c>
      <c r="Q6123" s="7"/>
    </row>
    <row r="6124">
      <c r="A6124" s="39" t="s">
        <v>23456</v>
      </c>
      <c r="B6124" s="15">
        <v>1923780.0</v>
      </c>
      <c r="C6124" s="15" t="s">
        <v>23457</v>
      </c>
      <c r="D6124" s="15">
        <v>359326.0</v>
      </c>
      <c r="E6124" s="15" t="s">
        <v>1664</v>
      </c>
      <c r="F6124" s="15" t="s">
        <v>1664</v>
      </c>
      <c r="G6124" s="7">
        <v>2.629</v>
      </c>
      <c r="H6124" s="15" t="s">
        <v>2275</v>
      </c>
      <c r="I6124" s="15" t="s">
        <v>1560</v>
      </c>
      <c r="J6124" s="15" t="s">
        <v>23458</v>
      </c>
      <c r="K6124" s="15">
        <v>1.0</v>
      </c>
      <c r="L6124" s="15">
        <v>1.0</v>
      </c>
      <c r="M6124" s="41">
        <v>42714.0</v>
      </c>
      <c r="N6124" s="41">
        <v>42733.0</v>
      </c>
      <c r="O6124" s="15" t="s">
        <v>1554</v>
      </c>
      <c r="Q6124" s="7"/>
    </row>
    <row r="6125">
      <c r="A6125" s="39" t="s">
        <v>23460</v>
      </c>
      <c r="B6125" s="15">
        <v>1923579.0</v>
      </c>
      <c r="C6125" s="15" t="s">
        <v>23461</v>
      </c>
      <c r="D6125" s="15">
        <v>359334.0</v>
      </c>
      <c r="E6125" s="15" t="s">
        <v>1664</v>
      </c>
      <c r="F6125" s="15" t="s">
        <v>1664</v>
      </c>
      <c r="G6125" s="7">
        <v>4.234</v>
      </c>
      <c r="H6125" s="15" t="s">
        <v>4606</v>
      </c>
      <c r="I6125" s="15" t="s">
        <v>1560</v>
      </c>
      <c r="J6125" s="15" t="s">
        <v>23462</v>
      </c>
      <c r="K6125" s="15">
        <v>2.0</v>
      </c>
      <c r="L6125" s="15">
        <v>2.0</v>
      </c>
      <c r="M6125" s="41">
        <v>42714.0</v>
      </c>
      <c r="N6125" s="41">
        <v>42733.0</v>
      </c>
      <c r="O6125" s="15" t="s">
        <v>1554</v>
      </c>
      <c r="Q6125" s="7"/>
    </row>
    <row r="6126">
      <c r="A6126" s="39" t="s">
        <v>23463</v>
      </c>
      <c r="B6126" s="15">
        <v>1923703.0</v>
      </c>
      <c r="C6126" s="15" t="s">
        <v>23464</v>
      </c>
      <c r="D6126" s="15">
        <v>359330.0</v>
      </c>
      <c r="E6126" s="15" t="s">
        <v>1664</v>
      </c>
      <c r="F6126" s="15" t="s">
        <v>1664</v>
      </c>
      <c r="G6126" s="7">
        <v>29.566</v>
      </c>
      <c r="H6126" s="15" t="s">
        <v>23465</v>
      </c>
      <c r="I6126" s="15" t="s">
        <v>1560</v>
      </c>
      <c r="J6126" s="15" t="s">
        <v>23466</v>
      </c>
      <c r="K6126" s="15">
        <v>11.0</v>
      </c>
      <c r="L6126" s="15">
        <v>11.0</v>
      </c>
      <c r="M6126" s="41">
        <v>42714.0</v>
      </c>
      <c r="N6126" s="40">
        <v>42738.0</v>
      </c>
      <c r="O6126" s="15" t="s">
        <v>1554</v>
      </c>
      <c r="Q6126" s="7"/>
    </row>
    <row r="6127">
      <c r="A6127" s="39" t="s">
        <v>23467</v>
      </c>
      <c r="B6127" s="15">
        <v>1923425.0</v>
      </c>
      <c r="C6127" s="15" t="s">
        <v>23468</v>
      </c>
      <c r="D6127" s="15">
        <v>359338.0</v>
      </c>
      <c r="E6127" s="15" t="s">
        <v>1664</v>
      </c>
      <c r="F6127" s="15" t="s">
        <v>1664</v>
      </c>
      <c r="G6127" s="7">
        <v>4.371</v>
      </c>
      <c r="H6127" s="15" t="s">
        <v>1617</v>
      </c>
      <c r="I6127" s="15" t="s">
        <v>1560</v>
      </c>
      <c r="J6127" s="15" t="s">
        <v>23470</v>
      </c>
      <c r="K6127" s="15">
        <v>4.0</v>
      </c>
      <c r="L6127" s="15">
        <v>4.0</v>
      </c>
      <c r="M6127" s="41">
        <v>42714.0</v>
      </c>
      <c r="N6127" s="40">
        <v>42738.0</v>
      </c>
      <c r="O6127" s="15" t="s">
        <v>1554</v>
      </c>
      <c r="Q6127" s="7"/>
    </row>
    <row r="6128">
      <c r="A6128" s="39" t="s">
        <v>23471</v>
      </c>
      <c r="B6128" s="15">
        <v>1923391.0</v>
      </c>
      <c r="C6128" s="15" t="s">
        <v>23472</v>
      </c>
      <c r="D6128" s="15">
        <v>359342.0</v>
      </c>
      <c r="E6128" s="15" t="s">
        <v>1664</v>
      </c>
      <c r="F6128" s="15" t="s">
        <v>1664</v>
      </c>
      <c r="G6128" s="7">
        <v>4.557</v>
      </c>
      <c r="H6128" s="15" t="s">
        <v>2271</v>
      </c>
      <c r="I6128" s="15" t="s">
        <v>1560</v>
      </c>
      <c r="J6128" s="15" t="s">
        <v>23473</v>
      </c>
      <c r="K6128" s="15">
        <v>4.0</v>
      </c>
      <c r="L6128" s="15">
        <v>4.0</v>
      </c>
      <c r="M6128" s="41">
        <v>42714.0</v>
      </c>
      <c r="N6128" s="40">
        <v>42738.0</v>
      </c>
      <c r="O6128" s="15" t="s">
        <v>1554</v>
      </c>
      <c r="Q6128" s="7"/>
    </row>
    <row r="6129">
      <c r="A6129" s="39" t="s">
        <v>23474</v>
      </c>
      <c r="B6129" s="15">
        <v>1923282.0</v>
      </c>
      <c r="C6129" s="15" t="s">
        <v>23475</v>
      </c>
      <c r="D6129" s="15">
        <v>359346.0</v>
      </c>
      <c r="E6129" s="15" t="s">
        <v>1664</v>
      </c>
      <c r="F6129" s="15" t="s">
        <v>1664</v>
      </c>
      <c r="G6129" s="7">
        <v>5.703</v>
      </c>
      <c r="H6129" s="15" t="s">
        <v>2131</v>
      </c>
      <c r="I6129" s="15" t="s">
        <v>1560</v>
      </c>
      <c r="J6129" s="15" t="s">
        <v>23476</v>
      </c>
      <c r="K6129" s="15">
        <v>3.0</v>
      </c>
      <c r="L6129" s="15">
        <v>3.0</v>
      </c>
      <c r="M6129" s="41">
        <v>42714.0</v>
      </c>
      <c r="N6129" s="40">
        <v>42738.0</v>
      </c>
      <c r="O6129" s="15" t="s">
        <v>1554</v>
      </c>
      <c r="Q6129" s="7"/>
    </row>
    <row r="6130">
      <c r="A6130" s="39" t="s">
        <v>23477</v>
      </c>
      <c r="B6130" s="15">
        <v>1922955.0</v>
      </c>
      <c r="C6130" s="15" t="s">
        <v>23478</v>
      </c>
      <c r="D6130" s="15">
        <v>357859.0</v>
      </c>
      <c r="E6130" s="15" t="s">
        <v>1664</v>
      </c>
      <c r="F6130" s="15" t="s">
        <v>1664</v>
      </c>
      <c r="G6130" s="7">
        <v>2.226</v>
      </c>
      <c r="H6130" s="15" t="s">
        <v>1849</v>
      </c>
      <c r="I6130" s="15" t="s">
        <v>1560</v>
      </c>
      <c r="J6130" s="15" t="s">
        <v>23480</v>
      </c>
      <c r="K6130" s="15">
        <v>1.0</v>
      </c>
      <c r="L6130" s="15">
        <v>1.0</v>
      </c>
      <c r="M6130" s="41">
        <v>42714.0</v>
      </c>
      <c r="N6130" s="41">
        <v>42723.0</v>
      </c>
      <c r="O6130" s="15" t="s">
        <v>1554</v>
      </c>
      <c r="Q6130" s="7"/>
    </row>
    <row r="6131">
      <c r="A6131" s="39" t="s">
        <v>23481</v>
      </c>
      <c r="B6131" s="15">
        <v>1922661.0</v>
      </c>
      <c r="C6131" s="15" t="s">
        <v>23482</v>
      </c>
      <c r="D6131" s="15">
        <v>359809.0</v>
      </c>
      <c r="E6131" s="15" t="s">
        <v>1664</v>
      </c>
      <c r="F6131" s="15" t="s">
        <v>1664</v>
      </c>
      <c r="G6131" s="7">
        <v>8.87</v>
      </c>
      <c r="H6131" s="15" t="s">
        <v>2428</v>
      </c>
      <c r="I6131" s="15" t="s">
        <v>1560</v>
      </c>
      <c r="J6131" s="15" t="s">
        <v>23483</v>
      </c>
      <c r="K6131" s="15">
        <v>2.0</v>
      </c>
      <c r="L6131" s="15">
        <v>2.0</v>
      </c>
      <c r="M6131" s="41">
        <v>42714.0</v>
      </c>
      <c r="N6131" s="40">
        <v>42738.0</v>
      </c>
      <c r="O6131" s="15" t="s">
        <v>1554</v>
      </c>
      <c r="Q6131" s="7"/>
    </row>
    <row r="6132">
      <c r="A6132" s="39" t="s">
        <v>23484</v>
      </c>
      <c r="B6132" s="15">
        <v>1922657.0</v>
      </c>
      <c r="C6132" s="15" t="s">
        <v>23485</v>
      </c>
      <c r="D6132" s="15">
        <v>359813.0</v>
      </c>
      <c r="E6132" s="15" t="s">
        <v>1664</v>
      </c>
      <c r="F6132" s="15" t="s">
        <v>1664</v>
      </c>
      <c r="G6132" s="7">
        <v>9.751</v>
      </c>
      <c r="H6132" s="15" t="s">
        <v>2552</v>
      </c>
      <c r="I6132" s="15" t="s">
        <v>1560</v>
      </c>
      <c r="J6132" s="15" t="s">
        <v>23486</v>
      </c>
      <c r="K6132" s="15">
        <v>1.0</v>
      </c>
      <c r="L6132" s="15">
        <v>1.0</v>
      </c>
      <c r="M6132" s="41">
        <v>42714.0</v>
      </c>
      <c r="N6132" s="40">
        <v>42738.0</v>
      </c>
      <c r="O6132" s="15" t="s">
        <v>1554</v>
      </c>
      <c r="Q6132" s="7"/>
    </row>
    <row r="6133">
      <c r="A6133" s="39" t="s">
        <v>23487</v>
      </c>
      <c r="B6133" s="15">
        <v>1922652.0</v>
      </c>
      <c r="C6133" s="15" t="s">
        <v>23488</v>
      </c>
      <c r="D6133" s="15">
        <v>359817.0</v>
      </c>
      <c r="E6133" s="15" t="s">
        <v>1664</v>
      </c>
      <c r="F6133" s="15" t="s">
        <v>1664</v>
      </c>
      <c r="G6133" s="7">
        <v>12.016</v>
      </c>
      <c r="H6133" s="15" t="s">
        <v>2064</v>
      </c>
      <c r="I6133" s="15" t="s">
        <v>1560</v>
      </c>
      <c r="J6133" s="15" t="s">
        <v>23490</v>
      </c>
      <c r="K6133" s="15">
        <v>4.0</v>
      </c>
      <c r="L6133" s="15">
        <v>4.0</v>
      </c>
      <c r="M6133" s="41">
        <v>42714.0</v>
      </c>
      <c r="N6133" s="40">
        <v>42738.0</v>
      </c>
      <c r="O6133" s="15" t="s">
        <v>1554</v>
      </c>
      <c r="Q6133" s="7"/>
    </row>
    <row r="6134">
      <c r="A6134" s="39" t="s">
        <v>23491</v>
      </c>
      <c r="B6134" s="15">
        <v>1922634.0</v>
      </c>
      <c r="C6134" s="15" t="s">
        <v>23492</v>
      </c>
      <c r="D6134" s="15">
        <v>359825.0</v>
      </c>
      <c r="E6134" s="15" t="s">
        <v>1664</v>
      </c>
      <c r="F6134" s="15" t="s">
        <v>1664</v>
      </c>
      <c r="G6134" s="7">
        <v>11.435</v>
      </c>
      <c r="H6134" s="15" t="s">
        <v>4331</v>
      </c>
      <c r="I6134" s="15" t="s">
        <v>1560</v>
      </c>
      <c r="J6134" s="15" t="s">
        <v>23493</v>
      </c>
      <c r="K6134" s="15">
        <v>1.0</v>
      </c>
      <c r="L6134" s="15">
        <v>1.0</v>
      </c>
      <c r="M6134" s="41">
        <v>42714.0</v>
      </c>
      <c r="N6134" s="40">
        <v>42738.0</v>
      </c>
      <c r="O6134" s="15" t="s">
        <v>1554</v>
      </c>
      <c r="Q6134" s="7"/>
    </row>
    <row r="6135">
      <c r="A6135" s="39" t="s">
        <v>23494</v>
      </c>
      <c r="B6135" s="15">
        <v>1922639.0</v>
      </c>
      <c r="C6135" s="15" t="s">
        <v>23495</v>
      </c>
      <c r="D6135" s="15">
        <v>359821.0</v>
      </c>
      <c r="E6135" s="15" t="s">
        <v>1664</v>
      </c>
      <c r="F6135" s="15" t="s">
        <v>1664</v>
      </c>
      <c r="G6135" s="7">
        <v>10.613</v>
      </c>
      <c r="H6135" s="15" t="s">
        <v>3432</v>
      </c>
      <c r="I6135" s="15" t="s">
        <v>1560</v>
      </c>
      <c r="J6135" s="15" t="s">
        <v>23496</v>
      </c>
      <c r="K6135" s="15">
        <v>2.0</v>
      </c>
      <c r="L6135" s="15">
        <v>2.0</v>
      </c>
      <c r="M6135" s="41">
        <v>42714.0</v>
      </c>
      <c r="N6135" s="40">
        <v>42738.0</v>
      </c>
      <c r="O6135" s="15" t="s">
        <v>1554</v>
      </c>
      <c r="Q6135" s="7"/>
    </row>
    <row r="6136">
      <c r="A6136" s="39" t="s">
        <v>23497</v>
      </c>
      <c r="B6136" s="15">
        <v>1922630.0</v>
      </c>
      <c r="C6136" s="15" t="s">
        <v>23499</v>
      </c>
      <c r="D6136" s="15">
        <v>359829.0</v>
      </c>
      <c r="E6136" s="15" t="s">
        <v>1664</v>
      </c>
      <c r="F6136" s="15" t="s">
        <v>1664</v>
      </c>
      <c r="G6136" s="7">
        <v>9.386</v>
      </c>
      <c r="H6136" s="15" t="s">
        <v>4821</v>
      </c>
      <c r="I6136" s="15" t="s">
        <v>1560</v>
      </c>
      <c r="J6136" s="15" t="s">
        <v>23500</v>
      </c>
      <c r="K6136" s="15">
        <v>2.0</v>
      </c>
      <c r="L6136" s="15">
        <v>2.0</v>
      </c>
      <c r="M6136" s="41">
        <v>42714.0</v>
      </c>
      <c r="N6136" s="40">
        <v>42738.0</v>
      </c>
      <c r="O6136" s="15" t="s">
        <v>1554</v>
      </c>
      <c r="Q6136" s="7"/>
    </row>
    <row r="6137">
      <c r="A6137" s="39" t="s">
        <v>23501</v>
      </c>
      <c r="B6137" s="15">
        <v>1922626.0</v>
      </c>
      <c r="C6137" s="15" t="s">
        <v>23502</v>
      </c>
      <c r="D6137" s="15">
        <v>359833.0</v>
      </c>
      <c r="E6137" s="15" t="s">
        <v>1664</v>
      </c>
      <c r="F6137" s="15" t="s">
        <v>1664</v>
      </c>
      <c r="G6137" s="7">
        <v>9.352</v>
      </c>
      <c r="H6137" s="15" t="s">
        <v>3407</v>
      </c>
      <c r="I6137" s="15" t="s">
        <v>1560</v>
      </c>
      <c r="J6137" s="15" t="s">
        <v>23503</v>
      </c>
      <c r="K6137" s="15">
        <v>2.0</v>
      </c>
      <c r="L6137" s="15">
        <v>2.0</v>
      </c>
      <c r="M6137" s="41">
        <v>42714.0</v>
      </c>
      <c r="N6137" s="40">
        <v>42738.0</v>
      </c>
      <c r="O6137" s="15" t="s">
        <v>1554</v>
      </c>
      <c r="Q6137" s="7"/>
    </row>
    <row r="6138">
      <c r="A6138" s="39" t="s">
        <v>23504</v>
      </c>
      <c r="B6138" s="15">
        <v>1922619.0</v>
      </c>
      <c r="C6138" s="15" t="s">
        <v>23505</v>
      </c>
      <c r="D6138" s="15">
        <v>359837.0</v>
      </c>
      <c r="E6138" s="15" t="s">
        <v>1664</v>
      </c>
      <c r="F6138" s="15" t="s">
        <v>1664</v>
      </c>
      <c r="G6138" s="7">
        <v>9.502</v>
      </c>
      <c r="H6138" s="15">
        <v>44.0</v>
      </c>
      <c r="I6138" s="15" t="s">
        <v>1560</v>
      </c>
      <c r="J6138" s="15" t="s">
        <v>23506</v>
      </c>
      <c r="K6138" s="15">
        <v>2.0</v>
      </c>
      <c r="L6138" s="15">
        <v>2.0</v>
      </c>
      <c r="M6138" s="41">
        <v>42714.0</v>
      </c>
      <c r="N6138" s="40">
        <v>42738.0</v>
      </c>
      <c r="O6138" s="15" t="s">
        <v>1554</v>
      </c>
      <c r="Q6138" s="7"/>
    </row>
    <row r="6139">
      <c r="A6139" s="39" t="s">
        <v>23508</v>
      </c>
      <c r="B6139" s="15">
        <v>1922614.0</v>
      </c>
      <c r="C6139" s="15" t="s">
        <v>23509</v>
      </c>
      <c r="D6139" s="15">
        <v>359841.0</v>
      </c>
      <c r="E6139" s="15" t="s">
        <v>1664</v>
      </c>
      <c r="F6139" s="15" t="s">
        <v>1664</v>
      </c>
      <c r="G6139" s="7">
        <v>7.826</v>
      </c>
      <c r="H6139" s="15" t="s">
        <v>1607</v>
      </c>
      <c r="I6139" s="15" t="s">
        <v>1560</v>
      </c>
      <c r="J6139" s="15" t="s">
        <v>23510</v>
      </c>
      <c r="K6139" s="15">
        <v>1.0</v>
      </c>
      <c r="L6139" s="15">
        <v>1.0</v>
      </c>
      <c r="M6139" s="41">
        <v>42714.0</v>
      </c>
      <c r="N6139" s="40">
        <v>42738.0</v>
      </c>
      <c r="O6139" s="15" t="s">
        <v>1554</v>
      </c>
      <c r="Q6139" s="7"/>
    </row>
    <row r="6140">
      <c r="A6140" s="39" t="s">
        <v>23511</v>
      </c>
      <c r="B6140" s="15">
        <v>1922561.0</v>
      </c>
      <c r="C6140" s="15" t="s">
        <v>23512</v>
      </c>
      <c r="D6140" s="15">
        <v>359849.0</v>
      </c>
      <c r="E6140" s="15" t="s">
        <v>1664</v>
      </c>
      <c r="F6140" s="15" t="s">
        <v>1664</v>
      </c>
      <c r="G6140" s="7">
        <v>8.839</v>
      </c>
      <c r="H6140" s="15" t="s">
        <v>2075</v>
      </c>
      <c r="I6140" s="15" t="s">
        <v>1560</v>
      </c>
      <c r="J6140" s="15" t="s">
        <v>23513</v>
      </c>
      <c r="K6140" s="15">
        <v>2.0</v>
      </c>
      <c r="L6140" s="15">
        <v>2.0</v>
      </c>
      <c r="M6140" s="41">
        <v>42714.0</v>
      </c>
      <c r="N6140" s="40">
        <v>42738.0</v>
      </c>
      <c r="O6140" s="15" t="s">
        <v>1554</v>
      </c>
      <c r="Q6140" s="7"/>
    </row>
    <row r="6141">
      <c r="A6141" s="39" t="s">
        <v>23514</v>
      </c>
      <c r="B6141" s="15">
        <v>1922610.0</v>
      </c>
      <c r="C6141" s="15" t="s">
        <v>23515</v>
      </c>
      <c r="D6141" s="15">
        <v>359845.0</v>
      </c>
      <c r="E6141" s="15" t="s">
        <v>1664</v>
      </c>
      <c r="F6141" s="15" t="s">
        <v>1664</v>
      </c>
      <c r="G6141" s="7">
        <v>8.647</v>
      </c>
      <c r="H6141" s="15" t="s">
        <v>6418</v>
      </c>
      <c r="I6141" s="15" t="s">
        <v>1560</v>
      </c>
      <c r="J6141" s="15" t="s">
        <v>23517</v>
      </c>
      <c r="K6141" s="15">
        <v>2.0</v>
      </c>
      <c r="L6141" s="15">
        <v>2.0</v>
      </c>
      <c r="M6141" s="41">
        <v>42714.0</v>
      </c>
      <c r="N6141" s="40">
        <v>42738.0</v>
      </c>
      <c r="O6141" s="15" t="s">
        <v>1554</v>
      </c>
      <c r="Q6141" s="7"/>
    </row>
    <row r="6142">
      <c r="A6142" s="39" t="s">
        <v>23518</v>
      </c>
      <c r="B6142" s="15">
        <v>1922556.0</v>
      </c>
      <c r="C6142" s="15" t="s">
        <v>23519</v>
      </c>
      <c r="D6142" s="15">
        <v>359853.0</v>
      </c>
      <c r="E6142" s="15" t="s">
        <v>1664</v>
      </c>
      <c r="F6142" s="15" t="s">
        <v>1664</v>
      </c>
      <c r="G6142" s="7">
        <v>9.234</v>
      </c>
      <c r="H6142" s="15" t="s">
        <v>2777</v>
      </c>
      <c r="I6142" s="15" t="s">
        <v>1560</v>
      </c>
      <c r="J6142" s="15" t="s">
        <v>23520</v>
      </c>
      <c r="K6142" s="15">
        <v>2.0</v>
      </c>
      <c r="L6142" s="15">
        <v>2.0</v>
      </c>
      <c r="M6142" s="41">
        <v>42714.0</v>
      </c>
      <c r="N6142" s="40">
        <v>42738.0</v>
      </c>
      <c r="O6142" s="15" t="s">
        <v>1554</v>
      </c>
      <c r="Q6142" s="7"/>
    </row>
    <row r="6143">
      <c r="A6143" s="39" t="s">
        <v>23521</v>
      </c>
      <c r="B6143" s="15">
        <v>1922551.0</v>
      </c>
      <c r="C6143" s="15" t="s">
        <v>23522</v>
      </c>
      <c r="D6143" s="15">
        <v>359857.0</v>
      </c>
      <c r="E6143" s="15" t="s">
        <v>1664</v>
      </c>
      <c r="F6143" s="15" t="s">
        <v>1664</v>
      </c>
      <c r="G6143" s="7">
        <v>7.981</v>
      </c>
      <c r="H6143" s="15" t="s">
        <v>6633</v>
      </c>
      <c r="I6143" s="15" t="s">
        <v>1560</v>
      </c>
      <c r="J6143" s="15" t="s">
        <v>23523</v>
      </c>
      <c r="K6143" s="15">
        <v>1.0</v>
      </c>
      <c r="L6143" s="15">
        <v>1.0</v>
      </c>
      <c r="M6143" s="41">
        <v>42714.0</v>
      </c>
      <c r="N6143" s="40">
        <v>42738.0</v>
      </c>
      <c r="O6143" s="15" t="s">
        <v>1554</v>
      </c>
      <c r="Q6143" s="7"/>
    </row>
    <row r="6144">
      <c r="A6144" s="39" t="s">
        <v>23525</v>
      </c>
      <c r="B6144" s="15">
        <v>1922659.0</v>
      </c>
      <c r="C6144" s="15" t="s">
        <v>23526</v>
      </c>
      <c r="D6144" s="15">
        <v>359811.0</v>
      </c>
      <c r="E6144" s="15" t="s">
        <v>1664</v>
      </c>
      <c r="F6144" s="15" t="s">
        <v>1664</v>
      </c>
      <c r="G6144" s="7">
        <v>6.969</v>
      </c>
      <c r="H6144" s="15" t="s">
        <v>2316</v>
      </c>
      <c r="I6144" s="15" t="s">
        <v>1560</v>
      </c>
      <c r="J6144" s="15" t="s">
        <v>23527</v>
      </c>
      <c r="K6144" s="15">
        <v>3.0</v>
      </c>
      <c r="L6144" s="15">
        <v>3.0</v>
      </c>
      <c r="M6144" s="41">
        <v>42714.0</v>
      </c>
      <c r="N6144" s="40">
        <v>42738.0</v>
      </c>
      <c r="O6144" s="15" t="s">
        <v>1554</v>
      </c>
      <c r="Q6144" s="7"/>
    </row>
    <row r="6145">
      <c r="A6145" s="39" t="s">
        <v>23528</v>
      </c>
      <c r="B6145" s="15">
        <v>1922666.0</v>
      </c>
      <c r="C6145" s="15" t="s">
        <v>23529</v>
      </c>
      <c r="D6145" s="15">
        <v>359807.0</v>
      </c>
      <c r="E6145" s="15" t="s">
        <v>1664</v>
      </c>
      <c r="F6145" s="15" t="s">
        <v>1664</v>
      </c>
      <c r="G6145" s="7">
        <v>8.045</v>
      </c>
      <c r="H6145" s="15" t="s">
        <v>2548</v>
      </c>
      <c r="I6145" s="15" t="s">
        <v>1560</v>
      </c>
      <c r="J6145" s="15" t="s">
        <v>23530</v>
      </c>
      <c r="K6145" s="15">
        <v>1.0</v>
      </c>
      <c r="L6145" s="15">
        <v>1.0</v>
      </c>
      <c r="M6145" s="41">
        <v>42714.0</v>
      </c>
      <c r="N6145" s="40">
        <v>42738.0</v>
      </c>
      <c r="O6145" s="15" t="s">
        <v>1554</v>
      </c>
      <c r="Q6145" s="7"/>
    </row>
    <row r="6146">
      <c r="A6146" s="39" t="s">
        <v>23531</v>
      </c>
      <c r="B6146" s="15">
        <v>1922648.0</v>
      </c>
      <c r="C6146" s="15" t="s">
        <v>23532</v>
      </c>
      <c r="D6146" s="15">
        <v>359819.0</v>
      </c>
      <c r="E6146" s="15" t="s">
        <v>1664</v>
      </c>
      <c r="F6146" s="15" t="s">
        <v>1664</v>
      </c>
      <c r="G6146" s="7">
        <v>7.927</v>
      </c>
      <c r="H6146" s="15" t="s">
        <v>2945</v>
      </c>
      <c r="I6146" s="15" t="s">
        <v>1560</v>
      </c>
      <c r="J6146" s="15" t="s">
        <v>23533</v>
      </c>
      <c r="K6146" s="15">
        <v>1.0</v>
      </c>
      <c r="L6146" s="15">
        <v>1.0</v>
      </c>
      <c r="M6146" s="41">
        <v>42714.0</v>
      </c>
      <c r="N6146" s="40">
        <v>42738.0</v>
      </c>
      <c r="O6146" s="15" t="s">
        <v>1554</v>
      </c>
      <c r="Q6146" s="7"/>
    </row>
    <row r="6147">
      <c r="A6147" s="39" t="s">
        <v>23535</v>
      </c>
      <c r="B6147" s="15">
        <v>1922655.0</v>
      </c>
      <c r="C6147" s="15" t="s">
        <v>23536</v>
      </c>
      <c r="D6147" s="15">
        <v>359815.0</v>
      </c>
      <c r="E6147" s="15" t="s">
        <v>1664</v>
      </c>
      <c r="F6147" s="15" t="s">
        <v>1664</v>
      </c>
      <c r="G6147" s="7">
        <v>9.404</v>
      </c>
      <c r="H6147" s="15" t="s">
        <v>1918</v>
      </c>
      <c r="I6147" s="15" t="s">
        <v>1560</v>
      </c>
      <c r="J6147" s="15" t="s">
        <v>23537</v>
      </c>
      <c r="K6147" s="15">
        <v>4.0</v>
      </c>
      <c r="L6147" s="15">
        <v>4.0</v>
      </c>
      <c r="M6147" s="41">
        <v>42714.0</v>
      </c>
      <c r="N6147" s="40">
        <v>42738.0</v>
      </c>
      <c r="O6147" s="15" t="s">
        <v>1554</v>
      </c>
      <c r="Q6147" s="7"/>
    </row>
    <row r="6148">
      <c r="A6148" s="39" t="s">
        <v>23538</v>
      </c>
      <c r="B6148" s="15">
        <v>1922632.0</v>
      </c>
      <c r="C6148" s="15" t="s">
        <v>23539</v>
      </c>
      <c r="D6148" s="15">
        <v>359827.0</v>
      </c>
      <c r="E6148" s="15" t="s">
        <v>1664</v>
      </c>
      <c r="F6148" s="15" t="s">
        <v>1664</v>
      </c>
      <c r="G6148" s="7">
        <v>8.143</v>
      </c>
      <c r="H6148" s="15" t="s">
        <v>4563</v>
      </c>
      <c r="I6148" s="15" t="s">
        <v>1560</v>
      </c>
      <c r="J6148" s="15" t="s">
        <v>23540</v>
      </c>
      <c r="K6148" s="15">
        <v>2.0</v>
      </c>
      <c r="L6148" s="15">
        <v>2.0</v>
      </c>
      <c r="M6148" s="41">
        <v>42714.0</v>
      </c>
      <c r="N6148" s="40">
        <v>42738.0</v>
      </c>
      <c r="O6148" s="15" t="s">
        <v>1554</v>
      </c>
      <c r="Q6148" s="7"/>
    </row>
    <row r="6149">
      <c r="A6149" s="39" t="s">
        <v>23541</v>
      </c>
      <c r="B6149" s="15">
        <v>1922637.0</v>
      </c>
      <c r="C6149" s="15" t="s">
        <v>23542</v>
      </c>
      <c r="D6149" s="15">
        <v>359823.0</v>
      </c>
      <c r="E6149" s="15" t="s">
        <v>1664</v>
      </c>
      <c r="F6149" s="15" t="s">
        <v>1664</v>
      </c>
      <c r="G6149" s="7">
        <v>9.632</v>
      </c>
      <c r="H6149" s="15">
        <v>43.0</v>
      </c>
      <c r="I6149" s="15" t="s">
        <v>1560</v>
      </c>
      <c r="J6149" s="15" t="s">
        <v>23543</v>
      </c>
      <c r="K6149" s="15">
        <v>2.0</v>
      </c>
      <c r="L6149" s="15">
        <v>2.0</v>
      </c>
      <c r="M6149" s="41">
        <v>42714.0</v>
      </c>
      <c r="N6149" s="40">
        <v>42738.0</v>
      </c>
      <c r="O6149" s="15" t="s">
        <v>1554</v>
      </c>
      <c r="Q6149" s="7"/>
    </row>
    <row r="6150">
      <c r="A6150" s="39" t="s">
        <v>23545</v>
      </c>
      <c r="B6150" s="15">
        <v>1922628.0</v>
      </c>
      <c r="C6150" s="15" t="s">
        <v>23546</v>
      </c>
      <c r="D6150" s="15">
        <v>359831.0</v>
      </c>
      <c r="E6150" s="15" t="s">
        <v>1664</v>
      </c>
      <c r="F6150" s="15" t="s">
        <v>1664</v>
      </c>
      <c r="G6150" s="7">
        <v>7.927</v>
      </c>
      <c r="H6150" s="15" t="s">
        <v>2877</v>
      </c>
      <c r="I6150" s="15" t="s">
        <v>1560</v>
      </c>
      <c r="J6150" s="15" t="s">
        <v>23547</v>
      </c>
      <c r="K6150" s="15">
        <v>2.0</v>
      </c>
      <c r="L6150" s="15">
        <v>2.0</v>
      </c>
      <c r="M6150" s="41">
        <v>42714.0</v>
      </c>
      <c r="N6150" s="40">
        <v>42738.0</v>
      </c>
      <c r="O6150" s="15" t="s">
        <v>1554</v>
      </c>
      <c r="Q6150" s="7"/>
    </row>
    <row r="6151">
      <c r="A6151" s="39" t="s">
        <v>23548</v>
      </c>
      <c r="B6151" s="15">
        <v>1922616.0</v>
      </c>
      <c r="C6151" s="15" t="s">
        <v>23549</v>
      </c>
      <c r="D6151" s="15">
        <v>359839.0</v>
      </c>
      <c r="E6151" s="15" t="s">
        <v>1664</v>
      </c>
      <c r="F6151" s="15" t="s">
        <v>1664</v>
      </c>
      <c r="G6151" s="7">
        <v>9.338</v>
      </c>
      <c r="H6151" s="15" t="s">
        <v>3097</v>
      </c>
      <c r="I6151" s="15" t="s">
        <v>1560</v>
      </c>
      <c r="J6151" s="15" t="s">
        <v>23550</v>
      </c>
      <c r="K6151" s="15">
        <v>3.0</v>
      </c>
      <c r="L6151" s="15">
        <v>3.0</v>
      </c>
      <c r="M6151" s="41">
        <v>42714.0</v>
      </c>
      <c r="N6151" s="40">
        <v>42738.0</v>
      </c>
      <c r="O6151" s="15" t="s">
        <v>1554</v>
      </c>
      <c r="Q6151" s="7"/>
    </row>
    <row r="6152">
      <c r="A6152" s="39" t="s">
        <v>23552</v>
      </c>
      <c r="B6152" s="15">
        <v>1922622.0</v>
      </c>
      <c r="C6152" s="15" t="s">
        <v>23553</v>
      </c>
      <c r="D6152" s="15">
        <v>359835.0</v>
      </c>
      <c r="E6152" s="15" t="s">
        <v>1664</v>
      </c>
      <c r="F6152" s="15" t="s">
        <v>1664</v>
      </c>
      <c r="G6152" s="7">
        <v>10.108</v>
      </c>
      <c r="H6152" s="15">
        <v>47.0</v>
      </c>
      <c r="I6152" s="15" t="s">
        <v>1560</v>
      </c>
      <c r="J6152" s="15" t="s">
        <v>23554</v>
      </c>
      <c r="K6152" s="15">
        <v>2.0</v>
      </c>
      <c r="L6152" s="15">
        <v>2.0</v>
      </c>
      <c r="M6152" s="41">
        <v>42714.0</v>
      </c>
      <c r="N6152" s="40">
        <v>42738.0</v>
      </c>
      <c r="O6152" s="15" t="s">
        <v>1554</v>
      </c>
      <c r="Q6152" s="7"/>
    </row>
    <row r="6153">
      <c r="A6153" s="39" t="s">
        <v>23555</v>
      </c>
      <c r="B6153" s="15">
        <v>1922612.0</v>
      </c>
      <c r="C6153" s="15" t="s">
        <v>23556</v>
      </c>
      <c r="D6153" s="15">
        <v>359843.0</v>
      </c>
      <c r="E6153" s="15" t="s">
        <v>1664</v>
      </c>
      <c r="F6153" s="15" t="s">
        <v>1664</v>
      </c>
      <c r="G6153" s="7">
        <v>9.233</v>
      </c>
      <c r="H6153" s="15" t="s">
        <v>2864</v>
      </c>
      <c r="I6153" s="15" t="s">
        <v>1560</v>
      </c>
      <c r="J6153" s="15" t="s">
        <v>23557</v>
      </c>
      <c r="K6153" s="15">
        <v>1.0</v>
      </c>
      <c r="L6153" s="15">
        <v>1.0</v>
      </c>
      <c r="M6153" s="41">
        <v>42714.0</v>
      </c>
      <c r="N6153" s="40">
        <v>42738.0</v>
      </c>
      <c r="O6153" s="15" t="s">
        <v>1554</v>
      </c>
      <c r="Q6153" s="7"/>
    </row>
    <row r="6154">
      <c r="A6154" s="39" t="s">
        <v>23558</v>
      </c>
      <c r="B6154" s="15">
        <v>1922563.0</v>
      </c>
      <c r="C6154" s="15" t="s">
        <v>23559</v>
      </c>
      <c r="D6154" s="15">
        <v>359847.0</v>
      </c>
      <c r="E6154" s="15" t="s">
        <v>1664</v>
      </c>
      <c r="F6154" s="15" t="s">
        <v>1664</v>
      </c>
      <c r="G6154" s="7">
        <v>10.091</v>
      </c>
      <c r="H6154" s="15" t="s">
        <v>1602</v>
      </c>
      <c r="I6154" s="15" t="s">
        <v>1560</v>
      </c>
      <c r="J6154" s="15" t="s">
        <v>23560</v>
      </c>
      <c r="K6154" s="15">
        <v>2.0</v>
      </c>
      <c r="L6154" s="15">
        <v>2.0</v>
      </c>
      <c r="M6154" s="41">
        <v>42714.0</v>
      </c>
      <c r="N6154" s="40">
        <v>42738.0</v>
      </c>
      <c r="O6154" s="15" t="s">
        <v>1554</v>
      </c>
      <c r="Q6154" s="7"/>
    </row>
    <row r="6155">
      <c r="A6155" s="39" t="s">
        <v>23562</v>
      </c>
      <c r="B6155" s="15">
        <v>1922559.0</v>
      </c>
      <c r="C6155" s="15" t="s">
        <v>23563</v>
      </c>
      <c r="D6155" s="15">
        <v>359851.0</v>
      </c>
      <c r="E6155" s="15" t="s">
        <v>1664</v>
      </c>
      <c r="F6155" s="15" t="s">
        <v>1664</v>
      </c>
      <c r="G6155" s="7">
        <v>8.733</v>
      </c>
      <c r="H6155" s="15" t="s">
        <v>2304</v>
      </c>
      <c r="I6155" s="15" t="s">
        <v>1560</v>
      </c>
      <c r="J6155" s="15" t="s">
        <v>23564</v>
      </c>
      <c r="K6155" s="15">
        <v>2.0</v>
      </c>
      <c r="L6155" s="15">
        <v>2.0</v>
      </c>
      <c r="M6155" s="41">
        <v>42714.0</v>
      </c>
      <c r="N6155" s="40">
        <v>42738.0</v>
      </c>
      <c r="O6155" s="15" t="s">
        <v>1554</v>
      </c>
      <c r="Q6155" s="7"/>
    </row>
    <row r="6156">
      <c r="A6156" s="39" t="s">
        <v>23565</v>
      </c>
      <c r="B6156" s="15">
        <v>1922553.0</v>
      </c>
      <c r="C6156" s="15" t="s">
        <v>23566</v>
      </c>
      <c r="D6156" s="15">
        <v>359855.0</v>
      </c>
      <c r="E6156" s="15" t="s">
        <v>1664</v>
      </c>
      <c r="F6156" s="15" t="s">
        <v>1664</v>
      </c>
      <c r="G6156" s="7">
        <v>8.221</v>
      </c>
      <c r="H6156" s="15" t="s">
        <v>2064</v>
      </c>
      <c r="I6156" s="15" t="s">
        <v>1560</v>
      </c>
      <c r="J6156" s="15" t="s">
        <v>23567</v>
      </c>
      <c r="K6156" s="15">
        <v>2.0</v>
      </c>
      <c r="L6156" s="15">
        <v>2.0</v>
      </c>
      <c r="M6156" s="41">
        <v>42714.0</v>
      </c>
      <c r="N6156" s="40">
        <v>42738.0</v>
      </c>
      <c r="O6156" s="15" t="s">
        <v>1554</v>
      </c>
      <c r="Q6156" s="7"/>
    </row>
    <row r="6157">
      <c r="A6157" s="39" t="s">
        <v>23569</v>
      </c>
      <c r="B6157" s="15">
        <v>1922545.0</v>
      </c>
      <c r="C6157" s="15" t="s">
        <v>23570</v>
      </c>
      <c r="D6157" s="15">
        <v>359863.0</v>
      </c>
      <c r="E6157" s="15" t="s">
        <v>1664</v>
      </c>
      <c r="F6157" s="15" t="s">
        <v>1664</v>
      </c>
      <c r="G6157" s="7">
        <v>10.897</v>
      </c>
      <c r="H6157" s="15" t="s">
        <v>2428</v>
      </c>
      <c r="I6157" s="15" t="s">
        <v>1560</v>
      </c>
      <c r="J6157" s="15" t="s">
        <v>23571</v>
      </c>
      <c r="K6157" s="15">
        <v>2.0</v>
      </c>
      <c r="L6157" s="15">
        <v>2.0</v>
      </c>
      <c r="M6157" s="41">
        <v>42714.0</v>
      </c>
      <c r="N6157" s="40">
        <v>42738.0</v>
      </c>
      <c r="O6157" s="15" t="s">
        <v>1554</v>
      </c>
      <c r="Q6157" s="7"/>
    </row>
    <row r="6158">
      <c r="A6158" s="39" t="s">
        <v>23572</v>
      </c>
      <c r="B6158" s="15">
        <v>1922549.0</v>
      </c>
      <c r="C6158" s="15" t="s">
        <v>23573</v>
      </c>
      <c r="D6158" s="15">
        <v>359859.0</v>
      </c>
      <c r="E6158" s="15" t="s">
        <v>1664</v>
      </c>
      <c r="F6158" s="15" t="s">
        <v>1664</v>
      </c>
      <c r="G6158" s="7">
        <v>9.928</v>
      </c>
      <c r="H6158" s="15" t="s">
        <v>1994</v>
      </c>
      <c r="I6158" s="15" t="s">
        <v>1560</v>
      </c>
      <c r="J6158" s="15" t="s">
        <v>23574</v>
      </c>
      <c r="K6158" s="15">
        <v>4.0</v>
      </c>
      <c r="L6158" s="15">
        <v>4.0</v>
      </c>
      <c r="M6158" s="41">
        <v>42714.0</v>
      </c>
      <c r="N6158" s="40">
        <v>42738.0</v>
      </c>
      <c r="O6158" s="15" t="s">
        <v>1554</v>
      </c>
      <c r="Q6158" s="7"/>
    </row>
    <row r="6159">
      <c r="A6159" s="39" t="s">
        <v>23575</v>
      </c>
      <c r="B6159" s="15">
        <v>1922541.0</v>
      </c>
      <c r="C6159" s="15" t="s">
        <v>23576</v>
      </c>
      <c r="D6159" s="15">
        <v>359867.0</v>
      </c>
      <c r="E6159" s="15" t="s">
        <v>1664</v>
      </c>
      <c r="F6159" s="15" t="s">
        <v>1664</v>
      </c>
      <c r="G6159" s="7">
        <v>10.676</v>
      </c>
      <c r="H6159" s="15" t="s">
        <v>1983</v>
      </c>
      <c r="I6159" s="15" t="s">
        <v>1560</v>
      </c>
      <c r="J6159" s="15" t="s">
        <v>23578</v>
      </c>
      <c r="K6159" s="15">
        <v>2.0</v>
      </c>
      <c r="L6159" s="15">
        <v>2.0</v>
      </c>
      <c r="M6159" s="41">
        <v>42714.0</v>
      </c>
      <c r="N6159" s="40">
        <v>42738.0</v>
      </c>
      <c r="O6159" s="15" t="s">
        <v>1554</v>
      </c>
      <c r="Q6159" s="7"/>
    </row>
    <row r="6160">
      <c r="A6160" s="39" t="s">
        <v>23579</v>
      </c>
      <c r="B6160" s="15">
        <v>1922536.0</v>
      </c>
      <c r="C6160" s="15" t="s">
        <v>23580</v>
      </c>
      <c r="D6160" s="15">
        <v>359871.0</v>
      </c>
      <c r="E6160" s="15" t="s">
        <v>1664</v>
      </c>
      <c r="F6160" s="15" t="s">
        <v>1664</v>
      </c>
      <c r="G6160" s="7">
        <v>13.842</v>
      </c>
      <c r="H6160" s="15" t="s">
        <v>13856</v>
      </c>
      <c r="I6160" s="15" t="s">
        <v>1560</v>
      </c>
      <c r="J6160" s="15" t="s">
        <v>23581</v>
      </c>
      <c r="K6160" s="15">
        <v>1.0</v>
      </c>
      <c r="L6160" s="15">
        <v>1.0</v>
      </c>
      <c r="M6160" s="41">
        <v>42714.0</v>
      </c>
      <c r="N6160" s="40">
        <v>42738.0</v>
      </c>
      <c r="O6160" s="15" t="s">
        <v>1554</v>
      </c>
      <c r="Q6160" s="7"/>
    </row>
    <row r="6161">
      <c r="A6161" s="39" t="s">
        <v>23582</v>
      </c>
      <c r="B6161" s="15">
        <v>1922532.0</v>
      </c>
      <c r="C6161" s="15" t="s">
        <v>23583</v>
      </c>
      <c r="D6161" s="15">
        <v>359875.0</v>
      </c>
      <c r="E6161" s="15" t="s">
        <v>1664</v>
      </c>
      <c r="F6161" s="15" t="s">
        <v>1664</v>
      </c>
      <c r="G6161" s="7">
        <v>6.729</v>
      </c>
      <c r="H6161" s="15" t="s">
        <v>4283</v>
      </c>
      <c r="I6161" s="15" t="s">
        <v>1560</v>
      </c>
      <c r="J6161" s="15" t="s">
        <v>23584</v>
      </c>
      <c r="K6161" s="15">
        <v>1.0</v>
      </c>
      <c r="L6161" s="15">
        <v>1.0</v>
      </c>
      <c r="M6161" s="41">
        <v>42714.0</v>
      </c>
      <c r="N6161" s="40">
        <v>42738.0</v>
      </c>
      <c r="O6161" s="15" t="s">
        <v>1554</v>
      </c>
      <c r="Q6161" s="7"/>
    </row>
    <row r="6162">
      <c r="A6162" s="39" t="s">
        <v>23586</v>
      </c>
      <c r="B6162" s="15">
        <v>1922605.0</v>
      </c>
      <c r="C6162" s="15" t="s">
        <v>23587</v>
      </c>
      <c r="D6162" s="15">
        <v>359879.0</v>
      </c>
      <c r="E6162" s="15" t="s">
        <v>1664</v>
      </c>
      <c r="F6162" s="15" t="s">
        <v>1664</v>
      </c>
      <c r="G6162" s="7">
        <v>9.416</v>
      </c>
      <c r="H6162" s="15">
        <v>40.0</v>
      </c>
      <c r="I6162" s="15" t="s">
        <v>1560</v>
      </c>
      <c r="J6162" s="15" t="s">
        <v>23588</v>
      </c>
      <c r="K6162" s="15">
        <v>2.0</v>
      </c>
      <c r="L6162" s="15">
        <v>2.0</v>
      </c>
      <c r="M6162" s="41">
        <v>42714.0</v>
      </c>
      <c r="N6162" s="40">
        <v>42738.0</v>
      </c>
      <c r="O6162" s="15" t="s">
        <v>1554</v>
      </c>
      <c r="Q6162" s="7"/>
    </row>
    <row r="6163">
      <c r="A6163" s="39" t="s">
        <v>23589</v>
      </c>
      <c r="B6163" s="15">
        <v>1922660.0</v>
      </c>
      <c r="C6163" s="15" t="s">
        <v>23590</v>
      </c>
      <c r="D6163" s="15">
        <v>359810.0</v>
      </c>
      <c r="E6163" s="15" t="s">
        <v>1664</v>
      </c>
      <c r="F6163" s="15" t="s">
        <v>1664</v>
      </c>
      <c r="G6163" s="7">
        <v>12.483</v>
      </c>
      <c r="H6163" s="15" t="s">
        <v>2197</v>
      </c>
      <c r="I6163" s="15" t="s">
        <v>1560</v>
      </c>
      <c r="J6163" s="15" t="s">
        <v>23591</v>
      </c>
      <c r="K6163" s="15">
        <v>8.0</v>
      </c>
      <c r="L6163" s="15">
        <v>8.0</v>
      </c>
      <c r="M6163" s="41">
        <v>42714.0</v>
      </c>
      <c r="N6163" s="40">
        <v>42738.0</v>
      </c>
      <c r="O6163" s="15" t="s">
        <v>1554</v>
      </c>
      <c r="Q6163" s="7"/>
    </row>
    <row r="6164">
      <c r="A6164" s="39" t="s">
        <v>23592</v>
      </c>
      <c r="B6164" s="15">
        <v>1922656.0</v>
      </c>
      <c r="C6164" s="15" t="s">
        <v>23594</v>
      </c>
      <c r="D6164" s="15">
        <v>359814.0</v>
      </c>
      <c r="E6164" s="15" t="s">
        <v>1664</v>
      </c>
      <c r="F6164" s="15" t="s">
        <v>1664</v>
      </c>
      <c r="G6164" s="7">
        <v>9.663</v>
      </c>
      <c r="H6164" s="15" t="s">
        <v>5521</v>
      </c>
      <c r="I6164" s="15" t="s">
        <v>1560</v>
      </c>
      <c r="J6164" s="15" t="s">
        <v>23595</v>
      </c>
      <c r="K6164" s="15">
        <v>4.0</v>
      </c>
      <c r="L6164" s="15">
        <v>4.0</v>
      </c>
      <c r="M6164" s="41">
        <v>42714.0</v>
      </c>
      <c r="N6164" s="40">
        <v>42738.0</v>
      </c>
      <c r="O6164" s="15" t="s">
        <v>1554</v>
      </c>
      <c r="Q6164" s="7"/>
    </row>
    <row r="6165">
      <c r="A6165" s="39" t="s">
        <v>23596</v>
      </c>
      <c r="B6165" s="15">
        <v>1922651.0</v>
      </c>
      <c r="C6165" s="15" t="s">
        <v>23597</v>
      </c>
      <c r="D6165" s="15">
        <v>359818.0</v>
      </c>
      <c r="E6165" s="15" t="s">
        <v>1664</v>
      </c>
      <c r="F6165" s="15" t="s">
        <v>1664</v>
      </c>
      <c r="G6165" s="7">
        <v>10.551</v>
      </c>
      <c r="H6165" s="15" t="s">
        <v>2752</v>
      </c>
      <c r="I6165" s="15" t="s">
        <v>1560</v>
      </c>
      <c r="J6165" s="15" t="s">
        <v>23598</v>
      </c>
      <c r="K6165" s="15">
        <v>3.0</v>
      </c>
      <c r="L6165" s="15">
        <v>3.0</v>
      </c>
      <c r="M6165" s="41">
        <v>42714.0</v>
      </c>
      <c r="N6165" s="40">
        <v>42738.0</v>
      </c>
      <c r="O6165" s="15" t="s">
        <v>1554</v>
      </c>
      <c r="Q6165" s="7"/>
    </row>
    <row r="6166">
      <c r="A6166" s="39" t="s">
        <v>23599</v>
      </c>
      <c r="B6166" s="15">
        <v>1922638.0</v>
      </c>
      <c r="C6166" s="15" t="s">
        <v>23600</v>
      </c>
      <c r="D6166" s="15">
        <v>359822.0</v>
      </c>
      <c r="E6166" s="15" t="s">
        <v>1664</v>
      </c>
      <c r="F6166" s="15" t="s">
        <v>1664</v>
      </c>
      <c r="G6166" s="7">
        <v>9.364</v>
      </c>
      <c r="H6166" s="15">
        <v>38.0</v>
      </c>
      <c r="I6166" s="15" t="s">
        <v>1560</v>
      </c>
      <c r="J6166" s="15" t="s">
        <v>23601</v>
      </c>
      <c r="K6166" s="15">
        <v>2.0</v>
      </c>
      <c r="L6166" s="15">
        <v>2.0</v>
      </c>
      <c r="M6166" s="41">
        <v>42714.0</v>
      </c>
      <c r="N6166" s="40">
        <v>42738.0</v>
      </c>
      <c r="O6166" s="15" t="s">
        <v>1554</v>
      </c>
      <c r="Q6166" s="7"/>
    </row>
    <row r="6167">
      <c r="A6167" s="39" t="s">
        <v>23603</v>
      </c>
      <c r="B6167" s="15">
        <v>1922633.0</v>
      </c>
      <c r="C6167" s="15" t="s">
        <v>23604</v>
      </c>
      <c r="D6167" s="15">
        <v>359826.0</v>
      </c>
      <c r="E6167" s="15" t="s">
        <v>1664</v>
      </c>
      <c r="F6167" s="15" t="s">
        <v>1664</v>
      </c>
      <c r="G6167" s="7">
        <v>9.188</v>
      </c>
      <c r="H6167" s="15" t="s">
        <v>3082</v>
      </c>
      <c r="I6167" s="15" t="s">
        <v>1560</v>
      </c>
      <c r="J6167" s="15" t="s">
        <v>23605</v>
      </c>
      <c r="K6167" s="15">
        <v>2.0</v>
      </c>
      <c r="L6167" s="15">
        <v>2.0</v>
      </c>
      <c r="M6167" s="41">
        <v>42714.0</v>
      </c>
      <c r="N6167" s="40">
        <v>42738.0</v>
      </c>
      <c r="O6167" s="15" t="s">
        <v>1554</v>
      </c>
      <c r="Q6167" s="7"/>
    </row>
    <row r="6168">
      <c r="A6168" s="39" t="s">
        <v>23606</v>
      </c>
      <c r="B6168" s="15">
        <v>1922629.0</v>
      </c>
      <c r="C6168" s="15" t="s">
        <v>23607</v>
      </c>
      <c r="D6168" s="15">
        <v>359830.0</v>
      </c>
      <c r="E6168" s="15" t="s">
        <v>1664</v>
      </c>
      <c r="F6168" s="15" t="s">
        <v>1664</v>
      </c>
      <c r="G6168" s="7">
        <v>7.822</v>
      </c>
      <c r="H6168" s="15" t="s">
        <v>1551</v>
      </c>
      <c r="I6168" s="15" t="s">
        <v>1560</v>
      </c>
      <c r="J6168" s="15" t="s">
        <v>23608</v>
      </c>
      <c r="K6168" s="15">
        <v>2.0</v>
      </c>
      <c r="L6168" s="15">
        <v>2.0</v>
      </c>
      <c r="M6168" s="41">
        <v>42714.0</v>
      </c>
      <c r="N6168" s="40">
        <v>42738.0</v>
      </c>
      <c r="O6168" s="15" t="s">
        <v>1554</v>
      </c>
      <c r="Q6168" s="7"/>
    </row>
    <row r="6169">
      <c r="A6169" s="39" t="s">
        <v>23609</v>
      </c>
      <c r="B6169" s="15">
        <v>1922624.0</v>
      </c>
      <c r="C6169" s="15" t="s">
        <v>23610</v>
      </c>
      <c r="D6169" s="15">
        <v>359834.0</v>
      </c>
      <c r="E6169" s="15" t="s">
        <v>1664</v>
      </c>
      <c r="F6169" s="15" t="s">
        <v>1664</v>
      </c>
      <c r="G6169" s="7">
        <v>8.729</v>
      </c>
      <c r="H6169" s="15" t="s">
        <v>2857</v>
      </c>
      <c r="I6169" s="15" t="s">
        <v>1560</v>
      </c>
      <c r="J6169" s="15" t="s">
        <v>23612</v>
      </c>
      <c r="K6169" s="15">
        <v>2.0</v>
      </c>
      <c r="L6169" s="15">
        <v>2.0</v>
      </c>
      <c r="M6169" s="41">
        <v>42714.0</v>
      </c>
      <c r="N6169" s="40">
        <v>42738.0</v>
      </c>
      <c r="O6169" s="15" t="s">
        <v>1554</v>
      </c>
      <c r="Q6169" s="7"/>
    </row>
    <row r="6170">
      <c r="A6170" s="39" t="s">
        <v>23613</v>
      </c>
      <c r="B6170" s="15">
        <v>1922618.0</v>
      </c>
      <c r="C6170" s="15" t="s">
        <v>23614</v>
      </c>
      <c r="D6170" s="15">
        <v>359838.0</v>
      </c>
      <c r="E6170" s="15" t="s">
        <v>1664</v>
      </c>
      <c r="F6170" s="15" t="s">
        <v>1664</v>
      </c>
      <c r="G6170" s="7">
        <v>9.348</v>
      </c>
      <c r="H6170" s="15" t="s">
        <v>2365</v>
      </c>
      <c r="I6170" s="15" t="s">
        <v>1560</v>
      </c>
      <c r="J6170" s="15" t="s">
        <v>23615</v>
      </c>
      <c r="K6170" s="15">
        <v>2.0</v>
      </c>
      <c r="L6170" s="15">
        <v>2.0</v>
      </c>
      <c r="M6170" s="41">
        <v>42714.0</v>
      </c>
      <c r="N6170" s="40">
        <v>42738.0</v>
      </c>
      <c r="O6170" s="15" t="s">
        <v>1554</v>
      </c>
      <c r="Q6170" s="7"/>
    </row>
    <row r="6171">
      <c r="A6171" s="39" t="s">
        <v>23616</v>
      </c>
      <c r="B6171" s="15">
        <v>1922613.0</v>
      </c>
      <c r="C6171" s="15" t="s">
        <v>23617</v>
      </c>
      <c r="D6171" s="15">
        <v>359842.0</v>
      </c>
      <c r="E6171" s="15" t="s">
        <v>1664</v>
      </c>
      <c r="F6171" s="15" t="s">
        <v>1664</v>
      </c>
      <c r="G6171" s="7">
        <v>10.121</v>
      </c>
      <c r="H6171" s="15" t="s">
        <v>2648</v>
      </c>
      <c r="I6171" s="15" t="s">
        <v>1560</v>
      </c>
      <c r="J6171" s="15" t="s">
        <v>23618</v>
      </c>
      <c r="K6171" s="15">
        <v>1.0</v>
      </c>
      <c r="L6171" s="15">
        <v>1.0</v>
      </c>
      <c r="M6171" s="41">
        <v>42714.0</v>
      </c>
      <c r="N6171" s="40">
        <v>42738.0</v>
      </c>
      <c r="O6171" s="15" t="s">
        <v>1554</v>
      </c>
      <c r="Q6171" s="7"/>
    </row>
    <row r="6172">
      <c r="A6172" s="39" t="s">
        <v>23620</v>
      </c>
      <c r="B6172" s="15">
        <v>1922609.0</v>
      </c>
      <c r="C6172" s="15" t="s">
        <v>23621</v>
      </c>
      <c r="D6172" s="15">
        <v>359846.0</v>
      </c>
      <c r="E6172" s="15" t="s">
        <v>1664</v>
      </c>
      <c r="F6172" s="15" t="s">
        <v>1664</v>
      </c>
      <c r="G6172" s="7">
        <v>8.334</v>
      </c>
      <c r="H6172" s="42">
        <v>43342.0</v>
      </c>
      <c r="I6172" s="15" t="s">
        <v>1560</v>
      </c>
      <c r="J6172" s="15" t="s">
        <v>23622</v>
      </c>
      <c r="K6172" s="15">
        <v>2.0</v>
      </c>
      <c r="L6172" s="15">
        <v>2.0</v>
      </c>
      <c r="M6172" s="41">
        <v>42714.0</v>
      </c>
      <c r="N6172" s="40">
        <v>42738.0</v>
      </c>
      <c r="O6172" s="15" t="s">
        <v>1554</v>
      </c>
      <c r="Q6172" s="7"/>
    </row>
    <row r="6173">
      <c r="A6173" s="39" t="s">
        <v>23623</v>
      </c>
      <c r="B6173" s="15">
        <v>1922560.0</v>
      </c>
      <c r="C6173" s="15" t="s">
        <v>23624</v>
      </c>
      <c r="D6173" s="15">
        <v>359850.0</v>
      </c>
      <c r="E6173" s="15" t="s">
        <v>1664</v>
      </c>
      <c r="F6173" s="15" t="s">
        <v>1664</v>
      </c>
      <c r="G6173" s="7">
        <v>9.186</v>
      </c>
      <c r="H6173" s="15" t="s">
        <v>2820</v>
      </c>
      <c r="I6173" s="15" t="s">
        <v>1560</v>
      </c>
      <c r="J6173" s="15" t="s">
        <v>23625</v>
      </c>
      <c r="K6173" s="15">
        <v>2.0</v>
      </c>
      <c r="L6173" s="15">
        <v>2.0</v>
      </c>
      <c r="M6173" s="41">
        <v>42714.0</v>
      </c>
      <c r="N6173" s="40">
        <v>42738.0</v>
      </c>
      <c r="O6173" s="15" t="s">
        <v>1554</v>
      </c>
      <c r="Q6173" s="7"/>
    </row>
    <row r="6174">
      <c r="A6174" s="39" t="s">
        <v>23626</v>
      </c>
      <c r="B6174" s="15">
        <v>1922554.0</v>
      </c>
      <c r="C6174" s="15" t="s">
        <v>23627</v>
      </c>
      <c r="D6174" s="15">
        <v>359854.0</v>
      </c>
      <c r="E6174" s="15" t="s">
        <v>1664</v>
      </c>
      <c r="F6174" s="15" t="s">
        <v>1664</v>
      </c>
      <c r="G6174" s="7">
        <v>8.546</v>
      </c>
      <c r="H6174" s="15" t="s">
        <v>8889</v>
      </c>
      <c r="I6174" s="15" t="s">
        <v>1560</v>
      </c>
      <c r="J6174" s="15" t="s">
        <v>23628</v>
      </c>
      <c r="K6174" s="15">
        <v>1.0</v>
      </c>
      <c r="L6174" s="15">
        <v>1.0</v>
      </c>
      <c r="M6174" s="41">
        <v>42714.0</v>
      </c>
      <c r="N6174" s="40">
        <v>42738.0</v>
      </c>
      <c r="O6174" s="15" t="s">
        <v>1554</v>
      </c>
      <c r="Q6174" s="7"/>
    </row>
    <row r="6175">
      <c r="A6175" s="39" t="s">
        <v>23630</v>
      </c>
      <c r="B6175" s="15">
        <v>1922550.0</v>
      </c>
      <c r="C6175" s="15" t="s">
        <v>23631</v>
      </c>
      <c r="D6175" s="15">
        <v>359858.0</v>
      </c>
      <c r="E6175" s="15" t="s">
        <v>1664</v>
      </c>
      <c r="F6175" s="15" t="s">
        <v>1664</v>
      </c>
      <c r="G6175" s="7">
        <v>8.621</v>
      </c>
      <c r="H6175" s="15" t="s">
        <v>1818</v>
      </c>
      <c r="I6175" s="15" t="s">
        <v>1560</v>
      </c>
      <c r="J6175" s="15" t="s">
        <v>23632</v>
      </c>
      <c r="K6175" s="15">
        <v>2.0</v>
      </c>
      <c r="L6175" s="15">
        <v>2.0</v>
      </c>
      <c r="M6175" s="41">
        <v>42714.0</v>
      </c>
      <c r="N6175" s="40">
        <v>42738.0</v>
      </c>
      <c r="O6175" s="15" t="s">
        <v>1554</v>
      </c>
      <c r="Q6175" s="7"/>
    </row>
    <row r="6176">
      <c r="A6176" s="39" t="s">
        <v>23633</v>
      </c>
      <c r="B6176" s="15">
        <v>1922546.0</v>
      </c>
      <c r="C6176" s="15" t="s">
        <v>23634</v>
      </c>
      <c r="D6176" s="15">
        <v>359862.0</v>
      </c>
      <c r="E6176" s="15" t="s">
        <v>1664</v>
      </c>
      <c r="F6176" s="15" t="s">
        <v>1664</v>
      </c>
      <c r="G6176" s="7">
        <v>9.45</v>
      </c>
      <c r="H6176" s="15" t="s">
        <v>2023</v>
      </c>
      <c r="I6176" s="15" t="s">
        <v>1560</v>
      </c>
      <c r="J6176" s="15" t="s">
        <v>23635</v>
      </c>
      <c r="K6176" s="15">
        <v>3.0</v>
      </c>
      <c r="L6176" s="15">
        <v>3.0</v>
      </c>
      <c r="M6176" s="41">
        <v>42714.0</v>
      </c>
      <c r="N6176" s="40">
        <v>42738.0</v>
      </c>
      <c r="O6176" s="15" t="s">
        <v>1554</v>
      </c>
      <c r="Q6176" s="7"/>
    </row>
    <row r="6177">
      <c r="A6177" s="39" t="s">
        <v>23636</v>
      </c>
      <c r="B6177" s="15">
        <v>1922542.0</v>
      </c>
      <c r="C6177" s="15" t="s">
        <v>23637</v>
      </c>
      <c r="D6177" s="15">
        <v>359866.0</v>
      </c>
      <c r="E6177" s="15" t="s">
        <v>1664</v>
      </c>
      <c r="F6177" s="15" t="s">
        <v>1664</v>
      </c>
      <c r="G6177" s="7">
        <v>10.929</v>
      </c>
      <c r="H6177" s="15" t="s">
        <v>2648</v>
      </c>
      <c r="I6177" s="15" t="s">
        <v>1560</v>
      </c>
      <c r="J6177" s="15" t="s">
        <v>23639</v>
      </c>
      <c r="K6177" s="15">
        <v>2.0</v>
      </c>
      <c r="L6177" s="15">
        <v>2.0</v>
      </c>
      <c r="M6177" s="41">
        <v>42714.0</v>
      </c>
      <c r="N6177" s="40">
        <v>42738.0</v>
      </c>
      <c r="O6177" s="15" t="s">
        <v>1554</v>
      </c>
      <c r="Q6177" s="7"/>
    </row>
    <row r="6178">
      <c r="A6178" s="39" t="s">
        <v>23640</v>
      </c>
      <c r="B6178" s="15">
        <v>1922538.0</v>
      </c>
      <c r="C6178" s="15" t="s">
        <v>23641</v>
      </c>
      <c r="D6178" s="15">
        <v>359870.0</v>
      </c>
      <c r="E6178" s="15" t="s">
        <v>1664</v>
      </c>
      <c r="F6178" s="15" t="s">
        <v>1664</v>
      </c>
      <c r="G6178" s="7">
        <v>9.245</v>
      </c>
      <c r="H6178" s="15" t="s">
        <v>2950</v>
      </c>
      <c r="I6178" s="15" t="s">
        <v>1560</v>
      </c>
      <c r="J6178" s="15" t="s">
        <v>23642</v>
      </c>
      <c r="K6178" s="15">
        <v>2.0</v>
      </c>
      <c r="L6178" s="15">
        <v>2.0</v>
      </c>
      <c r="M6178" s="41">
        <v>42714.0</v>
      </c>
      <c r="N6178" s="40">
        <v>42738.0</v>
      </c>
      <c r="O6178" s="15" t="s">
        <v>1554</v>
      </c>
      <c r="Q6178" s="7"/>
    </row>
    <row r="6179">
      <c r="A6179" s="39" t="s">
        <v>23643</v>
      </c>
      <c r="B6179" s="15">
        <v>1922533.0</v>
      </c>
      <c r="C6179" s="15" t="s">
        <v>23644</v>
      </c>
      <c r="D6179" s="15">
        <v>359874.0</v>
      </c>
      <c r="E6179" s="15" t="s">
        <v>1664</v>
      </c>
      <c r="F6179" s="15" t="s">
        <v>1664</v>
      </c>
      <c r="G6179" s="7">
        <v>8.854</v>
      </c>
      <c r="H6179" s="15" t="s">
        <v>2648</v>
      </c>
      <c r="I6179" s="15" t="s">
        <v>1560</v>
      </c>
      <c r="J6179" s="15" t="s">
        <v>23645</v>
      </c>
      <c r="K6179" s="15">
        <v>2.0</v>
      </c>
      <c r="L6179" s="15">
        <v>2.0</v>
      </c>
      <c r="M6179" s="41">
        <v>42714.0</v>
      </c>
      <c r="N6179" s="40">
        <v>42738.0</v>
      </c>
      <c r="O6179" s="15" t="s">
        <v>1554</v>
      </c>
      <c r="Q6179" s="7"/>
    </row>
    <row r="6180">
      <c r="A6180" s="39" t="s">
        <v>23647</v>
      </c>
      <c r="B6180" s="15">
        <v>1922606.0</v>
      </c>
      <c r="C6180" s="15" t="s">
        <v>23648</v>
      </c>
      <c r="D6180" s="15">
        <v>359878.0</v>
      </c>
      <c r="E6180" s="15" t="s">
        <v>1664</v>
      </c>
      <c r="F6180" s="15" t="s">
        <v>1664</v>
      </c>
      <c r="G6180" s="7">
        <v>8.818</v>
      </c>
      <c r="H6180" s="15" t="s">
        <v>2223</v>
      </c>
      <c r="I6180" s="15" t="s">
        <v>1560</v>
      </c>
      <c r="J6180" s="15" t="s">
        <v>23649</v>
      </c>
      <c r="K6180" s="15">
        <v>1.0</v>
      </c>
      <c r="L6180" s="15">
        <v>1.0</v>
      </c>
      <c r="M6180" s="41">
        <v>42714.0</v>
      </c>
      <c r="N6180" s="40">
        <v>42738.0</v>
      </c>
      <c r="O6180" s="15" t="s">
        <v>1554</v>
      </c>
      <c r="Q6180" s="7"/>
    </row>
    <row r="6181">
      <c r="A6181" s="39" t="s">
        <v>23650</v>
      </c>
      <c r="B6181" s="15">
        <v>1922600.0</v>
      </c>
      <c r="C6181" s="15" t="s">
        <v>23651</v>
      </c>
      <c r="D6181" s="15">
        <v>359882.0</v>
      </c>
      <c r="E6181" s="15" t="s">
        <v>1664</v>
      </c>
      <c r="F6181" s="15" t="s">
        <v>1664</v>
      </c>
      <c r="G6181" s="7">
        <v>8.697</v>
      </c>
      <c r="H6181" s="15" t="s">
        <v>2777</v>
      </c>
      <c r="I6181" s="15" t="s">
        <v>1560</v>
      </c>
      <c r="J6181" s="15" t="s">
        <v>23652</v>
      </c>
      <c r="K6181" s="15">
        <v>1.0</v>
      </c>
      <c r="L6181" s="15">
        <v>1.0</v>
      </c>
      <c r="M6181" s="41">
        <v>42714.0</v>
      </c>
      <c r="N6181" s="40">
        <v>42738.0</v>
      </c>
      <c r="O6181" s="15" t="s">
        <v>1554</v>
      </c>
      <c r="Q6181" s="7"/>
    </row>
    <row r="6182">
      <c r="A6182" s="39" t="s">
        <v>23653</v>
      </c>
      <c r="B6182" s="15">
        <v>1922595.0</v>
      </c>
      <c r="C6182" s="15" t="s">
        <v>23654</v>
      </c>
      <c r="D6182" s="15">
        <v>359886.0</v>
      </c>
      <c r="E6182" s="15" t="s">
        <v>1664</v>
      </c>
      <c r="F6182" s="15" t="s">
        <v>1664</v>
      </c>
      <c r="G6182" s="7">
        <v>7.599</v>
      </c>
      <c r="H6182" s="15" t="s">
        <v>3000</v>
      </c>
      <c r="I6182" s="15" t="s">
        <v>1560</v>
      </c>
      <c r="J6182" s="15" t="s">
        <v>23656</v>
      </c>
      <c r="K6182" s="15">
        <v>1.0</v>
      </c>
      <c r="L6182" s="15">
        <v>1.0</v>
      </c>
      <c r="M6182" s="41">
        <v>42714.0</v>
      </c>
      <c r="N6182" s="40">
        <v>42738.0</v>
      </c>
      <c r="O6182" s="15" t="s">
        <v>1554</v>
      </c>
      <c r="Q6182" s="7"/>
    </row>
    <row r="6183">
      <c r="A6183" s="39" t="s">
        <v>23657</v>
      </c>
      <c r="B6183" s="15">
        <v>1922646.0</v>
      </c>
      <c r="C6183" s="15" t="s">
        <v>23658</v>
      </c>
      <c r="D6183" s="15">
        <v>359891.0</v>
      </c>
      <c r="E6183" s="15" t="s">
        <v>1664</v>
      </c>
      <c r="F6183" s="15" t="s">
        <v>1664</v>
      </c>
      <c r="G6183" s="7">
        <v>8.702</v>
      </c>
      <c r="H6183" s="15" t="s">
        <v>2428</v>
      </c>
      <c r="I6183" s="15" t="s">
        <v>1560</v>
      </c>
      <c r="J6183" s="15" t="s">
        <v>23659</v>
      </c>
      <c r="K6183" s="15">
        <v>2.0</v>
      </c>
      <c r="L6183" s="15">
        <v>2.0</v>
      </c>
      <c r="M6183" s="41">
        <v>42714.0</v>
      </c>
      <c r="N6183" s="40">
        <v>42738.0</v>
      </c>
      <c r="O6183" s="15" t="s">
        <v>1554</v>
      </c>
      <c r="Q6183" s="7"/>
    </row>
    <row r="6184">
      <c r="A6184" s="39" t="s">
        <v>23660</v>
      </c>
      <c r="B6184" s="15">
        <v>1922593.0</v>
      </c>
      <c r="C6184" s="15" t="s">
        <v>23661</v>
      </c>
      <c r="D6184" s="15">
        <v>359895.0</v>
      </c>
      <c r="E6184" s="15" t="s">
        <v>1664</v>
      </c>
      <c r="F6184" s="15" t="s">
        <v>1664</v>
      </c>
      <c r="G6184" s="7">
        <v>8.407</v>
      </c>
      <c r="H6184" s="15" t="s">
        <v>1559</v>
      </c>
      <c r="I6184" s="15" t="s">
        <v>1560</v>
      </c>
      <c r="J6184" s="15" t="s">
        <v>23662</v>
      </c>
      <c r="K6184" s="15">
        <v>2.0</v>
      </c>
      <c r="L6184" s="15">
        <v>2.0</v>
      </c>
      <c r="M6184" s="41">
        <v>42714.0</v>
      </c>
      <c r="N6184" s="40">
        <v>42738.0</v>
      </c>
      <c r="O6184" s="15" t="s">
        <v>1554</v>
      </c>
      <c r="Q6184" s="7"/>
    </row>
    <row r="6185">
      <c r="A6185" s="39" t="s">
        <v>23663</v>
      </c>
      <c r="B6185" s="15">
        <v>1922662.0</v>
      </c>
      <c r="C6185" s="15" t="s">
        <v>23664</v>
      </c>
      <c r="D6185" s="15">
        <v>359808.0</v>
      </c>
      <c r="E6185" s="15" t="s">
        <v>1664</v>
      </c>
      <c r="F6185" s="15" t="s">
        <v>1664</v>
      </c>
      <c r="G6185" s="7">
        <v>8.351</v>
      </c>
      <c r="H6185" s="15">
        <v>46.0</v>
      </c>
      <c r="I6185" s="15" t="s">
        <v>1560</v>
      </c>
      <c r="J6185" s="15" t="s">
        <v>23665</v>
      </c>
      <c r="K6185" s="15">
        <v>1.0</v>
      </c>
      <c r="L6185" s="15">
        <v>1.0</v>
      </c>
      <c r="M6185" s="41">
        <v>42714.0</v>
      </c>
      <c r="N6185" s="40">
        <v>42738.0</v>
      </c>
      <c r="O6185" s="15" t="s">
        <v>1554</v>
      </c>
      <c r="Q6185" s="7"/>
    </row>
    <row r="6186">
      <c r="A6186" s="39" t="s">
        <v>23667</v>
      </c>
      <c r="B6186" s="15">
        <v>1922658.0</v>
      </c>
      <c r="C6186" s="15" t="s">
        <v>23668</v>
      </c>
      <c r="D6186" s="15">
        <v>359812.0</v>
      </c>
      <c r="E6186" s="15" t="s">
        <v>1664</v>
      </c>
      <c r="F6186" s="15" t="s">
        <v>1664</v>
      </c>
      <c r="G6186" s="7">
        <v>12.772</v>
      </c>
      <c r="H6186" s="15">
        <v>36.0</v>
      </c>
      <c r="I6186" s="15" t="s">
        <v>1560</v>
      </c>
      <c r="J6186" s="15" t="s">
        <v>23669</v>
      </c>
      <c r="K6186" s="15">
        <v>2.0</v>
      </c>
      <c r="L6186" s="15">
        <v>2.0</v>
      </c>
      <c r="M6186" s="41">
        <v>42714.0</v>
      </c>
      <c r="N6186" s="40">
        <v>42738.0</v>
      </c>
      <c r="O6186" s="15" t="s">
        <v>1554</v>
      </c>
      <c r="Q6186" s="7"/>
    </row>
    <row r="6187">
      <c r="A6187" s="39" t="s">
        <v>23670</v>
      </c>
      <c r="B6187" s="15">
        <v>1922654.0</v>
      </c>
      <c r="C6187" s="15" t="s">
        <v>23671</v>
      </c>
      <c r="D6187" s="15">
        <v>359816.0</v>
      </c>
      <c r="E6187" s="15" t="s">
        <v>1664</v>
      </c>
      <c r="F6187" s="15" t="s">
        <v>1664</v>
      </c>
      <c r="G6187" s="7">
        <v>10.714</v>
      </c>
      <c r="H6187" s="15">
        <v>46.0</v>
      </c>
      <c r="I6187" s="15" t="s">
        <v>1560</v>
      </c>
      <c r="J6187" s="15" t="s">
        <v>23672</v>
      </c>
      <c r="K6187" s="15">
        <v>3.0</v>
      </c>
      <c r="L6187" s="15">
        <v>3.0</v>
      </c>
      <c r="M6187" s="41">
        <v>42714.0</v>
      </c>
      <c r="N6187" s="40">
        <v>42738.0</v>
      </c>
      <c r="O6187" s="15" t="s">
        <v>1554</v>
      </c>
      <c r="Q6187" s="7"/>
    </row>
    <row r="6188">
      <c r="A6188" s="39" t="s">
        <v>23673</v>
      </c>
      <c r="B6188" s="15">
        <v>1922647.0</v>
      </c>
      <c r="C6188" s="15" t="s">
        <v>23675</v>
      </c>
      <c r="D6188" s="15">
        <v>359820.0</v>
      </c>
      <c r="E6188" s="15" t="s">
        <v>1664</v>
      </c>
      <c r="F6188" s="15" t="s">
        <v>1664</v>
      </c>
      <c r="G6188" s="7">
        <v>4.376</v>
      </c>
      <c r="H6188" s="15" t="s">
        <v>2540</v>
      </c>
      <c r="I6188" s="15" t="s">
        <v>1560</v>
      </c>
      <c r="J6188" s="15" t="s">
        <v>23676</v>
      </c>
      <c r="K6188" s="15">
        <v>2.0</v>
      </c>
      <c r="L6188" s="15">
        <v>2.0</v>
      </c>
      <c r="M6188" s="41">
        <v>42714.0</v>
      </c>
      <c r="N6188" s="40">
        <v>42738.0</v>
      </c>
      <c r="O6188" s="15" t="s">
        <v>1554</v>
      </c>
      <c r="Q6188" s="7"/>
    </row>
    <row r="6189">
      <c r="A6189" s="39" t="s">
        <v>23677</v>
      </c>
      <c r="B6189" s="15">
        <v>1922631.0</v>
      </c>
      <c r="C6189" s="15" t="s">
        <v>23678</v>
      </c>
      <c r="D6189" s="15">
        <v>359828.0</v>
      </c>
      <c r="E6189" s="15" t="s">
        <v>1664</v>
      </c>
      <c r="F6189" s="15" t="s">
        <v>1664</v>
      </c>
      <c r="G6189" s="7">
        <v>9.953</v>
      </c>
      <c r="H6189" s="15" t="s">
        <v>1745</v>
      </c>
      <c r="I6189" s="15" t="s">
        <v>1560</v>
      </c>
      <c r="J6189" s="15" t="s">
        <v>23679</v>
      </c>
      <c r="K6189" s="15">
        <v>3.0</v>
      </c>
      <c r="L6189" s="15">
        <v>3.0</v>
      </c>
      <c r="M6189" s="41">
        <v>42714.0</v>
      </c>
      <c r="N6189" s="40">
        <v>42738.0</v>
      </c>
      <c r="O6189" s="15" t="s">
        <v>1554</v>
      </c>
      <c r="Q6189" s="7"/>
    </row>
    <row r="6190">
      <c r="A6190" s="39" t="s">
        <v>23680</v>
      </c>
      <c r="B6190" s="15">
        <v>1922636.0</v>
      </c>
      <c r="C6190" s="15" t="s">
        <v>23681</v>
      </c>
      <c r="D6190" s="15">
        <v>359824.0</v>
      </c>
      <c r="E6190" s="15" t="s">
        <v>1664</v>
      </c>
      <c r="F6190" s="15" t="s">
        <v>1664</v>
      </c>
      <c r="G6190" s="7">
        <v>8.677</v>
      </c>
      <c r="H6190" s="15">
        <v>39.0</v>
      </c>
      <c r="I6190" s="15" t="s">
        <v>1560</v>
      </c>
      <c r="J6190" s="15" t="s">
        <v>23682</v>
      </c>
      <c r="K6190" s="15">
        <v>2.0</v>
      </c>
      <c r="L6190" s="15">
        <v>2.0</v>
      </c>
      <c r="M6190" s="41">
        <v>42714.0</v>
      </c>
      <c r="N6190" s="40">
        <v>42738.0</v>
      </c>
      <c r="O6190" s="15" t="s">
        <v>1554</v>
      </c>
      <c r="Q6190" s="7"/>
    </row>
    <row r="6191">
      <c r="A6191" s="39" t="s">
        <v>23684</v>
      </c>
      <c r="B6191" s="15">
        <v>1922627.0</v>
      </c>
      <c r="C6191" s="15" t="s">
        <v>23685</v>
      </c>
      <c r="D6191" s="15">
        <v>359832.0</v>
      </c>
      <c r="E6191" s="15" t="s">
        <v>1664</v>
      </c>
      <c r="F6191" s="15" t="s">
        <v>1664</v>
      </c>
      <c r="G6191" s="7">
        <v>9.273</v>
      </c>
      <c r="H6191" s="15">
        <v>46.0</v>
      </c>
      <c r="I6191" s="15" t="s">
        <v>1560</v>
      </c>
      <c r="J6191" s="15" t="s">
        <v>23686</v>
      </c>
      <c r="K6191" s="15">
        <v>2.0</v>
      </c>
      <c r="L6191" s="15">
        <v>2.0</v>
      </c>
      <c r="M6191" s="41">
        <v>42714.0</v>
      </c>
      <c r="N6191" s="40">
        <v>42738.0</v>
      </c>
      <c r="O6191" s="15" t="s">
        <v>1554</v>
      </c>
      <c r="Q6191" s="7"/>
    </row>
    <row r="6192">
      <c r="A6192" s="39" t="s">
        <v>23687</v>
      </c>
      <c r="B6192" s="15">
        <v>1922615.0</v>
      </c>
      <c r="C6192" s="15" t="s">
        <v>23688</v>
      </c>
      <c r="D6192" s="15">
        <v>359840.0</v>
      </c>
      <c r="E6192" s="15" t="s">
        <v>1664</v>
      </c>
      <c r="F6192" s="15" t="s">
        <v>1664</v>
      </c>
      <c r="G6192" s="7">
        <v>8.407</v>
      </c>
      <c r="H6192" s="15" t="s">
        <v>3000</v>
      </c>
      <c r="I6192" s="15" t="s">
        <v>1560</v>
      </c>
      <c r="J6192" s="15" t="s">
        <v>23689</v>
      </c>
      <c r="K6192" s="15">
        <v>1.0</v>
      </c>
      <c r="L6192" s="15">
        <v>1.0</v>
      </c>
      <c r="M6192" s="41">
        <v>42714.0</v>
      </c>
      <c r="N6192" s="40">
        <v>42738.0</v>
      </c>
      <c r="O6192" s="15" t="s">
        <v>1554</v>
      </c>
      <c r="Q6192" s="7"/>
    </row>
    <row r="6193">
      <c r="A6193" s="39" t="s">
        <v>23690</v>
      </c>
      <c r="B6193" s="15">
        <v>1922621.0</v>
      </c>
      <c r="C6193" s="15" t="s">
        <v>23691</v>
      </c>
      <c r="D6193" s="15">
        <v>359836.0</v>
      </c>
      <c r="E6193" s="15" t="s">
        <v>1664</v>
      </c>
      <c r="F6193" s="15" t="s">
        <v>1664</v>
      </c>
      <c r="G6193" s="7">
        <v>8.658</v>
      </c>
      <c r="H6193" s="15" t="s">
        <v>2023</v>
      </c>
      <c r="I6193" s="15" t="s">
        <v>1560</v>
      </c>
      <c r="J6193" s="15" t="s">
        <v>23692</v>
      </c>
      <c r="K6193" s="15">
        <v>2.0</v>
      </c>
      <c r="L6193" s="15">
        <v>2.0</v>
      </c>
      <c r="M6193" s="41">
        <v>42714.0</v>
      </c>
      <c r="N6193" s="40">
        <v>42738.0</v>
      </c>
      <c r="O6193" s="15" t="s">
        <v>1554</v>
      </c>
      <c r="Q6193" s="7"/>
    </row>
    <row r="6194">
      <c r="A6194" s="39" t="s">
        <v>23694</v>
      </c>
      <c r="B6194" s="15">
        <v>1922611.0</v>
      </c>
      <c r="C6194" s="15" t="s">
        <v>23695</v>
      </c>
      <c r="D6194" s="15">
        <v>359844.0</v>
      </c>
      <c r="E6194" s="15" t="s">
        <v>1664</v>
      </c>
      <c r="F6194" s="15" t="s">
        <v>1664</v>
      </c>
      <c r="G6194" s="7">
        <v>8.918</v>
      </c>
      <c r="H6194" s="15" t="s">
        <v>8397</v>
      </c>
      <c r="I6194" s="15" t="s">
        <v>1560</v>
      </c>
      <c r="J6194" s="15" t="s">
        <v>23696</v>
      </c>
      <c r="K6194" s="15">
        <v>1.0</v>
      </c>
      <c r="L6194" s="15">
        <v>1.0</v>
      </c>
      <c r="M6194" s="41">
        <v>42714.0</v>
      </c>
      <c r="N6194" s="40">
        <v>42738.0</v>
      </c>
      <c r="O6194" s="15" t="s">
        <v>1554</v>
      </c>
      <c r="Q6194" s="7"/>
    </row>
    <row r="6195">
      <c r="A6195" s="39" t="s">
        <v>23697</v>
      </c>
      <c r="B6195" s="15">
        <v>1922558.0</v>
      </c>
      <c r="C6195" s="15" t="s">
        <v>23698</v>
      </c>
      <c r="D6195" s="15">
        <v>359852.0</v>
      </c>
      <c r="E6195" s="15" t="s">
        <v>1664</v>
      </c>
      <c r="F6195" s="15" t="s">
        <v>1664</v>
      </c>
      <c r="G6195" s="7">
        <v>8.466</v>
      </c>
      <c r="H6195" s="15" t="s">
        <v>2049</v>
      </c>
      <c r="I6195" s="15" t="s">
        <v>1560</v>
      </c>
      <c r="J6195" s="15" t="s">
        <v>23699</v>
      </c>
      <c r="K6195" s="15">
        <v>1.0</v>
      </c>
      <c r="L6195" s="15">
        <v>1.0</v>
      </c>
      <c r="M6195" s="41">
        <v>42714.0</v>
      </c>
      <c r="N6195" s="40">
        <v>42738.0</v>
      </c>
      <c r="O6195" s="15" t="s">
        <v>1554</v>
      </c>
      <c r="Q6195" s="7"/>
    </row>
    <row r="6196">
      <c r="A6196" s="39" t="s">
        <v>23700</v>
      </c>
      <c r="B6196" s="15">
        <v>1922562.0</v>
      </c>
      <c r="C6196" s="15" t="s">
        <v>23701</v>
      </c>
      <c r="D6196" s="15">
        <v>359848.0</v>
      </c>
      <c r="E6196" s="15" t="s">
        <v>1664</v>
      </c>
      <c r="F6196" s="15" t="s">
        <v>1664</v>
      </c>
      <c r="G6196" s="7">
        <v>9.983</v>
      </c>
      <c r="H6196" s="15" t="s">
        <v>2197</v>
      </c>
      <c r="I6196" s="15" t="s">
        <v>1560</v>
      </c>
      <c r="J6196" s="15" t="s">
        <v>23703</v>
      </c>
      <c r="K6196" s="15">
        <v>2.0</v>
      </c>
      <c r="L6196" s="15">
        <v>2.0</v>
      </c>
      <c r="M6196" s="41">
        <v>42714.0</v>
      </c>
      <c r="N6196" s="40">
        <v>42738.0</v>
      </c>
      <c r="O6196" s="15" t="s">
        <v>1554</v>
      </c>
      <c r="Q6196" s="7"/>
    </row>
    <row r="6197">
      <c r="A6197" s="39" t="s">
        <v>23704</v>
      </c>
      <c r="B6197" s="15">
        <v>1922552.0</v>
      </c>
      <c r="C6197" s="15" t="s">
        <v>23705</v>
      </c>
      <c r="D6197" s="15">
        <v>359856.0</v>
      </c>
      <c r="E6197" s="15" t="s">
        <v>1664</v>
      </c>
      <c r="F6197" s="15" t="s">
        <v>1664</v>
      </c>
      <c r="G6197" s="7">
        <v>10.608</v>
      </c>
      <c r="H6197" s="15" t="s">
        <v>1714</v>
      </c>
      <c r="I6197" s="15" t="s">
        <v>1560</v>
      </c>
      <c r="J6197" s="15" t="s">
        <v>23706</v>
      </c>
      <c r="K6197" s="15">
        <v>1.0</v>
      </c>
      <c r="L6197" s="15">
        <v>1.0</v>
      </c>
      <c r="M6197" s="41">
        <v>42714.0</v>
      </c>
      <c r="N6197" s="40">
        <v>42738.0</v>
      </c>
      <c r="O6197" s="15" t="s">
        <v>1554</v>
      </c>
      <c r="Q6197" s="7"/>
    </row>
    <row r="6198">
      <c r="A6198" s="39" t="s">
        <v>23707</v>
      </c>
      <c r="B6198" s="15">
        <v>1922548.0</v>
      </c>
      <c r="C6198" s="15" t="s">
        <v>23708</v>
      </c>
      <c r="D6198" s="15">
        <v>359860.0</v>
      </c>
      <c r="E6198" s="15" t="s">
        <v>1664</v>
      </c>
      <c r="F6198" s="15" t="s">
        <v>1664</v>
      </c>
      <c r="G6198" s="7">
        <v>10.859</v>
      </c>
      <c r="H6198" s="15" t="s">
        <v>5382</v>
      </c>
      <c r="I6198" s="15" t="s">
        <v>1560</v>
      </c>
      <c r="J6198" s="15" t="s">
        <v>23709</v>
      </c>
      <c r="K6198" s="15">
        <v>2.0</v>
      </c>
      <c r="L6198" s="15">
        <v>2.0</v>
      </c>
      <c r="M6198" s="41">
        <v>42714.0</v>
      </c>
      <c r="N6198" s="40">
        <v>42738.0</v>
      </c>
      <c r="O6198" s="15" t="s">
        <v>1554</v>
      </c>
      <c r="Q6198" s="7"/>
    </row>
    <row r="6199">
      <c r="A6199" s="39" t="s">
        <v>23711</v>
      </c>
      <c r="B6199" s="15">
        <v>1922544.0</v>
      </c>
      <c r="C6199" s="15" t="s">
        <v>23712</v>
      </c>
      <c r="D6199" s="15">
        <v>359864.0</v>
      </c>
      <c r="E6199" s="15" t="s">
        <v>1664</v>
      </c>
      <c r="F6199" s="15" t="s">
        <v>1664</v>
      </c>
      <c r="G6199" s="7">
        <v>10.456</v>
      </c>
      <c r="H6199" s="15" t="s">
        <v>1559</v>
      </c>
      <c r="I6199" s="15" t="s">
        <v>1560</v>
      </c>
      <c r="J6199" s="15" t="s">
        <v>23713</v>
      </c>
      <c r="K6199" s="15">
        <v>2.0</v>
      </c>
      <c r="L6199" s="15">
        <v>2.0</v>
      </c>
      <c r="M6199" s="41">
        <v>42714.0</v>
      </c>
      <c r="N6199" s="40">
        <v>42738.0</v>
      </c>
      <c r="O6199" s="15" t="s">
        <v>1554</v>
      </c>
      <c r="Q6199" s="7"/>
    </row>
    <row r="6200">
      <c r="A6200" s="39" t="s">
        <v>23714</v>
      </c>
      <c r="B6200" s="15">
        <v>1922540.0</v>
      </c>
      <c r="C6200" s="15" t="s">
        <v>23715</v>
      </c>
      <c r="D6200" s="15">
        <v>359868.0</v>
      </c>
      <c r="E6200" s="15" t="s">
        <v>1664</v>
      </c>
      <c r="F6200" s="15" t="s">
        <v>1664</v>
      </c>
      <c r="G6200" s="7">
        <v>9.484</v>
      </c>
      <c r="H6200" s="15" t="s">
        <v>2279</v>
      </c>
      <c r="I6200" s="15" t="s">
        <v>1560</v>
      </c>
      <c r="J6200" s="15" t="s">
        <v>23716</v>
      </c>
      <c r="K6200" s="15">
        <v>1.0</v>
      </c>
      <c r="L6200" s="15">
        <v>1.0</v>
      </c>
      <c r="M6200" s="41">
        <v>42714.0</v>
      </c>
      <c r="N6200" s="40">
        <v>42738.0</v>
      </c>
      <c r="O6200" s="15" t="s">
        <v>1554</v>
      </c>
      <c r="Q6200" s="7"/>
    </row>
    <row r="6201">
      <c r="A6201" s="39" t="s">
        <v>23717</v>
      </c>
      <c r="B6201" s="15">
        <v>1922547.0</v>
      </c>
      <c r="C6201" s="15" t="s">
        <v>23718</v>
      </c>
      <c r="D6201" s="15">
        <v>359861.0</v>
      </c>
      <c r="E6201" s="15" t="s">
        <v>1664</v>
      </c>
      <c r="F6201" s="15" t="s">
        <v>1664</v>
      </c>
      <c r="G6201" s="7">
        <v>9.029</v>
      </c>
      <c r="H6201" s="15" t="s">
        <v>2552</v>
      </c>
      <c r="I6201" s="15" t="s">
        <v>1560</v>
      </c>
      <c r="J6201" s="15" t="s">
        <v>23720</v>
      </c>
      <c r="K6201" s="15">
        <v>3.0</v>
      </c>
      <c r="L6201" s="15">
        <v>3.0</v>
      </c>
      <c r="M6201" s="41">
        <v>42714.0</v>
      </c>
      <c r="N6201" s="40">
        <v>42738.0</v>
      </c>
      <c r="O6201" s="15" t="s">
        <v>1554</v>
      </c>
      <c r="Q6201" s="7"/>
    </row>
    <row r="6202">
      <c r="A6202" s="39" t="s">
        <v>23721</v>
      </c>
      <c r="B6202" s="15">
        <v>1922543.0</v>
      </c>
      <c r="C6202" s="15" t="s">
        <v>23722</v>
      </c>
      <c r="D6202" s="15">
        <v>359865.0</v>
      </c>
      <c r="E6202" s="15" t="s">
        <v>1664</v>
      </c>
      <c r="F6202" s="15" t="s">
        <v>1664</v>
      </c>
      <c r="G6202" s="7">
        <v>10.342</v>
      </c>
      <c r="H6202" s="15" t="s">
        <v>2869</v>
      </c>
      <c r="I6202" s="15" t="s">
        <v>1560</v>
      </c>
      <c r="J6202" s="15" t="s">
        <v>23723</v>
      </c>
      <c r="K6202" s="15">
        <v>2.0</v>
      </c>
      <c r="L6202" s="15">
        <v>2.0</v>
      </c>
      <c r="M6202" s="41">
        <v>42714.0</v>
      </c>
      <c r="N6202" s="40">
        <v>42738.0</v>
      </c>
      <c r="O6202" s="15" t="s">
        <v>1554</v>
      </c>
      <c r="Q6202" s="7"/>
    </row>
    <row r="6203">
      <c r="A6203" s="39" t="s">
        <v>23724</v>
      </c>
      <c r="B6203" s="15">
        <v>1922539.0</v>
      </c>
      <c r="C6203" s="15" t="s">
        <v>23725</v>
      </c>
      <c r="D6203" s="15">
        <v>359869.0</v>
      </c>
      <c r="E6203" s="15" t="s">
        <v>1664</v>
      </c>
      <c r="F6203" s="15" t="s">
        <v>1664</v>
      </c>
      <c r="G6203" s="7">
        <v>9.78</v>
      </c>
      <c r="H6203" s="15" t="s">
        <v>2686</v>
      </c>
      <c r="I6203" s="15" t="s">
        <v>1560</v>
      </c>
      <c r="J6203" s="15" t="s">
        <v>23726</v>
      </c>
      <c r="K6203" s="15">
        <v>1.0</v>
      </c>
      <c r="L6203" s="15">
        <v>1.0</v>
      </c>
      <c r="M6203" s="41">
        <v>42714.0</v>
      </c>
      <c r="N6203" s="40">
        <v>42738.0</v>
      </c>
      <c r="O6203" s="15" t="s">
        <v>1554</v>
      </c>
      <c r="Q6203" s="7"/>
    </row>
    <row r="6204">
      <c r="A6204" s="39" t="s">
        <v>23728</v>
      </c>
      <c r="B6204" s="15">
        <v>1922607.0</v>
      </c>
      <c r="C6204" s="15" t="s">
        <v>23729</v>
      </c>
      <c r="D6204" s="15">
        <v>359877.0</v>
      </c>
      <c r="E6204" s="15" t="s">
        <v>1664</v>
      </c>
      <c r="F6204" s="15" t="s">
        <v>1664</v>
      </c>
      <c r="G6204" s="7">
        <v>9.113</v>
      </c>
      <c r="H6204" s="15" t="s">
        <v>2049</v>
      </c>
      <c r="I6204" s="15" t="s">
        <v>1560</v>
      </c>
      <c r="J6204" s="15" t="s">
        <v>23730</v>
      </c>
      <c r="K6204" s="15">
        <v>1.0</v>
      </c>
      <c r="L6204" s="15">
        <v>1.0</v>
      </c>
      <c r="M6204" s="41">
        <v>42714.0</v>
      </c>
      <c r="N6204" s="40">
        <v>42738.0</v>
      </c>
      <c r="O6204" s="15" t="s">
        <v>1554</v>
      </c>
      <c r="Q6204" s="7"/>
    </row>
    <row r="6205">
      <c r="A6205" s="39" t="s">
        <v>23731</v>
      </c>
      <c r="B6205" s="15">
        <v>1922534.0</v>
      </c>
      <c r="C6205" s="15" t="s">
        <v>23732</v>
      </c>
      <c r="D6205" s="15">
        <v>359873.0</v>
      </c>
      <c r="E6205" s="15" t="s">
        <v>1664</v>
      </c>
      <c r="F6205" s="15" t="s">
        <v>1664</v>
      </c>
      <c r="G6205" s="7">
        <v>9.396</v>
      </c>
      <c r="H6205" s="15" t="s">
        <v>2686</v>
      </c>
      <c r="I6205" s="15" t="s">
        <v>1560</v>
      </c>
      <c r="J6205" s="15" t="s">
        <v>23733</v>
      </c>
      <c r="K6205" s="15">
        <v>1.0</v>
      </c>
      <c r="L6205" s="15">
        <v>1.0</v>
      </c>
      <c r="M6205" s="41">
        <v>42714.0</v>
      </c>
      <c r="N6205" s="40">
        <v>42738.0</v>
      </c>
      <c r="O6205" s="15" t="s">
        <v>1554</v>
      </c>
      <c r="Q6205" s="7"/>
    </row>
    <row r="6206">
      <c r="A6206" s="39" t="s">
        <v>23734</v>
      </c>
      <c r="B6206" s="15">
        <v>1922601.0</v>
      </c>
      <c r="C6206" s="15" t="s">
        <v>23735</v>
      </c>
      <c r="D6206" s="15">
        <v>359881.0</v>
      </c>
      <c r="E6206" s="15" t="s">
        <v>1664</v>
      </c>
      <c r="F6206" s="15" t="s">
        <v>1664</v>
      </c>
      <c r="G6206" s="7">
        <v>10.546</v>
      </c>
      <c r="H6206" s="15" t="s">
        <v>1881</v>
      </c>
      <c r="I6206" s="15" t="s">
        <v>1560</v>
      </c>
      <c r="J6206" s="15" t="s">
        <v>23737</v>
      </c>
      <c r="K6206" s="15">
        <v>1.0</v>
      </c>
      <c r="L6206" s="15">
        <v>1.0</v>
      </c>
      <c r="M6206" s="41">
        <v>42714.0</v>
      </c>
      <c r="N6206" s="40">
        <v>42738.0</v>
      </c>
      <c r="O6206" s="15" t="s">
        <v>1554</v>
      </c>
      <c r="Q6206" s="7"/>
    </row>
    <row r="6207">
      <c r="A6207" s="39" t="s">
        <v>23738</v>
      </c>
      <c r="B6207" s="15">
        <v>1922527.0</v>
      </c>
      <c r="C6207" s="15" t="s">
        <v>23739</v>
      </c>
      <c r="D6207" s="15">
        <v>359890.0</v>
      </c>
      <c r="E6207" s="15" t="s">
        <v>1664</v>
      </c>
      <c r="F6207" s="15" t="s">
        <v>1664</v>
      </c>
      <c r="G6207" s="7">
        <v>9.149</v>
      </c>
      <c r="H6207" s="15" t="s">
        <v>2118</v>
      </c>
      <c r="I6207" s="15" t="s">
        <v>1560</v>
      </c>
      <c r="J6207" s="15" t="s">
        <v>23740</v>
      </c>
      <c r="K6207" s="15">
        <v>2.0</v>
      </c>
      <c r="L6207" s="15">
        <v>2.0</v>
      </c>
      <c r="M6207" s="41">
        <v>42714.0</v>
      </c>
      <c r="N6207" s="40">
        <v>42738.0</v>
      </c>
      <c r="O6207" s="15" t="s">
        <v>1554</v>
      </c>
      <c r="Q6207" s="7"/>
    </row>
    <row r="6208">
      <c r="A6208" s="39" t="s">
        <v>23741</v>
      </c>
      <c r="B6208" s="15">
        <v>1922596.0</v>
      </c>
      <c r="C6208" s="15" t="s">
        <v>23742</v>
      </c>
      <c r="D6208" s="15">
        <v>359885.0</v>
      </c>
      <c r="E6208" s="15" t="s">
        <v>1664</v>
      </c>
      <c r="F6208" s="15" t="s">
        <v>1664</v>
      </c>
      <c r="G6208" s="7">
        <v>10.149</v>
      </c>
      <c r="H6208" s="15">
        <v>43.0</v>
      </c>
      <c r="I6208" s="15" t="s">
        <v>1560</v>
      </c>
      <c r="J6208" s="15" t="s">
        <v>23743</v>
      </c>
      <c r="K6208" s="15">
        <v>2.0</v>
      </c>
      <c r="L6208" s="15">
        <v>2.0</v>
      </c>
      <c r="M6208" s="41">
        <v>42714.0</v>
      </c>
      <c r="N6208" s="40">
        <v>42738.0</v>
      </c>
      <c r="O6208" s="15" t="s">
        <v>1554</v>
      </c>
      <c r="Q6208" s="7"/>
    </row>
    <row r="6209">
      <c r="A6209" s="39" t="s">
        <v>23744</v>
      </c>
      <c r="B6209" s="15">
        <v>1922641.0</v>
      </c>
      <c r="C6209" s="15" t="s">
        <v>23746</v>
      </c>
      <c r="D6209" s="15">
        <v>359894.0</v>
      </c>
      <c r="E6209" s="15" t="s">
        <v>1664</v>
      </c>
      <c r="F6209" s="15" t="s">
        <v>1664</v>
      </c>
      <c r="G6209" s="7">
        <v>9.323</v>
      </c>
      <c r="H6209" s="15" t="s">
        <v>2211</v>
      </c>
      <c r="I6209" s="15" t="s">
        <v>1560</v>
      </c>
      <c r="J6209" s="15" t="s">
        <v>23747</v>
      </c>
      <c r="K6209" s="15">
        <v>1.0</v>
      </c>
      <c r="L6209" s="15">
        <v>1.0</v>
      </c>
      <c r="M6209" s="41">
        <v>42714.0</v>
      </c>
      <c r="N6209" s="40">
        <v>42738.0</v>
      </c>
      <c r="O6209" s="15" t="s">
        <v>1554</v>
      </c>
      <c r="Q6209" s="7"/>
    </row>
    <row r="6210">
      <c r="A6210" s="39" t="s">
        <v>23748</v>
      </c>
      <c r="B6210" s="15">
        <v>1922590.0</v>
      </c>
      <c r="C6210" s="15" t="s">
        <v>23749</v>
      </c>
      <c r="D6210" s="15">
        <v>359898.0</v>
      </c>
      <c r="E6210" s="15" t="s">
        <v>1664</v>
      </c>
      <c r="F6210" s="15" t="s">
        <v>1664</v>
      </c>
      <c r="G6210" s="7">
        <v>9.153</v>
      </c>
      <c r="H6210" s="15" t="s">
        <v>3297</v>
      </c>
      <c r="I6210" s="15" t="s">
        <v>1560</v>
      </c>
      <c r="J6210" s="15" t="s">
        <v>23750</v>
      </c>
      <c r="K6210" s="15">
        <v>2.0</v>
      </c>
      <c r="L6210" s="15">
        <v>2.0</v>
      </c>
      <c r="M6210" s="41">
        <v>42714.0</v>
      </c>
      <c r="N6210" s="40">
        <v>42738.0</v>
      </c>
      <c r="O6210" s="15" t="s">
        <v>1554</v>
      </c>
      <c r="Q6210" s="7"/>
    </row>
    <row r="6211">
      <c r="A6211" s="39" t="s">
        <v>23751</v>
      </c>
      <c r="B6211" s="15">
        <v>1922585.0</v>
      </c>
      <c r="C6211" s="15" t="s">
        <v>23752</v>
      </c>
      <c r="D6211" s="15">
        <v>359902.0</v>
      </c>
      <c r="E6211" s="15" t="s">
        <v>1664</v>
      </c>
      <c r="F6211" s="15" t="s">
        <v>1664</v>
      </c>
      <c r="G6211" s="7">
        <v>9.261</v>
      </c>
      <c r="H6211" s="15" t="s">
        <v>2440</v>
      </c>
      <c r="I6211" s="15" t="s">
        <v>1560</v>
      </c>
      <c r="J6211" s="15" t="s">
        <v>23753</v>
      </c>
      <c r="K6211" s="15">
        <v>2.0</v>
      </c>
      <c r="L6211" s="15">
        <v>2.0</v>
      </c>
      <c r="M6211" s="41">
        <v>42714.0</v>
      </c>
      <c r="N6211" s="40">
        <v>42738.0</v>
      </c>
      <c r="O6211" s="15" t="s">
        <v>1554</v>
      </c>
      <c r="Q6211" s="7"/>
    </row>
    <row r="6212">
      <c r="A6212" s="39" t="s">
        <v>23755</v>
      </c>
      <c r="B6212" s="15">
        <v>1922576.0</v>
      </c>
      <c r="C6212" s="15" t="s">
        <v>23756</v>
      </c>
      <c r="D6212" s="15">
        <v>359906.0</v>
      </c>
      <c r="E6212" s="15" t="s">
        <v>1664</v>
      </c>
      <c r="F6212" s="15" t="s">
        <v>1664</v>
      </c>
      <c r="G6212" s="7">
        <v>8.887</v>
      </c>
      <c r="H6212" s="15" t="s">
        <v>2820</v>
      </c>
      <c r="I6212" s="15" t="s">
        <v>1560</v>
      </c>
      <c r="J6212" s="15" t="s">
        <v>23757</v>
      </c>
      <c r="K6212" s="15">
        <v>2.0</v>
      </c>
      <c r="L6212" s="15">
        <v>2.0</v>
      </c>
      <c r="M6212" s="41">
        <v>42714.0</v>
      </c>
      <c r="N6212" s="40">
        <v>42738.0</v>
      </c>
      <c r="O6212" s="15" t="s">
        <v>1554</v>
      </c>
      <c r="Q6212" s="7"/>
    </row>
    <row r="6213">
      <c r="A6213" s="39" t="s">
        <v>23758</v>
      </c>
      <c r="B6213" s="15">
        <v>1922570.0</v>
      </c>
      <c r="C6213" s="15" t="s">
        <v>23759</v>
      </c>
      <c r="D6213" s="15">
        <v>359910.0</v>
      </c>
      <c r="E6213" s="15" t="s">
        <v>1664</v>
      </c>
      <c r="F6213" s="15" t="s">
        <v>1664</v>
      </c>
      <c r="G6213" s="7">
        <v>9.41</v>
      </c>
      <c r="H6213" s="15" t="s">
        <v>2640</v>
      </c>
      <c r="I6213" s="15" t="s">
        <v>1560</v>
      </c>
      <c r="J6213" s="15" t="s">
        <v>23760</v>
      </c>
      <c r="K6213" s="15">
        <v>2.0</v>
      </c>
      <c r="L6213" s="15">
        <v>2.0</v>
      </c>
      <c r="M6213" s="41">
        <v>42714.0</v>
      </c>
      <c r="N6213" s="40">
        <v>42738.0</v>
      </c>
      <c r="O6213" s="15" t="s">
        <v>1554</v>
      </c>
      <c r="Q6213" s="7"/>
    </row>
    <row r="6214">
      <c r="A6214" s="39" t="s">
        <v>23761</v>
      </c>
      <c r="B6214" s="15">
        <v>1922682.0</v>
      </c>
      <c r="C6214" s="15" t="s">
        <v>23762</v>
      </c>
      <c r="D6214" s="15">
        <v>359914.0</v>
      </c>
      <c r="E6214" s="15" t="s">
        <v>1664</v>
      </c>
      <c r="F6214" s="15" t="s">
        <v>1664</v>
      </c>
      <c r="G6214" s="7">
        <v>5.074</v>
      </c>
      <c r="H6214" s="15" t="s">
        <v>5521</v>
      </c>
      <c r="I6214" s="15" t="s">
        <v>1560</v>
      </c>
      <c r="J6214" s="15" t="s">
        <v>23763</v>
      </c>
      <c r="K6214" s="15">
        <v>2.0</v>
      </c>
      <c r="L6214" s="15">
        <v>2.0</v>
      </c>
      <c r="M6214" s="41">
        <v>42714.0</v>
      </c>
      <c r="N6214" s="40">
        <v>42738.0</v>
      </c>
      <c r="O6214" s="15" t="s">
        <v>1554</v>
      </c>
      <c r="Q6214" s="7"/>
    </row>
    <row r="6215">
      <c r="A6215" s="39" t="s">
        <v>23765</v>
      </c>
      <c r="B6215" s="15">
        <v>1922676.0</v>
      </c>
      <c r="C6215" s="15" t="s">
        <v>23766</v>
      </c>
      <c r="D6215" s="15">
        <v>359918.0</v>
      </c>
      <c r="E6215" s="15" t="s">
        <v>1664</v>
      </c>
      <c r="F6215" s="15" t="s">
        <v>1664</v>
      </c>
      <c r="G6215" s="7">
        <v>8.487</v>
      </c>
      <c r="H6215" s="15" t="s">
        <v>1745</v>
      </c>
      <c r="I6215" s="15" t="s">
        <v>1560</v>
      </c>
      <c r="J6215" s="15" t="s">
        <v>23767</v>
      </c>
      <c r="K6215" s="15">
        <v>2.0</v>
      </c>
      <c r="L6215" s="15">
        <v>2.0</v>
      </c>
      <c r="M6215" s="41">
        <v>42714.0</v>
      </c>
      <c r="N6215" s="40">
        <v>42738.0</v>
      </c>
      <c r="O6215" s="15" t="s">
        <v>1554</v>
      </c>
      <c r="Q6215" s="7"/>
    </row>
    <row r="6216">
      <c r="A6216" s="39" t="s">
        <v>23768</v>
      </c>
      <c r="B6216" s="15">
        <v>1922672.0</v>
      </c>
      <c r="C6216" s="15" t="s">
        <v>23769</v>
      </c>
      <c r="D6216" s="15">
        <v>359922.0</v>
      </c>
      <c r="E6216" s="15" t="s">
        <v>1664</v>
      </c>
      <c r="F6216" s="15" t="s">
        <v>1664</v>
      </c>
      <c r="G6216" s="7">
        <v>4.532</v>
      </c>
      <c r="H6216" s="15" t="s">
        <v>23770</v>
      </c>
      <c r="I6216" s="15" t="s">
        <v>1560</v>
      </c>
      <c r="J6216" s="15" t="s">
        <v>23771</v>
      </c>
      <c r="K6216" s="15">
        <v>3.0</v>
      </c>
      <c r="L6216" s="15">
        <v>3.0</v>
      </c>
      <c r="M6216" s="41">
        <v>42714.0</v>
      </c>
      <c r="N6216" s="40">
        <v>42738.0</v>
      </c>
      <c r="O6216" s="15" t="s">
        <v>1554</v>
      </c>
      <c r="Q6216" s="7"/>
    </row>
    <row r="6217">
      <c r="A6217" s="39" t="s">
        <v>23772</v>
      </c>
      <c r="B6217" s="15">
        <v>1922667.0</v>
      </c>
      <c r="C6217" s="15" t="s">
        <v>23773</v>
      </c>
      <c r="D6217" s="15">
        <v>359926.0</v>
      </c>
      <c r="E6217" s="15" t="s">
        <v>1664</v>
      </c>
      <c r="F6217" s="15" t="s">
        <v>1664</v>
      </c>
      <c r="G6217" s="7">
        <v>11.457</v>
      </c>
      <c r="H6217" s="15" t="s">
        <v>3823</v>
      </c>
      <c r="I6217" s="15" t="s">
        <v>1560</v>
      </c>
      <c r="J6217" s="15" t="s">
        <v>23775</v>
      </c>
      <c r="K6217" s="15">
        <v>2.0</v>
      </c>
      <c r="L6217" s="15">
        <v>2.0</v>
      </c>
      <c r="M6217" s="41">
        <v>42714.0</v>
      </c>
      <c r="N6217" s="40">
        <v>42738.0</v>
      </c>
      <c r="O6217" s="15" t="s">
        <v>1554</v>
      </c>
      <c r="Q6217" s="7"/>
    </row>
    <row r="6218">
      <c r="A6218" s="39" t="s">
        <v>23776</v>
      </c>
      <c r="B6218" s="15">
        <v>1922599.0</v>
      </c>
      <c r="C6218" s="15" t="s">
        <v>23777</v>
      </c>
      <c r="D6218" s="15">
        <v>359883.0</v>
      </c>
      <c r="E6218" s="15" t="s">
        <v>1664</v>
      </c>
      <c r="F6218" s="15" t="s">
        <v>1664</v>
      </c>
      <c r="G6218" s="7">
        <v>43200.0</v>
      </c>
      <c r="H6218" s="15" t="s">
        <v>1849</v>
      </c>
      <c r="I6218" s="15" t="s">
        <v>1560</v>
      </c>
      <c r="J6218" s="15" t="s">
        <v>23778</v>
      </c>
      <c r="K6218" s="15">
        <v>2.0</v>
      </c>
      <c r="L6218" s="15">
        <v>2.0</v>
      </c>
      <c r="M6218" s="41">
        <v>42714.0</v>
      </c>
      <c r="N6218" s="40">
        <v>42738.0</v>
      </c>
      <c r="O6218" s="15" t="s">
        <v>1554</v>
      </c>
      <c r="Q6218" s="7"/>
    </row>
    <row r="6219">
      <c r="A6219" s="39" t="s">
        <v>23779</v>
      </c>
      <c r="B6219" s="15">
        <v>1922529.0</v>
      </c>
      <c r="C6219" s="15" t="s">
        <v>23780</v>
      </c>
      <c r="D6219" s="15">
        <v>359888.0</v>
      </c>
      <c r="E6219" s="15" t="s">
        <v>1664</v>
      </c>
      <c r="F6219" s="15" t="s">
        <v>1664</v>
      </c>
      <c r="G6219" s="7">
        <v>7.349</v>
      </c>
      <c r="H6219" s="15">
        <v>37.0</v>
      </c>
      <c r="I6219" s="15" t="s">
        <v>1560</v>
      </c>
      <c r="J6219" s="15" t="s">
        <v>23781</v>
      </c>
      <c r="K6219" s="15">
        <v>2.0</v>
      </c>
      <c r="L6219" s="15">
        <v>2.0</v>
      </c>
      <c r="M6219" s="41">
        <v>42714.0</v>
      </c>
      <c r="N6219" s="40">
        <v>42738.0</v>
      </c>
      <c r="O6219" s="15" t="s">
        <v>1554</v>
      </c>
      <c r="Q6219" s="7"/>
    </row>
    <row r="6220">
      <c r="A6220" s="39" t="s">
        <v>23782</v>
      </c>
      <c r="B6220" s="15">
        <v>1922645.0</v>
      </c>
      <c r="C6220" s="15" t="s">
        <v>23783</v>
      </c>
      <c r="D6220" s="15">
        <v>359892.0</v>
      </c>
      <c r="E6220" s="15" t="s">
        <v>1664</v>
      </c>
      <c r="F6220" s="15" t="s">
        <v>1664</v>
      </c>
      <c r="G6220" s="7">
        <v>8.628</v>
      </c>
      <c r="H6220" s="15" t="s">
        <v>2552</v>
      </c>
      <c r="I6220" s="15" t="s">
        <v>1560</v>
      </c>
      <c r="J6220" s="15" t="s">
        <v>23785</v>
      </c>
      <c r="K6220" s="15">
        <v>2.0</v>
      </c>
      <c r="L6220" s="15">
        <v>2.0</v>
      </c>
      <c r="M6220" s="41">
        <v>42714.0</v>
      </c>
      <c r="N6220" s="40">
        <v>42738.0</v>
      </c>
      <c r="O6220" s="15" t="s">
        <v>1554</v>
      </c>
      <c r="Q6220" s="7"/>
    </row>
    <row r="6221">
      <c r="A6221" s="39" t="s">
        <v>23786</v>
      </c>
      <c r="B6221" s="15">
        <v>1922592.0</v>
      </c>
      <c r="C6221" s="15" t="s">
        <v>23787</v>
      </c>
      <c r="D6221" s="15">
        <v>359896.0</v>
      </c>
      <c r="E6221" s="15" t="s">
        <v>1664</v>
      </c>
      <c r="F6221" s="15" t="s">
        <v>1664</v>
      </c>
      <c r="G6221" s="7">
        <v>9.382</v>
      </c>
      <c r="H6221" s="15" t="s">
        <v>3000</v>
      </c>
      <c r="I6221" s="15" t="s">
        <v>1560</v>
      </c>
      <c r="J6221" s="15" t="s">
        <v>23788</v>
      </c>
      <c r="K6221" s="15">
        <v>1.0</v>
      </c>
      <c r="L6221" s="15">
        <v>1.0</v>
      </c>
      <c r="M6221" s="41">
        <v>42714.0</v>
      </c>
      <c r="N6221" s="40">
        <v>42738.0</v>
      </c>
      <c r="O6221" s="15" t="s">
        <v>1554</v>
      </c>
      <c r="Q6221" s="7"/>
    </row>
    <row r="6222">
      <c r="A6222" s="39" t="s">
        <v>23789</v>
      </c>
      <c r="B6222" s="15">
        <v>1922588.0</v>
      </c>
      <c r="C6222" s="15" t="s">
        <v>23790</v>
      </c>
      <c r="D6222" s="15">
        <v>359900.0</v>
      </c>
      <c r="E6222" s="15" t="s">
        <v>1664</v>
      </c>
      <c r="F6222" s="15" t="s">
        <v>1664</v>
      </c>
      <c r="G6222" s="7">
        <v>8.711</v>
      </c>
      <c r="H6222" s="15" t="s">
        <v>1696</v>
      </c>
      <c r="I6222" s="15" t="s">
        <v>1560</v>
      </c>
      <c r="J6222" s="15" t="s">
        <v>23791</v>
      </c>
      <c r="K6222" s="15">
        <v>2.0</v>
      </c>
      <c r="L6222" s="15">
        <v>2.0</v>
      </c>
      <c r="M6222" s="41">
        <v>42714.0</v>
      </c>
      <c r="N6222" s="40">
        <v>42738.0</v>
      </c>
      <c r="O6222" s="15" t="s">
        <v>1554</v>
      </c>
      <c r="Q6222" s="7"/>
    </row>
    <row r="6223">
      <c r="A6223" s="39" t="s">
        <v>23792</v>
      </c>
      <c r="B6223" s="15">
        <v>1922583.0</v>
      </c>
      <c r="C6223" s="15" t="s">
        <v>23793</v>
      </c>
      <c r="D6223" s="15">
        <v>359904.0</v>
      </c>
      <c r="E6223" s="15" t="s">
        <v>1664</v>
      </c>
      <c r="F6223" s="15" t="s">
        <v>1664</v>
      </c>
      <c r="G6223" s="7">
        <v>9.376</v>
      </c>
      <c r="H6223" s="15" t="s">
        <v>2597</v>
      </c>
      <c r="I6223" s="15" t="s">
        <v>1560</v>
      </c>
      <c r="J6223" s="15" t="s">
        <v>23794</v>
      </c>
      <c r="K6223" s="15">
        <v>2.0</v>
      </c>
      <c r="L6223" s="15">
        <v>2.0</v>
      </c>
      <c r="M6223" s="41">
        <v>42714.0</v>
      </c>
      <c r="N6223" s="40">
        <v>42738.0</v>
      </c>
      <c r="O6223" s="15" t="s">
        <v>1554</v>
      </c>
      <c r="Q6223" s="7"/>
    </row>
    <row r="6224">
      <c r="A6224" s="39" t="s">
        <v>23795</v>
      </c>
      <c r="B6224" s="15">
        <v>1922573.0</v>
      </c>
      <c r="C6224" s="15" t="s">
        <v>23796</v>
      </c>
      <c r="D6224" s="15">
        <v>359908.0</v>
      </c>
      <c r="E6224" s="15" t="s">
        <v>1664</v>
      </c>
      <c r="F6224" s="15" t="s">
        <v>1664</v>
      </c>
      <c r="G6224" s="7">
        <v>9.46</v>
      </c>
      <c r="H6224" s="15" t="s">
        <v>1983</v>
      </c>
      <c r="I6224" s="15" t="s">
        <v>1560</v>
      </c>
      <c r="J6224" s="15" t="s">
        <v>23797</v>
      </c>
      <c r="K6224" s="15">
        <v>2.0</v>
      </c>
      <c r="L6224" s="15">
        <v>2.0</v>
      </c>
      <c r="M6224" s="41">
        <v>42714.0</v>
      </c>
      <c r="N6224" s="40">
        <v>42738.0</v>
      </c>
      <c r="O6224" s="15" t="s">
        <v>1554</v>
      </c>
      <c r="Q6224" s="7"/>
    </row>
    <row r="6225">
      <c r="A6225" s="39" t="s">
        <v>23798</v>
      </c>
      <c r="B6225" s="15">
        <v>1922566.0</v>
      </c>
      <c r="C6225" s="15" t="s">
        <v>23800</v>
      </c>
      <c r="D6225" s="15">
        <v>359912.0</v>
      </c>
      <c r="E6225" s="15" t="s">
        <v>1664</v>
      </c>
      <c r="F6225" s="15" t="s">
        <v>1664</v>
      </c>
      <c r="G6225" s="7">
        <v>9.176</v>
      </c>
      <c r="H6225" s="15" t="s">
        <v>1859</v>
      </c>
      <c r="I6225" s="15" t="s">
        <v>1560</v>
      </c>
      <c r="J6225" s="15" t="s">
        <v>23801</v>
      </c>
      <c r="K6225" s="15">
        <v>2.0</v>
      </c>
      <c r="L6225" s="15">
        <v>2.0</v>
      </c>
      <c r="M6225" s="41">
        <v>42714.0</v>
      </c>
      <c r="N6225" s="40">
        <v>42738.0</v>
      </c>
      <c r="O6225" s="15" t="s">
        <v>1554</v>
      </c>
      <c r="Q6225" s="7"/>
    </row>
    <row r="6226">
      <c r="A6226" s="39" t="s">
        <v>23802</v>
      </c>
      <c r="B6226" s="15">
        <v>1922674.0</v>
      </c>
      <c r="C6226" s="15" t="s">
        <v>23803</v>
      </c>
      <c r="D6226" s="15">
        <v>359920.0</v>
      </c>
      <c r="E6226" s="15" t="s">
        <v>1664</v>
      </c>
      <c r="F6226" s="15" t="s">
        <v>1664</v>
      </c>
      <c r="G6226" s="7">
        <v>9.395</v>
      </c>
      <c r="H6226" s="15" t="s">
        <v>1782</v>
      </c>
      <c r="I6226" s="15" t="s">
        <v>1560</v>
      </c>
      <c r="J6226" s="15" t="s">
        <v>23804</v>
      </c>
      <c r="K6226" s="15">
        <v>2.0</v>
      </c>
      <c r="L6226" s="15">
        <v>2.0</v>
      </c>
      <c r="M6226" s="41">
        <v>42714.0</v>
      </c>
      <c r="N6226" s="40">
        <v>42738.0</v>
      </c>
      <c r="O6226" s="15" t="s">
        <v>1554</v>
      </c>
      <c r="Q6226" s="7"/>
    </row>
    <row r="6227">
      <c r="A6227" s="39" t="s">
        <v>23805</v>
      </c>
      <c r="B6227" s="15">
        <v>1922670.0</v>
      </c>
      <c r="C6227" s="15" t="s">
        <v>23806</v>
      </c>
      <c r="D6227" s="15">
        <v>359924.0</v>
      </c>
      <c r="E6227" s="15" t="s">
        <v>1664</v>
      </c>
      <c r="F6227" s="15" t="s">
        <v>1664</v>
      </c>
      <c r="G6227" s="7">
        <v>3.675</v>
      </c>
      <c r="H6227" s="15" t="s">
        <v>3604</v>
      </c>
      <c r="I6227" s="15" t="s">
        <v>1560</v>
      </c>
      <c r="J6227" s="15" t="s">
        <v>23807</v>
      </c>
      <c r="K6227" s="15">
        <v>2.0</v>
      </c>
      <c r="L6227" s="15">
        <v>2.0</v>
      </c>
      <c r="M6227" s="41">
        <v>42714.0</v>
      </c>
      <c r="N6227" s="40">
        <v>42738.0</v>
      </c>
      <c r="O6227" s="15" t="s">
        <v>1554</v>
      </c>
      <c r="Q6227" s="7"/>
    </row>
    <row r="6228">
      <c r="A6228" s="39" t="s">
        <v>23808</v>
      </c>
      <c r="B6228" s="15">
        <v>1922678.0</v>
      </c>
      <c r="C6228" s="15" t="s">
        <v>23809</v>
      </c>
      <c r="D6228" s="15">
        <v>359916.0</v>
      </c>
      <c r="E6228" s="15" t="s">
        <v>1638</v>
      </c>
      <c r="F6228" s="15" t="s">
        <v>4692</v>
      </c>
      <c r="G6228" s="7">
        <v>8.923</v>
      </c>
      <c r="H6228" s="15" t="s">
        <v>4736</v>
      </c>
      <c r="I6228" s="15" t="s">
        <v>1552</v>
      </c>
      <c r="J6228" s="15" t="s">
        <v>23810</v>
      </c>
      <c r="K6228" s="15">
        <v>1.0</v>
      </c>
      <c r="L6228" s="15">
        <v>1.0</v>
      </c>
      <c r="M6228" s="41">
        <v>42714.0</v>
      </c>
      <c r="N6228" s="40">
        <v>42738.0</v>
      </c>
      <c r="O6228" s="15" t="s">
        <v>1554</v>
      </c>
      <c r="Q6228" s="7"/>
    </row>
    <row r="6229">
      <c r="A6229" s="39" t="s">
        <v>23811</v>
      </c>
      <c r="B6229" s="15">
        <v>1922589.0</v>
      </c>
      <c r="C6229" s="15" t="s">
        <v>23812</v>
      </c>
      <c r="D6229" s="15">
        <v>359899.0</v>
      </c>
      <c r="E6229" s="15" t="s">
        <v>1664</v>
      </c>
      <c r="F6229" s="15" t="s">
        <v>1664</v>
      </c>
      <c r="G6229" s="7">
        <v>6.098</v>
      </c>
      <c r="H6229" s="15" t="s">
        <v>2945</v>
      </c>
      <c r="I6229" s="15" t="s">
        <v>1560</v>
      </c>
      <c r="J6229" s="15" t="s">
        <v>23813</v>
      </c>
      <c r="K6229" s="15">
        <v>1.0</v>
      </c>
      <c r="L6229" s="15">
        <v>1.0</v>
      </c>
      <c r="M6229" s="41">
        <v>42714.0</v>
      </c>
      <c r="N6229" s="40">
        <v>42738.0</v>
      </c>
      <c r="O6229" s="15" t="s">
        <v>1554</v>
      </c>
      <c r="Q6229" s="7"/>
    </row>
    <row r="6230">
      <c r="A6230" s="39" t="s">
        <v>23814</v>
      </c>
      <c r="B6230" s="15">
        <v>1922584.0</v>
      </c>
      <c r="C6230" s="15" t="s">
        <v>23815</v>
      </c>
      <c r="D6230" s="15">
        <v>359903.0</v>
      </c>
      <c r="E6230" s="15" t="s">
        <v>1664</v>
      </c>
      <c r="F6230" s="15" t="s">
        <v>1664</v>
      </c>
      <c r="G6230" s="7">
        <v>6.214</v>
      </c>
      <c r="H6230" s="15" t="s">
        <v>2552</v>
      </c>
      <c r="I6230" s="15" t="s">
        <v>1560</v>
      </c>
      <c r="J6230" s="15" t="s">
        <v>23817</v>
      </c>
      <c r="K6230" s="15">
        <v>1.0</v>
      </c>
      <c r="L6230" s="15">
        <v>1.0</v>
      </c>
      <c r="M6230" s="41">
        <v>42714.0</v>
      </c>
      <c r="N6230" s="40">
        <v>42738.0</v>
      </c>
      <c r="O6230" s="15" t="s">
        <v>1554</v>
      </c>
      <c r="Q6230" s="7"/>
    </row>
    <row r="6231">
      <c r="A6231" s="39" t="s">
        <v>23818</v>
      </c>
      <c r="B6231" s="15">
        <v>1922575.0</v>
      </c>
      <c r="C6231" s="15" t="s">
        <v>23819</v>
      </c>
      <c r="D6231" s="15">
        <v>359907.0</v>
      </c>
      <c r="E6231" s="15" t="s">
        <v>1664</v>
      </c>
      <c r="F6231" s="15" t="s">
        <v>1664</v>
      </c>
      <c r="G6231" s="7">
        <v>43196.0</v>
      </c>
      <c r="H6231" s="15" t="s">
        <v>2552</v>
      </c>
      <c r="I6231" s="15" t="s">
        <v>1560</v>
      </c>
      <c r="J6231" s="15" t="s">
        <v>23820</v>
      </c>
      <c r="K6231" s="15">
        <v>1.0</v>
      </c>
      <c r="L6231" s="15">
        <v>1.0</v>
      </c>
      <c r="M6231" s="41">
        <v>42714.0</v>
      </c>
      <c r="N6231" s="40">
        <v>42738.0</v>
      </c>
      <c r="O6231" s="15" t="s">
        <v>1554</v>
      </c>
      <c r="Q6231" s="7"/>
    </row>
    <row r="6232">
      <c r="A6232" s="39" t="s">
        <v>23821</v>
      </c>
      <c r="B6232" s="15">
        <v>1922567.0</v>
      </c>
      <c r="C6232" s="15" t="s">
        <v>23822</v>
      </c>
      <c r="D6232" s="15">
        <v>359911.0</v>
      </c>
      <c r="E6232" s="15" t="s">
        <v>1664</v>
      </c>
      <c r="F6232" s="15" t="s">
        <v>1664</v>
      </c>
      <c r="G6232" s="7">
        <v>9.665</v>
      </c>
      <c r="H6232" s="15" t="s">
        <v>2451</v>
      </c>
      <c r="I6232" s="15" t="s">
        <v>1560</v>
      </c>
      <c r="J6232" s="15" t="s">
        <v>23823</v>
      </c>
      <c r="K6232" s="15">
        <v>2.0</v>
      </c>
      <c r="L6232" s="15">
        <v>2.0</v>
      </c>
      <c r="M6232" s="41">
        <v>42714.0</v>
      </c>
      <c r="N6232" s="40">
        <v>42738.0</v>
      </c>
      <c r="O6232" s="15" t="s">
        <v>1554</v>
      </c>
      <c r="Q6232" s="7"/>
    </row>
    <row r="6233">
      <c r="A6233" s="39" t="s">
        <v>23825</v>
      </c>
      <c r="B6233" s="15">
        <v>1922680.0</v>
      </c>
      <c r="C6233" s="15" t="s">
        <v>23826</v>
      </c>
      <c r="D6233" s="15">
        <v>359915.0</v>
      </c>
      <c r="E6233" s="15" t="s">
        <v>1664</v>
      </c>
      <c r="F6233" s="15" t="s">
        <v>1664</v>
      </c>
      <c r="G6233" s="7">
        <v>4.797</v>
      </c>
      <c r="H6233" s="15" t="s">
        <v>5955</v>
      </c>
      <c r="I6233" s="15" t="s">
        <v>1560</v>
      </c>
      <c r="J6233" s="15" t="s">
        <v>23827</v>
      </c>
      <c r="K6233" s="15">
        <v>3.0</v>
      </c>
      <c r="L6233" s="15">
        <v>3.0</v>
      </c>
      <c r="M6233" s="41">
        <v>42714.0</v>
      </c>
      <c r="N6233" s="40">
        <v>42738.0</v>
      </c>
      <c r="O6233" s="15" t="s">
        <v>1554</v>
      </c>
      <c r="Q6233" s="7"/>
    </row>
    <row r="6234">
      <c r="A6234" s="39" t="s">
        <v>23828</v>
      </c>
      <c r="B6234" s="15">
        <v>1922675.0</v>
      </c>
      <c r="C6234" s="15" t="s">
        <v>23829</v>
      </c>
      <c r="D6234" s="15">
        <v>359919.0</v>
      </c>
      <c r="E6234" s="15" t="s">
        <v>1664</v>
      </c>
      <c r="F6234" s="15" t="s">
        <v>1664</v>
      </c>
      <c r="G6234" s="7">
        <v>43413.0</v>
      </c>
      <c r="H6234" s="15">
        <v>44.0</v>
      </c>
      <c r="I6234" s="15" t="s">
        <v>1560</v>
      </c>
      <c r="J6234" s="15" t="s">
        <v>23830</v>
      </c>
      <c r="K6234" s="15">
        <v>2.0</v>
      </c>
      <c r="L6234" s="15">
        <v>2.0</v>
      </c>
      <c r="M6234" s="41">
        <v>42714.0</v>
      </c>
      <c r="N6234" s="40">
        <v>42738.0</v>
      </c>
      <c r="O6234" s="15" t="s">
        <v>1554</v>
      </c>
      <c r="Q6234" s="7"/>
    </row>
    <row r="6235">
      <c r="A6235" s="39" t="s">
        <v>23831</v>
      </c>
      <c r="B6235" s="15">
        <v>1922535.0</v>
      </c>
      <c r="C6235" s="15" t="s">
        <v>23832</v>
      </c>
      <c r="D6235" s="15">
        <v>359872.0</v>
      </c>
      <c r="E6235" s="15" t="s">
        <v>1664</v>
      </c>
      <c r="F6235" s="15" t="s">
        <v>1664</v>
      </c>
      <c r="G6235" s="7">
        <v>8.626</v>
      </c>
      <c r="H6235" s="15" t="s">
        <v>2820</v>
      </c>
      <c r="I6235" s="15" t="s">
        <v>1560</v>
      </c>
      <c r="J6235" s="15" t="s">
        <v>23833</v>
      </c>
      <c r="K6235" s="15">
        <v>1.0</v>
      </c>
      <c r="L6235" s="15">
        <v>1.0</v>
      </c>
      <c r="M6235" s="41">
        <v>42714.0</v>
      </c>
      <c r="N6235" s="40">
        <v>42738.0</v>
      </c>
      <c r="O6235" s="15" t="s">
        <v>1554</v>
      </c>
      <c r="Q6235" s="7"/>
    </row>
    <row r="6236">
      <c r="A6236" s="39" t="s">
        <v>23835</v>
      </c>
      <c r="B6236" s="15">
        <v>1922671.0</v>
      </c>
      <c r="C6236" s="15" t="s">
        <v>23836</v>
      </c>
      <c r="D6236" s="15">
        <v>359923.0</v>
      </c>
      <c r="E6236" s="15" t="s">
        <v>1664</v>
      </c>
      <c r="F6236" s="15" t="s">
        <v>1664</v>
      </c>
      <c r="G6236" s="7">
        <v>5.431</v>
      </c>
      <c r="H6236" s="15" t="s">
        <v>23837</v>
      </c>
      <c r="I6236" s="15" t="s">
        <v>1560</v>
      </c>
      <c r="J6236" s="15" t="s">
        <v>23838</v>
      </c>
      <c r="K6236" s="15">
        <v>3.0</v>
      </c>
      <c r="L6236" s="15">
        <v>3.0</v>
      </c>
      <c r="M6236" s="41">
        <v>42714.0</v>
      </c>
      <c r="N6236" s="40">
        <v>42738.0</v>
      </c>
      <c r="O6236" s="15" t="s">
        <v>1554</v>
      </c>
      <c r="Q6236" s="7"/>
    </row>
    <row r="6237">
      <c r="A6237" s="39" t="s">
        <v>23839</v>
      </c>
      <c r="B6237" s="15">
        <v>1922530.0</v>
      </c>
      <c r="C6237" s="15" t="s">
        <v>23840</v>
      </c>
      <c r="D6237" s="15">
        <v>359876.0</v>
      </c>
      <c r="E6237" s="15" t="s">
        <v>1664</v>
      </c>
      <c r="F6237" s="15" t="s">
        <v>1664</v>
      </c>
      <c r="G6237" s="7">
        <v>7.273</v>
      </c>
      <c r="H6237" s="15">
        <v>35.0</v>
      </c>
      <c r="I6237" s="15" t="s">
        <v>1560</v>
      </c>
      <c r="J6237" s="15" t="s">
        <v>23841</v>
      </c>
      <c r="K6237" s="15">
        <v>1.0</v>
      </c>
      <c r="L6237" s="15">
        <v>1.0</v>
      </c>
      <c r="M6237" s="41">
        <v>42714.0</v>
      </c>
      <c r="N6237" s="40">
        <v>42738.0</v>
      </c>
      <c r="O6237" s="15" t="s">
        <v>1554</v>
      </c>
      <c r="Q6237" s="7"/>
    </row>
    <row r="6238">
      <c r="A6238" s="39" t="s">
        <v>23842</v>
      </c>
      <c r="B6238" s="15">
        <v>1922528.0</v>
      </c>
      <c r="C6238" s="15" t="s">
        <v>23844</v>
      </c>
      <c r="D6238" s="15">
        <v>359889.0</v>
      </c>
      <c r="E6238" s="15" t="s">
        <v>1664</v>
      </c>
      <c r="F6238" s="15" t="s">
        <v>1664</v>
      </c>
      <c r="G6238" s="7">
        <v>9.895</v>
      </c>
      <c r="H6238" s="15" t="s">
        <v>2158</v>
      </c>
      <c r="I6238" s="15" t="s">
        <v>1560</v>
      </c>
      <c r="J6238" s="15" t="s">
        <v>23845</v>
      </c>
      <c r="K6238" s="15">
        <v>2.0</v>
      </c>
      <c r="L6238" s="15">
        <v>2.0</v>
      </c>
      <c r="M6238" s="41">
        <v>42714.0</v>
      </c>
      <c r="N6238" s="40">
        <v>42738.0</v>
      </c>
      <c r="O6238" s="15" t="s">
        <v>1554</v>
      </c>
      <c r="Q6238" s="7"/>
    </row>
    <row r="6239">
      <c r="A6239" s="39" t="s">
        <v>23846</v>
      </c>
      <c r="B6239" s="15">
        <v>1922603.0</v>
      </c>
      <c r="C6239" s="15" t="s">
        <v>23847</v>
      </c>
      <c r="D6239" s="15">
        <v>359880.0</v>
      </c>
      <c r="E6239" s="15" t="s">
        <v>1664</v>
      </c>
      <c r="F6239" s="15" t="s">
        <v>1664</v>
      </c>
      <c r="G6239" s="7">
        <v>8.411</v>
      </c>
      <c r="H6239" s="15" t="s">
        <v>3538</v>
      </c>
      <c r="I6239" s="15" t="s">
        <v>1560</v>
      </c>
      <c r="J6239" s="15" t="s">
        <v>23848</v>
      </c>
      <c r="K6239" s="15">
        <v>2.0</v>
      </c>
      <c r="L6239" s="15">
        <v>2.0</v>
      </c>
      <c r="M6239" s="41">
        <v>42714.0</v>
      </c>
      <c r="N6239" s="40">
        <v>42738.0</v>
      </c>
      <c r="O6239" s="15" t="s">
        <v>1554</v>
      </c>
      <c r="Q6239" s="7"/>
    </row>
    <row r="6240">
      <c r="A6240" s="39" t="s">
        <v>23849</v>
      </c>
      <c r="B6240" s="15">
        <v>1922597.0</v>
      </c>
      <c r="C6240" s="15" t="s">
        <v>23850</v>
      </c>
      <c r="D6240" s="15">
        <v>359884.0</v>
      </c>
      <c r="E6240" s="15" t="s">
        <v>1664</v>
      </c>
      <c r="F6240" s="15" t="s">
        <v>1664</v>
      </c>
      <c r="G6240" s="7">
        <v>10.278</v>
      </c>
      <c r="H6240" s="15" t="s">
        <v>2005</v>
      </c>
      <c r="I6240" s="15" t="s">
        <v>1560</v>
      </c>
      <c r="J6240" s="15" t="s">
        <v>23851</v>
      </c>
      <c r="K6240" s="15">
        <v>1.0</v>
      </c>
      <c r="L6240" s="15">
        <v>1.0</v>
      </c>
      <c r="M6240" s="41">
        <v>42714.0</v>
      </c>
      <c r="N6240" s="40">
        <v>42738.0</v>
      </c>
      <c r="O6240" s="15" t="s">
        <v>1554</v>
      </c>
      <c r="Q6240" s="7"/>
    </row>
    <row r="6241">
      <c r="A6241" s="39" t="s">
        <v>23853</v>
      </c>
      <c r="B6241" s="15">
        <v>1922644.0</v>
      </c>
      <c r="C6241" s="15" t="s">
        <v>23854</v>
      </c>
      <c r="D6241" s="15">
        <v>359893.0</v>
      </c>
      <c r="E6241" s="15" t="s">
        <v>1664</v>
      </c>
      <c r="F6241" s="15" t="s">
        <v>1664</v>
      </c>
      <c r="G6241" s="7">
        <v>6.503</v>
      </c>
      <c r="H6241" s="15" t="s">
        <v>2141</v>
      </c>
      <c r="I6241" s="15" t="s">
        <v>1560</v>
      </c>
      <c r="J6241" s="15" t="s">
        <v>23855</v>
      </c>
      <c r="K6241" s="15">
        <v>1.0</v>
      </c>
      <c r="L6241" s="15">
        <v>1.0</v>
      </c>
      <c r="M6241" s="41">
        <v>42714.0</v>
      </c>
      <c r="N6241" s="40">
        <v>42738.0</v>
      </c>
      <c r="O6241" s="15" t="s">
        <v>1554</v>
      </c>
      <c r="Q6241" s="7"/>
    </row>
    <row r="6242">
      <c r="A6242" s="39" t="s">
        <v>23856</v>
      </c>
      <c r="B6242" s="15">
        <v>1922591.0</v>
      </c>
      <c r="C6242" s="15" t="s">
        <v>23857</v>
      </c>
      <c r="D6242" s="15">
        <v>359897.0</v>
      </c>
      <c r="E6242" s="15" t="s">
        <v>1664</v>
      </c>
      <c r="F6242" s="15" t="s">
        <v>1664</v>
      </c>
      <c r="G6242" s="7">
        <v>8.92</v>
      </c>
      <c r="H6242" s="15" t="s">
        <v>2223</v>
      </c>
      <c r="I6242" s="15" t="s">
        <v>1560</v>
      </c>
      <c r="J6242" s="15" t="s">
        <v>23858</v>
      </c>
      <c r="K6242" s="15">
        <v>2.0</v>
      </c>
      <c r="L6242" s="15">
        <v>2.0</v>
      </c>
      <c r="M6242" s="41">
        <v>42714.0</v>
      </c>
      <c r="N6242" s="40">
        <v>42738.0</v>
      </c>
      <c r="O6242" s="15" t="s">
        <v>1554</v>
      </c>
      <c r="Q6242" s="7"/>
    </row>
    <row r="6243">
      <c r="A6243" s="39" t="s">
        <v>23859</v>
      </c>
      <c r="B6243" s="15">
        <v>1922586.0</v>
      </c>
      <c r="C6243" s="15" t="s">
        <v>23860</v>
      </c>
      <c r="D6243" s="15">
        <v>359901.0</v>
      </c>
      <c r="E6243" s="15" t="s">
        <v>1664</v>
      </c>
      <c r="F6243" s="15" t="s">
        <v>1664</v>
      </c>
      <c r="G6243" s="7">
        <v>9.166</v>
      </c>
      <c r="H6243" s="15" t="s">
        <v>2178</v>
      </c>
      <c r="I6243" s="15" t="s">
        <v>1560</v>
      </c>
      <c r="J6243" s="15" t="s">
        <v>23861</v>
      </c>
      <c r="K6243" s="15">
        <v>2.0</v>
      </c>
      <c r="L6243" s="15">
        <v>2.0</v>
      </c>
      <c r="M6243" s="41">
        <v>42714.0</v>
      </c>
      <c r="N6243" s="40">
        <v>42738.0</v>
      </c>
      <c r="O6243" s="15" t="s">
        <v>1554</v>
      </c>
      <c r="Q6243" s="7"/>
    </row>
    <row r="6244">
      <c r="A6244" s="39" t="s">
        <v>23863</v>
      </c>
      <c r="B6244" s="15">
        <v>1922582.0</v>
      </c>
      <c r="C6244" s="15" t="s">
        <v>23864</v>
      </c>
      <c r="D6244" s="15">
        <v>359905.0</v>
      </c>
      <c r="E6244" s="15" t="s">
        <v>1664</v>
      </c>
      <c r="F6244" s="15" t="s">
        <v>1664</v>
      </c>
      <c r="G6244" s="7">
        <v>9.206</v>
      </c>
      <c r="H6244" s="15" t="s">
        <v>2000</v>
      </c>
      <c r="I6244" s="15" t="s">
        <v>1560</v>
      </c>
      <c r="J6244" s="15" t="s">
        <v>23865</v>
      </c>
      <c r="K6244" s="15">
        <v>2.0</v>
      </c>
      <c r="L6244" s="15">
        <v>2.0</v>
      </c>
      <c r="M6244" s="41">
        <v>42714.0</v>
      </c>
      <c r="N6244" s="40">
        <v>42738.0</v>
      </c>
      <c r="O6244" s="15" t="s">
        <v>1554</v>
      </c>
      <c r="Q6244" s="7"/>
    </row>
    <row r="6245">
      <c r="A6245" s="39" t="s">
        <v>23866</v>
      </c>
      <c r="B6245" s="15">
        <v>1922571.0</v>
      </c>
      <c r="C6245" s="15" t="s">
        <v>23867</v>
      </c>
      <c r="D6245" s="15">
        <v>359909.0</v>
      </c>
      <c r="E6245" s="15" t="s">
        <v>1664</v>
      </c>
      <c r="F6245" s="15" t="s">
        <v>1664</v>
      </c>
      <c r="G6245" s="7">
        <v>9.559</v>
      </c>
      <c r="H6245" s="15" t="s">
        <v>1859</v>
      </c>
      <c r="I6245" s="15" t="s">
        <v>1560</v>
      </c>
      <c r="J6245" s="15" t="s">
        <v>23868</v>
      </c>
      <c r="K6245" s="15">
        <v>2.0</v>
      </c>
      <c r="L6245" s="15">
        <v>2.0</v>
      </c>
      <c r="M6245" s="41">
        <v>42714.0</v>
      </c>
      <c r="N6245" s="40">
        <v>42738.0</v>
      </c>
      <c r="O6245" s="15" t="s">
        <v>1554</v>
      </c>
      <c r="Q6245" s="7"/>
    </row>
    <row r="6246">
      <c r="A6246" s="39" t="s">
        <v>23869</v>
      </c>
      <c r="B6246" s="15">
        <v>1922677.0</v>
      </c>
      <c r="C6246" s="15" t="s">
        <v>23870</v>
      </c>
      <c r="D6246" s="15">
        <v>359917.0</v>
      </c>
      <c r="E6246" s="15" t="s">
        <v>1664</v>
      </c>
      <c r="F6246" s="15" t="s">
        <v>1664</v>
      </c>
      <c r="G6246" s="7">
        <v>12.524</v>
      </c>
      <c r="H6246" s="15" t="s">
        <v>2864</v>
      </c>
      <c r="I6246" s="15" t="s">
        <v>1560</v>
      </c>
      <c r="J6246" s="15" t="s">
        <v>23871</v>
      </c>
      <c r="K6246" s="15">
        <v>4.0</v>
      </c>
      <c r="L6246" s="15">
        <v>4.0</v>
      </c>
      <c r="M6246" s="41">
        <v>42714.0</v>
      </c>
      <c r="N6246" s="40">
        <v>42738.0</v>
      </c>
      <c r="O6246" s="15" t="s">
        <v>1554</v>
      </c>
      <c r="Q6246" s="7"/>
    </row>
    <row r="6247">
      <c r="A6247" s="39" t="s">
        <v>23872</v>
      </c>
      <c r="B6247" s="15">
        <v>1922673.0</v>
      </c>
      <c r="C6247" s="15" t="s">
        <v>23873</v>
      </c>
      <c r="D6247" s="15">
        <v>359921.0</v>
      </c>
      <c r="E6247" s="15" t="s">
        <v>1664</v>
      </c>
      <c r="F6247" s="15" t="s">
        <v>1664</v>
      </c>
      <c r="G6247" s="7">
        <v>8.879</v>
      </c>
      <c r="H6247" s="15" t="s">
        <v>2864</v>
      </c>
      <c r="I6247" s="15" t="s">
        <v>1560</v>
      </c>
      <c r="J6247" s="15" t="s">
        <v>23874</v>
      </c>
      <c r="K6247" s="15">
        <v>2.0</v>
      </c>
      <c r="L6247" s="15">
        <v>2.0</v>
      </c>
      <c r="M6247" s="41">
        <v>42714.0</v>
      </c>
      <c r="N6247" s="40">
        <v>42738.0</v>
      </c>
      <c r="O6247" s="15" t="s">
        <v>1554</v>
      </c>
      <c r="Q6247" s="7"/>
    </row>
    <row r="6248">
      <c r="A6248" s="39" t="s">
        <v>23876</v>
      </c>
      <c r="B6248" s="15">
        <v>1922564.0</v>
      </c>
      <c r="C6248" s="15" t="s">
        <v>23877</v>
      </c>
      <c r="D6248" s="15">
        <v>359913.0</v>
      </c>
      <c r="E6248" s="15" t="s">
        <v>1664</v>
      </c>
      <c r="F6248" s="15" t="s">
        <v>1664</v>
      </c>
      <c r="G6248" s="7">
        <v>8.817</v>
      </c>
      <c r="H6248" s="15" t="s">
        <v>2197</v>
      </c>
      <c r="I6248" s="15" t="s">
        <v>1560</v>
      </c>
      <c r="J6248" s="15" t="s">
        <v>23878</v>
      </c>
      <c r="K6248" s="15">
        <v>2.0</v>
      </c>
      <c r="L6248" s="15">
        <v>2.0</v>
      </c>
      <c r="M6248" s="41">
        <v>42714.0</v>
      </c>
      <c r="N6248" s="40">
        <v>42738.0</v>
      </c>
      <c r="O6248" s="15" t="s">
        <v>1554</v>
      </c>
      <c r="Q6248" s="7"/>
    </row>
    <row r="6249">
      <c r="A6249" s="39" t="s">
        <v>23879</v>
      </c>
      <c r="B6249" s="15">
        <v>1922668.0</v>
      </c>
      <c r="C6249" s="15" t="s">
        <v>23880</v>
      </c>
      <c r="D6249" s="15">
        <v>359925.0</v>
      </c>
      <c r="E6249" s="15" t="s">
        <v>1664</v>
      </c>
      <c r="F6249" s="15" t="s">
        <v>1664</v>
      </c>
      <c r="G6249" s="7">
        <v>10.355</v>
      </c>
      <c r="H6249" s="15">
        <v>44.0</v>
      </c>
      <c r="I6249" s="15" t="s">
        <v>1560</v>
      </c>
      <c r="J6249" s="15" t="s">
        <v>23881</v>
      </c>
      <c r="K6249" s="15">
        <v>2.0</v>
      </c>
      <c r="L6249" s="15">
        <v>2.0</v>
      </c>
      <c r="M6249" s="41">
        <v>42714.0</v>
      </c>
      <c r="N6249" s="40">
        <v>42738.0</v>
      </c>
      <c r="O6249" s="15" t="s">
        <v>1554</v>
      </c>
      <c r="Q6249" s="7"/>
    </row>
    <row r="6250">
      <c r="A6250" s="39" t="s">
        <v>23882</v>
      </c>
      <c r="B6250" s="15">
        <v>1922569.0</v>
      </c>
      <c r="C6250" s="15" t="s">
        <v>23883</v>
      </c>
      <c r="D6250" s="15">
        <v>359363.0</v>
      </c>
      <c r="E6250" s="15" t="s">
        <v>1664</v>
      </c>
      <c r="F6250" s="15" t="s">
        <v>1664</v>
      </c>
      <c r="G6250" s="7">
        <v>9.864</v>
      </c>
      <c r="H6250" s="15" t="s">
        <v>1685</v>
      </c>
      <c r="I6250" s="15" t="s">
        <v>1560</v>
      </c>
      <c r="J6250" s="15" t="s">
        <v>23884</v>
      </c>
      <c r="K6250" s="15">
        <v>2.0</v>
      </c>
      <c r="L6250" s="15">
        <v>2.0</v>
      </c>
      <c r="M6250" s="41">
        <v>42714.0</v>
      </c>
      <c r="N6250" s="40">
        <v>42738.0</v>
      </c>
      <c r="O6250" s="15" t="s">
        <v>1554</v>
      </c>
      <c r="Q6250" s="7"/>
    </row>
    <row r="6251">
      <c r="A6251" s="39" t="s">
        <v>23885</v>
      </c>
      <c r="B6251" s="15">
        <v>1930825.0</v>
      </c>
      <c r="C6251" s="15" t="s">
        <v>23886</v>
      </c>
      <c r="D6251" s="15">
        <v>360141.0</v>
      </c>
      <c r="E6251" s="15" t="s">
        <v>1548</v>
      </c>
      <c r="F6251" s="15" t="s">
        <v>3181</v>
      </c>
      <c r="G6251" s="7">
        <v>11.379</v>
      </c>
      <c r="H6251" s="15" t="s">
        <v>2033</v>
      </c>
      <c r="I6251" s="15" t="s">
        <v>1560</v>
      </c>
      <c r="J6251" s="15" t="s">
        <v>23888</v>
      </c>
      <c r="K6251" s="15">
        <v>2.0</v>
      </c>
      <c r="L6251" s="15">
        <v>2.0</v>
      </c>
      <c r="M6251" s="40">
        <v>42736.0</v>
      </c>
      <c r="N6251" s="40">
        <v>42740.0</v>
      </c>
      <c r="O6251" s="15" t="s">
        <v>1554</v>
      </c>
      <c r="Q6251" s="7"/>
    </row>
    <row r="6252">
      <c r="A6252" s="39" t="s">
        <v>23889</v>
      </c>
      <c r="B6252" s="15">
        <v>1755290.0</v>
      </c>
      <c r="C6252" s="15" t="s">
        <v>23890</v>
      </c>
      <c r="D6252" s="15">
        <v>360303.0</v>
      </c>
      <c r="E6252" s="15" t="s">
        <v>1808</v>
      </c>
      <c r="F6252" s="15" t="s">
        <v>1998</v>
      </c>
      <c r="G6252" s="7">
        <v>1.724</v>
      </c>
      <c r="H6252" s="15" t="s">
        <v>3066</v>
      </c>
      <c r="I6252" s="15" t="s">
        <v>9533</v>
      </c>
      <c r="J6252" s="15" t="s">
        <v>23891</v>
      </c>
      <c r="K6252" s="15">
        <v>2.0</v>
      </c>
      <c r="L6252" s="15">
        <v>2.0</v>
      </c>
      <c r="M6252" s="41">
        <v>42735.0</v>
      </c>
      <c r="N6252" s="40">
        <v>42740.0</v>
      </c>
      <c r="O6252" s="15" t="s">
        <v>1554</v>
      </c>
      <c r="Q6252" s="7"/>
    </row>
    <row r="6253">
      <c r="A6253" s="39" t="s">
        <v>23892</v>
      </c>
      <c r="B6253" s="15">
        <v>992212.0</v>
      </c>
      <c r="C6253" s="15" t="s">
        <v>23893</v>
      </c>
      <c r="D6253" s="15">
        <v>170539.0</v>
      </c>
      <c r="E6253" s="15" t="s">
        <v>1548</v>
      </c>
      <c r="F6253" s="15" t="s">
        <v>3116</v>
      </c>
      <c r="G6253" s="7">
        <v>11.49</v>
      </c>
      <c r="H6253" s="15" t="s">
        <v>23894</v>
      </c>
      <c r="I6253" s="15" t="s">
        <v>1803</v>
      </c>
      <c r="J6253" s="15" t="s">
        <v>23895</v>
      </c>
      <c r="K6253" s="15">
        <v>4.0</v>
      </c>
      <c r="L6253" s="15">
        <v>4.0</v>
      </c>
      <c r="M6253" s="40">
        <v>40611.0</v>
      </c>
      <c r="N6253" s="40">
        <v>41103.0</v>
      </c>
      <c r="O6253" s="15" t="s">
        <v>1554</v>
      </c>
      <c r="Q6253" s="7"/>
    </row>
    <row r="6254">
      <c r="A6254" s="39" t="s">
        <v>23896</v>
      </c>
      <c r="B6254" s="15">
        <v>1611877.0</v>
      </c>
      <c r="C6254" s="15" t="s">
        <v>23897</v>
      </c>
      <c r="D6254" s="15">
        <v>310915.0</v>
      </c>
      <c r="E6254" s="15" t="s">
        <v>1548</v>
      </c>
      <c r="F6254" s="15" t="s">
        <v>3116</v>
      </c>
      <c r="G6254" s="7">
        <v>12.389</v>
      </c>
      <c r="H6254" s="15" t="s">
        <v>23898</v>
      </c>
      <c r="I6254" s="15" t="s">
        <v>1803</v>
      </c>
      <c r="J6254" s="15" t="s">
        <v>23899</v>
      </c>
      <c r="K6254" s="15">
        <v>4.0</v>
      </c>
      <c r="L6254" s="15">
        <v>4.0</v>
      </c>
      <c r="M6254" s="40">
        <v>42051.0</v>
      </c>
      <c r="N6254" s="40">
        <v>42405.0</v>
      </c>
      <c r="O6254" s="15" t="s">
        <v>1554</v>
      </c>
      <c r="Q6254" s="7"/>
    </row>
    <row r="6255">
      <c r="A6255" s="39" t="s">
        <v>23901</v>
      </c>
      <c r="B6255" s="15">
        <v>40687.0</v>
      </c>
      <c r="C6255" s="15" t="s">
        <v>23902</v>
      </c>
      <c r="D6255" s="15">
        <v>14766.0</v>
      </c>
      <c r="E6255" s="15" t="s">
        <v>1548</v>
      </c>
      <c r="F6255" s="15" t="s">
        <v>5033</v>
      </c>
      <c r="G6255" s="7">
        <v>16.769</v>
      </c>
      <c r="H6255" s="15" t="s">
        <v>23903</v>
      </c>
      <c r="I6255" s="15" t="s">
        <v>2034</v>
      </c>
      <c r="J6255" s="15" t="s">
        <v>23904</v>
      </c>
      <c r="K6255" s="15">
        <v>5.0</v>
      </c>
      <c r="L6255" s="15">
        <v>5.0</v>
      </c>
      <c r="M6255" s="40">
        <v>34878.0</v>
      </c>
      <c r="N6255" s="40">
        <v>42453.0</v>
      </c>
      <c r="O6255" s="15" t="s">
        <v>1554</v>
      </c>
      <c r="Q6255" s="7"/>
    </row>
    <row r="6256">
      <c r="A6256" s="39" t="s">
        <v>23905</v>
      </c>
      <c r="B6256" s="15">
        <v>1495866.0</v>
      </c>
      <c r="C6256" s="15" t="s">
        <v>23906</v>
      </c>
      <c r="D6256" s="15">
        <v>246534.0</v>
      </c>
      <c r="E6256" s="15" t="s">
        <v>1548</v>
      </c>
      <c r="F6256" s="15" t="s">
        <v>5290</v>
      </c>
      <c r="G6256" s="7">
        <v>12.39</v>
      </c>
      <c r="H6256" s="15" t="s">
        <v>23907</v>
      </c>
      <c r="I6256" s="15" t="s">
        <v>1803</v>
      </c>
      <c r="J6256" s="15" t="s">
        <v>23908</v>
      </c>
      <c r="K6256" s="15">
        <v>3.0</v>
      </c>
      <c r="L6256" s="15">
        <v>3.0</v>
      </c>
      <c r="M6256" s="40">
        <v>41333.0</v>
      </c>
      <c r="N6256" s="40">
        <v>42453.0</v>
      </c>
      <c r="O6256" s="15" t="s">
        <v>1554</v>
      </c>
      <c r="Q6256" s="7"/>
    </row>
    <row r="6257">
      <c r="A6257" s="39" t="s">
        <v>23909</v>
      </c>
      <c r="B6257" s="15">
        <v>1932931.0</v>
      </c>
      <c r="C6257" s="15" t="s">
        <v>23910</v>
      </c>
      <c r="D6257" s="15">
        <v>64497.0</v>
      </c>
      <c r="E6257" s="15" t="s">
        <v>1664</v>
      </c>
      <c r="F6257" s="15" t="s">
        <v>1739</v>
      </c>
      <c r="G6257" s="7">
        <v>19.063</v>
      </c>
      <c r="H6257" s="42">
        <v>43189.0</v>
      </c>
      <c r="I6257" s="15" t="s">
        <v>1740</v>
      </c>
      <c r="J6257" s="15" t="s">
        <v>23911</v>
      </c>
      <c r="K6257" s="15">
        <v>20.0</v>
      </c>
      <c r="L6257" s="15">
        <v>20.0</v>
      </c>
      <c r="M6257" s="40">
        <v>40614.0</v>
      </c>
      <c r="N6257" s="40">
        <v>42990.0</v>
      </c>
      <c r="O6257" s="15" t="s">
        <v>1554</v>
      </c>
      <c r="Q6257" s="7"/>
    </row>
    <row r="6258">
      <c r="A6258" s="39" t="s">
        <v>23913</v>
      </c>
      <c r="B6258" s="15">
        <v>1922722.0</v>
      </c>
      <c r="C6258" s="15" t="s">
        <v>23914</v>
      </c>
      <c r="D6258" s="15">
        <v>360421.0</v>
      </c>
      <c r="E6258" s="15" t="s">
        <v>1664</v>
      </c>
      <c r="F6258" s="15" t="s">
        <v>1664</v>
      </c>
      <c r="G6258" s="7">
        <v>5.695</v>
      </c>
      <c r="H6258" s="15" t="s">
        <v>9648</v>
      </c>
      <c r="I6258" s="15" t="s">
        <v>1560</v>
      </c>
      <c r="J6258" s="15" t="s">
        <v>23915</v>
      </c>
      <c r="K6258" s="15">
        <v>3.0</v>
      </c>
      <c r="L6258" s="15">
        <v>3.0</v>
      </c>
      <c r="M6258" s="41">
        <v>42714.0</v>
      </c>
      <c r="N6258" s="40">
        <v>42752.0</v>
      </c>
      <c r="O6258" s="15" t="s">
        <v>1554</v>
      </c>
      <c r="Q6258" s="7"/>
    </row>
    <row r="6259">
      <c r="A6259" s="39" t="s">
        <v>23916</v>
      </c>
      <c r="B6259" s="15">
        <v>1922956.0</v>
      </c>
      <c r="C6259" s="15" t="s">
        <v>23917</v>
      </c>
      <c r="D6259" s="15">
        <v>360860.0</v>
      </c>
      <c r="E6259" s="15" t="s">
        <v>1664</v>
      </c>
      <c r="F6259" s="15" t="s">
        <v>1664</v>
      </c>
      <c r="G6259" s="7">
        <v>2.375</v>
      </c>
      <c r="H6259" s="15" t="s">
        <v>2163</v>
      </c>
      <c r="I6259" s="15" t="s">
        <v>1560</v>
      </c>
      <c r="J6259" s="15" t="s">
        <v>23918</v>
      </c>
      <c r="K6259" s="15">
        <v>1.0</v>
      </c>
      <c r="L6259" s="15">
        <v>1.0</v>
      </c>
      <c r="M6259" s="41">
        <v>42714.0</v>
      </c>
      <c r="N6259" s="40">
        <v>42752.0</v>
      </c>
      <c r="O6259" s="15" t="s">
        <v>1554</v>
      </c>
      <c r="Q6259" s="7"/>
    </row>
    <row r="6260">
      <c r="A6260" s="39" t="s">
        <v>23920</v>
      </c>
      <c r="B6260" s="15">
        <v>1930920.0</v>
      </c>
      <c r="C6260" s="15" t="s">
        <v>23921</v>
      </c>
      <c r="D6260" s="15">
        <v>360992.0</v>
      </c>
      <c r="E6260" s="15" t="s">
        <v>1664</v>
      </c>
      <c r="F6260" s="15" t="s">
        <v>1664</v>
      </c>
      <c r="G6260" s="7">
        <v>10.845</v>
      </c>
      <c r="H6260" s="15" t="s">
        <v>1849</v>
      </c>
      <c r="I6260" s="15" t="s">
        <v>1560</v>
      </c>
      <c r="J6260" s="15" t="s">
        <v>23922</v>
      </c>
      <c r="K6260" s="15">
        <v>5.0</v>
      </c>
      <c r="L6260" s="15">
        <v>5.0</v>
      </c>
      <c r="M6260" s="40">
        <v>42745.0</v>
      </c>
      <c r="N6260" s="40">
        <v>42752.0</v>
      </c>
      <c r="O6260" s="15" t="s">
        <v>1554</v>
      </c>
      <c r="Q6260" s="7"/>
    </row>
    <row r="6261">
      <c r="A6261" s="39" t="s">
        <v>23923</v>
      </c>
      <c r="B6261" s="15">
        <v>1923274.0</v>
      </c>
      <c r="C6261" s="15" t="s">
        <v>23924</v>
      </c>
      <c r="D6261" s="15">
        <v>361602.0</v>
      </c>
      <c r="E6261" s="15" t="s">
        <v>1664</v>
      </c>
      <c r="F6261" s="15" t="s">
        <v>1664</v>
      </c>
      <c r="G6261" s="7">
        <v>2.209</v>
      </c>
      <c r="H6261" s="15" t="s">
        <v>3000</v>
      </c>
      <c r="I6261" s="15" t="s">
        <v>1560</v>
      </c>
      <c r="J6261" s="15" t="s">
        <v>23925</v>
      </c>
      <c r="K6261" s="15">
        <v>2.0</v>
      </c>
      <c r="L6261" s="15">
        <v>2.0</v>
      </c>
      <c r="M6261" s="41">
        <v>42714.0</v>
      </c>
      <c r="N6261" s="40">
        <v>42752.0</v>
      </c>
      <c r="O6261" s="15" t="s">
        <v>1554</v>
      </c>
      <c r="Q6261" s="7"/>
    </row>
    <row r="6262">
      <c r="A6262" s="39" t="s">
        <v>23926</v>
      </c>
      <c r="B6262" s="15">
        <v>1923273.0</v>
      </c>
      <c r="C6262" s="15" t="s">
        <v>23927</v>
      </c>
      <c r="D6262" s="15">
        <v>361603.0</v>
      </c>
      <c r="E6262" s="15" t="s">
        <v>1664</v>
      </c>
      <c r="F6262" s="15" t="s">
        <v>1664</v>
      </c>
      <c r="G6262" s="7">
        <v>2.286</v>
      </c>
      <c r="H6262" s="15">
        <v>42.0</v>
      </c>
      <c r="I6262" s="15" t="s">
        <v>1560</v>
      </c>
      <c r="J6262" s="15" t="s">
        <v>23928</v>
      </c>
      <c r="K6262" s="15">
        <v>2.0</v>
      </c>
      <c r="L6262" s="15">
        <v>2.0</v>
      </c>
      <c r="M6262" s="41">
        <v>42714.0</v>
      </c>
      <c r="N6262" s="40">
        <v>42752.0</v>
      </c>
      <c r="O6262" s="15" t="s">
        <v>1554</v>
      </c>
      <c r="Q6262" s="7"/>
    </row>
    <row r="6263">
      <c r="A6263" s="39" t="s">
        <v>23929</v>
      </c>
      <c r="B6263" s="15">
        <v>1923272.0</v>
      </c>
      <c r="C6263" s="15" t="s">
        <v>23930</v>
      </c>
      <c r="D6263" s="15">
        <v>361604.0</v>
      </c>
      <c r="E6263" s="15" t="s">
        <v>1664</v>
      </c>
      <c r="F6263" s="15" t="s">
        <v>1664</v>
      </c>
      <c r="G6263" s="7">
        <v>4.209</v>
      </c>
      <c r="H6263" s="15">
        <v>45.0</v>
      </c>
      <c r="I6263" s="15" t="s">
        <v>1560</v>
      </c>
      <c r="J6263" s="15" t="s">
        <v>23931</v>
      </c>
      <c r="K6263" s="15">
        <v>3.0</v>
      </c>
      <c r="L6263" s="15">
        <v>3.0</v>
      </c>
      <c r="M6263" s="41">
        <v>42714.0</v>
      </c>
      <c r="N6263" s="40">
        <v>42752.0</v>
      </c>
      <c r="O6263" s="15" t="s">
        <v>1554</v>
      </c>
      <c r="Q6263" s="7"/>
    </row>
    <row r="6264">
      <c r="A6264" s="39" t="s">
        <v>23932</v>
      </c>
      <c r="B6264" s="15">
        <v>1923271.0</v>
      </c>
      <c r="C6264" s="15" t="s">
        <v>23933</v>
      </c>
      <c r="D6264" s="15">
        <v>361605.0</v>
      </c>
      <c r="E6264" s="15" t="s">
        <v>1664</v>
      </c>
      <c r="F6264" s="15" t="s">
        <v>1664</v>
      </c>
      <c r="G6264" s="7">
        <v>2.613</v>
      </c>
      <c r="H6264" s="15" t="s">
        <v>2284</v>
      </c>
      <c r="I6264" s="15" t="s">
        <v>1560</v>
      </c>
      <c r="J6264" s="15" t="s">
        <v>23935</v>
      </c>
      <c r="K6264" s="15">
        <v>2.0</v>
      </c>
      <c r="L6264" s="15">
        <v>2.0</v>
      </c>
      <c r="M6264" s="41">
        <v>42714.0</v>
      </c>
      <c r="N6264" s="40">
        <v>42752.0</v>
      </c>
      <c r="O6264" s="15" t="s">
        <v>1554</v>
      </c>
      <c r="Q6264" s="7"/>
    </row>
    <row r="6265">
      <c r="A6265" s="39" t="s">
        <v>23936</v>
      </c>
      <c r="B6265" s="15">
        <v>1923270.0</v>
      </c>
      <c r="C6265" s="15" t="s">
        <v>23937</v>
      </c>
      <c r="D6265" s="15">
        <v>361606.0</v>
      </c>
      <c r="E6265" s="15" t="s">
        <v>1664</v>
      </c>
      <c r="F6265" s="15" t="s">
        <v>1664</v>
      </c>
      <c r="G6265" s="7">
        <v>3.196</v>
      </c>
      <c r="H6265" s="15" t="s">
        <v>2023</v>
      </c>
      <c r="I6265" s="15" t="s">
        <v>1560</v>
      </c>
      <c r="J6265" s="15" t="s">
        <v>23938</v>
      </c>
      <c r="K6265" s="15">
        <v>2.0</v>
      </c>
      <c r="L6265" s="15">
        <v>2.0</v>
      </c>
      <c r="M6265" s="41">
        <v>42714.0</v>
      </c>
      <c r="N6265" s="40">
        <v>42752.0</v>
      </c>
      <c r="O6265" s="15" t="s">
        <v>1554</v>
      </c>
      <c r="Q6265" s="7"/>
    </row>
    <row r="6266">
      <c r="A6266" s="39" t="s">
        <v>23939</v>
      </c>
      <c r="B6266" s="15">
        <v>1923268.0</v>
      </c>
      <c r="C6266" s="15" t="s">
        <v>23940</v>
      </c>
      <c r="D6266" s="15">
        <v>361608.0</v>
      </c>
      <c r="E6266" s="15" t="s">
        <v>1664</v>
      </c>
      <c r="F6266" s="15" t="s">
        <v>1664</v>
      </c>
      <c r="G6266" s="7">
        <v>4.633</v>
      </c>
      <c r="H6266" s="15" t="s">
        <v>5042</v>
      </c>
      <c r="I6266" s="15" t="s">
        <v>1560</v>
      </c>
      <c r="J6266" s="15" t="s">
        <v>23941</v>
      </c>
      <c r="K6266" s="15">
        <v>3.0</v>
      </c>
      <c r="L6266" s="15">
        <v>3.0</v>
      </c>
      <c r="M6266" s="41">
        <v>42714.0</v>
      </c>
      <c r="N6266" s="40">
        <v>42752.0</v>
      </c>
      <c r="O6266" s="15" t="s">
        <v>1554</v>
      </c>
      <c r="Q6266" s="7"/>
    </row>
    <row r="6267">
      <c r="A6267" s="39" t="s">
        <v>23942</v>
      </c>
      <c r="B6267" s="15">
        <v>1923267.0</v>
      </c>
      <c r="C6267" s="15" t="s">
        <v>23943</v>
      </c>
      <c r="D6267" s="15">
        <v>361609.0</v>
      </c>
      <c r="E6267" s="15" t="s">
        <v>1664</v>
      </c>
      <c r="F6267" s="15" t="s">
        <v>1664</v>
      </c>
      <c r="G6267" s="7">
        <v>4.854</v>
      </c>
      <c r="H6267" s="15" t="s">
        <v>1772</v>
      </c>
      <c r="I6267" s="15" t="s">
        <v>1560</v>
      </c>
      <c r="J6267" s="15" t="s">
        <v>23944</v>
      </c>
      <c r="K6267" s="15">
        <v>4.0</v>
      </c>
      <c r="L6267" s="15">
        <v>4.0</v>
      </c>
      <c r="M6267" s="41">
        <v>42714.0</v>
      </c>
      <c r="N6267" s="40">
        <v>42752.0</v>
      </c>
      <c r="O6267" s="15" t="s">
        <v>1554</v>
      </c>
      <c r="Q6267" s="7"/>
    </row>
    <row r="6268">
      <c r="A6268" s="39" t="s">
        <v>23945</v>
      </c>
      <c r="B6268" s="15">
        <v>1923266.0</v>
      </c>
      <c r="C6268" s="15" t="s">
        <v>23946</v>
      </c>
      <c r="D6268" s="15">
        <v>361610.0</v>
      </c>
      <c r="E6268" s="15" t="s">
        <v>1664</v>
      </c>
      <c r="F6268" s="15" t="s">
        <v>1664</v>
      </c>
      <c r="G6268" s="7">
        <v>5.51</v>
      </c>
      <c r="H6268" s="15" t="s">
        <v>4204</v>
      </c>
      <c r="I6268" s="15" t="s">
        <v>1560</v>
      </c>
      <c r="J6268" s="15" t="s">
        <v>23947</v>
      </c>
      <c r="K6268" s="15">
        <v>4.0</v>
      </c>
      <c r="L6268" s="15">
        <v>4.0</v>
      </c>
      <c r="M6268" s="41">
        <v>42714.0</v>
      </c>
      <c r="N6268" s="40">
        <v>42752.0</v>
      </c>
      <c r="O6268" s="15" t="s">
        <v>1554</v>
      </c>
      <c r="Q6268" s="7"/>
    </row>
    <row r="6269">
      <c r="A6269" s="39" t="s">
        <v>23949</v>
      </c>
      <c r="B6269" s="15">
        <v>1923265.0</v>
      </c>
      <c r="C6269" s="15" t="s">
        <v>23950</v>
      </c>
      <c r="D6269" s="15">
        <v>361611.0</v>
      </c>
      <c r="E6269" s="15" t="s">
        <v>1664</v>
      </c>
      <c r="F6269" s="15" t="s">
        <v>1664</v>
      </c>
      <c r="G6269" s="7">
        <v>4.917</v>
      </c>
      <c r="H6269" s="15" t="s">
        <v>5521</v>
      </c>
      <c r="I6269" s="15" t="s">
        <v>1560</v>
      </c>
      <c r="J6269" s="15" t="s">
        <v>23951</v>
      </c>
      <c r="K6269" s="15">
        <v>4.0</v>
      </c>
      <c r="L6269" s="15">
        <v>4.0</v>
      </c>
      <c r="M6269" s="41">
        <v>42714.0</v>
      </c>
      <c r="N6269" s="40">
        <v>42752.0</v>
      </c>
      <c r="O6269" s="15" t="s">
        <v>1554</v>
      </c>
      <c r="Q6269" s="7"/>
    </row>
    <row r="6270">
      <c r="A6270" s="39" t="s">
        <v>23952</v>
      </c>
      <c r="B6270" s="15">
        <v>1923264.0</v>
      </c>
      <c r="C6270" s="15" t="s">
        <v>23953</v>
      </c>
      <c r="D6270" s="15">
        <v>361612.0</v>
      </c>
      <c r="E6270" s="15" t="s">
        <v>1664</v>
      </c>
      <c r="F6270" s="15" t="s">
        <v>1664</v>
      </c>
      <c r="G6270" s="7">
        <v>4.059</v>
      </c>
      <c r="H6270" s="15" t="s">
        <v>1943</v>
      </c>
      <c r="I6270" s="15" t="s">
        <v>1560</v>
      </c>
      <c r="J6270" s="15" t="s">
        <v>23954</v>
      </c>
      <c r="K6270" s="15">
        <v>4.0</v>
      </c>
      <c r="L6270" s="15">
        <v>4.0</v>
      </c>
      <c r="M6270" s="41">
        <v>42714.0</v>
      </c>
      <c r="N6270" s="40">
        <v>42752.0</v>
      </c>
      <c r="O6270" s="15" t="s">
        <v>1554</v>
      </c>
      <c r="Q6270" s="7"/>
    </row>
    <row r="6271">
      <c r="A6271" s="39" t="s">
        <v>23955</v>
      </c>
      <c r="B6271" s="15">
        <v>1923101.0</v>
      </c>
      <c r="C6271" s="15" t="s">
        <v>23956</v>
      </c>
      <c r="D6271" s="15">
        <v>361613.0</v>
      </c>
      <c r="E6271" s="15" t="s">
        <v>1664</v>
      </c>
      <c r="F6271" s="15" t="s">
        <v>1664</v>
      </c>
      <c r="G6271" s="7">
        <v>9.311</v>
      </c>
      <c r="H6271" s="15" t="s">
        <v>2864</v>
      </c>
      <c r="I6271" s="15" t="s">
        <v>1560</v>
      </c>
      <c r="J6271" s="15" t="s">
        <v>23957</v>
      </c>
      <c r="K6271" s="15">
        <v>2.0</v>
      </c>
      <c r="L6271" s="15">
        <v>2.0</v>
      </c>
      <c r="M6271" s="41">
        <v>42714.0</v>
      </c>
      <c r="N6271" s="40">
        <v>42752.0</v>
      </c>
      <c r="O6271" s="15" t="s">
        <v>1554</v>
      </c>
      <c r="Q6271" s="7"/>
    </row>
    <row r="6272">
      <c r="A6272" s="39" t="s">
        <v>23958</v>
      </c>
      <c r="B6272" s="15">
        <v>1923100.0</v>
      </c>
      <c r="C6272" s="15" t="s">
        <v>23959</v>
      </c>
      <c r="D6272" s="15">
        <v>361614.0</v>
      </c>
      <c r="E6272" s="15" t="s">
        <v>1664</v>
      </c>
      <c r="F6272" s="15" t="s">
        <v>1664</v>
      </c>
      <c r="G6272" s="7">
        <v>8.382</v>
      </c>
      <c r="H6272" s="15" t="s">
        <v>3584</v>
      </c>
      <c r="I6272" s="15" t="s">
        <v>1560</v>
      </c>
      <c r="J6272" s="15" t="s">
        <v>23960</v>
      </c>
      <c r="K6272" s="15">
        <v>2.0</v>
      </c>
      <c r="L6272" s="15">
        <v>2.0</v>
      </c>
      <c r="M6272" s="41">
        <v>42714.0</v>
      </c>
      <c r="N6272" s="40">
        <v>42752.0</v>
      </c>
      <c r="O6272" s="15" t="s">
        <v>1554</v>
      </c>
      <c r="Q6272" s="7"/>
    </row>
    <row r="6273">
      <c r="A6273" s="39" t="s">
        <v>23961</v>
      </c>
      <c r="B6273" s="15">
        <v>1923099.0</v>
      </c>
      <c r="C6273" s="15" t="s">
        <v>23962</v>
      </c>
      <c r="D6273" s="15">
        <v>361615.0</v>
      </c>
      <c r="E6273" s="15" t="s">
        <v>1664</v>
      </c>
      <c r="F6273" s="15" t="s">
        <v>1664</v>
      </c>
      <c r="G6273" s="7">
        <v>9.147</v>
      </c>
      <c r="H6273" s="15" t="s">
        <v>1912</v>
      </c>
      <c r="I6273" s="15" t="s">
        <v>1560</v>
      </c>
      <c r="J6273" s="15" t="s">
        <v>23964</v>
      </c>
      <c r="K6273" s="15">
        <v>2.0</v>
      </c>
      <c r="L6273" s="15">
        <v>2.0</v>
      </c>
      <c r="M6273" s="41">
        <v>42714.0</v>
      </c>
      <c r="N6273" s="40">
        <v>42752.0</v>
      </c>
      <c r="O6273" s="15" t="s">
        <v>1554</v>
      </c>
      <c r="Q6273" s="7"/>
    </row>
    <row r="6274">
      <c r="A6274" s="39" t="s">
        <v>23965</v>
      </c>
      <c r="B6274" s="15">
        <v>1923097.0</v>
      </c>
      <c r="C6274" s="15" t="s">
        <v>23966</v>
      </c>
      <c r="D6274" s="15">
        <v>361616.0</v>
      </c>
      <c r="E6274" s="15" t="s">
        <v>1664</v>
      </c>
      <c r="F6274" s="15" t="s">
        <v>1664</v>
      </c>
      <c r="G6274" s="7">
        <v>9.478</v>
      </c>
      <c r="H6274" s="15" t="s">
        <v>2342</v>
      </c>
      <c r="I6274" s="15" t="s">
        <v>1560</v>
      </c>
      <c r="J6274" s="15" t="s">
        <v>23967</v>
      </c>
      <c r="K6274" s="15">
        <v>2.0</v>
      </c>
      <c r="L6274" s="15">
        <v>2.0</v>
      </c>
      <c r="M6274" s="41">
        <v>42714.0</v>
      </c>
      <c r="N6274" s="40">
        <v>42752.0</v>
      </c>
      <c r="O6274" s="15" t="s">
        <v>1554</v>
      </c>
      <c r="Q6274" s="7"/>
    </row>
    <row r="6275">
      <c r="A6275" s="39" t="s">
        <v>23968</v>
      </c>
      <c r="B6275" s="15">
        <v>1923162.0</v>
      </c>
      <c r="C6275" s="15" t="s">
        <v>23969</v>
      </c>
      <c r="D6275" s="15">
        <v>361617.0</v>
      </c>
      <c r="E6275" s="15" t="s">
        <v>1664</v>
      </c>
      <c r="F6275" s="15" t="s">
        <v>1664</v>
      </c>
      <c r="G6275" s="7">
        <v>9.44</v>
      </c>
      <c r="H6275" s="15" t="s">
        <v>3554</v>
      </c>
      <c r="I6275" s="15" t="s">
        <v>1560</v>
      </c>
      <c r="J6275" s="15" t="s">
        <v>23970</v>
      </c>
      <c r="K6275" s="15">
        <v>2.0</v>
      </c>
      <c r="L6275" s="15">
        <v>2.0</v>
      </c>
      <c r="M6275" s="41">
        <v>42714.0</v>
      </c>
      <c r="N6275" s="40">
        <v>42752.0</v>
      </c>
      <c r="O6275" s="15" t="s">
        <v>1554</v>
      </c>
      <c r="Q6275" s="7"/>
    </row>
    <row r="6276">
      <c r="A6276" s="39" t="s">
        <v>23971</v>
      </c>
      <c r="B6276" s="15">
        <v>1923161.0</v>
      </c>
      <c r="C6276" s="15" t="s">
        <v>23972</v>
      </c>
      <c r="D6276" s="15">
        <v>361618.0</v>
      </c>
      <c r="E6276" s="15" t="s">
        <v>1664</v>
      </c>
      <c r="F6276" s="15" t="s">
        <v>1664</v>
      </c>
      <c r="G6276" s="7">
        <v>8.961</v>
      </c>
      <c r="H6276" s="15">
        <v>37.0</v>
      </c>
      <c r="I6276" s="15" t="s">
        <v>1560</v>
      </c>
      <c r="J6276" s="15" t="s">
        <v>23973</v>
      </c>
      <c r="K6276" s="15">
        <v>4.0</v>
      </c>
      <c r="L6276" s="15">
        <v>4.0</v>
      </c>
      <c r="M6276" s="41">
        <v>42714.0</v>
      </c>
      <c r="N6276" s="40">
        <v>42752.0</v>
      </c>
      <c r="O6276" s="15" t="s">
        <v>1554</v>
      </c>
      <c r="Q6276" s="7"/>
    </row>
    <row r="6277">
      <c r="A6277" s="39" t="s">
        <v>23974</v>
      </c>
      <c r="B6277" s="15">
        <v>1923160.0</v>
      </c>
      <c r="C6277" s="15" t="s">
        <v>23975</v>
      </c>
      <c r="D6277" s="15">
        <v>361619.0</v>
      </c>
      <c r="E6277" s="15" t="s">
        <v>1664</v>
      </c>
      <c r="F6277" s="15" t="s">
        <v>1664</v>
      </c>
      <c r="G6277" s="7">
        <v>11.218</v>
      </c>
      <c r="H6277" s="15" t="s">
        <v>4595</v>
      </c>
      <c r="I6277" s="15" t="s">
        <v>1560</v>
      </c>
      <c r="J6277" s="15" t="s">
        <v>23976</v>
      </c>
      <c r="K6277" s="15">
        <v>3.0</v>
      </c>
      <c r="L6277" s="15">
        <v>3.0</v>
      </c>
      <c r="M6277" s="41">
        <v>42714.0</v>
      </c>
      <c r="N6277" s="40">
        <v>42752.0</v>
      </c>
      <c r="O6277" s="15" t="s">
        <v>1554</v>
      </c>
      <c r="Q6277" s="7"/>
    </row>
    <row r="6278">
      <c r="A6278" s="39" t="s">
        <v>23978</v>
      </c>
      <c r="B6278" s="15">
        <v>1923159.0</v>
      </c>
      <c r="C6278" s="15" t="s">
        <v>23979</v>
      </c>
      <c r="D6278" s="15">
        <v>361620.0</v>
      </c>
      <c r="E6278" s="15" t="s">
        <v>1664</v>
      </c>
      <c r="F6278" s="15" t="s">
        <v>1664</v>
      </c>
      <c r="G6278" s="7">
        <v>10.123</v>
      </c>
      <c r="H6278" s="15" t="s">
        <v>2141</v>
      </c>
      <c r="I6278" s="15" t="s">
        <v>1560</v>
      </c>
      <c r="J6278" s="15" t="s">
        <v>23980</v>
      </c>
      <c r="K6278" s="15">
        <v>5.0</v>
      </c>
      <c r="L6278" s="15">
        <v>5.0</v>
      </c>
      <c r="M6278" s="41">
        <v>42714.0</v>
      </c>
      <c r="N6278" s="40">
        <v>42752.0</v>
      </c>
      <c r="O6278" s="15" t="s">
        <v>1554</v>
      </c>
      <c r="Q6278" s="7"/>
    </row>
    <row r="6279">
      <c r="A6279" s="39" t="s">
        <v>23981</v>
      </c>
      <c r="B6279" s="15">
        <v>1923158.0</v>
      </c>
      <c r="C6279" s="15" t="s">
        <v>23982</v>
      </c>
      <c r="D6279" s="15">
        <v>361621.0</v>
      </c>
      <c r="E6279" s="15" t="s">
        <v>1664</v>
      </c>
      <c r="F6279" s="15" t="s">
        <v>1664</v>
      </c>
      <c r="G6279" s="7">
        <v>10.959</v>
      </c>
      <c r="H6279" s="15" t="s">
        <v>2777</v>
      </c>
      <c r="I6279" s="15" t="s">
        <v>1560</v>
      </c>
      <c r="J6279" s="15" t="s">
        <v>23983</v>
      </c>
      <c r="K6279" s="15">
        <v>3.0</v>
      </c>
      <c r="L6279" s="15">
        <v>3.0</v>
      </c>
      <c r="M6279" s="41">
        <v>42714.0</v>
      </c>
      <c r="N6279" s="40">
        <v>42752.0</v>
      </c>
      <c r="O6279" s="15" t="s">
        <v>1554</v>
      </c>
      <c r="Q6279" s="7"/>
    </row>
    <row r="6280">
      <c r="A6280" s="39" t="s">
        <v>23984</v>
      </c>
      <c r="B6280" s="15">
        <v>1923157.0</v>
      </c>
      <c r="C6280" s="15" t="s">
        <v>23985</v>
      </c>
      <c r="D6280" s="15">
        <v>361622.0</v>
      </c>
      <c r="E6280" s="15" t="s">
        <v>1664</v>
      </c>
      <c r="F6280" s="15" t="s">
        <v>1664</v>
      </c>
      <c r="G6280" s="7">
        <v>10.912</v>
      </c>
      <c r="H6280" s="15" t="s">
        <v>1902</v>
      </c>
      <c r="I6280" s="15" t="s">
        <v>1560</v>
      </c>
      <c r="J6280" s="15" t="s">
        <v>23986</v>
      </c>
      <c r="K6280" s="15">
        <v>3.0</v>
      </c>
      <c r="L6280" s="15">
        <v>3.0</v>
      </c>
      <c r="M6280" s="41">
        <v>42714.0</v>
      </c>
      <c r="N6280" s="40">
        <v>42752.0</v>
      </c>
      <c r="O6280" s="15" t="s">
        <v>1554</v>
      </c>
      <c r="Q6280" s="7"/>
    </row>
    <row r="6281">
      <c r="A6281" s="39" t="s">
        <v>23987</v>
      </c>
      <c r="B6281" s="15">
        <v>1923156.0</v>
      </c>
      <c r="C6281" s="15" t="s">
        <v>23988</v>
      </c>
      <c r="D6281" s="15">
        <v>361623.0</v>
      </c>
      <c r="E6281" s="15" t="s">
        <v>1664</v>
      </c>
      <c r="F6281" s="15" t="s">
        <v>1664</v>
      </c>
      <c r="G6281" s="7">
        <v>11.507</v>
      </c>
      <c r="H6281" s="15">
        <v>36.0</v>
      </c>
      <c r="I6281" s="15" t="s">
        <v>1560</v>
      </c>
      <c r="J6281" s="15" t="s">
        <v>23989</v>
      </c>
      <c r="K6281" s="15">
        <v>3.0</v>
      </c>
      <c r="L6281" s="15">
        <v>3.0</v>
      </c>
      <c r="M6281" s="41">
        <v>42714.0</v>
      </c>
      <c r="N6281" s="40">
        <v>42752.0</v>
      </c>
      <c r="O6281" s="15" t="s">
        <v>1554</v>
      </c>
      <c r="Q6281" s="7"/>
    </row>
    <row r="6282">
      <c r="A6282" s="39" t="s">
        <v>23991</v>
      </c>
      <c r="B6282" s="15">
        <v>1923155.0</v>
      </c>
      <c r="C6282" s="15" t="s">
        <v>23992</v>
      </c>
      <c r="D6282" s="15">
        <v>361624.0</v>
      </c>
      <c r="E6282" s="15" t="s">
        <v>1664</v>
      </c>
      <c r="F6282" s="15" t="s">
        <v>1664</v>
      </c>
      <c r="G6282" s="7">
        <v>11.26</v>
      </c>
      <c r="H6282" s="15">
        <v>40.0</v>
      </c>
      <c r="I6282" s="15" t="s">
        <v>1560</v>
      </c>
      <c r="J6282" s="15" t="s">
        <v>23993</v>
      </c>
      <c r="K6282" s="15">
        <v>4.0</v>
      </c>
      <c r="L6282" s="15">
        <v>4.0</v>
      </c>
      <c r="M6282" s="41">
        <v>42714.0</v>
      </c>
      <c r="N6282" s="40">
        <v>42752.0</v>
      </c>
      <c r="O6282" s="15" t="s">
        <v>1554</v>
      </c>
      <c r="Q6282" s="7"/>
    </row>
    <row r="6283">
      <c r="A6283" s="39" t="s">
        <v>23994</v>
      </c>
      <c r="B6283" s="15">
        <v>1923154.0</v>
      </c>
      <c r="C6283" s="15" t="s">
        <v>23995</v>
      </c>
      <c r="D6283" s="15">
        <v>361625.0</v>
      </c>
      <c r="E6283" s="15" t="s">
        <v>1664</v>
      </c>
      <c r="F6283" s="15" t="s">
        <v>1664</v>
      </c>
      <c r="G6283" s="7">
        <v>10.429</v>
      </c>
      <c r="H6283" s="15" t="s">
        <v>1696</v>
      </c>
      <c r="I6283" s="15" t="s">
        <v>1560</v>
      </c>
      <c r="J6283" s="15" t="s">
        <v>23996</v>
      </c>
      <c r="K6283" s="15">
        <v>4.0</v>
      </c>
      <c r="L6283" s="15">
        <v>4.0</v>
      </c>
      <c r="M6283" s="41">
        <v>42714.0</v>
      </c>
      <c r="N6283" s="40">
        <v>42752.0</v>
      </c>
      <c r="O6283" s="15" t="s">
        <v>1554</v>
      </c>
      <c r="Q6283" s="7"/>
    </row>
    <row r="6284">
      <c r="A6284" s="39" t="s">
        <v>23997</v>
      </c>
      <c r="B6284" s="15">
        <v>1923153.0</v>
      </c>
      <c r="C6284" s="15" t="s">
        <v>23998</v>
      </c>
      <c r="D6284" s="15">
        <v>361626.0</v>
      </c>
      <c r="E6284" s="15" t="s">
        <v>1664</v>
      </c>
      <c r="F6284" s="15" t="s">
        <v>1664</v>
      </c>
      <c r="G6284" s="7">
        <v>9.614</v>
      </c>
      <c r="H6284" s="15" t="s">
        <v>2263</v>
      </c>
      <c r="I6284" s="15" t="s">
        <v>1560</v>
      </c>
      <c r="J6284" s="15" t="s">
        <v>23999</v>
      </c>
      <c r="K6284" s="15">
        <v>1.0</v>
      </c>
      <c r="L6284" s="15">
        <v>1.0</v>
      </c>
      <c r="M6284" s="41">
        <v>42714.0</v>
      </c>
      <c r="N6284" s="40">
        <v>42752.0</v>
      </c>
      <c r="O6284" s="15" t="s">
        <v>1554</v>
      </c>
      <c r="Q6284" s="7"/>
    </row>
    <row r="6285">
      <c r="A6285" s="39" t="s">
        <v>24000</v>
      </c>
      <c r="B6285" s="15">
        <v>1923152.0</v>
      </c>
      <c r="C6285" s="15" t="s">
        <v>24001</v>
      </c>
      <c r="D6285" s="15">
        <v>361627.0</v>
      </c>
      <c r="E6285" s="15" t="s">
        <v>1664</v>
      </c>
      <c r="F6285" s="15" t="s">
        <v>1664</v>
      </c>
      <c r="G6285" s="7">
        <v>11.079</v>
      </c>
      <c r="H6285" s="15" t="s">
        <v>2857</v>
      </c>
      <c r="I6285" s="15" t="s">
        <v>1560</v>
      </c>
      <c r="J6285" s="15" t="s">
        <v>24002</v>
      </c>
      <c r="K6285" s="15">
        <v>3.0</v>
      </c>
      <c r="L6285" s="15">
        <v>3.0</v>
      </c>
      <c r="M6285" s="41">
        <v>42714.0</v>
      </c>
      <c r="N6285" s="40">
        <v>42752.0</v>
      </c>
      <c r="O6285" s="15" t="s">
        <v>1554</v>
      </c>
      <c r="Q6285" s="7"/>
    </row>
    <row r="6286">
      <c r="A6286" s="39" t="s">
        <v>24003</v>
      </c>
      <c r="B6286" s="15">
        <v>1923151.0</v>
      </c>
      <c r="C6286" s="15" t="s">
        <v>24004</v>
      </c>
      <c r="D6286" s="15">
        <v>361628.0</v>
      </c>
      <c r="E6286" s="15" t="s">
        <v>1664</v>
      </c>
      <c r="F6286" s="15" t="s">
        <v>1664</v>
      </c>
      <c r="G6286" s="7">
        <v>10.857</v>
      </c>
      <c r="H6286" s="15" t="s">
        <v>1849</v>
      </c>
      <c r="I6286" s="15" t="s">
        <v>1560</v>
      </c>
      <c r="J6286" s="15" t="s">
        <v>24005</v>
      </c>
      <c r="K6286" s="15">
        <v>1.0</v>
      </c>
      <c r="L6286" s="15">
        <v>1.0</v>
      </c>
      <c r="M6286" s="41">
        <v>42714.0</v>
      </c>
      <c r="N6286" s="40">
        <v>42752.0</v>
      </c>
      <c r="O6286" s="15" t="s">
        <v>1554</v>
      </c>
      <c r="Q6286" s="7"/>
    </row>
    <row r="6287">
      <c r="A6287" s="39" t="s">
        <v>24007</v>
      </c>
      <c r="B6287" s="15">
        <v>1923150.0</v>
      </c>
      <c r="C6287" s="15" t="s">
        <v>24008</v>
      </c>
      <c r="D6287" s="15">
        <v>361629.0</v>
      </c>
      <c r="E6287" s="15" t="s">
        <v>1664</v>
      </c>
      <c r="F6287" s="15" t="s">
        <v>1664</v>
      </c>
      <c r="G6287" s="7">
        <v>12.379</v>
      </c>
      <c r="H6287" s="15" t="s">
        <v>3895</v>
      </c>
      <c r="I6287" s="15" t="s">
        <v>1560</v>
      </c>
      <c r="J6287" s="15" t="s">
        <v>24009</v>
      </c>
      <c r="K6287" s="15">
        <v>3.0</v>
      </c>
      <c r="L6287" s="15">
        <v>3.0</v>
      </c>
      <c r="M6287" s="41">
        <v>42714.0</v>
      </c>
      <c r="N6287" s="40">
        <v>42752.0</v>
      </c>
      <c r="O6287" s="15" t="s">
        <v>1554</v>
      </c>
      <c r="Q6287" s="7"/>
    </row>
    <row r="6288">
      <c r="A6288" s="39" t="s">
        <v>24010</v>
      </c>
      <c r="B6288" s="15">
        <v>1923148.0</v>
      </c>
      <c r="C6288" s="15" t="s">
        <v>24011</v>
      </c>
      <c r="D6288" s="15">
        <v>361631.0</v>
      </c>
      <c r="E6288" s="15" t="s">
        <v>1664</v>
      </c>
      <c r="F6288" s="15" t="s">
        <v>1664</v>
      </c>
      <c r="G6288" s="7">
        <v>8.941</v>
      </c>
      <c r="H6288" s="15" t="s">
        <v>3407</v>
      </c>
      <c r="I6288" s="15" t="s">
        <v>1560</v>
      </c>
      <c r="J6288" s="15" t="s">
        <v>24012</v>
      </c>
      <c r="K6288" s="15">
        <v>1.0</v>
      </c>
      <c r="L6288" s="15">
        <v>1.0</v>
      </c>
      <c r="M6288" s="41">
        <v>42714.0</v>
      </c>
      <c r="N6288" s="40">
        <v>42752.0</v>
      </c>
      <c r="O6288" s="15" t="s">
        <v>1554</v>
      </c>
      <c r="Q6288" s="7"/>
    </row>
    <row r="6289">
      <c r="A6289" s="39" t="s">
        <v>24013</v>
      </c>
      <c r="B6289" s="15">
        <v>1923147.0</v>
      </c>
      <c r="C6289" s="15" t="s">
        <v>24014</v>
      </c>
      <c r="D6289" s="15">
        <v>361632.0</v>
      </c>
      <c r="E6289" s="15" t="s">
        <v>1664</v>
      </c>
      <c r="F6289" s="15" t="s">
        <v>1664</v>
      </c>
      <c r="G6289" s="7">
        <v>9.158</v>
      </c>
      <c r="H6289" s="15" t="s">
        <v>3653</v>
      </c>
      <c r="I6289" s="15" t="s">
        <v>1560</v>
      </c>
      <c r="J6289" s="15" t="s">
        <v>24015</v>
      </c>
      <c r="K6289" s="15">
        <v>2.0</v>
      </c>
      <c r="L6289" s="15">
        <v>2.0</v>
      </c>
      <c r="M6289" s="41">
        <v>42714.0</v>
      </c>
      <c r="N6289" s="40">
        <v>42752.0</v>
      </c>
      <c r="O6289" s="15" t="s">
        <v>1554</v>
      </c>
      <c r="Q6289" s="7"/>
    </row>
    <row r="6290">
      <c r="A6290" s="39" t="s">
        <v>24017</v>
      </c>
      <c r="B6290" s="15">
        <v>1923146.0</v>
      </c>
      <c r="C6290" s="15" t="s">
        <v>24018</v>
      </c>
      <c r="D6290" s="15">
        <v>361633.0</v>
      </c>
      <c r="E6290" s="15" t="s">
        <v>1664</v>
      </c>
      <c r="F6290" s="15" t="s">
        <v>1664</v>
      </c>
      <c r="G6290" s="7">
        <v>8.882</v>
      </c>
      <c r="H6290" s="15" t="s">
        <v>1962</v>
      </c>
      <c r="I6290" s="15" t="s">
        <v>1560</v>
      </c>
      <c r="J6290" s="15" t="s">
        <v>24019</v>
      </c>
      <c r="K6290" s="15">
        <v>1.0</v>
      </c>
      <c r="L6290" s="15">
        <v>1.0</v>
      </c>
      <c r="M6290" s="41">
        <v>42714.0</v>
      </c>
      <c r="N6290" s="40">
        <v>42752.0</v>
      </c>
      <c r="O6290" s="15" t="s">
        <v>1554</v>
      </c>
      <c r="Q6290" s="7"/>
    </row>
    <row r="6291">
      <c r="A6291" s="39" t="s">
        <v>24020</v>
      </c>
      <c r="B6291" s="15">
        <v>1923145.0</v>
      </c>
      <c r="C6291" s="15" t="s">
        <v>24021</v>
      </c>
      <c r="D6291" s="15">
        <v>361634.0</v>
      </c>
      <c r="E6291" s="15" t="s">
        <v>1664</v>
      </c>
      <c r="F6291" s="15" t="s">
        <v>1664</v>
      </c>
      <c r="G6291" s="7">
        <v>8.84</v>
      </c>
      <c r="H6291" s="15" t="s">
        <v>3097</v>
      </c>
      <c r="I6291" s="15" t="s">
        <v>1560</v>
      </c>
      <c r="J6291" s="15" t="s">
        <v>24022</v>
      </c>
      <c r="K6291" s="15">
        <v>1.0</v>
      </c>
      <c r="L6291" s="15">
        <v>1.0</v>
      </c>
      <c r="M6291" s="41">
        <v>42714.0</v>
      </c>
      <c r="N6291" s="40">
        <v>42752.0</v>
      </c>
      <c r="O6291" s="15" t="s">
        <v>1554</v>
      </c>
      <c r="Q6291" s="7"/>
    </row>
    <row r="6292">
      <c r="A6292" s="39" t="s">
        <v>24023</v>
      </c>
      <c r="B6292" s="15">
        <v>1923144.0</v>
      </c>
      <c r="C6292" s="15" t="s">
        <v>24024</v>
      </c>
      <c r="D6292" s="15">
        <v>361635.0</v>
      </c>
      <c r="E6292" s="15" t="s">
        <v>1664</v>
      </c>
      <c r="F6292" s="15" t="s">
        <v>1664</v>
      </c>
      <c r="G6292" s="7">
        <v>8.681</v>
      </c>
      <c r="H6292" s="15" t="s">
        <v>2324</v>
      </c>
      <c r="I6292" s="15" t="s">
        <v>1560</v>
      </c>
      <c r="J6292" s="15" t="s">
        <v>24025</v>
      </c>
      <c r="K6292" s="15">
        <v>1.0</v>
      </c>
      <c r="L6292" s="15">
        <v>1.0</v>
      </c>
      <c r="M6292" s="41">
        <v>42714.0</v>
      </c>
      <c r="N6292" s="40">
        <v>42752.0</v>
      </c>
      <c r="O6292" s="15" t="s">
        <v>1554</v>
      </c>
      <c r="Q6292" s="7"/>
    </row>
    <row r="6293">
      <c r="A6293" s="39" t="s">
        <v>24027</v>
      </c>
      <c r="B6293" s="15">
        <v>1923143.0</v>
      </c>
      <c r="C6293" s="15" t="s">
        <v>24028</v>
      </c>
      <c r="D6293" s="15">
        <v>361636.0</v>
      </c>
      <c r="E6293" s="15" t="s">
        <v>1664</v>
      </c>
      <c r="F6293" s="15" t="s">
        <v>1664</v>
      </c>
      <c r="G6293" s="7">
        <v>9.487</v>
      </c>
      <c r="H6293" s="15" t="s">
        <v>1714</v>
      </c>
      <c r="I6293" s="15" t="s">
        <v>1560</v>
      </c>
      <c r="J6293" s="15" t="s">
        <v>24029</v>
      </c>
      <c r="K6293" s="15">
        <v>1.0</v>
      </c>
      <c r="L6293" s="15">
        <v>1.0</v>
      </c>
      <c r="M6293" s="41">
        <v>42714.0</v>
      </c>
      <c r="N6293" s="40">
        <v>42752.0</v>
      </c>
      <c r="O6293" s="15" t="s">
        <v>1554</v>
      </c>
      <c r="Q6293" s="7"/>
    </row>
    <row r="6294">
      <c r="A6294" s="39" t="s">
        <v>24030</v>
      </c>
      <c r="B6294" s="15">
        <v>1923142.0</v>
      </c>
      <c r="C6294" s="15" t="s">
        <v>24031</v>
      </c>
      <c r="D6294" s="15">
        <v>361637.0</v>
      </c>
      <c r="E6294" s="15" t="s">
        <v>1664</v>
      </c>
      <c r="F6294" s="15" t="s">
        <v>1664</v>
      </c>
      <c r="G6294" s="7">
        <v>8.747</v>
      </c>
      <c r="H6294" s="15" t="s">
        <v>2777</v>
      </c>
      <c r="I6294" s="15" t="s">
        <v>1560</v>
      </c>
      <c r="J6294" s="15" t="s">
        <v>24032</v>
      </c>
      <c r="K6294" s="15">
        <v>2.0</v>
      </c>
      <c r="L6294" s="15">
        <v>2.0</v>
      </c>
      <c r="M6294" s="41">
        <v>42714.0</v>
      </c>
      <c r="N6294" s="40">
        <v>42752.0</v>
      </c>
      <c r="O6294" s="15" t="s">
        <v>1554</v>
      </c>
      <c r="Q6294" s="7"/>
    </row>
    <row r="6295">
      <c r="A6295" s="39" t="s">
        <v>24033</v>
      </c>
      <c r="B6295" s="15">
        <v>1923141.0</v>
      </c>
      <c r="C6295" s="15" t="s">
        <v>24034</v>
      </c>
      <c r="D6295" s="15">
        <v>361638.0</v>
      </c>
      <c r="E6295" s="15" t="s">
        <v>1664</v>
      </c>
      <c r="F6295" s="15" t="s">
        <v>1664</v>
      </c>
      <c r="G6295" s="7">
        <v>9.035</v>
      </c>
      <c r="H6295" s="15" t="s">
        <v>2049</v>
      </c>
      <c r="I6295" s="15" t="s">
        <v>1560</v>
      </c>
      <c r="J6295" s="15" t="s">
        <v>24036</v>
      </c>
      <c r="K6295" s="15">
        <v>1.0</v>
      </c>
      <c r="L6295" s="15">
        <v>1.0</v>
      </c>
      <c r="M6295" s="41">
        <v>42714.0</v>
      </c>
      <c r="N6295" s="40">
        <v>42752.0</v>
      </c>
      <c r="O6295" s="15" t="s">
        <v>1554</v>
      </c>
      <c r="Q6295" s="7"/>
    </row>
    <row r="6296">
      <c r="A6296" s="39" t="s">
        <v>24037</v>
      </c>
      <c r="B6296" s="15">
        <v>1923140.0</v>
      </c>
      <c r="C6296" s="15" t="s">
        <v>24038</v>
      </c>
      <c r="D6296" s="15">
        <v>361639.0</v>
      </c>
      <c r="E6296" s="15" t="s">
        <v>1664</v>
      </c>
      <c r="F6296" s="15" t="s">
        <v>1664</v>
      </c>
      <c r="G6296" s="7">
        <v>9.145</v>
      </c>
      <c r="H6296" s="15" t="s">
        <v>2440</v>
      </c>
      <c r="I6296" s="15" t="s">
        <v>1560</v>
      </c>
      <c r="J6296" s="15" t="s">
        <v>24039</v>
      </c>
      <c r="K6296" s="15">
        <v>1.0</v>
      </c>
      <c r="L6296" s="15">
        <v>1.0</v>
      </c>
      <c r="M6296" s="41">
        <v>42714.0</v>
      </c>
      <c r="N6296" s="40">
        <v>42752.0</v>
      </c>
      <c r="O6296" s="15" t="s">
        <v>1554</v>
      </c>
      <c r="Q6296" s="7"/>
    </row>
    <row r="6297">
      <c r="A6297" s="39" t="s">
        <v>24040</v>
      </c>
      <c r="B6297" s="15">
        <v>1923138.0</v>
      </c>
      <c r="C6297" s="15" t="s">
        <v>24041</v>
      </c>
      <c r="D6297" s="15">
        <v>361640.0</v>
      </c>
      <c r="E6297" s="15" t="s">
        <v>1664</v>
      </c>
      <c r="F6297" s="15" t="s">
        <v>1664</v>
      </c>
      <c r="G6297" s="7">
        <v>10.129</v>
      </c>
      <c r="H6297" s="15" t="s">
        <v>2288</v>
      </c>
      <c r="I6297" s="15" t="s">
        <v>1560</v>
      </c>
      <c r="J6297" s="15" t="s">
        <v>24042</v>
      </c>
      <c r="K6297" s="15">
        <v>2.0</v>
      </c>
      <c r="L6297" s="15">
        <v>2.0</v>
      </c>
      <c r="M6297" s="41">
        <v>42714.0</v>
      </c>
      <c r="N6297" s="40">
        <v>42752.0</v>
      </c>
      <c r="O6297" s="15" t="s">
        <v>1554</v>
      </c>
      <c r="Q6297" s="7"/>
    </row>
    <row r="6298">
      <c r="A6298" s="39" t="s">
        <v>24043</v>
      </c>
      <c r="B6298" s="15">
        <v>1923137.0</v>
      </c>
      <c r="C6298" s="15" t="s">
        <v>24044</v>
      </c>
      <c r="D6298" s="15">
        <v>361641.0</v>
      </c>
      <c r="E6298" s="15" t="s">
        <v>1664</v>
      </c>
      <c r="F6298" s="15" t="s">
        <v>1664</v>
      </c>
      <c r="G6298" s="7">
        <v>9.795</v>
      </c>
      <c r="H6298" s="15" t="s">
        <v>3309</v>
      </c>
      <c r="I6298" s="15" t="s">
        <v>1560</v>
      </c>
      <c r="J6298" s="15" t="s">
        <v>24045</v>
      </c>
      <c r="K6298" s="15">
        <v>2.0</v>
      </c>
      <c r="L6298" s="15">
        <v>2.0</v>
      </c>
      <c r="M6298" s="41">
        <v>42714.0</v>
      </c>
      <c r="N6298" s="40">
        <v>42752.0</v>
      </c>
      <c r="O6298" s="15" t="s">
        <v>1554</v>
      </c>
      <c r="Q6298" s="7"/>
    </row>
    <row r="6299">
      <c r="A6299" s="39" t="s">
        <v>24047</v>
      </c>
      <c r="B6299" s="15">
        <v>1923136.0</v>
      </c>
      <c r="C6299" s="15" t="s">
        <v>24048</v>
      </c>
      <c r="D6299" s="15">
        <v>361642.0</v>
      </c>
      <c r="E6299" s="15" t="s">
        <v>1664</v>
      </c>
      <c r="F6299" s="15" t="s">
        <v>1664</v>
      </c>
      <c r="G6299" s="7">
        <v>11.022</v>
      </c>
      <c r="H6299" s="15" t="s">
        <v>3361</v>
      </c>
      <c r="I6299" s="15" t="s">
        <v>1560</v>
      </c>
      <c r="J6299" s="15" t="s">
        <v>24049</v>
      </c>
      <c r="K6299" s="15">
        <v>1.0</v>
      </c>
      <c r="L6299" s="15">
        <v>1.0</v>
      </c>
      <c r="M6299" s="41">
        <v>42714.0</v>
      </c>
      <c r="N6299" s="40">
        <v>42752.0</v>
      </c>
      <c r="O6299" s="15" t="s">
        <v>1554</v>
      </c>
      <c r="Q6299" s="7"/>
    </row>
    <row r="6300">
      <c r="A6300" s="39" t="s">
        <v>24050</v>
      </c>
      <c r="B6300" s="15">
        <v>1923135.0</v>
      </c>
      <c r="C6300" s="15" t="s">
        <v>24051</v>
      </c>
      <c r="D6300" s="15">
        <v>361643.0</v>
      </c>
      <c r="E6300" s="15" t="s">
        <v>1664</v>
      </c>
      <c r="F6300" s="15" t="s">
        <v>1664</v>
      </c>
      <c r="G6300" s="7">
        <v>13.389</v>
      </c>
      <c r="H6300" s="15" t="s">
        <v>5806</v>
      </c>
      <c r="I6300" s="15" t="s">
        <v>1560</v>
      </c>
      <c r="J6300" s="15" t="s">
        <v>24052</v>
      </c>
      <c r="K6300" s="15">
        <v>1.0</v>
      </c>
      <c r="L6300" s="15">
        <v>1.0</v>
      </c>
      <c r="M6300" s="41">
        <v>42714.0</v>
      </c>
      <c r="N6300" s="40">
        <v>42752.0</v>
      </c>
      <c r="O6300" s="15" t="s">
        <v>1554</v>
      </c>
      <c r="Q6300" s="7"/>
    </row>
    <row r="6301">
      <c r="A6301" s="39" t="s">
        <v>24053</v>
      </c>
      <c r="B6301" s="15">
        <v>1923134.0</v>
      </c>
      <c r="C6301" s="15" t="s">
        <v>24054</v>
      </c>
      <c r="D6301" s="15">
        <v>361644.0</v>
      </c>
      <c r="E6301" s="15" t="s">
        <v>1664</v>
      </c>
      <c r="F6301" s="15" t="s">
        <v>1664</v>
      </c>
      <c r="G6301" s="7">
        <v>12.566</v>
      </c>
      <c r="H6301" s="15" t="s">
        <v>2580</v>
      </c>
      <c r="I6301" s="15" t="s">
        <v>1560</v>
      </c>
      <c r="J6301" s="15" t="s">
        <v>24055</v>
      </c>
      <c r="K6301" s="15">
        <v>1.0</v>
      </c>
      <c r="L6301" s="15">
        <v>1.0</v>
      </c>
      <c r="M6301" s="41">
        <v>42714.0</v>
      </c>
      <c r="N6301" s="40">
        <v>42752.0</v>
      </c>
      <c r="O6301" s="15" t="s">
        <v>1554</v>
      </c>
      <c r="Q6301" s="7"/>
    </row>
    <row r="6302">
      <c r="A6302" s="39" t="s">
        <v>24056</v>
      </c>
      <c r="B6302" s="15">
        <v>1923133.0</v>
      </c>
      <c r="C6302" s="15" t="s">
        <v>24057</v>
      </c>
      <c r="D6302" s="15">
        <v>361645.0</v>
      </c>
      <c r="E6302" s="15" t="s">
        <v>1664</v>
      </c>
      <c r="F6302" s="15" t="s">
        <v>1664</v>
      </c>
      <c r="G6302" s="7">
        <v>8.905</v>
      </c>
      <c r="H6302" s="15" t="s">
        <v>2211</v>
      </c>
      <c r="I6302" s="15" t="s">
        <v>1560</v>
      </c>
      <c r="J6302" s="15" t="s">
        <v>24058</v>
      </c>
      <c r="K6302" s="15">
        <v>2.0</v>
      </c>
      <c r="L6302" s="15">
        <v>2.0</v>
      </c>
      <c r="M6302" s="41">
        <v>42714.0</v>
      </c>
      <c r="N6302" s="40">
        <v>42752.0</v>
      </c>
      <c r="O6302" s="15" t="s">
        <v>1554</v>
      </c>
      <c r="Q6302" s="7"/>
    </row>
    <row r="6303">
      <c r="A6303" s="39" t="s">
        <v>24060</v>
      </c>
      <c r="B6303" s="15">
        <v>1923132.0</v>
      </c>
      <c r="C6303" s="15" t="s">
        <v>24061</v>
      </c>
      <c r="D6303" s="15">
        <v>361646.0</v>
      </c>
      <c r="E6303" s="15" t="s">
        <v>1664</v>
      </c>
      <c r="F6303" s="15" t="s">
        <v>1664</v>
      </c>
      <c r="G6303" s="7">
        <v>11.297</v>
      </c>
      <c r="H6303" s="15" t="s">
        <v>1607</v>
      </c>
      <c r="I6303" s="15" t="s">
        <v>1560</v>
      </c>
      <c r="J6303" s="15" t="s">
        <v>24062</v>
      </c>
      <c r="K6303" s="15">
        <v>1.0</v>
      </c>
      <c r="L6303" s="15">
        <v>1.0</v>
      </c>
      <c r="M6303" s="41">
        <v>42714.0</v>
      </c>
      <c r="N6303" s="40">
        <v>42752.0</v>
      </c>
      <c r="O6303" s="15" t="s">
        <v>1554</v>
      </c>
      <c r="Q6303" s="7"/>
    </row>
    <row r="6304">
      <c r="A6304" s="39" t="s">
        <v>24063</v>
      </c>
      <c r="B6304" s="15">
        <v>1923263.0</v>
      </c>
      <c r="C6304" s="15" t="s">
        <v>24064</v>
      </c>
      <c r="D6304" s="15">
        <v>361647.0</v>
      </c>
      <c r="E6304" s="15" t="s">
        <v>1664</v>
      </c>
      <c r="F6304" s="15" t="s">
        <v>1664</v>
      </c>
      <c r="G6304" s="7">
        <v>3.717</v>
      </c>
      <c r="H6304" s="15" t="s">
        <v>1710</v>
      </c>
      <c r="I6304" s="15" t="s">
        <v>1560</v>
      </c>
      <c r="J6304" s="15" t="s">
        <v>24065</v>
      </c>
      <c r="K6304" s="15">
        <v>3.0</v>
      </c>
      <c r="L6304" s="15">
        <v>3.0</v>
      </c>
      <c r="M6304" s="41">
        <v>42714.0</v>
      </c>
      <c r="N6304" s="40">
        <v>42752.0</v>
      </c>
      <c r="O6304" s="15" t="s">
        <v>1554</v>
      </c>
      <c r="Q6304" s="7"/>
    </row>
    <row r="6305">
      <c r="A6305" s="39" t="s">
        <v>24066</v>
      </c>
      <c r="B6305" s="15">
        <v>1923261.0</v>
      </c>
      <c r="C6305" s="15" t="s">
        <v>24067</v>
      </c>
      <c r="D6305" s="15">
        <v>361648.0</v>
      </c>
      <c r="E6305" s="15" t="s">
        <v>1664</v>
      </c>
      <c r="F6305" s="15" t="s">
        <v>1664</v>
      </c>
      <c r="G6305" s="7">
        <v>4.0</v>
      </c>
      <c r="H6305" s="15">
        <v>52.0</v>
      </c>
      <c r="I6305" s="15" t="s">
        <v>1560</v>
      </c>
      <c r="J6305" s="15" t="s">
        <v>24068</v>
      </c>
      <c r="K6305" s="15">
        <v>3.0</v>
      </c>
      <c r="L6305" s="15">
        <v>3.0</v>
      </c>
      <c r="M6305" s="41">
        <v>42714.0</v>
      </c>
      <c r="N6305" s="40">
        <v>42752.0</v>
      </c>
      <c r="O6305" s="15" t="s">
        <v>1554</v>
      </c>
      <c r="Q6305" s="7"/>
    </row>
    <row r="6306">
      <c r="A6306" s="39" t="s">
        <v>24069</v>
      </c>
      <c r="B6306" s="15">
        <v>1923260.0</v>
      </c>
      <c r="C6306" s="15" t="s">
        <v>24070</v>
      </c>
      <c r="D6306" s="15">
        <v>361649.0</v>
      </c>
      <c r="E6306" s="15" t="s">
        <v>1664</v>
      </c>
      <c r="F6306" s="15" t="s">
        <v>1664</v>
      </c>
      <c r="G6306" s="7">
        <v>4.303</v>
      </c>
      <c r="H6306" s="15" t="s">
        <v>4821</v>
      </c>
      <c r="I6306" s="15" t="s">
        <v>1560</v>
      </c>
      <c r="J6306" s="15" t="s">
        <v>24071</v>
      </c>
      <c r="K6306" s="15">
        <v>3.0</v>
      </c>
      <c r="L6306" s="15">
        <v>3.0</v>
      </c>
      <c r="M6306" s="41">
        <v>42714.0</v>
      </c>
      <c r="N6306" s="40">
        <v>42752.0</v>
      </c>
      <c r="O6306" s="15" t="s">
        <v>1554</v>
      </c>
      <c r="Q6306" s="7"/>
    </row>
    <row r="6307">
      <c r="A6307" s="39" t="s">
        <v>24072</v>
      </c>
      <c r="B6307" s="15">
        <v>1923259.0</v>
      </c>
      <c r="C6307" s="15" t="s">
        <v>24074</v>
      </c>
      <c r="D6307" s="15">
        <v>361650.0</v>
      </c>
      <c r="E6307" s="15" t="s">
        <v>1664</v>
      </c>
      <c r="F6307" s="15" t="s">
        <v>1664</v>
      </c>
      <c r="G6307" s="7">
        <v>5.904</v>
      </c>
      <c r="H6307" s="15" t="s">
        <v>1705</v>
      </c>
      <c r="I6307" s="15" t="s">
        <v>1560</v>
      </c>
      <c r="J6307" s="15" t="s">
        <v>24075</v>
      </c>
      <c r="K6307" s="15">
        <v>2.0</v>
      </c>
      <c r="L6307" s="15">
        <v>2.0</v>
      </c>
      <c r="M6307" s="41">
        <v>42714.0</v>
      </c>
      <c r="N6307" s="40">
        <v>42752.0</v>
      </c>
      <c r="O6307" s="15" t="s">
        <v>1554</v>
      </c>
      <c r="Q6307" s="7"/>
    </row>
    <row r="6308">
      <c r="A6308" s="39" t="s">
        <v>24076</v>
      </c>
      <c r="B6308" s="15">
        <v>1923258.0</v>
      </c>
      <c r="C6308" s="15" t="s">
        <v>24077</v>
      </c>
      <c r="D6308" s="15">
        <v>361651.0</v>
      </c>
      <c r="E6308" s="15" t="s">
        <v>1664</v>
      </c>
      <c r="F6308" s="15" t="s">
        <v>1664</v>
      </c>
      <c r="G6308" s="7">
        <v>2.495</v>
      </c>
      <c r="H6308" s="15" t="s">
        <v>1634</v>
      </c>
      <c r="I6308" s="15" t="s">
        <v>1560</v>
      </c>
      <c r="J6308" s="15" t="s">
        <v>24078</v>
      </c>
      <c r="K6308" s="15">
        <v>2.0</v>
      </c>
      <c r="L6308" s="15">
        <v>2.0</v>
      </c>
      <c r="M6308" s="41">
        <v>42714.0</v>
      </c>
      <c r="N6308" s="40">
        <v>42752.0</v>
      </c>
      <c r="O6308" s="15" t="s">
        <v>1554</v>
      </c>
      <c r="Q6308" s="7"/>
    </row>
    <row r="6309">
      <c r="A6309" s="39" t="s">
        <v>24079</v>
      </c>
      <c r="B6309" s="15">
        <v>1923257.0</v>
      </c>
      <c r="C6309" s="15" t="s">
        <v>24080</v>
      </c>
      <c r="D6309" s="15">
        <v>361652.0</v>
      </c>
      <c r="E6309" s="15" t="s">
        <v>1664</v>
      </c>
      <c r="F6309" s="15" t="s">
        <v>1664</v>
      </c>
      <c r="G6309" s="7">
        <v>2.724</v>
      </c>
      <c r="H6309" s="15" t="s">
        <v>2392</v>
      </c>
      <c r="I6309" s="15" t="s">
        <v>1560</v>
      </c>
      <c r="J6309" s="15" t="s">
        <v>24081</v>
      </c>
      <c r="K6309" s="15">
        <v>2.0</v>
      </c>
      <c r="L6309" s="15">
        <v>2.0</v>
      </c>
      <c r="M6309" s="41">
        <v>42714.0</v>
      </c>
      <c r="N6309" s="40">
        <v>42752.0</v>
      </c>
      <c r="O6309" s="15" t="s">
        <v>1554</v>
      </c>
      <c r="Q6309" s="7"/>
    </row>
    <row r="6310">
      <c r="A6310" s="39" t="s">
        <v>24082</v>
      </c>
      <c r="B6310" s="15">
        <v>1923256.0</v>
      </c>
      <c r="C6310" s="15" t="s">
        <v>24083</v>
      </c>
      <c r="D6310" s="15">
        <v>361653.0</v>
      </c>
      <c r="E6310" s="15" t="s">
        <v>1664</v>
      </c>
      <c r="F6310" s="15" t="s">
        <v>1664</v>
      </c>
      <c r="G6310" s="7">
        <v>3.851</v>
      </c>
      <c r="H6310" s="15">
        <v>50.0</v>
      </c>
      <c r="I6310" s="15" t="s">
        <v>1560</v>
      </c>
      <c r="J6310" s="15" t="s">
        <v>24084</v>
      </c>
      <c r="K6310" s="15">
        <v>2.0</v>
      </c>
      <c r="L6310" s="15">
        <v>2.0</v>
      </c>
      <c r="M6310" s="41">
        <v>42714.0</v>
      </c>
      <c r="N6310" s="40">
        <v>42752.0</v>
      </c>
      <c r="O6310" s="15" t="s">
        <v>1554</v>
      </c>
      <c r="Q6310" s="7"/>
    </row>
    <row r="6311">
      <c r="A6311" s="39" t="s">
        <v>24085</v>
      </c>
      <c r="B6311" s="15">
        <v>1923255.0</v>
      </c>
      <c r="C6311" s="15" t="s">
        <v>24087</v>
      </c>
      <c r="D6311" s="15">
        <v>361654.0</v>
      </c>
      <c r="E6311" s="15" t="s">
        <v>1664</v>
      </c>
      <c r="F6311" s="15" t="s">
        <v>1664</v>
      </c>
      <c r="G6311" s="7">
        <v>5.43</v>
      </c>
      <c r="H6311" s="15" t="s">
        <v>4521</v>
      </c>
      <c r="I6311" s="15" t="s">
        <v>1560</v>
      </c>
      <c r="J6311" s="15" t="s">
        <v>24088</v>
      </c>
      <c r="K6311" s="15">
        <v>4.0</v>
      </c>
      <c r="L6311" s="15">
        <v>4.0</v>
      </c>
      <c r="M6311" s="41">
        <v>42714.0</v>
      </c>
      <c r="N6311" s="40">
        <v>42752.0</v>
      </c>
      <c r="O6311" s="15" t="s">
        <v>1554</v>
      </c>
      <c r="Q6311" s="7"/>
    </row>
    <row r="6312">
      <c r="A6312" s="39" t="s">
        <v>24089</v>
      </c>
      <c r="B6312" s="15">
        <v>1923254.0</v>
      </c>
      <c r="C6312" s="15" t="s">
        <v>24090</v>
      </c>
      <c r="D6312" s="15">
        <v>361655.0</v>
      </c>
      <c r="E6312" s="15" t="s">
        <v>1664</v>
      </c>
      <c r="F6312" s="15" t="s">
        <v>1664</v>
      </c>
      <c r="G6312" s="7">
        <v>9.177</v>
      </c>
      <c r="H6312" s="15" t="s">
        <v>2524</v>
      </c>
      <c r="I6312" s="15" t="s">
        <v>1560</v>
      </c>
      <c r="J6312" s="15" t="s">
        <v>24091</v>
      </c>
      <c r="K6312" s="15">
        <v>1.0</v>
      </c>
      <c r="L6312" s="15">
        <v>1.0</v>
      </c>
      <c r="M6312" s="41">
        <v>42714.0</v>
      </c>
      <c r="N6312" s="40">
        <v>42752.0</v>
      </c>
      <c r="O6312" s="15" t="s">
        <v>1554</v>
      </c>
      <c r="Q6312" s="7"/>
    </row>
    <row r="6313">
      <c r="A6313" s="39" t="s">
        <v>24092</v>
      </c>
      <c r="B6313" s="15">
        <v>1923253.0</v>
      </c>
      <c r="C6313" s="15" t="s">
        <v>24093</v>
      </c>
      <c r="D6313" s="15">
        <v>361656.0</v>
      </c>
      <c r="E6313" s="15" t="s">
        <v>1664</v>
      </c>
      <c r="F6313" s="15" t="s">
        <v>1664</v>
      </c>
      <c r="G6313" s="7">
        <v>9.66</v>
      </c>
      <c r="H6313" s="15" t="s">
        <v>2981</v>
      </c>
      <c r="I6313" s="15" t="s">
        <v>1560</v>
      </c>
      <c r="J6313" s="15" t="s">
        <v>24094</v>
      </c>
      <c r="K6313" s="15">
        <v>1.0</v>
      </c>
      <c r="L6313" s="15">
        <v>1.0</v>
      </c>
      <c r="M6313" s="41">
        <v>42714.0</v>
      </c>
      <c r="N6313" s="40">
        <v>42752.0</v>
      </c>
      <c r="O6313" s="15" t="s">
        <v>1554</v>
      </c>
      <c r="Q6313" s="7"/>
    </row>
    <row r="6314">
      <c r="A6314" s="39" t="s">
        <v>24095</v>
      </c>
      <c r="B6314" s="15">
        <v>1923252.0</v>
      </c>
      <c r="C6314" s="15" t="s">
        <v>24096</v>
      </c>
      <c r="D6314" s="15">
        <v>361657.0</v>
      </c>
      <c r="E6314" s="15" t="s">
        <v>1664</v>
      </c>
      <c r="F6314" s="15" t="s">
        <v>1664</v>
      </c>
      <c r="G6314" s="7">
        <v>9.487</v>
      </c>
      <c r="H6314" s="15" t="s">
        <v>2103</v>
      </c>
      <c r="I6314" s="15" t="s">
        <v>1560</v>
      </c>
      <c r="J6314" s="15" t="s">
        <v>24097</v>
      </c>
      <c r="K6314" s="15">
        <v>1.0</v>
      </c>
      <c r="L6314" s="15">
        <v>1.0</v>
      </c>
      <c r="M6314" s="41">
        <v>42714.0</v>
      </c>
      <c r="N6314" s="40">
        <v>42752.0</v>
      </c>
      <c r="O6314" s="15" t="s">
        <v>1554</v>
      </c>
      <c r="Q6314" s="7"/>
    </row>
    <row r="6315">
      <c r="A6315" s="39" t="s">
        <v>24098</v>
      </c>
      <c r="B6315" s="15">
        <v>1923250.0</v>
      </c>
      <c r="C6315" s="15" t="s">
        <v>24099</v>
      </c>
      <c r="D6315" s="15">
        <v>361658.0</v>
      </c>
      <c r="E6315" s="15" t="s">
        <v>1664</v>
      </c>
      <c r="F6315" s="15" t="s">
        <v>1664</v>
      </c>
      <c r="G6315" s="7">
        <v>6.641</v>
      </c>
      <c r="H6315" s="15" t="s">
        <v>24101</v>
      </c>
      <c r="I6315" s="15" t="s">
        <v>1560</v>
      </c>
      <c r="J6315" s="15" t="s">
        <v>24102</v>
      </c>
      <c r="K6315" s="15">
        <v>4.0</v>
      </c>
      <c r="L6315" s="15">
        <v>4.0</v>
      </c>
      <c r="M6315" s="41">
        <v>42714.0</v>
      </c>
      <c r="N6315" s="40">
        <v>42752.0</v>
      </c>
      <c r="O6315" s="15" t="s">
        <v>1554</v>
      </c>
      <c r="Q6315" s="7"/>
    </row>
    <row r="6316">
      <c r="A6316" s="39" t="s">
        <v>24103</v>
      </c>
      <c r="B6316" s="15">
        <v>1923249.0</v>
      </c>
      <c r="C6316" s="15" t="s">
        <v>24104</v>
      </c>
      <c r="D6316" s="15">
        <v>361659.0</v>
      </c>
      <c r="E6316" s="15" t="s">
        <v>1664</v>
      </c>
      <c r="F6316" s="15" t="s">
        <v>1664</v>
      </c>
      <c r="G6316" s="7">
        <v>19.864</v>
      </c>
      <c r="H6316" s="15" t="s">
        <v>2950</v>
      </c>
      <c r="I6316" s="15" t="s">
        <v>1560</v>
      </c>
      <c r="J6316" s="15" t="s">
        <v>24105</v>
      </c>
      <c r="K6316" s="15">
        <v>3.0</v>
      </c>
      <c r="L6316" s="15">
        <v>3.0</v>
      </c>
      <c r="M6316" s="41">
        <v>42714.0</v>
      </c>
      <c r="N6316" s="40">
        <v>42752.0</v>
      </c>
      <c r="O6316" s="15" t="s">
        <v>1554</v>
      </c>
      <c r="Q6316" s="7"/>
    </row>
    <row r="6317">
      <c r="A6317" s="39" t="s">
        <v>24106</v>
      </c>
      <c r="B6317" s="15">
        <v>1923247.0</v>
      </c>
      <c r="C6317" s="15" t="s">
        <v>24107</v>
      </c>
      <c r="D6317" s="15">
        <v>361660.0</v>
      </c>
      <c r="E6317" s="15" t="s">
        <v>1664</v>
      </c>
      <c r="F6317" s="15" t="s">
        <v>1664</v>
      </c>
      <c r="G6317" s="7">
        <v>9.65</v>
      </c>
      <c r="H6317" s="15" t="s">
        <v>4595</v>
      </c>
      <c r="I6317" s="15" t="s">
        <v>1560</v>
      </c>
      <c r="J6317" s="15" t="s">
        <v>24108</v>
      </c>
      <c r="K6317" s="15">
        <v>1.0</v>
      </c>
      <c r="L6317" s="15">
        <v>1.0</v>
      </c>
      <c r="M6317" s="41">
        <v>42714.0</v>
      </c>
      <c r="N6317" s="40">
        <v>42752.0</v>
      </c>
      <c r="O6317" s="15" t="s">
        <v>1554</v>
      </c>
      <c r="Q6317" s="7"/>
    </row>
    <row r="6318">
      <c r="A6318" s="39" t="s">
        <v>24109</v>
      </c>
      <c r="B6318" s="15">
        <v>1923246.0</v>
      </c>
      <c r="C6318" s="15" t="s">
        <v>24110</v>
      </c>
      <c r="D6318" s="15">
        <v>361661.0</v>
      </c>
      <c r="E6318" s="15" t="s">
        <v>1664</v>
      </c>
      <c r="F6318" s="15" t="s">
        <v>1664</v>
      </c>
      <c r="G6318" s="7">
        <v>9.037</v>
      </c>
      <c r="H6318" s="15" t="s">
        <v>2686</v>
      </c>
      <c r="I6318" s="15" t="s">
        <v>1560</v>
      </c>
      <c r="J6318" s="15" t="s">
        <v>24111</v>
      </c>
      <c r="K6318" s="15">
        <v>1.0</v>
      </c>
      <c r="L6318" s="15">
        <v>1.0</v>
      </c>
      <c r="M6318" s="41">
        <v>42714.0</v>
      </c>
      <c r="N6318" s="40">
        <v>42752.0</v>
      </c>
      <c r="O6318" s="15" t="s">
        <v>1554</v>
      </c>
      <c r="Q6318" s="7"/>
    </row>
    <row r="6319">
      <c r="A6319" s="39" t="s">
        <v>24112</v>
      </c>
      <c r="B6319" s="15">
        <v>1923245.0</v>
      </c>
      <c r="C6319" s="15" t="s">
        <v>24113</v>
      </c>
      <c r="D6319" s="15">
        <v>361662.0</v>
      </c>
      <c r="E6319" s="15" t="s">
        <v>1664</v>
      </c>
      <c r="F6319" s="15" t="s">
        <v>1664</v>
      </c>
      <c r="G6319" s="7">
        <v>9.528</v>
      </c>
      <c r="H6319" s="15" t="s">
        <v>2484</v>
      </c>
      <c r="I6319" s="15" t="s">
        <v>1560</v>
      </c>
      <c r="J6319" s="15" t="s">
        <v>24115</v>
      </c>
      <c r="K6319" s="15">
        <v>1.0</v>
      </c>
      <c r="L6319" s="15">
        <v>1.0</v>
      </c>
      <c r="M6319" s="41">
        <v>42714.0</v>
      </c>
      <c r="N6319" s="40">
        <v>42752.0</v>
      </c>
      <c r="O6319" s="15" t="s">
        <v>1554</v>
      </c>
      <c r="Q6319" s="7"/>
    </row>
    <row r="6320">
      <c r="A6320" s="39" t="s">
        <v>24116</v>
      </c>
      <c r="B6320" s="15">
        <v>1923244.0</v>
      </c>
      <c r="C6320" s="15" t="s">
        <v>24117</v>
      </c>
      <c r="D6320" s="15">
        <v>361663.0</v>
      </c>
      <c r="E6320" s="15" t="s">
        <v>1664</v>
      </c>
      <c r="F6320" s="15" t="s">
        <v>1664</v>
      </c>
      <c r="G6320" s="7">
        <v>9.763</v>
      </c>
      <c r="H6320" s="15" t="s">
        <v>1792</v>
      </c>
      <c r="I6320" s="15" t="s">
        <v>1560</v>
      </c>
      <c r="J6320" s="15" t="s">
        <v>24118</v>
      </c>
      <c r="K6320" s="15">
        <v>1.0</v>
      </c>
      <c r="L6320" s="15">
        <v>1.0</v>
      </c>
      <c r="M6320" s="41">
        <v>42714.0</v>
      </c>
      <c r="N6320" s="40">
        <v>42752.0</v>
      </c>
      <c r="O6320" s="15" t="s">
        <v>1554</v>
      </c>
      <c r="Q6320" s="7"/>
    </row>
    <row r="6321">
      <c r="A6321" s="39" t="s">
        <v>24119</v>
      </c>
      <c r="B6321" s="15">
        <v>1923243.0</v>
      </c>
      <c r="C6321" s="15" t="s">
        <v>24120</v>
      </c>
      <c r="D6321" s="15">
        <v>361664.0</v>
      </c>
      <c r="E6321" s="15" t="s">
        <v>1664</v>
      </c>
      <c r="F6321" s="15" t="s">
        <v>1664</v>
      </c>
      <c r="G6321" s="7">
        <v>8.601</v>
      </c>
      <c r="H6321" s="15" t="s">
        <v>1902</v>
      </c>
      <c r="I6321" s="15" t="s">
        <v>1560</v>
      </c>
      <c r="J6321" s="15" t="s">
        <v>24121</v>
      </c>
      <c r="K6321" s="15">
        <v>1.0</v>
      </c>
      <c r="L6321" s="15">
        <v>1.0</v>
      </c>
      <c r="M6321" s="41">
        <v>42714.0</v>
      </c>
      <c r="N6321" s="40">
        <v>42752.0</v>
      </c>
      <c r="O6321" s="15" t="s">
        <v>1554</v>
      </c>
      <c r="Q6321" s="7"/>
    </row>
    <row r="6322">
      <c r="A6322" s="39" t="s">
        <v>24122</v>
      </c>
      <c r="B6322" s="15">
        <v>1923193.0</v>
      </c>
      <c r="C6322" s="15" t="s">
        <v>24124</v>
      </c>
      <c r="D6322" s="15">
        <v>361665.0</v>
      </c>
      <c r="E6322" s="15" t="s">
        <v>1664</v>
      </c>
      <c r="F6322" s="15" t="s">
        <v>1664</v>
      </c>
      <c r="G6322" s="7">
        <v>13.776</v>
      </c>
      <c r="H6322" s="15" t="s">
        <v>2877</v>
      </c>
      <c r="I6322" s="15" t="s">
        <v>1560</v>
      </c>
      <c r="J6322" s="15" t="s">
        <v>24125</v>
      </c>
      <c r="K6322" s="15">
        <v>7.0</v>
      </c>
      <c r="L6322" s="15">
        <v>7.0</v>
      </c>
      <c r="M6322" s="41">
        <v>42714.0</v>
      </c>
      <c r="N6322" s="40">
        <v>42752.0</v>
      </c>
      <c r="O6322" s="15" t="s">
        <v>1554</v>
      </c>
      <c r="Q6322" s="7"/>
    </row>
    <row r="6323">
      <c r="A6323" s="39" t="s">
        <v>24126</v>
      </c>
      <c r="B6323" s="15">
        <v>1923191.0</v>
      </c>
      <c r="C6323" s="15" t="s">
        <v>24127</v>
      </c>
      <c r="D6323" s="15">
        <v>361666.0</v>
      </c>
      <c r="E6323" s="15" t="s">
        <v>1664</v>
      </c>
      <c r="F6323" s="15" t="s">
        <v>1664</v>
      </c>
      <c r="G6323" s="7">
        <v>9.614</v>
      </c>
      <c r="H6323" s="15" t="s">
        <v>4396</v>
      </c>
      <c r="I6323" s="15" t="s">
        <v>1560</v>
      </c>
      <c r="J6323" s="15" t="s">
        <v>24128</v>
      </c>
      <c r="K6323" s="15">
        <v>3.0</v>
      </c>
      <c r="L6323" s="15">
        <v>3.0</v>
      </c>
      <c r="M6323" s="41">
        <v>42714.0</v>
      </c>
      <c r="N6323" s="40">
        <v>42752.0</v>
      </c>
      <c r="O6323" s="15" t="s">
        <v>1554</v>
      </c>
      <c r="Q6323" s="7"/>
    </row>
    <row r="6324">
      <c r="A6324" s="39" t="s">
        <v>24129</v>
      </c>
      <c r="B6324" s="15">
        <v>1923188.0</v>
      </c>
      <c r="C6324" s="15" t="s">
        <v>24130</v>
      </c>
      <c r="D6324" s="15">
        <v>361667.0</v>
      </c>
      <c r="E6324" s="15" t="s">
        <v>1664</v>
      </c>
      <c r="F6324" s="15" t="s">
        <v>1664</v>
      </c>
      <c r="G6324" s="7">
        <v>10.003</v>
      </c>
      <c r="H6324" s="15" t="s">
        <v>2945</v>
      </c>
      <c r="I6324" s="15" t="s">
        <v>1560</v>
      </c>
      <c r="J6324" s="15" t="s">
        <v>24132</v>
      </c>
      <c r="K6324" s="15">
        <v>3.0</v>
      </c>
      <c r="L6324" s="15">
        <v>3.0</v>
      </c>
      <c r="M6324" s="41">
        <v>42714.0</v>
      </c>
      <c r="N6324" s="40">
        <v>42752.0</v>
      </c>
      <c r="O6324" s="15" t="s">
        <v>1554</v>
      </c>
      <c r="Q6324" s="7"/>
    </row>
    <row r="6325">
      <c r="A6325" s="39" t="s">
        <v>24133</v>
      </c>
      <c r="B6325" s="15">
        <v>1923187.0</v>
      </c>
      <c r="C6325" s="15" t="s">
        <v>24134</v>
      </c>
      <c r="D6325" s="15">
        <v>361668.0</v>
      </c>
      <c r="E6325" s="15" t="s">
        <v>1664</v>
      </c>
      <c r="F6325" s="15" t="s">
        <v>1664</v>
      </c>
      <c r="G6325" s="7">
        <v>12.303</v>
      </c>
      <c r="H6325" s="15" t="s">
        <v>2141</v>
      </c>
      <c r="I6325" s="15" t="s">
        <v>1560</v>
      </c>
      <c r="J6325" s="15" t="s">
        <v>24135</v>
      </c>
      <c r="K6325" s="15">
        <v>6.0</v>
      </c>
      <c r="L6325" s="15">
        <v>6.0</v>
      </c>
      <c r="M6325" s="41">
        <v>42714.0</v>
      </c>
      <c r="N6325" s="40">
        <v>42752.0</v>
      </c>
      <c r="O6325" s="15" t="s">
        <v>1554</v>
      </c>
      <c r="Q6325" s="7"/>
    </row>
    <row r="6326">
      <c r="A6326" s="39" t="s">
        <v>24136</v>
      </c>
      <c r="B6326" s="15">
        <v>1923186.0</v>
      </c>
      <c r="C6326" s="15" t="s">
        <v>24137</v>
      </c>
      <c r="D6326" s="15">
        <v>361669.0</v>
      </c>
      <c r="E6326" s="15" t="s">
        <v>1664</v>
      </c>
      <c r="F6326" s="15" t="s">
        <v>1664</v>
      </c>
      <c r="G6326" s="7">
        <v>10.841</v>
      </c>
      <c r="H6326" s="15" t="s">
        <v>1792</v>
      </c>
      <c r="I6326" s="15" t="s">
        <v>1560</v>
      </c>
      <c r="J6326" s="15" t="s">
        <v>24138</v>
      </c>
      <c r="K6326" s="15">
        <v>4.0</v>
      </c>
      <c r="L6326" s="15">
        <v>4.0</v>
      </c>
      <c r="M6326" s="41">
        <v>42714.0</v>
      </c>
      <c r="N6326" s="40">
        <v>42752.0</v>
      </c>
      <c r="O6326" s="15" t="s">
        <v>1554</v>
      </c>
      <c r="Q6326" s="7"/>
    </row>
    <row r="6327">
      <c r="A6327" s="39" t="s">
        <v>24139</v>
      </c>
      <c r="B6327" s="15">
        <v>1923185.0</v>
      </c>
      <c r="C6327" s="15" t="s">
        <v>24140</v>
      </c>
      <c r="D6327" s="15">
        <v>361670.0</v>
      </c>
      <c r="E6327" s="15" t="s">
        <v>1664</v>
      </c>
      <c r="F6327" s="15" t="s">
        <v>1664</v>
      </c>
      <c r="G6327" s="7">
        <v>11.834</v>
      </c>
      <c r="H6327" s="15" t="s">
        <v>2548</v>
      </c>
      <c r="I6327" s="15" t="s">
        <v>1560</v>
      </c>
      <c r="J6327" s="15" t="s">
        <v>24141</v>
      </c>
      <c r="K6327" s="15">
        <v>5.0</v>
      </c>
      <c r="L6327" s="15">
        <v>5.0</v>
      </c>
      <c r="M6327" s="41">
        <v>42714.0</v>
      </c>
      <c r="N6327" s="40">
        <v>42752.0</v>
      </c>
      <c r="O6327" s="15" t="s">
        <v>1554</v>
      </c>
      <c r="Q6327" s="7"/>
    </row>
    <row r="6328">
      <c r="A6328" s="39" t="s">
        <v>24143</v>
      </c>
      <c r="B6328" s="15">
        <v>1923170.0</v>
      </c>
      <c r="C6328" s="15" t="s">
        <v>24144</v>
      </c>
      <c r="D6328" s="15">
        <v>361671.0</v>
      </c>
      <c r="E6328" s="15" t="s">
        <v>1664</v>
      </c>
      <c r="F6328" s="15" t="s">
        <v>1664</v>
      </c>
      <c r="G6328" s="7">
        <v>6.083</v>
      </c>
      <c r="H6328" s="15" t="s">
        <v>1700</v>
      </c>
      <c r="I6328" s="15" t="s">
        <v>1560</v>
      </c>
      <c r="J6328" s="15" t="s">
        <v>24145</v>
      </c>
      <c r="K6328" s="15">
        <v>5.0</v>
      </c>
      <c r="L6328" s="15">
        <v>5.0</v>
      </c>
      <c r="M6328" s="41">
        <v>42714.0</v>
      </c>
      <c r="N6328" s="40">
        <v>42752.0</v>
      </c>
      <c r="O6328" s="15" t="s">
        <v>1554</v>
      </c>
      <c r="Q6328" s="7"/>
    </row>
    <row r="6329">
      <c r="A6329" s="39" t="s">
        <v>24146</v>
      </c>
      <c r="B6329" s="15">
        <v>1923168.0</v>
      </c>
      <c r="C6329" s="15" t="s">
        <v>24147</v>
      </c>
      <c r="D6329" s="15">
        <v>361672.0</v>
      </c>
      <c r="E6329" s="15" t="s">
        <v>1664</v>
      </c>
      <c r="F6329" s="15" t="s">
        <v>1664</v>
      </c>
      <c r="G6329" s="7">
        <v>8.799</v>
      </c>
      <c r="H6329" s="15" t="s">
        <v>2049</v>
      </c>
      <c r="I6329" s="15" t="s">
        <v>1560</v>
      </c>
      <c r="J6329" s="15" t="s">
        <v>24148</v>
      </c>
      <c r="K6329" s="15">
        <v>1.0</v>
      </c>
      <c r="L6329" s="15">
        <v>1.0</v>
      </c>
      <c r="M6329" s="41">
        <v>42714.0</v>
      </c>
      <c r="N6329" s="40">
        <v>42752.0</v>
      </c>
      <c r="O6329" s="15" t="s">
        <v>1554</v>
      </c>
      <c r="Q6329" s="7"/>
    </row>
    <row r="6330">
      <c r="A6330" s="39" t="s">
        <v>24149</v>
      </c>
      <c r="B6330" s="15">
        <v>1923166.0</v>
      </c>
      <c r="C6330" s="15" t="s">
        <v>24150</v>
      </c>
      <c r="D6330" s="15">
        <v>361673.0</v>
      </c>
      <c r="E6330" s="15" t="s">
        <v>1664</v>
      </c>
      <c r="F6330" s="15" t="s">
        <v>1664</v>
      </c>
      <c r="G6330" s="7">
        <v>10.315</v>
      </c>
      <c r="H6330" s="15" t="s">
        <v>2857</v>
      </c>
      <c r="I6330" s="15" t="s">
        <v>1560</v>
      </c>
      <c r="J6330" s="15" t="s">
        <v>24151</v>
      </c>
      <c r="K6330" s="15">
        <v>3.0</v>
      </c>
      <c r="L6330" s="15">
        <v>3.0</v>
      </c>
      <c r="M6330" s="41">
        <v>42714.0</v>
      </c>
      <c r="N6330" s="40">
        <v>42752.0</v>
      </c>
      <c r="O6330" s="15" t="s">
        <v>1554</v>
      </c>
      <c r="Q6330" s="7"/>
    </row>
    <row r="6331">
      <c r="A6331" s="39" t="s">
        <v>24152</v>
      </c>
      <c r="B6331" s="15">
        <v>1923165.0</v>
      </c>
      <c r="C6331" s="15" t="s">
        <v>24153</v>
      </c>
      <c r="D6331" s="15">
        <v>361674.0</v>
      </c>
      <c r="E6331" s="15" t="s">
        <v>1664</v>
      </c>
      <c r="F6331" s="15" t="s">
        <v>1664</v>
      </c>
      <c r="G6331" s="7">
        <v>6.021</v>
      </c>
      <c r="H6331" s="15" t="s">
        <v>2158</v>
      </c>
      <c r="I6331" s="15" t="s">
        <v>1560</v>
      </c>
      <c r="J6331" s="15" t="s">
        <v>24155</v>
      </c>
      <c r="K6331" s="15">
        <v>1.0</v>
      </c>
      <c r="L6331" s="15">
        <v>1.0</v>
      </c>
      <c r="M6331" s="41">
        <v>42714.0</v>
      </c>
      <c r="N6331" s="40">
        <v>42752.0</v>
      </c>
      <c r="O6331" s="15" t="s">
        <v>1554</v>
      </c>
      <c r="Q6331" s="7"/>
    </row>
    <row r="6332">
      <c r="A6332" s="39" t="s">
        <v>24156</v>
      </c>
      <c r="B6332" s="15">
        <v>1932006.0</v>
      </c>
      <c r="C6332" s="15" t="s">
        <v>24157</v>
      </c>
      <c r="D6332" s="15">
        <v>361675.0</v>
      </c>
      <c r="E6332" s="15" t="s">
        <v>1577</v>
      </c>
      <c r="F6332" s="15" t="s">
        <v>1578</v>
      </c>
      <c r="G6332" s="7">
        <v>2.464</v>
      </c>
      <c r="H6332" s="15" t="s">
        <v>1792</v>
      </c>
      <c r="I6332" s="15" t="s">
        <v>1686</v>
      </c>
      <c r="J6332" s="15" t="s">
        <v>24158</v>
      </c>
      <c r="K6332" s="15">
        <v>2.0</v>
      </c>
      <c r="L6332" s="15">
        <v>2.0</v>
      </c>
      <c r="M6332" s="40">
        <v>42743.0</v>
      </c>
      <c r="N6332" s="40">
        <v>42752.0</v>
      </c>
      <c r="O6332" s="15" t="s">
        <v>1554</v>
      </c>
      <c r="Q6332" s="7"/>
    </row>
    <row r="6333">
      <c r="A6333" s="39" t="s">
        <v>24159</v>
      </c>
      <c r="B6333" s="15">
        <v>1931371.0</v>
      </c>
      <c r="C6333" s="15" t="s">
        <v>24160</v>
      </c>
      <c r="D6333" s="15">
        <v>361676.0</v>
      </c>
      <c r="E6333" s="15" t="s">
        <v>1548</v>
      </c>
      <c r="F6333" s="15" t="s">
        <v>1578</v>
      </c>
      <c r="G6333" s="7">
        <v>9.997</v>
      </c>
      <c r="H6333" s="15" t="s">
        <v>2950</v>
      </c>
      <c r="I6333" s="15" t="s">
        <v>1560</v>
      </c>
      <c r="J6333" s="15" t="s">
        <v>24161</v>
      </c>
      <c r="K6333" s="15">
        <v>1.0</v>
      </c>
      <c r="L6333" s="15">
        <v>1.0</v>
      </c>
      <c r="M6333" s="40">
        <v>42745.0</v>
      </c>
      <c r="N6333" s="40">
        <v>42761.0</v>
      </c>
      <c r="O6333" s="15" t="s">
        <v>1554</v>
      </c>
      <c r="Q6333" s="7"/>
    </row>
    <row r="6334">
      <c r="A6334" s="39" t="s">
        <v>24163</v>
      </c>
      <c r="B6334" s="15">
        <v>1931369.0</v>
      </c>
      <c r="C6334" s="15" t="s">
        <v>24164</v>
      </c>
      <c r="D6334" s="15">
        <v>361677.0</v>
      </c>
      <c r="E6334" s="15" t="s">
        <v>1548</v>
      </c>
      <c r="F6334" s="15" t="s">
        <v>1578</v>
      </c>
      <c r="G6334" s="7">
        <v>10.14</v>
      </c>
      <c r="H6334" s="15" t="s">
        <v>6303</v>
      </c>
      <c r="I6334" s="15" t="s">
        <v>1560</v>
      </c>
      <c r="J6334" s="15" t="s">
        <v>24165</v>
      </c>
      <c r="K6334" s="15">
        <v>2.0</v>
      </c>
      <c r="L6334" s="15">
        <v>2.0</v>
      </c>
      <c r="M6334" s="40">
        <v>42745.0</v>
      </c>
      <c r="N6334" s="40">
        <v>42761.0</v>
      </c>
      <c r="O6334" s="15" t="s">
        <v>1554</v>
      </c>
      <c r="Q6334" s="7"/>
    </row>
    <row r="6335">
      <c r="A6335" s="39" t="s">
        <v>24166</v>
      </c>
      <c r="B6335" s="15">
        <v>1930960.0</v>
      </c>
      <c r="C6335" s="15" t="s">
        <v>24167</v>
      </c>
      <c r="D6335" s="15">
        <v>361678.0</v>
      </c>
      <c r="E6335" s="15" t="s">
        <v>1638</v>
      </c>
      <c r="F6335" s="15" t="s">
        <v>2508</v>
      </c>
      <c r="G6335" s="7">
        <v>12.807</v>
      </c>
      <c r="H6335" s="15" t="s">
        <v>24168</v>
      </c>
      <c r="I6335" s="15" t="s">
        <v>1552</v>
      </c>
      <c r="J6335" s="15" t="s">
        <v>24169</v>
      </c>
      <c r="K6335" s="15">
        <v>4.0</v>
      </c>
      <c r="L6335" s="15">
        <v>4.0</v>
      </c>
      <c r="M6335" s="40">
        <v>42743.0</v>
      </c>
      <c r="N6335" s="40">
        <v>42752.0</v>
      </c>
      <c r="O6335" s="15" t="s">
        <v>1554</v>
      </c>
      <c r="Q6335" s="7"/>
    </row>
    <row r="6336">
      <c r="A6336" s="39" t="s">
        <v>24171</v>
      </c>
      <c r="B6336" s="15">
        <v>1930921.0</v>
      </c>
      <c r="C6336" s="15" t="s">
        <v>24172</v>
      </c>
      <c r="D6336" s="15">
        <v>361679.0</v>
      </c>
      <c r="E6336" s="15" t="s">
        <v>1664</v>
      </c>
      <c r="F6336" s="15" t="s">
        <v>1664</v>
      </c>
      <c r="G6336" s="7">
        <v>3.97</v>
      </c>
      <c r="H6336" s="15" t="s">
        <v>2864</v>
      </c>
      <c r="I6336" s="15" t="s">
        <v>1560</v>
      </c>
      <c r="J6336" s="15" t="s">
        <v>24173</v>
      </c>
      <c r="K6336" s="15">
        <v>2.0</v>
      </c>
      <c r="L6336" s="15">
        <v>2.0</v>
      </c>
      <c r="M6336" s="40">
        <v>42745.0</v>
      </c>
      <c r="N6336" s="40">
        <v>42752.0</v>
      </c>
      <c r="O6336" s="15" t="s">
        <v>1554</v>
      </c>
      <c r="Q6336" s="7"/>
    </row>
    <row r="6337">
      <c r="A6337" s="39" t="s">
        <v>24174</v>
      </c>
      <c r="B6337" s="15">
        <v>1930302.0</v>
      </c>
      <c r="C6337" s="15" t="s">
        <v>24175</v>
      </c>
      <c r="D6337" s="15">
        <v>361680.0</v>
      </c>
      <c r="E6337" s="15" t="s">
        <v>1577</v>
      </c>
      <c r="F6337" s="15" t="s">
        <v>1578</v>
      </c>
      <c r="G6337" s="7">
        <v>4.668</v>
      </c>
      <c r="H6337" s="15" t="s">
        <v>1943</v>
      </c>
      <c r="I6337" s="15" t="s">
        <v>1686</v>
      </c>
      <c r="J6337" s="15" t="s">
        <v>24176</v>
      </c>
      <c r="K6337" s="15">
        <v>3.0</v>
      </c>
      <c r="L6337" s="15">
        <v>3.0</v>
      </c>
      <c r="M6337" s="40">
        <v>42743.0</v>
      </c>
      <c r="N6337" s="40">
        <v>42752.0</v>
      </c>
      <c r="O6337" s="15" t="s">
        <v>1554</v>
      </c>
      <c r="Q6337" s="7"/>
    </row>
    <row r="6338">
      <c r="A6338" s="39" t="s">
        <v>24177</v>
      </c>
      <c r="B6338" s="15">
        <v>1930298.0</v>
      </c>
      <c r="C6338" s="15" t="s">
        <v>24178</v>
      </c>
      <c r="D6338" s="15">
        <v>361681.0</v>
      </c>
      <c r="E6338" s="15" t="s">
        <v>1664</v>
      </c>
      <c r="F6338" s="15" t="s">
        <v>15173</v>
      </c>
      <c r="G6338" s="7">
        <v>2.143</v>
      </c>
      <c r="H6338" s="15" t="s">
        <v>3604</v>
      </c>
      <c r="I6338" s="15" t="s">
        <v>1686</v>
      </c>
      <c r="J6338" s="15" t="s">
        <v>24180</v>
      </c>
      <c r="K6338" s="15">
        <v>2.0</v>
      </c>
      <c r="L6338" s="15">
        <v>2.0</v>
      </c>
      <c r="M6338" s="40">
        <v>42743.0</v>
      </c>
      <c r="N6338" s="40">
        <v>42752.0</v>
      </c>
      <c r="O6338" s="15" t="s">
        <v>1554</v>
      </c>
      <c r="Q6338" s="7"/>
    </row>
    <row r="6339">
      <c r="A6339" s="39" t="s">
        <v>24181</v>
      </c>
      <c r="B6339" s="15">
        <v>1923660.0</v>
      </c>
      <c r="C6339" s="15" t="s">
        <v>24182</v>
      </c>
      <c r="D6339" s="15">
        <v>361682.0</v>
      </c>
      <c r="E6339" s="15" t="s">
        <v>1664</v>
      </c>
      <c r="F6339" s="15" t="s">
        <v>1664</v>
      </c>
      <c r="G6339" s="7">
        <v>2.961</v>
      </c>
      <c r="H6339" s="15">
        <v>45.0</v>
      </c>
      <c r="I6339" s="15" t="s">
        <v>1560</v>
      </c>
      <c r="J6339" s="15" t="s">
        <v>24183</v>
      </c>
      <c r="K6339" s="15">
        <v>2.0</v>
      </c>
      <c r="L6339" s="15">
        <v>2.0</v>
      </c>
      <c r="M6339" s="41">
        <v>42714.0</v>
      </c>
      <c r="N6339" s="40">
        <v>42752.0</v>
      </c>
      <c r="O6339" s="15" t="s">
        <v>1554</v>
      </c>
      <c r="Q6339" s="7"/>
    </row>
    <row r="6340">
      <c r="A6340" s="39" t="s">
        <v>24184</v>
      </c>
      <c r="B6340" s="15">
        <v>1923659.0</v>
      </c>
      <c r="C6340" s="15" t="s">
        <v>24185</v>
      </c>
      <c r="D6340" s="15">
        <v>361683.0</v>
      </c>
      <c r="E6340" s="15" t="s">
        <v>1664</v>
      </c>
      <c r="F6340" s="15" t="s">
        <v>1664</v>
      </c>
      <c r="G6340" s="7">
        <v>2.841</v>
      </c>
      <c r="H6340" s="15" t="s">
        <v>3882</v>
      </c>
      <c r="I6340" s="15" t="s">
        <v>1560</v>
      </c>
      <c r="J6340" s="15" t="s">
        <v>24186</v>
      </c>
      <c r="K6340" s="15">
        <v>3.0</v>
      </c>
      <c r="L6340" s="15">
        <v>3.0</v>
      </c>
      <c r="M6340" s="41">
        <v>42714.0</v>
      </c>
      <c r="N6340" s="40">
        <v>42752.0</v>
      </c>
      <c r="O6340" s="15" t="s">
        <v>1554</v>
      </c>
      <c r="Q6340" s="7"/>
    </row>
    <row r="6341">
      <c r="A6341" s="39" t="s">
        <v>24187</v>
      </c>
      <c r="B6341" s="15">
        <v>1923658.0</v>
      </c>
      <c r="C6341" s="15" t="s">
        <v>24189</v>
      </c>
      <c r="D6341" s="15">
        <v>361684.0</v>
      </c>
      <c r="E6341" s="15" t="s">
        <v>1664</v>
      </c>
      <c r="F6341" s="15" t="s">
        <v>1664</v>
      </c>
      <c r="G6341" s="7">
        <v>2.748</v>
      </c>
      <c r="H6341" s="15" t="s">
        <v>2163</v>
      </c>
      <c r="I6341" s="15" t="s">
        <v>1560</v>
      </c>
      <c r="J6341" s="15" t="s">
        <v>24190</v>
      </c>
      <c r="K6341" s="15">
        <v>2.0</v>
      </c>
      <c r="L6341" s="15">
        <v>2.0</v>
      </c>
      <c r="M6341" s="41">
        <v>42714.0</v>
      </c>
      <c r="N6341" s="40">
        <v>42752.0</v>
      </c>
      <c r="O6341" s="15" t="s">
        <v>1554</v>
      </c>
      <c r="Q6341" s="7"/>
    </row>
    <row r="6342">
      <c r="A6342" s="39" t="s">
        <v>24191</v>
      </c>
      <c r="B6342" s="15">
        <v>1923657.0</v>
      </c>
      <c r="C6342" s="15" t="s">
        <v>24192</v>
      </c>
      <c r="D6342" s="15">
        <v>361685.0</v>
      </c>
      <c r="E6342" s="15" t="s">
        <v>1664</v>
      </c>
      <c r="F6342" s="15" t="s">
        <v>1664</v>
      </c>
      <c r="G6342" s="7">
        <v>4.225</v>
      </c>
      <c r="H6342" s="15" t="s">
        <v>4521</v>
      </c>
      <c r="I6342" s="15" t="s">
        <v>1560</v>
      </c>
      <c r="J6342" s="15" t="s">
        <v>24193</v>
      </c>
      <c r="K6342" s="15">
        <v>1.0</v>
      </c>
      <c r="L6342" s="15">
        <v>1.0</v>
      </c>
      <c r="M6342" s="41">
        <v>42714.0</v>
      </c>
      <c r="N6342" s="40">
        <v>42752.0</v>
      </c>
      <c r="O6342" s="15" t="s">
        <v>1554</v>
      </c>
      <c r="Q6342" s="7"/>
    </row>
    <row r="6343">
      <c r="A6343" s="39" t="s">
        <v>24194</v>
      </c>
      <c r="B6343" s="15">
        <v>1923656.0</v>
      </c>
      <c r="C6343" s="15" t="s">
        <v>24195</v>
      </c>
      <c r="D6343" s="15">
        <v>361686.0</v>
      </c>
      <c r="E6343" s="15" t="s">
        <v>1664</v>
      </c>
      <c r="F6343" s="15" t="s">
        <v>1664</v>
      </c>
      <c r="G6343" s="7">
        <v>4.609</v>
      </c>
      <c r="H6343" s="15" t="s">
        <v>24197</v>
      </c>
      <c r="I6343" s="15" t="s">
        <v>1560</v>
      </c>
      <c r="J6343" s="15" t="s">
        <v>24198</v>
      </c>
      <c r="K6343" s="15">
        <v>3.0</v>
      </c>
      <c r="L6343" s="15">
        <v>3.0</v>
      </c>
      <c r="M6343" s="41">
        <v>42714.0</v>
      </c>
      <c r="N6343" s="40">
        <v>42752.0</v>
      </c>
      <c r="O6343" s="15" t="s">
        <v>1554</v>
      </c>
      <c r="Q6343" s="7"/>
    </row>
    <row r="6344">
      <c r="A6344" s="39" t="s">
        <v>24199</v>
      </c>
      <c r="B6344" s="15">
        <v>1923655.0</v>
      </c>
      <c r="C6344" s="15" t="s">
        <v>24200</v>
      </c>
      <c r="D6344" s="15">
        <v>361687.0</v>
      </c>
      <c r="E6344" s="15" t="s">
        <v>1664</v>
      </c>
      <c r="F6344" s="15" t="s">
        <v>1664</v>
      </c>
      <c r="G6344" s="7">
        <v>10.445</v>
      </c>
      <c r="H6344" s="15" t="s">
        <v>4215</v>
      </c>
      <c r="I6344" s="15" t="s">
        <v>1560</v>
      </c>
      <c r="J6344" s="15" t="s">
        <v>24201</v>
      </c>
      <c r="K6344" s="15">
        <v>1.0</v>
      </c>
      <c r="L6344" s="15">
        <v>1.0</v>
      </c>
      <c r="M6344" s="41">
        <v>42714.0</v>
      </c>
      <c r="N6344" s="40">
        <v>42752.0</v>
      </c>
      <c r="O6344" s="15" t="s">
        <v>1554</v>
      </c>
      <c r="Q6344" s="7"/>
    </row>
    <row r="6345">
      <c r="A6345" s="39" t="s">
        <v>24202</v>
      </c>
      <c r="B6345" s="15">
        <v>1923653.0</v>
      </c>
      <c r="C6345" s="15" t="s">
        <v>24203</v>
      </c>
      <c r="D6345" s="15">
        <v>361688.0</v>
      </c>
      <c r="E6345" s="15" t="s">
        <v>1664</v>
      </c>
      <c r="F6345" s="15" t="s">
        <v>1664</v>
      </c>
      <c r="G6345" s="7">
        <v>10.378</v>
      </c>
      <c r="H6345" s="15" t="s">
        <v>2877</v>
      </c>
      <c r="I6345" s="15" t="s">
        <v>1560</v>
      </c>
      <c r="J6345" s="15" t="s">
        <v>24204</v>
      </c>
      <c r="K6345" s="15">
        <v>2.0</v>
      </c>
      <c r="L6345" s="15">
        <v>2.0</v>
      </c>
      <c r="M6345" s="41">
        <v>42714.0</v>
      </c>
      <c r="N6345" s="40">
        <v>42752.0</v>
      </c>
      <c r="O6345" s="15" t="s">
        <v>1554</v>
      </c>
      <c r="Q6345" s="7"/>
    </row>
    <row r="6346">
      <c r="A6346" s="39" t="s">
        <v>24206</v>
      </c>
      <c r="B6346" s="15">
        <v>1923652.0</v>
      </c>
      <c r="C6346" s="15" t="s">
        <v>24207</v>
      </c>
      <c r="D6346" s="15">
        <v>361689.0</v>
      </c>
      <c r="E6346" s="15" t="s">
        <v>1664</v>
      </c>
      <c r="F6346" s="15" t="s">
        <v>1664</v>
      </c>
      <c r="G6346" s="7">
        <v>8.524</v>
      </c>
      <c r="H6346" s="15" t="s">
        <v>3097</v>
      </c>
      <c r="I6346" s="15" t="s">
        <v>1560</v>
      </c>
      <c r="J6346" s="15" t="s">
        <v>24208</v>
      </c>
      <c r="K6346" s="15">
        <v>2.0</v>
      </c>
      <c r="L6346" s="15">
        <v>2.0</v>
      </c>
      <c r="M6346" s="41">
        <v>42714.0</v>
      </c>
      <c r="N6346" s="40">
        <v>42752.0</v>
      </c>
      <c r="O6346" s="15" t="s">
        <v>1554</v>
      </c>
      <c r="Q6346" s="7"/>
    </row>
    <row r="6347">
      <c r="A6347" s="39" t="s">
        <v>24209</v>
      </c>
      <c r="B6347" s="15">
        <v>1923651.0</v>
      </c>
      <c r="C6347" s="15" t="s">
        <v>24210</v>
      </c>
      <c r="D6347" s="15">
        <v>361690.0</v>
      </c>
      <c r="E6347" s="15" t="s">
        <v>1664</v>
      </c>
      <c r="F6347" s="15" t="s">
        <v>1664</v>
      </c>
      <c r="G6347" s="7">
        <v>8.636</v>
      </c>
      <c r="H6347" s="15" t="s">
        <v>2484</v>
      </c>
      <c r="I6347" s="15" t="s">
        <v>1560</v>
      </c>
      <c r="J6347" s="15" t="s">
        <v>24211</v>
      </c>
      <c r="K6347" s="15">
        <v>2.0</v>
      </c>
      <c r="L6347" s="15">
        <v>2.0</v>
      </c>
      <c r="M6347" s="41">
        <v>42714.0</v>
      </c>
      <c r="N6347" s="40">
        <v>42752.0</v>
      </c>
      <c r="O6347" s="15" t="s">
        <v>1554</v>
      </c>
      <c r="Q6347" s="7"/>
    </row>
    <row r="6348">
      <c r="A6348" s="39" t="s">
        <v>24213</v>
      </c>
      <c r="B6348" s="15">
        <v>1923650.0</v>
      </c>
      <c r="C6348" s="15" t="s">
        <v>24214</v>
      </c>
      <c r="D6348" s="15">
        <v>361691.0</v>
      </c>
      <c r="E6348" s="15" t="s">
        <v>1664</v>
      </c>
      <c r="F6348" s="15" t="s">
        <v>1664</v>
      </c>
      <c r="G6348" s="7">
        <v>10.472</v>
      </c>
      <c r="H6348" s="15" t="s">
        <v>2189</v>
      </c>
      <c r="I6348" s="15" t="s">
        <v>1560</v>
      </c>
      <c r="J6348" s="15" t="s">
        <v>24215</v>
      </c>
      <c r="K6348" s="15">
        <v>5.0</v>
      </c>
      <c r="L6348" s="15">
        <v>5.0</v>
      </c>
      <c r="M6348" s="41">
        <v>42714.0</v>
      </c>
      <c r="N6348" s="40">
        <v>42752.0</v>
      </c>
      <c r="O6348" s="15" t="s">
        <v>1554</v>
      </c>
      <c r="Q6348" s="7"/>
    </row>
    <row r="6349">
      <c r="A6349" s="39" t="s">
        <v>24216</v>
      </c>
      <c r="B6349" s="15">
        <v>1923649.0</v>
      </c>
      <c r="C6349" s="15" t="s">
        <v>24217</v>
      </c>
      <c r="D6349" s="15">
        <v>361692.0</v>
      </c>
      <c r="E6349" s="15" t="s">
        <v>1664</v>
      </c>
      <c r="F6349" s="15" t="s">
        <v>1664</v>
      </c>
      <c r="G6349" s="7">
        <v>3.195</v>
      </c>
      <c r="H6349" s="15" t="s">
        <v>1750</v>
      </c>
      <c r="I6349" s="15" t="s">
        <v>1560</v>
      </c>
      <c r="J6349" s="15" t="s">
        <v>24218</v>
      </c>
      <c r="K6349" s="15">
        <v>1.0</v>
      </c>
      <c r="L6349" s="15">
        <v>1.0</v>
      </c>
      <c r="M6349" s="41">
        <v>42714.0</v>
      </c>
      <c r="N6349" s="40">
        <v>42752.0</v>
      </c>
      <c r="O6349" s="15" t="s">
        <v>1554</v>
      </c>
      <c r="Q6349" s="7"/>
    </row>
    <row r="6350">
      <c r="A6350" s="39" t="s">
        <v>24219</v>
      </c>
      <c r="B6350" s="15">
        <v>1923648.0</v>
      </c>
      <c r="C6350" s="15" t="s">
        <v>24220</v>
      </c>
      <c r="D6350" s="15">
        <v>361693.0</v>
      </c>
      <c r="E6350" s="15" t="s">
        <v>1664</v>
      </c>
      <c r="F6350" s="15" t="s">
        <v>1664</v>
      </c>
      <c r="G6350" s="7">
        <v>8.052</v>
      </c>
      <c r="H6350" s="15" t="s">
        <v>24221</v>
      </c>
      <c r="I6350" s="15" t="s">
        <v>1560</v>
      </c>
      <c r="J6350" s="15" t="s">
        <v>24222</v>
      </c>
      <c r="K6350" s="15">
        <v>2.0</v>
      </c>
      <c r="L6350" s="15">
        <v>2.0</v>
      </c>
      <c r="M6350" s="41">
        <v>42714.0</v>
      </c>
      <c r="N6350" s="40">
        <v>42752.0</v>
      </c>
      <c r="O6350" s="15" t="s">
        <v>1554</v>
      </c>
      <c r="Q6350" s="7"/>
    </row>
    <row r="6351">
      <c r="A6351" s="39" t="s">
        <v>24223</v>
      </c>
      <c r="B6351" s="15">
        <v>1923647.0</v>
      </c>
      <c r="C6351" s="15" t="s">
        <v>24224</v>
      </c>
      <c r="D6351" s="15">
        <v>361694.0</v>
      </c>
      <c r="E6351" s="15" t="s">
        <v>1664</v>
      </c>
      <c r="F6351" s="15" t="s">
        <v>1664</v>
      </c>
      <c r="G6351" s="7">
        <v>7.812</v>
      </c>
      <c r="H6351" s="15" t="s">
        <v>24226</v>
      </c>
      <c r="I6351" s="15" t="s">
        <v>1560</v>
      </c>
      <c r="J6351" s="15" t="s">
        <v>24227</v>
      </c>
      <c r="K6351" s="15">
        <v>2.0</v>
      </c>
      <c r="L6351" s="15">
        <v>2.0</v>
      </c>
      <c r="M6351" s="41">
        <v>42714.0</v>
      </c>
      <c r="N6351" s="40">
        <v>42752.0</v>
      </c>
      <c r="O6351" s="15" t="s">
        <v>1554</v>
      </c>
      <c r="Q6351" s="7"/>
    </row>
    <row r="6352">
      <c r="A6352" s="39" t="s">
        <v>24228</v>
      </c>
      <c r="B6352" s="15">
        <v>1923646.0</v>
      </c>
      <c r="C6352" s="15" t="s">
        <v>24229</v>
      </c>
      <c r="D6352" s="15">
        <v>361695.0</v>
      </c>
      <c r="E6352" s="15" t="s">
        <v>1664</v>
      </c>
      <c r="F6352" s="15" t="s">
        <v>1664</v>
      </c>
      <c r="G6352" s="7">
        <v>9.171</v>
      </c>
      <c r="H6352" s="15" t="s">
        <v>3000</v>
      </c>
      <c r="I6352" s="15" t="s">
        <v>1560</v>
      </c>
      <c r="J6352" s="15" t="s">
        <v>24230</v>
      </c>
      <c r="K6352" s="15">
        <v>2.0</v>
      </c>
      <c r="L6352" s="15">
        <v>2.0</v>
      </c>
      <c r="M6352" s="41">
        <v>42714.0</v>
      </c>
      <c r="N6352" s="40">
        <v>42752.0</v>
      </c>
      <c r="O6352" s="15" t="s">
        <v>1554</v>
      </c>
      <c r="Q6352" s="7"/>
    </row>
    <row r="6353">
      <c r="A6353" s="39" t="s">
        <v>24231</v>
      </c>
      <c r="B6353" s="15">
        <v>1923644.0</v>
      </c>
      <c r="C6353" s="15" t="s">
        <v>24232</v>
      </c>
      <c r="D6353" s="15">
        <v>361696.0</v>
      </c>
      <c r="E6353" s="15" t="s">
        <v>1664</v>
      </c>
      <c r="F6353" s="15" t="s">
        <v>1664</v>
      </c>
      <c r="G6353" s="7">
        <v>8.783</v>
      </c>
      <c r="H6353" s="15" t="s">
        <v>3070</v>
      </c>
      <c r="I6353" s="15" t="s">
        <v>1560</v>
      </c>
      <c r="J6353" s="15" t="s">
        <v>24233</v>
      </c>
      <c r="K6353" s="15">
        <v>2.0</v>
      </c>
      <c r="L6353" s="15">
        <v>2.0</v>
      </c>
      <c r="M6353" s="41">
        <v>42714.0</v>
      </c>
      <c r="N6353" s="40">
        <v>42752.0</v>
      </c>
      <c r="O6353" s="15" t="s">
        <v>1554</v>
      </c>
      <c r="Q6353" s="7"/>
    </row>
    <row r="6354">
      <c r="A6354" s="39" t="s">
        <v>24235</v>
      </c>
      <c r="B6354" s="15">
        <v>1923643.0</v>
      </c>
      <c r="C6354" s="15" t="s">
        <v>24236</v>
      </c>
      <c r="D6354" s="15">
        <v>361697.0</v>
      </c>
      <c r="E6354" s="15" t="s">
        <v>1664</v>
      </c>
      <c r="F6354" s="15" t="s">
        <v>1664</v>
      </c>
      <c r="G6354" s="7">
        <v>9.549</v>
      </c>
      <c r="H6354" s="15" t="s">
        <v>1943</v>
      </c>
      <c r="I6354" s="15" t="s">
        <v>1560</v>
      </c>
      <c r="J6354" s="15" t="s">
        <v>24237</v>
      </c>
      <c r="K6354" s="15">
        <v>2.0</v>
      </c>
      <c r="L6354" s="15">
        <v>2.0</v>
      </c>
      <c r="M6354" s="41">
        <v>42714.0</v>
      </c>
      <c r="N6354" s="40">
        <v>42752.0</v>
      </c>
      <c r="O6354" s="15" t="s">
        <v>1554</v>
      </c>
      <c r="Q6354" s="7"/>
    </row>
    <row r="6355">
      <c r="A6355" s="39" t="s">
        <v>24238</v>
      </c>
      <c r="B6355" s="15">
        <v>1923642.0</v>
      </c>
      <c r="C6355" s="15" t="s">
        <v>24239</v>
      </c>
      <c r="D6355" s="15">
        <v>361698.0</v>
      </c>
      <c r="E6355" s="15" t="s">
        <v>1664</v>
      </c>
      <c r="F6355" s="15" t="s">
        <v>1664</v>
      </c>
      <c r="G6355" s="7">
        <v>43227.0</v>
      </c>
      <c r="H6355" s="15" t="s">
        <v>3082</v>
      </c>
      <c r="I6355" s="15" t="s">
        <v>1560</v>
      </c>
      <c r="J6355" s="15" t="s">
        <v>24240</v>
      </c>
      <c r="K6355" s="15">
        <v>1.0</v>
      </c>
      <c r="L6355" s="15">
        <v>1.0</v>
      </c>
      <c r="M6355" s="41">
        <v>42714.0</v>
      </c>
      <c r="N6355" s="40">
        <v>42752.0</v>
      </c>
      <c r="O6355" s="15" t="s">
        <v>1554</v>
      </c>
      <c r="Q6355" s="7"/>
    </row>
    <row r="6356">
      <c r="A6356" s="39" t="s">
        <v>24242</v>
      </c>
      <c r="B6356" s="15">
        <v>1923641.0</v>
      </c>
      <c r="C6356" s="15" t="s">
        <v>24243</v>
      </c>
      <c r="D6356" s="15">
        <v>361699.0</v>
      </c>
      <c r="E6356" s="15" t="s">
        <v>1664</v>
      </c>
      <c r="F6356" s="15" t="s">
        <v>1664</v>
      </c>
      <c r="G6356" s="7">
        <v>9.388</v>
      </c>
      <c r="H6356" s="15">
        <v>43.0</v>
      </c>
      <c r="I6356" s="15" t="s">
        <v>1560</v>
      </c>
      <c r="J6356" s="15" t="s">
        <v>24244</v>
      </c>
      <c r="K6356" s="15">
        <v>2.0</v>
      </c>
      <c r="L6356" s="15">
        <v>2.0</v>
      </c>
      <c r="M6356" s="41">
        <v>42714.0</v>
      </c>
      <c r="N6356" s="40">
        <v>42752.0</v>
      </c>
      <c r="O6356" s="15" t="s">
        <v>1554</v>
      </c>
      <c r="Q6356" s="7"/>
    </row>
    <row r="6357">
      <c r="A6357" s="39" t="s">
        <v>24245</v>
      </c>
      <c r="B6357" s="15">
        <v>1923640.0</v>
      </c>
      <c r="C6357" s="15" t="s">
        <v>24246</v>
      </c>
      <c r="D6357" s="15">
        <v>361700.0</v>
      </c>
      <c r="E6357" s="15" t="s">
        <v>1664</v>
      </c>
      <c r="F6357" s="15" t="s">
        <v>1664</v>
      </c>
      <c r="G6357" s="7">
        <v>8.991</v>
      </c>
      <c r="H6357" s="15" t="s">
        <v>2392</v>
      </c>
      <c r="I6357" s="15" t="s">
        <v>1560</v>
      </c>
      <c r="J6357" s="15" t="s">
        <v>24247</v>
      </c>
      <c r="K6357" s="15">
        <v>2.0</v>
      </c>
      <c r="L6357" s="15">
        <v>2.0</v>
      </c>
      <c r="M6357" s="41">
        <v>42714.0</v>
      </c>
      <c r="N6357" s="40">
        <v>42752.0</v>
      </c>
      <c r="O6357" s="15" t="s">
        <v>1554</v>
      </c>
      <c r="Q6357" s="7"/>
    </row>
    <row r="6358">
      <c r="A6358" s="39" t="s">
        <v>24248</v>
      </c>
      <c r="B6358" s="15">
        <v>1923639.0</v>
      </c>
      <c r="C6358" s="15" t="s">
        <v>24249</v>
      </c>
      <c r="D6358" s="15">
        <v>361701.0</v>
      </c>
      <c r="E6358" s="15" t="s">
        <v>1664</v>
      </c>
      <c r="F6358" s="15" t="s">
        <v>1664</v>
      </c>
      <c r="G6358" s="7">
        <v>12.66</v>
      </c>
      <c r="H6358" s="15" t="s">
        <v>3097</v>
      </c>
      <c r="I6358" s="15" t="s">
        <v>1560</v>
      </c>
      <c r="J6358" s="15" t="s">
        <v>24250</v>
      </c>
      <c r="K6358" s="15">
        <v>2.0</v>
      </c>
      <c r="L6358" s="15">
        <v>2.0</v>
      </c>
      <c r="M6358" s="41">
        <v>42714.0</v>
      </c>
      <c r="N6358" s="40">
        <v>42752.0</v>
      </c>
      <c r="O6358" s="15" t="s">
        <v>1554</v>
      </c>
      <c r="Q6358" s="7"/>
    </row>
    <row r="6359">
      <c r="A6359" s="39" t="s">
        <v>24252</v>
      </c>
      <c r="B6359" s="15">
        <v>1923637.0</v>
      </c>
      <c r="C6359" s="15" t="s">
        <v>24253</v>
      </c>
      <c r="D6359" s="15">
        <v>361702.0</v>
      </c>
      <c r="E6359" s="15" t="s">
        <v>1664</v>
      </c>
      <c r="F6359" s="15" t="s">
        <v>1664</v>
      </c>
      <c r="G6359" s="7">
        <v>9.166</v>
      </c>
      <c r="H6359" s="15" t="s">
        <v>3070</v>
      </c>
      <c r="I6359" s="15" t="s">
        <v>1560</v>
      </c>
      <c r="J6359" s="15" t="s">
        <v>24254</v>
      </c>
      <c r="K6359" s="15">
        <v>2.0</v>
      </c>
      <c r="L6359" s="15">
        <v>2.0</v>
      </c>
      <c r="M6359" s="41">
        <v>42714.0</v>
      </c>
      <c r="N6359" s="40">
        <v>42752.0</v>
      </c>
      <c r="O6359" s="15" t="s">
        <v>1554</v>
      </c>
      <c r="Q6359" s="7"/>
    </row>
    <row r="6360">
      <c r="A6360" s="39" t="s">
        <v>24255</v>
      </c>
      <c r="B6360" s="15">
        <v>1923636.0</v>
      </c>
      <c r="C6360" s="15" t="s">
        <v>24256</v>
      </c>
      <c r="D6360" s="15">
        <v>361703.0</v>
      </c>
      <c r="E6360" s="15" t="s">
        <v>1664</v>
      </c>
      <c r="F6360" s="15" t="s">
        <v>1664</v>
      </c>
      <c r="G6360" s="7">
        <v>8.916</v>
      </c>
      <c r="H6360" s="15" t="s">
        <v>5475</v>
      </c>
      <c r="I6360" s="15" t="s">
        <v>1560</v>
      </c>
      <c r="J6360" s="15" t="s">
        <v>24257</v>
      </c>
      <c r="K6360" s="15">
        <v>1.0</v>
      </c>
      <c r="L6360" s="15">
        <v>1.0</v>
      </c>
      <c r="M6360" s="41">
        <v>42714.0</v>
      </c>
      <c r="N6360" s="40">
        <v>42752.0</v>
      </c>
      <c r="O6360" s="15" t="s">
        <v>1554</v>
      </c>
      <c r="Q6360" s="7"/>
    </row>
    <row r="6361">
      <c r="A6361" s="39" t="s">
        <v>24258</v>
      </c>
      <c r="B6361" s="15">
        <v>1923635.0</v>
      </c>
      <c r="C6361" s="15" t="s">
        <v>24259</v>
      </c>
      <c r="D6361" s="15">
        <v>361704.0</v>
      </c>
      <c r="E6361" s="15" t="s">
        <v>1664</v>
      </c>
      <c r="F6361" s="15" t="s">
        <v>1664</v>
      </c>
      <c r="G6361" s="7">
        <v>9.55</v>
      </c>
      <c r="H6361" s="15">
        <v>38.0</v>
      </c>
      <c r="I6361" s="15" t="s">
        <v>1560</v>
      </c>
      <c r="J6361" s="15" t="s">
        <v>24260</v>
      </c>
      <c r="K6361" s="15">
        <v>1.0</v>
      </c>
      <c r="L6361" s="15">
        <v>1.0</v>
      </c>
      <c r="M6361" s="41">
        <v>42714.0</v>
      </c>
      <c r="N6361" s="40">
        <v>42752.0</v>
      </c>
      <c r="O6361" s="15" t="s">
        <v>1554</v>
      </c>
      <c r="Q6361" s="7"/>
    </row>
    <row r="6362">
      <c r="A6362" s="39" t="s">
        <v>24261</v>
      </c>
      <c r="B6362" s="15">
        <v>1923634.0</v>
      </c>
      <c r="C6362" s="15" t="s">
        <v>24263</v>
      </c>
      <c r="D6362" s="15">
        <v>361705.0</v>
      </c>
      <c r="E6362" s="15" t="s">
        <v>1664</v>
      </c>
      <c r="F6362" s="15" t="s">
        <v>1664</v>
      </c>
      <c r="G6362" s="7">
        <v>8.235</v>
      </c>
      <c r="H6362" s="15" t="s">
        <v>2193</v>
      </c>
      <c r="I6362" s="15" t="s">
        <v>1560</v>
      </c>
      <c r="J6362" s="15" t="s">
        <v>24264</v>
      </c>
      <c r="K6362" s="15">
        <v>1.0</v>
      </c>
      <c r="L6362" s="15">
        <v>1.0</v>
      </c>
      <c r="M6362" s="41">
        <v>42714.0</v>
      </c>
      <c r="N6362" s="40">
        <v>42752.0</v>
      </c>
      <c r="O6362" s="15" t="s">
        <v>1554</v>
      </c>
      <c r="Q6362" s="7"/>
    </row>
    <row r="6363">
      <c r="A6363" s="39" t="s">
        <v>24265</v>
      </c>
      <c r="B6363" s="15">
        <v>1923633.0</v>
      </c>
      <c r="C6363" s="15" t="s">
        <v>24266</v>
      </c>
      <c r="D6363" s="15">
        <v>361706.0</v>
      </c>
      <c r="E6363" s="15" t="s">
        <v>1664</v>
      </c>
      <c r="F6363" s="15" t="s">
        <v>1664</v>
      </c>
      <c r="G6363" s="7">
        <v>10.473</v>
      </c>
      <c r="H6363" s="15" t="s">
        <v>8889</v>
      </c>
      <c r="I6363" s="15" t="s">
        <v>1560</v>
      </c>
      <c r="J6363" s="15" t="s">
        <v>24268</v>
      </c>
      <c r="K6363" s="15">
        <v>1.0</v>
      </c>
      <c r="L6363" s="15">
        <v>1.0</v>
      </c>
      <c r="M6363" s="41">
        <v>42714.0</v>
      </c>
      <c r="N6363" s="40">
        <v>42752.0</v>
      </c>
      <c r="O6363" s="15" t="s">
        <v>1554</v>
      </c>
      <c r="Q6363" s="7"/>
    </row>
    <row r="6364">
      <c r="A6364" s="39" t="s">
        <v>24269</v>
      </c>
      <c r="B6364" s="15">
        <v>1923632.0</v>
      </c>
      <c r="C6364" s="15" t="s">
        <v>24270</v>
      </c>
      <c r="D6364" s="15">
        <v>361707.0</v>
      </c>
      <c r="E6364" s="15" t="s">
        <v>1664</v>
      </c>
      <c r="F6364" s="15" t="s">
        <v>1664</v>
      </c>
      <c r="G6364" s="7">
        <v>9.581</v>
      </c>
      <c r="H6364" s="15">
        <v>43.0</v>
      </c>
      <c r="I6364" s="15" t="s">
        <v>1560</v>
      </c>
      <c r="J6364" s="15" t="s">
        <v>24271</v>
      </c>
      <c r="K6364" s="15">
        <v>1.0</v>
      </c>
      <c r="L6364" s="15">
        <v>1.0</v>
      </c>
      <c r="M6364" s="41">
        <v>42714.0</v>
      </c>
      <c r="N6364" s="40">
        <v>42752.0</v>
      </c>
      <c r="O6364" s="15" t="s">
        <v>1554</v>
      </c>
      <c r="Q6364" s="7"/>
    </row>
    <row r="6365">
      <c r="A6365" s="39" t="s">
        <v>24272</v>
      </c>
      <c r="B6365" s="15">
        <v>1923631.0</v>
      </c>
      <c r="C6365" s="15" t="s">
        <v>24273</v>
      </c>
      <c r="D6365" s="15">
        <v>361708.0</v>
      </c>
      <c r="E6365" s="15" t="s">
        <v>1664</v>
      </c>
      <c r="F6365" s="15" t="s">
        <v>1664</v>
      </c>
      <c r="G6365" s="7">
        <v>10.856</v>
      </c>
      <c r="H6365" s="15" t="s">
        <v>1983</v>
      </c>
      <c r="I6365" s="15" t="s">
        <v>1560</v>
      </c>
      <c r="J6365" s="15" t="s">
        <v>24274</v>
      </c>
      <c r="K6365" s="15">
        <v>1.0</v>
      </c>
      <c r="L6365" s="15">
        <v>1.0</v>
      </c>
      <c r="M6365" s="41">
        <v>42714.0</v>
      </c>
      <c r="N6365" s="40">
        <v>42752.0</v>
      </c>
      <c r="O6365" s="15" t="s">
        <v>1554</v>
      </c>
      <c r="Q6365" s="7"/>
    </row>
    <row r="6366">
      <c r="A6366" s="39" t="s">
        <v>24275</v>
      </c>
      <c r="B6366" s="15">
        <v>1923630.0</v>
      </c>
      <c r="C6366" s="15" t="s">
        <v>24276</v>
      </c>
      <c r="D6366" s="15">
        <v>361709.0</v>
      </c>
      <c r="E6366" s="15" t="s">
        <v>1664</v>
      </c>
      <c r="F6366" s="15" t="s">
        <v>1664</v>
      </c>
      <c r="G6366" s="7">
        <v>7.396</v>
      </c>
      <c r="H6366" s="15">
        <v>49.0</v>
      </c>
      <c r="I6366" s="15" t="s">
        <v>1560</v>
      </c>
      <c r="J6366" s="15" t="s">
        <v>24278</v>
      </c>
      <c r="K6366" s="15">
        <v>1.0</v>
      </c>
      <c r="L6366" s="15">
        <v>1.0</v>
      </c>
      <c r="M6366" s="41">
        <v>42714.0</v>
      </c>
      <c r="N6366" s="40">
        <v>42752.0</v>
      </c>
      <c r="O6366" s="15" t="s">
        <v>1554</v>
      </c>
      <c r="Q6366" s="7"/>
    </row>
    <row r="6367">
      <c r="A6367" s="39" t="s">
        <v>24279</v>
      </c>
      <c r="B6367" s="15">
        <v>1923629.0</v>
      </c>
      <c r="C6367" s="15" t="s">
        <v>24280</v>
      </c>
      <c r="D6367" s="15">
        <v>361710.0</v>
      </c>
      <c r="E6367" s="15" t="s">
        <v>1664</v>
      </c>
      <c r="F6367" s="15" t="s">
        <v>1664</v>
      </c>
      <c r="G6367" s="7">
        <v>7.81</v>
      </c>
      <c r="H6367" s="15" t="s">
        <v>2023</v>
      </c>
      <c r="I6367" s="15" t="s">
        <v>1560</v>
      </c>
      <c r="J6367" s="15" t="s">
        <v>24281</v>
      </c>
      <c r="K6367" s="15">
        <v>2.0</v>
      </c>
      <c r="L6367" s="15">
        <v>2.0</v>
      </c>
      <c r="M6367" s="41">
        <v>42714.0</v>
      </c>
      <c r="N6367" s="40">
        <v>42752.0</v>
      </c>
      <c r="O6367" s="15" t="s">
        <v>1554</v>
      </c>
      <c r="Q6367" s="7"/>
    </row>
    <row r="6368">
      <c r="A6368" s="39" t="s">
        <v>24282</v>
      </c>
      <c r="B6368" s="15">
        <v>1923628.0</v>
      </c>
      <c r="C6368" s="15" t="s">
        <v>24283</v>
      </c>
      <c r="D6368" s="15">
        <v>361711.0</v>
      </c>
      <c r="E6368" s="15" t="s">
        <v>1664</v>
      </c>
      <c r="F6368" s="15" t="s">
        <v>1664</v>
      </c>
      <c r="G6368" s="7">
        <v>7.966</v>
      </c>
      <c r="H6368" s="15" t="s">
        <v>2288</v>
      </c>
      <c r="I6368" s="15" t="s">
        <v>1560</v>
      </c>
      <c r="J6368" s="15" t="s">
        <v>24284</v>
      </c>
      <c r="K6368" s="15">
        <v>2.0</v>
      </c>
      <c r="L6368" s="15">
        <v>2.0</v>
      </c>
      <c r="M6368" s="41">
        <v>42714.0</v>
      </c>
      <c r="N6368" s="40">
        <v>42752.0</v>
      </c>
      <c r="O6368" s="15" t="s">
        <v>1554</v>
      </c>
      <c r="Q6368" s="7"/>
    </row>
    <row r="6369">
      <c r="A6369" s="39" t="s">
        <v>24286</v>
      </c>
      <c r="B6369" s="15">
        <v>1923627.0</v>
      </c>
      <c r="C6369" s="15" t="s">
        <v>24287</v>
      </c>
      <c r="D6369" s="15">
        <v>361712.0</v>
      </c>
      <c r="E6369" s="15" t="s">
        <v>1664</v>
      </c>
      <c r="F6369" s="15" t="s">
        <v>1664</v>
      </c>
      <c r="G6369" s="7">
        <v>8.752</v>
      </c>
      <c r="H6369" s="15" t="s">
        <v>4283</v>
      </c>
      <c r="I6369" s="15" t="s">
        <v>1560</v>
      </c>
      <c r="J6369" s="15" t="s">
        <v>24288</v>
      </c>
      <c r="K6369" s="15">
        <v>2.0</v>
      </c>
      <c r="L6369" s="15">
        <v>2.0</v>
      </c>
      <c r="M6369" s="41">
        <v>42714.0</v>
      </c>
      <c r="N6369" s="40">
        <v>42752.0</v>
      </c>
      <c r="O6369" s="15" t="s">
        <v>1554</v>
      </c>
      <c r="Q6369" s="7"/>
    </row>
    <row r="6370">
      <c r="A6370" s="39" t="s">
        <v>24289</v>
      </c>
      <c r="B6370" s="15">
        <v>1923626.0</v>
      </c>
      <c r="C6370" s="15" t="s">
        <v>24290</v>
      </c>
      <c r="D6370" s="15">
        <v>361713.0</v>
      </c>
      <c r="E6370" s="15" t="s">
        <v>1664</v>
      </c>
      <c r="F6370" s="15" t="s">
        <v>1664</v>
      </c>
      <c r="G6370" s="7">
        <v>9.345</v>
      </c>
      <c r="H6370" s="15" t="s">
        <v>1849</v>
      </c>
      <c r="I6370" s="15" t="s">
        <v>1560</v>
      </c>
      <c r="J6370" s="15" t="s">
        <v>24291</v>
      </c>
      <c r="K6370" s="15">
        <v>2.0</v>
      </c>
      <c r="L6370" s="15">
        <v>2.0</v>
      </c>
      <c r="M6370" s="41">
        <v>42714.0</v>
      </c>
      <c r="N6370" s="40">
        <v>42752.0</v>
      </c>
      <c r="O6370" s="15" t="s">
        <v>1554</v>
      </c>
      <c r="Q6370" s="7"/>
    </row>
    <row r="6371">
      <c r="A6371" s="39" t="s">
        <v>24292</v>
      </c>
      <c r="B6371" s="15">
        <v>1923625.0</v>
      </c>
      <c r="C6371" s="15" t="s">
        <v>24293</v>
      </c>
      <c r="D6371" s="15">
        <v>361714.0</v>
      </c>
      <c r="E6371" s="15" t="s">
        <v>1664</v>
      </c>
      <c r="F6371" s="15" t="s">
        <v>1664</v>
      </c>
      <c r="G6371" s="7">
        <v>8.215</v>
      </c>
      <c r="H6371" s="15" t="s">
        <v>10167</v>
      </c>
      <c r="I6371" s="15" t="s">
        <v>1560</v>
      </c>
      <c r="J6371" s="15" t="s">
        <v>24295</v>
      </c>
      <c r="K6371" s="15">
        <v>1.0</v>
      </c>
      <c r="L6371" s="15">
        <v>1.0</v>
      </c>
      <c r="M6371" s="41">
        <v>42714.0</v>
      </c>
      <c r="N6371" s="40">
        <v>42752.0</v>
      </c>
      <c r="O6371" s="15" t="s">
        <v>1554</v>
      </c>
      <c r="Q6371" s="7"/>
    </row>
    <row r="6372">
      <c r="A6372" s="39" t="s">
        <v>24296</v>
      </c>
      <c r="B6372" s="15">
        <v>1923623.0</v>
      </c>
      <c r="C6372" s="15" t="s">
        <v>24297</v>
      </c>
      <c r="D6372" s="15">
        <v>361715.0</v>
      </c>
      <c r="E6372" s="15" t="s">
        <v>1664</v>
      </c>
      <c r="F6372" s="15" t="s">
        <v>1664</v>
      </c>
      <c r="G6372" s="7">
        <v>9.763</v>
      </c>
      <c r="H6372" s="15" t="s">
        <v>3000</v>
      </c>
      <c r="I6372" s="15" t="s">
        <v>1560</v>
      </c>
      <c r="J6372" s="15" t="s">
        <v>24298</v>
      </c>
      <c r="K6372" s="15">
        <v>2.0</v>
      </c>
      <c r="L6372" s="15">
        <v>2.0</v>
      </c>
      <c r="M6372" s="41">
        <v>42714.0</v>
      </c>
      <c r="N6372" s="40">
        <v>42752.0</v>
      </c>
      <c r="O6372" s="15" t="s">
        <v>1554</v>
      </c>
      <c r="Q6372" s="7"/>
    </row>
    <row r="6373">
      <c r="A6373" s="39" t="s">
        <v>24299</v>
      </c>
      <c r="B6373" s="15">
        <v>1923622.0</v>
      </c>
      <c r="C6373" s="15" t="s">
        <v>24300</v>
      </c>
      <c r="D6373" s="15">
        <v>361716.0</v>
      </c>
      <c r="E6373" s="15" t="s">
        <v>1664</v>
      </c>
      <c r="F6373" s="15" t="s">
        <v>1664</v>
      </c>
      <c r="G6373" s="7">
        <v>9.667</v>
      </c>
      <c r="H6373" s="15" t="s">
        <v>4553</v>
      </c>
      <c r="I6373" s="15" t="s">
        <v>1560</v>
      </c>
      <c r="J6373" s="15" t="s">
        <v>24301</v>
      </c>
      <c r="K6373" s="15">
        <v>1.0</v>
      </c>
      <c r="L6373" s="15">
        <v>1.0</v>
      </c>
      <c r="M6373" s="41">
        <v>42714.0</v>
      </c>
      <c r="N6373" s="40">
        <v>42752.0</v>
      </c>
      <c r="O6373" s="15" t="s">
        <v>1554</v>
      </c>
      <c r="Q6373" s="7"/>
    </row>
    <row r="6374">
      <c r="A6374" s="39" t="s">
        <v>24302</v>
      </c>
      <c r="B6374" s="15">
        <v>1923621.0</v>
      </c>
      <c r="C6374" s="15" t="s">
        <v>24303</v>
      </c>
      <c r="D6374" s="15">
        <v>361717.0</v>
      </c>
      <c r="E6374" s="15" t="s">
        <v>1664</v>
      </c>
      <c r="F6374" s="15" t="s">
        <v>1664</v>
      </c>
      <c r="G6374" s="7">
        <v>9.865</v>
      </c>
      <c r="H6374" s="15" t="s">
        <v>1710</v>
      </c>
      <c r="I6374" s="15" t="s">
        <v>1560</v>
      </c>
      <c r="J6374" s="15" t="s">
        <v>24305</v>
      </c>
      <c r="K6374" s="15">
        <v>2.0</v>
      </c>
      <c r="L6374" s="15">
        <v>2.0</v>
      </c>
      <c r="M6374" s="41">
        <v>42714.0</v>
      </c>
      <c r="N6374" s="40">
        <v>42752.0</v>
      </c>
      <c r="O6374" s="15" t="s">
        <v>1554</v>
      </c>
      <c r="Q6374" s="7"/>
    </row>
    <row r="6375">
      <c r="A6375" s="39" t="s">
        <v>24306</v>
      </c>
      <c r="B6375" s="15">
        <v>1923619.0</v>
      </c>
      <c r="C6375" s="15" t="s">
        <v>24307</v>
      </c>
      <c r="D6375" s="15">
        <v>361718.0</v>
      </c>
      <c r="E6375" s="15" t="s">
        <v>1664</v>
      </c>
      <c r="F6375" s="15" t="s">
        <v>1664</v>
      </c>
      <c r="G6375" s="7">
        <v>8.465</v>
      </c>
      <c r="H6375" s="15" t="s">
        <v>3798</v>
      </c>
      <c r="I6375" s="15" t="s">
        <v>1560</v>
      </c>
      <c r="J6375" s="15" t="s">
        <v>24308</v>
      </c>
      <c r="K6375" s="15">
        <v>2.0</v>
      </c>
      <c r="L6375" s="15">
        <v>2.0</v>
      </c>
      <c r="M6375" s="41">
        <v>42714.0</v>
      </c>
      <c r="N6375" s="40">
        <v>42752.0</v>
      </c>
      <c r="O6375" s="15" t="s">
        <v>1554</v>
      </c>
      <c r="Q6375" s="7"/>
    </row>
    <row r="6376">
      <c r="A6376" s="39" t="s">
        <v>24309</v>
      </c>
      <c r="B6376" s="15">
        <v>1923618.0</v>
      </c>
      <c r="C6376" s="15" t="s">
        <v>24310</v>
      </c>
      <c r="D6376" s="15">
        <v>361719.0</v>
      </c>
      <c r="E6376" s="15" t="s">
        <v>1664</v>
      </c>
      <c r="F6376" s="15" t="s">
        <v>1664</v>
      </c>
      <c r="G6376" s="7">
        <v>9.319</v>
      </c>
      <c r="H6376" s="15" t="s">
        <v>2019</v>
      </c>
      <c r="I6376" s="15" t="s">
        <v>1560</v>
      </c>
      <c r="J6376" s="15" t="s">
        <v>24311</v>
      </c>
      <c r="K6376" s="15">
        <v>2.0</v>
      </c>
      <c r="L6376" s="15">
        <v>2.0</v>
      </c>
      <c r="M6376" s="41">
        <v>42714.0</v>
      </c>
      <c r="N6376" s="40">
        <v>42752.0</v>
      </c>
      <c r="O6376" s="15" t="s">
        <v>1554</v>
      </c>
      <c r="Q6376" s="7"/>
    </row>
    <row r="6377">
      <c r="A6377" s="39" t="s">
        <v>24312</v>
      </c>
      <c r="B6377" s="15">
        <v>1923617.0</v>
      </c>
      <c r="C6377" s="15" t="s">
        <v>24314</v>
      </c>
      <c r="D6377" s="15">
        <v>361720.0</v>
      </c>
      <c r="E6377" s="15" t="s">
        <v>1664</v>
      </c>
      <c r="F6377" s="15" t="s">
        <v>1664</v>
      </c>
      <c r="G6377" s="7">
        <v>8.678</v>
      </c>
      <c r="H6377" s="15" t="s">
        <v>2864</v>
      </c>
      <c r="I6377" s="15" t="s">
        <v>1560</v>
      </c>
      <c r="J6377" s="15" t="s">
        <v>24315</v>
      </c>
      <c r="K6377" s="15">
        <v>2.0</v>
      </c>
      <c r="L6377" s="15">
        <v>2.0</v>
      </c>
      <c r="M6377" s="41">
        <v>42714.0</v>
      </c>
      <c r="N6377" s="40">
        <v>42752.0</v>
      </c>
      <c r="O6377" s="15" t="s">
        <v>1554</v>
      </c>
      <c r="Q6377" s="7"/>
    </row>
    <row r="6378">
      <c r="A6378" s="39" t="s">
        <v>24316</v>
      </c>
      <c r="B6378" s="15">
        <v>1923614.0</v>
      </c>
      <c r="C6378" s="15" t="s">
        <v>24317</v>
      </c>
      <c r="D6378" s="15">
        <v>361721.0</v>
      </c>
      <c r="E6378" s="15" t="s">
        <v>1664</v>
      </c>
      <c r="F6378" s="15" t="s">
        <v>1664</v>
      </c>
      <c r="G6378" s="7">
        <v>9.463</v>
      </c>
      <c r="H6378" s="15">
        <v>44.0</v>
      </c>
      <c r="I6378" s="15" t="s">
        <v>1560</v>
      </c>
      <c r="J6378" s="15" t="s">
        <v>24318</v>
      </c>
      <c r="K6378" s="15">
        <v>2.0</v>
      </c>
      <c r="L6378" s="15">
        <v>2.0</v>
      </c>
      <c r="M6378" s="41">
        <v>42714.0</v>
      </c>
      <c r="N6378" s="40">
        <v>42752.0</v>
      </c>
      <c r="O6378" s="15" t="s">
        <v>1554</v>
      </c>
      <c r="Q6378" s="7"/>
    </row>
    <row r="6379">
      <c r="A6379" s="39" t="s">
        <v>24319</v>
      </c>
      <c r="B6379" s="15">
        <v>1923613.0</v>
      </c>
      <c r="C6379" s="15" t="s">
        <v>24320</v>
      </c>
      <c r="D6379" s="15">
        <v>361722.0</v>
      </c>
      <c r="E6379" s="15" t="s">
        <v>1664</v>
      </c>
      <c r="F6379" s="15" t="s">
        <v>1664</v>
      </c>
      <c r="G6379" s="7">
        <v>10.012</v>
      </c>
      <c r="H6379" s="15" t="s">
        <v>1912</v>
      </c>
      <c r="I6379" s="15" t="s">
        <v>1560</v>
      </c>
      <c r="J6379" s="15" t="s">
        <v>24321</v>
      </c>
      <c r="K6379" s="15">
        <v>2.0</v>
      </c>
      <c r="L6379" s="15">
        <v>2.0</v>
      </c>
      <c r="M6379" s="41">
        <v>42714.0</v>
      </c>
      <c r="N6379" s="40">
        <v>42752.0</v>
      </c>
      <c r="O6379" s="15" t="s">
        <v>1554</v>
      </c>
      <c r="Q6379" s="7"/>
    </row>
    <row r="6380">
      <c r="A6380" s="39" t="s">
        <v>24323</v>
      </c>
      <c r="B6380" s="15">
        <v>1923612.0</v>
      </c>
      <c r="C6380" s="15" t="s">
        <v>24324</v>
      </c>
      <c r="D6380" s="15">
        <v>361723.0</v>
      </c>
      <c r="E6380" s="15" t="s">
        <v>1664</v>
      </c>
      <c r="F6380" s="15" t="s">
        <v>1664</v>
      </c>
      <c r="G6380" s="7">
        <v>8.091</v>
      </c>
      <c r="H6380" s="15" t="s">
        <v>2189</v>
      </c>
      <c r="I6380" s="15" t="s">
        <v>1560</v>
      </c>
      <c r="J6380" s="15" t="s">
        <v>24325</v>
      </c>
      <c r="K6380" s="15">
        <v>1.0</v>
      </c>
      <c r="L6380" s="15">
        <v>1.0</v>
      </c>
      <c r="M6380" s="41">
        <v>42714.0</v>
      </c>
      <c r="N6380" s="40">
        <v>42752.0</v>
      </c>
      <c r="O6380" s="15" t="s">
        <v>1554</v>
      </c>
      <c r="Q6380" s="7"/>
    </row>
    <row r="6381">
      <c r="A6381" s="39" t="s">
        <v>24326</v>
      </c>
      <c r="B6381" s="15">
        <v>1923611.0</v>
      </c>
      <c r="C6381" s="15" t="s">
        <v>24327</v>
      </c>
      <c r="D6381" s="15">
        <v>361724.0</v>
      </c>
      <c r="E6381" s="15" t="s">
        <v>1664</v>
      </c>
      <c r="F6381" s="15" t="s">
        <v>1664</v>
      </c>
      <c r="G6381" s="7">
        <v>9.287</v>
      </c>
      <c r="H6381" s="15">
        <v>49.0</v>
      </c>
      <c r="I6381" s="15" t="s">
        <v>1560</v>
      </c>
      <c r="J6381" s="15" t="s">
        <v>24328</v>
      </c>
      <c r="K6381" s="15">
        <v>2.0</v>
      </c>
      <c r="L6381" s="15">
        <v>2.0</v>
      </c>
      <c r="M6381" s="41">
        <v>42714.0</v>
      </c>
      <c r="N6381" s="40">
        <v>42752.0</v>
      </c>
      <c r="O6381" s="15" t="s">
        <v>1554</v>
      </c>
      <c r="Q6381" s="7"/>
    </row>
    <row r="6382">
      <c r="A6382" s="39" t="s">
        <v>24329</v>
      </c>
      <c r="B6382" s="15">
        <v>1923610.0</v>
      </c>
      <c r="C6382" s="15" t="s">
        <v>24330</v>
      </c>
      <c r="D6382" s="15">
        <v>361725.0</v>
      </c>
      <c r="E6382" s="15" t="s">
        <v>1664</v>
      </c>
      <c r="F6382" s="15" t="s">
        <v>1664</v>
      </c>
      <c r="G6382" s="7">
        <v>8.464</v>
      </c>
      <c r="H6382" s="15" t="s">
        <v>1756</v>
      </c>
      <c r="I6382" s="15" t="s">
        <v>1560</v>
      </c>
      <c r="J6382" s="15" t="s">
        <v>24331</v>
      </c>
      <c r="K6382" s="15">
        <v>1.0</v>
      </c>
      <c r="L6382" s="15">
        <v>1.0</v>
      </c>
      <c r="M6382" s="41">
        <v>42714.0</v>
      </c>
      <c r="N6382" s="40">
        <v>42752.0</v>
      </c>
      <c r="O6382" s="15" t="s">
        <v>1554</v>
      </c>
      <c r="Q6382" s="7"/>
    </row>
    <row r="6383">
      <c r="A6383" s="39" t="s">
        <v>24333</v>
      </c>
      <c r="B6383" s="15">
        <v>1923609.0</v>
      </c>
      <c r="C6383" s="15" t="s">
        <v>24334</v>
      </c>
      <c r="D6383" s="15">
        <v>361726.0</v>
      </c>
      <c r="E6383" s="15" t="s">
        <v>1664</v>
      </c>
      <c r="F6383" s="15" t="s">
        <v>1664</v>
      </c>
      <c r="G6383" s="7">
        <v>8.778</v>
      </c>
      <c r="H6383" s="15" t="s">
        <v>1823</v>
      </c>
      <c r="I6383" s="15" t="s">
        <v>1560</v>
      </c>
      <c r="J6383" s="15" t="s">
        <v>24335</v>
      </c>
      <c r="K6383" s="15">
        <v>1.0</v>
      </c>
      <c r="L6383" s="15">
        <v>1.0</v>
      </c>
      <c r="M6383" s="41">
        <v>42714.0</v>
      </c>
      <c r="N6383" s="40">
        <v>42752.0</v>
      </c>
      <c r="O6383" s="15" t="s">
        <v>1554</v>
      </c>
      <c r="Q6383" s="7"/>
    </row>
    <row r="6384">
      <c r="A6384" s="39" t="s">
        <v>24336</v>
      </c>
      <c r="B6384" s="15">
        <v>1923608.0</v>
      </c>
      <c r="C6384" s="15" t="s">
        <v>24337</v>
      </c>
      <c r="D6384" s="15">
        <v>361727.0</v>
      </c>
      <c r="E6384" s="15" t="s">
        <v>1664</v>
      </c>
      <c r="F6384" s="15" t="s">
        <v>1664</v>
      </c>
      <c r="G6384" s="7">
        <v>9.223</v>
      </c>
      <c r="H6384" s="15" t="s">
        <v>6633</v>
      </c>
      <c r="I6384" s="15" t="s">
        <v>1560</v>
      </c>
      <c r="J6384" s="15" t="s">
        <v>24338</v>
      </c>
      <c r="K6384" s="15">
        <v>1.0</v>
      </c>
      <c r="L6384" s="15">
        <v>1.0</v>
      </c>
      <c r="M6384" s="41">
        <v>42714.0</v>
      </c>
      <c r="N6384" s="40">
        <v>42752.0</v>
      </c>
      <c r="O6384" s="15" t="s">
        <v>1554</v>
      </c>
      <c r="Q6384" s="7"/>
    </row>
    <row r="6385">
      <c r="A6385" s="39" t="s">
        <v>24339</v>
      </c>
      <c r="B6385" s="15">
        <v>1923607.0</v>
      </c>
      <c r="C6385" s="15" t="s">
        <v>24340</v>
      </c>
      <c r="D6385" s="15">
        <v>361728.0</v>
      </c>
      <c r="E6385" s="15" t="s">
        <v>1664</v>
      </c>
      <c r="F6385" s="15" t="s">
        <v>1664</v>
      </c>
      <c r="G6385" s="7">
        <v>8.89</v>
      </c>
      <c r="H6385" s="15">
        <v>42.0</v>
      </c>
      <c r="I6385" s="15" t="s">
        <v>1560</v>
      </c>
      <c r="J6385" s="15" t="s">
        <v>24341</v>
      </c>
      <c r="K6385" s="15">
        <v>1.0</v>
      </c>
      <c r="L6385" s="15">
        <v>1.0</v>
      </c>
      <c r="M6385" s="41">
        <v>42714.0</v>
      </c>
      <c r="N6385" s="40">
        <v>42752.0</v>
      </c>
      <c r="O6385" s="15" t="s">
        <v>1554</v>
      </c>
      <c r="Q6385" s="7"/>
    </row>
    <row r="6386">
      <c r="A6386" s="39" t="s">
        <v>24343</v>
      </c>
      <c r="B6386" s="15">
        <v>1923606.0</v>
      </c>
      <c r="C6386" s="15" t="s">
        <v>24344</v>
      </c>
      <c r="D6386" s="15">
        <v>361729.0</v>
      </c>
      <c r="E6386" s="15" t="s">
        <v>1664</v>
      </c>
      <c r="F6386" s="15" t="s">
        <v>1664</v>
      </c>
      <c r="G6386" s="7">
        <v>7.62</v>
      </c>
      <c r="H6386" s="15" t="s">
        <v>6418</v>
      </c>
      <c r="I6386" s="15" t="s">
        <v>1560</v>
      </c>
      <c r="J6386" s="15" t="s">
        <v>24345</v>
      </c>
      <c r="K6386" s="15">
        <v>2.0</v>
      </c>
      <c r="L6386" s="15">
        <v>2.0</v>
      </c>
      <c r="M6386" s="41">
        <v>42714.0</v>
      </c>
      <c r="N6386" s="40">
        <v>42752.0</v>
      </c>
      <c r="O6386" s="15" t="s">
        <v>1554</v>
      </c>
      <c r="Q6386" s="7"/>
    </row>
    <row r="6387">
      <c r="A6387" s="39" t="s">
        <v>24346</v>
      </c>
      <c r="B6387" s="15">
        <v>1923605.0</v>
      </c>
      <c r="C6387" s="15" t="s">
        <v>24347</v>
      </c>
      <c r="D6387" s="15">
        <v>361730.0</v>
      </c>
      <c r="E6387" s="15" t="s">
        <v>1664</v>
      </c>
      <c r="F6387" s="15" t="s">
        <v>1664</v>
      </c>
      <c r="G6387" s="7">
        <v>8.476</v>
      </c>
      <c r="H6387" s="15" t="s">
        <v>4287</v>
      </c>
      <c r="I6387" s="15" t="s">
        <v>1560</v>
      </c>
      <c r="J6387" s="15" t="s">
        <v>24348</v>
      </c>
      <c r="K6387" s="15">
        <v>2.0</v>
      </c>
      <c r="L6387" s="15">
        <v>2.0</v>
      </c>
      <c r="M6387" s="41">
        <v>42714.0</v>
      </c>
      <c r="N6387" s="40">
        <v>42752.0</v>
      </c>
      <c r="O6387" s="15" t="s">
        <v>1554</v>
      </c>
      <c r="Q6387" s="7"/>
    </row>
    <row r="6388">
      <c r="A6388" s="39" t="s">
        <v>24349</v>
      </c>
      <c r="B6388" s="15">
        <v>1923604.0</v>
      </c>
      <c r="C6388" s="15" t="s">
        <v>24350</v>
      </c>
      <c r="D6388" s="15">
        <v>361731.0</v>
      </c>
      <c r="E6388" s="15" t="s">
        <v>1664</v>
      </c>
      <c r="F6388" s="15" t="s">
        <v>1664</v>
      </c>
      <c r="G6388" s="7">
        <v>8.895</v>
      </c>
      <c r="H6388" s="15">
        <v>38.0</v>
      </c>
      <c r="I6388" s="15" t="s">
        <v>1560</v>
      </c>
      <c r="J6388" s="15" t="s">
        <v>24352</v>
      </c>
      <c r="K6388" s="15">
        <v>2.0</v>
      </c>
      <c r="L6388" s="15">
        <v>2.0</v>
      </c>
      <c r="M6388" s="41">
        <v>42714.0</v>
      </c>
      <c r="N6388" s="40">
        <v>42752.0</v>
      </c>
      <c r="O6388" s="15" t="s">
        <v>1554</v>
      </c>
      <c r="Q6388" s="7"/>
    </row>
    <row r="6389">
      <c r="A6389" s="39" t="s">
        <v>24353</v>
      </c>
      <c r="B6389" s="15">
        <v>1923603.0</v>
      </c>
      <c r="C6389" s="15" t="s">
        <v>24354</v>
      </c>
      <c r="D6389" s="15">
        <v>361732.0</v>
      </c>
      <c r="E6389" s="15" t="s">
        <v>1664</v>
      </c>
      <c r="F6389" s="15" t="s">
        <v>1664</v>
      </c>
      <c r="G6389" s="7">
        <v>10.153</v>
      </c>
      <c r="H6389" s="15" t="s">
        <v>3097</v>
      </c>
      <c r="I6389" s="15" t="s">
        <v>1560</v>
      </c>
      <c r="J6389" s="15" t="s">
        <v>24355</v>
      </c>
      <c r="K6389" s="15">
        <v>2.0</v>
      </c>
      <c r="L6389" s="15">
        <v>2.0</v>
      </c>
      <c r="M6389" s="41">
        <v>42714.0</v>
      </c>
      <c r="N6389" s="40">
        <v>42752.0</v>
      </c>
      <c r="O6389" s="15" t="s">
        <v>1554</v>
      </c>
      <c r="Q6389" s="7"/>
    </row>
    <row r="6390">
      <c r="A6390" s="39" t="s">
        <v>24356</v>
      </c>
      <c r="B6390" s="15">
        <v>1923602.0</v>
      </c>
      <c r="C6390" s="15" t="s">
        <v>24357</v>
      </c>
      <c r="D6390" s="15">
        <v>361733.0</v>
      </c>
      <c r="E6390" s="15" t="s">
        <v>1664</v>
      </c>
      <c r="F6390" s="15" t="s">
        <v>1664</v>
      </c>
      <c r="G6390" s="7">
        <v>6.682</v>
      </c>
      <c r="H6390" s="15" t="s">
        <v>1700</v>
      </c>
      <c r="I6390" s="15" t="s">
        <v>1560</v>
      </c>
      <c r="J6390" s="15" t="s">
        <v>24358</v>
      </c>
      <c r="K6390" s="15">
        <v>1.0</v>
      </c>
      <c r="L6390" s="15">
        <v>1.0</v>
      </c>
      <c r="M6390" s="41">
        <v>42714.0</v>
      </c>
      <c r="N6390" s="40">
        <v>42752.0</v>
      </c>
      <c r="O6390" s="15" t="s">
        <v>1554</v>
      </c>
      <c r="Q6390" s="7"/>
    </row>
    <row r="6391">
      <c r="A6391" s="39" t="s">
        <v>24359</v>
      </c>
      <c r="B6391" s="15">
        <v>1923601.0</v>
      </c>
      <c r="C6391" s="15" t="s">
        <v>24360</v>
      </c>
      <c r="D6391" s="15">
        <v>361734.0</v>
      </c>
      <c r="E6391" s="15" t="s">
        <v>1664</v>
      </c>
      <c r="F6391" s="15" t="s">
        <v>1664</v>
      </c>
      <c r="G6391" s="7">
        <v>8.127</v>
      </c>
      <c r="H6391" s="15" t="s">
        <v>3309</v>
      </c>
      <c r="I6391" s="15" t="s">
        <v>1560</v>
      </c>
      <c r="J6391" s="15" t="s">
        <v>24361</v>
      </c>
      <c r="K6391" s="15">
        <v>2.0</v>
      </c>
      <c r="L6391" s="15">
        <v>2.0</v>
      </c>
      <c r="M6391" s="41">
        <v>42714.0</v>
      </c>
      <c r="N6391" s="40">
        <v>42752.0</v>
      </c>
      <c r="O6391" s="15" t="s">
        <v>1554</v>
      </c>
      <c r="Q6391" s="7"/>
    </row>
    <row r="6392">
      <c r="A6392" s="39" t="s">
        <v>24362</v>
      </c>
      <c r="B6392" s="15">
        <v>1923600.0</v>
      </c>
      <c r="C6392" s="15" t="s">
        <v>24363</v>
      </c>
      <c r="D6392" s="15">
        <v>361735.0</v>
      </c>
      <c r="E6392" s="15" t="s">
        <v>1664</v>
      </c>
      <c r="F6392" s="15" t="s">
        <v>1664</v>
      </c>
      <c r="G6392" s="7">
        <v>6.372</v>
      </c>
      <c r="H6392" s="15" t="s">
        <v>1559</v>
      </c>
      <c r="I6392" s="15" t="s">
        <v>1560</v>
      </c>
      <c r="J6392" s="15" t="s">
        <v>24364</v>
      </c>
      <c r="K6392" s="15">
        <v>1.0</v>
      </c>
      <c r="L6392" s="15">
        <v>1.0</v>
      </c>
      <c r="M6392" s="41">
        <v>42714.0</v>
      </c>
      <c r="N6392" s="40">
        <v>42752.0</v>
      </c>
      <c r="O6392" s="15" t="s">
        <v>1554</v>
      </c>
      <c r="Q6392" s="7"/>
    </row>
    <row r="6393">
      <c r="A6393" s="39" t="s">
        <v>24365</v>
      </c>
      <c r="B6393" s="15">
        <v>1923599.0</v>
      </c>
      <c r="C6393" s="15" t="s">
        <v>24366</v>
      </c>
      <c r="D6393" s="15">
        <v>361736.0</v>
      </c>
      <c r="E6393" s="15" t="s">
        <v>1664</v>
      </c>
      <c r="F6393" s="15" t="s">
        <v>1664</v>
      </c>
      <c r="G6393" s="7">
        <v>8.61</v>
      </c>
      <c r="H6393" s="15" t="s">
        <v>1720</v>
      </c>
      <c r="I6393" s="15" t="s">
        <v>1560</v>
      </c>
      <c r="J6393" s="15" t="s">
        <v>24367</v>
      </c>
      <c r="K6393" s="15">
        <v>2.0</v>
      </c>
      <c r="L6393" s="15">
        <v>2.0</v>
      </c>
      <c r="M6393" s="41">
        <v>42714.0</v>
      </c>
      <c r="N6393" s="40">
        <v>42752.0</v>
      </c>
      <c r="O6393" s="15" t="s">
        <v>1554</v>
      </c>
      <c r="Q6393" s="7"/>
    </row>
    <row r="6394">
      <c r="A6394" s="39" t="s">
        <v>24368</v>
      </c>
      <c r="B6394" s="15">
        <v>1923598.0</v>
      </c>
      <c r="C6394" s="15" t="s">
        <v>24369</v>
      </c>
      <c r="D6394" s="15">
        <v>361737.0</v>
      </c>
      <c r="E6394" s="15" t="s">
        <v>1664</v>
      </c>
      <c r="F6394" s="15" t="s">
        <v>1664</v>
      </c>
      <c r="G6394" s="7">
        <v>8.951</v>
      </c>
      <c r="H6394" s="15" t="s">
        <v>2223</v>
      </c>
      <c r="I6394" s="15" t="s">
        <v>1560</v>
      </c>
      <c r="J6394" s="15" t="s">
        <v>24370</v>
      </c>
      <c r="K6394" s="15">
        <v>2.0</v>
      </c>
      <c r="L6394" s="15">
        <v>2.0</v>
      </c>
      <c r="M6394" s="41">
        <v>42714.0</v>
      </c>
      <c r="N6394" s="40">
        <v>42752.0</v>
      </c>
      <c r="O6394" s="15" t="s">
        <v>1554</v>
      </c>
      <c r="Q6394" s="7"/>
    </row>
    <row r="6395">
      <c r="A6395" s="39" t="s">
        <v>24371</v>
      </c>
      <c r="B6395" s="15">
        <v>1923597.0</v>
      </c>
      <c r="C6395" s="15" t="s">
        <v>24372</v>
      </c>
      <c r="D6395" s="15">
        <v>361738.0</v>
      </c>
      <c r="E6395" s="15" t="s">
        <v>1664</v>
      </c>
      <c r="F6395" s="15" t="s">
        <v>1664</v>
      </c>
      <c r="G6395" s="7">
        <v>9.458</v>
      </c>
      <c r="H6395" s="15" t="s">
        <v>2660</v>
      </c>
      <c r="I6395" s="15" t="s">
        <v>1560</v>
      </c>
      <c r="J6395" s="15" t="s">
        <v>24373</v>
      </c>
      <c r="K6395" s="15">
        <v>1.0</v>
      </c>
      <c r="L6395" s="15">
        <v>1.0</v>
      </c>
      <c r="M6395" s="41">
        <v>42714.0</v>
      </c>
      <c r="N6395" s="40">
        <v>42752.0</v>
      </c>
      <c r="O6395" s="15" t="s">
        <v>1554</v>
      </c>
      <c r="Q6395" s="7"/>
    </row>
    <row r="6396">
      <c r="A6396" s="39" t="s">
        <v>24374</v>
      </c>
      <c r="B6396" s="15">
        <v>1923596.0</v>
      </c>
      <c r="C6396" s="15" t="s">
        <v>24375</v>
      </c>
      <c r="D6396" s="15">
        <v>361739.0</v>
      </c>
      <c r="E6396" s="15" t="s">
        <v>1664</v>
      </c>
      <c r="F6396" s="15" t="s">
        <v>1664</v>
      </c>
      <c r="G6396" s="7">
        <v>9.025</v>
      </c>
      <c r="H6396" s="15" t="s">
        <v>2552</v>
      </c>
      <c r="I6396" s="15" t="s">
        <v>1560</v>
      </c>
      <c r="J6396" s="15" t="s">
        <v>24376</v>
      </c>
      <c r="K6396" s="15">
        <v>2.0</v>
      </c>
      <c r="L6396" s="15">
        <v>2.0</v>
      </c>
      <c r="M6396" s="41">
        <v>42714.0</v>
      </c>
      <c r="N6396" s="40">
        <v>42752.0</v>
      </c>
      <c r="O6396" s="15" t="s">
        <v>1554</v>
      </c>
      <c r="Q6396" s="7"/>
    </row>
    <row r="6397">
      <c r="A6397" s="39" t="s">
        <v>24377</v>
      </c>
      <c r="B6397" s="15">
        <v>1923595.0</v>
      </c>
      <c r="C6397" s="15" t="s">
        <v>24379</v>
      </c>
      <c r="D6397" s="15">
        <v>361740.0</v>
      </c>
      <c r="E6397" s="15" t="s">
        <v>1664</v>
      </c>
      <c r="F6397" s="15" t="s">
        <v>1664</v>
      </c>
      <c r="G6397" s="7">
        <v>7.094</v>
      </c>
      <c r="H6397" s="15" t="s">
        <v>2005</v>
      </c>
      <c r="I6397" s="15" t="s">
        <v>1560</v>
      </c>
      <c r="J6397" s="15" t="s">
        <v>24380</v>
      </c>
      <c r="K6397" s="15">
        <v>1.0</v>
      </c>
      <c r="L6397" s="15">
        <v>1.0</v>
      </c>
      <c r="M6397" s="41">
        <v>42714.0</v>
      </c>
      <c r="N6397" s="40">
        <v>42752.0</v>
      </c>
      <c r="O6397" s="15" t="s">
        <v>1554</v>
      </c>
      <c r="Q6397" s="7"/>
    </row>
    <row r="6398">
      <c r="A6398" s="39" t="s">
        <v>24381</v>
      </c>
      <c r="B6398" s="15">
        <v>1923594.0</v>
      </c>
      <c r="C6398" s="15" t="s">
        <v>24382</v>
      </c>
      <c r="D6398" s="15">
        <v>361741.0</v>
      </c>
      <c r="E6398" s="15" t="s">
        <v>1664</v>
      </c>
      <c r="F6398" s="15" t="s">
        <v>1664</v>
      </c>
      <c r="G6398" s="7">
        <v>9.142</v>
      </c>
      <c r="H6398" s="15" t="s">
        <v>1943</v>
      </c>
      <c r="I6398" s="15" t="s">
        <v>1560</v>
      </c>
      <c r="J6398" s="15" t="s">
        <v>24383</v>
      </c>
      <c r="K6398" s="15">
        <v>2.0</v>
      </c>
      <c r="L6398" s="15">
        <v>2.0</v>
      </c>
      <c r="M6398" s="41">
        <v>42714.0</v>
      </c>
      <c r="N6398" s="40">
        <v>42752.0</v>
      </c>
      <c r="O6398" s="15" t="s">
        <v>1554</v>
      </c>
      <c r="Q6398" s="7"/>
    </row>
    <row r="6399">
      <c r="A6399" s="39" t="s">
        <v>24384</v>
      </c>
      <c r="B6399" s="15">
        <v>1923593.0</v>
      </c>
      <c r="C6399" s="15" t="s">
        <v>24385</v>
      </c>
      <c r="D6399" s="15">
        <v>361742.0</v>
      </c>
      <c r="E6399" s="15" t="s">
        <v>1664</v>
      </c>
      <c r="F6399" s="15" t="s">
        <v>1664</v>
      </c>
      <c r="G6399" s="7">
        <v>8.804</v>
      </c>
      <c r="H6399" s="15" t="s">
        <v>2178</v>
      </c>
      <c r="I6399" s="15" t="s">
        <v>1560</v>
      </c>
      <c r="J6399" s="15" t="s">
        <v>24386</v>
      </c>
      <c r="K6399" s="15">
        <v>2.0</v>
      </c>
      <c r="L6399" s="15">
        <v>2.0</v>
      </c>
      <c r="M6399" s="41">
        <v>42714.0</v>
      </c>
      <c r="N6399" s="40">
        <v>42752.0</v>
      </c>
      <c r="O6399" s="15" t="s">
        <v>1554</v>
      </c>
      <c r="Q6399" s="7"/>
    </row>
    <row r="6400">
      <c r="A6400" s="39" t="s">
        <v>24387</v>
      </c>
      <c r="B6400" s="15">
        <v>1923584.0</v>
      </c>
      <c r="C6400" s="15" t="s">
        <v>24388</v>
      </c>
      <c r="D6400" s="15">
        <v>361743.0</v>
      </c>
      <c r="E6400" s="15" t="s">
        <v>1664</v>
      </c>
      <c r="F6400" s="15" t="s">
        <v>1664</v>
      </c>
      <c r="G6400" s="7">
        <v>4.228</v>
      </c>
      <c r="H6400" s="15" t="s">
        <v>4401</v>
      </c>
      <c r="I6400" s="15" t="s">
        <v>1560</v>
      </c>
      <c r="J6400" s="15" t="s">
        <v>24389</v>
      </c>
      <c r="K6400" s="15">
        <v>1.0</v>
      </c>
      <c r="L6400" s="15">
        <v>1.0</v>
      </c>
      <c r="M6400" s="41">
        <v>42714.0</v>
      </c>
      <c r="N6400" s="40">
        <v>42752.0</v>
      </c>
      <c r="O6400" s="15" t="s">
        <v>1554</v>
      </c>
      <c r="Q6400" s="7"/>
    </row>
    <row r="6401">
      <c r="A6401" s="39" t="s">
        <v>24390</v>
      </c>
      <c r="B6401" s="15">
        <v>1923583.0</v>
      </c>
      <c r="C6401" s="15" t="s">
        <v>24391</v>
      </c>
      <c r="D6401" s="15">
        <v>361744.0</v>
      </c>
      <c r="E6401" s="15" t="s">
        <v>1664</v>
      </c>
      <c r="F6401" s="15" t="s">
        <v>1664</v>
      </c>
      <c r="G6401" s="7">
        <v>2.768</v>
      </c>
      <c r="H6401" s="15" t="s">
        <v>1782</v>
      </c>
      <c r="I6401" s="15" t="s">
        <v>1560</v>
      </c>
      <c r="J6401" s="15" t="s">
        <v>24392</v>
      </c>
      <c r="K6401" s="15">
        <v>1.0</v>
      </c>
      <c r="L6401" s="15">
        <v>1.0</v>
      </c>
      <c r="M6401" s="41">
        <v>42714.0</v>
      </c>
      <c r="N6401" s="40">
        <v>42752.0</v>
      </c>
      <c r="O6401" s="15" t="s">
        <v>1554</v>
      </c>
      <c r="Q6401" s="7"/>
    </row>
    <row r="6402">
      <c r="A6402" s="39" t="s">
        <v>24393</v>
      </c>
      <c r="B6402" s="15">
        <v>1923582.0</v>
      </c>
      <c r="C6402" s="15" t="s">
        <v>24395</v>
      </c>
      <c r="D6402" s="15">
        <v>361745.0</v>
      </c>
      <c r="E6402" s="15" t="s">
        <v>1664</v>
      </c>
      <c r="F6402" s="15" t="s">
        <v>1664</v>
      </c>
      <c r="G6402" s="7">
        <v>3.206</v>
      </c>
      <c r="H6402" s="15" t="s">
        <v>6303</v>
      </c>
      <c r="I6402" s="15" t="s">
        <v>1560</v>
      </c>
      <c r="J6402" s="15" t="s">
        <v>24396</v>
      </c>
      <c r="K6402" s="15">
        <v>1.0</v>
      </c>
      <c r="L6402" s="15">
        <v>1.0</v>
      </c>
      <c r="M6402" s="41">
        <v>42714.0</v>
      </c>
      <c r="N6402" s="40">
        <v>42752.0</v>
      </c>
      <c r="O6402" s="15" t="s">
        <v>1554</v>
      </c>
      <c r="Q6402" s="7"/>
    </row>
    <row r="6403">
      <c r="A6403" s="39" t="s">
        <v>24397</v>
      </c>
      <c r="B6403" s="15">
        <v>1923580.0</v>
      </c>
      <c r="C6403" s="15" t="s">
        <v>24398</v>
      </c>
      <c r="D6403" s="15">
        <v>361746.0</v>
      </c>
      <c r="E6403" s="15" t="s">
        <v>1664</v>
      </c>
      <c r="F6403" s="15" t="s">
        <v>1664</v>
      </c>
      <c r="G6403" s="7">
        <v>3.959</v>
      </c>
      <c r="H6403" s="15" t="s">
        <v>2451</v>
      </c>
      <c r="I6403" s="15" t="s">
        <v>1560</v>
      </c>
      <c r="J6403" s="15" t="s">
        <v>24399</v>
      </c>
      <c r="K6403" s="15">
        <v>2.0</v>
      </c>
      <c r="L6403" s="15">
        <v>2.0</v>
      </c>
      <c r="M6403" s="41">
        <v>42714.0</v>
      </c>
      <c r="N6403" s="40">
        <v>42752.0</v>
      </c>
      <c r="O6403" s="15" t="s">
        <v>1554</v>
      </c>
      <c r="Q6403" s="7"/>
    </row>
    <row r="6404">
      <c r="A6404" s="39" t="s">
        <v>24400</v>
      </c>
      <c r="B6404" s="15">
        <v>1923578.0</v>
      </c>
      <c r="C6404" s="15" t="s">
        <v>24401</v>
      </c>
      <c r="D6404" s="15">
        <v>361747.0</v>
      </c>
      <c r="E6404" s="15" t="s">
        <v>1664</v>
      </c>
      <c r="F6404" s="15" t="s">
        <v>1664</v>
      </c>
      <c r="G6404" s="7">
        <v>2.716</v>
      </c>
      <c r="H6404" s="15" t="s">
        <v>5457</v>
      </c>
      <c r="I6404" s="15" t="s">
        <v>1560</v>
      </c>
      <c r="J6404" s="15" t="s">
        <v>24402</v>
      </c>
      <c r="K6404" s="15">
        <v>1.0</v>
      </c>
      <c r="L6404" s="15">
        <v>1.0</v>
      </c>
      <c r="M6404" s="41">
        <v>42714.0</v>
      </c>
      <c r="N6404" s="40">
        <v>42752.0</v>
      </c>
      <c r="O6404" s="15" t="s">
        <v>1554</v>
      </c>
      <c r="Q6404" s="7"/>
    </row>
    <row r="6405">
      <c r="A6405" s="39" t="s">
        <v>24404</v>
      </c>
      <c r="B6405" s="15">
        <v>1923577.0</v>
      </c>
      <c r="C6405" s="15" t="s">
        <v>24405</v>
      </c>
      <c r="D6405" s="15">
        <v>361748.0</v>
      </c>
      <c r="E6405" s="15" t="s">
        <v>1664</v>
      </c>
      <c r="F6405" s="15" t="s">
        <v>1664</v>
      </c>
      <c r="G6405" s="7">
        <v>2.642</v>
      </c>
      <c r="H6405" s="15" t="s">
        <v>6085</v>
      </c>
      <c r="I6405" s="15" t="s">
        <v>1560</v>
      </c>
      <c r="J6405" s="15" t="s">
        <v>24406</v>
      </c>
      <c r="K6405" s="15">
        <v>1.0</v>
      </c>
      <c r="L6405" s="15">
        <v>1.0</v>
      </c>
      <c r="M6405" s="41">
        <v>42714.0</v>
      </c>
      <c r="N6405" s="40">
        <v>42752.0</v>
      </c>
      <c r="O6405" s="15" t="s">
        <v>1554</v>
      </c>
      <c r="Q6405" s="7"/>
    </row>
    <row r="6406">
      <c r="A6406" s="39" t="s">
        <v>24407</v>
      </c>
      <c r="B6406" s="15">
        <v>1923566.0</v>
      </c>
      <c r="C6406" s="15" t="s">
        <v>24408</v>
      </c>
      <c r="D6406" s="15">
        <v>361749.0</v>
      </c>
      <c r="E6406" s="15" t="s">
        <v>1664</v>
      </c>
      <c r="F6406" s="15" t="s">
        <v>1664</v>
      </c>
      <c r="G6406" s="7">
        <v>10.162</v>
      </c>
      <c r="H6406" s="15" t="s">
        <v>2197</v>
      </c>
      <c r="I6406" s="15" t="s">
        <v>1560</v>
      </c>
      <c r="J6406" s="15" t="s">
        <v>24409</v>
      </c>
      <c r="K6406" s="15">
        <v>5.0</v>
      </c>
      <c r="L6406" s="15">
        <v>5.0</v>
      </c>
      <c r="M6406" s="41">
        <v>42714.0</v>
      </c>
      <c r="N6406" s="40">
        <v>42752.0</v>
      </c>
      <c r="O6406" s="15" t="s">
        <v>1554</v>
      </c>
      <c r="Q6406" s="7"/>
    </row>
    <row r="6407">
      <c r="A6407" s="39" t="s">
        <v>24410</v>
      </c>
      <c r="B6407" s="15">
        <v>1923565.0</v>
      </c>
      <c r="C6407" s="15" t="s">
        <v>24411</v>
      </c>
      <c r="D6407" s="15">
        <v>361750.0</v>
      </c>
      <c r="E6407" s="15" t="s">
        <v>1664</v>
      </c>
      <c r="F6407" s="15" t="s">
        <v>1664</v>
      </c>
      <c r="G6407" s="7">
        <v>7.652</v>
      </c>
      <c r="H6407" s="15" t="s">
        <v>2118</v>
      </c>
      <c r="I6407" s="15" t="s">
        <v>1560</v>
      </c>
      <c r="J6407" s="15" t="s">
        <v>24412</v>
      </c>
      <c r="K6407" s="15">
        <v>2.0</v>
      </c>
      <c r="L6407" s="15">
        <v>2.0</v>
      </c>
      <c r="M6407" s="41">
        <v>42714.0</v>
      </c>
      <c r="N6407" s="40">
        <v>42752.0</v>
      </c>
      <c r="O6407" s="15" t="s">
        <v>1554</v>
      </c>
      <c r="Q6407" s="7"/>
    </row>
    <row r="6408">
      <c r="A6408" s="39" t="s">
        <v>24414</v>
      </c>
      <c r="B6408" s="15">
        <v>1923564.0</v>
      </c>
      <c r="C6408" s="15" t="s">
        <v>24415</v>
      </c>
      <c r="D6408" s="15">
        <v>361751.0</v>
      </c>
      <c r="E6408" s="15" t="s">
        <v>1664</v>
      </c>
      <c r="F6408" s="15" t="s">
        <v>1664</v>
      </c>
      <c r="G6408" s="7">
        <v>8.926</v>
      </c>
      <c r="H6408" s="15" t="s">
        <v>21399</v>
      </c>
      <c r="I6408" s="15" t="s">
        <v>1560</v>
      </c>
      <c r="J6408" s="15" t="s">
        <v>24416</v>
      </c>
      <c r="K6408" s="15">
        <v>1.0</v>
      </c>
      <c r="L6408" s="15">
        <v>1.0</v>
      </c>
      <c r="M6408" s="41">
        <v>42714.0</v>
      </c>
      <c r="N6408" s="40">
        <v>42752.0</v>
      </c>
      <c r="O6408" s="15" t="s">
        <v>1554</v>
      </c>
      <c r="Q6408" s="7"/>
    </row>
    <row r="6409">
      <c r="A6409" s="39" t="s">
        <v>24417</v>
      </c>
      <c r="B6409" s="15">
        <v>1923563.0</v>
      </c>
      <c r="C6409" s="15" t="s">
        <v>24418</v>
      </c>
      <c r="D6409" s="15">
        <v>361752.0</v>
      </c>
      <c r="E6409" s="15" t="s">
        <v>1664</v>
      </c>
      <c r="F6409" s="15" t="s">
        <v>1664</v>
      </c>
      <c r="G6409" s="7">
        <v>9.309</v>
      </c>
      <c r="H6409" s="15" t="s">
        <v>1902</v>
      </c>
      <c r="I6409" s="15" t="s">
        <v>1560</v>
      </c>
      <c r="J6409" s="15" t="s">
        <v>24419</v>
      </c>
      <c r="K6409" s="15">
        <v>2.0</v>
      </c>
      <c r="L6409" s="15">
        <v>2.0</v>
      </c>
      <c r="M6409" s="41">
        <v>42714.0</v>
      </c>
      <c r="N6409" s="40">
        <v>42752.0</v>
      </c>
      <c r="O6409" s="15" t="s">
        <v>1554</v>
      </c>
      <c r="Q6409" s="7"/>
    </row>
    <row r="6410">
      <c r="A6410" s="39" t="s">
        <v>24420</v>
      </c>
      <c r="B6410" s="15">
        <v>1923562.0</v>
      </c>
      <c r="C6410" s="15" t="s">
        <v>24421</v>
      </c>
      <c r="D6410" s="15">
        <v>361753.0</v>
      </c>
      <c r="E6410" s="15" t="s">
        <v>1664</v>
      </c>
      <c r="F6410" s="15" t="s">
        <v>1664</v>
      </c>
      <c r="G6410" s="7">
        <v>8.691</v>
      </c>
      <c r="H6410" s="15" t="s">
        <v>2131</v>
      </c>
      <c r="I6410" s="15" t="s">
        <v>1560</v>
      </c>
      <c r="J6410" s="15" t="s">
        <v>24422</v>
      </c>
      <c r="K6410" s="15">
        <v>5.0</v>
      </c>
      <c r="L6410" s="15">
        <v>5.0</v>
      </c>
      <c r="M6410" s="41">
        <v>42714.0</v>
      </c>
      <c r="N6410" s="40">
        <v>42752.0</v>
      </c>
      <c r="O6410" s="15" t="s">
        <v>1554</v>
      </c>
      <c r="Q6410" s="7"/>
    </row>
    <row r="6411">
      <c r="A6411" s="39" t="s">
        <v>24424</v>
      </c>
      <c r="B6411" s="15">
        <v>1923561.0</v>
      </c>
      <c r="C6411" s="15" t="s">
        <v>24425</v>
      </c>
      <c r="D6411" s="15">
        <v>361754.0</v>
      </c>
      <c r="E6411" s="15" t="s">
        <v>1664</v>
      </c>
      <c r="F6411" s="15" t="s">
        <v>1664</v>
      </c>
      <c r="G6411" s="7">
        <v>4.778</v>
      </c>
      <c r="H6411" s="15" t="s">
        <v>4542</v>
      </c>
      <c r="I6411" s="15" t="s">
        <v>1560</v>
      </c>
      <c r="J6411" s="15" t="s">
        <v>24426</v>
      </c>
      <c r="K6411" s="15">
        <v>3.0</v>
      </c>
      <c r="L6411" s="15">
        <v>3.0</v>
      </c>
      <c r="M6411" s="41">
        <v>42714.0</v>
      </c>
      <c r="N6411" s="40">
        <v>42752.0</v>
      </c>
      <c r="O6411" s="15" t="s">
        <v>1554</v>
      </c>
      <c r="Q6411" s="7"/>
    </row>
    <row r="6412">
      <c r="A6412" s="39" t="s">
        <v>24427</v>
      </c>
      <c r="B6412" s="15">
        <v>1923559.0</v>
      </c>
      <c r="C6412" s="15" t="s">
        <v>24428</v>
      </c>
      <c r="D6412" s="15">
        <v>361755.0</v>
      </c>
      <c r="E6412" s="15" t="s">
        <v>1664</v>
      </c>
      <c r="F6412" s="15" t="s">
        <v>1664</v>
      </c>
      <c r="G6412" s="7">
        <v>8.377</v>
      </c>
      <c r="H6412" s="15" t="s">
        <v>6303</v>
      </c>
      <c r="I6412" s="15" t="s">
        <v>1560</v>
      </c>
      <c r="J6412" s="15" t="s">
        <v>24429</v>
      </c>
      <c r="K6412" s="15">
        <v>1.0</v>
      </c>
      <c r="L6412" s="15">
        <v>1.0</v>
      </c>
      <c r="M6412" s="41">
        <v>42714.0</v>
      </c>
      <c r="N6412" s="40">
        <v>42752.0</v>
      </c>
      <c r="O6412" s="15" t="s">
        <v>1554</v>
      </c>
      <c r="Q6412" s="7"/>
    </row>
    <row r="6413">
      <c r="A6413" s="39" t="s">
        <v>24430</v>
      </c>
      <c r="B6413" s="15">
        <v>1923558.0</v>
      </c>
      <c r="C6413" s="15" t="s">
        <v>24431</v>
      </c>
      <c r="D6413" s="15">
        <v>361756.0</v>
      </c>
      <c r="E6413" s="15" t="s">
        <v>1664</v>
      </c>
      <c r="F6413" s="15" t="s">
        <v>1664</v>
      </c>
      <c r="G6413" s="7">
        <v>10.481</v>
      </c>
      <c r="H6413" s="15" t="s">
        <v>2580</v>
      </c>
      <c r="I6413" s="15" t="s">
        <v>1560</v>
      </c>
      <c r="J6413" s="15" t="s">
        <v>24432</v>
      </c>
      <c r="K6413" s="15">
        <v>2.0</v>
      </c>
      <c r="L6413" s="15">
        <v>2.0</v>
      </c>
      <c r="M6413" s="41">
        <v>42714.0</v>
      </c>
      <c r="N6413" s="40">
        <v>42752.0</v>
      </c>
      <c r="O6413" s="15" t="s">
        <v>1554</v>
      </c>
      <c r="Q6413" s="7"/>
    </row>
    <row r="6414">
      <c r="A6414" s="39" t="s">
        <v>24433</v>
      </c>
      <c r="B6414" s="15">
        <v>1923557.0</v>
      </c>
      <c r="C6414" s="15" t="s">
        <v>24435</v>
      </c>
      <c r="D6414" s="15">
        <v>361757.0</v>
      </c>
      <c r="E6414" s="15" t="s">
        <v>1664</v>
      </c>
      <c r="F6414" s="15" t="s">
        <v>1664</v>
      </c>
      <c r="G6414" s="7">
        <v>8.943</v>
      </c>
      <c r="H6414" s="15" t="s">
        <v>2375</v>
      </c>
      <c r="I6414" s="15" t="s">
        <v>1560</v>
      </c>
      <c r="J6414" s="15" t="s">
        <v>24436</v>
      </c>
      <c r="K6414" s="15">
        <v>2.0</v>
      </c>
      <c r="L6414" s="15">
        <v>2.0</v>
      </c>
      <c r="M6414" s="41">
        <v>42714.0</v>
      </c>
      <c r="N6414" s="40">
        <v>42752.0</v>
      </c>
      <c r="O6414" s="15" t="s">
        <v>1554</v>
      </c>
      <c r="Q6414" s="7"/>
    </row>
    <row r="6415">
      <c r="A6415" s="39" t="s">
        <v>24437</v>
      </c>
      <c r="B6415" s="15">
        <v>1923555.0</v>
      </c>
      <c r="C6415" s="15" t="s">
        <v>24438</v>
      </c>
      <c r="D6415" s="15">
        <v>361758.0</v>
      </c>
      <c r="E6415" s="15" t="s">
        <v>1664</v>
      </c>
      <c r="F6415" s="15" t="s">
        <v>1664</v>
      </c>
      <c r="G6415" s="7">
        <v>5.077</v>
      </c>
      <c r="H6415" s="15" t="s">
        <v>1918</v>
      </c>
      <c r="I6415" s="15" t="s">
        <v>1560</v>
      </c>
      <c r="J6415" s="15" t="s">
        <v>24439</v>
      </c>
      <c r="K6415" s="15">
        <v>2.0</v>
      </c>
      <c r="L6415" s="15">
        <v>2.0</v>
      </c>
      <c r="M6415" s="41">
        <v>42714.0</v>
      </c>
      <c r="N6415" s="40">
        <v>42752.0</v>
      </c>
      <c r="O6415" s="15" t="s">
        <v>1554</v>
      </c>
      <c r="Q6415" s="7"/>
    </row>
    <row r="6416">
      <c r="A6416" s="39" t="s">
        <v>24440</v>
      </c>
      <c r="B6416" s="15">
        <v>1923554.0</v>
      </c>
      <c r="C6416" s="15" t="s">
        <v>24441</v>
      </c>
      <c r="D6416" s="15">
        <v>361759.0</v>
      </c>
      <c r="E6416" s="15" t="s">
        <v>1664</v>
      </c>
      <c r="F6416" s="15" t="s">
        <v>1664</v>
      </c>
      <c r="G6416" s="7">
        <v>6.57</v>
      </c>
      <c r="H6416" s="15" t="s">
        <v>1881</v>
      </c>
      <c r="I6416" s="15" t="s">
        <v>1560</v>
      </c>
      <c r="J6416" s="15" t="s">
        <v>24442</v>
      </c>
      <c r="K6416" s="15">
        <v>2.0</v>
      </c>
      <c r="L6416" s="15">
        <v>2.0</v>
      </c>
      <c r="M6416" s="41">
        <v>42714.0</v>
      </c>
      <c r="N6416" s="40">
        <v>42752.0</v>
      </c>
      <c r="O6416" s="15" t="s">
        <v>1554</v>
      </c>
      <c r="Q6416" s="7"/>
    </row>
    <row r="6417">
      <c r="A6417" s="39" t="s">
        <v>24444</v>
      </c>
      <c r="B6417" s="15">
        <v>1923553.0</v>
      </c>
      <c r="C6417" s="15" t="s">
        <v>24445</v>
      </c>
      <c r="D6417" s="15">
        <v>361760.0</v>
      </c>
      <c r="E6417" s="15" t="s">
        <v>1664</v>
      </c>
      <c r="F6417" s="15" t="s">
        <v>1664</v>
      </c>
      <c r="G6417" s="7">
        <v>11.29</v>
      </c>
      <c r="H6417" s="15" t="s">
        <v>2392</v>
      </c>
      <c r="I6417" s="15" t="s">
        <v>1560</v>
      </c>
      <c r="J6417" s="15" t="s">
        <v>24446</v>
      </c>
      <c r="K6417" s="15">
        <v>1.0</v>
      </c>
      <c r="L6417" s="15">
        <v>1.0</v>
      </c>
      <c r="M6417" s="41">
        <v>42714.0</v>
      </c>
      <c r="N6417" s="40">
        <v>42752.0</v>
      </c>
      <c r="O6417" s="15" t="s">
        <v>1554</v>
      </c>
      <c r="Q6417" s="7"/>
    </row>
    <row r="6418">
      <c r="A6418" s="39" t="s">
        <v>24447</v>
      </c>
      <c r="B6418" s="15">
        <v>1923551.0</v>
      </c>
      <c r="C6418" s="15" t="s">
        <v>24448</v>
      </c>
      <c r="D6418" s="15">
        <v>361761.0</v>
      </c>
      <c r="E6418" s="15" t="s">
        <v>1664</v>
      </c>
      <c r="F6418" s="15" t="s">
        <v>1664</v>
      </c>
      <c r="G6418" s="7">
        <v>5.635</v>
      </c>
      <c r="H6418" s="15" t="s">
        <v>13695</v>
      </c>
      <c r="I6418" s="15" t="s">
        <v>1560</v>
      </c>
      <c r="J6418" s="15" t="s">
        <v>24449</v>
      </c>
      <c r="K6418" s="15">
        <v>2.0</v>
      </c>
      <c r="L6418" s="15">
        <v>2.0</v>
      </c>
      <c r="M6418" s="41">
        <v>42714.0</v>
      </c>
      <c r="N6418" s="40">
        <v>42752.0</v>
      </c>
      <c r="O6418" s="15" t="s">
        <v>1554</v>
      </c>
      <c r="Q6418" s="7"/>
    </row>
    <row r="6419">
      <c r="A6419" s="39" t="s">
        <v>24450</v>
      </c>
      <c r="B6419" s="15">
        <v>1923549.0</v>
      </c>
      <c r="C6419" s="15" t="s">
        <v>24452</v>
      </c>
      <c r="D6419" s="15">
        <v>361762.0</v>
      </c>
      <c r="E6419" s="15" t="s">
        <v>1664</v>
      </c>
      <c r="F6419" s="15" t="s">
        <v>1664</v>
      </c>
      <c r="G6419" s="7">
        <v>8.033</v>
      </c>
      <c r="H6419" s="15" t="s">
        <v>3246</v>
      </c>
      <c r="I6419" s="15" t="s">
        <v>1560</v>
      </c>
      <c r="J6419" s="15" t="s">
        <v>24453</v>
      </c>
      <c r="K6419" s="15">
        <v>2.0</v>
      </c>
      <c r="L6419" s="15">
        <v>2.0</v>
      </c>
      <c r="M6419" s="41">
        <v>42714.0</v>
      </c>
      <c r="N6419" s="40">
        <v>42752.0</v>
      </c>
      <c r="O6419" s="15" t="s">
        <v>1554</v>
      </c>
      <c r="Q6419" s="7"/>
    </row>
    <row r="6420">
      <c r="A6420" s="39" t="s">
        <v>24454</v>
      </c>
      <c r="B6420" s="15">
        <v>1923547.0</v>
      </c>
      <c r="C6420" s="15" t="s">
        <v>24455</v>
      </c>
      <c r="D6420" s="15">
        <v>361763.0</v>
      </c>
      <c r="E6420" s="15" t="s">
        <v>1664</v>
      </c>
      <c r="F6420" s="15" t="s">
        <v>1664</v>
      </c>
      <c r="G6420" s="7">
        <v>4.752</v>
      </c>
      <c r="H6420" s="15" t="s">
        <v>10545</v>
      </c>
      <c r="I6420" s="15" t="s">
        <v>1560</v>
      </c>
      <c r="J6420" s="15" t="s">
        <v>24456</v>
      </c>
      <c r="K6420" s="15">
        <v>3.0</v>
      </c>
      <c r="L6420" s="15">
        <v>3.0</v>
      </c>
      <c r="M6420" s="41">
        <v>42714.0</v>
      </c>
      <c r="N6420" s="40">
        <v>42752.0</v>
      </c>
      <c r="O6420" s="15" t="s">
        <v>1554</v>
      </c>
      <c r="Q6420" s="7"/>
    </row>
    <row r="6421">
      <c r="A6421" s="39" t="s">
        <v>24457</v>
      </c>
      <c r="B6421" s="15">
        <v>1923546.0</v>
      </c>
      <c r="C6421" s="15" t="s">
        <v>24458</v>
      </c>
      <c r="D6421" s="15">
        <v>361764.0</v>
      </c>
      <c r="E6421" s="15" t="s">
        <v>1664</v>
      </c>
      <c r="F6421" s="15" t="s">
        <v>1664</v>
      </c>
      <c r="G6421" s="7">
        <v>5.321</v>
      </c>
      <c r="H6421" s="15" t="s">
        <v>4606</v>
      </c>
      <c r="I6421" s="15" t="s">
        <v>1560</v>
      </c>
      <c r="J6421" s="15" t="s">
        <v>24460</v>
      </c>
      <c r="K6421" s="15">
        <v>3.0</v>
      </c>
      <c r="L6421" s="15">
        <v>3.0</v>
      </c>
      <c r="M6421" s="41">
        <v>42714.0</v>
      </c>
      <c r="N6421" s="40">
        <v>42752.0</v>
      </c>
      <c r="O6421" s="15" t="s">
        <v>1554</v>
      </c>
      <c r="Q6421" s="7"/>
    </row>
    <row r="6422">
      <c r="A6422" s="39" t="s">
        <v>24461</v>
      </c>
      <c r="B6422" s="15">
        <v>1923545.0</v>
      </c>
      <c r="C6422" s="15" t="s">
        <v>24462</v>
      </c>
      <c r="D6422" s="15">
        <v>361765.0</v>
      </c>
      <c r="E6422" s="15" t="s">
        <v>1664</v>
      </c>
      <c r="F6422" s="15" t="s">
        <v>1664</v>
      </c>
      <c r="G6422" s="7">
        <v>3.908</v>
      </c>
      <c r="H6422" s="15" t="s">
        <v>2901</v>
      </c>
      <c r="I6422" s="15" t="s">
        <v>1560</v>
      </c>
      <c r="J6422" s="15" t="s">
        <v>24463</v>
      </c>
      <c r="K6422" s="15">
        <v>3.0</v>
      </c>
      <c r="L6422" s="15">
        <v>3.0</v>
      </c>
      <c r="M6422" s="41">
        <v>42714.0</v>
      </c>
      <c r="N6422" s="40">
        <v>42752.0</v>
      </c>
      <c r="O6422" s="15" t="s">
        <v>1554</v>
      </c>
      <c r="Q6422" s="7"/>
    </row>
    <row r="6423">
      <c r="A6423" s="39" t="s">
        <v>24464</v>
      </c>
      <c r="B6423" s="15">
        <v>1923544.0</v>
      </c>
      <c r="C6423" s="15" t="s">
        <v>24465</v>
      </c>
      <c r="D6423" s="15">
        <v>361766.0</v>
      </c>
      <c r="E6423" s="15" t="s">
        <v>1664</v>
      </c>
      <c r="F6423" s="15" t="s">
        <v>1664</v>
      </c>
      <c r="G6423" s="7">
        <v>4.118</v>
      </c>
      <c r="H6423" s="15" t="s">
        <v>3066</v>
      </c>
      <c r="I6423" s="15" t="s">
        <v>1560</v>
      </c>
      <c r="J6423" s="15" t="s">
        <v>24466</v>
      </c>
      <c r="K6423" s="15">
        <v>4.0</v>
      </c>
      <c r="L6423" s="15">
        <v>4.0</v>
      </c>
      <c r="M6423" s="41">
        <v>42714.0</v>
      </c>
      <c r="N6423" s="40">
        <v>42752.0</v>
      </c>
      <c r="O6423" s="15" t="s">
        <v>1554</v>
      </c>
      <c r="Q6423" s="7"/>
    </row>
    <row r="6424">
      <c r="A6424" s="39" t="s">
        <v>24467</v>
      </c>
      <c r="B6424" s="15">
        <v>1923543.0</v>
      </c>
      <c r="C6424" s="15" t="s">
        <v>24468</v>
      </c>
      <c r="D6424" s="15">
        <v>361767.0</v>
      </c>
      <c r="E6424" s="15" t="s">
        <v>1664</v>
      </c>
      <c r="F6424" s="15" t="s">
        <v>1664</v>
      </c>
      <c r="G6424" s="7">
        <v>3.348</v>
      </c>
      <c r="H6424" s="15" t="s">
        <v>2365</v>
      </c>
      <c r="I6424" s="15" t="s">
        <v>1560</v>
      </c>
      <c r="J6424" s="15" t="s">
        <v>24469</v>
      </c>
      <c r="K6424" s="15">
        <v>2.0</v>
      </c>
      <c r="L6424" s="15">
        <v>2.0</v>
      </c>
      <c r="M6424" s="41">
        <v>42714.0</v>
      </c>
      <c r="N6424" s="40">
        <v>42752.0</v>
      </c>
      <c r="O6424" s="15" t="s">
        <v>1554</v>
      </c>
      <c r="Q6424" s="7"/>
    </row>
    <row r="6425">
      <c r="A6425" s="39" t="s">
        <v>24470</v>
      </c>
      <c r="B6425" s="15">
        <v>1923542.0</v>
      </c>
      <c r="C6425" s="15" t="s">
        <v>24471</v>
      </c>
      <c r="D6425" s="15">
        <v>361768.0</v>
      </c>
      <c r="E6425" s="15" t="s">
        <v>1664</v>
      </c>
      <c r="F6425" s="15" t="s">
        <v>1664</v>
      </c>
      <c r="G6425" s="7">
        <v>9.247</v>
      </c>
      <c r="H6425" s="15" t="s">
        <v>3890</v>
      </c>
      <c r="I6425" s="15" t="s">
        <v>1560</v>
      </c>
      <c r="J6425" s="15" t="s">
        <v>24473</v>
      </c>
      <c r="K6425" s="15">
        <v>2.0</v>
      </c>
      <c r="L6425" s="15">
        <v>2.0</v>
      </c>
      <c r="M6425" s="41">
        <v>42714.0</v>
      </c>
      <c r="N6425" s="40">
        <v>42752.0</v>
      </c>
      <c r="O6425" s="15" t="s">
        <v>1554</v>
      </c>
      <c r="Q6425" s="7"/>
    </row>
    <row r="6426">
      <c r="A6426" s="39" t="s">
        <v>24474</v>
      </c>
      <c r="B6426" s="15">
        <v>1923541.0</v>
      </c>
      <c r="C6426" s="15" t="s">
        <v>24475</v>
      </c>
      <c r="D6426" s="15">
        <v>361769.0</v>
      </c>
      <c r="E6426" s="15" t="s">
        <v>1664</v>
      </c>
      <c r="F6426" s="15" t="s">
        <v>1664</v>
      </c>
      <c r="G6426" s="7">
        <v>2.571</v>
      </c>
      <c r="H6426" s="15" t="s">
        <v>3973</v>
      </c>
      <c r="I6426" s="15" t="s">
        <v>1560</v>
      </c>
      <c r="J6426" s="15" t="s">
        <v>24476</v>
      </c>
      <c r="K6426" s="15">
        <v>2.0</v>
      </c>
      <c r="L6426" s="15">
        <v>2.0</v>
      </c>
      <c r="M6426" s="41">
        <v>42714.0</v>
      </c>
      <c r="N6426" s="40">
        <v>42752.0</v>
      </c>
      <c r="O6426" s="15" t="s">
        <v>1554</v>
      </c>
      <c r="Q6426" s="7"/>
    </row>
    <row r="6427">
      <c r="A6427" s="39" t="s">
        <v>24477</v>
      </c>
      <c r="B6427" s="15">
        <v>1923540.0</v>
      </c>
      <c r="C6427" s="15" t="s">
        <v>24478</v>
      </c>
      <c r="D6427" s="15">
        <v>361770.0</v>
      </c>
      <c r="E6427" s="15" t="s">
        <v>1664</v>
      </c>
      <c r="F6427" s="15" t="s">
        <v>1664</v>
      </c>
      <c r="G6427" s="7">
        <v>3.259</v>
      </c>
      <c r="H6427" s="15" t="s">
        <v>3538</v>
      </c>
      <c r="I6427" s="15" t="s">
        <v>1560</v>
      </c>
      <c r="J6427" s="15" t="s">
        <v>24479</v>
      </c>
      <c r="K6427" s="15">
        <v>2.0</v>
      </c>
      <c r="L6427" s="15">
        <v>2.0</v>
      </c>
      <c r="M6427" s="41">
        <v>42714.0</v>
      </c>
      <c r="N6427" s="40">
        <v>42752.0</v>
      </c>
      <c r="O6427" s="15" t="s">
        <v>1554</v>
      </c>
      <c r="Q6427" s="7"/>
    </row>
    <row r="6428">
      <c r="A6428" s="39" t="s">
        <v>24480</v>
      </c>
      <c r="B6428" s="15">
        <v>1923537.0</v>
      </c>
      <c r="C6428" s="15" t="s">
        <v>24481</v>
      </c>
      <c r="D6428" s="15">
        <v>361771.0</v>
      </c>
      <c r="E6428" s="15" t="s">
        <v>1664</v>
      </c>
      <c r="F6428" s="15" t="s">
        <v>1664</v>
      </c>
      <c r="G6428" s="7">
        <v>9.041</v>
      </c>
      <c r="H6428" s="15" t="s">
        <v>5475</v>
      </c>
      <c r="I6428" s="15" t="s">
        <v>1560</v>
      </c>
      <c r="J6428" s="15" t="s">
        <v>24483</v>
      </c>
      <c r="K6428" s="15">
        <v>1.0</v>
      </c>
      <c r="L6428" s="15">
        <v>1.0</v>
      </c>
      <c r="M6428" s="41">
        <v>42714.0</v>
      </c>
      <c r="N6428" s="40">
        <v>42752.0</v>
      </c>
      <c r="O6428" s="15" t="s">
        <v>1554</v>
      </c>
      <c r="Q6428" s="7"/>
    </row>
    <row r="6429">
      <c r="A6429" s="39" t="s">
        <v>24484</v>
      </c>
      <c r="B6429" s="15">
        <v>1923536.0</v>
      </c>
      <c r="C6429" s="15" t="s">
        <v>24485</v>
      </c>
      <c r="D6429" s="15">
        <v>361772.0</v>
      </c>
      <c r="E6429" s="15" t="s">
        <v>1664</v>
      </c>
      <c r="F6429" s="15" t="s">
        <v>1664</v>
      </c>
      <c r="G6429" s="7">
        <v>9.299</v>
      </c>
      <c r="H6429" s="15" t="s">
        <v>1918</v>
      </c>
      <c r="I6429" s="15" t="s">
        <v>1560</v>
      </c>
      <c r="J6429" s="15" t="s">
        <v>24486</v>
      </c>
      <c r="K6429" s="15">
        <v>1.0</v>
      </c>
      <c r="L6429" s="15">
        <v>1.0</v>
      </c>
      <c r="M6429" s="41">
        <v>42714.0</v>
      </c>
      <c r="N6429" s="40">
        <v>42752.0</v>
      </c>
      <c r="O6429" s="15" t="s">
        <v>1554</v>
      </c>
      <c r="Q6429" s="7"/>
    </row>
    <row r="6430">
      <c r="A6430" s="39" t="s">
        <v>24487</v>
      </c>
      <c r="B6430" s="15">
        <v>1923535.0</v>
      </c>
      <c r="C6430" s="15" t="s">
        <v>24488</v>
      </c>
      <c r="D6430" s="15">
        <v>361773.0</v>
      </c>
      <c r="E6430" s="15" t="s">
        <v>1664</v>
      </c>
      <c r="F6430" s="15" t="s">
        <v>1664</v>
      </c>
      <c r="G6430" s="7">
        <v>7.484</v>
      </c>
      <c r="H6430" s="15" t="s">
        <v>2484</v>
      </c>
      <c r="I6430" s="15" t="s">
        <v>1560</v>
      </c>
      <c r="J6430" s="15" t="s">
        <v>24489</v>
      </c>
      <c r="K6430" s="15">
        <v>2.0</v>
      </c>
      <c r="L6430" s="15">
        <v>2.0</v>
      </c>
      <c r="M6430" s="41">
        <v>42714.0</v>
      </c>
      <c r="N6430" s="40">
        <v>42752.0</v>
      </c>
      <c r="O6430" s="15" t="s">
        <v>1554</v>
      </c>
      <c r="Q6430" s="7"/>
    </row>
    <row r="6431">
      <c r="A6431" s="39" t="s">
        <v>24491</v>
      </c>
      <c r="B6431" s="15">
        <v>1923534.0</v>
      </c>
      <c r="C6431" s="15" t="s">
        <v>24492</v>
      </c>
      <c r="D6431" s="15">
        <v>361774.0</v>
      </c>
      <c r="E6431" s="15" t="s">
        <v>1664</v>
      </c>
      <c r="F6431" s="15" t="s">
        <v>1664</v>
      </c>
      <c r="G6431" s="7">
        <v>10.033</v>
      </c>
      <c r="H6431" s="15" t="s">
        <v>1607</v>
      </c>
      <c r="I6431" s="15" t="s">
        <v>1560</v>
      </c>
      <c r="J6431" s="15" t="s">
        <v>24493</v>
      </c>
      <c r="K6431" s="15">
        <v>1.0</v>
      </c>
      <c r="L6431" s="15">
        <v>1.0</v>
      </c>
      <c r="M6431" s="41">
        <v>42714.0</v>
      </c>
      <c r="N6431" s="40">
        <v>42752.0</v>
      </c>
      <c r="O6431" s="15" t="s">
        <v>1554</v>
      </c>
      <c r="Q6431" s="7"/>
    </row>
    <row r="6432">
      <c r="A6432" s="39" t="s">
        <v>24494</v>
      </c>
      <c r="B6432" s="15">
        <v>1923533.0</v>
      </c>
      <c r="C6432" s="15" t="s">
        <v>24495</v>
      </c>
      <c r="D6432" s="15">
        <v>361775.0</v>
      </c>
      <c r="E6432" s="15" t="s">
        <v>1664</v>
      </c>
      <c r="F6432" s="15" t="s">
        <v>1664</v>
      </c>
      <c r="G6432" s="7">
        <v>8.467</v>
      </c>
      <c r="H6432" s="15" t="s">
        <v>2777</v>
      </c>
      <c r="I6432" s="15" t="s">
        <v>1560</v>
      </c>
      <c r="J6432" s="15" t="s">
        <v>24496</v>
      </c>
      <c r="K6432" s="15">
        <v>2.0</v>
      </c>
      <c r="L6432" s="15">
        <v>2.0</v>
      </c>
      <c r="M6432" s="41">
        <v>42714.0</v>
      </c>
      <c r="N6432" s="40">
        <v>42752.0</v>
      </c>
      <c r="O6432" s="15" t="s">
        <v>1554</v>
      </c>
      <c r="Q6432" s="7"/>
    </row>
    <row r="6433">
      <c r="A6433" s="39" t="s">
        <v>24497</v>
      </c>
      <c r="B6433" s="15">
        <v>1923532.0</v>
      </c>
      <c r="C6433" s="15" t="s">
        <v>24499</v>
      </c>
      <c r="D6433" s="15">
        <v>361776.0</v>
      </c>
      <c r="E6433" s="15" t="s">
        <v>1664</v>
      </c>
      <c r="F6433" s="15" t="s">
        <v>1664</v>
      </c>
      <c r="G6433" s="7">
        <v>8.837</v>
      </c>
      <c r="H6433" s="15" t="s">
        <v>2440</v>
      </c>
      <c r="I6433" s="15" t="s">
        <v>1560</v>
      </c>
      <c r="J6433" s="15" t="s">
        <v>24500</v>
      </c>
      <c r="K6433" s="15">
        <v>2.0</v>
      </c>
      <c r="L6433" s="15">
        <v>2.0</v>
      </c>
      <c r="M6433" s="41">
        <v>42714.0</v>
      </c>
      <c r="N6433" s="40">
        <v>42752.0</v>
      </c>
      <c r="O6433" s="15" t="s">
        <v>1554</v>
      </c>
      <c r="Q6433" s="7"/>
    </row>
    <row r="6434">
      <c r="A6434" s="39" t="s">
        <v>24501</v>
      </c>
      <c r="B6434" s="15">
        <v>1923531.0</v>
      </c>
      <c r="C6434" s="15" t="s">
        <v>24502</v>
      </c>
      <c r="D6434" s="15">
        <v>361777.0</v>
      </c>
      <c r="E6434" s="15" t="s">
        <v>1664</v>
      </c>
      <c r="F6434" s="15" t="s">
        <v>1664</v>
      </c>
      <c r="G6434" s="7">
        <v>10.236</v>
      </c>
      <c r="H6434" s="15" t="s">
        <v>1802</v>
      </c>
      <c r="I6434" s="15" t="s">
        <v>1560</v>
      </c>
      <c r="J6434" s="15" t="s">
        <v>24503</v>
      </c>
      <c r="K6434" s="15">
        <v>2.0</v>
      </c>
      <c r="L6434" s="15">
        <v>2.0</v>
      </c>
      <c r="M6434" s="41">
        <v>42714.0</v>
      </c>
      <c r="N6434" s="40">
        <v>42752.0</v>
      </c>
      <c r="O6434" s="15" t="s">
        <v>1554</v>
      </c>
      <c r="Q6434" s="7"/>
    </row>
    <row r="6435">
      <c r="A6435" s="39" t="s">
        <v>24504</v>
      </c>
      <c r="B6435" s="15">
        <v>1923529.0</v>
      </c>
      <c r="C6435" s="15" t="s">
        <v>24505</v>
      </c>
      <c r="D6435" s="15">
        <v>361778.0</v>
      </c>
      <c r="E6435" s="15" t="s">
        <v>1664</v>
      </c>
      <c r="F6435" s="15" t="s">
        <v>1664</v>
      </c>
      <c r="G6435" s="7">
        <v>9.155</v>
      </c>
      <c r="H6435" s="15" t="s">
        <v>1912</v>
      </c>
      <c r="I6435" s="15" t="s">
        <v>1560</v>
      </c>
      <c r="J6435" s="15" t="s">
        <v>24506</v>
      </c>
      <c r="K6435" s="15">
        <v>2.0</v>
      </c>
      <c r="L6435" s="15">
        <v>2.0</v>
      </c>
      <c r="M6435" s="41">
        <v>42714.0</v>
      </c>
      <c r="N6435" s="40">
        <v>42752.0</v>
      </c>
      <c r="O6435" s="15" t="s">
        <v>1554</v>
      </c>
      <c r="Q6435" s="7"/>
    </row>
    <row r="6436">
      <c r="A6436" s="39" t="s">
        <v>24507</v>
      </c>
      <c r="B6436" s="15">
        <v>1923510.0</v>
      </c>
      <c r="C6436" s="15" t="s">
        <v>24508</v>
      </c>
      <c r="D6436" s="15">
        <v>361779.0</v>
      </c>
      <c r="E6436" s="15" t="s">
        <v>1664</v>
      </c>
      <c r="F6436" s="15" t="s">
        <v>1664</v>
      </c>
      <c r="G6436" s="7">
        <v>24.854</v>
      </c>
      <c r="H6436" s="15" t="s">
        <v>1700</v>
      </c>
      <c r="I6436" s="15" t="s">
        <v>1560</v>
      </c>
      <c r="J6436" s="15" t="s">
        <v>24510</v>
      </c>
      <c r="K6436" s="15">
        <v>3.0</v>
      </c>
      <c r="L6436" s="15">
        <v>3.0</v>
      </c>
      <c r="M6436" s="41">
        <v>42714.0</v>
      </c>
      <c r="N6436" s="40">
        <v>42752.0</v>
      </c>
      <c r="O6436" s="15" t="s">
        <v>2353</v>
      </c>
      <c r="Q6436" s="7"/>
    </row>
    <row r="6437">
      <c r="A6437" s="39" t="s">
        <v>24511</v>
      </c>
      <c r="B6437" s="15">
        <v>1923509.0</v>
      </c>
      <c r="C6437" s="15" t="s">
        <v>24512</v>
      </c>
      <c r="D6437" s="15">
        <v>361780.0</v>
      </c>
      <c r="E6437" s="15" t="s">
        <v>1664</v>
      </c>
      <c r="F6437" s="15" t="s">
        <v>1664</v>
      </c>
      <c r="G6437" s="7">
        <v>2.702</v>
      </c>
      <c r="H6437" s="15" t="s">
        <v>2288</v>
      </c>
      <c r="I6437" s="15" t="s">
        <v>1560</v>
      </c>
      <c r="J6437" s="15" t="s">
        <v>24513</v>
      </c>
      <c r="K6437" s="15">
        <v>1.0</v>
      </c>
      <c r="L6437" s="15">
        <v>1.0</v>
      </c>
      <c r="M6437" s="41">
        <v>42714.0</v>
      </c>
      <c r="N6437" s="40">
        <v>42752.0</v>
      </c>
      <c r="O6437" s="15" t="s">
        <v>1554</v>
      </c>
      <c r="Q6437" s="7"/>
    </row>
    <row r="6438">
      <c r="A6438" s="39" t="s">
        <v>24514</v>
      </c>
      <c r="B6438" s="15">
        <v>1923507.0</v>
      </c>
      <c r="C6438" s="15" t="s">
        <v>24515</v>
      </c>
      <c r="D6438" s="15">
        <v>361781.0</v>
      </c>
      <c r="E6438" s="15" t="s">
        <v>1664</v>
      </c>
      <c r="F6438" s="15" t="s">
        <v>1664</v>
      </c>
      <c r="G6438" s="7">
        <v>2.723</v>
      </c>
      <c r="H6438" s="15" t="s">
        <v>3890</v>
      </c>
      <c r="I6438" s="15" t="s">
        <v>1560</v>
      </c>
      <c r="J6438" s="15" t="s">
        <v>24516</v>
      </c>
      <c r="K6438" s="15">
        <v>2.0</v>
      </c>
      <c r="L6438" s="15">
        <v>2.0</v>
      </c>
      <c r="M6438" s="41">
        <v>42714.0</v>
      </c>
      <c r="N6438" s="40">
        <v>42752.0</v>
      </c>
      <c r="O6438" s="15" t="s">
        <v>1554</v>
      </c>
      <c r="Q6438" s="7"/>
    </row>
    <row r="6439">
      <c r="A6439" s="39" t="s">
        <v>24518</v>
      </c>
      <c r="B6439" s="15">
        <v>1923505.0</v>
      </c>
      <c r="C6439" s="15" t="s">
        <v>24519</v>
      </c>
      <c r="D6439" s="15">
        <v>361782.0</v>
      </c>
      <c r="E6439" s="15" t="s">
        <v>1664</v>
      </c>
      <c r="F6439" s="15" t="s">
        <v>1664</v>
      </c>
      <c r="G6439" s="7">
        <v>1.79</v>
      </c>
      <c r="H6439" s="15" t="s">
        <v>2869</v>
      </c>
      <c r="I6439" s="15" t="s">
        <v>1560</v>
      </c>
      <c r="J6439" s="15" t="s">
        <v>24520</v>
      </c>
      <c r="K6439" s="15">
        <v>1.0</v>
      </c>
      <c r="L6439" s="15">
        <v>1.0</v>
      </c>
      <c r="M6439" s="41">
        <v>42714.0</v>
      </c>
      <c r="N6439" s="40">
        <v>42752.0</v>
      </c>
      <c r="O6439" s="15" t="s">
        <v>1554</v>
      </c>
      <c r="Q6439" s="7"/>
    </row>
    <row r="6440">
      <c r="A6440" s="39" t="s">
        <v>24521</v>
      </c>
      <c r="B6440" s="15">
        <v>1923504.0</v>
      </c>
      <c r="C6440" s="15" t="s">
        <v>24522</v>
      </c>
      <c r="D6440" s="15">
        <v>361783.0</v>
      </c>
      <c r="E6440" s="15" t="s">
        <v>1664</v>
      </c>
      <c r="F6440" s="15" t="s">
        <v>1664</v>
      </c>
      <c r="G6440" s="7">
        <v>1.793</v>
      </c>
      <c r="H6440" s="15" t="s">
        <v>6583</v>
      </c>
      <c r="I6440" s="15" t="s">
        <v>1560</v>
      </c>
      <c r="J6440" s="15" t="s">
        <v>24523</v>
      </c>
      <c r="K6440" s="15">
        <v>1.0</v>
      </c>
      <c r="L6440" s="15">
        <v>1.0</v>
      </c>
      <c r="M6440" s="41">
        <v>42714.0</v>
      </c>
      <c r="N6440" s="40">
        <v>42752.0</v>
      </c>
      <c r="O6440" s="15" t="s">
        <v>1554</v>
      </c>
      <c r="Q6440" s="7"/>
    </row>
    <row r="6441">
      <c r="A6441" s="39" t="s">
        <v>24525</v>
      </c>
      <c r="B6441" s="15">
        <v>1923503.0</v>
      </c>
      <c r="C6441" s="15" t="s">
        <v>24526</v>
      </c>
      <c r="D6441" s="15">
        <v>361784.0</v>
      </c>
      <c r="E6441" s="15" t="s">
        <v>1664</v>
      </c>
      <c r="F6441" s="15" t="s">
        <v>1664</v>
      </c>
      <c r="G6441" s="7">
        <v>3.319</v>
      </c>
      <c r="H6441" s="15" t="s">
        <v>1700</v>
      </c>
      <c r="I6441" s="15" t="s">
        <v>1560</v>
      </c>
      <c r="J6441" s="15" t="s">
        <v>24527</v>
      </c>
      <c r="K6441" s="15">
        <v>1.0</v>
      </c>
      <c r="L6441" s="15">
        <v>1.0</v>
      </c>
      <c r="M6441" s="41">
        <v>42714.0</v>
      </c>
      <c r="N6441" s="40">
        <v>42752.0</v>
      </c>
      <c r="O6441" s="15" t="s">
        <v>1554</v>
      </c>
      <c r="Q6441" s="7"/>
    </row>
    <row r="6442">
      <c r="A6442" s="39" t="s">
        <v>24528</v>
      </c>
      <c r="B6442" s="15">
        <v>1923502.0</v>
      </c>
      <c r="C6442" s="15" t="s">
        <v>24529</v>
      </c>
      <c r="D6442" s="15">
        <v>361785.0</v>
      </c>
      <c r="E6442" s="15" t="s">
        <v>1664</v>
      </c>
      <c r="F6442" s="15" t="s">
        <v>1664</v>
      </c>
      <c r="G6442" s="7">
        <v>2.781</v>
      </c>
      <c r="H6442" s="15" t="s">
        <v>1977</v>
      </c>
      <c r="I6442" s="15" t="s">
        <v>1560</v>
      </c>
      <c r="J6442" s="15" t="s">
        <v>24530</v>
      </c>
      <c r="K6442" s="15">
        <v>1.0</v>
      </c>
      <c r="L6442" s="15">
        <v>1.0</v>
      </c>
      <c r="M6442" s="41">
        <v>42714.0</v>
      </c>
      <c r="N6442" s="40">
        <v>42752.0</v>
      </c>
      <c r="O6442" s="15" t="s">
        <v>1554</v>
      </c>
      <c r="Q6442" s="7"/>
    </row>
    <row r="6443">
      <c r="A6443" s="39" t="s">
        <v>24532</v>
      </c>
      <c r="B6443" s="15">
        <v>1923501.0</v>
      </c>
      <c r="C6443" s="15" t="s">
        <v>24533</v>
      </c>
      <c r="D6443" s="15">
        <v>361786.0</v>
      </c>
      <c r="E6443" s="15" t="s">
        <v>1664</v>
      </c>
      <c r="F6443" s="15" t="s">
        <v>1664</v>
      </c>
      <c r="G6443" s="7">
        <v>2.583</v>
      </c>
      <c r="H6443" s="15" t="s">
        <v>6856</v>
      </c>
      <c r="I6443" s="15" t="s">
        <v>1560</v>
      </c>
      <c r="J6443" s="15" t="s">
        <v>24534</v>
      </c>
      <c r="K6443" s="15">
        <v>1.0</v>
      </c>
      <c r="L6443" s="15">
        <v>1.0</v>
      </c>
      <c r="M6443" s="41">
        <v>42714.0</v>
      </c>
      <c r="N6443" s="40">
        <v>42752.0</v>
      </c>
      <c r="O6443" s="15" t="s">
        <v>1554</v>
      </c>
      <c r="Q6443" s="7"/>
    </row>
    <row r="6444">
      <c r="A6444" s="39" t="s">
        <v>24535</v>
      </c>
      <c r="B6444" s="15">
        <v>1923496.0</v>
      </c>
      <c r="C6444" s="15" t="s">
        <v>24536</v>
      </c>
      <c r="D6444" s="15">
        <v>361787.0</v>
      </c>
      <c r="E6444" s="15" t="s">
        <v>1664</v>
      </c>
      <c r="F6444" s="15" t="s">
        <v>1664</v>
      </c>
      <c r="G6444" s="7">
        <v>10.025</v>
      </c>
      <c r="H6444" s="15">
        <v>39.0</v>
      </c>
      <c r="I6444" s="15" t="s">
        <v>1560</v>
      </c>
      <c r="J6444" s="15" t="s">
        <v>24537</v>
      </c>
      <c r="K6444" s="15">
        <v>6.0</v>
      </c>
      <c r="L6444" s="15">
        <v>6.0</v>
      </c>
      <c r="M6444" s="41">
        <v>42714.0</v>
      </c>
      <c r="N6444" s="40">
        <v>42752.0</v>
      </c>
      <c r="O6444" s="15" t="s">
        <v>1554</v>
      </c>
      <c r="Q6444" s="7"/>
    </row>
    <row r="6445">
      <c r="A6445" s="39" t="s">
        <v>24538</v>
      </c>
      <c r="B6445" s="15">
        <v>1923495.0</v>
      </c>
      <c r="C6445" s="15" t="s">
        <v>24539</v>
      </c>
      <c r="D6445" s="15">
        <v>361788.0</v>
      </c>
      <c r="E6445" s="15" t="s">
        <v>1664</v>
      </c>
      <c r="F6445" s="15" t="s">
        <v>1664</v>
      </c>
      <c r="G6445" s="7">
        <v>11.515</v>
      </c>
      <c r="H6445" s="15" t="s">
        <v>2648</v>
      </c>
      <c r="I6445" s="15" t="s">
        <v>1560</v>
      </c>
      <c r="J6445" s="15" t="s">
        <v>24540</v>
      </c>
      <c r="K6445" s="15">
        <v>4.0</v>
      </c>
      <c r="L6445" s="15">
        <v>4.0</v>
      </c>
      <c r="M6445" s="41">
        <v>42714.0</v>
      </c>
      <c r="N6445" s="40">
        <v>42752.0</v>
      </c>
      <c r="O6445" s="15" t="s">
        <v>1554</v>
      </c>
      <c r="Q6445" s="7"/>
    </row>
    <row r="6446">
      <c r="A6446" s="39" t="s">
        <v>24541</v>
      </c>
      <c r="B6446" s="15">
        <v>1923494.0</v>
      </c>
      <c r="C6446" s="15" t="s">
        <v>24542</v>
      </c>
      <c r="D6446" s="15">
        <v>361789.0</v>
      </c>
      <c r="E6446" s="15" t="s">
        <v>1664</v>
      </c>
      <c r="F6446" s="15" t="s">
        <v>1664</v>
      </c>
      <c r="G6446" s="7">
        <v>12.441</v>
      </c>
      <c r="H6446" s="15" t="s">
        <v>1818</v>
      </c>
      <c r="I6446" s="15" t="s">
        <v>1560</v>
      </c>
      <c r="J6446" s="15" t="s">
        <v>24543</v>
      </c>
      <c r="K6446" s="15">
        <v>4.0</v>
      </c>
      <c r="L6446" s="15">
        <v>4.0</v>
      </c>
      <c r="M6446" s="41">
        <v>42714.0</v>
      </c>
      <c r="N6446" s="40">
        <v>42752.0</v>
      </c>
      <c r="O6446" s="15" t="s">
        <v>1554</v>
      </c>
      <c r="Q6446" s="7"/>
    </row>
    <row r="6447">
      <c r="A6447" s="39" t="s">
        <v>24545</v>
      </c>
      <c r="B6447" s="15">
        <v>1923493.0</v>
      </c>
      <c r="C6447" s="15" t="s">
        <v>24546</v>
      </c>
      <c r="D6447" s="15">
        <v>361790.0</v>
      </c>
      <c r="E6447" s="15" t="s">
        <v>1664</v>
      </c>
      <c r="F6447" s="15" t="s">
        <v>1664</v>
      </c>
      <c r="G6447" s="7">
        <v>10.962</v>
      </c>
      <c r="H6447" s="15" t="s">
        <v>3895</v>
      </c>
      <c r="I6447" s="15" t="s">
        <v>1560</v>
      </c>
      <c r="J6447" s="15" t="s">
        <v>24547</v>
      </c>
      <c r="K6447" s="15">
        <v>5.0</v>
      </c>
      <c r="L6447" s="15">
        <v>5.0</v>
      </c>
      <c r="M6447" s="41">
        <v>42714.0</v>
      </c>
      <c r="N6447" s="40">
        <v>42752.0</v>
      </c>
      <c r="O6447" s="15" t="s">
        <v>1554</v>
      </c>
      <c r="Q6447" s="7"/>
    </row>
    <row r="6448">
      <c r="A6448" s="39" t="s">
        <v>24548</v>
      </c>
      <c r="B6448" s="15">
        <v>1923489.0</v>
      </c>
      <c r="C6448" s="15" t="s">
        <v>24549</v>
      </c>
      <c r="D6448" s="15">
        <v>361791.0</v>
      </c>
      <c r="E6448" s="15" t="s">
        <v>1664</v>
      </c>
      <c r="F6448" s="15" t="s">
        <v>1664</v>
      </c>
      <c r="G6448" s="7">
        <v>9.716</v>
      </c>
      <c r="H6448" s="15" t="s">
        <v>1859</v>
      </c>
      <c r="I6448" s="15" t="s">
        <v>1560</v>
      </c>
      <c r="J6448" s="15" t="s">
        <v>24550</v>
      </c>
      <c r="K6448" s="15">
        <v>2.0</v>
      </c>
      <c r="L6448" s="15">
        <v>2.0</v>
      </c>
      <c r="M6448" s="41">
        <v>42714.0</v>
      </c>
      <c r="N6448" s="40">
        <v>42752.0</v>
      </c>
      <c r="O6448" s="15" t="s">
        <v>1554</v>
      </c>
      <c r="Q6448" s="7"/>
    </row>
    <row r="6449">
      <c r="A6449" s="39" t="s">
        <v>24551</v>
      </c>
      <c r="B6449" s="15">
        <v>1923488.0</v>
      </c>
      <c r="C6449" s="15" t="s">
        <v>24552</v>
      </c>
      <c r="D6449" s="15">
        <v>361792.0</v>
      </c>
      <c r="E6449" s="15" t="s">
        <v>1664</v>
      </c>
      <c r="F6449" s="15" t="s">
        <v>1664</v>
      </c>
      <c r="G6449" s="7">
        <v>10.528</v>
      </c>
      <c r="H6449" s="15" t="s">
        <v>3653</v>
      </c>
      <c r="I6449" s="15" t="s">
        <v>1560</v>
      </c>
      <c r="J6449" s="15" t="s">
        <v>24554</v>
      </c>
      <c r="K6449" s="15">
        <v>2.0</v>
      </c>
      <c r="L6449" s="15">
        <v>2.0</v>
      </c>
      <c r="M6449" s="41">
        <v>42714.0</v>
      </c>
      <c r="N6449" s="40">
        <v>42752.0</v>
      </c>
      <c r="O6449" s="15" t="s">
        <v>1554</v>
      </c>
      <c r="Q6449" s="7"/>
    </row>
    <row r="6450">
      <c r="A6450" s="39" t="s">
        <v>24555</v>
      </c>
      <c r="B6450" s="15">
        <v>1923487.0</v>
      </c>
      <c r="C6450" s="15" t="s">
        <v>24556</v>
      </c>
      <c r="D6450" s="15">
        <v>361793.0</v>
      </c>
      <c r="E6450" s="15" t="s">
        <v>1664</v>
      </c>
      <c r="F6450" s="15" t="s">
        <v>1664</v>
      </c>
      <c r="G6450" s="7">
        <v>9.291</v>
      </c>
      <c r="H6450" s="42">
        <v>43250.0</v>
      </c>
      <c r="I6450" s="15" t="s">
        <v>1560</v>
      </c>
      <c r="J6450" s="15" t="s">
        <v>24557</v>
      </c>
      <c r="K6450" s="15">
        <v>1.0</v>
      </c>
      <c r="L6450" s="15">
        <v>1.0</v>
      </c>
      <c r="M6450" s="41">
        <v>42714.0</v>
      </c>
      <c r="N6450" s="40">
        <v>42752.0</v>
      </c>
      <c r="O6450" s="15" t="s">
        <v>1554</v>
      </c>
      <c r="Q6450" s="7"/>
    </row>
    <row r="6451">
      <c r="A6451" s="39" t="s">
        <v>24558</v>
      </c>
      <c r="B6451" s="15">
        <v>1923486.0</v>
      </c>
      <c r="C6451" s="15" t="s">
        <v>24559</v>
      </c>
      <c r="D6451" s="15">
        <v>361794.0</v>
      </c>
      <c r="E6451" s="15" t="s">
        <v>1664</v>
      </c>
      <c r="F6451" s="15" t="s">
        <v>1664</v>
      </c>
      <c r="G6451" s="7">
        <v>9.887</v>
      </c>
      <c r="H6451" s="15" t="s">
        <v>2440</v>
      </c>
      <c r="I6451" s="15" t="s">
        <v>1560</v>
      </c>
      <c r="J6451" s="15" t="s">
        <v>24560</v>
      </c>
      <c r="K6451" s="15">
        <v>2.0</v>
      </c>
      <c r="L6451" s="15">
        <v>2.0</v>
      </c>
      <c r="M6451" s="41">
        <v>42714.0</v>
      </c>
      <c r="N6451" s="40">
        <v>42752.0</v>
      </c>
      <c r="O6451" s="15" t="s">
        <v>1554</v>
      </c>
      <c r="Q6451" s="7"/>
    </row>
    <row r="6452">
      <c r="A6452" s="39" t="s">
        <v>24562</v>
      </c>
      <c r="B6452" s="15">
        <v>1923485.0</v>
      </c>
      <c r="C6452" s="15" t="s">
        <v>24563</v>
      </c>
      <c r="D6452" s="15">
        <v>361795.0</v>
      </c>
      <c r="E6452" s="15" t="s">
        <v>1664</v>
      </c>
      <c r="F6452" s="15" t="s">
        <v>1664</v>
      </c>
      <c r="G6452" s="7">
        <v>8.664</v>
      </c>
      <c r="H6452" s="15" t="s">
        <v>3550</v>
      </c>
      <c r="I6452" s="15" t="s">
        <v>1560</v>
      </c>
      <c r="J6452" s="15" t="s">
        <v>24564</v>
      </c>
      <c r="K6452" s="15">
        <v>2.0</v>
      </c>
      <c r="L6452" s="15">
        <v>2.0</v>
      </c>
      <c r="M6452" s="41">
        <v>42714.0</v>
      </c>
      <c r="N6452" s="40">
        <v>42752.0</v>
      </c>
      <c r="O6452" s="15" t="s">
        <v>1554</v>
      </c>
      <c r="Q6452" s="7"/>
    </row>
    <row r="6453">
      <c r="A6453" s="39" t="s">
        <v>24565</v>
      </c>
      <c r="B6453" s="15">
        <v>1923484.0</v>
      </c>
      <c r="C6453" s="15" t="s">
        <v>24566</v>
      </c>
      <c r="D6453" s="15">
        <v>361796.0</v>
      </c>
      <c r="E6453" s="15" t="s">
        <v>1664</v>
      </c>
      <c r="F6453" s="15" t="s">
        <v>1664</v>
      </c>
      <c r="G6453" s="7">
        <v>11.119</v>
      </c>
      <c r="H6453" s="15">
        <v>57.0</v>
      </c>
      <c r="I6453" s="15" t="s">
        <v>1560</v>
      </c>
      <c r="J6453" s="15" t="s">
        <v>24567</v>
      </c>
      <c r="K6453" s="15">
        <v>3.0</v>
      </c>
      <c r="L6453" s="15">
        <v>3.0</v>
      </c>
      <c r="M6453" s="41">
        <v>42714.0</v>
      </c>
      <c r="N6453" s="40">
        <v>42752.0</v>
      </c>
      <c r="O6453" s="15" t="s">
        <v>1554</v>
      </c>
      <c r="Q6453" s="7"/>
    </row>
    <row r="6454">
      <c r="A6454" s="39" t="s">
        <v>24568</v>
      </c>
      <c r="B6454" s="15">
        <v>1923483.0</v>
      </c>
      <c r="C6454" s="15" t="s">
        <v>24569</v>
      </c>
      <c r="D6454" s="15">
        <v>361797.0</v>
      </c>
      <c r="E6454" s="15" t="s">
        <v>1664</v>
      </c>
      <c r="F6454" s="15" t="s">
        <v>1664</v>
      </c>
      <c r="G6454" s="7">
        <v>11.314</v>
      </c>
      <c r="H6454" s="15" t="s">
        <v>24570</v>
      </c>
      <c r="I6454" s="15" t="s">
        <v>1560</v>
      </c>
      <c r="J6454" s="15" t="s">
        <v>24571</v>
      </c>
      <c r="K6454" s="15">
        <v>4.0</v>
      </c>
      <c r="L6454" s="15">
        <v>4.0</v>
      </c>
      <c r="M6454" s="41">
        <v>42714.0</v>
      </c>
      <c r="N6454" s="40">
        <v>42752.0</v>
      </c>
      <c r="O6454" s="15" t="s">
        <v>1554</v>
      </c>
      <c r="Q6454" s="7"/>
    </row>
    <row r="6455">
      <c r="A6455" s="39" t="s">
        <v>24573</v>
      </c>
      <c r="B6455" s="15">
        <v>1923482.0</v>
      </c>
      <c r="C6455" s="15" t="s">
        <v>24574</v>
      </c>
      <c r="D6455" s="15">
        <v>361798.0</v>
      </c>
      <c r="E6455" s="15" t="s">
        <v>1664</v>
      </c>
      <c r="F6455" s="15" t="s">
        <v>1664</v>
      </c>
      <c r="G6455" s="7">
        <v>10.829</v>
      </c>
      <c r="H6455" s="15" t="s">
        <v>24575</v>
      </c>
      <c r="I6455" s="15" t="s">
        <v>1560</v>
      </c>
      <c r="J6455" s="15" t="s">
        <v>24576</v>
      </c>
      <c r="K6455" s="15">
        <v>3.0</v>
      </c>
      <c r="L6455" s="15">
        <v>3.0</v>
      </c>
      <c r="M6455" s="41">
        <v>42714.0</v>
      </c>
      <c r="N6455" s="40">
        <v>42752.0</v>
      </c>
      <c r="O6455" s="15" t="s">
        <v>1554</v>
      </c>
      <c r="Q6455" s="7"/>
    </row>
    <row r="6456">
      <c r="A6456" s="39" t="s">
        <v>24577</v>
      </c>
      <c r="B6456" s="15">
        <v>1923481.0</v>
      </c>
      <c r="C6456" s="15" t="s">
        <v>24578</v>
      </c>
      <c r="D6456" s="15">
        <v>361799.0</v>
      </c>
      <c r="E6456" s="15" t="s">
        <v>1664</v>
      </c>
      <c r="F6456" s="15" t="s">
        <v>1664</v>
      </c>
      <c r="G6456" s="7">
        <v>7.447</v>
      </c>
      <c r="H6456" s="15" t="s">
        <v>2864</v>
      </c>
      <c r="I6456" s="15" t="s">
        <v>1560</v>
      </c>
      <c r="J6456" s="15" t="s">
        <v>24580</v>
      </c>
      <c r="K6456" s="15">
        <v>3.0</v>
      </c>
      <c r="L6456" s="15">
        <v>3.0</v>
      </c>
      <c r="M6456" s="41">
        <v>42714.0</v>
      </c>
      <c r="N6456" s="40">
        <v>42752.0</v>
      </c>
      <c r="O6456" s="15" t="s">
        <v>1554</v>
      </c>
      <c r="Q6456" s="7"/>
    </row>
    <row r="6457">
      <c r="A6457" s="39" t="s">
        <v>24581</v>
      </c>
      <c r="B6457" s="15">
        <v>1923480.0</v>
      </c>
      <c r="C6457" s="15" t="s">
        <v>24582</v>
      </c>
      <c r="D6457" s="15">
        <v>361800.0</v>
      </c>
      <c r="E6457" s="15" t="s">
        <v>1664</v>
      </c>
      <c r="F6457" s="15" t="s">
        <v>1664</v>
      </c>
      <c r="G6457" s="7">
        <v>11.56</v>
      </c>
      <c r="H6457" s="15" t="s">
        <v>1670</v>
      </c>
      <c r="I6457" s="15" t="s">
        <v>1560</v>
      </c>
      <c r="J6457" s="15" t="s">
        <v>24583</v>
      </c>
      <c r="K6457" s="15">
        <v>5.0</v>
      </c>
      <c r="L6457" s="15">
        <v>5.0</v>
      </c>
      <c r="M6457" s="41">
        <v>42714.0</v>
      </c>
      <c r="N6457" s="40">
        <v>42752.0</v>
      </c>
      <c r="O6457" s="15" t="s">
        <v>1554</v>
      </c>
      <c r="Q6457" s="7"/>
    </row>
    <row r="6458">
      <c r="A6458" s="39" t="s">
        <v>24584</v>
      </c>
      <c r="B6458" s="15">
        <v>1923479.0</v>
      </c>
      <c r="C6458" s="15" t="s">
        <v>24585</v>
      </c>
      <c r="D6458" s="15">
        <v>361801.0</v>
      </c>
      <c r="E6458" s="15" t="s">
        <v>1664</v>
      </c>
      <c r="F6458" s="15" t="s">
        <v>1664</v>
      </c>
      <c r="G6458" s="7">
        <v>11.938</v>
      </c>
      <c r="H6458" s="15" t="s">
        <v>1849</v>
      </c>
      <c r="I6458" s="15" t="s">
        <v>1560</v>
      </c>
      <c r="J6458" s="15" t="s">
        <v>24586</v>
      </c>
      <c r="K6458" s="15">
        <v>5.0</v>
      </c>
      <c r="L6458" s="15">
        <v>5.0</v>
      </c>
      <c r="M6458" s="41">
        <v>42714.0</v>
      </c>
      <c r="N6458" s="40">
        <v>42752.0</v>
      </c>
      <c r="O6458" s="15" t="s">
        <v>1554</v>
      </c>
      <c r="Q6458" s="7"/>
    </row>
    <row r="6459">
      <c r="A6459" s="39" t="s">
        <v>24587</v>
      </c>
      <c r="B6459" s="15">
        <v>1923478.0</v>
      </c>
      <c r="C6459" s="15" t="s">
        <v>24588</v>
      </c>
      <c r="D6459" s="15">
        <v>361802.0</v>
      </c>
      <c r="E6459" s="15" t="s">
        <v>1664</v>
      </c>
      <c r="F6459" s="15" t="s">
        <v>1664</v>
      </c>
      <c r="G6459" s="7">
        <v>10.183</v>
      </c>
      <c r="H6459" s="15" t="s">
        <v>3304</v>
      </c>
      <c r="I6459" s="15" t="s">
        <v>1560</v>
      </c>
      <c r="J6459" s="15" t="s">
        <v>24589</v>
      </c>
      <c r="K6459" s="15">
        <v>3.0</v>
      </c>
      <c r="L6459" s="15">
        <v>3.0</v>
      </c>
      <c r="M6459" s="41">
        <v>42714.0</v>
      </c>
      <c r="N6459" s="40">
        <v>42752.0</v>
      </c>
      <c r="O6459" s="15" t="s">
        <v>1554</v>
      </c>
      <c r="Q6459" s="7"/>
    </row>
    <row r="6460">
      <c r="A6460" s="39" t="s">
        <v>24590</v>
      </c>
      <c r="B6460" s="15">
        <v>1923477.0</v>
      </c>
      <c r="C6460" s="15" t="s">
        <v>24591</v>
      </c>
      <c r="D6460" s="15">
        <v>361803.0</v>
      </c>
      <c r="E6460" s="15" t="s">
        <v>1664</v>
      </c>
      <c r="F6460" s="15" t="s">
        <v>1664</v>
      </c>
      <c r="G6460" s="7">
        <v>6.891</v>
      </c>
      <c r="H6460" s="15" t="s">
        <v>2440</v>
      </c>
      <c r="I6460" s="15" t="s">
        <v>1560</v>
      </c>
      <c r="J6460" s="15" t="s">
        <v>24592</v>
      </c>
      <c r="K6460" s="15">
        <v>2.0</v>
      </c>
      <c r="L6460" s="15">
        <v>2.0</v>
      </c>
      <c r="M6460" s="41">
        <v>42714.0</v>
      </c>
      <c r="N6460" s="40">
        <v>42752.0</v>
      </c>
      <c r="O6460" s="15" t="s">
        <v>1554</v>
      </c>
      <c r="Q6460" s="7"/>
    </row>
    <row r="6461">
      <c r="A6461" s="39" t="s">
        <v>24593</v>
      </c>
      <c r="B6461" s="15">
        <v>1923476.0</v>
      </c>
      <c r="C6461" s="15" t="s">
        <v>24594</v>
      </c>
      <c r="D6461" s="15">
        <v>361804.0</v>
      </c>
      <c r="E6461" s="15" t="s">
        <v>1664</v>
      </c>
      <c r="F6461" s="15" t="s">
        <v>1664</v>
      </c>
      <c r="G6461" s="7">
        <v>2.781</v>
      </c>
      <c r="H6461" s="15" t="s">
        <v>2668</v>
      </c>
      <c r="I6461" s="15" t="s">
        <v>1560</v>
      </c>
      <c r="J6461" s="15" t="s">
        <v>24595</v>
      </c>
      <c r="K6461" s="15">
        <v>2.0</v>
      </c>
      <c r="L6461" s="15">
        <v>2.0</v>
      </c>
      <c r="M6461" s="41">
        <v>42714.0</v>
      </c>
      <c r="N6461" s="40">
        <v>42752.0</v>
      </c>
      <c r="O6461" s="15" t="s">
        <v>1554</v>
      </c>
      <c r="Q6461" s="7"/>
    </row>
    <row r="6462">
      <c r="A6462" s="39" t="s">
        <v>24596</v>
      </c>
      <c r="B6462" s="15">
        <v>1923475.0</v>
      </c>
      <c r="C6462" s="15" t="s">
        <v>24597</v>
      </c>
      <c r="D6462" s="15">
        <v>361805.0</v>
      </c>
      <c r="E6462" s="15" t="s">
        <v>1664</v>
      </c>
      <c r="F6462" s="15" t="s">
        <v>1664</v>
      </c>
      <c r="G6462" s="7">
        <v>2.791</v>
      </c>
      <c r="H6462" s="15" t="s">
        <v>1640</v>
      </c>
      <c r="I6462" s="15" t="s">
        <v>1560</v>
      </c>
      <c r="J6462" s="15" t="s">
        <v>24598</v>
      </c>
      <c r="K6462" s="15">
        <v>2.0</v>
      </c>
      <c r="L6462" s="15">
        <v>2.0</v>
      </c>
      <c r="M6462" s="41">
        <v>42714.0</v>
      </c>
      <c r="N6462" s="40">
        <v>42752.0</v>
      </c>
      <c r="O6462" s="15" t="s">
        <v>1554</v>
      </c>
      <c r="Q6462" s="7"/>
    </row>
    <row r="6463">
      <c r="A6463" s="39" t="s">
        <v>24599</v>
      </c>
      <c r="B6463" s="15">
        <v>1923474.0</v>
      </c>
      <c r="C6463" s="15" t="s">
        <v>24600</v>
      </c>
      <c r="D6463" s="15">
        <v>361806.0</v>
      </c>
      <c r="E6463" s="15" t="s">
        <v>1664</v>
      </c>
      <c r="F6463" s="15" t="s">
        <v>1664</v>
      </c>
      <c r="G6463" s="7">
        <v>3.718</v>
      </c>
      <c r="H6463" s="15" t="s">
        <v>1844</v>
      </c>
      <c r="I6463" s="15" t="s">
        <v>1560</v>
      </c>
      <c r="J6463" s="15" t="s">
        <v>24601</v>
      </c>
      <c r="K6463" s="15">
        <v>2.0</v>
      </c>
      <c r="L6463" s="15">
        <v>2.0</v>
      </c>
      <c r="M6463" s="41">
        <v>42714.0</v>
      </c>
      <c r="N6463" s="40">
        <v>42752.0</v>
      </c>
      <c r="O6463" s="15" t="s">
        <v>1554</v>
      </c>
      <c r="Q6463" s="7"/>
    </row>
    <row r="6464">
      <c r="A6464" s="39" t="s">
        <v>24602</v>
      </c>
      <c r="B6464" s="15">
        <v>1923470.0</v>
      </c>
      <c r="C6464" s="15" t="s">
        <v>24603</v>
      </c>
      <c r="D6464" s="15">
        <v>361807.0</v>
      </c>
      <c r="E6464" s="15" t="s">
        <v>1664</v>
      </c>
      <c r="F6464" s="15" t="s">
        <v>1664</v>
      </c>
      <c r="G6464" s="7">
        <v>2.799</v>
      </c>
      <c r="H6464" s="15">
        <v>52.0</v>
      </c>
      <c r="I6464" s="15" t="s">
        <v>1560</v>
      </c>
      <c r="J6464" s="15" t="s">
        <v>24604</v>
      </c>
      <c r="K6464" s="15">
        <v>2.0</v>
      </c>
      <c r="L6464" s="15">
        <v>2.0</v>
      </c>
      <c r="M6464" s="41">
        <v>42714.0</v>
      </c>
      <c r="N6464" s="40">
        <v>42752.0</v>
      </c>
      <c r="O6464" s="15" t="s">
        <v>1554</v>
      </c>
      <c r="Q6464" s="7"/>
    </row>
    <row r="6465">
      <c r="A6465" s="39" t="s">
        <v>24605</v>
      </c>
      <c r="B6465" s="15">
        <v>1923469.0</v>
      </c>
      <c r="C6465" s="15" t="s">
        <v>24606</v>
      </c>
      <c r="D6465" s="15">
        <v>361808.0</v>
      </c>
      <c r="E6465" s="15" t="s">
        <v>1664</v>
      </c>
      <c r="F6465" s="15" t="s">
        <v>1664</v>
      </c>
      <c r="G6465" s="7">
        <v>12.155</v>
      </c>
      <c r="H6465" s="15" t="s">
        <v>3309</v>
      </c>
      <c r="I6465" s="15" t="s">
        <v>1560</v>
      </c>
      <c r="J6465" s="15" t="s">
        <v>24607</v>
      </c>
      <c r="K6465" s="15">
        <v>4.0</v>
      </c>
      <c r="L6465" s="15">
        <v>4.0</v>
      </c>
      <c r="M6465" s="41">
        <v>42714.0</v>
      </c>
      <c r="N6465" s="40">
        <v>42752.0</v>
      </c>
      <c r="O6465" s="15" t="s">
        <v>1554</v>
      </c>
      <c r="Q6465" s="7"/>
    </row>
    <row r="6466">
      <c r="A6466" s="39" t="s">
        <v>24608</v>
      </c>
      <c r="B6466" s="15">
        <v>1923468.0</v>
      </c>
      <c r="C6466" s="15" t="s">
        <v>24609</v>
      </c>
      <c r="D6466" s="15">
        <v>361809.0</v>
      </c>
      <c r="E6466" s="15" t="s">
        <v>1664</v>
      </c>
      <c r="F6466" s="15" t="s">
        <v>1664</v>
      </c>
      <c r="G6466" s="7">
        <v>9.854</v>
      </c>
      <c r="H6466" s="42">
        <v>43343.0</v>
      </c>
      <c r="I6466" s="15" t="s">
        <v>1560</v>
      </c>
      <c r="J6466" s="15" t="s">
        <v>24610</v>
      </c>
      <c r="K6466" s="15">
        <v>1.0</v>
      </c>
      <c r="L6466" s="15">
        <v>1.0</v>
      </c>
      <c r="M6466" s="41">
        <v>42714.0</v>
      </c>
      <c r="N6466" s="40">
        <v>42752.0</v>
      </c>
      <c r="O6466" s="15" t="s">
        <v>1554</v>
      </c>
      <c r="Q6466" s="7"/>
    </row>
    <row r="6467">
      <c r="A6467" s="39" t="s">
        <v>24612</v>
      </c>
      <c r="B6467" s="15">
        <v>1923467.0</v>
      </c>
      <c r="C6467" s="15" t="s">
        <v>24613</v>
      </c>
      <c r="D6467" s="15">
        <v>361810.0</v>
      </c>
      <c r="E6467" s="15" t="s">
        <v>1664</v>
      </c>
      <c r="F6467" s="15" t="s">
        <v>1664</v>
      </c>
      <c r="G6467" s="7">
        <v>2.704</v>
      </c>
      <c r="H6467" s="15" t="s">
        <v>3055</v>
      </c>
      <c r="I6467" s="15" t="s">
        <v>1560</v>
      </c>
      <c r="J6467" s="15" t="s">
        <v>24614</v>
      </c>
      <c r="K6467" s="15">
        <v>1.0</v>
      </c>
      <c r="L6467" s="15">
        <v>1.0</v>
      </c>
      <c r="M6467" s="41">
        <v>42714.0</v>
      </c>
      <c r="N6467" s="40">
        <v>42752.0</v>
      </c>
      <c r="O6467" s="15" t="s">
        <v>1554</v>
      </c>
      <c r="Q6467" s="7"/>
    </row>
    <row r="6468">
      <c r="A6468" s="39" t="s">
        <v>24615</v>
      </c>
      <c r="B6468" s="15">
        <v>1923466.0</v>
      </c>
      <c r="C6468" s="15" t="s">
        <v>24616</v>
      </c>
      <c r="D6468" s="15">
        <v>361811.0</v>
      </c>
      <c r="E6468" s="15" t="s">
        <v>1664</v>
      </c>
      <c r="F6468" s="15" t="s">
        <v>1664</v>
      </c>
      <c r="G6468" s="7">
        <v>2.758</v>
      </c>
      <c r="H6468" s="15" t="s">
        <v>2178</v>
      </c>
      <c r="I6468" s="15" t="s">
        <v>1560</v>
      </c>
      <c r="J6468" s="15" t="s">
        <v>24617</v>
      </c>
      <c r="K6468" s="15">
        <v>1.0</v>
      </c>
      <c r="L6468" s="15">
        <v>1.0</v>
      </c>
      <c r="M6468" s="41">
        <v>42714.0</v>
      </c>
      <c r="N6468" s="40">
        <v>42752.0</v>
      </c>
      <c r="O6468" s="15" t="s">
        <v>1554</v>
      </c>
      <c r="Q6468" s="7"/>
    </row>
    <row r="6469">
      <c r="A6469" s="39" t="s">
        <v>24618</v>
      </c>
      <c r="B6469" s="15">
        <v>1923464.0</v>
      </c>
      <c r="C6469" s="15" t="s">
        <v>24619</v>
      </c>
      <c r="D6469" s="15">
        <v>361812.0</v>
      </c>
      <c r="E6469" s="15" t="s">
        <v>1664</v>
      </c>
      <c r="F6469" s="15" t="s">
        <v>1664</v>
      </c>
      <c r="G6469" s="7">
        <v>7.548</v>
      </c>
      <c r="H6469" s="15" t="s">
        <v>1559</v>
      </c>
      <c r="I6469" s="15" t="s">
        <v>1560</v>
      </c>
      <c r="J6469" s="15" t="s">
        <v>24621</v>
      </c>
      <c r="K6469" s="15">
        <v>4.0</v>
      </c>
      <c r="L6469" s="15">
        <v>4.0</v>
      </c>
      <c r="M6469" s="41">
        <v>42714.0</v>
      </c>
      <c r="N6469" s="40">
        <v>42752.0</v>
      </c>
      <c r="O6469" s="15" t="s">
        <v>1554</v>
      </c>
      <c r="Q6469" s="7"/>
    </row>
    <row r="6470">
      <c r="A6470" s="39" t="s">
        <v>24622</v>
      </c>
      <c r="B6470" s="15">
        <v>1923460.0</v>
      </c>
      <c r="C6470" s="15" t="s">
        <v>24623</v>
      </c>
      <c r="D6470" s="15">
        <v>361813.0</v>
      </c>
      <c r="E6470" s="15" t="s">
        <v>1664</v>
      </c>
      <c r="F6470" s="15" t="s">
        <v>1664</v>
      </c>
      <c r="G6470" s="7">
        <v>13.283</v>
      </c>
      <c r="H6470" s="15" t="s">
        <v>8889</v>
      </c>
      <c r="I6470" s="15" t="s">
        <v>1560</v>
      </c>
      <c r="J6470" s="15" t="s">
        <v>24624</v>
      </c>
      <c r="K6470" s="15">
        <v>6.0</v>
      </c>
      <c r="L6470" s="15">
        <v>6.0</v>
      </c>
      <c r="M6470" s="41">
        <v>42714.0</v>
      </c>
      <c r="N6470" s="40">
        <v>42752.0</v>
      </c>
      <c r="O6470" s="15" t="s">
        <v>1554</v>
      </c>
      <c r="Q6470" s="7"/>
    </row>
    <row r="6471">
      <c r="A6471" s="39" t="s">
        <v>24625</v>
      </c>
      <c r="B6471" s="15">
        <v>1923457.0</v>
      </c>
      <c r="C6471" s="15" t="s">
        <v>24626</v>
      </c>
      <c r="D6471" s="15">
        <v>361814.0</v>
      </c>
      <c r="E6471" s="15" t="s">
        <v>1664</v>
      </c>
      <c r="F6471" s="15" t="s">
        <v>1664</v>
      </c>
      <c r="G6471" s="7">
        <v>7.768</v>
      </c>
      <c r="H6471" s="15" t="s">
        <v>24628</v>
      </c>
      <c r="I6471" s="15" t="s">
        <v>1560</v>
      </c>
      <c r="J6471" s="15" t="s">
        <v>24629</v>
      </c>
      <c r="K6471" s="15">
        <v>2.0</v>
      </c>
      <c r="L6471" s="15">
        <v>2.0</v>
      </c>
      <c r="M6471" s="41">
        <v>42714.0</v>
      </c>
      <c r="N6471" s="40">
        <v>42752.0</v>
      </c>
      <c r="O6471" s="15" t="s">
        <v>1554</v>
      </c>
      <c r="Q6471" s="7"/>
    </row>
    <row r="6472">
      <c r="A6472" s="39" t="s">
        <v>24630</v>
      </c>
      <c r="B6472" s="15">
        <v>1923456.0</v>
      </c>
      <c r="C6472" s="15" t="s">
        <v>24631</v>
      </c>
      <c r="D6472" s="15">
        <v>361815.0</v>
      </c>
      <c r="E6472" s="15" t="s">
        <v>1664</v>
      </c>
      <c r="F6472" s="15" t="s">
        <v>1664</v>
      </c>
      <c r="G6472" s="7">
        <v>43346.0</v>
      </c>
      <c r="H6472" s="15" t="s">
        <v>4606</v>
      </c>
      <c r="I6472" s="15" t="s">
        <v>1560</v>
      </c>
      <c r="J6472" s="15" t="s">
        <v>24632</v>
      </c>
      <c r="K6472" s="15">
        <v>2.0</v>
      </c>
      <c r="L6472" s="15">
        <v>2.0</v>
      </c>
      <c r="M6472" s="41">
        <v>42714.0</v>
      </c>
      <c r="N6472" s="40">
        <v>42752.0</v>
      </c>
      <c r="O6472" s="15" t="s">
        <v>1554</v>
      </c>
      <c r="Q6472" s="7"/>
    </row>
    <row r="6473">
      <c r="A6473" s="39" t="s">
        <v>24633</v>
      </c>
      <c r="B6473" s="15">
        <v>1923455.0</v>
      </c>
      <c r="C6473" s="15" t="s">
        <v>24634</v>
      </c>
      <c r="D6473" s="15">
        <v>361816.0</v>
      </c>
      <c r="E6473" s="15" t="s">
        <v>1664</v>
      </c>
      <c r="F6473" s="15" t="s">
        <v>1664</v>
      </c>
      <c r="G6473" s="7">
        <v>2.824</v>
      </c>
      <c r="H6473" s="15">
        <v>59.0</v>
      </c>
      <c r="I6473" s="15" t="s">
        <v>1560</v>
      </c>
      <c r="J6473" s="15" t="s">
        <v>24635</v>
      </c>
      <c r="K6473" s="15">
        <v>2.0</v>
      </c>
      <c r="L6473" s="15">
        <v>2.0</v>
      </c>
      <c r="M6473" s="41">
        <v>42714.0</v>
      </c>
      <c r="N6473" s="40">
        <v>42752.0</v>
      </c>
      <c r="O6473" s="15" t="s">
        <v>1554</v>
      </c>
      <c r="Q6473" s="7"/>
    </row>
    <row r="6474">
      <c r="A6474" s="39" t="s">
        <v>24636</v>
      </c>
      <c r="B6474" s="15">
        <v>1923454.0</v>
      </c>
      <c r="C6474" s="15" t="s">
        <v>24637</v>
      </c>
      <c r="D6474" s="15">
        <v>361817.0</v>
      </c>
      <c r="E6474" s="15" t="s">
        <v>1664</v>
      </c>
      <c r="F6474" s="15" t="s">
        <v>1664</v>
      </c>
      <c r="G6474" s="7">
        <v>3.593</v>
      </c>
      <c r="H6474" s="15" t="s">
        <v>3798</v>
      </c>
      <c r="I6474" s="15" t="s">
        <v>1560</v>
      </c>
      <c r="J6474" s="15" t="s">
        <v>24639</v>
      </c>
      <c r="K6474" s="15">
        <v>2.0</v>
      </c>
      <c r="L6474" s="15">
        <v>2.0</v>
      </c>
      <c r="M6474" s="41">
        <v>42714.0</v>
      </c>
      <c r="N6474" s="40">
        <v>42752.0</v>
      </c>
      <c r="O6474" s="15" t="s">
        <v>1554</v>
      </c>
      <c r="Q6474" s="7"/>
    </row>
    <row r="6475">
      <c r="A6475" s="39" t="s">
        <v>24640</v>
      </c>
      <c r="B6475" s="15">
        <v>1923453.0</v>
      </c>
      <c r="C6475" s="15" t="s">
        <v>24641</v>
      </c>
      <c r="D6475" s="15">
        <v>361818.0</v>
      </c>
      <c r="E6475" s="15" t="s">
        <v>1664</v>
      </c>
      <c r="F6475" s="15" t="s">
        <v>1664</v>
      </c>
      <c r="G6475" s="7">
        <v>7.807</v>
      </c>
      <c r="H6475" s="15" t="s">
        <v>24642</v>
      </c>
      <c r="I6475" s="15" t="s">
        <v>1560</v>
      </c>
      <c r="J6475" s="15" t="s">
        <v>24643</v>
      </c>
      <c r="K6475" s="15">
        <v>2.0</v>
      </c>
      <c r="L6475" s="15">
        <v>2.0</v>
      </c>
      <c r="M6475" s="41">
        <v>42714.0</v>
      </c>
      <c r="N6475" s="40">
        <v>42752.0</v>
      </c>
      <c r="O6475" s="15" t="s">
        <v>1554</v>
      </c>
      <c r="Q6475" s="7"/>
    </row>
    <row r="6476">
      <c r="A6476" s="39" t="s">
        <v>24644</v>
      </c>
      <c r="B6476" s="15">
        <v>1923452.0</v>
      </c>
      <c r="C6476" s="15" t="s">
        <v>24645</v>
      </c>
      <c r="D6476" s="15">
        <v>361819.0</v>
      </c>
      <c r="E6476" s="15" t="s">
        <v>1664</v>
      </c>
      <c r="F6476" s="15" t="s">
        <v>1664</v>
      </c>
      <c r="G6476" s="7">
        <v>9.126</v>
      </c>
      <c r="H6476" s="15" t="s">
        <v>1828</v>
      </c>
      <c r="I6476" s="15" t="s">
        <v>1560</v>
      </c>
      <c r="J6476" s="15" t="s">
        <v>24646</v>
      </c>
      <c r="K6476" s="15">
        <v>2.0</v>
      </c>
      <c r="L6476" s="15">
        <v>2.0</v>
      </c>
      <c r="M6476" s="41">
        <v>42714.0</v>
      </c>
      <c r="N6476" s="40">
        <v>42752.0</v>
      </c>
      <c r="O6476" s="15" t="s">
        <v>1554</v>
      </c>
      <c r="Q6476" s="7"/>
    </row>
    <row r="6477">
      <c r="A6477" s="39" t="s">
        <v>24647</v>
      </c>
      <c r="B6477" s="15">
        <v>1923450.0</v>
      </c>
      <c r="C6477" s="15" t="s">
        <v>24648</v>
      </c>
      <c r="D6477" s="15">
        <v>361820.0</v>
      </c>
      <c r="E6477" s="15" t="s">
        <v>1664</v>
      </c>
      <c r="F6477" s="15" t="s">
        <v>1664</v>
      </c>
      <c r="G6477" s="7">
        <v>10.076</v>
      </c>
      <c r="H6477" s="15" t="s">
        <v>6633</v>
      </c>
      <c r="I6477" s="15" t="s">
        <v>1560</v>
      </c>
      <c r="J6477" s="15" t="s">
        <v>24649</v>
      </c>
      <c r="K6477" s="15">
        <v>1.0</v>
      </c>
      <c r="L6477" s="15">
        <v>1.0</v>
      </c>
      <c r="M6477" s="41">
        <v>42714.0</v>
      </c>
      <c r="N6477" s="40">
        <v>42752.0</v>
      </c>
      <c r="O6477" s="15" t="s">
        <v>1554</v>
      </c>
      <c r="Q6477" s="7"/>
    </row>
    <row r="6478">
      <c r="A6478" s="39" t="s">
        <v>24650</v>
      </c>
      <c r="B6478" s="15">
        <v>1923449.0</v>
      </c>
      <c r="C6478" s="15" t="s">
        <v>24651</v>
      </c>
      <c r="D6478" s="15">
        <v>361821.0</v>
      </c>
      <c r="E6478" s="15" t="s">
        <v>1664</v>
      </c>
      <c r="F6478" s="15" t="s">
        <v>1664</v>
      </c>
      <c r="G6478" s="7">
        <v>8.831</v>
      </c>
      <c r="H6478" s="15" t="s">
        <v>1943</v>
      </c>
      <c r="I6478" s="15" t="s">
        <v>1560</v>
      </c>
      <c r="J6478" s="15" t="s">
        <v>24653</v>
      </c>
      <c r="K6478" s="15">
        <v>2.0</v>
      </c>
      <c r="L6478" s="15">
        <v>2.0</v>
      </c>
      <c r="M6478" s="41">
        <v>42714.0</v>
      </c>
      <c r="N6478" s="40">
        <v>42752.0</v>
      </c>
      <c r="O6478" s="15" t="s">
        <v>1554</v>
      </c>
      <c r="Q6478" s="7"/>
    </row>
    <row r="6479">
      <c r="A6479" s="39" t="s">
        <v>24654</v>
      </c>
      <c r="B6479" s="15">
        <v>1923448.0</v>
      </c>
      <c r="C6479" s="15" t="s">
        <v>24655</v>
      </c>
      <c r="D6479" s="15">
        <v>361822.0</v>
      </c>
      <c r="E6479" s="15" t="s">
        <v>1664</v>
      </c>
      <c r="F6479" s="15" t="s">
        <v>1664</v>
      </c>
      <c r="G6479" s="7">
        <v>8.658</v>
      </c>
      <c r="H6479" s="15" t="s">
        <v>2005</v>
      </c>
      <c r="I6479" s="15" t="s">
        <v>1560</v>
      </c>
      <c r="J6479" s="15" t="s">
        <v>24656</v>
      </c>
      <c r="K6479" s="15">
        <v>2.0</v>
      </c>
      <c r="L6479" s="15">
        <v>2.0</v>
      </c>
      <c r="M6479" s="41">
        <v>42714.0</v>
      </c>
      <c r="N6479" s="40">
        <v>42752.0</v>
      </c>
      <c r="O6479" s="15" t="s">
        <v>1554</v>
      </c>
      <c r="Q6479" s="7"/>
    </row>
    <row r="6480">
      <c r="A6480" s="39" t="s">
        <v>24657</v>
      </c>
      <c r="B6480" s="15">
        <v>1923447.0</v>
      </c>
      <c r="C6480" s="15" t="s">
        <v>24658</v>
      </c>
      <c r="D6480" s="15">
        <v>361823.0</v>
      </c>
      <c r="E6480" s="15" t="s">
        <v>1664</v>
      </c>
      <c r="F6480" s="15" t="s">
        <v>1664</v>
      </c>
      <c r="G6480" s="7">
        <v>8.86</v>
      </c>
      <c r="H6480" s="15" t="s">
        <v>3776</v>
      </c>
      <c r="I6480" s="15" t="s">
        <v>1560</v>
      </c>
      <c r="J6480" s="15" t="s">
        <v>24659</v>
      </c>
      <c r="K6480" s="15">
        <v>1.0</v>
      </c>
      <c r="L6480" s="15">
        <v>1.0</v>
      </c>
      <c r="M6480" s="41">
        <v>42714.0</v>
      </c>
      <c r="N6480" s="40">
        <v>42752.0</v>
      </c>
      <c r="O6480" s="15" t="s">
        <v>1554</v>
      </c>
      <c r="Q6480" s="7"/>
    </row>
    <row r="6481">
      <c r="A6481" s="39" t="s">
        <v>24660</v>
      </c>
      <c r="B6481" s="15">
        <v>1923446.0</v>
      </c>
      <c r="C6481" s="15" t="s">
        <v>24661</v>
      </c>
      <c r="D6481" s="15">
        <v>361824.0</v>
      </c>
      <c r="E6481" s="15" t="s">
        <v>1664</v>
      </c>
      <c r="F6481" s="15" t="s">
        <v>1664</v>
      </c>
      <c r="G6481" s="7">
        <v>8.352</v>
      </c>
      <c r="H6481" s="15" t="s">
        <v>1745</v>
      </c>
      <c r="I6481" s="15" t="s">
        <v>1560</v>
      </c>
      <c r="J6481" s="15" t="s">
        <v>24662</v>
      </c>
      <c r="K6481" s="15">
        <v>2.0</v>
      </c>
      <c r="L6481" s="15">
        <v>2.0</v>
      </c>
      <c r="M6481" s="41">
        <v>42714.0</v>
      </c>
      <c r="N6481" s="40">
        <v>42752.0</v>
      </c>
      <c r="O6481" s="15" t="s">
        <v>1554</v>
      </c>
      <c r="Q6481" s="7"/>
    </row>
    <row r="6482">
      <c r="A6482" s="39" t="s">
        <v>24664</v>
      </c>
      <c r="B6482" s="15">
        <v>1923445.0</v>
      </c>
      <c r="C6482" s="15" t="s">
        <v>24665</v>
      </c>
      <c r="D6482" s="15">
        <v>361825.0</v>
      </c>
      <c r="E6482" s="15" t="s">
        <v>1664</v>
      </c>
      <c r="F6482" s="15" t="s">
        <v>1664</v>
      </c>
      <c r="G6482" s="7">
        <v>9.272</v>
      </c>
      <c r="H6482" s="15" t="s">
        <v>2777</v>
      </c>
      <c r="I6482" s="15" t="s">
        <v>1560</v>
      </c>
      <c r="J6482" s="15" t="s">
        <v>24666</v>
      </c>
      <c r="K6482" s="15">
        <v>2.0</v>
      </c>
      <c r="L6482" s="15">
        <v>2.0</v>
      </c>
      <c r="M6482" s="41">
        <v>42714.0</v>
      </c>
      <c r="N6482" s="40">
        <v>42752.0</v>
      </c>
      <c r="O6482" s="15" t="s">
        <v>1554</v>
      </c>
      <c r="Q6482" s="7"/>
    </row>
    <row r="6483">
      <c r="A6483" s="39" t="s">
        <v>24667</v>
      </c>
      <c r="B6483" s="15">
        <v>1923444.0</v>
      </c>
      <c r="C6483" s="15" t="s">
        <v>24668</v>
      </c>
      <c r="D6483" s="15">
        <v>361826.0</v>
      </c>
      <c r="E6483" s="15" t="s">
        <v>1664</v>
      </c>
      <c r="F6483" s="15" t="s">
        <v>1664</v>
      </c>
      <c r="G6483" s="7">
        <v>10.36</v>
      </c>
      <c r="H6483" s="15" t="s">
        <v>3097</v>
      </c>
      <c r="I6483" s="15" t="s">
        <v>1560</v>
      </c>
      <c r="J6483" s="15" t="s">
        <v>24669</v>
      </c>
      <c r="K6483" s="15">
        <v>1.0</v>
      </c>
      <c r="L6483" s="15">
        <v>1.0</v>
      </c>
      <c r="M6483" s="41">
        <v>42714.0</v>
      </c>
      <c r="N6483" s="40">
        <v>42752.0</v>
      </c>
      <c r="O6483" s="15" t="s">
        <v>1554</v>
      </c>
      <c r="Q6483" s="7"/>
    </row>
    <row r="6484">
      <c r="A6484" s="39" t="s">
        <v>24670</v>
      </c>
      <c r="B6484" s="15">
        <v>1923443.0</v>
      </c>
      <c r="C6484" s="15" t="s">
        <v>24671</v>
      </c>
      <c r="D6484" s="15">
        <v>361827.0</v>
      </c>
      <c r="E6484" s="15" t="s">
        <v>1664</v>
      </c>
      <c r="F6484" s="15" t="s">
        <v>1664</v>
      </c>
      <c r="G6484" s="7">
        <v>9.077</v>
      </c>
      <c r="H6484" s="15">
        <v>43.0</v>
      </c>
      <c r="I6484" s="15" t="s">
        <v>1560</v>
      </c>
      <c r="J6484" s="15" t="s">
        <v>24673</v>
      </c>
      <c r="K6484" s="15">
        <v>1.0</v>
      </c>
      <c r="L6484" s="15">
        <v>1.0</v>
      </c>
      <c r="M6484" s="41">
        <v>42714.0</v>
      </c>
      <c r="N6484" s="40">
        <v>42752.0</v>
      </c>
      <c r="O6484" s="15" t="s">
        <v>1554</v>
      </c>
      <c r="Q6484" s="7"/>
    </row>
    <row r="6485">
      <c r="A6485" s="39" t="s">
        <v>24674</v>
      </c>
      <c r="B6485" s="15">
        <v>1923442.0</v>
      </c>
      <c r="C6485" s="15" t="s">
        <v>24675</v>
      </c>
      <c r="D6485" s="15">
        <v>361828.0</v>
      </c>
      <c r="E6485" s="15" t="s">
        <v>1664</v>
      </c>
      <c r="F6485" s="15" t="s">
        <v>1664</v>
      </c>
      <c r="G6485" s="7">
        <v>7.849</v>
      </c>
      <c r="H6485" s="15" t="s">
        <v>3309</v>
      </c>
      <c r="I6485" s="15" t="s">
        <v>1560</v>
      </c>
      <c r="J6485" s="15" t="s">
        <v>24676</v>
      </c>
      <c r="K6485" s="15">
        <v>2.0</v>
      </c>
      <c r="L6485" s="15">
        <v>2.0</v>
      </c>
      <c r="M6485" s="41">
        <v>42714.0</v>
      </c>
      <c r="N6485" s="40">
        <v>42752.0</v>
      </c>
      <c r="O6485" s="15" t="s">
        <v>1554</v>
      </c>
      <c r="Q6485" s="7"/>
    </row>
    <row r="6486">
      <c r="A6486" s="39" t="s">
        <v>24677</v>
      </c>
      <c r="B6486" s="15">
        <v>1923441.0</v>
      </c>
      <c r="C6486" s="15" t="s">
        <v>24678</v>
      </c>
      <c r="D6486" s="15">
        <v>361829.0</v>
      </c>
      <c r="E6486" s="15" t="s">
        <v>1664</v>
      </c>
      <c r="F6486" s="15" t="s">
        <v>1664</v>
      </c>
      <c r="G6486" s="7">
        <v>9.081</v>
      </c>
      <c r="H6486" s="15" t="s">
        <v>2158</v>
      </c>
      <c r="I6486" s="15" t="s">
        <v>1560</v>
      </c>
      <c r="J6486" s="15" t="s">
        <v>24679</v>
      </c>
      <c r="K6486" s="15">
        <v>2.0</v>
      </c>
      <c r="L6486" s="15">
        <v>2.0</v>
      </c>
      <c r="M6486" s="41">
        <v>42714.0</v>
      </c>
      <c r="N6486" s="40">
        <v>42752.0</v>
      </c>
      <c r="O6486" s="15" t="s">
        <v>1554</v>
      </c>
      <c r="Q6486" s="7"/>
    </row>
    <row r="6487">
      <c r="A6487" s="39" t="s">
        <v>24681</v>
      </c>
      <c r="B6487" s="15">
        <v>1923440.0</v>
      </c>
      <c r="C6487" s="15" t="s">
        <v>24682</v>
      </c>
      <c r="D6487" s="15">
        <v>361830.0</v>
      </c>
      <c r="E6487" s="15" t="s">
        <v>1664</v>
      </c>
      <c r="F6487" s="15" t="s">
        <v>1664</v>
      </c>
      <c r="G6487" s="7">
        <v>8.281</v>
      </c>
      <c r="H6487" s="15" t="s">
        <v>1962</v>
      </c>
      <c r="I6487" s="15" t="s">
        <v>1560</v>
      </c>
      <c r="J6487" s="15" t="s">
        <v>24683</v>
      </c>
      <c r="K6487" s="15">
        <v>1.0</v>
      </c>
      <c r="L6487" s="15">
        <v>1.0</v>
      </c>
      <c r="M6487" s="41">
        <v>42714.0</v>
      </c>
      <c r="N6487" s="40">
        <v>42752.0</v>
      </c>
      <c r="O6487" s="15" t="s">
        <v>1554</v>
      </c>
      <c r="Q6487" s="7"/>
    </row>
    <row r="6488">
      <c r="A6488" s="39" t="s">
        <v>24684</v>
      </c>
      <c r="B6488" s="15">
        <v>1923439.0</v>
      </c>
      <c r="C6488" s="15" t="s">
        <v>24685</v>
      </c>
      <c r="D6488" s="15">
        <v>361831.0</v>
      </c>
      <c r="E6488" s="15" t="s">
        <v>1664</v>
      </c>
      <c r="F6488" s="15" t="s">
        <v>1664</v>
      </c>
      <c r="G6488" s="7">
        <v>8.922</v>
      </c>
      <c r="H6488" s="15" t="s">
        <v>3895</v>
      </c>
      <c r="I6488" s="15" t="s">
        <v>1560</v>
      </c>
      <c r="J6488" s="15" t="s">
        <v>24686</v>
      </c>
      <c r="K6488" s="15">
        <v>2.0</v>
      </c>
      <c r="L6488" s="15">
        <v>2.0</v>
      </c>
      <c r="M6488" s="41">
        <v>42714.0</v>
      </c>
      <c r="N6488" s="40">
        <v>42752.0</v>
      </c>
      <c r="O6488" s="15" t="s">
        <v>1554</v>
      </c>
      <c r="Q6488" s="7"/>
    </row>
    <row r="6489">
      <c r="A6489" s="39" t="s">
        <v>24687</v>
      </c>
      <c r="B6489" s="15">
        <v>1923435.0</v>
      </c>
      <c r="C6489" s="15" t="s">
        <v>24689</v>
      </c>
      <c r="D6489" s="15">
        <v>361832.0</v>
      </c>
      <c r="E6489" s="15" t="s">
        <v>1664</v>
      </c>
      <c r="F6489" s="15" t="s">
        <v>1664</v>
      </c>
      <c r="G6489" s="7">
        <v>2.281</v>
      </c>
      <c r="H6489" s="15">
        <v>40.0</v>
      </c>
      <c r="I6489" s="15" t="s">
        <v>1560</v>
      </c>
      <c r="J6489" s="15" t="s">
        <v>24690</v>
      </c>
      <c r="K6489" s="15">
        <v>1.0</v>
      </c>
      <c r="L6489" s="15">
        <v>1.0</v>
      </c>
      <c r="M6489" s="41">
        <v>42714.0</v>
      </c>
      <c r="N6489" s="40">
        <v>42752.0</v>
      </c>
      <c r="O6489" s="15" t="s">
        <v>1554</v>
      </c>
      <c r="Q6489" s="7"/>
    </row>
    <row r="6490">
      <c r="A6490" s="39" t="s">
        <v>24691</v>
      </c>
      <c r="B6490" s="15">
        <v>1923433.0</v>
      </c>
      <c r="C6490" s="15" t="s">
        <v>24692</v>
      </c>
      <c r="D6490" s="15">
        <v>361833.0</v>
      </c>
      <c r="E6490" s="15" t="s">
        <v>1664</v>
      </c>
      <c r="F6490" s="15" t="s">
        <v>1664</v>
      </c>
      <c r="G6490" s="7">
        <v>1.684</v>
      </c>
      <c r="H6490" s="15" t="s">
        <v>3255</v>
      </c>
      <c r="I6490" s="15" t="s">
        <v>1560</v>
      </c>
      <c r="J6490" s="15" t="s">
        <v>24693</v>
      </c>
      <c r="K6490" s="15">
        <v>1.0</v>
      </c>
      <c r="L6490" s="15">
        <v>1.0</v>
      </c>
      <c r="M6490" s="41">
        <v>42714.0</v>
      </c>
      <c r="N6490" s="40">
        <v>42752.0</v>
      </c>
      <c r="O6490" s="15" t="s">
        <v>1554</v>
      </c>
      <c r="Q6490" s="7"/>
    </row>
    <row r="6491">
      <c r="A6491" s="39" t="s">
        <v>24695</v>
      </c>
      <c r="B6491" s="15">
        <v>1923431.0</v>
      </c>
      <c r="C6491" s="15" t="s">
        <v>24696</v>
      </c>
      <c r="D6491" s="15">
        <v>361834.0</v>
      </c>
      <c r="E6491" s="15" t="s">
        <v>1664</v>
      </c>
      <c r="F6491" s="15" t="s">
        <v>1664</v>
      </c>
      <c r="G6491" s="7">
        <v>2.982</v>
      </c>
      <c r="H6491" s="15" t="s">
        <v>3550</v>
      </c>
      <c r="I6491" s="15" t="s">
        <v>1560</v>
      </c>
      <c r="J6491" s="15" t="s">
        <v>24697</v>
      </c>
      <c r="K6491" s="15">
        <v>1.0</v>
      </c>
      <c r="L6491" s="15">
        <v>1.0</v>
      </c>
      <c r="M6491" s="41">
        <v>42714.0</v>
      </c>
      <c r="N6491" s="40">
        <v>42752.0</v>
      </c>
      <c r="O6491" s="15" t="s">
        <v>1554</v>
      </c>
      <c r="Q6491" s="7"/>
    </row>
    <row r="6492">
      <c r="A6492" s="39" t="s">
        <v>24698</v>
      </c>
      <c r="B6492" s="15">
        <v>1923430.0</v>
      </c>
      <c r="C6492" s="15" t="s">
        <v>24699</v>
      </c>
      <c r="D6492" s="15">
        <v>361835.0</v>
      </c>
      <c r="E6492" s="15" t="s">
        <v>1664</v>
      </c>
      <c r="F6492" s="15" t="s">
        <v>1664</v>
      </c>
      <c r="G6492" s="7">
        <v>3.375</v>
      </c>
      <c r="H6492" s="15" t="s">
        <v>1782</v>
      </c>
      <c r="I6492" s="15" t="s">
        <v>1560</v>
      </c>
      <c r="J6492" s="15" t="s">
        <v>24700</v>
      </c>
      <c r="K6492" s="15">
        <v>1.0</v>
      </c>
      <c r="L6492" s="15">
        <v>1.0</v>
      </c>
      <c r="M6492" s="41">
        <v>42714.0</v>
      </c>
      <c r="N6492" s="40">
        <v>42752.0</v>
      </c>
      <c r="O6492" s="15" t="s">
        <v>1554</v>
      </c>
      <c r="Q6492" s="7"/>
    </row>
    <row r="6493">
      <c r="A6493" s="39" t="s">
        <v>24702</v>
      </c>
      <c r="B6493" s="15">
        <v>1923429.0</v>
      </c>
      <c r="C6493" s="15" t="s">
        <v>24703</v>
      </c>
      <c r="D6493" s="15">
        <v>361838.0</v>
      </c>
      <c r="E6493" s="15" t="s">
        <v>1664</v>
      </c>
      <c r="F6493" s="15" t="s">
        <v>1664</v>
      </c>
      <c r="G6493" s="7">
        <v>3.209</v>
      </c>
      <c r="H6493" s="15" t="s">
        <v>1844</v>
      </c>
      <c r="I6493" s="15" t="s">
        <v>1560</v>
      </c>
      <c r="J6493" s="15" t="s">
        <v>24704</v>
      </c>
      <c r="K6493" s="15">
        <v>1.0</v>
      </c>
      <c r="L6493" s="15">
        <v>1.0</v>
      </c>
      <c r="M6493" s="41">
        <v>42714.0</v>
      </c>
      <c r="N6493" s="40">
        <v>42752.0</v>
      </c>
      <c r="O6493" s="15" t="s">
        <v>1554</v>
      </c>
      <c r="Q6493" s="7"/>
    </row>
    <row r="6494">
      <c r="A6494" s="39" t="s">
        <v>24706</v>
      </c>
      <c r="B6494" s="15">
        <v>1923423.0</v>
      </c>
      <c r="C6494" s="15" t="s">
        <v>24707</v>
      </c>
      <c r="D6494" s="15">
        <v>361839.0</v>
      </c>
      <c r="E6494" s="15" t="s">
        <v>1664</v>
      </c>
      <c r="F6494" s="15" t="s">
        <v>1664</v>
      </c>
      <c r="G6494" s="7">
        <v>6.235</v>
      </c>
      <c r="H6494" s="15" t="s">
        <v>4521</v>
      </c>
      <c r="I6494" s="15" t="s">
        <v>1560</v>
      </c>
      <c r="J6494" s="15" t="s">
        <v>24708</v>
      </c>
      <c r="K6494" s="15">
        <v>2.0</v>
      </c>
      <c r="L6494" s="15">
        <v>2.0</v>
      </c>
      <c r="M6494" s="41">
        <v>42714.0</v>
      </c>
      <c r="N6494" s="40">
        <v>42752.0</v>
      </c>
      <c r="O6494" s="15" t="s">
        <v>1554</v>
      </c>
      <c r="Q6494" s="7"/>
    </row>
    <row r="6495">
      <c r="A6495" s="39" t="s">
        <v>24710</v>
      </c>
      <c r="B6495" s="15">
        <v>1923422.0</v>
      </c>
      <c r="C6495" s="15" t="s">
        <v>24711</v>
      </c>
      <c r="D6495" s="15">
        <v>361840.0</v>
      </c>
      <c r="E6495" s="15" t="s">
        <v>1664</v>
      </c>
      <c r="F6495" s="15" t="s">
        <v>1664</v>
      </c>
      <c r="G6495" s="7">
        <v>10.297</v>
      </c>
      <c r="H6495" s="15">
        <v>55.0</v>
      </c>
      <c r="I6495" s="15" t="s">
        <v>1560</v>
      </c>
      <c r="J6495" s="15" t="s">
        <v>24712</v>
      </c>
      <c r="K6495" s="15">
        <v>1.0</v>
      </c>
      <c r="L6495" s="15">
        <v>1.0</v>
      </c>
      <c r="M6495" s="41">
        <v>42714.0</v>
      </c>
      <c r="N6495" s="40">
        <v>42752.0</v>
      </c>
      <c r="O6495" s="15" t="s">
        <v>1554</v>
      </c>
      <c r="Q6495" s="7"/>
    </row>
    <row r="6496">
      <c r="A6496" s="39" t="s">
        <v>24713</v>
      </c>
      <c r="B6496" s="15">
        <v>1923421.0</v>
      </c>
      <c r="C6496" s="15" t="s">
        <v>24714</v>
      </c>
      <c r="D6496" s="15">
        <v>361841.0</v>
      </c>
      <c r="E6496" s="15" t="s">
        <v>1664</v>
      </c>
      <c r="F6496" s="15" t="s">
        <v>1664</v>
      </c>
      <c r="G6496" s="7">
        <v>43444.0</v>
      </c>
      <c r="H6496" s="15" t="s">
        <v>2064</v>
      </c>
      <c r="I6496" s="15" t="s">
        <v>1560</v>
      </c>
      <c r="J6496" s="15" t="s">
        <v>24716</v>
      </c>
      <c r="K6496" s="15">
        <v>1.0</v>
      </c>
      <c r="L6496" s="15">
        <v>1.0</v>
      </c>
      <c r="M6496" s="41">
        <v>42714.0</v>
      </c>
      <c r="N6496" s="40">
        <v>42752.0</v>
      </c>
      <c r="O6496" s="15" t="s">
        <v>1554</v>
      </c>
      <c r="Q6496" s="7"/>
    </row>
    <row r="6497">
      <c r="A6497" s="39" t="s">
        <v>24717</v>
      </c>
      <c r="B6497" s="15">
        <v>1923420.0</v>
      </c>
      <c r="C6497" s="15" t="s">
        <v>24718</v>
      </c>
      <c r="D6497" s="15">
        <v>361842.0</v>
      </c>
      <c r="E6497" s="15" t="s">
        <v>1664</v>
      </c>
      <c r="F6497" s="15" t="s">
        <v>1664</v>
      </c>
      <c r="G6497" s="7">
        <v>8.739</v>
      </c>
      <c r="H6497" s="15" t="s">
        <v>4553</v>
      </c>
      <c r="I6497" s="15" t="s">
        <v>1560</v>
      </c>
      <c r="J6497" s="15" t="s">
        <v>24719</v>
      </c>
      <c r="K6497" s="15">
        <v>2.0</v>
      </c>
      <c r="L6497" s="15">
        <v>2.0</v>
      </c>
      <c r="M6497" s="41">
        <v>42714.0</v>
      </c>
      <c r="N6497" s="40">
        <v>42752.0</v>
      </c>
      <c r="O6497" s="15" t="s">
        <v>1554</v>
      </c>
      <c r="Q6497" s="7"/>
    </row>
    <row r="6498">
      <c r="A6498" s="39" t="s">
        <v>24720</v>
      </c>
      <c r="B6498" s="15">
        <v>1923417.0</v>
      </c>
      <c r="C6498" s="15" t="s">
        <v>24721</v>
      </c>
      <c r="D6498" s="15">
        <v>361843.0</v>
      </c>
      <c r="E6498" s="15" t="s">
        <v>1664</v>
      </c>
      <c r="F6498" s="15" t="s">
        <v>1664</v>
      </c>
      <c r="G6498" s="7">
        <v>10.019</v>
      </c>
      <c r="H6498" s="15" t="s">
        <v>1983</v>
      </c>
      <c r="I6498" s="15" t="s">
        <v>1560</v>
      </c>
      <c r="J6498" s="15" t="s">
        <v>24723</v>
      </c>
      <c r="K6498" s="15">
        <v>1.0</v>
      </c>
      <c r="L6498" s="15">
        <v>1.0</v>
      </c>
      <c r="M6498" s="41">
        <v>42714.0</v>
      </c>
      <c r="N6498" s="40">
        <v>42752.0</v>
      </c>
      <c r="O6498" s="15" t="s">
        <v>1554</v>
      </c>
      <c r="Q6498" s="7"/>
    </row>
    <row r="6499">
      <c r="A6499" s="39" t="s">
        <v>24724</v>
      </c>
      <c r="B6499" s="15">
        <v>1923414.0</v>
      </c>
      <c r="C6499" s="15" t="s">
        <v>24725</v>
      </c>
      <c r="D6499" s="15">
        <v>361844.0</v>
      </c>
      <c r="E6499" s="15" t="s">
        <v>1664</v>
      </c>
      <c r="F6499" s="15" t="s">
        <v>1664</v>
      </c>
      <c r="G6499" s="7">
        <v>15.783</v>
      </c>
      <c r="H6499" s="15" t="s">
        <v>8889</v>
      </c>
      <c r="I6499" s="15" t="s">
        <v>1560</v>
      </c>
      <c r="J6499" s="15" t="s">
        <v>24726</v>
      </c>
      <c r="K6499" s="15">
        <v>1.0</v>
      </c>
      <c r="L6499" s="15">
        <v>1.0</v>
      </c>
      <c r="M6499" s="41">
        <v>42714.0</v>
      </c>
      <c r="N6499" s="40">
        <v>42752.0</v>
      </c>
      <c r="O6499" s="15" t="s">
        <v>1554</v>
      </c>
      <c r="Q6499" s="7"/>
    </row>
    <row r="6500">
      <c r="A6500" s="39" t="s">
        <v>24728</v>
      </c>
      <c r="B6500" s="15">
        <v>1923408.0</v>
      </c>
      <c r="C6500" s="15" t="s">
        <v>24729</v>
      </c>
      <c r="D6500" s="15">
        <v>361845.0</v>
      </c>
      <c r="E6500" s="15" t="s">
        <v>1664</v>
      </c>
      <c r="F6500" s="15" t="s">
        <v>1664</v>
      </c>
      <c r="G6500" s="7">
        <v>8.687</v>
      </c>
      <c r="H6500" s="15" t="s">
        <v>1823</v>
      </c>
      <c r="I6500" s="15" t="s">
        <v>1560</v>
      </c>
      <c r="J6500" s="15" t="s">
        <v>24730</v>
      </c>
      <c r="K6500" s="15">
        <v>1.0</v>
      </c>
      <c r="L6500" s="15">
        <v>1.0</v>
      </c>
      <c r="M6500" s="41">
        <v>42714.0</v>
      </c>
      <c r="N6500" s="40">
        <v>42752.0</v>
      </c>
      <c r="O6500" s="15" t="s">
        <v>1554</v>
      </c>
      <c r="Q6500" s="7"/>
    </row>
    <row r="6501">
      <c r="A6501" s="39" t="s">
        <v>24731</v>
      </c>
      <c r="B6501" s="15">
        <v>1923407.0</v>
      </c>
      <c r="C6501" s="15" t="s">
        <v>24733</v>
      </c>
      <c r="D6501" s="15">
        <v>361846.0</v>
      </c>
      <c r="E6501" s="15" t="s">
        <v>1664</v>
      </c>
      <c r="F6501" s="15" t="s">
        <v>1664</v>
      </c>
      <c r="G6501" s="7">
        <v>9.166</v>
      </c>
      <c r="H6501" s="15" t="s">
        <v>2316</v>
      </c>
      <c r="I6501" s="15" t="s">
        <v>1560</v>
      </c>
      <c r="J6501" s="15" t="s">
        <v>24734</v>
      </c>
      <c r="K6501" s="15">
        <v>1.0</v>
      </c>
      <c r="L6501" s="15">
        <v>1.0</v>
      </c>
      <c r="M6501" s="41">
        <v>42714.0</v>
      </c>
      <c r="N6501" s="40">
        <v>42752.0</v>
      </c>
      <c r="O6501" s="15" t="s">
        <v>1554</v>
      </c>
      <c r="Q6501" s="7"/>
    </row>
    <row r="6502">
      <c r="A6502" s="39" t="s">
        <v>24735</v>
      </c>
      <c r="B6502" s="15">
        <v>1923406.0</v>
      </c>
      <c r="C6502" s="15" t="s">
        <v>24736</v>
      </c>
      <c r="D6502" s="15">
        <v>361847.0</v>
      </c>
      <c r="E6502" s="15" t="s">
        <v>1664</v>
      </c>
      <c r="F6502" s="15" t="s">
        <v>1664</v>
      </c>
      <c r="G6502" s="7">
        <v>10.194</v>
      </c>
      <c r="H6502" s="15" t="s">
        <v>3309</v>
      </c>
      <c r="I6502" s="15" t="s">
        <v>1560</v>
      </c>
      <c r="J6502" s="15" t="s">
        <v>24738</v>
      </c>
      <c r="K6502" s="15">
        <v>3.0</v>
      </c>
      <c r="L6502" s="15">
        <v>3.0</v>
      </c>
      <c r="M6502" s="41">
        <v>42714.0</v>
      </c>
      <c r="N6502" s="40">
        <v>42752.0</v>
      </c>
      <c r="O6502" s="15" t="s">
        <v>1554</v>
      </c>
      <c r="Q6502" s="7"/>
    </row>
    <row r="6503">
      <c r="A6503" s="39" t="s">
        <v>24739</v>
      </c>
      <c r="B6503" s="15">
        <v>1923405.0</v>
      </c>
      <c r="C6503" s="15" t="s">
        <v>24740</v>
      </c>
      <c r="D6503" s="15">
        <v>361848.0</v>
      </c>
      <c r="E6503" s="15" t="s">
        <v>1664</v>
      </c>
      <c r="F6503" s="15" t="s">
        <v>1664</v>
      </c>
      <c r="G6503" s="7">
        <v>10.153</v>
      </c>
      <c r="H6503" s="15">
        <v>39.0</v>
      </c>
      <c r="I6503" s="15" t="s">
        <v>1560</v>
      </c>
      <c r="J6503" s="15" t="s">
        <v>24741</v>
      </c>
      <c r="K6503" s="15">
        <v>1.0</v>
      </c>
      <c r="L6503" s="15">
        <v>1.0</v>
      </c>
      <c r="M6503" s="41">
        <v>42714.0</v>
      </c>
      <c r="N6503" s="40">
        <v>42752.0</v>
      </c>
      <c r="O6503" s="15" t="s">
        <v>1554</v>
      </c>
      <c r="Q6503" s="7"/>
    </row>
    <row r="6504">
      <c r="A6504" s="39" t="s">
        <v>24743</v>
      </c>
      <c r="B6504" s="15">
        <v>1923404.0</v>
      </c>
      <c r="C6504" s="15" t="s">
        <v>24744</v>
      </c>
      <c r="D6504" s="15">
        <v>361849.0</v>
      </c>
      <c r="E6504" s="15" t="s">
        <v>1664</v>
      </c>
      <c r="F6504" s="15" t="s">
        <v>1664</v>
      </c>
      <c r="G6504" s="7">
        <v>7.192</v>
      </c>
      <c r="H6504" s="15" t="s">
        <v>1705</v>
      </c>
      <c r="I6504" s="15" t="s">
        <v>1560</v>
      </c>
      <c r="J6504" s="15" t="s">
        <v>24745</v>
      </c>
      <c r="K6504" s="15">
        <v>2.0</v>
      </c>
      <c r="L6504" s="15">
        <v>2.0</v>
      </c>
      <c r="M6504" s="41">
        <v>42714.0</v>
      </c>
      <c r="N6504" s="40">
        <v>42752.0</v>
      </c>
      <c r="O6504" s="15" t="s">
        <v>1554</v>
      </c>
      <c r="Q6504" s="7"/>
    </row>
    <row r="6505">
      <c r="A6505" s="39" t="s">
        <v>24746</v>
      </c>
      <c r="B6505" s="15">
        <v>1923403.0</v>
      </c>
      <c r="C6505" s="15" t="s">
        <v>24747</v>
      </c>
      <c r="D6505" s="15">
        <v>361850.0</v>
      </c>
      <c r="E6505" s="15" t="s">
        <v>1664</v>
      </c>
      <c r="F6505" s="15" t="s">
        <v>1664</v>
      </c>
      <c r="G6505" s="7">
        <v>4.981</v>
      </c>
      <c r="H6505" s="15" t="s">
        <v>10401</v>
      </c>
      <c r="I6505" s="15" t="s">
        <v>1560</v>
      </c>
      <c r="J6505" s="15" t="s">
        <v>24748</v>
      </c>
      <c r="K6505" s="15">
        <v>3.0</v>
      </c>
      <c r="L6505" s="15">
        <v>3.0</v>
      </c>
      <c r="M6505" s="41">
        <v>42714.0</v>
      </c>
      <c r="N6505" s="40">
        <v>42752.0</v>
      </c>
      <c r="O6505" s="15" t="s">
        <v>1554</v>
      </c>
      <c r="Q6505" s="7"/>
    </row>
    <row r="6506">
      <c r="A6506" s="39" t="s">
        <v>24749</v>
      </c>
      <c r="B6506" s="15">
        <v>1923401.0</v>
      </c>
      <c r="C6506" s="15" t="s">
        <v>24750</v>
      </c>
      <c r="D6506" s="15">
        <v>361851.0</v>
      </c>
      <c r="E6506" s="15" t="s">
        <v>1664</v>
      </c>
      <c r="F6506" s="15" t="s">
        <v>1664</v>
      </c>
      <c r="G6506" s="7">
        <v>4.369</v>
      </c>
      <c r="H6506" s="15">
        <v>46.0</v>
      </c>
      <c r="I6506" s="15" t="s">
        <v>1560</v>
      </c>
      <c r="J6506" s="15" t="s">
        <v>24752</v>
      </c>
      <c r="K6506" s="15">
        <v>2.0</v>
      </c>
      <c r="L6506" s="15">
        <v>2.0</v>
      </c>
      <c r="M6506" s="41">
        <v>42714.0</v>
      </c>
      <c r="N6506" s="40">
        <v>42752.0</v>
      </c>
      <c r="O6506" s="15" t="s">
        <v>1554</v>
      </c>
      <c r="Q6506" s="7"/>
    </row>
    <row r="6507">
      <c r="A6507" s="39" t="s">
        <v>24753</v>
      </c>
      <c r="B6507" s="15">
        <v>1923400.0</v>
      </c>
      <c r="C6507" s="15" t="s">
        <v>24754</v>
      </c>
      <c r="D6507" s="15">
        <v>361852.0</v>
      </c>
      <c r="E6507" s="15" t="s">
        <v>1664</v>
      </c>
      <c r="F6507" s="15" t="s">
        <v>1664</v>
      </c>
      <c r="G6507" s="7">
        <v>3.108</v>
      </c>
      <c r="H6507" s="15" t="s">
        <v>2660</v>
      </c>
      <c r="I6507" s="15" t="s">
        <v>1560</v>
      </c>
      <c r="J6507" s="15" t="s">
        <v>24755</v>
      </c>
      <c r="K6507" s="15">
        <v>1.0</v>
      </c>
      <c r="L6507" s="15">
        <v>1.0</v>
      </c>
      <c r="M6507" s="41">
        <v>42714.0</v>
      </c>
      <c r="N6507" s="40">
        <v>42752.0</v>
      </c>
      <c r="O6507" s="15" t="s">
        <v>1554</v>
      </c>
      <c r="Q6507" s="7"/>
    </row>
    <row r="6508">
      <c r="A6508" s="39" t="s">
        <v>24756</v>
      </c>
      <c r="B6508" s="15">
        <v>1923398.0</v>
      </c>
      <c r="C6508" s="15" t="s">
        <v>24757</v>
      </c>
      <c r="D6508" s="15">
        <v>361853.0</v>
      </c>
      <c r="E6508" s="15" t="s">
        <v>1664</v>
      </c>
      <c r="F6508" s="15" t="s">
        <v>1664</v>
      </c>
      <c r="G6508" s="7">
        <v>4.175</v>
      </c>
      <c r="H6508" s="15" t="s">
        <v>1750</v>
      </c>
      <c r="I6508" s="15" t="s">
        <v>1560</v>
      </c>
      <c r="J6508" s="15" t="s">
        <v>24758</v>
      </c>
      <c r="K6508" s="15">
        <v>4.0</v>
      </c>
      <c r="L6508" s="15">
        <v>4.0</v>
      </c>
      <c r="M6508" s="41">
        <v>42714.0</v>
      </c>
      <c r="N6508" s="40">
        <v>42752.0</v>
      </c>
      <c r="O6508" s="15" t="s">
        <v>1554</v>
      </c>
      <c r="Q6508" s="7"/>
    </row>
    <row r="6509">
      <c r="A6509" s="39" t="s">
        <v>24760</v>
      </c>
      <c r="B6509" s="15">
        <v>1923397.0</v>
      </c>
      <c r="C6509" s="15" t="s">
        <v>24761</v>
      </c>
      <c r="D6509" s="15">
        <v>361854.0</v>
      </c>
      <c r="E6509" s="15" t="s">
        <v>1664</v>
      </c>
      <c r="F6509" s="15" t="s">
        <v>1664</v>
      </c>
      <c r="G6509" s="7">
        <v>2.308</v>
      </c>
      <c r="H6509" s="15">
        <v>52.0</v>
      </c>
      <c r="I6509" s="15" t="s">
        <v>1560</v>
      </c>
      <c r="J6509" s="15" t="s">
        <v>24762</v>
      </c>
      <c r="K6509" s="15">
        <v>1.0</v>
      </c>
      <c r="L6509" s="15">
        <v>1.0</v>
      </c>
      <c r="M6509" s="41">
        <v>42714.0</v>
      </c>
      <c r="N6509" s="40">
        <v>42752.0</v>
      </c>
      <c r="O6509" s="15" t="s">
        <v>1554</v>
      </c>
      <c r="Q6509" s="7"/>
    </row>
    <row r="6510">
      <c r="A6510" s="39" t="s">
        <v>24763</v>
      </c>
      <c r="B6510" s="15">
        <v>1923394.0</v>
      </c>
      <c r="C6510" s="15" t="s">
        <v>24764</v>
      </c>
      <c r="D6510" s="15">
        <v>361855.0</v>
      </c>
      <c r="E6510" s="15" t="s">
        <v>1664</v>
      </c>
      <c r="F6510" s="15" t="s">
        <v>1664</v>
      </c>
      <c r="G6510" s="7">
        <v>4.626</v>
      </c>
      <c r="H6510" s="15" t="s">
        <v>24765</v>
      </c>
      <c r="I6510" s="15" t="s">
        <v>1560</v>
      </c>
      <c r="J6510" s="15" t="s">
        <v>24766</v>
      </c>
      <c r="K6510" s="15">
        <v>3.0</v>
      </c>
      <c r="L6510" s="15">
        <v>3.0</v>
      </c>
      <c r="M6510" s="41">
        <v>42714.0</v>
      </c>
      <c r="N6510" s="40">
        <v>42752.0</v>
      </c>
      <c r="O6510" s="15" t="s">
        <v>1554</v>
      </c>
      <c r="Q6510" s="7"/>
    </row>
    <row r="6511">
      <c r="A6511" s="39" t="s">
        <v>24768</v>
      </c>
      <c r="B6511" s="15">
        <v>1923393.0</v>
      </c>
      <c r="C6511" s="15" t="s">
        <v>24769</v>
      </c>
      <c r="D6511" s="15">
        <v>361856.0</v>
      </c>
      <c r="E6511" s="15" t="s">
        <v>1664</v>
      </c>
      <c r="F6511" s="15" t="s">
        <v>1664</v>
      </c>
      <c r="G6511" s="7">
        <v>5.094</v>
      </c>
      <c r="H6511" s="15">
        <v>56.0</v>
      </c>
      <c r="I6511" s="15" t="s">
        <v>1560</v>
      </c>
      <c r="J6511" s="15" t="s">
        <v>24770</v>
      </c>
      <c r="K6511" s="15">
        <v>3.0</v>
      </c>
      <c r="L6511" s="15">
        <v>3.0</v>
      </c>
      <c r="M6511" s="41">
        <v>42714.0</v>
      </c>
      <c r="N6511" s="40">
        <v>42752.0</v>
      </c>
      <c r="O6511" s="15" t="s">
        <v>1554</v>
      </c>
      <c r="Q6511" s="7"/>
    </row>
    <row r="6512">
      <c r="A6512" s="39" t="s">
        <v>24771</v>
      </c>
      <c r="B6512" s="15">
        <v>1923392.0</v>
      </c>
      <c r="C6512" s="15" t="s">
        <v>24772</v>
      </c>
      <c r="D6512" s="15">
        <v>361857.0</v>
      </c>
      <c r="E6512" s="15" t="s">
        <v>1664</v>
      </c>
      <c r="F6512" s="15" t="s">
        <v>1664</v>
      </c>
      <c r="G6512" s="7">
        <v>2.566</v>
      </c>
      <c r="H6512" s="15" t="s">
        <v>3255</v>
      </c>
      <c r="I6512" s="15" t="s">
        <v>1560</v>
      </c>
      <c r="J6512" s="15" t="s">
        <v>24773</v>
      </c>
      <c r="K6512" s="15">
        <v>2.0</v>
      </c>
      <c r="L6512" s="15">
        <v>2.0</v>
      </c>
      <c r="M6512" s="41">
        <v>42714.0</v>
      </c>
      <c r="N6512" s="40">
        <v>42752.0</v>
      </c>
      <c r="O6512" s="15" t="s">
        <v>1554</v>
      </c>
      <c r="Q6512" s="7"/>
    </row>
    <row r="6513">
      <c r="A6513" s="39" t="s">
        <v>24774</v>
      </c>
      <c r="B6513" s="15">
        <v>1923390.0</v>
      </c>
      <c r="C6513" s="15" t="s">
        <v>24776</v>
      </c>
      <c r="D6513" s="15">
        <v>361858.0</v>
      </c>
      <c r="E6513" s="15" t="s">
        <v>1664</v>
      </c>
      <c r="F6513" s="15" t="s">
        <v>1664</v>
      </c>
      <c r="G6513" s="7">
        <v>3.284</v>
      </c>
      <c r="H6513" s="15" t="s">
        <v>3220</v>
      </c>
      <c r="I6513" s="15" t="s">
        <v>1560</v>
      </c>
      <c r="J6513" s="15" t="s">
        <v>24777</v>
      </c>
      <c r="K6513" s="15">
        <v>2.0</v>
      </c>
      <c r="L6513" s="15">
        <v>2.0</v>
      </c>
      <c r="M6513" s="41">
        <v>42714.0</v>
      </c>
      <c r="N6513" s="40">
        <v>42752.0</v>
      </c>
      <c r="O6513" s="15" t="s">
        <v>1554</v>
      </c>
      <c r="Q6513" s="7"/>
    </row>
    <row r="6514">
      <c r="A6514" s="39" t="s">
        <v>24778</v>
      </c>
      <c r="B6514" s="15">
        <v>1923389.0</v>
      </c>
      <c r="C6514" s="15" t="s">
        <v>24779</v>
      </c>
      <c r="D6514" s="15">
        <v>361859.0</v>
      </c>
      <c r="E6514" s="15" t="s">
        <v>1664</v>
      </c>
      <c r="F6514" s="15" t="s">
        <v>1664</v>
      </c>
      <c r="G6514" s="7">
        <v>2.585</v>
      </c>
      <c r="H6514" s="15" t="s">
        <v>5368</v>
      </c>
      <c r="I6514" s="15" t="s">
        <v>1560</v>
      </c>
      <c r="J6514" s="15" t="s">
        <v>24780</v>
      </c>
      <c r="K6514" s="15">
        <v>2.0</v>
      </c>
      <c r="L6514" s="15">
        <v>2.0</v>
      </c>
      <c r="M6514" s="41">
        <v>42714.0</v>
      </c>
      <c r="N6514" s="40">
        <v>42752.0</v>
      </c>
      <c r="O6514" s="15" t="s">
        <v>1554</v>
      </c>
      <c r="Q6514" s="7"/>
    </row>
    <row r="6515">
      <c r="A6515" s="39" t="s">
        <v>24781</v>
      </c>
      <c r="B6515" s="15">
        <v>1923388.0</v>
      </c>
      <c r="C6515" s="15" t="s">
        <v>24782</v>
      </c>
      <c r="D6515" s="15">
        <v>361860.0</v>
      </c>
      <c r="E6515" s="15" t="s">
        <v>1664</v>
      </c>
      <c r="F6515" s="15" t="s">
        <v>1664</v>
      </c>
      <c r="G6515" s="7">
        <v>3.815</v>
      </c>
      <c r="H6515" s="15" t="s">
        <v>2241</v>
      </c>
      <c r="I6515" s="15" t="s">
        <v>1560</v>
      </c>
      <c r="J6515" s="15" t="s">
        <v>24784</v>
      </c>
      <c r="K6515" s="15">
        <v>3.0</v>
      </c>
      <c r="L6515" s="15">
        <v>3.0</v>
      </c>
      <c r="M6515" s="41">
        <v>42714.0</v>
      </c>
      <c r="N6515" s="40">
        <v>42752.0</v>
      </c>
      <c r="O6515" s="15" t="s">
        <v>1554</v>
      </c>
      <c r="Q6515" s="7"/>
    </row>
    <row r="6516">
      <c r="A6516" s="39" t="s">
        <v>24785</v>
      </c>
      <c r="B6516" s="15">
        <v>1923387.0</v>
      </c>
      <c r="C6516" s="15" t="s">
        <v>24786</v>
      </c>
      <c r="D6516" s="15">
        <v>361861.0</v>
      </c>
      <c r="E6516" s="15" t="s">
        <v>1664</v>
      </c>
      <c r="F6516" s="15" t="s">
        <v>1664</v>
      </c>
      <c r="G6516" s="7">
        <v>2.981</v>
      </c>
      <c r="H6516" s="15" t="s">
        <v>1962</v>
      </c>
      <c r="I6516" s="15" t="s">
        <v>1560</v>
      </c>
      <c r="J6516" s="15" t="s">
        <v>24787</v>
      </c>
      <c r="K6516" s="15">
        <v>2.0</v>
      </c>
      <c r="L6516" s="15">
        <v>2.0</v>
      </c>
      <c r="M6516" s="41">
        <v>42714.0</v>
      </c>
      <c r="N6516" s="40">
        <v>42752.0</v>
      </c>
      <c r="O6516" s="15" t="s">
        <v>1554</v>
      </c>
      <c r="Q6516" s="7"/>
    </row>
    <row r="6517">
      <c r="A6517" s="39" t="s">
        <v>24788</v>
      </c>
      <c r="B6517" s="15">
        <v>1923386.0</v>
      </c>
      <c r="C6517" s="15" t="s">
        <v>24789</v>
      </c>
      <c r="D6517" s="15">
        <v>361862.0</v>
      </c>
      <c r="E6517" s="15" t="s">
        <v>1664</v>
      </c>
      <c r="F6517" s="15" t="s">
        <v>1664</v>
      </c>
      <c r="G6517" s="7">
        <v>3.557</v>
      </c>
      <c r="H6517" s="15" t="s">
        <v>2064</v>
      </c>
      <c r="I6517" s="15" t="s">
        <v>1560</v>
      </c>
      <c r="J6517" s="15" t="s">
        <v>24790</v>
      </c>
      <c r="K6517" s="15">
        <v>3.0</v>
      </c>
      <c r="L6517" s="15">
        <v>3.0</v>
      </c>
      <c r="M6517" s="41">
        <v>42714.0</v>
      </c>
      <c r="N6517" s="40">
        <v>42752.0</v>
      </c>
      <c r="O6517" s="15" t="s">
        <v>1554</v>
      </c>
      <c r="Q6517" s="7"/>
    </row>
    <row r="6518">
      <c r="A6518" s="39" t="s">
        <v>24792</v>
      </c>
      <c r="B6518" s="15">
        <v>1923385.0</v>
      </c>
      <c r="C6518" s="15" t="s">
        <v>24793</v>
      </c>
      <c r="D6518" s="15">
        <v>361863.0</v>
      </c>
      <c r="E6518" s="15" t="s">
        <v>1664</v>
      </c>
      <c r="F6518" s="15" t="s">
        <v>1664</v>
      </c>
      <c r="G6518" s="7">
        <v>3.446</v>
      </c>
      <c r="H6518" s="15" t="s">
        <v>2023</v>
      </c>
      <c r="I6518" s="15" t="s">
        <v>1560</v>
      </c>
      <c r="J6518" s="15" t="s">
        <v>24794</v>
      </c>
      <c r="K6518" s="15">
        <v>3.0</v>
      </c>
      <c r="L6518" s="15">
        <v>3.0</v>
      </c>
      <c r="M6518" s="41">
        <v>42714.0</v>
      </c>
      <c r="N6518" s="40">
        <v>42752.0</v>
      </c>
      <c r="O6518" s="15" t="s">
        <v>1554</v>
      </c>
      <c r="Q6518" s="7"/>
    </row>
    <row r="6519">
      <c r="A6519" s="39" t="s">
        <v>24795</v>
      </c>
      <c r="B6519" s="15">
        <v>1923384.0</v>
      </c>
      <c r="C6519" s="15" t="s">
        <v>24796</v>
      </c>
      <c r="D6519" s="15">
        <v>361864.0</v>
      </c>
      <c r="E6519" s="15" t="s">
        <v>1664</v>
      </c>
      <c r="F6519" s="15" t="s">
        <v>1664</v>
      </c>
      <c r="G6519" s="7">
        <v>3.181</v>
      </c>
      <c r="H6519" s="15" t="s">
        <v>1918</v>
      </c>
      <c r="I6519" s="15" t="s">
        <v>1560</v>
      </c>
      <c r="J6519" s="15" t="s">
        <v>24797</v>
      </c>
      <c r="K6519" s="15">
        <v>2.0</v>
      </c>
      <c r="L6519" s="15">
        <v>2.0</v>
      </c>
      <c r="M6519" s="41">
        <v>42714.0</v>
      </c>
      <c r="N6519" s="40">
        <v>42752.0</v>
      </c>
      <c r="O6519" s="15" t="s">
        <v>1554</v>
      </c>
      <c r="Q6519" s="7"/>
    </row>
    <row r="6520">
      <c r="A6520" s="39" t="s">
        <v>24798</v>
      </c>
      <c r="B6520" s="15">
        <v>1923383.0</v>
      </c>
      <c r="C6520" s="15" t="s">
        <v>24799</v>
      </c>
      <c r="D6520" s="15">
        <v>361865.0</v>
      </c>
      <c r="E6520" s="15" t="s">
        <v>1664</v>
      </c>
      <c r="F6520" s="15" t="s">
        <v>1664</v>
      </c>
      <c r="G6520" s="7">
        <v>2.934</v>
      </c>
      <c r="H6520" s="15" t="s">
        <v>2901</v>
      </c>
      <c r="I6520" s="15" t="s">
        <v>1560</v>
      </c>
      <c r="J6520" s="15" t="s">
        <v>24800</v>
      </c>
      <c r="K6520" s="15">
        <v>2.0</v>
      </c>
      <c r="L6520" s="15">
        <v>2.0</v>
      </c>
      <c r="M6520" s="41">
        <v>42714.0</v>
      </c>
      <c r="N6520" s="40">
        <v>42752.0</v>
      </c>
      <c r="O6520" s="15" t="s">
        <v>1554</v>
      </c>
      <c r="Q6520" s="7"/>
    </row>
    <row r="6521">
      <c r="A6521" s="39" t="s">
        <v>24802</v>
      </c>
      <c r="B6521" s="15">
        <v>1923382.0</v>
      </c>
      <c r="C6521" s="15" t="s">
        <v>24803</v>
      </c>
      <c r="D6521" s="15">
        <v>361866.0</v>
      </c>
      <c r="E6521" s="15" t="s">
        <v>1664</v>
      </c>
      <c r="F6521" s="15" t="s">
        <v>1664</v>
      </c>
      <c r="G6521" s="7">
        <v>3.216</v>
      </c>
      <c r="H6521" s="15" t="s">
        <v>2178</v>
      </c>
      <c r="I6521" s="15" t="s">
        <v>1560</v>
      </c>
      <c r="J6521" s="15" t="s">
        <v>24804</v>
      </c>
      <c r="K6521" s="15">
        <v>2.0</v>
      </c>
      <c r="L6521" s="15">
        <v>2.0</v>
      </c>
      <c r="M6521" s="41">
        <v>42714.0</v>
      </c>
      <c r="N6521" s="40">
        <v>42752.0</v>
      </c>
      <c r="O6521" s="15" t="s">
        <v>1554</v>
      </c>
      <c r="Q6521" s="7"/>
    </row>
    <row r="6522">
      <c r="A6522" s="39" t="s">
        <v>24805</v>
      </c>
      <c r="B6522" s="15">
        <v>1923381.0</v>
      </c>
      <c r="C6522" s="15" t="s">
        <v>24806</v>
      </c>
      <c r="D6522" s="15">
        <v>361867.0</v>
      </c>
      <c r="E6522" s="15" t="s">
        <v>1664</v>
      </c>
      <c r="F6522" s="15" t="s">
        <v>1664</v>
      </c>
      <c r="G6522" s="7">
        <v>3.332</v>
      </c>
      <c r="H6522" s="15" t="s">
        <v>2304</v>
      </c>
      <c r="I6522" s="15" t="s">
        <v>1560</v>
      </c>
      <c r="J6522" s="15" t="s">
        <v>24807</v>
      </c>
      <c r="K6522" s="15">
        <v>2.0</v>
      </c>
      <c r="L6522" s="15">
        <v>2.0</v>
      </c>
      <c r="M6522" s="41">
        <v>42714.0</v>
      </c>
      <c r="N6522" s="40">
        <v>42752.0</v>
      </c>
      <c r="O6522" s="15" t="s">
        <v>1554</v>
      </c>
      <c r="Q6522" s="7"/>
    </row>
    <row r="6523">
      <c r="A6523" s="39" t="s">
        <v>24808</v>
      </c>
      <c r="B6523" s="15">
        <v>1923380.0</v>
      </c>
      <c r="C6523" s="15" t="s">
        <v>24809</v>
      </c>
      <c r="D6523" s="15">
        <v>361868.0</v>
      </c>
      <c r="E6523" s="15" t="s">
        <v>1664</v>
      </c>
      <c r="F6523" s="15" t="s">
        <v>1664</v>
      </c>
      <c r="G6523" s="7">
        <v>2.863</v>
      </c>
      <c r="H6523" s="15" t="s">
        <v>5934</v>
      </c>
      <c r="I6523" s="15" t="s">
        <v>1560</v>
      </c>
      <c r="J6523" s="15" t="s">
        <v>24810</v>
      </c>
      <c r="K6523" s="15">
        <v>3.0</v>
      </c>
      <c r="L6523" s="15">
        <v>3.0</v>
      </c>
      <c r="M6523" s="41">
        <v>42714.0</v>
      </c>
      <c r="N6523" s="40">
        <v>42752.0</v>
      </c>
      <c r="O6523" s="15" t="s">
        <v>1554</v>
      </c>
      <c r="Q6523" s="7"/>
    </row>
    <row r="6524">
      <c r="A6524" s="39" t="s">
        <v>24812</v>
      </c>
      <c r="B6524" s="15">
        <v>1923378.0</v>
      </c>
      <c r="C6524" s="15" t="s">
        <v>24813</v>
      </c>
      <c r="D6524" s="15">
        <v>361869.0</v>
      </c>
      <c r="E6524" s="15" t="s">
        <v>1664</v>
      </c>
      <c r="F6524" s="15" t="s">
        <v>1664</v>
      </c>
      <c r="G6524" s="7">
        <v>8.114</v>
      </c>
      <c r="H6524" s="15" t="s">
        <v>3000</v>
      </c>
      <c r="I6524" s="15" t="s">
        <v>1560</v>
      </c>
      <c r="J6524" s="15" t="s">
        <v>24814</v>
      </c>
      <c r="K6524" s="15">
        <v>2.0</v>
      </c>
      <c r="L6524" s="15">
        <v>2.0</v>
      </c>
      <c r="M6524" s="41">
        <v>42714.0</v>
      </c>
      <c r="N6524" s="40">
        <v>42752.0</v>
      </c>
      <c r="O6524" s="15" t="s">
        <v>1554</v>
      </c>
      <c r="Q6524" s="7"/>
    </row>
    <row r="6525">
      <c r="A6525" s="39" t="s">
        <v>24815</v>
      </c>
      <c r="B6525" s="15">
        <v>1923377.0</v>
      </c>
      <c r="C6525" s="15" t="s">
        <v>24816</v>
      </c>
      <c r="D6525" s="15">
        <v>361870.0</v>
      </c>
      <c r="E6525" s="15" t="s">
        <v>1664</v>
      </c>
      <c r="F6525" s="15" t="s">
        <v>1664</v>
      </c>
      <c r="G6525" s="7">
        <v>7.418</v>
      </c>
      <c r="H6525" s="15" t="s">
        <v>1602</v>
      </c>
      <c r="I6525" s="15" t="s">
        <v>1560</v>
      </c>
      <c r="J6525" s="15" t="s">
        <v>24817</v>
      </c>
      <c r="K6525" s="15">
        <v>1.0</v>
      </c>
      <c r="L6525" s="15">
        <v>1.0</v>
      </c>
      <c r="M6525" s="41">
        <v>42714.0</v>
      </c>
      <c r="N6525" s="40">
        <v>42752.0</v>
      </c>
      <c r="O6525" s="15" t="s">
        <v>1554</v>
      </c>
      <c r="Q6525" s="7"/>
    </row>
    <row r="6526">
      <c r="A6526" s="39" t="s">
        <v>24818</v>
      </c>
      <c r="B6526" s="15">
        <v>1923374.0</v>
      </c>
      <c r="C6526" s="15" t="s">
        <v>24819</v>
      </c>
      <c r="D6526" s="15">
        <v>361871.0</v>
      </c>
      <c r="E6526" s="15" t="s">
        <v>1664</v>
      </c>
      <c r="F6526" s="15" t="s">
        <v>1664</v>
      </c>
      <c r="G6526" s="7">
        <v>8.673</v>
      </c>
      <c r="H6526" s="15" t="s">
        <v>3070</v>
      </c>
      <c r="I6526" s="15" t="s">
        <v>1560</v>
      </c>
      <c r="J6526" s="15" t="s">
        <v>24820</v>
      </c>
      <c r="K6526" s="15">
        <v>2.0</v>
      </c>
      <c r="L6526" s="15">
        <v>2.0</v>
      </c>
      <c r="M6526" s="41">
        <v>42714.0</v>
      </c>
      <c r="N6526" s="40">
        <v>42752.0</v>
      </c>
      <c r="O6526" s="15" t="s">
        <v>1554</v>
      </c>
      <c r="Q6526" s="7"/>
    </row>
    <row r="6527">
      <c r="A6527" s="39" t="s">
        <v>24821</v>
      </c>
      <c r="B6527" s="15">
        <v>1923373.0</v>
      </c>
      <c r="C6527" s="15" t="s">
        <v>24822</v>
      </c>
      <c r="D6527" s="15">
        <v>361872.0</v>
      </c>
      <c r="E6527" s="15" t="s">
        <v>1664</v>
      </c>
      <c r="F6527" s="15" t="s">
        <v>1664</v>
      </c>
      <c r="G6527" s="7">
        <v>7.388</v>
      </c>
      <c r="H6527" s="15" t="s">
        <v>4595</v>
      </c>
      <c r="I6527" s="15" t="s">
        <v>1560</v>
      </c>
      <c r="J6527" s="15" t="s">
        <v>24824</v>
      </c>
      <c r="K6527" s="15">
        <v>1.0</v>
      </c>
      <c r="L6527" s="15">
        <v>1.0</v>
      </c>
      <c r="M6527" s="41">
        <v>42714.0</v>
      </c>
      <c r="N6527" s="40">
        <v>42752.0</v>
      </c>
      <c r="O6527" s="15" t="s">
        <v>1554</v>
      </c>
      <c r="Q6527" s="7"/>
    </row>
    <row r="6528">
      <c r="A6528" s="39" t="s">
        <v>24825</v>
      </c>
      <c r="B6528" s="15">
        <v>1923372.0</v>
      </c>
      <c r="C6528" s="15" t="s">
        <v>24826</v>
      </c>
      <c r="D6528" s="15">
        <v>361873.0</v>
      </c>
      <c r="E6528" s="15" t="s">
        <v>1664</v>
      </c>
      <c r="F6528" s="15" t="s">
        <v>1664</v>
      </c>
      <c r="G6528" s="7">
        <v>8.903</v>
      </c>
      <c r="H6528" s="15" t="s">
        <v>2320</v>
      </c>
      <c r="I6528" s="15" t="s">
        <v>1560</v>
      </c>
      <c r="J6528" s="15" t="s">
        <v>24827</v>
      </c>
      <c r="K6528" s="15">
        <v>2.0</v>
      </c>
      <c r="L6528" s="15">
        <v>2.0</v>
      </c>
      <c r="M6528" s="41">
        <v>42714.0</v>
      </c>
      <c r="N6528" s="40">
        <v>42752.0</v>
      </c>
      <c r="O6528" s="15" t="s">
        <v>1554</v>
      </c>
      <c r="Q6528" s="7"/>
    </row>
    <row r="6529">
      <c r="A6529" s="39" t="s">
        <v>24828</v>
      </c>
      <c r="B6529" s="15">
        <v>1923371.0</v>
      </c>
      <c r="C6529" s="15" t="s">
        <v>24829</v>
      </c>
      <c r="D6529" s="15">
        <v>361874.0</v>
      </c>
      <c r="E6529" s="15" t="s">
        <v>1664</v>
      </c>
      <c r="F6529" s="15" t="s">
        <v>1664</v>
      </c>
      <c r="G6529" s="7">
        <v>9.058</v>
      </c>
      <c r="H6529" s="15" t="s">
        <v>1902</v>
      </c>
      <c r="I6529" s="15" t="s">
        <v>1560</v>
      </c>
      <c r="J6529" s="15" t="s">
        <v>24830</v>
      </c>
      <c r="K6529" s="15">
        <v>2.0</v>
      </c>
      <c r="L6529" s="15">
        <v>2.0</v>
      </c>
      <c r="M6529" s="41">
        <v>42714.0</v>
      </c>
      <c r="N6529" s="40">
        <v>42752.0</v>
      </c>
      <c r="O6529" s="15" t="s">
        <v>1554</v>
      </c>
      <c r="Q6529" s="7"/>
    </row>
    <row r="6530">
      <c r="A6530" s="39" t="s">
        <v>24831</v>
      </c>
      <c r="B6530" s="15">
        <v>1923370.0</v>
      </c>
      <c r="C6530" s="15" t="s">
        <v>24833</v>
      </c>
      <c r="D6530" s="15">
        <v>361875.0</v>
      </c>
      <c r="E6530" s="15" t="s">
        <v>1664</v>
      </c>
      <c r="F6530" s="15" t="s">
        <v>1664</v>
      </c>
      <c r="G6530" s="7">
        <v>8.978</v>
      </c>
      <c r="H6530" s="15" t="s">
        <v>2263</v>
      </c>
      <c r="I6530" s="15" t="s">
        <v>1560</v>
      </c>
      <c r="J6530" s="15" t="s">
        <v>24834</v>
      </c>
      <c r="K6530" s="15">
        <v>2.0</v>
      </c>
      <c r="L6530" s="15">
        <v>2.0</v>
      </c>
      <c r="M6530" s="41">
        <v>42714.0</v>
      </c>
      <c r="N6530" s="40">
        <v>42752.0</v>
      </c>
      <c r="O6530" s="15" t="s">
        <v>1554</v>
      </c>
      <c r="Q6530" s="7"/>
    </row>
    <row r="6531">
      <c r="A6531" s="39" t="s">
        <v>24835</v>
      </c>
      <c r="B6531" s="15">
        <v>1923368.0</v>
      </c>
      <c r="C6531" s="15" t="s">
        <v>24836</v>
      </c>
      <c r="D6531" s="15">
        <v>361876.0</v>
      </c>
      <c r="E6531" s="15" t="s">
        <v>1664</v>
      </c>
      <c r="F6531" s="15" t="s">
        <v>1664</v>
      </c>
      <c r="G6531" s="7">
        <v>8.342</v>
      </c>
      <c r="H6531" s="15" t="s">
        <v>2178</v>
      </c>
      <c r="I6531" s="15" t="s">
        <v>1560</v>
      </c>
      <c r="J6531" s="15" t="s">
        <v>24837</v>
      </c>
      <c r="K6531" s="15">
        <v>2.0</v>
      </c>
      <c r="L6531" s="15">
        <v>2.0</v>
      </c>
      <c r="M6531" s="41">
        <v>42714.0</v>
      </c>
      <c r="N6531" s="40">
        <v>42752.0</v>
      </c>
      <c r="O6531" s="15" t="s">
        <v>1554</v>
      </c>
      <c r="Q6531" s="7"/>
    </row>
    <row r="6532">
      <c r="A6532" s="39" t="s">
        <v>24838</v>
      </c>
      <c r="B6532" s="15">
        <v>1923367.0</v>
      </c>
      <c r="C6532" s="15" t="s">
        <v>24839</v>
      </c>
      <c r="D6532" s="15">
        <v>361877.0</v>
      </c>
      <c r="E6532" s="15" t="s">
        <v>1664</v>
      </c>
      <c r="F6532" s="15" t="s">
        <v>1664</v>
      </c>
      <c r="G6532" s="7">
        <v>9.596</v>
      </c>
      <c r="H6532" s="15" t="s">
        <v>2981</v>
      </c>
      <c r="I6532" s="15" t="s">
        <v>1560</v>
      </c>
      <c r="J6532" s="15" t="s">
        <v>24840</v>
      </c>
      <c r="K6532" s="15">
        <v>1.0</v>
      </c>
      <c r="L6532" s="15">
        <v>1.0</v>
      </c>
      <c r="M6532" s="41">
        <v>42714.0</v>
      </c>
      <c r="N6532" s="40">
        <v>42752.0</v>
      </c>
      <c r="O6532" s="15" t="s">
        <v>1554</v>
      </c>
      <c r="Q6532" s="7"/>
    </row>
    <row r="6533">
      <c r="A6533" s="39" t="s">
        <v>24841</v>
      </c>
      <c r="B6533" s="15">
        <v>1923366.0</v>
      </c>
      <c r="C6533" s="15" t="s">
        <v>24842</v>
      </c>
      <c r="D6533" s="15">
        <v>361878.0</v>
      </c>
      <c r="E6533" s="15" t="s">
        <v>1664</v>
      </c>
      <c r="F6533" s="15" t="s">
        <v>1664</v>
      </c>
      <c r="G6533" s="7">
        <v>9.301</v>
      </c>
      <c r="H6533" s="15" t="s">
        <v>1912</v>
      </c>
      <c r="I6533" s="15" t="s">
        <v>1560</v>
      </c>
      <c r="J6533" s="15" t="s">
        <v>24844</v>
      </c>
      <c r="K6533" s="15">
        <v>2.0</v>
      </c>
      <c r="L6533" s="15">
        <v>2.0</v>
      </c>
      <c r="M6533" s="41">
        <v>42714.0</v>
      </c>
      <c r="N6533" s="40">
        <v>42752.0</v>
      </c>
      <c r="O6533" s="15" t="s">
        <v>1554</v>
      </c>
      <c r="Q6533" s="7"/>
    </row>
    <row r="6534">
      <c r="A6534" s="39" t="s">
        <v>24845</v>
      </c>
      <c r="B6534" s="15">
        <v>1923365.0</v>
      </c>
      <c r="C6534" s="15" t="s">
        <v>24846</v>
      </c>
      <c r="D6534" s="15">
        <v>361879.0</v>
      </c>
      <c r="E6534" s="15" t="s">
        <v>1664</v>
      </c>
      <c r="F6534" s="15" t="s">
        <v>1664</v>
      </c>
      <c r="G6534" s="7">
        <v>4.65</v>
      </c>
      <c r="H6534" s="15" t="s">
        <v>3407</v>
      </c>
      <c r="I6534" s="15" t="s">
        <v>1560</v>
      </c>
      <c r="J6534" s="15" t="s">
        <v>24847</v>
      </c>
      <c r="K6534" s="15">
        <v>3.0</v>
      </c>
      <c r="L6534" s="15">
        <v>3.0</v>
      </c>
      <c r="M6534" s="41">
        <v>42714.0</v>
      </c>
      <c r="N6534" s="40">
        <v>42752.0</v>
      </c>
      <c r="O6534" s="15" t="s">
        <v>1554</v>
      </c>
      <c r="Q6534" s="7"/>
    </row>
    <row r="6535">
      <c r="A6535" s="39" t="s">
        <v>24848</v>
      </c>
      <c r="B6535" s="15">
        <v>1923360.0</v>
      </c>
      <c r="C6535" s="15" t="s">
        <v>24849</v>
      </c>
      <c r="D6535" s="15">
        <v>361880.0</v>
      </c>
      <c r="E6535" s="15" t="s">
        <v>1664</v>
      </c>
      <c r="F6535" s="15" t="s">
        <v>1664</v>
      </c>
      <c r="G6535" s="7">
        <v>3.643</v>
      </c>
      <c r="H6535" s="15" t="s">
        <v>3604</v>
      </c>
      <c r="I6535" s="15" t="s">
        <v>1560</v>
      </c>
      <c r="J6535" s="15" t="s">
        <v>24850</v>
      </c>
      <c r="K6535" s="15">
        <v>2.0</v>
      </c>
      <c r="L6535" s="15">
        <v>2.0</v>
      </c>
      <c r="M6535" s="41">
        <v>42714.0</v>
      </c>
      <c r="N6535" s="40">
        <v>42752.0</v>
      </c>
      <c r="O6535" s="15" t="s">
        <v>1554</v>
      </c>
      <c r="Q6535" s="7"/>
    </row>
    <row r="6536">
      <c r="A6536" s="39" t="s">
        <v>24851</v>
      </c>
      <c r="B6536" s="15">
        <v>1923358.0</v>
      </c>
      <c r="C6536" s="15" t="s">
        <v>24852</v>
      </c>
      <c r="D6536" s="15">
        <v>361881.0</v>
      </c>
      <c r="E6536" s="15" t="s">
        <v>1664</v>
      </c>
      <c r="F6536" s="15" t="s">
        <v>1664</v>
      </c>
      <c r="G6536" s="7">
        <v>11.27</v>
      </c>
      <c r="H6536" s="15" t="s">
        <v>6418</v>
      </c>
      <c r="I6536" s="15" t="s">
        <v>1560</v>
      </c>
      <c r="J6536" s="15" t="s">
        <v>24853</v>
      </c>
      <c r="K6536" s="15">
        <v>3.0</v>
      </c>
      <c r="L6536" s="15">
        <v>3.0</v>
      </c>
      <c r="M6536" s="41">
        <v>42714.0</v>
      </c>
      <c r="N6536" s="40">
        <v>42752.0</v>
      </c>
      <c r="O6536" s="15" t="s">
        <v>1554</v>
      </c>
      <c r="Q6536" s="7"/>
    </row>
    <row r="6537">
      <c r="A6537" s="39" t="s">
        <v>24854</v>
      </c>
      <c r="B6537" s="15">
        <v>1923357.0</v>
      </c>
      <c r="C6537" s="15" t="s">
        <v>24856</v>
      </c>
      <c r="D6537" s="15">
        <v>361882.0</v>
      </c>
      <c r="E6537" s="15" t="s">
        <v>1664</v>
      </c>
      <c r="F6537" s="15" t="s">
        <v>1664</v>
      </c>
      <c r="G6537" s="7">
        <v>8.772</v>
      </c>
      <c r="H6537" s="15" t="s">
        <v>3538</v>
      </c>
      <c r="I6537" s="15" t="s">
        <v>1560</v>
      </c>
      <c r="J6537" s="15" t="s">
        <v>24857</v>
      </c>
      <c r="K6537" s="15">
        <v>2.0</v>
      </c>
      <c r="L6537" s="15">
        <v>2.0</v>
      </c>
      <c r="M6537" s="41">
        <v>42714.0</v>
      </c>
      <c r="N6537" s="40">
        <v>42752.0</v>
      </c>
      <c r="O6537" s="15" t="s">
        <v>1554</v>
      </c>
      <c r="Q6537" s="7"/>
    </row>
    <row r="6538">
      <c r="A6538" s="39" t="s">
        <v>24858</v>
      </c>
      <c r="B6538" s="15">
        <v>1923356.0</v>
      </c>
      <c r="C6538" s="15" t="s">
        <v>24859</v>
      </c>
      <c r="D6538" s="15">
        <v>361883.0</v>
      </c>
      <c r="E6538" s="15" t="s">
        <v>1664</v>
      </c>
      <c r="F6538" s="15" t="s">
        <v>1664</v>
      </c>
      <c r="G6538" s="7">
        <v>10.445</v>
      </c>
      <c r="H6538" s="15" t="s">
        <v>2324</v>
      </c>
      <c r="I6538" s="15" t="s">
        <v>1560</v>
      </c>
      <c r="J6538" s="15" t="s">
        <v>24860</v>
      </c>
      <c r="K6538" s="15">
        <v>1.0</v>
      </c>
      <c r="L6538" s="15">
        <v>1.0</v>
      </c>
      <c r="M6538" s="41">
        <v>42714.0</v>
      </c>
      <c r="N6538" s="40">
        <v>42752.0</v>
      </c>
      <c r="O6538" s="15" t="s">
        <v>1554</v>
      </c>
      <c r="Q6538" s="7"/>
    </row>
    <row r="6539">
      <c r="A6539" s="39" t="s">
        <v>24861</v>
      </c>
      <c r="B6539" s="15">
        <v>1923355.0</v>
      </c>
      <c r="C6539" s="15" t="s">
        <v>24862</v>
      </c>
      <c r="D6539" s="15">
        <v>361884.0</v>
      </c>
      <c r="E6539" s="15" t="s">
        <v>1664</v>
      </c>
      <c r="F6539" s="15" t="s">
        <v>1664</v>
      </c>
      <c r="G6539" s="7">
        <v>11.157</v>
      </c>
      <c r="H6539" s="15" t="s">
        <v>2552</v>
      </c>
      <c r="I6539" s="15" t="s">
        <v>1560</v>
      </c>
      <c r="J6539" s="15" t="s">
        <v>24864</v>
      </c>
      <c r="K6539" s="15">
        <v>5.0</v>
      </c>
      <c r="L6539" s="15">
        <v>5.0</v>
      </c>
      <c r="M6539" s="41">
        <v>42714.0</v>
      </c>
      <c r="N6539" s="40">
        <v>42752.0</v>
      </c>
      <c r="O6539" s="15" t="s">
        <v>1554</v>
      </c>
      <c r="Q6539" s="7"/>
    </row>
    <row r="6540">
      <c r="A6540" s="39" t="s">
        <v>24865</v>
      </c>
      <c r="B6540" s="15">
        <v>1923354.0</v>
      </c>
      <c r="C6540" s="15" t="s">
        <v>24866</v>
      </c>
      <c r="D6540" s="15">
        <v>361885.0</v>
      </c>
      <c r="E6540" s="15" t="s">
        <v>1664</v>
      </c>
      <c r="F6540" s="15" t="s">
        <v>1664</v>
      </c>
      <c r="G6540" s="7">
        <v>8.238</v>
      </c>
      <c r="H6540" s="15" t="s">
        <v>24867</v>
      </c>
      <c r="I6540" s="15" t="s">
        <v>1560</v>
      </c>
      <c r="J6540" s="15" t="s">
        <v>24868</v>
      </c>
      <c r="K6540" s="15">
        <v>2.0</v>
      </c>
      <c r="L6540" s="15">
        <v>2.0</v>
      </c>
      <c r="M6540" s="41">
        <v>42714.0</v>
      </c>
      <c r="N6540" s="40">
        <v>42752.0</v>
      </c>
      <c r="O6540" s="15" t="s">
        <v>1554</v>
      </c>
      <c r="Q6540" s="7"/>
    </row>
    <row r="6541">
      <c r="A6541" s="39" t="s">
        <v>24869</v>
      </c>
      <c r="B6541" s="15">
        <v>1923350.0</v>
      </c>
      <c r="C6541" s="15" t="s">
        <v>24870</v>
      </c>
      <c r="D6541" s="15">
        <v>361887.0</v>
      </c>
      <c r="E6541" s="15" t="s">
        <v>1664</v>
      </c>
      <c r="F6541" s="15" t="s">
        <v>1664</v>
      </c>
      <c r="G6541" s="7">
        <v>10.069</v>
      </c>
      <c r="H6541" s="15" t="s">
        <v>2552</v>
      </c>
      <c r="I6541" s="15" t="s">
        <v>1560</v>
      </c>
      <c r="J6541" s="15" t="s">
        <v>24872</v>
      </c>
      <c r="K6541" s="15">
        <v>1.0</v>
      </c>
      <c r="L6541" s="15">
        <v>1.0</v>
      </c>
      <c r="M6541" s="41">
        <v>42714.0</v>
      </c>
      <c r="N6541" s="40">
        <v>42752.0</v>
      </c>
      <c r="O6541" s="15" t="s">
        <v>1554</v>
      </c>
      <c r="Q6541" s="7"/>
    </row>
    <row r="6542">
      <c r="A6542" s="39" t="s">
        <v>24873</v>
      </c>
      <c r="B6542" s="15">
        <v>1923345.0</v>
      </c>
      <c r="C6542" s="15" t="s">
        <v>24874</v>
      </c>
      <c r="D6542" s="15">
        <v>361888.0</v>
      </c>
      <c r="E6542" s="15" t="s">
        <v>1664</v>
      </c>
      <c r="F6542" s="15" t="s">
        <v>1664</v>
      </c>
      <c r="G6542" s="7">
        <v>5.682</v>
      </c>
      <c r="H6542" s="15" t="s">
        <v>3097</v>
      </c>
      <c r="I6542" s="15" t="s">
        <v>1560</v>
      </c>
      <c r="J6542" s="15" t="s">
        <v>24875</v>
      </c>
      <c r="K6542" s="15">
        <v>2.0</v>
      </c>
      <c r="L6542" s="15">
        <v>2.0</v>
      </c>
      <c r="M6542" s="41">
        <v>42714.0</v>
      </c>
      <c r="N6542" s="40">
        <v>42752.0</v>
      </c>
      <c r="O6542" s="15" t="s">
        <v>1554</v>
      </c>
      <c r="Q6542" s="7"/>
    </row>
    <row r="6543">
      <c r="A6543" s="39" t="s">
        <v>24876</v>
      </c>
      <c r="B6543" s="15">
        <v>1923344.0</v>
      </c>
      <c r="C6543" s="15" t="s">
        <v>24877</v>
      </c>
      <c r="D6543" s="15">
        <v>361889.0</v>
      </c>
      <c r="E6543" s="15" t="s">
        <v>1664</v>
      </c>
      <c r="F6543" s="15" t="s">
        <v>1664</v>
      </c>
      <c r="G6543" s="7">
        <v>6.041</v>
      </c>
      <c r="H6543" s="15" t="s">
        <v>4553</v>
      </c>
      <c r="I6543" s="15" t="s">
        <v>1560</v>
      </c>
      <c r="J6543" s="15" t="s">
        <v>24878</v>
      </c>
      <c r="K6543" s="15">
        <v>2.0</v>
      </c>
      <c r="L6543" s="15">
        <v>2.0</v>
      </c>
      <c r="M6543" s="41">
        <v>42714.0</v>
      </c>
      <c r="N6543" s="40">
        <v>42752.0</v>
      </c>
      <c r="O6543" s="15" t="s">
        <v>1554</v>
      </c>
      <c r="Q6543" s="7"/>
    </row>
    <row r="6544">
      <c r="A6544" s="39" t="s">
        <v>24879</v>
      </c>
      <c r="B6544" s="15">
        <v>1923343.0</v>
      </c>
      <c r="C6544" s="15" t="s">
        <v>24881</v>
      </c>
      <c r="D6544" s="15">
        <v>361890.0</v>
      </c>
      <c r="E6544" s="15" t="s">
        <v>1664</v>
      </c>
      <c r="F6544" s="15" t="s">
        <v>1664</v>
      </c>
      <c r="G6544" s="7">
        <v>5.804</v>
      </c>
      <c r="H6544" s="15" t="s">
        <v>7049</v>
      </c>
      <c r="I6544" s="15" t="s">
        <v>1560</v>
      </c>
      <c r="J6544" s="15" t="s">
        <v>24882</v>
      </c>
      <c r="K6544" s="15">
        <v>3.0</v>
      </c>
      <c r="L6544" s="15">
        <v>3.0</v>
      </c>
      <c r="M6544" s="41">
        <v>42714.0</v>
      </c>
      <c r="N6544" s="40">
        <v>42752.0</v>
      </c>
      <c r="O6544" s="15" t="s">
        <v>1554</v>
      </c>
      <c r="Q6544" s="7"/>
    </row>
    <row r="6545">
      <c r="A6545" s="39" t="s">
        <v>24883</v>
      </c>
      <c r="B6545" s="15">
        <v>1923342.0</v>
      </c>
      <c r="C6545" s="15" t="s">
        <v>24884</v>
      </c>
      <c r="D6545" s="15">
        <v>361891.0</v>
      </c>
      <c r="E6545" s="15" t="s">
        <v>1664</v>
      </c>
      <c r="F6545" s="15" t="s">
        <v>1664</v>
      </c>
      <c r="G6545" s="7">
        <v>10.976</v>
      </c>
      <c r="H6545" s="15" t="s">
        <v>1983</v>
      </c>
      <c r="I6545" s="15" t="s">
        <v>1560</v>
      </c>
      <c r="J6545" s="15" t="s">
        <v>24885</v>
      </c>
      <c r="K6545" s="15">
        <v>4.0</v>
      </c>
      <c r="L6545" s="15">
        <v>4.0</v>
      </c>
      <c r="M6545" s="41">
        <v>42714.0</v>
      </c>
      <c r="N6545" s="40">
        <v>42752.0</v>
      </c>
      <c r="O6545" s="15" t="s">
        <v>1554</v>
      </c>
      <c r="Q6545" s="7"/>
    </row>
    <row r="6546">
      <c r="A6546" s="39" t="s">
        <v>24886</v>
      </c>
      <c r="B6546" s="15">
        <v>1923340.0</v>
      </c>
      <c r="C6546" s="15" t="s">
        <v>24887</v>
      </c>
      <c r="D6546" s="15">
        <v>361892.0</v>
      </c>
      <c r="E6546" s="15" t="s">
        <v>1664</v>
      </c>
      <c r="F6546" s="15" t="s">
        <v>1664</v>
      </c>
      <c r="G6546" s="7">
        <v>9.48</v>
      </c>
      <c r="H6546" s="42">
        <v>43342.0</v>
      </c>
      <c r="I6546" s="15" t="s">
        <v>1560</v>
      </c>
      <c r="J6546" s="15" t="s">
        <v>24888</v>
      </c>
      <c r="K6546" s="15">
        <v>3.0</v>
      </c>
      <c r="L6546" s="15">
        <v>3.0</v>
      </c>
      <c r="M6546" s="41">
        <v>42714.0</v>
      </c>
      <c r="N6546" s="40">
        <v>42752.0</v>
      </c>
      <c r="O6546" s="15" t="s">
        <v>1554</v>
      </c>
      <c r="Q6546" s="7"/>
    </row>
    <row r="6547">
      <c r="A6547" s="39" t="s">
        <v>24889</v>
      </c>
      <c r="B6547" s="15">
        <v>1923338.0</v>
      </c>
      <c r="C6547" s="15" t="s">
        <v>24890</v>
      </c>
      <c r="D6547" s="15">
        <v>361893.0</v>
      </c>
      <c r="E6547" s="15" t="s">
        <v>1664</v>
      </c>
      <c r="F6547" s="15" t="s">
        <v>1664</v>
      </c>
      <c r="G6547" s="7">
        <v>14.639</v>
      </c>
      <c r="H6547" s="15" t="s">
        <v>2023</v>
      </c>
      <c r="I6547" s="15" t="s">
        <v>1560</v>
      </c>
      <c r="J6547" s="15" t="s">
        <v>24892</v>
      </c>
      <c r="K6547" s="15">
        <v>6.0</v>
      </c>
      <c r="L6547" s="15">
        <v>6.0</v>
      </c>
      <c r="M6547" s="41">
        <v>42714.0</v>
      </c>
      <c r="N6547" s="40">
        <v>42752.0</v>
      </c>
      <c r="O6547" s="15" t="s">
        <v>1554</v>
      </c>
      <c r="Q6547" s="7"/>
    </row>
    <row r="6548">
      <c r="A6548" s="39" t="s">
        <v>24893</v>
      </c>
      <c r="B6548" s="15">
        <v>1923336.0</v>
      </c>
      <c r="C6548" s="15" t="s">
        <v>24894</v>
      </c>
      <c r="D6548" s="15">
        <v>361894.0</v>
      </c>
      <c r="E6548" s="15" t="s">
        <v>1664</v>
      </c>
      <c r="F6548" s="15" t="s">
        <v>1664</v>
      </c>
      <c r="G6548" s="7">
        <v>10.072</v>
      </c>
      <c r="H6548" s="15" t="s">
        <v>3836</v>
      </c>
      <c r="I6548" s="15" t="s">
        <v>1560</v>
      </c>
      <c r="J6548" s="15" t="s">
        <v>24895</v>
      </c>
      <c r="K6548" s="15">
        <v>4.0</v>
      </c>
      <c r="L6548" s="15">
        <v>4.0</v>
      </c>
      <c r="M6548" s="41">
        <v>42714.0</v>
      </c>
      <c r="N6548" s="40">
        <v>42752.0</v>
      </c>
      <c r="O6548" s="15" t="s">
        <v>1554</v>
      </c>
      <c r="Q6548" s="7"/>
    </row>
    <row r="6549">
      <c r="A6549" s="39" t="s">
        <v>24896</v>
      </c>
      <c r="B6549" s="15">
        <v>1923335.0</v>
      </c>
      <c r="C6549" s="15" t="s">
        <v>24897</v>
      </c>
      <c r="D6549" s="15">
        <v>361895.0</v>
      </c>
      <c r="E6549" s="15" t="s">
        <v>1664</v>
      </c>
      <c r="F6549" s="15" t="s">
        <v>1664</v>
      </c>
      <c r="G6549" s="7">
        <v>10.65</v>
      </c>
      <c r="H6549" s="15" t="s">
        <v>6716</v>
      </c>
      <c r="I6549" s="15" t="s">
        <v>1560</v>
      </c>
      <c r="J6549" s="15" t="s">
        <v>24898</v>
      </c>
      <c r="K6549" s="15">
        <v>2.0</v>
      </c>
      <c r="L6549" s="15">
        <v>2.0</v>
      </c>
      <c r="M6549" s="41">
        <v>42714.0</v>
      </c>
      <c r="N6549" s="40">
        <v>42752.0</v>
      </c>
      <c r="O6549" s="15" t="s">
        <v>1554</v>
      </c>
      <c r="Q6549" s="7"/>
    </row>
    <row r="6550">
      <c r="A6550" s="39" t="s">
        <v>24900</v>
      </c>
      <c r="B6550" s="15">
        <v>1923332.0</v>
      </c>
      <c r="C6550" s="15" t="s">
        <v>24901</v>
      </c>
      <c r="D6550" s="15">
        <v>361896.0</v>
      </c>
      <c r="E6550" s="15" t="s">
        <v>1664</v>
      </c>
      <c r="F6550" s="15" t="s">
        <v>1664</v>
      </c>
      <c r="G6550" s="7">
        <v>9.481</v>
      </c>
      <c r="H6550" s="15" t="s">
        <v>2207</v>
      </c>
      <c r="I6550" s="15" t="s">
        <v>1560</v>
      </c>
      <c r="J6550" s="15" t="s">
        <v>24902</v>
      </c>
      <c r="K6550" s="15">
        <v>3.0</v>
      </c>
      <c r="L6550" s="15">
        <v>3.0</v>
      </c>
      <c r="M6550" s="41">
        <v>42714.0</v>
      </c>
      <c r="N6550" s="40">
        <v>42752.0</v>
      </c>
      <c r="O6550" s="15" t="s">
        <v>1554</v>
      </c>
      <c r="Q6550" s="7"/>
    </row>
    <row r="6551">
      <c r="A6551" s="39" t="s">
        <v>24903</v>
      </c>
      <c r="B6551" s="15">
        <v>1923331.0</v>
      </c>
      <c r="C6551" s="15" t="s">
        <v>24904</v>
      </c>
      <c r="D6551" s="15">
        <v>361897.0</v>
      </c>
      <c r="E6551" s="15" t="s">
        <v>1664</v>
      </c>
      <c r="F6551" s="15" t="s">
        <v>1664</v>
      </c>
      <c r="G6551" s="7">
        <v>13.549</v>
      </c>
      <c r="H6551" s="15" t="s">
        <v>3070</v>
      </c>
      <c r="I6551" s="15" t="s">
        <v>1560</v>
      </c>
      <c r="J6551" s="15" t="s">
        <v>24905</v>
      </c>
      <c r="K6551" s="15">
        <v>6.0</v>
      </c>
      <c r="L6551" s="15">
        <v>6.0</v>
      </c>
      <c r="M6551" s="41">
        <v>42714.0</v>
      </c>
      <c r="N6551" s="40">
        <v>42752.0</v>
      </c>
      <c r="O6551" s="15" t="s">
        <v>1554</v>
      </c>
      <c r="Q6551" s="7"/>
    </row>
    <row r="6552">
      <c r="A6552" s="39" t="s">
        <v>24906</v>
      </c>
      <c r="B6552" s="15">
        <v>1923330.0</v>
      </c>
      <c r="C6552" s="15" t="s">
        <v>24907</v>
      </c>
      <c r="D6552" s="15">
        <v>361898.0</v>
      </c>
      <c r="E6552" s="15" t="s">
        <v>1664</v>
      </c>
      <c r="F6552" s="15" t="s">
        <v>1664</v>
      </c>
      <c r="G6552" s="7">
        <v>10.423</v>
      </c>
      <c r="H6552" s="15" t="s">
        <v>1943</v>
      </c>
      <c r="I6552" s="15" t="s">
        <v>1560</v>
      </c>
      <c r="J6552" s="15" t="s">
        <v>24908</v>
      </c>
      <c r="K6552" s="15">
        <v>3.0</v>
      </c>
      <c r="L6552" s="15">
        <v>3.0</v>
      </c>
      <c r="M6552" s="41">
        <v>42714.0</v>
      </c>
      <c r="N6552" s="40">
        <v>42752.0</v>
      </c>
      <c r="O6552" s="15" t="s">
        <v>1554</v>
      </c>
      <c r="Q6552" s="7"/>
    </row>
    <row r="6553">
      <c r="A6553" s="39" t="s">
        <v>24910</v>
      </c>
      <c r="B6553" s="15">
        <v>1923327.0</v>
      </c>
      <c r="C6553" s="15" t="s">
        <v>24911</v>
      </c>
      <c r="D6553" s="15">
        <v>361899.0</v>
      </c>
      <c r="E6553" s="15" t="s">
        <v>1664</v>
      </c>
      <c r="F6553" s="15" t="s">
        <v>1664</v>
      </c>
      <c r="G6553" s="7">
        <v>8.318</v>
      </c>
      <c r="H6553" s="42">
        <v>43304.0</v>
      </c>
      <c r="I6553" s="15" t="s">
        <v>1560</v>
      </c>
      <c r="J6553" s="15" t="s">
        <v>24912</v>
      </c>
      <c r="K6553" s="15">
        <v>6.0</v>
      </c>
      <c r="L6553" s="15">
        <v>6.0</v>
      </c>
      <c r="M6553" s="41">
        <v>42714.0</v>
      </c>
      <c r="N6553" s="40">
        <v>42752.0</v>
      </c>
      <c r="O6553" s="15" t="s">
        <v>1554</v>
      </c>
      <c r="Q6553" s="7"/>
    </row>
    <row r="6554">
      <c r="A6554" s="39" t="s">
        <v>24913</v>
      </c>
      <c r="B6554" s="15">
        <v>1923326.0</v>
      </c>
      <c r="C6554" s="15" t="s">
        <v>24914</v>
      </c>
      <c r="D6554" s="15">
        <v>361900.0</v>
      </c>
      <c r="E6554" s="15" t="s">
        <v>1664</v>
      </c>
      <c r="F6554" s="15" t="s">
        <v>1664</v>
      </c>
      <c r="G6554" s="7">
        <v>6.206</v>
      </c>
      <c r="H6554" s="42">
        <v>43373.0</v>
      </c>
      <c r="I6554" s="15" t="s">
        <v>1560</v>
      </c>
      <c r="J6554" s="15" t="s">
        <v>24915</v>
      </c>
      <c r="K6554" s="15">
        <v>4.0</v>
      </c>
      <c r="L6554" s="15">
        <v>4.0</v>
      </c>
      <c r="M6554" s="41">
        <v>42714.0</v>
      </c>
      <c r="N6554" s="40">
        <v>42752.0</v>
      </c>
      <c r="O6554" s="15" t="s">
        <v>1554</v>
      </c>
      <c r="Q6554" s="7"/>
    </row>
    <row r="6555">
      <c r="A6555" s="39" t="s">
        <v>24916</v>
      </c>
      <c r="B6555" s="15">
        <v>1923324.0</v>
      </c>
      <c r="C6555" s="15" t="s">
        <v>24917</v>
      </c>
      <c r="D6555" s="15">
        <v>361901.0</v>
      </c>
      <c r="E6555" s="15" t="s">
        <v>1664</v>
      </c>
      <c r="F6555" s="15" t="s">
        <v>1664</v>
      </c>
      <c r="G6555" s="7">
        <v>9.141</v>
      </c>
      <c r="H6555" s="15" t="s">
        <v>4776</v>
      </c>
      <c r="I6555" s="15" t="s">
        <v>1560</v>
      </c>
      <c r="J6555" s="15" t="s">
        <v>24918</v>
      </c>
      <c r="K6555" s="15">
        <v>2.0</v>
      </c>
      <c r="L6555" s="15">
        <v>2.0</v>
      </c>
      <c r="M6555" s="41">
        <v>42714.0</v>
      </c>
      <c r="N6555" s="40">
        <v>42752.0</v>
      </c>
      <c r="O6555" s="15" t="s">
        <v>1554</v>
      </c>
      <c r="Q6555" s="7"/>
    </row>
    <row r="6556">
      <c r="A6556" s="39" t="s">
        <v>24920</v>
      </c>
      <c r="B6556" s="15">
        <v>1923323.0</v>
      </c>
      <c r="C6556" s="15" t="s">
        <v>24921</v>
      </c>
      <c r="D6556" s="15">
        <v>361902.0</v>
      </c>
      <c r="E6556" s="15" t="s">
        <v>1664</v>
      </c>
      <c r="F6556" s="15" t="s">
        <v>1664</v>
      </c>
      <c r="G6556" s="7">
        <v>4.13</v>
      </c>
      <c r="H6556" s="15" t="s">
        <v>10292</v>
      </c>
      <c r="I6556" s="15" t="s">
        <v>1560</v>
      </c>
      <c r="J6556" s="15" t="s">
        <v>24922</v>
      </c>
      <c r="K6556" s="15">
        <v>2.0</v>
      </c>
      <c r="L6556" s="15">
        <v>2.0</v>
      </c>
      <c r="M6556" s="41">
        <v>42714.0</v>
      </c>
      <c r="N6556" s="40">
        <v>42752.0</v>
      </c>
      <c r="O6556" s="15" t="s">
        <v>1554</v>
      </c>
      <c r="Q6556" s="7"/>
    </row>
    <row r="6557">
      <c r="A6557" s="39" t="s">
        <v>24924</v>
      </c>
      <c r="B6557" s="15">
        <v>1923322.0</v>
      </c>
      <c r="C6557" s="15" t="s">
        <v>24925</v>
      </c>
      <c r="D6557" s="15">
        <v>361903.0</v>
      </c>
      <c r="E6557" s="15" t="s">
        <v>1664</v>
      </c>
      <c r="F6557" s="15" t="s">
        <v>1664</v>
      </c>
      <c r="G6557" s="7">
        <v>4.431</v>
      </c>
      <c r="H6557" s="15" t="s">
        <v>1782</v>
      </c>
      <c r="I6557" s="15" t="s">
        <v>1560</v>
      </c>
      <c r="J6557" s="15" t="s">
        <v>24926</v>
      </c>
      <c r="K6557" s="15">
        <v>3.0</v>
      </c>
      <c r="L6557" s="15">
        <v>3.0</v>
      </c>
      <c r="M6557" s="41">
        <v>42714.0</v>
      </c>
      <c r="N6557" s="40">
        <v>42752.0</v>
      </c>
      <c r="O6557" s="15" t="s">
        <v>1554</v>
      </c>
      <c r="Q6557" s="7"/>
    </row>
    <row r="6558">
      <c r="A6558" s="39" t="s">
        <v>24927</v>
      </c>
      <c r="B6558" s="15">
        <v>1923321.0</v>
      </c>
      <c r="C6558" s="15" t="s">
        <v>24928</v>
      </c>
      <c r="D6558" s="15">
        <v>361904.0</v>
      </c>
      <c r="E6558" s="15" t="s">
        <v>1664</v>
      </c>
      <c r="F6558" s="15" t="s">
        <v>1664</v>
      </c>
      <c r="G6558" s="7">
        <v>4.524</v>
      </c>
      <c r="H6558" s="15" t="s">
        <v>24929</v>
      </c>
      <c r="I6558" s="15" t="s">
        <v>1560</v>
      </c>
      <c r="J6558" s="15" t="s">
        <v>24930</v>
      </c>
      <c r="K6558" s="15">
        <v>3.0</v>
      </c>
      <c r="L6558" s="15">
        <v>3.0</v>
      </c>
      <c r="M6558" s="41">
        <v>42714.0</v>
      </c>
      <c r="N6558" s="40">
        <v>42752.0</v>
      </c>
      <c r="O6558" s="15" t="s">
        <v>1554</v>
      </c>
      <c r="Q6558" s="7"/>
    </row>
    <row r="6559">
      <c r="A6559" s="39" t="s">
        <v>24932</v>
      </c>
      <c r="B6559" s="15">
        <v>1923320.0</v>
      </c>
      <c r="C6559" s="15" t="s">
        <v>24933</v>
      </c>
      <c r="D6559" s="15">
        <v>361905.0</v>
      </c>
      <c r="E6559" s="15" t="s">
        <v>1664</v>
      </c>
      <c r="F6559" s="15" t="s">
        <v>1664</v>
      </c>
      <c r="G6559" s="7">
        <v>3.615</v>
      </c>
      <c r="H6559" s="15" t="s">
        <v>2375</v>
      </c>
      <c r="I6559" s="15" t="s">
        <v>1560</v>
      </c>
      <c r="J6559" s="15" t="s">
        <v>24934</v>
      </c>
      <c r="K6559" s="15">
        <v>1.0</v>
      </c>
      <c r="L6559" s="15">
        <v>1.0</v>
      </c>
      <c r="M6559" s="41">
        <v>42714.0</v>
      </c>
      <c r="N6559" s="40">
        <v>42752.0</v>
      </c>
      <c r="O6559" s="15" t="s">
        <v>1554</v>
      </c>
      <c r="Q6559" s="7"/>
    </row>
    <row r="6560">
      <c r="A6560" s="39" t="s">
        <v>24935</v>
      </c>
      <c r="B6560" s="15">
        <v>1923316.0</v>
      </c>
      <c r="C6560" s="15" t="s">
        <v>24936</v>
      </c>
      <c r="D6560" s="15">
        <v>361906.0</v>
      </c>
      <c r="E6560" s="15" t="s">
        <v>1664</v>
      </c>
      <c r="F6560" s="15" t="s">
        <v>1664</v>
      </c>
      <c r="G6560" s="7">
        <v>7.505</v>
      </c>
      <c r="H6560" s="15" t="s">
        <v>5955</v>
      </c>
      <c r="I6560" s="15" t="s">
        <v>1560</v>
      </c>
      <c r="J6560" s="15" t="s">
        <v>24937</v>
      </c>
      <c r="K6560" s="15">
        <v>1.0</v>
      </c>
      <c r="L6560" s="15">
        <v>1.0</v>
      </c>
      <c r="M6560" s="41">
        <v>42714.0</v>
      </c>
      <c r="N6560" s="40">
        <v>42752.0</v>
      </c>
      <c r="O6560" s="15" t="s">
        <v>1554</v>
      </c>
      <c r="Q6560" s="7"/>
    </row>
    <row r="6561">
      <c r="A6561" s="39" t="s">
        <v>24938</v>
      </c>
      <c r="B6561" s="15">
        <v>1923313.0</v>
      </c>
      <c r="C6561" s="15" t="s">
        <v>24939</v>
      </c>
      <c r="D6561" s="15">
        <v>361907.0</v>
      </c>
      <c r="E6561" s="15" t="s">
        <v>1664</v>
      </c>
      <c r="F6561" s="15" t="s">
        <v>1664</v>
      </c>
      <c r="G6561" s="7">
        <v>5.595</v>
      </c>
      <c r="H6561" s="15" t="s">
        <v>7049</v>
      </c>
      <c r="I6561" s="15" t="s">
        <v>1560</v>
      </c>
      <c r="J6561" s="15" t="s">
        <v>24940</v>
      </c>
      <c r="K6561" s="15">
        <v>2.0</v>
      </c>
      <c r="L6561" s="15">
        <v>2.0</v>
      </c>
      <c r="M6561" s="41">
        <v>42714.0</v>
      </c>
      <c r="N6561" s="40">
        <v>42752.0</v>
      </c>
      <c r="O6561" s="15" t="s">
        <v>1554</v>
      </c>
      <c r="Q6561" s="7"/>
    </row>
    <row r="6562">
      <c r="A6562" s="39" t="s">
        <v>24941</v>
      </c>
      <c r="B6562" s="15">
        <v>1923310.0</v>
      </c>
      <c r="C6562" s="15" t="s">
        <v>24942</v>
      </c>
      <c r="D6562" s="15">
        <v>361908.0</v>
      </c>
      <c r="E6562" s="15" t="s">
        <v>1664</v>
      </c>
      <c r="F6562" s="15" t="s">
        <v>1664</v>
      </c>
      <c r="G6562" s="7">
        <v>6.659</v>
      </c>
      <c r="H6562" s="15" t="s">
        <v>2484</v>
      </c>
      <c r="I6562" s="15" t="s">
        <v>1560</v>
      </c>
      <c r="J6562" s="15" t="s">
        <v>24943</v>
      </c>
      <c r="K6562" s="15">
        <v>2.0</v>
      </c>
      <c r="L6562" s="15">
        <v>2.0</v>
      </c>
      <c r="M6562" s="41">
        <v>42714.0</v>
      </c>
      <c r="N6562" s="40">
        <v>42752.0</v>
      </c>
      <c r="O6562" s="15" t="s">
        <v>1554</v>
      </c>
      <c r="Q6562" s="7"/>
    </row>
    <row r="6563">
      <c r="A6563" s="39" t="s">
        <v>24944</v>
      </c>
      <c r="B6563" s="15">
        <v>1923309.0</v>
      </c>
      <c r="C6563" s="15" t="s">
        <v>24945</v>
      </c>
      <c r="D6563" s="15">
        <v>361909.0</v>
      </c>
      <c r="E6563" s="15" t="s">
        <v>1664</v>
      </c>
      <c r="F6563" s="15" t="s">
        <v>1664</v>
      </c>
      <c r="G6563" s="7">
        <v>7.804</v>
      </c>
      <c r="H6563" s="15">
        <v>53.0</v>
      </c>
      <c r="I6563" s="15" t="s">
        <v>1560</v>
      </c>
      <c r="J6563" s="15" t="s">
        <v>24947</v>
      </c>
      <c r="K6563" s="15">
        <v>2.0</v>
      </c>
      <c r="L6563" s="15">
        <v>2.0</v>
      </c>
      <c r="M6563" s="41">
        <v>42714.0</v>
      </c>
      <c r="N6563" s="40">
        <v>42752.0</v>
      </c>
      <c r="O6563" s="15" t="s">
        <v>1554</v>
      </c>
      <c r="Q6563" s="7"/>
    </row>
    <row r="6564">
      <c r="A6564" s="39" t="s">
        <v>24948</v>
      </c>
      <c r="B6564" s="15">
        <v>1923308.0</v>
      </c>
      <c r="C6564" s="15" t="s">
        <v>24949</v>
      </c>
      <c r="D6564" s="15">
        <v>361910.0</v>
      </c>
      <c r="E6564" s="15" t="s">
        <v>1664</v>
      </c>
      <c r="F6564" s="15" t="s">
        <v>1664</v>
      </c>
      <c r="G6564" s="7">
        <v>4.958</v>
      </c>
      <c r="H6564" s="15" t="s">
        <v>2777</v>
      </c>
      <c r="I6564" s="15" t="s">
        <v>1560</v>
      </c>
      <c r="J6564" s="15" t="s">
        <v>24950</v>
      </c>
      <c r="K6564" s="15">
        <v>2.0</v>
      </c>
      <c r="L6564" s="15">
        <v>2.0</v>
      </c>
      <c r="M6564" s="41">
        <v>42714.0</v>
      </c>
      <c r="N6564" s="40">
        <v>42752.0</v>
      </c>
      <c r="O6564" s="15" t="s">
        <v>1554</v>
      </c>
      <c r="Q6564" s="7"/>
    </row>
    <row r="6565">
      <c r="A6565" s="39" t="s">
        <v>24952</v>
      </c>
      <c r="B6565" s="15">
        <v>1923306.0</v>
      </c>
      <c r="C6565" s="15" t="s">
        <v>24953</v>
      </c>
      <c r="D6565" s="15">
        <v>361911.0</v>
      </c>
      <c r="E6565" s="15" t="s">
        <v>1664</v>
      </c>
      <c r="F6565" s="15" t="s">
        <v>1664</v>
      </c>
      <c r="G6565" s="7">
        <v>7.552</v>
      </c>
      <c r="H6565" s="15" t="s">
        <v>2131</v>
      </c>
      <c r="I6565" s="15" t="s">
        <v>1560</v>
      </c>
      <c r="J6565" s="15" t="s">
        <v>24954</v>
      </c>
      <c r="K6565" s="15">
        <v>2.0</v>
      </c>
      <c r="L6565" s="15">
        <v>2.0</v>
      </c>
      <c r="M6565" s="41">
        <v>42714.0</v>
      </c>
      <c r="N6565" s="40">
        <v>42752.0</v>
      </c>
      <c r="O6565" s="15" t="s">
        <v>1554</v>
      </c>
      <c r="Q6565" s="7"/>
    </row>
    <row r="6566">
      <c r="A6566" s="39" t="s">
        <v>24955</v>
      </c>
      <c r="B6566" s="15">
        <v>1923305.0</v>
      </c>
      <c r="C6566" s="15" t="s">
        <v>24956</v>
      </c>
      <c r="D6566" s="15">
        <v>361912.0</v>
      </c>
      <c r="E6566" s="15" t="s">
        <v>1664</v>
      </c>
      <c r="F6566" s="15" t="s">
        <v>1664</v>
      </c>
      <c r="G6566" s="7">
        <v>6.761</v>
      </c>
      <c r="H6566" s="15" t="s">
        <v>4467</v>
      </c>
      <c r="I6566" s="15" t="s">
        <v>1560</v>
      </c>
      <c r="J6566" s="15" t="s">
        <v>24958</v>
      </c>
      <c r="K6566" s="15">
        <v>3.0</v>
      </c>
      <c r="L6566" s="15">
        <v>3.0</v>
      </c>
      <c r="M6566" s="41">
        <v>42714.0</v>
      </c>
      <c r="N6566" s="40">
        <v>42752.0</v>
      </c>
      <c r="O6566" s="15" t="s">
        <v>1554</v>
      </c>
      <c r="Q6566" s="7"/>
    </row>
    <row r="6567">
      <c r="A6567" s="39" t="s">
        <v>24959</v>
      </c>
      <c r="B6567" s="15">
        <v>1923304.0</v>
      </c>
      <c r="C6567" s="15" t="s">
        <v>24960</v>
      </c>
      <c r="D6567" s="15">
        <v>361913.0</v>
      </c>
      <c r="E6567" s="15" t="s">
        <v>1664</v>
      </c>
      <c r="F6567" s="15" t="s">
        <v>1664</v>
      </c>
      <c r="G6567" s="7">
        <v>6.754</v>
      </c>
      <c r="H6567" s="15" t="s">
        <v>5382</v>
      </c>
      <c r="I6567" s="15" t="s">
        <v>1560</v>
      </c>
      <c r="J6567" s="15" t="s">
        <v>24961</v>
      </c>
      <c r="K6567" s="15">
        <v>3.0</v>
      </c>
      <c r="L6567" s="15">
        <v>3.0</v>
      </c>
      <c r="M6567" s="41">
        <v>42714.0</v>
      </c>
      <c r="N6567" s="40">
        <v>42752.0</v>
      </c>
      <c r="O6567" s="15" t="s">
        <v>1554</v>
      </c>
      <c r="Q6567" s="7"/>
    </row>
    <row r="6568">
      <c r="A6568" s="39" t="s">
        <v>24962</v>
      </c>
      <c r="B6568" s="15">
        <v>1923303.0</v>
      </c>
      <c r="C6568" s="15" t="s">
        <v>24963</v>
      </c>
      <c r="D6568" s="15">
        <v>361914.0</v>
      </c>
      <c r="E6568" s="15" t="s">
        <v>1664</v>
      </c>
      <c r="F6568" s="15" t="s">
        <v>1664</v>
      </c>
      <c r="G6568" s="7">
        <v>5.859</v>
      </c>
      <c r="H6568" s="15" t="s">
        <v>1772</v>
      </c>
      <c r="I6568" s="15" t="s">
        <v>1560</v>
      </c>
      <c r="J6568" s="15" t="s">
        <v>24964</v>
      </c>
      <c r="K6568" s="15">
        <v>2.0</v>
      </c>
      <c r="L6568" s="15">
        <v>2.0</v>
      </c>
      <c r="M6568" s="41">
        <v>42714.0</v>
      </c>
      <c r="N6568" s="40">
        <v>42752.0</v>
      </c>
      <c r="O6568" s="15" t="s">
        <v>1554</v>
      </c>
      <c r="Q6568" s="7"/>
    </row>
    <row r="6569">
      <c r="A6569" s="39" t="s">
        <v>24965</v>
      </c>
      <c r="B6569" s="15">
        <v>1923301.0</v>
      </c>
      <c r="C6569" s="15" t="s">
        <v>24966</v>
      </c>
      <c r="D6569" s="15">
        <v>361915.0</v>
      </c>
      <c r="E6569" s="15" t="s">
        <v>1664</v>
      </c>
      <c r="F6569" s="15" t="s">
        <v>1664</v>
      </c>
      <c r="G6569" s="7">
        <v>6.293</v>
      </c>
      <c r="H6569" s="15" t="s">
        <v>2660</v>
      </c>
      <c r="I6569" s="15" t="s">
        <v>1560</v>
      </c>
      <c r="J6569" s="15" t="s">
        <v>24968</v>
      </c>
      <c r="K6569" s="15">
        <v>2.0</v>
      </c>
      <c r="L6569" s="15">
        <v>2.0</v>
      </c>
      <c r="M6569" s="41">
        <v>42714.0</v>
      </c>
      <c r="N6569" s="40">
        <v>42752.0</v>
      </c>
      <c r="O6569" s="15" t="s">
        <v>1554</v>
      </c>
      <c r="Q6569" s="7"/>
    </row>
    <row r="6570">
      <c r="A6570" s="39" t="s">
        <v>24969</v>
      </c>
      <c r="B6570" s="15">
        <v>1504733.0</v>
      </c>
      <c r="C6570" s="15" t="s">
        <v>24970</v>
      </c>
      <c r="D6570" s="15">
        <v>361916.0</v>
      </c>
      <c r="E6570" s="15" t="s">
        <v>1577</v>
      </c>
      <c r="F6570" s="15" t="s">
        <v>1578</v>
      </c>
      <c r="G6570" s="7">
        <v>2.75</v>
      </c>
      <c r="H6570" s="15">
        <v>44.0</v>
      </c>
      <c r="I6570" s="15" t="s">
        <v>1628</v>
      </c>
      <c r="J6570" s="15" t="s">
        <v>24971</v>
      </c>
      <c r="K6570" s="15">
        <v>6.0</v>
      </c>
      <c r="L6570" s="15">
        <v>6.0</v>
      </c>
      <c r="M6570" s="40">
        <v>42740.0</v>
      </c>
      <c r="N6570" s="40">
        <v>42752.0</v>
      </c>
      <c r="O6570" s="15" t="s">
        <v>1554</v>
      </c>
      <c r="Q6570" s="7"/>
    </row>
    <row r="6571">
      <c r="A6571" s="39" t="s">
        <v>24972</v>
      </c>
      <c r="B6571" s="15">
        <v>1468597.0</v>
      </c>
      <c r="C6571" s="15" t="s">
        <v>24973</v>
      </c>
      <c r="D6571" s="15">
        <v>361919.0</v>
      </c>
      <c r="E6571" s="15" t="s">
        <v>2014</v>
      </c>
      <c r="F6571" s="15" t="s">
        <v>1578</v>
      </c>
      <c r="G6571" s="7">
        <v>1.375</v>
      </c>
      <c r="H6571" s="15" t="s">
        <v>2451</v>
      </c>
      <c r="I6571" s="15" t="s">
        <v>1628</v>
      </c>
      <c r="J6571" s="15" t="s">
        <v>24974</v>
      </c>
      <c r="K6571" s="15">
        <v>1.0</v>
      </c>
      <c r="L6571" s="15">
        <v>1.0</v>
      </c>
      <c r="M6571" s="40">
        <v>42740.0</v>
      </c>
      <c r="N6571" s="40">
        <v>42752.0</v>
      </c>
      <c r="O6571" s="15" t="s">
        <v>1554</v>
      </c>
      <c r="Q6571" s="7"/>
    </row>
    <row r="6572">
      <c r="A6572" s="39" t="s">
        <v>24975</v>
      </c>
      <c r="B6572" s="15">
        <v>1468596.0</v>
      </c>
      <c r="C6572" s="15" t="s">
        <v>24976</v>
      </c>
      <c r="D6572" s="15">
        <v>361920.0</v>
      </c>
      <c r="E6572" s="15" t="s">
        <v>2014</v>
      </c>
      <c r="F6572" s="15" t="s">
        <v>1578</v>
      </c>
      <c r="G6572" s="7">
        <v>1.37</v>
      </c>
      <c r="H6572" s="15" t="s">
        <v>2049</v>
      </c>
      <c r="I6572" s="15" t="s">
        <v>1628</v>
      </c>
      <c r="J6572" s="15" t="s">
        <v>24978</v>
      </c>
      <c r="K6572" s="15">
        <v>1.0</v>
      </c>
      <c r="L6572" s="15">
        <v>1.0</v>
      </c>
      <c r="M6572" s="40">
        <v>42740.0</v>
      </c>
      <c r="N6572" s="40">
        <v>42752.0</v>
      </c>
      <c r="O6572" s="15" t="s">
        <v>1554</v>
      </c>
      <c r="Q6572" s="7"/>
    </row>
    <row r="6573">
      <c r="A6573" s="39" t="s">
        <v>24979</v>
      </c>
      <c r="B6573" s="15">
        <v>1407057.0</v>
      </c>
      <c r="C6573" s="15" t="s">
        <v>24980</v>
      </c>
      <c r="D6573" s="15">
        <v>361921.0</v>
      </c>
      <c r="E6573" s="15" t="s">
        <v>2014</v>
      </c>
      <c r="F6573" s="15" t="s">
        <v>1578</v>
      </c>
      <c r="G6573" s="7">
        <v>1.369</v>
      </c>
      <c r="H6573" s="15" t="s">
        <v>1859</v>
      </c>
      <c r="I6573" s="15" t="s">
        <v>1628</v>
      </c>
      <c r="J6573" s="15" t="s">
        <v>24981</v>
      </c>
      <c r="K6573" s="15">
        <v>1.0</v>
      </c>
      <c r="L6573" s="15">
        <v>1.0</v>
      </c>
      <c r="M6573" s="40">
        <v>42740.0</v>
      </c>
      <c r="N6573" s="40">
        <v>42752.0</v>
      </c>
      <c r="O6573" s="15" t="s">
        <v>1554</v>
      </c>
      <c r="Q6573" s="7"/>
    </row>
    <row r="6574">
      <c r="A6574" s="39" t="s">
        <v>24983</v>
      </c>
      <c r="B6574" s="15">
        <v>1172196.0</v>
      </c>
      <c r="C6574" s="15" t="s">
        <v>24984</v>
      </c>
      <c r="D6574" s="15">
        <v>361922.0</v>
      </c>
      <c r="E6574" s="15" t="s">
        <v>1548</v>
      </c>
      <c r="F6574" s="15" t="s">
        <v>4829</v>
      </c>
      <c r="G6574" s="7">
        <v>8.176</v>
      </c>
      <c r="H6574" s="15" t="s">
        <v>5483</v>
      </c>
      <c r="I6574" s="15" t="s">
        <v>1686</v>
      </c>
      <c r="J6574" s="15" t="s">
        <v>24985</v>
      </c>
      <c r="K6574" s="15">
        <v>2.0</v>
      </c>
      <c r="L6574" s="15">
        <v>2.0</v>
      </c>
      <c r="M6574" s="40">
        <v>42743.0</v>
      </c>
      <c r="N6574" s="40">
        <v>42752.0</v>
      </c>
      <c r="O6574" s="15" t="s">
        <v>1554</v>
      </c>
      <c r="Q6574" s="7"/>
    </row>
    <row r="6575">
      <c r="A6575" s="39" t="s">
        <v>24987</v>
      </c>
      <c r="B6575" s="15">
        <v>1922714.0</v>
      </c>
      <c r="C6575" s="15" t="s">
        <v>24988</v>
      </c>
      <c r="D6575" s="15">
        <v>361923.0</v>
      </c>
      <c r="E6575" s="15" t="s">
        <v>1664</v>
      </c>
      <c r="F6575" s="15" t="s">
        <v>1664</v>
      </c>
      <c r="G6575" s="7">
        <v>5.037</v>
      </c>
      <c r="H6575" s="15" t="s">
        <v>2163</v>
      </c>
      <c r="I6575" s="15" t="s">
        <v>1560</v>
      </c>
      <c r="J6575" s="15" t="s">
        <v>24989</v>
      </c>
      <c r="K6575" s="15">
        <v>3.0</v>
      </c>
      <c r="L6575" s="15">
        <v>3.0</v>
      </c>
      <c r="M6575" s="41">
        <v>42714.0</v>
      </c>
      <c r="N6575" s="40">
        <v>42752.0</v>
      </c>
      <c r="O6575" s="15" t="s">
        <v>1554</v>
      </c>
      <c r="Q6575" s="7"/>
    </row>
    <row r="6576">
      <c r="A6576" s="39" t="s">
        <v>24990</v>
      </c>
      <c r="B6576" s="15">
        <v>1922713.0</v>
      </c>
      <c r="C6576" s="15" t="s">
        <v>24991</v>
      </c>
      <c r="D6576" s="15">
        <v>361924.0</v>
      </c>
      <c r="E6576" s="15" t="s">
        <v>1664</v>
      </c>
      <c r="F6576" s="15" t="s">
        <v>1664</v>
      </c>
      <c r="G6576" s="7">
        <v>4.836</v>
      </c>
      <c r="H6576" s="15" t="s">
        <v>1828</v>
      </c>
      <c r="I6576" s="15" t="s">
        <v>1560</v>
      </c>
      <c r="J6576" s="15" t="s">
        <v>24993</v>
      </c>
      <c r="K6576" s="15">
        <v>4.0</v>
      </c>
      <c r="L6576" s="15">
        <v>4.0</v>
      </c>
      <c r="M6576" s="41">
        <v>42714.0</v>
      </c>
      <c r="N6576" s="40">
        <v>42752.0</v>
      </c>
      <c r="O6576" s="15" t="s">
        <v>1554</v>
      </c>
      <c r="Q6576" s="7"/>
    </row>
    <row r="6577">
      <c r="A6577" s="39" t="s">
        <v>24994</v>
      </c>
      <c r="B6577" s="15">
        <v>1922712.0</v>
      </c>
      <c r="C6577" s="15" t="s">
        <v>24995</v>
      </c>
      <c r="D6577" s="15">
        <v>361925.0</v>
      </c>
      <c r="E6577" s="15" t="s">
        <v>1664</v>
      </c>
      <c r="F6577" s="15" t="s">
        <v>1664</v>
      </c>
      <c r="G6577" s="7">
        <v>4.145</v>
      </c>
      <c r="H6577" s="15">
        <v>48.0</v>
      </c>
      <c r="I6577" s="15" t="s">
        <v>1560</v>
      </c>
      <c r="J6577" s="15" t="s">
        <v>24996</v>
      </c>
      <c r="K6577" s="15">
        <v>3.0</v>
      </c>
      <c r="L6577" s="15">
        <v>3.0</v>
      </c>
      <c r="M6577" s="41">
        <v>42714.0</v>
      </c>
      <c r="N6577" s="40">
        <v>42752.0</v>
      </c>
      <c r="O6577" s="15" t="s">
        <v>1554</v>
      </c>
      <c r="Q6577" s="7"/>
    </row>
    <row r="6578">
      <c r="A6578" s="39" t="s">
        <v>24998</v>
      </c>
      <c r="B6578" s="15">
        <v>1922711.0</v>
      </c>
      <c r="C6578" s="15" t="s">
        <v>24999</v>
      </c>
      <c r="D6578" s="15">
        <v>361926.0</v>
      </c>
      <c r="E6578" s="15" t="s">
        <v>1664</v>
      </c>
      <c r="F6578" s="15" t="s">
        <v>1664</v>
      </c>
      <c r="G6578" s="7">
        <v>9.621</v>
      </c>
      <c r="H6578" s="15" t="s">
        <v>5368</v>
      </c>
      <c r="I6578" s="15" t="s">
        <v>1560</v>
      </c>
      <c r="J6578" s="15" t="s">
        <v>25000</v>
      </c>
      <c r="K6578" s="15">
        <v>5.0</v>
      </c>
      <c r="L6578" s="15">
        <v>5.0</v>
      </c>
      <c r="M6578" s="41">
        <v>42714.0</v>
      </c>
      <c r="N6578" s="40">
        <v>42752.0</v>
      </c>
      <c r="O6578" s="15" t="s">
        <v>1554</v>
      </c>
      <c r="Q6578" s="7"/>
    </row>
    <row r="6579">
      <c r="A6579" s="39" t="s">
        <v>25002</v>
      </c>
      <c r="B6579" s="15">
        <v>1922710.0</v>
      </c>
      <c r="C6579" s="15" t="s">
        <v>25003</v>
      </c>
      <c r="D6579" s="15">
        <v>361927.0</v>
      </c>
      <c r="E6579" s="15" t="s">
        <v>1664</v>
      </c>
      <c r="F6579" s="15" t="s">
        <v>1664</v>
      </c>
      <c r="G6579" s="7">
        <v>6.096</v>
      </c>
      <c r="H6579" s="15" t="s">
        <v>3538</v>
      </c>
      <c r="I6579" s="15" t="s">
        <v>1560</v>
      </c>
      <c r="J6579" s="15" t="s">
        <v>25004</v>
      </c>
      <c r="K6579" s="15">
        <v>2.0</v>
      </c>
      <c r="L6579" s="15">
        <v>2.0</v>
      </c>
      <c r="M6579" s="41">
        <v>42714.0</v>
      </c>
      <c r="N6579" s="40">
        <v>42752.0</v>
      </c>
      <c r="O6579" s="15" t="s">
        <v>1554</v>
      </c>
      <c r="Q6579" s="7"/>
    </row>
    <row r="6580">
      <c r="A6580" s="39" t="s">
        <v>25005</v>
      </c>
      <c r="B6580" s="15">
        <v>1922708.0</v>
      </c>
      <c r="C6580" s="15" t="s">
        <v>25006</v>
      </c>
      <c r="D6580" s="15">
        <v>361928.0</v>
      </c>
      <c r="E6580" s="15" t="s">
        <v>1664</v>
      </c>
      <c r="F6580" s="15" t="s">
        <v>1664</v>
      </c>
      <c r="G6580" s="7">
        <v>3.518</v>
      </c>
      <c r="H6580" s="15" t="s">
        <v>1670</v>
      </c>
      <c r="I6580" s="15" t="s">
        <v>1560</v>
      </c>
      <c r="J6580" s="15" t="s">
        <v>25007</v>
      </c>
      <c r="K6580" s="15">
        <v>1.0</v>
      </c>
      <c r="L6580" s="15">
        <v>1.0</v>
      </c>
      <c r="M6580" s="41">
        <v>42714.0</v>
      </c>
      <c r="N6580" s="40">
        <v>42752.0</v>
      </c>
      <c r="O6580" s="15" t="s">
        <v>1554</v>
      </c>
      <c r="Q6580" s="7"/>
    </row>
    <row r="6581">
      <c r="A6581" s="39" t="s">
        <v>25009</v>
      </c>
      <c r="B6581" s="15">
        <v>1922707.0</v>
      </c>
      <c r="C6581" s="15" t="s">
        <v>25010</v>
      </c>
      <c r="D6581" s="15">
        <v>361929.0</v>
      </c>
      <c r="E6581" s="15" t="s">
        <v>1664</v>
      </c>
      <c r="F6581" s="15" t="s">
        <v>1664</v>
      </c>
      <c r="G6581" s="7">
        <v>9.538</v>
      </c>
      <c r="H6581" s="15" t="s">
        <v>2699</v>
      </c>
      <c r="I6581" s="15" t="s">
        <v>1560</v>
      </c>
      <c r="J6581" s="15" t="s">
        <v>25011</v>
      </c>
      <c r="K6581" s="15">
        <v>1.0</v>
      </c>
      <c r="L6581" s="15">
        <v>1.0</v>
      </c>
      <c r="M6581" s="41">
        <v>42714.0</v>
      </c>
      <c r="N6581" s="40">
        <v>42752.0</v>
      </c>
      <c r="O6581" s="15" t="s">
        <v>1554</v>
      </c>
      <c r="Q6581" s="7"/>
    </row>
    <row r="6582">
      <c r="A6582" s="39" t="s">
        <v>25012</v>
      </c>
      <c r="B6582" s="15">
        <v>1922706.0</v>
      </c>
      <c r="C6582" s="15" t="s">
        <v>25013</v>
      </c>
      <c r="D6582" s="15">
        <v>361930.0</v>
      </c>
      <c r="E6582" s="15" t="s">
        <v>1664</v>
      </c>
      <c r="F6582" s="15" t="s">
        <v>1664</v>
      </c>
      <c r="G6582" s="7">
        <v>4.56</v>
      </c>
      <c r="H6582" s="15" t="s">
        <v>5457</v>
      </c>
      <c r="I6582" s="15" t="s">
        <v>1560</v>
      </c>
      <c r="J6582" s="15" t="s">
        <v>25015</v>
      </c>
      <c r="K6582" s="15">
        <v>2.0</v>
      </c>
      <c r="L6582" s="15">
        <v>2.0</v>
      </c>
      <c r="M6582" s="41">
        <v>42714.0</v>
      </c>
      <c r="N6582" s="40">
        <v>42752.0</v>
      </c>
      <c r="O6582" s="15" t="s">
        <v>1554</v>
      </c>
      <c r="Q6582" s="7"/>
    </row>
    <row r="6583">
      <c r="A6583" s="39" t="s">
        <v>25016</v>
      </c>
      <c r="B6583" s="15">
        <v>1922705.0</v>
      </c>
      <c r="C6583" s="15" t="s">
        <v>25017</v>
      </c>
      <c r="D6583" s="15">
        <v>361931.0</v>
      </c>
      <c r="E6583" s="15" t="s">
        <v>1664</v>
      </c>
      <c r="F6583" s="15" t="s">
        <v>1664</v>
      </c>
      <c r="G6583" s="7">
        <v>4.496</v>
      </c>
      <c r="H6583" s="15">
        <v>59.0</v>
      </c>
      <c r="I6583" s="15" t="s">
        <v>1560</v>
      </c>
      <c r="J6583" s="15" t="s">
        <v>25018</v>
      </c>
      <c r="K6583" s="15">
        <v>2.0</v>
      </c>
      <c r="L6583" s="15">
        <v>2.0</v>
      </c>
      <c r="M6583" s="41">
        <v>42714.0</v>
      </c>
      <c r="N6583" s="40">
        <v>42752.0</v>
      </c>
      <c r="O6583" s="15" t="s">
        <v>1554</v>
      </c>
      <c r="Q6583" s="7"/>
    </row>
    <row r="6584">
      <c r="A6584" s="39" t="s">
        <v>25019</v>
      </c>
      <c r="B6584" s="15">
        <v>1922704.0</v>
      </c>
      <c r="C6584" s="15" t="s">
        <v>25021</v>
      </c>
      <c r="D6584" s="15">
        <v>361932.0</v>
      </c>
      <c r="E6584" s="15" t="s">
        <v>1664</v>
      </c>
      <c r="F6584" s="15" t="s">
        <v>1664</v>
      </c>
      <c r="G6584" s="7">
        <v>4.711</v>
      </c>
      <c r="H6584" s="15" t="s">
        <v>3321</v>
      </c>
      <c r="I6584" s="15" t="s">
        <v>1560</v>
      </c>
      <c r="J6584" s="15" t="s">
        <v>25022</v>
      </c>
      <c r="K6584" s="15">
        <v>2.0</v>
      </c>
      <c r="L6584" s="15">
        <v>2.0</v>
      </c>
      <c r="M6584" s="41">
        <v>42714.0</v>
      </c>
      <c r="N6584" s="40">
        <v>42752.0</v>
      </c>
      <c r="O6584" s="15" t="s">
        <v>1554</v>
      </c>
      <c r="Q6584" s="7"/>
    </row>
    <row r="6585">
      <c r="A6585" s="39" t="s">
        <v>25023</v>
      </c>
      <c r="B6585" s="15">
        <v>1922703.0</v>
      </c>
      <c r="C6585" s="15" t="s">
        <v>25024</v>
      </c>
      <c r="D6585" s="15">
        <v>361933.0</v>
      </c>
      <c r="E6585" s="15" t="s">
        <v>1664</v>
      </c>
      <c r="F6585" s="15" t="s">
        <v>1664</v>
      </c>
      <c r="G6585" s="7">
        <v>5.222</v>
      </c>
      <c r="H6585" s="15" t="s">
        <v>1977</v>
      </c>
      <c r="I6585" s="15" t="s">
        <v>1560</v>
      </c>
      <c r="J6585" s="15" t="s">
        <v>25025</v>
      </c>
      <c r="K6585" s="15">
        <v>2.0</v>
      </c>
      <c r="L6585" s="15">
        <v>2.0</v>
      </c>
      <c r="M6585" s="41">
        <v>42714.0</v>
      </c>
      <c r="N6585" s="40">
        <v>42752.0</v>
      </c>
      <c r="O6585" s="15" t="s">
        <v>1554</v>
      </c>
      <c r="Q6585" s="7"/>
    </row>
    <row r="6586">
      <c r="A6586" s="39" t="s">
        <v>25026</v>
      </c>
      <c r="B6586" s="15">
        <v>1922702.0</v>
      </c>
      <c r="C6586" s="15" t="s">
        <v>25027</v>
      </c>
      <c r="D6586" s="15">
        <v>361934.0</v>
      </c>
      <c r="E6586" s="15" t="s">
        <v>1664</v>
      </c>
      <c r="F6586" s="15" t="s">
        <v>1664</v>
      </c>
      <c r="G6586" s="7">
        <v>4.484</v>
      </c>
      <c r="H6586" s="15" t="s">
        <v>3055</v>
      </c>
      <c r="I6586" s="15" t="s">
        <v>1560</v>
      </c>
      <c r="J6586" s="15" t="s">
        <v>25028</v>
      </c>
      <c r="K6586" s="15">
        <v>2.0</v>
      </c>
      <c r="L6586" s="15">
        <v>2.0</v>
      </c>
      <c r="M6586" s="41">
        <v>42714.0</v>
      </c>
      <c r="N6586" s="40">
        <v>42752.0</v>
      </c>
      <c r="O6586" s="15" t="s">
        <v>1554</v>
      </c>
      <c r="Q6586" s="7"/>
    </row>
    <row r="6587">
      <c r="A6587" s="39" t="s">
        <v>25030</v>
      </c>
      <c r="B6587" s="15">
        <v>1922701.0</v>
      </c>
      <c r="C6587" s="15" t="s">
        <v>25031</v>
      </c>
      <c r="D6587" s="15">
        <v>361935.0</v>
      </c>
      <c r="E6587" s="15" t="s">
        <v>1664</v>
      </c>
      <c r="F6587" s="15" t="s">
        <v>1664</v>
      </c>
      <c r="G6587" s="7">
        <v>4.288</v>
      </c>
      <c r="H6587" s="15" t="s">
        <v>1977</v>
      </c>
      <c r="I6587" s="15" t="s">
        <v>1560</v>
      </c>
      <c r="J6587" s="15" t="s">
        <v>25032</v>
      </c>
      <c r="K6587" s="15">
        <v>2.0</v>
      </c>
      <c r="L6587" s="15">
        <v>2.0</v>
      </c>
      <c r="M6587" s="41">
        <v>42714.0</v>
      </c>
      <c r="N6587" s="40">
        <v>42752.0</v>
      </c>
      <c r="O6587" s="15" t="s">
        <v>1554</v>
      </c>
      <c r="Q6587" s="7"/>
    </row>
    <row r="6588">
      <c r="A6588" s="39" t="s">
        <v>25033</v>
      </c>
      <c r="B6588" s="15">
        <v>1922700.0</v>
      </c>
      <c r="C6588" s="15" t="s">
        <v>25034</v>
      </c>
      <c r="D6588" s="15">
        <v>361936.0</v>
      </c>
      <c r="E6588" s="15" t="s">
        <v>1664</v>
      </c>
      <c r="F6588" s="15" t="s">
        <v>1664</v>
      </c>
      <c r="G6588" s="7">
        <v>4.536</v>
      </c>
      <c r="H6588" s="15" t="s">
        <v>3304</v>
      </c>
      <c r="I6588" s="15" t="s">
        <v>1560</v>
      </c>
      <c r="J6588" s="15" t="s">
        <v>25035</v>
      </c>
      <c r="K6588" s="15">
        <v>2.0</v>
      </c>
      <c r="L6588" s="15">
        <v>2.0</v>
      </c>
      <c r="M6588" s="41">
        <v>42714.0</v>
      </c>
      <c r="N6588" s="40">
        <v>42752.0</v>
      </c>
      <c r="O6588" s="15" t="s">
        <v>1554</v>
      </c>
      <c r="Q6588" s="7"/>
    </row>
    <row r="6589">
      <c r="A6589" s="39" t="s">
        <v>25036</v>
      </c>
      <c r="B6589" s="15">
        <v>1922699.0</v>
      </c>
      <c r="C6589" s="15" t="s">
        <v>25037</v>
      </c>
      <c r="D6589" s="15">
        <v>361937.0</v>
      </c>
      <c r="E6589" s="15" t="s">
        <v>1664</v>
      </c>
      <c r="F6589" s="15" t="s">
        <v>1664</v>
      </c>
      <c r="G6589" s="7">
        <v>3.164</v>
      </c>
      <c r="H6589" s="15" t="s">
        <v>4776</v>
      </c>
      <c r="I6589" s="15" t="s">
        <v>1560</v>
      </c>
      <c r="J6589" s="15" t="s">
        <v>25038</v>
      </c>
      <c r="K6589" s="15">
        <v>2.0</v>
      </c>
      <c r="L6589" s="15">
        <v>2.0</v>
      </c>
      <c r="M6589" s="41">
        <v>42714.0</v>
      </c>
      <c r="N6589" s="40">
        <v>42752.0</v>
      </c>
      <c r="O6589" s="15" t="s">
        <v>1554</v>
      </c>
      <c r="Q6589" s="7"/>
    </row>
    <row r="6590">
      <c r="A6590" s="39" t="s">
        <v>25040</v>
      </c>
      <c r="B6590" s="15">
        <v>1922697.0</v>
      </c>
      <c r="C6590" s="15" t="s">
        <v>25041</v>
      </c>
      <c r="D6590" s="15">
        <v>361938.0</v>
      </c>
      <c r="E6590" s="15" t="s">
        <v>1664</v>
      </c>
      <c r="F6590" s="15" t="s">
        <v>1664</v>
      </c>
      <c r="G6590" s="7">
        <v>3.995</v>
      </c>
      <c r="H6590" s="15" t="s">
        <v>5042</v>
      </c>
      <c r="I6590" s="15" t="s">
        <v>1560</v>
      </c>
      <c r="J6590" s="15" t="s">
        <v>25042</v>
      </c>
      <c r="K6590" s="15">
        <v>3.0</v>
      </c>
      <c r="L6590" s="15">
        <v>3.0</v>
      </c>
      <c r="M6590" s="41">
        <v>42714.0</v>
      </c>
      <c r="N6590" s="40">
        <v>42752.0</v>
      </c>
      <c r="O6590" s="15" t="s">
        <v>1554</v>
      </c>
      <c r="Q6590" s="7"/>
    </row>
    <row r="6591">
      <c r="A6591" s="39" t="s">
        <v>25043</v>
      </c>
      <c r="B6591" s="15">
        <v>1922695.0</v>
      </c>
      <c r="C6591" s="15" t="s">
        <v>25044</v>
      </c>
      <c r="D6591" s="15">
        <v>361939.0</v>
      </c>
      <c r="E6591" s="15" t="s">
        <v>1664</v>
      </c>
      <c r="F6591" s="15" t="s">
        <v>1664</v>
      </c>
      <c r="G6591" s="7">
        <v>4.18</v>
      </c>
      <c r="H6591" s="15" t="s">
        <v>2885</v>
      </c>
      <c r="I6591" s="15" t="s">
        <v>1560</v>
      </c>
      <c r="J6591" s="15" t="s">
        <v>25045</v>
      </c>
      <c r="K6591" s="15">
        <v>2.0</v>
      </c>
      <c r="L6591" s="15">
        <v>2.0</v>
      </c>
      <c r="M6591" s="41">
        <v>42714.0</v>
      </c>
      <c r="N6591" s="40">
        <v>42752.0</v>
      </c>
      <c r="O6591" s="15" t="s">
        <v>1554</v>
      </c>
      <c r="Q6591" s="7"/>
    </row>
    <row r="6592">
      <c r="A6592" s="39" t="s">
        <v>25046</v>
      </c>
      <c r="B6592" s="15">
        <v>1922694.0</v>
      </c>
      <c r="C6592" s="15" t="s">
        <v>25047</v>
      </c>
      <c r="D6592" s="15">
        <v>361940.0</v>
      </c>
      <c r="E6592" s="15" t="s">
        <v>1664</v>
      </c>
      <c r="F6592" s="15" t="s">
        <v>1664</v>
      </c>
      <c r="G6592" s="7">
        <v>3.092</v>
      </c>
      <c r="H6592" s="15" t="s">
        <v>2296</v>
      </c>
      <c r="I6592" s="15" t="s">
        <v>1560</v>
      </c>
      <c r="J6592" s="15" t="s">
        <v>25048</v>
      </c>
      <c r="K6592" s="15">
        <v>2.0</v>
      </c>
      <c r="L6592" s="15">
        <v>2.0</v>
      </c>
      <c r="M6592" s="41">
        <v>42714.0</v>
      </c>
      <c r="N6592" s="40">
        <v>42752.0</v>
      </c>
      <c r="O6592" s="15" t="s">
        <v>1554</v>
      </c>
      <c r="Q6592" s="7"/>
    </row>
    <row r="6593">
      <c r="A6593" s="39" t="s">
        <v>25049</v>
      </c>
      <c r="B6593" s="15">
        <v>1922693.0</v>
      </c>
      <c r="C6593" s="15" t="s">
        <v>25051</v>
      </c>
      <c r="D6593" s="15">
        <v>361941.0</v>
      </c>
      <c r="E6593" s="15" t="s">
        <v>1664</v>
      </c>
      <c r="F6593" s="15" t="s">
        <v>1664</v>
      </c>
      <c r="G6593" s="7">
        <v>4.177</v>
      </c>
      <c r="H6593" s="15" t="s">
        <v>5368</v>
      </c>
      <c r="I6593" s="15" t="s">
        <v>1560</v>
      </c>
      <c r="J6593" s="15" t="s">
        <v>25052</v>
      </c>
      <c r="K6593" s="15">
        <v>2.0</v>
      </c>
      <c r="L6593" s="15">
        <v>2.0</v>
      </c>
      <c r="M6593" s="41">
        <v>42714.0</v>
      </c>
      <c r="N6593" s="40">
        <v>42752.0</v>
      </c>
      <c r="O6593" s="15" t="s">
        <v>1554</v>
      </c>
      <c r="Q6593" s="7"/>
    </row>
    <row r="6594">
      <c r="A6594" s="39" t="s">
        <v>25053</v>
      </c>
      <c r="B6594" s="15">
        <v>1922692.0</v>
      </c>
      <c r="C6594" s="15" t="s">
        <v>25054</v>
      </c>
      <c r="D6594" s="15">
        <v>361942.0</v>
      </c>
      <c r="E6594" s="15" t="s">
        <v>1664</v>
      </c>
      <c r="F6594" s="15" t="s">
        <v>1664</v>
      </c>
      <c r="G6594" s="7">
        <v>2.971</v>
      </c>
      <c r="H6594" s="15" t="s">
        <v>5391</v>
      </c>
      <c r="I6594" s="15" t="s">
        <v>1560</v>
      </c>
      <c r="J6594" s="15" t="s">
        <v>25055</v>
      </c>
      <c r="K6594" s="15">
        <v>2.0</v>
      </c>
      <c r="L6594" s="15">
        <v>2.0</v>
      </c>
      <c r="M6594" s="41">
        <v>42714.0</v>
      </c>
      <c r="N6594" s="40">
        <v>42752.0</v>
      </c>
      <c r="O6594" s="15" t="s">
        <v>1554</v>
      </c>
      <c r="Q6594" s="7"/>
    </row>
    <row r="6595">
      <c r="A6595" s="39" t="s">
        <v>25056</v>
      </c>
      <c r="B6595" s="15">
        <v>1922691.0</v>
      </c>
      <c r="C6595" s="15" t="s">
        <v>25057</v>
      </c>
      <c r="D6595" s="15">
        <v>361943.0</v>
      </c>
      <c r="E6595" s="15" t="s">
        <v>1664</v>
      </c>
      <c r="F6595" s="15" t="s">
        <v>1664</v>
      </c>
      <c r="G6595" s="7">
        <v>2.93</v>
      </c>
      <c r="H6595" s="15" t="s">
        <v>3255</v>
      </c>
      <c r="I6595" s="15" t="s">
        <v>1560</v>
      </c>
      <c r="J6595" s="15" t="s">
        <v>25059</v>
      </c>
      <c r="K6595" s="15">
        <v>2.0</v>
      </c>
      <c r="L6595" s="15">
        <v>2.0</v>
      </c>
      <c r="M6595" s="41">
        <v>42714.0</v>
      </c>
      <c r="N6595" s="40">
        <v>42752.0</v>
      </c>
      <c r="O6595" s="15" t="s">
        <v>1554</v>
      </c>
      <c r="Q6595" s="7"/>
    </row>
    <row r="6596">
      <c r="A6596" s="39" t="s">
        <v>25060</v>
      </c>
      <c r="B6596" s="15">
        <v>1922690.0</v>
      </c>
      <c r="C6596" s="15" t="s">
        <v>25061</v>
      </c>
      <c r="D6596" s="15">
        <v>361944.0</v>
      </c>
      <c r="E6596" s="15" t="s">
        <v>1664</v>
      </c>
      <c r="F6596" s="15" t="s">
        <v>1664</v>
      </c>
      <c r="G6596" s="7">
        <v>3.559</v>
      </c>
      <c r="H6596" s="15" t="s">
        <v>4401</v>
      </c>
      <c r="I6596" s="15" t="s">
        <v>1560</v>
      </c>
      <c r="J6596" s="15" t="s">
        <v>25062</v>
      </c>
      <c r="K6596" s="15">
        <v>2.0</v>
      </c>
      <c r="L6596" s="15">
        <v>2.0</v>
      </c>
      <c r="M6596" s="41">
        <v>42714.0</v>
      </c>
      <c r="N6596" s="40">
        <v>42752.0</v>
      </c>
      <c r="O6596" s="15" t="s">
        <v>1554</v>
      </c>
      <c r="Q6596" s="7"/>
    </row>
    <row r="6597">
      <c r="A6597" s="39" t="s">
        <v>25064</v>
      </c>
      <c r="B6597" s="15">
        <v>1922689.0</v>
      </c>
      <c r="C6597" s="15" t="s">
        <v>25065</v>
      </c>
      <c r="D6597" s="15">
        <v>361945.0</v>
      </c>
      <c r="E6597" s="15" t="s">
        <v>1664</v>
      </c>
      <c r="F6597" s="15" t="s">
        <v>1664</v>
      </c>
      <c r="G6597" s="7">
        <v>4.963</v>
      </c>
      <c r="H6597" s="15">
        <v>43.0</v>
      </c>
      <c r="I6597" s="15" t="s">
        <v>1560</v>
      </c>
      <c r="J6597" s="15" t="s">
        <v>25066</v>
      </c>
      <c r="K6597" s="15">
        <v>2.0</v>
      </c>
      <c r="L6597" s="15">
        <v>2.0</v>
      </c>
      <c r="M6597" s="41">
        <v>42714.0</v>
      </c>
      <c r="N6597" s="40">
        <v>42752.0</v>
      </c>
      <c r="O6597" s="15" t="s">
        <v>1554</v>
      </c>
      <c r="Q6597" s="7"/>
    </row>
    <row r="6598">
      <c r="A6598" s="39" t="s">
        <v>25067</v>
      </c>
      <c r="B6598" s="15">
        <v>1922687.0</v>
      </c>
      <c r="C6598" s="15" t="s">
        <v>25069</v>
      </c>
      <c r="D6598" s="15">
        <v>361946.0</v>
      </c>
      <c r="E6598" s="15" t="s">
        <v>1664</v>
      </c>
      <c r="F6598" s="15" t="s">
        <v>1664</v>
      </c>
      <c r="G6598" s="7">
        <v>3.474</v>
      </c>
      <c r="H6598" s="15" t="s">
        <v>2263</v>
      </c>
      <c r="I6598" s="15" t="s">
        <v>1560</v>
      </c>
      <c r="J6598" s="15" t="s">
        <v>25070</v>
      </c>
      <c r="K6598" s="15">
        <v>2.0</v>
      </c>
      <c r="L6598" s="15">
        <v>2.0</v>
      </c>
      <c r="M6598" s="41">
        <v>42714.0</v>
      </c>
      <c r="N6598" s="40">
        <v>42752.0</v>
      </c>
      <c r="O6598" s="15" t="s">
        <v>1554</v>
      </c>
      <c r="Q6598" s="7"/>
    </row>
    <row r="6599">
      <c r="A6599" s="39" t="s">
        <v>25071</v>
      </c>
      <c r="B6599" s="15">
        <v>1922686.0</v>
      </c>
      <c r="C6599" s="15" t="s">
        <v>25072</v>
      </c>
      <c r="D6599" s="15">
        <v>361947.0</v>
      </c>
      <c r="E6599" s="15" t="s">
        <v>1664</v>
      </c>
      <c r="F6599" s="15" t="s">
        <v>1664</v>
      </c>
      <c r="G6599" s="7">
        <v>3.507</v>
      </c>
      <c r="H6599" s="15" t="s">
        <v>2660</v>
      </c>
      <c r="I6599" s="15" t="s">
        <v>1560</v>
      </c>
      <c r="J6599" s="15" t="s">
        <v>25073</v>
      </c>
      <c r="K6599" s="15">
        <v>2.0</v>
      </c>
      <c r="L6599" s="15">
        <v>2.0</v>
      </c>
      <c r="M6599" s="41">
        <v>42714.0</v>
      </c>
      <c r="N6599" s="40">
        <v>42752.0</v>
      </c>
      <c r="O6599" s="15" t="s">
        <v>1554</v>
      </c>
      <c r="Q6599" s="7"/>
    </row>
    <row r="6600">
      <c r="A6600" s="39" t="s">
        <v>25075</v>
      </c>
      <c r="B6600" s="15">
        <v>1922684.0</v>
      </c>
      <c r="C6600" s="15" t="s">
        <v>25076</v>
      </c>
      <c r="D6600" s="15">
        <v>361948.0</v>
      </c>
      <c r="E6600" s="15" t="s">
        <v>1664</v>
      </c>
      <c r="F6600" s="15" t="s">
        <v>1664</v>
      </c>
      <c r="G6600" s="7">
        <v>3.679</v>
      </c>
      <c r="H6600" s="15">
        <v>48.0</v>
      </c>
      <c r="I6600" s="15" t="s">
        <v>1560</v>
      </c>
      <c r="J6600" s="15" t="s">
        <v>25077</v>
      </c>
      <c r="K6600" s="15">
        <v>2.0</v>
      </c>
      <c r="L6600" s="15">
        <v>2.0</v>
      </c>
      <c r="M6600" s="41">
        <v>42714.0</v>
      </c>
      <c r="N6600" s="40">
        <v>42752.0</v>
      </c>
      <c r="O6600" s="15" t="s">
        <v>1554</v>
      </c>
      <c r="Q6600" s="7"/>
    </row>
    <row r="6601">
      <c r="A6601" s="39" t="s">
        <v>25078</v>
      </c>
      <c r="B6601" s="15">
        <v>1922683.0</v>
      </c>
      <c r="C6601" s="15" t="s">
        <v>25080</v>
      </c>
      <c r="D6601" s="15">
        <v>361949.0</v>
      </c>
      <c r="E6601" s="15" t="s">
        <v>1664</v>
      </c>
      <c r="F6601" s="15" t="s">
        <v>1664</v>
      </c>
      <c r="G6601" s="7">
        <v>3.799</v>
      </c>
      <c r="H6601" s="15" t="s">
        <v>1912</v>
      </c>
      <c r="I6601" s="15" t="s">
        <v>1560</v>
      </c>
      <c r="J6601" s="15" t="s">
        <v>25081</v>
      </c>
      <c r="K6601" s="15">
        <v>2.0</v>
      </c>
      <c r="L6601" s="15">
        <v>2.0</v>
      </c>
      <c r="M6601" s="41">
        <v>42714.0</v>
      </c>
      <c r="N6601" s="40">
        <v>42752.0</v>
      </c>
      <c r="O6601" s="15" t="s">
        <v>1554</v>
      </c>
      <c r="Q6601" s="7"/>
    </row>
    <row r="6602">
      <c r="A6602" s="39" t="s">
        <v>25082</v>
      </c>
      <c r="B6602" s="15">
        <v>1919083.0</v>
      </c>
      <c r="C6602" s="15" t="s">
        <v>25083</v>
      </c>
      <c r="D6602" s="15">
        <v>361950.0</v>
      </c>
      <c r="E6602" s="15" t="s">
        <v>1557</v>
      </c>
      <c r="F6602" s="15" t="s">
        <v>1827</v>
      </c>
      <c r="G6602" s="7">
        <v>224.064</v>
      </c>
      <c r="H6602" s="15" t="s">
        <v>1772</v>
      </c>
      <c r="I6602" s="15" t="s">
        <v>1686</v>
      </c>
      <c r="J6602" s="15" t="s">
        <v>25084</v>
      </c>
      <c r="K6602" s="15">
        <v>173.0</v>
      </c>
      <c r="L6602" s="15">
        <v>173.0</v>
      </c>
      <c r="M6602" s="40">
        <v>42746.0</v>
      </c>
      <c r="N6602" s="40">
        <v>42752.0</v>
      </c>
      <c r="O6602" s="15" t="s">
        <v>1554</v>
      </c>
      <c r="Q6602" s="7"/>
    </row>
    <row r="6603">
      <c r="A6603" s="39" t="s">
        <v>25086</v>
      </c>
      <c r="B6603" s="15">
        <v>1734441.0</v>
      </c>
      <c r="C6603" s="15" t="s">
        <v>25087</v>
      </c>
      <c r="D6603" s="15">
        <v>361951.0</v>
      </c>
      <c r="E6603" s="15" t="s">
        <v>1548</v>
      </c>
      <c r="F6603" s="15" t="s">
        <v>4820</v>
      </c>
      <c r="G6603" s="7">
        <v>15.099</v>
      </c>
      <c r="H6603" s="15" t="s">
        <v>2271</v>
      </c>
      <c r="I6603" s="15" t="s">
        <v>1686</v>
      </c>
      <c r="J6603" s="15" t="s">
        <v>25088</v>
      </c>
      <c r="K6603" s="15">
        <v>10.0</v>
      </c>
      <c r="L6603" s="15">
        <v>10.0</v>
      </c>
      <c r="M6603" s="40">
        <v>42746.0</v>
      </c>
      <c r="N6603" s="40">
        <v>42752.0</v>
      </c>
      <c r="O6603" s="15" t="s">
        <v>1554</v>
      </c>
      <c r="Q6603" s="7"/>
    </row>
    <row r="6604">
      <c r="A6604" s="39" t="s">
        <v>25089</v>
      </c>
      <c r="B6604" s="15">
        <v>1508224.0</v>
      </c>
      <c r="C6604" s="15" t="s">
        <v>25090</v>
      </c>
      <c r="D6604" s="15">
        <v>361952.0</v>
      </c>
      <c r="E6604" s="15" t="s">
        <v>1548</v>
      </c>
      <c r="F6604" s="15" t="s">
        <v>1684</v>
      </c>
      <c r="G6604" s="7">
        <v>28.763</v>
      </c>
      <c r="H6604" s="15" t="s">
        <v>1902</v>
      </c>
      <c r="I6604" s="15" t="s">
        <v>1686</v>
      </c>
      <c r="J6604" s="15" t="s">
        <v>25092</v>
      </c>
      <c r="K6604" s="15">
        <v>5.0</v>
      </c>
      <c r="L6604" s="15">
        <v>5.0</v>
      </c>
      <c r="M6604" s="41">
        <v>41942.0</v>
      </c>
      <c r="N6604" s="40">
        <v>42752.0</v>
      </c>
      <c r="O6604" s="15" t="s">
        <v>1554</v>
      </c>
      <c r="Q6604" s="7"/>
    </row>
    <row r="6605">
      <c r="A6605" s="39" t="s">
        <v>25093</v>
      </c>
      <c r="B6605" s="15">
        <v>1922752.0</v>
      </c>
      <c r="C6605" s="15" t="s">
        <v>25094</v>
      </c>
      <c r="D6605" s="15">
        <v>361953.0</v>
      </c>
      <c r="E6605" s="15" t="s">
        <v>1664</v>
      </c>
      <c r="F6605" s="15" t="s">
        <v>1664</v>
      </c>
      <c r="G6605" s="7">
        <v>4.692</v>
      </c>
      <c r="H6605" s="15" t="s">
        <v>4108</v>
      </c>
      <c r="I6605" s="15" t="s">
        <v>1560</v>
      </c>
      <c r="J6605" s="15" t="s">
        <v>25095</v>
      </c>
      <c r="K6605" s="15">
        <v>2.0</v>
      </c>
      <c r="L6605" s="15">
        <v>2.0</v>
      </c>
      <c r="M6605" s="41">
        <v>42714.0</v>
      </c>
      <c r="N6605" s="40">
        <v>42752.0</v>
      </c>
      <c r="O6605" s="15" t="s">
        <v>1554</v>
      </c>
      <c r="Q6605" s="7"/>
    </row>
    <row r="6606">
      <c r="A6606" s="39" t="s">
        <v>25097</v>
      </c>
      <c r="B6606" s="15">
        <v>1922751.0</v>
      </c>
      <c r="C6606" s="15" t="s">
        <v>25098</v>
      </c>
      <c r="D6606" s="15">
        <v>361954.0</v>
      </c>
      <c r="E6606" s="15" t="s">
        <v>1664</v>
      </c>
      <c r="F6606" s="15" t="s">
        <v>1664</v>
      </c>
      <c r="G6606" s="7">
        <v>4.716</v>
      </c>
      <c r="H6606" s="15" t="s">
        <v>2996</v>
      </c>
      <c r="I6606" s="15" t="s">
        <v>1560</v>
      </c>
      <c r="J6606" s="15" t="s">
        <v>25099</v>
      </c>
      <c r="K6606" s="15">
        <v>2.0</v>
      </c>
      <c r="L6606" s="15">
        <v>2.0</v>
      </c>
      <c r="M6606" s="41">
        <v>42714.0</v>
      </c>
      <c r="N6606" s="40">
        <v>42752.0</v>
      </c>
      <c r="O6606" s="15" t="s">
        <v>1554</v>
      </c>
      <c r="Q6606" s="7"/>
    </row>
    <row r="6607">
      <c r="A6607" s="39" t="s">
        <v>25100</v>
      </c>
      <c r="B6607" s="15">
        <v>1922750.0</v>
      </c>
      <c r="C6607" s="15" t="s">
        <v>25101</v>
      </c>
      <c r="D6607" s="15">
        <v>361955.0</v>
      </c>
      <c r="E6607" s="15" t="s">
        <v>1664</v>
      </c>
      <c r="F6607" s="15" t="s">
        <v>1664</v>
      </c>
      <c r="G6607" s="7">
        <v>4.57</v>
      </c>
      <c r="H6607" s="15">
        <v>58.0</v>
      </c>
      <c r="I6607" s="15" t="s">
        <v>1560</v>
      </c>
      <c r="J6607" s="15" t="s">
        <v>25102</v>
      </c>
      <c r="K6607" s="15">
        <v>2.0</v>
      </c>
      <c r="L6607" s="15">
        <v>2.0</v>
      </c>
      <c r="M6607" s="41">
        <v>42714.0</v>
      </c>
      <c r="N6607" s="40">
        <v>42752.0</v>
      </c>
      <c r="O6607" s="15" t="s">
        <v>1554</v>
      </c>
      <c r="Q6607" s="7"/>
    </row>
    <row r="6608">
      <c r="A6608" s="39" t="s">
        <v>25103</v>
      </c>
      <c r="B6608" s="15">
        <v>1922749.0</v>
      </c>
      <c r="C6608" s="15" t="s">
        <v>25104</v>
      </c>
      <c r="D6608" s="15">
        <v>361956.0</v>
      </c>
      <c r="E6608" s="15" t="s">
        <v>1664</v>
      </c>
      <c r="F6608" s="15" t="s">
        <v>1664</v>
      </c>
      <c r="G6608" s="7">
        <v>4.13</v>
      </c>
      <c r="H6608" s="15">
        <v>61.0</v>
      </c>
      <c r="I6608" s="15" t="s">
        <v>1560</v>
      </c>
      <c r="J6608" s="15" t="s">
        <v>25106</v>
      </c>
      <c r="K6608" s="15">
        <v>2.0</v>
      </c>
      <c r="L6608" s="15">
        <v>2.0</v>
      </c>
      <c r="M6608" s="41">
        <v>42714.0</v>
      </c>
      <c r="N6608" s="40">
        <v>42752.0</v>
      </c>
      <c r="O6608" s="15" t="s">
        <v>1554</v>
      </c>
      <c r="Q6608" s="7"/>
    </row>
    <row r="6609">
      <c r="A6609" s="39" t="s">
        <v>25107</v>
      </c>
      <c r="B6609" s="15">
        <v>1922748.0</v>
      </c>
      <c r="C6609" s="15" t="s">
        <v>25108</v>
      </c>
      <c r="D6609" s="15">
        <v>361957.0</v>
      </c>
      <c r="E6609" s="15" t="s">
        <v>1664</v>
      </c>
      <c r="F6609" s="15" t="s">
        <v>1664</v>
      </c>
      <c r="G6609" s="7">
        <v>5.094</v>
      </c>
      <c r="H6609" s="15" t="s">
        <v>13429</v>
      </c>
      <c r="I6609" s="15" t="s">
        <v>1560</v>
      </c>
      <c r="J6609" s="15" t="s">
        <v>25109</v>
      </c>
      <c r="K6609" s="15">
        <v>3.0</v>
      </c>
      <c r="L6609" s="15">
        <v>3.0</v>
      </c>
      <c r="M6609" s="41">
        <v>42714.0</v>
      </c>
      <c r="N6609" s="40">
        <v>42752.0</v>
      </c>
      <c r="O6609" s="15" t="s">
        <v>1554</v>
      </c>
      <c r="Q6609" s="7"/>
    </row>
    <row r="6610">
      <c r="A6610" s="39" t="s">
        <v>25110</v>
      </c>
      <c r="B6610" s="15">
        <v>1922746.0</v>
      </c>
      <c r="C6610" s="15" t="s">
        <v>25111</v>
      </c>
      <c r="D6610" s="15">
        <v>361958.0</v>
      </c>
      <c r="E6610" s="15" t="s">
        <v>1664</v>
      </c>
      <c r="F6610" s="15" t="s">
        <v>1664</v>
      </c>
      <c r="G6610" s="7">
        <v>3.714</v>
      </c>
      <c r="H6610" s="15" t="s">
        <v>2241</v>
      </c>
      <c r="I6610" s="15" t="s">
        <v>1560</v>
      </c>
      <c r="J6610" s="15" t="s">
        <v>25112</v>
      </c>
      <c r="K6610" s="15">
        <v>1.0</v>
      </c>
      <c r="L6610" s="15">
        <v>1.0</v>
      </c>
      <c r="M6610" s="41">
        <v>42714.0</v>
      </c>
      <c r="N6610" s="40">
        <v>42752.0</v>
      </c>
      <c r="O6610" s="15" t="s">
        <v>1554</v>
      </c>
      <c r="Q6610" s="7"/>
    </row>
    <row r="6611">
      <c r="A6611" s="39" t="s">
        <v>25113</v>
      </c>
      <c r="B6611" s="15">
        <v>1922745.0</v>
      </c>
      <c r="C6611" s="15" t="s">
        <v>25114</v>
      </c>
      <c r="D6611" s="15">
        <v>361959.0</v>
      </c>
      <c r="E6611" s="15" t="s">
        <v>1664</v>
      </c>
      <c r="F6611" s="15" t="s">
        <v>1664</v>
      </c>
      <c r="G6611" s="7">
        <v>4.581</v>
      </c>
      <c r="H6611" s="15" t="s">
        <v>7956</v>
      </c>
      <c r="I6611" s="15" t="s">
        <v>1560</v>
      </c>
      <c r="J6611" s="15" t="s">
        <v>25115</v>
      </c>
      <c r="K6611" s="15">
        <v>3.0</v>
      </c>
      <c r="L6611" s="15">
        <v>3.0</v>
      </c>
      <c r="M6611" s="41">
        <v>42714.0</v>
      </c>
      <c r="N6611" s="40">
        <v>42752.0</v>
      </c>
      <c r="O6611" s="15" t="s">
        <v>1554</v>
      </c>
      <c r="Q6611" s="7"/>
    </row>
    <row r="6612">
      <c r="A6612" s="39" t="s">
        <v>25116</v>
      </c>
      <c r="B6612" s="15">
        <v>1922744.0</v>
      </c>
      <c r="C6612" s="15" t="s">
        <v>25117</v>
      </c>
      <c r="D6612" s="15">
        <v>361960.0</v>
      </c>
      <c r="E6612" s="15" t="s">
        <v>1664</v>
      </c>
      <c r="F6612" s="15" t="s">
        <v>1664</v>
      </c>
      <c r="G6612" s="7">
        <v>4.423</v>
      </c>
      <c r="H6612" s="15" t="s">
        <v>2361</v>
      </c>
      <c r="I6612" s="15" t="s">
        <v>1560</v>
      </c>
      <c r="J6612" s="15" t="s">
        <v>25118</v>
      </c>
      <c r="K6612" s="15">
        <v>2.0</v>
      </c>
      <c r="L6612" s="15">
        <v>2.0</v>
      </c>
      <c r="M6612" s="41">
        <v>42714.0</v>
      </c>
      <c r="N6612" s="40">
        <v>42752.0</v>
      </c>
      <c r="O6612" s="15" t="s">
        <v>1554</v>
      </c>
      <c r="Q6612" s="7"/>
    </row>
    <row r="6613">
      <c r="A6613" s="39" t="s">
        <v>25119</v>
      </c>
      <c r="B6613" s="15">
        <v>1922743.0</v>
      </c>
      <c r="C6613" s="15" t="s">
        <v>25120</v>
      </c>
      <c r="D6613" s="15">
        <v>361961.0</v>
      </c>
      <c r="E6613" s="15" t="s">
        <v>1664</v>
      </c>
      <c r="F6613" s="15" t="s">
        <v>1664</v>
      </c>
      <c r="G6613" s="7">
        <v>4.74</v>
      </c>
      <c r="H6613" s="15" t="s">
        <v>12937</v>
      </c>
      <c r="I6613" s="15" t="s">
        <v>1560</v>
      </c>
      <c r="J6613" s="15" t="s">
        <v>25121</v>
      </c>
      <c r="K6613" s="15">
        <v>3.0</v>
      </c>
      <c r="L6613" s="15">
        <v>3.0</v>
      </c>
      <c r="M6613" s="41">
        <v>42714.0</v>
      </c>
      <c r="N6613" s="40">
        <v>42752.0</v>
      </c>
      <c r="O6613" s="15" t="s">
        <v>1554</v>
      </c>
      <c r="Q6613" s="7"/>
    </row>
    <row r="6614">
      <c r="A6614" s="39" t="s">
        <v>25123</v>
      </c>
      <c r="B6614" s="15">
        <v>1922742.0</v>
      </c>
      <c r="C6614" s="15" t="s">
        <v>25124</v>
      </c>
      <c r="D6614" s="15">
        <v>361962.0</v>
      </c>
      <c r="E6614" s="15" t="s">
        <v>1664</v>
      </c>
      <c r="F6614" s="15" t="s">
        <v>1664</v>
      </c>
      <c r="G6614" s="7">
        <v>4.629</v>
      </c>
      <c r="H6614" s="15" t="s">
        <v>2089</v>
      </c>
      <c r="I6614" s="15" t="s">
        <v>1560</v>
      </c>
      <c r="J6614" s="15" t="s">
        <v>25125</v>
      </c>
      <c r="K6614" s="15">
        <v>3.0</v>
      </c>
      <c r="L6614" s="15">
        <v>3.0</v>
      </c>
      <c r="M6614" s="41">
        <v>42714.0</v>
      </c>
      <c r="N6614" s="40">
        <v>42752.0</v>
      </c>
      <c r="O6614" s="15" t="s">
        <v>1554</v>
      </c>
      <c r="Q6614" s="7"/>
    </row>
    <row r="6615">
      <c r="A6615" s="39" t="s">
        <v>25126</v>
      </c>
      <c r="B6615" s="15">
        <v>1922741.0</v>
      </c>
      <c r="C6615" s="15" t="s">
        <v>25127</v>
      </c>
      <c r="D6615" s="15">
        <v>361963.0</v>
      </c>
      <c r="E6615" s="15" t="s">
        <v>1664</v>
      </c>
      <c r="F6615" s="15" t="s">
        <v>1664</v>
      </c>
      <c r="G6615" s="7">
        <v>4.632</v>
      </c>
      <c r="H6615" s="15" t="s">
        <v>5199</v>
      </c>
      <c r="I6615" s="15" t="s">
        <v>1560</v>
      </c>
      <c r="J6615" s="15" t="s">
        <v>25128</v>
      </c>
      <c r="K6615" s="15">
        <v>2.0</v>
      </c>
      <c r="L6615" s="15">
        <v>2.0</v>
      </c>
      <c r="M6615" s="41">
        <v>42714.0</v>
      </c>
      <c r="N6615" s="40">
        <v>42752.0</v>
      </c>
      <c r="O6615" s="15" t="s">
        <v>1554</v>
      </c>
      <c r="Q6615" s="7"/>
    </row>
    <row r="6616">
      <c r="A6616" s="39" t="s">
        <v>25129</v>
      </c>
      <c r="B6616" s="15">
        <v>1922740.0</v>
      </c>
      <c r="C6616" s="15" t="s">
        <v>25130</v>
      </c>
      <c r="D6616" s="15">
        <v>361964.0</v>
      </c>
      <c r="E6616" s="15" t="s">
        <v>1664</v>
      </c>
      <c r="F6616" s="15" t="s">
        <v>1664</v>
      </c>
      <c r="G6616" s="7">
        <v>4.971</v>
      </c>
      <c r="H6616" s="15" t="s">
        <v>3055</v>
      </c>
      <c r="I6616" s="15" t="s">
        <v>1560</v>
      </c>
      <c r="J6616" s="15" t="s">
        <v>25132</v>
      </c>
      <c r="K6616" s="15">
        <v>2.0</v>
      </c>
      <c r="L6616" s="15">
        <v>2.0</v>
      </c>
      <c r="M6616" s="41">
        <v>42714.0</v>
      </c>
      <c r="N6616" s="40">
        <v>42752.0</v>
      </c>
      <c r="O6616" s="15" t="s">
        <v>1554</v>
      </c>
      <c r="Q6616" s="7"/>
    </row>
    <row r="6617">
      <c r="A6617" s="39" t="s">
        <v>25133</v>
      </c>
      <c r="B6617" s="15">
        <v>1922738.0</v>
      </c>
      <c r="C6617" s="15" t="s">
        <v>25134</v>
      </c>
      <c r="D6617" s="15">
        <v>361965.0</v>
      </c>
      <c r="E6617" s="15" t="s">
        <v>1664</v>
      </c>
      <c r="F6617" s="15" t="s">
        <v>1664</v>
      </c>
      <c r="G6617" s="7">
        <v>43195.0</v>
      </c>
      <c r="H6617" s="15" t="s">
        <v>2098</v>
      </c>
      <c r="I6617" s="15" t="s">
        <v>1560</v>
      </c>
      <c r="J6617" s="15" t="s">
        <v>25135</v>
      </c>
      <c r="K6617" s="15">
        <v>2.0</v>
      </c>
      <c r="L6617" s="15">
        <v>2.0</v>
      </c>
      <c r="M6617" s="41">
        <v>42714.0</v>
      </c>
      <c r="N6617" s="40">
        <v>42752.0</v>
      </c>
      <c r="O6617" s="15" t="s">
        <v>1554</v>
      </c>
      <c r="Q6617" s="7"/>
    </row>
    <row r="6618">
      <c r="A6618" s="39" t="s">
        <v>25136</v>
      </c>
      <c r="B6618" s="15">
        <v>1922737.0</v>
      </c>
      <c r="C6618" s="15" t="s">
        <v>25137</v>
      </c>
      <c r="D6618" s="15">
        <v>361966.0</v>
      </c>
      <c r="E6618" s="15" t="s">
        <v>1664</v>
      </c>
      <c r="F6618" s="15" t="s">
        <v>1664</v>
      </c>
      <c r="G6618" s="7">
        <v>4.755</v>
      </c>
      <c r="H6618" s="15" t="s">
        <v>3538</v>
      </c>
      <c r="I6618" s="15" t="s">
        <v>1560</v>
      </c>
      <c r="J6618" s="15" t="s">
        <v>25139</v>
      </c>
      <c r="K6618" s="15">
        <v>2.0</v>
      </c>
      <c r="L6618" s="15">
        <v>2.0</v>
      </c>
      <c r="M6618" s="41">
        <v>42714.0</v>
      </c>
      <c r="N6618" s="40">
        <v>42752.0</v>
      </c>
      <c r="O6618" s="15" t="s">
        <v>1554</v>
      </c>
      <c r="Q6618" s="7"/>
    </row>
    <row r="6619">
      <c r="A6619" s="39" t="s">
        <v>25140</v>
      </c>
      <c r="B6619" s="15">
        <v>1922736.0</v>
      </c>
      <c r="C6619" s="15" t="s">
        <v>25141</v>
      </c>
      <c r="D6619" s="15">
        <v>361967.0</v>
      </c>
      <c r="E6619" s="15" t="s">
        <v>1664</v>
      </c>
      <c r="F6619" s="15" t="s">
        <v>1664</v>
      </c>
      <c r="G6619" s="7">
        <v>6.381</v>
      </c>
      <c r="H6619" s="15" t="s">
        <v>1705</v>
      </c>
      <c r="I6619" s="15" t="s">
        <v>1560</v>
      </c>
      <c r="J6619" s="15" t="s">
        <v>25142</v>
      </c>
      <c r="K6619" s="15">
        <v>1.0</v>
      </c>
      <c r="L6619" s="15">
        <v>1.0</v>
      </c>
      <c r="M6619" s="41">
        <v>42714.0</v>
      </c>
      <c r="N6619" s="40">
        <v>42752.0</v>
      </c>
      <c r="O6619" s="15" t="s">
        <v>1554</v>
      </c>
      <c r="Q6619" s="7"/>
    </row>
    <row r="6620">
      <c r="A6620" s="39" t="s">
        <v>25143</v>
      </c>
      <c r="B6620" s="15">
        <v>1922734.0</v>
      </c>
      <c r="C6620" s="15" t="s">
        <v>25144</v>
      </c>
      <c r="D6620" s="15">
        <v>361968.0</v>
      </c>
      <c r="E6620" s="15" t="s">
        <v>1664</v>
      </c>
      <c r="F6620" s="15" t="s">
        <v>1664</v>
      </c>
      <c r="G6620" s="7">
        <v>6.618</v>
      </c>
      <c r="H6620" s="15" t="s">
        <v>11674</v>
      </c>
      <c r="I6620" s="15" t="s">
        <v>1560</v>
      </c>
      <c r="J6620" s="15" t="s">
        <v>25145</v>
      </c>
      <c r="K6620" s="15">
        <v>2.0</v>
      </c>
      <c r="L6620" s="15">
        <v>2.0</v>
      </c>
      <c r="M6620" s="41">
        <v>42714.0</v>
      </c>
      <c r="N6620" s="40">
        <v>42752.0</v>
      </c>
      <c r="O6620" s="15" t="s">
        <v>1554</v>
      </c>
      <c r="Q6620" s="7"/>
    </row>
    <row r="6621">
      <c r="A6621" s="39" t="s">
        <v>25147</v>
      </c>
      <c r="B6621" s="15">
        <v>1922730.0</v>
      </c>
      <c r="C6621" s="15" t="s">
        <v>25148</v>
      </c>
      <c r="D6621" s="15">
        <v>361969.0</v>
      </c>
      <c r="E6621" s="15" t="s">
        <v>1664</v>
      </c>
      <c r="F6621" s="15" t="s">
        <v>1664</v>
      </c>
      <c r="G6621" s="7">
        <v>4.382</v>
      </c>
      <c r="H6621" s="15" t="s">
        <v>1607</v>
      </c>
      <c r="I6621" s="15" t="s">
        <v>1560</v>
      </c>
      <c r="J6621" s="15" t="s">
        <v>25149</v>
      </c>
      <c r="K6621" s="15">
        <v>3.0</v>
      </c>
      <c r="L6621" s="15">
        <v>3.0</v>
      </c>
      <c r="M6621" s="41">
        <v>42714.0</v>
      </c>
      <c r="N6621" s="40">
        <v>42752.0</v>
      </c>
      <c r="O6621" s="15" t="s">
        <v>1554</v>
      </c>
      <c r="Q6621" s="7"/>
    </row>
    <row r="6622">
      <c r="A6622" s="39" t="s">
        <v>25150</v>
      </c>
      <c r="B6622" s="15">
        <v>1922729.0</v>
      </c>
      <c r="C6622" s="15" t="s">
        <v>25151</v>
      </c>
      <c r="D6622" s="15">
        <v>361970.0</v>
      </c>
      <c r="E6622" s="15" t="s">
        <v>1664</v>
      </c>
      <c r="F6622" s="15" t="s">
        <v>1664</v>
      </c>
      <c r="G6622" s="7">
        <v>3.343</v>
      </c>
      <c r="H6622" s="15" t="s">
        <v>4237</v>
      </c>
      <c r="I6622" s="15" t="s">
        <v>1560</v>
      </c>
      <c r="J6622" s="15" t="s">
        <v>25152</v>
      </c>
      <c r="K6622" s="15">
        <v>2.0</v>
      </c>
      <c r="L6622" s="15">
        <v>2.0</v>
      </c>
      <c r="M6622" s="41">
        <v>42714.0</v>
      </c>
      <c r="N6622" s="40">
        <v>42752.0</v>
      </c>
      <c r="O6622" s="15" t="s">
        <v>1554</v>
      </c>
      <c r="Q6622" s="7"/>
    </row>
    <row r="6623">
      <c r="A6623" s="39" t="s">
        <v>25153</v>
      </c>
      <c r="B6623" s="15">
        <v>1922728.0</v>
      </c>
      <c r="C6623" s="15" t="s">
        <v>25154</v>
      </c>
      <c r="D6623" s="15">
        <v>361971.0</v>
      </c>
      <c r="E6623" s="15" t="s">
        <v>1664</v>
      </c>
      <c r="F6623" s="15" t="s">
        <v>1664</v>
      </c>
      <c r="G6623" s="7">
        <v>3.891</v>
      </c>
      <c r="H6623" s="15" t="s">
        <v>4776</v>
      </c>
      <c r="I6623" s="15" t="s">
        <v>1560</v>
      </c>
      <c r="J6623" s="15" t="s">
        <v>25155</v>
      </c>
      <c r="K6623" s="15">
        <v>4.0</v>
      </c>
      <c r="L6623" s="15">
        <v>4.0</v>
      </c>
      <c r="M6623" s="41">
        <v>42714.0</v>
      </c>
      <c r="N6623" s="40">
        <v>42752.0</v>
      </c>
      <c r="O6623" s="15" t="s">
        <v>1554</v>
      </c>
      <c r="Q6623" s="7"/>
    </row>
    <row r="6624">
      <c r="A6624" s="39" t="s">
        <v>25157</v>
      </c>
      <c r="B6624" s="15">
        <v>1922726.0</v>
      </c>
      <c r="C6624" s="15" t="s">
        <v>25158</v>
      </c>
      <c r="D6624" s="15">
        <v>361972.0</v>
      </c>
      <c r="E6624" s="15" t="s">
        <v>1664</v>
      </c>
      <c r="F6624" s="15" t="s">
        <v>1664</v>
      </c>
      <c r="G6624" s="7">
        <v>3.611</v>
      </c>
      <c r="H6624" s="15" t="s">
        <v>3297</v>
      </c>
      <c r="I6624" s="15" t="s">
        <v>1560</v>
      </c>
      <c r="J6624" s="15" t="s">
        <v>25159</v>
      </c>
      <c r="K6624" s="15">
        <v>2.0</v>
      </c>
      <c r="L6624" s="15">
        <v>2.0</v>
      </c>
      <c r="M6624" s="41">
        <v>42714.0</v>
      </c>
      <c r="N6624" s="40">
        <v>42752.0</v>
      </c>
      <c r="O6624" s="15" t="s">
        <v>1554</v>
      </c>
      <c r="Q6624" s="7"/>
    </row>
    <row r="6625">
      <c r="A6625" s="39" t="s">
        <v>25160</v>
      </c>
      <c r="B6625" s="15">
        <v>1922724.0</v>
      </c>
      <c r="C6625" s="15" t="s">
        <v>25161</v>
      </c>
      <c r="D6625" s="15">
        <v>361973.0</v>
      </c>
      <c r="E6625" s="15" t="s">
        <v>1664</v>
      </c>
      <c r="F6625" s="15" t="s">
        <v>1664</v>
      </c>
      <c r="G6625" s="7">
        <v>5.029</v>
      </c>
      <c r="H6625" s="15" t="s">
        <v>1782</v>
      </c>
      <c r="I6625" s="15" t="s">
        <v>1560</v>
      </c>
      <c r="J6625" s="15" t="s">
        <v>25162</v>
      </c>
      <c r="K6625" s="15">
        <v>3.0</v>
      </c>
      <c r="L6625" s="15">
        <v>3.0</v>
      </c>
      <c r="M6625" s="41">
        <v>42714.0</v>
      </c>
      <c r="N6625" s="40">
        <v>42752.0</v>
      </c>
      <c r="O6625" s="15" t="s">
        <v>1554</v>
      </c>
      <c r="Q6625" s="7"/>
    </row>
    <row r="6626">
      <c r="A6626" s="39" t="s">
        <v>25163</v>
      </c>
      <c r="B6626" s="15">
        <v>1922723.0</v>
      </c>
      <c r="C6626" s="15" t="s">
        <v>25165</v>
      </c>
      <c r="D6626" s="15">
        <v>361974.0</v>
      </c>
      <c r="E6626" s="15" t="s">
        <v>1664</v>
      </c>
      <c r="F6626" s="15" t="s">
        <v>1664</v>
      </c>
      <c r="G6626" s="7">
        <v>3.737</v>
      </c>
      <c r="H6626" s="15" t="s">
        <v>3255</v>
      </c>
      <c r="I6626" s="15" t="s">
        <v>1560</v>
      </c>
      <c r="J6626" s="15" t="s">
        <v>25166</v>
      </c>
      <c r="K6626" s="15">
        <v>2.0</v>
      </c>
      <c r="L6626" s="15">
        <v>2.0</v>
      </c>
      <c r="M6626" s="41">
        <v>42714.0</v>
      </c>
      <c r="N6626" s="40">
        <v>42752.0</v>
      </c>
      <c r="O6626" s="15" t="s">
        <v>1554</v>
      </c>
      <c r="Q6626" s="7"/>
    </row>
    <row r="6627">
      <c r="A6627" s="39" t="s">
        <v>25167</v>
      </c>
      <c r="B6627" s="15">
        <v>1922721.0</v>
      </c>
      <c r="C6627" s="15" t="s">
        <v>25168</v>
      </c>
      <c r="D6627" s="15">
        <v>361975.0</v>
      </c>
      <c r="E6627" s="15" t="s">
        <v>1664</v>
      </c>
      <c r="F6627" s="15" t="s">
        <v>1664</v>
      </c>
      <c r="G6627" s="7">
        <v>5.44</v>
      </c>
      <c r="H6627" s="15" t="s">
        <v>1792</v>
      </c>
      <c r="I6627" s="15" t="s">
        <v>1560</v>
      </c>
      <c r="J6627" s="15" t="s">
        <v>25169</v>
      </c>
      <c r="K6627" s="15">
        <v>2.0</v>
      </c>
      <c r="L6627" s="15">
        <v>2.0</v>
      </c>
      <c r="M6627" s="41">
        <v>42714.0</v>
      </c>
      <c r="N6627" s="40">
        <v>42752.0</v>
      </c>
      <c r="O6627" s="15" t="s">
        <v>1554</v>
      </c>
      <c r="Q6627" s="7"/>
    </row>
    <row r="6628">
      <c r="A6628" s="39" t="s">
        <v>25171</v>
      </c>
      <c r="B6628" s="15">
        <v>1922720.0</v>
      </c>
      <c r="C6628" s="15" t="s">
        <v>25172</v>
      </c>
      <c r="D6628" s="15">
        <v>361976.0</v>
      </c>
      <c r="E6628" s="15" t="s">
        <v>1664</v>
      </c>
      <c r="F6628" s="15" t="s">
        <v>1664</v>
      </c>
      <c r="G6628" s="7">
        <v>5.363</v>
      </c>
      <c r="H6628" s="15" t="s">
        <v>2361</v>
      </c>
      <c r="I6628" s="15" t="s">
        <v>1560</v>
      </c>
      <c r="J6628" s="15" t="s">
        <v>25173</v>
      </c>
      <c r="K6628" s="15">
        <v>2.0</v>
      </c>
      <c r="L6628" s="15">
        <v>2.0</v>
      </c>
      <c r="M6628" s="41">
        <v>42714.0</v>
      </c>
      <c r="N6628" s="40">
        <v>42752.0</v>
      </c>
      <c r="O6628" s="15" t="s">
        <v>1554</v>
      </c>
      <c r="Q6628" s="7"/>
    </row>
    <row r="6629">
      <c r="A6629" s="39" t="s">
        <v>25174</v>
      </c>
      <c r="B6629" s="15">
        <v>1922719.0</v>
      </c>
      <c r="C6629" s="15" t="s">
        <v>25175</v>
      </c>
      <c r="D6629" s="15">
        <v>361977.0</v>
      </c>
      <c r="E6629" s="15" t="s">
        <v>1664</v>
      </c>
      <c r="F6629" s="15" t="s">
        <v>1664</v>
      </c>
      <c r="G6629" s="7">
        <v>4.822</v>
      </c>
      <c r="H6629" s="15" t="s">
        <v>1962</v>
      </c>
      <c r="I6629" s="15" t="s">
        <v>1560</v>
      </c>
      <c r="J6629" s="15" t="s">
        <v>25177</v>
      </c>
      <c r="K6629" s="15">
        <v>3.0</v>
      </c>
      <c r="L6629" s="15">
        <v>3.0</v>
      </c>
      <c r="M6629" s="41">
        <v>42714.0</v>
      </c>
      <c r="N6629" s="40">
        <v>42752.0</v>
      </c>
      <c r="O6629" s="15" t="s">
        <v>1554</v>
      </c>
      <c r="Q6629" s="7"/>
    </row>
    <row r="6630">
      <c r="A6630" s="39" t="s">
        <v>25178</v>
      </c>
      <c r="B6630" s="15">
        <v>1922718.0</v>
      </c>
      <c r="C6630" s="15" t="s">
        <v>25179</v>
      </c>
      <c r="D6630" s="15">
        <v>361978.0</v>
      </c>
      <c r="E6630" s="15" t="s">
        <v>1664</v>
      </c>
      <c r="F6630" s="15" t="s">
        <v>1664</v>
      </c>
      <c r="G6630" s="7">
        <v>3.325</v>
      </c>
      <c r="H6630" s="15" t="s">
        <v>1782</v>
      </c>
      <c r="I6630" s="15" t="s">
        <v>1560</v>
      </c>
      <c r="J6630" s="15" t="s">
        <v>25181</v>
      </c>
      <c r="K6630" s="15">
        <v>2.0</v>
      </c>
      <c r="L6630" s="15">
        <v>2.0</v>
      </c>
      <c r="M6630" s="41">
        <v>42714.0</v>
      </c>
      <c r="N6630" s="40">
        <v>42752.0</v>
      </c>
      <c r="O6630" s="15" t="s">
        <v>1554</v>
      </c>
      <c r="Q6630" s="7"/>
    </row>
    <row r="6631">
      <c r="A6631" s="39" t="s">
        <v>25182</v>
      </c>
      <c r="B6631" s="15">
        <v>1922717.0</v>
      </c>
      <c r="C6631" s="15" t="s">
        <v>25183</v>
      </c>
      <c r="D6631" s="15">
        <v>361979.0</v>
      </c>
      <c r="E6631" s="15" t="s">
        <v>1664</v>
      </c>
      <c r="F6631" s="15" t="s">
        <v>1664</v>
      </c>
      <c r="G6631" s="7">
        <v>5.16</v>
      </c>
      <c r="H6631" s="15" t="s">
        <v>3882</v>
      </c>
      <c r="I6631" s="15" t="s">
        <v>1560</v>
      </c>
      <c r="J6631" s="15" t="s">
        <v>25184</v>
      </c>
      <c r="K6631" s="15">
        <v>1.0</v>
      </c>
      <c r="L6631" s="15">
        <v>1.0</v>
      </c>
      <c r="M6631" s="41">
        <v>42714.0</v>
      </c>
      <c r="N6631" s="40">
        <v>42752.0</v>
      </c>
      <c r="O6631" s="15" t="s">
        <v>1554</v>
      </c>
      <c r="Q6631" s="7"/>
    </row>
    <row r="6632">
      <c r="A6632" s="39" t="s">
        <v>25186</v>
      </c>
      <c r="B6632" s="15">
        <v>1922716.0</v>
      </c>
      <c r="C6632" s="15" t="s">
        <v>25187</v>
      </c>
      <c r="D6632" s="15">
        <v>361980.0</v>
      </c>
      <c r="E6632" s="15" t="s">
        <v>1664</v>
      </c>
      <c r="F6632" s="15" t="s">
        <v>1664</v>
      </c>
      <c r="G6632" s="7">
        <v>4.473</v>
      </c>
      <c r="H6632" s="15" t="s">
        <v>2316</v>
      </c>
      <c r="I6632" s="15" t="s">
        <v>1560</v>
      </c>
      <c r="J6632" s="15" t="s">
        <v>25188</v>
      </c>
      <c r="K6632" s="15">
        <v>3.0</v>
      </c>
      <c r="L6632" s="15">
        <v>3.0</v>
      </c>
      <c r="M6632" s="41">
        <v>42714.0</v>
      </c>
      <c r="N6632" s="40">
        <v>42752.0</v>
      </c>
      <c r="O6632" s="15" t="s">
        <v>1554</v>
      </c>
      <c r="Q6632" s="7"/>
    </row>
    <row r="6633">
      <c r="A6633" s="39" t="s">
        <v>25189</v>
      </c>
      <c r="B6633" s="15">
        <v>1922715.0</v>
      </c>
      <c r="C6633" s="15" t="s">
        <v>25190</v>
      </c>
      <c r="D6633" s="15">
        <v>361981.0</v>
      </c>
      <c r="E6633" s="15" t="s">
        <v>1664</v>
      </c>
      <c r="F6633" s="15" t="s">
        <v>1664</v>
      </c>
      <c r="G6633" s="7">
        <v>6.097</v>
      </c>
      <c r="H6633" s="15" t="s">
        <v>3086</v>
      </c>
      <c r="I6633" s="15" t="s">
        <v>1560</v>
      </c>
      <c r="J6633" s="15" t="s">
        <v>25191</v>
      </c>
      <c r="K6633" s="15">
        <v>5.0</v>
      </c>
      <c r="L6633" s="15">
        <v>5.0</v>
      </c>
      <c r="M6633" s="41">
        <v>42714.0</v>
      </c>
      <c r="N6633" s="40">
        <v>42752.0</v>
      </c>
      <c r="O6633" s="15" t="s">
        <v>1554</v>
      </c>
      <c r="Q6633" s="7"/>
    </row>
    <row r="6634">
      <c r="A6634" s="39" t="s">
        <v>25193</v>
      </c>
      <c r="B6634" s="15">
        <v>1922792.0</v>
      </c>
      <c r="C6634" s="15" t="s">
        <v>25194</v>
      </c>
      <c r="D6634" s="15">
        <v>361982.0</v>
      </c>
      <c r="E6634" s="15" t="s">
        <v>1664</v>
      </c>
      <c r="F6634" s="15" t="s">
        <v>1664</v>
      </c>
      <c r="G6634" s="7">
        <v>9.316</v>
      </c>
      <c r="H6634" s="15" t="s">
        <v>3550</v>
      </c>
      <c r="I6634" s="15" t="s">
        <v>1560</v>
      </c>
      <c r="J6634" s="15" t="s">
        <v>25195</v>
      </c>
      <c r="K6634" s="15">
        <v>2.0</v>
      </c>
      <c r="L6634" s="15">
        <v>2.0</v>
      </c>
      <c r="M6634" s="41">
        <v>42714.0</v>
      </c>
      <c r="N6634" s="40">
        <v>42752.0</v>
      </c>
      <c r="O6634" s="15" t="s">
        <v>1554</v>
      </c>
      <c r="Q6634" s="7"/>
    </row>
    <row r="6635">
      <c r="A6635" s="39" t="s">
        <v>25196</v>
      </c>
      <c r="B6635" s="15">
        <v>1922791.0</v>
      </c>
      <c r="C6635" s="15" t="s">
        <v>25197</v>
      </c>
      <c r="D6635" s="15">
        <v>361983.0</v>
      </c>
      <c r="E6635" s="15" t="s">
        <v>1664</v>
      </c>
      <c r="F6635" s="15" t="s">
        <v>1664</v>
      </c>
      <c r="G6635" s="7">
        <v>7.171</v>
      </c>
      <c r="H6635" s="15" t="s">
        <v>3317</v>
      </c>
      <c r="I6635" s="15" t="s">
        <v>1560</v>
      </c>
      <c r="J6635" s="15" t="s">
        <v>25198</v>
      </c>
      <c r="K6635" s="15">
        <v>1.0</v>
      </c>
      <c r="L6635" s="15">
        <v>1.0</v>
      </c>
      <c r="M6635" s="41">
        <v>42714.0</v>
      </c>
      <c r="N6635" s="40">
        <v>42752.0</v>
      </c>
      <c r="O6635" s="15" t="s">
        <v>1554</v>
      </c>
      <c r="Q6635" s="7"/>
    </row>
    <row r="6636">
      <c r="A6636" s="39" t="s">
        <v>25199</v>
      </c>
      <c r="B6636" s="15">
        <v>1922789.0</v>
      </c>
      <c r="C6636" s="15" t="s">
        <v>25200</v>
      </c>
      <c r="D6636" s="15">
        <v>361984.0</v>
      </c>
      <c r="E6636" s="15" t="s">
        <v>1664</v>
      </c>
      <c r="F6636" s="15" t="s">
        <v>1664</v>
      </c>
      <c r="G6636" s="7">
        <v>10.61</v>
      </c>
      <c r="H6636" s="15" t="s">
        <v>5627</v>
      </c>
      <c r="I6636" s="15" t="s">
        <v>1560</v>
      </c>
      <c r="J6636" s="15" t="s">
        <v>25201</v>
      </c>
      <c r="K6636" s="15">
        <v>1.0</v>
      </c>
      <c r="L6636" s="15">
        <v>1.0</v>
      </c>
      <c r="M6636" s="41">
        <v>42714.0</v>
      </c>
      <c r="N6636" s="40">
        <v>42752.0</v>
      </c>
      <c r="O6636" s="15" t="s">
        <v>1554</v>
      </c>
      <c r="Q6636" s="7"/>
    </row>
    <row r="6637">
      <c r="A6637" s="39" t="s">
        <v>25203</v>
      </c>
      <c r="B6637" s="15">
        <v>1922788.0</v>
      </c>
      <c r="C6637" s="15" t="s">
        <v>25204</v>
      </c>
      <c r="D6637" s="15">
        <v>361985.0</v>
      </c>
      <c r="E6637" s="15" t="s">
        <v>1664</v>
      </c>
      <c r="F6637" s="15" t="s">
        <v>1664</v>
      </c>
      <c r="G6637" s="7">
        <v>9.551</v>
      </c>
      <c r="H6637" s="15" t="s">
        <v>2752</v>
      </c>
      <c r="I6637" s="15" t="s">
        <v>1560</v>
      </c>
      <c r="J6637" s="15" t="s">
        <v>25205</v>
      </c>
      <c r="K6637" s="15">
        <v>1.0</v>
      </c>
      <c r="L6637" s="15">
        <v>1.0</v>
      </c>
      <c r="M6637" s="41">
        <v>42714.0</v>
      </c>
      <c r="N6637" s="40">
        <v>42752.0</v>
      </c>
      <c r="O6637" s="15" t="s">
        <v>1554</v>
      </c>
      <c r="Q6637" s="7"/>
    </row>
    <row r="6638">
      <c r="A6638" s="39" t="s">
        <v>25206</v>
      </c>
      <c r="B6638" s="15">
        <v>1922787.0</v>
      </c>
      <c r="C6638" s="15" t="s">
        <v>25207</v>
      </c>
      <c r="D6638" s="15">
        <v>361986.0</v>
      </c>
      <c r="E6638" s="15" t="s">
        <v>1664</v>
      </c>
      <c r="F6638" s="15" t="s">
        <v>1664</v>
      </c>
      <c r="G6638" s="7">
        <v>9.296</v>
      </c>
      <c r="H6638" s="15" t="s">
        <v>2107</v>
      </c>
      <c r="I6638" s="15" t="s">
        <v>1560</v>
      </c>
      <c r="J6638" s="15" t="s">
        <v>25208</v>
      </c>
      <c r="K6638" s="15">
        <v>2.0</v>
      </c>
      <c r="L6638" s="15">
        <v>2.0</v>
      </c>
      <c r="M6638" s="41">
        <v>42714.0</v>
      </c>
      <c r="N6638" s="40">
        <v>42752.0</v>
      </c>
      <c r="O6638" s="15" t="s">
        <v>1554</v>
      </c>
      <c r="Q6638" s="7"/>
    </row>
    <row r="6639">
      <c r="A6639" s="39" t="s">
        <v>25209</v>
      </c>
      <c r="B6639" s="15">
        <v>1922786.0</v>
      </c>
      <c r="C6639" s="15" t="s">
        <v>25211</v>
      </c>
      <c r="D6639" s="15">
        <v>361987.0</v>
      </c>
      <c r="E6639" s="15" t="s">
        <v>1664</v>
      </c>
      <c r="F6639" s="15" t="s">
        <v>1664</v>
      </c>
      <c r="G6639" s="7">
        <v>8.41</v>
      </c>
      <c r="H6639" s="15" t="s">
        <v>2342</v>
      </c>
      <c r="I6639" s="15" t="s">
        <v>1560</v>
      </c>
      <c r="J6639" s="15" t="s">
        <v>25212</v>
      </c>
      <c r="K6639" s="15">
        <v>2.0</v>
      </c>
      <c r="L6639" s="15">
        <v>2.0</v>
      </c>
      <c r="M6639" s="41">
        <v>42714.0</v>
      </c>
      <c r="N6639" s="40">
        <v>42752.0</v>
      </c>
      <c r="O6639" s="15" t="s">
        <v>1554</v>
      </c>
      <c r="Q6639" s="7"/>
    </row>
    <row r="6640">
      <c r="A6640" s="39" t="s">
        <v>25213</v>
      </c>
      <c r="B6640" s="15">
        <v>1922785.0</v>
      </c>
      <c r="C6640" s="15" t="s">
        <v>25214</v>
      </c>
      <c r="D6640" s="15">
        <v>361988.0</v>
      </c>
      <c r="E6640" s="15" t="s">
        <v>1664</v>
      </c>
      <c r="F6640" s="15" t="s">
        <v>1664</v>
      </c>
      <c r="G6640" s="7">
        <v>8.774</v>
      </c>
      <c r="H6640" s="15" t="s">
        <v>2440</v>
      </c>
      <c r="I6640" s="15" t="s">
        <v>1560</v>
      </c>
      <c r="J6640" s="15" t="s">
        <v>25215</v>
      </c>
      <c r="K6640" s="15">
        <v>2.0</v>
      </c>
      <c r="L6640" s="15">
        <v>2.0</v>
      </c>
      <c r="M6640" s="41">
        <v>42714.0</v>
      </c>
      <c r="N6640" s="40">
        <v>42752.0</v>
      </c>
      <c r="O6640" s="15" t="s">
        <v>1554</v>
      </c>
      <c r="Q6640" s="7"/>
    </row>
    <row r="6641">
      <c r="A6641" s="39" t="s">
        <v>25216</v>
      </c>
      <c r="B6641" s="15">
        <v>1922784.0</v>
      </c>
      <c r="C6641" s="15" t="s">
        <v>25217</v>
      </c>
      <c r="D6641" s="15">
        <v>361989.0</v>
      </c>
      <c r="E6641" s="15" t="s">
        <v>1664</v>
      </c>
      <c r="F6641" s="15" t="s">
        <v>1664</v>
      </c>
      <c r="G6641" s="7">
        <v>8.031</v>
      </c>
      <c r="H6641" s="15" t="s">
        <v>1828</v>
      </c>
      <c r="I6641" s="15" t="s">
        <v>1560</v>
      </c>
      <c r="J6641" s="15" t="s">
        <v>25219</v>
      </c>
      <c r="K6641" s="15">
        <v>2.0</v>
      </c>
      <c r="L6641" s="15">
        <v>2.0</v>
      </c>
      <c r="M6641" s="41">
        <v>42714.0</v>
      </c>
      <c r="N6641" s="40">
        <v>42752.0</v>
      </c>
      <c r="O6641" s="15" t="s">
        <v>1554</v>
      </c>
      <c r="Q6641" s="7"/>
    </row>
    <row r="6642">
      <c r="A6642" s="39" t="s">
        <v>25220</v>
      </c>
      <c r="B6642" s="15">
        <v>1922783.0</v>
      </c>
      <c r="C6642" s="15" t="s">
        <v>25221</v>
      </c>
      <c r="D6642" s="15">
        <v>361990.0</v>
      </c>
      <c r="E6642" s="15" t="s">
        <v>1664</v>
      </c>
      <c r="F6642" s="15" t="s">
        <v>1664</v>
      </c>
      <c r="G6642" s="7">
        <v>8.158</v>
      </c>
      <c r="H6642" s="15">
        <v>51.0</v>
      </c>
      <c r="I6642" s="15" t="s">
        <v>1560</v>
      </c>
      <c r="J6642" s="15" t="s">
        <v>25222</v>
      </c>
      <c r="K6642" s="15">
        <v>2.0</v>
      </c>
      <c r="L6642" s="15">
        <v>2.0</v>
      </c>
      <c r="M6642" s="41">
        <v>42714.0</v>
      </c>
      <c r="N6642" s="40">
        <v>42752.0</v>
      </c>
      <c r="O6642" s="15" t="s">
        <v>1554</v>
      </c>
      <c r="Q6642" s="7"/>
    </row>
    <row r="6643">
      <c r="A6643" s="39" t="s">
        <v>25223</v>
      </c>
      <c r="B6643" s="15">
        <v>1922779.0</v>
      </c>
      <c r="C6643" s="15" t="s">
        <v>25224</v>
      </c>
      <c r="D6643" s="15">
        <v>361991.0</v>
      </c>
      <c r="E6643" s="15" t="s">
        <v>1664</v>
      </c>
      <c r="F6643" s="15" t="s">
        <v>1664</v>
      </c>
      <c r="G6643" s="7">
        <v>3.964</v>
      </c>
      <c r="H6643" s="15" t="s">
        <v>2648</v>
      </c>
      <c r="I6643" s="15" t="s">
        <v>1560</v>
      </c>
      <c r="J6643" s="15" t="s">
        <v>25225</v>
      </c>
      <c r="K6643" s="15">
        <v>1.0</v>
      </c>
      <c r="L6643" s="15">
        <v>1.0</v>
      </c>
      <c r="M6643" s="41">
        <v>42714.0</v>
      </c>
      <c r="N6643" s="40">
        <v>42752.0</v>
      </c>
      <c r="O6643" s="15" t="s">
        <v>1554</v>
      </c>
      <c r="Q6643" s="7"/>
    </row>
    <row r="6644">
      <c r="A6644" s="39" t="s">
        <v>25227</v>
      </c>
      <c r="B6644" s="15">
        <v>1922778.0</v>
      </c>
      <c r="C6644" s="15" t="s">
        <v>25228</v>
      </c>
      <c r="D6644" s="15">
        <v>361992.0</v>
      </c>
      <c r="E6644" s="15" t="s">
        <v>1664</v>
      </c>
      <c r="F6644" s="15" t="s">
        <v>1664</v>
      </c>
      <c r="G6644" s="7">
        <v>3.685</v>
      </c>
      <c r="H6644" s="15" t="s">
        <v>2945</v>
      </c>
      <c r="I6644" s="15" t="s">
        <v>1560</v>
      </c>
      <c r="J6644" s="15" t="s">
        <v>25229</v>
      </c>
      <c r="K6644" s="15">
        <v>2.0</v>
      </c>
      <c r="L6644" s="15">
        <v>2.0</v>
      </c>
      <c r="M6644" s="41">
        <v>42714.0</v>
      </c>
      <c r="N6644" s="40">
        <v>42752.0</v>
      </c>
      <c r="O6644" s="15" t="s">
        <v>1554</v>
      </c>
      <c r="Q6644" s="7"/>
    </row>
    <row r="6645">
      <c r="A6645" s="39" t="s">
        <v>25230</v>
      </c>
      <c r="B6645" s="15">
        <v>1922777.0</v>
      </c>
      <c r="C6645" s="15" t="s">
        <v>25231</v>
      </c>
      <c r="D6645" s="15">
        <v>361993.0</v>
      </c>
      <c r="E6645" s="15" t="s">
        <v>1664</v>
      </c>
      <c r="F6645" s="15" t="s">
        <v>1664</v>
      </c>
      <c r="G6645" s="7">
        <v>4.823</v>
      </c>
      <c r="H6645" s="15" t="s">
        <v>13429</v>
      </c>
      <c r="I6645" s="15" t="s">
        <v>1560</v>
      </c>
      <c r="J6645" s="15" t="s">
        <v>25232</v>
      </c>
      <c r="K6645" s="15">
        <v>2.0</v>
      </c>
      <c r="L6645" s="15">
        <v>2.0</v>
      </c>
      <c r="M6645" s="41">
        <v>42714.0</v>
      </c>
      <c r="N6645" s="40">
        <v>42752.0</v>
      </c>
      <c r="O6645" s="15" t="s">
        <v>1554</v>
      </c>
      <c r="Q6645" s="7"/>
    </row>
    <row r="6646">
      <c r="A6646" s="39" t="s">
        <v>25233</v>
      </c>
      <c r="B6646" s="15">
        <v>1922776.0</v>
      </c>
      <c r="C6646" s="15" t="s">
        <v>25234</v>
      </c>
      <c r="D6646" s="15">
        <v>361994.0</v>
      </c>
      <c r="E6646" s="15" t="s">
        <v>1664</v>
      </c>
      <c r="F6646" s="15" t="s">
        <v>1664</v>
      </c>
      <c r="G6646" s="7">
        <v>3.229</v>
      </c>
      <c r="H6646" s="15" t="s">
        <v>3973</v>
      </c>
      <c r="I6646" s="15" t="s">
        <v>1560</v>
      </c>
      <c r="J6646" s="15" t="s">
        <v>25236</v>
      </c>
      <c r="K6646" s="15">
        <v>1.0</v>
      </c>
      <c r="L6646" s="15">
        <v>1.0</v>
      </c>
      <c r="M6646" s="41">
        <v>42714.0</v>
      </c>
      <c r="N6646" s="40">
        <v>42752.0</v>
      </c>
      <c r="O6646" s="15" t="s">
        <v>1554</v>
      </c>
      <c r="Q6646" s="7"/>
    </row>
    <row r="6647">
      <c r="A6647" s="39" t="s">
        <v>25237</v>
      </c>
      <c r="B6647" s="15">
        <v>1922772.0</v>
      </c>
      <c r="C6647" s="15" t="s">
        <v>25238</v>
      </c>
      <c r="D6647" s="15">
        <v>361995.0</v>
      </c>
      <c r="E6647" s="15" t="s">
        <v>1664</v>
      </c>
      <c r="F6647" s="15" t="s">
        <v>1664</v>
      </c>
      <c r="G6647" s="7">
        <v>10.473</v>
      </c>
      <c r="H6647" s="15">
        <v>52.0</v>
      </c>
      <c r="I6647" s="15" t="s">
        <v>1560</v>
      </c>
      <c r="J6647" s="15" t="s">
        <v>25239</v>
      </c>
      <c r="K6647" s="15">
        <v>5.0</v>
      </c>
      <c r="L6647" s="15">
        <v>5.0</v>
      </c>
      <c r="M6647" s="41">
        <v>42714.0</v>
      </c>
      <c r="N6647" s="40">
        <v>42752.0</v>
      </c>
      <c r="O6647" s="15" t="s">
        <v>1554</v>
      </c>
      <c r="Q6647" s="7"/>
    </row>
    <row r="6648">
      <c r="A6648" s="39" t="s">
        <v>25241</v>
      </c>
      <c r="B6648" s="15">
        <v>1922771.0</v>
      </c>
      <c r="C6648" s="15" t="s">
        <v>25242</v>
      </c>
      <c r="D6648" s="15">
        <v>361996.0</v>
      </c>
      <c r="E6648" s="15" t="s">
        <v>1664</v>
      </c>
      <c r="F6648" s="15" t="s">
        <v>1664</v>
      </c>
      <c r="G6648" s="7">
        <v>3.919</v>
      </c>
      <c r="H6648" s="15" t="s">
        <v>3227</v>
      </c>
      <c r="I6648" s="15" t="s">
        <v>1560</v>
      </c>
      <c r="J6648" s="15" t="s">
        <v>25243</v>
      </c>
      <c r="K6648" s="15">
        <v>3.0</v>
      </c>
      <c r="L6648" s="15">
        <v>3.0</v>
      </c>
      <c r="M6648" s="41">
        <v>42714.0</v>
      </c>
      <c r="N6648" s="40">
        <v>42752.0</v>
      </c>
      <c r="O6648" s="15" t="s">
        <v>1554</v>
      </c>
      <c r="Q6648" s="7"/>
    </row>
    <row r="6649">
      <c r="A6649" s="39" t="s">
        <v>25244</v>
      </c>
      <c r="B6649" s="15">
        <v>1922770.0</v>
      </c>
      <c r="C6649" s="15" t="s">
        <v>25245</v>
      </c>
      <c r="D6649" s="15">
        <v>361997.0</v>
      </c>
      <c r="E6649" s="15" t="s">
        <v>1664</v>
      </c>
      <c r="F6649" s="15" t="s">
        <v>1664</v>
      </c>
      <c r="G6649" s="7">
        <v>9.743</v>
      </c>
      <c r="H6649" s="15" t="s">
        <v>2158</v>
      </c>
      <c r="I6649" s="15" t="s">
        <v>1560</v>
      </c>
      <c r="J6649" s="15" t="s">
        <v>25246</v>
      </c>
      <c r="K6649" s="15">
        <v>2.0</v>
      </c>
      <c r="L6649" s="15">
        <v>2.0</v>
      </c>
      <c r="M6649" s="41">
        <v>42714.0</v>
      </c>
      <c r="N6649" s="40">
        <v>42752.0</v>
      </c>
      <c r="O6649" s="15" t="s">
        <v>1554</v>
      </c>
      <c r="Q6649" s="7"/>
    </row>
    <row r="6650">
      <c r="A6650" s="39" t="s">
        <v>25247</v>
      </c>
      <c r="B6650" s="15">
        <v>1922769.0</v>
      </c>
      <c r="C6650" s="15" t="s">
        <v>25248</v>
      </c>
      <c r="D6650" s="15">
        <v>361998.0</v>
      </c>
      <c r="E6650" s="15" t="s">
        <v>1664</v>
      </c>
      <c r="F6650" s="15" t="s">
        <v>1664</v>
      </c>
      <c r="G6650" s="7">
        <v>9.481</v>
      </c>
      <c r="H6650" s="15" t="s">
        <v>4287</v>
      </c>
      <c r="I6650" s="15" t="s">
        <v>1560</v>
      </c>
      <c r="J6650" s="15" t="s">
        <v>25249</v>
      </c>
      <c r="K6650" s="15">
        <v>2.0</v>
      </c>
      <c r="L6650" s="15">
        <v>2.0</v>
      </c>
      <c r="M6650" s="41">
        <v>42714.0</v>
      </c>
      <c r="N6650" s="40">
        <v>42752.0</v>
      </c>
      <c r="O6650" s="15" t="s">
        <v>1554</v>
      </c>
      <c r="Q6650" s="7"/>
    </row>
    <row r="6651">
      <c r="A6651" s="39" t="s">
        <v>25250</v>
      </c>
      <c r="B6651" s="15">
        <v>1922767.0</v>
      </c>
      <c r="C6651" s="15" t="s">
        <v>25251</v>
      </c>
      <c r="D6651" s="15">
        <v>361999.0</v>
      </c>
      <c r="E6651" s="15" t="s">
        <v>1664</v>
      </c>
      <c r="F6651" s="15" t="s">
        <v>1664</v>
      </c>
      <c r="G6651" s="7">
        <v>8.375</v>
      </c>
      <c r="H6651" s="15" t="s">
        <v>2075</v>
      </c>
      <c r="I6651" s="15" t="s">
        <v>1560</v>
      </c>
      <c r="J6651" s="15" t="s">
        <v>25253</v>
      </c>
      <c r="K6651" s="15">
        <v>2.0</v>
      </c>
      <c r="L6651" s="15">
        <v>2.0</v>
      </c>
      <c r="M6651" s="41">
        <v>42714.0</v>
      </c>
      <c r="N6651" s="40">
        <v>42752.0</v>
      </c>
      <c r="O6651" s="15" t="s">
        <v>1554</v>
      </c>
      <c r="Q6651" s="7"/>
    </row>
    <row r="6652">
      <c r="A6652" s="39" t="s">
        <v>25254</v>
      </c>
      <c r="B6652" s="15">
        <v>1922766.0</v>
      </c>
      <c r="C6652" s="15" t="s">
        <v>25255</v>
      </c>
      <c r="D6652" s="15">
        <v>362000.0</v>
      </c>
      <c r="E6652" s="15" t="s">
        <v>1664</v>
      </c>
      <c r="F6652" s="15" t="s">
        <v>1664</v>
      </c>
      <c r="G6652" s="7">
        <v>8.712</v>
      </c>
      <c r="H6652" s="15" t="s">
        <v>3538</v>
      </c>
      <c r="I6652" s="15" t="s">
        <v>1560</v>
      </c>
      <c r="J6652" s="15" t="s">
        <v>25256</v>
      </c>
      <c r="K6652" s="15">
        <v>2.0</v>
      </c>
      <c r="L6652" s="15">
        <v>2.0</v>
      </c>
      <c r="M6652" s="41">
        <v>42714.0</v>
      </c>
      <c r="N6652" s="40">
        <v>42752.0</v>
      </c>
      <c r="O6652" s="15" t="s">
        <v>1554</v>
      </c>
      <c r="Q6652" s="7"/>
    </row>
    <row r="6653">
      <c r="A6653" s="39" t="s">
        <v>25257</v>
      </c>
      <c r="B6653" s="15">
        <v>1922765.0</v>
      </c>
      <c r="C6653" s="15" t="s">
        <v>25258</v>
      </c>
      <c r="D6653" s="15">
        <v>362001.0</v>
      </c>
      <c r="E6653" s="15" t="s">
        <v>1664</v>
      </c>
      <c r="F6653" s="15" t="s">
        <v>1664</v>
      </c>
      <c r="G6653" s="7">
        <v>9.103</v>
      </c>
      <c r="H6653" s="15" t="s">
        <v>2524</v>
      </c>
      <c r="I6653" s="15" t="s">
        <v>1560</v>
      </c>
      <c r="J6653" s="15" t="s">
        <v>25259</v>
      </c>
      <c r="K6653" s="15">
        <v>2.0</v>
      </c>
      <c r="L6653" s="15">
        <v>2.0</v>
      </c>
      <c r="M6653" s="41">
        <v>42714.0</v>
      </c>
      <c r="N6653" s="40">
        <v>42752.0</v>
      </c>
      <c r="O6653" s="15" t="s">
        <v>1554</v>
      </c>
      <c r="Q6653" s="7"/>
    </row>
    <row r="6654">
      <c r="A6654" s="39" t="s">
        <v>25260</v>
      </c>
      <c r="B6654" s="15">
        <v>1922764.0</v>
      </c>
      <c r="C6654" s="15" t="s">
        <v>25261</v>
      </c>
      <c r="D6654" s="15">
        <v>362002.0</v>
      </c>
      <c r="E6654" s="15" t="s">
        <v>1664</v>
      </c>
      <c r="F6654" s="15" t="s">
        <v>1664</v>
      </c>
      <c r="G6654" s="7">
        <v>5.795</v>
      </c>
      <c r="H6654" s="15" t="s">
        <v>8889</v>
      </c>
      <c r="I6654" s="15" t="s">
        <v>1560</v>
      </c>
      <c r="J6654" s="15" t="s">
        <v>25263</v>
      </c>
      <c r="K6654" s="15">
        <v>4.0</v>
      </c>
      <c r="L6654" s="15">
        <v>4.0</v>
      </c>
      <c r="M6654" s="41">
        <v>42714.0</v>
      </c>
      <c r="N6654" s="40">
        <v>42752.0</v>
      </c>
      <c r="O6654" s="15" t="s">
        <v>1554</v>
      </c>
      <c r="Q6654" s="7"/>
    </row>
    <row r="6655">
      <c r="A6655" s="39" t="s">
        <v>25264</v>
      </c>
      <c r="B6655" s="15">
        <v>1922761.0</v>
      </c>
      <c r="C6655" s="15" t="s">
        <v>25265</v>
      </c>
      <c r="D6655" s="15">
        <v>362003.0</v>
      </c>
      <c r="E6655" s="15" t="s">
        <v>1664</v>
      </c>
      <c r="F6655" s="15" t="s">
        <v>1664</v>
      </c>
      <c r="G6655" s="7">
        <v>4.925</v>
      </c>
      <c r="H6655" s="15" t="s">
        <v>3653</v>
      </c>
      <c r="I6655" s="15" t="s">
        <v>1560</v>
      </c>
      <c r="J6655" s="15" t="s">
        <v>25266</v>
      </c>
      <c r="K6655" s="15">
        <v>1.0</v>
      </c>
      <c r="L6655" s="15">
        <v>1.0</v>
      </c>
      <c r="M6655" s="41">
        <v>42714.0</v>
      </c>
      <c r="N6655" s="40">
        <v>42752.0</v>
      </c>
      <c r="O6655" s="15" t="s">
        <v>1554</v>
      </c>
      <c r="Q6655" s="7"/>
    </row>
    <row r="6656">
      <c r="A6656" s="39" t="s">
        <v>25267</v>
      </c>
      <c r="B6656" s="15">
        <v>1922760.0</v>
      </c>
      <c r="C6656" s="15" t="s">
        <v>25269</v>
      </c>
      <c r="D6656" s="15">
        <v>362004.0</v>
      </c>
      <c r="E6656" s="15" t="s">
        <v>1664</v>
      </c>
      <c r="F6656" s="15" t="s">
        <v>1664</v>
      </c>
      <c r="G6656" s="7">
        <v>8.223</v>
      </c>
      <c r="H6656" s="15" t="s">
        <v>2064</v>
      </c>
      <c r="I6656" s="15" t="s">
        <v>1560</v>
      </c>
      <c r="J6656" s="15" t="s">
        <v>25270</v>
      </c>
      <c r="K6656" s="15">
        <v>1.0</v>
      </c>
      <c r="L6656" s="15">
        <v>1.0</v>
      </c>
      <c r="M6656" s="41">
        <v>42714.0</v>
      </c>
      <c r="N6656" s="40">
        <v>42752.0</v>
      </c>
      <c r="O6656" s="15" t="s">
        <v>1554</v>
      </c>
      <c r="Q6656" s="7"/>
    </row>
    <row r="6657">
      <c r="A6657" s="39" t="s">
        <v>25271</v>
      </c>
      <c r="B6657" s="15">
        <v>1922759.0</v>
      </c>
      <c r="C6657" s="15" t="s">
        <v>25272</v>
      </c>
      <c r="D6657" s="15">
        <v>362005.0</v>
      </c>
      <c r="E6657" s="15" t="s">
        <v>1664</v>
      </c>
      <c r="F6657" s="15" t="s">
        <v>1664</v>
      </c>
      <c r="G6657" s="7">
        <v>5.448</v>
      </c>
      <c r="H6657" s="15" t="s">
        <v>2869</v>
      </c>
      <c r="I6657" s="15" t="s">
        <v>1560</v>
      </c>
      <c r="J6657" s="15" t="s">
        <v>25273</v>
      </c>
      <c r="K6657" s="15">
        <v>1.0</v>
      </c>
      <c r="L6657" s="15">
        <v>1.0</v>
      </c>
      <c r="M6657" s="41">
        <v>42714.0</v>
      </c>
      <c r="N6657" s="40">
        <v>42752.0</v>
      </c>
      <c r="O6657" s="15" t="s">
        <v>1554</v>
      </c>
      <c r="Q6657" s="7"/>
    </row>
    <row r="6658">
      <c r="A6658" s="39" t="s">
        <v>25274</v>
      </c>
      <c r="B6658" s="15">
        <v>1922758.0</v>
      </c>
      <c r="C6658" s="15" t="s">
        <v>25275</v>
      </c>
      <c r="D6658" s="15">
        <v>362006.0</v>
      </c>
      <c r="E6658" s="15" t="s">
        <v>1664</v>
      </c>
      <c r="F6658" s="15" t="s">
        <v>1664</v>
      </c>
      <c r="G6658" s="7">
        <v>9.086</v>
      </c>
      <c r="H6658" s="15" t="s">
        <v>2699</v>
      </c>
      <c r="I6658" s="15" t="s">
        <v>1560</v>
      </c>
      <c r="J6658" s="15" t="s">
        <v>25277</v>
      </c>
      <c r="K6658" s="15">
        <v>1.0</v>
      </c>
      <c r="L6658" s="15">
        <v>1.0</v>
      </c>
      <c r="M6658" s="41">
        <v>42714.0</v>
      </c>
      <c r="N6658" s="40">
        <v>42752.0</v>
      </c>
      <c r="O6658" s="15" t="s">
        <v>1554</v>
      </c>
      <c r="Q6658" s="7"/>
    </row>
    <row r="6659">
      <c r="A6659" s="39" t="s">
        <v>25278</v>
      </c>
      <c r="B6659" s="15">
        <v>1922757.0</v>
      </c>
      <c r="C6659" s="15" t="s">
        <v>25279</v>
      </c>
      <c r="D6659" s="15">
        <v>362007.0</v>
      </c>
      <c r="E6659" s="15" t="s">
        <v>1664</v>
      </c>
      <c r="F6659" s="15" t="s">
        <v>1664</v>
      </c>
      <c r="G6659" s="7">
        <v>5.42</v>
      </c>
      <c r="H6659" s="15">
        <v>40.0</v>
      </c>
      <c r="I6659" s="15" t="s">
        <v>1560</v>
      </c>
      <c r="J6659" s="15" t="s">
        <v>25280</v>
      </c>
      <c r="K6659" s="15">
        <v>1.0</v>
      </c>
      <c r="L6659" s="15">
        <v>1.0</v>
      </c>
      <c r="M6659" s="41">
        <v>42714.0</v>
      </c>
      <c r="N6659" s="40">
        <v>42752.0</v>
      </c>
      <c r="O6659" s="15" t="s">
        <v>1554</v>
      </c>
      <c r="Q6659" s="7"/>
    </row>
    <row r="6660">
      <c r="A6660" s="39" t="s">
        <v>25281</v>
      </c>
      <c r="B6660" s="15">
        <v>1922756.0</v>
      </c>
      <c r="C6660" s="15" t="s">
        <v>25282</v>
      </c>
      <c r="D6660" s="15">
        <v>362008.0</v>
      </c>
      <c r="E6660" s="15" t="s">
        <v>1664</v>
      </c>
      <c r="F6660" s="15" t="s">
        <v>1664</v>
      </c>
      <c r="G6660" s="7">
        <v>5.218</v>
      </c>
      <c r="H6660" s="15" t="s">
        <v>2351</v>
      </c>
      <c r="I6660" s="15" t="s">
        <v>1560</v>
      </c>
      <c r="J6660" s="15" t="s">
        <v>25284</v>
      </c>
      <c r="K6660" s="15">
        <v>2.0</v>
      </c>
      <c r="L6660" s="15">
        <v>2.0</v>
      </c>
      <c r="M6660" s="41">
        <v>42714.0</v>
      </c>
      <c r="N6660" s="40">
        <v>42752.0</v>
      </c>
      <c r="O6660" s="15" t="s">
        <v>1554</v>
      </c>
      <c r="Q6660" s="7"/>
    </row>
    <row r="6661">
      <c r="A6661" s="39" t="s">
        <v>25285</v>
      </c>
      <c r="B6661" s="15">
        <v>1922755.0</v>
      </c>
      <c r="C6661" s="15" t="s">
        <v>25286</v>
      </c>
      <c r="D6661" s="15">
        <v>362009.0</v>
      </c>
      <c r="E6661" s="15" t="s">
        <v>1664</v>
      </c>
      <c r="F6661" s="15" t="s">
        <v>1664</v>
      </c>
      <c r="G6661" s="7">
        <v>5.197</v>
      </c>
      <c r="H6661" s="15" t="s">
        <v>4204</v>
      </c>
      <c r="I6661" s="15" t="s">
        <v>1560</v>
      </c>
      <c r="J6661" s="15" t="s">
        <v>25287</v>
      </c>
      <c r="K6661" s="15">
        <v>2.0</v>
      </c>
      <c r="L6661" s="15">
        <v>2.0</v>
      </c>
      <c r="M6661" s="41">
        <v>42714.0</v>
      </c>
      <c r="N6661" s="40">
        <v>42752.0</v>
      </c>
      <c r="O6661" s="15" t="s">
        <v>1554</v>
      </c>
      <c r="Q6661" s="7"/>
    </row>
    <row r="6662">
      <c r="A6662" s="39" t="s">
        <v>25288</v>
      </c>
      <c r="B6662" s="15">
        <v>1922754.0</v>
      </c>
      <c r="C6662" s="15" t="s">
        <v>25289</v>
      </c>
      <c r="D6662" s="15">
        <v>362010.0</v>
      </c>
      <c r="E6662" s="15" t="s">
        <v>1664</v>
      </c>
      <c r="F6662" s="15" t="s">
        <v>1664</v>
      </c>
      <c r="G6662" s="7">
        <v>4.221</v>
      </c>
      <c r="H6662" s="15" t="s">
        <v>1881</v>
      </c>
      <c r="I6662" s="15" t="s">
        <v>1560</v>
      </c>
      <c r="J6662" s="15" t="s">
        <v>25290</v>
      </c>
      <c r="K6662" s="15">
        <v>2.0</v>
      </c>
      <c r="L6662" s="15">
        <v>2.0</v>
      </c>
      <c r="M6662" s="41">
        <v>42714.0</v>
      </c>
      <c r="N6662" s="40">
        <v>42752.0</v>
      </c>
      <c r="O6662" s="15" t="s">
        <v>1554</v>
      </c>
      <c r="Q6662" s="7"/>
    </row>
    <row r="6663">
      <c r="A6663" s="39" t="s">
        <v>25291</v>
      </c>
      <c r="B6663" s="15">
        <v>1922753.0</v>
      </c>
      <c r="C6663" s="15" t="s">
        <v>25293</v>
      </c>
      <c r="D6663" s="15">
        <v>362011.0</v>
      </c>
      <c r="E6663" s="15" t="s">
        <v>1664</v>
      </c>
      <c r="F6663" s="15" t="s">
        <v>1664</v>
      </c>
      <c r="G6663" s="7">
        <v>4.409</v>
      </c>
      <c r="H6663" s="15">
        <v>60.0</v>
      </c>
      <c r="I6663" s="15" t="s">
        <v>1560</v>
      </c>
      <c r="J6663" s="15" t="s">
        <v>25294</v>
      </c>
      <c r="K6663" s="15">
        <v>2.0</v>
      </c>
      <c r="L6663" s="15">
        <v>2.0</v>
      </c>
      <c r="M6663" s="41">
        <v>42714.0</v>
      </c>
      <c r="N6663" s="40">
        <v>42752.0</v>
      </c>
      <c r="O6663" s="15" t="s">
        <v>1554</v>
      </c>
      <c r="Q6663" s="7"/>
    </row>
    <row r="6664">
      <c r="A6664" s="39" t="s">
        <v>25295</v>
      </c>
      <c r="B6664" s="15">
        <v>1922824.0</v>
      </c>
      <c r="C6664" s="15" t="s">
        <v>25296</v>
      </c>
      <c r="D6664" s="15">
        <v>362012.0</v>
      </c>
      <c r="E6664" s="15" t="s">
        <v>1664</v>
      </c>
      <c r="F6664" s="15" t="s">
        <v>1664</v>
      </c>
      <c r="G6664" s="7">
        <v>6.844</v>
      </c>
      <c r="H6664" s="15" t="s">
        <v>1685</v>
      </c>
      <c r="I6664" s="15" t="s">
        <v>1560</v>
      </c>
      <c r="J6664" s="15" t="s">
        <v>25297</v>
      </c>
      <c r="K6664" s="15">
        <v>1.0</v>
      </c>
      <c r="L6664" s="15">
        <v>1.0</v>
      </c>
      <c r="M6664" s="41">
        <v>42714.0</v>
      </c>
      <c r="N6664" s="40">
        <v>42752.0</v>
      </c>
      <c r="O6664" s="15" t="s">
        <v>1554</v>
      </c>
      <c r="Q6664" s="7"/>
    </row>
    <row r="6665">
      <c r="A6665" s="39" t="s">
        <v>25298</v>
      </c>
      <c r="B6665" s="15">
        <v>1922823.0</v>
      </c>
      <c r="C6665" s="15" t="s">
        <v>25299</v>
      </c>
      <c r="D6665" s="15">
        <v>362013.0</v>
      </c>
      <c r="E6665" s="15" t="s">
        <v>1664</v>
      </c>
      <c r="F6665" s="15" t="s">
        <v>1664</v>
      </c>
      <c r="G6665" s="7">
        <v>4.23</v>
      </c>
      <c r="H6665" s="15" t="s">
        <v>2996</v>
      </c>
      <c r="I6665" s="15" t="s">
        <v>1560</v>
      </c>
      <c r="J6665" s="15" t="s">
        <v>25300</v>
      </c>
      <c r="K6665" s="15">
        <v>2.0</v>
      </c>
      <c r="L6665" s="15">
        <v>2.0</v>
      </c>
      <c r="M6665" s="41">
        <v>42714.0</v>
      </c>
      <c r="N6665" s="40">
        <v>42752.0</v>
      </c>
      <c r="O6665" s="15" t="s">
        <v>1554</v>
      </c>
      <c r="Q6665" s="7"/>
    </row>
    <row r="6666">
      <c r="A6666" s="39" t="s">
        <v>25302</v>
      </c>
      <c r="B6666" s="15">
        <v>1922822.0</v>
      </c>
      <c r="C6666" s="15" t="s">
        <v>25303</v>
      </c>
      <c r="D6666" s="15">
        <v>362014.0</v>
      </c>
      <c r="E6666" s="15" t="s">
        <v>1664</v>
      </c>
      <c r="F6666" s="15" t="s">
        <v>1664</v>
      </c>
      <c r="G6666" s="7">
        <v>4.427</v>
      </c>
      <c r="H6666" s="15" t="s">
        <v>2300</v>
      </c>
      <c r="I6666" s="15" t="s">
        <v>1560</v>
      </c>
      <c r="J6666" s="15" t="s">
        <v>25304</v>
      </c>
      <c r="K6666" s="15">
        <v>3.0</v>
      </c>
      <c r="L6666" s="15">
        <v>3.0</v>
      </c>
      <c r="M6666" s="41">
        <v>42714.0</v>
      </c>
      <c r="N6666" s="40">
        <v>42752.0</v>
      </c>
      <c r="O6666" s="15" t="s">
        <v>1554</v>
      </c>
      <c r="Q6666" s="7"/>
    </row>
    <row r="6667">
      <c r="A6667" s="39" t="s">
        <v>25305</v>
      </c>
      <c r="B6667" s="15">
        <v>1922821.0</v>
      </c>
      <c r="C6667" s="15" t="s">
        <v>25306</v>
      </c>
      <c r="D6667" s="15">
        <v>362015.0</v>
      </c>
      <c r="E6667" s="15" t="s">
        <v>1664</v>
      </c>
      <c r="F6667" s="15" t="s">
        <v>1664</v>
      </c>
      <c r="G6667" s="7">
        <v>3.875</v>
      </c>
      <c r="H6667" s="15" t="s">
        <v>2965</v>
      </c>
      <c r="I6667" s="15" t="s">
        <v>1560</v>
      </c>
      <c r="J6667" s="15" t="s">
        <v>25307</v>
      </c>
      <c r="K6667" s="15">
        <v>3.0</v>
      </c>
      <c r="L6667" s="15">
        <v>3.0</v>
      </c>
      <c r="M6667" s="41">
        <v>42714.0</v>
      </c>
      <c r="N6667" s="40">
        <v>42752.0</v>
      </c>
      <c r="O6667" s="15" t="s">
        <v>1554</v>
      </c>
      <c r="Q6667" s="7"/>
    </row>
    <row r="6668">
      <c r="A6668" s="39" t="s">
        <v>25308</v>
      </c>
      <c r="B6668" s="15">
        <v>1922820.0</v>
      </c>
      <c r="C6668" s="15" t="s">
        <v>25309</v>
      </c>
      <c r="D6668" s="15">
        <v>362016.0</v>
      </c>
      <c r="E6668" s="15" t="s">
        <v>1664</v>
      </c>
      <c r="F6668" s="15" t="s">
        <v>1664</v>
      </c>
      <c r="G6668" s="7">
        <v>3.54</v>
      </c>
      <c r="H6668" s="15" t="s">
        <v>4606</v>
      </c>
      <c r="I6668" s="15" t="s">
        <v>1560</v>
      </c>
      <c r="J6668" s="15" t="s">
        <v>25311</v>
      </c>
      <c r="K6668" s="15">
        <v>3.0</v>
      </c>
      <c r="L6668" s="15">
        <v>3.0</v>
      </c>
      <c r="M6668" s="41">
        <v>42714.0</v>
      </c>
      <c r="N6668" s="40">
        <v>42752.0</v>
      </c>
      <c r="O6668" s="15" t="s">
        <v>1554</v>
      </c>
      <c r="Q6668" s="7"/>
    </row>
    <row r="6669">
      <c r="A6669" s="39" t="s">
        <v>25312</v>
      </c>
      <c r="B6669" s="15">
        <v>1922819.0</v>
      </c>
      <c r="C6669" s="15" t="s">
        <v>25313</v>
      </c>
      <c r="D6669" s="15">
        <v>362017.0</v>
      </c>
      <c r="E6669" s="15" t="s">
        <v>1664</v>
      </c>
      <c r="F6669" s="15" t="s">
        <v>1664</v>
      </c>
      <c r="G6669" s="7">
        <v>3.929</v>
      </c>
      <c r="H6669" s="15" t="s">
        <v>3246</v>
      </c>
      <c r="I6669" s="15" t="s">
        <v>1560</v>
      </c>
      <c r="J6669" s="15" t="s">
        <v>25314</v>
      </c>
      <c r="K6669" s="15">
        <v>3.0</v>
      </c>
      <c r="L6669" s="15">
        <v>3.0</v>
      </c>
      <c r="M6669" s="41">
        <v>42714.0</v>
      </c>
      <c r="N6669" s="40">
        <v>42752.0</v>
      </c>
      <c r="O6669" s="15" t="s">
        <v>1554</v>
      </c>
      <c r="Q6669" s="7"/>
    </row>
    <row r="6670">
      <c r="A6670" s="39" t="s">
        <v>25315</v>
      </c>
      <c r="B6670" s="15">
        <v>1922818.0</v>
      </c>
      <c r="C6670" s="15" t="s">
        <v>25316</v>
      </c>
      <c r="D6670" s="15">
        <v>362018.0</v>
      </c>
      <c r="E6670" s="15" t="s">
        <v>1664</v>
      </c>
      <c r="F6670" s="15" t="s">
        <v>1664</v>
      </c>
      <c r="G6670" s="7">
        <v>3.694</v>
      </c>
      <c r="H6670" s="15" t="s">
        <v>4614</v>
      </c>
      <c r="I6670" s="15" t="s">
        <v>1560</v>
      </c>
      <c r="J6670" s="15" t="s">
        <v>25317</v>
      </c>
      <c r="K6670" s="15">
        <v>3.0</v>
      </c>
      <c r="L6670" s="15">
        <v>3.0</v>
      </c>
      <c r="M6670" s="41">
        <v>42714.0</v>
      </c>
      <c r="N6670" s="40">
        <v>42752.0</v>
      </c>
      <c r="O6670" s="15" t="s">
        <v>1554</v>
      </c>
      <c r="Q6670" s="7"/>
    </row>
    <row r="6671">
      <c r="A6671" s="39" t="s">
        <v>25318</v>
      </c>
      <c r="B6671" s="15">
        <v>1922817.0</v>
      </c>
      <c r="C6671" s="15" t="s">
        <v>25319</v>
      </c>
      <c r="D6671" s="15">
        <v>362019.0</v>
      </c>
      <c r="E6671" s="15" t="s">
        <v>1664</v>
      </c>
      <c r="F6671" s="15" t="s">
        <v>1664</v>
      </c>
      <c r="G6671" s="7">
        <v>4.067</v>
      </c>
      <c r="H6671" s="15" t="s">
        <v>6118</v>
      </c>
      <c r="I6671" s="15" t="s">
        <v>1560</v>
      </c>
      <c r="J6671" s="15" t="s">
        <v>25321</v>
      </c>
      <c r="K6671" s="15">
        <v>4.0</v>
      </c>
      <c r="L6671" s="15">
        <v>4.0</v>
      </c>
      <c r="M6671" s="41">
        <v>42714.0</v>
      </c>
      <c r="N6671" s="40">
        <v>42752.0</v>
      </c>
      <c r="O6671" s="15" t="s">
        <v>1554</v>
      </c>
      <c r="Q6671" s="7"/>
    </row>
    <row r="6672">
      <c r="A6672" s="39" t="s">
        <v>25322</v>
      </c>
      <c r="B6672" s="15">
        <v>1922816.0</v>
      </c>
      <c r="C6672" s="15" t="s">
        <v>25323</v>
      </c>
      <c r="D6672" s="15">
        <v>362020.0</v>
      </c>
      <c r="E6672" s="15" t="s">
        <v>1664</v>
      </c>
      <c r="F6672" s="15" t="s">
        <v>1664</v>
      </c>
      <c r="G6672" s="7">
        <v>3.608</v>
      </c>
      <c r="H6672" s="15" t="s">
        <v>1634</v>
      </c>
      <c r="I6672" s="15" t="s">
        <v>1560</v>
      </c>
      <c r="J6672" s="15" t="s">
        <v>25324</v>
      </c>
      <c r="K6672" s="15">
        <v>2.0</v>
      </c>
      <c r="L6672" s="15">
        <v>2.0</v>
      </c>
      <c r="M6672" s="41">
        <v>42714.0</v>
      </c>
      <c r="N6672" s="40">
        <v>42752.0</v>
      </c>
      <c r="O6672" s="15" t="s">
        <v>1554</v>
      </c>
      <c r="Q6672" s="7"/>
    </row>
    <row r="6673">
      <c r="A6673" s="39" t="s">
        <v>25325</v>
      </c>
      <c r="B6673" s="15">
        <v>1922815.0</v>
      </c>
      <c r="C6673" s="15" t="s">
        <v>25326</v>
      </c>
      <c r="D6673" s="15">
        <v>362021.0</v>
      </c>
      <c r="E6673" s="15" t="s">
        <v>1664</v>
      </c>
      <c r="F6673" s="15" t="s">
        <v>1664</v>
      </c>
      <c r="G6673" s="7">
        <v>3.932</v>
      </c>
      <c r="H6673" s="15" t="s">
        <v>4331</v>
      </c>
      <c r="I6673" s="15" t="s">
        <v>1560</v>
      </c>
      <c r="J6673" s="15" t="s">
        <v>25327</v>
      </c>
      <c r="K6673" s="15">
        <v>2.0</v>
      </c>
      <c r="L6673" s="15">
        <v>2.0</v>
      </c>
      <c r="M6673" s="41">
        <v>42714.0</v>
      </c>
      <c r="N6673" s="40">
        <v>42752.0</v>
      </c>
      <c r="O6673" s="15" t="s">
        <v>1554</v>
      </c>
      <c r="Q6673" s="7"/>
    </row>
    <row r="6674">
      <c r="A6674" s="39" t="s">
        <v>25329</v>
      </c>
      <c r="B6674" s="15">
        <v>1922814.0</v>
      </c>
      <c r="C6674" s="15" t="s">
        <v>25330</v>
      </c>
      <c r="D6674" s="15">
        <v>362022.0</v>
      </c>
      <c r="E6674" s="15" t="s">
        <v>1664</v>
      </c>
      <c r="F6674" s="15" t="s">
        <v>1664</v>
      </c>
      <c r="G6674" s="7">
        <v>4.964</v>
      </c>
      <c r="H6674" s="15" t="s">
        <v>1700</v>
      </c>
      <c r="I6674" s="15" t="s">
        <v>1560</v>
      </c>
      <c r="J6674" s="15" t="s">
        <v>25331</v>
      </c>
      <c r="K6674" s="15">
        <v>2.0</v>
      </c>
      <c r="L6674" s="15">
        <v>2.0</v>
      </c>
      <c r="M6674" s="41">
        <v>42714.0</v>
      </c>
      <c r="N6674" s="40">
        <v>42752.0</v>
      </c>
      <c r="O6674" s="15" t="s">
        <v>1554</v>
      </c>
      <c r="Q6674" s="7"/>
    </row>
    <row r="6675">
      <c r="A6675" s="39" t="s">
        <v>25332</v>
      </c>
      <c r="B6675" s="15">
        <v>1922813.0</v>
      </c>
      <c r="C6675" s="15" t="s">
        <v>25333</v>
      </c>
      <c r="D6675" s="15">
        <v>362023.0</v>
      </c>
      <c r="E6675" s="15" t="s">
        <v>1664</v>
      </c>
      <c r="F6675" s="15" t="s">
        <v>1664</v>
      </c>
      <c r="G6675" s="7">
        <v>3.015</v>
      </c>
      <c r="H6675" s="15" t="s">
        <v>1844</v>
      </c>
      <c r="I6675" s="15" t="s">
        <v>1560</v>
      </c>
      <c r="J6675" s="15" t="s">
        <v>25334</v>
      </c>
      <c r="K6675" s="15">
        <v>2.0</v>
      </c>
      <c r="L6675" s="15">
        <v>2.0</v>
      </c>
      <c r="M6675" s="41">
        <v>42714.0</v>
      </c>
      <c r="N6675" s="40">
        <v>42752.0</v>
      </c>
      <c r="O6675" s="15" t="s">
        <v>1554</v>
      </c>
      <c r="Q6675" s="7"/>
    </row>
    <row r="6676">
      <c r="A6676" s="39" t="s">
        <v>25335</v>
      </c>
      <c r="B6676" s="15">
        <v>1922812.0</v>
      </c>
      <c r="C6676" s="15" t="s">
        <v>25337</v>
      </c>
      <c r="D6676" s="15">
        <v>362024.0</v>
      </c>
      <c r="E6676" s="15" t="s">
        <v>1664</v>
      </c>
      <c r="F6676" s="15" t="s">
        <v>1664</v>
      </c>
      <c r="G6676" s="7">
        <v>3.051</v>
      </c>
      <c r="H6676" s="15" t="s">
        <v>1745</v>
      </c>
      <c r="I6676" s="15" t="s">
        <v>1560</v>
      </c>
      <c r="J6676" s="15" t="s">
        <v>25338</v>
      </c>
      <c r="K6676" s="15">
        <v>2.0</v>
      </c>
      <c r="L6676" s="15">
        <v>2.0</v>
      </c>
      <c r="M6676" s="41">
        <v>42714.0</v>
      </c>
      <c r="N6676" s="40">
        <v>42752.0</v>
      </c>
      <c r="O6676" s="15" t="s">
        <v>1554</v>
      </c>
      <c r="Q6676" s="7"/>
    </row>
    <row r="6677">
      <c r="A6677" s="39" t="s">
        <v>25339</v>
      </c>
      <c r="B6677" s="15">
        <v>1922811.0</v>
      </c>
      <c r="C6677" s="15" t="s">
        <v>25340</v>
      </c>
      <c r="D6677" s="15">
        <v>362025.0</v>
      </c>
      <c r="E6677" s="15" t="s">
        <v>1664</v>
      </c>
      <c r="F6677" s="15" t="s">
        <v>1664</v>
      </c>
      <c r="G6677" s="7">
        <v>4.084</v>
      </c>
      <c r="H6677" s="15" t="s">
        <v>2019</v>
      </c>
      <c r="I6677" s="15" t="s">
        <v>1560</v>
      </c>
      <c r="J6677" s="15" t="s">
        <v>25341</v>
      </c>
      <c r="K6677" s="15">
        <v>3.0</v>
      </c>
      <c r="L6677" s="15">
        <v>3.0</v>
      </c>
      <c r="M6677" s="41">
        <v>42714.0</v>
      </c>
      <c r="N6677" s="40">
        <v>42752.0</v>
      </c>
      <c r="O6677" s="15" t="s">
        <v>1554</v>
      </c>
      <c r="Q6677" s="7"/>
    </row>
    <row r="6678">
      <c r="A6678" s="39" t="s">
        <v>25343</v>
      </c>
      <c r="B6678" s="15">
        <v>1922810.0</v>
      </c>
      <c r="C6678" s="15" t="s">
        <v>25344</v>
      </c>
      <c r="D6678" s="15">
        <v>362026.0</v>
      </c>
      <c r="E6678" s="15" t="s">
        <v>1664</v>
      </c>
      <c r="F6678" s="15" t="s">
        <v>1664</v>
      </c>
      <c r="G6678" s="7">
        <v>3.791</v>
      </c>
      <c r="H6678" s="15" t="s">
        <v>2864</v>
      </c>
      <c r="I6678" s="15" t="s">
        <v>1560</v>
      </c>
      <c r="J6678" s="15" t="s">
        <v>25345</v>
      </c>
      <c r="K6678" s="15">
        <v>3.0</v>
      </c>
      <c r="L6678" s="15">
        <v>3.0</v>
      </c>
      <c r="M6678" s="41">
        <v>42714.0</v>
      </c>
      <c r="N6678" s="40">
        <v>42752.0</v>
      </c>
      <c r="O6678" s="15" t="s">
        <v>1554</v>
      </c>
      <c r="Q6678" s="7"/>
    </row>
    <row r="6679">
      <c r="A6679" s="39" t="s">
        <v>25346</v>
      </c>
      <c r="B6679" s="15">
        <v>1922809.0</v>
      </c>
      <c r="C6679" s="15" t="s">
        <v>25347</v>
      </c>
      <c r="D6679" s="15">
        <v>362027.0</v>
      </c>
      <c r="E6679" s="15" t="s">
        <v>1664</v>
      </c>
      <c r="F6679" s="15" t="s">
        <v>1664</v>
      </c>
      <c r="G6679" s="7">
        <v>3.57</v>
      </c>
      <c r="H6679" s="15" t="s">
        <v>2296</v>
      </c>
      <c r="I6679" s="15" t="s">
        <v>1560</v>
      </c>
      <c r="J6679" s="15" t="s">
        <v>25348</v>
      </c>
      <c r="K6679" s="15">
        <v>3.0</v>
      </c>
      <c r="L6679" s="15">
        <v>3.0</v>
      </c>
      <c r="M6679" s="41">
        <v>42714.0</v>
      </c>
      <c r="N6679" s="40">
        <v>42752.0</v>
      </c>
      <c r="O6679" s="15" t="s">
        <v>1554</v>
      </c>
      <c r="Q6679" s="7"/>
    </row>
    <row r="6680">
      <c r="A6680" s="39" t="s">
        <v>25350</v>
      </c>
      <c r="B6680" s="15">
        <v>1922807.0</v>
      </c>
      <c r="C6680" s="15" t="s">
        <v>25351</v>
      </c>
      <c r="D6680" s="15">
        <v>362028.0</v>
      </c>
      <c r="E6680" s="15" t="s">
        <v>1664</v>
      </c>
      <c r="F6680" s="15" t="s">
        <v>1664</v>
      </c>
      <c r="G6680" s="7">
        <v>3.456</v>
      </c>
      <c r="H6680" s="15" t="s">
        <v>4821</v>
      </c>
      <c r="I6680" s="15" t="s">
        <v>1560</v>
      </c>
      <c r="J6680" s="15" t="s">
        <v>25352</v>
      </c>
      <c r="K6680" s="15">
        <v>2.0</v>
      </c>
      <c r="L6680" s="15">
        <v>2.0</v>
      </c>
      <c r="M6680" s="41">
        <v>42714.0</v>
      </c>
      <c r="N6680" s="40">
        <v>42752.0</v>
      </c>
      <c r="O6680" s="15" t="s">
        <v>1554</v>
      </c>
      <c r="Q6680" s="7"/>
    </row>
    <row r="6681">
      <c r="A6681" s="39" t="s">
        <v>25353</v>
      </c>
      <c r="B6681" s="15">
        <v>1922805.0</v>
      </c>
      <c r="C6681" s="15" t="s">
        <v>25354</v>
      </c>
      <c r="D6681" s="15">
        <v>362029.0</v>
      </c>
      <c r="E6681" s="15" t="s">
        <v>1664</v>
      </c>
      <c r="F6681" s="15" t="s">
        <v>1664</v>
      </c>
      <c r="G6681" s="7">
        <v>3.675</v>
      </c>
      <c r="H6681" s="15" t="s">
        <v>3220</v>
      </c>
      <c r="I6681" s="15" t="s">
        <v>1560</v>
      </c>
      <c r="J6681" s="15" t="s">
        <v>25356</v>
      </c>
      <c r="K6681" s="15">
        <v>2.0</v>
      </c>
      <c r="L6681" s="15">
        <v>2.0</v>
      </c>
      <c r="M6681" s="41">
        <v>42714.0</v>
      </c>
      <c r="N6681" s="40">
        <v>42752.0</v>
      </c>
      <c r="O6681" s="15" t="s">
        <v>1554</v>
      </c>
      <c r="Q6681" s="7"/>
    </row>
    <row r="6682">
      <c r="A6682" s="39" t="s">
        <v>25357</v>
      </c>
      <c r="B6682" s="15">
        <v>1922804.0</v>
      </c>
      <c r="C6682" s="15" t="s">
        <v>25358</v>
      </c>
      <c r="D6682" s="15">
        <v>362030.0</v>
      </c>
      <c r="E6682" s="15" t="s">
        <v>1664</v>
      </c>
      <c r="F6682" s="15" t="s">
        <v>1664</v>
      </c>
      <c r="G6682" s="7">
        <v>3.631</v>
      </c>
      <c r="H6682" s="15" t="s">
        <v>4736</v>
      </c>
      <c r="I6682" s="15" t="s">
        <v>1560</v>
      </c>
      <c r="J6682" s="15" t="s">
        <v>25359</v>
      </c>
      <c r="K6682" s="15">
        <v>3.0</v>
      </c>
      <c r="L6682" s="15">
        <v>3.0</v>
      </c>
      <c r="M6682" s="41">
        <v>42714.0</v>
      </c>
      <c r="N6682" s="40">
        <v>42752.0</v>
      </c>
      <c r="O6682" s="15" t="s">
        <v>1554</v>
      </c>
      <c r="Q6682" s="7"/>
    </row>
    <row r="6683">
      <c r="A6683" s="39" t="s">
        <v>25360</v>
      </c>
      <c r="B6683" s="15">
        <v>1922803.0</v>
      </c>
      <c r="C6683" s="15" t="s">
        <v>25361</v>
      </c>
      <c r="D6683" s="15">
        <v>362031.0</v>
      </c>
      <c r="E6683" s="15" t="s">
        <v>1664</v>
      </c>
      <c r="F6683" s="15" t="s">
        <v>1664</v>
      </c>
      <c r="G6683" s="7">
        <v>3.776</v>
      </c>
      <c r="H6683" s="15" t="s">
        <v>5521</v>
      </c>
      <c r="I6683" s="15" t="s">
        <v>1560</v>
      </c>
      <c r="J6683" s="15" t="s">
        <v>25362</v>
      </c>
      <c r="K6683" s="15">
        <v>3.0</v>
      </c>
      <c r="L6683" s="15">
        <v>3.0</v>
      </c>
      <c r="M6683" s="41">
        <v>42714.0</v>
      </c>
      <c r="N6683" s="40">
        <v>42752.0</v>
      </c>
      <c r="O6683" s="15" t="s">
        <v>1554</v>
      </c>
      <c r="Q6683" s="7"/>
    </row>
    <row r="6684">
      <c r="A6684" s="39" t="s">
        <v>25364</v>
      </c>
      <c r="B6684" s="15">
        <v>1922802.0</v>
      </c>
      <c r="C6684" s="15" t="s">
        <v>25365</v>
      </c>
      <c r="D6684" s="15">
        <v>362032.0</v>
      </c>
      <c r="E6684" s="15" t="s">
        <v>1664</v>
      </c>
      <c r="F6684" s="15" t="s">
        <v>1664</v>
      </c>
      <c r="G6684" s="7">
        <v>3.008</v>
      </c>
      <c r="H6684" s="15" t="s">
        <v>4070</v>
      </c>
      <c r="I6684" s="15" t="s">
        <v>1560</v>
      </c>
      <c r="J6684" s="15" t="s">
        <v>25366</v>
      </c>
      <c r="K6684" s="15">
        <v>2.0</v>
      </c>
      <c r="L6684" s="15">
        <v>2.0</v>
      </c>
      <c r="M6684" s="41">
        <v>42714.0</v>
      </c>
      <c r="N6684" s="40">
        <v>42752.0</v>
      </c>
      <c r="O6684" s="15" t="s">
        <v>1554</v>
      </c>
      <c r="Q6684" s="7"/>
    </row>
    <row r="6685">
      <c r="A6685" s="39" t="s">
        <v>25367</v>
      </c>
      <c r="B6685" s="15">
        <v>1922801.0</v>
      </c>
      <c r="C6685" s="15" t="s">
        <v>25368</v>
      </c>
      <c r="D6685" s="15">
        <v>362033.0</v>
      </c>
      <c r="E6685" s="15" t="s">
        <v>1664</v>
      </c>
      <c r="F6685" s="15" t="s">
        <v>1664</v>
      </c>
      <c r="G6685" s="7">
        <v>6.056</v>
      </c>
      <c r="H6685" s="15">
        <v>42.0</v>
      </c>
      <c r="I6685" s="15" t="s">
        <v>1560</v>
      </c>
      <c r="J6685" s="15" t="s">
        <v>25369</v>
      </c>
      <c r="K6685" s="15">
        <v>3.0</v>
      </c>
      <c r="L6685" s="15">
        <v>3.0</v>
      </c>
      <c r="M6685" s="41">
        <v>42714.0</v>
      </c>
      <c r="N6685" s="40">
        <v>42752.0</v>
      </c>
      <c r="O6685" s="15" t="s">
        <v>1554</v>
      </c>
      <c r="Q6685" s="7"/>
    </row>
    <row r="6686">
      <c r="A6686" s="39" t="s">
        <v>25371</v>
      </c>
      <c r="B6686" s="15">
        <v>1922800.0</v>
      </c>
      <c r="C6686" s="15" t="s">
        <v>25372</v>
      </c>
      <c r="D6686" s="15">
        <v>362034.0</v>
      </c>
      <c r="E6686" s="15" t="s">
        <v>1664</v>
      </c>
      <c r="F6686" s="15" t="s">
        <v>1664</v>
      </c>
      <c r="G6686" s="7">
        <v>4.863</v>
      </c>
      <c r="H6686" s="15" t="s">
        <v>1700</v>
      </c>
      <c r="I6686" s="15" t="s">
        <v>1560</v>
      </c>
      <c r="J6686" s="15" t="s">
        <v>25373</v>
      </c>
      <c r="K6686" s="15">
        <v>3.0</v>
      </c>
      <c r="L6686" s="15">
        <v>3.0</v>
      </c>
      <c r="M6686" s="41">
        <v>42714.0</v>
      </c>
      <c r="N6686" s="40">
        <v>42752.0</v>
      </c>
      <c r="O6686" s="15" t="s">
        <v>1554</v>
      </c>
      <c r="Q6686" s="7"/>
    </row>
    <row r="6687">
      <c r="A6687" s="39" t="s">
        <v>25374</v>
      </c>
      <c r="B6687" s="15">
        <v>1922799.0</v>
      </c>
      <c r="C6687" s="15" t="s">
        <v>25375</v>
      </c>
      <c r="D6687" s="15">
        <v>362035.0</v>
      </c>
      <c r="E6687" s="15" t="s">
        <v>1664</v>
      </c>
      <c r="F6687" s="15" t="s">
        <v>1664</v>
      </c>
      <c r="G6687" s="7">
        <v>5.278</v>
      </c>
      <c r="H6687" s="15">
        <v>55.0</v>
      </c>
      <c r="I6687" s="15" t="s">
        <v>1560</v>
      </c>
      <c r="J6687" s="15" t="s">
        <v>25376</v>
      </c>
      <c r="K6687" s="15">
        <v>3.0</v>
      </c>
      <c r="L6687" s="15">
        <v>3.0</v>
      </c>
      <c r="M6687" s="41">
        <v>42714.0</v>
      </c>
      <c r="N6687" s="40">
        <v>42752.0</v>
      </c>
      <c r="O6687" s="15" t="s">
        <v>1554</v>
      </c>
      <c r="Q6687" s="7"/>
    </row>
    <row r="6688">
      <c r="A6688" s="39" t="s">
        <v>25377</v>
      </c>
      <c r="B6688" s="15">
        <v>1922798.0</v>
      </c>
      <c r="C6688" s="15" t="s">
        <v>25378</v>
      </c>
      <c r="D6688" s="15">
        <v>362036.0</v>
      </c>
      <c r="E6688" s="15" t="s">
        <v>1664</v>
      </c>
      <c r="F6688" s="15" t="s">
        <v>1664</v>
      </c>
      <c r="G6688" s="7">
        <v>8.652</v>
      </c>
      <c r="H6688" s="15" t="s">
        <v>1918</v>
      </c>
      <c r="I6688" s="15" t="s">
        <v>1560</v>
      </c>
      <c r="J6688" s="15" t="s">
        <v>25379</v>
      </c>
      <c r="K6688" s="15">
        <v>2.0</v>
      </c>
      <c r="L6688" s="15">
        <v>2.0</v>
      </c>
      <c r="M6688" s="41">
        <v>42714.0</v>
      </c>
      <c r="N6688" s="40">
        <v>42752.0</v>
      </c>
      <c r="O6688" s="15" t="s">
        <v>1554</v>
      </c>
      <c r="Q6688" s="7"/>
    </row>
    <row r="6689">
      <c r="A6689" s="39" t="s">
        <v>25381</v>
      </c>
      <c r="B6689" s="15">
        <v>1922797.0</v>
      </c>
      <c r="C6689" s="15" t="s">
        <v>25382</v>
      </c>
      <c r="D6689" s="15">
        <v>362037.0</v>
      </c>
      <c r="E6689" s="15" t="s">
        <v>1664</v>
      </c>
      <c r="F6689" s="15" t="s">
        <v>1664</v>
      </c>
      <c r="G6689" s="7">
        <v>8.685</v>
      </c>
      <c r="H6689" s="15" t="s">
        <v>2660</v>
      </c>
      <c r="I6689" s="15" t="s">
        <v>1560</v>
      </c>
      <c r="J6689" s="15" t="s">
        <v>25383</v>
      </c>
      <c r="K6689" s="15">
        <v>2.0</v>
      </c>
      <c r="L6689" s="15">
        <v>2.0</v>
      </c>
      <c r="M6689" s="41">
        <v>42714.0</v>
      </c>
      <c r="N6689" s="40">
        <v>42752.0</v>
      </c>
      <c r="O6689" s="15" t="s">
        <v>1554</v>
      </c>
      <c r="Q6689" s="7"/>
    </row>
    <row r="6690">
      <c r="A6690" s="39" t="s">
        <v>25384</v>
      </c>
      <c r="B6690" s="15">
        <v>1922796.0</v>
      </c>
      <c r="C6690" s="15" t="s">
        <v>25385</v>
      </c>
      <c r="D6690" s="15">
        <v>362038.0</v>
      </c>
      <c r="E6690" s="15" t="s">
        <v>1664</v>
      </c>
      <c r="F6690" s="15" t="s">
        <v>1664</v>
      </c>
      <c r="G6690" s="7">
        <v>8.266</v>
      </c>
      <c r="H6690" s="15" t="s">
        <v>1962</v>
      </c>
      <c r="I6690" s="15" t="s">
        <v>1560</v>
      </c>
      <c r="J6690" s="15" t="s">
        <v>25386</v>
      </c>
      <c r="K6690" s="15">
        <v>2.0</v>
      </c>
      <c r="L6690" s="15">
        <v>2.0</v>
      </c>
      <c r="M6690" s="41">
        <v>42714.0</v>
      </c>
      <c r="N6690" s="40">
        <v>42752.0</v>
      </c>
      <c r="O6690" s="15" t="s">
        <v>1554</v>
      </c>
      <c r="Q6690" s="7"/>
    </row>
    <row r="6691">
      <c r="A6691" s="39" t="s">
        <v>25387</v>
      </c>
      <c r="B6691" s="15">
        <v>1922795.0</v>
      </c>
      <c r="C6691" s="15" t="s">
        <v>25388</v>
      </c>
      <c r="D6691" s="15">
        <v>362039.0</v>
      </c>
      <c r="E6691" s="15" t="s">
        <v>1664</v>
      </c>
      <c r="F6691" s="15" t="s">
        <v>1664</v>
      </c>
      <c r="G6691" s="7">
        <v>8.489</v>
      </c>
      <c r="H6691" s="15" t="s">
        <v>1720</v>
      </c>
      <c r="I6691" s="15" t="s">
        <v>1560</v>
      </c>
      <c r="J6691" s="15" t="s">
        <v>25389</v>
      </c>
      <c r="K6691" s="15">
        <v>2.0</v>
      </c>
      <c r="L6691" s="15">
        <v>2.0</v>
      </c>
      <c r="M6691" s="41">
        <v>42714.0</v>
      </c>
      <c r="N6691" s="40">
        <v>42752.0</v>
      </c>
      <c r="O6691" s="15" t="s">
        <v>1554</v>
      </c>
      <c r="Q6691" s="7"/>
    </row>
    <row r="6692">
      <c r="A6692" s="39" t="s">
        <v>25390</v>
      </c>
      <c r="B6692" s="15">
        <v>1922794.0</v>
      </c>
      <c r="C6692" s="15" t="s">
        <v>25391</v>
      </c>
      <c r="D6692" s="15">
        <v>362040.0</v>
      </c>
      <c r="E6692" s="15" t="s">
        <v>1664</v>
      </c>
      <c r="F6692" s="15" t="s">
        <v>1664</v>
      </c>
      <c r="G6692" s="7">
        <v>9.182</v>
      </c>
      <c r="H6692" s="15" t="s">
        <v>2869</v>
      </c>
      <c r="I6692" s="15" t="s">
        <v>1560</v>
      </c>
      <c r="J6692" s="15" t="s">
        <v>25392</v>
      </c>
      <c r="K6692" s="15">
        <v>1.0</v>
      </c>
      <c r="L6692" s="15">
        <v>1.0</v>
      </c>
      <c r="M6692" s="41">
        <v>42714.0</v>
      </c>
      <c r="N6692" s="40">
        <v>42752.0</v>
      </c>
      <c r="O6692" s="15" t="s">
        <v>1554</v>
      </c>
      <c r="Q6692" s="7"/>
    </row>
    <row r="6693">
      <c r="A6693" s="39" t="s">
        <v>25393</v>
      </c>
      <c r="B6693" s="15">
        <v>1922793.0</v>
      </c>
      <c r="C6693" s="15" t="s">
        <v>25394</v>
      </c>
      <c r="D6693" s="15">
        <v>362041.0</v>
      </c>
      <c r="E6693" s="15" t="s">
        <v>1664</v>
      </c>
      <c r="F6693" s="15" t="s">
        <v>1664</v>
      </c>
      <c r="G6693" s="7">
        <v>8.923</v>
      </c>
      <c r="H6693" s="15" t="s">
        <v>2233</v>
      </c>
      <c r="I6693" s="15" t="s">
        <v>1560</v>
      </c>
      <c r="J6693" s="15" t="s">
        <v>25395</v>
      </c>
      <c r="K6693" s="15">
        <v>2.0</v>
      </c>
      <c r="L6693" s="15">
        <v>2.0</v>
      </c>
      <c r="M6693" s="41">
        <v>42714.0</v>
      </c>
      <c r="N6693" s="40">
        <v>42752.0</v>
      </c>
      <c r="O6693" s="15" t="s">
        <v>1554</v>
      </c>
      <c r="Q6693" s="7"/>
    </row>
    <row r="6694">
      <c r="A6694" s="39" t="s">
        <v>25396</v>
      </c>
      <c r="B6694" s="15">
        <v>1922899.0</v>
      </c>
      <c r="C6694" s="15" t="s">
        <v>25397</v>
      </c>
      <c r="D6694" s="15">
        <v>362042.0</v>
      </c>
      <c r="E6694" s="15" t="s">
        <v>1664</v>
      </c>
      <c r="F6694" s="15" t="s">
        <v>1664</v>
      </c>
      <c r="G6694" s="7">
        <v>4.779</v>
      </c>
      <c r="H6694" s="15" t="s">
        <v>13429</v>
      </c>
      <c r="I6694" s="15" t="s">
        <v>1560</v>
      </c>
      <c r="J6694" s="15" t="s">
        <v>25398</v>
      </c>
      <c r="K6694" s="15">
        <v>3.0</v>
      </c>
      <c r="L6694" s="15">
        <v>3.0</v>
      </c>
      <c r="M6694" s="41">
        <v>42714.0</v>
      </c>
      <c r="N6694" s="40">
        <v>42752.0</v>
      </c>
      <c r="O6694" s="15" t="s">
        <v>1554</v>
      </c>
      <c r="Q6694" s="7"/>
    </row>
    <row r="6695">
      <c r="A6695" s="39" t="s">
        <v>25399</v>
      </c>
      <c r="B6695" s="15">
        <v>1922896.0</v>
      </c>
      <c r="C6695" s="15" t="s">
        <v>25400</v>
      </c>
      <c r="D6695" s="15">
        <v>362043.0</v>
      </c>
      <c r="E6695" s="15" t="s">
        <v>1664</v>
      </c>
      <c r="F6695" s="15" t="s">
        <v>1664</v>
      </c>
      <c r="G6695" s="7">
        <v>7.736</v>
      </c>
      <c r="H6695" s="15" t="s">
        <v>6303</v>
      </c>
      <c r="I6695" s="15" t="s">
        <v>1560</v>
      </c>
      <c r="J6695" s="15" t="s">
        <v>25401</v>
      </c>
      <c r="K6695" s="15">
        <v>3.0</v>
      </c>
      <c r="L6695" s="15">
        <v>3.0</v>
      </c>
      <c r="M6695" s="41">
        <v>42714.0</v>
      </c>
      <c r="N6695" s="40">
        <v>42752.0</v>
      </c>
      <c r="O6695" s="15" t="s">
        <v>1554</v>
      </c>
      <c r="Q6695" s="7"/>
    </row>
    <row r="6696">
      <c r="A6696" s="39" t="s">
        <v>25402</v>
      </c>
      <c r="B6696" s="15">
        <v>1922895.0</v>
      </c>
      <c r="C6696" s="15" t="s">
        <v>25403</v>
      </c>
      <c r="D6696" s="15">
        <v>362044.0</v>
      </c>
      <c r="E6696" s="15" t="s">
        <v>1664</v>
      </c>
      <c r="F6696" s="15" t="s">
        <v>1664</v>
      </c>
      <c r="G6696" s="7">
        <v>5.933</v>
      </c>
      <c r="H6696" s="15">
        <v>32.0</v>
      </c>
      <c r="I6696" s="15" t="s">
        <v>1560</v>
      </c>
      <c r="J6696" s="15" t="s">
        <v>25404</v>
      </c>
      <c r="K6696" s="15">
        <v>3.0</v>
      </c>
      <c r="L6696" s="15">
        <v>3.0</v>
      </c>
      <c r="M6696" s="41">
        <v>42714.0</v>
      </c>
      <c r="N6696" s="40">
        <v>42752.0</v>
      </c>
      <c r="O6696" s="15" t="s">
        <v>1554</v>
      </c>
      <c r="Q6696" s="7"/>
    </row>
    <row r="6697">
      <c r="A6697" s="39" t="s">
        <v>25405</v>
      </c>
      <c r="B6697" s="15">
        <v>1922894.0</v>
      </c>
      <c r="C6697" s="15" t="s">
        <v>25406</v>
      </c>
      <c r="D6697" s="15">
        <v>362045.0</v>
      </c>
      <c r="E6697" s="15" t="s">
        <v>1664</v>
      </c>
      <c r="F6697" s="15" t="s">
        <v>1664</v>
      </c>
      <c r="G6697" s="7">
        <v>7.594</v>
      </c>
      <c r="H6697" s="15" t="s">
        <v>3097</v>
      </c>
      <c r="I6697" s="15" t="s">
        <v>1560</v>
      </c>
      <c r="J6697" s="15" t="s">
        <v>25407</v>
      </c>
      <c r="K6697" s="15">
        <v>3.0</v>
      </c>
      <c r="L6697" s="15">
        <v>3.0</v>
      </c>
      <c r="M6697" s="41">
        <v>42714.0</v>
      </c>
      <c r="N6697" s="40">
        <v>42752.0</v>
      </c>
      <c r="O6697" s="15" t="s">
        <v>1554</v>
      </c>
      <c r="Q6697" s="7"/>
    </row>
    <row r="6698">
      <c r="A6698" s="39" t="s">
        <v>25408</v>
      </c>
      <c r="B6698" s="15">
        <v>1922893.0</v>
      </c>
      <c r="C6698" s="15" t="s">
        <v>25409</v>
      </c>
      <c r="D6698" s="15">
        <v>362046.0</v>
      </c>
      <c r="E6698" s="15" t="s">
        <v>1664</v>
      </c>
      <c r="F6698" s="15" t="s">
        <v>1664</v>
      </c>
      <c r="G6698" s="7">
        <v>13.693</v>
      </c>
      <c r="H6698" s="15" t="s">
        <v>3550</v>
      </c>
      <c r="I6698" s="15" t="s">
        <v>1560</v>
      </c>
      <c r="J6698" s="15" t="s">
        <v>25410</v>
      </c>
      <c r="K6698" s="15">
        <v>1.0</v>
      </c>
      <c r="L6698" s="15">
        <v>1.0</v>
      </c>
      <c r="M6698" s="41">
        <v>42714.0</v>
      </c>
      <c r="N6698" s="40">
        <v>42752.0</v>
      </c>
      <c r="O6698" s="15" t="s">
        <v>1554</v>
      </c>
      <c r="Q6698" s="7"/>
    </row>
    <row r="6699">
      <c r="A6699" s="39" t="s">
        <v>25411</v>
      </c>
      <c r="B6699" s="15">
        <v>1922889.0</v>
      </c>
      <c r="C6699" s="15" t="s">
        <v>25412</v>
      </c>
      <c r="D6699" s="15">
        <v>362047.0</v>
      </c>
      <c r="E6699" s="15" t="s">
        <v>1664</v>
      </c>
      <c r="F6699" s="15" t="s">
        <v>1664</v>
      </c>
      <c r="G6699" s="7">
        <v>13.0</v>
      </c>
      <c r="H6699" s="15" t="s">
        <v>1607</v>
      </c>
      <c r="I6699" s="15" t="s">
        <v>1560</v>
      </c>
      <c r="J6699" s="15" t="s">
        <v>25413</v>
      </c>
      <c r="K6699" s="15">
        <v>6.0</v>
      </c>
      <c r="L6699" s="15">
        <v>6.0</v>
      </c>
      <c r="M6699" s="41">
        <v>42714.0</v>
      </c>
      <c r="N6699" s="40">
        <v>42752.0</v>
      </c>
      <c r="O6699" s="15" t="s">
        <v>1554</v>
      </c>
      <c r="Q6699" s="7"/>
    </row>
    <row r="6700">
      <c r="A6700" s="39" t="s">
        <v>25414</v>
      </c>
      <c r="B6700" s="15">
        <v>1922883.0</v>
      </c>
      <c r="C6700" s="15" t="s">
        <v>25415</v>
      </c>
      <c r="D6700" s="15">
        <v>362048.0</v>
      </c>
      <c r="E6700" s="15" t="s">
        <v>1664</v>
      </c>
      <c r="F6700" s="15" t="s">
        <v>1664</v>
      </c>
      <c r="G6700" s="7">
        <v>7.691</v>
      </c>
      <c r="H6700" s="15" t="s">
        <v>4215</v>
      </c>
      <c r="I6700" s="15" t="s">
        <v>1560</v>
      </c>
      <c r="J6700" s="15" t="s">
        <v>25416</v>
      </c>
      <c r="K6700" s="15">
        <v>2.0</v>
      </c>
      <c r="L6700" s="15">
        <v>2.0</v>
      </c>
      <c r="M6700" s="41">
        <v>42714.0</v>
      </c>
      <c r="N6700" s="40">
        <v>42752.0</v>
      </c>
      <c r="O6700" s="15" t="s">
        <v>1554</v>
      </c>
      <c r="Q6700" s="7"/>
    </row>
    <row r="6701">
      <c r="A6701" s="39" t="s">
        <v>25417</v>
      </c>
      <c r="B6701" s="15">
        <v>1922878.0</v>
      </c>
      <c r="C6701" s="15" t="s">
        <v>25418</v>
      </c>
      <c r="D6701" s="15">
        <v>362049.0</v>
      </c>
      <c r="E6701" s="15" t="s">
        <v>1664</v>
      </c>
      <c r="F6701" s="15" t="s">
        <v>1664</v>
      </c>
      <c r="G6701" s="7">
        <v>3.333</v>
      </c>
      <c r="H6701" s="15" t="s">
        <v>25419</v>
      </c>
      <c r="I6701" s="15" t="s">
        <v>1560</v>
      </c>
      <c r="J6701" s="15" t="s">
        <v>25420</v>
      </c>
      <c r="K6701" s="15">
        <v>2.0</v>
      </c>
      <c r="L6701" s="15">
        <v>2.0</v>
      </c>
      <c r="M6701" s="41">
        <v>42714.0</v>
      </c>
      <c r="N6701" s="40">
        <v>42752.0</v>
      </c>
      <c r="O6701" s="15" t="s">
        <v>1554</v>
      </c>
      <c r="Q6701" s="7"/>
    </row>
    <row r="6702">
      <c r="A6702" s="39" t="s">
        <v>25421</v>
      </c>
      <c r="B6702" s="15">
        <v>1922877.0</v>
      </c>
      <c r="C6702" s="15" t="s">
        <v>25422</v>
      </c>
      <c r="D6702" s="15">
        <v>362050.0</v>
      </c>
      <c r="E6702" s="15" t="s">
        <v>1664</v>
      </c>
      <c r="F6702" s="15" t="s">
        <v>1664</v>
      </c>
      <c r="G6702" s="7">
        <v>2.73</v>
      </c>
      <c r="H6702" s="15" t="s">
        <v>3407</v>
      </c>
      <c r="I6702" s="15" t="s">
        <v>1560</v>
      </c>
      <c r="J6702" s="15" t="s">
        <v>25423</v>
      </c>
      <c r="K6702" s="15">
        <v>1.0</v>
      </c>
      <c r="L6702" s="15">
        <v>1.0</v>
      </c>
      <c r="M6702" s="41">
        <v>42714.0</v>
      </c>
      <c r="N6702" s="40">
        <v>42752.0</v>
      </c>
      <c r="O6702" s="15" t="s">
        <v>1554</v>
      </c>
      <c r="Q6702" s="7"/>
    </row>
    <row r="6703">
      <c r="A6703" s="39" t="s">
        <v>25424</v>
      </c>
      <c r="B6703" s="15">
        <v>1922876.0</v>
      </c>
      <c r="C6703" s="15" t="s">
        <v>25425</v>
      </c>
      <c r="D6703" s="15">
        <v>362051.0</v>
      </c>
      <c r="E6703" s="15" t="s">
        <v>1664</v>
      </c>
      <c r="F6703" s="15" t="s">
        <v>1664</v>
      </c>
      <c r="G6703" s="7">
        <v>2.073</v>
      </c>
      <c r="H6703" s="15" t="s">
        <v>2524</v>
      </c>
      <c r="I6703" s="15" t="s">
        <v>1560</v>
      </c>
      <c r="J6703" s="15" t="s">
        <v>25426</v>
      </c>
      <c r="K6703" s="15">
        <v>2.0</v>
      </c>
      <c r="L6703" s="15">
        <v>2.0</v>
      </c>
      <c r="M6703" s="41">
        <v>42714.0</v>
      </c>
      <c r="N6703" s="40">
        <v>42752.0</v>
      </c>
      <c r="O6703" s="15" t="s">
        <v>1554</v>
      </c>
      <c r="Q6703" s="7"/>
    </row>
    <row r="6704">
      <c r="A6704" s="39" t="s">
        <v>25427</v>
      </c>
      <c r="B6704" s="15">
        <v>1922875.0</v>
      </c>
      <c r="C6704" s="15" t="s">
        <v>25428</v>
      </c>
      <c r="D6704" s="15">
        <v>362052.0</v>
      </c>
      <c r="E6704" s="15" t="s">
        <v>1664</v>
      </c>
      <c r="F6704" s="15" t="s">
        <v>1664</v>
      </c>
      <c r="G6704" s="7">
        <v>4.257</v>
      </c>
      <c r="H6704" s="15" t="s">
        <v>25429</v>
      </c>
      <c r="I6704" s="15" t="s">
        <v>1560</v>
      </c>
      <c r="J6704" s="15" t="s">
        <v>25430</v>
      </c>
      <c r="K6704" s="15">
        <v>4.0</v>
      </c>
      <c r="L6704" s="15">
        <v>4.0</v>
      </c>
      <c r="M6704" s="41">
        <v>42714.0</v>
      </c>
      <c r="N6704" s="40">
        <v>42752.0</v>
      </c>
      <c r="O6704" s="15" t="s">
        <v>1554</v>
      </c>
      <c r="Q6704" s="7"/>
    </row>
    <row r="6705">
      <c r="A6705" s="39" t="s">
        <v>25431</v>
      </c>
      <c r="B6705" s="15">
        <v>1922874.0</v>
      </c>
      <c r="C6705" s="15" t="s">
        <v>25432</v>
      </c>
      <c r="D6705" s="15">
        <v>362053.0</v>
      </c>
      <c r="E6705" s="15" t="s">
        <v>1664</v>
      </c>
      <c r="F6705" s="15" t="s">
        <v>1664</v>
      </c>
      <c r="G6705" s="7">
        <v>4.712</v>
      </c>
      <c r="H6705" s="15" t="s">
        <v>25433</v>
      </c>
      <c r="I6705" s="15" t="s">
        <v>1560</v>
      </c>
      <c r="J6705" s="15" t="s">
        <v>25434</v>
      </c>
      <c r="K6705" s="15">
        <v>3.0</v>
      </c>
      <c r="L6705" s="15">
        <v>3.0</v>
      </c>
      <c r="M6705" s="41">
        <v>42714.0</v>
      </c>
      <c r="N6705" s="40">
        <v>42752.0</v>
      </c>
      <c r="O6705" s="15" t="s">
        <v>1554</v>
      </c>
      <c r="Q6705" s="7"/>
    </row>
    <row r="6706">
      <c r="A6706" s="39" t="s">
        <v>25435</v>
      </c>
      <c r="B6706" s="15">
        <v>1922873.0</v>
      </c>
      <c r="C6706" s="15" t="s">
        <v>25436</v>
      </c>
      <c r="D6706" s="15">
        <v>362054.0</v>
      </c>
      <c r="E6706" s="15" t="s">
        <v>1664</v>
      </c>
      <c r="F6706" s="15" t="s">
        <v>1664</v>
      </c>
      <c r="G6706" s="7">
        <v>4.805</v>
      </c>
      <c r="H6706" s="15" t="s">
        <v>25437</v>
      </c>
      <c r="I6706" s="15" t="s">
        <v>1560</v>
      </c>
      <c r="J6706" s="15" t="s">
        <v>25438</v>
      </c>
      <c r="K6706" s="15">
        <v>3.0</v>
      </c>
      <c r="L6706" s="15">
        <v>3.0</v>
      </c>
      <c r="M6706" s="41">
        <v>42714.0</v>
      </c>
      <c r="N6706" s="40">
        <v>42752.0</v>
      </c>
      <c r="O6706" s="15" t="s">
        <v>1554</v>
      </c>
      <c r="Q6706" s="7"/>
    </row>
    <row r="6707">
      <c r="A6707" s="39" t="s">
        <v>25439</v>
      </c>
      <c r="B6707" s="15">
        <v>1922872.0</v>
      </c>
      <c r="C6707" s="15" t="s">
        <v>25440</v>
      </c>
      <c r="D6707" s="15">
        <v>362055.0</v>
      </c>
      <c r="E6707" s="15" t="s">
        <v>1664</v>
      </c>
      <c r="F6707" s="15" t="s">
        <v>1664</v>
      </c>
      <c r="G6707" s="7">
        <v>12.513</v>
      </c>
      <c r="H6707" s="42">
        <v>43311.0</v>
      </c>
      <c r="I6707" s="15" t="s">
        <v>1560</v>
      </c>
      <c r="J6707" s="15" t="s">
        <v>25441</v>
      </c>
      <c r="K6707" s="15">
        <v>4.0</v>
      </c>
      <c r="L6707" s="15">
        <v>4.0</v>
      </c>
      <c r="M6707" s="41">
        <v>42714.0</v>
      </c>
      <c r="N6707" s="40">
        <v>42752.0</v>
      </c>
      <c r="O6707" s="15" t="s">
        <v>1554</v>
      </c>
      <c r="Q6707" s="7"/>
    </row>
    <row r="6708">
      <c r="A6708" s="39" t="s">
        <v>25442</v>
      </c>
      <c r="B6708" s="15">
        <v>1922871.0</v>
      </c>
      <c r="C6708" s="15" t="s">
        <v>25443</v>
      </c>
      <c r="D6708" s="15">
        <v>362056.0</v>
      </c>
      <c r="E6708" s="15" t="s">
        <v>1664</v>
      </c>
      <c r="F6708" s="15" t="s">
        <v>1664</v>
      </c>
      <c r="G6708" s="7">
        <v>13.161</v>
      </c>
      <c r="H6708" s="15" t="s">
        <v>6565</v>
      </c>
      <c r="I6708" s="15" t="s">
        <v>1560</v>
      </c>
      <c r="J6708" s="15" t="s">
        <v>25444</v>
      </c>
      <c r="K6708" s="15">
        <v>6.0</v>
      </c>
      <c r="L6708" s="15">
        <v>6.0</v>
      </c>
      <c r="M6708" s="41">
        <v>42714.0</v>
      </c>
      <c r="N6708" s="40">
        <v>42752.0</v>
      </c>
      <c r="O6708" s="15" t="s">
        <v>1554</v>
      </c>
      <c r="Q6708" s="7"/>
    </row>
    <row r="6709">
      <c r="A6709" s="39" t="s">
        <v>25445</v>
      </c>
      <c r="B6709" s="15">
        <v>1922870.0</v>
      </c>
      <c r="C6709" s="15" t="s">
        <v>25446</v>
      </c>
      <c r="D6709" s="15">
        <v>362057.0</v>
      </c>
      <c r="E6709" s="15" t="s">
        <v>1664</v>
      </c>
      <c r="F6709" s="15" t="s">
        <v>1664</v>
      </c>
      <c r="G6709" s="7">
        <v>8.86</v>
      </c>
      <c r="H6709" s="15" t="s">
        <v>3022</v>
      </c>
      <c r="I6709" s="15" t="s">
        <v>1560</v>
      </c>
      <c r="J6709" s="15" t="s">
        <v>25447</v>
      </c>
      <c r="K6709" s="15">
        <v>2.0</v>
      </c>
      <c r="L6709" s="15">
        <v>2.0</v>
      </c>
      <c r="M6709" s="41">
        <v>42714.0</v>
      </c>
      <c r="N6709" s="40">
        <v>42752.0</v>
      </c>
      <c r="O6709" s="15" t="s">
        <v>1554</v>
      </c>
      <c r="Q6709" s="7"/>
    </row>
    <row r="6710">
      <c r="A6710" s="39" t="s">
        <v>25448</v>
      </c>
      <c r="B6710" s="15">
        <v>1922868.0</v>
      </c>
      <c r="C6710" s="15" t="s">
        <v>25449</v>
      </c>
      <c r="D6710" s="15">
        <v>362058.0</v>
      </c>
      <c r="E6710" s="15" t="s">
        <v>1664</v>
      </c>
      <c r="F6710" s="15" t="s">
        <v>1664</v>
      </c>
      <c r="G6710" s="7">
        <v>11.67</v>
      </c>
      <c r="H6710" s="15" t="s">
        <v>4401</v>
      </c>
      <c r="I6710" s="15" t="s">
        <v>1560</v>
      </c>
      <c r="J6710" s="15" t="s">
        <v>25450</v>
      </c>
      <c r="K6710" s="15">
        <v>5.0</v>
      </c>
      <c r="L6710" s="15">
        <v>5.0</v>
      </c>
      <c r="M6710" s="41">
        <v>42714.0</v>
      </c>
      <c r="N6710" s="40">
        <v>42752.0</v>
      </c>
      <c r="O6710" s="15" t="s">
        <v>1554</v>
      </c>
      <c r="Q6710" s="7"/>
    </row>
    <row r="6711">
      <c r="A6711" s="39" t="s">
        <v>25451</v>
      </c>
      <c r="B6711" s="15">
        <v>1922867.0</v>
      </c>
      <c r="C6711" s="15" t="s">
        <v>25452</v>
      </c>
      <c r="D6711" s="15">
        <v>362059.0</v>
      </c>
      <c r="E6711" s="15" t="s">
        <v>1664</v>
      </c>
      <c r="F6711" s="15" t="s">
        <v>1664</v>
      </c>
      <c r="G6711" s="7">
        <v>11.332</v>
      </c>
      <c r="H6711" s="15" t="s">
        <v>3568</v>
      </c>
      <c r="I6711" s="15" t="s">
        <v>1560</v>
      </c>
      <c r="J6711" s="15" t="s">
        <v>25453</v>
      </c>
      <c r="K6711" s="15">
        <v>5.0</v>
      </c>
      <c r="L6711" s="15">
        <v>5.0</v>
      </c>
      <c r="M6711" s="41">
        <v>42714.0</v>
      </c>
      <c r="N6711" s="40">
        <v>42752.0</v>
      </c>
      <c r="O6711" s="15" t="s">
        <v>1554</v>
      </c>
      <c r="Q6711" s="7"/>
    </row>
    <row r="6712">
      <c r="A6712" s="39" t="s">
        <v>25454</v>
      </c>
      <c r="B6712" s="15">
        <v>1922866.0</v>
      </c>
      <c r="C6712" s="15" t="s">
        <v>25455</v>
      </c>
      <c r="D6712" s="15">
        <v>362060.0</v>
      </c>
      <c r="E6712" s="15" t="s">
        <v>1664</v>
      </c>
      <c r="F6712" s="15" t="s">
        <v>1664</v>
      </c>
      <c r="G6712" s="7">
        <v>11.145</v>
      </c>
      <c r="H6712" s="15" t="s">
        <v>2141</v>
      </c>
      <c r="I6712" s="15" t="s">
        <v>1560</v>
      </c>
      <c r="J6712" s="15" t="s">
        <v>25456</v>
      </c>
      <c r="K6712" s="15">
        <v>5.0</v>
      </c>
      <c r="L6712" s="15">
        <v>5.0</v>
      </c>
      <c r="M6712" s="41">
        <v>42714.0</v>
      </c>
      <c r="N6712" s="40">
        <v>42752.0</v>
      </c>
      <c r="O6712" s="15" t="s">
        <v>1554</v>
      </c>
      <c r="Q6712" s="7"/>
    </row>
    <row r="6713">
      <c r="A6713" s="39" t="s">
        <v>25457</v>
      </c>
      <c r="B6713" s="15">
        <v>1922862.0</v>
      </c>
      <c r="C6713" s="15" t="s">
        <v>25458</v>
      </c>
      <c r="D6713" s="15">
        <v>362061.0</v>
      </c>
      <c r="E6713" s="15" t="s">
        <v>1664</v>
      </c>
      <c r="F6713" s="15" t="s">
        <v>1664</v>
      </c>
      <c r="G6713" s="7">
        <v>13.741</v>
      </c>
      <c r="H6713" s="15" t="s">
        <v>2334</v>
      </c>
      <c r="I6713" s="15" t="s">
        <v>1560</v>
      </c>
      <c r="J6713" s="15" t="s">
        <v>25459</v>
      </c>
      <c r="K6713" s="15">
        <v>3.0</v>
      </c>
      <c r="L6713" s="15">
        <v>3.0</v>
      </c>
      <c r="M6713" s="41">
        <v>42714.0</v>
      </c>
      <c r="N6713" s="40">
        <v>42752.0</v>
      </c>
      <c r="O6713" s="15" t="s">
        <v>1554</v>
      </c>
      <c r="Q6713" s="7"/>
    </row>
    <row r="6714">
      <c r="A6714" s="39" t="s">
        <v>25460</v>
      </c>
      <c r="B6714" s="15">
        <v>1922861.0</v>
      </c>
      <c r="C6714" s="15" t="s">
        <v>25461</v>
      </c>
      <c r="D6714" s="15">
        <v>362062.0</v>
      </c>
      <c r="E6714" s="15" t="s">
        <v>1664</v>
      </c>
      <c r="F6714" s="15" t="s">
        <v>1664</v>
      </c>
      <c r="G6714" s="7">
        <v>11.668</v>
      </c>
      <c r="H6714" s="15" t="s">
        <v>2580</v>
      </c>
      <c r="I6714" s="15" t="s">
        <v>1560</v>
      </c>
      <c r="J6714" s="15" t="s">
        <v>25462</v>
      </c>
      <c r="K6714" s="15">
        <v>1.0</v>
      </c>
      <c r="L6714" s="15">
        <v>1.0</v>
      </c>
      <c r="M6714" s="41">
        <v>42714.0</v>
      </c>
      <c r="N6714" s="40">
        <v>42752.0</v>
      </c>
      <c r="O6714" s="15" t="s">
        <v>1554</v>
      </c>
      <c r="Q6714" s="7"/>
    </row>
    <row r="6715">
      <c r="A6715" s="39" t="s">
        <v>25463</v>
      </c>
      <c r="B6715" s="15">
        <v>1922860.0</v>
      </c>
      <c r="C6715" s="15" t="s">
        <v>25464</v>
      </c>
      <c r="D6715" s="15">
        <v>362063.0</v>
      </c>
      <c r="E6715" s="15" t="s">
        <v>1664</v>
      </c>
      <c r="F6715" s="15" t="s">
        <v>1664</v>
      </c>
      <c r="G6715" s="7">
        <v>10.107</v>
      </c>
      <c r="H6715" s="15" t="s">
        <v>3862</v>
      </c>
      <c r="I6715" s="15" t="s">
        <v>1560</v>
      </c>
      <c r="J6715" s="15" t="s">
        <v>25465</v>
      </c>
      <c r="K6715" s="15">
        <v>1.0</v>
      </c>
      <c r="L6715" s="15">
        <v>1.0</v>
      </c>
      <c r="M6715" s="41">
        <v>42714.0</v>
      </c>
      <c r="N6715" s="40">
        <v>42752.0</v>
      </c>
      <c r="O6715" s="15" t="s">
        <v>1554</v>
      </c>
      <c r="Q6715" s="7"/>
    </row>
    <row r="6716">
      <c r="A6716" s="39" t="s">
        <v>25466</v>
      </c>
      <c r="B6716" s="15">
        <v>1922858.0</v>
      </c>
      <c r="C6716" s="15" t="s">
        <v>25467</v>
      </c>
      <c r="D6716" s="15">
        <v>362064.0</v>
      </c>
      <c r="E6716" s="15" t="s">
        <v>1664</v>
      </c>
      <c r="F6716" s="15" t="s">
        <v>1664</v>
      </c>
      <c r="G6716" s="7">
        <v>11.28</v>
      </c>
      <c r="H6716" s="15" t="s">
        <v>3082</v>
      </c>
      <c r="I6716" s="15" t="s">
        <v>1560</v>
      </c>
      <c r="J6716" s="15" t="s">
        <v>25468</v>
      </c>
      <c r="K6716" s="15">
        <v>3.0</v>
      </c>
      <c r="L6716" s="15">
        <v>3.0</v>
      </c>
      <c r="M6716" s="41">
        <v>42714.0</v>
      </c>
      <c r="N6716" s="40">
        <v>42752.0</v>
      </c>
      <c r="O6716" s="15" t="s">
        <v>1554</v>
      </c>
      <c r="Q6716" s="7"/>
    </row>
    <row r="6717">
      <c r="A6717" s="39" t="s">
        <v>25469</v>
      </c>
      <c r="B6717" s="15">
        <v>1922857.0</v>
      </c>
      <c r="C6717" s="15" t="s">
        <v>25470</v>
      </c>
      <c r="D6717" s="15">
        <v>362065.0</v>
      </c>
      <c r="E6717" s="15" t="s">
        <v>1664</v>
      </c>
      <c r="F6717" s="15" t="s">
        <v>1664</v>
      </c>
      <c r="G6717" s="7">
        <v>10.831</v>
      </c>
      <c r="H6717" s="15" t="s">
        <v>25471</v>
      </c>
      <c r="I6717" s="15" t="s">
        <v>1560</v>
      </c>
      <c r="J6717" s="15" t="s">
        <v>25472</v>
      </c>
      <c r="K6717" s="15">
        <v>3.0</v>
      </c>
      <c r="L6717" s="15">
        <v>3.0</v>
      </c>
      <c r="M6717" s="41">
        <v>42714.0</v>
      </c>
      <c r="N6717" s="40">
        <v>42752.0</v>
      </c>
      <c r="O6717" s="15" t="s">
        <v>1554</v>
      </c>
      <c r="Q6717" s="7"/>
    </row>
    <row r="6718">
      <c r="A6718" s="39" t="s">
        <v>25473</v>
      </c>
      <c r="B6718" s="15">
        <v>1922836.0</v>
      </c>
      <c r="C6718" s="15" t="s">
        <v>25474</v>
      </c>
      <c r="D6718" s="15">
        <v>362066.0</v>
      </c>
      <c r="E6718" s="15" t="s">
        <v>1664</v>
      </c>
      <c r="F6718" s="15" t="s">
        <v>1664</v>
      </c>
      <c r="G6718" s="7">
        <v>9.828</v>
      </c>
      <c r="H6718" s="15" t="s">
        <v>2223</v>
      </c>
      <c r="I6718" s="15" t="s">
        <v>1560</v>
      </c>
      <c r="J6718" s="15" t="s">
        <v>25475</v>
      </c>
      <c r="K6718" s="15">
        <v>1.0</v>
      </c>
      <c r="L6718" s="15">
        <v>1.0</v>
      </c>
      <c r="M6718" s="41">
        <v>42714.0</v>
      </c>
      <c r="N6718" s="40">
        <v>42752.0</v>
      </c>
      <c r="O6718" s="15" t="s">
        <v>1554</v>
      </c>
      <c r="Q6718" s="7"/>
    </row>
    <row r="6719">
      <c r="A6719" s="39" t="s">
        <v>25476</v>
      </c>
      <c r="B6719" s="15">
        <v>1922835.0</v>
      </c>
      <c r="C6719" s="15" t="s">
        <v>25477</v>
      </c>
      <c r="D6719" s="15">
        <v>362067.0</v>
      </c>
      <c r="E6719" s="15" t="s">
        <v>1664</v>
      </c>
      <c r="F6719" s="15" t="s">
        <v>1664</v>
      </c>
      <c r="G6719" s="7">
        <v>9.539</v>
      </c>
      <c r="H6719" s="15" t="s">
        <v>4070</v>
      </c>
      <c r="I6719" s="15" t="s">
        <v>1560</v>
      </c>
      <c r="J6719" s="15" t="s">
        <v>25478</v>
      </c>
      <c r="K6719" s="15">
        <v>1.0</v>
      </c>
      <c r="L6719" s="15">
        <v>1.0</v>
      </c>
      <c r="M6719" s="41">
        <v>42714.0</v>
      </c>
      <c r="N6719" s="40">
        <v>42752.0</v>
      </c>
      <c r="O6719" s="15" t="s">
        <v>1554</v>
      </c>
      <c r="Q6719" s="7"/>
    </row>
    <row r="6720">
      <c r="A6720" s="39" t="s">
        <v>25479</v>
      </c>
      <c r="B6720" s="15">
        <v>1922833.0</v>
      </c>
      <c r="C6720" s="15" t="s">
        <v>25480</v>
      </c>
      <c r="D6720" s="15">
        <v>362068.0</v>
      </c>
      <c r="E6720" s="15" t="s">
        <v>1664</v>
      </c>
      <c r="F6720" s="15" t="s">
        <v>1664</v>
      </c>
      <c r="G6720" s="7">
        <v>12.562</v>
      </c>
      <c r="H6720" s="15" t="s">
        <v>25481</v>
      </c>
      <c r="I6720" s="15" t="s">
        <v>1560</v>
      </c>
      <c r="J6720" s="15" t="s">
        <v>25482</v>
      </c>
      <c r="K6720" s="15">
        <v>6.0</v>
      </c>
      <c r="L6720" s="15">
        <v>6.0</v>
      </c>
      <c r="M6720" s="41">
        <v>42714.0</v>
      </c>
      <c r="N6720" s="40">
        <v>42752.0</v>
      </c>
      <c r="O6720" s="15" t="s">
        <v>1554</v>
      </c>
      <c r="Q6720" s="7"/>
    </row>
    <row r="6721">
      <c r="A6721" s="39" t="s">
        <v>25483</v>
      </c>
      <c r="B6721" s="15">
        <v>1922832.0</v>
      </c>
      <c r="C6721" s="15" t="s">
        <v>25484</v>
      </c>
      <c r="D6721" s="15">
        <v>362069.0</v>
      </c>
      <c r="E6721" s="15" t="s">
        <v>1548</v>
      </c>
      <c r="F6721" s="15" t="s">
        <v>1911</v>
      </c>
      <c r="G6721" s="7">
        <v>9.356</v>
      </c>
      <c r="H6721" s="15" t="s">
        <v>2524</v>
      </c>
      <c r="I6721" s="15" t="s">
        <v>1628</v>
      </c>
      <c r="J6721" s="15" t="s">
        <v>25486</v>
      </c>
      <c r="K6721" s="15">
        <v>1.0</v>
      </c>
      <c r="L6721" s="15">
        <v>1.0</v>
      </c>
      <c r="M6721" s="41">
        <v>42714.0</v>
      </c>
      <c r="N6721" s="40">
        <v>42752.0</v>
      </c>
      <c r="O6721" s="15" t="s">
        <v>1554</v>
      </c>
      <c r="Q6721" s="7"/>
    </row>
    <row r="6722">
      <c r="A6722" s="39" t="s">
        <v>25487</v>
      </c>
      <c r="B6722" s="15">
        <v>1922827.0</v>
      </c>
      <c r="C6722" s="15" t="s">
        <v>25488</v>
      </c>
      <c r="D6722" s="15">
        <v>362070.0</v>
      </c>
      <c r="E6722" s="15" t="s">
        <v>1664</v>
      </c>
      <c r="F6722" s="15" t="s">
        <v>1664</v>
      </c>
      <c r="G6722" s="7">
        <v>13.141</v>
      </c>
      <c r="H6722" s="15" t="s">
        <v>25489</v>
      </c>
      <c r="I6722" s="15" t="s">
        <v>1560</v>
      </c>
      <c r="J6722" s="15" t="s">
        <v>25490</v>
      </c>
      <c r="K6722" s="15">
        <v>7.0</v>
      </c>
      <c r="L6722" s="15">
        <v>7.0</v>
      </c>
      <c r="M6722" s="41">
        <v>42714.0</v>
      </c>
      <c r="N6722" s="40">
        <v>42752.0</v>
      </c>
      <c r="O6722" s="15" t="s">
        <v>1554</v>
      </c>
      <c r="Q6722" s="7"/>
    </row>
    <row r="6723">
      <c r="A6723" s="39" t="s">
        <v>25491</v>
      </c>
      <c r="B6723" s="15">
        <v>1922826.0</v>
      </c>
      <c r="C6723" s="15" t="s">
        <v>25492</v>
      </c>
      <c r="D6723" s="15">
        <v>362071.0</v>
      </c>
      <c r="E6723" s="15" t="s">
        <v>1664</v>
      </c>
      <c r="F6723" s="15" t="s">
        <v>1664</v>
      </c>
      <c r="G6723" s="7">
        <v>9.339</v>
      </c>
      <c r="H6723" s="15" t="s">
        <v>2864</v>
      </c>
      <c r="I6723" s="15" t="s">
        <v>1560</v>
      </c>
      <c r="J6723" s="15" t="s">
        <v>25493</v>
      </c>
      <c r="K6723" s="15">
        <v>1.0</v>
      </c>
      <c r="L6723" s="15">
        <v>1.0</v>
      </c>
      <c r="M6723" s="41">
        <v>42714.0</v>
      </c>
      <c r="N6723" s="40">
        <v>42752.0</v>
      </c>
      <c r="O6723" s="15" t="s">
        <v>1554</v>
      </c>
      <c r="Q6723" s="7"/>
    </row>
    <row r="6724">
      <c r="A6724" s="39" t="s">
        <v>25495</v>
      </c>
      <c r="B6724" s="15">
        <v>1922993.0</v>
      </c>
      <c r="C6724" s="15" t="s">
        <v>25496</v>
      </c>
      <c r="D6724" s="15">
        <v>362072.0</v>
      </c>
      <c r="E6724" s="15" t="s">
        <v>1664</v>
      </c>
      <c r="F6724" s="15" t="s">
        <v>1664</v>
      </c>
      <c r="G6724" s="7">
        <v>4.035</v>
      </c>
      <c r="H6724" s="15" t="s">
        <v>3468</v>
      </c>
      <c r="I6724" s="15" t="s">
        <v>1560</v>
      </c>
      <c r="J6724" s="15" t="s">
        <v>25497</v>
      </c>
      <c r="K6724" s="15">
        <v>2.0</v>
      </c>
      <c r="L6724" s="15">
        <v>2.0</v>
      </c>
      <c r="M6724" s="41">
        <v>42714.0</v>
      </c>
      <c r="N6724" s="40">
        <v>42752.0</v>
      </c>
      <c r="O6724" s="15" t="s">
        <v>1554</v>
      </c>
      <c r="Q6724" s="7"/>
    </row>
    <row r="6725">
      <c r="A6725" s="39" t="s">
        <v>25498</v>
      </c>
      <c r="B6725" s="15">
        <v>1922992.0</v>
      </c>
      <c r="C6725" s="15" t="s">
        <v>25499</v>
      </c>
      <c r="D6725" s="15">
        <v>362073.0</v>
      </c>
      <c r="E6725" s="15" t="s">
        <v>1664</v>
      </c>
      <c r="F6725" s="15" t="s">
        <v>1664</v>
      </c>
      <c r="G6725" s="7">
        <v>11.349</v>
      </c>
      <c r="H6725" s="15">
        <v>37.0</v>
      </c>
      <c r="I6725" s="15" t="s">
        <v>1560</v>
      </c>
      <c r="J6725" s="15" t="s">
        <v>25500</v>
      </c>
      <c r="K6725" s="15">
        <v>3.0</v>
      </c>
      <c r="L6725" s="15">
        <v>3.0</v>
      </c>
      <c r="M6725" s="41">
        <v>42714.0</v>
      </c>
      <c r="N6725" s="40">
        <v>42752.0</v>
      </c>
      <c r="O6725" s="15" t="s">
        <v>1554</v>
      </c>
      <c r="Q6725" s="7"/>
    </row>
    <row r="6726">
      <c r="A6726" s="39" t="s">
        <v>25502</v>
      </c>
      <c r="B6726" s="15">
        <v>1922991.0</v>
      </c>
      <c r="C6726" s="15" t="s">
        <v>25503</v>
      </c>
      <c r="D6726" s="15">
        <v>362074.0</v>
      </c>
      <c r="E6726" s="15" t="s">
        <v>1664</v>
      </c>
      <c r="F6726" s="15" t="s">
        <v>1664</v>
      </c>
      <c r="G6726" s="7">
        <v>14.44</v>
      </c>
      <c r="H6726" s="15" t="s">
        <v>1823</v>
      </c>
      <c r="I6726" s="15" t="s">
        <v>1560</v>
      </c>
      <c r="J6726" s="15" t="s">
        <v>25504</v>
      </c>
      <c r="K6726" s="15">
        <v>6.0</v>
      </c>
      <c r="L6726" s="15">
        <v>6.0</v>
      </c>
      <c r="M6726" s="41">
        <v>42714.0</v>
      </c>
      <c r="N6726" s="40">
        <v>42752.0</v>
      </c>
      <c r="O6726" s="15" t="s">
        <v>1554</v>
      </c>
      <c r="Q6726" s="7"/>
    </row>
    <row r="6727">
      <c r="A6727" s="39" t="s">
        <v>25505</v>
      </c>
      <c r="B6727" s="15">
        <v>1922990.0</v>
      </c>
      <c r="C6727" s="15" t="s">
        <v>25506</v>
      </c>
      <c r="D6727" s="15">
        <v>362075.0</v>
      </c>
      <c r="E6727" s="15" t="s">
        <v>1664</v>
      </c>
      <c r="F6727" s="15" t="s">
        <v>1664</v>
      </c>
      <c r="G6727" s="7">
        <v>8.313</v>
      </c>
      <c r="H6727" s="15" t="s">
        <v>2580</v>
      </c>
      <c r="I6727" s="15" t="s">
        <v>1560</v>
      </c>
      <c r="J6727" s="15" t="s">
        <v>25507</v>
      </c>
      <c r="K6727" s="15">
        <v>1.0</v>
      </c>
      <c r="L6727" s="15">
        <v>1.0</v>
      </c>
      <c r="M6727" s="41">
        <v>42714.0</v>
      </c>
      <c r="N6727" s="40">
        <v>42752.0</v>
      </c>
      <c r="O6727" s="15" t="s">
        <v>1554</v>
      </c>
      <c r="Q6727" s="7"/>
    </row>
    <row r="6728">
      <c r="A6728" s="39" t="s">
        <v>25509</v>
      </c>
      <c r="B6728" s="15">
        <v>1922989.0</v>
      </c>
      <c r="C6728" s="15" t="s">
        <v>25510</v>
      </c>
      <c r="D6728" s="15">
        <v>362076.0</v>
      </c>
      <c r="E6728" s="15" t="s">
        <v>1664</v>
      </c>
      <c r="F6728" s="15" t="s">
        <v>1664</v>
      </c>
      <c r="G6728" s="7">
        <v>4.959</v>
      </c>
      <c r="H6728" s="15" t="s">
        <v>25511</v>
      </c>
      <c r="I6728" s="15" t="s">
        <v>1560</v>
      </c>
      <c r="J6728" s="15" t="s">
        <v>25512</v>
      </c>
      <c r="K6728" s="15">
        <v>2.0</v>
      </c>
      <c r="L6728" s="15">
        <v>2.0</v>
      </c>
      <c r="M6728" s="41">
        <v>42714.0</v>
      </c>
      <c r="N6728" s="40">
        <v>42752.0</v>
      </c>
      <c r="O6728" s="15" t="s">
        <v>1554</v>
      </c>
      <c r="Q6728" s="7"/>
    </row>
    <row r="6729">
      <c r="A6729" s="39" t="s">
        <v>25513</v>
      </c>
      <c r="B6729" s="15">
        <v>1922988.0</v>
      </c>
      <c r="C6729" s="15" t="s">
        <v>25514</v>
      </c>
      <c r="D6729" s="15">
        <v>362077.0</v>
      </c>
      <c r="E6729" s="15" t="s">
        <v>1664</v>
      </c>
      <c r="F6729" s="15" t="s">
        <v>1664</v>
      </c>
      <c r="G6729" s="7">
        <v>5.619</v>
      </c>
      <c r="H6729" s="15" t="s">
        <v>25515</v>
      </c>
      <c r="I6729" s="15" t="s">
        <v>1560</v>
      </c>
      <c r="J6729" s="15" t="s">
        <v>25516</v>
      </c>
      <c r="K6729" s="15">
        <v>2.0</v>
      </c>
      <c r="L6729" s="15">
        <v>2.0</v>
      </c>
      <c r="M6729" s="41">
        <v>42714.0</v>
      </c>
      <c r="N6729" s="40">
        <v>42752.0</v>
      </c>
      <c r="O6729" s="15" t="s">
        <v>1554</v>
      </c>
      <c r="Q6729" s="7"/>
    </row>
    <row r="6730">
      <c r="A6730" s="39" t="s">
        <v>25517</v>
      </c>
      <c r="B6730" s="15">
        <v>1922962.0</v>
      </c>
      <c r="C6730" s="15" t="s">
        <v>25518</v>
      </c>
      <c r="D6730" s="15">
        <v>362078.0</v>
      </c>
      <c r="E6730" s="15" t="s">
        <v>1664</v>
      </c>
      <c r="F6730" s="15" t="s">
        <v>1664</v>
      </c>
      <c r="G6730" s="7">
        <v>4.38</v>
      </c>
      <c r="H6730" s="15" t="s">
        <v>2699</v>
      </c>
      <c r="I6730" s="15" t="s">
        <v>1560</v>
      </c>
      <c r="J6730" s="15" t="s">
        <v>25519</v>
      </c>
      <c r="K6730" s="15">
        <v>2.0</v>
      </c>
      <c r="L6730" s="15">
        <v>2.0</v>
      </c>
      <c r="M6730" s="41">
        <v>42714.0</v>
      </c>
      <c r="N6730" s="40">
        <v>42752.0</v>
      </c>
      <c r="O6730" s="15" t="s">
        <v>1554</v>
      </c>
      <c r="Q6730" s="7"/>
    </row>
    <row r="6731">
      <c r="A6731" s="39" t="s">
        <v>25521</v>
      </c>
      <c r="B6731" s="15">
        <v>1922960.0</v>
      </c>
      <c r="C6731" s="15" t="s">
        <v>25522</v>
      </c>
      <c r="D6731" s="15">
        <v>362079.0</v>
      </c>
      <c r="E6731" s="15" t="s">
        <v>1664</v>
      </c>
      <c r="F6731" s="15" t="s">
        <v>1664</v>
      </c>
      <c r="G6731" s="7">
        <v>4.007</v>
      </c>
      <c r="H6731" s="15" t="s">
        <v>5179</v>
      </c>
      <c r="I6731" s="15" t="s">
        <v>1560</v>
      </c>
      <c r="J6731" s="15" t="s">
        <v>25523</v>
      </c>
      <c r="K6731" s="15">
        <v>1.0</v>
      </c>
      <c r="L6731" s="15">
        <v>1.0</v>
      </c>
      <c r="M6731" s="41">
        <v>42714.0</v>
      </c>
      <c r="N6731" s="40">
        <v>42752.0</v>
      </c>
      <c r="O6731" s="15" t="s">
        <v>1554</v>
      </c>
      <c r="Q6731" s="7"/>
    </row>
    <row r="6732">
      <c r="A6732" s="39" t="s">
        <v>25524</v>
      </c>
      <c r="B6732" s="15">
        <v>1922959.0</v>
      </c>
      <c r="C6732" s="15" t="s">
        <v>25525</v>
      </c>
      <c r="D6732" s="15">
        <v>362080.0</v>
      </c>
      <c r="E6732" s="15" t="s">
        <v>1664</v>
      </c>
      <c r="F6732" s="15" t="s">
        <v>1664</v>
      </c>
      <c r="G6732" s="7">
        <v>2.664</v>
      </c>
      <c r="H6732" s="15">
        <v>41.0</v>
      </c>
      <c r="I6732" s="15" t="s">
        <v>1560</v>
      </c>
      <c r="J6732" s="15" t="s">
        <v>25526</v>
      </c>
      <c r="K6732" s="15">
        <v>1.0</v>
      </c>
      <c r="L6732" s="15">
        <v>1.0</v>
      </c>
      <c r="M6732" s="41">
        <v>42714.0</v>
      </c>
      <c r="N6732" s="40">
        <v>42752.0</v>
      </c>
      <c r="O6732" s="15" t="s">
        <v>1554</v>
      </c>
      <c r="Q6732" s="7"/>
    </row>
    <row r="6733">
      <c r="A6733" s="39" t="s">
        <v>25527</v>
      </c>
      <c r="B6733" s="15">
        <v>1922958.0</v>
      </c>
      <c r="C6733" s="15" t="s">
        <v>25528</v>
      </c>
      <c r="D6733" s="15">
        <v>362081.0</v>
      </c>
      <c r="E6733" s="15" t="s">
        <v>1664</v>
      </c>
      <c r="F6733" s="15" t="s">
        <v>1664</v>
      </c>
      <c r="G6733" s="7">
        <v>2.981</v>
      </c>
      <c r="H6733" s="15" t="s">
        <v>3000</v>
      </c>
      <c r="I6733" s="15" t="s">
        <v>1560</v>
      </c>
      <c r="J6733" s="15" t="s">
        <v>25530</v>
      </c>
      <c r="K6733" s="15">
        <v>1.0</v>
      </c>
      <c r="L6733" s="15">
        <v>1.0</v>
      </c>
      <c r="M6733" s="41">
        <v>42714.0</v>
      </c>
      <c r="N6733" s="40">
        <v>42752.0</v>
      </c>
      <c r="O6733" s="15" t="s">
        <v>1554</v>
      </c>
      <c r="Q6733" s="7"/>
    </row>
    <row r="6734">
      <c r="A6734" s="39" t="s">
        <v>25531</v>
      </c>
      <c r="B6734" s="15">
        <v>1922957.0</v>
      </c>
      <c r="C6734" s="15" t="s">
        <v>25532</v>
      </c>
      <c r="D6734" s="15">
        <v>362082.0</v>
      </c>
      <c r="E6734" s="15" t="s">
        <v>1664</v>
      </c>
      <c r="F6734" s="15" t="s">
        <v>1664</v>
      </c>
      <c r="G6734" s="7">
        <v>2.816</v>
      </c>
      <c r="H6734" s="15" t="s">
        <v>3776</v>
      </c>
      <c r="I6734" s="15" t="s">
        <v>1560</v>
      </c>
      <c r="J6734" s="15" t="s">
        <v>25533</v>
      </c>
      <c r="K6734" s="15">
        <v>1.0</v>
      </c>
      <c r="L6734" s="15">
        <v>1.0</v>
      </c>
      <c r="M6734" s="41">
        <v>42714.0</v>
      </c>
      <c r="N6734" s="40">
        <v>42752.0</v>
      </c>
      <c r="O6734" s="15" t="s">
        <v>1554</v>
      </c>
      <c r="Q6734" s="7"/>
    </row>
    <row r="6735">
      <c r="A6735" s="39" t="s">
        <v>25534</v>
      </c>
      <c r="B6735" s="15">
        <v>1922954.0</v>
      </c>
      <c r="C6735" s="15" t="s">
        <v>25535</v>
      </c>
      <c r="D6735" s="15">
        <v>362083.0</v>
      </c>
      <c r="E6735" s="15" t="s">
        <v>1664</v>
      </c>
      <c r="F6735" s="15" t="s">
        <v>1664</v>
      </c>
      <c r="G6735" s="7">
        <v>2.247</v>
      </c>
      <c r="H6735" s="15" t="s">
        <v>5368</v>
      </c>
      <c r="I6735" s="15" t="s">
        <v>1560</v>
      </c>
      <c r="J6735" s="15" t="s">
        <v>25536</v>
      </c>
      <c r="K6735" s="15">
        <v>1.0</v>
      </c>
      <c r="L6735" s="15">
        <v>1.0</v>
      </c>
      <c r="M6735" s="41">
        <v>42714.0</v>
      </c>
      <c r="N6735" s="40">
        <v>42752.0</v>
      </c>
      <c r="O6735" s="15" t="s">
        <v>1554</v>
      </c>
      <c r="Q6735" s="7"/>
    </row>
    <row r="6736">
      <c r="A6736" s="39" t="s">
        <v>25538</v>
      </c>
      <c r="B6736" s="15">
        <v>1922953.0</v>
      </c>
      <c r="C6736" s="15" t="s">
        <v>25539</v>
      </c>
      <c r="D6736" s="15">
        <v>362084.0</v>
      </c>
      <c r="E6736" s="15" t="s">
        <v>1664</v>
      </c>
      <c r="F6736" s="15" t="s">
        <v>1664</v>
      </c>
      <c r="G6736" s="7">
        <v>2.592</v>
      </c>
      <c r="H6736" s="15" t="s">
        <v>2197</v>
      </c>
      <c r="I6736" s="15" t="s">
        <v>1560</v>
      </c>
      <c r="J6736" s="15" t="s">
        <v>25540</v>
      </c>
      <c r="K6736" s="15">
        <v>1.0</v>
      </c>
      <c r="L6736" s="15">
        <v>1.0</v>
      </c>
      <c r="M6736" s="41">
        <v>42714.0</v>
      </c>
      <c r="N6736" s="40">
        <v>42752.0</v>
      </c>
      <c r="O6736" s="15" t="s">
        <v>1554</v>
      </c>
      <c r="Q6736" s="7"/>
    </row>
    <row r="6737">
      <c r="A6737" s="39" t="s">
        <v>25541</v>
      </c>
      <c r="B6737" s="15">
        <v>1922952.0</v>
      </c>
      <c r="C6737" s="15" t="s">
        <v>25542</v>
      </c>
      <c r="D6737" s="15">
        <v>362085.0</v>
      </c>
      <c r="E6737" s="15" t="s">
        <v>1664</v>
      </c>
      <c r="F6737" s="15" t="s">
        <v>1664</v>
      </c>
      <c r="G6737" s="7">
        <v>2.892</v>
      </c>
      <c r="H6737" s="15" t="s">
        <v>1834</v>
      </c>
      <c r="I6737" s="15" t="s">
        <v>1560</v>
      </c>
      <c r="J6737" s="15" t="s">
        <v>25543</v>
      </c>
      <c r="K6737" s="15">
        <v>2.0</v>
      </c>
      <c r="L6737" s="15">
        <v>2.0</v>
      </c>
      <c r="M6737" s="41">
        <v>42714.0</v>
      </c>
      <c r="N6737" s="40">
        <v>42752.0</v>
      </c>
      <c r="O6737" s="15" t="s">
        <v>1554</v>
      </c>
      <c r="Q6737" s="7"/>
    </row>
    <row r="6738">
      <c r="A6738" s="39" t="s">
        <v>25544</v>
      </c>
      <c r="B6738" s="15">
        <v>1922950.0</v>
      </c>
      <c r="C6738" s="15" t="s">
        <v>25545</v>
      </c>
      <c r="D6738" s="15">
        <v>362086.0</v>
      </c>
      <c r="E6738" s="15" t="s">
        <v>1664</v>
      </c>
      <c r="F6738" s="15" t="s">
        <v>1664</v>
      </c>
      <c r="G6738" s="7">
        <v>2.677</v>
      </c>
      <c r="H6738" s="15" t="s">
        <v>4736</v>
      </c>
      <c r="I6738" s="15" t="s">
        <v>1560</v>
      </c>
      <c r="J6738" s="15" t="s">
        <v>25547</v>
      </c>
      <c r="K6738" s="15">
        <v>1.0</v>
      </c>
      <c r="L6738" s="15">
        <v>1.0</v>
      </c>
      <c r="M6738" s="41">
        <v>42714.0</v>
      </c>
      <c r="N6738" s="40">
        <v>42752.0</v>
      </c>
      <c r="O6738" s="15" t="s">
        <v>1554</v>
      </c>
      <c r="Q6738" s="7"/>
    </row>
    <row r="6739">
      <c r="A6739" s="39" t="s">
        <v>25548</v>
      </c>
      <c r="B6739" s="15">
        <v>1922949.0</v>
      </c>
      <c r="C6739" s="15" t="s">
        <v>25549</v>
      </c>
      <c r="D6739" s="15">
        <v>362087.0</v>
      </c>
      <c r="E6739" s="15" t="s">
        <v>1664</v>
      </c>
      <c r="F6739" s="15" t="s">
        <v>1664</v>
      </c>
      <c r="G6739" s="7">
        <v>2.275</v>
      </c>
      <c r="H6739" s="15" t="s">
        <v>4606</v>
      </c>
      <c r="I6739" s="15" t="s">
        <v>1560</v>
      </c>
      <c r="J6739" s="15" t="s">
        <v>25550</v>
      </c>
      <c r="K6739" s="15">
        <v>2.0</v>
      </c>
      <c r="L6739" s="15">
        <v>2.0</v>
      </c>
      <c r="M6739" s="41">
        <v>42714.0</v>
      </c>
      <c r="N6739" s="40">
        <v>42752.0</v>
      </c>
      <c r="O6739" s="15" t="s">
        <v>1554</v>
      </c>
      <c r="Q6739" s="7"/>
    </row>
    <row r="6740">
      <c r="A6740" s="39" t="s">
        <v>25551</v>
      </c>
      <c r="B6740" s="15">
        <v>1922947.0</v>
      </c>
      <c r="C6740" s="15" t="s">
        <v>25552</v>
      </c>
      <c r="D6740" s="15">
        <v>362088.0</v>
      </c>
      <c r="E6740" s="15" t="s">
        <v>1664</v>
      </c>
      <c r="F6740" s="15" t="s">
        <v>1664</v>
      </c>
      <c r="G6740" s="7">
        <v>2.835</v>
      </c>
      <c r="H6740" s="15" t="s">
        <v>2351</v>
      </c>
      <c r="I6740" s="15" t="s">
        <v>1560</v>
      </c>
      <c r="J6740" s="15" t="s">
        <v>25554</v>
      </c>
      <c r="K6740" s="15">
        <v>1.0</v>
      </c>
      <c r="L6740" s="15">
        <v>1.0</v>
      </c>
      <c r="M6740" s="41">
        <v>42714.0</v>
      </c>
      <c r="N6740" s="40">
        <v>42752.0</v>
      </c>
      <c r="O6740" s="15" t="s">
        <v>1554</v>
      </c>
      <c r="Q6740" s="7"/>
    </row>
    <row r="6741">
      <c r="A6741" s="39" t="s">
        <v>25555</v>
      </c>
      <c r="B6741" s="15">
        <v>1922945.0</v>
      </c>
      <c r="C6741" s="15" t="s">
        <v>25556</v>
      </c>
      <c r="D6741" s="15">
        <v>362089.0</v>
      </c>
      <c r="E6741" s="15" t="s">
        <v>1664</v>
      </c>
      <c r="F6741" s="15" t="s">
        <v>1664</v>
      </c>
      <c r="G6741" s="7">
        <v>2.872</v>
      </c>
      <c r="H6741" s="15" t="s">
        <v>4614</v>
      </c>
      <c r="I6741" s="15" t="s">
        <v>1560</v>
      </c>
      <c r="J6741" s="15" t="s">
        <v>25557</v>
      </c>
      <c r="K6741" s="15">
        <v>1.0</v>
      </c>
      <c r="L6741" s="15">
        <v>1.0</v>
      </c>
      <c r="M6741" s="41">
        <v>42714.0</v>
      </c>
      <c r="N6741" s="40">
        <v>42752.0</v>
      </c>
      <c r="O6741" s="15" t="s">
        <v>1554</v>
      </c>
      <c r="Q6741" s="7"/>
    </row>
    <row r="6742">
      <c r="A6742" s="39" t="s">
        <v>25559</v>
      </c>
      <c r="B6742" s="15">
        <v>1922943.0</v>
      </c>
      <c r="C6742" s="15" t="s">
        <v>25560</v>
      </c>
      <c r="D6742" s="15">
        <v>362090.0</v>
      </c>
      <c r="E6742" s="15" t="s">
        <v>1664</v>
      </c>
      <c r="F6742" s="15" t="s">
        <v>1664</v>
      </c>
      <c r="G6742" s="7">
        <v>2.469</v>
      </c>
      <c r="H6742" s="15" t="s">
        <v>5483</v>
      </c>
      <c r="I6742" s="15" t="s">
        <v>1560</v>
      </c>
      <c r="J6742" s="15" t="s">
        <v>25561</v>
      </c>
      <c r="K6742" s="15">
        <v>1.0</v>
      </c>
      <c r="L6742" s="15">
        <v>1.0</v>
      </c>
      <c r="M6742" s="41">
        <v>42714.0</v>
      </c>
      <c r="N6742" s="40">
        <v>42752.0</v>
      </c>
      <c r="O6742" s="15" t="s">
        <v>1554</v>
      </c>
      <c r="Q6742" s="7"/>
    </row>
    <row r="6743">
      <c r="A6743" s="39" t="s">
        <v>25562</v>
      </c>
      <c r="B6743" s="15">
        <v>1922942.0</v>
      </c>
      <c r="C6743" s="15" t="s">
        <v>25563</v>
      </c>
      <c r="D6743" s="15">
        <v>362091.0</v>
      </c>
      <c r="E6743" s="15" t="s">
        <v>1664</v>
      </c>
      <c r="F6743" s="15" t="s">
        <v>1664</v>
      </c>
      <c r="G6743" s="7">
        <v>3.992</v>
      </c>
      <c r="H6743" s="15">
        <v>43.0</v>
      </c>
      <c r="I6743" s="15" t="s">
        <v>1560</v>
      </c>
      <c r="J6743" s="15" t="s">
        <v>25565</v>
      </c>
      <c r="K6743" s="15">
        <v>1.0</v>
      </c>
      <c r="L6743" s="15">
        <v>1.0</v>
      </c>
      <c r="M6743" s="41">
        <v>42714.0</v>
      </c>
      <c r="N6743" s="40">
        <v>42752.0</v>
      </c>
      <c r="O6743" s="15" t="s">
        <v>1554</v>
      </c>
      <c r="Q6743" s="7"/>
    </row>
    <row r="6744">
      <c r="A6744" s="39" t="s">
        <v>25566</v>
      </c>
      <c r="B6744" s="15">
        <v>1922941.0</v>
      </c>
      <c r="C6744" s="15" t="s">
        <v>25567</v>
      </c>
      <c r="D6744" s="15">
        <v>362092.0</v>
      </c>
      <c r="E6744" s="15" t="s">
        <v>1664</v>
      </c>
      <c r="F6744" s="15" t="s">
        <v>1664</v>
      </c>
      <c r="G6744" s="7">
        <v>5.313</v>
      </c>
      <c r="H6744" s="15" t="s">
        <v>2484</v>
      </c>
      <c r="I6744" s="15" t="s">
        <v>1560</v>
      </c>
      <c r="J6744" s="15" t="s">
        <v>25568</v>
      </c>
      <c r="K6744" s="15">
        <v>2.0</v>
      </c>
      <c r="L6744" s="15">
        <v>2.0</v>
      </c>
      <c r="M6744" s="41">
        <v>42714.0</v>
      </c>
      <c r="N6744" s="40">
        <v>42752.0</v>
      </c>
      <c r="O6744" s="15" t="s">
        <v>1554</v>
      </c>
      <c r="Q6744" s="7"/>
    </row>
    <row r="6745">
      <c r="A6745" s="39" t="s">
        <v>25569</v>
      </c>
      <c r="B6745" s="15">
        <v>1922927.0</v>
      </c>
      <c r="C6745" s="15" t="s">
        <v>25570</v>
      </c>
      <c r="D6745" s="15">
        <v>362093.0</v>
      </c>
      <c r="E6745" s="15" t="s">
        <v>1664</v>
      </c>
      <c r="F6745" s="15" t="s">
        <v>1664</v>
      </c>
      <c r="G6745" s="7">
        <v>2.012</v>
      </c>
      <c r="H6745" s="15">
        <v>54.0</v>
      </c>
      <c r="I6745" s="15" t="s">
        <v>1560</v>
      </c>
      <c r="J6745" s="15" t="s">
        <v>25572</v>
      </c>
      <c r="K6745" s="15">
        <v>2.0</v>
      </c>
      <c r="L6745" s="15">
        <v>2.0</v>
      </c>
      <c r="M6745" s="41">
        <v>42714.0</v>
      </c>
      <c r="N6745" s="40">
        <v>42752.0</v>
      </c>
      <c r="O6745" s="15" t="s">
        <v>1554</v>
      </c>
      <c r="Q6745" s="7"/>
    </row>
    <row r="6746">
      <c r="A6746" s="39" t="s">
        <v>25573</v>
      </c>
      <c r="B6746" s="15">
        <v>1922926.0</v>
      </c>
      <c r="C6746" s="15" t="s">
        <v>25574</v>
      </c>
      <c r="D6746" s="15">
        <v>362094.0</v>
      </c>
      <c r="E6746" s="15" t="s">
        <v>1664</v>
      </c>
      <c r="F6746" s="15" t="s">
        <v>1664</v>
      </c>
      <c r="G6746" s="7">
        <v>4.811</v>
      </c>
      <c r="H6746" s="15" t="s">
        <v>25575</v>
      </c>
      <c r="I6746" s="15" t="s">
        <v>1560</v>
      </c>
      <c r="J6746" s="15" t="s">
        <v>25576</v>
      </c>
      <c r="K6746" s="15">
        <v>3.0</v>
      </c>
      <c r="L6746" s="15">
        <v>3.0</v>
      </c>
      <c r="M6746" s="41">
        <v>42714.0</v>
      </c>
      <c r="N6746" s="40">
        <v>42752.0</v>
      </c>
      <c r="O6746" s="15" t="s">
        <v>1554</v>
      </c>
      <c r="Q6746" s="7"/>
    </row>
    <row r="6747">
      <c r="A6747" s="39" t="s">
        <v>25577</v>
      </c>
      <c r="B6747" s="15">
        <v>1922925.0</v>
      </c>
      <c r="C6747" s="15" t="s">
        <v>25578</v>
      </c>
      <c r="D6747" s="15">
        <v>362095.0</v>
      </c>
      <c r="E6747" s="15" t="s">
        <v>1664</v>
      </c>
      <c r="F6747" s="15" t="s">
        <v>1664</v>
      </c>
      <c r="G6747" s="7">
        <v>9.074</v>
      </c>
      <c r="H6747" s="15" t="s">
        <v>3432</v>
      </c>
      <c r="I6747" s="15" t="s">
        <v>1560</v>
      </c>
      <c r="J6747" s="15" t="s">
        <v>25579</v>
      </c>
      <c r="K6747" s="15">
        <v>1.0</v>
      </c>
      <c r="L6747" s="15">
        <v>1.0</v>
      </c>
      <c r="M6747" s="41">
        <v>42714.0</v>
      </c>
      <c r="N6747" s="40">
        <v>42752.0</v>
      </c>
      <c r="O6747" s="15" t="s">
        <v>1554</v>
      </c>
      <c r="Q6747" s="7"/>
    </row>
    <row r="6748">
      <c r="A6748" s="39" t="s">
        <v>25581</v>
      </c>
      <c r="B6748" s="15">
        <v>1922923.0</v>
      </c>
      <c r="C6748" s="15" t="s">
        <v>25582</v>
      </c>
      <c r="D6748" s="15">
        <v>362096.0</v>
      </c>
      <c r="E6748" s="15" t="s">
        <v>1664</v>
      </c>
      <c r="F6748" s="15" t="s">
        <v>1664</v>
      </c>
      <c r="G6748" s="7">
        <v>6.288</v>
      </c>
      <c r="H6748" s="15" t="s">
        <v>1983</v>
      </c>
      <c r="I6748" s="15" t="s">
        <v>1560</v>
      </c>
      <c r="J6748" s="15" t="s">
        <v>25583</v>
      </c>
      <c r="K6748" s="15">
        <v>2.0</v>
      </c>
      <c r="L6748" s="15">
        <v>2.0</v>
      </c>
      <c r="M6748" s="41">
        <v>42714.0</v>
      </c>
      <c r="N6748" s="40">
        <v>42752.0</v>
      </c>
      <c r="O6748" s="15" t="s">
        <v>1554</v>
      </c>
      <c r="Q6748" s="7"/>
    </row>
    <row r="6749">
      <c r="A6749" s="39" t="s">
        <v>25584</v>
      </c>
      <c r="B6749" s="15">
        <v>1922922.0</v>
      </c>
      <c r="C6749" s="15" t="s">
        <v>25585</v>
      </c>
      <c r="D6749" s="15">
        <v>362097.0</v>
      </c>
      <c r="E6749" s="15" t="s">
        <v>1664</v>
      </c>
      <c r="F6749" s="15" t="s">
        <v>1664</v>
      </c>
      <c r="G6749" s="7">
        <v>5.917</v>
      </c>
      <c r="H6749" s="15" t="s">
        <v>5934</v>
      </c>
      <c r="I6749" s="15" t="s">
        <v>1560</v>
      </c>
      <c r="J6749" s="15" t="s">
        <v>25586</v>
      </c>
      <c r="K6749" s="15">
        <v>3.0</v>
      </c>
      <c r="L6749" s="15">
        <v>3.0</v>
      </c>
      <c r="M6749" s="41">
        <v>42714.0</v>
      </c>
      <c r="N6749" s="40">
        <v>42752.0</v>
      </c>
      <c r="O6749" s="15" t="s">
        <v>1554</v>
      </c>
      <c r="Q6749" s="7"/>
    </row>
    <row r="6750">
      <c r="A6750" s="39" t="s">
        <v>25587</v>
      </c>
      <c r="B6750" s="15">
        <v>1922904.0</v>
      </c>
      <c r="C6750" s="15" t="s">
        <v>25589</v>
      </c>
      <c r="D6750" s="15">
        <v>362098.0</v>
      </c>
      <c r="E6750" s="15" t="s">
        <v>1664</v>
      </c>
      <c r="F6750" s="15" t="s">
        <v>1664</v>
      </c>
      <c r="G6750" s="7">
        <v>13.109</v>
      </c>
      <c r="H6750" s="15">
        <v>41.0</v>
      </c>
      <c r="I6750" s="15" t="s">
        <v>1560</v>
      </c>
      <c r="J6750" s="15" t="s">
        <v>25590</v>
      </c>
      <c r="K6750" s="15">
        <v>6.0</v>
      </c>
      <c r="L6750" s="15">
        <v>6.0</v>
      </c>
      <c r="M6750" s="41">
        <v>42714.0</v>
      </c>
      <c r="N6750" s="40">
        <v>42752.0</v>
      </c>
      <c r="O6750" s="15" t="s">
        <v>1554</v>
      </c>
      <c r="Q6750" s="7"/>
    </row>
    <row r="6751">
      <c r="A6751" s="39" t="s">
        <v>25591</v>
      </c>
      <c r="B6751" s="15">
        <v>1922902.0</v>
      </c>
      <c r="C6751" s="15" t="s">
        <v>25592</v>
      </c>
      <c r="D6751" s="15">
        <v>362099.0</v>
      </c>
      <c r="E6751" s="15" t="s">
        <v>1664</v>
      </c>
      <c r="F6751" s="15" t="s">
        <v>1664</v>
      </c>
      <c r="G6751" s="7">
        <v>8.267</v>
      </c>
      <c r="H6751" s="15" t="s">
        <v>2752</v>
      </c>
      <c r="I6751" s="15" t="s">
        <v>1560</v>
      </c>
      <c r="J6751" s="15" t="s">
        <v>25593</v>
      </c>
      <c r="K6751" s="15">
        <v>2.0</v>
      </c>
      <c r="L6751" s="15">
        <v>2.0</v>
      </c>
      <c r="M6751" s="41">
        <v>42714.0</v>
      </c>
      <c r="N6751" s="40">
        <v>42752.0</v>
      </c>
      <c r="O6751" s="15" t="s">
        <v>1554</v>
      </c>
      <c r="Q6751" s="7"/>
    </row>
    <row r="6752">
      <c r="A6752" s="39" t="s">
        <v>25594</v>
      </c>
      <c r="B6752" s="15">
        <v>1922901.0</v>
      </c>
      <c r="C6752" s="15" t="s">
        <v>25595</v>
      </c>
      <c r="D6752" s="15">
        <v>362100.0</v>
      </c>
      <c r="E6752" s="15" t="s">
        <v>1664</v>
      </c>
      <c r="F6752" s="15" t="s">
        <v>1664</v>
      </c>
      <c r="G6752" s="7">
        <v>8.848</v>
      </c>
      <c r="H6752" s="15" t="s">
        <v>2178</v>
      </c>
      <c r="I6752" s="15" t="s">
        <v>1560</v>
      </c>
      <c r="J6752" s="15" t="s">
        <v>25597</v>
      </c>
      <c r="K6752" s="15">
        <v>2.0</v>
      </c>
      <c r="L6752" s="15">
        <v>2.0</v>
      </c>
      <c r="M6752" s="41">
        <v>42714.0</v>
      </c>
      <c r="N6752" s="40">
        <v>42752.0</v>
      </c>
      <c r="O6752" s="15" t="s">
        <v>1554</v>
      </c>
      <c r="Q6752" s="7"/>
    </row>
    <row r="6753">
      <c r="A6753" s="39" t="s">
        <v>25598</v>
      </c>
      <c r="B6753" s="15">
        <v>1923096.0</v>
      </c>
      <c r="C6753" s="15" t="s">
        <v>25599</v>
      </c>
      <c r="D6753" s="15">
        <v>362101.0</v>
      </c>
      <c r="E6753" s="15" t="s">
        <v>1664</v>
      </c>
      <c r="F6753" s="15" t="s">
        <v>1664</v>
      </c>
      <c r="G6753" s="7">
        <v>10.234</v>
      </c>
      <c r="H6753" s="15" t="s">
        <v>2597</v>
      </c>
      <c r="I6753" s="15" t="s">
        <v>1560</v>
      </c>
      <c r="J6753" s="15" t="s">
        <v>25600</v>
      </c>
      <c r="K6753" s="15">
        <v>2.0</v>
      </c>
      <c r="L6753" s="15">
        <v>2.0</v>
      </c>
      <c r="M6753" s="41">
        <v>42714.0</v>
      </c>
      <c r="N6753" s="40">
        <v>42752.0</v>
      </c>
      <c r="O6753" s="15" t="s">
        <v>1554</v>
      </c>
      <c r="Q6753" s="7"/>
    </row>
    <row r="6754">
      <c r="A6754" s="39" t="s">
        <v>25601</v>
      </c>
      <c r="B6754" s="15">
        <v>1923095.0</v>
      </c>
      <c r="C6754" s="15" t="s">
        <v>25602</v>
      </c>
      <c r="D6754" s="15">
        <v>362102.0</v>
      </c>
      <c r="E6754" s="15" t="s">
        <v>1664</v>
      </c>
      <c r="F6754" s="15" t="s">
        <v>1664</v>
      </c>
      <c r="G6754" s="7">
        <v>43109.0</v>
      </c>
      <c r="H6754" s="42">
        <v>43159.0</v>
      </c>
      <c r="I6754" s="15" t="s">
        <v>1560</v>
      </c>
      <c r="J6754" s="15" t="s">
        <v>25603</v>
      </c>
      <c r="K6754" s="15">
        <v>2.0</v>
      </c>
      <c r="L6754" s="15">
        <v>2.0</v>
      </c>
      <c r="M6754" s="41">
        <v>42714.0</v>
      </c>
      <c r="N6754" s="40">
        <v>42752.0</v>
      </c>
      <c r="O6754" s="15" t="s">
        <v>1554</v>
      </c>
      <c r="Q6754" s="7"/>
    </row>
    <row r="6755">
      <c r="A6755" s="39" t="s">
        <v>25605</v>
      </c>
      <c r="B6755" s="15">
        <v>1923094.0</v>
      </c>
      <c r="C6755" s="15" t="s">
        <v>25606</v>
      </c>
      <c r="D6755" s="15">
        <v>362103.0</v>
      </c>
      <c r="E6755" s="15" t="s">
        <v>1664</v>
      </c>
      <c r="F6755" s="15" t="s">
        <v>1664</v>
      </c>
      <c r="G6755" s="7">
        <v>9.91</v>
      </c>
      <c r="H6755" s="15" t="s">
        <v>2396</v>
      </c>
      <c r="I6755" s="15" t="s">
        <v>1560</v>
      </c>
      <c r="J6755" s="15" t="s">
        <v>25607</v>
      </c>
      <c r="K6755" s="15">
        <v>2.0</v>
      </c>
      <c r="L6755" s="15">
        <v>2.0</v>
      </c>
      <c r="M6755" s="41">
        <v>42714.0</v>
      </c>
      <c r="N6755" s="40">
        <v>42752.0</v>
      </c>
      <c r="O6755" s="15" t="s">
        <v>1554</v>
      </c>
      <c r="Q6755" s="7"/>
    </row>
    <row r="6756">
      <c r="A6756" s="39" t="s">
        <v>25608</v>
      </c>
      <c r="B6756" s="15">
        <v>1923093.0</v>
      </c>
      <c r="C6756" s="15" t="s">
        <v>25609</v>
      </c>
      <c r="D6756" s="15">
        <v>362104.0</v>
      </c>
      <c r="E6756" s="15" t="s">
        <v>1664</v>
      </c>
      <c r="F6756" s="15" t="s">
        <v>1664</v>
      </c>
      <c r="G6756" s="7">
        <v>9.435</v>
      </c>
      <c r="H6756" s="15" t="s">
        <v>3554</v>
      </c>
      <c r="I6756" s="15" t="s">
        <v>1560</v>
      </c>
      <c r="J6756" s="15" t="s">
        <v>25610</v>
      </c>
      <c r="K6756" s="15">
        <v>2.0</v>
      </c>
      <c r="L6756" s="15">
        <v>2.0</v>
      </c>
      <c r="M6756" s="41">
        <v>42714.0</v>
      </c>
      <c r="N6756" s="40">
        <v>42752.0</v>
      </c>
      <c r="O6756" s="15" t="s">
        <v>1554</v>
      </c>
      <c r="Q6756" s="7"/>
    </row>
    <row r="6757">
      <c r="A6757" s="39" t="s">
        <v>25612</v>
      </c>
      <c r="B6757" s="15">
        <v>1923092.0</v>
      </c>
      <c r="C6757" s="15" t="s">
        <v>25613</v>
      </c>
      <c r="D6757" s="15">
        <v>362105.0</v>
      </c>
      <c r="E6757" s="15" t="s">
        <v>1664</v>
      </c>
      <c r="F6757" s="15" t="s">
        <v>1664</v>
      </c>
      <c r="G6757" s="7">
        <v>8.848</v>
      </c>
      <c r="H6757" s="15" t="s">
        <v>1607</v>
      </c>
      <c r="I6757" s="15" t="s">
        <v>1560</v>
      </c>
      <c r="J6757" s="15" t="s">
        <v>25614</v>
      </c>
      <c r="K6757" s="15">
        <v>1.0</v>
      </c>
      <c r="L6757" s="15">
        <v>1.0</v>
      </c>
      <c r="M6757" s="41">
        <v>42714.0</v>
      </c>
      <c r="N6757" s="40">
        <v>42752.0</v>
      </c>
      <c r="O6757" s="15" t="s">
        <v>1554</v>
      </c>
      <c r="Q6757" s="7"/>
    </row>
    <row r="6758">
      <c r="A6758" s="39" t="s">
        <v>25615</v>
      </c>
      <c r="B6758" s="15">
        <v>1923091.0</v>
      </c>
      <c r="C6758" s="15" t="s">
        <v>25616</v>
      </c>
      <c r="D6758" s="15">
        <v>362106.0</v>
      </c>
      <c r="E6758" s="15" t="s">
        <v>1664</v>
      </c>
      <c r="F6758" s="15" t="s">
        <v>1664</v>
      </c>
      <c r="G6758" s="7">
        <v>9.598</v>
      </c>
      <c r="H6758" s="15" t="s">
        <v>2484</v>
      </c>
      <c r="I6758" s="15" t="s">
        <v>1560</v>
      </c>
      <c r="J6758" s="15" t="s">
        <v>25617</v>
      </c>
      <c r="K6758" s="15">
        <v>1.0</v>
      </c>
      <c r="L6758" s="15">
        <v>1.0</v>
      </c>
      <c r="M6758" s="41">
        <v>42714.0</v>
      </c>
      <c r="N6758" s="40">
        <v>42752.0</v>
      </c>
      <c r="O6758" s="15" t="s">
        <v>1554</v>
      </c>
      <c r="Q6758" s="7"/>
    </row>
    <row r="6759">
      <c r="A6759" s="39" t="s">
        <v>25618</v>
      </c>
      <c r="B6759" s="15">
        <v>1923090.0</v>
      </c>
      <c r="C6759" s="15" t="s">
        <v>25619</v>
      </c>
      <c r="D6759" s="15">
        <v>362107.0</v>
      </c>
      <c r="E6759" s="15" t="s">
        <v>1664</v>
      </c>
      <c r="F6759" s="15" t="s">
        <v>1664</v>
      </c>
      <c r="G6759" s="7">
        <v>8.974</v>
      </c>
      <c r="H6759" s="15" t="s">
        <v>3304</v>
      </c>
      <c r="I6759" s="15" t="s">
        <v>1560</v>
      </c>
      <c r="J6759" s="15" t="s">
        <v>25620</v>
      </c>
      <c r="K6759" s="15">
        <v>1.0</v>
      </c>
      <c r="L6759" s="15">
        <v>1.0</v>
      </c>
      <c r="M6759" s="41">
        <v>42714.0</v>
      </c>
      <c r="N6759" s="40">
        <v>42752.0</v>
      </c>
      <c r="O6759" s="15" t="s">
        <v>1554</v>
      </c>
      <c r="Q6759" s="7"/>
    </row>
    <row r="6760">
      <c r="A6760" s="39" t="s">
        <v>25621</v>
      </c>
      <c r="B6760" s="15">
        <v>1923089.0</v>
      </c>
      <c r="C6760" s="15" t="s">
        <v>25622</v>
      </c>
      <c r="D6760" s="15">
        <v>362108.0</v>
      </c>
      <c r="E6760" s="15" t="s">
        <v>1664</v>
      </c>
      <c r="F6760" s="15" t="s">
        <v>1664</v>
      </c>
      <c r="G6760" s="7">
        <v>8.307</v>
      </c>
      <c r="H6760" s="15" t="s">
        <v>3309</v>
      </c>
      <c r="I6760" s="15" t="s">
        <v>1560</v>
      </c>
      <c r="J6760" s="15" t="s">
        <v>25624</v>
      </c>
      <c r="K6760" s="15">
        <v>1.0</v>
      </c>
      <c r="L6760" s="15">
        <v>1.0</v>
      </c>
      <c r="M6760" s="41">
        <v>42714.0</v>
      </c>
      <c r="N6760" s="40">
        <v>42752.0</v>
      </c>
      <c r="O6760" s="15" t="s">
        <v>1554</v>
      </c>
      <c r="Q6760" s="7"/>
    </row>
    <row r="6761">
      <c r="A6761" s="39" t="s">
        <v>25625</v>
      </c>
      <c r="B6761" s="15">
        <v>1923088.0</v>
      </c>
      <c r="C6761" s="15" t="s">
        <v>25626</v>
      </c>
      <c r="D6761" s="15">
        <v>362109.0</v>
      </c>
      <c r="E6761" s="15" t="s">
        <v>1664</v>
      </c>
      <c r="F6761" s="15" t="s">
        <v>1664</v>
      </c>
      <c r="G6761" s="7">
        <v>9.635</v>
      </c>
      <c r="H6761" s="15" t="s">
        <v>2023</v>
      </c>
      <c r="I6761" s="15" t="s">
        <v>1560</v>
      </c>
      <c r="J6761" s="15" t="s">
        <v>25627</v>
      </c>
      <c r="K6761" s="15">
        <v>2.0</v>
      </c>
      <c r="L6761" s="15">
        <v>2.0</v>
      </c>
      <c r="M6761" s="41">
        <v>42714.0</v>
      </c>
      <c r="N6761" s="40">
        <v>42752.0</v>
      </c>
      <c r="O6761" s="15" t="s">
        <v>1554</v>
      </c>
      <c r="Q6761" s="7"/>
    </row>
    <row r="6762">
      <c r="A6762" s="39" t="s">
        <v>25628</v>
      </c>
      <c r="B6762" s="15">
        <v>1923083.0</v>
      </c>
      <c r="C6762" s="15" t="s">
        <v>25629</v>
      </c>
      <c r="D6762" s="15">
        <v>362110.0</v>
      </c>
      <c r="E6762" s="15" t="s">
        <v>1664</v>
      </c>
      <c r="F6762" s="15" t="s">
        <v>1664</v>
      </c>
      <c r="G6762" s="7">
        <v>5.032</v>
      </c>
      <c r="H6762" s="15" t="s">
        <v>2275</v>
      </c>
      <c r="I6762" s="15" t="s">
        <v>1560</v>
      </c>
      <c r="J6762" s="15" t="s">
        <v>25630</v>
      </c>
      <c r="K6762" s="15">
        <v>3.0</v>
      </c>
      <c r="L6762" s="15">
        <v>3.0</v>
      </c>
      <c r="M6762" s="41">
        <v>42714.0</v>
      </c>
      <c r="N6762" s="40">
        <v>42752.0</v>
      </c>
      <c r="O6762" s="15" t="s">
        <v>1554</v>
      </c>
      <c r="Q6762" s="7"/>
    </row>
    <row r="6763">
      <c r="A6763" s="39" t="s">
        <v>25631</v>
      </c>
      <c r="B6763" s="15">
        <v>1923082.0</v>
      </c>
      <c r="C6763" s="15" t="s">
        <v>25632</v>
      </c>
      <c r="D6763" s="15">
        <v>362111.0</v>
      </c>
      <c r="E6763" s="15" t="s">
        <v>1664</v>
      </c>
      <c r="F6763" s="15" t="s">
        <v>1664</v>
      </c>
      <c r="G6763" s="7">
        <v>5.117</v>
      </c>
      <c r="H6763" s="15" t="s">
        <v>1828</v>
      </c>
      <c r="I6763" s="15" t="s">
        <v>1560</v>
      </c>
      <c r="J6763" s="15" t="s">
        <v>25634</v>
      </c>
      <c r="K6763" s="15">
        <v>3.0</v>
      </c>
      <c r="L6763" s="15">
        <v>3.0</v>
      </c>
      <c r="M6763" s="41">
        <v>42714.0</v>
      </c>
      <c r="N6763" s="40">
        <v>42752.0</v>
      </c>
      <c r="O6763" s="15" t="s">
        <v>1554</v>
      </c>
      <c r="Q6763" s="7"/>
    </row>
    <row r="6764">
      <c r="A6764" s="39" t="s">
        <v>25635</v>
      </c>
      <c r="B6764" s="15">
        <v>1923081.0</v>
      </c>
      <c r="C6764" s="15" t="s">
        <v>25636</v>
      </c>
      <c r="D6764" s="15">
        <v>362112.0</v>
      </c>
      <c r="E6764" s="15" t="s">
        <v>1664</v>
      </c>
      <c r="F6764" s="15" t="s">
        <v>1664</v>
      </c>
      <c r="G6764" s="7">
        <v>4.928</v>
      </c>
      <c r="H6764" s="15" t="s">
        <v>3055</v>
      </c>
      <c r="I6764" s="15" t="s">
        <v>1560</v>
      </c>
      <c r="J6764" s="15" t="s">
        <v>25637</v>
      </c>
      <c r="K6764" s="15">
        <v>2.0</v>
      </c>
      <c r="L6764" s="15">
        <v>2.0</v>
      </c>
      <c r="M6764" s="41">
        <v>42714.0</v>
      </c>
      <c r="N6764" s="40">
        <v>42752.0</v>
      </c>
      <c r="O6764" s="15" t="s">
        <v>1554</v>
      </c>
      <c r="Q6764" s="7"/>
    </row>
    <row r="6765">
      <c r="A6765" s="39" t="s">
        <v>25638</v>
      </c>
      <c r="B6765" s="15">
        <v>1923080.0</v>
      </c>
      <c r="C6765" s="15" t="s">
        <v>25639</v>
      </c>
      <c r="D6765" s="15">
        <v>362113.0</v>
      </c>
      <c r="E6765" s="15" t="s">
        <v>1664</v>
      </c>
      <c r="F6765" s="15" t="s">
        <v>1664</v>
      </c>
      <c r="G6765" s="7">
        <v>5.394</v>
      </c>
      <c r="H6765" s="15" t="s">
        <v>3653</v>
      </c>
      <c r="I6765" s="15" t="s">
        <v>1560</v>
      </c>
      <c r="J6765" s="15" t="s">
        <v>25641</v>
      </c>
      <c r="K6765" s="15">
        <v>2.0</v>
      </c>
      <c r="L6765" s="15">
        <v>2.0</v>
      </c>
      <c r="M6765" s="41">
        <v>42714.0</v>
      </c>
      <c r="N6765" s="40">
        <v>42752.0</v>
      </c>
      <c r="O6765" s="15" t="s">
        <v>1554</v>
      </c>
      <c r="Q6765" s="7"/>
    </row>
    <row r="6766">
      <c r="A6766" s="39" t="s">
        <v>25642</v>
      </c>
      <c r="B6766" s="15">
        <v>1923079.0</v>
      </c>
      <c r="C6766" s="15" t="s">
        <v>25643</v>
      </c>
      <c r="D6766" s="15">
        <v>362114.0</v>
      </c>
      <c r="E6766" s="15" t="s">
        <v>1664</v>
      </c>
      <c r="F6766" s="15" t="s">
        <v>1664</v>
      </c>
      <c r="G6766" s="7">
        <v>4.886</v>
      </c>
      <c r="H6766" s="15">
        <v>43.0</v>
      </c>
      <c r="I6766" s="15" t="s">
        <v>1560</v>
      </c>
      <c r="J6766" s="15" t="s">
        <v>25644</v>
      </c>
      <c r="K6766" s="15">
        <v>2.0</v>
      </c>
      <c r="L6766" s="15">
        <v>2.0</v>
      </c>
      <c r="M6766" s="41">
        <v>42714.0</v>
      </c>
      <c r="N6766" s="40">
        <v>42752.0</v>
      </c>
      <c r="O6766" s="15" t="s">
        <v>1554</v>
      </c>
      <c r="Q6766" s="7"/>
    </row>
    <row r="6767">
      <c r="A6767" s="39" t="s">
        <v>25645</v>
      </c>
      <c r="B6767" s="15">
        <v>1923078.0</v>
      </c>
      <c r="C6767" s="15" t="s">
        <v>25646</v>
      </c>
      <c r="D6767" s="15">
        <v>362115.0</v>
      </c>
      <c r="E6767" s="15" t="s">
        <v>1664</v>
      </c>
      <c r="F6767" s="15" t="s">
        <v>1664</v>
      </c>
      <c r="G6767" s="7">
        <v>4.772</v>
      </c>
      <c r="H6767" s="15" t="s">
        <v>3468</v>
      </c>
      <c r="I6767" s="15" t="s">
        <v>1560</v>
      </c>
      <c r="J6767" s="15" t="s">
        <v>25647</v>
      </c>
      <c r="K6767" s="15">
        <v>3.0</v>
      </c>
      <c r="L6767" s="15">
        <v>3.0</v>
      </c>
      <c r="M6767" s="41">
        <v>42714.0</v>
      </c>
      <c r="N6767" s="40">
        <v>42752.0</v>
      </c>
      <c r="O6767" s="15" t="s">
        <v>1554</v>
      </c>
      <c r="Q6767" s="7"/>
    </row>
    <row r="6768">
      <c r="A6768" s="39" t="s">
        <v>25649</v>
      </c>
      <c r="B6768" s="15">
        <v>1923077.0</v>
      </c>
      <c r="C6768" s="15" t="s">
        <v>25650</v>
      </c>
      <c r="D6768" s="15">
        <v>362116.0</v>
      </c>
      <c r="E6768" s="15" t="s">
        <v>1664</v>
      </c>
      <c r="F6768" s="15" t="s">
        <v>1664</v>
      </c>
      <c r="G6768" s="7">
        <v>4.792</v>
      </c>
      <c r="H6768" s="15" t="s">
        <v>1613</v>
      </c>
      <c r="I6768" s="15" t="s">
        <v>1560</v>
      </c>
      <c r="J6768" s="15" t="s">
        <v>25651</v>
      </c>
      <c r="K6768" s="15">
        <v>3.0</v>
      </c>
      <c r="L6768" s="15">
        <v>3.0</v>
      </c>
      <c r="M6768" s="41">
        <v>42714.0</v>
      </c>
      <c r="N6768" s="40">
        <v>42752.0</v>
      </c>
      <c r="O6768" s="15" t="s">
        <v>1554</v>
      </c>
      <c r="Q6768" s="7"/>
    </row>
    <row r="6769">
      <c r="A6769" s="39" t="s">
        <v>25652</v>
      </c>
      <c r="B6769" s="15">
        <v>1923076.0</v>
      </c>
      <c r="C6769" s="15" t="s">
        <v>25653</v>
      </c>
      <c r="D6769" s="15">
        <v>362117.0</v>
      </c>
      <c r="E6769" s="15" t="s">
        <v>1664</v>
      </c>
      <c r="F6769" s="15" t="s">
        <v>1664</v>
      </c>
      <c r="G6769" s="7">
        <v>4.551</v>
      </c>
      <c r="H6769" s="15" t="s">
        <v>2552</v>
      </c>
      <c r="I6769" s="15" t="s">
        <v>1560</v>
      </c>
      <c r="J6769" s="15" t="s">
        <v>25654</v>
      </c>
      <c r="K6769" s="15">
        <v>3.0</v>
      </c>
      <c r="L6769" s="15">
        <v>3.0</v>
      </c>
      <c r="M6769" s="41">
        <v>42714.0</v>
      </c>
      <c r="N6769" s="40">
        <v>42752.0</v>
      </c>
      <c r="O6769" s="15" t="s">
        <v>1554</v>
      </c>
      <c r="Q6769" s="7"/>
    </row>
    <row r="6770">
      <c r="A6770" s="39" t="s">
        <v>25656</v>
      </c>
      <c r="B6770" s="15">
        <v>1923075.0</v>
      </c>
      <c r="C6770" s="15" t="s">
        <v>25657</v>
      </c>
      <c r="D6770" s="15">
        <v>362118.0</v>
      </c>
      <c r="E6770" s="15" t="s">
        <v>1664</v>
      </c>
      <c r="F6770" s="15" t="s">
        <v>1664</v>
      </c>
      <c r="G6770" s="7">
        <v>4.775</v>
      </c>
      <c r="H6770" s="15" t="s">
        <v>2428</v>
      </c>
      <c r="I6770" s="15" t="s">
        <v>1560</v>
      </c>
      <c r="J6770" s="15" t="s">
        <v>25658</v>
      </c>
      <c r="K6770" s="15">
        <v>2.0</v>
      </c>
      <c r="L6770" s="15">
        <v>2.0</v>
      </c>
      <c r="M6770" s="41">
        <v>42714.0</v>
      </c>
      <c r="N6770" s="40">
        <v>42752.0</v>
      </c>
      <c r="O6770" s="15" t="s">
        <v>1554</v>
      </c>
      <c r="Q6770" s="7"/>
    </row>
    <row r="6771">
      <c r="A6771" s="39" t="s">
        <v>25659</v>
      </c>
      <c r="B6771" s="15">
        <v>1923074.0</v>
      </c>
      <c r="C6771" s="15" t="s">
        <v>25660</v>
      </c>
      <c r="D6771" s="15">
        <v>362119.0</v>
      </c>
      <c r="E6771" s="15" t="s">
        <v>1664</v>
      </c>
      <c r="F6771" s="15" t="s">
        <v>1664</v>
      </c>
      <c r="G6771" s="7">
        <v>4.25</v>
      </c>
      <c r="H6771" s="15" t="s">
        <v>2548</v>
      </c>
      <c r="I6771" s="15" t="s">
        <v>1560</v>
      </c>
      <c r="J6771" s="15" t="s">
        <v>25661</v>
      </c>
      <c r="K6771" s="15">
        <v>2.0</v>
      </c>
      <c r="L6771" s="15">
        <v>2.0</v>
      </c>
      <c r="M6771" s="41">
        <v>42714.0</v>
      </c>
      <c r="N6771" s="40">
        <v>42752.0</v>
      </c>
      <c r="O6771" s="15" t="s">
        <v>1554</v>
      </c>
      <c r="Q6771" s="7"/>
    </row>
    <row r="6772">
      <c r="A6772" s="39" t="s">
        <v>25662</v>
      </c>
      <c r="B6772" s="15">
        <v>1923073.0</v>
      </c>
      <c r="C6772" s="15" t="s">
        <v>25663</v>
      </c>
      <c r="D6772" s="15">
        <v>362120.0</v>
      </c>
      <c r="E6772" s="15" t="s">
        <v>1664</v>
      </c>
      <c r="F6772" s="15" t="s">
        <v>1664</v>
      </c>
      <c r="G6772" s="7">
        <v>4.56</v>
      </c>
      <c r="H6772" s="15">
        <v>46.0</v>
      </c>
      <c r="I6772" s="15" t="s">
        <v>1560</v>
      </c>
      <c r="J6772" s="15" t="s">
        <v>25664</v>
      </c>
      <c r="K6772" s="15">
        <v>3.0</v>
      </c>
      <c r="L6772" s="15">
        <v>3.0</v>
      </c>
      <c r="M6772" s="41">
        <v>42714.0</v>
      </c>
      <c r="N6772" s="40">
        <v>42752.0</v>
      </c>
      <c r="O6772" s="15" t="s">
        <v>1554</v>
      </c>
      <c r="Q6772" s="7"/>
    </row>
    <row r="6773">
      <c r="A6773" s="39" t="s">
        <v>25666</v>
      </c>
      <c r="B6773" s="15">
        <v>1923013.0</v>
      </c>
      <c r="C6773" s="15" t="s">
        <v>25667</v>
      </c>
      <c r="D6773" s="15">
        <v>362121.0</v>
      </c>
      <c r="E6773" s="15" t="s">
        <v>1664</v>
      </c>
      <c r="F6773" s="15" t="s">
        <v>1664</v>
      </c>
      <c r="G6773" s="7">
        <v>10.903</v>
      </c>
      <c r="H6773" s="15" t="s">
        <v>5368</v>
      </c>
      <c r="I6773" s="15" t="s">
        <v>1560</v>
      </c>
      <c r="J6773" s="15" t="s">
        <v>25668</v>
      </c>
      <c r="K6773" s="15">
        <v>4.0</v>
      </c>
      <c r="L6773" s="15">
        <v>4.0</v>
      </c>
      <c r="M6773" s="41">
        <v>42714.0</v>
      </c>
      <c r="N6773" s="40">
        <v>42752.0</v>
      </c>
      <c r="O6773" s="15" t="s">
        <v>1554</v>
      </c>
      <c r="Q6773" s="7"/>
    </row>
    <row r="6774">
      <c r="A6774" s="39" t="s">
        <v>25669</v>
      </c>
      <c r="B6774" s="15">
        <v>1923012.0</v>
      </c>
      <c r="C6774" s="15" t="s">
        <v>25670</v>
      </c>
      <c r="D6774" s="15">
        <v>362122.0</v>
      </c>
      <c r="E6774" s="15" t="s">
        <v>1664</v>
      </c>
      <c r="F6774" s="15" t="s">
        <v>1664</v>
      </c>
      <c r="G6774" s="7">
        <v>43285.0</v>
      </c>
      <c r="H6774" s="15" t="s">
        <v>25671</v>
      </c>
      <c r="I6774" s="15" t="s">
        <v>1560</v>
      </c>
      <c r="J6774" s="15" t="s">
        <v>25672</v>
      </c>
      <c r="K6774" s="15">
        <v>2.0</v>
      </c>
      <c r="L6774" s="15">
        <v>2.0</v>
      </c>
      <c r="M6774" s="41">
        <v>42714.0</v>
      </c>
      <c r="N6774" s="40">
        <v>42752.0</v>
      </c>
      <c r="O6774" s="15" t="s">
        <v>1554</v>
      </c>
      <c r="Q6774" s="7"/>
    </row>
    <row r="6775">
      <c r="A6775" s="39" t="s">
        <v>25673</v>
      </c>
      <c r="B6775" s="15">
        <v>1923011.0</v>
      </c>
      <c r="C6775" s="15" t="s">
        <v>25675</v>
      </c>
      <c r="D6775" s="15">
        <v>362123.0</v>
      </c>
      <c r="E6775" s="15" t="s">
        <v>1664</v>
      </c>
      <c r="F6775" s="15" t="s">
        <v>1664</v>
      </c>
      <c r="G6775" s="7">
        <v>10.327</v>
      </c>
      <c r="H6775" s="15" t="s">
        <v>1602</v>
      </c>
      <c r="I6775" s="15" t="s">
        <v>1560</v>
      </c>
      <c r="J6775" s="15" t="s">
        <v>25676</v>
      </c>
      <c r="K6775" s="15">
        <v>2.0</v>
      </c>
      <c r="L6775" s="15">
        <v>2.0</v>
      </c>
      <c r="M6775" s="41">
        <v>42714.0</v>
      </c>
      <c r="N6775" s="40">
        <v>42752.0</v>
      </c>
      <c r="O6775" s="15" t="s">
        <v>1554</v>
      </c>
      <c r="Q6775" s="7"/>
    </row>
    <row r="6776">
      <c r="A6776" s="39" t="s">
        <v>25677</v>
      </c>
      <c r="B6776" s="15">
        <v>1923009.0</v>
      </c>
      <c r="C6776" s="15" t="s">
        <v>25678</v>
      </c>
      <c r="D6776" s="15">
        <v>362124.0</v>
      </c>
      <c r="E6776" s="15" t="s">
        <v>1664</v>
      </c>
      <c r="F6776" s="15" t="s">
        <v>1664</v>
      </c>
      <c r="G6776" s="7">
        <v>9.555</v>
      </c>
      <c r="H6776" s="15" t="s">
        <v>2158</v>
      </c>
      <c r="I6776" s="15" t="s">
        <v>1560</v>
      </c>
      <c r="J6776" s="15" t="s">
        <v>25679</v>
      </c>
      <c r="K6776" s="15">
        <v>2.0</v>
      </c>
      <c r="L6776" s="15">
        <v>2.0</v>
      </c>
      <c r="M6776" s="41">
        <v>42714.0</v>
      </c>
      <c r="N6776" s="40">
        <v>42752.0</v>
      </c>
      <c r="O6776" s="15" t="s">
        <v>1554</v>
      </c>
      <c r="Q6776" s="7"/>
    </row>
    <row r="6777">
      <c r="A6777" s="39" t="s">
        <v>25680</v>
      </c>
      <c r="B6777" s="15">
        <v>1923002.0</v>
      </c>
      <c r="C6777" s="15" t="s">
        <v>25681</v>
      </c>
      <c r="D6777" s="15">
        <v>362125.0</v>
      </c>
      <c r="E6777" s="15" t="s">
        <v>1664</v>
      </c>
      <c r="F6777" s="15" t="s">
        <v>1664</v>
      </c>
      <c r="G6777" s="7">
        <v>12.044</v>
      </c>
      <c r="H6777" s="15" t="s">
        <v>1607</v>
      </c>
      <c r="I6777" s="15" t="s">
        <v>1560</v>
      </c>
      <c r="J6777" s="15" t="s">
        <v>25683</v>
      </c>
      <c r="K6777" s="15">
        <v>3.0</v>
      </c>
      <c r="L6777" s="15">
        <v>3.0</v>
      </c>
      <c r="M6777" s="41">
        <v>42714.0</v>
      </c>
      <c r="N6777" s="40">
        <v>42752.0</v>
      </c>
      <c r="O6777" s="15" t="s">
        <v>1554</v>
      </c>
      <c r="Q6777" s="7"/>
    </row>
    <row r="6778">
      <c r="A6778" s="39" t="s">
        <v>25684</v>
      </c>
      <c r="B6778" s="15">
        <v>1923001.0</v>
      </c>
      <c r="C6778" s="15" t="s">
        <v>25685</v>
      </c>
      <c r="D6778" s="15">
        <v>362126.0</v>
      </c>
      <c r="E6778" s="15" t="s">
        <v>1664</v>
      </c>
      <c r="F6778" s="15" t="s">
        <v>1664</v>
      </c>
      <c r="G6778" s="7">
        <v>12.535</v>
      </c>
      <c r="H6778" s="15" t="s">
        <v>1714</v>
      </c>
      <c r="I6778" s="15" t="s">
        <v>1560</v>
      </c>
      <c r="J6778" s="15" t="s">
        <v>25686</v>
      </c>
      <c r="K6778" s="15">
        <v>4.0</v>
      </c>
      <c r="L6778" s="15">
        <v>4.0</v>
      </c>
      <c r="M6778" s="41">
        <v>42714.0</v>
      </c>
      <c r="N6778" s="40">
        <v>42752.0</v>
      </c>
      <c r="O6778" s="15" t="s">
        <v>1554</v>
      </c>
      <c r="Q6778" s="7"/>
    </row>
    <row r="6779">
      <c r="A6779" s="39" t="s">
        <v>25687</v>
      </c>
      <c r="B6779" s="15">
        <v>1923000.0</v>
      </c>
      <c r="C6779" s="15" t="s">
        <v>25688</v>
      </c>
      <c r="D6779" s="15">
        <v>362127.0</v>
      </c>
      <c r="E6779" s="15" t="s">
        <v>1664</v>
      </c>
      <c r="F6779" s="15" t="s">
        <v>1664</v>
      </c>
      <c r="G6779" s="7">
        <v>9.82</v>
      </c>
      <c r="H6779" s="15" t="s">
        <v>3317</v>
      </c>
      <c r="I6779" s="15" t="s">
        <v>1560</v>
      </c>
      <c r="J6779" s="15" t="s">
        <v>25690</v>
      </c>
      <c r="K6779" s="15">
        <v>1.0</v>
      </c>
      <c r="L6779" s="15">
        <v>1.0</v>
      </c>
      <c r="M6779" s="41">
        <v>42714.0</v>
      </c>
      <c r="N6779" s="40">
        <v>42752.0</v>
      </c>
      <c r="O6779" s="15" t="s">
        <v>1554</v>
      </c>
      <c r="Q6779" s="7"/>
    </row>
    <row r="6780">
      <c r="A6780" s="39" t="s">
        <v>25691</v>
      </c>
      <c r="B6780" s="15">
        <v>1922999.0</v>
      </c>
      <c r="C6780" s="15" t="s">
        <v>25692</v>
      </c>
      <c r="D6780" s="15">
        <v>362128.0</v>
      </c>
      <c r="E6780" s="15" t="s">
        <v>1664</v>
      </c>
      <c r="F6780" s="15" t="s">
        <v>1664</v>
      </c>
      <c r="G6780" s="7">
        <v>9.596</v>
      </c>
      <c r="H6780" s="15" t="s">
        <v>6303</v>
      </c>
      <c r="I6780" s="15" t="s">
        <v>1560</v>
      </c>
      <c r="J6780" s="15" t="s">
        <v>25693</v>
      </c>
      <c r="K6780" s="15">
        <v>1.0</v>
      </c>
      <c r="L6780" s="15">
        <v>1.0</v>
      </c>
      <c r="M6780" s="41">
        <v>42714.0</v>
      </c>
      <c r="N6780" s="40">
        <v>42752.0</v>
      </c>
      <c r="O6780" s="15" t="s">
        <v>1554</v>
      </c>
      <c r="Q6780" s="7"/>
    </row>
    <row r="6781">
      <c r="A6781" s="39" t="s">
        <v>25694</v>
      </c>
      <c r="B6781" s="15">
        <v>1922998.0</v>
      </c>
      <c r="C6781" s="15" t="s">
        <v>25695</v>
      </c>
      <c r="D6781" s="15">
        <v>362129.0</v>
      </c>
      <c r="E6781" s="15" t="s">
        <v>1664</v>
      </c>
      <c r="F6781" s="15" t="s">
        <v>1664</v>
      </c>
      <c r="G6781" s="7">
        <v>10.046</v>
      </c>
      <c r="H6781" s="15" t="s">
        <v>3317</v>
      </c>
      <c r="I6781" s="15" t="s">
        <v>1560</v>
      </c>
      <c r="J6781" s="15" t="s">
        <v>25696</v>
      </c>
      <c r="K6781" s="15">
        <v>1.0</v>
      </c>
      <c r="L6781" s="15">
        <v>1.0</v>
      </c>
      <c r="M6781" s="41">
        <v>42714.0</v>
      </c>
      <c r="N6781" s="40">
        <v>42752.0</v>
      </c>
      <c r="O6781" s="15" t="s">
        <v>1554</v>
      </c>
      <c r="Q6781" s="7"/>
    </row>
    <row r="6782">
      <c r="A6782" s="39" t="s">
        <v>25698</v>
      </c>
      <c r="B6782" s="15">
        <v>1922997.0</v>
      </c>
      <c r="C6782" s="15" t="s">
        <v>25699</v>
      </c>
      <c r="D6782" s="15">
        <v>362130.0</v>
      </c>
      <c r="E6782" s="15" t="s">
        <v>1664</v>
      </c>
      <c r="F6782" s="15" t="s">
        <v>1664</v>
      </c>
      <c r="G6782" s="7">
        <v>10.126</v>
      </c>
      <c r="H6782" s="15" t="s">
        <v>2885</v>
      </c>
      <c r="I6782" s="15" t="s">
        <v>1560</v>
      </c>
      <c r="J6782" s="15" t="s">
        <v>25700</v>
      </c>
      <c r="K6782" s="15">
        <v>1.0</v>
      </c>
      <c r="L6782" s="15">
        <v>1.0</v>
      </c>
      <c r="M6782" s="41">
        <v>42714.0</v>
      </c>
      <c r="N6782" s="40">
        <v>42752.0</v>
      </c>
      <c r="O6782" s="15" t="s">
        <v>1554</v>
      </c>
      <c r="Q6782" s="7"/>
    </row>
    <row r="6783">
      <c r="A6783" s="39" t="s">
        <v>25701</v>
      </c>
      <c r="B6783" s="15">
        <v>1923131.0</v>
      </c>
      <c r="C6783" s="15" t="s">
        <v>25702</v>
      </c>
      <c r="D6783" s="15">
        <v>362131.0</v>
      </c>
      <c r="E6783" s="15" t="s">
        <v>1664</v>
      </c>
      <c r="F6783" s="15" t="s">
        <v>1664</v>
      </c>
      <c r="G6783" s="7">
        <v>8.763</v>
      </c>
      <c r="H6783" s="15" t="s">
        <v>2023</v>
      </c>
      <c r="I6783" s="15" t="s">
        <v>1560</v>
      </c>
      <c r="J6783" s="15" t="s">
        <v>25704</v>
      </c>
      <c r="K6783" s="15">
        <v>2.0</v>
      </c>
      <c r="L6783" s="15">
        <v>2.0</v>
      </c>
      <c r="M6783" s="41">
        <v>42714.0</v>
      </c>
      <c r="N6783" s="40">
        <v>42752.0</v>
      </c>
      <c r="O6783" s="15" t="s">
        <v>1554</v>
      </c>
      <c r="Q6783" s="7"/>
    </row>
    <row r="6784">
      <c r="A6784" s="39" t="s">
        <v>25705</v>
      </c>
      <c r="B6784" s="15">
        <v>1923130.0</v>
      </c>
      <c r="C6784" s="15" t="s">
        <v>25706</v>
      </c>
      <c r="D6784" s="15">
        <v>362132.0</v>
      </c>
      <c r="E6784" s="15" t="s">
        <v>1664</v>
      </c>
      <c r="F6784" s="15" t="s">
        <v>1664</v>
      </c>
      <c r="G6784" s="7">
        <v>9.773</v>
      </c>
      <c r="H6784" s="15" t="s">
        <v>2451</v>
      </c>
      <c r="I6784" s="15" t="s">
        <v>1560</v>
      </c>
      <c r="J6784" s="15" t="s">
        <v>25708</v>
      </c>
      <c r="K6784" s="15">
        <v>1.0</v>
      </c>
      <c r="L6784" s="15">
        <v>1.0</v>
      </c>
      <c r="M6784" s="41">
        <v>42714.0</v>
      </c>
      <c r="N6784" s="40">
        <v>42752.0</v>
      </c>
      <c r="O6784" s="15" t="s">
        <v>1554</v>
      </c>
      <c r="Q6784" s="7"/>
    </row>
    <row r="6785">
      <c r="A6785" s="39" t="s">
        <v>25709</v>
      </c>
      <c r="B6785" s="15">
        <v>1923129.0</v>
      </c>
      <c r="C6785" s="15" t="s">
        <v>25710</v>
      </c>
      <c r="D6785" s="15">
        <v>362133.0</v>
      </c>
      <c r="E6785" s="15" t="s">
        <v>1664</v>
      </c>
      <c r="F6785" s="15" t="s">
        <v>1664</v>
      </c>
      <c r="G6785" s="7">
        <v>9.702</v>
      </c>
      <c r="H6785" s="15" t="s">
        <v>3538</v>
      </c>
      <c r="I6785" s="15" t="s">
        <v>1560</v>
      </c>
      <c r="J6785" s="15" t="s">
        <v>25711</v>
      </c>
      <c r="K6785" s="15">
        <v>1.0</v>
      </c>
      <c r="L6785" s="15">
        <v>1.0</v>
      </c>
      <c r="M6785" s="41">
        <v>42714.0</v>
      </c>
      <c r="N6785" s="40">
        <v>42752.0</v>
      </c>
      <c r="O6785" s="15" t="s">
        <v>1554</v>
      </c>
      <c r="Q6785" s="7"/>
    </row>
    <row r="6786">
      <c r="A6786" s="39" t="s">
        <v>25713</v>
      </c>
      <c r="B6786" s="15">
        <v>1923128.0</v>
      </c>
      <c r="C6786" s="15" t="s">
        <v>25714</v>
      </c>
      <c r="D6786" s="15">
        <v>362134.0</v>
      </c>
      <c r="E6786" s="15" t="s">
        <v>1664</v>
      </c>
      <c r="F6786" s="15" t="s">
        <v>1664</v>
      </c>
      <c r="G6786" s="7">
        <v>10.106</v>
      </c>
      <c r="H6786" s="15" t="s">
        <v>2777</v>
      </c>
      <c r="I6786" s="15" t="s">
        <v>1560</v>
      </c>
      <c r="J6786" s="15" t="s">
        <v>25715</v>
      </c>
      <c r="K6786" s="15">
        <v>1.0</v>
      </c>
      <c r="L6786" s="15">
        <v>1.0</v>
      </c>
      <c r="M6786" s="41">
        <v>42714.0</v>
      </c>
      <c r="N6786" s="40">
        <v>42752.0</v>
      </c>
      <c r="O6786" s="15" t="s">
        <v>1554</v>
      </c>
      <c r="Q6786" s="7"/>
    </row>
    <row r="6787">
      <c r="A6787" s="39" t="s">
        <v>25717</v>
      </c>
      <c r="B6787" s="15">
        <v>1923126.0</v>
      </c>
      <c r="C6787" s="15" t="s">
        <v>25718</v>
      </c>
      <c r="D6787" s="15">
        <v>362135.0</v>
      </c>
      <c r="E6787" s="15" t="s">
        <v>1664</v>
      </c>
      <c r="F6787" s="15" t="s">
        <v>1664</v>
      </c>
      <c r="G6787" s="7">
        <v>10.908</v>
      </c>
      <c r="H6787" s="15">
        <v>40.0</v>
      </c>
      <c r="I6787" s="15" t="s">
        <v>1560</v>
      </c>
      <c r="J6787" s="15" t="s">
        <v>25719</v>
      </c>
      <c r="K6787" s="15">
        <v>1.0</v>
      </c>
      <c r="L6787" s="15">
        <v>1.0</v>
      </c>
      <c r="M6787" s="41">
        <v>42714.0</v>
      </c>
      <c r="N6787" s="40">
        <v>42752.0</v>
      </c>
      <c r="O6787" s="15" t="s">
        <v>1554</v>
      </c>
      <c r="Q6787" s="7"/>
    </row>
    <row r="6788">
      <c r="A6788" s="39" t="s">
        <v>25720</v>
      </c>
      <c r="B6788" s="15">
        <v>1923125.0</v>
      </c>
      <c r="C6788" s="15" t="s">
        <v>25721</v>
      </c>
      <c r="D6788" s="15">
        <v>362136.0</v>
      </c>
      <c r="E6788" s="15" t="s">
        <v>1664</v>
      </c>
      <c r="F6788" s="15" t="s">
        <v>1664</v>
      </c>
      <c r="G6788" s="7">
        <v>9.565</v>
      </c>
      <c r="H6788" s="15">
        <v>45.0</v>
      </c>
      <c r="I6788" s="15" t="s">
        <v>1560</v>
      </c>
      <c r="J6788" s="15" t="s">
        <v>25722</v>
      </c>
      <c r="K6788" s="15">
        <v>1.0</v>
      </c>
      <c r="L6788" s="15">
        <v>1.0</v>
      </c>
      <c r="M6788" s="41">
        <v>42714.0</v>
      </c>
      <c r="N6788" s="40">
        <v>42752.0</v>
      </c>
      <c r="O6788" s="15" t="s">
        <v>1554</v>
      </c>
      <c r="Q6788" s="7"/>
    </row>
    <row r="6789">
      <c r="A6789" s="39" t="s">
        <v>25724</v>
      </c>
      <c r="B6789" s="15">
        <v>1923124.0</v>
      </c>
      <c r="C6789" s="15" t="s">
        <v>25725</v>
      </c>
      <c r="D6789" s="15">
        <v>362137.0</v>
      </c>
      <c r="E6789" s="15" t="s">
        <v>1664</v>
      </c>
      <c r="F6789" s="15" t="s">
        <v>1664</v>
      </c>
      <c r="G6789" s="7">
        <v>9.758</v>
      </c>
      <c r="H6789" s="15" t="s">
        <v>2049</v>
      </c>
      <c r="I6789" s="15" t="s">
        <v>1560</v>
      </c>
      <c r="J6789" s="15" t="s">
        <v>25726</v>
      </c>
      <c r="K6789" s="15">
        <v>1.0</v>
      </c>
      <c r="L6789" s="15">
        <v>1.0</v>
      </c>
      <c r="M6789" s="41">
        <v>42714.0</v>
      </c>
      <c r="N6789" s="40">
        <v>42752.0</v>
      </c>
      <c r="O6789" s="15" t="s">
        <v>1554</v>
      </c>
      <c r="Q6789" s="7"/>
    </row>
    <row r="6790">
      <c r="A6790" s="39" t="s">
        <v>25727</v>
      </c>
      <c r="B6790" s="15">
        <v>1923123.0</v>
      </c>
      <c r="C6790" s="15" t="s">
        <v>25728</v>
      </c>
      <c r="D6790" s="15">
        <v>362138.0</v>
      </c>
      <c r="E6790" s="15" t="s">
        <v>1664</v>
      </c>
      <c r="F6790" s="15" t="s">
        <v>1664</v>
      </c>
      <c r="G6790" s="7">
        <v>9.129</v>
      </c>
      <c r="H6790" s="15" t="s">
        <v>6583</v>
      </c>
      <c r="I6790" s="15" t="s">
        <v>1560</v>
      </c>
      <c r="J6790" s="15" t="s">
        <v>25729</v>
      </c>
      <c r="K6790" s="15">
        <v>2.0</v>
      </c>
      <c r="L6790" s="15">
        <v>2.0</v>
      </c>
      <c r="M6790" s="41">
        <v>42714.0</v>
      </c>
      <c r="N6790" s="40">
        <v>42752.0</v>
      </c>
      <c r="O6790" s="15" t="s">
        <v>1554</v>
      </c>
      <c r="Q6790" s="7"/>
    </row>
    <row r="6791">
      <c r="A6791" s="39" t="s">
        <v>25730</v>
      </c>
      <c r="B6791" s="15">
        <v>1923122.0</v>
      </c>
      <c r="C6791" s="15" t="s">
        <v>25732</v>
      </c>
      <c r="D6791" s="15">
        <v>362139.0</v>
      </c>
      <c r="E6791" s="15" t="s">
        <v>1664</v>
      </c>
      <c r="F6791" s="15" t="s">
        <v>1664</v>
      </c>
      <c r="G6791" s="7">
        <v>8.964</v>
      </c>
      <c r="H6791" s="15" t="s">
        <v>2342</v>
      </c>
      <c r="I6791" s="15" t="s">
        <v>1560</v>
      </c>
      <c r="J6791" s="15" t="s">
        <v>25733</v>
      </c>
      <c r="K6791" s="15">
        <v>1.0</v>
      </c>
      <c r="L6791" s="15">
        <v>1.0</v>
      </c>
      <c r="M6791" s="41">
        <v>42714.0</v>
      </c>
      <c r="N6791" s="40">
        <v>42752.0</v>
      </c>
      <c r="O6791" s="15" t="s">
        <v>1554</v>
      </c>
      <c r="Q6791" s="7"/>
    </row>
    <row r="6792">
      <c r="A6792" s="39" t="s">
        <v>25734</v>
      </c>
      <c r="B6792" s="15">
        <v>1923121.0</v>
      </c>
      <c r="C6792" s="15" t="s">
        <v>25735</v>
      </c>
      <c r="D6792" s="15">
        <v>362140.0</v>
      </c>
      <c r="E6792" s="15" t="s">
        <v>1664</v>
      </c>
      <c r="F6792" s="15" t="s">
        <v>1664</v>
      </c>
      <c r="G6792" s="7">
        <v>8.842</v>
      </c>
      <c r="H6792" s="15" t="s">
        <v>6633</v>
      </c>
      <c r="I6792" s="15" t="s">
        <v>1560</v>
      </c>
      <c r="J6792" s="15" t="s">
        <v>25736</v>
      </c>
      <c r="K6792" s="15">
        <v>1.0</v>
      </c>
      <c r="L6792" s="15">
        <v>1.0</v>
      </c>
      <c r="M6792" s="41">
        <v>42714.0</v>
      </c>
      <c r="N6792" s="40">
        <v>42752.0</v>
      </c>
      <c r="O6792" s="15" t="s">
        <v>1554</v>
      </c>
      <c r="Q6792" s="7"/>
    </row>
    <row r="6793">
      <c r="A6793" s="39" t="s">
        <v>25737</v>
      </c>
      <c r="B6793" s="15">
        <v>1923120.0</v>
      </c>
      <c r="C6793" s="15" t="s">
        <v>25738</v>
      </c>
      <c r="D6793" s="15">
        <v>362141.0</v>
      </c>
      <c r="E6793" s="15" t="s">
        <v>1664</v>
      </c>
      <c r="F6793" s="15" t="s">
        <v>1664</v>
      </c>
      <c r="G6793" s="7">
        <v>8.604</v>
      </c>
      <c r="H6793" s="15" t="s">
        <v>2686</v>
      </c>
      <c r="I6793" s="15" t="s">
        <v>1560</v>
      </c>
      <c r="J6793" s="15" t="s">
        <v>25739</v>
      </c>
      <c r="K6793" s="15">
        <v>2.0</v>
      </c>
      <c r="L6793" s="15">
        <v>2.0</v>
      </c>
      <c r="M6793" s="41">
        <v>42714.0</v>
      </c>
      <c r="N6793" s="40">
        <v>42752.0</v>
      </c>
      <c r="O6793" s="15" t="s">
        <v>1554</v>
      </c>
      <c r="Q6793" s="7"/>
    </row>
    <row r="6794">
      <c r="A6794" s="39" t="s">
        <v>25741</v>
      </c>
      <c r="B6794" s="15">
        <v>1923119.0</v>
      </c>
      <c r="C6794" s="15" t="s">
        <v>25742</v>
      </c>
      <c r="D6794" s="15">
        <v>362142.0</v>
      </c>
      <c r="E6794" s="15" t="s">
        <v>1664</v>
      </c>
      <c r="F6794" s="15" t="s">
        <v>1664</v>
      </c>
      <c r="G6794" s="7">
        <v>8.821</v>
      </c>
      <c r="H6794" s="15" t="s">
        <v>5806</v>
      </c>
      <c r="I6794" s="15" t="s">
        <v>1560</v>
      </c>
      <c r="J6794" s="15" t="s">
        <v>25743</v>
      </c>
      <c r="K6794" s="15">
        <v>1.0</v>
      </c>
      <c r="L6794" s="15">
        <v>1.0</v>
      </c>
      <c r="M6794" s="41">
        <v>42714.0</v>
      </c>
      <c r="N6794" s="40">
        <v>42752.0</v>
      </c>
      <c r="O6794" s="15" t="s">
        <v>1554</v>
      </c>
      <c r="Q6794" s="7"/>
    </row>
    <row r="6795">
      <c r="A6795" s="39" t="s">
        <v>25744</v>
      </c>
      <c r="B6795" s="15">
        <v>1923118.0</v>
      </c>
      <c r="C6795" s="15" t="s">
        <v>25745</v>
      </c>
      <c r="D6795" s="15">
        <v>362143.0</v>
      </c>
      <c r="E6795" s="15" t="s">
        <v>1664</v>
      </c>
      <c r="F6795" s="15" t="s">
        <v>1664</v>
      </c>
      <c r="G6795" s="7">
        <v>9.836</v>
      </c>
      <c r="H6795" s="15" t="s">
        <v>1714</v>
      </c>
      <c r="I6795" s="15" t="s">
        <v>1560</v>
      </c>
      <c r="J6795" s="15" t="s">
        <v>25746</v>
      </c>
      <c r="K6795" s="15">
        <v>1.0</v>
      </c>
      <c r="L6795" s="15">
        <v>1.0</v>
      </c>
      <c r="M6795" s="41">
        <v>42714.0</v>
      </c>
      <c r="N6795" s="40">
        <v>42752.0</v>
      </c>
      <c r="O6795" s="15" t="s">
        <v>1554</v>
      </c>
      <c r="Q6795" s="7"/>
    </row>
    <row r="6796">
      <c r="A6796" s="39" t="s">
        <v>25747</v>
      </c>
      <c r="B6796" s="15">
        <v>1923117.0</v>
      </c>
      <c r="C6796" s="15" t="s">
        <v>25748</v>
      </c>
      <c r="D6796" s="15">
        <v>362144.0</v>
      </c>
      <c r="E6796" s="15" t="s">
        <v>1664</v>
      </c>
      <c r="F6796" s="15" t="s">
        <v>1664</v>
      </c>
      <c r="G6796" s="7">
        <v>9.789</v>
      </c>
      <c r="H6796" s="15" t="s">
        <v>1902</v>
      </c>
      <c r="I6796" s="15" t="s">
        <v>1560</v>
      </c>
      <c r="J6796" s="15" t="s">
        <v>25749</v>
      </c>
      <c r="K6796" s="15">
        <v>1.0</v>
      </c>
      <c r="L6796" s="15">
        <v>1.0</v>
      </c>
      <c r="M6796" s="41">
        <v>42714.0</v>
      </c>
      <c r="N6796" s="40">
        <v>42752.0</v>
      </c>
      <c r="O6796" s="15" t="s">
        <v>1554</v>
      </c>
      <c r="Q6796" s="7"/>
    </row>
    <row r="6797">
      <c r="A6797" s="39" t="s">
        <v>25751</v>
      </c>
      <c r="B6797" s="15">
        <v>1923116.0</v>
      </c>
      <c r="C6797" s="15" t="s">
        <v>25752</v>
      </c>
      <c r="D6797" s="15">
        <v>362145.0</v>
      </c>
      <c r="E6797" s="15" t="s">
        <v>1664</v>
      </c>
      <c r="F6797" s="15" t="s">
        <v>1664</v>
      </c>
      <c r="G6797" s="7">
        <v>9.856</v>
      </c>
      <c r="H6797" s="15" t="s">
        <v>3066</v>
      </c>
      <c r="I6797" s="15" t="s">
        <v>1560</v>
      </c>
      <c r="J6797" s="15" t="s">
        <v>25753</v>
      </c>
      <c r="K6797" s="15">
        <v>1.0</v>
      </c>
      <c r="L6797" s="15">
        <v>1.0</v>
      </c>
      <c r="M6797" s="41">
        <v>42714.0</v>
      </c>
      <c r="N6797" s="40">
        <v>42752.0</v>
      </c>
      <c r="O6797" s="15" t="s">
        <v>1554</v>
      </c>
      <c r="Q6797" s="7"/>
    </row>
    <row r="6798">
      <c r="A6798" s="39" t="s">
        <v>25754</v>
      </c>
      <c r="B6798" s="15">
        <v>1923115.0</v>
      </c>
      <c r="C6798" s="15" t="s">
        <v>25755</v>
      </c>
      <c r="D6798" s="15">
        <v>362146.0</v>
      </c>
      <c r="E6798" s="15" t="s">
        <v>1664</v>
      </c>
      <c r="F6798" s="15" t="s">
        <v>1664</v>
      </c>
      <c r="G6798" s="7">
        <v>9.266</v>
      </c>
      <c r="H6798" s="15" t="s">
        <v>10067</v>
      </c>
      <c r="I6798" s="15" t="s">
        <v>1560</v>
      </c>
      <c r="J6798" s="15" t="s">
        <v>25756</v>
      </c>
      <c r="K6798" s="15">
        <v>1.0</v>
      </c>
      <c r="L6798" s="15">
        <v>1.0</v>
      </c>
      <c r="M6798" s="41">
        <v>42714.0</v>
      </c>
      <c r="N6798" s="40">
        <v>42752.0</v>
      </c>
      <c r="O6798" s="15" t="s">
        <v>1554</v>
      </c>
      <c r="Q6798" s="7"/>
    </row>
    <row r="6799">
      <c r="A6799" s="39" t="s">
        <v>25757</v>
      </c>
      <c r="B6799" s="15">
        <v>1923114.0</v>
      </c>
      <c r="C6799" s="15" t="s">
        <v>25758</v>
      </c>
      <c r="D6799" s="15">
        <v>362147.0</v>
      </c>
      <c r="E6799" s="15" t="s">
        <v>1664</v>
      </c>
      <c r="F6799" s="15" t="s">
        <v>1664</v>
      </c>
      <c r="G6799" s="7">
        <v>9.185</v>
      </c>
      <c r="H6799" s="15">
        <v>41.0</v>
      </c>
      <c r="I6799" s="15" t="s">
        <v>1560</v>
      </c>
      <c r="J6799" s="15" t="s">
        <v>25760</v>
      </c>
      <c r="K6799" s="15">
        <v>1.0</v>
      </c>
      <c r="L6799" s="15">
        <v>1.0</v>
      </c>
      <c r="M6799" s="41">
        <v>42714.0</v>
      </c>
      <c r="N6799" s="40">
        <v>42752.0</v>
      </c>
      <c r="O6799" s="15" t="s">
        <v>1554</v>
      </c>
      <c r="Q6799" s="7"/>
    </row>
    <row r="6800">
      <c r="A6800" s="39" t="s">
        <v>25761</v>
      </c>
      <c r="B6800" s="15">
        <v>1923113.0</v>
      </c>
      <c r="C6800" s="15" t="s">
        <v>25762</v>
      </c>
      <c r="D6800" s="15">
        <v>362148.0</v>
      </c>
      <c r="E6800" s="15" t="s">
        <v>1664</v>
      </c>
      <c r="F6800" s="15" t="s">
        <v>1664</v>
      </c>
      <c r="G6800" s="7">
        <v>9.658</v>
      </c>
      <c r="H6800" s="15" t="s">
        <v>3554</v>
      </c>
      <c r="I6800" s="15" t="s">
        <v>1560</v>
      </c>
      <c r="J6800" s="15" t="s">
        <v>25763</v>
      </c>
      <c r="K6800" s="15">
        <v>1.0</v>
      </c>
      <c r="L6800" s="15">
        <v>1.0</v>
      </c>
      <c r="M6800" s="41">
        <v>42714.0</v>
      </c>
      <c r="N6800" s="40">
        <v>42752.0</v>
      </c>
      <c r="O6800" s="15" t="s">
        <v>1554</v>
      </c>
      <c r="Q6800" s="7"/>
    </row>
    <row r="6801">
      <c r="A6801" s="39" t="s">
        <v>25764</v>
      </c>
      <c r="B6801" s="15">
        <v>1923112.0</v>
      </c>
      <c r="C6801" s="15" t="s">
        <v>25765</v>
      </c>
      <c r="D6801" s="15">
        <v>362149.0</v>
      </c>
      <c r="E6801" s="15" t="s">
        <v>1664</v>
      </c>
      <c r="F6801" s="15" t="s">
        <v>1664</v>
      </c>
      <c r="G6801" s="7">
        <v>7.696</v>
      </c>
      <c r="H6801" s="15">
        <v>38.0</v>
      </c>
      <c r="I6801" s="15" t="s">
        <v>1560</v>
      </c>
      <c r="J6801" s="15" t="s">
        <v>25766</v>
      </c>
      <c r="K6801" s="15">
        <v>1.0</v>
      </c>
      <c r="L6801" s="15">
        <v>1.0</v>
      </c>
      <c r="M6801" s="41">
        <v>42714.0</v>
      </c>
      <c r="N6801" s="40">
        <v>42752.0</v>
      </c>
      <c r="O6801" s="15" t="s">
        <v>1554</v>
      </c>
      <c r="Q6801" s="7"/>
    </row>
    <row r="6802">
      <c r="A6802" s="39" t="s">
        <v>25768</v>
      </c>
      <c r="B6802" s="15">
        <v>1923110.0</v>
      </c>
      <c r="C6802" s="15" t="s">
        <v>25769</v>
      </c>
      <c r="D6802" s="15">
        <v>362150.0</v>
      </c>
      <c r="E6802" s="15" t="s">
        <v>1664</v>
      </c>
      <c r="F6802" s="15" t="s">
        <v>1664</v>
      </c>
      <c r="G6802" s="7">
        <v>6.111</v>
      </c>
      <c r="H6802" s="15" t="s">
        <v>1849</v>
      </c>
      <c r="I6802" s="15" t="s">
        <v>1560</v>
      </c>
      <c r="J6802" s="15" t="s">
        <v>25770</v>
      </c>
      <c r="K6802" s="15">
        <v>1.0</v>
      </c>
      <c r="L6802" s="15">
        <v>1.0</v>
      </c>
      <c r="M6802" s="41">
        <v>42714.0</v>
      </c>
      <c r="N6802" s="40">
        <v>42752.0</v>
      </c>
      <c r="O6802" s="15" t="s">
        <v>1554</v>
      </c>
      <c r="Q6802" s="7"/>
    </row>
    <row r="6803">
      <c r="A6803" s="39" t="s">
        <v>25771</v>
      </c>
      <c r="B6803" s="15">
        <v>1923109.0</v>
      </c>
      <c r="C6803" s="15" t="s">
        <v>25772</v>
      </c>
      <c r="D6803" s="15">
        <v>362151.0</v>
      </c>
      <c r="E6803" s="15" t="s">
        <v>1664</v>
      </c>
      <c r="F6803" s="15" t="s">
        <v>1664</v>
      </c>
      <c r="G6803" s="7">
        <v>10.308</v>
      </c>
      <c r="H6803" s="15" t="s">
        <v>6565</v>
      </c>
      <c r="I6803" s="15" t="s">
        <v>1560</v>
      </c>
      <c r="J6803" s="15" t="s">
        <v>25773</v>
      </c>
      <c r="K6803" s="15">
        <v>1.0</v>
      </c>
      <c r="L6803" s="15">
        <v>1.0</v>
      </c>
      <c r="M6803" s="41">
        <v>42714.0</v>
      </c>
      <c r="N6803" s="40">
        <v>42752.0</v>
      </c>
      <c r="O6803" s="15" t="s">
        <v>1554</v>
      </c>
      <c r="Q6803" s="7"/>
    </row>
    <row r="6804">
      <c r="A6804" s="39" t="s">
        <v>25774</v>
      </c>
      <c r="B6804" s="15">
        <v>1923108.0</v>
      </c>
      <c r="C6804" s="15" t="s">
        <v>25775</v>
      </c>
      <c r="D6804" s="15">
        <v>362152.0</v>
      </c>
      <c r="E6804" s="15" t="s">
        <v>1664</v>
      </c>
      <c r="F6804" s="15" t="s">
        <v>1664</v>
      </c>
      <c r="G6804" s="7">
        <v>10.061</v>
      </c>
      <c r="H6804" s="15" t="s">
        <v>2304</v>
      </c>
      <c r="I6804" s="15" t="s">
        <v>1560</v>
      </c>
      <c r="J6804" s="15" t="s">
        <v>25777</v>
      </c>
      <c r="K6804" s="15">
        <v>1.0</v>
      </c>
      <c r="L6804" s="15">
        <v>1.0</v>
      </c>
      <c r="M6804" s="41">
        <v>42714.0</v>
      </c>
      <c r="N6804" s="40">
        <v>42752.0</v>
      </c>
      <c r="O6804" s="15" t="s">
        <v>1554</v>
      </c>
      <c r="Q6804" s="7"/>
    </row>
    <row r="6805">
      <c r="A6805" s="39" t="s">
        <v>25778</v>
      </c>
      <c r="B6805" s="15">
        <v>1923107.0</v>
      </c>
      <c r="C6805" s="15" t="s">
        <v>25779</v>
      </c>
      <c r="D6805" s="15">
        <v>362153.0</v>
      </c>
      <c r="E6805" s="15" t="s">
        <v>1664</v>
      </c>
      <c r="F6805" s="15" t="s">
        <v>1664</v>
      </c>
      <c r="G6805" s="7">
        <v>10.184</v>
      </c>
      <c r="H6805" s="15" t="s">
        <v>3870</v>
      </c>
      <c r="I6805" s="15" t="s">
        <v>1560</v>
      </c>
      <c r="J6805" s="15" t="s">
        <v>25780</v>
      </c>
      <c r="K6805" s="15">
        <v>1.0</v>
      </c>
      <c r="L6805" s="15">
        <v>1.0</v>
      </c>
      <c r="M6805" s="41">
        <v>42714.0</v>
      </c>
      <c r="N6805" s="40">
        <v>42752.0</v>
      </c>
      <c r="O6805" s="15" t="s">
        <v>1554</v>
      </c>
      <c r="Q6805" s="7"/>
    </row>
    <row r="6806">
      <c r="A6806" s="39" t="s">
        <v>25781</v>
      </c>
      <c r="B6806" s="15">
        <v>1923106.0</v>
      </c>
      <c r="C6806" s="15" t="s">
        <v>25782</v>
      </c>
      <c r="D6806" s="15">
        <v>362154.0</v>
      </c>
      <c r="E6806" s="15" t="s">
        <v>1664</v>
      </c>
      <c r="F6806" s="15" t="s">
        <v>1664</v>
      </c>
      <c r="G6806" s="7">
        <v>8.938</v>
      </c>
      <c r="H6806" s="15" t="s">
        <v>10167</v>
      </c>
      <c r="I6806" s="15" t="s">
        <v>1560</v>
      </c>
      <c r="J6806" s="15" t="s">
        <v>25783</v>
      </c>
      <c r="K6806" s="15">
        <v>1.0</v>
      </c>
      <c r="L6806" s="15">
        <v>1.0</v>
      </c>
      <c r="M6806" s="41">
        <v>42714.0</v>
      </c>
      <c r="N6806" s="40">
        <v>42752.0</v>
      </c>
      <c r="O6806" s="15" t="s">
        <v>1554</v>
      </c>
      <c r="Q6806" s="7"/>
    </row>
    <row r="6807">
      <c r="A6807" s="39" t="s">
        <v>25785</v>
      </c>
      <c r="B6807" s="15">
        <v>1923105.0</v>
      </c>
      <c r="C6807" s="15" t="s">
        <v>25786</v>
      </c>
      <c r="D6807" s="15">
        <v>362155.0</v>
      </c>
      <c r="E6807" s="15" t="s">
        <v>1664</v>
      </c>
      <c r="F6807" s="15" t="s">
        <v>1664</v>
      </c>
      <c r="G6807" s="7">
        <v>9.235</v>
      </c>
      <c r="H6807" s="15" t="s">
        <v>2640</v>
      </c>
      <c r="I6807" s="15" t="s">
        <v>1560</v>
      </c>
      <c r="J6807" s="15" t="s">
        <v>25787</v>
      </c>
      <c r="K6807" s="15">
        <v>2.0</v>
      </c>
      <c r="L6807" s="15">
        <v>2.0</v>
      </c>
      <c r="M6807" s="41">
        <v>42714.0</v>
      </c>
      <c r="N6807" s="40">
        <v>42752.0</v>
      </c>
      <c r="O6807" s="15" t="s">
        <v>1554</v>
      </c>
      <c r="Q6807" s="7"/>
    </row>
    <row r="6808">
      <c r="A6808" s="39" t="s">
        <v>25788</v>
      </c>
      <c r="B6808" s="15">
        <v>1923102.0</v>
      </c>
      <c r="C6808" s="15" t="s">
        <v>25789</v>
      </c>
      <c r="D6808" s="15">
        <v>362156.0</v>
      </c>
      <c r="E6808" s="15" t="s">
        <v>1664</v>
      </c>
      <c r="F6808" s="15" t="s">
        <v>1664</v>
      </c>
      <c r="G6808" s="7">
        <v>8.253</v>
      </c>
      <c r="H6808" s="15" t="s">
        <v>5934</v>
      </c>
      <c r="I6808" s="15" t="s">
        <v>1560</v>
      </c>
      <c r="J6808" s="15" t="s">
        <v>25790</v>
      </c>
      <c r="K6808" s="15">
        <v>2.0</v>
      </c>
      <c r="L6808" s="15">
        <v>2.0</v>
      </c>
      <c r="M6808" s="41">
        <v>42714.0</v>
      </c>
      <c r="N6808" s="40">
        <v>42752.0</v>
      </c>
      <c r="O6808" s="15" t="s">
        <v>1554</v>
      </c>
      <c r="Q6808" s="7"/>
    </row>
    <row r="6809">
      <c r="A6809" s="39" t="s">
        <v>25791</v>
      </c>
      <c r="B6809" s="15">
        <v>1923164.0</v>
      </c>
      <c r="C6809" s="15" t="s">
        <v>25793</v>
      </c>
      <c r="D6809" s="15">
        <v>362157.0</v>
      </c>
      <c r="E6809" s="15" t="s">
        <v>1664</v>
      </c>
      <c r="F6809" s="15" t="s">
        <v>1664</v>
      </c>
      <c r="G6809" s="7">
        <v>9.668</v>
      </c>
      <c r="H6809" s="15" t="s">
        <v>3568</v>
      </c>
      <c r="I6809" s="15" t="s">
        <v>1560</v>
      </c>
      <c r="J6809" s="15" t="s">
        <v>25794</v>
      </c>
      <c r="K6809" s="15">
        <v>2.0</v>
      </c>
      <c r="L6809" s="15">
        <v>2.0</v>
      </c>
      <c r="M6809" s="41">
        <v>42714.0</v>
      </c>
      <c r="N6809" s="40">
        <v>42752.0</v>
      </c>
      <c r="O6809" s="15" t="s">
        <v>1554</v>
      </c>
      <c r="Q6809" s="7"/>
    </row>
    <row r="6810">
      <c r="A6810" s="39" t="s">
        <v>25795</v>
      </c>
      <c r="B6810" s="15">
        <v>1923163.0</v>
      </c>
      <c r="C6810" s="15" t="s">
        <v>25796</v>
      </c>
      <c r="D6810" s="15">
        <v>362158.0</v>
      </c>
      <c r="E6810" s="15" t="s">
        <v>1664</v>
      </c>
      <c r="F6810" s="15" t="s">
        <v>1664</v>
      </c>
      <c r="G6810" s="7">
        <v>9.186</v>
      </c>
      <c r="H6810" s="15" t="s">
        <v>6303</v>
      </c>
      <c r="I6810" s="15" t="s">
        <v>1560</v>
      </c>
      <c r="J6810" s="15" t="s">
        <v>25797</v>
      </c>
      <c r="K6810" s="15">
        <v>2.0</v>
      </c>
      <c r="L6810" s="15">
        <v>2.0</v>
      </c>
      <c r="M6810" s="41">
        <v>42714.0</v>
      </c>
      <c r="N6810" s="40">
        <v>42752.0</v>
      </c>
      <c r="O6810" s="15" t="s">
        <v>1554</v>
      </c>
      <c r="Q6810" s="7"/>
    </row>
    <row r="6811">
      <c r="A6811" s="39" t="s">
        <v>25798</v>
      </c>
      <c r="B6811" s="15">
        <v>1923300.0</v>
      </c>
      <c r="C6811" s="15" t="s">
        <v>25799</v>
      </c>
      <c r="D6811" s="15">
        <v>362160.0</v>
      </c>
      <c r="E6811" s="15" t="s">
        <v>1664</v>
      </c>
      <c r="F6811" s="15" t="s">
        <v>1664</v>
      </c>
      <c r="G6811" s="7">
        <v>5.336</v>
      </c>
      <c r="H6811" s="15" t="s">
        <v>2000</v>
      </c>
      <c r="I6811" s="15" t="s">
        <v>1560</v>
      </c>
      <c r="J6811" s="15" t="s">
        <v>25801</v>
      </c>
      <c r="K6811" s="15">
        <v>2.0</v>
      </c>
      <c r="L6811" s="15">
        <v>2.0</v>
      </c>
      <c r="M6811" s="41">
        <v>42714.0</v>
      </c>
      <c r="N6811" s="40">
        <v>42752.0</v>
      </c>
      <c r="O6811" s="15" t="s">
        <v>1554</v>
      </c>
      <c r="Q6811" s="7"/>
    </row>
    <row r="6812">
      <c r="A6812" s="39" t="s">
        <v>25802</v>
      </c>
      <c r="B6812" s="15">
        <v>1923298.0</v>
      </c>
      <c r="C6812" s="15" t="s">
        <v>25803</v>
      </c>
      <c r="D6812" s="15">
        <v>362161.0</v>
      </c>
      <c r="E6812" s="15" t="s">
        <v>1664</v>
      </c>
      <c r="F6812" s="15" t="s">
        <v>1664</v>
      </c>
      <c r="G6812" s="7">
        <v>7.081</v>
      </c>
      <c r="H6812" s="15" t="s">
        <v>2417</v>
      </c>
      <c r="I6812" s="15" t="s">
        <v>1560</v>
      </c>
      <c r="J6812" s="15" t="s">
        <v>25804</v>
      </c>
      <c r="K6812" s="15">
        <v>2.0</v>
      </c>
      <c r="L6812" s="15">
        <v>2.0</v>
      </c>
      <c r="M6812" s="41">
        <v>42714.0</v>
      </c>
      <c r="N6812" s="40">
        <v>42752.0</v>
      </c>
      <c r="O6812" s="15" t="s">
        <v>1554</v>
      </c>
      <c r="Q6812" s="7"/>
    </row>
    <row r="6813">
      <c r="A6813" s="39" t="s">
        <v>25805</v>
      </c>
      <c r="B6813" s="15">
        <v>1923296.0</v>
      </c>
      <c r="C6813" s="15" t="s">
        <v>25806</v>
      </c>
      <c r="D6813" s="15">
        <v>362162.0</v>
      </c>
      <c r="E6813" s="15" t="s">
        <v>1664</v>
      </c>
      <c r="F6813" s="15" t="s">
        <v>1664</v>
      </c>
      <c r="G6813" s="7">
        <v>3.501</v>
      </c>
      <c r="H6813" s="15" t="s">
        <v>2189</v>
      </c>
      <c r="I6813" s="15" t="s">
        <v>1560</v>
      </c>
      <c r="J6813" s="15" t="s">
        <v>25807</v>
      </c>
      <c r="K6813" s="15">
        <v>2.0</v>
      </c>
      <c r="L6813" s="15">
        <v>2.0</v>
      </c>
      <c r="M6813" s="41">
        <v>42714.0</v>
      </c>
      <c r="N6813" s="40">
        <v>42752.0</v>
      </c>
      <c r="O6813" s="15" t="s">
        <v>1554</v>
      </c>
      <c r="Q6813" s="7"/>
    </row>
    <row r="6814">
      <c r="A6814" s="39" t="s">
        <v>25809</v>
      </c>
      <c r="B6814" s="15">
        <v>1923295.0</v>
      </c>
      <c r="C6814" s="15" t="s">
        <v>25810</v>
      </c>
      <c r="D6814" s="15">
        <v>362163.0</v>
      </c>
      <c r="E6814" s="15" t="s">
        <v>1664</v>
      </c>
      <c r="F6814" s="15" t="s">
        <v>1664</v>
      </c>
      <c r="G6814" s="7">
        <v>4.326</v>
      </c>
      <c r="H6814" s="15" t="s">
        <v>3836</v>
      </c>
      <c r="I6814" s="15" t="s">
        <v>1560</v>
      </c>
      <c r="J6814" s="15" t="s">
        <v>25811</v>
      </c>
      <c r="K6814" s="15">
        <v>3.0</v>
      </c>
      <c r="L6814" s="15">
        <v>3.0</v>
      </c>
      <c r="M6814" s="41">
        <v>42714.0</v>
      </c>
      <c r="N6814" s="40">
        <v>42752.0</v>
      </c>
      <c r="O6814" s="15" t="s">
        <v>1554</v>
      </c>
      <c r="Q6814" s="7"/>
    </row>
    <row r="6815">
      <c r="A6815" s="39" t="s">
        <v>25812</v>
      </c>
      <c r="B6815" s="15">
        <v>1923294.0</v>
      </c>
      <c r="C6815" s="15" t="s">
        <v>25813</v>
      </c>
      <c r="D6815" s="15">
        <v>362164.0</v>
      </c>
      <c r="E6815" s="15" t="s">
        <v>1664</v>
      </c>
      <c r="F6815" s="15" t="s">
        <v>1664</v>
      </c>
      <c r="G6815" s="7">
        <v>5.082</v>
      </c>
      <c r="H6815" s="15">
        <v>56.0</v>
      </c>
      <c r="I6815" s="15" t="s">
        <v>1560</v>
      </c>
      <c r="J6815" s="15" t="s">
        <v>25814</v>
      </c>
      <c r="K6815" s="15">
        <v>3.0</v>
      </c>
      <c r="L6815" s="15">
        <v>3.0</v>
      </c>
      <c r="M6815" s="41">
        <v>42714.0</v>
      </c>
      <c r="N6815" s="40">
        <v>42752.0</v>
      </c>
      <c r="O6815" s="15" t="s">
        <v>1554</v>
      </c>
      <c r="Q6815" s="7"/>
    </row>
    <row r="6816">
      <c r="A6816" s="39" t="s">
        <v>25815</v>
      </c>
      <c r="B6816" s="15">
        <v>1923293.0</v>
      </c>
      <c r="C6816" s="15" t="s">
        <v>25816</v>
      </c>
      <c r="D6816" s="15">
        <v>362165.0</v>
      </c>
      <c r="E6816" s="15" t="s">
        <v>1664</v>
      </c>
      <c r="F6816" s="15" t="s">
        <v>1664</v>
      </c>
      <c r="G6816" s="7">
        <v>3.77</v>
      </c>
      <c r="H6816" s="15" t="s">
        <v>3097</v>
      </c>
      <c r="I6816" s="15" t="s">
        <v>1560</v>
      </c>
      <c r="J6816" s="15" t="s">
        <v>25817</v>
      </c>
      <c r="K6816" s="15">
        <v>3.0</v>
      </c>
      <c r="L6816" s="15">
        <v>3.0</v>
      </c>
      <c r="M6816" s="41">
        <v>42714.0</v>
      </c>
      <c r="N6816" s="40">
        <v>42752.0</v>
      </c>
      <c r="O6816" s="15" t="s">
        <v>1554</v>
      </c>
      <c r="Q6816" s="7"/>
    </row>
    <row r="6817">
      <c r="A6817" s="39" t="s">
        <v>25819</v>
      </c>
      <c r="B6817" s="15">
        <v>1923292.0</v>
      </c>
      <c r="C6817" s="15" t="s">
        <v>25820</v>
      </c>
      <c r="D6817" s="15">
        <v>362166.0</v>
      </c>
      <c r="E6817" s="15" t="s">
        <v>1664</v>
      </c>
      <c r="F6817" s="15" t="s">
        <v>1664</v>
      </c>
      <c r="G6817" s="7">
        <v>3.085</v>
      </c>
      <c r="H6817" s="15" t="s">
        <v>2300</v>
      </c>
      <c r="I6817" s="15" t="s">
        <v>1560</v>
      </c>
      <c r="J6817" s="15" t="s">
        <v>25821</v>
      </c>
      <c r="K6817" s="15">
        <v>2.0</v>
      </c>
      <c r="L6817" s="15">
        <v>2.0</v>
      </c>
      <c r="M6817" s="41">
        <v>42714.0</v>
      </c>
      <c r="N6817" s="40">
        <v>42752.0</v>
      </c>
      <c r="O6817" s="15" t="s">
        <v>1554</v>
      </c>
      <c r="Q6817" s="7"/>
    </row>
    <row r="6818">
      <c r="A6818" s="39" t="s">
        <v>25822</v>
      </c>
      <c r="B6818" s="15">
        <v>1923291.0</v>
      </c>
      <c r="C6818" s="15" t="s">
        <v>25823</v>
      </c>
      <c r="D6818" s="15">
        <v>362167.0</v>
      </c>
      <c r="E6818" s="15" t="s">
        <v>1664</v>
      </c>
      <c r="F6818" s="15" t="s">
        <v>1664</v>
      </c>
      <c r="G6818" s="7">
        <v>5.102</v>
      </c>
      <c r="H6818" s="15" t="s">
        <v>5368</v>
      </c>
      <c r="I6818" s="15" t="s">
        <v>1560</v>
      </c>
      <c r="J6818" s="15" t="s">
        <v>25824</v>
      </c>
      <c r="K6818" s="15">
        <v>3.0</v>
      </c>
      <c r="L6818" s="15">
        <v>3.0</v>
      </c>
      <c r="M6818" s="41">
        <v>42714.0</v>
      </c>
      <c r="N6818" s="40">
        <v>42752.0</v>
      </c>
      <c r="O6818" s="15" t="s">
        <v>1554</v>
      </c>
      <c r="Q6818" s="7"/>
    </row>
    <row r="6819">
      <c r="A6819" s="39" t="s">
        <v>25825</v>
      </c>
      <c r="B6819" s="15">
        <v>1923290.0</v>
      </c>
      <c r="C6819" s="15" t="s">
        <v>25827</v>
      </c>
      <c r="D6819" s="15">
        <v>362168.0</v>
      </c>
      <c r="E6819" s="15" t="s">
        <v>1664</v>
      </c>
      <c r="F6819" s="15" t="s">
        <v>1664</v>
      </c>
      <c r="G6819" s="7">
        <v>3.668</v>
      </c>
      <c r="H6819" s="15" t="s">
        <v>2686</v>
      </c>
      <c r="I6819" s="15" t="s">
        <v>1560</v>
      </c>
      <c r="J6819" s="15" t="s">
        <v>25828</v>
      </c>
      <c r="K6819" s="15">
        <v>2.0</v>
      </c>
      <c r="L6819" s="15">
        <v>2.0</v>
      </c>
      <c r="M6819" s="41">
        <v>42714.0</v>
      </c>
      <c r="N6819" s="40">
        <v>42752.0</v>
      </c>
      <c r="O6819" s="15" t="s">
        <v>1554</v>
      </c>
      <c r="Q6819" s="7"/>
    </row>
    <row r="6820">
      <c r="A6820" s="39" t="s">
        <v>25829</v>
      </c>
      <c r="B6820" s="15">
        <v>1923289.0</v>
      </c>
      <c r="C6820" s="15" t="s">
        <v>25830</v>
      </c>
      <c r="D6820" s="15">
        <v>362169.0</v>
      </c>
      <c r="E6820" s="15" t="s">
        <v>1664</v>
      </c>
      <c r="F6820" s="15" t="s">
        <v>1664</v>
      </c>
      <c r="G6820" s="7">
        <v>3.498</v>
      </c>
      <c r="H6820" s="15">
        <v>52.0</v>
      </c>
      <c r="I6820" s="15" t="s">
        <v>1560</v>
      </c>
      <c r="J6820" s="15" t="s">
        <v>25831</v>
      </c>
      <c r="K6820" s="15">
        <v>3.0</v>
      </c>
      <c r="L6820" s="15">
        <v>3.0</v>
      </c>
      <c r="M6820" s="41">
        <v>42714.0</v>
      </c>
      <c r="N6820" s="40">
        <v>42752.0</v>
      </c>
      <c r="O6820" s="15" t="s">
        <v>1554</v>
      </c>
      <c r="Q6820" s="7"/>
    </row>
    <row r="6821">
      <c r="A6821" s="39" t="s">
        <v>25832</v>
      </c>
      <c r="B6821" s="15">
        <v>1923288.0</v>
      </c>
      <c r="C6821" s="15" t="s">
        <v>25833</v>
      </c>
      <c r="D6821" s="15">
        <v>362170.0</v>
      </c>
      <c r="E6821" s="15" t="s">
        <v>1664</v>
      </c>
      <c r="F6821" s="15" t="s">
        <v>1664</v>
      </c>
      <c r="G6821" s="7">
        <v>3.833</v>
      </c>
      <c r="H6821" s="15" t="s">
        <v>2945</v>
      </c>
      <c r="I6821" s="15" t="s">
        <v>1560</v>
      </c>
      <c r="J6821" s="15" t="s">
        <v>25835</v>
      </c>
      <c r="K6821" s="15">
        <v>3.0</v>
      </c>
      <c r="L6821" s="15">
        <v>3.0</v>
      </c>
      <c r="M6821" s="41">
        <v>42714.0</v>
      </c>
      <c r="N6821" s="40">
        <v>42752.0</v>
      </c>
      <c r="O6821" s="15" t="s">
        <v>1554</v>
      </c>
      <c r="Q6821" s="7"/>
    </row>
    <row r="6822">
      <c r="A6822" s="39" t="s">
        <v>25836</v>
      </c>
      <c r="B6822" s="15">
        <v>1923287.0</v>
      </c>
      <c r="C6822" s="15" t="s">
        <v>25837</v>
      </c>
      <c r="D6822" s="15">
        <v>362171.0</v>
      </c>
      <c r="E6822" s="15" t="s">
        <v>1664</v>
      </c>
      <c r="F6822" s="15" t="s">
        <v>1664</v>
      </c>
      <c r="G6822" s="7">
        <v>6.453</v>
      </c>
      <c r="H6822" s="15" t="s">
        <v>3823</v>
      </c>
      <c r="I6822" s="15" t="s">
        <v>1560</v>
      </c>
      <c r="J6822" s="15" t="s">
        <v>25838</v>
      </c>
      <c r="K6822" s="15">
        <v>3.0</v>
      </c>
      <c r="L6822" s="15">
        <v>3.0</v>
      </c>
      <c r="M6822" s="41">
        <v>42714.0</v>
      </c>
      <c r="N6822" s="40">
        <v>42752.0</v>
      </c>
      <c r="O6822" s="15" t="s">
        <v>1554</v>
      </c>
      <c r="Q6822" s="7"/>
    </row>
    <row r="6823">
      <c r="A6823" s="39" t="s">
        <v>25839</v>
      </c>
      <c r="B6823" s="15">
        <v>1923286.0</v>
      </c>
      <c r="C6823" s="15" t="s">
        <v>25840</v>
      </c>
      <c r="D6823" s="15">
        <v>362172.0</v>
      </c>
      <c r="E6823" s="15" t="s">
        <v>1664</v>
      </c>
      <c r="F6823" s="15" t="s">
        <v>1664</v>
      </c>
      <c r="G6823" s="7">
        <v>3.628</v>
      </c>
      <c r="H6823" s="15" t="s">
        <v>4401</v>
      </c>
      <c r="I6823" s="15" t="s">
        <v>1560</v>
      </c>
      <c r="J6823" s="15" t="s">
        <v>25841</v>
      </c>
      <c r="K6823" s="15">
        <v>3.0</v>
      </c>
      <c r="L6823" s="15">
        <v>3.0</v>
      </c>
      <c r="M6823" s="41">
        <v>42714.0</v>
      </c>
      <c r="N6823" s="40">
        <v>42752.0</v>
      </c>
      <c r="O6823" s="15" t="s">
        <v>1554</v>
      </c>
      <c r="Q6823" s="7"/>
    </row>
    <row r="6824">
      <c r="A6824" s="39" t="s">
        <v>25843</v>
      </c>
      <c r="B6824" s="15">
        <v>1923284.0</v>
      </c>
      <c r="C6824" s="15" t="s">
        <v>25844</v>
      </c>
      <c r="D6824" s="15">
        <v>362173.0</v>
      </c>
      <c r="E6824" s="15" t="s">
        <v>1664</v>
      </c>
      <c r="F6824" s="15" t="s">
        <v>1664</v>
      </c>
      <c r="G6824" s="7">
        <v>4.168</v>
      </c>
      <c r="H6824" s="15" t="s">
        <v>5934</v>
      </c>
      <c r="I6824" s="15" t="s">
        <v>1560</v>
      </c>
      <c r="J6824" s="15" t="s">
        <v>25845</v>
      </c>
      <c r="K6824" s="15">
        <v>2.0</v>
      </c>
      <c r="L6824" s="15">
        <v>2.0</v>
      </c>
      <c r="M6824" s="41">
        <v>42714.0</v>
      </c>
      <c r="N6824" s="40">
        <v>42752.0</v>
      </c>
      <c r="O6824" s="15" t="s">
        <v>1554</v>
      </c>
      <c r="Q6824" s="7"/>
    </row>
    <row r="6825">
      <c r="A6825" s="39" t="s">
        <v>25846</v>
      </c>
      <c r="B6825" s="15">
        <v>1923281.0</v>
      </c>
      <c r="C6825" s="15" t="s">
        <v>25847</v>
      </c>
      <c r="D6825" s="15">
        <v>362174.0</v>
      </c>
      <c r="E6825" s="15" t="s">
        <v>1664</v>
      </c>
      <c r="F6825" s="15" t="s">
        <v>1664</v>
      </c>
      <c r="G6825" s="7">
        <v>4.193</v>
      </c>
      <c r="H6825" s="15" t="s">
        <v>1823</v>
      </c>
      <c r="I6825" s="15" t="s">
        <v>1560</v>
      </c>
      <c r="J6825" s="15" t="s">
        <v>25849</v>
      </c>
      <c r="K6825" s="15">
        <v>2.0</v>
      </c>
      <c r="L6825" s="15">
        <v>2.0</v>
      </c>
      <c r="M6825" s="41">
        <v>42714.0</v>
      </c>
      <c r="N6825" s="40">
        <v>42752.0</v>
      </c>
      <c r="O6825" s="15" t="s">
        <v>1554</v>
      </c>
      <c r="Q6825" s="7"/>
    </row>
    <row r="6826">
      <c r="A6826" s="39" t="s">
        <v>25850</v>
      </c>
      <c r="B6826" s="15">
        <v>1923279.0</v>
      </c>
      <c r="C6826" s="15" t="s">
        <v>25851</v>
      </c>
      <c r="D6826" s="15">
        <v>362175.0</v>
      </c>
      <c r="E6826" s="15" t="s">
        <v>1664</v>
      </c>
      <c r="F6826" s="15" t="s">
        <v>1664</v>
      </c>
      <c r="G6826" s="7">
        <v>4.264</v>
      </c>
      <c r="H6826" s="15" t="s">
        <v>2279</v>
      </c>
      <c r="I6826" s="15" t="s">
        <v>1560</v>
      </c>
      <c r="J6826" s="15" t="s">
        <v>25853</v>
      </c>
      <c r="K6826" s="15">
        <v>3.0</v>
      </c>
      <c r="L6826" s="15">
        <v>3.0</v>
      </c>
      <c r="M6826" s="41">
        <v>42714.0</v>
      </c>
      <c r="N6826" s="40">
        <v>42752.0</v>
      </c>
      <c r="O6826" s="15" t="s">
        <v>1554</v>
      </c>
      <c r="Q6826" s="7"/>
    </row>
    <row r="6827">
      <c r="A6827" s="39" t="s">
        <v>25855</v>
      </c>
      <c r="B6827" s="15">
        <v>1923277.0</v>
      </c>
      <c r="C6827" s="15" t="s">
        <v>25856</v>
      </c>
      <c r="D6827" s="15">
        <v>362176.0</v>
      </c>
      <c r="E6827" s="15" t="s">
        <v>1664</v>
      </c>
      <c r="F6827" s="15" t="s">
        <v>1664</v>
      </c>
      <c r="G6827" s="7">
        <v>3.663</v>
      </c>
      <c r="H6827" s="15" t="s">
        <v>2296</v>
      </c>
      <c r="I6827" s="15" t="s">
        <v>1560</v>
      </c>
      <c r="J6827" s="15" t="s">
        <v>25857</v>
      </c>
      <c r="K6827" s="15">
        <v>3.0</v>
      </c>
      <c r="L6827" s="15">
        <v>3.0</v>
      </c>
      <c r="M6827" s="41">
        <v>42714.0</v>
      </c>
      <c r="N6827" s="40">
        <v>42752.0</v>
      </c>
      <c r="O6827" s="15" t="s">
        <v>1554</v>
      </c>
      <c r="Q6827" s="7"/>
    </row>
    <row r="6828">
      <c r="A6828" s="39" t="s">
        <v>25859</v>
      </c>
      <c r="B6828" s="15">
        <v>1923276.0</v>
      </c>
      <c r="C6828" s="15" t="s">
        <v>25860</v>
      </c>
      <c r="D6828" s="15">
        <v>362177.0</v>
      </c>
      <c r="E6828" s="15" t="s">
        <v>1664</v>
      </c>
      <c r="F6828" s="15" t="s">
        <v>1664</v>
      </c>
      <c r="G6828" s="7">
        <v>2.55</v>
      </c>
      <c r="H6828" s="15" t="s">
        <v>2233</v>
      </c>
      <c r="I6828" s="15" t="s">
        <v>1560</v>
      </c>
      <c r="J6828" s="15" t="s">
        <v>25861</v>
      </c>
      <c r="K6828" s="15">
        <v>2.0</v>
      </c>
      <c r="L6828" s="15">
        <v>2.0</v>
      </c>
      <c r="M6828" s="41">
        <v>42714.0</v>
      </c>
      <c r="N6828" s="40">
        <v>42752.0</v>
      </c>
      <c r="O6828" s="15" t="s">
        <v>1554</v>
      </c>
      <c r="Q6828" s="7"/>
    </row>
    <row r="6829">
      <c r="A6829" s="39" t="s">
        <v>25862</v>
      </c>
      <c r="B6829" s="15">
        <v>1923275.0</v>
      </c>
      <c r="C6829" s="15" t="s">
        <v>25863</v>
      </c>
      <c r="D6829" s="15">
        <v>362178.0</v>
      </c>
      <c r="E6829" s="15" t="s">
        <v>1664</v>
      </c>
      <c r="F6829" s="15" t="s">
        <v>1664</v>
      </c>
      <c r="G6829" s="7">
        <v>2.539</v>
      </c>
      <c r="H6829" s="15" t="s">
        <v>2451</v>
      </c>
      <c r="I6829" s="15" t="s">
        <v>1560</v>
      </c>
      <c r="J6829" s="15" t="s">
        <v>25864</v>
      </c>
      <c r="K6829" s="15">
        <v>2.0</v>
      </c>
      <c r="L6829" s="15">
        <v>2.0</v>
      </c>
      <c r="M6829" s="41">
        <v>42714.0</v>
      </c>
      <c r="N6829" s="40">
        <v>42752.0</v>
      </c>
      <c r="O6829" s="15" t="s">
        <v>1554</v>
      </c>
      <c r="Q6829" s="7"/>
    </row>
    <row r="6830">
      <c r="A6830" s="39" t="s">
        <v>25866</v>
      </c>
      <c r="B6830" s="15">
        <v>1923669.0</v>
      </c>
      <c r="C6830" s="15" t="s">
        <v>25867</v>
      </c>
      <c r="D6830" s="15">
        <v>362902.0</v>
      </c>
      <c r="E6830" s="15" t="s">
        <v>1664</v>
      </c>
      <c r="F6830" s="15" t="s">
        <v>1664</v>
      </c>
      <c r="G6830" s="7">
        <v>4.467</v>
      </c>
      <c r="H6830" s="15" t="s">
        <v>2279</v>
      </c>
      <c r="I6830" s="15" t="s">
        <v>1560</v>
      </c>
      <c r="J6830" s="15" t="s">
        <v>25868</v>
      </c>
      <c r="K6830" s="15">
        <v>1.0</v>
      </c>
      <c r="L6830" s="15">
        <v>1.0</v>
      </c>
      <c r="M6830" s="41">
        <v>42714.0</v>
      </c>
      <c r="N6830" s="40">
        <v>42758.0</v>
      </c>
      <c r="O6830" s="15" t="s">
        <v>1554</v>
      </c>
      <c r="Q6830" s="7"/>
    </row>
    <row r="6831">
      <c r="A6831" s="39" t="s">
        <v>25869</v>
      </c>
      <c r="B6831" s="15">
        <v>1923668.0</v>
      </c>
      <c r="C6831" s="15" t="s">
        <v>25870</v>
      </c>
      <c r="D6831" s="15">
        <v>362903.0</v>
      </c>
      <c r="E6831" s="15" t="s">
        <v>1664</v>
      </c>
      <c r="F6831" s="15" t="s">
        <v>1664</v>
      </c>
      <c r="G6831" s="7">
        <v>4.739</v>
      </c>
      <c r="H6831" s="15">
        <v>40.0</v>
      </c>
      <c r="I6831" s="15" t="s">
        <v>1560</v>
      </c>
      <c r="J6831" s="15" t="s">
        <v>25872</v>
      </c>
      <c r="K6831" s="15">
        <v>2.0</v>
      </c>
      <c r="L6831" s="15">
        <v>2.0</v>
      </c>
      <c r="M6831" s="41">
        <v>42714.0</v>
      </c>
      <c r="N6831" s="40">
        <v>42758.0</v>
      </c>
      <c r="O6831" s="15" t="s">
        <v>1554</v>
      </c>
      <c r="Q6831" s="7"/>
    </row>
    <row r="6832">
      <c r="A6832" s="39" t="s">
        <v>25873</v>
      </c>
      <c r="B6832" s="15">
        <v>1923661.0</v>
      </c>
      <c r="C6832" s="15" t="s">
        <v>25874</v>
      </c>
      <c r="D6832" s="15">
        <v>362907.0</v>
      </c>
      <c r="E6832" s="15" t="s">
        <v>1664</v>
      </c>
      <c r="F6832" s="15" t="s">
        <v>1664</v>
      </c>
      <c r="G6832" s="7">
        <v>10.698</v>
      </c>
      <c r="H6832" s="15" t="s">
        <v>25875</v>
      </c>
      <c r="I6832" s="15" t="s">
        <v>1560</v>
      </c>
      <c r="J6832" s="15" t="s">
        <v>25877</v>
      </c>
      <c r="K6832" s="15">
        <v>5.0</v>
      </c>
      <c r="L6832" s="15">
        <v>5.0</v>
      </c>
      <c r="M6832" s="41">
        <v>42714.0</v>
      </c>
      <c r="N6832" s="40">
        <v>42758.0</v>
      </c>
      <c r="O6832" s="15" t="s">
        <v>1554</v>
      </c>
      <c r="Q6832" s="7"/>
    </row>
    <row r="6833">
      <c r="A6833" s="39" t="s">
        <v>25878</v>
      </c>
      <c r="B6833" s="15">
        <v>1923693.0</v>
      </c>
      <c r="C6833" s="15" t="s">
        <v>25879</v>
      </c>
      <c r="D6833" s="15">
        <v>362912.0</v>
      </c>
      <c r="E6833" s="15" t="s">
        <v>1664</v>
      </c>
      <c r="F6833" s="15" t="s">
        <v>1664</v>
      </c>
      <c r="G6833" s="7">
        <v>4.504</v>
      </c>
      <c r="H6833" s="15" t="s">
        <v>25880</v>
      </c>
      <c r="I6833" s="15" t="s">
        <v>1560</v>
      </c>
      <c r="J6833" s="15" t="s">
        <v>25881</v>
      </c>
      <c r="K6833" s="15">
        <v>3.0</v>
      </c>
      <c r="L6833" s="15">
        <v>3.0</v>
      </c>
      <c r="M6833" s="41">
        <v>42714.0</v>
      </c>
      <c r="N6833" s="40">
        <v>42758.0</v>
      </c>
      <c r="O6833" s="15" t="s">
        <v>1554</v>
      </c>
      <c r="Q6833" s="7"/>
    </row>
    <row r="6834">
      <c r="A6834" s="39" t="s">
        <v>25882</v>
      </c>
      <c r="B6834" s="15">
        <v>1923689.0</v>
      </c>
      <c r="C6834" s="15" t="s">
        <v>25883</v>
      </c>
      <c r="D6834" s="15">
        <v>362916.0</v>
      </c>
      <c r="E6834" s="15" t="s">
        <v>1664</v>
      </c>
      <c r="F6834" s="15" t="s">
        <v>1664</v>
      </c>
      <c r="G6834" s="7">
        <v>6.505</v>
      </c>
      <c r="H6834" s="15" t="s">
        <v>25884</v>
      </c>
      <c r="I6834" s="15" t="s">
        <v>1560</v>
      </c>
      <c r="J6834" s="15" t="s">
        <v>25885</v>
      </c>
      <c r="K6834" s="15">
        <v>4.0</v>
      </c>
      <c r="L6834" s="15">
        <v>4.0</v>
      </c>
      <c r="M6834" s="41">
        <v>42714.0</v>
      </c>
      <c r="N6834" s="40">
        <v>42758.0</v>
      </c>
      <c r="O6834" s="15" t="s">
        <v>1554</v>
      </c>
      <c r="Q6834" s="7"/>
    </row>
    <row r="6835">
      <c r="A6835" s="39" t="s">
        <v>25887</v>
      </c>
      <c r="B6835" s="15">
        <v>1923685.0</v>
      </c>
      <c r="C6835" s="15" t="s">
        <v>25888</v>
      </c>
      <c r="D6835" s="15">
        <v>362920.0</v>
      </c>
      <c r="E6835" s="15" t="s">
        <v>1664</v>
      </c>
      <c r="F6835" s="15" t="s">
        <v>1664</v>
      </c>
      <c r="G6835" s="7">
        <v>14.984</v>
      </c>
      <c r="H6835" s="15">
        <v>43.0</v>
      </c>
      <c r="I6835" s="15" t="s">
        <v>1560</v>
      </c>
      <c r="J6835" s="15" t="s">
        <v>25889</v>
      </c>
      <c r="K6835" s="15">
        <v>1.0</v>
      </c>
      <c r="L6835" s="15">
        <v>1.0</v>
      </c>
      <c r="M6835" s="41">
        <v>42714.0</v>
      </c>
      <c r="N6835" s="40">
        <v>42758.0</v>
      </c>
      <c r="O6835" s="15" t="s">
        <v>1554</v>
      </c>
      <c r="Q6835" s="7"/>
    </row>
    <row r="6836">
      <c r="A6836" s="39" t="s">
        <v>25890</v>
      </c>
      <c r="B6836" s="15">
        <v>1923679.0</v>
      </c>
      <c r="C6836" s="15" t="s">
        <v>25891</v>
      </c>
      <c r="D6836" s="15">
        <v>362924.0</v>
      </c>
      <c r="E6836" s="15" t="s">
        <v>1664</v>
      </c>
      <c r="F6836" s="15" t="s">
        <v>1664</v>
      </c>
      <c r="G6836" s="7">
        <v>4.947</v>
      </c>
      <c r="H6836" s="15">
        <v>48.0</v>
      </c>
      <c r="I6836" s="15" t="s">
        <v>1560</v>
      </c>
      <c r="J6836" s="15" t="s">
        <v>25892</v>
      </c>
      <c r="K6836" s="15">
        <v>3.0</v>
      </c>
      <c r="L6836" s="15">
        <v>3.0</v>
      </c>
      <c r="M6836" s="41">
        <v>42714.0</v>
      </c>
      <c r="N6836" s="40">
        <v>42758.0</v>
      </c>
      <c r="O6836" s="15" t="s">
        <v>1554</v>
      </c>
      <c r="Q6836" s="7"/>
    </row>
    <row r="6837">
      <c r="A6837" s="39" t="s">
        <v>25894</v>
      </c>
      <c r="B6837" s="15">
        <v>1923675.0</v>
      </c>
      <c r="C6837" s="15" t="s">
        <v>25895</v>
      </c>
      <c r="D6837" s="15">
        <v>362928.0</v>
      </c>
      <c r="E6837" s="15" t="s">
        <v>1664</v>
      </c>
      <c r="F6837" s="15" t="s">
        <v>1664</v>
      </c>
      <c r="G6837" s="7">
        <v>4.112</v>
      </c>
      <c r="H6837" s="15" t="s">
        <v>2241</v>
      </c>
      <c r="I6837" s="15" t="s">
        <v>1560</v>
      </c>
      <c r="J6837" s="15" t="s">
        <v>25896</v>
      </c>
      <c r="K6837" s="15">
        <v>3.0</v>
      </c>
      <c r="L6837" s="15">
        <v>3.0</v>
      </c>
      <c r="M6837" s="41">
        <v>42714.0</v>
      </c>
      <c r="N6837" s="40">
        <v>42758.0</v>
      </c>
      <c r="O6837" s="15" t="s">
        <v>1554</v>
      </c>
      <c r="Q6837" s="7"/>
    </row>
    <row r="6838">
      <c r="A6838" s="39" t="s">
        <v>25897</v>
      </c>
      <c r="B6838" s="15">
        <v>1923664.0</v>
      </c>
      <c r="C6838" s="15" t="s">
        <v>25898</v>
      </c>
      <c r="D6838" s="15">
        <v>362906.0</v>
      </c>
      <c r="E6838" s="15" t="s">
        <v>1664</v>
      </c>
      <c r="F6838" s="15" t="s">
        <v>1664</v>
      </c>
      <c r="G6838" s="7">
        <v>4.931</v>
      </c>
      <c r="H6838" s="15" t="s">
        <v>1957</v>
      </c>
      <c r="I6838" s="15" t="s">
        <v>1560</v>
      </c>
      <c r="J6838" s="15" t="s">
        <v>25900</v>
      </c>
      <c r="K6838" s="15">
        <v>3.0</v>
      </c>
      <c r="L6838" s="15">
        <v>3.0</v>
      </c>
      <c r="M6838" s="41">
        <v>42714.0</v>
      </c>
      <c r="N6838" s="40">
        <v>42758.0</v>
      </c>
      <c r="O6838" s="15" t="s">
        <v>1554</v>
      </c>
      <c r="Q6838" s="7"/>
    </row>
    <row r="6839">
      <c r="A6839" s="39" t="s">
        <v>25901</v>
      </c>
      <c r="B6839" s="15">
        <v>1923671.0</v>
      </c>
      <c r="C6839" s="15" t="s">
        <v>25902</v>
      </c>
      <c r="D6839" s="15">
        <v>362933.0</v>
      </c>
      <c r="E6839" s="15" t="s">
        <v>1664</v>
      </c>
      <c r="F6839" s="15" t="s">
        <v>1664</v>
      </c>
      <c r="G6839" s="7">
        <v>3.883</v>
      </c>
      <c r="H6839" s="15" t="s">
        <v>5199</v>
      </c>
      <c r="I6839" s="15" t="s">
        <v>1560</v>
      </c>
      <c r="J6839" s="15" t="s">
        <v>25903</v>
      </c>
      <c r="K6839" s="15">
        <v>3.0</v>
      </c>
      <c r="L6839" s="15">
        <v>3.0</v>
      </c>
      <c r="M6839" s="41">
        <v>42714.0</v>
      </c>
      <c r="N6839" s="40">
        <v>42758.0</v>
      </c>
      <c r="O6839" s="15" t="s">
        <v>1554</v>
      </c>
      <c r="Q6839" s="7"/>
    </row>
    <row r="6840">
      <c r="A6840" s="39" t="s">
        <v>25904</v>
      </c>
      <c r="B6840" s="15">
        <v>1923695.0</v>
      </c>
      <c r="C6840" s="15" t="s">
        <v>25905</v>
      </c>
      <c r="D6840" s="15">
        <v>362911.0</v>
      </c>
      <c r="E6840" s="15" t="s">
        <v>1664</v>
      </c>
      <c r="F6840" s="15" t="s">
        <v>1664</v>
      </c>
      <c r="G6840" s="7">
        <v>10.182</v>
      </c>
      <c r="H6840" s="42">
        <v>43311.0</v>
      </c>
      <c r="I6840" s="15" t="s">
        <v>1560</v>
      </c>
      <c r="J6840" s="15" t="s">
        <v>25907</v>
      </c>
      <c r="K6840" s="15">
        <v>1.0</v>
      </c>
      <c r="L6840" s="15">
        <v>1.0</v>
      </c>
      <c r="M6840" s="41">
        <v>42714.0</v>
      </c>
      <c r="N6840" s="40">
        <v>42758.0</v>
      </c>
      <c r="O6840" s="15" t="s">
        <v>1554</v>
      </c>
      <c r="Q6840" s="7"/>
    </row>
    <row r="6841">
      <c r="A6841" s="39" t="s">
        <v>25908</v>
      </c>
      <c r="B6841" s="15">
        <v>1923690.0</v>
      </c>
      <c r="C6841" s="15" t="s">
        <v>25909</v>
      </c>
      <c r="D6841" s="15">
        <v>362915.0</v>
      </c>
      <c r="E6841" s="15" t="s">
        <v>1664</v>
      </c>
      <c r="F6841" s="15" t="s">
        <v>1664</v>
      </c>
      <c r="G6841" s="7">
        <v>12.209</v>
      </c>
      <c r="H6841" s="42">
        <v>43251.0</v>
      </c>
      <c r="I6841" s="15" t="s">
        <v>1560</v>
      </c>
      <c r="J6841" s="15" t="s">
        <v>25910</v>
      </c>
      <c r="K6841" s="15">
        <v>8.0</v>
      </c>
      <c r="L6841" s="15">
        <v>8.0</v>
      </c>
      <c r="M6841" s="41">
        <v>42714.0</v>
      </c>
      <c r="N6841" s="40">
        <v>42758.0</v>
      </c>
      <c r="O6841" s="15" t="s">
        <v>1554</v>
      </c>
      <c r="Q6841" s="7"/>
    </row>
    <row r="6842">
      <c r="A6842" s="39" t="s">
        <v>25911</v>
      </c>
      <c r="B6842" s="15">
        <v>1923686.0</v>
      </c>
      <c r="C6842" s="15" t="s">
        <v>25912</v>
      </c>
      <c r="D6842" s="15">
        <v>362919.0</v>
      </c>
      <c r="E6842" s="15" t="s">
        <v>1664</v>
      </c>
      <c r="F6842" s="15" t="s">
        <v>1664</v>
      </c>
      <c r="G6842" s="7">
        <v>9.903</v>
      </c>
      <c r="H6842" s="15" t="s">
        <v>2334</v>
      </c>
      <c r="I6842" s="15" t="s">
        <v>1560</v>
      </c>
      <c r="J6842" s="15" t="s">
        <v>25913</v>
      </c>
      <c r="K6842" s="15">
        <v>5.0</v>
      </c>
      <c r="L6842" s="15">
        <v>5.0</v>
      </c>
      <c r="M6842" s="41">
        <v>42714.0</v>
      </c>
      <c r="N6842" s="40">
        <v>42758.0</v>
      </c>
      <c r="O6842" s="15" t="s">
        <v>1554</v>
      </c>
      <c r="Q6842" s="7"/>
    </row>
    <row r="6843">
      <c r="A6843" s="39" t="s">
        <v>25914</v>
      </c>
      <c r="B6843" s="15">
        <v>1923682.0</v>
      </c>
      <c r="C6843" s="15" t="s">
        <v>25916</v>
      </c>
      <c r="D6843" s="15">
        <v>362923.0</v>
      </c>
      <c r="E6843" s="15" t="s">
        <v>1664</v>
      </c>
      <c r="F6843" s="15" t="s">
        <v>1664</v>
      </c>
      <c r="G6843" s="7">
        <v>4.635</v>
      </c>
      <c r="H6843" s="15" t="s">
        <v>10437</v>
      </c>
      <c r="I6843" s="15" t="s">
        <v>1560</v>
      </c>
      <c r="J6843" s="15" t="s">
        <v>25917</v>
      </c>
      <c r="K6843" s="15">
        <v>2.0</v>
      </c>
      <c r="L6843" s="15">
        <v>2.0</v>
      </c>
      <c r="M6843" s="41">
        <v>42714.0</v>
      </c>
      <c r="N6843" s="40">
        <v>42758.0</v>
      </c>
      <c r="O6843" s="15" t="s">
        <v>1554</v>
      </c>
      <c r="Q6843" s="7"/>
    </row>
    <row r="6844">
      <c r="A6844" s="39" t="s">
        <v>25918</v>
      </c>
      <c r="B6844" s="15">
        <v>1923676.0</v>
      </c>
      <c r="C6844" s="15" t="s">
        <v>25919</v>
      </c>
      <c r="D6844" s="15">
        <v>362927.0</v>
      </c>
      <c r="E6844" s="15" t="s">
        <v>1664</v>
      </c>
      <c r="F6844" s="15" t="s">
        <v>1664</v>
      </c>
      <c r="G6844" s="7">
        <v>5.659</v>
      </c>
      <c r="H6844" s="15">
        <v>47.0</v>
      </c>
      <c r="I6844" s="15" t="s">
        <v>1560</v>
      </c>
      <c r="J6844" s="15" t="s">
        <v>25920</v>
      </c>
      <c r="K6844" s="15">
        <v>3.0</v>
      </c>
      <c r="L6844" s="15">
        <v>3.0</v>
      </c>
      <c r="M6844" s="41">
        <v>42714.0</v>
      </c>
      <c r="N6844" s="40">
        <v>42758.0</v>
      </c>
      <c r="O6844" s="15" t="s">
        <v>1554</v>
      </c>
      <c r="Q6844" s="7"/>
    </row>
    <row r="6845">
      <c r="A6845" s="39" t="s">
        <v>25922</v>
      </c>
      <c r="B6845" s="15">
        <v>1923672.0</v>
      </c>
      <c r="C6845" s="15" t="s">
        <v>25923</v>
      </c>
      <c r="D6845" s="15">
        <v>362932.0</v>
      </c>
      <c r="E6845" s="15" t="s">
        <v>1664</v>
      </c>
      <c r="F6845" s="15" t="s">
        <v>1664</v>
      </c>
      <c r="G6845" s="7">
        <v>2.945</v>
      </c>
      <c r="H6845" s="15" t="s">
        <v>3794</v>
      </c>
      <c r="I6845" s="15" t="s">
        <v>1560</v>
      </c>
      <c r="J6845" s="15" t="s">
        <v>25924</v>
      </c>
      <c r="K6845" s="15">
        <v>2.0</v>
      </c>
      <c r="L6845" s="15">
        <v>2.0</v>
      </c>
      <c r="M6845" s="41">
        <v>42714.0</v>
      </c>
      <c r="N6845" s="40">
        <v>42758.0</v>
      </c>
      <c r="O6845" s="15" t="s">
        <v>1554</v>
      </c>
      <c r="Q6845" s="7"/>
    </row>
    <row r="6846">
      <c r="A6846" s="39" t="s">
        <v>25925</v>
      </c>
      <c r="B6846" s="15">
        <v>1923667.0</v>
      </c>
      <c r="C6846" s="15" t="s">
        <v>25926</v>
      </c>
      <c r="D6846" s="15">
        <v>362904.0</v>
      </c>
      <c r="E6846" s="15" t="s">
        <v>1664</v>
      </c>
      <c r="F6846" s="15" t="s">
        <v>1664</v>
      </c>
      <c r="G6846" s="7">
        <v>5.144</v>
      </c>
      <c r="H6846" s="15" t="s">
        <v>2304</v>
      </c>
      <c r="I6846" s="15" t="s">
        <v>1560</v>
      </c>
      <c r="J6846" s="15" t="s">
        <v>25927</v>
      </c>
      <c r="K6846" s="15">
        <v>3.0</v>
      </c>
      <c r="L6846" s="15">
        <v>3.0</v>
      </c>
      <c r="M6846" s="41">
        <v>42714.0</v>
      </c>
      <c r="N6846" s="40">
        <v>42758.0</v>
      </c>
      <c r="O6846" s="15" t="s">
        <v>1554</v>
      </c>
      <c r="Q6846" s="7"/>
    </row>
    <row r="6847">
      <c r="A6847" s="39" t="s">
        <v>25929</v>
      </c>
      <c r="B6847" s="15">
        <v>1923692.0</v>
      </c>
      <c r="C6847" s="15" t="s">
        <v>25930</v>
      </c>
      <c r="D6847" s="15">
        <v>362913.0</v>
      </c>
      <c r="E6847" s="15" t="s">
        <v>1664</v>
      </c>
      <c r="F6847" s="15" t="s">
        <v>1664</v>
      </c>
      <c r="G6847" s="7">
        <v>9.956</v>
      </c>
      <c r="H6847" s="15" t="s">
        <v>2141</v>
      </c>
      <c r="I6847" s="15" t="s">
        <v>1560</v>
      </c>
      <c r="J6847" s="15" t="s">
        <v>25931</v>
      </c>
      <c r="K6847" s="15">
        <v>3.0</v>
      </c>
      <c r="L6847" s="15">
        <v>3.0</v>
      </c>
      <c r="M6847" s="41">
        <v>42714.0</v>
      </c>
      <c r="N6847" s="40">
        <v>42758.0</v>
      </c>
      <c r="O6847" s="15" t="s">
        <v>1554</v>
      </c>
      <c r="Q6847" s="7"/>
    </row>
    <row r="6848">
      <c r="A6848" s="39" t="s">
        <v>25932</v>
      </c>
      <c r="B6848" s="15">
        <v>1923662.0</v>
      </c>
      <c r="C6848" s="15" t="s">
        <v>25933</v>
      </c>
      <c r="D6848" s="15">
        <v>362909.0</v>
      </c>
      <c r="E6848" s="15" t="s">
        <v>1664</v>
      </c>
      <c r="F6848" s="15" t="s">
        <v>1664</v>
      </c>
      <c r="G6848" s="7">
        <v>2.841</v>
      </c>
      <c r="H6848" s="15" t="s">
        <v>6183</v>
      </c>
      <c r="I6848" s="15" t="s">
        <v>1560</v>
      </c>
      <c r="J6848" s="15" t="s">
        <v>25934</v>
      </c>
      <c r="K6848" s="15">
        <v>2.0</v>
      </c>
      <c r="L6848" s="15">
        <v>2.0</v>
      </c>
      <c r="M6848" s="41">
        <v>42714.0</v>
      </c>
      <c r="N6848" s="40">
        <v>42758.0</v>
      </c>
      <c r="O6848" s="15" t="s">
        <v>1554</v>
      </c>
      <c r="Q6848" s="7"/>
    </row>
    <row r="6849">
      <c r="A6849" s="39" t="s">
        <v>25935</v>
      </c>
      <c r="B6849" s="15">
        <v>1923684.0</v>
      </c>
      <c r="C6849" s="15" t="s">
        <v>25937</v>
      </c>
      <c r="D6849" s="15">
        <v>362921.0</v>
      </c>
      <c r="E6849" s="15" t="s">
        <v>1664</v>
      </c>
      <c r="F6849" s="15" t="s">
        <v>1664</v>
      </c>
      <c r="G6849" s="7">
        <v>6.271</v>
      </c>
      <c r="H6849" s="15" t="s">
        <v>1597</v>
      </c>
      <c r="I6849" s="15" t="s">
        <v>1560</v>
      </c>
      <c r="J6849" s="15" t="s">
        <v>25938</v>
      </c>
      <c r="K6849" s="15">
        <v>2.0</v>
      </c>
      <c r="L6849" s="15">
        <v>2.0</v>
      </c>
      <c r="M6849" s="41">
        <v>42714.0</v>
      </c>
      <c r="N6849" s="40">
        <v>42758.0</v>
      </c>
      <c r="O6849" s="15" t="s">
        <v>1554</v>
      </c>
      <c r="Q6849" s="7"/>
    </row>
    <row r="6850">
      <c r="A6850" s="39" t="s">
        <v>25939</v>
      </c>
      <c r="B6850" s="15">
        <v>1923688.0</v>
      </c>
      <c r="C6850" s="15" t="s">
        <v>25940</v>
      </c>
      <c r="D6850" s="15">
        <v>362917.0</v>
      </c>
      <c r="E6850" s="15" t="s">
        <v>1664</v>
      </c>
      <c r="F6850" s="15" t="s">
        <v>1664</v>
      </c>
      <c r="G6850" s="7">
        <v>2.972</v>
      </c>
      <c r="H6850" s="15" t="s">
        <v>4563</v>
      </c>
      <c r="I6850" s="15" t="s">
        <v>1560</v>
      </c>
      <c r="J6850" s="15" t="s">
        <v>25941</v>
      </c>
      <c r="K6850" s="15">
        <v>1.0</v>
      </c>
      <c r="L6850" s="15">
        <v>1.0</v>
      </c>
      <c r="M6850" s="41">
        <v>42714.0</v>
      </c>
      <c r="N6850" s="40">
        <v>42758.0</v>
      </c>
      <c r="O6850" s="15" t="s">
        <v>1554</v>
      </c>
      <c r="Q6850" s="7"/>
    </row>
    <row r="6851">
      <c r="A6851" s="39" t="s">
        <v>25942</v>
      </c>
      <c r="B6851" s="15">
        <v>1923674.0</v>
      </c>
      <c r="C6851" s="15" t="s">
        <v>25943</v>
      </c>
      <c r="D6851" s="15">
        <v>362929.0</v>
      </c>
      <c r="E6851" s="15" t="s">
        <v>1664</v>
      </c>
      <c r="F6851" s="15" t="s">
        <v>1664</v>
      </c>
      <c r="G6851" s="7">
        <v>5.558</v>
      </c>
      <c r="H6851" s="15" t="s">
        <v>5457</v>
      </c>
      <c r="I6851" s="15" t="s">
        <v>1560</v>
      </c>
      <c r="J6851" s="15" t="s">
        <v>25944</v>
      </c>
      <c r="K6851" s="15">
        <v>2.0</v>
      </c>
      <c r="L6851" s="15">
        <v>2.0</v>
      </c>
      <c r="M6851" s="41">
        <v>42714.0</v>
      </c>
      <c r="N6851" s="40">
        <v>42758.0</v>
      </c>
      <c r="O6851" s="15" t="s">
        <v>1554</v>
      </c>
      <c r="Q6851" s="7"/>
    </row>
    <row r="6852">
      <c r="A6852" s="39" t="s">
        <v>25945</v>
      </c>
      <c r="B6852" s="15">
        <v>1923678.0</v>
      </c>
      <c r="C6852" s="15" t="s">
        <v>25946</v>
      </c>
      <c r="D6852" s="15">
        <v>362925.0</v>
      </c>
      <c r="E6852" s="15" t="s">
        <v>1664</v>
      </c>
      <c r="F6852" s="15" t="s">
        <v>1664</v>
      </c>
      <c r="G6852" s="7">
        <v>4.683</v>
      </c>
      <c r="H6852" s="15" t="s">
        <v>1957</v>
      </c>
      <c r="I6852" s="15" t="s">
        <v>1560</v>
      </c>
      <c r="J6852" s="15" t="s">
        <v>25948</v>
      </c>
      <c r="K6852" s="15">
        <v>2.0</v>
      </c>
      <c r="L6852" s="15">
        <v>2.0</v>
      </c>
      <c r="M6852" s="41">
        <v>42714.0</v>
      </c>
      <c r="N6852" s="40">
        <v>42758.0</v>
      </c>
      <c r="O6852" s="15" t="s">
        <v>1554</v>
      </c>
      <c r="Q6852" s="7"/>
    </row>
    <row r="6853">
      <c r="A6853" s="39" t="s">
        <v>25949</v>
      </c>
      <c r="B6853" s="15">
        <v>1923670.0</v>
      </c>
      <c r="C6853" s="15" t="s">
        <v>25950</v>
      </c>
      <c r="D6853" s="15">
        <v>362900.0</v>
      </c>
      <c r="E6853" s="15" t="s">
        <v>1664</v>
      </c>
      <c r="F6853" s="15" t="s">
        <v>1664</v>
      </c>
      <c r="G6853" s="7">
        <v>2.696</v>
      </c>
      <c r="H6853" s="15" t="s">
        <v>3000</v>
      </c>
      <c r="I6853" s="15" t="s">
        <v>1560</v>
      </c>
      <c r="J6853" s="15" t="s">
        <v>25951</v>
      </c>
      <c r="K6853" s="15">
        <v>2.0</v>
      </c>
      <c r="L6853" s="15">
        <v>2.0</v>
      </c>
      <c r="M6853" s="41">
        <v>42714.0</v>
      </c>
      <c r="N6853" s="40">
        <v>42758.0</v>
      </c>
      <c r="O6853" s="15" t="s">
        <v>1554</v>
      </c>
      <c r="Q6853" s="7"/>
    </row>
    <row r="6854">
      <c r="A6854" s="39" t="s">
        <v>25952</v>
      </c>
      <c r="B6854" s="15">
        <v>1923665.0</v>
      </c>
      <c r="C6854" s="15" t="s">
        <v>25953</v>
      </c>
      <c r="D6854" s="15">
        <v>362905.0</v>
      </c>
      <c r="E6854" s="15" t="s">
        <v>1664</v>
      </c>
      <c r="F6854" s="15" t="s">
        <v>1664</v>
      </c>
      <c r="G6854" s="7">
        <v>4.884</v>
      </c>
      <c r="H6854" s="15" t="s">
        <v>3082</v>
      </c>
      <c r="I6854" s="15" t="s">
        <v>1560</v>
      </c>
      <c r="J6854" s="15" t="s">
        <v>25954</v>
      </c>
      <c r="K6854" s="15">
        <v>4.0</v>
      </c>
      <c r="L6854" s="15">
        <v>4.0</v>
      </c>
      <c r="M6854" s="41">
        <v>42714.0</v>
      </c>
      <c r="N6854" s="40">
        <v>42758.0</v>
      </c>
      <c r="O6854" s="15" t="s">
        <v>1554</v>
      </c>
      <c r="Q6854" s="7"/>
    </row>
    <row r="6855">
      <c r="A6855" s="39" t="s">
        <v>25955</v>
      </c>
      <c r="B6855" s="15">
        <v>1923663.0</v>
      </c>
      <c r="C6855" s="15" t="s">
        <v>25956</v>
      </c>
      <c r="D6855" s="15">
        <v>362910.0</v>
      </c>
      <c r="E6855" s="15" t="s">
        <v>1664</v>
      </c>
      <c r="F6855" s="15" t="s">
        <v>1664</v>
      </c>
      <c r="G6855" s="7">
        <v>4.443</v>
      </c>
      <c r="H6855" s="15" t="s">
        <v>1962</v>
      </c>
      <c r="I6855" s="15" t="s">
        <v>1560</v>
      </c>
      <c r="J6855" s="15" t="s">
        <v>25957</v>
      </c>
      <c r="K6855" s="15">
        <v>2.0</v>
      </c>
      <c r="L6855" s="15">
        <v>2.0</v>
      </c>
      <c r="M6855" s="41">
        <v>42714.0</v>
      </c>
      <c r="N6855" s="40">
        <v>42758.0</v>
      </c>
      <c r="O6855" s="15" t="s">
        <v>1554</v>
      </c>
      <c r="Q6855" s="7"/>
    </row>
    <row r="6856">
      <c r="A6856" s="39" t="s">
        <v>25959</v>
      </c>
      <c r="B6856" s="15">
        <v>1923691.0</v>
      </c>
      <c r="C6856" s="15" t="s">
        <v>25960</v>
      </c>
      <c r="D6856" s="15">
        <v>362914.0</v>
      </c>
      <c r="E6856" s="15" t="s">
        <v>1664</v>
      </c>
      <c r="F6856" s="15" t="s">
        <v>1664</v>
      </c>
      <c r="G6856" s="7">
        <v>9.876</v>
      </c>
      <c r="H6856" s="15" t="s">
        <v>8397</v>
      </c>
      <c r="I6856" s="15" t="s">
        <v>1560</v>
      </c>
      <c r="J6856" s="15" t="s">
        <v>25961</v>
      </c>
      <c r="K6856" s="15">
        <v>2.0</v>
      </c>
      <c r="L6856" s="15">
        <v>2.0</v>
      </c>
      <c r="M6856" s="41">
        <v>42714.0</v>
      </c>
      <c r="N6856" s="40">
        <v>42758.0</v>
      </c>
      <c r="O6856" s="15" t="s">
        <v>1554</v>
      </c>
      <c r="Q6856" s="7"/>
    </row>
    <row r="6857">
      <c r="A6857" s="39" t="s">
        <v>25962</v>
      </c>
      <c r="B6857" s="15">
        <v>1923687.0</v>
      </c>
      <c r="C6857" s="15" t="s">
        <v>25963</v>
      </c>
      <c r="D6857" s="15">
        <v>362918.0</v>
      </c>
      <c r="E6857" s="15" t="s">
        <v>1664</v>
      </c>
      <c r="F6857" s="15" t="s">
        <v>1664</v>
      </c>
      <c r="G6857" s="7">
        <v>4.267</v>
      </c>
      <c r="H6857" s="15" t="s">
        <v>25964</v>
      </c>
      <c r="I6857" s="15" t="s">
        <v>1560</v>
      </c>
      <c r="J6857" s="15" t="s">
        <v>25965</v>
      </c>
      <c r="K6857" s="15">
        <v>4.0</v>
      </c>
      <c r="L6857" s="15">
        <v>4.0</v>
      </c>
      <c r="M6857" s="41">
        <v>42714.0</v>
      </c>
      <c r="N6857" s="40">
        <v>42758.0</v>
      </c>
      <c r="O6857" s="15" t="s">
        <v>1554</v>
      </c>
      <c r="Q6857" s="7"/>
    </row>
    <row r="6858">
      <c r="A6858" s="39" t="s">
        <v>25966</v>
      </c>
      <c r="B6858" s="15">
        <v>1923683.0</v>
      </c>
      <c r="C6858" s="15" t="s">
        <v>25968</v>
      </c>
      <c r="D6858" s="15">
        <v>362922.0</v>
      </c>
      <c r="E6858" s="15" t="s">
        <v>1664</v>
      </c>
      <c r="F6858" s="15" t="s">
        <v>1664</v>
      </c>
      <c r="G6858" s="7">
        <v>6.003</v>
      </c>
      <c r="H6858" s="15">
        <v>50.0</v>
      </c>
      <c r="I6858" s="15" t="s">
        <v>1560</v>
      </c>
      <c r="J6858" s="15" t="s">
        <v>25969</v>
      </c>
      <c r="K6858" s="15">
        <v>2.0</v>
      </c>
      <c r="L6858" s="15">
        <v>2.0</v>
      </c>
      <c r="M6858" s="41">
        <v>42714.0</v>
      </c>
      <c r="N6858" s="40">
        <v>42758.0</v>
      </c>
      <c r="O6858" s="15" t="s">
        <v>1554</v>
      </c>
      <c r="Q6858" s="7"/>
    </row>
    <row r="6859">
      <c r="A6859" s="39" t="s">
        <v>25970</v>
      </c>
      <c r="B6859" s="15">
        <v>1923673.0</v>
      </c>
      <c r="C6859" s="15" t="s">
        <v>25971</v>
      </c>
      <c r="D6859" s="15">
        <v>362930.0</v>
      </c>
      <c r="E6859" s="15" t="s">
        <v>1664</v>
      </c>
      <c r="F6859" s="15" t="s">
        <v>1664</v>
      </c>
      <c r="G6859" s="7">
        <v>2.847</v>
      </c>
      <c r="H6859" s="15" t="s">
        <v>1778</v>
      </c>
      <c r="I6859" s="15" t="s">
        <v>1560</v>
      </c>
      <c r="J6859" s="15" t="s">
        <v>25972</v>
      </c>
      <c r="K6859" s="15">
        <v>3.0</v>
      </c>
      <c r="L6859" s="15">
        <v>3.0</v>
      </c>
      <c r="M6859" s="41">
        <v>42714.0</v>
      </c>
      <c r="N6859" s="40">
        <v>42758.0</v>
      </c>
      <c r="O6859" s="15" t="s">
        <v>1554</v>
      </c>
      <c r="Q6859" s="7"/>
    </row>
    <row r="6860">
      <c r="A6860" s="39" t="s">
        <v>25973</v>
      </c>
      <c r="B6860" s="15">
        <v>1923677.0</v>
      </c>
      <c r="C6860" s="15" t="s">
        <v>25974</v>
      </c>
      <c r="D6860" s="15">
        <v>362926.0</v>
      </c>
      <c r="E6860" s="15" t="s">
        <v>1664</v>
      </c>
      <c r="F6860" s="15" t="s">
        <v>1664</v>
      </c>
      <c r="G6860" s="7">
        <v>2.79</v>
      </c>
      <c r="H6860" s="15" t="s">
        <v>2484</v>
      </c>
      <c r="I6860" s="15" t="s">
        <v>1560</v>
      </c>
      <c r="J6860" s="15" t="s">
        <v>25975</v>
      </c>
      <c r="K6860" s="15">
        <v>2.0</v>
      </c>
      <c r="L6860" s="15">
        <v>2.0</v>
      </c>
      <c r="M6860" s="41">
        <v>42714.0</v>
      </c>
      <c r="N6860" s="40">
        <v>42758.0</v>
      </c>
      <c r="O6860" s="15" t="s">
        <v>1554</v>
      </c>
      <c r="Q6860" s="7"/>
    </row>
    <row r="6861">
      <c r="A6861" s="39" t="s">
        <v>25976</v>
      </c>
      <c r="B6861" s="15">
        <v>1934322.0</v>
      </c>
      <c r="C6861" s="15" t="s">
        <v>25978</v>
      </c>
      <c r="D6861" s="15">
        <v>362599.0</v>
      </c>
      <c r="E6861" s="15" t="s">
        <v>1638</v>
      </c>
      <c r="F6861" s="15" t="s">
        <v>1578</v>
      </c>
      <c r="G6861" s="7">
        <v>8.566</v>
      </c>
      <c r="H6861" s="15" t="s">
        <v>1962</v>
      </c>
      <c r="I6861" s="15" t="s">
        <v>1552</v>
      </c>
      <c r="J6861" s="15" t="s">
        <v>25979</v>
      </c>
      <c r="K6861" s="15">
        <v>2.0</v>
      </c>
      <c r="L6861" s="15">
        <v>2.0</v>
      </c>
      <c r="M6861" s="40">
        <v>42753.0</v>
      </c>
      <c r="N6861" s="40">
        <v>42760.0</v>
      </c>
      <c r="O6861" s="15" t="s">
        <v>1554</v>
      </c>
      <c r="Q6861" s="7"/>
    </row>
    <row r="6862">
      <c r="A6862" s="39" t="s">
        <v>25980</v>
      </c>
      <c r="B6862" s="15">
        <v>1923696.0</v>
      </c>
      <c r="C6862" s="15" t="s">
        <v>25981</v>
      </c>
      <c r="D6862" s="15">
        <v>362627.0</v>
      </c>
      <c r="E6862" s="15" t="s">
        <v>1664</v>
      </c>
      <c r="F6862" s="15" t="s">
        <v>1664</v>
      </c>
      <c r="G6862" s="7">
        <v>11.748</v>
      </c>
      <c r="H6862" s="15" t="s">
        <v>4595</v>
      </c>
      <c r="I6862" s="15" t="s">
        <v>1560</v>
      </c>
      <c r="J6862" s="15" t="s">
        <v>25982</v>
      </c>
      <c r="K6862" s="15">
        <v>3.0</v>
      </c>
      <c r="L6862" s="15">
        <v>3.0</v>
      </c>
      <c r="M6862" s="41">
        <v>42714.0</v>
      </c>
      <c r="N6862" s="40">
        <v>42760.0</v>
      </c>
      <c r="O6862" s="15" t="s">
        <v>1554</v>
      </c>
      <c r="Q6862" s="7"/>
    </row>
    <row r="6863">
      <c r="A6863" s="39" t="s">
        <v>25983</v>
      </c>
      <c r="B6863" s="15">
        <v>1923717.0</v>
      </c>
      <c r="C6863" s="15" t="s">
        <v>25985</v>
      </c>
      <c r="D6863" s="15">
        <v>362947.0</v>
      </c>
      <c r="E6863" s="15" t="s">
        <v>1664</v>
      </c>
      <c r="F6863" s="15" t="s">
        <v>1664</v>
      </c>
      <c r="G6863" s="7">
        <v>9.733</v>
      </c>
      <c r="H6863" s="42">
        <v>43312.0</v>
      </c>
      <c r="I6863" s="15" t="s">
        <v>1560</v>
      </c>
      <c r="J6863" s="15" t="s">
        <v>25986</v>
      </c>
      <c r="K6863" s="15">
        <v>1.0</v>
      </c>
      <c r="L6863" s="15">
        <v>1.0</v>
      </c>
      <c r="M6863" s="41">
        <v>42714.0</v>
      </c>
      <c r="N6863" s="40">
        <v>42761.0</v>
      </c>
      <c r="O6863" s="15" t="s">
        <v>1554</v>
      </c>
      <c r="Q6863" s="7"/>
    </row>
    <row r="6864">
      <c r="A6864" s="39" t="s">
        <v>25987</v>
      </c>
      <c r="B6864" s="15">
        <v>1931370.0</v>
      </c>
      <c r="C6864" s="15" t="s">
        <v>25988</v>
      </c>
      <c r="D6864" s="15">
        <v>368708.0</v>
      </c>
      <c r="E6864" s="15" t="s">
        <v>1548</v>
      </c>
      <c r="F6864" s="15" t="s">
        <v>1578</v>
      </c>
      <c r="G6864" s="7">
        <v>8.999</v>
      </c>
      <c r="H6864" s="15" t="s">
        <v>3554</v>
      </c>
      <c r="I6864" s="15" t="s">
        <v>1560</v>
      </c>
      <c r="J6864" s="15" t="s">
        <v>25989</v>
      </c>
      <c r="K6864" s="15">
        <v>1.0</v>
      </c>
      <c r="L6864" s="15">
        <v>1.0</v>
      </c>
      <c r="M6864" s="40">
        <v>42745.0</v>
      </c>
      <c r="N6864" s="40">
        <v>42761.0</v>
      </c>
      <c r="O6864" s="15" t="s">
        <v>1554</v>
      </c>
      <c r="Q6864" s="7"/>
    </row>
    <row r="6865">
      <c r="A6865" s="39" t="s">
        <v>25990</v>
      </c>
      <c r="B6865" s="15">
        <v>1516075.0</v>
      </c>
      <c r="C6865" s="15" t="s">
        <v>25991</v>
      </c>
      <c r="D6865" s="15">
        <v>368924.0</v>
      </c>
      <c r="E6865" s="15" t="s">
        <v>1638</v>
      </c>
      <c r="F6865" s="15" t="s">
        <v>1796</v>
      </c>
      <c r="G6865" s="7">
        <v>8.739</v>
      </c>
      <c r="H6865" s="15" t="s">
        <v>25992</v>
      </c>
      <c r="I6865" s="15" t="s">
        <v>1628</v>
      </c>
      <c r="J6865" s="15" t="s">
        <v>25993</v>
      </c>
      <c r="K6865" s="15">
        <v>5.0</v>
      </c>
      <c r="L6865" s="15">
        <v>5.0</v>
      </c>
      <c r="M6865" s="40">
        <v>42127.0</v>
      </c>
      <c r="N6865" s="40">
        <v>42761.0</v>
      </c>
      <c r="O6865" s="15" t="s">
        <v>1554</v>
      </c>
      <c r="Q6865" s="7"/>
    </row>
    <row r="6866">
      <c r="A6866" s="39" t="s">
        <v>25995</v>
      </c>
      <c r="B6866" s="15">
        <v>1935922.0</v>
      </c>
      <c r="C6866" s="15" t="s">
        <v>25996</v>
      </c>
      <c r="D6866" s="15">
        <v>368926.0</v>
      </c>
      <c r="E6866" s="15" t="s">
        <v>1548</v>
      </c>
      <c r="F6866" s="15" t="s">
        <v>1626</v>
      </c>
      <c r="G6866" s="7">
        <v>11.404</v>
      </c>
      <c r="H6866" s="15" t="s">
        <v>25997</v>
      </c>
      <c r="I6866" s="15" t="s">
        <v>1628</v>
      </c>
      <c r="J6866" s="15" t="s">
        <v>25998</v>
      </c>
      <c r="K6866" s="15">
        <v>2.0</v>
      </c>
      <c r="L6866" s="15">
        <v>2.0</v>
      </c>
      <c r="M6866" s="40">
        <v>42758.0</v>
      </c>
      <c r="N6866" s="40">
        <v>42761.0</v>
      </c>
      <c r="O6866" s="15" t="s">
        <v>1554</v>
      </c>
      <c r="Q6866" s="7"/>
    </row>
    <row r="6867">
      <c r="A6867" s="39" t="s">
        <v>25999</v>
      </c>
      <c r="B6867" s="15">
        <v>1923735.0</v>
      </c>
      <c r="C6867" s="15" t="s">
        <v>26000</v>
      </c>
      <c r="D6867" s="15">
        <v>368927.0</v>
      </c>
      <c r="E6867" s="15" t="s">
        <v>1664</v>
      </c>
      <c r="F6867" s="15" t="s">
        <v>1664</v>
      </c>
      <c r="G6867" s="7">
        <v>7.404</v>
      </c>
      <c r="H6867" s="15" t="s">
        <v>3407</v>
      </c>
      <c r="I6867" s="15" t="s">
        <v>1560</v>
      </c>
      <c r="J6867" s="15" t="s">
        <v>26001</v>
      </c>
      <c r="K6867" s="15">
        <v>2.0</v>
      </c>
      <c r="L6867" s="15">
        <v>2.0</v>
      </c>
      <c r="M6867" s="41">
        <v>42714.0</v>
      </c>
      <c r="N6867" s="40">
        <v>42761.0</v>
      </c>
      <c r="O6867" s="15" t="s">
        <v>1554</v>
      </c>
      <c r="Q6867" s="7"/>
    </row>
    <row r="6868">
      <c r="A6868" s="39" t="s">
        <v>26003</v>
      </c>
      <c r="B6868" s="15">
        <v>1923732.0</v>
      </c>
      <c r="C6868" s="15" t="s">
        <v>26004</v>
      </c>
      <c r="D6868" s="15">
        <v>368928.0</v>
      </c>
      <c r="E6868" s="15" t="s">
        <v>1664</v>
      </c>
      <c r="F6868" s="15" t="s">
        <v>1664</v>
      </c>
      <c r="G6868" s="7">
        <v>6.718</v>
      </c>
      <c r="H6868" s="15" t="s">
        <v>3297</v>
      </c>
      <c r="I6868" s="15" t="s">
        <v>1560</v>
      </c>
      <c r="J6868" s="15" t="s">
        <v>26005</v>
      </c>
      <c r="K6868" s="15">
        <v>2.0</v>
      </c>
      <c r="L6868" s="15">
        <v>2.0</v>
      </c>
      <c r="M6868" s="41">
        <v>42714.0</v>
      </c>
      <c r="N6868" s="40">
        <v>42761.0</v>
      </c>
      <c r="O6868" s="15" t="s">
        <v>1554</v>
      </c>
      <c r="Q6868" s="7"/>
    </row>
    <row r="6869">
      <c r="A6869" s="39" t="s">
        <v>26006</v>
      </c>
      <c r="B6869" s="15">
        <v>1923731.0</v>
      </c>
      <c r="C6869" s="15" t="s">
        <v>26007</v>
      </c>
      <c r="D6869" s="15">
        <v>368929.0</v>
      </c>
      <c r="E6869" s="15" t="s">
        <v>1664</v>
      </c>
      <c r="F6869" s="15" t="s">
        <v>1664</v>
      </c>
      <c r="G6869" s="7">
        <v>4.605</v>
      </c>
      <c r="H6869" s="15" t="s">
        <v>2660</v>
      </c>
      <c r="I6869" s="15" t="s">
        <v>1560</v>
      </c>
      <c r="J6869" s="15" t="s">
        <v>26008</v>
      </c>
      <c r="K6869" s="15">
        <v>2.0</v>
      </c>
      <c r="L6869" s="15">
        <v>2.0</v>
      </c>
      <c r="M6869" s="41">
        <v>42714.0</v>
      </c>
      <c r="N6869" s="40">
        <v>42761.0</v>
      </c>
      <c r="O6869" s="15" t="s">
        <v>1554</v>
      </c>
      <c r="Q6869" s="7"/>
    </row>
    <row r="6870">
      <c r="A6870" s="39" t="s">
        <v>26009</v>
      </c>
      <c r="B6870" s="15">
        <v>1923730.0</v>
      </c>
      <c r="C6870" s="15" t="s">
        <v>26010</v>
      </c>
      <c r="D6870" s="15">
        <v>368930.0</v>
      </c>
      <c r="E6870" s="15" t="s">
        <v>1664</v>
      </c>
      <c r="F6870" s="15" t="s">
        <v>1664</v>
      </c>
      <c r="G6870" s="7">
        <v>4.571</v>
      </c>
      <c r="H6870" s="15" t="s">
        <v>2365</v>
      </c>
      <c r="I6870" s="15" t="s">
        <v>1560</v>
      </c>
      <c r="J6870" s="15" t="s">
        <v>26011</v>
      </c>
      <c r="K6870" s="15">
        <v>2.0</v>
      </c>
      <c r="L6870" s="15">
        <v>2.0</v>
      </c>
      <c r="M6870" s="41">
        <v>42714.0</v>
      </c>
      <c r="N6870" s="40">
        <v>42761.0</v>
      </c>
      <c r="O6870" s="15" t="s">
        <v>1554</v>
      </c>
      <c r="Q6870" s="7"/>
    </row>
    <row r="6871">
      <c r="A6871" s="39" t="s">
        <v>26013</v>
      </c>
      <c r="B6871" s="15">
        <v>1923725.0</v>
      </c>
      <c r="C6871" s="15" t="s">
        <v>26014</v>
      </c>
      <c r="D6871" s="15">
        <v>368931.0</v>
      </c>
      <c r="E6871" s="15" t="s">
        <v>1664</v>
      </c>
      <c r="F6871" s="15" t="s">
        <v>1664</v>
      </c>
      <c r="G6871" s="7">
        <v>5.981</v>
      </c>
      <c r="H6871" s="15" t="s">
        <v>26015</v>
      </c>
      <c r="I6871" s="15" t="s">
        <v>1560</v>
      </c>
      <c r="J6871" s="15" t="s">
        <v>26016</v>
      </c>
      <c r="K6871" s="15">
        <v>4.0</v>
      </c>
      <c r="L6871" s="15">
        <v>4.0</v>
      </c>
      <c r="M6871" s="41">
        <v>42714.0</v>
      </c>
      <c r="N6871" s="40">
        <v>42761.0</v>
      </c>
      <c r="O6871" s="15" t="s">
        <v>1554</v>
      </c>
      <c r="Q6871" s="7"/>
    </row>
    <row r="6872">
      <c r="A6872" s="39" t="s">
        <v>26017</v>
      </c>
      <c r="B6872" s="15">
        <v>1923724.0</v>
      </c>
      <c r="C6872" s="15" t="s">
        <v>26018</v>
      </c>
      <c r="D6872" s="15">
        <v>368932.0</v>
      </c>
      <c r="E6872" s="15" t="s">
        <v>1664</v>
      </c>
      <c r="F6872" s="15" t="s">
        <v>1664</v>
      </c>
      <c r="G6872" s="7">
        <v>4.975</v>
      </c>
      <c r="H6872" s="15" t="s">
        <v>8889</v>
      </c>
      <c r="I6872" s="15" t="s">
        <v>1560</v>
      </c>
      <c r="J6872" s="15" t="s">
        <v>26019</v>
      </c>
      <c r="K6872" s="15">
        <v>3.0</v>
      </c>
      <c r="L6872" s="15">
        <v>3.0</v>
      </c>
      <c r="M6872" s="41">
        <v>42714.0</v>
      </c>
      <c r="N6872" s="40">
        <v>42761.0</v>
      </c>
      <c r="O6872" s="15" t="s">
        <v>1554</v>
      </c>
      <c r="Q6872" s="7"/>
    </row>
    <row r="6873">
      <c r="A6873" s="39" t="s">
        <v>26021</v>
      </c>
      <c r="B6873" s="15">
        <v>1923723.0</v>
      </c>
      <c r="C6873" s="15" t="s">
        <v>26022</v>
      </c>
      <c r="D6873" s="15">
        <v>368933.0</v>
      </c>
      <c r="E6873" s="15" t="s">
        <v>1664</v>
      </c>
      <c r="F6873" s="15" t="s">
        <v>1664</v>
      </c>
      <c r="G6873" s="7">
        <v>15.441</v>
      </c>
      <c r="H6873" s="15" t="s">
        <v>9551</v>
      </c>
      <c r="I6873" s="15" t="s">
        <v>1560</v>
      </c>
      <c r="J6873" s="15" t="s">
        <v>26023</v>
      </c>
      <c r="K6873" s="15">
        <v>3.0</v>
      </c>
      <c r="L6873" s="15">
        <v>3.0</v>
      </c>
      <c r="M6873" s="41">
        <v>42714.0</v>
      </c>
      <c r="N6873" s="40">
        <v>42761.0</v>
      </c>
      <c r="O6873" s="15" t="s">
        <v>1554</v>
      </c>
      <c r="Q6873" s="7"/>
    </row>
    <row r="6874">
      <c r="A6874" s="39" t="s">
        <v>26024</v>
      </c>
      <c r="B6874" s="15">
        <v>1923722.0</v>
      </c>
      <c r="C6874" s="15" t="s">
        <v>26025</v>
      </c>
      <c r="D6874" s="15">
        <v>368934.0</v>
      </c>
      <c r="E6874" s="15" t="s">
        <v>1664</v>
      </c>
      <c r="F6874" s="15" t="s">
        <v>1664</v>
      </c>
      <c r="G6874" s="7">
        <v>2.714</v>
      </c>
      <c r="H6874" s="15" t="s">
        <v>3286</v>
      </c>
      <c r="I6874" s="15" t="s">
        <v>1560</v>
      </c>
      <c r="J6874" s="15" t="s">
        <v>26026</v>
      </c>
      <c r="K6874" s="15">
        <v>1.0</v>
      </c>
      <c r="L6874" s="15">
        <v>1.0</v>
      </c>
      <c r="M6874" s="41">
        <v>42714.0</v>
      </c>
      <c r="N6874" s="40">
        <v>42761.0</v>
      </c>
      <c r="O6874" s="15" t="s">
        <v>1554</v>
      </c>
      <c r="Q6874" s="7"/>
    </row>
    <row r="6875">
      <c r="A6875" s="39" t="s">
        <v>26027</v>
      </c>
      <c r="B6875" s="15">
        <v>1923721.0</v>
      </c>
      <c r="C6875" s="15" t="s">
        <v>26028</v>
      </c>
      <c r="D6875" s="15">
        <v>368935.0</v>
      </c>
      <c r="E6875" s="15" t="s">
        <v>1664</v>
      </c>
      <c r="F6875" s="15" t="s">
        <v>1664</v>
      </c>
      <c r="G6875" s="7">
        <v>2.976</v>
      </c>
      <c r="H6875" s="15" t="s">
        <v>2300</v>
      </c>
      <c r="I6875" s="15" t="s">
        <v>1560</v>
      </c>
      <c r="J6875" s="15" t="s">
        <v>26029</v>
      </c>
      <c r="K6875" s="15">
        <v>2.0</v>
      </c>
      <c r="L6875" s="15">
        <v>2.0</v>
      </c>
      <c r="M6875" s="41">
        <v>42714.0</v>
      </c>
      <c r="N6875" s="40">
        <v>42761.0</v>
      </c>
      <c r="O6875" s="15" t="s">
        <v>1554</v>
      </c>
      <c r="Q6875" s="7"/>
    </row>
    <row r="6876">
      <c r="A6876" s="39" t="s">
        <v>26031</v>
      </c>
      <c r="B6876" s="15">
        <v>1923719.0</v>
      </c>
      <c r="C6876" s="15" t="s">
        <v>26032</v>
      </c>
      <c r="D6876" s="15">
        <v>368936.0</v>
      </c>
      <c r="E6876" s="15" t="s">
        <v>1664</v>
      </c>
      <c r="F6876" s="15" t="s">
        <v>1664</v>
      </c>
      <c r="G6876" s="7">
        <v>7.49</v>
      </c>
      <c r="H6876" s="15" t="s">
        <v>26033</v>
      </c>
      <c r="I6876" s="15" t="s">
        <v>1560</v>
      </c>
      <c r="J6876" s="15" t="s">
        <v>26034</v>
      </c>
      <c r="K6876" s="15">
        <v>2.0</v>
      </c>
      <c r="L6876" s="15">
        <v>2.0</v>
      </c>
      <c r="M6876" s="41">
        <v>42714.0</v>
      </c>
      <c r="N6876" s="40">
        <v>42761.0</v>
      </c>
      <c r="O6876" s="15" t="s">
        <v>1554</v>
      </c>
      <c r="Q6876" s="7"/>
    </row>
    <row r="6877">
      <c r="A6877" s="39" t="s">
        <v>26035</v>
      </c>
      <c r="B6877" s="15">
        <v>1923718.0</v>
      </c>
      <c r="C6877" s="15" t="s">
        <v>26036</v>
      </c>
      <c r="D6877" s="15">
        <v>368937.0</v>
      </c>
      <c r="E6877" s="15" t="s">
        <v>1638</v>
      </c>
      <c r="F6877" s="15" t="s">
        <v>4692</v>
      </c>
      <c r="G6877" s="7">
        <v>12.473</v>
      </c>
      <c r="H6877" s="15" t="s">
        <v>2820</v>
      </c>
      <c r="I6877" s="15" t="s">
        <v>1552</v>
      </c>
      <c r="J6877" s="15" t="s">
        <v>26037</v>
      </c>
      <c r="K6877" s="15">
        <v>1.0</v>
      </c>
      <c r="L6877" s="15">
        <v>1.0</v>
      </c>
      <c r="M6877" s="41">
        <v>42714.0</v>
      </c>
      <c r="N6877" s="40">
        <v>42761.0</v>
      </c>
      <c r="O6877" s="15" t="s">
        <v>1554</v>
      </c>
      <c r="Q6877" s="7"/>
    </row>
    <row r="6878">
      <c r="A6878" s="39" t="s">
        <v>26038</v>
      </c>
      <c r="B6878" s="15">
        <v>1923715.0</v>
      </c>
      <c r="C6878" s="15" t="s">
        <v>26039</v>
      </c>
      <c r="D6878" s="15">
        <v>368938.0</v>
      </c>
      <c r="E6878" s="15" t="s">
        <v>1664</v>
      </c>
      <c r="F6878" s="15" t="s">
        <v>1664</v>
      </c>
      <c r="G6878" s="7">
        <v>9.952</v>
      </c>
      <c r="H6878" s="15">
        <v>37.0</v>
      </c>
      <c r="I6878" s="15" t="s">
        <v>1560</v>
      </c>
      <c r="J6878" s="15" t="s">
        <v>26040</v>
      </c>
      <c r="K6878" s="15">
        <v>2.0</v>
      </c>
      <c r="L6878" s="15">
        <v>2.0</v>
      </c>
      <c r="M6878" s="41">
        <v>42714.0</v>
      </c>
      <c r="N6878" s="40">
        <v>42761.0</v>
      </c>
      <c r="O6878" s="15" t="s">
        <v>1554</v>
      </c>
      <c r="Q6878" s="7"/>
    </row>
    <row r="6879">
      <c r="A6879" s="39" t="s">
        <v>26041</v>
      </c>
      <c r="B6879" s="15">
        <v>1923714.0</v>
      </c>
      <c r="C6879" s="15" t="s">
        <v>26042</v>
      </c>
      <c r="D6879" s="15">
        <v>368939.0</v>
      </c>
      <c r="E6879" s="15" t="s">
        <v>1664</v>
      </c>
      <c r="F6879" s="15" t="s">
        <v>1664</v>
      </c>
      <c r="G6879" s="7">
        <v>9.939</v>
      </c>
      <c r="H6879" s="15" t="s">
        <v>1710</v>
      </c>
      <c r="I6879" s="15" t="s">
        <v>1560</v>
      </c>
      <c r="J6879" s="15" t="s">
        <v>26044</v>
      </c>
      <c r="K6879" s="15">
        <v>1.0</v>
      </c>
      <c r="L6879" s="15">
        <v>1.0</v>
      </c>
      <c r="M6879" s="41">
        <v>42714.0</v>
      </c>
      <c r="N6879" s="40">
        <v>42761.0</v>
      </c>
      <c r="O6879" s="15" t="s">
        <v>1554</v>
      </c>
      <c r="Q6879" s="7"/>
    </row>
    <row r="6880">
      <c r="A6880" s="39" t="s">
        <v>26045</v>
      </c>
      <c r="B6880" s="15">
        <v>1923713.0</v>
      </c>
      <c r="C6880" s="15" t="s">
        <v>26046</v>
      </c>
      <c r="D6880" s="15">
        <v>368940.0</v>
      </c>
      <c r="E6880" s="15" t="s">
        <v>1664</v>
      </c>
      <c r="F6880" s="15" t="s">
        <v>1664</v>
      </c>
      <c r="G6880" s="7">
        <v>3.491</v>
      </c>
      <c r="H6880" s="15" t="s">
        <v>2552</v>
      </c>
      <c r="I6880" s="15" t="s">
        <v>1560</v>
      </c>
      <c r="J6880" s="15" t="s">
        <v>26047</v>
      </c>
      <c r="K6880" s="15">
        <v>1.0</v>
      </c>
      <c r="L6880" s="15">
        <v>1.0</v>
      </c>
      <c r="M6880" s="41">
        <v>42714.0</v>
      </c>
      <c r="N6880" s="40">
        <v>42761.0</v>
      </c>
      <c r="O6880" s="15" t="s">
        <v>1554</v>
      </c>
      <c r="Q6880" s="7"/>
    </row>
    <row r="6881">
      <c r="A6881" s="39" t="s">
        <v>26048</v>
      </c>
      <c r="B6881" s="15">
        <v>1923710.0</v>
      </c>
      <c r="C6881" s="15" t="s">
        <v>26049</v>
      </c>
      <c r="D6881" s="15">
        <v>368941.0</v>
      </c>
      <c r="E6881" s="15" t="s">
        <v>1664</v>
      </c>
      <c r="F6881" s="15" t="s">
        <v>1664</v>
      </c>
      <c r="G6881" s="7">
        <v>4.746</v>
      </c>
      <c r="H6881" s="15" t="s">
        <v>26050</v>
      </c>
      <c r="I6881" s="15" t="s">
        <v>1560</v>
      </c>
      <c r="J6881" s="15" t="s">
        <v>26051</v>
      </c>
      <c r="K6881" s="15">
        <v>3.0</v>
      </c>
      <c r="L6881" s="15">
        <v>3.0</v>
      </c>
      <c r="M6881" s="41">
        <v>42714.0</v>
      </c>
      <c r="N6881" s="40">
        <v>42761.0</v>
      </c>
      <c r="O6881" s="15" t="s">
        <v>1554</v>
      </c>
      <c r="Q6881" s="7"/>
    </row>
    <row r="6882">
      <c r="A6882" s="39" t="s">
        <v>26052</v>
      </c>
      <c r="B6882" s="15">
        <v>1923709.0</v>
      </c>
      <c r="C6882" s="15" t="s">
        <v>26053</v>
      </c>
      <c r="D6882" s="15">
        <v>368942.0</v>
      </c>
      <c r="E6882" s="15" t="s">
        <v>1664</v>
      </c>
      <c r="F6882" s="15" t="s">
        <v>1664</v>
      </c>
      <c r="G6882" s="7">
        <v>4.474</v>
      </c>
      <c r="H6882" s="15" t="s">
        <v>26054</v>
      </c>
      <c r="I6882" s="15" t="s">
        <v>1560</v>
      </c>
      <c r="J6882" s="15" t="s">
        <v>26055</v>
      </c>
      <c r="K6882" s="15">
        <v>3.0</v>
      </c>
      <c r="L6882" s="15">
        <v>3.0</v>
      </c>
      <c r="M6882" s="41">
        <v>42714.0</v>
      </c>
      <c r="N6882" s="40">
        <v>42761.0</v>
      </c>
      <c r="O6882" s="15" t="s">
        <v>1554</v>
      </c>
      <c r="Q6882" s="7"/>
    </row>
    <row r="6883">
      <c r="A6883" s="39" t="s">
        <v>26056</v>
      </c>
      <c r="B6883" s="15">
        <v>1923708.0</v>
      </c>
      <c r="C6883" s="15" t="s">
        <v>26057</v>
      </c>
      <c r="D6883" s="15">
        <v>368943.0</v>
      </c>
      <c r="E6883" s="15" t="s">
        <v>1664</v>
      </c>
      <c r="F6883" s="15" t="s">
        <v>1664</v>
      </c>
      <c r="G6883" s="7">
        <v>4.42</v>
      </c>
      <c r="H6883" s="15" t="s">
        <v>26059</v>
      </c>
      <c r="I6883" s="15" t="s">
        <v>1560</v>
      </c>
      <c r="J6883" s="15" t="s">
        <v>26060</v>
      </c>
      <c r="K6883" s="15">
        <v>3.0</v>
      </c>
      <c r="L6883" s="15">
        <v>3.0</v>
      </c>
      <c r="M6883" s="41">
        <v>42714.0</v>
      </c>
      <c r="N6883" s="40">
        <v>42761.0</v>
      </c>
      <c r="O6883" s="15" t="s">
        <v>1554</v>
      </c>
      <c r="Q6883" s="7"/>
    </row>
    <row r="6884">
      <c r="A6884" s="39" t="s">
        <v>26061</v>
      </c>
      <c r="B6884" s="15">
        <v>1923707.0</v>
      </c>
      <c r="C6884" s="15" t="s">
        <v>26062</v>
      </c>
      <c r="D6884" s="15">
        <v>368944.0</v>
      </c>
      <c r="E6884" s="15" t="s">
        <v>1664</v>
      </c>
      <c r="F6884" s="15" t="s">
        <v>1664</v>
      </c>
      <c r="G6884" s="7">
        <v>11.226</v>
      </c>
      <c r="H6884" s="15" t="s">
        <v>4595</v>
      </c>
      <c r="I6884" s="15" t="s">
        <v>1560</v>
      </c>
      <c r="J6884" s="15" t="s">
        <v>26063</v>
      </c>
      <c r="K6884" s="15">
        <v>1.0</v>
      </c>
      <c r="L6884" s="15">
        <v>1.0</v>
      </c>
      <c r="M6884" s="41">
        <v>42714.0</v>
      </c>
      <c r="N6884" s="40">
        <v>42761.0</v>
      </c>
      <c r="O6884" s="15" t="s">
        <v>1554</v>
      </c>
      <c r="Q6884" s="7"/>
    </row>
    <row r="6885">
      <c r="A6885" s="39" t="s">
        <v>26064</v>
      </c>
      <c r="B6885" s="15">
        <v>1923706.0</v>
      </c>
      <c r="C6885" s="15" t="s">
        <v>26065</v>
      </c>
      <c r="D6885" s="15">
        <v>368945.0</v>
      </c>
      <c r="E6885" s="15" t="s">
        <v>1664</v>
      </c>
      <c r="F6885" s="15" t="s">
        <v>1664</v>
      </c>
      <c r="G6885" s="7">
        <v>12.965</v>
      </c>
      <c r="H6885" s="15" t="s">
        <v>3862</v>
      </c>
      <c r="I6885" s="15" t="s">
        <v>1560</v>
      </c>
      <c r="J6885" s="15" t="s">
        <v>26066</v>
      </c>
      <c r="K6885" s="15">
        <v>1.0</v>
      </c>
      <c r="L6885" s="15">
        <v>1.0</v>
      </c>
      <c r="M6885" s="41">
        <v>42714.0</v>
      </c>
      <c r="N6885" s="40">
        <v>42761.0</v>
      </c>
      <c r="O6885" s="15" t="s">
        <v>1554</v>
      </c>
      <c r="Q6885" s="7"/>
    </row>
    <row r="6886">
      <c r="A6886" s="39" t="s">
        <v>26067</v>
      </c>
      <c r="B6886" s="15">
        <v>1923705.0</v>
      </c>
      <c r="C6886" s="15" t="s">
        <v>26068</v>
      </c>
      <c r="D6886" s="15">
        <v>368946.0</v>
      </c>
      <c r="E6886" s="15" t="s">
        <v>1664</v>
      </c>
      <c r="F6886" s="15" t="s">
        <v>1664</v>
      </c>
      <c r="G6886" s="7">
        <v>10.31</v>
      </c>
      <c r="H6886" s="15" t="s">
        <v>1607</v>
      </c>
      <c r="I6886" s="15" t="s">
        <v>1560</v>
      </c>
      <c r="J6886" s="15" t="s">
        <v>26069</v>
      </c>
      <c r="K6886" s="15">
        <v>4.0</v>
      </c>
      <c r="L6886" s="15">
        <v>4.0</v>
      </c>
      <c r="M6886" s="41">
        <v>42714.0</v>
      </c>
      <c r="N6886" s="40">
        <v>42761.0</v>
      </c>
      <c r="O6886" s="15" t="s">
        <v>1554</v>
      </c>
      <c r="Q6886" s="7"/>
    </row>
    <row r="6887">
      <c r="A6887" s="39" t="s">
        <v>26070</v>
      </c>
      <c r="B6887" s="15">
        <v>1923704.0</v>
      </c>
      <c r="C6887" s="15" t="s">
        <v>26071</v>
      </c>
      <c r="D6887" s="15">
        <v>368947.0</v>
      </c>
      <c r="E6887" s="15" t="s">
        <v>1664</v>
      </c>
      <c r="F6887" s="15" t="s">
        <v>1664</v>
      </c>
      <c r="G6887" s="7">
        <v>3.042</v>
      </c>
      <c r="H6887" s="15">
        <v>56.0</v>
      </c>
      <c r="I6887" s="15" t="s">
        <v>1560</v>
      </c>
      <c r="J6887" s="15" t="s">
        <v>26072</v>
      </c>
      <c r="K6887" s="15">
        <v>1.0</v>
      </c>
      <c r="L6887" s="15">
        <v>1.0</v>
      </c>
      <c r="M6887" s="41">
        <v>42714.0</v>
      </c>
      <c r="N6887" s="40">
        <v>42761.0</v>
      </c>
      <c r="O6887" s="15" t="s">
        <v>1554</v>
      </c>
      <c r="Q6887" s="7"/>
    </row>
    <row r="6888">
      <c r="A6888" s="39" t="s">
        <v>26074</v>
      </c>
      <c r="B6888" s="15">
        <v>1923702.0</v>
      </c>
      <c r="C6888" s="15" t="s">
        <v>26075</v>
      </c>
      <c r="D6888" s="15">
        <v>368948.0</v>
      </c>
      <c r="E6888" s="15" t="s">
        <v>1664</v>
      </c>
      <c r="F6888" s="15" t="s">
        <v>1664</v>
      </c>
      <c r="G6888" s="7">
        <v>4.982</v>
      </c>
      <c r="H6888" s="15" t="s">
        <v>26076</v>
      </c>
      <c r="I6888" s="15" t="s">
        <v>1560</v>
      </c>
      <c r="J6888" s="15" t="s">
        <v>26077</v>
      </c>
      <c r="K6888" s="15">
        <v>3.0</v>
      </c>
      <c r="L6888" s="15">
        <v>3.0</v>
      </c>
      <c r="M6888" s="41">
        <v>42714.0</v>
      </c>
      <c r="N6888" s="40">
        <v>42761.0</v>
      </c>
      <c r="O6888" s="15" t="s">
        <v>1554</v>
      </c>
      <c r="Q6888" s="7"/>
    </row>
    <row r="6889">
      <c r="A6889" s="39" t="s">
        <v>26078</v>
      </c>
      <c r="B6889" s="15">
        <v>1923701.0</v>
      </c>
      <c r="C6889" s="15" t="s">
        <v>26079</v>
      </c>
      <c r="D6889" s="15">
        <v>368949.0</v>
      </c>
      <c r="E6889" s="15" t="s">
        <v>1664</v>
      </c>
      <c r="F6889" s="15" t="s">
        <v>1664</v>
      </c>
      <c r="G6889" s="7">
        <v>16.121</v>
      </c>
      <c r="H6889" s="42">
        <v>43249.0</v>
      </c>
      <c r="I6889" s="15" t="s">
        <v>1560</v>
      </c>
      <c r="J6889" s="15" t="s">
        <v>26080</v>
      </c>
      <c r="K6889" s="15">
        <v>8.0</v>
      </c>
      <c r="L6889" s="15">
        <v>8.0</v>
      </c>
      <c r="M6889" s="41">
        <v>42714.0</v>
      </c>
      <c r="N6889" s="40">
        <v>42761.0</v>
      </c>
      <c r="O6889" s="15" t="s">
        <v>1554</v>
      </c>
      <c r="Q6889" s="7"/>
    </row>
    <row r="6890">
      <c r="A6890" s="39" t="s">
        <v>26081</v>
      </c>
      <c r="B6890" s="15">
        <v>1923699.0</v>
      </c>
      <c r="C6890" s="15" t="s">
        <v>26082</v>
      </c>
      <c r="D6890" s="15">
        <v>368950.0</v>
      </c>
      <c r="E6890" s="15" t="s">
        <v>1664</v>
      </c>
      <c r="F6890" s="15" t="s">
        <v>1664</v>
      </c>
      <c r="G6890" s="7">
        <v>3.37</v>
      </c>
      <c r="H6890" s="15" t="s">
        <v>26083</v>
      </c>
      <c r="I6890" s="15" t="s">
        <v>1560</v>
      </c>
      <c r="J6890" s="15" t="s">
        <v>26084</v>
      </c>
      <c r="K6890" s="15">
        <v>2.0</v>
      </c>
      <c r="L6890" s="15">
        <v>2.0</v>
      </c>
      <c r="M6890" s="41">
        <v>42714.0</v>
      </c>
      <c r="N6890" s="40">
        <v>42761.0</v>
      </c>
      <c r="O6890" s="15" t="s">
        <v>1554</v>
      </c>
      <c r="Q6890" s="7"/>
    </row>
    <row r="6891">
      <c r="A6891" s="39" t="s">
        <v>26085</v>
      </c>
      <c r="B6891" s="15">
        <v>1923698.0</v>
      </c>
      <c r="C6891" s="15" t="s">
        <v>26086</v>
      </c>
      <c r="D6891" s="15">
        <v>368951.0</v>
      </c>
      <c r="E6891" s="15" t="s">
        <v>1664</v>
      </c>
      <c r="F6891" s="15" t="s">
        <v>1664</v>
      </c>
      <c r="G6891" s="7">
        <v>9.096</v>
      </c>
      <c r="H6891" s="15" t="s">
        <v>2233</v>
      </c>
      <c r="I6891" s="15" t="s">
        <v>1560</v>
      </c>
      <c r="J6891" s="15" t="s">
        <v>26088</v>
      </c>
      <c r="K6891" s="15">
        <v>1.0</v>
      </c>
      <c r="L6891" s="15">
        <v>1.0</v>
      </c>
      <c r="M6891" s="41">
        <v>42714.0</v>
      </c>
      <c r="N6891" s="40">
        <v>42761.0</v>
      </c>
      <c r="O6891" s="15" t="s">
        <v>1554</v>
      </c>
      <c r="Q6891" s="7"/>
    </row>
    <row r="6892">
      <c r="A6892" s="39" t="s">
        <v>26089</v>
      </c>
      <c r="B6892" s="15">
        <v>1898060.0</v>
      </c>
      <c r="C6892" s="15" t="s">
        <v>26090</v>
      </c>
      <c r="D6892" s="15">
        <v>368971.0</v>
      </c>
      <c r="E6892" s="15" t="s">
        <v>1557</v>
      </c>
      <c r="F6892" s="15" t="s">
        <v>3454</v>
      </c>
      <c r="G6892" s="7">
        <v>208.501</v>
      </c>
      <c r="H6892" s="15">
        <v>33.0</v>
      </c>
      <c r="I6892" s="15" t="s">
        <v>1686</v>
      </c>
      <c r="J6892" s="15" t="s">
        <v>26091</v>
      </c>
      <c r="K6892" s="15">
        <v>183.0</v>
      </c>
      <c r="L6892" s="15">
        <v>183.0</v>
      </c>
      <c r="M6892" s="40">
        <v>42602.0</v>
      </c>
      <c r="N6892" s="40">
        <v>42761.0</v>
      </c>
      <c r="O6892" s="15" t="s">
        <v>1554</v>
      </c>
      <c r="Q6892" s="7"/>
    </row>
    <row r="6893">
      <c r="A6893" s="39" t="s">
        <v>26092</v>
      </c>
      <c r="B6893" s="15">
        <v>1720526.0</v>
      </c>
      <c r="C6893" s="15" t="s">
        <v>26093</v>
      </c>
      <c r="D6893" s="15">
        <v>349153.0</v>
      </c>
      <c r="E6893" s="15" t="s">
        <v>1557</v>
      </c>
      <c r="F6893" s="15" t="s">
        <v>1982</v>
      </c>
      <c r="G6893" s="7">
        <v>360.61</v>
      </c>
      <c r="H6893" s="15" t="s">
        <v>2648</v>
      </c>
      <c r="I6893" s="15" t="s">
        <v>1560</v>
      </c>
      <c r="J6893" s="15" t="s">
        <v>26094</v>
      </c>
      <c r="K6893" s="15">
        <v>296.0</v>
      </c>
      <c r="L6893" s="15">
        <v>296.0</v>
      </c>
      <c r="M6893" s="41">
        <v>42660.0</v>
      </c>
      <c r="N6893" s="40">
        <v>42761.0</v>
      </c>
      <c r="O6893" s="15" t="s">
        <v>1554</v>
      </c>
      <c r="Q6893" s="7"/>
    </row>
    <row r="6894">
      <c r="A6894" s="39" t="s">
        <v>26095</v>
      </c>
      <c r="B6894" s="15">
        <v>1513528.0</v>
      </c>
      <c r="C6894" s="15" t="s">
        <v>26096</v>
      </c>
      <c r="D6894" s="15">
        <v>362372.0</v>
      </c>
      <c r="E6894" s="15" t="s">
        <v>1808</v>
      </c>
      <c r="F6894" s="15" t="s">
        <v>1809</v>
      </c>
      <c r="G6894" s="7">
        <v>2.781</v>
      </c>
      <c r="H6894" s="15" t="s">
        <v>2064</v>
      </c>
      <c r="I6894" s="15" t="s">
        <v>1628</v>
      </c>
      <c r="J6894" s="15" t="s">
        <v>26097</v>
      </c>
      <c r="K6894" s="15">
        <v>5.0</v>
      </c>
      <c r="L6894" s="15">
        <v>5.0</v>
      </c>
      <c r="M6894" s="40">
        <v>42750.0</v>
      </c>
      <c r="N6894" s="40">
        <v>42753.0</v>
      </c>
      <c r="O6894" s="15" t="s">
        <v>1554</v>
      </c>
      <c r="Q6894" s="7"/>
    </row>
    <row r="6895">
      <c r="A6895" s="39" t="s">
        <v>26098</v>
      </c>
      <c r="B6895" s="15">
        <v>1933092.0</v>
      </c>
      <c r="C6895" s="15" t="s">
        <v>26099</v>
      </c>
      <c r="D6895" s="15">
        <v>362371.0</v>
      </c>
      <c r="E6895" s="15" t="s">
        <v>2014</v>
      </c>
      <c r="F6895" s="15" t="s">
        <v>1578</v>
      </c>
      <c r="G6895" s="7">
        <v>1.311</v>
      </c>
      <c r="H6895" s="15">
        <v>42.0</v>
      </c>
      <c r="I6895" s="15" t="s">
        <v>1628</v>
      </c>
      <c r="J6895" s="15" t="s">
        <v>26101</v>
      </c>
      <c r="K6895" s="15">
        <v>1.0</v>
      </c>
      <c r="L6895" s="15">
        <v>1.0</v>
      </c>
      <c r="M6895" s="40">
        <v>42750.0</v>
      </c>
      <c r="N6895" s="40">
        <v>42753.0</v>
      </c>
      <c r="O6895" s="15" t="s">
        <v>1554</v>
      </c>
      <c r="Q6895" s="7"/>
    </row>
    <row r="6896">
      <c r="A6896" s="39" t="s">
        <v>26102</v>
      </c>
      <c r="B6896" s="15">
        <v>1890678.0</v>
      </c>
      <c r="C6896" s="15" t="s">
        <v>26103</v>
      </c>
      <c r="D6896" s="15">
        <v>362769.0</v>
      </c>
      <c r="E6896" s="15" t="s">
        <v>1557</v>
      </c>
      <c r="F6896" s="15" t="s">
        <v>1827</v>
      </c>
      <c r="G6896" s="7">
        <v>164.54</v>
      </c>
      <c r="H6896" s="15" t="s">
        <v>4401</v>
      </c>
      <c r="I6896" s="15" t="s">
        <v>1686</v>
      </c>
      <c r="J6896" s="15" t="s">
        <v>26104</v>
      </c>
      <c r="K6896" s="15">
        <v>86.0</v>
      </c>
      <c r="L6896" s="15">
        <v>86.0</v>
      </c>
      <c r="M6896" s="40">
        <v>42756.0</v>
      </c>
      <c r="N6896" s="40">
        <v>42761.0</v>
      </c>
      <c r="O6896" s="15" t="s">
        <v>1554</v>
      </c>
      <c r="Q6896" s="7"/>
    </row>
    <row r="6897">
      <c r="A6897" s="39" t="s">
        <v>26105</v>
      </c>
      <c r="B6897" s="15">
        <v>1931111.0</v>
      </c>
      <c r="C6897" s="15" t="s">
        <v>26106</v>
      </c>
      <c r="D6897" s="15">
        <v>369103.0</v>
      </c>
      <c r="E6897" s="15" t="s">
        <v>1808</v>
      </c>
      <c r="F6897" s="15" t="s">
        <v>1809</v>
      </c>
      <c r="G6897" s="7">
        <v>2.738</v>
      </c>
      <c r="H6897" s="15">
        <v>45.0</v>
      </c>
      <c r="I6897" s="15" t="s">
        <v>1628</v>
      </c>
      <c r="J6897" s="15" t="s">
        <v>26107</v>
      </c>
      <c r="K6897" s="15">
        <v>6.0</v>
      </c>
      <c r="L6897" s="15">
        <v>6.0</v>
      </c>
      <c r="M6897" s="40">
        <v>42758.0</v>
      </c>
      <c r="N6897" s="40">
        <v>42762.0</v>
      </c>
      <c r="O6897" s="15" t="s">
        <v>1554</v>
      </c>
      <c r="Q6897" s="7"/>
    </row>
    <row r="6898">
      <c r="A6898" s="39" t="s">
        <v>26108</v>
      </c>
      <c r="B6898" s="15">
        <v>1885929.0</v>
      </c>
      <c r="C6898" s="15" t="s">
        <v>26109</v>
      </c>
      <c r="D6898" s="15">
        <v>368984.0</v>
      </c>
      <c r="E6898" s="15" t="s">
        <v>1548</v>
      </c>
      <c r="F6898" s="15" t="s">
        <v>4820</v>
      </c>
      <c r="G6898" s="7">
        <v>15.446</v>
      </c>
      <c r="H6898" s="15" t="s">
        <v>4215</v>
      </c>
      <c r="I6898" s="15" t="s">
        <v>1686</v>
      </c>
      <c r="J6898" s="15" t="s">
        <v>26110</v>
      </c>
      <c r="K6898" s="15">
        <v>14.0</v>
      </c>
      <c r="L6898" s="15">
        <v>14.0</v>
      </c>
      <c r="M6898" s="40">
        <v>41729.0</v>
      </c>
      <c r="N6898" s="40">
        <v>42762.0</v>
      </c>
      <c r="O6898" s="15" t="s">
        <v>1554</v>
      </c>
      <c r="Q6898" s="7"/>
    </row>
    <row r="6899">
      <c r="A6899" s="39" t="s">
        <v>26111</v>
      </c>
      <c r="B6899" s="15">
        <v>1908813.0</v>
      </c>
      <c r="C6899" s="15" t="s">
        <v>22379</v>
      </c>
      <c r="D6899" s="15">
        <v>348743.0</v>
      </c>
      <c r="E6899" s="15" t="s">
        <v>1638</v>
      </c>
      <c r="F6899" s="15" t="s">
        <v>2849</v>
      </c>
      <c r="G6899" s="7">
        <v>21.004</v>
      </c>
      <c r="H6899" s="15" t="s">
        <v>5475</v>
      </c>
      <c r="I6899" s="15" t="s">
        <v>1552</v>
      </c>
      <c r="J6899" s="15" t="s">
        <v>26112</v>
      </c>
      <c r="K6899" s="15">
        <v>2.0</v>
      </c>
      <c r="L6899" s="15">
        <v>2.0</v>
      </c>
      <c r="M6899" s="41">
        <v>42655.0</v>
      </c>
      <c r="N6899" s="41">
        <v>42664.0</v>
      </c>
      <c r="O6899" s="15" t="s">
        <v>1554</v>
      </c>
      <c r="Q6899" s="7"/>
    </row>
    <row r="6900">
      <c r="A6900" s="39" t="s">
        <v>26113</v>
      </c>
      <c r="B6900" s="15">
        <v>1458459.0</v>
      </c>
      <c r="C6900" s="15" t="s">
        <v>26115</v>
      </c>
      <c r="D6900" s="15">
        <v>242973.0</v>
      </c>
      <c r="E6900" s="15" t="s">
        <v>2014</v>
      </c>
      <c r="F6900" s="15" t="s">
        <v>1578</v>
      </c>
      <c r="G6900" s="7">
        <v>1.017</v>
      </c>
      <c r="H6900" s="15" t="s">
        <v>2049</v>
      </c>
      <c r="I6900" s="15" t="s">
        <v>1628</v>
      </c>
      <c r="J6900" s="15" t="s">
        <v>26116</v>
      </c>
      <c r="K6900" s="15">
        <v>1.0</v>
      </c>
      <c r="L6900" s="15">
        <v>1.0</v>
      </c>
      <c r="M6900" s="41">
        <v>34665.0</v>
      </c>
      <c r="N6900" s="40">
        <v>42872.0</v>
      </c>
      <c r="O6900" s="15" t="s">
        <v>1554</v>
      </c>
      <c r="Q6900" s="7"/>
    </row>
    <row r="6901">
      <c r="A6901" s="39" t="s">
        <v>26117</v>
      </c>
      <c r="B6901" s="15">
        <v>1391455.0</v>
      </c>
      <c r="C6901" s="15" t="s">
        <v>26118</v>
      </c>
      <c r="D6901" s="15">
        <v>72255.0</v>
      </c>
      <c r="E6901" s="15" t="s">
        <v>1557</v>
      </c>
      <c r="F6901" s="15" t="s">
        <v>1578</v>
      </c>
      <c r="G6901" s="7">
        <v>45.532</v>
      </c>
      <c r="H6901" s="15">
        <v>40.0</v>
      </c>
      <c r="I6901" s="15" t="s">
        <v>1586</v>
      </c>
      <c r="J6901" s="15" t="s">
        <v>26119</v>
      </c>
      <c r="K6901" s="15">
        <v>62.0</v>
      </c>
      <c r="L6901" s="15">
        <v>62.0</v>
      </c>
      <c r="M6901" s="40">
        <v>41584.0</v>
      </c>
      <c r="N6901" s="40">
        <v>42384.0</v>
      </c>
      <c r="O6901" s="15" t="s">
        <v>1554</v>
      </c>
      <c r="Q6901" s="7"/>
    </row>
    <row r="6902">
      <c r="A6902" s="39" t="s">
        <v>26120</v>
      </c>
      <c r="B6902" s="15">
        <v>1931113.0</v>
      </c>
      <c r="C6902" s="15" t="s">
        <v>26121</v>
      </c>
      <c r="D6902" s="15">
        <v>369555.0</v>
      </c>
      <c r="E6902" s="15" t="s">
        <v>2014</v>
      </c>
      <c r="F6902" s="15" t="s">
        <v>2018</v>
      </c>
      <c r="G6902" s="7">
        <v>1.347</v>
      </c>
      <c r="H6902" s="15" t="s">
        <v>2552</v>
      </c>
      <c r="I6902" s="15" t="s">
        <v>1628</v>
      </c>
      <c r="J6902" s="15" t="s">
        <v>26122</v>
      </c>
      <c r="K6902" s="15">
        <v>1.0</v>
      </c>
      <c r="L6902" s="15">
        <v>1.0</v>
      </c>
      <c r="M6902" s="40">
        <v>42758.0</v>
      </c>
      <c r="N6902" s="40">
        <v>42768.0</v>
      </c>
      <c r="O6902" s="15" t="s">
        <v>1554</v>
      </c>
      <c r="Q6902" s="7"/>
    </row>
    <row r="6903">
      <c r="A6903" s="39" t="s">
        <v>26123</v>
      </c>
      <c r="B6903" s="15">
        <v>1903266.0</v>
      </c>
      <c r="C6903" s="15" t="s">
        <v>26124</v>
      </c>
      <c r="D6903" s="15">
        <v>357483.0</v>
      </c>
      <c r="E6903" s="15" t="s">
        <v>1557</v>
      </c>
      <c r="F6903" s="15" t="s">
        <v>14446</v>
      </c>
      <c r="G6903" s="7">
        <v>589.068</v>
      </c>
      <c r="H6903" s="15" t="s">
        <v>2005</v>
      </c>
      <c r="I6903" s="15" t="s">
        <v>1740</v>
      </c>
      <c r="J6903" s="15" t="s">
        <v>26126</v>
      </c>
      <c r="K6903" s="15">
        <v>574.0</v>
      </c>
      <c r="L6903" s="15">
        <v>574.0</v>
      </c>
      <c r="M6903" s="40">
        <v>42711.0</v>
      </c>
      <c r="N6903" s="41">
        <v>42718.0</v>
      </c>
      <c r="O6903" s="15" t="s">
        <v>2353</v>
      </c>
      <c r="Q6903" s="7"/>
    </row>
    <row r="6904">
      <c r="A6904" s="39" t="s">
        <v>26127</v>
      </c>
      <c r="B6904" s="15">
        <v>1567015.0</v>
      </c>
      <c r="C6904" s="15" t="s">
        <v>26128</v>
      </c>
      <c r="D6904" s="15">
        <v>260192.0</v>
      </c>
      <c r="E6904" s="15" t="s">
        <v>1557</v>
      </c>
      <c r="F6904" s="15" t="s">
        <v>1578</v>
      </c>
      <c r="G6904" s="7">
        <v>47.02</v>
      </c>
      <c r="H6904" s="42">
        <v>43218.0</v>
      </c>
      <c r="I6904" s="15" t="s">
        <v>1586</v>
      </c>
      <c r="J6904" s="15" t="s">
        <v>26129</v>
      </c>
      <c r="K6904" s="15">
        <v>67.0</v>
      </c>
      <c r="L6904" s="15">
        <v>67.0</v>
      </c>
      <c r="M6904" s="41">
        <v>42001.0</v>
      </c>
      <c r="N6904" s="40">
        <v>42632.0</v>
      </c>
      <c r="O6904" s="15" t="s">
        <v>1554</v>
      </c>
      <c r="Q6904" s="7"/>
    </row>
    <row r="6905">
      <c r="A6905" s="39" t="s">
        <v>26131</v>
      </c>
      <c r="B6905" s="15">
        <v>1643326.0</v>
      </c>
      <c r="C6905" s="15" t="s">
        <v>26132</v>
      </c>
      <c r="D6905" s="15">
        <v>277058.0</v>
      </c>
      <c r="E6905" s="15" t="s">
        <v>1557</v>
      </c>
      <c r="F6905" s="15" t="s">
        <v>1833</v>
      </c>
      <c r="G6905" s="7">
        <v>41.486</v>
      </c>
      <c r="H6905" s="15" t="s">
        <v>3554</v>
      </c>
      <c r="I6905" s="15" t="s">
        <v>1586</v>
      </c>
      <c r="J6905" s="15" t="s">
        <v>26133</v>
      </c>
      <c r="K6905" s="15">
        <v>67.0</v>
      </c>
      <c r="L6905" s="15">
        <v>67.0</v>
      </c>
      <c r="M6905" s="41">
        <v>42332.0</v>
      </c>
      <c r="N6905" s="40">
        <v>42374.0</v>
      </c>
      <c r="O6905" s="15" t="s">
        <v>1554</v>
      </c>
      <c r="Q6905" s="7"/>
    </row>
    <row r="6906">
      <c r="A6906" s="39" t="s">
        <v>26134</v>
      </c>
      <c r="B6906" s="15">
        <v>1225792.0</v>
      </c>
      <c r="C6906" s="15" t="s">
        <v>26135</v>
      </c>
      <c r="D6906" s="15">
        <v>73477.0</v>
      </c>
      <c r="E6906" s="15" t="s">
        <v>1557</v>
      </c>
      <c r="F6906" s="15" t="s">
        <v>1833</v>
      </c>
      <c r="G6906" s="7">
        <v>39.552</v>
      </c>
      <c r="H6906" s="15" t="s">
        <v>13399</v>
      </c>
      <c r="I6906" s="15" t="s">
        <v>1586</v>
      </c>
      <c r="J6906" s="15" t="s">
        <v>26136</v>
      </c>
      <c r="K6906" s="15">
        <v>55.0</v>
      </c>
      <c r="L6906" s="15">
        <v>55.0</v>
      </c>
      <c r="M6906" s="40">
        <v>41167.0</v>
      </c>
      <c r="N6906" s="40">
        <v>42285.0</v>
      </c>
      <c r="O6906" s="15" t="s">
        <v>1554</v>
      </c>
      <c r="Q6906" s="7"/>
    </row>
    <row r="6907">
      <c r="A6907" s="39" t="s">
        <v>26138</v>
      </c>
      <c r="B6907" s="15">
        <v>1595961.0</v>
      </c>
      <c r="C6907" s="15" t="s">
        <v>26139</v>
      </c>
      <c r="D6907" s="15">
        <v>386990.0</v>
      </c>
      <c r="E6907" s="15" t="s">
        <v>2014</v>
      </c>
      <c r="F6907" s="15" t="s">
        <v>1578</v>
      </c>
      <c r="G6907" s="7">
        <v>1.169</v>
      </c>
      <c r="H6907" s="15" t="s">
        <v>3862</v>
      </c>
      <c r="I6907" s="15" t="s">
        <v>1706</v>
      </c>
      <c r="J6907" s="15" t="s">
        <v>26140</v>
      </c>
      <c r="K6907" s="15">
        <v>1.0</v>
      </c>
      <c r="L6907" s="15">
        <v>1.0</v>
      </c>
      <c r="M6907" s="40">
        <v>42011.0</v>
      </c>
      <c r="N6907" s="40">
        <v>42872.0</v>
      </c>
      <c r="O6907" s="15" t="s">
        <v>1554</v>
      </c>
      <c r="Q6907" s="7"/>
    </row>
    <row r="6908">
      <c r="A6908" s="39" t="s">
        <v>26141</v>
      </c>
      <c r="B6908" s="15">
        <v>1567013.0</v>
      </c>
      <c r="C6908" s="15" t="s">
        <v>26142</v>
      </c>
      <c r="D6908" s="15">
        <v>260198.0</v>
      </c>
      <c r="E6908" s="15" t="s">
        <v>1557</v>
      </c>
      <c r="F6908" s="15" t="s">
        <v>1833</v>
      </c>
      <c r="G6908" s="7">
        <v>36.712</v>
      </c>
      <c r="H6908" s="42">
        <v>43129.0</v>
      </c>
      <c r="I6908" s="15" t="s">
        <v>1586</v>
      </c>
      <c r="J6908" s="15" t="s">
        <v>26143</v>
      </c>
      <c r="K6908" s="15">
        <v>61.0</v>
      </c>
      <c r="L6908" s="15">
        <v>61.0</v>
      </c>
      <c r="M6908" s="41">
        <v>42001.0</v>
      </c>
      <c r="N6908" s="40">
        <v>42374.0</v>
      </c>
      <c r="O6908" s="15" t="s">
        <v>1554</v>
      </c>
      <c r="Q6908" s="7"/>
    </row>
    <row r="6909">
      <c r="A6909" s="39" t="s">
        <v>26144</v>
      </c>
      <c r="B6909" s="15">
        <v>1567009.0</v>
      </c>
      <c r="C6909" s="15" t="s">
        <v>20041</v>
      </c>
      <c r="D6909" s="15">
        <v>260197.0</v>
      </c>
      <c r="E6909" s="15" t="s">
        <v>1557</v>
      </c>
      <c r="F6909" s="15" t="s">
        <v>1578</v>
      </c>
      <c r="G6909" s="7">
        <v>47.02</v>
      </c>
      <c r="H6909" s="42">
        <v>43218.0</v>
      </c>
      <c r="I6909" s="15" t="s">
        <v>1586</v>
      </c>
      <c r="J6909" s="15" t="s">
        <v>26145</v>
      </c>
      <c r="K6909" s="15">
        <v>67.0</v>
      </c>
      <c r="L6909" s="15">
        <v>67.0</v>
      </c>
      <c r="M6909" s="41">
        <v>42001.0</v>
      </c>
      <c r="N6909" s="40">
        <v>42632.0</v>
      </c>
      <c r="O6909" s="15" t="s">
        <v>1554</v>
      </c>
      <c r="Q6909" s="7"/>
    </row>
    <row r="6910">
      <c r="A6910" s="39" t="s">
        <v>26147</v>
      </c>
      <c r="B6910" s="15">
        <v>1585924.0</v>
      </c>
      <c r="C6910" s="15" t="s">
        <v>26148</v>
      </c>
      <c r="D6910" s="15">
        <v>244664.0</v>
      </c>
      <c r="E6910" s="15" t="s">
        <v>1577</v>
      </c>
      <c r="F6910" s="15" t="s">
        <v>1578</v>
      </c>
      <c r="G6910" s="7">
        <v>4.638</v>
      </c>
      <c r="H6910" s="15" t="s">
        <v>26149</v>
      </c>
      <c r="I6910" s="15" t="s">
        <v>1628</v>
      </c>
      <c r="J6910" s="15" t="s">
        <v>26150</v>
      </c>
      <c r="K6910" s="15">
        <v>3.0</v>
      </c>
      <c r="L6910" s="15">
        <v>3.0</v>
      </c>
      <c r="M6910" s="40">
        <v>41659.0</v>
      </c>
      <c r="N6910" s="41">
        <v>42297.0</v>
      </c>
      <c r="O6910" s="15" t="s">
        <v>1554</v>
      </c>
      <c r="Q6910" s="7"/>
    </row>
    <row r="6911">
      <c r="A6911" s="39" t="s">
        <v>26151</v>
      </c>
      <c r="B6911" s="15">
        <v>1610832.0</v>
      </c>
      <c r="C6911" s="15" t="s">
        <v>12262</v>
      </c>
      <c r="D6911" s="15">
        <v>222858.0</v>
      </c>
      <c r="E6911" s="15" t="s">
        <v>1557</v>
      </c>
      <c r="F6911" s="15" t="s">
        <v>1833</v>
      </c>
      <c r="G6911" s="7">
        <v>80.148</v>
      </c>
      <c r="H6911" s="15" t="s">
        <v>3361</v>
      </c>
      <c r="I6911" s="15" t="s">
        <v>1586</v>
      </c>
      <c r="J6911" s="15" t="s">
        <v>26152</v>
      </c>
      <c r="K6911" s="15">
        <v>110.0</v>
      </c>
      <c r="L6911" s="15">
        <v>110.0</v>
      </c>
      <c r="M6911" s="40">
        <v>42099.0</v>
      </c>
      <c r="N6911" s="40">
        <v>42374.0</v>
      </c>
      <c r="O6911" s="15" t="s">
        <v>1554</v>
      </c>
      <c r="Q6911" s="7"/>
    </row>
    <row r="6912">
      <c r="A6912" s="39" t="s">
        <v>26153</v>
      </c>
      <c r="B6912" s="15">
        <v>1936269.0</v>
      </c>
      <c r="C6912" s="15" t="s">
        <v>26154</v>
      </c>
      <c r="D6912" s="15">
        <v>369691.0</v>
      </c>
      <c r="E6912" s="15" t="s">
        <v>1548</v>
      </c>
      <c r="F6912" s="15" t="s">
        <v>2374</v>
      </c>
      <c r="G6912" s="7">
        <v>10.017</v>
      </c>
      <c r="H6912" s="15" t="s">
        <v>2211</v>
      </c>
      <c r="I6912" s="15" t="s">
        <v>1560</v>
      </c>
      <c r="J6912" s="15" t="s">
        <v>26155</v>
      </c>
      <c r="K6912" s="15">
        <v>1.0</v>
      </c>
      <c r="L6912" s="15">
        <v>1.0</v>
      </c>
      <c r="M6912" s="40">
        <v>42763.0</v>
      </c>
      <c r="N6912" s="40">
        <v>42782.0</v>
      </c>
      <c r="O6912" s="15" t="s">
        <v>1554</v>
      </c>
      <c r="Q6912" s="7"/>
    </row>
    <row r="6913">
      <c r="A6913" s="39" t="s">
        <v>26157</v>
      </c>
      <c r="B6913" s="15">
        <v>1940555.0</v>
      </c>
      <c r="C6913" s="15" t="s">
        <v>26158</v>
      </c>
      <c r="D6913" s="15">
        <v>371622.0</v>
      </c>
      <c r="E6913" s="15" t="s">
        <v>1557</v>
      </c>
      <c r="F6913" s="15" t="s">
        <v>1827</v>
      </c>
      <c r="G6913" s="7">
        <v>173.861</v>
      </c>
      <c r="H6913" s="15" t="s">
        <v>6058</v>
      </c>
      <c r="I6913" s="15" t="s">
        <v>1686</v>
      </c>
      <c r="J6913" s="15" t="s">
        <v>26159</v>
      </c>
      <c r="K6913" s="15">
        <v>132.0</v>
      </c>
      <c r="L6913" s="15">
        <v>132.0</v>
      </c>
      <c r="M6913" s="40">
        <v>42772.0</v>
      </c>
      <c r="N6913" s="40">
        <v>42782.0</v>
      </c>
      <c r="O6913" s="15" t="s">
        <v>1554</v>
      </c>
      <c r="Q6913" s="7"/>
    </row>
    <row r="6914">
      <c r="A6914" s="39" t="s">
        <v>26160</v>
      </c>
      <c r="B6914" s="15">
        <v>1335476.0</v>
      </c>
      <c r="C6914" s="15" t="s">
        <v>26161</v>
      </c>
      <c r="D6914" s="15">
        <v>375009.0</v>
      </c>
      <c r="E6914" s="15" t="s">
        <v>1557</v>
      </c>
      <c r="F6914" s="15" t="s">
        <v>1822</v>
      </c>
      <c r="G6914" s="7">
        <v>7.958</v>
      </c>
      <c r="H6914" s="15" t="s">
        <v>2296</v>
      </c>
      <c r="I6914" s="15" t="s">
        <v>1686</v>
      </c>
      <c r="J6914" s="15" t="s">
        <v>26162</v>
      </c>
      <c r="K6914" s="15">
        <v>6.0</v>
      </c>
      <c r="L6914" s="15">
        <v>6.0</v>
      </c>
      <c r="M6914" s="40">
        <v>42774.0</v>
      </c>
      <c r="N6914" s="40">
        <v>42782.0</v>
      </c>
      <c r="O6914" s="15" t="s">
        <v>1554</v>
      </c>
      <c r="Q6914" s="7"/>
    </row>
    <row r="6915">
      <c r="A6915" s="39" t="s">
        <v>26163</v>
      </c>
      <c r="B6915" s="15">
        <v>1302179.0</v>
      </c>
      <c r="C6915" s="15" t="s">
        <v>26164</v>
      </c>
      <c r="D6915" s="15">
        <v>375010.0</v>
      </c>
      <c r="E6915" s="15" t="s">
        <v>1548</v>
      </c>
      <c r="F6915" s="15" t="s">
        <v>1801</v>
      </c>
      <c r="G6915" s="7">
        <v>10.095</v>
      </c>
      <c r="H6915" s="15" t="s">
        <v>1772</v>
      </c>
      <c r="I6915" s="15" t="s">
        <v>1803</v>
      </c>
      <c r="J6915" s="15" t="s">
        <v>26165</v>
      </c>
      <c r="K6915" s="15">
        <v>1.0</v>
      </c>
      <c r="L6915" s="15">
        <v>1.0</v>
      </c>
      <c r="M6915" s="40">
        <v>41346.0</v>
      </c>
      <c r="N6915" s="40">
        <v>42782.0</v>
      </c>
      <c r="O6915" s="15" t="s">
        <v>1554</v>
      </c>
      <c r="Q6915" s="7"/>
    </row>
    <row r="6916">
      <c r="A6916" s="39" t="s">
        <v>26167</v>
      </c>
      <c r="B6916" s="15">
        <v>12471.0</v>
      </c>
      <c r="C6916" s="15" t="s">
        <v>26168</v>
      </c>
      <c r="D6916" s="15">
        <v>375011.0</v>
      </c>
      <c r="E6916" s="15" t="s">
        <v>1548</v>
      </c>
      <c r="F6916" s="15" t="s">
        <v>1578</v>
      </c>
      <c r="G6916" s="7">
        <v>4.297</v>
      </c>
      <c r="H6916" s="15">
        <v>49.0</v>
      </c>
      <c r="I6916" s="15" t="s">
        <v>1628</v>
      </c>
      <c r="J6916" s="15" t="s">
        <v>26169</v>
      </c>
      <c r="K6916" s="15">
        <v>4.0</v>
      </c>
      <c r="L6916" s="15">
        <v>4.0</v>
      </c>
      <c r="M6916" s="40">
        <v>42771.0</v>
      </c>
      <c r="N6916" s="40">
        <v>42782.0</v>
      </c>
      <c r="O6916" s="15" t="s">
        <v>1554</v>
      </c>
      <c r="Q6916" s="7"/>
    </row>
    <row r="6917">
      <c r="A6917" s="39" t="s">
        <v>26170</v>
      </c>
      <c r="B6917" s="15">
        <v>1923763.0</v>
      </c>
      <c r="C6917" s="15" t="s">
        <v>26171</v>
      </c>
      <c r="D6917" s="15">
        <v>375012.0</v>
      </c>
      <c r="E6917" s="15" t="s">
        <v>1664</v>
      </c>
      <c r="F6917" s="15" t="s">
        <v>1664</v>
      </c>
      <c r="G6917" s="7">
        <v>11.743</v>
      </c>
      <c r="H6917" s="15" t="s">
        <v>2396</v>
      </c>
      <c r="I6917" s="15" t="s">
        <v>1560</v>
      </c>
      <c r="J6917" s="15" t="s">
        <v>26172</v>
      </c>
      <c r="K6917" s="15">
        <v>5.0</v>
      </c>
      <c r="L6917" s="15">
        <v>5.0</v>
      </c>
      <c r="M6917" s="41">
        <v>42714.0</v>
      </c>
      <c r="N6917" s="40">
        <v>42782.0</v>
      </c>
      <c r="O6917" s="15" t="s">
        <v>1554</v>
      </c>
      <c r="Q6917" s="7"/>
    </row>
    <row r="6918">
      <c r="A6918" s="39" t="s">
        <v>26173</v>
      </c>
      <c r="B6918" s="15">
        <v>1923761.0</v>
      </c>
      <c r="C6918" s="15" t="s">
        <v>26174</v>
      </c>
      <c r="D6918" s="15">
        <v>375013.0</v>
      </c>
      <c r="E6918" s="15" t="s">
        <v>1664</v>
      </c>
      <c r="F6918" s="15" t="s">
        <v>1664</v>
      </c>
      <c r="G6918" s="7">
        <v>11.33</v>
      </c>
      <c r="H6918" s="15" t="s">
        <v>2396</v>
      </c>
      <c r="I6918" s="15" t="s">
        <v>1560</v>
      </c>
      <c r="J6918" s="15" t="s">
        <v>26175</v>
      </c>
      <c r="K6918" s="15">
        <v>3.0</v>
      </c>
      <c r="L6918" s="15">
        <v>3.0</v>
      </c>
      <c r="M6918" s="41">
        <v>42714.0</v>
      </c>
      <c r="N6918" s="40">
        <v>42782.0</v>
      </c>
      <c r="O6918" s="15" t="s">
        <v>1554</v>
      </c>
      <c r="Q6918" s="7"/>
    </row>
    <row r="6919">
      <c r="A6919" s="39" t="s">
        <v>26176</v>
      </c>
      <c r="B6919" s="15">
        <v>1923759.0</v>
      </c>
      <c r="C6919" s="15" t="s">
        <v>26177</v>
      </c>
      <c r="D6919" s="15">
        <v>375014.0</v>
      </c>
      <c r="E6919" s="15" t="s">
        <v>1664</v>
      </c>
      <c r="F6919" s="15" t="s">
        <v>1664</v>
      </c>
      <c r="G6919" s="7">
        <v>9.961</v>
      </c>
      <c r="H6919" s="15">
        <v>42.0</v>
      </c>
      <c r="I6919" s="15" t="s">
        <v>1560</v>
      </c>
      <c r="J6919" s="15" t="s">
        <v>26179</v>
      </c>
      <c r="K6919" s="15">
        <v>1.0</v>
      </c>
      <c r="L6919" s="15">
        <v>1.0</v>
      </c>
      <c r="M6919" s="41">
        <v>42714.0</v>
      </c>
      <c r="N6919" s="40">
        <v>42782.0</v>
      </c>
      <c r="O6919" s="15" t="s">
        <v>1554</v>
      </c>
      <c r="Q6919" s="7"/>
    </row>
    <row r="6920">
      <c r="A6920" s="39" t="s">
        <v>26180</v>
      </c>
      <c r="B6920" s="15">
        <v>1923758.0</v>
      </c>
      <c r="C6920" s="15" t="s">
        <v>26181</v>
      </c>
      <c r="D6920" s="15">
        <v>375015.0</v>
      </c>
      <c r="E6920" s="15" t="s">
        <v>1664</v>
      </c>
      <c r="F6920" s="15" t="s">
        <v>1664</v>
      </c>
      <c r="G6920" s="7">
        <v>4.059</v>
      </c>
      <c r="H6920" s="15" t="s">
        <v>1813</v>
      </c>
      <c r="I6920" s="15" t="s">
        <v>1560</v>
      </c>
      <c r="J6920" s="15" t="s">
        <v>26182</v>
      </c>
      <c r="K6920" s="15">
        <v>4.0</v>
      </c>
      <c r="L6920" s="15">
        <v>4.0</v>
      </c>
      <c r="M6920" s="41">
        <v>42714.0</v>
      </c>
      <c r="N6920" s="40">
        <v>42782.0</v>
      </c>
      <c r="O6920" s="15" t="s">
        <v>1554</v>
      </c>
      <c r="Q6920" s="7"/>
    </row>
    <row r="6921">
      <c r="A6921" s="39" t="s">
        <v>26183</v>
      </c>
      <c r="B6921" s="15">
        <v>1923757.0</v>
      </c>
      <c r="C6921" s="15" t="s">
        <v>26184</v>
      </c>
      <c r="D6921" s="15">
        <v>375016.0</v>
      </c>
      <c r="E6921" s="15" t="s">
        <v>1664</v>
      </c>
      <c r="F6921" s="15" t="s">
        <v>1664</v>
      </c>
      <c r="G6921" s="7">
        <v>6.216</v>
      </c>
      <c r="H6921" s="15" t="s">
        <v>4614</v>
      </c>
      <c r="I6921" s="15" t="s">
        <v>1560</v>
      </c>
      <c r="J6921" s="15" t="s">
        <v>26185</v>
      </c>
      <c r="K6921" s="15">
        <v>4.0</v>
      </c>
      <c r="L6921" s="15">
        <v>4.0</v>
      </c>
      <c r="M6921" s="41">
        <v>42714.0</v>
      </c>
      <c r="N6921" s="40">
        <v>42782.0</v>
      </c>
      <c r="O6921" s="15" t="s">
        <v>1554</v>
      </c>
      <c r="Q6921" s="7"/>
    </row>
    <row r="6922">
      <c r="A6922" s="39" t="s">
        <v>26186</v>
      </c>
      <c r="B6922" s="15">
        <v>1923756.0</v>
      </c>
      <c r="C6922" s="15" t="s">
        <v>26187</v>
      </c>
      <c r="D6922" s="15">
        <v>375017.0</v>
      </c>
      <c r="E6922" s="15" t="s">
        <v>1664</v>
      </c>
      <c r="F6922" s="15" t="s">
        <v>1664</v>
      </c>
      <c r="G6922" s="7">
        <v>2.696</v>
      </c>
      <c r="H6922" s="15" t="s">
        <v>3538</v>
      </c>
      <c r="I6922" s="15" t="s">
        <v>1560</v>
      </c>
      <c r="J6922" s="15" t="s">
        <v>26188</v>
      </c>
      <c r="K6922" s="15">
        <v>1.0</v>
      </c>
      <c r="L6922" s="15">
        <v>1.0</v>
      </c>
      <c r="M6922" s="41">
        <v>42714.0</v>
      </c>
      <c r="N6922" s="40">
        <v>42782.0</v>
      </c>
      <c r="O6922" s="15" t="s">
        <v>1554</v>
      </c>
      <c r="Q6922" s="7"/>
    </row>
    <row r="6923">
      <c r="A6923" s="39" t="s">
        <v>26189</v>
      </c>
      <c r="B6923" s="15">
        <v>1923755.0</v>
      </c>
      <c r="C6923" s="15" t="s">
        <v>26190</v>
      </c>
      <c r="D6923" s="15">
        <v>375018.0</v>
      </c>
      <c r="E6923" s="15" t="s">
        <v>1664</v>
      </c>
      <c r="F6923" s="15" t="s">
        <v>1664</v>
      </c>
      <c r="G6923" s="7">
        <v>10.647</v>
      </c>
      <c r="H6923" s="15" t="s">
        <v>2207</v>
      </c>
      <c r="I6923" s="15" t="s">
        <v>1560</v>
      </c>
      <c r="J6923" s="15" t="s">
        <v>26191</v>
      </c>
      <c r="K6923" s="15">
        <v>4.0</v>
      </c>
      <c r="L6923" s="15">
        <v>4.0</v>
      </c>
      <c r="M6923" s="41">
        <v>42714.0</v>
      </c>
      <c r="N6923" s="40">
        <v>42782.0</v>
      </c>
      <c r="O6923" s="15" t="s">
        <v>1554</v>
      </c>
      <c r="Q6923" s="7"/>
    </row>
    <row r="6924">
      <c r="A6924" s="39" t="s">
        <v>26192</v>
      </c>
      <c r="B6924" s="15">
        <v>1923754.0</v>
      </c>
      <c r="C6924" s="15" t="s">
        <v>26193</v>
      </c>
      <c r="D6924" s="15">
        <v>375019.0</v>
      </c>
      <c r="E6924" s="15" t="s">
        <v>1664</v>
      </c>
      <c r="F6924" s="15" t="s">
        <v>1664</v>
      </c>
      <c r="G6924" s="7">
        <v>11.448</v>
      </c>
      <c r="H6924" s="15" t="s">
        <v>10067</v>
      </c>
      <c r="I6924" s="15" t="s">
        <v>1560</v>
      </c>
      <c r="J6924" s="15" t="s">
        <v>26195</v>
      </c>
      <c r="K6924" s="15">
        <v>4.0</v>
      </c>
      <c r="L6924" s="15">
        <v>4.0</v>
      </c>
      <c r="M6924" s="41">
        <v>42714.0</v>
      </c>
      <c r="N6924" s="40">
        <v>42782.0</v>
      </c>
      <c r="O6924" s="15" t="s">
        <v>1554</v>
      </c>
      <c r="Q6924" s="7"/>
    </row>
    <row r="6925">
      <c r="A6925" s="39" t="s">
        <v>26196</v>
      </c>
      <c r="B6925" s="15">
        <v>1923753.0</v>
      </c>
      <c r="C6925" s="15" t="s">
        <v>26197</v>
      </c>
      <c r="D6925" s="15">
        <v>375020.0</v>
      </c>
      <c r="E6925" s="15" t="s">
        <v>1664</v>
      </c>
      <c r="F6925" s="15" t="s">
        <v>1664</v>
      </c>
      <c r="G6925" s="7">
        <v>11.652</v>
      </c>
      <c r="H6925" s="15" t="s">
        <v>2233</v>
      </c>
      <c r="I6925" s="15" t="s">
        <v>1560</v>
      </c>
      <c r="J6925" s="15" t="s">
        <v>26198</v>
      </c>
      <c r="K6925" s="15">
        <v>4.0</v>
      </c>
      <c r="L6925" s="15">
        <v>4.0</v>
      </c>
      <c r="M6925" s="41">
        <v>42714.0</v>
      </c>
      <c r="N6925" s="40">
        <v>42782.0</v>
      </c>
      <c r="O6925" s="15" t="s">
        <v>1554</v>
      </c>
      <c r="Q6925" s="7"/>
    </row>
    <row r="6926">
      <c r="A6926" s="39" t="s">
        <v>26199</v>
      </c>
      <c r="B6926" s="15">
        <v>1923752.0</v>
      </c>
      <c r="C6926" s="15" t="s">
        <v>26200</v>
      </c>
      <c r="D6926" s="15">
        <v>375021.0</v>
      </c>
      <c r="E6926" s="15" t="s">
        <v>1664</v>
      </c>
      <c r="F6926" s="15" t="s">
        <v>1664</v>
      </c>
      <c r="G6926" s="7">
        <v>9.421</v>
      </c>
      <c r="H6926" s="15" t="s">
        <v>3070</v>
      </c>
      <c r="I6926" s="15" t="s">
        <v>1560</v>
      </c>
      <c r="J6926" s="15" t="s">
        <v>26201</v>
      </c>
      <c r="K6926" s="15">
        <v>1.0</v>
      </c>
      <c r="L6926" s="15">
        <v>1.0</v>
      </c>
      <c r="M6926" s="41">
        <v>42714.0</v>
      </c>
      <c r="N6926" s="40">
        <v>42782.0</v>
      </c>
      <c r="O6926" s="15" t="s">
        <v>1554</v>
      </c>
      <c r="Q6926" s="7"/>
    </row>
    <row r="6927">
      <c r="A6927" s="39" t="s">
        <v>26202</v>
      </c>
      <c r="B6927" s="15">
        <v>1923748.0</v>
      </c>
      <c r="C6927" s="15" t="s">
        <v>26203</v>
      </c>
      <c r="D6927" s="15">
        <v>375022.0</v>
      </c>
      <c r="E6927" s="15" t="s">
        <v>1664</v>
      </c>
      <c r="F6927" s="15" t="s">
        <v>1664</v>
      </c>
      <c r="G6927" s="7">
        <v>8.197</v>
      </c>
      <c r="H6927" s="15" t="s">
        <v>2877</v>
      </c>
      <c r="I6927" s="15" t="s">
        <v>1560</v>
      </c>
      <c r="J6927" s="15" t="s">
        <v>26204</v>
      </c>
      <c r="K6927" s="15">
        <v>1.0</v>
      </c>
      <c r="L6927" s="15">
        <v>1.0</v>
      </c>
      <c r="M6927" s="41">
        <v>42714.0</v>
      </c>
      <c r="N6927" s="40">
        <v>42782.0</v>
      </c>
      <c r="O6927" s="15" t="s">
        <v>1554</v>
      </c>
      <c r="Q6927" s="7"/>
    </row>
    <row r="6928">
      <c r="A6928" s="39" t="s">
        <v>26205</v>
      </c>
      <c r="B6928" s="15">
        <v>1923746.0</v>
      </c>
      <c r="C6928" s="15" t="s">
        <v>26206</v>
      </c>
      <c r="D6928" s="15">
        <v>375023.0</v>
      </c>
      <c r="E6928" s="15" t="s">
        <v>1664</v>
      </c>
      <c r="F6928" s="15" t="s">
        <v>1664</v>
      </c>
      <c r="G6928" s="7">
        <v>4.317</v>
      </c>
      <c r="H6928" s="15" t="s">
        <v>26207</v>
      </c>
      <c r="I6928" s="15" t="s">
        <v>1560</v>
      </c>
      <c r="J6928" s="15" t="s">
        <v>26208</v>
      </c>
      <c r="K6928" s="15">
        <v>3.0</v>
      </c>
      <c r="L6928" s="15">
        <v>3.0</v>
      </c>
      <c r="M6928" s="41">
        <v>42714.0</v>
      </c>
      <c r="N6928" s="40">
        <v>42782.0</v>
      </c>
      <c r="O6928" s="15" t="s">
        <v>1554</v>
      </c>
      <c r="Q6928" s="7"/>
    </row>
    <row r="6929">
      <c r="A6929" s="39" t="s">
        <v>26210</v>
      </c>
      <c r="B6929" s="15">
        <v>1923745.0</v>
      </c>
      <c r="C6929" s="15" t="s">
        <v>26211</v>
      </c>
      <c r="D6929" s="15">
        <v>375024.0</v>
      </c>
      <c r="E6929" s="15" t="s">
        <v>1664</v>
      </c>
      <c r="F6929" s="15" t="s">
        <v>1664</v>
      </c>
      <c r="G6929" s="7">
        <v>12.548</v>
      </c>
      <c r="H6929" s="15" t="s">
        <v>3000</v>
      </c>
      <c r="I6929" s="15" t="s">
        <v>1560</v>
      </c>
      <c r="J6929" s="15" t="s">
        <v>26212</v>
      </c>
      <c r="K6929" s="15">
        <v>6.0</v>
      </c>
      <c r="L6929" s="15">
        <v>6.0</v>
      </c>
      <c r="M6929" s="41">
        <v>42714.0</v>
      </c>
      <c r="N6929" s="40">
        <v>42782.0</v>
      </c>
      <c r="O6929" s="15" t="s">
        <v>1554</v>
      </c>
      <c r="Q6929" s="7"/>
    </row>
    <row r="6930">
      <c r="A6930" s="39" t="s">
        <v>26213</v>
      </c>
      <c r="B6930" s="15">
        <v>1923743.0</v>
      </c>
      <c r="C6930" s="15" t="s">
        <v>26214</v>
      </c>
      <c r="D6930" s="15">
        <v>375025.0</v>
      </c>
      <c r="E6930" s="15" t="s">
        <v>1664</v>
      </c>
      <c r="F6930" s="15" t="s">
        <v>1664</v>
      </c>
      <c r="G6930" s="7">
        <v>17.562</v>
      </c>
      <c r="H6930" s="15" t="s">
        <v>6058</v>
      </c>
      <c r="I6930" s="15" t="s">
        <v>1560</v>
      </c>
      <c r="J6930" s="15" t="s">
        <v>26215</v>
      </c>
      <c r="K6930" s="15">
        <v>3.0</v>
      </c>
      <c r="L6930" s="15">
        <v>3.0</v>
      </c>
      <c r="M6930" s="41">
        <v>42714.0</v>
      </c>
      <c r="N6930" s="40">
        <v>42782.0</v>
      </c>
      <c r="O6930" s="15" t="s">
        <v>1554</v>
      </c>
      <c r="Q6930" s="7"/>
    </row>
    <row r="6931">
      <c r="A6931" s="39" t="s">
        <v>26216</v>
      </c>
      <c r="B6931" s="15">
        <v>1923742.0</v>
      </c>
      <c r="C6931" s="15" t="s">
        <v>26217</v>
      </c>
      <c r="D6931" s="15">
        <v>375026.0</v>
      </c>
      <c r="E6931" s="15" t="s">
        <v>1664</v>
      </c>
      <c r="F6931" s="15" t="s">
        <v>1664</v>
      </c>
      <c r="G6931" s="7">
        <v>10.655</v>
      </c>
      <c r="H6931" s="15" t="s">
        <v>2197</v>
      </c>
      <c r="I6931" s="15" t="s">
        <v>1560</v>
      </c>
      <c r="J6931" s="15" t="s">
        <v>26218</v>
      </c>
      <c r="K6931" s="15">
        <v>2.0</v>
      </c>
      <c r="L6931" s="15">
        <v>2.0</v>
      </c>
      <c r="M6931" s="41">
        <v>42714.0</v>
      </c>
      <c r="N6931" s="40">
        <v>42782.0</v>
      </c>
      <c r="O6931" s="15" t="s">
        <v>1554</v>
      </c>
      <c r="Q6931" s="7"/>
    </row>
    <row r="6932">
      <c r="A6932" s="39" t="s">
        <v>26219</v>
      </c>
      <c r="B6932" s="15">
        <v>1923740.0</v>
      </c>
      <c r="C6932" s="15" t="s">
        <v>26220</v>
      </c>
      <c r="D6932" s="15">
        <v>375027.0</v>
      </c>
      <c r="E6932" s="15" t="s">
        <v>1664</v>
      </c>
      <c r="F6932" s="15" t="s">
        <v>1664</v>
      </c>
      <c r="G6932" s="7">
        <v>9.305</v>
      </c>
      <c r="H6932" s="15">
        <v>35.0</v>
      </c>
      <c r="I6932" s="15" t="s">
        <v>1560</v>
      </c>
      <c r="J6932" s="15" t="s">
        <v>26221</v>
      </c>
      <c r="K6932" s="15">
        <v>3.0</v>
      </c>
      <c r="L6932" s="15">
        <v>3.0</v>
      </c>
      <c r="M6932" s="41">
        <v>42714.0</v>
      </c>
      <c r="N6932" s="40">
        <v>42782.0</v>
      </c>
      <c r="O6932" s="15" t="s">
        <v>1554</v>
      </c>
      <c r="Q6932" s="7"/>
    </row>
    <row r="6933">
      <c r="A6933" s="39" t="s">
        <v>26223</v>
      </c>
      <c r="B6933" s="15">
        <v>1923739.0</v>
      </c>
      <c r="C6933" s="15" t="s">
        <v>26224</v>
      </c>
      <c r="D6933" s="15">
        <v>375028.0</v>
      </c>
      <c r="E6933" s="15" t="s">
        <v>1664</v>
      </c>
      <c r="F6933" s="15" t="s">
        <v>1664</v>
      </c>
      <c r="G6933" s="7">
        <v>10.644</v>
      </c>
      <c r="H6933" s="15">
        <v>38.0</v>
      </c>
      <c r="I6933" s="15" t="s">
        <v>1560</v>
      </c>
      <c r="J6933" s="15" t="s">
        <v>26225</v>
      </c>
      <c r="K6933" s="15">
        <v>3.0</v>
      </c>
      <c r="L6933" s="15">
        <v>3.0</v>
      </c>
      <c r="M6933" s="41">
        <v>42714.0</v>
      </c>
      <c r="N6933" s="40">
        <v>42782.0</v>
      </c>
      <c r="O6933" s="15" t="s">
        <v>1554</v>
      </c>
      <c r="Q6933" s="7"/>
    </row>
    <row r="6934">
      <c r="A6934" s="39" t="s">
        <v>26226</v>
      </c>
      <c r="B6934" s="15">
        <v>1923738.0</v>
      </c>
      <c r="C6934" s="15" t="s">
        <v>26227</v>
      </c>
      <c r="D6934" s="15">
        <v>375029.0</v>
      </c>
      <c r="E6934" s="15" t="s">
        <v>1664</v>
      </c>
      <c r="F6934" s="15" t="s">
        <v>1664</v>
      </c>
      <c r="G6934" s="7">
        <v>4.388</v>
      </c>
      <c r="H6934" s="15" t="s">
        <v>26228</v>
      </c>
      <c r="I6934" s="15" t="s">
        <v>1560</v>
      </c>
      <c r="J6934" s="15" t="s">
        <v>26229</v>
      </c>
      <c r="K6934" s="15">
        <v>3.0</v>
      </c>
      <c r="L6934" s="15">
        <v>3.0</v>
      </c>
      <c r="M6934" s="41">
        <v>42714.0</v>
      </c>
      <c r="N6934" s="40">
        <v>42782.0</v>
      </c>
      <c r="O6934" s="15" t="s">
        <v>1554</v>
      </c>
      <c r="Q6934" s="7"/>
    </row>
    <row r="6935">
      <c r="A6935" s="39" t="s">
        <v>26230</v>
      </c>
      <c r="B6935" s="15">
        <v>1923737.0</v>
      </c>
      <c r="C6935" s="15" t="s">
        <v>26231</v>
      </c>
      <c r="D6935" s="15">
        <v>375030.0</v>
      </c>
      <c r="E6935" s="15" t="s">
        <v>1664</v>
      </c>
      <c r="F6935" s="15" t="s">
        <v>1664</v>
      </c>
      <c r="G6935" s="7">
        <v>2.836</v>
      </c>
      <c r="H6935" s="15" t="s">
        <v>5934</v>
      </c>
      <c r="I6935" s="15" t="s">
        <v>1560</v>
      </c>
      <c r="J6935" s="15" t="s">
        <v>26232</v>
      </c>
      <c r="K6935" s="15">
        <v>2.0</v>
      </c>
      <c r="L6935" s="15">
        <v>2.0</v>
      </c>
      <c r="M6935" s="41">
        <v>42714.0</v>
      </c>
      <c r="N6935" s="40">
        <v>42782.0</v>
      </c>
      <c r="O6935" s="15" t="s">
        <v>1554</v>
      </c>
      <c r="Q6935" s="7"/>
    </row>
    <row r="6936">
      <c r="A6936" s="39" t="s">
        <v>26233</v>
      </c>
      <c r="B6936" s="15">
        <v>1923736.0</v>
      </c>
      <c r="C6936" s="15" t="s">
        <v>26234</v>
      </c>
      <c r="D6936" s="15">
        <v>375031.0</v>
      </c>
      <c r="E6936" s="15" t="s">
        <v>1664</v>
      </c>
      <c r="F6936" s="15" t="s">
        <v>1664</v>
      </c>
      <c r="G6936" s="7">
        <v>10.232</v>
      </c>
      <c r="H6936" s="15" t="s">
        <v>2597</v>
      </c>
      <c r="I6936" s="15" t="s">
        <v>1560</v>
      </c>
      <c r="J6936" s="15" t="s">
        <v>26236</v>
      </c>
      <c r="K6936" s="15">
        <v>2.0</v>
      </c>
      <c r="L6936" s="15">
        <v>2.0</v>
      </c>
      <c r="M6936" s="41">
        <v>42714.0</v>
      </c>
      <c r="N6936" s="40">
        <v>42782.0</v>
      </c>
      <c r="O6936" s="15" t="s">
        <v>1554</v>
      </c>
      <c r="Q6936" s="7"/>
    </row>
    <row r="6937">
      <c r="A6937" s="39" t="s">
        <v>26237</v>
      </c>
      <c r="B6937" s="15">
        <v>1923697.0</v>
      </c>
      <c r="C6937" s="15" t="s">
        <v>26238</v>
      </c>
      <c r="D6937" s="15">
        <v>375032.0</v>
      </c>
      <c r="E6937" s="15" t="s">
        <v>1664</v>
      </c>
      <c r="F6937" s="15" t="s">
        <v>1664</v>
      </c>
      <c r="G6937" s="7">
        <v>9.105</v>
      </c>
      <c r="H6937" s="15" t="s">
        <v>26239</v>
      </c>
      <c r="I6937" s="15" t="s">
        <v>1560</v>
      </c>
      <c r="J6937" s="15" t="s">
        <v>26240</v>
      </c>
      <c r="K6937" s="15">
        <v>6.0</v>
      </c>
      <c r="L6937" s="15">
        <v>6.0</v>
      </c>
      <c r="M6937" s="41">
        <v>42714.0</v>
      </c>
      <c r="N6937" s="40">
        <v>42782.0</v>
      </c>
      <c r="O6937" s="15" t="s">
        <v>1554</v>
      </c>
      <c r="Q6937" s="7"/>
    </row>
    <row r="6938">
      <c r="A6938" s="39" t="s">
        <v>26241</v>
      </c>
      <c r="B6938" s="15">
        <v>1922938.0</v>
      </c>
      <c r="C6938" s="15" t="s">
        <v>26242</v>
      </c>
      <c r="D6938" s="15">
        <v>375033.0</v>
      </c>
      <c r="E6938" s="15" t="s">
        <v>1664</v>
      </c>
      <c r="F6938" s="15" t="s">
        <v>1664</v>
      </c>
      <c r="G6938" s="7">
        <v>4.429</v>
      </c>
      <c r="H6938" s="15" t="s">
        <v>26243</v>
      </c>
      <c r="I6938" s="15" t="s">
        <v>1560</v>
      </c>
      <c r="J6938" s="15" t="s">
        <v>26244</v>
      </c>
      <c r="K6938" s="15">
        <v>4.0</v>
      </c>
      <c r="L6938" s="15">
        <v>4.0</v>
      </c>
      <c r="M6938" s="41">
        <v>42714.0</v>
      </c>
      <c r="N6938" s="40">
        <v>42782.0</v>
      </c>
      <c r="O6938" s="15" t="s">
        <v>1554</v>
      </c>
      <c r="Q6938" s="7"/>
    </row>
    <row r="6939">
      <c r="A6939" s="39" t="s">
        <v>26245</v>
      </c>
      <c r="B6939" s="15">
        <v>1922934.0</v>
      </c>
      <c r="C6939" s="15" t="s">
        <v>26246</v>
      </c>
      <c r="D6939" s="15">
        <v>375034.0</v>
      </c>
      <c r="E6939" s="15" t="s">
        <v>1664</v>
      </c>
      <c r="F6939" s="15" t="s">
        <v>1664</v>
      </c>
      <c r="G6939" s="7">
        <v>15.977</v>
      </c>
      <c r="H6939" s="15" t="s">
        <v>26247</v>
      </c>
      <c r="I6939" s="15" t="s">
        <v>1560</v>
      </c>
      <c r="J6939" s="15" t="s">
        <v>26248</v>
      </c>
      <c r="K6939" s="15">
        <v>3.0</v>
      </c>
      <c r="L6939" s="15">
        <v>3.0</v>
      </c>
      <c r="M6939" s="41">
        <v>42714.0</v>
      </c>
      <c r="N6939" s="40">
        <v>42782.0</v>
      </c>
      <c r="O6939" s="15" t="s">
        <v>1554</v>
      </c>
      <c r="Q6939" s="7"/>
    </row>
    <row r="6940">
      <c r="A6940" s="39" t="s">
        <v>26250</v>
      </c>
      <c r="B6940" s="15">
        <v>1922669.0</v>
      </c>
      <c r="C6940" s="15" t="s">
        <v>26251</v>
      </c>
      <c r="D6940" s="15">
        <v>375035.0</v>
      </c>
      <c r="E6940" s="15" t="s">
        <v>1664</v>
      </c>
      <c r="F6940" s="15" t="s">
        <v>1664</v>
      </c>
      <c r="G6940" s="7">
        <v>18.814</v>
      </c>
      <c r="H6940" s="15" t="s">
        <v>26252</v>
      </c>
      <c r="I6940" s="15" t="s">
        <v>1560</v>
      </c>
      <c r="J6940" s="15" t="s">
        <v>26253</v>
      </c>
      <c r="K6940" s="15">
        <v>4.0</v>
      </c>
      <c r="L6940" s="15">
        <v>4.0</v>
      </c>
      <c r="M6940" s="41">
        <v>42714.0</v>
      </c>
      <c r="N6940" s="40">
        <v>42782.0</v>
      </c>
      <c r="O6940" s="15" t="s">
        <v>1554</v>
      </c>
      <c r="Q6940" s="7"/>
    </row>
    <row r="6941">
      <c r="A6941" s="39" t="s">
        <v>26254</v>
      </c>
      <c r="B6941" s="15">
        <v>1805494.0</v>
      </c>
      <c r="C6941" s="15" t="s">
        <v>26255</v>
      </c>
      <c r="D6941" s="15">
        <v>375036.0</v>
      </c>
      <c r="E6941" s="15" t="s">
        <v>1548</v>
      </c>
      <c r="F6941" s="15" t="s">
        <v>1801</v>
      </c>
      <c r="G6941" s="7">
        <v>10.203</v>
      </c>
      <c r="H6941" s="15">
        <v>48.0</v>
      </c>
      <c r="I6941" s="15" t="s">
        <v>1560</v>
      </c>
      <c r="J6941" s="15" t="s">
        <v>26256</v>
      </c>
      <c r="K6941" s="15">
        <v>1.0</v>
      </c>
      <c r="L6941" s="15">
        <v>1.0</v>
      </c>
      <c r="M6941" s="40">
        <v>42430.0</v>
      </c>
      <c r="N6941" s="40">
        <v>42782.0</v>
      </c>
      <c r="O6941" s="15" t="s">
        <v>1554</v>
      </c>
      <c r="Q6941" s="7"/>
    </row>
    <row r="6942">
      <c r="A6942" s="39" t="s">
        <v>26257</v>
      </c>
      <c r="B6942" s="15">
        <v>1779340.0</v>
      </c>
      <c r="C6942" s="15" t="s">
        <v>26258</v>
      </c>
      <c r="D6942" s="15">
        <v>375037.0</v>
      </c>
      <c r="E6942" s="15" t="s">
        <v>1548</v>
      </c>
      <c r="F6942" s="15" t="s">
        <v>5261</v>
      </c>
      <c r="G6942" s="7">
        <v>2.822</v>
      </c>
      <c r="H6942" s="15">
        <v>54.0</v>
      </c>
      <c r="I6942" s="15" t="s">
        <v>1552</v>
      </c>
      <c r="J6942" s="15" t="s">
        <v>26259</v>
      </c>
      <c r="K6942" s="15">
        <v>1.0</v>
      </c>
      <c r="L6942" s="15">
        <v>1.0</v>
      </c>
      <c r="M6942" s="40">
        <v>42763.0</v>
      </c>
      <c r="N6942" s="40">
        <v>42830.0</v>
      </c>
      <c r="O6942" s="15" t="s">
        <v>1554</v>
      </c>
      <c r="Q6942" s="7"/>
    </row>
    <row r="6943">
      <c r="A6943" s="39" t="s">
        <v>26261</v>
      </c>
      <c r="B6943" s="15">
        <v>1414655.0</v>
      </c>
      <c r="C6943" s="15" t="s">
        <v>26262</v>
      </c>
      <c r="D6943" s="15">
        <v>375038.0</v>
      </c>
      <c r="E6943" s="15" t="s">
        <v>1548</v>
      </c>
      <c r="F6943" s="15" t="s">
        <v>5033</v>
      </c>
      <c r="G6943" s="7">
        <v>16.934</v>
      </c>
      <c r="H6943" s="15" t="s">
        <v>26263</v>
      </c>
      <c r="I6943" s="15" t="s">
        <v>2034</v>
      </c>
      <c r="J6943" s="15" t="s">
        <v>26264</v>
      </c>
      <c r="K6943" s="15">
        <v>5.0</v>
      </c>
      <c r="L6943" s="15">
        <v>5.0</v>
      </c>
      <c r="M6943" s="40">
        <v>42767.0</v>
      </c>
      <c r="N6943" s="40">
        <v>42782.0</v>
      </c>
      <c r="O6943" s="15" t="s">
        <v>1554</v>
      </c>
      <c r="Q6943" s="7"/>
    </row>
    <row r="6944">
      <c r="A6944" s="39" t="s">
        <v>26265</v>
      </c>
      <c r="B6944" s="15">
        <v>1335477.0</v>
      </c>
      <c r="C6944" s="15" t="s">
        <v>26266</v>
      </c>
      <c r="D6944" s="15">
        <v>375039.0</v>
      </c>
      <c r="E6944" s="15" t="s">
        <v>1557</v>
      </c>
      <c r="F6944" s="15" t="s">
        <v>1822</v>
      </c>
      <c r="G6944" s="7">
        <v>7.991</v>
      </c>
      <c r="H6944" s="15" t="s">
        <v>5475</v>
      </c>
      <c r="I6944" s="15" t="s">
        <v>1686</v>
      </c>
      <c r="J6944" s="15" t="s">
        <v>26267</v>
      </c>
      <c r="K6944" s="15">
        <v>6.0</v>
      </c>
      <c r="L6944" s="15">
        <v>6.0</v>
      </c>
      <c r="M6944" s="40">
        <v>42774.0</v>
      </c>
      <c r="N6944" s="40">
        <v>42782.0</v>
      </c>
      <c r="O6944" s="15" t="s">
        <v>1554</v>
      </c>
      <c r="Q6944" s="7"/>
    </row>
    <row r="6945">
      <c r="A6945" s="39" t="s">
        <v>26269</v>
      </c>
      <c r="B6945" s="15">
        <v>64310.0</v>
      </c>
      <c r="C6945" s="15" t="s">
        <v>26270</v>
      </c>
      <c r="D6945" s="15">
        <v>375040.0</v>
      </c>
      <c r="E6945" s="15" t="s">
        <v>1548</v>
      </c>
      <c r="F6945" s="15" t="s">
        <v>1801</v>
      </c>
      <c r="G6945" s="7">
        <v>10.215</v>
      </c>
      <c r="H6945" s="15" t="s">
        <v>6070</v>
      </c>
      <c r="I6945" s="15" t="s">
        <v>1803</v>
      </c>
      <c r="J6945" s="15" t="s">
        <v>26271</v>
      </c>
      <c r="K6945" s="15">
        <v>1.0</v>
      </c>
      <c r="L6945" s="15">
        <v>1.0</v>
      </c>
      <c r="M6945" s="41">
        <v>39021.0</v>
      </c>
      <c r="N6945" s="40">
        <v>42782.0</v>
      </c>
      <c r="O6945" s="15" t="s">
        <v>1554</v>
      </c>
      <c r="Q6945" s="7"/>
    </row>
    <row r="6946">
      <c r="A6946" s="39" t="s">
        <v>26273</v>
      </c>
      <c r="B6946" s="15">
        <v>64309.0</v>
      </c>
      <c r="C6946" s="15" t="s">
        <v>26274</v>
      </c>
      <c r="D6946" s="15">
        <v>375041.0</v>
      </c>
      <c r="E6946" s="15" t="s">
        <v>1548</v>
      </c>
      <c r="F6946" s="15" t="s">
        <v>1801</v>
      </c>
      <c r="G6946" s="7">
        <v>10.173</v>
      </c>
      <c r="H6946" s="15" t="s">
        <v>5368</v>
      </c>
      <c r="I6946" s="15" t="s">
        <v>1803</v>
      </c>
      <c r="J6946" s="15" t="s">
        <v>26275</v>
      </c>
      <c r="K6946" s="15">
        <v>1.0</v>
      </c>
      <c r="L6946" s="15">
        <v>1.0</v>
      </c>
      <c r="M6946" s="40">
        <v>40072.0</v>
      </c>
      <c r="N6946" s="40">
        <v>42782.0</v>
      </c>
      <c r="O6946" s="15" t="s">
        <v>1554</v>
      </c>
      <c r="Q6946" s="7"/>
    </row>
    <row r="6947">
      <c r="A6947" s="39" t="s">
        <v>26276</v>
      </c>
      <c r="B6947" s="15">
        <v>64307.0</v>
      </c>
      <c r="C6947" s="15" t="s">
        <v>26277</v>
      </c>
      <c r="D6947" s="15">
        <v>375042.0</v>
      </c>
      <c r="E6947" s="15" t="s">
        <v>1548</v>
      </c>
      <c r="F6947" s="15" t="s">
        <v>1801</v>
      </c>
      <c r="G6947" s="7">
        <v>10.251</v>
      </c>
      <c r="H6947" s="15" t="s">
        <v>2417</v>
      </c>
      <c r="I6947" s="15" t="s">
        <v>1803</v>
      </c>
      <c r="J6947" s="15" t="s">
        <v>26278</v>
      </c>
      <c r="K6947" s="15">
        <v>1.0</v>
      </c>
      <c r="L6947" s="15">
        <v>1.0</v>
      </c>
      <c r="M6947" s="41">
        <v>39021.0</v>
      </c>
      <c r="N6947" s="40">
        <v>42782.0</v>
      </c>
      <c r="O6947" s="15" t="s">
        <v>1554</v>
      </c>
      <c r="Q6947" s="7"/>
    </row>
    <row r="6948">
      <c r="A6948" s="39" t="s">
        <v>26279</v>
      </c>
      <c r="B6948" s="15">
        <v>64297.0</v>
      </c>
      <c r="C6948" s="15" t="s">
        <v>26280</v>
      </c>
      <c r="D6948" s="15">
        <v>375043.0</v>
      </c>
      <c r="E6948" s="15" t="s">
        <v>1548</v>
      </c>
      <c r="F6948" s="15" t="s">
        <v>1801</v>
      </c>
      <c r="G6948" s="7">
        <v>10.182</v>
      </c>
      <c r="H6948" s="15" t="s">
        <v>1572</v>
      </c>
      <c r="I6948" s="15" t="s">
        <v>1803</v>
      </c>
      <c r="J6948" s="15" t="s">
        <v>26281</v>
      </c>
      <c r="K6948" s="15">
        <v>1.0</v>
      </c>
      <c r="L6948" s="15">
        <v>1.0</v>
      </c>
      <c r="M6948" s="40">
        <v>40072.0</v>
      </c>
      <c r="N6948" s="40">
        <v>42782.0</v>
      </c>
      <c r="O6948" s="15" t="s">
        <v>1554</v>
      </c>
      <c r="Q6948" s="7"/>
    </row>
    <row r="6949">
      <c r="A6949" s="39" t="s">
        <v>26283</v>
      </c>
      <c r="B6949" s="15">
        <v>64295.0</v>
      </c>
      <c r="C6949" s="15" t="s">
        <v>26284</v>
      </c>
      <c r="D6949" s="15">
        <v>375044.0</v>
      </c>
      <c r="E6949" s="15" t="s">
        <v>1548</v>
      </c>
      <c r="F6949" s="15" t="s">
        <v>1801</v>
      </c>
      <c r="G6949" s="7">
        <v>10.173</v>
      </c>
      <c r="H6949" s="15" t="s">
        <v>3823</v>
      </c>
      <c r="I6949" s="15" t="s">
        <v>1803</v>
      </c>
      <c r="J6949" s="15" t="s">
        <v>26285</v>
      </c>
      <c r="K6949" s="15">
        <v>1.0</v>
      </c>
      <c r="L6949" s="15">
        <v>1.0</v>
      </c>
      <c r="M6949" s="40">
        <v>40072.0</v>
      </c>
      <c r="N6949" s="40">
        <v>42782.0</v>
      </c>
      <c r="O6949" s="15" t="s">
        <v>1554</v>
      </c>
      <c r="Q6949" s="7"/>
    </row>
    <row r="6950">
      <c r="A6950" s="39" t="s">
        <v>26286</v>
      </c>
      <c r="B6950" s="15">
        <v>64314.0</v>
      </c>
      <c r="C6950" s="15" t="s">
        <v>26287</v>
      </c>
      <c r="D6950" s="15">
        <v>310876.0</v>
      </c>
      <c r="E6950" s="15" t="s">
        <v>1548</v>
      </c>
      <c r="F6950" s="15" t="s">
        <v>1801</v>
      </c>
      <c r="G6950" s="7">
        <v>10.182</v>
      </c>
      <c r="H6950" s="15" t="s">
        <v>1782</v>
      </c>
      <c r="I6950" s="15" t="s">
        <v>1803</v>
      </c>
      <c r="J6950" s="15" t="s">
        <v>26288</v>
      </c>
      <c r="K6950" s="15">
        <v>1.0</v>
      </c>
      <c r="L6950" s="15">
        <v>1.0</v>
      </c>
      <c r="M6950" s="40">
        <v>40072.0</v>
      </c>
      <c r="N6950" s="40">
        <v>43014.0</v>
      </c>
      <c r="O6950" s="15" t="s">
        <v>1554</v>
      </c>
      <c r="Q6950" s="7"/>
    </row>
    <row r="6951">
      <c r="A6951" s="39" t="s">
        <v>26289</v>
      </c>
      <c r="B6951" s="15">
        <v>486494.0</v>
      </c>
      <c r="C6951" s="15" t="s">
        <v>26291</v>
      </c>
      <c r="D6951" s="15">
        <v>375046.0</v>
      </c>
      <c r="E6951" s="15" t="s">
        <v>1548</v>
      </c>
      <c r="F6951" s="15" t="s">
        <v>1801</v>
      </c>
      <c r="G6951" s="7">
        <v>10.755</v>
      </c>
      <c r="H6951" s="15" t="s">
        <v>5475</v>
      </c>
      <c r="I6951" s="15" t="s">
        <v>1803</v>
      </c>
      <c r="J6951" s="15" t="s">
        <v>26292</v>
      </c>
      <c r="K6951" s="15">
        <v>1.0</v>
      </c>
      <c r="L6951" s="15">
        <v>1.0</v>
      </c>
      <c r="M6951" s="40">
        <v>39692.0</v>
      </c>
      <c r="N6951" s="40">
        <v>42782.0</v>
      </c>
      <c r="O6951" s="15" t="s">
        <v>1554</v>
      </c>
      <c r="Q6951" s="7"/>
    </row>
    <row r="6952">
      <c r="A6952" s="39" t="s">
        <v>26293</v>
      </c>
      <c r="B6952" s="15">
        <v>40012.0</v>
      </c>
      <c r="C6952" s="15" t="s">
        <v>26294</v>
      </c>
      <c r="D6952" s="15">
        <v>375047.0</v>
      </c>
      <c r="E6952" s="15" t="s">
        <v>1548</v>
      </c>
      <c r="F6952" s="15" t="s">
        <v>1801</v>
      </c>
      <c r="G6952" s="7">
        <v>10.269</v>
      </c>
      <c r="H6952" s="15" t="s">
        <v>5627</v>
      </c>
      <c r="I6952" s="15" t="s">
        <v>1803</v>
      </c>
      <c r="J6952" s="15" t="s">
        <v>26295</v>
      </c>
      <c r="K6952" s="15">
        <v>1.0</v>
      </c>
      <c r="L6952" s="15">
        <v>1.0</v>
      </c>
      <c r="M6952" s="41">
        <v>39021.0</v>
      </c>
      <c r="N6952" s="40">
        <v>42782.0</v>
      </c>
      <c r="O6952" s="15" t="s">
        <v>1554</v>
      </c>
      <c r="Q6952" s="7"/>
    </row>
    <row r="6953">
      <c r="A6953" s="39" t="s">
        <v>26296</v>
      </c>
      <c r="B6953" s="15">
        <v>35279.0</v>
      </c>
      <c r="C6953" s="15" t="s">
        <v>26297</v>
      </c>
      <c r="D6953" s="15">
        <v>375048.0</v>
      </c>
      <c r="E6953" s="15" t="s">
        <v>1548</v>
      </c>
      <c r="F6953" s="15" t="s">
        <v>1801</v>
      </c>
      <c r="G6953" s="7">
        <v>10.266</v>
      </c>
      <c r="H6953" s="15" t="s">
        <v>5483</v>
      </c>
      <c r="I6953" s="15" t="s">
        <v>1803</v>
      </c>
      <c r="J6953" s="15" t="s">
        <v>26299</v>
      </c>
      <c r="K6953" s="15">
        <v>1.0</v>
      </c>
      <c r="L6953" s="15">
        <v>1.0</v>
      </c>
      <c r="M6953" s="41">
        <v>39021.0</v>
      </c>
      <c r="N6953" s="40">
        <v>42782.0</v>
      </c>
      <c r="O6953" s="15" t="s">
        <v>1554</v>
      </c>
      <c r="Q6953" s="7"/>
    </row>
    <row r="6954">
      <c r="A6954" s="39" t="s">
        <v>26300</v>
      </c>
      <c r="B6954" s="15">
        <v>1941437.0</v>
      </c>
      <c r="C6954" s="15" t="s">
        <v>26301</v>
      </c>
      <c r="D6954" s="15">
        <v>375049.0</v>
      </c>
      <c r="E6954" s="15" t="s">
        <v>1659</v>
      </c>
      <c r="F6954" s="15" t="s">
        <v>1578</v>
      </c>
      <c r="G6954" s="7">
        <v>4.742</v>
      </c>
      <c r="H6954" s="15" t="s">
        <v>5368</v>
      </c>
      <c r="I6954" s="15" t="s">
        <v>15078</v>
      </c>
      <c r="J6954" s="15" t="s">
        <v>26302</v>
      </c>
      <c r="K6954" s="15">
        <v>5.0</v>
      </c>
      <c r="L6954" s="15">
        <v>5.0</v>
      </c>
      <c r="M6954" s="40">
        <v>42774.0</v>
      </c>
      <c r="N6954" s="40">
        <v>42782.0</v>
      </c>
      <c r="O6954" s="15" t="s">
        <v>1554</v>
      </c>
      <c r="Q6954" s="7"/>
    </row>
    <row r="6955">
      <c r="A6955" s="39" t="s">
        <v>26303</v>
      </c>
      <c r="B6955" s="15">
        <v>1941436.0</v>
      </c>
      <c r="C6955" s="15" t="s">
        <v>26304</v>
      </c>
      <c r="D6955" s="15">
        <v>375050.0</v>
      </c>
      <c r="E6955" s="15" t="s">
        <v>1659</v>
      </c>
      <c r="F6955" s="15" t="s">
        <v>1578</v>
      </c>
      <c r="G6955" s="7">
        <v>4.576</v>
      </c>
      <c r="H6955" s="15" t="s">
        <v>1745</v>
      </c>
      <c r="I6955" s="15" t="s">
        <v>15078</v>
      </c>
      <c r="J6955" s="15" t="s">
        <v>26306</v>
      </c>
      <c r="K6955" s="15">
        <v>4.0</v>
      </c>
      <c r="L6955" s="15">
        <v>4.0</v>
      </c>
      <c r="M6955" s="40">
        <v>42774.0</v>
      </c>
      <c r="N6955" s="40">
        <v>42782.0</v>
      </c>
      <c r="O6955" s="15" t="s">
        <v>1554</v>
      </c>
      <c r="Q6955" s="7"/>
    </row>
    <row r="6956">
      <c r="A6956" s="39" t="s">
        <v>26307</v>
      </c>
      <c r="B6956" s="15">
        <v>1941435.0</v>
      </c>
      <c r="C6956" s="15" t="s">
        <v>26308</v>
      </c>
      <c r="D6956" s="15">
        <v>375051.0</v>
      </c>
      <c r="E6956" s="15" t="s">
        <v>1659</v>
      </c>
      <c r="F6956" s="15" t="s">
        <v>1578</v>
      </c>
      <c r="G6956" s="7">
        <v>4.729</v>
      </c>
      <c r="H6956" s="15" t="s">
        <v>1983</v>
      </c>
      <c r="I6956" s="15" t="s">
        <v>15078</v>
      </c>
      <c r="J6956" s="15" t="s">
        <v>26309</v>
      </c>
      <c r="K6956" s="15">
        <v>4.0</v>
      </c>
      <c r="L6956" s="15">
        <v>4.0</v>
      </c>
      <c r="M6956" s="40">
        <v>42774.0</v>
      </c>
      <c r="N6956" s="40">
        <v>42782.0</v>
      </c>
      <c r="O6956" s="15" t="s">
        <v>1554</v>
      </c>
      <c r="Q6956" s="7"/>
    </row>
    <row r="6957">
      <c r="A6957" s="39" t="s">
        <v>26310</v>
      </c>
      <c r="B6957" s="15">
        <v>1941239.0</v>
      </c>
      <c r="C6957" s="15" t="s">
        <v>26311</v>
      </c>
      <c r="D6957" s="15">
        <v>375052.0</v>
      </c>
      <c r="E6957" s="15" t="s">
        <v>1664</v>
      </c>
      <c r="F6957" s="15" t="s">
        <v>15173</v>
      </c>
      <c r="G6957" s="7">
        <v>2.243</v>
      </c>
      <c r="H6957" s="15" t="s">
        <v>3242</v>
      </c>
      <c r="I6957" s="15" t="s">
        <v>1560</v>
      </c>
      <c r="J6957" s="15" t="s">
        <v>26313</v>
      </c>
      <c r="K6957" s="15">
        <v>3.0</v>
      </c>
      <c r="L6957" s="15">
        <v>3.0</v>
      </c>
      <c r="M6957" s="40">
        <v>42774.0</v>
      </c>
      <c r="N6957" s="40">
        <v>42899.0</v>
      </c>
      <c r="O6957" s="15" t="s">
        <v>1554</v>
      </c>
      <c r="Q6957" s="7"/>
    </row>
    <row r="6958">
      <c r="A6958" s="39" t="s">
        <v>26314</v>
      </c>
      <c r="B6958" s="15">
        <v>1941237.0</v>
      </c>
      <c r="C6958" s="15" t="s">
        <v>26315</v>
      </c>
      <c r="D6958" s="15">
        <v>375053.0</v>
      </c>
      <c r="E6958" s="15" t="s">
        <v>1664</v>
      </c>
      <c r="F6958" s="15" t="s">
        <v>15173</v>
      </c>
      <c r="G6958" s="7">
        <v>2.196</v>
      </c>
      <c r="H6958" s="15">
        <v>52.0</v>
      </c>
      <c r="I6958" s="15" t="s">
        <v>1560</v>
      </c>
      <c r="J6958" s="15" t="s">
        <v>26316</v>
      </c>
      <c r="K6958" s="15">
        <v>3.0</v>
      </c>
      <c r="L6958" s="15">
        <v>3.0</v>
      </c>
      <c r="M6958" s="40">
        <v>42774.0</v>
      </c>
      <c r="N6958" s="40">
        <v>42899.0</v>
      </c>
      <c r="O6958" s="15" t="s">
        <v>1554</v>
      </c>
      <c r="Q6958" s="7"/>
    </row>
    <row r="6959">
      <c r="A6959" s="39" t="s">
        <v>26317</v>
      </c>
      <c r="B6959" s="15">
        <v>1941234.0</v>
      </c>
      <c r="C6959" s="15" t="s">
        <v>26318</v>
      </c>
      <c r="D6959" s="15">
        <v>375054.0</v>
      </c>
      <c r="E6959" s="15" t="s">
        <v>1664</v>
      </c>
      <c r="F6959" s="15" t="s">
        <v>15173</v>
      </c>
      <c r="G6959" s="7">
        <v>2.182</v>
      </c>
      <c r="H6959" s="15" t="s">
        <v>2300</v>
      </c>
      <c r="I6959" s="15" t="s">
        <v>1560</v>
      </c>
      <c r="J6959" s="15" t="s">
        <v>26319</v>
      </c>
      <c r="K6959" s="15">
        <v>3.0</v>
      </c>
      <c r="L6959" s="15">
        <v>3.0</v>
      </c>
      <c r="M6959" s="40">
        <v>42774.0</v>
      </c>
      <c r="N6959" s="40">
        <v>42899.0</v>
      </c>
      <c r="O6959" s="15" t="s">
        <v>1554</v>
      </c>
      <c r="Q6959" s="7"/>
    </row>
    <row r="6960">
      <c r="A6960" s="39" t="s">
        <v>26321</v>
      </c>
      <c r="B6960" s="15">
        <v>1941233.0</v>
      </c>
      <c r="C6960" s="15" t="s">
        <v>26322</v>
      </c>
      <c r="D6960" s="15">
        <v>375055.0</v>
      </c>
      <c r="E6960" s="15" t="s">
        <v>1664</v>
      </c>
      <c r="F6960" s="15" t="s">
        <v>15173</v>
      </c>
      <c r="G6960" s="7">
        <v>2.208</v>
      </c>
      <c r="H6960" s="15" t="s">
        <v>1881</v>
      </c>
      <c r="I6960" s="15" t="s">
        <v>1560</v>
      </c>
      <c r="J6960" s="15" t="s">
        <v>26323</v>
      </c>
      <c r="K6960" s="15">
        <v>3.0</v>
      </c>
      <c r="L6960" s="15">
        <v>3.0</v>
      </c>
      <c r="M6960" s="40">
        <v>42774.0</v>
      </c>
      <c r="N6960" s="40">
        <v>42899.0</v>
      </c>
      <c r="O6960" s="15" t="s">
        <v>1554</v>
      </c>
      <c r="Q6960" s="7"/>
    </row>
    <row r="6961">
      <c r="A6961" s="39" t="s">
        <v>26324</v>
      </c>
      <c r="B6961" s="15">
        <v>1940253.0</v>
      </c>
      <c r="C6961" s="15" t="s">
        <v>26325</v>
      </c>
      <c r="D6961" s="15">
        <v>375056.0</v>
      </c>
      <c r="E6961" s="15" t="s">
        <v>1916</v>
      </c>
      <c r="F6961" s="15" t="s">
        <v>1917</v>
      </c>
      <c r="G6961" s="7">
        <v>7.454</v>
      </c>
      <c r="H6961" s="15" t="s">
        <v>2064</v>
      </c>
      <c r="I6961" s="15" t="s">
        <v>1628</v>
      </c>
      <c r="J6961" s="15" t="s">
        <v>26326</v>
      </c>
      <c r="K6961" s="15">
        <v>4.0</v>
      </c>
      <c r="L6961" s="15">
        <v>4.0</v>
      </c>
      <c r="M6961" s="40">
        <v>42770.0</v>
      </c>
      <c r="N6961" s="40">
        <v>42782.0</v>
      </c>
      <c r="O6961" s="15" t="s">
        <v>1554</v>
      </c>
      <c r="Q6961" s="7"/>
    </row>
    <row r="6962">
      <c r="A6962" s="39" t="s">
        <v>26328</v>
      </c>
      <c r="B6962" s="15">
        <v>1940252.0</v>
      </c>
      <c r="C6962" s="15" t="s">
        <v>26329</v>
      </c>
      <c r="D6962" s="15">
        <v>375057.0</v>
      </c>
      <c r="E6962" s="15" t="s">
        <v>1916</v>
      </c>
      <c r="F6962" s="15" t="s">
        <v>1917</v>
      </c>
      <c r="G6962" s="7">
        <v>7.533</v>
      </c>
      <c r="H6962" s="15">
        <v>43.0</v>
      </c>
      <c r="I6962" s="15" t="s">
        <v>1628</v>
      </c>
      <c r="J6962" s="15" t="s">
        <v>26330</v>
      </c>
      <c r="K6962" s="15">
        <v>4.0</v>
      </c>
      <c r="L6962" s="15">
        <v>4.0</v>
      </c>
      <c r="M6962" s="40">
        <v>42770.0</v>
      </c>
      <c r="N6962" s="40">
        <v>42782.0</v>
      </c>
      <c r="O6962" s="15" t="s">
        <v>1554</v>
      </c>
      <c r="Q6962" s="7"/>
    </row>
    <row r="6963">
      <c r="A6963" s="39" t="s">
        <v>26331</v>
      </c>
      <c r="B6963" s="15">
        <v>1938656.0</v>
      </c>
      <c r="C6963" s="15" t="s">
        <v>26332</v>
      </c>
      <c r="D6963" s="15">
        <v>375058.0</v>
      </c>
      <c r="E6963" s="15" t="s">
        <v>1664</v>
      </c>
      <c r="F6963" s="15" t="s">
        <v>1664</v>
      </c>
      <c r="G6963" s="7">
        <v>43104.0</v>
      </c>
      <c r="H6963" s="15" t="s">
        <v>2279</v>
      </c>
      <c r="I6963" s="15" t="s">
        <v>1560</v>
      </c>
      <c r="J6963" s="15" t="s">
        <v>26333</v>
      </c>
      <c r="K6963" s="15">
        <v>3.0</v>
      </c>
      <c r="L6963" s="15">
        <v>3.0</v>
      </c>
      <c r="M6963" s="41">
        <v>42714.0</v>
      </c>
      <c r="N6963" s="40">
        <v>42782.0</v>
      </c>
      <c r="O6963" s="15" t="s">
        <v>1554</v>
      </c>
      <c r="Q6963" s="7"/>
    </row>
    <row r="6964">
      <c r="A6964" s="39" t="s">
        <v>26334</v>
      </c>
      <c r="B6964" s="15">
        <v>1937817.0</v>
      </c>
      <c r="C6964" s="15" t="s">
        <v>26335</v>
      </c>
      <c r="D6964" s="15">
        <v>375059.0</v>
      </c>
      <c r="E6964" s="15" t="s">
        <v>1638</v>
      </c>
      <c r="F6964" s="15" t="s">
        <v>1796</v>
      </c>
      <c r="G6964" s="7">
        <v>3.728</v>
      </c>
      <c r="H6964" s="15" t="s">
        <v>26337</v>
      </c>
      <c r="I6964" s="15" t="s">
        <v>1628</v>
      </c>
      <c r="J6964" s="15" t="s">
        <v>26338</v>
      </c>
      <c r="K6964" s="15">
        <v>2.0</v>
      </c>
      <c r="L6964" s="15">
        <v>2.0</v>
      </c>
      <c r="M6964" s="40">
        <v>42764.0</v>
      </c>
      <c r="N6964" s="40">
        <v>42782.0</v>
      </c>
      <c r="O6964" s="15" t="s">
        <v>1554</v>
      </c>
      <c r="Q6964" s="7"/>
    </row>
    <row r="6965">
      <c r="A6965" s="39" t="s">
        <v>26339</v>
      </c>
      <c r="B6965" s="15">
        <v>1929150.0</v>
      </c>
      <c r="C6965" s="15" t="s">
        <v>26340</v>
      </c>
      <c r="D6965" s="15">
        <v>375060.0</v>
      </c>
      <c r="E6965" s="15" t="s">
        <v>1548</v>
      </c>
      <c r="F6965" s="15" t="s">
        <v>1776</v>
      </c>
      <c r="G6965" s="7">
        <v>7.414</v>
      </c>
      <c r="H6965" s="15" t="s">
        <v>2296</v>
      </c>
      <c r="I6965" s="15" t="s">
        <v>1686</v>
      </c>
      <c r="J6965" s="15" t="s">
        <v>26341</v>
      </c>
      <c r="K6965" s="15">
        <v>1.0</v>
      </c>
      <c r="L6965" s="15">
        <v>1.0</v>
      </c>
      <c r="M6965" s="40">
        <v>42775.0</v>
      </c>
      <c r="N6965" s="40">
        <v>42782.0</v>
      </c>
      <c r="O6965" s="15" t="s">
        <v>1554</v>
      </c>
      <c r="Q6965" s="7"/>
    </row>
    <row r="6966">
      <c r="A6966" s="39" t="s">
        <v>26343</v>
      </c>
      <c r="B6966" s="15">
        <v>1923781.0</v>
      </c>
      <c r="C6966" s="15" t="s">
        <v>26344</v>
      </c>
      <c r="D6966" s="15">
        <v>375061.0</v>
      </c>
      <c r="E6966" s="15" t="s">
        <v>1664</v>
      </c>
      <c r="F6966" s="15" t="s">
        <v>1664</v>
      </c>
      <c r="G6966" s="7">
        <v>8.824</v>
      </c>
      <c r="H6966" s="15" t="s">
        <v>2237</v>
      </c>
      <c r="I6966" s="15" t="s">
        <v>1560</v>
      </c>
      <c r="J6966" s="15" t="s">
        <v>26345</v>
      </c>
      <c r="K6966" s="15">
        <v>2.0</v>
      </c>
      <c r="L6966" s="15">
        <v>2.0</v>
      </c>
      <c r="M6966" s="41">
        <v>42714.0</v>
      </c>
      <c r="N6966" s="40">
        <v>42782.0</v>
      </c>
      <c r="O6966" s="15" t="s">
        <v>1554</v>
      </c>
      <c r="Q6966" s="7"/>
    </row>
    <row r="6967">
      <c r="A6967" s="39" t="s">
        <v>26346</v>
      </c>
      <c r="B6967" s="15">
        <v>1923778.0</v>
      </c>
      <c r="C6967" s="15" t="s">
        <v>26347</v>
      </c>
      <c r="D6967" s="15">
        <v>375062.0</v>
      </c>
      <c r="E6967" s="15" t="s">
        <v>1664</v>
      </c>
      <c r="F6967" s="15" t="s">
        <v>1664</v>
      </c>
      <c r="G6967" s="7">
        <v>9.558</v>
      </c>
      <c r="H6967" s="15" t="s">
        <v>2820</v>
      </c>
      <c r="I6967" s="15" t="s">
        <v>1560</v>
      </c>
      <c r="J6967" s="15" t="s">
        <v>26348</v>
      </c>
      <c r="K6967" s="15">
        <v>1.0</v>
      </c>
      <c r="L6967" s="15">
        <v>1.0</v>
      </c>
      <c r="M6967" s="41">
        <v>42714.0</v>
      </c>
      <c r="N6967" s="40">
        <v>42782.0</v>
      </c>
      <c r="O6967" s="15" t="s">
        <v>1554</v>
      </c>
      <c r="Q6967" s="7"/>
    </row>
    <row r="6968">
      <c r="A6968" s="39" t="s">
        <v>26350</v>
      </c>
      <c r="B6968" s="15">
        <v>1923777.0</v>
      </c>
      <c r="C6968" s="15" t="s">
        <v>26351</v>
      </c>
      <c r="D6968" s="15">
        <v>375063.0</v>
      </c>
      <c r="E6968" s="15" t="s">
        <v>1664</v>
      </c>
      <c r="F6968" s="15" t="s">
        <v>1664</v>
      </c>
      <c r="G6968" s="7">
        <v>30.353</v>
      </c>
      <c r="H6968" s="15" t="s">
        <v>2342</v>
      </c>
      <c r="I6968" s="15" t="s">
        <v>1560</v>
      </c>
      <c r="J6968" s="15" t="s">
        <v>26352</v>
      </c>
      <c r="K6968" s="15">
        <v>4.0</v>
      </c>
      <c r="L6968" s="15">
        <v>4.0</v>
      </c>
      <c r="M6968" s="41">
        <v>42714.0</v>
      </c>
      <c r="N6968" s="40">
        <v>42782.0</v>
      </c>
      <c r="O6968" s="15" t="s">
        <v>1554</v>
      </c>
      <c r="Q6968" s="7"/>
    </row>
    <row r="6969">
      <c r="A6969" s="39" t="s">
        <v>26353</v>
      </c>
      <c r="B6969" s="15">
        <v>1923775.0</v>
      </c>
      <c r="C6969" s="15" t="s">
        <v>26354</v>
      </c>
      <c r="D6969" s="15">
        <v>375064.0</v>
      </c>
      <c r="E6969" s="15" t="s">
        <v>1664</v>
      </c>
      <c r="F6969" s="15" t="s">
        <v>1664</v>
      </c>
      <c r="G6969" s="7">
        <v>3.243</v>
      </c>
      <c r="H6969" s="15" t="s">
        <v>4415</v>
      </c>
      <c r="I6969" s="15" t="s">
        <v>1560</v>
      </c>
      <c r="J6969" s="15" t="s">
        <v>26355</v>
      </c>
      <c r="K6969" s="15">
        <v>2.0</v>
      </c>
      <c r="L6969" s="15">
        <v>2.0</v>
      </c>
      <c r="M6969" s="41">
        <v>42714.0</v>
      </c>
      <c r="N6969" s="40">
        <v>42782.0</v>
      </c>
      <c r="O6969" s="15" t="s">
        <v>1554</v>
      </c>
      <c r="Q6969" s="7"/>
    </row>
    <row r="6970">
      <c r="A6970" s="39" t="s">
        <v>26356</v>
      </c>
      <c r="B6970" s="15">
        <v>1923773.0</v>
      </c>
      <c r="C6970" s="15" t="s">
        <v>26357</v>
      </c>
      <c r="D6970" s="15">
        <v>375066.0</v>
      </c>
      <c r="E6970" s="15" t="s">
        <v>1664</v>
      </c>
      <c r="F6970" s="15" t="s">
        <v>1664</v>
      </c>
      <c r="G6970" s="7">
        <v>7.977</v>
      </c>
      <c r="H6970" s="15" t="s">
        <v>3082</v>
      </c>
      <c r="I6970" s="15" t="s">
        <v>1560</v>
      </c>
      <c r="J6970" s="15" t="s">
        <v>26358</v>
      </c>
      <c r="K6970" s="15">
        <v>2.0</v>
      </c>
      <c r="L6970" s="15">
        <v>2.0</v>
      </c>
      <c r="M6970" s="41">
        <v>42714.0</v>
      </c>
      <c r="N6970" s="40">
        <v>42782.0</v>
      </c>
      <c r="O6970" s="15" t="s">
        <v>1554</v>
      </c>
      <c r="Q6970" s="7"/>
    </row>
    <row r="6971">
      <c r="A6971" s="39" t="s">
        <v>26360</v>
      </c>
      <c r="B6971" s="15">
        <v>1923772.0</v>
      </c>
      <c r="C6971" s="15" t="s">
        <v>26361</v>
      </c>
      <c r="D6971" s="15">
        <v>375067.0</v>
      </c>
      <c r="E6971" s="15" t="s">
        <v>1664</v>
      </c>
      <c r="F6971" s="15" t="s">
        <v>1664</v>
      </c>
      <c r="G6971" s="7">
        <v>11.731</v>
      </c>
      <c r="H6971" s="15" t="s">
        <v>6418</v>
      </c>
      <c r="I6971" s="15" t="s">
        <v>1560</v>
      </c>
      <c r="J6971" s="15" t="s">
        <v>26362</v>
      </c>
      <c r="K6971" s="15">
        <v>5.0</v>
      </c>
      <c r="L6971" s="15">
        <v>5.0</v>
      </c>
      <c r="M6971" s="41">
        <v>42714.0</v>
      </c>
      <c r="N6971" s="40">
        <v>42782.0</v>
      </c>
      <c r="O6971" s="15" t="s">
        <v>1554</v>
      </c>
      <c r="Q6971" s="7"/>
    </row>
    <row r="6972">
      <c r="A6972" s="39" t="s">
        <v>26363</v>
      </c>
      <c r="B6972" s="15">
        <v>1923771.0</v>
      </c>
      <c r="C6972" s="15" t="s">
        <v>26364</v>
      </c>
      <c r="D6972" s="15">
        <v>375068.0</v>
      </c>
      <c r="E6972" s="15" t="s">
        <v>1664</v>
      </c>
      <c r="F6972" s="15" t="s">
        <v>1664</v>
      </c>
      <c r="G6972" s="7">
        <v>7.661</v>
      </c>
      <c r="H6972" s="15" t="s">
        <v>26365</v>
      </c>
      <c r="I6972" s="15" t="s">
        <v>1560</v>
      </c>
      <c r="J6972" s="15" t="s">
        <v>26366</v>
      </c>
      <c r="K6972" s="15">
        <v>2.0</v>
      </c>
      <c r="L6972" s="15">
        <v>2.0</v>
      </c>
      <c r="M6972" s="41">
        <v>42714.0</v>
      </c>
      <c r="N6972" s="40">
        <v>42782.0</v>
      </c>
      <c r="O6972" s="15" t="s">
        <v>1554</v>
      </c>
      <c r="Q6972" s="7"/>
    </row>
    <row r="6973">
      <c r="A6973" s="39" t="s">
        <v>26367</v>
      </c>
      <c r="B6973" s="15">
        <v>1923770.0</v>
      </c>
      <c r="C6973" s="15" t="s">
        <v>26368</v>
      </c>
      <c r="D6973" s="15">
        <v>375069.0</v>
      </c>
      <c r="E6973" s="15" t="s">
        <v>1664</v>
      </c>
      <c r="F6973" s="15" t="s">
        <v>1664</v>
      </c>
      <c r="G6973" s="7">
        <v>9.547</v>
      </c>
      <c r="H6973" s="15" t="s">
        <v>1859</v>
      </c>
      <c r="I6973" s="15" t="s">
        <v>1560</v>
      </c>
      <c r="J6973" s="15" t="s">
        <v>26369</v>
      </c>
      <c r="K6973" s="15">
        <v>2.0</v>
      </c>
      <c r="L6973" s="15">
        <v>2.0</v>
      </c>
      <c r="M6973" s="41">
        <v>42714.0</v>
      </c>
      <c r="N6973" s="40">
        <v>42782.0</v>
      </c>
      <c r="O6973" s="15" t="s">
        <v>1554</v>
      </c>
      <c r="Q6973" s="7"/>
    </row>
    <row r="6974">
      <c r="A6974" s="39" t="s">
        <v>26371</v>
      </c>
      <c r="B6974" s="15">
        <v>1923769.0</v>
      </c>
      <c r="C6974" s="15" t="s">
        <v>26372</v>
      </c>
      <c r="D6974" s="15">
        <v>375070.0</v>
      </c>
      <c r="E6974" s="15" t="s">
        <v>1664</v>
      </c>
      <c r="F6974" s="15" t="s">
        <v>1664</v>
      </c>
      <c r="G6974" s="7">
        <v>11.525</v>
      </c>
      <c r="H6974" s="15" t="s">
        <v>3827</v>
      </c>
      <c r="I6974" s="15" t="s">
        <v>1560</v>
      </c>
      <c r="J6974" s="15" t="s">
        <v>26373</v>
      </c>
      <c r="K6974" s="15">
        <v>3.0</v>
      </c>
      <c r="L6974" s="15">
        <v>3.0</v>
      </c>
      <c r="M6974" s="41">
        <v>42714.0</v>
      </c>
      <c r="N6974" s="40">
        <v>42782.0</v>
      </c>
      <c r="O6974" s="15" t="s">
        <v>1554</v>
      </c>
      <c r="Q6974" s="7"/>
    </row>
    <row r="6975">
      <c r="A6975" s="39" t="s">
        <v>26374</v>
      </c>
      <c r="B6975" s="15">
        <v>1923768.0</v>
      </c>
      <c r="C6975" s="15" t="s">
        <v>26375</v>
      </c>
      <c r="D6975" s="15">
        <v>375071.0</v>
      </c>
      <c r="E6975" s="15" t="s">
        <v>1664</v>
      </c>
      <c r="F6975" s="15" t="s">
        <v>1664</v>
      </c>
      <c r="G6975" s="7">
        <v>9.314</v>
      </c>
      <c r="H6975" s="15" t="s">
        <v>3070</v>
      </c>
      <c r="I6975" s="15" t="s">
        <v>1560</v>
      </c>
      <c r="J6975" s="15" t="s">
        <v>26376</v>
      </c>
      <c r="K6975" s="15">
        <v>3.0</v>
      </c>
      <c r="L6975" s="15">
        <v>3.0</v>
      </c>
      <c r="M6975" s="41">
        <v>42714.0</v>
      </c>
      <c r="N6975" s="40">
        <v>42782.0</v>
      </c>
      <c r="O6975" s="15" t="s">
        <v>1554</v>
      </c>
      <c r="Q6975" s="7"/>
    </row>
    <row r="6976">
      <c r="A6976" s="39" t="s">
        <v>26377</v>
      </c>
      <c r="B6976" s="15">
        <v>1923765.0</v>
      </c>
      <c r="C6976" s="15" t="s">
        <v>26379</v>
      </c>
      <c r="D6976" s="15">
        <v>375072.0</v>
      </c>
      <c r="E6976" s="15" t="s">
        <v>1664</v>
      </c>
      <c r="F6976" s="15" t="s">
        <v>1664</v>
      </c>
      <c r="G6976" s="7">
        <v>6.527</v>
      </c>
      <c r="H6976" s="15" t="s">
        <v>2271</v>
      </c>
      <c r="I6976" s="15" t="s">
        <v>1560</v>
      </c>
      <c r="J6976" s="15" t="s">
        <v>26380</v>
      </c>
      <c r="K6976" s="15">
        <v>3.0</v>
      </c>
      <c r="L6976" s="15">
        <v>3.0</v>
      </c>
      <c r="M6976" s="41">
        <v>42714.0</v>
      </c>
      <c r="N6976" s="40">
        <v>42782.0</v>
      </c>
      <c r="O6976" s="15" t="s">
        <v>1554</v>
      </c>
      <c r="Q6976" s="7"/>
    </row>
    <row r="6977">
      <c r="A6977" s="39" t="s">
        <v>26381</v>
      </c>
      <c r="B6977" s="15">
        <v>1923764.0</v>
      </c>
      <c r="C6977" s="15" t="s">
        <v>26382</v>
      </c>
      <c r="D6977" s="15">
        <v>375073.0</v>
      </c>
      <c r="E6977" s="15" t="s">
        <v>1664</v>
      </c>
      <c r="F6977" s="15" t="s">
        <v>1664</v>
      </c>
      <c r="G6977" s="7">
        <v>4.284</v>
      </c>
      <c r="H6977" s="15" t="s">
        <v>26383</v>
      </c>
      <c r="I6977" s="15" t="s">
        <v>1560</v>
      </c>
      <c r="J6977" s="15" t="s">
        <v>26384</v>
      </c>
      <c r="K6977" s="15">
        <v>3.0</v>
      </c>
      <c r="L6977" s="15">
        <v>3.0</v>
      </c>
      <c r="M6977" s="41">
        <v>42714.0</v>
      </c>
      <c r="N6977" s="40">
        <v>42782.0</v>
      </c>
      <c r="O6977" s="15" t="s">
        <v>1554</v>
      </c>
      <c r="Q6977" s="7"/>
    </row>
    <row r="6978">
      <c r="A6978" s="39" t="s">
        <v>26385</v>
      </c>
      <c r="B6978" s="15">
        <v>1960253.0</v>
      </c>
      <c r="C6978" s="15" t="s">
        <v>26386</v>
      </c>
      <c r="D6978" s="15">
        <v>41599.0</v>
      </c>
      <c r="E6978" s="15" t="s">
        <v>1916</v>
      </c>
      <c r="F6978" s="15" t="s">
        <v>1917</v>
      </c>
      <c r="G6978" s="7">
        <v>7.317</v>
      </c>
      <c r="H6978" s="15" t="s">
        <v>1962</v>
      </c>
      <c r="I6978" s="15" t="s">
        <v>1628</v>
      </c>
      <c r="J6978" s="15" t="s">
        <v>26388</v>
      </c>
      <c r="K6978" s="15">
        <v>3.0</v>
      </c>
      <c r="L6978" s="15">
        <v>3.0</v>
      </c>
      <c r="M6978" s="41">
        <v>40117.0</v>
      </c>
      <c r="N6978" s="40">
        <v>42782.0</v>
      </c>
      <c r="O6978" s="15" t="s">
        <v>1554</v>
      </c>
      <c r="Q6978" s="7"/>
    </row>
    <row r="6979">
      <c r="A6979" s="39" t="s">
        <v>26389</v>
      </c>
      <c r="B6979" s="15">
        <v>1959930.0</v>
      </c>
      <c r="C6979" s="15" t="s">
        <v>26390</v>
      </c>
      <c r="D6979" s="15">
        <v>376036.0</v>
      </c>
      <c r="E6979" s="15" t="s">
        <v>1548</v>
      </c>
      <c r="F6979" s="15" t="s">
        <v>4829</v>
      </c>
      <c r="G6979" s="7">
        <v>7.475</v>
      </c>
      <c r="H6979" s="15">
        <v>47.0</v>
      </c>
      <c r="I6979" s="15" t="s">
        <v>1686</v>
      </c>
      <c r="J6979" s="15" t="s">
        <v>26391</v>
      </c>
      <c r="K6979" s="15">
        <v>2.0</v>
      </c>
      <c r="L6979" s="15">
        <v>2.0</v>
      </c>
      <c r="M6979" s="40">
        <v>42782.0</v>
      </c>
      <c r="N6979" s="40">
        <v>42787.0</v>
      </c>
      <c r="O6979" s="15" t="s">
        <v>1554</v>
      </c>
      <c r="Q6979" s="7"/>
    </row>
    <row r="6980">
      <c r="A6980" s="39" t="s">
        <v>26392</v>
      </c>
      <c r="B6980" s="15">
        <v>1955054.0</v>
      </c>
      <c r="C6980" s="15" t="s">
        <v>26393</v>
      </c>
      <c r="D6980" s="15">
        <v>376172.0</v>
      </c>
      <c r="E6980" s="15" t="s">
        <v>1808</v>
      </c>
      <c r="F6980" s="15" t="s">
        <v>1809</v>
      </c>
      <c r="G6980" s="7">
        <v>2.784</v>
      </c>
      <c r="H6980" s="15" t="s">
        <v>3066</v>
      </c>
      <c r="I6980" s="15" t="s">
        <v>1628</v>
      </c>
      <c r="J6980" s="15" t="s">
        <v>26395</v>
      </c>
      <c r="K6980" s="15">
        <v>6.0</v>
      </c>
      <c r="L6980" s="15">
        <v>6.0</v>
      </c>
      <c r="M6980" s="40">
        <v>42780.0</v>
      </c>
      <c r="N6980" s="40">
        <v>42787.0</v>
      </c>
      <c r="O6980" s="15" t="s">
        <v>1554</v>
      </c>
      <c r="Q6980" s="7"/>
    </row>
    <row r="6981">
      <c r="A6981" s="39" t="s">
        <v>26396</v>
      </c>
      <c r="B6981" s="15">
        <v>1136024.0</v>
      </c>
      <c r="C6981" s="15" t="s">
        <v>26397</v>
      </c>
      <c r="D6981" s="15">
        <v>376169.0</v>
      </c>
      <c r="E6981" s="15" t="s">
        <v>1557</v>
      </c>
      <c r="F6981" s="15" t="s">
        <v>1992</v>
      </c>
      <c r="G6981" s="7">
        <v>144.51</v>
      </c>
      <c r="H6981" s="15" t="s">
        <v>3836</v>
      </c>
      <c r="I6981" s="15" t="s">
        <v>1560</v>
      </c>
      <c r="J6981" s="15" t="s">
        <v>26398</v>
      </c>
      <c r="K6981" s="15">
        <v>153.0</v>
      </c>
      <c r="L6981" s="15">
        <v>153.0</v>
      </c>
      <c r="M6981" s="40">
        <v>42782.0</v>
      </c>
      <c r="N6981" s="40">
        <v>43007.0</v>
      </c>
      <c r="O6981" s="15" t="s">
        <v>1554</v>
      </c>
      <c r="Q6981" s="7"/>
    </row>
    <row r="6982">
      <c r="A6982" s="39" t="s">
        <v>26399</v>
      </c>
      <c r="B6982" s="15">
        <v>1955558.0</v>
      </c>
      <c r="C6982" s="15" t="s">
        <v>26400</v>
      </c>
      <c r="D6982" s="15">
        <v>376058.0</v>
      </c>
      <c r="E6982" s="15" t="s">
        <v>1557</v>
      </c>
      <c r="F6982" s="15" t="s">
        <v>1982</v>
      </c>
      <c r="G6982" s="7">
        <v>376.207</v>
      </c>
      <c r="H6982" s="15" t="s">
        <v>1813</v>
      </c>
      <c r="I6982" s="15" t="s">
        <v>1740</v>
      </c>
      <c r="J6982" s="15" t="s">
        <v>26402</v>
      </c>
      <c r="K6982" s="15">
        <v>452.0</v>
      </c>
      <c r="L6982" s="15">
        <v>452.0</v>
      </c>
      <c r="M6982" s="40">
        <v>42781.0</v>
      </c>
      <c r="N6982" s="40">
        <v>42787.0</v>
      </c>
      <c r="O6982" s="15" t="s">
        <v>1554</v>
      </c>
      <c r="Q6982" s="7"/>
    </row>
    <row r="6983">
      <c r="A6983" s="39" t="s">
        <v>26403</v>
      </c>
      <c r="B6983" s="15">
        <v>1950126.0</v>
      </c>
      <c r="C6983" s="15" t="s">
        <v>26404</v>
      </c>
      <c r="D6983" s="15">
        <v>376173.0</v>
      </c>
      <c r="E6983" s="15" t="s">
        <v>1548</v>
      </c>
      <c r="F6983" s="15" t="s">
        <v>2900</v>
      </c>
      <c r="G6983" s="7">
        <v>3.88</v>
      </c>
      <c r="H6983" s="15" t="s">
        <v>4736</v>
      </c>
      <c r="I6983" s="15" t="s">
        <v>1628</v>
      </c>
      <c r="J6983" s="15" t="s">
        <v>26405</v>
      </c>
      <c r="K6983" s="15">
        <v>5.0</v>
      </c>
      <c r="L6983" s="15">
        <v>5.0</v>
      </c>
      <c r="M6983" s="40">
        <v>42778.0</v>
      </c>
      <c r="N6983" s="40">
        <v>42787.0</v>
      </c>
      <c r="O6983" s="15" t="s">
        <v>1554</v>
      </c>
      <c r="Q6983" s="7"/>
    </row>
    <row r="6984">
      <c r="A6984" s="39" t="s">
        <v>26406</v>
      </c>
      <c r="B6984" s="15">
        <v>552509.0</v>
      </c>
      <c r="C6984" s="15" t="s">
        <v>26407</v>
      </c>
      <c r="D6984" s="15">
        <v>376027.0</v>
      </c>
      <c r="E6984" s="15" t="s">
        <v>1577</v>
      </c>
      <c r="F6984" s="15" t="s">
        <v>1578</v>
      </c>
      <c r="G6984" s="7">
        <v>111.453</v>
      </c>
      <c r="H6984" s="42">
        <v>43122.0</v>
      </c>
      <c r="I6984" s="15" t="s">
        <v>1560</v>
      </c>
      <c r="J6984" s="15" t="s">
        <v>26408</v>
      </c>
      <c r="K6984" s="15">
        <v>108.0</v>
      </c>
      <c r="L6984" s="15">
        <v>108.0</v>
      </c>
      <c r="M6984" s="40">
        <v>42782.0</v>
      </c>
      <c r="N6984" s="40">
        <v>42787.0</v>
      </c>
      <c r="O6984" s="15" t="s">
        <v>2353</v>
      </c>
      <c r="Q6984" s="7"/>
    </row>
    <row r="6985">
      <c r="A6985" s="39" t="s">
        <v>26409</v>
      </c>
      <c r="B6985" s="15">
        <v>1955493.0</v>
      </c>
      <c r="C6985" s="15" t="s">
        <v>26411</v>
      </c>
      <c r="D6985" s="15">
        <v>376171.0</v>
      </c>
      <c r="E6985" s="15" t="s">
        <v>1638</v>
      </c>
      <c r="F6985" s="15" t="s">
        <v>1863</v>
      </c>
      <c r="G6985" s="7">
        <v>19.272</v>
      </c>
      <c r="H6985" s="15" t="s">
        <v>26412</v>
      </c>
      <c r="I6985" s="15" t="s">
        <v>1560</v>
      </c>
      <c r="J6985" s="15" t="s">
        <v>26413</v>
      </c>
      <c r="K6985" s="15">
        <v>10.0</v>
      </c>
      <c r="L6985" s="15">
        <v>10.0</v>
      </c>
      <c r="M6985" s="40">
        <v>42781.0</v>
      </c>
      <c r="N6985" s="40">
        <v>42787.0</v>
      </c>
      <c r="O6985" s="15" t="s">
        <v>1554</v>
      </c>
      <c r="Q6985" s="7"/>
    </row>
    <row r="6986">
      <c r="A6986" s="39" t="s">
        <v>26414</v>
      </c>
      <c r="B6986" s="15">
        <v>1248396.0</v>
      </c>
      <c r="C6986" s="15" t="s">
        <v>26415</v>
      </c>
      <c r="D6986" s="15">
        <v>376170.0</v>
      </c>
      <c r="E6986" s="15" t="s">
        <v>1557</v>
      </c>
      <c r="F6986" s="15" t="s">
        <v>1822</v>
      </c>
      <c r="G6986" s="7">
        <v>7.329</v>
      </c>
      <c r="H6986" s="15" t="s">
        <v>2288</v>
      </c>
      <c r="I6986" s="15" t="s">
        <v>9533</v>
      </c>
      <c r="J6986" s="15" t="s">
        <v>26416</v>
      </c>
      <c r="K6986" s="15">
        <v>7.0</v>
      </c>
      <c r="L6986" s="15">
        <v>7.0</v>
      </c>
      <c r="M6986" s="40">
        <v>41219.0</v>
      </c>
      <c r="N6986" s="40">
        <v>42790.0</v>
      </c>
      <c r="O6986" s="15" t="s">
        <v>1554</v>
      </c>
      <c r="Q6986" s="7"/>
    </row>
    <row r="6987">
      <c r="A6987" s="39" t="s">
        <v>26418</v>
      </c>
      <c r="B6987" s="15">
        <v>1962501.0</v>
      </c>
      <c r="C6987" s="15" t="s">
        <v>26419</v>
      </c>
      <c r="D6987" s="15">
        <v>16661.0</v>
      </c>
      <c r="E6987" s="15" t="s">
        <v>1557</v>
      </c>
      <c r="F6987" s="15" t="s">
        <v>1992</v>
      </c>
      <c r="G6987" s="7">
        <v>147.544</v>
      </c>
      <c r="H6987" s="15" t="s">
        <v>4401</v>
      </c>
      <c r="I6987" s="15" t="s">
        <v>1560</v>
      </c>
      <c r="J6987" s="15" t="s">
        <v>26420</v>
      </c>
      <c r="K6987" s="15">
        <v>153.0</v>
      </c>
      <c r="L6987" s="15">
        <v>153.0</v>
      </c>
      <c r="M6987" s="40">
        <v>38779.0</v>
      </c>
      <c r="N6987" s="40">
        <v>40185.0</v>
      </c>
      <c r="O6987" s="15" t="s">
        <v>1554</v>
      </c>
      <c r="Q6987" s="7"/>
    </row>
    <row r="6988">
      <c r="A6988" s="39" t="s">
        <v>26421</v>
      </c>
      <c r="B6988" s="15">
        <v>1163703.0</v>
      </c>
      <c r="C6988" s="15" t="s">
        <v>26422</v>
      </c>
      <c r="D6988" s="15">
        <v>243496.0</v>
      </c>
      <c r="E6988" s="15" t="s">
        <v>1557</v>
      </c>
      <c r="F6988" s="15" t="s">
        <v>1822</v>
      </c>
      <c r="G6988" s="7">
        <v>7.467</v>
      </c>
      <c r="H6988" s="15" t="s">
        <v>1802</v>
      </c>
      <c r="I6988" s="15" t="s">
        <v>1686</v>
      </c>
      <c r="J6988" s="15" t="s">
        <v>26423</v>
      </c>
      <c r="K6988" s="15">
        <v>5.0</v>
      </c>
      <c r="L6988" s="15">
        <v>5.0</v>
      </c>
      <c r="M6988" s="40">
        <v>41681.0</v>
      </c>
      <c r="N6988" s="40">
        <v>41949.0</v>
      </c>
      <c r="O6988" s="15" t="s">
        <v>1554</v>
      </c>
      <c r="Q6988" s="7"/>
    </row>
    <row r="6989">
      <c r="A6989" s="39" t="s">
        <v>26424</v>
      </c>
      <c r="B6989" s="15">
        <v>1961665.0</v>
      </c>
      <c r="C6989" s="15" t="s">
        <v>26425</v>
      </c>
      <c r="D6989" s="15">
        <v>376197.0</v>
      </c>
      <c r="E6989" s="15" t="s">
        <v>1548</v>
      </c>
      <c r="F6989" s="15" t="s">
        <v>1848</v>
      </c>
      <c r="G6989" s="7">
        <v>6.712</v>
      </c>
      <c r="H6989" s="15">
        <v>44.0</v>
      </c>
      <c r="I6989" s="15" t="s">
        <v>1686</v>
      </c>
      <c r="J6989" s="15" t="s">
        <v>26426</v>
      </c>
      <c r="K6989" s="15">
        <v>3.0</v>
      </c>
      <c r="L6989" s="15">
        <v>3.0</v>
      </c>
      <c r="M6989" s="40">
        <v>42779.0</v>
      </c>
      <c r="N6989" s="40">
        <v>42793.0</v>
      </c>
      <c r="O6989" s="15" t="s">
        <v>1554</v>
      </c>
      <c r="Q6989" s="7"/>
    </row>
    <row r="6990">
      <c r="A6990" s="39" t="s">
        <v>26427</v>
      </c>
      <c r="B6990" s="15">
        <v>1960206.0</v>
      </c>
      <c r="C6990" s="15" t="s">
        <v>26428</v>
      </c>
      <c r="D6990" s="15">
        <v>376528.0</v>
      </c>
      <c r="E6990" s="15" t="s">
        <v>1548</v>
      </c>
      <c r="F6990" s="15" t="s">
        <v>1776</v>
      </c>
      <c r="G6990" s="7">
        <v>10.101</v>
      </c>
      <c r="H6990" s="15" t="s">
        <v>1720</v>
      </c>
      <c r="I6990" s="15" t="s">
        <v>1686</v>
      </c>
      <c r="J6990" s="15" t="s">
        <v>26430</v>
      </c>
      <c r="K6990" s="15">
        <v>1.0</v>
      </c>
      <c r="L6990" s="15">
        <v>1.0</v>
      </c>
      <c r="M6990" s="40">
        <v>42788.0</v>
      </c>
      <c r="N6990" s="40">
        <v>42793.0</v>
      </c>
      <c r="O6990" s="15" t="s">
        <v>1554</v>
      </c>
      <c r="Q6990" s="7"/>
    </row>
    <row r="6991">
      <c r="A6991" s="39" t="s">
        <v>26431</v>
      </c>
      <c r="B6991" s="15">
        <v>1958784.0</v>
      </c>
      <c r="C6991" s="15" t="s">
        <v>26432</v>
      </c>
      <c r="D6991" s="15">
        <v>376914.0</v>
      </c>
      <c r="E6991" s="15" t="s">
        <v>1577</v>
      </c>
      <c r="F6991" s="15" t="s">
        <v>1578</v>
      </c>
      <c r="G6991" s="7">
        <v>8.882</v>
      </c>
      <c r="H6991" s="15" t="s">
        <v>6418</v>
      </c>
      <c r="I6991" s="15" t="s">
        <v>1686</v>
      </c>
      <c r="J6991" s="15" t="s">
        <v>26433</v>
      </c>
      <c r="K6991" s="15">
        <v>2.0</v>
      </c>
      <c r="L6991" s="15">
        <v>2.0</v>
      </c>
      <c r="M6991" s="40">
        <v>42785.0</v>
      </c>
      <c r="N6991" s="40">
        <v>42793.0</v>
      </c>
      <c r="O6991" s="15" t="s">
        <v>1554</v>
      </c>
      <c r="Q6991" s="7"/>
    </row>
    <row r="6992">
      <c r="A6992" s="39" t="s">
        <v>26434</v>
      </c>
      <c r="B6992" s="15">
        <v>1958778.0</v>
      </c>
      <c r="C6992" s="15" t="s">
        <v>26435</v>
      </c>
      <c r="D6992" s="15">
        <v>376915.0</v>
      </c>
      <c r="E6992" s="15" t="s">
        <v>1548</v>
      </c>
      <c r="F6992" s="15" t="s">
        <v>2374</v>
      </c>
      <c r="G6992" s="7">
        <v>10.519</v>
      </c>
      <c r="H6992" s="15" t="s">
        <v>1849</v>
      </c>
      <c r="I6992" s="15" t="s">
        <v>1560</v>
      </c>
      <c r="J6992" s="15" t="s">
        <v>26436</v>
      </c>
      <c r="K6992" s="15">
        <v>1.0</v>
      </c>
      <c r="L6992" s="15">
        <v>1.0</v>
      </c>
      <c r="M6992" s="40">
        <v>42785.0</v>
      </c>
      <c r="N6992" s="40">
        <v>42793.0</v>
      </c>
      <c r="O6992" s="15" t="s">
        <v>1554</v>
      </c>
      <c r="Q6992" s="7"/>
    </row>
    <row r="6993">
      <c r="A6993" s="39" t="s">
        <v>26438</v>
      </c>
      <c r="B6993" s="15">
        <v>1958777.0</v>
      </c>
      <c r="C6993" s="15" t="s">
        <v>26439</v>
      </c>
      <c r="D6993" s="15">
        <v>376916.0</v>
      </c>
      <c r="E6993" s="15" t="s">
        <v>1548</v>
      </c>
      <c r="F6993" s="15" t="s">
        <v>1776</v>
      </c>
      <c r="G6993" s="7">
        <v>7.746</v>
      </c>
      <c r="H6993" s="15" t="s">
        <v>3584</v>
      </c>
      <c r="I6993" s="15" t="s">
        <v>1686</v>
      </c>
      <c r="J6993" s="15" t="s">
        <v>26440</v>
      </c>
      <c r="K6993" s="15">
        <v>1.0</v>
      </c>
      <c r="L6993" s="15">
        <v>1.0</v>
      </c>
      <c r="M6993" s="40">
        <v>42785.0</v>
      </c>
      <c r="N6993" s="40">
        <v>42793.0</v>
      </c>
      <c r="O6993" s="15" t="s">
        <v>1554</v>
      </c>
      <c r="Q6993" s="7"/>
    </row>
    <row r="6994">
      <c r="A6994" s="39" t="s">
        <v>26441</v>
      </c>
      <c r="B6994" s="15">
        <v>1958776.0</v>
      </c>
      <c r="C6994" s="15" t="s">
        <v>26442</v>
      </c>
      <c r="D6994" s="15">
        <v>376917.0</v>
      </c>
      <c r="E6994" s="15" t="s">
        <v>1548</v>
      </c>
      <c r="F6994" s="15" t="s">
        <v>1776</v>
      </c>
      <c r="G6994" s="7">
        <v>7.085</v>
      </c>
      <c r="H6994" s="15" t="s">
        <v>5806</v>
      </c>
      <c r="I6994" s="15" t="s">
        <v>1686</v>
      </c>
      <c r="J6994" s="15" t="s">
        <v>26443</v>
      </c>
      <c r="K6994" s="15">
        <v>1.0</v>
      </c>
      <c r="L6994" s="15">
        <v>1.0</v>
      </c>
      <c r="M6994" s="40">
        <v>42785.0</v>
      </c>
      <c r="N6994" s="40">
        <v>42793.0</v>
      </c>
      <c r="O6994" s="15" t="s">
        <v>1554</v>
      </c>
      <c r="Q6994" s="7"/>
    </row>
    <row r="6995">
      <c r="A6995" s="39" t="s">
        <v>26444</v>
      </c>
      <c r="B6995" s="15">
        <v>1958775.0</v>
      </c>
      <c r="C6995" s="15" t="s">
        <v>26445</v>
      </c>
      <c r="D6995" s="15">
        <v>376918.0</v>
      </c>
      <c r="E6995" s="15" t="s">
        <v>1548</v>
      </c>
      <c r="F6995" s="15" t="s">
        <v>1776</v>
      </c>
      <c r="G6995" s="7">
        <v>7.092</v>
      </c>
      <c r="H6995" s="15" t="s">
        <v>4821</v>
      </c>
      <c r="I6995" s="15" t="s">
        <v>1686</v>
      </c>
      <c r="J6995" s="15" t="s">
        <v>26446</v>
      </c>
      <c r="K6995" s="15">
        <v>1.0</v>
      </c>
      <c r="L6995" s="15">
        <v>1.0</v>
      </c>
      <c r="M6995" s="40">
        <v>42785.0</v>
      </c>
      <c r="N6995" s="40">
        <v>42793.0</v>
      </c>
      <c r="O6995" s="15" t="s">
        <v>1554</v>
      </c>
      <c r="Q6995" s="7"/>
    </row>
    <row r="6996">
      <c r="A6996" s="39" t="s">
        <v>26448</v>
      </c>
      <c r="B6996" s="15">
        <v>1955730.0</v>
      </c>
      <c r="C6996" s="15" t="s">
        <v>26449</v>
      </c>
      <c r="D6996" s="15">
        <v>376919.0</v>
      </c>
      <c r="E6996" s="15" t="s">
        <v>1548</v>
      </c>
      <c r="F6996" s="15" t="s">
        <v>2032</v>
      </c>
      <c r="G6996" s="7">
        <v>6.612</v>
      </c>
      <c r="H6996" s="15" t="s">
        <v>2154</v>
      </c>
      <c r="I6996" s="15" t="s">
        <v>2034</v>
      </c>
      <c r="J6996" s="15" t="s">
        <v>26450</v>
      </c>
      <c r="K6996" s="15">
        <v>1.0</v>
      </c>
      <c r="L6996" s="15">
        <v>1.0</v>
      </c>
      <c r="M6996" s="40">
        <v>42785.0</v>
      </c>
      <c r="N6996" s="40">
        <v>42793.0</v>
      </c>
      <c r="O6996" s="15" t="s">
        <v>1554</v>
      </c>
      <c r="Q6996" s="7"/>
    </row>
    <row r="6997">
      <c r="A6997" s="39" t="s">
        <v>26451</v>
      </c>
      <c r="B6997" s="15">
        <v>1048854.0</v>
      </c>
      <c r="C6997" s="15" t="s">
        <v>26452</v>
      </c>
      <c r="D6997" s="15">
        <v>376920.0</v>
      </c>
      <c r="E6997" s="15" t="s">
        <v>1548</v>
      </c>
      <c r="F6997" s="15" t="s">
        <v>3116</v>
      </c>
      <c r="G6997" s="7">
        <v>12.923</v>
      </c>
      <c r="H6997" s="15" t="s">
        <v>26453</v>
      </c>
      <c r="I6997" s="15" t="s">
        <v>1803</v>
      </c>
      <c r="J6997" s="15" t="s">
        <v>26454</v>
      </c>
      <c r="K6997" s="15">
        <v>4.0</v>
      </c>
      <c r="L6997" s="15">
        <v>4.0</v>
      </c>
      <c r="M6997" s="40">
        <v>41032.0</v>
      </c>
      <c r="N6997" s="40">
        <v>42793.0</v>
      </c>
      <c r="O6997" s="15" t="s">
        <v>1554</v>
      </c>
      <c r="Q6997" s="7"/>
    </row>
    <row r="6998">
      <c r="A6998" s="39" t="s">
        <v>26455</v>
      </c>
      <c r="B6998" s="15">
        <v>1926502.0</v>
      </c>
      <c r="C6998" s="15" t="s">
        <v>26457</v>
      </c>
      <c r="D6998" s="15">
        <v>376921.0</v>
      </c>
      <c r="E6998" s="15" t="s">
        <v>1548</v>
      </c>
      <c r="F6998" s="15" t="s">
        <v>3116</v>
      </c>
      <c r="G6998" s="7">
        <v>12.896</v>
      </c>
      <c r="H6998" s="15" t="s">
        <v>26458</v>
      </c>
      <c r="I6998" s="15" t="s">
        <v>1803</v>
      </c>
      <c r="J6998" s="15" t="s">
        <v>26459</v>
      </c>
      <c r="K6998" s="15">
        <v>4.0</v>
      </c>
      <c r="L6998" s="15">
        <v>4.0</v>
      </c>
      <c r="M6998" s="40">
        <v>42787.0</v>
      </c>
      <c r="N6998" s="40">
        <v>42793.0</v>
      </c>
      <c r="O6998" s="15" t="s">
        <v>1554</v>
      </c>
      <c r="Q6998" s="7"/>
    </row>
    <row r="6999">
      <c r="A6999" s="39" t="s">
        <v>26460</v>
      </c>
      <c r="B6999" s="15">
        <v>1926501.0</v>
      </c>
      <c r="C6999" s="15" t="s">
        <v>26461</v>
      </c>
      <c r="D6999" s="15">
        <v>376922.0</v>
      </c>
      <c r="E6999" s="15" t="s">
        <v>1548</v>
      </c>
      <c r="F6999" s="15" t="s">
        <v>3116</v>
      </c>
      <c r="G6999" s="7">
        <v>12.45</v>
      </c>
      <c r="H6999" s="15" t="s">
        <v>26462</v>
      </c>
      <c r="I6999" s="15" t="s">
        <v>1803</v>
      </c>
      <c r="J6999" s="15" t="s">
        <v>26463</v>
      </c>
      <c r="K6999" s="15">
        <v>4.0</v>
      </c>
      <c r="L6999" s="15">
        <v>4.0</v>
      </c>
      <c r="M6999" s="40">
        <v>42787.0</v>
      </c>
      <c r="N6999" s="40">
        <v>42793.0</v>
      </c>
      <c r="O6999" s="15" t="s">
        <v>1554</v>
      </c>
      <c r="Q6999" s="7"/>
    </row>
    <row r="7000">
      <c r="A7000" s="39" t="s">
        <v>26464</v>
      </c>
      <c r="B7000" s="15">
        <v>1926500.0</v>
      </c>
      <c r="C7000" s="15" t="s">
        <v>26466</v>
      </c>
      <c r="D7000" s="15">
        <v>376923.0</v>
      </c>
      <c r="E7000" s="15" t="s">
        <v>1548</v>
      </c>
      <c r="F7000" s="15" t="s">
        <v>3116</v>
      </c>
      <c r="G7000" s="7">
        <v>12.639</v>
      </c>
      <c r="H7000" s="15" t="s">
        <v>26467</v>
      </c>
      <c r="I7000" s="15" t="s">
        <v>1803</v>
      </c>
      <c r="J7000" s="15" t="s">
        <v>26468</v>
      </c>
      <c r="K7000" s="15">
        <v>4.0</v>
      </c>
      <c r="L7000" s="15">
        <v>4.0</v>
      </c>
      <c r="M7000" s="40">
        <v>42787.0</v>
      </c>
      <c r="N7000" s="40">
        <v>42793.0</v>
      </c>
      <c r="O7000" s="15" t="s">
        <v>1554</v>
      </c>
      <c r="Q7000" s="7"/>
    </row>
    <row r="7001">
      <c r="A7001" s="39" t="s">
        <v>26469</v>
      </c>
      <c r="B7001" s="15">
        <v>1923726.0</v>
      </c>
      <c r="C7001" s="15" t="s">
        <v>26470</v>
      </c>
      <c r="D7001" s="15">
        <v>376924.0</v>
      </c>
      <c r="E7001" s="15" t="s">
        <v>1664</v>
      </c>
      <c r="F7001" s="15" t="s">
        <v>1664</v>
      </c>
      <c r="G7001" s="7">
        <v>3.635</v>
      </c>
      <c r="H7001" s="15" t="s">
        <v>26472</v>
      </c>
      <c r="I7001" s="15" t="s">
        <v>1560</v>
      </c>
      <c r="J7001" s="15" t="s">
        <v>26473</v>
      </c>
      <c r="K7001" s="15">
        <v>2.0</v>
      </c>
      <c r="L7001" s="15">
        <v>2.0</v>
      </c>
      <c r="M7001" s="41">
        <v>42714.0</v>
      </c>
      <c r="N7001" s="40">
        <v>42793.0</v>
      </c>
      <c r="O7001" s="15" t="s">
        <v>1554</v>
      </c>
      <c r="Q7001" s="7"/>
    </row>
    <row r="7002">
      <c r="A7002" s="39" t="s">
        <v>26474</v>
      </c>
      <c r="B7002" s="15">
        <v>1923716.0</v>
      </c>
      <c r="C7002" s="15" t="s">
        <v>26475</v>
      </c>
      <c r="D7002" s="15">
        <v>376925.0</v>
      </c>
      <c r="E7002" s="15" t="s">
        <v>1664</v>
      </c>
      <c r="F7002" s="15" t="s">
        <v>1664</v>
      </c>
      <c r="G7002" s="7">
        <v>11.094</v>
      </c>
      <c r="H7002" s="15" t="s">
        <v>3554</v>
      </c>
      <c r="I7002" s="15" t="s">
        <v>1560</v>
      </c>
      <c r="J7002" s="15" t="s">
        <v>26476</v>
      </c>
      <c r="K7002" s="15">
        <v>1.0</v>
      </c>
      <c r="L7002" s="15">
        <v>1.0</v>
      </c>
      <c r="M7002" s="41">
        <v>42714.0</v>
      </c>
      <c r="N7002" s="40">
        <v>42793.0</v>
      </c>
      <c r="O7002" s="15" t="s">
        <v>1554</v>
      </c>
      <c r="Q7002" s="7"/>
    </row>
    <row r="7003">
      <c r="A7003" s="39" t="s">
        <v>26478</v>
      </c>
      <c r="B7003" s="15">
        <v>1923351.0</v>
      </c>
      <c r="C7003" s="15" t="s">
        <v>26479</v>
      </c>
      <c r="D7003" s="15">
        <v>376926.0</v>
      </c>
      <c r="E7003" s="15" t="s">
        <v>1664</v>
      </c>
      <c r="F7003" s="15" t="s">
        <v>1664</v>
      </c>
      <c r="G7003" s="7">
        <v>7.949</v>
      </c>
      <c r="H7003" s="15" t="s">
        <v>3220</v>
      </c>
      <c r="I7003" s="15" t="s">
        <v>1560</v>
      </c>
      <c r="J7003" s="15" t="s">
        <v>26480</v>
      </c>
      <c r="K7003" s="15">
        <v>2.0</v>
      </c>
      <c r="L7003" s="15">
        <v>2.0</v>
      </c>
      <c r="M7003" s="41">
        <v>42714.0</v>
      </c>
      <c r="N7003" s="40">
        <v>42793.0</v>
      </c>
      <c r="O7003" s="15" t="s">
        <v>1554</v>
      </c>
      <c r="Q7003" s="7"/>
    </row>
    <row r="7004">
      <c r="A7004" s="39" t="s">
        <v>26482</v>
      </c>
      <c r="B7004" s="15">
        <v>1922604.0</v>
      </c>
      <c r="C7004" s="15" t="s">
        <v>26483</v>
      </c>
      <c r="D7004" s="15">
        <v>376927.0</v>
      </c>
      <c r="E7004" s="15" t="s">
        <v>1664</v>
      </c>
      <c r="F7004" s="15" t="s">
        <v>1664</v>
      </c>
      <c r="G7004" s="7">
        <v>9.096</v>
      </c>
      <c r="H7004" s="15">
        <v>37.0</v>
      </c>
      <c r="I7004" s="15" t="s">
        <v>1560</v>
      </c>
      <c r="J7004" s="15" t="s">
        <v>26484</v>
      </c>
      <c r="K7004" s="15">
        <v>1.0</v>
      </c>
      <c r="L7004" s="15">
        <v>1.0</v>
      </c>
      <c r="M7004" s="41">
        <v>42714.0</v>
      </c>
      <c r="N7004" s="40">
        <v>42793.0</v>
      </c>
      <c r="O7004" s="15" t="s">
        <v>1554</v>
      </c>
      <c r="Q7004" s="7"/>
    </row>
    <row r="7005">
      <c r="A7005" s="39" t="s">
        <v>26486</v>
      </c>
      <c r="B7005" s="15">
        <v>1922602.0</v>
      </c>
      <c r="C7005" s="15" t="s">
        <v>26487</v>
      </c>
      <c r="D7005" s="15">
        <v>376928.0</v>
      </c>
      <c r="E7005" s="15" t="s">
        <v>1664</v>
      </c>
      <c r="F7005" s="15" t="s">
        <v>1664</v>
      </c>
      <c r="G7005" s="7">
        <v>8.518</v>
      </c>
      <c r="H7005" s="15" t="s">
        <v>6716</v>
      </c>
      <c r="I7005" s="15" t="s">
        <v>1560</v>
      </c>
      <c r="J7005" s="15" t="s">
        <v>26488</v>
      </c>
      <c r="K7005" s="15">
        <v>1.0</v>
      </c>
      <c r="L7005" s="15">
        <v>1.0</v>
      </c>
      <c r="M7005" s="41">
        <v>42714.0</v>
      </c>
      <c r="N7005" s="40">
        <v>42793.0</v>
      </c>
      <c r="O7005" s="15" t="s">
        <v>1554</v>
      </c>
      <c r="Q7005" s="7"/>
    </row>
    <row r="7006">
      <c r="A7006" s="39" t="s">
        <v>26489</v>
      </c>
      <c r="B7006" s="15">
        <v>1654582.0</v>
      </c>
      <c r="C7006" s="15" t="s">
        <v>26491</v>
      </c>
      <c r="D7006" s="15">
        <v>376929.0</v>
      </c>
      <c r="E7006" s="15" t="s">
        <v>1557</v>
      </c>
      <c r="F7006" s="15" t="s">
        <v>3920</v>
      </c>
      <c r="G7006" s="7">
        <v>152.388</v>
      </c>
      <c r="H7006" s="15" t="s">
        <v>13643</v>
      </c>
      <c r="I7006" s="15" t="s">
        <v>1560</v>
      </c>
      <c r="J7006" s="15" t="s">
        <v>26492</v>
      </c>
      <c r="K7006" s="15">
        <v>101.0</v>
      </c>
      <c r="L7006" s="15">
        <v>95.0</v>
      </c>
      <c r="M7006" s="40">
        <v>42784.0</v>
      </c>
      <c r="N7006" s="40">
        <v>42793.0</v>
      </c>
      <c r="O7006" s="15" t="s">
        <v>1554</v>
      </c>
      <c r="Q7006" s="7"/>
    </row>
    <row r="7007">
      <c r="A7007" s="39" t="s">
        <v>26493</v>
      </c>
      <c r="B7007" s="15">
        <v>1055750.0</v>
      </c>
      <c r="C7007" s="15" t="s">
        <v>26494</v>
      </c>
      <c r="D7007" s="15">
        <v>376930.0</v>
      </c>
      <c r="E7007" s="15" t="s">
        <v>1548</v>
      </c>
      <c r="F7007" s="15" t="s">
        <v>3116</v>
      </c>
      <c r="G7007" s="7">
        <v>12.404</v>
      </c>
      <c r="H7007" s="15" t="s">
        <v>26495</v>
      </c>
      <c r="I7007" s="15" t="s">
        <v>1803</v>
      </c>
      <c r="J7007" s="15" t="s">
        <v>26496</v>
      </c>
      <c r="K7007" s="15">
        <v>4.0</v>
      </c>
      <c r="L7007" s="15">
        <v>4.0</v>
      </c>
      <c r="M7007" s="40">
        <v>42787.0</v>
      </c>
      <c r="N7007" s="40">
        <v>42793.0</v>
      </c>
      <c r="O7007" s="15" t="s">
        <v>1554</v>
      </c>
      <c r="Q7007" s="7"/>
    </row>
    <row r="7008">
      <c r="A7008" s="39" t="s">
        <v>26498</v>
      </c>
      <c r="B7008" s="15">
        <v>904722.0</v>
      </c>
      <c r="C7008" s="15" t="s">
        <v>26499</v>
      </c>
      <c r="D7008" s="15">
        <v>376931.0</v>
      </c>
      <c r="E7008" s="15" t="s">
        <v>1548</v>
      </c>
      <c r="F7008" s="15" t="s">
        <v>3116</v>
      </c>
      <c r="G7008" s="7">
        <v>12.568</v>
      </c>
      <c r="H7008" s="15" t="s">
        <v>26500</v>
      </c>
      <c r="I7008" s="15" t="s">
        <v>1803</v>
      </c>
      <c r="J7008" s="15" t="s">
        <v>26501</v>
      </c>
      <c r="K7008" s="15">
        <v>4.0</v>
      </c>
      <c r="L7008" s="15">
        <v>4.0</v>
      </c>
      <c r="M7008" s="40">
        <v>42787.0</v>
      </c>
      <c r="N7008" s="40">
        <v>42793.0</v>
      </c>
      <c r="O7008" s="15" t="s">
        <v>1554</v>
      </c>
      <c r="Q7008" s="7"/>
    </row>
    <row r="7009">
      <c r="A7009" s="39" t="s">
        <v>26502</v>
      </c>
      <c r="B7009" s="15">
        <v>485724.0</v>
      </c>
      <c r="C7009" s="15" t="s">
        <v>26504</v>
      </c>
      <c r="D7009" s="15">
        <v>376932.0</v>
      </c>
      <c r="E7009" s="15" t="s">
        <v>1548</v>
      </c>
      <c r="F7009" s="15" t="s">
        <v>5033</v>
      </c>
      <c r="G7009" s="7">
        <v>17.067</v>
      </c>
      <c r="H7009" s="15" t="s">
        <v>26505</v>
      </c>
      <c r="I7009" s="15" t="s">
        <v>2034</v>
      </c>
      <c r="J7009" s="15" t="s">
        <v>26506</v>
      </c>
      <c r="K7009" s="15">
        <v>5.0</v>
      </c>
      <c r="L7009" s="15">
        <v>5.0</v>
      </c>
      <c r="M7009" s="40">
        <v>42786.0</v>
      </c>
      <c r="N7009" s="40">
        <v>42793.0</v>
      </c>
      <c r="O7009" s="15" t="s">
        <v>1554</v>
      </c>
      <c r="Q7009" s="7"/>
    </row>
    <row r="7010">
      <c r="A7010" s="39" t="s">
        <v>26507</v>
      </c>
      <c r="B7010" s="15">
        <v>1961666.0</v>
      </c>
      <c r="C7010" s="15" t="s">
        <v>26508</v>
      </c>
      <c r="D7010" s="15">
        <v>376933.0</v>
      </c>
      <c r="E7010" s="15" t="s">
        <v>1548</v>
      </c>
      <c r="F7010" s="15" t="s">
        <v>1848</v>
      </c>
      <c r="G7010" s="7">
        <v>6.64</v>
      </c>
      <c r="H7010" s="15" t="s">
        <v>1881</v>
      </c>
      <c r="I7010" s="15" t="s">
        <v>1686</v>
      </c>
      <c r="J7010" s="15" t="s">
        <v>26510</v>
      </c>
      <c r="K7010" s="15">
        <v>3.0</v>
      </c>
      <c r="L7010" s="15">
        <v>3.0</v>
      </c>
      <c r="M7010" s="40">
        <v>42779.0</v>
      </c>
      <c r="N7010" s="40">
        <v>42793.0</v>
      </c>
      <c r="O7010" s="15" t="s">
        <v>1554</v>
      </c>
      <c r="Q7010" s="7"/>
    </row>
    <row r="7011">
      <c r="A7011" s="39" t="s">
        <v>26511</v>
      </c>
      <c r="B7011" s="15">
        <v>1958957.0</v>
      </c>
      <c r="C7011" s="15" t="s">
        <v>26512</v>
      </c>
      <c r="D7011" s="15">
        <v>376934.0</v>
      </c>
      <c r="E7011" s="15" t="s">
        <v>2014</v>
      </c>
      <c r="F7011" s="15" t="s">
        <v>1578</v>
      </c>
      <c r="G7011" s="7">
        <v>1.228</v>
      </c>
      <c r="H7011" s="15" t="s">
        <v>2451</v>
      </c>
      <c r="I7011" s="15" t="s">
        <v>1628</v>
      </c>
      <c r="J7011" s="15" t="s">
        <v>26514</v>
      </c>
      <c r="K7011" s="15">
        <v>2.0</v>
      </c>
      <c r="L7011" s="15">
        <v>2.0</v>
      </c>
      <c r="M7011" s="40">
        <v>42786.0</v>
      </c>
      <c r="N7011" s="40">
        <v>42793.0</v>
      </c>
      <c r="O7011" s="15" t="s">
        <v>1554</v>
      </c>
      <c r="Q7011" s="7"/>
    </row>
    <row r="7012">
      <c r="A7012" s="39" t="s">
        <v>26515</v>
      </c>
      <c r="B7012" s="15">
        <v>1958786.0</v>
      </c>
      <c r="C7012" s="15" t="s">
        <v>26516</v>
      </c>
      <c r="D7012" s="15">
        <v>376935.0</v>
      </c>
      <c r="E7012" s="15" t="s">
        <v>1577</v>
      </c>
      <c r="F7012" s="15" t="s">
        <v>1578</v>
      </c>
      <c r="G7012" s="7">
        <v>8.63</v>
      </c>
      <c r="H7012" s="15" t="s">
        <v>5934</v>
      </c>
      <c r="I7012" s="15" t="s">
        <v>1686</v>
      </c>
      <c r="J7012" s="15" t="s">
        <v>26517</v>
      </c>
      <c r="K7012" s="15">
        <v>2.0</v>
      </c>
      <c r="L7012" s="15">
        <v>2.0</v>
      </c>
      <c r="M7012" s="40">
        <v>42785.0</v>
      </c>
      <c r="N7012" s="40">
        <v>42793.0</v>
      </c>
      <c r="O7012" s="15" t="s">
        <v>1554</v>
      </c>
      <c r="Q7012" s="7"/>
    </row>
    <row r="7013">
      <c r="A7013" s="39" t="s">
        <v>26518</v>
      </c>
      <c r="B7013" s="15">
        <v>1958785.0</v>
      </c>
      <c r="C7013" s="15" t="s">
        <v>26519</v>
      </c>
      <c r="D7013" s="15">
        <v>376936.0</v>
      </c>
      <c r="E7013" s="15" t="s">
        <v>1577</v>
      </c>
      <c r="F7013" s="15" t="s">
        <v>1578</v>
      </c>
      <c r="G7013" s="7">
        <v>8.335</v>
      </c>
      <c r="H7013" s="15" t="s">
        <v>7408</v>
      </c>
      <c r="I7013" s="15" t="s">
        <v>1686</v>
      </c>
      <c r="J7013" s="15" t="s">
        <v>26521</v>
      </c>
      <c r="K7013" s="15">
        <v>2.0</v>
      </c>
      <c r="L7013" s="15">
        <v>2.0</v>
      </c>
      <c r="M7013" s="40">
        <v>42785.0</v>
      </c>
      <c r="N7013" s="40">
        <v>42793.0</v>
      </c>
      <c r="O7013" s="15" t="s">
        <v>1554</v>
      </c>
      <c r="Q7013" s="7"/>
    </row>
    <row r="7014">
      <c r="A7014" s="39" t="s">
        <v>26522</v>
      </c>
      <c r="B7014" s="15">
        <v>1188792.0</v>
      </c>
      <c r="C7014" s="15" t="s">
        <v>26523</v>
      </c>
      <c r="D7014" s="15">
        <v>240322.0</v>
      </c>
      <c r="E7014" s="15" t="s">
        <v>1638</v>
      </c>
      <c r="F7014" s="15" t="s">
        <v>2849</v>
      </c>
      <c r="G7014" s="7">
        <v>13.908</v>
      </c>
      <c r="H7014" s="15" t="s">
        <v>2885</v>
      </c>
      <c r="I7014" s="15" t="s">
        <v>1628</v>
      </c>
      <c r="J7014" s="15" t="s">
        <v>26524</v>
      </c>
      <c r="K7014" s="15">
        <v>1.0</v>
      </c>
      <c r="L7014" s="15">
        <v>1.0</v>
      </c>
      <c r="M7014" s="41">
        <v>41242.0</v>
      </c>
      <c r="N7014" s="40">
        <v>41705.0</v>
      </c>
      <c r="O7014" s="15" t="s">
        <v>1554</v>
      </c>
      <c r="Q7014" s="7"/>
    </row>
    <row r="7015">
      <c r="A7015" s="39" t="s">
        <v>26525</v>
      </c>
      <c r="B7015" s="15">
        <v>1678146.0</v>
      </c>
      <c r="C7015" s="15" t="s">
        <v>26526</v>
      </c>
      <c r="D7015" s="15">
        <v>172460.0</v>
      </c>
      <c r="E7015" s="15" t="s">
        <v>1548</v>
      </c>
      <c r="F7015" s="15" t="s">
        <v>1565</v>
      </c>
      <c r="G7015" s="7">
        <v>6.796</v>
      </c>
      <c r="H7015" s="15" t="s">
        <v>2241</v>
      </c>
      <c r="I7015" s="15" t="s">
        <v>1567</v>
      </c>
      <c r="J7015" s="15" t="s">
        <v>26527</v>
      </c>
      <c r="K7015" s="15">
        <v>3.0</v>
      </c>
      <c r="L7015" s="15">
        <v>3.0</v>
      </c>
      <c r="M7015" s="40">
        <v>41126.0</v>
      </c>
      <c r="N7015" s="40">
        <v>42990.0</v>
      </c>
      <c r="O7015" s="15" t="s">
        <v>1554</v>
      </c>
      <c r="Q7015" s="7"/>
    </row>
    <row r="7016">
      <c r="A7016" s="39" t="s">
        <v>26529</v>
      </c>
      <c r="B7016" s="15">
        <v>186617.0</v>
      </c>
      <c r="C7016" s="15" t="s">
        <v>26530</v>
      </c>
      <c r="D7016" s="15">
        <v>371593.0</v>
      </c>
      <c r="E7016" s="15" t="s">
        <v>1664</v>
      </c>
      <c r="F7016" s="15" t="s">
        <v>1664</v>
      </c>
      <c r="G7016" s="7">
        <v>6683.15</v>
      </c>
      <c r="H7016" s="15" t="s">
        <v>1710</v>
      </c>
      <c r="I7016" s="15" t="s">
        <v>1722</v>
      </c>
      <c r="J7016" s="15" t="s">
        <v>26531</v>
      </c>
      <c r="K7016" s="15" t="s">
        <v>1722</v>
      </c>
      <c r="L7016" s="15" t="s">
        <v>1722</v>
      </c>
      <c r="M7016" s="40">
        <v>42770.0</v>
      </c>
      <c r="N7016" s="40">
        <v>42851.0</v>
      </c>
      <c r="O7016" s="15" t="s">
        <v>22466</v>
      </c>
      <c r="Q7016" s="7"/>
    </row>
    <row r="7017">
      <c r="A7017" s="39" t="s">
        <v>26532</v>
      </c>
      <c r="B7017" s="15">
        <v>1955175.0</v>
      </c>
      <c r="C7017" s="15" t="s">
        <v>26533</v>
      </c>
      <c r="D7017" s="15">
        <v>378393.0</v>
      </c>
      <c r="E7017" s="15" t="s">
        <v>1577</v>
      </c>
      <c r="F7017" s="15" t="s">
        <v>1578</v>
      </c>
      <c r="G7017" s="7">
        <v>7.615</v>
      </c>
      <c r="H7017" s="15" t="s">
        <v>2699</v>
      </c>
      <c r="I7017" s="15" t="s">
        <v>1560</v>
      </c>
      <c r="J7017" s="15" t="s">
        <v>26535</v>
      </c>
      <c r="K7017" s="15">
        <v>1.0</v>
      </c>
      <c r="L7017" s="15">
        <v>1.0</v>
      </c>
      <c r="M7017" s="40">
        <v>42793.0</v>
      </c>
      <c r="N7017" s="40">
        <v>42802.0</v>
      </c>
      <c r="O7017" s="15" t="s">
        <v>1554</v>
      </c>
      <c r="Q7017" s="7"/>
    </row>
    <row r="7018">
      <c r="A7018" s="39" t="s">
        <v>26536</v>
      </c>
      <c r="B7018" s="15">
        <v>1170425.0</v>
      </c>
      <c r="C7018" s="15" t="s">
        <v>26537</v>
      </c>
      <c r="D7018" s="15">
        <v>378395.0</v>
      </c>
      <c r="E7018" s="15" t="s">
        <v>1548</v>
      </c>
      <c r="F7018" s="15" t="s">
        <v>1578</v>
      </c>
      <c r="G7018" s="7">
        <v>43230.0</v>
      </c>
      <c r="H7018" s="15" t="s">
        <v>2901</v>
      </c>
      <c r="I7018" s="15" t="s">
        <v>1560</v>
      </c>
      <c r="J7018" s="15" t="s">
        <v>26538</v>
      </c>
      <c r="K7018" s="15">
        <v>3.0</v>
      </c>
      <c r="L7018" s="15">
        <v>3.0</v>
      </c>
      <c r="M7018" s="40">
        <v>42793.0</v>
      </c>
      <c r="N7018" s="40">
        <v>42802.0</v>
      </c>
      <c r="O7018" s="15" t="s">
        <v>1554</v>
      </c>
      <c r="Q7018" s="7"/>
    </row>
    <row r="7019">
      <c r="A7019" s="39" t="s">
        <v>26539</v>
      </c>
      <c r="B7019" s="15">
        <v>1170422.0</v>
      </c>
      <c r="C7019" s="15" t="s">
        <v>26540</v>
      </c>
      <c r="D7019" s="15">
        <v>378396.0</v>
      </c>
      <c r="E7019" s="15" t="s">
        <v>1548</v>
      </c>
      <c r="F7019" s="15" t="s">
        <v>1578</v>
      </c>
      <c r="G7019" s="7">
        <v>9.136</v>
      </c>
      <c r="H7019" s="15">
        <v>39.0</v>
      </c>
      <c r="I7019" s="15" t="s">
        <v>1560</v>
      </c>
      <c r="J7019" s="15" t="s">
        <v>26541</v>
      </c>
      <c r="K7019" s="15">
        <v>3.0</v>
      </c>
      <c r="L7019" s="15">
        <v>3.0</v>
      </c>
      <c r="M7019" s="40">
        <v>42793.0</v>
      </c>
      <c r="N7019" s="40">
        <v>42802.0</v>
      </c>
      <c r="O7019" s="15" t="s">
        <v>1554</v>
      </c>
      <c r="Q7019" s="7"/>
    </row>
    <row r="7020">
      <c r="A7020" s="39" t="s">
        <v>26542</v>
      </c>
      <c r="B7020" s="15">
        <v>1050903.0</v>
      </c>
      <c r="C7020" s="15" t="s">
        <v>26543</v>
      </c>
      <c r="D7020" s="15">
        <v>378397.0</v>
      </c>
      <c r="E7020" s="15" t="s">
        <v>1638</v>
      </c>
      <c r="F7020" s="15" t="s">
        <v>1796</v>
      </c>
      <c r="G7020" s="7">
        <v>3.134</v>
      </c>
      <c r="H7020" s="15" t="s">
        <v>26545</v>
      </c>
      <c r="I7020" s="15" t="s">
        <v>1628</v>
      </c>
      <c r="J7020" s="15" t="s">
        <v>26546</v>
      </c>
      <c r="K7020" s="15">
        <v>2.0</v>
      </c>
      <c r="L7020" s="15">
        <v>2.0</v>
      </c>
      <c r="M7020" s="40">
        <v>40728.0</v>
      </c>
      <c r="N7020" s="40">
        <v>42802.0</v>
      </c>
      <c r="O7020" s="15" t="s">
        <v>1554</v>
      </c>
      <c r="Q7020" s="7"/>
    </row>
    <row r="7021">
      <c r="A7021" s="39" t="s">
        <v>26547</v>
      </c>
      <c r="B7021" s="15">
        <v>1955199.0</v>
      </c>
      <c r="C7021" s="15" t="s">
        <v>26548</v>
      </c>
      <c r="D7021" s="15">
        <v>378398.0</v>
      </c>
      <c r="E7021" s="15" t="s">
        <v>1577</v>
      </c>
      <c r="F7021" s="15" t="s">
        <v>1578</v>
      </c>
      <c r="G7021" s="7">
        <v>9.748</v>
      </c>
      <c r="H7021" s="15" t="s">
        <v>3255</v>
      </c>
      <c r="I7021" s="15" t="s">
        <v>1560</v>
      </c>
      <c r="J7021" s="15" t="s">
        <v>26549</v>
      </c>
      <c r="K7021" s="15">
        <v>3.0</v>
      </c>
      <c r="L7021" s="15">
        <v>3.0</v>
      </c>
      <c r="M7021" s="40">
        <v>42793.0</v>
      </c>
      <c r="N7021" s="40">
        <v>42802.0</v>
      </c>
      <c r="O7021" s="15" t="s">
        <v>1554</v>
      </c>
      <c r="Q7021" s="7"/>
    </row>
    <row r="7022">
      <c r="A7022" s="39" t="s">
        <v>26550</v>
      </c>
      <c r="B7022" s="15">
        <v>1955198.0</v>
      </c>
      <c r="C7022" s="15" t="s">
        <v>26551</v>
      </c>
      <c r="D7022" s="15">
        <v>378399.0</v>
      </c>
      <c r="E7022" s="15" t="s">
        <v>1577</v>
      </c>
      <c r="F7022" s="15" t="s">
        <v>1578</v>
      </c>
      <c r="G7022" s="7">
        <v>7.903</v>
      </c>
      <c r="H7022" s="15" t="s">
        <v>3554</v>
      </c>
      <c r="I7022" s="15" t="s">
        <v>1560</v>
      </c>
      <c r="J7022" s="15" t="s">
        <v>26552</v>
      </c>
      <c r="K7022" s="15">
        <v>1.0</v>
      </c>
      <c r="L7022" s="15">
        <v>1.0</v>
      </c>
      <c r="M7022" s="40">
        <v>42793.0</v>
      </c>
      <c r="N7022" s="40">
        <v>42802.0</v>
      </c>
      <c r="O7022" s="15" t="s">
        <v>1554</v>
      </c>
      <c r="Q7022" s="7"/>
    </row>
    <row r="7023">
      <c r="A7023" s="39" t="s">
        <v>26554</v>
      </c>
      <c r="B7023" s="15">
        <v>1955197.0</v>
      </c>
      <c r="C7023" s="15" t="s">
        <v>26555</v>
      </c>
      <c r="D7023" s="15">
        <v>378400.0</v>
      </c>
      <c r="E7023" s="15" t="s">
        <v>1577</v>
      </c>
      <c r="F7023" s="15" t="s">
        <v>1578</v>
      </c>
      <c r="G7023" s="7">
        <v>9.111</v>
      </c>
      <c r="H7023" s="15" t="s">
        <v>6418</v>
      </c>
      <c r="I7023" s="15" t="s">
        <v>1560</v>
      </c>
      <c r="J7023" s="15" t="s">
        <v>26556</v>
      </c>
      <c r="K7023" s="15">
        <v>3.0</v>
      </c>
      <c r="L7023" s="15">
        <v>3.0</v>
      </c>
      <c r="M7023" s="40">
        <v>42793.0</v>
      </c>
      <c r="N7023" s="40">
        <v>42802.0</v>
      </c>
      <c r="O7023" s="15" t="s">
        <v>1554</v>
      </c>
      <c r="Q7023" s="7"/>
    </row>
    <row r="7024">
      <c r="A7024" s="39" t="s">
        <v>26557</v>
      </c>
      <c r="B7024" s="15">
        <v>1955196.0</v>
      </c>
      <c r="C7024" s="15" t="s">
        <v>26558</v>
      </c>
      <c r="D7024" s="15">
        <v>378401.0</v>
      </c>
      <c r="E7024" s="15" t="s">
        <v>1577</v>
      </c>
      <c r="F7024" s="15" t="s">
        <v>1578</v>
      </c>
      <c r="G7024" s="7">
        <v>9.506</v>
      </c>
      <c r="H7024" s="15" t="s">
        <v>2392</v>
      </c>
      <c r="I7024" s="15" t="s">
        <v>1560</v>
      </c>
      <c r="J7024" s="15" t="s">
        <v>26559</v>
      </c>
      <c r="K7024" s="15">
        <v>3.0</v>
      </c>
      <c r="L7024" s="15">
        <v>3.0</v>
      </c>
      <c r="M7024" s="40">
        <v>42793.0</v>
      </c>
      <c r="N7024" s="40">
        <v>42802.0</v>
      </c>
      <c r="O7024" s="15" t="s">
        <v>1554</v>
      </c>
      <c r="Q7024" s="7"/>
    </row>
    <row r="7025">
      <c r="A7025" s="39" t="s">
        <v>26560</v>
      </c>
      <c r="B7025" s="15">
        <v>1963247.0</v>
      </c>
      <c r="C7025" s="15" t="s">
        <v>26561</v>
      </c>
      <c r="D7025" s="15">
        <v>378771.0</v>
      </c>
      <c r="E7025" s="15" t="s">
        <v>1548</v>
      </c>
      <c r="F7025" s="15" t="s">
        <v>1801</v>
      </c>
      <c r="G7025" s="7">
        <v>10.897</v>
      </c>
      <c r="H7025" s="15" t="s">
        <v>2540</v>
      </c>
      <c r="I7025" s="15" t="s">
        <v>1560</v>
      </c>
      <c r="J7025" s="15" t="s">
        <v>26563</v>
      </c>
      <c r="K7025" s="15">
        <v>1.0</v>
      </c>
      <c r="L7025" s="15">
        <v>1.0</v>
      </c>
      <c r="M7025" s="40">
        <v>42800.0</v>
      </c>
      <c r="N7025" s="40">
        <v>42808.0</v>
      </c>
      <c r="O7025" s="15" t="s">
        <v>1554</v>
      </c>
      <c r="Q7025" s="7"/>
    </row>
    <row r="7026">
      <c r="A7026" s="39" t="s">
        <v>26564</v>
      </c>
      <c r="B7026" s="15">
        <v>1963256.0</v>
      </c>
      <c r="C7026" s="15" t="s">
        <v>26565</v>
      </c>
      <c r="D7026" s="15">
        <v>379130.0</v>
      </c>
      <c r="E7026" s="15" t="s">
        <v>1548</v>
      </c>
      <c r="F7026" s="15" t="s">
        <v>1771</v>
      </c>
      <c r="G7026" s="7">
        <v>5.953</v>
      </c>
      <c r="H7026" s="15" t="s">
        <v>1802</v>
      </c>
      <c r="I7026" s="15" t="s">
        <v>1628</v>
      </c>
      <c r="J7026" s="15" t="s">
        <v>26566</v>
      </c>
      <c r="K7026" s="15">
        <v>6.0</v>
      </c>
      <c r="L7026" s="15">
        <v>6.0</v>
      </c>
      <c r="M7026" s="40">
        <v>42800.0</v>
      </c>
      <c r="N7026" s="40">
        <v>42808.0</v>
      </c>
      <c r="O7026" s="15" t="s">
        <v>1554</v>
      </c>
      <c r="Q7026" s="7"/>
    </row>
    <row r="7027">
      <c r="A7027" s="39" t="s">
        <v>26567</v>
      </c>
      <c r="B7027" s="15">
        <v>1808960.0</v>
      </c>
      <c r="C7027" s="15" t="s">
        <v>26568</v>
      </c>
      <c r="D7027" s="15">
        <v>379131.0</v>
      </c>
      <c r="E7027" s="15" t="s">
        <v>1577</v>
      </c>
      <c r="F7027" s="15" t="s">
        <v>1578</v>
      </c>
      <c r="G7027" s="7">
        <v>3.17</v>
      </c>
      <c r="H7027" s="15" t="s">
        <v>1756</v>
      </c>
      <c r="I7027" s="15" t="s">
        <v>1552</v>
      </c>
      <c r="J7027" s="15" t="s">
        <v>26570</v>
      </c>
      <c r="K7027" s="15">
        <v>2.0</v>
      </c>
      <c r="L7027" s="15">
        <v>2.0</v>
      </c>
      <c r="M7027" s="40">
        <v>42796.0</v>
      </c>
      <c r="N7027" s="40">
        <v>42808.0</v>
      </c>
      <c r="O7027" s="15" t="s">
        <v>1554</v>
      </c>
      <c r="Q7027" s="7"/>
    </row>
    <row r="7028">
      <c r="A7028" s="39" t="s">
        <v>26571</v>
      </c>
      <c r="B7028" s="15">
        <v>65068.0</v>
      </c>
      <c r="C7028" s="15" t="s">
        <v>26572</v>
      </c>
      <c r="D7028" s="15">
        <v>379132.0</v>
      </c>
      <c r="E7028" s="15" t="s">
        <v>1548</v>
      </c>
      <c r="F7028" s="15" t="s">
        <v>1626</v>
      </c>
      <c r="G7028" s="7">
        <v>13.97</v>
      </c>
      <c r="H7028" s="15" t="s">
        <v>26573</v>
      </c>
      <c r="I7028" s="15" t="s">
        <v>1628</v>
      </c>
      <c r="J7028" s="15" t="s">
        <v>26574</v>
      </c>
      <c r="K7028" s="15">
        <v>2.0</v>
      </c>
      <c r="L7028" s="15">
        <v>2.0</v>
      </c>
      <c r="M7028" s="41">
        <v>41990.0</v>
      </c>
      <c r="N7028" s="40">
        <v>42808.0</v>
      </c>
      <c r="O7028" s="15" t="s">
        <v>1554</v>
      </c>
      <c r="Q7028" s="7"/>
    </row>
    <row r="7029">
      <c r="A7029" s="39" t="s">
        <v>26575</v>
      </c>
      <c r="B7029" s="15">
        <v>1138489.0</v>
      </c>
      <c r="C7029" s="15" t="s">
        <v>26576</v>
      </c>
      <c r="D7029" s="15">
        <v>379134.0</v>
      </c>
      <c r="E7029" s="15" t="s">
        <v>1548</v>
      </c>
      <c r="F7029" s="15" t="s">
        <v>5290</v>
      </c>
      <c r="G7029" s="7">
        <v>12.323</v>
      </c>
      <c r="H7029" s="15" t="s">
        <v>26577</v>
      </c>
      <c r="I7029" s="15" t="s">
        <v>1803</v>
      </c>
      <c r="J7029" s="15" t="s">
        <v>26579</v>
      </c>
      <c r="K7029" s="15">
        <v>3.0</v>
      </c>
      <c r="L7029" s="15">
        <v>3.0</v>
      </c>
      <c r="M7029" s="40">
        <v>42801.0</v>
      </c>
      <c r="N7029" s="40">
        <v>42808.0</v>
      </c>
      <c r="O7029" s="15" t="s">
        <v>1554</v>
      </c>
      <c r="Q7029" s="7"/>
    </row>
    <row r="7030">
      <c r="A7030" s="39" t="s">
        <v>26580</v>
      </c>
      <c r="B7030" s="15">
        <v>204933.0</v>
      </c>
      <c r="C7030" s="15" t="s">
        <v>26581</v>
      </c>
      <c r="D7030" s="15">
        <v>379135.0</v>
      </c>
      <c r="E7030" s="15" t="s">
        <v>1548</v>
      </c>
      <c r="F7030" s="15" t="s">
        <v>2032</v>
      </c>
      <c r="G7030" s="7">
        <v>6.73</v>
      </c>
      <c r="H7030" s="15" t="s">
        <v>5273</v>
      </c>
      <c r="I7030" s="15" t="s">
        <v>2034</v>
      </c>
      <c r="J7030" s="15" t="s">
        <v>26582</v>
      </c>
      <c r="K7030" s="15">
        <v>1.0</v>
      </c>
      <c r="L7030" s="15">
        <v>1.0</v>
      </c>
      <c r="M7030" s="40">
        <v>42802.0</v>
      </c>
      <c r="N7030" s="40">
        <v>42808.0</v>
      </c>
      <c r="O7030" s="15" t="s">
        <v>1554</v>
      </c>
      <c r="Q7030" s="7"/>
    </row>
    <row r="7031">
      <c r="A7031" s="39" t="s">
        <v>26583</v>
      </c>
      <c r="B7031" s="15">
        <v>1966007.0</v>
      </c>
      <c r="C7031" s="15" t="s">
        <v>26584</v>
      </c>
      <c r="D7031" s="15">
        <v>379136.0</v>
      </c>
      <c r="E7031" s="15" t="s">
        <v>1548</v>
      </c>
      <c r="F7031" s="15" t="s">
        <v>1776</v>
      </c>
      <c r="G7031" s="7">
        <v>7.429</v>
      </c>
      <c r="H7031" s="15">
        <v>49.0</v>
      </c>
      <c r="I7031" s="15" t="s">
        <v>1686</v>
      </c>
      <c r="J7031" s="15" t="s">
        <v>26585</v>
      </c>
      <c r="K7031" s="15">
        <v>1.0</v>
      </c>
      <c r="L7031" s="15">
        <v>1.0</v>
      </c>
      <c r="M7031" s="40">
        <v>42803.0</v>
      </c>
      <c r="N7031" s="40">
        <v>42808.0</v>
      </c>
      <c r="O7031" s="15" t="s">
        <v>1554</v>
      </c>
      <c r="Q7031" s="7"/>
    </row>
    <row r="7032">
      <c r="A7032" s="39" t="s">
        <v>26586</v>
      </c>
      <c r="B7032" s="15">
        <v>1963260.0</v>
      </c>
      <c r="C7032" s="15" t="s">
        <v>26587</v>
      </c>
      <c r="D7032" s="15">
        <v>379138.0</v>
      </c>
      <c r="E7032" s="15" t="s">
        <v>1548</v>
      </c>
      <c r="F7032" s="15" t="s">
        <v>1911</v>
      </c>
      <c r="G7032" s="7">
        <v>9.555</v>
      </c>
      <c r="H7032" s="15" t="s">
        <v>3070</v>
      </c>
      <c r="I7032" s="15" t="s">
        <v>1628</v>
      </c>
      <c r="J7032" s="15" t="s">
        <v>26588</v>
      </c>
      <c r="K7032" s="15">
        <v>1.0</v>
      </c>
      <c r="L7032" s="15">
        <v>1.0</v>
      </c>
      <c r="M7032" s="40">
        <v>42800.0</v>
      </c>
      <c r="N7032" s="40">
        <v>42808.0</v>
      </c>
      <c r="O7032" s="15" t="s">
        <v>1554</v>
      </c>
      <c r="Q7032" s="7"/>
    </row>
    <row r="7033">
      <c r="A7033" s="39" t="s">
        <v>26589</v>
      </c>
      <c r="B7033" s="15">
        <v>1172985.0</v>
      </c>
      <c r="C7033" s="15" t="s">
        <v>26590</v>
      </c>
      <c r="D7033" s="15">
        <v>379598.0</v>
      </c>
      <c r="E7033" s="15" t="s">
        <v>1548</v>
      </c>
      <c r="F7033" s="15" t="s">
        <v>1801</v>
      </c>
      <c r="G7033" s="7">
        <v>11.025</v>
      </c>
      <c r="H7033" s="15" t="s">
        <v>26591</v>
      </c>
      <c r="I7033" s="15" t="s">
        <v>1560</v>
      </c>
      <c r="J7033" s="15" t="s">
        <v>26592</v>
      </c>
      <c r="K7033" s="15">
        <v>4.0</v>
      </c>
      <c r="L7033" s="15">
        <v>4.0</v>
      </c>
      <c r="M7033" s="40">
        <v>41725.0</v>
      </c>
      <c r="N7033" s="40">
        <v>42811.0</v>
      </c>
      <c r="O7033" s="15" t="s">
        <v>1554</v>
      </c>
      <c r="Q7033" s="7"/>
    </row>
    <row r="7034">
      <c r="A7034" s="39" t="s">
        <v>26594</v>
      </c>
      <c r="B7034" s="15">
        <v>1965306.0</v>
      </c>
      <c r="C7034" s="15" t="s">
        <v>26595</v>
      </c>
      <c r="D7034" s="15">
        <v>379461.0</v>
      </c>
      <c r="E7034" s="15" t="s">
        <v>1638</v>
      </c>
      <c r="F7034" s="15" t="s">
        <v>2849</v>
      </c>
      <c r="G7034" s="7">
        <v>15.098</v>
      </c>
      <c r="H7034" s="15" t="s">
        <v>2580</v>
      </c>
      <c r="I7034" s="15" t="s">
        <v>1628</v>
      </c>
      <c r="J7034" s="15" t="s">
        <v>26596</v>
      </c>
      <c r="K7034" s="15">
        <v>1.0</v>
      </c>
      <c r="L7034" s="15">
        <v>1.0</v>
      </c>
      <c r="M7034" s="40">
        <v>42809.0</v>
      </c>
      <c r="N7034" s="40">
        <v>42811.0</v>
      </c>
      <c r="O7034" s="15" t="s">
        <v>1554</v>
      </c>
      <c r="Q7034" s="7"/>
    </row>
    <row r="7035">
      <c r="A7035" s="39" t="s">
        <v>26597</v>
      </c>
      <c r="B7035" s="15">
        <v>1965238.0</v>
      </c>
      <c r="C7035" s="15" t="s">
        <v>26598</v>
      </c>
      <c r="D7035" s="15">
        <v>379589.0</v>
      </c>
      <c r="E7035" s="15" t="s">
        <v>1548</v>
      </c>
      <c r="F7035" s="15" t="s">
        <v>2374</v>
      </c>
      <c r="G7035" s="7">
        <v>9.834</v>
      </c>
      <c r="H7035" s="15" t="s">
        <v>4331</v>
      </c>
      <c r="I7035" s="15" t="s">
        <v>1560</v>
      </c>
      <c r="J7035" s="15" t="s">
        <v>26599</v>
      </c>
      <c r="K7035" s="15">
        <v>1.0</v>
      </c>
      <c r="L7035" s="15">
        <v>1.0</v>
      </c>
      <c r="M7035" s="40">
        <v>42806.0</v>
      </c>
      <c r="N7035" s="40">
        <v>42811.0</v>
      </c>
      <c r="O7035" s="15" t="s">
        <v>1554</v>
      </c>
      <c r="Q7035" s="7"/>
    </row>
    <row r="7036">
      <c r="A7036" s="39" t="s">
        <v>26600</v>
      </c>
      <c r="B7036" s="15">
        <v>1904411.0</v>
      </c>
      <c r="C7036" s="15" t="s">
        <v>26601</v>
      </c>
      <c r="D7036" s="15">
        <v>379591.0</v>
      </c>
      <c r="E7036" s="15" t="s">
        <v>1557</v>
      </c>
      <c r="F7036" s="15" t="s">
        <v>2004</v>
      </c>
      <c r="G7036" s="7">
        <v>5.014</v>
      </c>
      <c r="H7036" s="15" t="s">
        <v>1813</v>
      </c>
      <c r="I7036" s="15" t="s">
        <v>1686</v>
      </c>
      <c r="J7036" s="15" t="s">
        <v>26603</v>
      </c>
      <c r="K7036" s="15">
        <v>6.0</v>
      </c>
      <c r="L7036" s="15">
        <v>6.0</v>
      </c>
      <c r="M7036" s="40">
        <v>42808.0</v>
      </c>
      <c r="N7036" s="40">
        <v>42899.0</v>
      </c>
      <c r="O7036" s="15" t="s">
        <v>1554</v>
      </c>
      <c r="Q7036" s="7"/>
    </row>
    <row r="7037">
      <c r="A7037" s="39" t="s">
        <v>26604</v>
      </c>
      <c r="B7037" s="15">
        <v>1904410.0</v>
      </c>
      <c r="C7037" s="15" t="s">
        <v>26605</v>
      </c>
      <c r="D7037" s="15">
        <v>379592.0</v>
      </c>
      <c r="E7037" s="15" t="s">
        <v>1557</v>
      </c>
      <c r="F7037" s="15" t="s">
        <v>2004</v>
      </c>
      <c r="G7037" s="7">
        <v>43256.0</v>
      </c>
      <c r="H7037" s="15" t="s">
        <v>2223</v>
      </c>
      <c r="I7037" s="15" t="s">
        <v>1686</v>
      </c>
      <c r="J7037" s="15" t="s">
        <v>26606</v>
      </c>
      <c r="K7037" s="15">
        <v>6.0</v>
      </c>
      <c r="L7037" s="15">
        <v>6.0</v>
      </c>
      <c r="M7037" s="40">
        <v>42808.0</v>
      </c>
      <c r="N7037" s="40">
        <v>42899.0</v>
      </c>
      <c r="O7037" s="15" t="s">
        <v>1554</v>
      </c>
      <c r="Q7037" s="7"/>
    </row>
    <row r="7038">
      <c r="A7038" s="39" t="s">
        <v>26607</v>
      </c>
      <c r="B7038" s="15">
        <v>1904409.0</v>
      </c>
      <c r="C7038" s="15" t="s">
        <v>26608</v>
      </c>
      <c r="D7038" s="15">
        <v>379593.0</v>
      </c>
      <c r="E7038" s="15" t="s">
        <v>1557</v>
      </c>
      <c r="F7038" s="15" t="s">
        <v>2004</v>
      </c>
      <c r="G7038" s="7">
        <v>4.877</v>
      </c>
      <c r="H7038" s="15" t="s">
        <v>3584</v>
      </c>
      <c r="I7038" s="15" t="s">
        <v>1686</v>
      </c>
      <c r="J7038" s="15" t="s">
        <v>26610</v>
      </c>
      <c r="K7038" s="15">
        <v>6.0</v>
      </c>
      <c r="L7038" s="15">
        <v>6.0</v>
      </c>
      <c r="M7038" s="40">
        <v>42808.0</v>
      </c>
      <c r="N7038" s="40">
        <v>42899.0</v>
      </c>
      <c r="O7038" s="15" t="s">
        <v>1554</v>
      </c>
      <c r="Q7038" s="7"/>
    </row>
    <row r="7039">
      <c r="A7039" s="39" t="s">
        <v>26611</v>
      </c>
      <c r="B7039" s="15">
        <v>1904408.0</v>
      </c>
      <c r="C7039" s="15" t="s">
        <v>26612</v>
      </c>
      <c r="D7039" s="15">
        <v>379594.0</v>
      </c>
      <c r="E7039" s="15" t="s">
        <v>1557</v>
      </c>
      <c r="F7039" s="15" t="s">
        <v>2004</v>
      </c>
      <c r="G7039" s="7">
        <v>4.752</v>
      </c>
      <c r="H7039" s="15" t="s">
        <v>3653</v>
      </c>
      <c r="I7039" s="15" t="s">
        <v>1686</v>
      </c>
      <c r="J7039" s="15" t="s">
        <v>26613</v>
      </c>
      <c r="K7039" s="15">
        <v>6.0</v>
      </c>
      <c r="L7039" s="15">
        <v>6.0</v>
      </c>
      <c r="M7039" s="40">
        <v>42808.0</v>
      </c>
      <c r="N7039" s="40">
        <v>42899.0</v>
      </c>
      <c r="O7039" s="15" t="s">
        <v>1554</v>
      </c>
      <c r="Q7039" s="7"/>
    </row>
    <row r="7040">
      <c r="A7040" s="39" t="s">
        <v>26614</v>
      </c>
      <c r="B7040" s="15">
        <v>64319.0</v>
      </c>
      <c r="C7040" s="15" t="s">
        <v>26615</v>
      </c>
      <c r="D7040" s="15">
        <v>378002.0</v>
      </c>
      <c r="E7040" s="15" t="s">
        <v>1548</v>
      </c>
      <c r="F7040" s="15" t="s">
        <v>1801</v>
      </c>
      <c r="G7040" s="7">
        <v>10.293</v>
      </c>
      <c r="H7040" s="15" t="s">
        <v>2351</v>
      </c>
      <c r="I7040" s="15" t="s">
        <v>1803</v>
      </c>
      <c r="J7040" s="15" t="s">
        <v>26617</v>
      </c>
      <c r="K7040" s="15">
        <v>1.0</v>
      </c>
      <c r="L7040" s="15">
        <v>1.0</v>
      </c>
      <c r="M7040" s="40">
        <v>40513.0</v>
      </c>
      <c r="N7040" s="40">
        <v>42799.0</v>
      </c>
      <c r="O7040" s="15" t="s">
        <v>1554</v>
      </c>
      <c r="Q7040" s="7"/>
    </row>
    <row r="7041">
      <c r="A7041" s="39" t="s">
        <v>26618</v>
      </c>
      <c r="B7041" s="15">
        <v>64894.0</v>
      </c>
      <c r="C7041" s="15" t="s">
        <v>26619</v>
      </c>
      <c r="D7041" s="15">
        <v>377304.0</v>
      </c>
      <c r="E7041" s="15" t="s">
        <v>1548</v>
      </c>
      <c r="F7041" s="15" t="s">
        <v>1801</v>
      </c>
      <c r="G7041" s="7">
        <v>10.131</v>
      </c>
      <c r="H7041" s="15" t="s">
        <v>1962</v>
      </c>
      <c r="I7041" s="15" t="s">
        <v>1803</v>
      </c>
      <c r="J7041" s="15" t="s">
        <v>26620</v>
      </c>
      <c r="K7041" s="15">
        <v>1.0</v>
      </c>
      <c r="L7041" s="15">
        <v>1.0</v>
      </c>
      <c r="M7041" s="40">
        <v>42066.0</v>
      </c>
      <c r="N7041" s="40">
        <v>42799.0</v>
      </c>
      <c r="O7041" s="15" t="s">
        <v>1554</v>
      </c>
      <c r="Q7041" s="7"/>
    </row>
    <row r="7042">
      <c r="A7042" s="39" t="s">
        <v>26621</v>
      </c>
      <c r="B7042" s="15">
        <v>1821227.0</v>
      </c>
      <c r="C7042" s="15" t="s">
        <v>26622</v>
      </c>
      <c r="D7042" s="15">
        <v>378003.0</v>
      </c>
      <c r="E7042" s="15" t="s">
        <v>1548</v>
      </c>
      <c r="F7042" s="15" t="s">
        <v>1801</v>
      </c>
      <c r="G7042" s="7">
        <v>10.884</v>
      </c>
      <c r="H7042" s="15" t="s">
        <v>2241</v>
      </c>
      <c r="I7042" s="15" t="s">
        <v>1560</v>
      </c>
      <c r="J7042" s="15" t="s">
        <v>26623</v>
      </c>
      <c r="K7042" s="15">
        <v>1.0</v>
      </c>
      <c r="L7042" s="15">
        <v>1.0</v>
      </c>
      <c r="M7042" s="40">
        <v>42464.0</v>
      </c>
      <c r="N7042" s="40">
        <v>42799.0</v>
      </c>
      <c r="O7042" s="15" t="s">
        <v>1554</v>
      </c>
      <c r="Q7042" s="7"/>
    </row>
    <row r="7043">
      <c r="A7043" s="39" t="s">
        <v>26625</v>
      </c>
      <c r="B7043" s="15">
        <v>1859492.0</v>
      </c>
      <c r="C7043" s="15" t="s">
        <v>26626</v>
      </c>
      <c r="D7043" s="15">
        <v>325154.0</v>
      </c>
      <c r="E7043" s="15" t="s">
        <v>1577</v>
      </c>
      <c r="F7043" s="15" t="s">
        <v>1578</v>
      </c>
      <c r="G7043" s="7">
        <v>350.731</v>
      </c>
      <c r="H7043" s="15" t="s">
        <v>2869</v>
      </c>
      <c r="I7043" s="15" t="s">
        <v>1740</v>
      </c>
      <c r="J7043" s="15" t="s">
        <v>26627</v>
      </c>
      <c r="K7043" s="15">
        <v>431.0</v>
      </c>
      <c r="L7043" s="15">
        <v>429.0</v>
      </c>
      <c r="M7043" s="40">
        <v>42821.0</v>
      </c>
      <c r="N7043" s="40">
        <v>42835.0</v>
      </c>
      <c r="O7043" s="15" t="s">
        <v>1554</v>
      </c>
      <c r="Q7043" s="7"/>
    </row>
    <row r="7044">
      <c r="A7044" s="39" t="s">
        <v>26628</v>
      </c>
      <c r="B7044" s="15">
        <v>1972995.0</v>
      </c>
      <c r="C7044" s="15" t="s">
        <v>26629</v>
      </c>
      <c r="D7044" s="15">
        <v>382351.0</v>
      </c>
      <c r="E7044" s="15" t="s">
        <v>1548</v>
      </c>
      <c r="F7044" s="15" t="s">
        <v>1771</v>
      </c>
      <c r="G7044" s="7">
        <v>5.979</v>
      </c>
      <c r="H7044" s="15" t="s">
        <v>1918</v>
      </c>
      <c r="I7044" s="15" t="s">
        <v>1628</v>
      </c>
      <c r="J7044" s="15" t="s">
        <v>26630</v>
      </c>
      <c r="K7044" s="15">
        <v>6.0</v>
      </c>
      <c r="L7044" s="15">
        <v>6.0</v>
      </c>
      <c r="M7044" s="40">
        <v>42830.0</v>
      </c>
      <c r="N7044" s="40">
        <v>42860.0</v>
      </c>
      <c r="O7044" s="15" t="s">
        <v>1554</v>
      </c>
      <c r="Q7044" s="7"/>
    </row>
    <row r="7045">
      <c r="A7045" s="39" t="s">
        <v>26631</v>
      </c>
      <c r="B7045" s="15">
        <v>11224.0</v>
      </c>
      <c r="C7045" s="15" t="s">
        <v>26632</v>
      </c>
      <c r="D7045" s="15">
        <v>214365.0</v>
      </c>
      <c r="E7045" s="15" t="s">
        <v>1548</v>
      </c>
      <c r="F7045" s="15" t="s">
        <v>4837</v>
      </c>
      <c r="G7045" s="7">
        <v>17.052</v>
      </c>
      <c r="H7045" s="15" t="s">
        <v>2288</v>
      </c>
      <c r="I7045" s="15" t="s">
        <v>1567</v>
      </c>
      <c r="J7045" s="15" t="s">
        <v>26633</v>
      </c>
      <c r="K7045" s="15">
        <v>7.0</v>
      </c>
      <c r="L7045" s="15">
        <v>7.0</v>
      </c>
      <c r="M7045" s="40">
        <v>40376.0</v>
      </c>
      <c r="N7045" s="40">
        <v>41492.0</v>
      </c>
      <c r="O7045" s="15" t="s">
        <v>1554</v>
      </c>
      <c r="Q7045" s="7"/>
    </row>
    <row r="7046">
      <c r="A7046" s="39" t="s">
        <v>26635</v>
      </c>
      <c r="B7046" s="15">
        <v>1431395.0</v>
      </c>
      <c r="C7046" s="15" t="s">
        <v>26636</v>
      </c>
      <c r="D7046" s="15">
        <v>255801.0</v>
      </c>
      <c r="E7046" s="15" t="s">
        <v>1808</v>
      </c>
      <c r="F7046" s="15" t="s">
        <v>1809</v>
      </c>
      <c r="G7046" s="7">
        <v>2.778</v>
      </c>
      <c r="H7046" s="15">
        <v>43.0</v>
      </c>
      <c r="I7046" s="15" t="s">
        <v>1628</v>
      </c>
      <c r="J7046" s="15" t="s">
        <v>26637</v>
      </c>
      <c r="K7046" s="15">
        <v>6.0</v>
      </c>
      <c r="L7046" s="15">
        <v>6.0</v>
      </c>
      <c r="M7046" s="40">
        <v>41837.0</v>
      </c>
      <c r="N7046" s="40">
        <v>42835.0</v>
      </c>
      <c r="O7046" s="15" t="s">
        <v>1554</v>
      </c>
      <c r="Q7046" s="7"/>
    </row>
    <row r="7047">
      <c r="A7047" s="39" t="s">
        <v>26638</v>
      </c>
      <c r="B7047" s="15">
        <v>1967841.0</v>
      </c>
      <c r="C7047" s="15" t="s">
        <v>26639</v>
      </c>
      <c r="D7047" s="15">
        <v>380421.0</v>
      </c>
      <c r="E7047" s="15" t="s">
        <v>1548</v>
      </c>
      <c r="F7047" s="15" t="s">
        <v>1890</v>
      </c>
      <c r="G7047" s="7">
        <v>13.389</v>
      </c>
      <c r="H7047" s="15" t="s">
        <v>2064</v>
      </c>
      <c r="I7047" s="15" t="s">
        <v>1628</v>
      </c>
      <c r="J7047" s="15" t="s">
        <v>26640</v>
      </c>
      <c r="K7047" s="15">
        <v>7.0</v>
      </c>
      <c r="L7047" s="15">
        <v>7.0</v>
      </c>
      <c r="M7047" s="40">
        <v>42812.0</v>
      </c>
      <c r="N7047" s="40">
        <v>42860.0</v>
      </c>
      <c r="O7047" s="15" t="s">
        <v>1554</v>
      </c>
      <c r="Q7047" s="7"/>
    </row>
    <row r="7048">
      <c r="A7048" s="39" t="s">
        <v>26642</v>
      </c>
      <c r="B7048" s="15">
        <v>1920988.0</v>
      </c>
      <c r="C7048" s="15" t="s">
        <v>26643</v>
      </c>
      <c r="D7048" s="15">
        <v>380827.0</v>
      </c>
      <c r="E7048" s="15" t="s">
        <v>1577</v>
      </c>
      <c r="F7048" s="15" t="s">
        <v>1578</v>
      </c>
      <c r="G7048" s="7">
        <v>10.493</v>
      </c>
      <c r="H7048" s="15" t="s">
        <v>1591</v>
      </c>
      <c r="I7048" s="15" t="s">
        <v>1560</v>
      </c>
      <c r="J7048" s="15" t="s">
        <v>26644</v>
      </c>
      <c r="K7048" s="15">
        <v>1.0</v>
      </c>
      <c r="L7048" s="15">
        <v>1.0</v>
      </c>
      <c r="M7048" s="40">
        <v>42818.0</v>
      </c>
      <c r="N7048" s="40">
        <v>42830.0</v>
      </c>
      <c r="O7048" s="15" t="s">
        <v>1554</v>
      </c>
      <c r="Q7048" s="7"/>
    </row>
    <row r="7049">
      <c r="A7049" s="39" t="s">
        <v>26645</v>
      </c>
      <c r="B7049" s="15">
        <v>1817526.0</v>
      </c>
      <c r="C7049" s="15" t="s">
        <v>26646</v>
      </c>
      <c r="D7049" s="15">
        <v>380967.0</v>
      </c>
      <c r="E7049" s="15" t="s">
        <v>1548</v>
      </c>
      <c r="F7049" s="15" t="s">
        <v>2900</v>
      </c>
      <c r="G7049" s="7">
        <v>4.196</v>
      </c>
      <c r="H7049" s="15" t="s">
        <v>6716</v>
      </c>
      <c r="I7049" s="15" t="s">
        <v>1628</v>
      </c>
      <c r="J7049" s="15" t="s">
        <v>26647</v>
      </c>
      <c r="K7049" s="15">
        <v>4.0</v>
      </c>
      <c r="L7049" s="15">
        <v>4.0</v>
      </c>
      <c r="M7049" s="40">
        <v>42822.0</v>
      </c>
      <c r="N7049" s="40">
        <v>42830.0</v>
      </c>
      <c r="O7049" s="15" t="s">
        <v>1554</v>
      </c>
      <c r="Q7049" s="7"/>
    </row>
    <row r="7050">
      <c r="A7050" s="39" t="s">
        <v>26649</v>
      </c>
      <c r="B7050" s="15">
        <v>1244565.0</v>
      </c>
      <c r="C7050" s="15" t="s">
        <v>26650</v>
      </c>
      <c r="D7050" s="15">
        <v>381080.0</v>
      </c>
      <c r="E7050" s="15" t="s">
        <v>1548</v>
      </c>
      <c r="F7050" s="15" t="s">
        <v>1801</v>
      </c>
      <c r="G7050" s="7">
        <v>10.37</v>
      </c>
      <c r="H7050" s="15">
        <v>47.0</v>
      </c>
      <c r="I7050" s="15" t="s">
        <v>1803</v>
      </c>
      <c r="J7050" s="15" t="s">
        <v>26651</v>
      </c>
      <c r="K7050" s="15">
        <v>1.0</v>
      </c>
      <c r="L7050" s="15">
        <v>1.0</v>
      </c>
      <c r="M7050" s="40">
        <v>42823.0</v>
      </c>
      <c r="N7050" s="40">
        <v>42830.0</v>
      </c>
      <c r="O7050" s="15" t="s">
        <v>1554</v>
      </c>
      <c r="Q7050" s="7"/>
    </row>
    <row r="7051">
      <c r="A7051" s="39" t="s">
        <v>26652</v>
      </c>
      <c r="B7051" s="15">
        <v>1965344.0</v>
      </c>
      <c r="C7051" s="15" t="s">
        <v>26653</v>
      </c>
      <c r="D7051" s="15">
        <v>381649.0</v>
      </c>
      <c r="E7051" s="15" t="s">
        <v>1557</v>
      </c>
      <c r="F7051" s="15" t="s">
        <v>2004</v>
      </c>
      <c r="G7051" s="7">
        <v>5.269</v>
      </c>
      <c r="H7051" s="15" t="s">
        <v>2320</v>
      </c>
      <c r="I7051" s="15" t="s">
        <v>1686</v>
      </c>
      <c r="J7051" s="15" t="s">
        <v>26654</v>
      </c>
      <c r="K7051" s="15">
        <v>4.0</v>
      </c>
      <c r="L7051" s="15">
        <v>5.0</v>
      </c>
      <c r="M7051" s="40">
        <v>42823.0</v>
      </c>
      <c r="N7051" s="40">
        <v>42830.0</v>
      </c>
      <c r="O7051" s="15" t="s">
        <v>1554</v>
      </c>
      <c r="Q7051" s="7"/>
    </row>
    <row r="7052">
      <c r="A7052" s="39" t="s">
        <v>26656</v>
      </c>
      <c r="B7052" s="15">
        <v>1920989.0</v>
      </c>
      <c r="C7052" s="15" t="s">
        <v>26657</v>
      </c>
      <c r="D7052" s="15">
        <v>381650.0</v>
      </c>
      <c r="E7052" s="15" t="s">
        <v>1577</v>
      </c>
      <c r="F7052" s="15" t="s">
        <v>1578</v>
      </c>
      <c r="G7052" s="7">
        <v>13.202</v>
      </c>
      <c r="H7052" s="15" t="s">
        <v>4553</v>
      </c>
      <c r="I7052" s="15" t="s">
        <v>1560</v>
      </c>
      <c r="J7052" s="15" t="s">
        <v>26658</v>
      </c>
      <c r="K7052" s="15">
        <v>2.0</v>
      </c>
      <c r="L7052" s="15">
        <v>2.0</v>
      </c>
      <c r="M7052" s="40">
        <v>42818.0</v>
      </c>
      <c r="N7052" s="40">
        <v>42830.0</v>
      </c>
      <c r="O7052" s="15" t="s">
        <v>1554</v>
      </c>
      <c r="Q7052" s="7"/>
    </row>
    <row r="7053">
      <c r="A7053" s="39" t="s">
        <v>26659</v>
      </c>
      <c r="B7053" s="15">
        <v>1913125.0</v>
      </c>
      <c r="C7053" s="15" t="s">
        <v>26660</v>
      </c>
      <c r="D7053" s="15">
        <v>381651.0</v>
      </c>
      <c r="E7053" s="15" t="s">
        <v>1548</v>
      </c>
      <c r="F7053" s="15" t="s">
        <v>1771</v>
      </c>
      <c r="G7053" s="7">
        <v>5.945</v>
      </c>
      <c r="H7053" s="15" t="s">
        <v>5475</v>
      </c>
      <c r="I7053" s="15" t="s">
        <v>1628</v>
      </c>
      <c r="J7053" s="15" t="s">
        <v>26662</v>
      </c>
      <c r="K7053" s="15">
        <v>7.0</v>
      </c>
      <c r="L7053" s="15">
        <v>7.0</v>
      </c>
      <c r="M7053" s="40">
        <v>42823.0</v>
      </c>
      <c r="N7053" s="40">
        <v>42830.0</v>
      </c>
      <c r="O7053" s="15" t="s">
        <v>1554</v>
      </c>
      <c r="Q7053" s="7"/>
    </row>
    <row r="7054">
      <c r="A7054" s="39" t="s">
        <v>26663</v>
      </c>
      <c r="B7054" s="15">
        <v>1913124.0</v>
      </c>
      <c r="C7054" s="15" t="s">
        <v>26664</v>
      </c>
      <c r="D7054" s="15">
        <v>381652.0</v>
      </c>
      <c r="E7054" s="15" t="s">
        <v>1548</v>
      </c>
      <c r="F7054" s="15" t="s">
        <v>1771</v>
      </c>
      <c r="G7054" s="7">
        <v>5.845</v>
      </c>
      <c r="H7054" s="15" t="s">
        <v>1750</v>
      </c>
      <c r="I7054" s="15" t="s">
        <v>1628</v>
      </c>
      <c r="J7054" s="15" t="s">
        <v>26665</v>
      </c>
      <c r="K7054" s="15">
        <v>7.0</v>
      </c>
      <c r="L7054" s="15">
        <v>7.0</v>
      </c>
      <c r="M7054" s="40">
        <v>42823.0</v>
      </c>
      <c r="N7054" s="40">
        <v>42830.0</v>
      </c>
      <c r="O7054" s="15" t="s">
        <v>1554</v>
      </c>
      <c r="Q7054" s="7"/>
    </row>
    <row r="7055">
      <c r="A7055" s="39" t="s">
        <v>26666</v>
      </c>
      <c r="B7055" s="15">
        <v>1740646.0</v>
      </c>
      <c r="C7055" s="15" t="s">
        <v>26667</v>
      </c>
      <c r="D7055" s="15">
        <v>381653.0</v>
      </c>
      <c r="E7055" s="15" t="s">
        <v>1577</v>
      </c>
      <c r="F7055" s="15" t="s">
        <v>1578</v>
      </c>
      <c r="G7055" s="7">
        <v>7.979</v>
      </c>
      <c r="H7055" s="15" t="s">
        <v>26668</v>
      </c>
      <c r="I7055" s="15" t="s">
        <v>1560</v>
      </c>
      <c r="J7055" s="15" t="s">
        <v>26669</v>
      </c>
      <c r="K7055" s="15">
        <v>4.0</v>
      </c>
      <c r="L7055" s="15">
        <v>4.0</v>
      </c>
      <c r="M7055" s="40">
        <v>42821.0</v>
      </c>
      <c r="N7055" s="40">
        <v>42830.0</v>
      </c>
      <c r="O7055" s="15" t="s">
        <v>1554</v>
      </c>
      <c r="Q7055" s="7"/>
    </row>
    <row r="7056">
      <c r="A7056" s="39" t="s">
        <v>26670</v>
      </c>
      <c r="B7056" s="15">
        <v>1609290.0</v>
      </c>
      <c r="C7056" s="15" t="s">
        <v>26671</v>
      </c>
      <c r="D7056" s="15">
        <v>381654.0</v>
      </c>
      <c r="E7056" s="15" t="s">
        <v>2014</v>
      </c>
      <c r="F7056" s="15" t="s">
        <v>2018</v>
      </c>
      <c r="G7056" s="7">
        <v>1.374</v>
      </c>
      <c r="H7056" s="15" t="s">
        <v>2857</v>
      </c>
      <c r="I7056" s="15" t="s">
        <v>1628</v>
      </c>
      <c r="J7056" s="15" t="s">
        <v>26672</v>
      </c>
      <c r="K7056" s="15">
        <v>1.0</v>
      </c>
      <c r="L7056" s="15">
        <v>1.0</v>
      </c>
      <c r="M7056" s="40">
        <v>42825.0</v>
      </c>
      <c r="N7056" s="40">
        <v>42830.0</v>
      </c>
      <c r="O7056" s="15" t="s">
        <v>1554</v>
      </c>
      <c r="Q7056" s="7"/>
    </row>
    <row r="7057">
      <c r="A7057" s="39" t="s">
        <v>26673</v>
      </c>
      <c r="B7057" s="15">
        <v>1606765.0</v>
      </c>
      <c r="C7057" s="15" t="s">
        <v>26674</v>
      </c>
      <c r="D7057" s="15">
        <v>381655.0</v>
      </c>
      <c r="E7057" s="15" t="s">
        <v>1548</v>
      </c>
      <c r="F7057" s="15" t="s">
        <v>1776</v>
      </c>
      <c r="G7057" s="7">
        <v>7.253</v>
      </c>
      <c r="H7057" s="15" t="s">
        <v>1802</v>
      </c>
      <c r="I7057" s="15" t="s">
        <v>1686</v>
      </c>
      <c r="J7057" s="15" t="s">
        <v>26675</v>
      </c>
      <c r="K7057" s="15">
        <v>1.0</v>
      </c>
      <c r="L7057" s="15">
        <v>1.0</v>
      </c>
      <c r="M7057" s="40">
        <v>42825.0</v>
      </c>
      <c r="N7057" s="40">
        <v>42830.0</v>
      </c>
      <c r="O7057" s="15" t="s">
        <v>1554</v>
      </c>
      <c r="Q7057" s="7"/>
    </row>
    <row r="7058">
      <c r="A7058" s="39" t="s">
        <v>26677</v>
      </c>
      <c r="B7058" s="15">
        <v>11318.0</v>
      </c>
      <c r="C7058" s="15" t="s">
        <v>26678</v>
      </c>
      <c r="D7058" s="15">
        <v>381656.0</v>
      </c>
      <c r="E7058" s="15" t="s">
        <v>1548</v>
      </c>
      <c r="F7058" s="15" t="s">
        <v>5756</v>
      </c>
      <c r="G7058" s="7">
        <v>10.616</v>
      </c>
      <c r="H7058" s="15" t="s">
        <v>26679</v>
      </c>
      <c r="I7058" s="15" t="s">
        <v>1803</v>
      </c>
      <c r="J7058" s="15" t="s">
        <v>26680</v>
      </c>
      <c r="K7058" s="15">
        <v>6.0</v>
      </c>
      <c r="L7058" s="15">
        <v>6.0</v>
      </c>
      <c r="M7058" s="40">
        <v>40296.0</v>
      </c>
      <c r="N7058" s="40">
        <v>42835.0</v>
      </c>
      <c r="O7058" s="15" t="s">
        <v>1554</v>
      </c>
      <c r="Q7058" s="7"/>
    </row>
    <row r="7059">
      <c r="A7059" s="39" t="s">
        <v>26681</v>
      </c>
      <c r="B7059" s="15">
        <v>1973265.0</v>
      </c>
      <c r="C7059" s="15" t="s">
        <v>26682</v>
      </c>
      <c r="D7059" s="15">
        <v>381657.0</v>
      </c>
      <c r="E7059" s="15" t="s">
        <v>1916</v>
      </c>
      <c r="F7059" s="15" t="s">
        <v>1917</v>
      </c>
      <c r="G7059" s="7">
        <v>7.326</v>
      </c>
      <c r="H7059" s="15" t="s">
        <v>2178</v>
      </c>
      <c r="I7059" s="15" t="s">
        <v>1628</v>
      </c>
      <c r="J7059" s="15" t="s">
        <v>26684</v>
      </c>
      <c r="K7059" s="15">
        <v>4.0</v>
      </c>
      <c r="L7059" s="15">
        <v>4.0</v>
      </c>
      <c r="M7059" s="40">
        <v>42818.0</v>
      </c>
      <c r="N7059" s="40">
        <v>42830.0</v>
      </c>
      <c r="O7059" s="15" t="s">
        <v>1554</v>
      </c>
      <c r="Q7059" s="7"/>
    </row>
    <row r="7060">
      <c r="A7060" s="39" t="s">
        <v>26685</v>
      </c>
      <c r="B7060" s="15">
        <v>1970065.0</v>
      </c>
      <c r="C7060" s="15" t="s">
        <v>26686</v>
      </c>
      <c r="D7060" s="15">
        <v>381658.0</v>
      </c>
      <c r="E7060" s="15" t="s">
        <v>1557</v>
      </c>
      <c r="F7060" s="15" t="s">
        <v>2004</v>
      </c>
      <c r="G7060" s="7">
        <v>5.052</v>
      </c>
      <c r="H7060" s="15" t="s">
        <v>2396</v>
      </c>
      <c r="I7060" s="15" t="s">
        <v>1686</v>
      </c>
      <c r="J7060" s="15" t="s">
        <v>26687</v>
      </c>
      <c r="K7060" s="15">
        <v>5.0</v>
      </c>
      <c r="L7060" s="15">
        <v>5.0</v>
      </c>
      <c r="M7060" s="40">
        <v>42821.0</v>
      </c>
      <c r="N7060" s="40">
        <v>42830.0</v>
      </c>
      <c r="O7060" s="15" t="s">
        <v>1554</v>
      </c>
      <c r="Q7060" s="7"/>
    </row>
    <row r="7061">
      <c r="A7061" s="39" t="s">
        <v>26688</v>
      </c>
      <c r="B7061" s="15">
        <v>1220717.0</v>
      </c>
      <c r="C7061" s="15" t="s">
        <v>26689</v>
      </c>
      <c r="D7061" s="15">
        <v>381660.0</v>
      </c>
      <c r="E7061" s="15" t="s">
        <v>4407</v>
      </c>
      <c r="F7061" s="15" t="s">
        <v>1578</v>
      </c>
      <c r="G7061" s="7">
        <v>115.042</v>
      </c>
      <c r="H7061" s="15" t="s">
        <v>2309</v>
      </c>
      <c r="I7061" s="15" t="s">
        <v>1586</v>
      </c>
      <c r="J7061" s="15" t="s">
        <v>26691</v>
      </c>
      <c r="K7061" s="15">
        <v>172.0</v>
      </c>
      <c r="L7061" s="15">
        <v>171.0</v>
      </c>
      <c r="M7061" s="40">
        <v>41290.0</v>
      </c>
      <c r="N7061" s="40">
        <v>42830.0</v>
      </c>
      <c r="O7061" s="15" t="s">
        <v>1554</v>
      </c>
      <c r="Q7061" s="7"/>
    </row>
    <row r="7062">
      <c r="A7062" s="39" t="s">
        <v>26692</v>
      </c>
      <c r="B7062" s="15">
        <v>93386.0</v>
      </c>
      <c r="C7062" s="15" t="s">
        <v>26693</v>
      </c>
      <c r="D7062" s="15">
        <v>382397.0</v>
      </c>
      <c r="E7062" s="15" t="s">
        <v>1557</v>
      </c>
      <c r="F7062" s="15" t="s">
        <v>1827</v>
      </c>
      <c r="G7062" s="7">
        <v>204.237</v>
      </c>
      <c r="H7062" s="15" t="s">
        <v>2038</v>
      </c>
      <c r="I7062" s="15" t="s">
        <v>1686</v>
      </c>
      <c r="J7062" s="15" t="s">
        <v>26694</v>
      </c>
      <c r="K7062" s="15">
        <v>130.0</v>
      </c>
      <c r="L7062" s="15">
        <v>130.0</v>
      </c>
      <c r="M7062" s="40">
        <v>42834.0</v>
      </c>
      <c r="N7062" s="40">
        <v>42836.0</v>
      </c>
      <c r="O7062" s="15" t="s">
        <v>1554</v>
      </c>
      <c r="Q7062" s="7"/>
    </row>
    <row r="7063">
      <c r="A7063" s="39" t="s">
        <v>26695</v>
      </c>
      <c r="B7063" s="15">
        <v>1849328.0</v>
      </c>
      <c r="C7063" s="15" t="s">
        <v>26697</v>
      </c>
      <c r="D7063" s="15">
        <v>382548.0</v>
      </c>
      <c r="E7063" s="15" t="s">
        <v>1548</v>
      </c>
      <c r="F7063" s="15" t="s">
        <v>1776</v>
      </c>
      <c r="G7063" s="7">
        <v>7.461</v>
      </c>
      <c r="H7063" s="15" t="s">
        <v>2945</v>
      </c>
      <c r="I7063" s="15" t="s">
        <v>1686</v>
      </c>
      <c r="J7063" s="15" t="s">
        <v>26698</v>
      </c>
      <c r="K7063" s="15">
        <v>1.0</v>
      </c>
      <c r="L7063" s="15">
        <v>1.0</v>
      </c>
      <c r="M7063" s="40">
        <v>42832.0</v>
      </c>
      <c r="N7063" s="40">
        <v>42836.0</v>
      </c>
      <c r="O7063" s="15" t="s">
        <v>1554</v>
      </c>
      <c r="Q7063" s="7"/>
    </row>
    <row r="7064">
      <c r="A7064" s="39" t="s">
        <v>26699</v>
      </c>
      <c r="B7064" s="15">
        <v>1972716.0</v>
      </c>
      <c r="C7064" s="15" t="s">
        <v>26700</v>
      </c>
      <c r="D7064" s="15">
        <v>382140.0</v>
      </c>
      <c r="E7064" s="15" t="s">
        <v>1548</v>
      </c>
      <c r="F7064" s="15" t="s">
        <v>1786</v>
      </c>
      <c r="G7064" s="7">
        <v>7.398</v>
      </c>
      <c r="H7064" s="15" t="s">
        <v>3407</v>
      </c>
      <c r="I7064" s="15" t="s">
        <v>1628</v>
      </c>
      <c r="J7064" s="15" t="s">
        <v>26701</v>
      </c>
      <c r="K7064" s="15">
        <v>4.0</v>
      </c>
      <c r="L7064" s="15">
        <v>4.0</v>
      </c>
      <c r="M7064" s="40">
        <v>42829.0</v>
      </c>
      <c r="N7064" s="40">
        <v>42837.0</v>
      </c>
      <c r="O7064" s="15" t="s">
        <v>1554</v>
      </c>
      <c r="Q7064" s="7"/>
    </row>
    <row r="7065">
      <c r="A7065" s="39" t="s">
        <v>26703</v>
      </c>
      <c r="B7065" s="15">
        <v>1405299.0</v>
      </c>
      <c r="C7065" s="15" t="s">
        <v>26704</v>
      </c>
      <c r="D7065" s="15">
        <v>382570.0</v>
      </c>
      <c r="E7065" s="15" t="s">
        <v>1638</v>
      </c>
      <c r="F7065" s="15" t="s">
        <v>2508</v>
      </c>
      <c r="G7065" s="7">
        <v>11.501</v>
      </c>
      <c r="H7065" s="15" t="s">
        <v>26705</v>
      </c>
      <c r="I7065" s="15" t="s">
        <v>1552</v>
      </c>
      <c r="J7065" s="15" t="s">
        <v>26706</v>
      </c>
      <c r="K7065" s="15">
        <v>4.0</v>
      </c>
      <c r="L7065" s="15">
        <v>4.0</v>
      </c>
      <c r="M7065" s="40">
        <v>42835.0</v>
      </c>
      <c r="N7065" s="40">
        <v>42837.0</v>
      </c>
      <c r="O7065" s="15" t="s">
        <v>1554</v>
      </c>
      <c r="Q7065" s="7"/>
    </row>
    <row r="7066">
      <c r="A7066" s="39" t="s">
        <v>26707</v>
      </c>
      <c r="B7066" s="15">
        <v>248062.0</v>
      </c>
      <c r="C7066" s="15" t="s">
        <v>26708</v>
      </c>
      <c r="D7066" s="15">
        <v>318525.0</v>
      </c>
      <c r="E7066" s="15" t="s">
        <v>1548</v>
      </c>
      <c r="F7066" s="15" t="s">
        <v>16718</v>
      </c>
      <c r="G7066" s="7">
        <v>17.907</v>
      </c>
      <c r="H7066" s="15" t="s">
        <v>26709</v>
      </c>
      <c r="I7066" s="15" t="s">
        <v>1803</v>
      </c>
      <c r="J7066" s="15" t="s">
        <v>26710</v>
      </c>
      <c r="K7066" s="15">
        <v>3.0</v>
      </c>
      <c r="L7066" s="15">
        <v>3.0</v>
      </c>
      <c r="M7066" s="40">
        <v>41132.0</v>
      </c>
      <c r="N7066" s="40">
        <v>42480.0</v>
      </c>
      <c r="O7066" s="15" t="s">
        <v>1554</v>
      </c>
      <c r="Q7066" s="7"/>
    </row>
    <row r="7067">
      <c r="A7067" s="39" t="s">
        <v>26712</v>
      </c>
      <c r="B7067" s="15">
        <v>73423.0</v>
      </c>
      <c r="C7067" s="15" t="s">
        <v>26713</v>
      </c>
      <c r="D7067" s="15">
        <v>382966.0</v>
      </c>
      <c r="E7067" s="15" t="s">
        <v>1548</v>
      </c>
      <c r="F7067" s="15" t="s">
        <v>1911</v>
      </c>
      <c r="G7067" s="7">
        <v>10.0</v>
      </c>
      <c r="H7067" s="15">
        <v>45.0</v>
      </c>
      <c r="I7067" s="15" t="s">
        <v>1628</v>
      </c>
      <c r="J7067" s="15" t="s">
        <v>26714</v>
      </c>
      <c r="K7067" s="15">
        <v>1.0</v>
      </c>
      <c r="L7067" s="15">
        <v>1.0</v>
      </c>
      <c r="M7067" s="40">
        <v>42837.0</v>
      </c>
      <c r="N7067" s="40">
        <v>42842.0</v>
      </c>
      <c r="O7067" s="15" t="s">
        <v>1554</v>
      </c>
      <c r="Q7067" s="7"/>
    </row>
    <row r="7068">
      <c r="A7068" s="39" t="s">
        <v>26715</v>
      </c>
      <c r="B7068" s="15">
        <v>1325372.0</v>
      </c>
      <c r="C7068" s="15" t="s">
        <v>26716</v>
      </c>
      <c r="D7068" s="15">
        <v>230645.0</v>
      </c>
      <c r="E7068" s="15" t="s">
        <v>1557</v>
      </c>
      <c r="F7068" s="15" t="s">
        <v>1767</v>
      </c>
      <c r="G7068" s="7">
        <v>43.378</v>
      </c>
      <c r="H7068" s="15" t="s">
        <v>1640</v>
      </c>
      <c r="I7068" s="15" t="s">
        <v>1586</v>
      </c>
      <c r="J7068" s="15" t="s">
        <v>26717</v>
      </c>
      <c r="K7068" s="15">
        <v>71.0</v>
      </c>
      <c r="L7068" s="15">
        <v>71.0</v>
      </c>
      <c r="M7068" s="40">
        <v>41390.0</v>
      </c>
      <c r="N7068" s="40">
        <v>41801.0</v>
      </c>
      <c r="O7068" s="15" t="s">
        <v>1554</v>
      </c>
      <c r="Q7068" s="7"/>
    </row>
    <row r="7069">
      <c r="A7069" s="39" t="s">
        <v>26718</v>
      </c>
      <c r="B7069" s="15">
        <v>1357423.0</v>
      </c>
      <c r="C7069" s="15" t="s">
        <v>26719</v>
      </c>
      <c r="D7069" s="15">
        <v>286159.0</v>
      </c>
      <c r="E7069" s="15" t="s">
        <v>1557</v>
      </c>
      <c r="F7069" s="15" t="s">
        <v>1767</v>
      </c>
      <c r="G7069" s="7">
        <v>194.701</v>
      </c>
      <c r="H7069" s="15">
        <v>49.0</v>
      </c>
      <c r="I7069" s="15" t="s">
        <v>1586</v>
      </c>
      <c r="J7069" s="15" t="s">
        <v>26721</v>
      </c>
      <c r="K7069" s="15">
        <v>387.0</v>
      </c>
      <c r="L7069" s="15">
        <v>377.0</v>
      </c>
      <c r="M7069" s="40">
        <v>41478.0</v>
      </c>
      <c r="N7069" s="40">
        <v>42164.0</v>
      </c>
      <c r="O7069" s="15" t="s">
        <v>1554</v>
      </c>
      <c r="Q7069" s="7"/>
    </row>
    <row r="7070">
      <c r="A7070" s="39" t="s">
        <v>26722</v>
      </c>
      <c r="B7070" s="15">
        <v>1977392.0</v>
      </c>
      <c r="C7070" s="15" t="s">
        <v>26723</v>
      </c>
      <c r="D7070" s="15">
        <v>383740.0</v>
      </c>
      <c r="E7070" s="15" t="s">
        <v>1548</v>
      </c>
      <c r="F7070" s="15" t="s">
        <v>1633</v>
      </c>
      <c r="G7070" s="7">
        <v>5.879</v>
      </c>
      <c r="H7070" s="15" t="s">
        <v>3882</v>
      </c>
      <c r="I7070" s="15" t="s">
        <v>1628</v>
      </c>
      <c r="J7070" s="15" t="s">
        <v>26724</v>
      </c>
      <c r="K7070" s="15">
        <v>4.0</v>
      </c>
      <c r="L7070" s="15">
        <v>4.0</v>
      </c>
      <c r="M7070" s="40">
        <v>42841.0</v>
      </c>
      <c r="N7070" s="40">
        <v>42846.0</v>
      </c>
      <c r="O7070" s="15" t="s">
        <v>1554</v>
      </c>
      <c r="Q7070" s="7"/>
    </row>
    <row r="7071">
      <c r="A7071" s="39" t="s">
        <v>26725</v>
      </c>
      <c r="B7071" s="15">
        <v>1978920.0</v>
      </c>
      <c r="C7071" s="15" t="s">
        <v>26726</v>
      </c>
      <c r="D7071" s="15">
        <v>383799.0</v>
      </c>
      <c r="E7071" s="15" t="s">
        <v>1557</v>
      </c>
      <c r="F7071" s="15" t="s">
        <v>2004</v>
      </c>
      <c r="G7071" s="7">
        <v>5.225</v>
      </c>
      <c r="H7071" s="15" t="s">
        <v>1685</v>
      </c>
      <c r="I7071" s="15" t="s">
        <v>1686</v>
      </c>
      <c r="J7071" s="15" t="s">
        <v>26728</v>
      </c>
      <c r="K7071" s="15">
        <v>7.0</v>
      </c>
      <c r="L7071" s="15">
        <v>7.0</v>
      </c>
      <c r="M7071" s="40">
        <v>42843.0</v>
      </c>
      <c r="N7071" s="40">
        <v>42846.0</v>
      </c>
      <c r="O7071" s="15" t="s">
        <v>1554</v>
      </c>
      <c r="Q7071" s="7"/>
    </row>
    <row r="7072">
      <c r="A7072" s="39" t="s">
        <v>26729</v>
      </c>
      <c r="B7072" s="15">
        <v>1978413.0</v>
      </c>
      <c r="C7072" s="15" t="s">
        <v>26730</v>
      </c>
      <c r="D7072" s="15">
        <v>383800.0</v>
      </c>
      <c r="E7072" s="15" t="s">
        <v>1548</v>
      </c>
      <c r="F7072" s="15" t="s">
        <v>1786</v>
      </c>
      <c r="G7072" s="7">
        <v>8.372</v>
      </c>
      <c r="H7072" s="15" t="s">
        <v>2580</v>
      </c>
      <c r="I7072" s="15" t="s">
        <v>1628</v>
      </c>
      <c r="J7072" s="15" t="s">
        <v>26731</v>
      </c>
      <c r="K7072" s="15">
        <v>4.0</v>
      </c>
      <c r="L7072" s="15">
        <v>4.0</v>
      </c>
      <c r="M7072" s="40">
        <v>42841.0</v>
      </c>
      <c r="N7072" s="40">
        <v>42851.0</v>
      </c>
      <c r="O7072" s="15" t="s">
        <v>1554</v>
      </c>
      <c r="Q7072" s="7"/>
    </row>
    <row r="7073">
      <c r="A7073" s="39" t="s">
        <v>26732</v>
      </c>
      <c r="B7073" s="15">
        <v>1803898.0</v>
      </c>
      <c r="C7073" s="15" t="s">
        <v>26733</v>
      </c>
      <c r="D7073" s="15">
        <v>383801.0</v>
      </c>
      <c r="E7073" s="15" t="s">
        <v>1548</v>
      </c>
      <c r="F7073" s="15" t="s">
        <v>1786</v>
      </c>
      <c r="G7073" s="7">
        <v>8.696</v>
      </c>
      <c r="H7073" s="15" t="s">
        <v>3538</v>
      </c>
      <c r="I7073" s="15" t="s">
        <v>1628</v>
      </c>
      <c r="J7073" s="15" t="s">
        <v>26734</v>
      </c>
      <c r="K7073" s="15">
        <v>5.0</v>
      </c>
      <c r="L7073" s="15">
        <v>5.0</v>
      </c>
      <c r="M7073" s="40">
        <v>42842.0</v>
      </c>
      <c r="N7073" s="40">
        <v>42846.0</v>
      </c>
      <c r="O7073" s="15" t="s">
        <v>1554</v>
      </c>
      <c r="Q7073" s="7"/>
    </row>
    <row r="7074">
      <c r="A7074" s="39" t="s">
        <v>26736</v>
      </c>
      <c r="B7074" s="15">
        <v>1391659.0</v>
      </c>
      <c r="C7074" s="15" t="s">
        <v>26737</v>
      </c>
      <c r="D7074" s="15">
        <v>240025.0</v>
      </c>
      <c r="E7074" s="15" t="s">
        <v>1557</v>
      </c>
      <c r="F7074" s="15" t="s">
        <v>1833</v>
      </c>
      <c r="G7074" s="7">
        <v>43.017</v>
      </c>
      <c r="H7074" s="15" t="s">
        <v>10401</v>
      </c>
      <c r="I7074" s="15" t="s">
        <v>1586</v>
      </c>
      <c r="J7074" s="15" t="s">
        <v>26738</v>
      </c>
      <c r="K7074" s="15">
        <v>54.0</v>
      </c>
      <c r="L7074" s="15">
        <v>54.0</v>
      </c>
      <c r="M7074" s="40">
        <v>41658.0</v>
      </c>
      <c r="N7074" s="40">
        <v>41702.0</v>
      </c>
      <c r="O7074" s="15" t="s">
        <v>1554</v>
      </c>
      <c r="Q7074" s="7"/>
    </row>
    <row r="7075">
      <c r="A7075" s="39" t="s">
        <v>26739</v>
      </c>
      <c r="B7075" s="15">
        <v>1500830.0</v>
      </c>
      <c r="C7075" s="15" t="s">
        <v>26740</v>
      </c>
      <c r="D7075" s="15">
        <v>287584.0</v>
      </c>
      <c r="E7075" s="15" t="s">
        <v>1557</v>
      </c>
      <c r="F7075" s="15" t="s">
        <v>1833</v>
      </c>
      <c r="G7075" s="7">
        <v>29.806</v>
      </c>
      <c r="H7075" s="15">
        <v>54.0</v>
      </c>
      <c r="I7075" s="15" t="s">
        <v>1586</v>
      </c>
      <c r="J7075" s="15" t="s">
        <v>26741</v>
      </c>
      <c r="K7075" s="15">
        <v>45.0</v>
      </c>
      <c r="L7075" s="15">
        <v>45.0</v>
      </c>
      <c r="M7075" s="40">
        <v>42114.0</v>
      </c>
      <c r="N7075" s="40">
        <v>42179.0</v>
      </c>
      <c r="O7075" s="15" t="s">
        <v>1554</v>
      </c>
      <c r="Q7075" s="7"/>
    </row>
    <row r="7076">
      <c r="A7076" s="39" t="s">
        <v>26743</v>
      </c>
      <c r="B7076" s="15">
        <v>1500827.0</v>
      </c>
      <c r="C7076" s="15" t="s">
        <v>26744</v>
      </c>
      <c r="D7076" s="15">
        <v>288005.0</v>
      </c>
      <c r="E7076" s="15" t="s">
        <v>1557</v>
      </c>
      <c r="F7076" s="15" t="s">
        <v>1833</v>
      </c>
      <c r="G7076" s="7">
        <v>29.327</v>
      </c>
      <c r="H7076" s="15" t="s">
        <v>5955</v>
      </c>
      <c r="I7076" s="15" t="s">
        <v>1586</v>
      </c>
      <c r="J7076" s="15" t="s">
        <v>26745</v>
      </c>
      <c r="K7076" s="15">
        <v>45.0</v>
      </c>
      <c r="L7076" s="15">
        <v>45.0</v>
      </c>
      <c r="M7076" s="40">
        <v>42114.0</v>
      </c>
      <c r="N7076" s="40">
        <v>42179.0</v>
      </c>
      <c r="O7076" s="15" t="s">
        <v>1554</v>
      </c>
      <c r="Q7076" s="7"/>
    </row>
    <row r="7077">
      <c r="A7077" s="39" t="s">
        <v>26746</v>
      </c>
      <c r="B7077" s="15">
        <v>1500821.0</v>
      </c>
      <c r="C7077" s="15" t="s">
        <v>26747</v>
      </c>
      <c r="D7077" s="15">
        <v>288009.0</v>
      </c>
      <c r="E7077" s="15" t="s">
        <v>1557</v>
      </c>
      <c r="F7077" s="15" t="s">
        <v>1833</v>
      </c>
      <c r="G7077" s="7">
        <v>29.494</v>
      </c>
      <c r="H7077" s="15" t="s">
        <v>4204</v>
      </c>
      <c r="I7077" s="15" t="s">
        <v>1586</v>
      </c>
      <c r="J7077" s="15" t="s">
        <v>26748</v>
      </c>
      <c r="K7077" s="15">
        <v>45.0</v>
      </c>
      <c r="L7077" s="15">
        <v>45.0</v>
      </c>
      <c r="M7077" s="40">
        <v>42114.0</v>
      </c>
      <c r="N7077" s="40">
        <v>42179.0</v>
      </c>
      <c r="O7077" s="15" t="s">
        <v>1554</v>
      </c>
      <c r="Q7077" s="7"/>
    </row>
    <row r="7078">
      <c r="A7078" s="39" t="s">
        <v>26749</v>
      </c>
      <c r="B7078" s="15">
        <v>1500798.0</v>
      </c>
      <c r="C7078" s="15" t="s">
        <v>26750</v>
      </c>
      <c r="D7078" s="15">
        <v>288025.0</v>
      </c>
      <c r="E7078" s="15" t="s">
        <v>1557</v>
      </c>
      <c r="F7078" s="15" t="s">
        <v>1833</v>
      </c>
      <c r="G7078" s="7">
        <v>29.503</v>
      </c>
      <c r="H7078" s="15" t="s">
        <v>4204</v>
      </c>
      <c r="I7078" s="15" t="s">
        <v>1586</v>
      </c>
      <c r="J7078" s="15" t="s">
        <v>26752</v>
      </c>
      <c r="K7078" s="15">
        <v>45.0</v>
      </c>
      <c r="L7078" s="15">
        <v>45.0</v>
      </c>
      <c r="M7078" s="40">
        <v>42114.0</v>
      </c>
      <c r="N7078" s="40">
        <v>42179.0</v>
      </c>
      <c r="O7078" s="15" t="s">
        <v>1554</v>
      </c>
      <c r="Q7078" s="7"/>
    </row>
    <row r="7079">
      <c r="A7079" s="39" t="s">
        <v>26753</v>
      </c>
      <c r="B7079" s="15">
        <v>1500831.0</v>
      </c>
      <c r="C7079" s="15" t="s">
        <v>26754</v>
      </c>
      <c r="D7079" s="15">
        <v>288002.0</v>
      </c>
      <c r="E7079" s="15" t="s">
        <v>1557</v>
      </c>
      <c r="F7079" s="15" t="s">
        <v>1833</v>
      </c>
      <c r="G7079" s="7">
        <v>29.323</v>
      </c>
      <c r="H7079" s="15" t="s">
        <v>6085</v>
      </c>
      <c r="I7079" s="15" t="s">
        <v>1586</v>
      </c>
      <c r="J7079" s="15" t="s">
        <v>26755</v>
      </c>
      <c r="K7079" s="15">
        <v>45.0</v>
      </c>
      <c r="L7079" s="15">
        <v>45.0</v>
      </c>
      <c r="M7079" s="40">
        <v>42114.0</v>
      </c>
      <c r="N7079" s="40">
        <v>42179.0</v>
      </c>
      <c r="O7079" s="15" t="s">
        <v>1554</v>
      </c>
      <c r="Q7079" s="7"/>
    </row>
    <row r="7080">
      <c r="A7080" s="39" t="s">
        <v>26757</v>
      </c>
      <c r="B7080" s="15">
        <v>1500820.0</v>
      </c>
      <c r="C7080" s="15" t="s">
        <v>26758</v>
      </c>
      <c r="D7080" s="15">
        <v>288010.0</v>
      </c>
      <c r="E7080" s="15" t="s">
        <v>1557</v>
      </c>
      <c r="F7080" s="15" t="s">
        <v>1833</v>
      </c>
      <c r="G7080" s="7">
        <v>29.003</v>
      </c>
      <c r="H7080" s="15" t="s">
        <v>5663</v>
      </c>
      <c r="I7080" s="15" t="s">
        <v>1586</v>
      </c>
      <c r="J7080" s="15" t="s">
        <v>26759</v>
      </c>
      <c r="K7080" s="15">
        <v>42.0</v>
      </c>
      <c r="L7080" s="15">
        <v>42.0</v>
      </c>
      <c r="M7080" s="40">
        <v>42114.0</v>
      </c>
      <c r="N7080" s="40">
        <v>42179.0</v>
      </c>
      <c r="O7080" s="15" t="s">
        <v>1554</v>
      </c>
      <c r="Q7080" s="7"/>
    </row>
    <row r="7081">
      <c r="A7081" s="39" t="s">
        <v>26761</v>
      </c>
      <c r="B7081" s="15">
        <v>1500814.0</v>
      </c>
      <c r="C7081" s="15" t="s">
        <v>26762</v>
      </c>
      <c r="D7081" s="15">
        <v>288014.0</v>
      </c>
      <c r="E7081" s="15" t="s">
        <v>1557</v>
      </c>
      <c r="F7081" s="15" t="s">
        <v>1833</v>
      </c>
      <c r="G7081" s="7">
        <v>29.751</v>
      </c>
      <c r="H7081" s="15">
        <v>54.0</v>
      </c>
      <c r="I7081" s="15" t="s">
        <v>1586</v>
      </c>
      <c r="J7081" s="15" t="s">
        <v>26763</v>
      </c>
      <c r="K7081" s="15">
        <v>45.0</v>
      </c>
      <c r="L7081" s="15">
        <v>45.0</v>
      </c>
      <c r="M7081" s="40">
        <v>42114.0</v>
      </c>
      <c r="N7081" s="40">
        <v>42179.0</v>
      </c>
      <c r="O7081" s="15" t="s">
        <v>1554</v>
      </c>
      <c r="Q7081" s="7"/>
    </row>
    <row r="7082">
      <c r="A7082" s="39" t="s">
        <v>26764</v>
      </c>
      <c r="B7082" s="15">
        <v>1500807.0</v>
      </c>
      <c r="C7082" s="15" t="s">
        <v>26765</v>
      </c>
      <c r="D7082" s="15">
        <v>288018.0</v>
      </c>
      <c r="E7082" s="15" t="s">
        <v>1557</v>
      </c>
      <c r="F7082" s="15" t="s">
        <v>1833</v>
      </c>
      <c r="G7082" s="7">
        <v>29.421</v>
      </c>
      <c r="H7082" s="15">
        <v>54.0</v>
      </c>
      <c r="I7082" s="15" t="s">
        <v>1586</v>
      </c>
      <c r="J7082" s="15" t="s">
        <v>26767</v>
      </c>
      <c r="K7082" s="15">
        <v>44.0</v>
      </c>
      <c r="L7082" s="15">
        <v>44.0</v>
      </c>
      <c r="M7082" s="40">
        <v>42114.0</v>
      </c>
      <c r="N7082" s="40">
        <v>42179.0</v>
      </c>
      <c r="O7082" s="15" t="s">
        <v>1554</v>
      </c>
      <c r="Q7082" s="7"/>
    </row>
    <row r="7083">
      <c r="A7083" s="39" t="s">
        <v>26768</v>
      </c>
      <c r="B7083" s="15">
        <v>1500801.0</v>
      </c>
      <c r="C7083" s="15" t="s">
        <v>26769</v>
      </c>
      <c r="D7083" s="15">
        <v>288022.0</v>
      </c>
      <c r="E7083" s="15" t="s">
        <v>1557</v>
      </c>
      <c r="F7083" s="15" t="s">
        <v>1833</v>
      </c>
      <c r="G7083" s="7">
        <v>29.412</v>
      </c>
      <c r="H7083" s="15" t="s">
        <v>5663</v>
      </c>
      <c r="I7083" s="15" t="s">
        <v>1586</v>
      </c>
      <c r="J7083" s="15" t="s">
        <v>26770</v>
      </c>
      <c r="K7083" s="15">
        <v>45.0</v>
      </c>
      <c r="L7083" s="15">
        <v>45.0</v>
      </c>
      <c r="M7083" s="40">
        <v>42114.0</v>
      </c>
      <c r="N7083" s="40">
        <v>42179.0</v>
      </c>
      <c r="O7083" s="15" t="s">
        <v>1554</v>
      </c>
      <c r="Q7083" s="7"/>
    </row>
    <row r="7084">
      <c r="A7084" s="39" t="s">
        <v>26772</v>
      </c>
      <c r="B7084" s="15">
        <v>1500825.0</v>
      </c>
      <c r="C7084" s="15" t="s">
        <v>26773</v>
      </c>
      <c r="D7084" s="15">
        <v>288007.0</v>
      </c>
      <c r="E7084" s="15" t="s">
        <v>1557</v>
      </c>
      <c r="F7084" s="15" t="s">
        <v>1833</v>
      </c>
      <c r="G7084" s="7">
        <v>29.247</v>
      </c>
      <c r="H7084" s="15" t="s">
        <v>5483</v>
      </c>
      <c r="I7084" s="15" t="s">
        <v>1586</v>
      </c>
      <c r="J7084" s="15" t="s">
        <v>26774</v>
      </c>
      <c r="K7084" s="15">
        <v>45.0</v>
      </c>
      <c r="L7084" s="15">
        <v>45.0</v>
      </c>
      <c r="M7084" s="40">
        <v>42114.0</v>
      </c>
      <c r="N7084" s="40">
        <v>42179.0</v>
      </c>
      <c r="O7084" s="15" t="s">
        <v>1554</v>
      </c>
      <c r="Q7084" s="7"/>
    </row>
    <row r="7085">
      <c r="A7085" s="39" t="s">
        <v>26775</v>
      </c>
      <c r="B7085" s="15">
        <v>1500813.0</v>
      </c>
      <c r="C7085" s="15" t="s">
        <v>26776</v>
      </c>
      <c r="D7085" s="15">
        <v>288015.0</v>
      </c>
      <c r="E7085" s="15" t="s">
        <v>1557</v>
      </c>
      <c r="F7085" s="15" t="s">
        <v>1833</v>
      </c>
      <c r="G7085" s="7">
        <v>29.261</v>
      </c>
      <c r="H7085" s="15" t="s">
        <v>4204</v>
      </c>
      <c r="I7085" s="15" t="s">
        <v>1586</v>
      </c>
      <c r="J7085" s="15" t="s">
        <v>26778</v>
      </c>
      <c r="K7085" s="15">
        <v>45.0</v>
      </c>
      <c r="L7085" s="15">
        <v>45.0</v>
      </c>
      <c r="M7085" s="40">
        <v>42114.0</v>
      </c>
      <c r="N7085" s="40">
        <v>42179.0</v>
      </c>
      <c r="O7085" s="15" t="s">
        <v>1554</v>
      </c>
      <c r="Q7085" s="7"/>
    </row>
    <row r="7086">
      <c r="A7086" s="39" t="s">
        <v>26779</v>
      </c>
      <c r="B7086" s="15">
        <v>1500828.0</v>
      </c>
      <c r="C7086" s="15" t="s">
        <v>26780</v>
      </c>
      <c r="D7086" s="15">
        <v>288004.0</v>
      </c>
      <c r="E7086" s="15" t="s">
        <v>1557</v>
      </c>
      <c r="F7086" s="15" t="s">
        <v>1833</v>
      </c>
      <c r="G7086" s="7">
        <v>29.428</v>
      </c>
      <c r="H7086" s="15" t="s">
        <v>4204</v>
      </c>
      <c r="I7086" s="15" t="s">
        <v>1586</v>
      </c>
      <c r="J7086" s="15" t="s">
        <v>26781</v>
      </c>
      <c r="K7086" s="15">
        <v>45.0</v>
      </c>
      <c r="L7086" s="15">
        <v>45.0</v>
      </c>
      <c r="M7086" s="40">
        <v>42114.0</v>
      </c>
      <c r="N7086" s="40">
        <v>42179.0</v>
      </c>
      <c r="O7086" s="15" t="s">
        <v>1554</v>
      </c>
      <c r="Q7086" s="7"/>
    </row>
    <row r="7087">
      <c r="A7087" s="39" t="s">
        <v>26782</v>
      </c>
      <c r="B7087" s="15">
        <v>1500816.0</v>
      </c>
      <c r="C7087" s="15" t="s">
        <v>26783</v>
      </c>
      <c r="D7087" s="15">
        <v>288012.0</v>
      </c>
      <c r="E7087" s="15" t="s">
        <v>1557</v>
      </c>
      <c r="F7087" s="15" t="s">
        <v>1833</v>
      </c>
      <c r="G7087" s="7">
        <v>29.394</v>
      </c>
      <c r="H7087" s="15">
        <v>54.0</v>
      </c>
      <c r="I7087" s="15" t="s">
        <v>1586</v>
      </c>
      <c r="J7087" s="15" t="s">
        <v>26784</v>
      </c>
      <c r="K7087" s="15">
        <v>46.0</v>
      </c>
      <c r="L7087" s="15">
        <v>46.0</v>
      </c>
      <c r="M7087" s="40">
        <v>42114.0</v>
      </c>
      <c r="N7087" s="40">
        <v>42179.0</v>
      </c>
      <c r="O7087" s="15" t="s">
        <v>1554</v>
      </c>
      <c r="Q7087" s="7"/>
    </row>
    <row r="7088">
      <c r="A7088" s="39" t="s">
        <v>26786</v>
      </c>
      <c r="B7088" s="15">
        <v>1500799.0</v>
      </c>
      <c r="C7088" s="15" t="s">
        <v>26787</v>
      </c>
      <c r="D7088" s="15">
        <v>288024.0</v>
      </c>
      <c r="E7088" s="15" t="s">
        <v>1557</v>
      </c>
      <c r="F7088" s="15" t="s">
        <v>1833</v>
      </c>
      <c r="G7088" s="7">
        <v>29.496</v>
      </c>
      <c r="H7088" s="15">
        <v>54.0</v>
      </c>
      <c r="I7088" s="15" t="s">
        <v>1586</v>
      </c>
      <c r="J7088" s="15" t="s">
        <v>26788</v>
      </c>
      <c r="K7088" s="15">
        <v>43.0</v>
      </c>
      <c r="L7088" s="15">
        <v>43.0</v>
      </c>
      <c r="M7088" s="40">
        <v>42114.0</v>
      </c>
      <c r="N7088" s="40">
        <v>42179.0</v>
      </c>
      <c r="O7088" s="15" t="s">
        <v>1554</v>
      </c>
      <c r="Q7088" s="7"/>
    </row>
    <row r="7089">
      <c r="A7089" s="39" t="s">
        <v>26790</v>
      </c>
      <c r="B7089" s="15">
        <v>577122.0</v>
      </c>
      <c r="C7089" s="15" t="s">
        <v>26791</v>
      </c>
      <c r="D7089" s="15">
        <v>378251.0</v>
      </c>
      <c r="E7089" s="15" t="s">
        <v>1548</v>
      </c>
      <c r="F7089" s="15" t="s">
        <v>1801</v>
      </c>
      <c r="G7089" s="7">
        <v>10.937</v>
      </c>
      <c r="H7089" s="15" t="s">
        <v>1772</v>
      </c>
      <c r="I7089" s="15" t="s">
        <v>1803</v>
      </c>
      <c r="J7089" s="15" t="s">
        <v>26792</v>
      </c>
      <c r="K7089" s="15">
        <v>1.0</v>
      </c>
      <c r="L7089" s="15">
        <v>1.0</v>
      </c>
      <c r="M7089" s="40">
        <v>39834.0</v>
      </c>
      <c r="N7089" s="40">
        <v>42912.0</v>
      </c>
      <c r="O7089" s="15" t="s">
        <v>1554</v>
      </c>
      <c r="Q7089" s="7"/>
    </row>
    <row r="7090">
      <c r="A7090" s="39" t="s">
        <v>26794</v>
      </c>
      <c r="B7090" s="15">
        <v>1972700.0</v>
      </c>
      <c r="C7090" s="15" t="s">
        <v>26795</v>
      </c>
      <c r="D7090" s="15">
        <v>384459.0</v>
      </c>
      <c r="E7090" s="15" t="s">
        <v>1548</v>
      </c>
      <c r="F7090" s="15" t="s">
        <v>2374</v>
      </c>
      <c r="G7090" s="7">
        <v>9.58</v>
      </c>
      <c r="H7090" s="15" t="s">
        <v>4401</v>
      </c>
      <c r="I7090" s="15" t="s">
        <v>1560</v>
      </c>
      <c r="J7090" s="15" t="s">
        <v>26796</v>
      </c>
      <c r="K7090" s="15">
        <v>1.0</v>
      </c>
      <c r="L7090" s="15">
        <v>1.0</v>
      </c>
      <c r="M7090" s="40">
        <v>42848.0</v>
      </c>
      <c r="N7090" s="40">
        <v>42912.0</v>
      </c>
      <c r="O7090" s="15" t="s">
        <v>1554</v>
      </c>
      <c r="Q7090" s="7"/>
    </row>
    <row r="7091">
      <c r="A7091" s="39" t="s">
        <v>26797</v>
      </c>
      <c r="B7091" s="15">
        <v>1937789.0</v>
      </c>
      <c r="C7091" s="15" t="s">
        <v>26799</v>
      </c>
      <c r="D7091" s="15">
        <v>384966.0</v>
      </c>
      <c r="E7091" s="15" t="s">
        <v>1548</v>
      </c>
      <c r="F7091" s="15" t="s">
        <v>1578</v>
      </c>
      <c r="G7091" s="7">
        <v>7.627</v>
      </c>
      <c r="H7091" s="15" t="s">
        <v>26800</v>
      </c>
      <c r="I7091" s="15" t="s">
        <v>1628</v>
      </c>
      <c r="J7091" s="15" t="s">
        <v>26801</v>
      </c>
      <c r="K7091" s="15">
        <v>3.0</v>
      </c>
      <c r="L7091" s="15">
        <v>3.0</v>
      </c>
      <c r="M7091" s="40">
        <v>42843.0</v>
      </c>
      <c r="N7091" s="40">
        <v>42912.0</v>
      </c>
      <c r="O7091" s="15" t="s">
        <v>1554</v>
      </c>
      <c r="Q7091" s="7"/>
    </row>
    <row r="7092">
      <c r="A7092" s="39" t="s">
        <v>26802</v>
      </c>
      <c r="B7092" s="15">
        <v>194540.0</v>
      </c>
      <c r="C7092" s="15" t="s">
        <v>26803</v>
      </c>
      <c r="D7092" s="15">
        <v>384967.0</v>
      </c>
      <c r="E7092" s="15" t="s">
        <v>1548</v>
      </c>
      <c r="F7092" s="15" t="s">
        <v>16718</v>
      </c>
      <c r="G7092" s="7">
        <v>18.748</v>
      </c>
      <c r="H7092" s="15" t="s">
        <v>26804</v>
      </c>
      <c r="I7092" s="15" t="s">
        <v>1803</v>
      </c>
      <c r="J7092" s="15" t="s">
        <v>26806</v>
      </c>
      <c r="K7092" s="15">
        <v>3.0</v>
      </c>
      <c r="L7092" s="15">
        <v>3.0</v>
      </c>
      <c r="M7092" s="40">
        <v>41982.0</v>
      </c>
      <c r="N7092" s="40">
        <v>42912.0</v>
      </c>
      <c r="O7092" s="15" t="s">
        <v>1554</v>
      </c>
      <c r="Q7092" s="7"/>
    </row>
    <row r="7093">
      <c r="A7093" s="39" t="s">
        <v>26807</v>
      </c>
      <c r="B7093" s="15">
        <v>1712571.0</v>
      </c>
      <c r="C7093" s="15" t="s">
        <v>26808</v>
      </c>
      <c r="D7093" s="15">
        <v>384968.0</v>
      </c>
      <c r="E7093" s="15" t="s">
        <v>1548</v>
      </c>
      <c r="F7093" s="15" t="s">
        <v>16718</v>
      </c>
      <c r="G7093" s="7">
        <v>19.471</v>
      </c>
      <c r="H7093" s="15" t="s">
        <v>26809</v>
      </c>
      <c r="I7093" s="15" t="s">
        <v>1803</v>
      </c>
      <c r="J7093" s="15" t="s">
        <v>26810</v>
      </c>
      <c r="K7093" s="15">
        <v>3.0</v>
      </c>
      <c r="L7093" s="15">
        <v>3.0</v>
      </c>
      <c r="M7093" s="40">
        <v>42263.0</v>
      </c>
      <c r="N7093" s="40">
        <v>42856.0</v>
      </c>
      <c r="O7093" s="15" t="s">
        <v>1554</v>
      </c>
      <c r="Q7093" s="7"/>
    </row>
    <row r="7094">
      <c r="A7094" s="39" t="s">
        <v>26812</v>
      </c>
      <c r="B7094" s="15">
        <v>1841195.0</v>
      </c>
      <c r="C7094" s="15" t="s">
        <v>26813</v>
      </c>
      <c r="D7094" s="15">
        <v>384969.0</v>
      </c>
      <c r="E7094" s="15" t="s">
        <v>1548</v>
      </c>
      <c r="F7094" s="15" t="s">
        <v>5815</v>
      </c>
      <c r="G7094" s="7">
        <v>12.158</v>
      </c>
      <c r="H7094" s="15" t="s">
        <v>26814</v>
      </c>
      <c r="I7094" s="15" t="s">
        <v>1567</v>
      </c>
      <c r="J7094" s="15" t="s">
        <v>26815</v>
      </c>
      <c r="K7094" s="15">
        <v>3.0</v>
      </c>
      <c r="L7094" s="15">
        <v>3.0</v>
      </c>
      <c r="M7094" s="40">
        <v>42600.0</v>
      </c>
      <c r="N7094" s="40">
        <v>42912.0</v>
      </c>
      <c r="O7094" s="15" t="s">
        <v>1554</v>
      </c>
      <c r="Q7094" s="7"/>
    </row>
    <row r="7095">
      <c r="A7095" s="39" t="s">
        <v>26817</v>
      </c>
      <c r="B7095" s="15">
        <v>1980481.0</v>
      </c>
      <c r="C7095" s="15" t="s">
        <v>26818</v>
      </c>
      <c r="D7095" s="15">
        <v>384970.0</v>
      </c>
      <c r="E7095" s="15" t="s">
        <v>1548</v>
      </c>
      <c r="F7095" s="15" t="s">
        <v>5815</v>
      </c>
      <c r="G7095" s="7">
        <v>12.171</v>
      </c>
      <c r="H7095" s="15" t="s">
        <v>26819</v>
      </c>
      <c r="I7095" s="15" t="s">
        <v>1567</v>
      </c>
      <c r="J7095" s="15" t="s">
        <v>26820</v>
      </c>
      <c r="K7095" s="15">
        <v>3.0</v>
      </c>
      <c r="L7095" s="15">
        <v>3.0</v>
      </c>
      <c r="M7095" s="40">
        <v>40627.0</v>
      </c>
      <c r="N7095" s="40">
        <v>42912.0</v>
      </c>
      <c r="O7095" s="15" t="s">
        <v>1554</v>
      </c>
      <c r="Q7095" s="7"/>
    </row>
    <row r="7096">
      <c r="A7096" s="39" t="s">
        <v>26821</v>
      </c>
      <c r="B7096" s="15">
        <v>990280.0</v>
      </c>
      <c r="C7096" s="15" t="s">
        <v>26822</v>
      </c>
      <c r="D7096" s="15">
        <v>384971.0</v>
      </c>
      <c r="E7096" s="15" t="s">
        <v>1548</v>
      </c>
      <c r="F7096" s="15" t="s">
        <v>5815</v>
      </c>
      <c r="G7096" s="7">
        <v>11.912</v>
      </c>
      <c r="H7096" s="15" t="s">
        <v>26823</v>
      </c>
      <c r="I7096" s="15" t="s">
        <v>1567</v>
      </c>
      <c r="J7096" s="15" t="s">
        <v>26824</v>
      </c>
      <c r="K7096" s="15">
        <v>3.0</v>
      </c>
      <c r="L7096" s="15">
        <v>3.0</v>
      </c>
      <c r="M7096" s="40">
        <v>40989.0</v>
      </c>
      <c r="N7096" s="40">
        <v>42912.0</v>
      </c>
      <c r="O7096" s="15" t="s">
        <v>1554</v>
      </c>
      <c r="Q7096" s="7"/>
    </row>
    <row r="7097">
      <c r="A7097" s="39" t="s">
        <v>26825</v>
      </c>
      <c r="B7097" s="15">
        <v>1679445.0</v>
      </c>
      <c r="C7097" s="15" t="s">
        <v>26826</v>
      </c>
      <c r="D7097" s="15">
        <v>384972.0</v>
      </c>
      <c r="E7097" s="15" t="s">
        <v>1548</v>
      </c>
      <c r="F7097" s="15" t="s">
        <v>5815</v>
      </c>
      <c r="G7097" s="7">
        <v>12.008</v>
      </c>
      <c r="H7097" s="15" t="s">
        <v>26828</v>
      </c>
      <c r="I7097" s="15" t="s">
        <v>1567</v>
      </c>
      <c r="J7097" s="15" t="s">
        <v>26829</v>
      </c>
      <c r="K7097" s="15">
        <v>3.0</v>
      </c>
      <c r="L7097" s="15">
        <v>3.0</v>
      </c>
      <c r="M7097" s="40">
        <v>42603.0</v>
      </c>
      <c r="N7097" s="40">
        <v>42912.0</v>
      </c>
      <c r="O7097" s="15" t="s">
        <v>1554</v>
      </c>
      <c r="Q7097" s="7"/>
    </row>
    <row r="7098">
      <c r="A7098" s="39" t="s">
        <v>26830</v>
      </c>
      <c r="B7098" s="15">
        <v>1400425.0</v>
      </c>
      <c r="C7098" s="15" t="s">
        <v>26831</v>
      </c>
      <c r="D7098" s="15">
        <v>384973.0</v>
      </c>
      <c r="E7098" s="15" t="s">
        <v>1548</v>
      </c>
      <c r="F7098" s="15" t="s">
        <v>5815</v>
      </c>
      <c r="G7098" s="7">
        <v>11.879</v>
      </c>
      <c r="H7098" s="15" t="s">
        <v>26832</v>
      </c>
      <c r="I7098" s="15" t="s">
        <v>1567</v>
      </c>
      <c r="J7098" s="15" t="s">
        <v>26833</v>
      </c>
      <c r="K7098" s="15">
        <v>3.0</v>
      </c>
      <c r="L7098" s="15">
        <v>3.0</v>
      </c>
      <c r="M7098" s="41">
        <v>41578.0</v>
      </c>
      <c r="N7098" s="40">
        <v>42912.0</v>
      </c>
      <c r="O7098" s="15" t="s">
        <v>1554</v>
      </c>
      <c r="Q7098" s="7"/>
    </row>
    <row r="7099">
      <c r="A7099" s="39" t="s">
        <v>26834</v>
      </c>
      <c r="B7099" s="15">
        <v>1961155.0</v>
      </c>
      <c r="C7099" s="15" t="s">
        <v>26835</v>
      </c>
      <c r="D7099" s="15">
        <v>385622.0</v>
      </c>
      <c r="E7099" s="15" t="s">
        <v>1638</v>
      </c>
      <c r="F7099" s="15" t="s">
        <v>1649</v>
      </c>
      <c r="G7099" s="7">
        <v>1.707</v>
      </c>
      <c r="H7099" s="15" t="s">
        <v>2660</v>
      </c>
      <c r="I7099" s="15" t="s">
        <v>1686</v>
      </c>
      <c r="J7099" s="15" t="s">
        <v>26837</v>
      </c>
      <c r="K7099" s="15">
        <v>1.0</v>
      </c>
      <c r="L7099" s="15">
        <v>1.0</v>
      </c>
      <c r="M7099" s="40">
        <v>42792.0</v>
      </c>
      <c r="N7099" s="40">
        <v>42860.0</v>
      </c>
      <c r="O7099" s="15" t="s">
        <v>1554</v>
      </c>
      <c r="Q7099" s="7"/>
    </row>
    <row r="7100">
      <c r="A7100" s="39" t="s">
        <v>26838</v>
      </c>
      <c r="B7100" s="15">
        <v>1961072.0</v>
      </c>
      <c r="C7100" s="15" t="s">
        <v>26839</v>
      </c>
      <c r="D7100" s="15">
        <v>385623.0</v>
      </c>
      <c r="E7100" s="15" t="s">
        <v>1808</v>
      </c>
      <c r="F7100" s="15" t="s">
        <v>2436</v>
      </c>
      <c r="G7100" s="7">
        <v>4.242</v>
      </c>
      <c r="H7100" s="15" t="s">
        <v>2320</v>
      </c>
      <c r="I7100" s="15" t="s">
        <v>1686</v>
      </c>
      <c r="J7100" s="15" t="s">
        <v>26840</v>
      </c>
      <c r="K7100" s="15">
        <v>5.0</v>
      </c>
      <c r="L7100" s="15">
        <v>5.0</v>
      </c>
      <c r="M7100" s="40">
        <v>42793.0</v>
      </c>
      <c r="N7100" s="40">
        <v>42860.0</v>
      </c>
      <c r="O7100" s="15" t="s">
        <v>1554</v>
      </c>
      <c r="Q7100" s="7"/>
    </row>
    <row r="7101">
      <c r="A7101" s="39" t="s">
        <v>26841</v>
      </c>
      <c r="B7101" s="15">
        <v>1960046.0</v>
      </c>
      <c r="C7101" s="15" t="s">
        <v>26842</v>
      </c>
      <c r="D7101" s="15">
        <v>385624.0</v>
      </c>
      <c r="E7101" s="15" t="s">
        <v>1548</v>
      </c>
      <c r="F7101" s="15" t="s">
        <v>4829</v>
      </c>
      <c r="G7101" s="7">
        <v>8.399</v>
      </c>
      <c r="H7101" s="15" t="s">
        <v>5382</v>
      </c>
      <c r="I7101" s="15" t="s">
        <v>1686</v>
      </c>
      <c r="J7101" s="15" t="s">
        <v>26844</v>
      </c>
      <c r="K7101" s="15">
        <v>3.0</v>
      </c>
      <c r="L7101" s="15">
        <v>3.0</v>
      </c>
      <c r="M7101" s="40">
        <v>42792.0</v>
      </c>
      <c r="N7101" s="40">
        <v>42860.0</v>
      </c>
      <c r="O7101" s="15" t="s">
        <v>1554</v>
      </c>
      <c r="Q7101" s="7"/>
    </row>
    <row r="7102">
      <c r="A7102" s="39" t="s">
        <v>26845</v>
      </c>
      <c r="B7102" s="15">
        <v>1936072.0</v>
      </c>
      <c r="C7102" s="15" t="s">
        <v>26846</v>
      </c>
      <c r="D7102" s="15">
        <v>385625.0</v>
      </c>
      <c r="E7102" s="15" t="s">
        <v>1548</v>
      </c>
      <c r="F7102" s="15" t="s">
        <v>4820</v>
      </c>
      <c r="G7102" s="7">
        <v>15.596</v>
      </c>
      <c r="H7102" s="15" t="s">
        <v>1918</v>
      </c>
      <c r="I7102" s="15" t="s">
        <v>1686</v>
      </c>
      <c r="J7102" s="15" t="s">
        <v>26847</v>
      </c>
      <c r="K7102" s="15">
        <v>14.0</v>
      </c>
      <c r="L7102" s="15">
        <v>14.0</v>
      </c>
      <c r="M7102" s="40">
        <v>41729.0</v>
      </c>
      <c r="N7102" s="40">
        <v>42860.0</v>
      </c>
      <c r="O7102" s="15" t="s">
        <v>1554</v>
      </c>
      <c r="Q7102" s="7"/>
    </row>
    <row r="7103">
      <c r="A7103" s="39" t="s">
        <v>26848</v>
      </c>
      <c r="B7103" s="15">
        <v>192199.0</v>
      </c>
      <c r="C7103" s="15" t="s">
        <v>26849</v>
      </c>
      <c r="D7103" s="15">
        <v>385626.0</v>
      </c>
      <c r="E7103" s="15" t="s">
        <v>1548</v>
      </c>
      <c r="F7103" s="15" t="s">
        <v>5290</v>
      </c>
      <c r="G7103" s="7">
        <v>12.259</v>
      </c>
      <c r="H7103" s="15" t="s">
        <v>26850</v>
      </c>
      <c r="I7103" s="15" t="s">
        <v>1803</v>
      </c>
      <c r="J7103" s="15" t="s">
        <v>26851</v>
      </c>
      <c r="K7103" s="15">
        <v>4.0</v>
      </c>
      <c r="L7103" s="15">
        <v>4.0</v>
      </c>
      <c r="M7103" s="40">
        <v>41701.0</v>
      </c>
      <c r="N7103" s="40">
        <v>42918.0</v>
      </c>
      <c r="O7103" s="15" t="s">
        <v>1554</v>
      </c>
      <c r="Q7103" s="7"/>
    </row>
    <row r="7104">
      <c r="A7104" s="39" t="s">
        <v>26853</v>
      </c>
      <c r="B7104" s="15">
        <v>292278.0</v>
      </c>
      <c r="C7104" s="15" t="s">
        <v>26854</v>
      </c>
      <c r="D7104" s="15">
        <v>385627.0</v>
      </c>
      <c r="E7104" s="15" t="s">
        <v>1548</v>
      </c>
      <c r="F7104" s="15" t="s">
        <v>5290</v>
      </c>
      <c r="G7104" s="7">
        <v>12.599</v>
      </c>
      <c r="H7104" s="15" t="s">
        <v>26855</v>
      </c>
      <c r="I7104" s="15" t="s">
        <v>1803</v>
      </c>
      <c r="J7104" s="15" t="s">
        <v>26856</v>
      </c>
      <c r="K7104" s="15">
        <v>4.0</v>
      </c>
      <c r="L7104" s="15">
        <v>4.0</v>
      </c>
      <c r="M7104" s="40">
        <v>41701.0</v>
      </c>
      <c r="N7104" s="40">
        <v>42918.0</v>
      </c>
      <c r="O7104" s="15" t="s">
        <v>1554</v>
      </c>
      <c r="Q7104" s="7"/>
    </row>
    <row r="7105">
      <c r="A7105" s="39" t="s">
        <v>26857</v>
      </c>
      <c r="B7105" s="15">
        <v>35316.0</v>
      </c>
      <c r="C7105" s="15" t="s">
        <v>26858</v>
      </c>
      <c r="D7105" s="15">
        <v>385628.0</v>
      </c>
      <c r="E7105" s="15" t="s">
        <v>1548</v>
      </c>
      <c r="F7105" s="15" t="s">
        <v>5290</v>
      </c>
      <c r="G7105" s="7">
        <v>12.31</v>
      </c>
      <c r="H7105" s="15" t="s">
        <v>26859</v>
      </c>
      <c r="I7105" s="15" t="s">
        <v>1803</v>
      </c>
      <c r="J7105" s="15" t="s">
        <v>26860</v>
      </c>
      <c r="K7105" s="15">
        <v>4.0</v>
      </c>
      <c r="L7105" s="15">
        <v>4.0</v>
      </c>
      <c r="M7105" s="40">
        <v>41897.0</v>
      </c>
      <c r="N7105" s="40">
        <v>42918.0</v>
      </c>
      <c r="O7105" s="15" t="s">
        <v>1554</v>
      </c>
      <c r="Q7105" s="7"/>
    </row>
    <row r="7106">
      <c r="A7106" s="39" t="s">
        <v>26861</v>
      </c>
      <c r="B7106" s="15">
        <v>348013.0</v>
      </c>
      <c r="C7106" s="15" t="s">
        <v>26863</v>
      </c>
      <c r="D7106" s="15">
        <v>385629.0</v>
      </c>
      <c r="E7106" s="15" t="s">
        <v>1548</v>
      </c>
      <c r="F7106" s="15" t="s">
        <v>5290</v>
      </c>
      <c r="G7106" s="7">
        <v>12.604</v>
      </c>
      <c r="H7106" s="15" t="s">
        <v>26864</v>
      </c>
      <c r="I7106" s="15" t="s">
        <v>1803</v>
      </c>
      <c r="J7106" s="15" t="s">
        <v>26865</v>
      </c>
      <c r="K7106" s="15">
        <v>4.0</v>
      </c>
      <c r="L7106" s="15">
        <v>4.0</v>
      </c>
      <c r="M7106" s="40">
        <v>41701.0</v>
      </c>
      <c r="N7106" s="40">
        <v>42918.0</v>
      </c>
      <c r="O7106" s="15" t="s">
        <v>1554</v>
      </c>
      <c r="Q7106" s="7"/>
    </row>
    <row r="7107">
      <c r="A7107" s="39" t="s">
        <v>26866</v>
      </c>
      <c r="B7107" s="15">
        <v>192196.0</v>
      </c>
      <c r="C7107" s="15" t="s">
        <v>26867</v>
      </c>
      <c r="D7107" s="15">
        <v>385630.0</v>
      </c>
      <c r="E7107" s="15" t="s">
        <v>1548</v>
      </c>
      <c r="F7107" s="15" t="s">
        <v>5290</v>
      </c>
      <c r="G7107" s="7">
        <v>12.259</v>
      </c>
      <c r="H7107" s="15" t="s">
        <v>26868</v>
      </c>
      <c r="I7107" s="15" t="s">
        <v>1803</v>
      </c>
      <c r="J7107" s="15" t="s">
        <v>26869</v>
      </c>
      <c r="K7107" s="15">
        <v>4.0</v>
      </c>
      <c r="L7107" s="15">
        <v>4.0</v>
      </c>
      <c r="M7107" s="40">
        <v>41701.0</v>
      </c>
      <c r="N7107" s="40">
        <v>42918.0</v>
      </c>
      <c r="O7107" s="15" t="s">
        <v>1554</v>
      </c>
      <c r="Q7107" s="7"/>
    </row>
    <row r="7108">
      <c r="A7108" s="39" t="s">
        <v>26870</v>
      </c>
      <c r="B7108" s="15">
        <v>307164.0</v>
      </c>
      <c r="C7108" s="15" t="s">
        <v>26871</v>
      </c>
      <c r="D7108" s="15">
        <v>385631.0</v>
      </c>
      <c r="E7108" s="15" t="s">
        <v>1548</v>
      </c>
      <c r="F7108" s="15" t="s">
        <v>5290</v>
      </c>
      <c r="G7108" s="7">
        <v>12.409</v>
      </c>
      <c r="H7108" s="15" t="s">
        <v>26873</v>
      </c>
      <c r="I7108" s="15" t="s">
        <v>1803</v>
      </c>
      <c r="J7108" s="15" t="s">
        <v>26874</v>
      </c>
      <c r="K7108" s="15">
        <v>4.0</v>
      </c>
      <c r="L7108" s="15">
        <v>4.0</v>
      </c>
      <c r="M7108" s="40">
        <v>41897.0</v>
      </c>
      <c r="N7108" s="40">
        <v>42918.0</v>
      </c>
      <c r="O7108" s="15" t="s">
        <v>1554</v>
      </c>
      <c r="Q7108" s="7"/>
    </row>
    <row r="7109">
      <c r="A7109" s="39" t="s">
        <v>26875</v>
      </c>
      <c r="B7109" s="15">
        <v>80941.0</v>
      </c>
      <c r="C7109" s="15" t="s">
        <v>26876</v>
      </c>
      <c r="D7109" s="15">
        <v>385632.0</v>
      </c>
      <c r="E7109" s="15" t="s">
        <v>1548</v>
      </c>
      <c r="F7109" s="15" t="s">
        <v>5290</v>
      </c>
      <c r="G7109" s="7">
        <v>12.265</v>
      </c>
      <c r="H7109" s="15" t="s">
        <v>26877</v>
      </c>
      <c r="I7109" s="15" t="s">
        <v>1803</v>
      </c>
      <c r="J7109" s="15" t="s">
        <v>26878</v>
      </c>
      <c r="K7109" s="15">
        <v>5.0</v>
      </c>
      <c r="L7109" s="15">
        <v>5.0</v>
      </c>
      <c r="M7109" s="40">
        <v>42113.0</v>
      </c>
      <c r="N7109" s="40">
        <v>42860.0</v>
      </c>
      <c r="O7109" s="15" t="s">
        <v>1554</v>
      </c>
      <c r="Q7109" s="7"/>
    </row>
    <row r="7110">
      <c r="A7110" s="39" t="s">
        <v>26879</v>
      </c>
      <c r="B7110" s="15">
        <v>35312.0</v>
      </c>
      <c r="C7110" s="15" t="s">
        <v>26880</v>
      </c>
      <c r="D7110" s="15">
        <v>385633.0</v>
      </c>
      <c r="E7110" s="15" t="s">
        <v>1548</v>
      </c>
      <c r="F7110" s="15" t="s">
        <v>5290</v>
      </c>
      <c r="G7110" s="7">
        <v>12.061</v>
      </c>
      <c r="H7110" s="15" t="s">
        <v>26882</v>
      </c>
      <c r="I7110" s="15" t="s">
        <v>1803</v>
      </c>
      <c r="J7110" s="15" t="s">
        <v>26883</v>
      </c>
      <c r="K7110" s="15">
        <v>3.0</v>
      </c>
      <c r="L7110" s="15">
        <v>3.0</v>
      </c>
      <c r="M7110" s="40">
        <v>42343.0</v>
      </c>
      <c r="N7110" s="40">
        <v>42918.0</v>
      </c>
      <c r="O7110" s="15" t="s">
        <v>1554</v>
      </c>
      <c r="Q7110" s="7"/>
    </row>
    <row r="7111">
      <c r="A7111" s="39" t="s">
        <v>26884</v>
      </c>
      <c r="B7111" s="15">
        <v>1869278.0</v>
      </c>
      <c r="C7111" s="15" t="s">
        <v>26885</v>
      </c>
      <c r="D7111" s="15">
        <v>385634.0</v>
      </c>
      <c r="E7111" s="15" t="s">
        <v>1548</v>
      </c>
      <c r="F7111" s="15" t="s">
        <v>1801</v>
      </c>
      <c r="G7111" s="7">
        <v>9.76</v>
      </c>
      <c r="H7111" s="15" t="s">
        <v>5457</v>
      </c>
      <c r="I7111" s="15" t="s">
        <v>1686</v>
      </c>
      <c r="J7111" s="15" t="s">
        <v>26886</v>
      </c>
      <c r="K7111" s="15">
        <v>1.0</v>
      </c>
      <c r="L7111" s="15">
        <v>1.0</v>
      </c>
      <c r="M7111" s="40">
        <v>42557.0</v>
      </c>
      <c r="N7111" s="40">
        <v>42860.0</v>
      </c>
      <c r="O7111" s="15" t="s">
        <v>1554</v>
      </c>
      <c r="Q7111" s="7"/>
    </row>
    <row r="7112">
      <c r="A7112" s="39" t="s">
        <v>26887</v>
      </c>
      <c r="B7112" s="15">
        <v>1508220.0</v>
      </c>
      <c r="C7112" s="15" t="s">
        <v>26888</v>
      </c>
      <c r="D7112" s="15">
        <v>385635.0</v>
      </c>
      <c r="E7112" s="15" t="s">
        <v>1548</v>
      </c>
      <c r="F7112" s="15" t="s">
        <v>1684</v>
      </c>
      <c r="G7112" s="7">
        <v>29.642</v>
      </c>
      <c r="H7112" s="15" t="s">
        <v>2820</v>
      </c>
      <c r="I7112" s="15" t="s">
        <v>1686</v>
      </c>
      <c r="J7112" s="15" t="s">
        <v>26890</v>
      </c>
      <c r="K7112" s="15">
        <v>10.0</v>
      </c>
      <c r="L7112" s="15">
        <v>10.0</v>
      </c>
      <c r="M7112" s="40">
        <v>42849.0</v>
      </c>
      <c r="N7112" s="40">
        <v>42860.0</v>
      </c>
      <c r="O7112" s="15" t="s">
        <v>1554</v>
      </c>
      <c r="Q7112" s="7"/>
    </row>
    <row r="7113">
      <c r="A7113" s="39" t="s">
        <v>26891</v>
      </c>
      <c r="B7113" s="15">
        <v>1394142.0</v>
      </c>
      <c r="C7113" s="15" t="s">
        <v>26892</v>
      </c>
      <c r="D7113" s="15">
        <v>385637.0</v>
      </c>
      <c r="E7113" s="15" t="s">
        <v>1548</v>
      </c>
      <c r="F7113" s="15" t="s">
        <v>1776</v>
      </c>
      <c r="G7113" s="7">
        <v>7.066</v>
      </c>
      <c r="H7113" s="15" t="s">
        <v>1849</v>
      </c>
      <c r="I7113" s="15" t="s">
        <v>1686</v>
      </c>
      <c r="J7113" s="15" t="s">
        <v>26894</v>
      </c>
      <c r="K7113" s="15">
        <v>1.0</v>
      </c>
      <c r="L7113" s="15">
        <v>1.0</v>
      </c>
      <c r="M7113" s="40">
        <v>41521.0</v>
      </c>
      <c r="N7113" s="40">
        <v>42986.0</v>
      </c>
      <c r="O7113" s="15" t="s">
        <v>1554</v>
      </c>
      <c r="Q7113" s="7"/>
    </row>
    <row r="7114">
      <c r="A7114" s="39" t="s">
        <v>26895</v>
      </c>
      <c r="B7114" s="15">
        <v>1622279.0</v>
      </c>
      <c r="C7114" s="15" t="s">
        <v>26896</v>
      </c>
      <c r="D7114" s="15">
        <v>385638.0</v>
      </c>
      <c r="E7114" s="15" t="s">
        <v>1548</v>
      </c>
      <c r="F7114" s="15" t="s">
        <v>5290</v>
      </c>
      <c r="G7114" s="7">
        <v>12.252</v>
      </c>
      <c r="H7114" s="15" t="s">
        <v>26897</v>
      </c>
      <c r="I7114" s="15" t="s">
        <v>1803</v>
      </c>
      <c r="J7114" s="15" t="s">
        <v>26898</v>
      </c>
      <c r="K7114" s="15">
        <v>4.0</v>
      </c>
      <c r="L7114" s="15">
        <v>4.0</v>
      </c>
      <c r="M7114" s="40">
        <v>42072.0</v>
      </c>
      <c r="N7114" s="40">
        <v>42860.0</v>
      </c>
      <c r="O7114" s="15" t="s">
        <v>1554</v>
      </c>
      <c r="Q7114" s="7"/>
    </row>
    <row r="7115">
      <c r="A7115" s="39" t="s">
        <v>26899</v>
      </c>
      <c r="B7115" s="15">
        <v>35310.0</v>
      </c>
      <c r="C7115" s="15" t="s">
        <v>26900</v>
      </c>
      <c r="D7115" s="15">
        <v>385639.0</v>
      </c>
      <c r="E7115" s="15" t="s">
        <v>1548</v>
      </c>
      <c r="F7115" s="15" t="s">
        <v>5290</v>
      </c>
      <c r="G7115" s="7">
        <v>12.587</v>
      </c>
      <c r="H7115" s="15" t="s">
        <v>26901</v>
      </c>
      <c r="I7115" s="15" t="s">
        <v>1567</v>
      </c>
      <c r="J7115" s="15" t="s">
        <v>26902</v>
      </c>
      <c r="K7115" s="15">
        <v>4.0</v>
      </c>
      <c r="L7115" s="15">
        <v>4.0</v>
      </c>
      <c r="M7115" s="40">
        <v>41897.0</v>
      </c>
      <c r="N7115" s="40">
        <v>42918.0</v>
      </c>
      <c r="O7115" s="15" t="s">
        <v>1554</v>
      </c>
      <c r="Q7115" s="7"/>
    </row>
    <row r="7116">
      <c r="A7116" s="39" t="s">
        <v>26903</v>
      </c>
      <c r="B7116" s="15">
        <v>35243.0</v>
      </c>
      <c r="C7116" s="15" t="s">
        <v>26904</v>
      </c>
      <c r="D7116" s="15">
        <v>385640.0</v>
      </c>
      <c r="E7116" s="15" t="s">
        <v>1557</v>
      </c>
      <c r="F7116" s="15" t="s">
        <v>1827</v>
      </c>
      <c r="G7116" s="7">
        <v>147.346</v>
      </c>
      <c r="H7116" s="15" t="s">
        <v>26906</v>
      </c>
      <c r="I7116" s="15" t="s">
        <v>1686</v>
      </c>
      <c r="J7116" s="15" t="s">
        <v>26907</v>
      </c>
      <c r="K7116" s="15">
        <v>86.0</v>
      </c>
      <c r="L7116" s="15">
        <v>69.0</v>
      </c>
      <c r="M7116" s="40">
        <v>42792.0</v>
      </c>
      <c r="N7116" s="40">
        <v>42918.0</v>
      </c>
      <c r="O7116" s="15" t="s">
        <v>1554</v>
      </c>
      <c r="Q7116" s="7"/>
    </row>
    <row r="7117">
      <c r="A7117" s="39" t="s">
        <v>26908</v>
      </c>
      <c r="B7117" s="15">
        <v>1981916.0</v>
      </c>
      <c r="C7117" s="15" t="s">
        <v>26909</v>
      </c>
      <c r="D7117" s="15">
        <v>385641.0</v>
      </c>
      <c r="E7117" s="15" t="s">
        <v>1577</v>
      </c>
      <c r="F7117" s="15" t="s">
        <v>1578</v>
      </c>
      <c r="G7117" s="7">
        <v>4.562</v>
      </c>
      <c r="H7117" s="15" t="s">
        <v>1745</v>
      </c>
      <c r="I7117" s="15" t="s">
        <v>1686</v>
      </c>
      <c r="J7117" s="15" t="s">
        <v>26910</v>
      </c>
      <c r="K7117" s="15">
        <v>2.0</v>
      </c>
      <c r="L7117" s="15">
        <v>2.0</v>
      </c>
      <c r="M7117" s="40">
        <v>42855.0</v>
      </c>
      <c r="N7117" s="40">
        <v>42860.0</v>
      </c>
      <c r="O7117" s="15" t="s">
        <v>1554</v>
      </c>
      <c r="Q7117" s="7"/>
    </row>
    <row r="7118">
      <c r="A7118" s="39" t="s">
        <v>26911</v>
      </c>
      <c r="B7118" s="15">
        <v>1980633.0</v>
      </c>
      <c r="C7118" s="15" t="s">
        <v>26912</v>
      </c>
      <c r="D7118" s="15">
        <v>385642.0</v>
      </c>
      <c r="E7118" s="15" t="s">
        <v>1557</v>
      </c>
      <c r="F7118" s="15" t="s">
        <v>2004</v>
      </c>
      <c r="G7118" s="7">
        <v>43286.0</v>
      </c>
      <c r="H7118" s="15" t="s">
        <v>4283</v>
      </c>
      <c r="I7118" s="15" t="s">
        <v>1686</v>
      </c>
      <c r="J7118" s="15" t="s">
        <v>26913</v>
      </c>
      <c r="K7118" s="15">
        <v>6.0</v>
      </c>
      <c r="L7118" s="15">
        <v>6.0</v>
      </c>
      <c r="M7118" s="40">
        <v>42855.0</v>
      </c>
      <c r="N7118" s="40">
        <v>42860.0</v>
      </c>
      <c r="O7118" s="15" t="s">
        <v>1554</v>
      </c>
      <c r="Q7118" s="7"/>
    </row>
    <row r="7119">
      <c r="A7119" s="39" t="s">
        <v>26915</v>
      </c>
      <c r="B7119" s="15">
        <v>1406343.0</v>
      </c>
      <c r="C7119" s="15" t="s">
        <v>26916</v>
      </c>
      <c r="D7119" s="15">
        <v>385643.0</v>
      </c>
      <c r="E7119" s="15" t="s">
        <v>1548</v>
      </c>
      <c r="F7119" s="15" t="s">
        <v>5290</v>
      </c>
      <c r="G7119" s="7">
        <v>11.728</v>
      </c>
      <c r="H7119" s="15" t="s">
        <v>26917</v>
      </c>
      <c r="I7119" s="15" t="s">
        <v>1560</v>
      </c>
      <c r="J7119" s="15" t="s">
        <v>26918</v>
      </c>
      <c r="K7119" s="15">
        <v>3.0</v>
      </c>
      <c r="L7119" s="15">
        <v>3.0</v>
      </c>
      <c r="M7119" s="41">
        <v>41569.0</v>
      </c>
      <c r="N7119" s="40">
        <v>42860.0</v>
      </c>
      <c r="O7119" s="15" t="s">
        <v>1554</v>
      </c>
      <c r="Q7119" s="7"/>
    </row>
    <row r="7120">
      <c r="A7120" s="39" t="s">
        <v>26919</v>
      </c>
      <c r="B7120" s="15">
        <v>1406344.0</v>
      </c>
      <c r="C7120" s="15" t="s">
        <v>26920</v>
      </c>
      <c r="D7120" s="15">
        <v>385644.0</v>
      </c>
      <c r="E7120" s="15" t="s">
        <v>1548</v>
      </c>
      <c r="F7120" s="15" t="s">
        <v>5290</v>
      </c>
      <c r="G7120" s="7">
        <v>11.322</v>
      </c>
      <c r="H7120" s="15" t="s">
        <v>26921</v>
      </c>
      <c r="I7120" s="15" t="s">
        <v>1560</v>
      </c>
      <c r="J7120" s="15" t="s">
        <v>26922</v>
      </c>
      <c r="K7120" s="15">
        <v>3.0</v>
      </c>
      <c r="L7120" s="15">
        <v>3.0</v>
      </c>
      <c r="M7120" s="41">
        <v>41569.0</v>
      </c>
      <c r="N7120" s="40">
        <v>42860.0</v>
      </c>
      <c r="O7120" s="15" t="s">
        <v>1554</v>
      </c>
      <c r="Q7120" s="7"/>
    </row>
    <row r="7121">
      <c r="A7121" s="39" t="s">
        <v>26923</v>
      </c>
      <c r="B7121" s="15">
        <v>248053.0</v>
      </c>
      <c r="C7121" s="15" t="s">
        <v>26924</v>
      </c>
      <c r="D7121" s="15">
        <v>385645.0</v>
      </c>
      <c r="E7121" s="15" t="s">
        <v>1548</v>
      </c>
      <c r="F7121" s="15" t="s">
        <v>16718</v>
      </c>
      <c r="G7121" s="7">
        <v>18.464</v>
      </c>
      <c r="H7121" s="15" t="s">
        <v>26926</v>
      </c>
      <c r="I7121" s="15" t="s">
        <v>1803</v>
      </c>
      <c r="J7121" s="15" t="s">
        <v>26927</v>
      </c>
      <c r="K7121" s="15" t="s">
        <v>1722</v>
      </c>
      <c r="L7121" s="15" t="s">
        <v>1722</v>
      </c>
      <c r="M7121" s="40">
        <v>42445.0</v>
      </c>
      <c r="N7121" s="40">
        <v>42860.0</v>
      </c>
      <c r="O7121" s="15" t="s">
        <v>1554</v>
      </c>
      <c r="Q7121" s="7"/>
    </row>
    <row r="7122">
      <c r="A7122" s="39" t="s">
        <v>26928</v>
      </c>
      <c r="B7122" s="15">
        <v>660955.0</v>
      </c>
      <c r="C7122" s="15" t="s">
        <v>26929</v>
      </c>
      <c r="D7122" s="15">
        <v>385646.0</v>
      </c>
      <c r="E7122" s="15" t="s">
        <v>1548</v>
      </c>
      <c r="F7122" s="15" t="s">
        <v>5815</v>
      </c>
      <c r="G7122" s="7">
        <v>11.978</v>
      </c>
      <c r="H7122" s="15" t="s">
        <v>26930</v>
      </c>
      <c r="I7122" s="15" t="s">
        <v>1567</v>
      </c>
      <c r="J7122" s="15" t="s">
        <v>26931</v>
      </c>
      <c r="K7122" s="15">
        <v>3.0</v>
      </c>
      <c r="L7122" s="15">
        <v>3.0</v>
      </c>
      <c r="M7122" s="40">
        <v>42118.0</v>
      </c>
      <c r="N7122" s="40">
        <v>42860.0</v>
      </c>
      <c r="O7122" s="15" t="s">
        <v>1554</v>
      </c>
      <c r="Q7122" s="7"/>
    </row>
    <row r="7123">
      <c r="A7123" s="39" t="s">
        <v>26932</v>
      </c>
      <c r="B7123" s="15">
        <v>1788456.0</v>
      </c>
      <c r="C7123" s="15" t="s">
        <v>26933</v>
      </c>
      <c r="D7123" s="15">
        <v>385647.0</v>
      </c>
      <c r="E7123" s="15" t="s">
        <v>1548</v>
      </c>
      <c r="F7123" s="15" t="s">
        <v>5815</v>
      </c>
      <c r="G7123" s="7">
        <v>11.974</v>
      </c>
      <c r="H7123" s="15" t="s">
        <v>26934</v>
      </c>
      <c r="I7123" s="15" t="s">
        <v>1567</v>
      </c>
      <c r="J7123" s="15" t="s">
        <v>26935</v>
      </c>
      <c r="K7123" s="15">
        <v>3.0</v>
      </c>
      <c r="L7123" s="15">
        <v>3.0</v>
      </c>
      <c r="M7123" s="40">
        <v>42423.0</v>
      </c>
      <c r="N7123" s="40">
        <v>42860.0</v>
      </c>
      <c r="O7123" s="15" t="s">
        <v>1554</v>
      </c>
      <c r="Q7123" s="7"/>
    </row>
    <row r="7124">
      <c r="A7124" s="39" t="s">
        <v>26936</v>
      </c>
      <c r="B7124" s="15">
        <v>1980464.0</v>
      </c>
      <c r="C7124" s="15" t="s">
        <v>26937</v>
      </c>
      <c r="D7124" s="15">
        <v>385648.0</v>
      </c>
      <c r="E7124" s="15" t="s">
        <v>1548</v>
      </c>
      <c r="F7124" s="15" t="s">
        <v>5815</v>
      </c>
      <c r="G7124" s="7">
        <v>12.003</v>
      </c>
      <c r="H7124" s="15" t="s">
        <v>26938</v>
      </c>
      <c r="I7124" s="15" t="s">
        <v>1567</v>
      </c>
      <c r="J7124" s="15" t="s">
        <v>26940</v>
      </c>
      <c r="K7124" s="15">
        <v>3.0</v>
      </c>
      <c r="L7124" s="15">
        <v>3.0</v>
      </c>
      <c r="M7124" s="41">
        <v>39378.0</v>
      </c>
      <c r="N7124" s="41">
        <v>43018.0</v>
      </c>
      <c r="O7124" s="15" t="s">
        <v>1554</v>
      </c>
      <c r="Q7124" s="7"/>
    </row>
    <row r="7125">
      <c r="A7125" s="39" t="s">
        <v>26941</v>
      </c>
      <c r="B7125" s="15">
        <v>318848.0</v>
      </c>
      <c r="C7125" s="15" t="s">
        <v>26942</v>
      </c>
      <c r="D7125" s="15">
        <v>385649.0</v>
      </c>
      <c r="E7125" s="15" t="s">
        <v>1548</v>
      </c>
      <c r="F7125" s="15" t="s">
        <v>1890</v>
      </c>
      <c r="G7125" s="7">
        <v>11.45</v>
      </c>
      <c r="H7125" s="15" t="s">
        <v>2233</v>
      </c>
      <c r="I7125" s="15" t="s">
        <v>16091</v>
      </c>
      <c r="J7125" s="15" t="s">
        <v>26943</v>
      </c>
      <c r="K7125" s="15">
        <v>6.0</v>
      </c>
      <c r="L7125" s="15">
        <v>6.0</v>
      </c>
      <c r="M7125" s="40">
        <v>42073.0</v>
      </c>
      <c r="N7125" s="40">
        <v>42918.0</v>
      </c>
      <c r="O7125" s="15" t="s">
        <v>1554</v>
      </c>
      <c r="Q7125" s="7"/>
    </row>
    <row r="7126">
      <c r="A7126" s="39" t="s">
        <v>26944</v>
      </c>
      <c r="B7126" s="15">
        <v>380433.0</v>
      </c>
      <c r="C7126" s="15" t="s">
        <v>26945</v>
      </c>
      <c r="D7126" s="15">
        <v>385650.0</v>
      </c>
      <c r="E7126" s="15" t="s">
        <v>1548</v>
      </c>
      <c r="F7126" s="15" t="s">
        <v>1890</v>
      </c>
      <c r="G7126" s="7">
        <v>11.528</v>
      </c>
      <c r="H7126" s="15" t="s">
        <v>2640</v>
      </c>
      <c r="I7126" s="15" t="s">
        <v>1686</v>
      </c>
      <c r="J7126" s="15" t="s">
        <v>26947</v>
      </c>
      <c r="K7126" s="15">
        <v>6.0</v>
      </c>
      <c r="L7126" s="15">
        <v>6.0</v>
      </c>
      <c r="M7126" s="40">
        <v>42073.0</v>
      </c>
      <c r="N7126" s="40">
        <v>42918.0</v>
      </c>
      <c r="O7126" s="15" t="s">
        <v>1554</v>
      </c>
      <c r="Q7126" s="7"/>
    </row>
    <row r="7127">
      <c r="A7127" s="39" t="s">
        <v>26948</v>
      </c>
      <c r="B7127" s="15">
        <v>318849.0</v>
      </c>
      <c r="C7127" s="15" t="s">
        <v>26949</v>
      </c>
      <c r="D7127" s="15">
        <v>385651.0</v>
      </c>
      <c r="E7127" s="15" t="s">
        <v>1548</v>
      </c>
      <c r="F7127" s="15" t="s">
        <v>1890</v>
      </c>
      <c r="G7127" s="7">
        <v>10.863</v>
      </c>
      <c r="H7127" s="15" t="s">
        <v>6633</v>
      </c>
      <c r="I7127" s="15" t="s">
        <v>1560</v>
      </c>
      <c r="J7127" s="15" t="s">
        <v>26950</v>
      </c>
      <c r="K7127" s="15">
        <v>6.0</v>
      </c>
      <c r="L7127" s="15">
        <v>6.0</v>
      </c>
      <c r="M7127" s="40">
        <v>42073.0</v>
      </c>
      <c r="N7127" s="40">
        <v>42918.0</v>
      </c>
      <c r="O7127" s="15" t="s">
        <v>1554</v>
      </c>
      <c r="Q7127" s="7"/>
    </row>
    <row r="7128">
      <c r="A7128" s="39" t="s">
        <v>26951</v>
      </c>
      <c r="B7128" s="15">
        <v>318845.0</v>
      </c>
      <c r="C7128" s="15" t="s">
        <v>26952</v>
      </c>
      <c r="D7128" s="15">
        <v>385652.0</v>
      </c>
      <c r="E7128" s="15" t="s">
        <v>1548</v>
      </c>
      <c r="F7128" s="15" t="s">
        <v>1890</v>
      </c>
      <c r="G7128" s="7">
        <v>13.205</v>
      </c>
      <c r="H7128" s="15" t="s">
        <v>1696</v>
      </c>
      <c r="I7128" s="15" t="s">
        <v>1560</v>
      </c>
      <c r="J7128" s="15" t="s">
        <v>26953</v>
      </c>
      <c r="K7128" s="15">
        <v>9.0</v>
      </c>
      <c r="L7128" s="15">
        <v>9.0</v>
      </c>
      <c r="M7128" s="40">
        <v>42073.0</v>
      </c>
      <c r="N7128" s="40">
        <v>42918.0</v>
      </c>
      <c r="O7128" s="15" t="s">
        <v>1554</v>
      </c>
      <c r="Q7128" s="7"/>
    </row>
    <row r="7129">
      <c r="A7129" s="39" t="s">
        <v>26954</v>
      </c>
      <c r="B7129" s="15">
        <v>200403.0</v>
      </c>
      <c r="C7129" s="15" t="s">
        <v>26955</v>
      </c>
      <c r="D7129" s="15">
        <v>385653.0</v>
      </c>
      <c r="E7129" s="15" t="s">
        <v>1548</v>
      </c>
      <c r="F7129" s="15" t="s">
        <v>1890</v>
      </c>
      <c r="G7129" s="7">
        <v>12.957</v>
      </c>
      <c r="H7129" s="15" t="s">
        <v>2640</v>
      </c>
      <c r="I7129" s="15" t="s">
        <v>1560</v>
      </c>
      <c r="J7129" s="15" t="s">
        <v>26957</v>
      </c>
      <c r="K7129" s="15">
        <v>11.0</v>
      </c>
      <c r="L7129" s="15">
        <v>11.0</v>
      </c>
      <c r="M7129" s="40">
        <v>42073.0</v>
      </c>
      <c r="N7129" s="40">
        <v>42918.0</v>
      </c>
      <c r="O7129" s="15" t="s">
        <v>1554</v>
      </c>
      <c r="Q7129" s="7"/>
    </row>
    <row r="7130">
      <c r="A7130" s="39" t="s">
        <v>26958</v>
      </c>
      <c r="B7130" s="15">
        <v>200402.0</v>
      </c>
      <c r="C7130" s="15" t="s">
        <v>26959</v>
      </c>
      <c r="D7130" s="15">
        <v>385654.0</v>
      </c>
      <c r="E7130" s="15" t="s">
        <v>1548</v>
      </c>
      <c r="F7130" s="15" t="s">
        <v>1890</v>
      </c>
      <c r="G7130" s="7">
        <v>13.209</v>
      </c>
      <c r="H7130" s="15" t="s">
        <v>3070</v>
      </c>
      <c r="I7130" s="15" t="s">
        <v>1560</v>
      </c>
      <c r="J7130" s="15" t="s">
        <v>26960</v>
      </c>
      <c r="K7130" s="15">
        <v>10.0</v>
      </c>
      <c r="L7130" s="15">
        <v>10.0</v>
      </c>
      <c r="M7130" s="40">
        <v>42073.0</v>
      </c>
      <c r="N7130" s="40">
        <v>42918.0</v>
      </c>
      <c r="O7130" s="15" t="s">
        <v>1554</v>
      </c>
      <c r="Q7130" s="7"/>
    </row>
    <row r="7131">
      <c r="A7131" s="39" t="s">
        <v>26961</v>
      </c>
      <c r="B7131" s="15">
        <v>200401.0</v>
      </c>
      <c r="C7131" s="15" t="s">
        <v>26962</v>
      </c>
      <c r="D7131" s="15">
        <v>385655.0</v>
      </c>
      <c r="E7131" s="15" t="s">
        <v>1548</v>
      </c>
      <c r="F7131" s="15" t="s">
        <v>1890</v>
      </c>
      <c r="G7131" s="7">
        <v>13.104</v>
      </c>
      <c r="H7131" s="15" t="s">
        <v>2375</v>
      </c>
      <c r="I7131" s="15" t="s">
        <v>1560</v>
      </c>
      <c r="J7131" s="15" t="s">
        <v>26964</v>
      </c>
      <c r="K7131" s="15">
        <v>9.0</v>
      </c>
      <c r="L7131" s="15">
        <v>9.0</v>
      </c>
      <c r="M7131" s="40">
        <v>42073.0</v>
      </c>
      <c r="N7131" s="40">
        <v>42918.0</v>
      </c>
      <c r="O7131" s="15" t="s">
        <v>1554</v>
      </c>
      <c r="Q7131" s="7"/>
    </row>
    <row r="7132">
      <c r="A7132" s="39" t="s">
        <v>26965</v>
      </c>
      <c r="B7132" s="15">
        <v>1414748.0</v>
      </c>
      <c r="C7132" s="15" t="s">
        <v>26966</v>
      </c>
      <c r="D7132" s="15">
        <v>240049.0</v>
      </c>
      <c r="E7132" s="15" t="s">
        <v>1557</v>
      </c>
      <c r="F7132" s="15" t="s">
        <v>1833</v>
      </c>
      <c r="G7132" s="7">
        <v>68.262</v>
      </c>
      <c r="H7132" s="15" t="s">
        <v>6615</v>
      </c>
      <c r="I7132" s="15" t="s">
        <v>1586</v>
      </c>
      <c r="J7132" s="15" t="s">
        <v>26967</v>
      </c>
      <c r="K7132" s="15">
        <v>97.0</v>
      </c>
      <c r="L7132" s="15">
        <v>97.0</v>
      </c>
      <c r="M7132" s="41">
        <v>41622.0</v>
      </c>
      <c r="N7132" s="40">
        <v>41702.0</v>
      </c>
      <c r="O7132" s="15" t="s">
        <v>1554</v>
      </c>
      <c r="Q7132" s="7"/>
    </row>
    <row r="7133">
      <c r="A7133" s="39" t="s">
        <v>26968</v>
      </c>
      <c r="B7133" s="15">
        <v>10730.0</v>
      </c>
      <c r="C7133" s="15" t="s">
        <v>26969</v>
      </c>
      <c r="D7133" s="15">
        <v>14043.0</v>
      </c>
      <c r="E7133" s="15" t="s">
        <v>1557</v>
      </c>
      <c r="F7133" s="15" t="s">
        <v>1611</v>
      </c>
      <c r="G7133" s="7">
        <v>61.67</v>
      </c>
      <c r="H7133" s="15" t="s">
        <v>4821</v>
      </c>
      <c r="I7133" s="15" t="s">
        <v>1586</v>
      </c>
      <c r="J7133" s="15" t="s">
        <v>26971</v>
      </c>
      <c r="K7133" s="15">
        <v>84.0</v>
      </c>
      <c r="L7133" s="15">
        <v>80.0</v>
      </c>
      <c r="M7133" s="40">
        <v>36266.0</v>
      </c>
      <c r="N7133" s="40">
        <v>39920.0</v>
      </c>
      <c r="O7133" s="15" t="s">
        <v>1554</v>
      </c>
      <c r="Q7133" s="7"/>
    </row>
    <row r="7134">
      <c r="A7134" s="39" t="s">
        <v>26972</v>
      </c>
      <c r="B7134" s="15">
        <v>1195365.0</v>
      </c>
      <c r="C7134" s="15" t="s">
        <v>26973</v>
      </c>
      <c r="D7134" s="15">
        <v>384384.0</v>
      </c>
      <c r="E7134" s="15" t="s">
        <v>1548</v>
      </c>
      <c r="F7134" s="15" t="s">
        <v>1776</v>
      </c>
      <c r="G7134" s="7">
        <v>8.468</v>
      </c>
      <c r="H7134" s="15" t="s">
        <v>1844</v>
      </c>
      <c r="I7134" s="15" t="s">
        <v>1686</v>
      </c>
      <c r="J7134" s="15" t="s">
        <v>26974</v>
      </c>
      <c r="K7134" s="15">
        <v>1.0</v>
      </c>
      <c r="L7134" s="15">
        <v>1.0</v>
      </c>
      <c r="M7134" s="40">
        <v>41066.0</v>
      </c>
      <c r="N7134" s="40">
        <v>42935.0</v>
      </c>
      <c r="O7134" s="15" t="s">
        <v>1554</v>
      </c>
      <c r="Q7134" s="7"/>
    </row>
    <row r="7135">
      <c r="A7135" s="39" t="s">
        <v>26975</v>
      </c>
      <c r="B7135" s="15">
        <v>507488.0</v>
      </c>
      <c r="C7135" s="15" t="s">
        <v>26976</v>
      </c>
      <c r="D7135" s="15">
        <v>384385.0</v>
      </c>
      <c r="E7135" s="15" t="s">
        <v>1557</v>
      </c>
      <c r="F7135" s="15" t="s">
        <v>2628</v>
      </c>
      <c r="G7135" s="7">
        <v>35.555</v>
      </c>
      <c r="H7135" s="15" t="s">
        <v>2517</v>
      </c>
      <c r="I7135" s="15" t="s">
        <v>1686</v>
      </c>
      <c r="J7135" s="15" t="s">
        <v>26977</v>
      </c>
      <c r="K7135" s="15">
        <v>32.0</v>
      </c>
      <c r="L7135" s="15">
        <v>32.0</v>
      </c>
      <c r="M7135" s="40">
        <v>42619.0</v>
      </c>
      <c r="N7135" s="40">
        <v>42851.0</v>
      </c>
      <c r="O7135" s="15" t="s">
        <v>1554</v>
      </c>
      <c r="Q7135" s="7"/>
    </row>
    <row r="7136">
      <c r="A7136" s="39" t="s">
        <v>26979</v>
      </c>
      <c r="B7136" s="15">
        <v>1932881.0</v>
      </c>
      <c r="C7136" s="15" t="s">
        <v>26980</v>
      </c>
      <c r="D7136" s="15">
        <v>383695.0</v>
      </c>
      <c r="E7136" s="15" t="s">
        <v>1577</v>
      </c>
      <c r="F7136" s="15" t="s">
        <v>1578</v>
      </c>
      <c r="G7136" s="7">
        <v>395.405</v>
      </c>
      <c r="H7136" s="15" t="s">
        <v>3809</v>
      </c>
      <c r="I7136" s="15" t="s">
        <v>1740</v>
      </c>
      <c r="J7136" s="15" t="s">
        <v>26981</v>
      </c>
      <c r="K7136" s="15">
        <v>466.0</v>
      </c>
      <c r="L7136" s="15">
        <v>465.0</v>
      </c>
      <c r="M7136" s="40">
        <v>42845.0</v>
      </c>
      <c r="N7136" s="40">
        <v>42851.0</v>
      </c>
      <c r="O7136" s="15" t="s">
        <v>1554</v>
      </c>
      <c r="Q7136" s="7"/>
    </row>
    <row r="7137">
      <c r="A7137" s="39" t="s">
        <v>26982</v>
      </c>
      <c r="B7137" s="15">
        <v>1979541.0</v>
      </c>
      <c r="C7137" s="15" t="s">
        <v>26983</v>
      </c>
      <c r="D7137" s="15">
        <v>386294.0</v>
      </c>
      <c r="E7137" s="15" t="s">
        <v>1548</v>
      </c>
      <c r="F7137" s="15" t="s">
        <v>2615</v>
      </c>
      <c r="G7137" s="7">
        <v>6.386</v>
      </c>
      <c r="H7137" s="15" t="s">
        <v>1591</v>
      </c>
      <c r="I7137" s="15" t="s">
        <v>1628</v>
      </c>
      <c r="J7137" s="15" t="s">
        <v>26984</v>
      </c>
      <c r="K7137" s="15">
        <v>4.0</v>
      </c>
      <c r="L7137" s="15">
        <v>4.0</v>
      </c>
      <c r="M7137" s="40">
        <v>42847.0</v>
      </c>
      <c r="N7137" s="40">
        <v>42870.0</v>
      </c>
      <c r="O7137" s="15" t="s">
        <v>1554</v>
      </c>
      <c r="Q7137" s="7"/>
    </row>
    <row r="7138">
      <c r="A7138" s="39" t="s">
        <v>26985</v>
      </c>
      <c r="B7138" s="15">
        <v>1972565.0</v>
      </c>
      <c r="C7138" s="15" t="s">
        <v>26987</v>
      </c>
      <c r="D7138" s="15">
        <v>386295.0</v>
      </c>
      <c r="E7138" s="15" t="s">
        <v>1548</v>
      </c>
      <c r="F7138" s="15" t="s">
        <v>1890</v>
      </c>
      <c r="G7138" s="7">
        <v>11.181</v>
      </c>
      <c r="H7138" s="15" t="s">
        <v>2440</v>
      </c>
      <c r="I7138" s="15" t="s">
        <v>1560</v>
      </c>
      <c r="J7138" s="15" t="s">
        <v>26988</v>
      </c>
      <c r="K7138" s="15">
        <v>5.0</v>
      </c>
      <c r="L7138" s="15">
        <v>5.0</v>
      </c>
      <c r="M7138" s="40">
        <v>42073.0</v>
      </c>
      <c r="N7138" s="40">
        <v>42870.0</v>
      </c>
      <c r="O7138" s="15" t="s">
        <v>1554</v>
      </c>
      <c r="Q7138" s="7"/>
    </row>
    <row r="7139">
      <c r="A7139" s="39" t="s">
        <v>26989</v>
      </c>
      <c r="B7139" s="15">
        <v>1980631.0</v>
      </c>
      <c r="C7139" s="15" t="s">
        <v>26990</v>
      </c>
      <c r="D7139" s="15">
        <v>386296.0</v>
      </c>
      <c r="E7139" s="15" t="s">
        <v>1638</v>
      </c>
      <c r="F7139" s="15" t="s">
        <v>1796</v>
      </c>
      <c r="G7139" s="7">
        <v>3.72</v>
      </c>
      <c r="H7139" s="15" t="s">
        <v>26991</v>
      </c>
      <c r="I7139" s="15" t="s">
        <v>1628</v>
      </c>
      <c r="J7139" s="15" t="s">
        <v>26992</v>
      </c>
      <c r="K7139" s="15">
        <v>2.0</v>
      </c>
      <c r="L7139" s="15">
        <v>2.0</v>
      </c>
      <c r="M7139" s="40">
        <v>42851.0</v>
      </c>
      <c r="N7139" s="40">
        <v>42870.0</v>
      </c>
      <c r="O7139" s="15" t="s">
        <v>1554</v>
      </c>
      <c r="Q7139" s="7"/>
    </row>
    <row r="7140">
      <c r="A7140" s="39" t="s">
        <v>26993</v>
      </c>
      <c r="B7140" s="15">
        <v>1980625.0</v>
      </c>
      <c r="C7140" s="15" t="s">
        <v>26994</v>
      </c>
      <c r="D7140" s="15">
        <v>386297.0</v>
      </c>
      <c r="E7140" s="15" t="s">
        <v>1638</v>
      </c>
      <c r="F7140" s="15" t="s">
        <v>1796</v>
      </c>
      <c r="G7140" s="7">
        <v>3.135</v>
      </c>
      <c r="H7140" s="15" t="s">
        <v>26995</v>
      </c>
      <c r="I7140" s="15" t="s">
        <v>1628</v>
      </c>
      <c r="J7140" s="15" t="s">
        <v>26996</v>
      </c>
      <c r="K7140" s="15">
        <v>2.0</v>
      </c>
      <c r="L7140" s="15">
        <v>2.0</v>
      </c>
      <c r="M7140" s="40">
        <v>42851.0</v>
      </c>
      <c r="N7140" s="40">
        <v>42870.0</v>
      </c>
      <c r="O7140" s="15" t="s">
        <v>1554</v>
      </c>
      <c r="Q7140" s="7"/>
    </row>
    <row r="7141">
      <c r="A7141" s="39" t="s">
        <v>26998</v>
      </c>
      <c r="B7141" s="15">
        <v>1980527.0</v>
      </c>
      <c r="C7141" s="15" t="s">
        <v>26999</v>
      </c>
      <c r="D7141" s="15">
        <v>386298.0</v>
      </c>
      <c r="E7141" s="15" t="s">
        <v>1548</v>
      </c>
      <c r="F7141" s="15" t="s">
        <v>16718</v>
      </c>
      <c r="G7141" s="7">
        <v>19.261</v>
      </c>
      <c r="H7141" s="15" t="s">
        <v>27000</v>
      </c>
      <c r="I7141" s="15" t="s">
        <v>1803</v>
      </c>
      <c r="J7141" s="15" t="s">
        <v>27001</v>
      </c>
      <c r="K7141" s="15" t="s">
        <v>1722</v>
      </c>
      <c r="L7141" s="15" t="s">
        <v>1722</v>
      </c>
      <c r="M7141" s="40">
        <v>42445.0</v>
      </c>
      <c r="N7141" s="40">
        <v>42870.0</v>
      </c>
      <c r="O7141" s="15" t="s">
        <v>1554</v>
      </c>
      <c r="Q7141" s="7"/>
    </row>
    <row r="7142">
      <c r="A7142" s="39" t="s">
        <v>27002</v>
      </c>
      <c r="B7142" s="15">
        <v>1980520.0</v>
      </c>
      <c r="C7142" s="15" t="s">
        <v>27003</v>
      </c>
      <c r="D7142" s="15">
        <v>386299.0</v>
      </c>
      <c r="E7142" s="15" t="s">
        <v>1548</v>
      </c>
      <c r="F7142" s="15" t="s">
        <v>16718</v>
      </c>
      <c r="G7142" s="7">
        <v>18.208</v>
      </c>
      <c r="H7142" s="15" t="s">
        <v>27004</v>
      </c>
      <c r="I7142" s="15" t="s">
        <v>1803</v>
      </c>
      <c r="J7142" s="15" t="s">
        <v>27005</v>
      </c>
      <c r="K7142" s="15" t="s">
        <v>1722</v>
      </c>
      <c r="L7142" s="15" t="s">
        <v>1722</v>
      </c>
      <c r="M7142" s="40">
        <v>42445.0</v>
      </c>
      <c r="N7142" s="40">
        <v>42870.0</v>
      </c>
      <c r="O7142" s="15" t="s">
        <v>1554</v>
      </c>
      <c r="Q7142" s="7"/>
    </row>
    <row r="7143">
      <c r="A7143" s="39" t="s">
        <v>27007</v>
      </c>
      <c r="B7143" s="15">
        <v>1980489.0</v>
      </c>
      <c r="C7143" s="15" t="s">
        <v>27008</v>
      </c>
      <c r="D7143" s="15">
        <v>386300.0</v>
      </c>
      <c r="E7143" s="15" t="s">
        <v>1548</v>
      </c>
      <c r="F7143" s="15" t="s">
        <v>5815</v>
      </c>
      <c r="G7143" s="7">
        <v>11.928</v>
      </c>
      <c r="H7143" s="15" t="s">
        <v>27009</v>
      </c>
      <c r="I7143" s="15" t="s">
        <v>1567</v>
      </c>
      <c r="J7143" s="15" t="s">
        <v>27010</v>
      </c>
      <c r="K7143" s="15">
        <v>3.0</v>
      </c>
      <c r="L7143" s="15">
        <v>3.0</v>
      </c>
      <c r="M7143" s="40">
        <v>40944.0</v>
      </c>
      <c r="N7143" s="40">
        <v>42870.0</v>
      </c>
      <c r="O7143" s="15" t="s">
        <v>1554</v>
      </c>
      <c r="Q7143" s="7"/>
    </row>
    <row r="7144">
      <c r="A7144" s="39" t="s">
        <v>27011</v>
      </c>
      <c r="B7144" s="15">
        <v>1980475.0</v>
      </c>
      <c r="C7144" s="15" t="s">
        <v>27012</v>
      </c>
      <c r="D7144" s="15">
        <v>386301.0</v>
      </c>
      <c r="E7144" s="15" t="s">
        <v>1548</v>
      </c>
      <c r="F7144" s="15" t="s">
        <v>5815</v>
      </c>
      <c r="G7144" s="7">
        <v>12.132</v>
      </c>
      <c r="H7144" s="15" t="s">
        <v>27013</v>
      </c>
      <c r="I7144" s="15" t="s">
        <v>1567</v>
      </c>
      <c r="J7144" s="15" t="s">
        <v>27014</v>
      </c>
      <c r="K7144" s="15">
        <v>3.0</v>
      </c>
      <c r="L7144" s="15">
        <v>3.0</v>
      </c>
      <c r="M7144" s="40">
        <v>41881.0</v>
      </c>
      <c r="N7144" s="40">
        <v>42870.0</v>
      </c>
      <c r="O7144" s="15" t="s">
        <v>1554</v>
      </c>
      <c r="Q7144" s="7"/>
    </row>
    <row r="7145">
      <c r="A7145" s="39" t="s">
        <v>27016</v>
      </c>
      <c r="B7145" s="15">
        <v>1980463.0</v>
      </c>
      <c r="C7145" s="15" t="s">
        <v>27017</v>
      </c>
      <c r="D7145" s="15">
        <v>386302.0</v>
      </c>
      <c r="E7145" s="15" t="s">
        <v>1548</v>
      </c>
      <c r="F7145" s="15" t="s">
        <v>5815</v>
      </c>
      <c r="G7145" s="7">
        <v>12.239</v>
      </c>
      <c r="H7145" s="15" t="s">
        <v>27018</v>
      </c>
      <c r="I7145" s="15" t="s">
        <v>1567</v>
      </c>
      <c r="J7145" s="15" t="s">
        <v>27019</v>
      </c>
      <c r="K7145" s="15">
        <v>3.0</v>
      </c>
      <c r="L7145" s="15">
        <v>3.0</v>
      </c>
      <c r="M7145" s="40">
        <v>39052.0</v>
      </c>
      <c r="N7145" s="40">
        <v>42870.0</v>
      </c>
      <c r="O7145" s="15" t="s">
        <v>1554</v>
      </c>
      <c r="Q7145" s="7"/>
    </row>
    <row r="7146">
      <c r="A7146" s="39" t="s">
        <v>27020</v>
      </c>
      <c r="B7146" s="15">
        <v>1158190.0</v>
      </c>
      <c r="C7146" s="15" t="s">
        <v>27021</v>
      </c>
      <c r="D7146" s="15">
        <v>386338.0</v>
      </c>
      <c r="E7146" s="15" t="s">
        <v>1548</v>
      </c>
      <c r="F7146" s="15" t="s">
        <v>1890</v>
      </c>
      <c r="G7146" s="7">
        <v>13.294</v>
      </c>
      <c r="H7146" s="15" t="s">
        <v>2375</v>
      </c>
      <c r="I7146" s="15" t="s">
        <v>1686</v>
      </c>
      <c r="J7146" s="15" t="s">
        <v>27022</v>
      </c>
      <c r="K7146" s="15">
        <v>7.0</v>
      </c>
      <c r="L7146" s="15">
        <v>7.0</v>
      </c>
      <c r="M7146" s="40">
        <v>42073.0</v>
      </c>
      <c r="N7146" s="40">
        <v>42870.0</v>
      </c>
      <c r="O7146" s="15" t="s">
        <v>1554</v>
      </c>
      <c r="Q7146" s="7"/>
    </row>
    <row r="7147">
      <c r="A7147" s="39" t="s">
        <v>27024</v>
      </c>
      <c r="B7147" s="15">
        <v>1272949.0</v>
      </c>
      <c r="C7147" s="15" t="s">
        <v>27025</v>
      </c>
      <c r="D7147" s="15">
        <v>386339.0</v>
      </c>
      <c r="E7147" s="15" t="s">
        <v>1548</v>
      </c>
      <c r="F7147" s="15" t="s">
        <v>1890</v>
      </c>
      <c r="G7147" s="7">
        <v>13.784</v>
      </c>
      <c r="H7147" s="15" t="s">
        <v>4283</v>
      </c>
      <c r="I7147" s="15" t="s">
        <v>1560</v>
      </c>
      <c r="J7147" s="15" t="s">
        <v>27026</v>
      </c>
      <c r="K7147" s="15">
        <v>11.0</v>
      </c>
      <c r="L7147" s="15">
        <v>11.0</v>
      </c>
      <c r="M7147" s="40">
        <v>42073.0</v>
      </c>
      <c r="N7147" s="40">
        <v>42870.0</v>
      </c>
      <c r="O7147" s="15" t="s">
        <v>1554</v>
      </c>
      <c r="Q7147" s="7"/>
    </row>
    <row r="7148">
      <c r="A7148" s="39" t="s">
        <v>27027</v>
      </c>
      <c r="B7148" s="15">
        <v>1272947.0</v>
      </c>
      <c r="C7148" s="15" t="s">
        <v>27028</v>
      </c>
      <c r="D7148" s="15">
        <v>386340.0</v>
      </c>
      <c r="E7148" s="15" t="s">
        <v>1548</v>
      </c>
      <c r="F7148" s="15" t="s">
        <v>1890</v>
      </c>
      <c r="G7148" s="7">
        <v>13.695</v>
      </c>
      <c r="H7148" s="15" t="s">
        <v>3309</v>
      </c>
      <c r="I7148" s="15" t="s">
        <v>1628</v>
      </c>
      <c r="J7148" s="15" t="s">
        <v>27029</v>
      </c>
      <c r="K7148" s="15">
        <v>11.0</v>
      </c>
      <c r="L7148" s="15">
        <v>11.0</v>
      </c>
      <c r="M7148" s="40">
        <v>42073.0</v>
      </c>
      <c r="N7148" s="40">
        <v>42870.0</v>
      </c>
      <c r="O7148" s="15" t="s">
        <v>1554</v>
      </c>
      <c r="Q7148" s="7"/>
    </row>
    <row r="7149">
      <c r="A7149" s="39" t="s">
        <v>27030</v>
      </c>
      <c r="B7149" s="15">
        <v>1272946.0</v>
      </c>
      <c r="C7149" s="15" t="s">
        <v>27031</v>
      </c>
      <c r="D7149" s="15">
        <v>386341.0</v>
      </c>
      <c r="E7149" s="15" t="s">
        <v>1548</v>
      </c>
      <c r="F7149" s="15" t="s">
        <v>1890</v>
      </c>
      <c r="G7149" s="7">
        <v>15.721</v>
      </c>
      <c r="H7149" s="15" t="s">
        <v>2597</v>
      </c>
      <c r="I7149" s="15" t="s">
        <v>1560</v>
      </c>
      <c r="J7149" s="15" t="s">
        <v>27033</v>
      </c>
      <c r="K7149" s="15">
        <v>14.0</v>
      </c>
      <c r="L7149" s="15">
        <v>14.0</v>
      </c>
      <c r="M7149" s="40">
        <v>42073.0</v>
      </c>
      <c r="N7149" s="40">
        <v>42870.0</v>
      </c>
      <c r="O7149" s="15" t="s">
        <v>1554</v>
      </c>
      <c r="Q7149" s="7"/>
    </row>
    <row r="7150">
      <c r="A7150" s="39" t="s">
        <v>27034</v>
      </c>
      <c r="B7150" s="15">
        <v>1272943.0</v>
      </c>
      <c r="C7150" s="15" t="s">
        <v>27035</v>
      </c>
      <c r="D7150" s="15">
        <v>386342.0</v>
      </c>
      <c r="E7150" s="15" t="s">
        <v>1548</v>
      </c>
      <c r="F7150" s="15" t="s">
        <v>1890</v>
      </c>
      <c r="G7150" s="7">
        <v>13.155</v>
      </c>
      <c r="H7150" s="15" t="s">
        <v>2699</v>
      </c>
      <c r="I7150" s="15" t="s">
        <v>1560</v>
      </c>
      <c r="J7150" s="15" t="s">
        <v>27036</v>
      </c>
      <c r="K7150" s="15">
        <v>9.0</v>
      </c>
      <c r="L7150" s="15">
        <v>9.0</v>
      </c>
      <c r="M7150" s="40">
        <v>42073.0</v>
      </c>
      <c r="N7150" s="40">
        <v>42870.0</v>
      </c>
      <c r="O7150" s="15" t="s">
        <v>1554</v>
      </c>
      <c r="Q7150" s="7"/>
    </row>
    <row r="7151">
      <c r="A7151" s="39" t="s">
        <v>27037</v>
      </c>
      <c r="B7151" s="15">
        <v>1272942.0</v>
      </c>
      <c r="C7151" s="15" t="s">
        <v>27038</v>
      </c>
      <c r="D7151" s="15">
        <v>386343.0</v>
      </c>
      <c r="E7151" s="15" t="s">
        <v>1548</v>
      </c>
      <c r="F7151" s="15" t="s">
        <v>1890</v>
      </c>
      <c r="G7151" s="7">
        <v>12.403</v>
      </c>
      <c r="H7151" s="15" t="s">
        <v>2141</v>
      </c>
      <c r="I7151" s="15" t="s">
        <v>1560</v>
      </c>
      <c r="J7151" s="15" t="s">
        <v>27039</v>
      </c>
      <c r="K7151" s="15">
        <v>9.0</v>
      </c>
      <c r="L7151" s="15">
        <v>9.0</v>
      </c>
      <c r="M7151" s="40">
        <v>42073.0</v>
      </c>
      <c r="N7151" s="40">
        <v>42870.0</v>
      </c>
      <c r="O7151" s="15" t="s">
        <v>1554</v>
      </c>
      <c r="Q7151" s="7"/>
    </row>
    <row r="7152">
      <c r="A7152" s="39" t="s">
        <v>27041</v>
      </c>
      <c r="B7152" s="15">
        <v>909206.0</v>
      </c>
      <c r="C7152" s="15" t="s">
        <v>27042</v>
      </c>
      <c r="D7152" s="15">
        <v>386344.0</v>
      </c>
      <c r="E7152" s="15" t="s">
        <v>1548</v>
      </c>
      <c r="F7152" s="15" t="s">
        <v>1890</v>
      </c>
      <c r="G7152" s="7">
        <v>11.478</v>
      </c>
      <c r="H7152" s="15" t="s">
        <v>2836</v>
      </c>
      <c r="I7152" s="15" t="s">
        <v>1686</v>
      </c>
      <c r="J7152" s="15" t="s">
        <v>27043</v>
      </c>
      <c r="K7152" s="15">
        <v>8.0</v>
      </c>
      <c r="L7152" s="15">
        <v>8.0</v>
      </c>
      <c r="M7152" s="40">
        <v>42073.0</v>
      </c>
      <c r="N7152" s="40">
        <v>42870.0</v>
      </c>
      <c r="O7152" s="15" t="s">
        <v>1554</v>
      </c>
      <c r="Q7152" s="7"/>
    </row>
    <row r="7153">
      <c r="A7153" s="39" t="s">
        <v>27044</v>
      </c>
      <c r="B7153" s="15">
        <v>1810952.0</v>
      </c>
      <c r="C7153" s="15" t="s">
        <v>27045</v>
      </c>
      <c r="D7153" s="15">
        <v>386345.0</v>
      </c>
      <c r="E7153" s="15" t="s">
        <v>1548</v>
      </c>
      <c r="F7153" s="15" t="s">
        <v>16718</v>
      </c>
      <c r="G7153" s="7">
        <v>17.833</v>
      </c>
      <c r="H7153" s="15" t="s">
        <v>27046</v>
      </c>
      <c r="I7153" s="15" t="s">
        <v>1803</v>
      </c>
      <c r="J7153" s="15" t="s">
        <v>27047</v>
      </c>
      <c r="K7153" s="15" t="s">
        <v>1722</v>
      </c>
      <c r="L7153" s="15" t="s">
        <v>1722</v>
      </c>
      <c r="M7153" s="40">
        <v>42445.0</v>
      </c>
      <c r="N7153" s="40">
        <v>42870.0</v>
      </c>
      <c r="O7153" s="15" t="s">
        <v>1554</v>
      </c>
      <c r="Q7153" s="7"/>
    </row>
    <row r="7154">
      <c r="A7154" s="39" t="s">
        <v>27048</v>
      </c>
      <c r="B7154" s="15">
        <v>1424613.0</v>
      </c>
      <c r="C7154" s="15" t="s">
        <v>27049</v>
      </c>
      <c r="D7154" s="15">
        <v>386346.0</v>
      </c>
      <c r="E7154" s="15" t="s">
        <v>1548</v>
      </c>
      <c r="F7154" s="15" t="s">
        <v>5815</v>
      </c>
      <c r="G7154" s="7">
        <v>11.91</v>
      </c>
      <c r="H7154" s="15" t="s">
        <v>27051</v>
      </c>
      <c r="I7154" s="15" t="s">
        <v>1567</v>
      </c>
      <c r="J7154" s="15" t="s">
        <v>27052</v>
      </c>
      <c r="K7154" s="15">
        <v>3.0</v>
      </c>
      <c r="L7154" s="15">
        <v>3.0</v>
      </c>
      <c r="M7154" s="40">
        <v>41670.0</v>
      </c>
      <c r="N7154" s="40">
        <v>42870.0</v>
      </c>
      <c r="O7154" s="15" t="s">
        <v>1554</v>
      </c>
      <c r="Q7154" s="7"/>
    </row>
    <row r="7155">
      <c r="A7155" s="39" t="s">
        <v>27053</v>
      </c>
      <c r="B7155" s="15">
        <v>795381.0</v>
      </c>
      <c r="C7155" s="15" t="s">
        <v>27054</v>
      </c>
      <c r="D7155" s="15">
        <v>386348.0</v>
      </c>
      <c r="E7155" s="15" t="s">
        <v>1808</v>
      </c>
      <c r="F7155" s="15" t="s">
        <v>1998</v>
      </c>
      <c r="G7155" s="7">
        <v>1.844</v>
      </c>
      <c r="H7155" s="15" t="s">
        <v>3066</v>
      </c>
      <c r="I7155" s="15" t="s">
        <v>1686</v>
      </c>
      <c r="J7155" s="15" t="s">
        <v>27055</v>
      </c>
      <c r="K7155" s="15">
        <v>2.0</v>
      </c>
      <c r="L7155" s="15">
        <v>2.0</v>
      </c>
      <c r="M7155" s="40">
        <v>40341.0</v>
      </c>
      <c r="N7155" s="40">
        <v>42870.0</v>
      </c>
      <c r="O7155" s="15" t="s">
        <v>1554</v>
      </c>
      <c r="Q7155" s="7"/>
    </row>
    <row r="7156">
      <c r="A7156" s="39" t="s">
        <v>27056</v>
      </c>
      <c r="B7156" s="15">
        <v>1620897.0</v>
      </c>
      <c r="C7156" s="15" t="s">
        <v>27057</v>
      </c>
      <c r="D7156" s="15">
        <v>386349.0</v>
      </c>
      <c r="E7156" s="15" t="s">
        <v>1548</v>
      </c>
      <c r="F7156" s="15" t="s">
        <v>1890</v>
      </c>
      <c r="G7156" s="7">
        <v>11.29</v>
      </c>
      <c r="H7156" s="15" t="s">
        <v>6583</v>
      </c>
      <c r="I7156" s="15" t="s">
        <v>1560</v>
      </c>
      <c r="J7156" s="15" t="s">
        <v>27059</v>
      </c>
      <c r="K7156" s="15">
        <v>9.0</v>
      </c>
      <c r="L7156" s="15">
        <v>9.0</v>
      </c>
      <c r="M7156" s="40">
        <v>42073.0</v>
      </c>
      <c r="N7156" s="40">
        <v>42870.0</v>
      </c>
      <c r="O7156" s="15" t="s">
        <v>1554</v>
      </c>
      <c r="Q7156" s="7"/>
    </row>
    <row r="7157">
      <c r="A7157" s="39" t="s">
        <v>27060</v>
      </c>
      <c r="B7157" s="15">
        <v>1272957.0</v>
      </c>
      <c r="C7157" s="15" t="s">
        <v>27061</v>
      </c>
      <c r="D7157" s="15">
        <v>386350.0</v>
      </c>
      <c r="E7157" s="15" t="s">
        <v>1548</v>
      </c>
      <c r="F7157" s="15" t="s">
        <v>1890</v>
      </c>
      <c r="G7157" s="7">
        <v>11.422</v>
      </c>
      <c r="H7157" s="15" t="s">
        <v>2211</v>
      </c>
      <c r="I7157" s="15" t="s">
        <v>1686</v>
      </c>
      <c r="J7157" s="15" t="s">
        <v>27062</v>
      </c>
      <c r="K7157" s="15">
        <v>7.0</v>
      </c>
      <c r="L7157" s="15">
        <v>7.0</v>
      </c>
      <c r="M7157" s="40">
        <v>42073.0</v>
      </c>
      <c r="N7157" s="40">
        <v>42870.0</v>
      </c>
      <c r="O7157" s="15" t="s">
        <v>1554</v>
      </c>
      <c r="Q7157" s="7"/>
    </row>
    <row r="7158">
      <c r="A7158" s="39" t="s">
        <v>27063</v>
      </c>
      <c r="B7158" s="15">
        <v>1158189.0</v>
      </c>
      <c r="C7158" s="15" t="s">
        <v>27064</v>
      </c>
      <c r="D7158" s="15">
        <v>386351.0</v>
      </c>
      <c r="E7158" s="15" t="s">
        <v>1548</v>
      </c>
      <c r="F7158" s="15" t="s">
        <v>1890</v>
      </c>
      <c r="G7158" s="7">
        <v>11.397</v>
      </c>
      <c r="H7158" s="15" t="s">
        <v>6583</v>
      </c>
      <c r="I7158" s="15" t="s">
        <v>1686</v>
      </c>
      <c r="J7158" s="15" t="s">
        <v>27065</v>
      </c>
      <c r="K7158" s="15">
        <v>8.0</v>
      </c>
      <c r="L7158" s="15">
        <v>8.0</v>
      </c>
      <c r="M7158" s="40">
        <v>42073.0</v>
      </c>
      <c r="N7158" s="40">
        <v>42870.0</v>
      </c>
      <c r="O7158" s="15" t="s">
        <v>1554</v>
      </c>
      <c r="Q7158" s="7"/>
    </row>
    <row r="7159">
      <c r="A7159" s="39" t="s">
        <v>27066</v>
      </c>
      <c r="B7159" s="15">
        <v>380435.0</v>
      </c>
      <c r="C7159" s="15" t="s">
        <v>27067</v>
      </c>
      <c r="D7159" s="15">
        <v>386352.0</v>
      </c>
      <c r="E7159" s="15" t="s">
        <v>1548</v>
      </c>
      <c r="F7159" s="15" t="s">
        <v>1890</v>
      </c>
      <c r="G7159" s="7">
        <v>13.593</v>
      </c>
      <c r="H7159" s="15" t="s">
        <v>2950</v>
      </c>
      <c r="I7159" s="15" t="s">
        <v>1560</v>
      </c>
      <c r="J7159" s="15" t="s">
        <v>27068</v>
      </c>
      <c r="K7159" s="15">
        <v>11.0</v>
      </c>
      <c r="L7159" s="15">
        <v>11.0</v>
      </c>
      <c r="M7159" s="40">
        <v>42073.0</v>
      </c>
      <c r="N7159" s="40">
        <v>42870.0</v>
      </c>
      <c r="O7159" s="15" t="s">
        <v>1554</v>
      </c>
      <c r="Q7159" s="7"/>
    </row>
    <row r="7160">
      <c r="A7160" s="39" t="s">
        <v>27070</v>
      </c>
      <c r="B7160" s="15">
        <v>490111.0</v>
      </c>
      <c r="C7160" s="15" t="s">
        <v>27071</v>
      </c>
      <c r="D7160" s="15">
        <v>386353.0</v>
      </c>
      <c r="E7160" s="15" t="s">
        <v>1548</v>
      </c>
      <c r="F7160" s="15" t="s">
        <v>1890</v>
      </c>
      <c r="G7160" s="7">
        <v>12.536</v>
      </c>
      <c r="H7160" s="15" t="s">
        <v>2392</v>
      </c>
      <c r="I7160" s="15" t="s">
        <v>1560</v>
      </c>
      <c r="J7160" s="15" t="s">
        <v>27072</v>
      </c>
      <c r="K7160" s="15">
        <v>7.0</v>
      </c>
      <c r="L7160" s="15">
        <v>7.0</v>
      </c>
      <c r="M7160" s="40">
        <v>42073.0</v>
      </c>
      <c r="N7160" s="40">
        <v>42870.0</v>
      </c>
      <c r="O7160" s="15" t="s">
        <v>1554</v>
      </c>
      <c r="Q7160" s="7"/>
    </row>
    <row r="7161">
      <c r="A7161" s="39" t="s">
        <v>27073</v>
      </c>
      <c r="B7161" s="15">
        <v>1620893.0</v>
      </c>
      <c r="C7161" s="15" t="s">
        <v>27074</v>
      </c>
      <c r="D7161" s="15">
        <v>386354.0</v>
      </c>
      <c r="E7161" s="15" t="s">
        <v>1548</v>
      </c>
      <c r="F7161" s="15" t="s">
        <v>1890</v>
      </c>
      <c r="G7161" s="7">
        <v>43294.0</v>
      </c>
      <c r="H7161" s="15" t="s">
        <v>3066</v>
      </c>
      <c r="I7161" s="15" t="s">
        <v>1560</v>
      </c>
      <c r="J7161" s="15" t="s">
        <v>27075</v>
      </c>
      <c r="K7161" s="15">
        <v>10.0</v>
      </c>
      <c r="L7161" s="15">
        <v>10.0</v>
      </c>
      <c r="M7161" s="40">
        <v>42073.0</v>
      </c>
      <c r="N7161" s="40">
        <v>42870.0</v>
      </c>
      <c r="O7161" s="15" t="s">
        <v>1554</v>
      </c>
      <c r="Q7161" s="7"/>
    </row>
    <row r="7162">
      <c r="A7162" s="39" t="s">
        <v>27076</v>
      </c>
      <c r="B7162" s="15">
        <v>238817.0</v>
      </c>
      <c r="C7162" s="15" t="s">
        <v>27077</v>
      </c>
      <c r="D7162" s="15">
        <v>386355.0</v>
      </c>
      <c r="E7162" s="15" t="s">
        <v>1548</v>
      </c>
      <c r="F7162" s="15" t="s">
        <v>5815</v>
      </c>
      <c r="G7162" s="7">
        <v>12.106</v>
      </c>
      <c r="H7162" s="15" t="s">
        <v>27079</v>
      </c>
      <c r="I7162" s="15" t="s">
        <v>1567</v>
      </c>
      <c r="J7162" s="15" t="s">
        <v>27080</v>
      </c>
      <c r="K7162" s="15">
        <v>3.0</v>
      </c>
      <c r="L7162" s="15">
        <v>3.0</v>
      </c>
      <c r="M7162" s="41">
        <v>38336.0</v>
      </c>
      <c r="N7162" s="40">
        <v>42870.0</v>
      </c>
      <c r="O7162" s="15" t="s">
        <v>1554</v>
      </c>
      <c r="Q7162" s="7"/>
    </row>
    <row r="7163">
      <c r="A7163" s="39" t="s">
        <v>27081</v>
      </c>
      <c r="B7163" s="15">
        <v>765147.0</v>
      </c>
      <c r="C7163" s="15" t="s">
        <v>27082</v>
      </c>
      <c r="D7163" s="15">
        <v>386356.0</v>
      </c>
      <c r="E7163" s="15" t="s">
        <v>1548</v>
      </c>
      <c r="F7163" s="15" t="s">
        <v>5815</v>
      </c>
      <c r="G7163" s="7">
        <v>11.731</v>
      </c>
      <c r="H7163" s="15" t="s">
        <v>27083</v>
      </c>
      <c r="I7163" s="15" t="s">
        <v>1567</v>
      </c>
      <c r="J7163" s="15" t="s">
        <v>27084</v>
      </c>
      <c r="K7163" s="15">
        <v>3.0</v>
      </c>
      <c r="L7163" s="15">
        <v>3.0</v>
      </c>
      <c r="M7163" s="40">
        <v>41881.0</v>
      </c>
      <c r="N7163" s="40">
        <v>42870.0</v>
      </c>
      <c r="O7163" s="15" t="s">
        <v>1554</v>
      </c>
      <c r="Q7163" s="7"/>
    </row>
    <row r="7164">
      <c r="A7164" s="39" t="s">
        <v>27085</v>
      </c>
      <c r="B7164" s="15">
        <v>467989.0</v>
      </c>
      <c r="C7164" s="15" t="s">
        <v>27086</v>
      </c>
      <c r="D7164" s="15">
        <v>386357.0</v>
      </c>
      <c r="E7164" s="15" t="s">
        <v>1548</v>
      </c>
      <c r="F7164" s="15" t="s">
        <v>5815</v>
      </c>
      <c r="G7164" s="7">
        <v>11.797</v>
      </c>
      <c r="H7164" s="15" t="s">
        <v>27087</v>
      </c>
      <c r="I7164" s="15" t="s">
        <v>1567</v>
      </c>
      <c r="J7164" s="15" t="s">
        <v>27089</v>
      </c>
      <c r="K7164" s="15">
        <v>3.0</v>
      </c>
      <c r="L7164" s="15">
        <v>3.0</v>
      </c>
      <c r="M7164" s="40">
        <v>41836.0</v>
      </c>
      <c r="N7164" s="40">
        <v>42870.0</v>
      </c>
      <c r="O7164" s="15" t="s">
        <v>1554</v>
      </c>
      <c r="Q7164" s="7"/>
    </row>
    <row r="7165">
      <c r="A7165" s="39" t="s">
        <v>27090</v>
      </c>
      <c r="B7165" s="15">
        <v>551224.0</v>
      </c>
      <c r="C7165" s="15" t="s">
        <v>27091</v>
      </c>
      <c r="D7165" s="15">
        <v>386358.0</v>
      </c>
      <c r="E7165" s="15" t="s">
        <v>1808</v>
      </c>
      <c r="F7165" s="15" t="s">
        <v>2436</v>
      </c>
      <c r="G7165" s="7">
        <v>4.981</v>
      </c>
      <c r="H7165" s="15" t="s">
        <v>2178</v>
      </c>
      <c r="I7165" s="15" t="s">
        <v>1560</v>
      </c>
      <c r="J7165" s="15" t="s">
        <v>27092</v>
      </c>
      <c r="K7165" s="15">
        <v>4.0</v>
      </c>
      <c r="L7165" s="15">
        <v>4.0</v>
      </c>
      <c r="M7165" s="40">
        <v>39714.0</v>
      </c>
      <c r="N7165" s="40">
        <v>42870.0</v>
      </c>
      <c r="O7165" s="15" t="s">
        <v>1554</v>
      </c>
      <c r="Q7165" s="7"/>
    </row>
    <row r="7166">
      <c r="A7166" s="39" t="s">
        <v>27093</v>
      </c>
      <c r="B7166" s="15">
        <v>1272953.0</v>
      </c>
      <c r="C7166" s="15" t="s">
        <v>27094</v>
      </c>
      <c r="D7166" s="15">
        <v>386359.0</v>
      </c>
      <c r="E7166" s="15" t="s">
        <v>1548</v>
      </c>
      <c r="F7166" s="15" t="s">
        <v>1890</v>
      </c>
      <c r="G7166" s="7">
        <v>11.355</v>
      </c>
      <c r="H7166" s="15" t="s">
        <v>2005</v>
      </c>
      <c r="I7166" s="15" t="s">
        <v>1686</v>
      </c>
      <c r="J7166" s="15" t="s">
        <v>27096</v>
      </c>
      <c r="K7166" s="15">
        <v>5.0</v>
      </c>
      <c r="L7166" s="15">
        <v>5.0</v>
      </c>
      <c r="M7166" s="40">
        <v>42073.0</v>
      </c>
      <c r="N7166" s="40">
        <v>42870.0</v>
      </c>
      <c r="O7166" s="15" t="s">
        <v>1554</v>
      </c>
      <c r="Q7166" s="7"/>
    </row>
    <row r="7167">
      <c r="A7167" s="39" t="s">
        <v>27097</v>
      </c>
      <c r="B7167" s="15">
        <v>380434.0</v>
      </c>
      <c r="C7167" s="15" t="s">
        <v>27098</v>
      </c>
      <c r="D7167" s="15">
        <v>386360.0</v>
      </c>
      <c r="E7167" s="15" t="s">
        <v>1548</v>
      </c>
      <c r="F7167" s="15" t="s">
        <v>1890</v>
      </c>
      <c r="G7167" s="7">
        <v>10.941</v>
      </c>
      <c r="H7167" s="15" t="s">
        <v>3317</v>
      </c>
      <c r="I7167" s="15" t="s">
        <v>1686</v>
      </c>
      <c r="J7167" s="15" t="s">
        <v>27099</v>
      </c>
      <c r="K7167" s="15">
        <v>5.0</v>
      </c>
      <c r="L7167" s="15">
        <v>5.0</v>
      </c>
      <c r="M7167" s="40">
        <v>42073.0</v>
      </c>
      <c r="N7167" s="40">
        <v>42870.0</v>
      </c>
      <c r="O7167" s="15" t="s">
        <v>1554</v>
      </c>
      <c r="Q7167" s="7"/>
    </row>
    <row r="7168">
      <c r="A7168" s="39" t="s">
        <v>27101</v>
      </c>
      <c r="B7168" s="15">
        <v>380440.0</v>
      </c>
      <c r="C7168" s="15" t="s">
        <v>27102</v>
      </c>
      <c r="D7168" s="15">
        <v>386361.0</v>
      </c>
      <c r="E7168" s="15" t="s">
        <v>1548</v>
      </c>
      <c r="F7168" s="15" t="s">
        <v>1890</v>
      </c>
      <c r="G7168" s="7">
        <v>11.457</v>
      </c>
      <c r="H7168" s="15">
        <v>40.0</v>
      </c>
      <c r="I7168" s="15" t="s">
        <v>1686</v>
      </c>
      <c r="J7168" s="15" t="s">
        <v>27103</v>
      </c>
      <c r="K7168" s="15">
        <v>6.0</v>
      </c>
      <c r="L7168" s="15">
        <v>6.0</v>
      </c>
      <c r="M7168" s="40">
        <v>42073.0</v>
      </c>
      <c r="N7168" s="40">
        <v>42870.0</v>
      </c>
      <c r="O7168" s="15" t="s">
        <v>1554</v>
      </c>
      <c r="Q7168" s="7"/>
    </row>
    <row r="7169">
      <c r="A7169" s="39" t="s">
        <v>27104</v>
      </c>
      <c r="B7169" s="15">
        <v>380438.0</v>
      </c>
      <c r="C7169" s="15" t="s">
        <v>27105</v>
      </c>
      <c r="D7169" s="15">
        <v>386362.0</v>
      </c>
      <c r="E7169" s="15" t="s">
        <v>1548</v>
      </c>
      <c r="F7169" s="15" t="s">
        <v>1890</v>
      </c>
      <c r="G7169" s="7">
        <v>10.853</v>
      </c>
      <c r="H7169" s="15" t="s">
        <v>1912</v>
      </c>
      <c r="I7169" s="15" t="s">
        <v>1686</v>
      </c>
      <c r="J7169" s="15" t="s">
        <v>27107</v>
      </c>
      <c r="K7169" s="15">
        <v>5.0</v>
      </c>
      <c r="L7169" s="15">
        <v>5.0</v>
      </c>
      <c r="M7169" s="40">
        <v>42073.0</v>
      </c>
      <c r="N7169" s="40">
        <v>42870.0</v>
      </c>
      <c r="O7169" s="15" t="s">
        <v>1554</v>
      </c>
      <c r="Q7169" s="7"/>
    </row>
    <row r="7170">
      <c r="A7170" s="39" t="s">
        <v>27108</v>
      </c>
      <c r="B7170" s="15">
        <v>380442.0</v>
      </c>
      <c r="C7170" s="15" t="s">
        <v>27109</v>
      </c>
      <c r="D7170" s="15">
        <v>386363.0</v>
      </c>
      <c r="E7170" s="15" t="s">
        <v>1548</v>
      </c>
      <c r="F7170" s="15" t="s">
        <v>1890</v>
      </c>
      <c r="G7170" s="7">
        <v>10.968</v>
      </c>
      <c r="H7170" s="15">
        <v>43.0</v>
      </c>
      <c r="I7170" s="15" t="s">
        <v>1560</v>
      </c>
      <c r="J7170" s="15" t="s">
        <v>27111</v>
      </c>
      <c r="K7170" s="15">
        <v>5.0</v>
      </c>
      <c r="L7170" s="15">
        <v>5.0</v>
      </c>
      <c r="M7170" s="40">
        <v>42073.0</v>
      </c>
      <c r="N7170" s="40">
        <v>42870.0</v>
      </c>
      <c r="O7170" s="15" t="s">
        <v>1554</v>
      </c>
      <c r="Q7170" s="7"/>
    </row>
    <row r="7171">
      <c r="A7171" s="39" t="s">
        <v>27112</v>
      </c>
      <c r="B7171" s="15">
        <v>1775456.0</v>
      </c>
      <c r="C7171" s="15" t="s">
        <v>27113</v>
      </c>
      <c r="D7171" s="15">
        <v>386364.0</v>
      </c>
      <c r="E7171" s="15" t="s">
        <v>1548</v>
      </c>
      <c r="F7171" s="15" t="s">
        <v>1890</v>
      </c>
      <c r="G7171" s="7">
        <v>12.193</v>
      </c>
      <c r="H7171" s="15" t="s">
        <v>2005</v>
      </c>
      <c r="I7171" s="15" t="s">
        <v>2034</v>
      </c>
      <c r="J7171" s="15" t="s">
        <v>27114</v>
      </c>
      <c r="K7171" s="15">
        <v>6.0</v>
      </c>
      <c r="L7171" s="15">
        <v>6.0</v>
      </c>
      <c r="M7171" s="41">
        <v>42367.0</v>
      </c>
      <c r="N7171" s="40">
        <v>42870.0</v>
      </c>
      <c r="O7171" s="15" t="s">
        <v>1554</v>
      </c>
      <c r="Q7171" s="7"/>
    </row>
    <row r="7172">
      <c r="A7172" s="39" t="s">
        <v>27116</v>
      </c>
      <c r="B7172" s="15">
        <v>1620895.0</v>
      </c>
      <c r="C7172" s="15" t="s">
        <v>27117</v>
      </c>
      <c r="D7172" s="15">
        <v>386365.0</v>
      </c>
      <c r="E7172" s="15" t="s">
        <v>1548</v>
      </c>
      <c r="F7172" s="15" t="s">
        <v>1890</v>
      </c>
      <c r="G7172" s="7">
        <v>13.189</v>
      </c>
      <c r="H7172" s="15">
        <v>34.0</v>
      </c>
      <c r="I7172" s="15" t="s">
        <v>1560</v>
      </c>
      <c r="J7172" s="15" t="s">
        <v>27118</v>
      </c>
      <c r="K7172" s="15">
        <v>10.0</v>
      </c>
      <c r="L7172" s="15">
        <v>10.0</v>
      </c>
      <c r="M7172" s="40">
        <v>42073.0</v>
      </c>
      <c r="N7172" s="40">
        <v>42870.0</v>
      </c>
      <c r="O7172" s="15" t="s">
        <v>1554</v>
      </c>
      <c r="Q7172" s="7"/>
    </row>
    <row r="7173">
      <c r="A7173" s="39" t="s">
        <v>27120</v>
      </c>
      <c r="B7173" s="15">
        <v>1272958.0</v>
      </c>
      <c r="C7173" s="15" t="s">
        <v>27121</v>
      </c>
      <c r="D7173" s="15">
        <v>386393.0</v>
      </c>
      <c r="E7173" s="15" t="s">
        <v>1548</v>
      </c>
      <c r="F7173" s="15" t="s">
        <v>1890</v>
      </c>
      <c r="G7173" s="7">
        <v>13.141</v>
      </c>
      <c r="H7173" s="15" t="s">
        <v>6583</v>
      </c>
      <c r="I7173" s="15" t="s">
        <v>1560</v>
      </c>
      <c r="J7173" s="15" t="s">
        <v>27122</v>
      </c>
      <c r="K7173" s="15">
        <v>8.0</v>
      </c>
      <c r="L7173" s="15">
        <v>8.0</v>
      </c>
      <c r="M7173" s="40">
        <v>42073.0</v>
      </c>
      <c r="N7173" s="40">
        <v>42870.0</v>
      </c>
      <c r="O7173" s="15" t="s">
        <v>1554</v>
      </c>
      <c r="Q7173" s="7"/>
    </row>
    <row r="7174">
      <c r="A7174" s="39" t="s">
        <v>27123</v>
      </c>
      <c r="B7174" s="15">
        <v>1983535.0</v>
      </c>
      <c r="C7174" s="15" t="s">
        <v>27124</v>
      </c>
      <c r="D7174" s="15">
        <v>386683.0</v>
      </c>
      <c r="E7174" s="15" t="s">
        <v>1548</v>
      </c>
      <c r="F7174" s="15" t="s">
        <v>1578</v>
      </c>
      <c r="G7174" s="7">
        <v>8.019</v>
      </c>
      <c r="H7174" s="15" t="s">
        <v>1696</v>
      </c>
      <c r="I7174" s="15" t="s">
        <v>1560</v>
      </c>
      <c r="J7174" s="15" t="s">
        <v>27126</v>
      </c>
      <c r="K7174" s="15">
        <v>2.0</v>
      </c>
      <c r="L7174" s="15">
        <v>2.0</v>
      </c>
      <c r="M7174" s="40">
        <v>42862.0</v>
      </c>
      <c r="N7174" s="40">
        <v>42870.0</v>
      </c>
      <c r="O7174" s="15" t="s">
        <v>1554</v>
      </c>
      <c r="Q7174" s="7"/>
    </row>
    <row r="7175">
      <c r="A7175" s="39" t="s">
        <v>27127</v>
      </c>
      <c r="B7175" s="15">
        <v>1349999.0</v>
      </c>
      <c r="C7175" s="15" t="s">
        <v>27128</v>
      </c>
      <c r="D7175" s="15">
        <v>386684.0</v>
      </c>
      <c r="E7175" s="15" t="s">
        <v>1548</v>
      </c>
      <c r="F7175" s="15" t="s">
        <v>1848</v>
      </c>
      <c r="G7175" s="7">
        <v>7.299</v>
      </c>
      <c r="H7175" s="15" t="s">
        <v>2118</v>
      </c>
      <c r="I7175" s="15" t="s">
        <v>1686</v>
      </c>
      <c r="J7175" s="15" t="s">
        <v>27130</v>
      </c>
      <c r="K7175" s="15">
        <v>3.0</v>
      </c>
      <c r="L7175" s="15">
        <v>3.0</v>
      </c>
      <c r="M7175" s="40">
        <v>42861.0</v>
      </c>
      <c r="N7175" s="40">
        <v>42940.0</v>
      </c>
      <c r="O7175" s="15" t="s">
        <v>1554</v>
      </c>
      <c r="Q7175" s="7"/>
    </row>
    <row r="7176">
      <c r="A7176" s="39" t="s">
        <v>27131</v>
      </c>
      <c r="B7176" s="15">
        <v>1304863.0</v>
      </c>
      <c r="C7176" s="15" t="s">
        <v>27132</v>
      </c>
      <c r="D7176" s="15">
        <v>208540.0</v>
      </c>
      <c r="E7176" s="15" t="s">
        <v>1548</v>
      </c>
      <c r="F7176" s="15" t="s">
        <v>1771</v>
      </c>
      <c r="G7176" s="7">
        <v>5.736</v>
      </c>
      <c r="H7176" s="15" t="s">
        <v>3538</v>
      </c>
      <c r="I7176" s="15" t="s">
        <v>1628</v>
      </c>
      <c r="J7176" s="15" t="s">
        <v>27133</v>
      </c>
      <c r="K7176" s="15">
        <v>5.0</v>
      </c>
      <c r="L7176" s="15">
        <v>7.0</v>
      </c>
      <c r="M7176" s="40">
        <v>41437.0</v>
      </c>
      <c r="N7176" s="40">
        <v>42347.0</v>
      </c>
      <c r="O7176" s="15" t="s">
        <v>1554</v>
      </c>
      <c r="Q7176" s="7"/>
    </row>
    <row r="7177">
      <c r="A7177" s="39" t="s">
        <v>27135</v>
      </c>
      <c r="B7177" s="15">
        <v>1986291.0</v>
      </c>
      <c r="C7177" s="15" t="s">
        <v>27136</v>
      </c>
      <c r="D7177" s="15">
        <v>226250.0</v>
      </c>
      <c r="E7177" s="15" t="s">
        <v>1557</v>
      </c>
      <c r="F7177" s="15" t="s">
        <v>1992</v>
      </c>
      <c r="G7177" s="7">
        <v>101.818</v>
      </c>
      <c r="H7177" s="15" t="s">
        <v>2686</v>
      </c>
      <c r="I7177" s="15" t="s">
        <v>1560</v>
      </c>
      <c r="J7177" s="15" t="s">
        <v>27137</v>
      </c>
      <c r="K7177" s="15">
        <v>122.0</v>
      </c>
      <c r="L7177" s="15">
        <v>122.0</v>
      </c>
      <c r="M7177" s="41">
        <v>41568.0</v>
      </c>
      <c r="N7177" s="40">
        <v>42870.0</v>
      </c>
      <c r="O7177" s="15" t="s">
        <v>1554</v>
      </c>
      <c r="Q7177" s="7"/>
    </row>
    <row r="7178">
      <c r="A7178" s="39" t="s">
        <v>27138</v>
      </c>
      <c r="B7178" s="15">
        <v>1929030.0</v>
      </c>
      <c r="C7178" s="15" t="s">
        <v>27139</v>
      </c>
      <c r="D7178" s="15">
        <v>387019.0</v>
      </c>
      <c r="E7178" s="15" t="s">
        <v>1577</v>
      </c>
      <c r="F7178" s="15" t="s">
        <v>1578</v>
      </c>
      <c r="G7178" s="7">
        <v>3.256</v>
      </c>
      <c r="H7178" s="15" t="s">
        <v>1696</v>
      </c>
      <c r="I7178" s="15" t="s">
        <v>1560</v>
      </c>
      <c r="J7178" s="15" t="s">
        <v>27140</v>
      </c>
      <c r="K7178" s="15">
        <v>1.0</v>
      </c>
      <c r="L7178" s="15">
        <v>1.0</v>
      </c>
      <c r="M7178" s="41">
        <v>42728.0</v>
      </c>
      <c r="N7178" s="40">
        <v>42872.0</v>
      </c>
      <c r="O7178" s="15" t="s">
        <v>1554</v>
      </c>
      <c r="Q7178" s="7"/>
    </row>
    <row r="7179">
      <c r="A7179" s="39" t="s">
        <v>27142</v>
      </c>
      <c r="B7179" s="15">
        <v>1969351.0</v>
      </c>
      <c r="C7179" s="15" t="s">
        <v>27143</v>
      </c>
      <c r="D7179" s="15">
        <v>387046.0</v>
      </c>
      <c r="E7179" s="15" t="s">
        <v>1548</v>
      </c>
      <c r="F7179" s="15" t="s">
        <v>1578</v>
      </c>
      <c r="G7179" s="7">
        <v>9.403</v>
      </c>
      <c r="H7179" s="15" t="s">
        <v>3407</v>
      </c>
      <c r="I7179" s="15" t="s">
        <v>1560</v>
      </c>
      <c r="J7179" s="15" t="s">
        <v>27144</v>
      </c>
      <c r="K7179" s="15">
        <v>3.0</v>
      </c>
      <c r="L7179" s="15">
        <v>3.0</v>
      </c>
      <c r="M7179" s="40">
        <v>42865.0</v>
      </c>
      <c r="N7179" s="40">
        <v>42872.0</v>
      </c>
      <c r="O7179" s="15" t="s">
        <v>1554</v>
      </c>
      <c r="Q7179" s="7"/>
    </row>
    <row r="7180">
      <c r="A7180" s="39" t="s">
        <v>27145</v>
      </c>
      <c r="B7180" s="15">
        <v>1980456.0</v>
      </c>
      <c r="C7180" s="15" t="s">
        <v>27146</v>
      </c>
      <c r="D7180" s="15">
        <v>14746.0</v>
      </c>
      <c r="E7180" s="15" t="s">
        <v>1548</v>
      </c>
      <c r="F7180" s="15" t="s">
        <v>5815</v>
      </c>
      <c r="G7180" s="7">
        <v>12.104</v>
      </c>
      <c r="H7180" s="15" t="s">
        <v>27148</v>
      </c>
      <c r="I7180" s="15" t="s">
        <v>1567</v>
      </c>
      <c r="J7180" s="15" t="s">
        <v>27149</v>
      </c>
      <c r="K7180" s="15">
        <v>4.0</v>
      </c>
      <c r="L7180" s="15">
        <v>4.0</v>
      </c>
      <c r="M7180" s="41">
        <v>36809.0</v>
      </c>
      <c r="N7180" s="41">
        <v>40499.0</v>
      </c>
      <c r="O7180" s="15" t="s">
        <v>1554</v>
      </c>
      <c r="Q7180" s="7"/>
    </row>
    <row r="7181">
      <c r="A7181" s="39" t="s">
        <v>27150</v>
      </c>
      <c r="B7181" s="15">
        <v>1980521.0</v>
      </c>
      <c r="C7181" s="15" t="s">
        <v>27152</v>
      </c>
      <c r="D7181" s="15">
        <v>14851.0</v>
      </c>
      <c r="E7181" s="15" t="s">
        <v>1548</v>
      </c>
      <c r="F7181" s="15" t="s">
        <v>16718</v>
      </c>
      <c r="G7181" s="7">
        <v>18.859</v>
      </c>
      <c r="H7181" s="15" t="s">
        <v>27153</v>
      </c>
      <c r="I7181" s="15" t="s">
        <v>1803</v>
      </c>
      <c r="J7181" s="15" t="s">
        <v>27154</v>
      </c>
      <c r="K7181" s="15">
        <v>3.0</v>
      </c>
      <c r="L7181" s="15">
        <v>3.0</v>
      </c>
      <c r="M7181" s="40">
        <v>33884.0</v>
      </c>
      <c r="N7181" s="41">
        <v>42297.0</v>
      </c>
      <c r="O7181" s="15" t="s">
        <v>1554</v>
      </c>
      <c r="Q7181" s="7"/>
    </row>
    <row r="7182">
      <c r="A7182" s="39" t="s">
        <v>27155</v>
      </c>
      <c r="B7182" s="15">
        <v>1980486.0</v>
      </c>
      <c r="C7182" s="15" t="s">
        <v>27156</v>
      </c>
      <c r="D7182" s="15">
        <v>14930.0</v>
      </c>
      <c r="E7182" s="15" t="s">
        <v>1548</v>
      </c>
      <c r="F7182" s="15" t="s">
        <v>5815</v>
      </c>
      <c r="G7182" s="7">
        <v>12.062</v>
      </c>
      <c r="H7182" s="15" t="s">
        <v>27158</v>
      </c>
      <c r="I7182" s="15" t="s">
        <v>1567</v>
      </c>
      <c r="J7182" s="15" t="s">
        <v>27159</v>
      </c>
      <c r="K7182" s="15">
        <v>3.0</v>
      </c>
      <c r="L7182" s="15">
        <v>3.0</v>
      </c>
      <c r="M7182" s="40">
        <v>33452.0</v>
      </c>
      <c r="N7182" s="40">
        <v>40579.0</v>
      </c>
      <c r="O7182" s="15" t="s">
        <v>1554</v>
      </c>
      <c r="Q7182" s="7"/>
    </row>
    <row r="7183">
      <c r="A7183" s="39" t="s">
        <v>27160</v>
      </c>
      <c r="B7183" s="15">
        <v>1980491.0</v>
      </c>
      <c r="C7183" s="15" t="s">
        <v>27161</v>
      </c>
      <c r="D7183" s="15">
        <v>15005.0</v>
      </c>
      <c r="E7183" s="15" t="s">
        <v>1548</v>
      </c>
      <c r="F7183" s="15" t="s">
        <v>5815</v>
      </c>
      <c r="G7183" s="7">
        <v>12.317</v>
      </c>
      <c r="H7183" s="15" t="s">
        <v>27162</v>
      </c>
      <c r="I7183" s="15" t="s">
        <v>1567</v>
      </c>
      <c r="J7183" s="15" t="s">
        <v>27163</v>
      </c>
      <c r="K7183" s="15">
        <v>4.0</v>
      </c>
      <c r="L7183" s="15">
        <v>4.0</v>
      </c>
      <c r="M7183" s="40">
        <v>34353.0</v>
      </c>
      <c r="N7183" s="41">
        <v>42297.0</v>
      </c>
      <c r="O7183" s="15" t="s">
        <v>1554</v>
      </c>
      <c r="Q7183" s="7"/>
    </row>
    <row r="7184">
      <c r="A7184" s="39" t="s">
        <v>27165</v>
      </c>
      <c r="B7184" s="15">
        <v>1979162.0</v>
      </c>
      <c r="C7184" s="15" t="s">
        <v>27166</v>
      </c>
      <c r="D7184" s="15">
        <v>15014.0</v>
      </c>
      <c r="E7184" s="15" t="s">
        <v>1548</v>
      </c>
      <c r="F7184" s="15" t="s">
        <v>4837</v>
      </c>
      <c r="G7184" s="7">
        <v>15.246</v>
      </c>
      <c r="H7184" s="15" t="s">
        <v>2023</v>
      </c>
      <c r="I7184" s="15" t="s">
        <v>1567</v>
      </c>
      <c r="J7184" s="15" t="s">
        <v>27167</v>
      </c>
      <c r="K7184" s="15">
        <v>7.0</v>
      </c>
      <c r="L7184" s="15">
        <v>8.0</v>
      </c>
      <c r="M7184" s="40">
        <v>35875.0</v>
      </c>
      <c r="N7184" s="40">
        <v>40248.0</v>
      </c>
      <c r="O7184" s="15" t="s">
        <v>1554</v>
      </c>
      <c r="Q7184" s="7"/>
    </row>
    <row r="7185">
      <c r="A7185" s="39" t="s">
        <v>27168</v>
      </c>
      <c r="B7185" s="15">
        <v>1980494.0</v>
      </c>
      <c r="C7185" s="15" t="s">
        <v>27169</v>
      </c>
      <c r="D7185" s="15">
        <v>14936.0</v>
      </c>
      <c r="E7185" s="15" t="s">
        <v>1548</v>
      </c>
      <c r="F7185" s="15" t="s">
        <v>5815</v>
      </c>
      <c r="G7185" s="7">
        <v>12.066</v>
      </c>
      <c r="H7185" s="15" t="s">
        <v>27170</v>
      </c>
      <c r="I7185" s="15" t="s">
        <v>1567</v>
      </c>
      <c r="J7185" s="15" t="s">
        <v>27171</v>
      </c>
      <c r="K7185" s="15">
        <v>4.0</v>
      </c>
      <c r="L7185" s="15">
        <v>4.0</v>
      </c>
      <c r="M7185" s="41">
        <v>35023.0</v>
      </c>
      <c r="N7185" s="40">
        <v>42045.0</v>
      </c>
      <c r="O7185" s="15" t="s">
        <v>1554</v>
      </c>
      <c r="Q7185" s="7"/>
    </row>
    <row r="7186">
      <c r="A7186" s="39" t="s">
        <v>27172</v>
      </c>
      <c r="B7186" s="15">
        <v>1980490.0</v>
      </c>
      <c r="C7186" s="15" t="s">
        <v>27173</v>
      </c>
      <c r="D7186" s="15">
        <v>15027.0</v>
      </c>
      <c r="E7186" s="15" t="s">
        <v>1548</v>
      </c>
      <c r="F7186" s="15" t="s">
        <v>5815</v>
      </c>
      <c r="G7186" s="7">
        <v>11.95</v>
      </c>
      <c r="H7186" s="15" t="s">
        <v>27174</v>
      </c>
      <c r="I7186" s="15" t="s">
        <v>1567</v>
      </c>
      <c r="J7186" s="15" t="s">
        <v>27175</v>
      </c>
      <c r="K7186" s="15">
        <v>3.0</v>
      </c>
      <c r="L7186" s="15">
        <v>3.0</v>
      </c>
      <c r="M7186" s="40">
        <v>33442.0</v>
      </c>
      <c r="N7186" s="40">
        <v>39790.0</v>
      </c>
      <c r="O7186" s="15" t="s">
        <v>1554</v>
      </c>
      <c r="Q7186" s="7"/>
    </row>
    <row r="7187">
      <c r="A7187" s="39" t="s">
        <v>27176</v>
      </c>
      <c r="B7187" s="15">
        <v>1979165.0</v>
      </c>
      <c r="C7187" s="15" t="s">
        <v>27178</v>
      </c>
      <c r="D7187" s="15">
        <v>15059.0</v>
      </c>
      <c r="E7187" s="15" t="s">
        <v>1548</v>
      </c>
      <c r="F7187" s="15" t="s">
        <v>4837</v>
      </c>
      <c r="G7187" s="7">
        <v>15.384</v>
      </c>
      <c r="H7187" s="15" t="s">
        <v>2163</v>
      </c>
      <c r="I7187" s="15" t="s">
        <v>1567</v>
      </c>
      <c r="J7187" s="15" t="s">
        <v>27179</v>
      </c>
      <c r="K7187" s="15">
        <v>7.0</v>
      </c>
      <c r="L7187" s="15">
        <v>8.0</v>
      </c>
      <c r="M7187" s="40">
        <v>36627.0</v>
      </c>
      <c r="N7187" s="40">
        <v>40411.0</v>
      </c>
      <c r="O7187" s="15" t="s">
        <v>1554</v>
      </c>
      <c r="Q7187" s="7"/>
    </row>
    <row r="7188">
      <c r="A7188" s="39" t="s">
        <v>27180</v>
      </c>
      <c r="B7188" s="15">
        <v>1979166.0</v>
      </c>
      <c r="C7188" s="15" t="s">
        <v>27181</v>
      </c>
      <c r="D7188" s="15">
        <v>15220.0</v>
      </c>
      <c r="E7188" s="15" t="s">
        <v>1548</v>
      </c>
      <c r="F7188" s="15" t="s">
        <v>4837</v>
      </c>
      <c r="G7188" s="7">
        <v>15.45</v>
      </c>
      <c r="H7188" s="15" t="s">
        <v>1813</v>
      </c>
      <c r="I7188" s="15" t="s">
        <v>1567</v>
      </c>
      <c r="J7188" s="15" t="s">
        <v>27183</v>
      </c>
      <c r="K7188" s="15">
        <v>11.0</v>
      </c>
      <c r="L7188" s="15">
        <v>7.0</v>
      </c>
      <c r="M7188" s="40">
        <v>34304.0</v>
      </c>
      <c r="N7188" s="40">
        <v>39211.0</v>
      </c>
      <c r="O7188" s="15" t="s">
        <v>1554</v>
      </c>
      <c r="Q7188" s="7"/>
    </row>
    <row r="7189">
      <c r="A7189" s="39" t="s">
        <v>27184</v>
      </c>
      <c r="B7189" s="15">
        <v>1979160.0</v>
      </c>
      <c r="C7189" s="15" t="s">
        <v>27185</v>
      </c>
      <c r="D7189" s="15">
        <v>15421.0</v>
      </c>
      <c r="E7189" s="15" t="s">
        <v>1548</v>
      </c>
      <c r="F7189" s="15" t="s">
        <v>4837</v>
      </c>
      <c r="G7189" s="7">
        <v>15.646</v>
      </c>
      <c r="H7189" s="15" t="s">
        <v>6633</v>
      </c>
      <c r="I7189" s="15" t="s">
        <v>1567</v>
      </c>
      <c r="J7189" s="15" t="s">
        <v>27187</v>
      </c>
      <c r="K7189" s="15">
        <v>6.0</v>
      </c>
      <c r="L7189" s="15">
        <v>7.0</v>
      </c>
      <c r="M7189" s="40">
        <v>33429.0</v>
      </c>
      <c r="N7189" s="40">
        <v>42944.0</v>
      </c>
      <c r="O7189" s="15" t="s">
        <v>1554</v>
      </c>
      <c r="Q7189" s="7"/>
    </row>
    <row r="7190">
      <c r="A7190" s="39" t="s">
        <v>27188</v>
      </c>
      <c r="B7190" s="15">
        <v>1979163.0</v>
      </c>
      <c r="C7190" s="15" t="s">
        <v>27189</v>
      </c>
      <c r="D7190" s="15">
        <v>19651.0</v>
      </c>
      <c r="E7190" s="15" t="s">
        <v>1548</v>
      </c>
      <c r="F7190" s="15" t="s">
        <v>4837</v>
      </c>
      <c r="G7190" s="7">
        <v>15.486</v>
      </c>
      <c r="H7190" s="15" t="s">
        <v>1983</v>
      </c>
      <c r="I7190" s="15" t="s">
        <v>1567</v>
      </c>
      <c r="J7190" s="15" t="s">
        <v>27190</v>
      </c>
      <c r="K7190" s="15">
        <v>6.0</v>
      </c>
      <c r="L7190" s="15">
        <v>9.0</v>
      </c>
      <c r="M7190" s="40">
        <v>39217.0</v>
      </c>
      <c r="N7190" s="40">
        <v>39911.0</v>
      </c>
      <c r="O7190" s="15" t="s">
        <v>1554</v>
      </c>
      <c r="Q7190" s="7"/>
    </row>
    <row r="7191">
      <c r="A7191" s="39" t="s">
        <v>27192</v>
      </c>
      <c r="B7191" s="15">
        <v>1980493.0</v>
      </c>
      <c r="C7191" s="15" t="s">
        <v>27193</v>
      </c>
      <c r="D7191" s="15">
        <v>29841.0</v>
      </c>
      <c r="E7191" s="15" t="s">
        <v>1548</v>
      </c>
      <c r="F7191" s="15" t="s">
        <v>5815</v>
      </c>
      <c r="G7191" s="7">
        <v>11.732</v>
      </c>
      <c r="H7191" s="15" t="s">
        <v>27194</v>
      </c>
      <c r="I7191" s="15" t="s">
        <v>1567</v>
      </c>
      <c r="J7191" s="15" t="s">
        <v>27195</v>
      </c>
      <c r="K7191" s="15">
        <v>3.0</v>
      </c>
      <c r="L7191" s="15">
        <v>3.0</v>
      </c>
      <c r="M7191" s="40">
        <v>38034.0</v>
      </c>
      <c r="N7191" s="40">
        <v>39588.0</v>
      </c>
      <c r="O7191" s="15" t="s">
        <v>1554</v>
      </c>
      <c r="Q7191" s="7"/>
    </row>
    <row r="7192">
      <c r="A7192" s="39" t="s">
        <v>27197</v>
      </c>
      <c r="B7192" s="15">
        <v>1972626.0</v>
      </c>
      <c r="C7192" s="15" t="s">
        <v>27198</v>
      </c>
      <c r="D7192" s="15">
        <v>33129.0</v>
      </c>
      <c r="E7192" s="15" t="s">
        <v>1548</v>
      </c>
      <c r="F7192" s="15" t="s">
        <v>1890</v>
      </c>
      <c r="G7192" s="7">
        <v>13.196</v>
      </c>
      <c r="H7192" s="15" t="s">
        <v>7887</v>
      </c>
      <c r="I7192" s="15" t="s">
        <v>1560</v>
      </c>
      <c r="J7192" s="15" t="s">
        <v>27199</v>
      </c>
      <c r="K7192" s="15">
        <v>10.0</v>
      </c>
      <c r="L7192" s="15">
        <v>10.0</v>
      </c>
      <c r="M7192" s="40">
        <v>39567.0</v>
      </c>
      <c r="N7192" s="40">
        <v>39791.0</v>
      </c>
      <c r="O7192" s="15" t="s">
        <v>1554</v>
      </c>
      <c r="Q7192" s="7"/>
    </row>
    <row r="7193">
      <c r="A7193" s="39" t="s">
        <v>27200</v>
      </c>
      <c r="B7193" s="15">
        <v>1980426.0</v>
      </c>
      <c r="C7193" s="15" t="s">
        <v>27202</v>
      </c>
      <c r="D7193" s="15">
        <v>39973.0</v>
      </c>
      <c r="E7193" s="15" t="s">
        <v>1548</v>
      </c>
      <c r="F7193" s="15" t="s">
        <v>27203</v>
      </c>
      <c r="G7193" s="7">
        <v>12.282</v>
      </c>
      <c r="H7193" s="15" t="s">
        <v>27204</v>
      </c>
      <c r="I7193" s="15" t="s">
        <v>1628</v>
      </c>
      <c r="J7193" s="15" t="s">
        <v>27205</v>
      </c>
      <c r="K7193" s="15">
        <v>4.0</v>
      </c>
      <c r="L7193" s="15">
        <v>4.0</v>
      </c>
      <c r="M7193" s="40">
        <v>38074.0</v>
      </c>
      <c r="N7193" s="40">
        <v>40156.0</v>
      </c>
      <c r="O7193" s="15" t="s">
        <v>1554</v>
      </c>
      <c r="Q7193" s="7"/>
    </row>
    <row r="7194">
      <c r="A7194" s="39" t="s">
        <v>27206</v>
      </c>
      <c r="B7194" s="15">
        <v>1972623.0</v>
      </c>
      <c r="C7194" s="15" t="s">
        <v>27207</v>
      </c>
      <c r="D7194" s="15">
        <v>46715.0</v>
      </c>
      <c r="E7194" s="15" t="s">
        <v>1548</v>
      </c>
      <c r="F7194" s="15" t="s">
        <v>1890</v>
      </c>
      <c r="G7194" s="7">
        <v>15.764</v>
      </c>
      <c r="H7194" s="15">
        <v>39.0</v>
      </c>
      <c r="I7194" s="15" t="s">
        <v>4554</v>
      </c>
      <c r="J7194" s="15" t="s">
        <v>27208</v>
      </c>
      <c r="K7194" s="15">
        <v>11.0</v>
      </c>
      <c r="L7194" s="15">
        <v>15.0</v>
      </c>
      <c r="M7194" s="40">
        <v>40209.0</v>
      </c>
      <c r="N7194" s="40">
        <v>40263.0</v>
      </c>
      <c r="O7194" s="15" t="s">
        <v>1554</v>
      </c>
      <c r="Q7194" s="7"/>
    </row>
    <row r="7195">
      <c r="A7195" s="39" t="s">
        <v>27210</v>
      </c>
      <c r="B7195" s="15">
        <v>1972612.0</v>
      </c>
      <c r="C7195" s="15" t="s">
        <v>27211</v>
      </c>
      <c r="D7195" s="15">
        <v>301028.0</v>
      </c>
      <c r="E7195" s="15" t="s">
        <v>1548</v>
      </c>
      <c r="F7195" s="15" t="s">
        <v>1890</v>
      </c>
      <c r="G7195" s="7">
        <v>12.994</v>
      </c>
      <c r="H7195" s="15">
        <v>37.0</v>
      </c>
      <c r="I7195" s="15" t="s">
        <v>1686</v>
      </c>
      <c r="J7195" s="15" t="s">
        <v>27212</v>
      </c>
      <c r="K7195" s="15">
        <v>8.0</v>
      </c>
      <c r="L7195" s="15">
        <v>8.0</v>
      </c>
      <c r="M7195" s="40">
        <v>41878.0</v>
      </c>
      <c r="N7195" s="40">
        <v>42311.0</v>
      </c>
      <c r="O7195" s="15" t="s">
        <v>1554</v>
      </c>
      <c r="Q7195" s="7"/>
    </row>
    <row r="7196">
      <c r="A7196" s="39" t="s">
        <v>27214</v>
      </c>
      <c r="B7196" s="15">
        <v>1980431.0</v>
      </c>
      <c r="C7196" s="15" t="s">
        <v>27215</v>
      </c>
      <c r="D7196" s="15">
        <v>314255.0</v>
      </c>
      <c r="E7196" s="15" t="s">
        <v>1548</v>
      </c>
      <c r="F7196" s="15" t="s">
        <v>27203</v>
      </c>
      <c r="G7196" s="7">
        <v>17.412</v>
      </c>
      <c r="H7196" s="15" t="s">
        <v>27216</v>
      </c>
      <c r="I7196" s="15" t="s">
        <v>1628</v>
      </c>
      <c r="J7196" s="15" t="s">
        <v>27217</v>
      </c>
      <c r="K7196" s="15">
        <v>8.0</v>
      </c>
      <c r="L7196" s="15">
        <v>8.0</v>
      </c>
      <c r="M7196" s="40">
        <v>40716.0</v>
      </c>
      <c r="N7196" s="40">
        <v>42432.0</v>
      </c>
      <c r="O7196" s="15" t="s">
        <v>1554</v>
      </c>
      <c r="Q7196" s="7"/>
    </row>
    <row r="7197">
      <c r="A7197" s="39" t="s">
        <v>27218</v>
      </c>
      <c r="B7197" s="15">
        <v>1980427.0</v>
      </c>
      <c r="C7197" s="15" t="s">
        <v>27219</v>
      </c>
      <c r="D7197" s="15">
        <v>314256.0</v>
      </c>
      <c r="E7197" s="15" t="s">
        <v>1548</v>
      </c>
      <c r="F7197" s="15" t="s">
        <v>27203</v>
      </c>
      <c r="G7197" s="7">
        <v>15.217</v>
      </c>
      <c r="H7197" s="15" t="s">
        <v>27221</v>
      </c>
      <c r="I7197" s="15" t="s">
        <v>1628</v>
      </c>
      <c r="J7197" s="15" t="s">
        <v>27222</v>
      </c>
      <c r="K7197" s="15">
        <v>6.0</v>
      </c>
      <c r="L7197" s="15">
        <v>6.0</v>
      </c>
      <c r="M7197" s="40">
        <v>39882.0</v>
      </c>
      <c r="N7197" s="40">
        <v>42432.0</v>
      </c>
      <c r="O7197" s="15" t="s">
        <v>1554</v>
      </c>
      <c r="Q7197" s="7"/>
    </row>
    <row r="7198">
      <c r="A7198" s="39" t="s">
        <v>27223</v>
      </c>
      <c r="B7198" s="15">
        <v>1985202.0</v>
      </c>
      <c r="C7198" s="15" t="s">
        <v>27224</v>
      </c>
      <c r="D7198" s="15">
        <v>387177.0</v>
      </c>
      <c r="E7198" s="15" t="s">
        <v>1638</v>
      </c>
      <c r="F7198" s="15" t="s">
        <v>2539</v>
      </c>
      <c r="G7198" s="7">
        <v>3.383</v>
      </c>
      <c r="H7198" s="15" t="s">
        <v>1745</v>
      </c>
      <c r="I7198" s="15" t="s">
        <v>1573</v>
      </c>
      <c r="J7198" s="15" t="s">
        <v>27226</v>
      </c>
      <c r="K7198" s="15">
        <v>2.0</v>
      </c>
      <c r="L7198" s="15">
        <v>2.0</v>
      </c>
      <c r="M7198" s="40">
        <v>42864.0</v>
      </c>
      <c r="N7198" s="40">
        <v>42874.0</v>
      </c>
      <c r="O7198" s="15" t="s">
        <v>1554</v>
      </c>
      <c r="Q7198" s="7"/>
    </row>
    <row r="7199">
      <c r="A7199" s="39" t="s">
        <v>27227</v>
      </c>
      <c r="B7199" s="15">
        <v>1985203.0</v>
      </c>
      <c r="C7199" s="15" t="s">
        <v>27228</v>
      </c>
      <c r="D7199" s="15">
        <v>387244.0</v>
      </c>
      <c r="E7199" s="15" t="s">
        <v>1638</v>
      </c>
      <c r="F7199" s="15" t="s">
        <v>2539</v>
      </c>
      <c r="G7199" s="7">
        <v>3.316</v>
      </c>
      <c r="H7199" s="15" t="s">
        <v>4070</v>
      </c>
      <c r="I7199" s="15" t="s">
        <v>1573</v>
      </c>
      <c r="J7199" s="15" t="s">
        <v>27230</v>
      </c>
      <c r="K7199" s="15">
        <v>2.0</v>
      </c>
      <c r="L7199" s="15">
        <v>2.0</v>
      </c>
      <c r="M7199" s="40">
        <v>42864.0</v>
      </c>
      <c r="N7199" s="40">
        <v>42874.0</v>
      </c>
      <c r="O7199" s="15" t="s">
        <v>1554</v>
      </c>
      <c r="Q7199" s="7"/>
    </row>
    <row r="7200">
      <c r="A7200" s="39" t="s">
        <v>27231</v>
      </c>
      <c r="B7200" s="15">
        <v>652810.0</v>
      </c>
      <c r="C7200" s="15" t="s">
        <v>27232</v>
      </c>
      <c r="D7200" s="15">
        <v>387245.0</v>
      </c>
      <c r="E7200" s="15" t="s">
        <v>1557</v>
      </c>
      <c r="F7200" s="15" t="s">
        <v>1822</v>
      </c>
      <c r="G7200" s="7">
        <v>7.812</v>
      </c>
      <c r="H7200" s="15" t="s">
        <v>2193</v>
      </c>
      <c r="I7200" s="15" t="s">
        <v>1567</v>
      </c>
      <c r="J7200" s="15" t="s">
        <v>27234</v>
      </c>
      <c r="K7200" s="15">
        <v>8.0</v>
      </c>
      <c r="L7200" s="15">
        <v>8.0</v>
      </c>
      <c r="M7200" s="40">
        <v>42872.0</v>
      </c>
      <c r="N7200" s="40">
        <v>42874.0</v>
      </c>
      <c r="O7200" s="15" t="s">
        <v>2353</v>
      </c>
      <c r="Q7200" s="7"/>
    </row>
    <row r="7201">
      <c r="A7201" s="39" t="s">
        <v>27235</v>
      </c>
      <c r="B7201" s="15">
        <v>2003327.0</v>
      </c>
      <c r="C7201" s="15" t="s">
        <v>27236</v>
      </c>
      <c r="D7201" s="15">
        <v>14064.0</v>
      </c>
      <c r="E7201" s="15" t="s">
        <v>1808</v>
      </c>
      <c r="F7201" s="15" t="s">
        <v>3154</v>
      </c>
      <c r="G7201" s="7">
        <v>4.877</v>
      </c>
      <c r="H7201" s="15" t="s">
        <v>4595</v>
      </c>
      <c r="I7201" s="15" t="s">
        <v>1586</v>
      </c>
      <c r="J7201" s="15" t="s">
        <v>27237</v>
      </c>
      <c r="K7201" s="15">
        <v>12.0</v>
      </c>
      <c r="L7201" s="15">
        <v>12.0</v>
      </c>
      <c r="M7201" s="40">
        <v>34087.0</v>
      </c>
      <c r="N7201" s="40">
        <v>42045.0</v>
      </c>
      <c r="O7201" s="15" t="s">
        <v>1554</v>
      </c>
      <c r="Q7201" s="7"/>
    </row>
    <row r="7202">
      <c r="A7202" s="39" t="s">
        <v>27239</v>
      </c>
      <c r="B7202" s="15">
        <v>1993650.0</v>
      </c>
      <c r="C7202" s="15" t="s">
        <v>27240</v>
      </c>
      <c r="D7202" s="15">
        <v>14428.0</v>
      </c>
      <c r="E7202" s="15" t="s">
        <v>2014</v>
      </c>
      <c r="F7202" s="15" t="s">
        <v>2018</v>
      </c>
      <c r="G7202" s="7">
        <v>0.682</v>
      </c>
      <c r="H7202" s="15" t="s">
        <v>1849</v>
      </c>
      <c r="I7202" s="15" t="s">
        <v>1628</v>
      </c>
      <c r="J7202" s="15" t="s">
        <v>27241</v>
      </c>
      <c r="K7202" s="15" t="s">
        <v>1722</v>
      </c>
      <c r="L7202" s="15" t="s">
        <v>1722</v>
      </c>
      <c r="M7202" s="40">
        <v>35796.0</v>
      </c>
      <c r="N7202" s="40">
        <v>41331.0</v>
      </c>
      <c r="O7202" s="15" t="s">
        <v>1554</v>
      </c>
      <c r="Q7202" s="7"/>
    </row>
    <row r="7203">
      <c r="A7203" s="39" t="s">
        <v>27242</v>
      </c>
      <c r="B7203" s="15">
        <v>1921008.0</v>
      </c>
      <c r="C7203" s="15" t="s">
        <v>27243</v>
      </c>
      <c r="D7203" s="15">
        <v>14496.0</v>
      </c>
      <c r="E7203" s="15" t="s">
        <v>1557</v>
      </c>
      <c r="F7203" s="15" t="s">
        <v>1833</v>
      </c>
      <c r="G7203" s="7">
        <v>48.836</v>
      </c>
      <c r="H7203" s="15" t="s">
        <v>8889</v>
      </c>
      <c r="I7203" s="15" t="s">
        <v>1586</v>
      </c>
      <c r="J7203" s="15" t="s">
        <v>27244</v>
      </c>
      <c r="K7203" s="15">
        <v>78.0</v>
      </c>
      <c r="L7203" s="15">
        <v>78.0</v>
      </c>
      <c r="M7203" s="40">
        <v>38070.0</v>
      </c>
      <c r="N7203" s="40">
        <v>39939.0</v>
      </c>
      <c r="O7203" s="15" t="s">
        <v>1554</v>
      </c>
      <c r="Q7203" s="7"/>
    </row>
    <row r="7204">
      <c r="A7204" s="39" t="s">
        <v>27245</v>
      </c>
      <c r="B7204" s="15">
        <v>1511847.0</v>
      </c>
      <c r="C7204" s="15" t="s">
        <v>27246</v>
      </c>
      <c r="D7204" s="15">
        <v>14829.0</v>
      </c>
      <c r="E7204" s="15" t="s">
        <v>1638</v>
      </c>
      <c r="F7204" s="15" t="s">
        <v>1796</v>
      </c>
      <c r="G7204" s="7">
        <v>43346.0</v>
      </c>
      <c r="H7204" s="15" t="s">
        <v>27247</v>
      </c>
      <c r="I7204" s="15" t="s">
        <v>1628</v>
      </c>
      <c r="J7204" s="15" t="s">
        <v>27248</v>
      </c>
      <c r="K7204" s="15">
        <v>2.0</v>
      </c>
      <c r="L7204" s="15">
        <v>2.0</v>
      </c>
      <c r="M7204" s="40">
        <v>34887.0</v>
      </c>
      <c r="N7204" s="40">
        <v>39639.0</v>
      </c>
      <c r="O7204" s="15" t="s">
        <v>1554</v>
      </c>
      <c r="Q7204" s="7"/>
    </row>
    <row r="7205">
      <c r="A7205" s="39" t="s">
        <v>27249</v>
      </c>
      <c r="B7205" s="15">
        <v>1980519.0</v>
      </c>
      <c r="C7205" s="15" t="s">
        <v>27250</v>
      </c>
      <c r="D7205" s="15">
        <v>15026.0</v>
      </c>
      <c r="E7205" s="15" t="s">
        <v>1548</v>
      </c>
      <c r="F7205" s="15" t="s">
        <v>16718</v>
      </c>
      <c r="G7205" s="7">
        <v>19.146</v>
      </c>
      <c r="H7205" s="15" t="s">
        <v>27251</v>
      </c>
      <c r="I7205" s="15" t="s">
        <v>1803</v>
      </c>
      <c r="J7205" s="15" t="s">
        <v>27252</v>
      </c>
      <c r="K7205" s="15">
        <v>3.0</v>
      </c>
      <c r="L7205" s="15">
        <v>3.0</v>
      </c>
      <c r="M7205" s="40">
        <v>35493.0</v>
      </c>
      <c r="N7205" s="40">
        <v>39790.0</v>
      </c>
      <c r="O7205" s="15" t="s">
        <v>1554</v>
      </c>
      <c r="Q7205" s="7"/>
    </row>
    <row r="7206">
      <c r="A7206" s="39" t="s">
        <v>27253</v>
      </c>
      <c r="B7206" s="15">
        <v>1980471.0</v>
      </c>
      <c r="C7206" s="15" t="s">
        <v>27254</v>
      </c>
      <c r="D7206" s="15">
        <v>14929.0</v>
      </c>
      <c r="E7206" s="15" t="s">
        <v>1548</v>
      </c>
      <c r="F7206" s="15" t="s">
        <v>5815</v>
      </c>
      <c r="G7206" s="7">
        <v>11.845</v>
      </c>
      <c r="H7206" s="15" t="s">
        <v>27255</v>
      </c>
      <c r="I7206" s="15" t="s">
        <v>1567</v>
      </c>
      <c r="J7206" s="15" t="s">
        <v>27256</v>
      </c>
      <c r="K7206" s="15">
        <v>3.0</v>
      </c>
      <c r="L7206" s="15">
        <v>3.0</v>
      </c>
      <c r="M7206" s="40">
        <v>31875.0</v>
      </c>
      <c r="N7206" s="41">
        <v>40147.0</v>
      </c>
      <c r="O7206" s="15" t="s">
        <v>1554</v>
      </c>
      <c r="Q7206" s="7"/>
    </row>
    <row r="7207">
      <c r="A7207" s="39" t="s">
        <v>27258</v>
      </c>
      <c r="B7207" s="15">
        <v>1980467.0</v>
      </c>
      <c r="C7207" s="15" t="s">
        <v>27259</v>
      </c>
      <c r="D7207" s="15">
        <v>15319.0</v>
      </c>
      <c r="E7207" s="15" t="s">
        <v>1548</v>
      </c>
      <c r="F7207" s="15" t="s">
        <v>5815</v>
      </c>
      <c r="G7207" s="7">
        <v>11.84</v>
      </c>
      <c r="H7207" s="15" t="s">
        <v>27260</v>
      </c>
      <c r="I7207" s="15" t="s">
        <v>1567</v>
      </c>
      <c r="J7207" s="15" t="s">
        <v>27261</v>
      </c>
      <c r="K7207" s="15">
        <v>3.0</v>
      </c>
      <c r="L7207" s="15">
        <v>3.0</v>
      </c>
      <c r="M7207" s="40">
        <v>37707.0</v>
      </c>
      <c r="N7207" s="40">
        <v>42072.0</v>
      </c>
      <c r="O7207" s="15" t="s">
        <v>1554</v>
      </c>
      <c r="Q7207" s="7"/>
    </row>
    <row r="7208">
      <c r="A7208" s="39" t="s">
        <v>27262</v>
      </c>
      <c r="B7208" s="15">
        <v>1980924.0</v>
      </c>
      <c r="C7208" s="15" t="s">
        <v>27264</v>
      </c>
      <c r="D7208" s="15">
        <v>30059.0</v>
      </c>
      <c r="E7208" s="15" t="s">
        <v>1557</v>
      </c>
      <c r="F7208" s="15" t="s">
        <v>1767</v>
      </c>
      <c r="G7208" s="7">
        <v>231.255</v>
      </c>
      <c r="H7208" s="15">
        <v>58.0</v>
      </c>
      <c r="I7208" s="15" t="s">
        <v>1586</v>
      </c>
      <c r="J7208" s="15" t="s">
        <v>27265</v>
      </c>
      <c r="K7208" s="15">
        <v>345.0</v>
      </c>
      <c r="L7208" s="15">
        <v>343.0</v>
      </c>
      <c r="M7208" s="40">
        <v>39599.0</v>
      </c>
      <c r="N7208" s="40">
        <v>40997.0</v>
      </c>
      <c r="O7208" s="15" t="s">
        <v>1554</v>
      </c>
      <c r="Q7208" s="7"/>
    </row>
    <row r="7209">
      <c r="A7209" s="39" t="s">
        <v>27266</v>
      </c>
      <c r="B7209" s="15">
        <v>1980433.0</v>
      </c>
      <c r="C7209" s="15" t="s">
        <v>27267</v>
      </c>
      <c r="D7209" s="15">
        <v>64937.0</v>
      </c>
      <c r="E7209" s="15" t="s">
        <v>1548</v>
      </c>
      <c r="F7209" s="15" t="s">
        <v>27203</v>
      </c>
      <c r="G7209" s="7">
        <v>17.072</v>
      </c>
      <c r="H7209" s="15" t="s">
        <v>27269</v>
      </c>
      <c r="I7209" s="15" t="s">
        <v>1628</v>
      </c>
      <c r="J7209" s="15" t="s">
        <v>27270</v>
      </c>
      <c r="K7209" s="15">
        <v>8.0</v>
      </c>
      <c r="L7209" s="15">
        <v>8.0</v>
      </c>
      <c r="M7209" s="40">
        <v>40623.0</v>
      </c>
      <c r="N7209" s="41">
        <v>42297.0</v>
      </c>
      <c r="O7209" s="15" t="s">
        <v>1554</v>
      </c>
      <c r="Q7209" s="7"/>
    </row>
    <row r="7210">
      <c r="A7210" s="39" t="s">
        <v>27271</v>
      </c>
      <c r="B7210" s="15">
        <v>1918014.0</v>
      </c>
      <c r="C7210" s="15" t="s">
        <v>27272</v>
      </c>
      <c r="D7210" s="15">
        <v>167870.0</v>
      </c>
      <c r="E7210" s="15" t="s">
        <v>1664</v>
      </c>
      <c r="F7210" s="15" t="s">
        <v>1664</v>
      </c>
      <c r="G7210" s="7">
        <v>12.094</v>
      </c>
      <c r="H7210" s="15" t="s">
        <v>27274</v>
      </c>
      <c r="I7210" s="15" t="s">
        <v>1552</v>
      </c>
      <c r="J7210" s="15" t="s">
        <v>27275</v>
      </c>
      <c r="K7210" s="15">
        <v>2.0</v>
      </c>
      <c r="L7210" s="15">
        <v>2.0</v>
      </c>
      <c r="M7210" s="40">
        <v>41061.0</v>
      </c>
      <c r="N7210" s="40">
        <v>41064.0</v>
      </c>
      <c r="O7210" s="15" t="s">
        <v>1554</v>
      </c>
      <c r="Q7210" s="7"/>
    </row>
    <row r="7211">
      <c r="A7211" s="39" t="s">
        <v>27276</v>
      </c>
      <c r="B7211" s="15">
        <v>1920772.0</v>
      </c>
      <c r="C7211" s="15" t="s">
        <v>27277</v>
      </c>
      <c r="D7211" s="15">
        <v>256090.0</v>
      </c>
      <c r="E7211" s="15" t="s">
        <v>1548</v>
      </c>
      <c r="F7211" s="15" t="s">
        <v>2615</v>
      </c>
      <c r="G7211" s="7">
        <v>9.388</v>
      </c>
      <c r="H7211" s="15" t="s">
        <v>27279</v>
      </c>
      <c r="I7211" s="15" t="s">
        <v>1628</v>
      </c>
      <c r="J7211" s="15" t="s">
        <v>27280</v>
      </c>
      <c r="K7211" s="15">
        <v>7.0</v>
      </c>
      <c r="L7211" s="15">
        <v>7.0</v>
      </c>
      <c r="M7211" s="40">
        <v>41843.0</v>
      </c>
      <c r="N7211" s="40">
        <v>42043.0</v>
      </c>
      <c r="O7211" s="15" t="s">
        <v>1554</v>
      </c>
      <c r="Q7211" s="7"/>
    </row>
    <row r="7212">
      <c r="A7212" s="39" t="s">
        <v>27281</v>
      </c>
      <c r="B7212" s="15">
        <v>1986118.0</v>
      </c>
      <c r="C7212" s="15" t="s">
        <v>27282</v>
      </c>
      <c r="D7212" s="15">
        <v>259246.0</v>
      </c>
      <c r="E7212" s="15" t="s">
        <v>1548</v>
      </c>
      <c r="F7212" s="15" t="s">
        <v>1684</v>
      </c>
      <c r="G7212" s="7">
        <v>33.452</v>
      </c>
      <c r="H7212" s="15">
        <v>46.0</v>
      </c>
      <c r="I7212" s="15" t="s">
        <v>1686</v>
      </c>
      <c r="J7212" s="15" t="s">
        <v>27284</v>
      </c>
      <c r="K7212" s="15">
        <v>8.0</v>
      </c>
      <c r="L7212" s="15">
        <v>8.0</v>
      </c>
      <c r="M7212" s="40">
        <v>41871.0</v>
      </c>
      <c r="N7212" s="40">
        <v>41876.0</v>
      </c>
      <c r="O7212" s="15" t="s">
        <v>1554</v>
      </c>
      <c r="Q7212" s="7"/>
    </row>
    <row r="7213">
      <c r="A7213" s="39" t="s">
        <v>27285</v>
      </c>
      <c r="B7213" s="15">
        <v>1972567.0</v>
      </c>
      <c r="C7213" s="15" t="s">
        <v>27286</v>
      </c>
      <c r="D7213" s="15">
        <v>264922.0</v>
      </c>
      <c r="E7213" s="15" t="s">
        <v>1548</v>
      </c>
      <c r="F7213" s="15" t="s">
        <v>1890</v>
      </c>
      <c r="G7213" s="7">
        <v>11.202</v>
      </c>
      <c r="H7213" s="15" t="s">
        <v>2075</v>
      </c>
      <c r="I7213" s="15" t="s">
        <v>1567</v>
      </c>
      <c r="J7213" s="15" t="s">
        <v>27287</v>
      </c>
      <c r="K7213" s="15">
        <v>5.0</v>
      </c>
      <c r="L7213" s="15">
        <v>5.0</v>
      </c>
      <c r="M7213" s="41">
        <v>41199.0</v>
      </c>
      <c r="N7213" s="41">
        <v>41939.0</v>
      </c>
      <c r="O7213" s="15" t="s">
        <v>1554</v>
      </c>
      <c r="Q7213" s="7"/>
    </row>
    <row r="7214">
      <c r="A7214" s="39" t="s">
        <v>27289</v>
      </c>
      <c r="B7214" s="15">
        <v>1972568.0</v>
      </c>
      <c r="C7214" s="15" t="s">
        <v>27290</v>
      </c>
      <c r="D7214" s="15">
        <v>265901.0</v>
      </c>
      <c r="E7214" s="15" t="s">
        <v>1548</v>
      </c>
      <c r="F7214" s="15" t="s">
        <v>1890</v>
      </c>
      <c r="G7214" s="7">
        <v>11.121</v>
      </c>
      <c r="H7214" s="15">
        <v>42.0</v>
      </c>
      <c r="I7214" s="15" t="s">
        <v>1686</v>
      </c>
      <c r="J7214" s="15" t="s">
        <v>27291</v>
      </c>
      <c r="K7214" s="15">
        <v>5.0</v>
      </c>
      <c r="L7214" s="15">
        <v>5.0</v>
      </c>
      <c r="M7214" s="40">
        <v>41032.0</v>
      </c>
      <c r="N7214" s="41">
        <v>41943.0</v>
      </c>
      <c r="O7214" s="15" t="s">
        <v>1554</v>
      </c>
      <c r="Q7214" s="7"/>
    </row>
    <row r="7215">
      <c r="A7215" s="39" t="s">
        <v>27293</v>
      </c>
      <c r="B7215" s="15">
        <v>1972569.0</v>
      </c>
      <c r="C7215" s="15" t="s">
        <v>27294</v>
      </c>
      <c r="D7215" s="15">
        <v>265909.0</v>
      </c>
      <c r="E7215" s="15" t="s">
        <v>1548</v>
      </c>
      <c r="F7215" s="15" t="s">
        <v>1890</v>
      </c>
      <c r="G7215" s="7">
        <v>11.103</v>
      </c>
      <c r="H7215" s="15" t="s">
        <v>2820</v>
      </c>
      <c r="I7215" s="15" t="s">
        <v>1560</v>
      </c>
      <c r="J7215" s="15" t="s">
        <v>27295</v>
      </c>
      <c r="K7215" s="15">
        <v>5.0</v>
      </c>
      <c r="L7215" s="15">
        <v>5.0</v>
      </c>
      <c r="M7215" s="40">
        <v>41032.0</v>
      </c>
      <c r="N7215" s="41">
        <v>41943.0</v>
      </c>
      <c r="O7215" s="15" t="s">
        <v>1554</v>
      </c>
      <c r="Q7215" s="7"/>
    </row>
    <row r="7216">
      <c r="A7216" s="39" t="s">
        <v>27297</v>
      </c>
      <c r="B7216" s="15">
        <v>1972570.0</v>
      </c>
      <c r="C7216" s="15" t="s">
        <v>27298</v>
      </c>
      <c r="D7216" s="15">
        <v>264930.0</v>
      </c>
      <c r="E7216" s="15" t="s">
        <v>1548</v>
      </c>
      <c r="F7216" s="15" t="s">
        <v>1890</v>
      </c>
      <c r="G7216" s="7">
        <v>11.019</v>
      </c>
      <c r="H7216" s="15" t="s">
        <v>2118</v>
      </c>
      <c r="I7216" s="15" t="s">
        <v>1560</v>
      </c>
      <c r="J7216" s="15" t="s">
        <v>27299</v>
      </c>
      <c r="K7216" s="15">
        <v>5.0</v>
      </c>
      <c r="L7216" s="15">
        <v>5.0</v>
      </c>
      <c r="M7216" s="40">
        <v>41363.0</v>
      </c>
      <c r="N7216" s="41">
        <v>41939.0</v>
      </c>
      <c r="O7216" s="15" t="s">
        <v>1554</v>
      </c>
      <c r="Q7216" s="7"/>
    </row>
    <row r="7217">
      <c r="A7217" s="39" t="s">
        <v>27300</v>
      </c>
      <c r="B7217" s="15">
        <v>1458458.0</v>
      </c>
      <c r="C7217" s="15" t="s">
        <v>27301</v>
      </c>
      <c r="D7217" s="15">
        <v>14180.0</v>
      </c>
      <c r="E7217" s="15" t="s">
        <v>2014</v>
      </c>
      <c r="F7217" s="15" t="s">
        <v>1578</v>
      </c>
      <c r="G7217" s="7">
        <v>1.022</v>
      </c>
      <c r="H7217" s="15" t="s">
        <v>2950</v>
      </c>
      <c r="I7217" s="15" t="s">
        <v>1628</v>
      </c>
      <c r="J7217" s="15" t="s">
        <v>27303</v>
      </c>
      <c r="K7217" s="15">
        <v>1.0</v>
      </c>
      <c r="L7217" s="15">
        <v>1.0</v>
      </c>
      <c r="M7217" s="41">
        <v>34665.0</v>
      </c>
      <c r="N7217" s="40">
        <v>41891.0</v>
      </c>
      <c r="O7217" s="15" t="s">
        <v>1554</v>
      </c>
      <c r="Q7217" s="7"/>
    </row>
    <row r="7218">
      <c r="A7218" s="39" t="s">
        <v>27304</v>
      </c>
      <c r="B7218" s="15">
        <v>1675607.0</v>
      </c>
      <c r="C7218" s="15" t="s">
        <v>12262</v>
      </c>
      <c r="D7218" s="15">
        <v>222858.0</v>
      </c>
      <c r="E7218" s="15" t="s">
        <v>1557</v>
      </c>
      <c r="F7218" s="15" t="s">
        <v>1767</v>
      </c>
      <c r="G7218" s="7">
        <v>176.081</v>
      </c>
      <c r="H7218" s="15" t="s">
        <v>2049</v>
      </c>
      <c r="I7218" s="15" t="s">
        <v>1586</v>
      </c>
      <c r="J7218" s="15" t="s">
        <v>27305</v>
      </c>
      <c r="K7218" s="15">
        <v>281.0</v>
      </c>
      <c r="L7218" s="15">
        <v>280.0</v>
      </c>
      <c r="M7218" s="40">
        <v>42225.0</v>
      </c>
      <c r="N7218" s="40">
        <v>42374.0</v>
      </c>
      <c r="O7218" s="15" t="s">
        <v>1554</v>
      </c>
      <c r="Q7218" s="7"/>
    </row>
    <row r="7219">
      <c r="A7219" s="39" t="s">
        <v>27306</v>
      </c>
      <c r="B7219" s="15">
        <v>1540098.0</v>
      </c>
      <c r="C7219" s="15" t="s">
        <v>12262</v>
      </c>
      <c r="D7219" s="15">
        <v>222858.0</v>
      </c>
      <c r="E7219" s="15" t="s">
        <v>1557</v>
      </c>
      <c r="F7219" s="15" t="s">
        <v>1833</v>
      </c>
      <c r="G7219" s="7">
        <v>56.776</v>
      </c>
      <c r="H7219" s="15" t="s">
        <v>1962</v>
      </c>
      <c r="I7219" s="15" t="s">
        <v>1586</v>
      </c>
      <c r="J7219" s="15" t="s">
        <v>27308</v>
      </c>
      <c r="K7219" s="15">
        <v>88.0</v>
      </c>
      <c r="L7219" s="15">
        <v>88.0</v>
      </c>
      <c r="M7219" s="40">
        <v>41951.0</v>
      </c>
      <c r="N7219" s="40">
        <v>42179.0</v>
      </c>
      <c r="O7219" s="15" t="s">
        <v>1554</v>
      </c>
      <c r="Q7219" s="7"/>
    </row>
    <row r="7220">
      <c r="A7220" s="39" t="s">
        <v>27309</v>
      </c>
      <c r="B7220" s="15">
        <v>1540092.0</v>
      </c>
      <c r="C7220" s="15" t="s">
        <v>12262</v>
      </c>
      <c r="D7220" s="15">
        <v>222858.0</v>
      </c>
      <c r="E7220" s="15" t="s">
        <v>1557</v>
      </c>
      <c r="F7220" s="15" t="s">
        <v>1611</v>
      </c>
      <c r="G7220" s="7">
        <v>39.639</v>
      </c>
      <c r="H7220" s="15" t="s">
        <v>2320</v>
      </c>
      <c r="I7220" s="15" t="s">
        <v>1586</v>
      </c>
      <c r="J7220" s="15" t="s">
        <v>27310</v>
      </c>
      <c r="K7220" s="15">
        <v>50.0</v>
      </c>
      <c r="L7220" s="15">
        <v>50.0</v>
      </c>
      <c r="M7220" s="40">
        <v>41951.0</v>
      </c>
      <c r="N7220" s="40">
        <v>42179.0</v>
      </c>
      <c r="O7220" s="15" t="s">
        <v>1554</v>
      </c>
      <c r="Q7220" s="7"/>
    </row>
    <row r="7221">
      <c r="A7221" s="39" t="s">
        <v>27312</v>
      </c>
      <c r="B7221" s="15">
        <v>69609.0</v>
      </c>
      <c r="C7221" s="15" t="s">
        <v>27313</v>
      </c>
      <c r="D7221" s="15">
        <v>261534.0</v>
      </c>
      <c r="E7221" s="15" t="s">
        <v>1557</v>
      </c>
      <c r="F7221" s="15" t="s">
        <v>1767</v>
      </c>
      <c r="G7221" s="7">
        <v>165.179</v>
      </c>
      <c r="H7221" s="15" t="s">
        <v>2103</v>
      </c>
      <c r="I7221" s="15" t="s">
        <v>1586</v>
      </c>
      <c r="J7221" s="15" t="s">
        <v>27314</v>
      </c>
      <c r="K7221" s="15">
        <v>283.0</v>
      </c>
      <c r="L7221" s="15">
        <v>271.0</v>
      </c>
      <c r="M7221" s="41">
        <v>41934.0</v>
      </c>
      <c r="N7221" s="40">
        <v>42034.0</v>
      </c>
      <c r="O7221" s="15" t="s">
        <v>1554</v>
      </c>
      <c r="Q7221" s="7"/>
    </row>
    <row r="7222">
      <c r="A7222" s="39" t="s">
        <v>27315</v>
      </c>
      <c r="B7222" s="15">
        <v>1675602.0</v>
      </c>
      <c r="C7222" s="15" t="s">
        <v>12262</v>
      </c>
      <c r="D7222" s="15">
        <v>222858.0</v>
      </c>
      <c r="E7222" s="15" t="s">
        <v>1557</v>
      </c>
      <c r="F7222" s="15" t="s">
        <v>1767</v>
      </c>
      <c r="G7222" s="7">
        <v>172.733</v>
      </c>
      <c r="H7222" s="15" t="s">
        <v>6565</v>
      </c>
      <c r="I7222" s="15" t="s">
        <v>1586</v>
      </c>
      <c r="J7222" s="15" t="s">
        <v>27316</v>
      </c>
      <c r="K7222" s="15">
        <v>314.0</v>
      </c>
      <c r="L7222" s="15">
        <v>303.0</v>
      </c>
      <c r="M7222" s="40">
        <v>42225.0</v>
      </c>
      <c r="N7222" s="40">
        <v>42374.0</v>
      </c>
      <c r="O7222" s="15" t="s">
        <v>1554</v>
      </c>
      <c r="Q7222" s="7"/>
    </row>
    <row r="7223">
      <c r="A7223" s="39" t="s">
        <v>27318</v>
      </c>
      <c r="B7223" s="15">
        <v>1701810.0</v>
      </c>
      <c r="C7223" s="15" t="s">
        <v>12262</v>
      </c>
      <c r="D7223" s="15">
        <v>222858.0</v>
      </c>
      <c r="E7223" s="15" t="s">
        <v>1557</v>
      </c>
      <c r="F7223" s="15" t="s">
        <v>1767</v>
      </c>
      <c r="G7223" s="7">
        <v>178.182</v>
      </c>
      <c r="H7223" s="15" t="s">
        <v>1828</v>
      </c>
      <c r="I7223" s="15" t="s">
        <v>1586</v>
      </c>
      <c r="J7223" s="15" t="s">
        <v>27319</v>
      </c>
      <c r="K7223" s="15">
        <v>281.0</v>
      </c>
      <c r="L7223" s="15">
        <v>280.0</v>
      </c>
      <c r="M7223" s="40">
        <v>42270.0</v>
      </c>
      <c r="N7223" s="40">
        <v>42374.0</v>
      </c>
      <c r="O7223" s="15" t="s">
        <v>1554</v>
      </c>
      <c r="Q7223" s="7"/>
    </row>
    <row r="7224">
      <c r="A7224" s="39" t="s">
        <v>27320</v>
      </c>
      <c r="B7224" s="15">
        <v>1540090.0</v>
      </c>
      <c r="C7224" s="15" t="s">
        <v>12262</v>
      </c>
      <c r="D7224" s="15">
        <v>222858.0</v>
      </c>
      <c r="E7224" s="15" t="s">
        <v>1557</v>
      </c>
      <c r="F7224" s="15" t="s">
        <v>1767</v>
      </c>
      <c r="G7224" s="7">
        <v>164.302</v>
      </c>
      <c r="H7224" s="15" t="s">
        <v>6418</v>
      </c>
      <c r="I7224" s="15" t="s">
        <v>1586</v>
      </c>
      <c r="J7224" s="15" t="s">
        <v>27321</v>
      </c>
      <c r="K7224" s="15">
        <v>247.0</v>
      </c>
      <c r="L7224" s="15">
        <v>241.0</v>
      </c>
      <c r="M7224" s="40">
        <v>41951.0</v>
      </c>
      <c r="N7224" s="40">
        <v>42179.0</v>
      </c>
      <c r="O7224" s="15" t="s">
        <v>1554</v>
      </c>
      <c r="Q7224" s="7"/>
    </row>
    <row r="7225">
      <c r="A7225" s="39" t="s">
        <v>27322</v>
      </c>
      <c r="B7225" s="15">
        <v>1701809.0</v>
      </c>
      <c r="C7225" s="15" t="s">
        <v>12262</v>
      </c>
      <c r="D7225" s="15">
        <v>222858.0</v>
      </c>
      <c r="E7225" s="15" t="s">
        <v>1557</v>
      </c>
      <c r="F7225" s="15" t="s">
        <v>1611</v>
      </c>
      <c r="G7225" s="7">
        <v>44.974</v>
      </c>
      <c r="H7225" s="15" t="s">
        <v>4190</v>
      </c>
      <c r="I7225" s="15" t="s">
        <v>1586</v>
      </c>
      <c r="J7225" s="15" t="s">
        <v>27323</v>
      </c>
      <c r="K7225" s="15">
        <v>55.0</v>
      </c>
      <c r="L7225" s="15">
        <v>55.0</v>
      </c>
      <c r="M7225" s="40">
        <v>42270.0</v>
      </c>
      <c r="N7225" s="40">
        <v>42405.0</v>
      </c>
      <c r="O7225" s="15" t="s">
        <v>1554</v>
      </c>
      <c r="Q7225" s="7"/>
    </row>
    <row r="7226">
      <c r="A7226" s="39" t="s">
        <v>27324</v>
      </c>
      <c r="B7226" s="15">
        <v>1610833.0</v>
      </c>
      <c r="C7226" s="15" t="s">
        <v>12262</v>
      </c>
      <c r="D7226" s="15">
        <v>222858.0</v>
      </c>
      <c r="E7226" s="15" t="s">
        <v>1557</v>
      </c>
      <c r="F7226" s="15" t="s">
        <v>1833</v>
      </c>
      <c r="G7226" s="7">
        <v>80.798</v>
      </c>
      <c r="H7226" s="15" t="s">
        <v>2103</v>
      </c>
      <c r="I7226" s="15" t="s">
        <v>1586</v>
      </c>
      <c r="J7226" s="15" t="s">
        <v>27326</v>
      </c>
      <c r="K7226" s="15">
        <v>110.0</v>
      </c>
      <c r="L7226" s="15">
        <v>110.0</v>
      </c>
      <c r="M7226" s="40">
        <v>42109.0</v>
      </c>
      <c r="N7226" s="40">
        <v>42376.0</v>
      </c>
      <c r="O7226" s="15" t="s">
        <v>1554</v>
      </c>
      <c r="Q7226" s="7"/>
    </row>
    <row r="7227">
      <c r="A7227" s="39" t="s">
        <v>27327</v>
      </c>
      <c r="B7227" s="15">
        <v>1540099.0</v>
      </c>
      <c r="C7227" s="15" t="s">
        <v>12262</v>
      </c>
      <c r="D7227" s="15">
        <v>222858.0</v>
      </c>
      <c r="E7227" s="15" t="s">
        <v>1557</v>
      </c>
      <c r="F7227" s="15" t="s">
        <v>1833</v>
      </c>
      <c r="G7227" s="7">
        <v>123.475</v>
      </c>
      <c r="H7227" s="15" t="s">
        <v>2640</v>
      </c>
      <c r="I7227" s="15" t="s">
        <v>1586</v>
      </c>
      <c r="J7227" s="15" t="s">
        <v>27328</v>
      </c>
      <c r="K7227" s="15">
        <v>204.0</v>
      </c>
      <c r="L7227" s="15">
        <v>179.0</v>
      </c>
      <c r="M7227" s="40">
        <v>41951.0</v>
      </c>
      <c r="N7227" s="40">
        <v>42179.0</v>
      </c>
      <c r="O7227" s="15" t="s">
        <v>1554</v>
      </c>
      <c r="Q7227" s="7"/>
    </row>
    <row r="7228">
      <c r="A7228" s="39" t="s">
        <v>27329</v>
      </c>
      <c r="B7228" s="15">
        <v>1540093.0</v>
      </c>
      <c r="C7228" s="15" t="s">
        <v>12262</v>
      </c>
      <c r="D7228" s="15">
        <v>222858.0</v>
      </c>
      <c r="E7228" s="15" t="s">
        <v>1557</v>
      </c>
      <c r="F7228" s="15" t="s">
        <v>1611</v>
      </c>
      <c r="G7228" s="7">
        <v>40.214</v>
      </c>
      <c r="H7228" s="15" t="s">
        <v>2141</v>
      </c>
      <c r="I7228" s="15" t="s">
        <v>1586</v>
      </c>
      <c r="J7228" s="15" t="s">
        <v>27330</v>
      </c>
      <c r="K7228" s="15">
        <v>52.0</v>
      </c>
      <c r="L7228" s="15">
        <v>52.0</v>
      </c>
      <c r="M7228" s="40">
        <v>41951.0</v>
      </c>
      <c r="N7228" s="40">
        <v>42179.0</v>
      </c>
      <c r="O7228" s="15" t="s">
        <v>1554</v>
      </c>
      <c r="Q7228" s="7"/>
    </row>
    <row r="7229">
      <c r="A7229" s="39" t="s">
        <v>27331</v>
      </c>
      <c r="B7229" s="15">
        <v>1675603.0</v>
      </c>
      <c r="C7229" s="15" t="s">
        <v>12262</v>
      </c>
      <c r="D7229" s="15">
        <v>222858.0</v>
      </c>
      <c r="E7229" s="15" t="s">
        <v>1557</v>
      </c>
      <c r="F7229" s="15" t="s">
        <v>1767</v>
      </c>
      <c r="G7229" s="7">
        <v>90.0</v>
      </c>
      <c r="H7229" s="15" t="s">
        <v>6565</v>
      </c>
      <c r="I7229" s="15" t="s">
        <v>1586</v>
      </c>
      <c r="J7229" s="15" t="s">
        <v>27333</v>
      </c>
      <c r="K7229" s="15">
        <v>168.0</v>
      </c>
      <c r="L7229" s="15">
        <v>143.0</v>
      </c>
      <c r="M7229" s="40">
        <v>42225.0</v>
      </c>
      <c r="N7229" s="40">
        <v>42682.0</v>
      </c>
      <c r="O7229" s="15" t="s">
        <v>1554</v>
      </c>
      <c r="Q7229" s="7"/>
    </row>
    <row r="7230">
      <c r="A7230" s="39" t="s">
        <v>27334</v>
      </c>
      <c r="B7230" s="15">
        <v>1540094.0</v>
      </c>
      <c r="C7230" s="15" t="s">
        <v>12262</v>
      </c>
      <c r="D7230" s="15">
        <v>222858.0</v>
      </c>
      <c r="E7230" s="15" t="s">
        <v>1557</v>
      </c>
      <c r="F7230" s="15" t="s">
        <v>1767</v>
      </c>
      <c r="G7230" s="7">
        <v>87.999</v>
      </c>
      <c r="H7230" s="15">
        <v>39.0</v>
      </c>
      <c r="I7230" s="15" t="s">
        <v>1586</v>
      </c>
      <c r="J7230" s="15" t="s">
        <v>27335</v>
      </c>
      <c r="K7230" s="15">
        <v>147.0</v>
      </c>
      <c r="L7230" s="15">
        <v>126.0</v>
      </c>
      <c r="M7230" s="40">
        <v>41951.0</v>
      </c>
      <c r="N7230" s="40">
        <v>42174.0</v>
      </c>
      <c r="O7230" s="15" t="s">
        <v>1554</v>
      </c>
      <c r="Q7230" s="7"/>
    </row>
    <row r="7231">
      <c r="A7231" s="39" t="s">
        <v>27336</v>
      </c>
      <c r="B7231" s="15">
        <v>31533.0</v>
      </c>
      <c r="C7231" s="15" t="s">
        <v>27313</v>
      </c>
      <c r="D7231" s="15">
        <v>261534.0</v>
      </c>
      <c r="E7231" s="15" t="s">
        <v>1557</v>
      </c>
      <c r="F7231" s="15" t="s">
        <v>1767</v>
      </c>
      <c r="G7231" s="7">
        <v>168.402</v>
      </c>
      <c r="H7231" s="15" t="s">
        <v>3568</v>
      </c>
      <c r="I7231" s="15" t="s">
        <v>1586</v>
      </c>
      <c r="J7231" s="15" t="s">
        <v>27337</v>
      </c>
      <c r="K7231" s="15">
        <v>285.0</v>
      </c>
      <c r="L7231" s="15">
        <v>273.0</v>
      </c>
      <c r="M7231" s="41">
        <v>41934.0</v>
      </c>
      <c r="N7231" s="40">
        <v>42034.0</v>
      </c>
      <c r="O7231" s="15" t="s">
        <v>1554</v>
      </c>
      <c r="Q7231" s="7"/>
    </row>
    <row r="7232">
      <c r="A7232" s="39" t="s">
        <v>27339</v>
      </c>
      <c r="B7232" s="15">
        <v>1540091.0</v>
      </c>
      <c r="C7232" s="15" t="s">
        <v>12262</v>
      </c>
      <c r="D7232" s="15">
        <v>222858.0</v>
      </c>
      <c r="E7232" s="15" t="s">
        <v>1557</v>
      </c>
      <c r="F7232" s="15" t="s">
        <v>1767</v>
      </c>
      <c r="G7232" s="7">
        <v>161.239</v>
      </c>
      <c r="H7232" s="15" t="s">
        <v>2451</v>
      </c>
      <c r="I7232" s="15" t="s">
        <v>1586</v>
      </c>
      <c r="J7232" s="15" t="s">
        <v>27340</v>
      </c>
      <c r="K7232" s="15">
        <v>240.0</v>
      </c>
      <c r="L7232" s="15">
        <v>237.0</v>
      </c>
      <c r="M7232" s="40">
        <v>41951.0</v>
      </c>
      <c r="N7232" s="40">
        <v>42179.0</v>
      </c>
      <c r="O7232" s="15" t="s">
        <v>1554</v>
      </c>
      <c r="Q7232" s="7"/>
    </row>
    <row r="7233">
      <c r="A7233" s="39" t="s">
        <v>27341</v>
      </c>
      <c r="B7233" s="15">
        <v>1391456.0</v>
      </c>
      <c r="C7233" s="15" t="s">
        <v>26118</v>
      </c>
      <c r="D7233" s="15">
        <v>72255.0</v>
      </c>
      <c r="E7233" s="15" t="s">
        <v>1557</v>
      </c>
      <c r="F7233" s="15" t="s">
        <v>1578</v>
      </c>
      <c r="G7233" s="7">
        <v>41.291</v>
      </c>
      <c r="H7233" s="15" t="s">
        <v>2451</v>
      </c>
      <c r="I7233" s="15" t="s">
        <v>1586</v>
      </c>
      <c r="J7233" s="15" t="s">
        <v>27343</v>
      </c>
      <c r="K7233" s="15">
        <v>57.0</v>
      </c>
      <c r="L7233" s="15">
        <v>57.0</v>
      </c>
      <c r="M7233" s="40">
        <v>41584.0</v>
      </c>
      <c r="N7233" s="40">
        <v>42378.0</v>
      </c>
      <c r="O7233" s="15" t="s">
        <v>1554</v>
      </c>
      <c r="Q7233" s="7"/>
    </row>
    <row r="7234">
      <c r="A7234" s="39" t="s">
        <v>27344</v>
      </c>
      <c r="B7234" s="15">
        <v>1567010.0</v>
      </c>
      <c r="C7234" s="15" t="s">
        <v>20041</v>
      </c>
      <c r="D7234" s="15">
        <v>260197.0</v>
      </c>
      <c r="E7234" s="15" t="s">
        <v>1557</v>
      </c>
      <c r="F7234" s="15" t="s">
        <v>1578</v>
      </c>
      <c r="G7234" s="7">
        <v>38.243</v>
      </c>
      <c r="H7234" s="15">
        <v>29.0</v>
      </c>
      <c r="I7234" s="15" t="s">
        <v>1586</v>
      </c>
      <c r="J7234" s="15" t="s">
        <v>27345</v>
      </c>
      <c r="K7234" s="15">
        <v>66.0</v>
      </c>
      <c r="L7234" s="15">
        <v>66.0</v>
      </c>
      <c r="M7234" s="41">
        <v>42001.0</v>
      </c>
      <c r="N7234" s="40">
        <v>42632.0</v>
      </c>
      <c r="O7234" s="15" t="s">
        <v>1554</v>
      </c>
      <c r="Q7234" s="7"/>
    </row>
    <row r="7235">
      <c r="A7235" s="39" t="s">
        <v>27346</v>
      </c>
      <c r="B7235" s="15">
        <v>1225791.0</v>
      </c>
      <c r="C7235" s="15" t="s">
        <v>26135</v>
      </c>
      <c r="D7235" s="15">
        <v>73477.0</v>
      </c>
      <c r="E7235" s="15" t="s">
        <v>1557</v>
      </c>
      <c r="F7235" s="15" t="s">
        <v>1833</v>
      </c>
      <c r="G7235" s="7">
        <v>39.014</v>
      </c>
      <c r="H7235" s="15" t="s">
        <v>2831</v>
      </c>
      <c r="I7235" s="15" t="s">
        <v>1586</v>
      </c>
      <c r="J7235" s="15" t="s">
        <v>27348</v>
      </c>
      <c r="K7235" s="15">
        <v>52.0</v>
      </c>
      <c r="L7235" s="15">
        <v>52.0</v>
      </c>
      <c r="M7235" s="40">
        <v>41167.0</v>
      </c>
      <c r="N7235" s="40">
        <v>42285.0</v>
      </c>
      <c r="O7235" s="15" t="s">
        <v>1554</v>
      </c>
      <c r="Q7235" s="7"/>
    </row>
    <row r="7236">
      <c r="A7236" s="39" t="s">
        <v>27349</v>
      </c>
      <c r="B7236" s="15">
        <v>1643324.0</v>
      </c>
      <c r="C7236" s="15" t="s">
        <v>26132</v>
      </c>
      <c r="D7236" s="15">
        <v>277058.0</v>
      </c>
      <c r="E7236" s="15" t="s">
        <v>1557</v>
      </c>
      <c r="F7236" s="15" t="s">
        <v>1833</v>
      </c>
      <c r="G7236" s="7">
        <v>38.663</v>
      </c>
      <c r="H7236" s="15" t="s">
        <v>3554</v>
      </c>
      <c r="I7236" s="15" t="s">
        <v>1586</v>
      </c>
      <c r="J7236" s="15" t="s">
        <v>27350</v>
      </c>
      <c r="K7236" s="15">
        <v>56.0</v>
      </c>
      <c r="L7236" s="15">
        <v>56.0</v>
      </c>
      <c r="M7236" s="40">
        <v>42270.0</v>
      </c>
      <c r="N7236" s="40">
        <v>42374.0</v>
      </c>
      <c r="O7236" s="15" t="s">
        <v>1554</v>
      </c>
      <c r="Q7236" s="7"/>
    </row>
    <row r="7237">
      <c r="A7237" s="39" t="s">
        <v>27351</v>
      </c>
      <c r="B7237" s="15">
        <v>1567012.0</v>
      </c>
      <c r="C7237" s="15" t="s">
        <v>26142</v>
      </c>
      <c r="D7237" s="15">
        <v>260198.0</v>
      </c>
      <c r="E7237" s="15" t="s">
        <v>1557</v>
      </c>
      <c r="F7237" s="15" t="s">
        <v>1578</v>
      </c>
      <c r="G7237" s="7">
        <v>42.158</v>
      </c>
      <c r="H7237" s="42">
        <v>43249.0</v>
      </c>
      <c r="I7237" s="15" t="s">
        <v>1586</v>
      </c>
      <c r="J7237" s="15" t="s">
        <v>27352</v>
      </c>
      <c r="K7237" s="15">
        <v>62.0</v>
      </c>
      <c r="L7237" s="15">
        <v>62.0</v>
      </c>
      <c r="M7237" s="41">
        <v>42001.0</v>
      </c>
      <c r="N7237" s="40">
        <v>42374.0</v>
      </c>
      <c r="O7237" s="15" t="s">
        <v>1554</v>
      </c>
      <c r="Q7237" s="7"/>
    </row>
    <row r="7238">
      <c r="A7238" s="39" t="s">
        <v>27354</v>
      </c>
      <c r="B7238" s="15">
        <v>1567016.0</v>
      </c>
      <c r="C7238" s="15" t="s">
        <v>26128</v>
      </c>
      <c r="D7238" s="15">
        <v>260192.0</v>
      </c>
      <c r="E7238" s="15" t="s">
        <v>1557</v>
      </c>
      <c r="F7238" s="15" t="s">
        <v>1578</v>
      </c>
      <c r="G7238" s="7">
        <v>38.243</v>
      </c>
      <c r="H7238" s="42">
        <v>43129.0</v>
      </c>
      <c r="I7238" s="15" t="s">
        <v>1586</v>
      </c>
      <c r="J7238" s="15" t="s">
        <v>27355</v>
      </c>
      <c r="K7238" s="15">
        <v>66.0</v>
      </c>
      <c r="L7238" s="15">
        <v>66.0</v>
      </c>
      <c r="M7238" s="41">
        <v>42001.0</v>
      </c>
      <c r="N7238" s="40">
        <v>42635.0</v>
      </c>
      <c r="O7238" s="15" t="s">
        <v>1554</v>
      </c>
      <c r="Q7238" s="7"/>
    </row>
    <row r="7239">
      <c r="A7239" s="39" t="s">
        <v>27356</v>
      </c>
      <c r="B7239" s="15">
        <v>1986029.0</v>
      </c>
      <c r="C7239" s="15" t="s">
        <v>27357</v>
      </c>
      <c r="D7239" s="15">
        <v>247.0</v>
      </c>
      <c r="E7239" s="15" t="s">
        <v>1808</v>
      </c>
      <c r="F7239" s="15" t="s">
        <v>3154</v>
      </c>
      <c r="G7239" s="7">
        <v>4.532</v>
      </c>
      <c r="H7239" s="15" t="s">
        <v>2141</v>
      </c>
      <c r="I7239" s="15" t="s">
        <v>1586</v>
      </c>
      <c r="J7239" s="15" t="s">
        <v>27358</v>
      </c>
      <c r="K7239" s="15">
        <v>6.0</v>
      </c>
      <c r="L7239" s="15">
        <v>6.0</v>
      </c>
      <c r="M7239" s="40">
        <v>36585.0</v>
      </c>
      <c r="N7239" s="40">
        <v>41684.0</v>
      </c>
      <c r="O7239" s="15" t="s">
        <v>1554</v>
      </c>
      <c r="Q7239" s="7"/>
    </row>
    <row r="7240">
      <c r="A7240" s="39" t="s">
        <v>27359</v>
      </c>
      <c r="B7240" s="15">
        <v>1987722.0</v>
      </c>
      <c r="C7240" s="15" t="s">
        <v>27360</v>
      </c>
      <c r="D7240" s="15">
        <v>387617.0</v>
      </c>
      <c r="E7240" s="15" t="s">
        <v>1548</v>
      </c>
      <c r="F7240" s="15" t="s">
        <v>1776</v>
      </c>
      <c r="G7240" s="7">
        <v>8.541</v>
      </c>
      <c r="H7240" s="15" t="s">
        <v>7408</v>
      </c>
      <c r="I7240" s="15" t="s">
        <v>1686</v>
      </c>
      <c r="J7240" s="15" t="s">
        <v>27362</v>
      </c>
      <c r="K7240" s="15">
        <v>1.0</v>
      </c>
      <c r="L7240" s="15">
        <v>1.0</v>
      </c>
      <c r="M7240" s="40">
        <v>42876.0</v>
      </c>
      <c r="N7240" s="40">
        <v>42879.0</v>
      </c>
      <c r="O7240" s="15" t="s">
        <v>1554</v>
      </c>
      <c r="Q7240" s="7"/>
    </row>
    <row r="7241">
      <c r="A7241" s="39" t="s">
        <v>27363</v>
      </c>
      <c r="B7241" s="15">
        <v>1983545.0</v>
      </c>
      <c r="C7241" s="15" t="s">
        <v>27364</v>
      </c>
      <c r="D7241" s="15">
        <v>387737.0</v>
      </c>
      <c r="E7241" s="15" t="s">
        <v>1557</v>
      </c>
      <c r="F7241" s="15" t="s">
        <v>6215</v>
      </c>
      <c r="G7241" s="7">
        <v>32.735</v>
      </c>
      <c r="H7241" s="42">
        <v>43215.0</v>
      </c>
      <c r="I7241" s="15" t="s">
        <v>1618</v>
      </c>
      <c r="J7241" s="15" t="s">
        <v>27365</v>
      </c>
      <c r="K7241" s="15">
        <v>49.0</v>
      </c>
      <c r="L7241" s="15">
        <v>49.0</v>
      </c>
      <c r="M7241" s="40">
        <v>42874.0</v>
      </c>
      <c r="N7241" s="40">
        <v>42879.0</v>
      </c>
      <c r="O7241" s="15" t="s">
        <v>1554</v>
      </c>
      <c r="Q7241" s="7"/>
    </row>
    <row r="7242">
      <c r="A7242" s="39" t="s">
        <v>27366</v>
      </c>
      <c r="B7242" s="15">
        <v>1867943.0</v>
      </c>
      <c r="C7242" s="15" t="s">
        <v>27367</v>
      </c>
      <c r="D7242" s="15">
        <v>387738.0</v>
      </c>
      <c r="E7242" s="15" t="s">
        <v>1577</v>
      </c>
      <c r="F7242" s="15" t="s">
        <v>1578</v>
      </c>
      <c r="G7242" s="7">
        <v>12.312</v>
      </c>
      <c r="H7242" s="15" t="s">
        <v>27369</v>
      </c>
      <c r="I7242" s="15" t="s">
        <v>1560</v>
      </c>
      <c r="J7242" s="15" t="s">
        <v>27370</v>
      </c>
      <c r="K7242" s="15">
        <v>3.0</v>
      </c>
      <c r="L7242" s="15">
        <v>3.0</v>
      </c>
      <c r="M7242" s="40">
        <v>42872.0</v>
      </c>
      <c r="N7242" s="40">
        <v>42879.0</v>
      </c>
      <c r="O7242" s="15" t="s">
        <v>1554</v>
      </c>
      <c r="Q7242" s="7"/>
    </row>
    <row r="7243">
      <c r="A7243" s="39" t="s">
        <v>27371</v>
      </c>
      <c r="B7243" s="15">
        <v>1987360.0</v>
      </c>
      <c r="C7243" s="15" t="s">
        <v>27372</v>
      </c>
      <c r="D7243" s="15">
        <v>387739.0</v>
      </c>
      <c r="E7243" s="15" t="s">
        <v>1808</v>
      </c>
      <c r="F7243" s="15" t="s">
        <v>1809</v>
      </c>
      <c r="G7243" s="7">
        <v>2.971</v>
      </c>
      <c r="H7243" s="15" t="s">
        <v>2640</v>
      </c>
      <c r="I7243" s="15" t="s">
        <v>1628</v>
      </c>
      <c r="J7243" s="15" t="s">
        <v>27373</v>
      </c>
      <c r="K7243" s="15">
        <v>7.0</v>
      </c>
      <c r="L7243" s="15">
        <v>7.0</v>
      </c>
      <c r="M7243" s="40">
        <v>42877.0</v>
      </c>
      <c r="N7243" s="40">
        <v>42879.0</v>
      </c>
      <c r="O7243" s="15" t="s">
        <v>1554</v>
      </c>
      <c r="Q7243" s="7"/>
    </row>
    <row r="7244">
      <c r="A7244" s="39" t="s">
        <v>27374</v>
      </c>
      <c r="B7244" s="15">
        <v>603333.0</v>
      </c>
      <c r="C7244" s="15" t="s">
        <v>27375</v>
      </c>
      <c r="D7244" s="15">
        <v>387740.0</v>
      </c>
      <c r="E7244" s="15" t="s">
        <v>1808</v>
      </c>
      <c r="F7244" s="15" t="s">
        <v>1809</v>
      </c>
      <c r="G7244" s="7">
        <v>2.886</v>
      </c>
      <c r="H7244" s="15" t="s">
        <v>1685</v>
      </c>
      <c r="I7244" s="15" t="s">
        <v>1628</v>
      </c>
      <c r="J7244" s="15" t="s">
        <v>27376</v>
      </c>
      <c r="K7244" s="15">
        <v>5.0</v>
      </c>
      <c r="L7244" s="15">
        <v>5.0</v>
      </c>
      <c r="M7244" s="40">
        <v>42877.0</v>
      </c>
      <c r="N7244" s="40">
        <v>42879.0</v>
      </c>
      <c r="O7244" s="15" t="s">
        <v>1554</v>
      </c>
      <c r="Q7244" s="7"/>
    </row>
    <row r="7245">
      <c r="A7245" s="39" t="s">
        <v>27378</v>
      </c>
      <c r="B7245" s="15">
        <v>1987509.0</v>
      </c>
      <c r="C7245" s="15" t="s">
        <v>27379</v>
      </c>
      <c r="D7245" s="15">
        <v>387741.0</v>
      </c>
      <c r="E7245" s="15" t="s">
        <v>1557</v>
      </c>
      <c r="F7245" s="15" t="s">
        <v>3278</v>
      </c>
      <c r="G7245" s="7">
        <v>207.914</v>
      </c>
      <c r="H7245" s="15" t="s">
        <v>2049</v>
      </c>
      <c r="I7245" s="15" t="s">
        <v>1686</v>
      </c>
      <c r="J7245" s="15" t="s">
        <v>27380</v>
      </c>
      <c r="K7245" s="15">
        <v>186.0</v>
      </c>
      <c r="L7245" s="15">
        <v>186.0</v>
      </c>
      <c r="M7245" s="40">
        <v>42873.0</v>
      </c>
      <c r="N7245" s="40">
        <v>42879.0</v>
      </c>
      <c r="O7245" s="15" t="s">
        <v>1554</v>
      </c>
      <c r="Q7245" s="7"/>
    </row>
    <row r="7246">
      <c r="A7246" s="39" t="s">
        <v>27381</v>
      </c>
      <c r="B7246" s="15">
        <v>1986505.0</v>
      </c>
      <c r="C7246" s="15" t="s">
        <v>27382</v>
      </c>
      <c r="D7246" s="15">
        <v>387742.0</v>
      </c>
      <c r="E7246" s="15" t="s">
        <v>1557</v>
      </c>
      <c r="F7246" s="15" t="s">
        <v>2628</v>
      </c>
      <c r="G7246" s="7">
        <v>29.923</v>
      </c>
      <c r="H7246" s="15" t="s">
        <v>7532</v>
      </c>
      <c r="I7246" s="15" t="s">
        <v>1686</v>
      </c>
      <c r="J7246" s="15" t="s">
        <v>27383</v>
      </c>
      <c r="K7246" s="15">
        <v>29.0</v>
      </c>
      <c r="L7246" s="15">
        <v>29.0</v>
      </c>
      <c r="M7246" s="40">
        <v>42872.0</v>
      </c>
      <c r="N7246" s="40">
        <v>42879.0</v>
      </c>
      <c r="O7246" s="15" t="s">
        <v>1554</v>
      </c>
      <c r="Q7246" s="7"/>
    </row>
    <row r="7247">
      <c r="A7247" s="39" t="s">
        <v>27384</v>
      </c>
      <c r="B7247" s="15">
        <v>1985968.0</v>
      </c>
      <c r="C7247" s="15" t="s">
        <v>27385</v>
      </c>
      <c r="D7247" s="15">
        <v>387743.0</v>
      </c>
      <c r="E7247" s="15" t="s">
        <v>1548</v>
      </c>
      <c r="F7247" s="15" t="s">
        <v>1578</v>
      </c>
      <c r="G7247" s="7">
        <v>8.349</v>
      </c>
      <c r="H7247" s="15" t="s">
        <v>2540</v>
      </c>
      <c r="I7247" s="15" t="s">
        <v>1628</v>
      </c>
      <c r="J7247" s="15" t="s">
        <v>27387</v>
      </c>
      <c r="K7247" s="15">
        <v>6.0</v>
      </c>
      <c r="L7247" s="15">
        <v>6.0</v>
      </c>
      <c r="M7247" s="40">
        <v>42869.0</v>
      </c>
      <c r="N7247" s="40">
        <v>42899.0</v>
      </c>
      <c r="O7247" s="15" t="s">
        <v>1554</v>
      </c>
      <c r="Q7247" s="7"/>
    </row>
    <row r="7248">
      <c r="A7248" s="39" t="s">
        <v>27388</v>
      </c>
      <c r="B7248" s="15">
        <v>1983552.0</v>
      </c>
      <c r="C7248" s="15" t="s">
        <v>27389</v>
      </c>
      <c r="D7248" s="15">
        <v>387744.0</v>
      </c>
      <c r="E7248" s="15" t="s">
        <v>1557</v>
      </c>
      <c r="F7248" s="15" t="s">
        <v>6215</v>
      </c>
      <c r="G7248" s="7">
        <v>36.391</v>
      </c>
      <c r="H7248" s="42">
        <v>43367.0</v>
      </c>
      <c r="I7248" s="15" t="s">
        <v>1618</v>
      </c>
      <c r="J7248" s="15" t="s">
        <v>27390</v>
      </c>
      <c r="K7248" s="15">
        <v>58.0</v>
      </c>
      <c r="L7248" s="15">
        <v>58.0</v>
      </c>
      <c r="M7248" s="40">
        <v>42874.0</v>
      </c>
      <c r="N7248" s="40">
        <v>42879.0</v>
      </c>
      <c r="O7248" s="15" t="s">
        <v>1554</v>
      </c>
      <c r="Q7248" s="7"/>
    </row>
    <row r="7249">
      <c r="A7249" s="39" t="s">
        <v>27391</v>
      </c>
      <c r="B7249" s="15">
        <v>1983551.0</v>
      </c>
      <c r="C7249" s="15" t="s">
        <v>27392</v>
      </c>
      <c r="D7249" s="15">
        <v>387745.0</v>
      </c>
      <c r="E7249" s="15" t="s">
        <v>1557</v>
      </c>
      <c r="F7249" s="15" t="s">
        <v>6215</v>
      </c>
      <c r="G7249" s="7">
        <v>36.493</v>
      </c>
      <c r="H7249" s="42">
        <v>43125.0</v>
      </c>
      <c r="I7249" s="15" t="s">
        <v>1618</v>
      </c>
      <c r="J7249" s="15" t="s">
        <v>27393</v>
      </c>
      <c r="K7249" s="15">
        <v>61.0</v>
      </c>
      <c r="L7249" s="15">
        <v>61.0</v>
      </c>
      <c r="M7249" s="40">
        <v>42874.0</v>
      </c>
      <c r="N7249" s="40">
        <v>42879.0</v>
      </c>
      <c r="O7249" s="15" t="s">
        <v>1554</v>
      </c>
      <c r="Q7249" s="7"/>
    </row>
    <row r="7250">
      <c r="A7250" s="39" t="s">
        <v>27395</v>
      </c>
      <c r="B7250" s="15">
        <v>1983550.0</v>
      </c>
      <c r="C7250" s="15" t="s">
        <v>27396</v>
      </c>
      <c r="D7250" s="15">
        <v>387746.0</v>
      </c>
      <c r="E7250" s="15" t="s">
        <v>1557</v>
      </c>
      <c r="F7250" s="15" t="s">
        <v>6215</v>
      </c>
      <c r="G7250" s="7">
        <v>34.19</v>
      </c>
      <c r="H7250" s="42">
        <v>43276.0</v>
      </c>
      <c r="I7250" s="15" t="s">
        <v>1618</v>
      </c>
      <c r="J7250" s="15" t="s">
        <v>27397</v>
      </c>
      <c r="K7250" s="15">
        <v>52.0</v>
      </c>
      <c r="L7250" s="15">
        <v>52.0</v>
      </c>
      <c r="M7250" s="40">
        <v>42874.0</v>
      </c>
      <c r="N7250" s="40">
        <v>42879.0</v>
      </c>
      <c r="O7250" s="15" t="s">
        <v>1554</v>
      </c>
      <c r="Q7250" s="7"/>
    </row>
    <row r="7251">
      <c r="A7251" s="39" t="s">
        <v>27398</v>
      </c>
      <c r="B7251" s="15">
        <v>1983549.0</v>
      </c>
      <c r="C7251" s="15" t="s">
        <v>27399</v>
      </c>
      <c r="D7251" s="15">
        <v>387747.0</v>
      </c>
      <c r="E7251" s="15" t="s">
        <v>1557</v>
      </c>
      <c r="F7251" s="15" t="s">
        <v>6215</v>
      </c>
      <c r="G7251" s="7">
        <v>35.439</v>
      </c>
      <c r="H7251" s="42">
        <v>43245.0</v>
      </c>
      <c r="I7251" s="15" t="s">
        <v>1618</v>
      </c>
      <c r="J7251" s="15" t="s">
        <v>27400</v>
      </c>
      <c r="K7251" s="15">
        <v>56.0</v>
      </c>
      <c r="L7251" s="15">
        <v>56.0</v>
      </c>
      <c r="M7251" s="40">
        <v>42874.0</v>
      </c>
      <c r="N7251" s="40">
        <v>42879.0</v>
      </c>
      <c r="O7251" s="15" t="s">
        <v>1554</v>
      </c>
      <c r="Q7251" s="7"/>
    </row>
    <row r="7252">
      <c r="A7252" s="39" t="s">
        <v>27402</v>
      </c>
      <c r="B7252" s="15">
        <v>1983548.0</v>
      </c>
      <c r="C7252" s="15" t="s">
        <v>27403</v>
      </c>
      <c r="D7252" s="15">
        <v>387748.0</v>
      </c>
      <c r="E7252" s="15" t="s">
        <v>1557</v>
      </c>
      <c r="F7252" s="15" t="s">
        <v>6215</v>
      </c>
      <c r="G7252" s="7">
        <v>36.306</v>
      </c>
      <c r="H7252" s="42">
        <v>43215.0</v>
      </c>
      <c r="I7252" s="15" t="s">
        <v>1618</v>
      </c>
      <c r="J7252" s="15" t="s">
        <v>27404</v>
      </c>
      <c r="K7252" s="15">
        <v>57.0</v>
      </c>
      <c r="L7252" s="15">
        <v>57.0</v>
      </c>
      <c r="M7252" s="40">
        <v>42874.0</v>
      </c>
      <c r="N7252" s="40">
        <v>42879.0</v>
      </c>
      <c r="O7252" s="15" t="s">
        <v>1554</v>
      </c>
      <c r="Q7252" s="7"/>
    </row>
    <row r="7253">
      <c r="A7253" s="39" t="s">
        <v>27405</v>
      </c>
      <c r="B7253" s="15">
        <v>1983547.0</v>
      </c>
      <c r="C7253" s="15" t="s">
        <v>27406</v>
      </c>
      <c r="D7253" s="15">
        <v>387749.0</v>
      </c>
      <c r="E7253" s="15" t="s">
        <v>1557</v>
      </c>
      <c r="F7253" s="15" t="s">
        <v>6215</v>
      </c>
      <c r="G7253" s="7">
        <v>35.035</v>
      </c>
      <c r="H7253" s="42">
        <v>43276.0</v>
      </c>
      <c r="I7253" s="15" t="s">
        <v>1618</v>
      </c>
      <c r="J7253" s="15" t="s">
        <v>27407</v>
      </c>
      <c r="K7253" s="15">
        <v>54.0</v>
      </c>
      <c r="L7253" s="15">
        <v>54.0</v>
      </c>
      <c r="M7253" s="40">
        <v>42874.0</v>
      </c>
      <c r="N7253" s="40">
        <v>42879.0</v>
      </c>
      <c r="O7253" s="15" t="s">
        <v>1554</v>
      </c>
      <c r="Q7253" s="7"/>
    </row>
    <row r="7254">
      <c r="A7254" s="39" t="s">
        <v>27408</v>
      </c>
      <c r="B7254" s="15">
        <v>1983546.0</v>
      </c>
      <c r="C7254" s="15" t="s">
        <v>27409</v>
      </c>
      <c r="D7254" s="15">
        <v>387750.0</v>
      </c>
      <c r="E7254" s="15" t="s">
        <v>1557</v>
      </c>
      <c r="F7254" s="15" t="s">
        <v>6215</v>
      </c>
      <c r="G7254" s="7">
        <v>33.356</v>
      </c>
      <c r="H7254" s="42">
        <v>43337.0</v>
      </c>
      <c r="I7254" s="15" t="s">
        <v>1618</v>
      </c>
      <c r="J7254" s="15" t="s">
        <v>27411</v>
      </c>
      <c r="K7254" s="15">
        <v>50.0</v>
      </c>
      <c r="L7254" s="15">
        <v>50.0</v>
      </c>
      <c r="M7254" s="40">
        <v>42874.0</v>
      </c>
      <c r="N7254" s="40">
        <v>42879.0</v>
      </c>
      <c r="O7254" s="15" t="s">
        <v>1554</v>
      </c>
      <c r="Q7254" s="7"/>
    </row>
    <row r="7255">
      <c r="A7255" s="39" t="s">
        <v>27412</v>
      </c>
      <c r="B7255" s="15">
        <v>586468.0</v>
      </c>
      <c r="C7255" s="15" t="s">
        <v>27413</v>
      </c>
      <c r="D7255" s="15">
        <v>38501.0</v>
      </c>
      <c r="E7255" s="15" t="s">
        <v>1548</v>
      </c>
      <c r="F7255" s="15" t="s">
        <v>1776</v>
      </c>
      <c r="G7255" s="7">
        <v>7.215</v>
      </c>
      <c r="H7255" s="15" t="s">
        <v>2163</v>
      </c>
      <c r="I7255" s="15" t="s">
        <v>1686</v>
      </c>
      <c r="J7255" s="15" t="s">
        <v>27414</v>
      </c>
      <c r="K7255" s="15">
        <v>1.0</v>
      </c>
      <c r="L7255" s="15">
        <v>1.0</v>
      </c>
      <c r="M7255" s="40">
        <v>39823.0</v>
      </c>
      <c r="N7255" s="40">
        <v>42045.0</v>
      </c>
      <c r="O7255" s="15" t="s">
        <v>1554</v>
      </c>
      <c r="Q7255" s="7"/>
    </row>
    <row r="7256">
      <c r="A7256" s="39" t="s">
        <v>27415</v>
      </c>
      <c r="B7256" s="15">
        <v>1987479.0</v>
      </c>
      <c r="C7256" s="15" t="s">
        <v>27416</v>
      </c>
      <c r="D7256" s="15">
        <v>232841.0</v>
      </c>
      <c r="E7256" s="15" t="s">
        <v>1557</v>
      </c>
      <c r="F7256" s="15" t="s">
        <v>1992</v>
      </c>
      <c r="G7256" s="7">
        <v>124.688</v>
      </c>
      <c r="H7256" s="15">
        <v>50.0</v>
      </c>
      <c r="I7256" s="15" t="s">
        <v>1560</v>
      </c>
      <c r="J7256" s="15" t="s">
        <v>27417</v>
      </c>
      <c r="K7256" s="15">
        <v>147.0</v>
      </c>
      <c r="L7256" s="15">
        <v>147.0</v>
      </c>
      <c r="M7256" s="41">
        <v>41633.0</v>
      </c>
      <c r="N7256" s="40">
        <v>41674.0</v>
      </c>
      <c r="O7256" s="15" t="s">
        <v>1554</v>
      </c>
      <c r="Q7256" s="7"/>
    </row>
    <row r="7257">
      <c r="A7257" s="39" t="s">
        <v>27419</v>
      </c>
      <c r="B7257" s="15">
        <v>1868219.0</v>
      </c>
      <c r="C7257" s="15" t="s">
        <v>27420</v>
      </c>
      <c r="D7257" s="15">
        <v>202887.0</v>
      </c>
      <c r="E7257" s="15" t="s">
        <v>1808</v>
      </c>
      <c r="F7257" s="15" t="s">
        <v>1998</v>
      </c>
      <c r="G7257" s="7">
        <v>1.798</v>
      </c>
      <c r="H7257" s="15" t="s">
        <v>2075</v>
      </c>
      <c r="I7257" s="15" t="s">
        <v>1686</v>
      </c>
      <c r="J7257" s="15" t="s">
        <v>27421</v>
      </c>
      <c r="K7257" s="15">
        <v>2.0</v>
      </c>
      <c r="L7257" s="15">
        <v>2.0</v>
      </c>
      <c r="M7257" s="40">
        <v>41406.0</v>
      </c>
      <c r="N7257" s="40">
        <v>42874.0</v>
      </c>
      <c r="O7257" s="15" t="s">
        <v>1554</v>
      </c>
      <c r="Q7257" s="7"/>
    </row>
    <row r="7258">
      <c r="A7258" s="39" t="s">
        <v>27422</v>
      </c>
      <c r="B7258" s="15">
        <v>589919.0</v>
      </c>
      <c r="C7258" s="15" t="s">
        <v>27423</v>
      </c>
      <c r="D7258" s="15">
        <v>38493.0</v>
      </c>
      <c r="E7258" s="15" t="s">
        <v>1548</v>
      </c>
      <c r="F7258" s="15" t="s">
        <v>1776</v>
      </c>
      <c r="G7258" s="7">
        <v>6.58</v>
      </c>
      <c r="H7258" s="15" t="s">
        <v>1849</v>
      </c>
      <c r="I7258" s="15" t="s">
        <v>1686</v>
      </c>
      <c r="J7258" s="15" t="s">
        <v>27424</v>
      </c>
      <c r="K7258" s="15">
        <v>1.0</v>
      </c>
      <c r="L7258" s="15">
        <v>1.0</v>
      </c>
      <c r="M7258" s="40">
        <v>39840.0</v>
      </c>
      <c r="N7258" s="40">
        <v>42045.0</v>
      </c>
      <c r="O7258" s="15" t="s">
        <v>1554</v>
      </c>
      <c r="Q7258" s="7"/>
    </row>
    <row r="7259">
      <c r="A7259" s="39" t="s">
        <v>27425</v>
      </c>
      <c r="B7259" s="15">
        <v>387423.0</v>
      </c>
      <c r="C7259" s="15" t="s">
        <v>27426</v>
      </c>
      <c r="D7259" s="15">
        <v>388402.0</v>
      </c>
      <c r="E7259" s="15" t="s">
        <v>1548</v>
      </c>
      <c r="F7259" s="15" t="s">
        <v>1786</v>
      </c>
      <c r="G7259" s="7">
        <v>6.958</v>
      </c>
      <c r="H7259" s="15" t="s">
        <v>2686</v>
      </c>
      <c r="I7259" s="15" t="s">
        <v>1628</v>
      </c>
      <c r="J7259" s="15" t="s">
        <v>27428</v>
      </c>
      <c r="K7259" s="15">
        <v>5.0</v>
      </c>
      <c r="L7259" s="15">
        <v>5.0</v>
      </c>
      <c r="M7259" s="40">
        <v>42882.0</v>
      </c>
      <c r="N7259" s="40">
        <v>42885.0</v>
      </c>
      <c r="O7259" s="15" t="s">
        <v>1554</v>
      </c>
      <c r="Q7259" s="7"/>
    </row>
    <row r="7260">
      <c r="A7260" s="39" t="s">
        <v>27429</v>
      </c>
      <c r="B7260" s="15">
        <v>1993907.0</v>
      </c>
      <c r="C7260" s="15" t="s">
        <v>27430</v>
      </c>
      <c r="D7260" s="15">
        <v>388458.0</v>
      </c>
      <c r="E7260" s="15" t="s">
        <v>1548</v>
      </c>
      <c r="F7260" s="15" t="s">
        <v>1911</v>
      </c>
      <c r="G7260" s="7">
        <v>9.428</v>
      </c>
      <c r="H7260" s="15" t="s">
        <v>1828</v>
      </c>
      <c r="I7260" s="15" t="s">
        <v>1628</v>
      </c>
      <c r="J7260" s="15" t="s">
        <v>27431</v>
      </c>
      <c r="K7260" s="15">
        <v>1.0</v>
      </c>
      <c r="L7260" s="15">
        <v>1.0</v>
      </c>
      <c r="M7260" s="40">
        <v>42884.0</v>
      </c>
      <c r="N7260" s="40">
        <v>42885.0</v>
      </c>
      <c r="O7260" s="15" t="s">
        <v>1554</v>
      </c>
      <c r="Q7260" s="7"/>
    </row>
    <row r="7261">
      <c r="A7261" s="39" t="s">
        <v>27432</v>
      </c>
      <c r="B7261" s="15">
        <v>2003578.0</v>
      </c>
      <c r="C7261" s="15" t="s">
        <v>27433</v>
      </c>
      <c r="D7261" s="15">
        <v>388459.0</v>
      </c>
      <c r="E7261" s="15" t="s">
        <v>1557</v>
      </c>
      <c r="F7261" s="15" t="s">
        <v>2628</v>
      </c>
      <c r="G7261" s="7">
        <v>33.945</v>
      </c>
      <c r="H7261" s="15" t="s">
        <v>5475</v>
      </c>
      <c r="I7261" s="15" t="s">
        <v>1686</v>
      </c>
      <c r="J7261" s="15" t="s">
        <v>27434</v>
      </c>
      <c r="K7261" s="15">
        <v>28.0</v>
      </c>
      <c r="L7261" s="15">
        <v>28.0</v>
      </c>
      <c r="M7261" s="40">
        <v>42884.0</v>
      </c>
      <c r="N7261" s="40">
        <v>42885.0</v>
      </c>
      <c r="O7261" s="15" t="s">
        <v>1554</v>
      </c>
      <c r="Q7261" s="7"/>
    </row>
    <row r="7262">
      <c r="A7262" s="39" t="s">
        <v>27435</v>
      </c>
      <c r="B7262" s="15">
        <v>1965064.0</v>
      </c>
      <c r="C7262" s="15" t="s">
        <v>27436</v>
      </c>
      <c r="D7262" s="15">
        <v>274797.0</v>
      </c>
      <c r="E7262" s="15" t="s">
        <v>1548</v>
      </c>
      <c r="F7262" s="15" t="s">
        <v>4820</v>
      </c>
      <c r="G7262" s="7">
        <v>14.953</v>
      </c>
      <c r="H7262" s="15" t="s">
        <v>2417</v>
      </c>
      <c r="I7262" s="15" t="s">
        <v>1686</v>
      </c>
      <c r="J7262" s="15" t="s">
        <v>27438</v>
      </c>
      <c r="K7262" s="15">
        <v>9.0</v>
      </c>
      <c r="L7262" s="15">
        <v>10.0</v>
      </c>
      <c r="M7262" s="40">
        <v>42039.0</v>
      </c>
      <c r="N7262" s="40">
        <v>42799.0</v>
      </c>
      <c r="O7262" s="15" t="s">
        <v>1554</v>
      </c>
      <c r="Q7262" s="7"/>
    </row>
    <row r="7263">
      <c r="A7263" s="39" t="s">
        <v>27439</v>
      </c>
      <c r="B7263" s="15">
        <v>2003501.0</v>
      </c>
      <c r="C7263" s="15" t="s">
        <v>27440</v>
      </c>
      <c r="D7263" s="15">
        <v>275611.0</v>
      </c>
      <c r="E7263" s="15" t="s">
        <v>1548</v>
      </c>
      <c r="F7263" s="15" t="s">
        <v>1776</v>
      </c>
      <c r="G7263" s="7">
        <v>8.096</v>
      </c>
      <c r="H7263" s="15" t="s">
        <v>2075</v>
      </c>
      <c r="I7263" s="15" t="s">
        <v>1686</v>
      </c>
      <c r="J7263" s="15" t="s">
        <v>27441</v>
      </c>
      <c r="K7263" s="15">
        <v>1.0</v>
      </c>
      <c r="L7263" s="15">
        <v>1.0</v>
      </c>
      <c r="M7263" s="40">
        <v>42045.0</v>
      </c>
      <c r="N7263" s="40">
        <v>42879.0</v>
      </c>
      <c r="O7263" s="15" t="s">
        <v>1554</v>
      </c>
      <c r="Q7263" s="7"/>
    </row>
    <row r="7264">
      <c r="A7264" s="39" t="s">
        <v>27442</v>
      </c>
      <c r="B7264" s="15">
        <v>1965063.0</v>
      </c>
      <c r="C7264" s="15" t="s">
        <v>27443</v>
      </c>
      <c r="D7264" s="15">
        <v>276255.0</v>
      </c>
      <c r="E7264" s="15" t="s">
        <v>1548</v>
      </c>
      <c r="F7264" s="15" t="s">
        <v>4820</v>
      </c>
      <c r="G7264" s="7">
        <v>15.684</v>
      </c>
      <c r="H7264" s="15" t="s">
        <v>5483</v>
      </c>
      <c r="I7264" s="15" t="s">
        <v>1686</v>
      </c>
      <c r="J7264" s="15" t="s">
        <v>27444</v>
      </c>
      <c r="K7264" s="15">
        <v>12.0</v>
      </c>
      <c r="L7264" s="15">
        <v>13.0</v>
      </c>
      <c r="M7264" s="40">
        <v>42045.0</v>
      </c>
      <c r="N7264" s="40">
        <v>42799.0</v>
      </c>
      <c r="O7264" s="15" t="s">
        <v>1554</v>
      </c>
      <c r="Q7264" s="7"/>
    </row>
    <row r="7265">
      <c r="A7265" s="39" t="s">
        <v>27445</v>
      </c>
      <c r="B7265" s="15">
        <v>1938657.0</v>
      </c>
      <c r="C7265" s="15" t="s">
        <v>27447</v>
      </c>
      <c r="D7265" s="15">
        <v>361886.0</v>
      </c>
      <c r="E7265" s="15" t="s">
        <v>1664</v>
      </c>
      <c r="F7265" s="15" t="s">
        <v>1664</v>
      </c>
      <c r="G7265" s="7">
        <v>7.366</v>
      </c>
      <c r="H7265" s="15" t="s">
        <v>27448</v>
      </c>
      <c r="I7265" s="15" t="s">
        <v>1722</v>
      </c>
      <c r="J7265" s="15" t="s">
        <v>27449</v>
      </c>
      <c r="K7265" s="15">
        <v>2.0</v>
      </c>
      <c r="L7265" s="15">
        <v>2.0</v>
      </c>
      <c r="M7265" s="41">
        <v>42714.0</v>
      </c>
      <c r="N7265" s="40">
        <v>42761.0</v>
      </c>
      <c r="O7265" s="15" t="s">
        <v>1554</v>
      </c>
      <c r="Q7265" s="7"/>
    </row>
    <row r="7266">
      <c r="A7266" s="39" t="s">
        <v>27450</v>
      </c>
      <c r="B7266" s="15">
        <v>2003652.0</v>
      </c>
      <c r="C7266" s="15" t="s">
        <v>27451</v>
      </c>
      <c r="D7266" s="15">
        <v>384965.0</v>
      </c>
      <c r="E7266" s="15" t="s">
        <v>1548</v>
      </c>
      <c r="F7266" s="15" t="s">
        <v>1776</v>
      </c>
      <c r="G7266" s="7">
        <v>6.656</v>
      </c>
      <c r="H7266" s="15" t="s">
        <v>2107</v>
      </c>
      <c r="I7266" s="15" t="s">
        <v>1686</v>
      </c>
      <c r="J7266" s="15" t="s">
        <v>27452</v>
      </c>
      <c r="K7266" s="15">
        <v>1.0</v>
      </c>
      <c r="L7266" s="15">
        <v>1.0</v>
      </c>
      <c r="M7266" s="40">
        <v>41039.0</v>
      </c>
      <c r="N7266" s="40">
        <v>42856.0</v>
      </c>
      <c r="O7266" s="15" t="s">
        <v>1554</v>
      </c>
      <c r="Q7266" s="7"/>
    </row>
    <row r="7267">
      <c r="A7267" s="39" t="s">
        <v>27453</v>
      </c>
      <c r="B7267" s="15">
        <v>1892570.0</v>
      </c>
      <c r="C7267" s="15" t="s">
        <v>27454</v>
      </c>
      <c r="D7267" s="15">
        <v>388490.0</v>
      </c>
      <c r="E7267" s="15" t="s">
        <v>1548</v>
      </c>
      <c r="F7267" s="15" t="s">
        <v>1771</v>
      </c>
      <c r="G7267" s="7">
        <v>6.176</v>
      </c>
      <c r="H7267" s="15" t="s">
        <v>2351</v>
      </c>
      <c r="I7267" s="15" t="s">
        <v>1628</v>
      </c>
      <c r="J7267" s="15" t="s">
        <v>27456</v>
      </c>
      <c r="K7267" s="15">
        <v>5.0</v>
      </c>
      <c r="L7267" s="15">
        <v>5.0</v>
      </c>
      <c r="M7267" s="40">
        <v>42879.0</v>
      </c>
      <c r="N7267" s="40">
        <v>42891.0</v>
      </c>
      <c r="O7267" s="15" t="s">
        <v>1554</v>
      </c>
      <c r="Q7267" s="7"/>
    </row>
    <row r="7268">
      <c r="A7268" s="39" t="s">
        <v>27457</v>
      </c>
      <c r="B7268" s="15">
        <v>1983777.0</v>
      </c>
      <c r="C7268" s="15" t="s">
        <v>27458</v>
      </c>
      <c r="D7268" s="15">
        <v>389284.0</v>
      </c>
      <c r="E7268" s="15" t="s">
        <v>1548</v>
      </c>
      <c r="F7268" s="15" t="s">
        <v>4837</v>
      </c>
      <c r="G7268" s="7">
        <v>14.964</v>
      </c>
      <c r="H7268" s="15" t="s">
        <v>2141</v>
      </c>
      <c r="I7268" s="15" t="s">
        <v>1567</v>
      </c>
      <c r="J7268" s="15" t="s">
        <v>27459</v>
      </c>
      <c r="K7268" s="15">
        <v>6.0</v>
      </c>
      <c r="L7268" s="15">
        <v>6.0</v>
      </c>
      <c r="M7268" s="40">
        <v>42864.0</v>
      </c>
      <c r="N7268" s="40">
        <v>42899.0</v>
      </c>
      <c r="O7268" s="15" t="s">
        <v>1554</v>
      </c>
      <c r="Q7268" s="7"/>
    </row>
    <row r="7269">
      <c r="A7269" s="39" t="s">
        <v>27460</v>
      </c>
      <c r="B7269" s="15">
        <v>1985164.0</v>
      </c>
      <c r="C7269" s="15" t="s">
        <v>27461</v>
      </c>
      <c r="D7269" s="15">
        <v>390421.0</v>
      </c>
      <c r="E7269" s="15" t="s">
        <v>1638</v>
      </c>
      <c r="F7269" s="15" t="s">
        <v>2539</v>
      </c>
      <c r="G7269" s="7">
        <v>3.42</v>
      </c>
      <c r="H7269" s="15" t="s">
        <v>1705</v>
      </c>
      <c r="I7269" s="15" t="s">
        <v>1628</v>
      </c>
      <c r="J7269" s="15" t="s">
        <v>27462</v>
      </c>
      <c r="K7269" s="15">
        <v>2.0</v>
      </c>
      <c r="L7269" s="15">
        <v>2.0</v>
      </c>
      <c r="M7269" s="40">
        <v>42865.0</v>
      </c>
      <c r="N7269" s="40">
        <v>42906.0</v>
      </c>
      <c r="O7269" s="15" t="s">
        <v>1554</v>
      </c>
      <c r="Q7269" s="7"/>
    </row>
    <row r="7270">
      <c r="A7270" s="39" t="s">
        <v>27463</v>
      </c>
      <c r="B7270" s="15">
        <v>1983570.0</v>
      </c>
      <c r="C7270" s="15" t="s">
        <v>27464</v>
      </c>
      <c r="D7270" s="15">
        <v>390540.0</v>
      </c>
      <c r="E7270" s="15" t="s">
        <v>1548</v>
      </c>
      <c r="F7270" s="15" t="s">
        <v>1801</v>
      </c>
      <c r="G7270" s="7">
        <v>20.414</v>
      </c>
      <c r="H7270" s="15" t="s">
        <v>3882</v>
      </c>
      <c r="I7270" s="15" t="s">
        <v>1560</v>
      </c>
      <c r="J7270" s="15" t="s">
        <v>27466</v>
      </c>
      <c r="K7270" s="15">
        <v>1.0</v>
      </c>
      <c r="L7270" s="15">
        <v>1.0</v>
      </c>
      <c r="M7270" s="40">
        <v>42864.0</v>
      </c>
      <c r="N7270" s="40">
        <v>42906.0</v>
      </c>
      <c r="O7270" s="15" t="s">
        <v>1554</v>
      </c>
      <c r="Q7270" s="7"/>
    </row>
    <row r="7271">
      <c r="A7271" s="39" t="s">
        <v>27467</v>
      </c>
      <c r="B7271" s="15">
        <v>2010286.0</v>
      </c>
      <c r="C7271" s="15" t="s">
        <v>27468</v>
      </c>
      <c r="D7271" s="15">
        <v>14441.0</v>
      </c>
      <c r="E7271" s="15" t="s">
        <v>2014</v>
      </c>
      <c r="F7271" s="15" t="s">
        <v>2018</v>
      </c>
      <c r="G7271" s="7">
        <v>1.387</v>
      </c>
      <c r="H7271" s="15">
        <v>40.0</v>
      </c>
      <c r="I7271" s="15" t="s">
        <v>1628</v>
      </c>
      <c r="J7271" s="15" t="s">
        <v>27469</v>
      </c>
      <c r="K7271" s="15">
        <v>1.0</v>
      </c>
      <c r="L7271" s="15">
        <v>1.0</v>
      </c>
      <c r="M7271" s="40">
        <v>37827.0</v>
      </c>
      <c r="N7271" s="40">
        <v>39790.0</v>
      </c>
      <c r="O7271" s="15" t="s">
        <v>1554</v>
      </c>
      <c r="Q7271" s="7"/>
    </row>
    <row r="7272">
      <c r="A7272" s="39" t="s">
        <v>27470</v>
      </c>
      <c r="B7272" s="15">
        <v>2010332.0</v>
      </c>
      <c r="C7272" s="15" t="s">
        <v>27471</v>
      </c>
      <c r="D7272" s="15">
        <v>19865.0</v>
      </c>
      <c r="E7272" s="15" t="s">
        <v>2014</v>
      </c>
      <c r="F7272" s="15" t="s">
        <v>2018</v>
      </c>
      <c r="G7272" s="7">
        <v>1.349</v>
      </c>
      <c r="H7272" s="15" t="s">
        <v>6565</v>
      </c>
      <c r="I7272" s="15" t="s">
        <v>1628</v>
      </c>
      <c r="J7272" s="15" t="s">
        <v>27472</v>
      </c>
      <c r="K7272" s="15">
        <v>1.0</v>
      </c>
      <c r="L7272" s="15">
        <v>1.0</v>
      </c>
      <c r="M7272" s="40">
        <v>39245.0</v>
      </c>
      <c r="N7272" s="40">
        <v>40590.0</v>
      </c>
      <c r="O7272" s="15" t="s">
        <v>1554</v>
      </c>
      <c r="Q7272" s="7"/>
    </row>
    <row r="7273">
      <c r="A7273" s="39" t="s">
        <v>27474</v>
      </c>
      <c r="B7273" s="15">
        <v>1964806.0</v>
      </c>
      <c r="C7273" s="15" t="s">
        <v>27475</v>
      </c>
      <c r="D7273" s="15">
        <v>390412.0</v>
      </c>
      <c r="E7273" s="15" t="s">
        <v>1548</v>
      </c>
      <c r="F7273" s="15" t="s">
        <v>1684</v>
      </c>
      <c r="G7273" s="7">
        <v>27.682</v>
      </c>
      <c r="H7273" s="15" t="s">
        <v>2451</v>
      </c>
      <c r="I7273" s="15" t="s">
        <v>1686</v>
      </c>
      <c r="J7273" s="15" t="s">
        <v>27476</v>
      </c>
      <c r="K7273" s="15">
        <v>9.0</v>
      </c>
      <c r="L7273" s="15">
        <v>9.0</v>
      </c>
      <c r="M7273" s="40">
        <v>42886.0</v>
      </c>
      <c r="N7273" s="40">
        <v>42899.0</v>
      </c>
      <c r="O7273" s="15" t="s">
        <v>1554</v>
      </c>
      <c r="Q7273" s="7"/>
    </row>
    <row r="7274">
      <c r="A7274" s="39" t="s">
        <v>27477</v>
      </c>
      <c r="B7274" s="15">
        <v>1837217.0</v>
      </c>
      <c r="C7274" s="15" t="s">
        <v>27478</v>
      </c>
      <c r="D7274" s="15">
        <v>390413.0</v>
      </c>
      <c r="E7274" s="15" t="s">
        <v>1548</v>
      </c>
      <c r="F7274" s="15" t="s">
        <v>1684</v>
      </c>
      <c r="G7274" s="7">
        <v>28.487</v>
      </c>
      <c r="H7274" s="15" t="s">
        <v>2396</v>
      </c>
      <c r="I7274" s="15" t="s">
        <v>1686</v>
      </c>
      <c r="J7274" s="15" t="s">
        <v>27479</v>
      </c>
      <c r="K7274" s="15">
        <v>6.0</v>
      </c>
      <c r="L7274" s="15">
        <v>6.0</v>
      </c>
      <c r="M7274" s="40">
        <v>42891.0</v>
      </c>
      <c r="N7274" s="40">
        <v>42899.0</v>
      </c>
      <c r="O7274" s="15" t="s">
        <v>1554</v>
      </c>
      <c r="Q7274" s="7"/>
    </row>
    <row r="7275">
      <c r="A7275" s="39" t="s">
        <v>27480</v>
      </c>
      <c r="B7275" s="15">
        <v>1836608.0</v>
      </c>
      <c r="C7275" s="15" t="s">
        <v>27481</v>
      </c>
      <c r="D7275" s="15">
        <v>390414.0</v>
      </c>
      <c r="E7275" s="15" t="s">
        <v>1548</v>
      </c>
      <c r="F7275" s="15" t="s">
        <v>1776</v>
      </c>
      <c r="G7275" s="7">
        <v>8.216</v>
      </c>
      <c r="H7275" s="15">
        <v>58.0</v>
      </c>
      <c r="I7275" s="15" t="s">
        <v>1686</v>
      </c>
      <c r="J7275" s="15" t="s">
        <v>27483</v>
      </c>
      <c r="K7275" s="15">
        <v>1.0</v>
      </c>
      <c r="L7275" s="15">
        <v>1.0</v>
      </c>
      <c r="M7275" s="40">
        <v>42898.0</v>
      </c>
      <c r="N7275" s="40">
        <v>42899.0</v>
      </c>
      <c r="O7275" s="15" t="s">
        <v>1554</v>
      </c>
      <c r="Q7275" s="7"/>
    </row>
    <row r="7276">
      <c r="A7276" s="39" t="s">
        <v>27484</v>
      </c>
      <c r="B7276" s="15">
        <v>645427.0</v>
      </c>
      <c r="C7276" s="15" t="s">
        <v>27485</v>
      </c>
      <c r="D7276" s="15">
        <v>390415.0</v>
      </c>
      <c r="E7276" s="15" t="s">
        <v>1548</v>
      </c>
      <c r="F7276" s="15" t="s">
        <v>1848</v>
      </c>
      <c r="G7276" s="7">
        <v>3.51</v>
      </c>
      <c r="H7276" s="15" t="s">
        <v>2686</v>
      </c>
      <c r="I7276" s="15" t="s">
        <v>1686</v>
      </c>
      <c r="J7276" s="15" t="s">
        <v>27486</v>
      </c>
      <c r="K7276" s="15">
        <v>2.0</v>
      </c>
      <c r="L7276" s="15">
        <v>2.0</v>
      </c>
      <c r="M7276" s="40">
        <v>39970.0</v>
      </c>
      <c r="N7276" s="40">
        <v>42899.0</v>
      </c>
      <c r="O7276" s="15" t="s">
        <v>1554</v>
      </c>
      <c r="Q7276" s="7"/>
    </row>
    <row r="7277">
      <c r="A7277" s="39" t="s">
        <v>27487</v>
      </c>
      <c r="B7277" s="15">
        <v>2010248.0</v>
      </c>
      <c r="C7277" s="15" t="s">
        <v>27488</v>
      </c>
      <c r="D7277" s="15">
        <v>390417.0</v>
      </c>
      <c r="E7277" s="15" t="s">
        <v>1808</v>
      </c>
      <c r="F7277" s="15" t="s">
        <v>2232</v>
      </c>
      <c r="G7277" s="7">
        <v>2.572</v>
      </c>
      <c r="H7277" s="15" t="s">
        <v>3082</v>
      </c>
      <c r="I7277" s="15" t="s">
        <v>1567</v>
      </c>
      <c r="J7277" s="15" t="s">
        <v>27490</v>
      </c>
      <c r="K7277" s="15">
        <v>3.0</v>
      </c>
      <c r="L7277" s="15">
        <v>3.0</v>
      </c>
      <c r="M7277" s="40">
        <v>42898.0</v>
      </c>
      <c r="N7277" s="40">
        <v>42899.0</v>
      </c>
      <c r="O7277" s="15" t="s">
        <v>1554</v>
      </c>
      <c r="Q7277" s="7"/>
    </row>
    <row r="7278">
      <c r="A7278" s="39" t="s">
        <v>27491</v>
      </c>
      <c r="B7278" s="15">
        <v>2006585.0</v>
      </c>
      <c r="C7278" s="15" t="s">
        <v>27492</v>
      </c>
      <c r="D7278" s="15">
        <v>390418.0</v>
      </c>
      <c r="E7278" s="15" t="s">
        <v>1808</v>
      </c>
      <c r="F7278" s="15" t="s">
        <v>1998</v>
      </c>
      <c r="G7278" s="7">
        <v>1.902</v>
      </c>
      <c r="H7278" s="15" t="s">
        <v>4821</v>
      </c>
      <c r="I7278" s="15" t="s">
        <v>1686</v>
      </c>
      <c r="J7278" s="15" t="s">
        <v>27493</v>
      </c>
      <c r="K7278" s="15">
        <v>2.0</v>
      </c>
      <c r="L7278" s="15">
        <v>2.0</v>
      </c>
      <c r="M7278" s="40">
        <v>42893.0</v>
      </c>
      <c r="N7278" s="40">
        <v>42899.0</v>
      </c>
      <c r="O7278" s="15" t="s">
        <v>1554</v>
      </c>
      <c r="Q7278" s="7"/>
    </row>
    <row r="7279">
      <c r="A7279" s="39" t="s">
        <v>27494</v>
      </c>
      <c r="B7279" s="15">
        <v>2006498.0</v>
      </c>
      <c r="C7279" s="15" t="s">
        <v>27495</v>
      </c>
      <c r="D7279" s="15">
        <v>390419.0</v>
      </c>
      <c r="E7279" s="15" t="s">
        <v>1548</v>
      </c>
      <c r="F7279" s="15" t="s">
        <v>1771</v>
      </c>
      <c r="G7279" s="7">
        <v>5.819</v>
      </c>
      <c r="H7279" s="15" t="s">
        <v>3538</v>
      </c>
      <c r="I7279" s="15" t="s">
        <v>1628</v>
      </c>
      <c r="J7279" s="15" t="s">
        <v>27496</v>
      </c>
      <c r="K7279" s="15">
        <v>8.0</v>
      </c>
      <c r="L7279" s="15">
        <v>8.0</v>
      </c>
      <c r="M7279" s="40">
        <v>42896.0</v>
      </c>
      <c r="N7279" s="40">
        <v>42899.0</v>
      </c>
      <c r="O7279" s="15" t="s">
        <v>1554</v>
      </c>
      <c r="Q7279" s="7"/>
    </row>
    <row r="7280">
      <c r="A7280" s="39" t="s">
        <v>27497</v>
      </c>
      <c r="B7280" s="15">
        <v>2005444.0</v>
      </c>
      <c r="C7280" s="15" t="s">
        <v>27499</v>
      </c>
      <c r="D7280" s="15">
        <v>390420.0</v>
      </c>
      <c r="E7280" s="15" t="s">
        <v>1548</v>
      </c>
      <c r="F7280" s="15" t="s">
        <v>2788</v>
      </c>
      <c r="G7280" s="7">
        <v>9.445</v>
      </c>
      <c r="H7280" s="15" t="s">
        <v>2597</v>
      </c>
      <c r="I7280" s="15" t="s">
        <v>1560</v>
      </c>
      <c r="J7280" s="15" t="s">
        <v>27500</v>
      </c>
      <c r="K7280" s="15">
        <v>2.0</v>
      </c>
      <c r="L7280" s="15">
        <v>2.0</v>
      </c>
      <c r="M7280" s="40">
        <v>42891.0</v>
      </c>
      <c r="N7280" s="40">
        <v>42899.0</v>
      </c>
      <c r="O7280" s="15" t="s">
        <v>1554</v>
      </c>
      <c r="Q7280" s="7"/>
    </row>
    <row r="7281">
      <c r="A7281" s="39" t="s">
        <v>27501</v>
      </c>
      <c r="B7281" s="15">
        <v>1985374.0</v>
      </c>
      <c r="C7281" s="15" t="s">
        <v>27502</v>
      </c>
      <c r="D7281" s="15">
        <v>242943.0</v>
      </c>
      <c r="E7281" s="15" t="s">
        <v>1664</v>
      </c>
      <c r="F7281" s="15" t="s">
        <v>15173</v>
      </c>
      <c r="G7281" s="7">
        <v>2.22</v>
      </c>
      <c r="H7281" s="15" t="s">
        <v>5955</v>
      </c>
      <c r="I7281" s="15" t="s">
        <v>1628</v>
      </c>
      <c r="J7281" s="15" t="s">
        <v>27503</v>
      </c>
      <c r="K7281" s="15">
        <v>2.0</v>
      </c>
      <c r="L7281" s="15">
        <v>2.0</v>
      </c>
      <c r="M7281" s="40">
        <v>41009.0</v>
      </c>
      <c r="N7281" s="40">
        <v>42899.0</v>
      </c>
      <c r="O7281" s="15" t="s">
        <v>1554</v>
      </c>
      <c r="Q7281" s="7"/>
    </row>
    <row r="7282">
      <c r="A7282" s="39" t="s">
        <v>27504</v>
      </c>
      <c r="B7282" s="15">
        <v>1983562.0</v>
      </c>
      <c r="C7282" s="15" t="s">
        <v>27505</v>
      </c>
      <c r="D7282" s="15">
        <v>391198.0</v>
      </c>
      <c r="E7282" s="15" t="s">
        <v>1664</v>
      </c>
      <c r="F7282" s="15" t="s">
        <v>1664</v>
      </c>
      <c r="G7282" s="7">
        <v>5.889</v>
      </c>
      <c r="H7282" s="15">
        <v>51.0</v>
      </c>
      <c r="I7282" s="15" t="s">
        <v>1560</v>
      </c>
      <c r="J7282" s="15" t="s">
        <v>27507</v>
      </c>
      <c r="K7282" s="15">
        <v>3.0</v>
      </c>
      <c r="L7282" s="15">
        <v>3.0</v>
      </c>
      <c r="M7282" s="40">
        <v>42864.0</v>
      </c>
      <c r="N7282" s="40">
        <v>42913.0</v>
      </c>
      <c r="O7282" s="15" t="s">
        <v>1554</v>
      </c>
      <c r="Q7282" s="7"/>
    </row>
    <row r="7283">
      <c r="A7283" s="39" t="s">
        <v>27508</v>
      </c>
      <c r="B7283" s="15">
        <v>2013564.0</v>
      </c>
      <c r="C7283" s="15" t="s">
        <v>27509</v>
      </c>
      <c r="D7283" s="15">
        <v>391710.0</v>
      </c>
      <c r="E7283" s="15" t="s">
        <v>1548</v>
      </c>
      <c r="F7283" s="15" t="s">
        <v>1776</v>
      </c>
      <c r="G7283" s="7">
        <v>8.136</v>
      </c>
      <c r="H7283" s="15" t="s">
        <v>2777</v>
      </c>
      <c r="I7283" s="15" t="s">
        <v>1686</v>
      </c>
      <c r="J7283" s="15" t="s">
        <v>27510</v>
      </c>
      <c r="K7283" s="15">
        <v>2.0</v>
      </c>
      <c r="L7283" s="15">
        <v>2.0</v>
      </c>
      <c r="M7283" s="40">
        <v>42907.0</v>
      </c>
      <c r="N7283" s="40">
        <v>42913.0</v>
      </c>
      <c r="O7283" s="15" t="s">
        <v>1554</v>
      </c>
      <c r="Q7283" s="7"/>
    </row>
    <row r="7284">
      <c r="A7284" s="39" t="s">
        <v>27511</v>
      </c>
      <c r="B7284" s="15">
        <v>2012676.0</v>
      </c>
      <c r="C7284" s="15" t="s">
        <v>27512</v>
      </c>
      <c r="D7284" s="15">
        <v>392128.0</v>
      </c>
      <c r="E7284" s="15" t="s">
        <v>1808</v>
      </c>
      <c r="F7284" s="15" t="s">
        <v>2232</v>
      </c>
      <c r="G7284" s="7">
        <v>2.119</v>
      </c>
      <c r="H7284" s="15" t="s">
        <v>1685</v>
      </c>
      <c r="I7284" s="15" t="s">
        <v>1567</v>
      </c>
      <c r="J7284" s="15" t="s">
        <v>27514</v>
      </c>
      <c r="K7284" s="15">
        <v>4.0</v>
      </c>
      <c r="L7284" s="15">
        <v>4.0</v>
      </c>
      <c r="M7284" s="40">
        <v>42906.0</v>
      </c>
      <c r="N7284" s="40">
        <v>42913.0</v>
      </c>
      <c r="O7284" s="15" t="s">
        <v>1554</v>
      </c>
      <c r="Q7284" s="7"/>
    </row>
    <row r="7285">
      <c r="A7285" s="39" t="s">
        <v>27515</v>
      </c>
      <c r="B7285" s="15">
        <v>1986477.0</v>
      </c>
      <c r="C7285" s="15" t="s">
        <v>27516</v>
      </c>
      <c r="D7285" s="15">
        <v>392129.0</v>
      </c>
      <c r="E7285" s="15" t="s">
        <v>1664</v>
      </c>
      <c r="F7285" s="15" t="s">
        <v>15173</v>
      </c>
      <c r="G7285" s="7">
        <v>2.199</v>
      </c>
      <c r="H7285" s="15" t="s">
        <v>3604</v>
      </c>
      <c r="I7285" s="15" t="s">
        <v>1560</v>
      </c>
      <c r="J7285" s="15" t="s">
        <v>27517</v>
      </c>
      <c r="K7285" s="15">
        <v>2.0</v>
      </c>
      <c r="L7285" s="15">
        <v>2.0</v>
      </c>
      <c r="M7285" s="40">
        <v>42910.0</v>
      </c>
      <c r="N7285" s="40">
        <v>42935.0</v>
      </c>
      <c r="O7285" s="15" t="s">
        <v>1554</v>
      </c>
      <c r="Q7285" s="7"/>
    </row>
    <row r="7286">
      <c r="A7286" s="39" t="s">
        <v>27518</v>
      </c>
      <c r="B7286" s="15">
        <v>1985159.0</v>
      </c>
      <c r="C7286" s="15" t="s">
        <v>27519</v>
      </c>
      <c r="D7286" s="15">
        <v>392130.0</v>
      </c>
      <c r="E7286" s="15" t="s">
        <v>1548</v>
      </c>
      <c r="F7286" s="15" t="s">
        <v>5261</v>
      </c>
      <c r="G7286" s="7">
        <v>2.389</v>
      </c>
      <c r="H7286" s="42">
        <v>43281.0</v>
      </c>
      <c r="I7286" s="15" t="s">
        <v>1552</v>
      </c>
      <c r="J7286" s="15" t="s">
        <v>27521</v>
      </c>
      <c r="K7286" s="15">
        <v>1.0</v>
      </c>
      <c r="L7286" s="15">
        <v>1.0</v>
      </c>
      <c r="M7286" s="40">
        <v>42864.0</v>
      </c>
      <c r="N7286" s="40">
        <v>42913.0</v>
      </c>
      <c r="O7286" s="15" t="s">
        <v>1554</v>
      </c>
      <c r="Q7286" s="7"/>
    </row>
    <row r="7287">
      <c r="A7287" s="39" t="s">
        <v>27522</v>
      </c>
      <c r="B7287" s="15">
        <v>1983569.0</v>
      </c>
      <c r="C7287" s="15" t="s">
        <v>27523</v>
      </c>
      <c r="D7287" s="15">
        <v>392131.0</v>
      </c>
      <c r="E7287" s="15" t="s">
        <v>1548</v>
      </c>
      <c r="F7287" s="15" t="s">
        <v>2788</v>
      </c>
      <c r="G7287" s="7">
        <v>9.126</v>
      </c>
      <c r="H7287" s="15" t="s">
        <v>4331</v>
      </c>
      <c r="I7287" s="15" t="s">
        <v>1560</v>
      </c>
      <c r="J7287" s="15" t="s">
        <v>27524</v>
      </c>
      <c r="K7287" s="15">
        <v>2.0</v>
      </c>
      <c r="L7287" s="15">
        <v>2.0</v>
      </c>
      <c r="M7287" s="40">
        <v>42864.0</v>
      </c>
      <c r="N7287" s="40">
        <v>42913.0</v>
      </c>
      <c r="O7287" s="15" t="s">
        <v>1554</v>
      </c>
      <c r="Q7287" s="7"/>
    </row>
    <row r="7288">
      <c r="A7288" s="39" t="s">
        <v>27525</v>
      </c>
      <c r="B7288" s="15">
        <v>1983564.0</v>
      </c>
      <c r="C7288" s="15" t="s">
        <v>27526</v>
      </c>
      <c r="D7288" s="15">
        <v>392132.0</v>
      </c>
      <c r="E7288" s="15" t="s">
        <v>1664</v>
      </c>
      <c r="F7288" s="15" t="s">
        <v>1664</v>
      </c>
      <c r="G7288" s="7">
        <v>5.877</v>
      </c>
      <c r="H7288" s="15" t="s">
        <v>2284</v>
      </c>
      <c r="I7288" s="15" t="s">
        <v>1560</v>
      </c>
      <c r="J7288" s="15" t="s">
        <v>27528</v>
      </c>
      <c r="K7288" s="15">
        <v>4.0</v>
      </c>
      <c r="L7288" s="15">
        <v>4.0</v>
      </c>
      <c r="M7288" s="40">
        <v>42864.0</v>
      </c>
      <c r="N7288" s="40">
        <v>42913.0</v>
      </c>
      <c r="O7288" s="15" t="s">
        <v>1554</v>
      </c>
      <c r="Q7288" s="7"/>
    </row>
    <row r="7289">
      <c r="A7289" s="39" t="s">
        <v>27529</v>
      </c>
      <c r="B7289" s="15">
        <v>1983563.0</v>
      </c>
      <c r="C7289" s="15" t="s">
        <v>27530</v>
      </c>
      <c r="D7289" s="15">
        <v>392133.0</v>
      </c>
      <c r="E7289" s="15" t="s">
        <v>1664</v>
      </c>
      <c r="F7289" s="15" t="s">
        <v>1664</v>
      </c>
      <c r="G7289" s="7">
        <v>5.898</v>
      </c>
      <c r="H7289" s="15" t="s">
        <v>2237</v>
      </c>
      <c r="I7289" s="15" t="s">
        <v>1560</v>
      </c>
      <c r="J7289" s="15" t="s">
        <v>27531</v>
      </c>
      <c r="K7289" s="15">
        <v>4.0</v>
      </c>
      <c r="L7289" s="15">
        <v>4.0</v>
      </c>
      <c r="M7289" s="40">
        <v>42864.0</v>
      </c>
      <c r="N7289" s="40">
        <v>42913.0</v>
      </c>
      <c r="O7289" s="15" t="s">
        <v>1554</v>
      </c>
      <c r="Q7289" s="7"/>
    </row>
    <row r="7290">
      <c r="A7290" s="39" t="s">
        <v>27532</v>
      </c>
      <c r="B7290" s="15">
        <v>1983561.0</v>
      </c>
      <c r="C7290" s="15" t="s">
        <v>27533</v>
      </c>
      <c r="D7290" s="15">
        <v>392135.0</v>
      </c>
      <c r="E7290" s="15" t="s">
        <v>1664</v>
      </c>
      <c r="F7290" s="15" t="s">
        <v>1664</v>
      </c>
      <c r="G7290" s="7">
        <v>5.921</v>
      </c>
      <c r="H7290" s="15" t="s">
        <v>1750</v>
      </c>
      <c r="I7290" s="15" t="s">
        <v>1560</v>
      </c>
      <c r="J7290" s="15" t="s">
        <v>27535</v>
      </c>
      <c r="K7290" s="15">
        <v>4.0</v>
      </c>
      <c r="L7290" s="15">
        <v>4.0</v>
      </c>
      <c r="M7290" s="40">
        <v>42864.0</v>
      </c>
      <c r="N7290" s="40">
        <v>42913.0</v>
      </c>
      <c r="O7290" s="15" t="s">
        <v>1554</v>
      </c>
      <c r="Q7290" s="7"/>
    </row>
    <row r="7291">
      <c r="A7291" s="39" t="s">
        <v>27536</v>
      </c>
      <c r="B7291" s="15">
        <v>1969397.0</v>
      </c>
      <c r="C7291" s="15" t="s">
        <v>27537</v>
      </c>
      <c r="D7291" s="15">
        <v>392137.0</v>
      </c>
      <c r="E7291" s="15" t="s">
        <v>1548</v>
      </c>
      <c r="F7291" s="15" t="s">
        <v>1801</v>
      </c>
      <c r="G7291" s="7">
        <v>10.646</v>
      </c>
      <c r="H7291" s="15" t="s">
        <v>2945</v>
      </c>
      <c r="I7291" s="15" t="s">
        <v>1560</v>
      </c>
      <c r="J7291" s="15" t="s">
        <v>27538</v>
      </c>
      <c r="K7291" s="15">
        <v>1.0</v>
      </c>
      <c r="L7291" s="15">
        <v>1.0</v>
      </c>
      <c r="M7291" s="40">
        <v>42905.0</v>
      </c>
      <c r="N7291" s="40">
        <v>42913.0</v>
      </c>
      <c r="O7291" s="15" t="s">
        <v>1554</v>
      </c>
      <c r="Q7291" s="7"/>
    </row>
    <row r="7292">
      <c r="A7292" s="39" t="s">
        <v>27539</v>
      </c>
      <c r="B7292" s="15">
        <v>2012677.0</v>
      </c>
      <c r="C7292" s="15" t="s">
        <v>27540</v>
      </c>
      <c r="D7292" s="15">
        <v>392138.0</v>
      </c>
      <c r="E7292" s="15" t="s">
        <v>1808</v>
      </c>
      <c r="F7292" s="15" t="s">
        <v>2232</v>
      </c>
      <c r="G7292" s="7">
        <v>2.105</v>
      </c>
      <c r="H7292" s="15" t="s">
        <v>1745</v>
      </c>
      <c r="I7292" s="15" t="s">
        <v>1567</v>
      </c>
      <c r="J7292" s="15" t="s">
        <v>27542</v>
      </c>
      <c r="K7292" s="15">
        <v>4.0</v>
      </c>
      <c r="L7292" s="15">
        <v>4.0</v>
      </c>
      <c r="M7292" s="40">
        <v>42906.0</v>
      </c>
      <c r="N7292" s="40">
        <v>42913.0</v>
      </c>
      <c r="O7292" s="15" t="s">
        <v>1554</v>
      </c>
      <c r="Q7292" s="7"/>
    </row>
    <row r="7293">
      <c r="A7293" s="39" t="s">
        <v>27543</v>
      </c>
      <c r="B7293" s="15">
        <v>2012619.0</v>
      </c>
      <c r="C7293" s="15" t="s">
        <v>27544</v>
      </c>
      <c r="D7293" s="15">
        <v>392139.0</v>
      </c>
      <c r="E7293" s="15" t="s">
        <v>1548</v>
      </c>
      <c r="F7293" s="15" t="s">
        <v>4820</v>
      </c>
      <c r="G7293" s="7">
        <v>13.766</v>
      </c>
      <c r="H7293" s="15" t="s">
        <v>5179</v>
      </c>
      <c r="I7293" s="15" t="s">
        <v>1686</v>
      </c>
      <c r="J7293" s="15" t="s">
        <v>27545</v>
      </c>
      <c r="K7293" s="15">
        <v>10.0</v>
      </c>
      <c r="L7293" s="15">
        <v>10.0</v>
      </c>
      <c r="M7293" s="40">
        <v>42906.0</v>
      </c>
      <c r="N7293" s="40">
        <v>42913.0</v>
      </c>
      <c r="O7293" s="15" t="s">
        <v>1554</v>
      </c>
      <c r="Q7293" s="7"/>
    </row>
    <row r="7294">
      <c r="A7294" s="39" t="s">
        <v>27546</v>
      </c>
      <c r="B7294" s="15">
        <v>2010284.0</v>
      </c>
      <c r="C7294" s="15" t="s">
        <v>27547</v>
      </c>
      <c r="D7294" s="15">
        <v>392140.0</v>
      </c>
      <c r="E7294" s="15" t="s">
        <v>1577</v>
      </c>
      <c r="F7294" s="15" t="s">
        <v>1578</v>
      </c>
      <c r="G7294" s="7">
        <v>1.819</v>
      </c>
      <c r="H7294" s="15" t="s">
        <v>3827</v>
      </c>
      <c r="I7294" s="15" t="s">
        <v>1580</v>
      </c>
      <c r="J7294" s="15" t="s">
        <v>27548</v>
      </c>
      <c r="K7294" s="15">
        <v>1.0</v>
      </c>
      <c r="L7294" s="15">
        <v>1.0</v>
      </c>
      <c r="M7294" s="40">
        <v>42906.0</v>
      </c>
      <c r="N7294" s="40">
        <v>42930.0</v>
      </c>
      <c r="O7294" s="15" t="s">
        <v>1554</v>
      </c>
      <c r="Q7294" s="7"/>
    </row>
    <row r="7295">
      <c r="A7295" s="39" t="s">
        <v>27550</v>
      </c>
      <c r="B7295" s="15">
        <v>2010283.0</v>
      </c>
      <c r="C7295" s="15" t="s">
        <v>27551</v>
      </c>
      <c r="D7295" s="15">
        <v>392141.0</v>
      </c>
      <c r="E7295" s="15" t="s">
        <v>1577</v>
      </c>
      <c r="F7295" s="15" t="s">
        <v>1578</v>
      </c>
      <c r="G7295" s="7">
        <v>43102.0</v>
      </c>
      <c r="H7295" s="15">
        <v>36.0</v>
      </c>
      <c r="I7295" s="15" t="s">
        <v>1560</v>
      </c>
      <c r="J7295" s="15" t="s">
        <v>27552</v>
      </c>
      <c r="K7295" s="15">
        <v>1.0</v>
      </c>
      <c r="L7295" s="15">
        <v>1.0</v>
      </c>
      <c r="M7295" s="40">
        <v>42906.0</v>
      </c>
      <c r="N7295" s="40">
        <v>42930.0</v>
      </c>
      <c r="O7295" s="15" t="s">
        <v>1554</v>
      </c>
      <c r="Q7295" s="7"/>
    </row>
    <row r="7296">
      <c r="A7296" s="39" t="s">
        <v>27553</v>
      </c>
      <c r="B7296" s="15">
        <v>2010281.0</v>
      </c>
      <c r="C7296" s="15" t="s">
        <v>27554</v>
      </c>
      <c r="D7296" s="15">
        <v>392142.0</v>
      </c>
      <c r="E7296" s="15" t="s">
        <v>1577</v>
      </c>
      <c r="F7296" s="15" t="s">
        <v>1578</v>
      </c>
      <c r="G7296" s="7">
        <v>3.367</v>
      </c>
      <c r="H7296" s="15" t="s">
        <v>2540</v>
      </c>
      <c r="I7296" s="15" t="s">
        <v>1560</v>
      </c>
      <c r="J7296" s="15" t="s">
        <v>27555</v>
      </c>
      <c r="K7296" s="15">
        <v>1.0</v>
      </c>
      <c r="L7296" s="15">
        <v>1.0</v>
      </c>
      <c r="M7296" s="40">
        <v>42906.0</v>
      </c>
      <c r="N7296" s="40">
        <v>42930.0</v>
      </c>
      <c r="O7296" s="15" t="s">
        <v>1554</v>
      </c>
      <c r="Q7296" s="7"/>
    </row>
    <row r="7297">
      <c r="A7297" s="39" t="s">
        <v>27556</v>
      </c>
      <c r="B7297" s="15">
        <v>2010280.0</v>
      </c>
      <c r="C7297" s="15" t="s">
        <v>27557</v>
      </c>
      <c r="D7297" s="15">
        <v>392143.0</v>
      </c>
      <c r="E7297" s="15" t="s">
        <v>1577</v>
      </c>
      <c r="F7297" s="15" t="s">
        <v>1578</v>
      </c>
      <c r="G7297" s="7">
        <v>2.968</v>
      </c>
      <c r="H7297" s="15" t="s">
        <v>1844</v>
      </c>
      <c r="I7297" s="15" t="s">
        <v>1560</v>
      </c>
      <c r="J7297" s="15" t="s">
        <v>27558</v>
      </c>
      <c r="K7297" s="15">
        <v>1.0</v>
      </c>
      <c r="L7297" s="15">
        <v>1.0</v>
      </c>
      <c r="M7297" s="40">
        <v>42906.0</v>
      </c>
      <c r="N7297" s="40">
        <v>42930.0</v>
      </c>
      <c r="O7297" s="15" t="s">
        <v>1554</v>
      </c>
      <c r="Q7297" s="7"/>
    </row>
    <row r="7298">
      <c r="A7298" s="39" t="s">
        <v>27560</v>
      </c>
      <c r="B7298" s="15">
        <v>2010279.0</v>
      </c>
      <c r="C7298" s="15" t="s">
        <v>27561</v>
      </c>
      <c r="D7298" s="15">
        <v>392144.0</v>
      </c>
      <c r="E7298" s="15" t="s">
        <v>1577</v>
      </c>
      <c r="F7298" s="15" t="s">
        <v>1578</v>
      </c>
      <c r="G7298" s="7">
        <v>2.857</v>
      </c>
      <c r="H7298" s="15" t="s">
        <v>3468</v>
      </c>
      <c r="I7298" s="15" t="s">
        <v>1560</v>
      </c>
      <c r="J7298" s="15" t="s">
        <v>27562</v>
      </c>
      <c r="K7298" s="15">
        <v>1.0</v>
      </c>
      <c r="L7298" s="15">
        <v>1.0</v>
      </c>
      <c r="M7298" s="40">
        <v>42906.0</v>
      </c>
      <c r="N7298" s="40">
        <v>42930.0</v>
      </c>
      <c r="O7298" s="15" t="s">
        <v>1554</v>
      </c>
      <c r="Q7298" s="7"/>
    </row>
    <row r="7299">
      <c r="A7299" s="39" t="s">
        <v>27563</v>
      </c>
      <c r="B7299" s="15">
        <v>2010278.0</v>
      </c>
      <c r="C7299" s="15" t="s">
        <v>27564</v>
      </c>
      <c r="D7299" s="15">
        <v>392145.0</v>
      </c>
      <c r="E7299" s="15" t="s">
        <v>1577</v>
      </c>
      <c r="F7299" s="15" t="s">
        <v>1578</v>
      </c>
      <c r="G7299" s="7">
        <v>2.709</v>
      </c>
      <c r="H7299" s="15" t="s">
        <v>10486</v>
      </c>
      <c r="I7299" s="15" t="s">
        <v>1560</v>
      </c>
      <c r="J7299" s="15" t="s">
        <v>27565</v>
      </c>
      <c r="K7299" s="15">
        <v>1.0</v>
      </c>
      <c r="L7299" s="15">
        <v>1.0</v>
      </c>
      <c r="M7299" s="40">
        <v>42906.0</v>
      </c>
      <c r="N7299" s="40">
        <v>42930.0</v>
      </c>
      <c r="O7299" s="15" t="s">
        <v>1554</v>
      </c>
      <c r="Q7299" s="7"/>
    </row>
    <row r="7300">
      <c r="A7300" s="39" t="s">
        <v>27566</v>
      </c>
      <c r="B7300" s="15">
        <v>2010277.0</v>
      </c>
      <c r="C7300" s="15" t="s">
        <v>27567</v>
      </c>
      <c r="D7300" s="15">
        <v>392146.0</v>
      </c>
      <c r="E7300" s="15" t="s">
        <v>1577</v>
      </c>
      <c r="F7300" s="15" t="s">
        <v>1578</v>
      </c>
      <c r="G7300" s="7">
        <v>11.503</v>
      </c>
      <c r="H7300" s="15" t="s">
        <v>2877</v>
      </c>
      <c r="I7300" s="15" t="s">
        <v>1560</v>
      </c>
      <c r="J7300" s="15" t="s">
        <v>27568</v>
      </c>
      <c r="K7300" s="15">
        <v>5.0</v>
      </c>
      <c r="L7300" s="15">
        <v>5.0</v>
      </c>
      <c r="M7300" s="40">
        <v>42906.0</v>
      </c>
      <c r="N7300" s="40">
        <v>42930.0</v>
      </c>
      <c r="O7300" s="15" t="s">
        <v>1554</v>
      </c>
      <c r="Q7300" s="7"/>
    </row>
    <row r="7301">
      <c r="A7301" s="39" t="s">
        <v>27569</v>
      </c>
      <c r="B7301" s="15">
        <v>2010275.0</v>
      </c>
      <c r="C7301" s="15" t="s">
        <v>27570</v>
      </c>
      <c r="D7301" s="15">
        <v>392147.0</v>
      </c>
      <c r="E7301" s="15" t="s">
        <v>1577</v>
      </c>
      <c r="F7301" s="15" t="s">
        <v>1578</v>
      </c>
      <c r="G7301" s="7">
        <v>9.176</v>
      </c>
      <c r="H7301" s="15" t="s">
        <v>2885</v>
      </c>
      <c r="I7301" s="15" t="s">
        <v>1560</v>
      </c>
      <c r="J7301" s="15" t="s">
        <v>27571</v>
      </c>
      <c r="K7301" s="15">
        <v>3.0</v>
      </c>
      <c r="L7301" s="15">
        <v>3.0</v>
      </c>
      <c r="M7301" s="40">
        <v>42906.0</v>
      </c>
      <c r="N7301" s="40">
        <v>42930.0</v>
      </c>
      <c r="O7301" s="15" t="s">
        <v>1554</v>
      </c>
      <c r="Q7301" s="7"/>
    </row>
    <row r="7302">
      <c r="A7302" s="39" t="s">
        <v>27573</v>
      </c>
      <c r="B7302" s="15">
        <v>2010274.0</v>
      </c>
      <c r="C7302" s="15" t="s">
        <v>27574</v>
      </c>
      <c r="D7302" s="15">
        <v>392148.0</v>
      </c>
      <c r="E7302" s="15" t="s">
        <v>1577</v>
      </c>
      <c r="F7302" s="15" t="s">
        <v>1578</v>
      </c>
      <c r="G7302" s="7">
        <v>9.324</v>
      </c>
      <c r="H7302" s="15" t="s">
        <v>8889</v>
      </c>
      <c r="I7302" s="15" t="s">
        <v>1560</v>
      </c>
      <c r="J7302" s="15" t="s">
        <v>27575</v>
      </c>
      <c r="K7302" s="15">
        <v>3.0</v>
      </c>
      <c r="L7302" s="15">
        <v>3.0</v>
      </c>
      <c r="M7302" s="40">
        <v>42906.0</v>
      </c>
      <c r="N7302" s="40">
        <v>42930.0</v>
      </c>
      <c r="O7302" s="15" t="s">
        <v>1554</v>
      </c>
      <c r="Q7302" s="7"/>
    </row>
    <row r="7303">
      <c r="A7303" s="39" t="s">
        <v>27576</v>
      </c>
      <c r="B7303" s="15">
        <v>2010273.0</v>
      </c>
      <c r="C7303" s="15" t="s">
        <v>27577</v>
      </c>
      <c r="D7303" s="15">
        <v>392149.0</v>
      </c>
      <c r="E7303" s="15" t="s">
        <v>1577</v>
      </c>
      <c r="F7303" s="15" t="s">
        <v>1578</v>
      </c>
      <c r="G7303" s="7">
        <v>10.867</v>
      </c>
      <c r="H7303" s="15" t="s">
        <v>2552</v>
      </c>
      <c r="I7303" s="15" t="s">
        <v>1560</v>
      </c>
      <c r="J7303" s="15" t="s">
        <v>27578</v>
      </c>
      <c r="K7303" s="15">
        <v>3.0</v>
      </c>
      <c r="L7303" s="15">
        <v>3.0</v>
      </c>
      <c r="M7303" s="40">
        <v>42906.0</v>
      </c>
      <c r="N7303" s="40">
        <v>42930.0</v>
      </c>
      <c r="O7303" s="15" t="s">
        <v>1554</v>
      </c>
      <c r="Q7303" s="7"/>
    </row>
    <row r="7304">
      <c r="A7304" s="39" t="s">
        <v>27580</v>
      </c>
      <c r="B7304" s="15">
        <v>2010272.0</v>
      </c>
      <c r="C7304" s="15" t="s">
        <v>27581</v>
      </c>
      <c r="D7304" s="15">
        <v>392150.0</v>
      </c>
      <c r="E7304" s="15" t="s">
        <v>1577</v>
      </c>
      <c r="F7304" s="15" t="s">
        <v>1578</v>
      </c>
      <c r="G7304" s="7">
        <v>13.297</v>
      </c>
      <c r="H7304" s="15">
        <v>47.0</v>
      </c>
      <c r="I7304" s="15" t="s">
        <v>1560</v>
      </c>
      <c r="J7304" s="15" t="s">
        <v>27582</v>
      </c>
      <c r="K7304" s="15">
        <v>6.0</v>
      </c>
      <c r="L7304" s="15">
        <v>6.0</v>
      </c>
      <c r="M7304" s="40">
        <v>42906.0</v>
      </c>
      <c r="N7304" s="40">
        <v>42930.0</v>
      </c>
      <c r="O7304" s="15" t="s">
        <v>1554</v>
      </c>
      <c r="Q7304" s="7"/>
    </row>
    <row r="7305">
      <c r="A7305" s="39" t="s">
        <v>27583</v>
      </c>
      <c r="B7305" s="15">
        <v>2010268.0</v>
      </c>
      <c r="C7305" s="15" t="s">
        <v>27584</v>
      </c>
      <c r="D7305" s="15">
        <v>392151.0</v>
      </c>
      <c r="E7305" s="15" t="s">
        <v>1577</v>
      </c>
      <c r="F7305" s="15" t="s">
        <v>1578</v>
      </c>
      <c r="G7305" s="7">
        <v>11.47</v>
      </c>
      <c r="H7305" s="15">
        <v>31.0</v>
      </c>
      <c r="I7305" s="15" t="s">
        <v>1560</v>
      </c>
      <c r="J7305" s="15" t="s">
        <v>27585</v>
      </c>
      <c r="K7305" s="15">
        <v>5.0</v>
      </c>
      <c r="L7305" s="15">
        <v>5.0</v>
      </c>
      <c r="M7305" s="40">
        <v>42906.0</v>
      </c>
      <c r="N7305" s="40">
        <v>42930.0</v>
      </c>
      <c r="O7305" s="15" t="s">
        <v>1554</v>
      </c>
      <c r="Q7305" s="7"/>
    </row>
    <row r="7306">
      <c r="A7306" s="39" t="s">
        <v>27587</v>
      </c>
      <c r="B7306" s="15">
        <v>2010266.0</v>
      </c>
      <c r="C7306" s="15" t="s">
        <v>27588</v>
      </c>
      <c r="D7306" s="15">
        <v>392152.0</v>
      </c>
      <c r="E7306" s="15" t="s">
        <v>1577</v>
      </c>
      <c r="F7306" s="15" t="s">
        <v>1578</v>
      </c>
      <c r="G7306" s="7">
        <v>6.363</v>
      </c>
      <c r="H7306" s="15" t="s">
        <v>2945</v>
      </c>
      <c r="I7306" s="15" t="s">
        <v>1560</v>
      </c>
      <c r="J7306" s="15" t="s">
        <v>27589</v>
      </c>
      <c r="K7306" s="15">
        <v>2.0</v>
      </c>
      <c r="L7306" s="15">
        <v>2.0</v>
      </c>
      <c r="M7306" s="40">
        <v>42906.0</v>
      </c>
      <c r="N7306" s="40">
        <v>42930.0</v>
      </c>
      <c r="O7306" s="15" t="s">
        <v>1554</v>
      </c>
      <c r="Q7306" s="7"/>
    </row>
    <row r="7307">
      <c r="A7307" s="39" t="s">
        <v>27590</v>
      </c>
      <c r="B7307" s="15">
        <v>2010265.0</v>
      </c>
      <c r="C7307" s="15" t="s">
        <v>27591</v>
      </c>
      <c r="D7307" s="15">
        <v>392153.0</v>
      </c>
      <c r="E7307" s="15" t="s">
        <v>1577</v>
      </c>
      <c r="F7307" s="15" t="s">
        <v>1578</v>
      </c>
      <c r="G7307" s="7">
        <v>6.363</v>
      </c>
      <c r="H7307" s="15" t="s">
        <v>2945</v>
      </c>
      <c r="I7307" s="15" t="s">
        <v>1560</v>
      </c>
      <c r="J7307" s="15" t="s">
        <v>27592</v>
      </c>
      <c r="K7307" s="15">
        <v>2.0</v>
      </c>
      <c r="L7307" s="15">
        <v>2.0</v>
      </c>
      <c r="M7307" s="40">
        <v>42906.0</v>
      </c>
      <c r="N7307" s="40">
        <v>42930.0</v>
      </c>
      <c r="O7307" s="15" t="s">
        <v>1554</v>
      </c>
      <c r="Q7307" s="7"/>
    </row>
    <row r="7308">
      <c r="A7308" s="39" t="s">
        <v>27593</v>
      </c>
      <c r="B7308" s="15">
        <v>2005044.0</v>
      </c>
      <c r="C7308" s="15" t="s">
        <v>27594</v>
      </c>
      <c r="D7308" s="15">
        <v>392154.0</v>
      </c>
      <c r="E7308" s="15" t="s">
        <v>1548</v>
      </c>
      <c r="F7308" s="15" t="s">
        <v>1911</v>
      </c>
      <c r="G7308" s="7">
        <v>9.969</v>
      </c>
      <c r="H7308" s="15" t="s">
        <v>2777</v>
      </c>
      <c r="I7308" s="15" t="s">
        <v>1628</v>
      </c>
      <c r="J7308" s="15" t="s">
        <v>27596</v>
      </c>
      <c r="K7308" s="15">
        <v>2.0</v>
      </c>
      <c r="L7308" s="15">
        <v>2.0</v>
      </c>
      <c r="M7308" s="40">
        <v>42907.0</v>
      </c>
      <c r="N7308" s="40">
        <v>42913.0</v>
      </c>
      <c r="O7308" s="15" t="s">
        <v>1554</v>
      </c>
      <c r="Q7308" s="7"/>
    </row>
    <row r="7309">
      <c r="A7309" s="39" t="s">
        <v>27597</v>
      </c>
      <c r="B7309" s="15">
        <v>1986479.0</v>
      </c>
      <c r="C7309" s="15" t="s">
        <v>27598</v>
      </c>
      <c r="D7309" s="15">
        <v>392155.0</v>
      </c>
      <c r="E7309" s="15" t="s">
        <v>1664</v>
      </c>
      <c r="F7309" s="15" t="s">
        <v>15173</v>
      </c>
      <c r="G7309" s="7">
        <v>2.231</v>
      </c>
      <c r="H7309" s="15" t="s">
        <v>4776</v>
      </c>
      <c r="I7309" s="15" t="s">
        <v>1560</v>
      </c>
      <c r="J7309" s="15" t="s">
        <v>27599</v>
      </c>
      <c r="K7309" s="15">
        <v>2.0</v>
      </c>
      <c r="L7309" s="15">
        <v>2.0</v>
      </c>
      <c r="M7309" s="40">
        <v>42910.0</v>
      </c>
      <c r="N7309" s="40">
        <v>42935.0</v>
      </c>
      <c r="O7309" s="15" t="s">
        <v>1554</v>
      </c>
      <c r="Q7309" s="7"/>
    </row>
    <row r="7310">
      <c r="A7310" s="39" t="s">
        <v>27600</v>
      </c>
      <c r="B7310" s="15">
        <v>1986478.0</v>
      </c>
      <c r="C7310" s="15" t="s">
        <v>27601</v>
      </c>
      <c r="D7310" s="15">
        <v>392156.0</v>
      </c>
      <c r="E7310" s="15" t="s">
        <v>1664</v>
      </c>
      <c r="F7310" s="15" t="s">
        <v>15173</v>
      </c>
      <c r="G7310" s="7">
        <v>2.211</v>
      </c>
      <c r="H7310" s="15">
        <v>54.0</v>
      </c>
      <c r="I7310" s="15" t="s">
        <v>1560</v>
      </c>
      <c r="J7310" s="15" t="s">
        <v>27603</v>
      </c>
      <c r="K7310" s="15">
        <v>2.0</v>
      </c>
      <c r="L7310" s="15">
        <v>2.0</v>
      </c>
      <c r="M7310" s="40">
        <v>42910.0</v>
      </c>
      <c r="N7310" s="40">
        <v>42935.0</v>
      </c>
      <c r="O7310" s="15" t="s">
        <v>1554</v>
      </c>
      <c r="Q7310" s="7"/>
    </row>
    <row r="7311">
      <c r="A7311" s="39" t="s">
        <v>27604</v>
      </c>
      <c r="B7311" s="15">
        <v>2014960.0</v>
      </c>
      <c r="C7311" s="15" t="s">
        <v>27605</v>
      </c>
      <c r="D7311" s="15">
        <v>395073.0</v>
      </c>
      <c r="E7311" s="15" t="s">
        <v>1548</v>
      </c>
      <c r="F7311" s="15" t="s">
        <v>1801</v>
      </c>
      <c r="G7311" s="7">
        <v>12.614</v>
      </c>
      <c r="H7311" s="15" t="s">
        <v>3538</v>
      </c>
      <c r="I7311" s="15" t="s">
        <v>1686</v>
      </c>
      <c r="J7311" s="15" t="s">
        <v>27606</v>
      </c>
      <c r="K7311" s="15">
        <v>1.0</v>
      </c>
      <c r="L7311" s="15">
        <v>1.0</v>
      </c>
      <c r="M7311" s="40">
        <v>42913.0</v>
      </c>
      <c r="N7311" s="40">
        <v>42935.0</v>
      </c>
      <c r="O7311" s="15" t="s">
        <v>1554</v>
      </c>
      <c r="Q7311" s="7"/>
    </row>
    <row r="7312">
      <c r="A7312" s="39" t="s">
        <v>27607</v>
      </c>
      <c r="B7312" s="15">
        <v>1980430.0</v>
      </c>
      <c r="C7312" s="15" t="s">
        <v>27608</v>
      </c>
      <c r="D7312" s="15">
        <v>331042.0</v>
      </c>
      <c r="E7312" s="15" t="s">
        <v>1548</v>
      </c>
      <c r="F7312" s="15" t="s">
        <v>27203</v>
      </c>
      <c r="G7312" s="7">
        <v>15.091</v>
      </c>
      <c r="H7312" s="15" t="s">
        <v>27609</v>
      </c>
      <c r="I7312" s="15" t="s">
        <v>1628</v>
      </c>
      <c r="J7312" s="15" t="s">
        <v>27610</v>
      </c>
      <c r="K7312" s="15">
        <v>6.0</v>
      </c>
      <c r="L7312" s="15">
        <v>6.0</v>
      </c>
      <c r="M7312" s="40">
        <v>42179.0</v>
      </c>
      <c r="N7312" s="40">
        <v>42576.0</v>
      </c>
      <c r="O7312" s="15" t="s">
        <v>1554</v>
      </c>
      <c r="Q7312" s="7"/>
    </row>
    <row r="7313">
      <c r="A7313" s="39" t="s">
        <v>27611</v>
      </c>
      <c r="B7313" s="15">
        <v>10847.0</v>
      </c>
      <c r="C7313" s="15" t="s">
        <v>27612</v>
      </c>
      <c r="D7313" s="15">
        <v>14015.0</v>
      </c>
      <c r="E7313" s="15" t="s">
        <v>1808</v>
      </c>
      <c r="F7313" s="15" t="s">
        <v>3154</v>
      </c>
      <c r="G7313" s="7">
        <v>5.386</v>
      </c>
      <c r="H7313" s="15" t="s">
        <v>3097</v>
      </c>
      <c r="I7313" s="15" t="s">
        <v>1586</v>
      </c>
      <c r="J7313" s="15" t="s">
        <v>27614</v>
      </c>
      <c r="K7313" s="15">
        <v>11.0</v>
      </c>
      <c r="L7313" s="15">
        <v>11.0</v>
      </c>
      <c r="M7313" s="40">
        <v>32766.0</v>
      </c>
      <c r="N7313" s="40">
        <v>42045.0</v>
      </c>
      <c r="O7313" s="15" t="s">
        <v>1554</v>
      </c>
      <c r="Q7313" s="7"/>
    </row>
    <row r="7314">
      <c r="A7314" s="39" t="s">
        <v>27615</v>
      </c>
      <c r="B7314" s="15">
        <v>171618.0</v>
      </c>
      <c r="C7314" s="15" t="s">
        <v>27616</v>
      </c>
      <c r="D7314" s="15">
        <v>14142.0</v>
      </c>
      <c r="E7314" s="15" t="s">
        <v>1557</v>
      </c>
      <c r="F7314" s="15" t="s">
        <v>1833</v>
      </c>
      <c r="G7314" s="7">
        <v>37.618</v>
      </c>
      <c r="H7314" s="15" t="s">
        <v>4283</v>
      </c>
      <c r="I7314" s="15" t="s">
        <v>1586</v>
      </c>
      <c r="J7314" s="15" t="s">
        <v>27617</v>
      </c>
      <c r="K7314" s="15">
        <v>60.0</v>
      </c>
      <c r="L7314" s="15">
        <v>59.0</v>
      </c>
      <c r="M7314" s="40">
        <v>37231.0</v>
      </c>
      <c r="N7314" s="40">
        <v>39891.0</v>
      </c>
      <c r="O7314" s="15" t="s">
        <v>1554</v>
      </c>
      <c r="Q7314" s="7"/>
    </row>
    <row r="7315">
      <c r="A7315" s="39" t="s">
        <v>27618</v>
      </c>
      <c r="B7315" s="15">
        <v>11590.0</v>
      </c>
      <c r="C7315" s="15" t="s">
        <v>27620</v>
      </c>
      <c r="D7315" s="15">
        <v>15053.0</v>
      </c>
      <c r="E7315" s="15" t="s">
        <v>1548</v>
      </c>
      <c r="F7315" s="15" t="s">
        <v>3116</v>
      </c>
      <c r="G7315" s="7">
        <v>12.488</v>
      </c>
      <c r="H7315" s="15" t="s">
        <v>27621</v>
      </c>
      <c r="I7315" s="15" t="s">
        <v>1803</v>
      </c>
      <c r="J7315" s="15" t="s">
        <v>27622</v>
      </c>
      <c r="K7315" s="15">
        <v>4.0</v>
      </c>
      <c r="L7315" s="15">
        <v>4.0</v>
      </c>
      <c r="M7315" s="40">
        <v>33308.0</v>
      </c>
      <c r="N7315" s="41">
        <v>42297.0</v>
      </c>
      <c r="O7315" s="15" t="s">
        <v>1554</v>
      </c>
      <c r="Q7315" s="7"/>
    </row>
    <row r="7316">
      <c r="A7316" s="39" t="s">
        <v>27623</v>
      </c>
      <c r="B7316" s="15">
        <v>384642.0</v>
      </c>
      <c r="C7316" s="15" t="s">
        <v>27624</v>
      </c>
      <c r="D7316" s="15">
        <v>16628.0</v>
      </c>
      <c r="E7316" s="15" t="s">
        <v>1808</v>
      </c>
      <c r="F7316" s="15" t="s">
        <v>3154</v>
      </c>
      <c r="G7316" s="7">
        <v>5.486</v>
      </c>
      <c r="H7316" s="15" t="s">
        <v>3082</v>
      </c>
      <c r="I7316" s="15" t="s">
        <v>1586</v>
      </c>
      <c r="J7316" s="15" t="s">
        <v>27625</v>
      </c>
      <c r="K7316" s="15">
        <v>11.0</v>
      </c>
      <c r="L7316" s="15">
        <v>11.0</v>
      </c>
      <c r="M7316" s="40">
        <v>38741.0</v>
      </c>
      <c r="N7316" s="40">
        <v>42045.0</v>
      </c>
      <c r="O7316" s="15" t="s">
        <v>1554</v>
      </c>
      <c r="Q7316" s="7"/>
    </row>
    <row r="7317">
      <c r="A7317" s="39" t="s">
        <v>27626</v>
      </c>
      <c r="B7317" s="15">
        <v>2018685.0</v>
      </c>
      <c r="C7317" s="15" t="s">
        <v>27627</v>
      </c>
      <c r="D7317" s="15">
        <v>394286.0</v>
      </c>
      <c r="E7317" s="15" t="s">
        <v>1916</v>
      </c>
      <c r="F7317" s="15" t="s">
        <v>3423</v>
      </c>
      <c r="G7317" s="7">
        <v>3.024</v>
      </c>
      <c r="H7317" s="15" t="s">
        <v>1685</v>
      </c>
      <c r="I7317" s="15" t="s">
        <v>1686</v>
      </c>
      <c r="J7317" s="15" t="s">
        <v>27628</v>
      </c>
      <c r="K7317" s="15">
        <v>5.0</v>
      </c>
      <c r="L7317" s="15">
        <v>5.0</v>
      </c>
      <c r="M7317" s="40">
        <v>42921.0</v>
      </c>
      <c r="N7317" s="40">
        <v>42930.0</v>
      </c>
      <c r="O7317" s="15" t="s">
        <v>1554</v>
      </c>
      <c r="Q7317" s="7"/>
    </row>
    <row r="7318">
      <c r="A7318" s="39" t="s">
        <v>27629</v>
      </c>
      <c r="B7318" s="15">
        <v>2017083.0</v>
      </c>
      <c r="C7318" s="15" t="s">
        <v>27630</v>
      </c>
      <c r="D7318" s="15">
        <v>394287.0</v>
      </c>
      <c r="E7318" s="15" t="s">
        <v>1808</v>
      </c>
      <c r="F7318" s="15" t="s">
        <v>1998</v>
      </c>
      <c r="G7318" s="7">
        <v>2.343</v>
      </c>
      <c r="H7318" s="15" t="s">
        <v>4401</v>
      </c>
      <c r="I7318" s="15" t="s">
        <v>1567</v>
      </c>
      <c r="J7318" s="15" t="s">
        <v>27631</v>
      </c>
      <c r="K7318" s="15">
        <v>2.0</v>
      </c>
      <c r="L7318" s="15">
        <v>2.0</v>
      </c>
      <c r="M7318" s="40">
        <v>42924.0</v>
      </c>
      <c r="N7318" s="40">
        <v>42930.0</v>
      </c>
      <c r="O7318" s="15" t="s">
        <v>1554</v>
      </c>
      <c r="Q7318" s="7"/>
    </row>
    <row r="7319">
      <c r="A7319" s="39" t="s">
        <v>27632</v>
      </c>
      <c r="B7319" s="15">
        <v>2017082.0</v>
      </c>
      <c r="C7319" s="15" t="s">
        <v>27634</v>
      </c>
      <c r="D7319" s="15">
        <v>394288.0</v>
      </c>
      <c r="E7319" s="15" t="s">
        <v>1808</v>
      </c>
      <c r="F7319" s="15" t="s">
        <v>1998</v>
      </c>
      <c r="G7319" s="7">
        <v>1.942</v>
      </c>
      <c r="H7319" s="15" t="s">
        <v>11241</v>
      </c>
      <c r="I7319" s="15" t="s">
        <v>1567</v>
      </c>
      <c r="J7319" s="15" t="s">
        <v>27635</v>
      </c>
      <c r="K7319" s="15">
        <v>2.0</v>
      </c>
      <c r="L7319" s="15">
        <v>2.0</v>
      </c>
      <c r="M7319" s="40">
        <v>42924.0</v>
      </c>
      <c r="N7319" s="40">
        <v>42930.0</v>
      </c>
      <c r="O7319" s="15" t="s">
        <v>1554</v>
      </c>
      <c r="Q7319" s="7"/>
    </row>
    <row r="7320">
      <c r="A7320" s="39" t="s">
        <v>27636</v>
      </c>
      <c r="B7320" s="15">
        <v>2017081.0</v>
      </c>
      <c r="C7320" s="15" t="s">
        <v>27637</v>
      </c>
      <c r="D7320" s="15">
        <v>394289.0</v>
      </c>
      <c r="E7320" s="15" t="s">
        <v>1808</v>
      </c>
      <c r="F7320" s="15" t="s">
        <v>1998</v>
      </c>
      <c r="G7320" s="7">
        <v>3.925</v>
      </c>
      <c r="H7320" s="42">
        <v>43131.0</v>
      </c>
      <c r="I7320" s="15" t="s">
        <v>1567</v>
      </c>
      <c r="J7320" s="15" t="s">
        <v>27638</v>
      </c>
      <c r="K7320" s="15">
        <v>5.0</v>
      </c>
      <c r="L7320" s="15">
        <v>5.0</v>
      </c>
      <c r="M7320" s="40">
        <v>42924.0</v>
      </c>
      <c r="N7320" s="40">
        <v>42930.0</v>
      </c>
      <c r="O7320" s="15" t="s">
        <v>1554</v>
      </c>
      <c r="Q7320" s="7"/>
    </row>
    <row r="7321">
      <c r="A7321" s="39" t="s">
        <v>27639</v>
      </c>
      <c r="B7321" s="15">
        <v>2016468.0</v>
      </c>
      <c r="C7321" s="15" t="s">
        <v>27640</v>
      </c>
      <c r="D7321" s="15">
        <v>394290.0</v>
      </c>
      <c r="E7321" s="15" t="s">
        <v>1548</v>
      </c>
      <c r="F7321" s="15" t="s">
        <v>1578</v>
      </c>
      <c r="G7321" s="7">
        <v>8.612</v>
      </c>
      <c r="H7321" s="15" t="s">
        <v>5521</v>
      </c>
      <c r="I7321" s="15" t="s">
        <v>1686</v>
      </c>
      <c r="J7321" s="15" t="s">
        <v>27641</v>
      </c>
      <c r="K7321" s="15">
        <v>1.0</v>
      </c>
      <c r="L7321" s="15">
        <v>1.0</v>
      </c>
      <c r="M7321" s="40">
        <v>42924.0</v>
      </c>
      <c r="N7321" s="40">
        <v>42971.0</v>
      </c>
      <c r="O7321" s="15" t="s">
        <v>1554</v>
      </c>
      <c r="Q7321" s="7"/>
    </row>
    <row r="7322">
      <c r="A7322" s="39" t="s">
        <v>27642</v>
      </c>
      <c r="B7322" s="15">
        <v>2016467.0</v>
      </c>
      <c r="C7322" s="15" t="s">
        <v>27644</v>
      </c>
      <c r="D7322" s="15">
        <v>394291.0</v>
      </c>
      <c r="E7322" s="15" t="s">
        <v>1548</v>
      </c>
      <c r="F7322" s="15" t="s">
        <v>1578</v>
      </c>
      <c r="G7322" s="7">
        <v>8.703</v>
      </c>
      <c r="H7322" s="15" t="s">
        <v>1597</v>
      </c>
      <c r="I7322" s="15" t="s">
        <v>1686</v>
      </c>
      <c r="J7322" s="15" t="s">
        <v>27645</v>
      </c>
      <c r="K7322" s="15">
        <v>1.0</v>
      </c>
      <c r="L7322" s="15">
        <v>1.0</v>
      </c>
      <c r="M7322" s="40">
        <v>42924.0</v>
      </c>
      <c r="N7322" s="40">
        <v>42971.0</v>
      </c>
      <c r="O7322" s="15" t="s">
        <v>1554</v>
      </c>
      <c r="Q7322" s="7"/>
    </row>
    <row r="7323">
      <c r="A7323" s="39" t="s">
        <v>27646</v>
      </c>
      <c r="B7323" s="15">
        <v>2016463.0</v>
      </c>
      <c r="C7323" s="15" t="s">
        <v>27647</v>
      </c>
      <c r="D7323" s="15">
        <v>394292.0</v>
      </c>
      <c r="E7323" s="15" t="s">
        <v>1557</v>
      </c>
      <c r="F7323" s="15" t="s">
        <v>2004</v>
      </c>
      <c r="G7323" s="7">
        <v>5.144</v>
      </c>
      <c r="H7323" s="15" t="s">
        <v>2049</v>
      </c>
      <c r="I7323" s="15" t="s">
        <v>1686</v>
      </c>
      <c r="J7323" s="15" t="s">
        <v>27648</v>
      </c>
      <c r="K7323" s="15">
        <v>5.0</v>
      </c>
      <c r="L7323" s="15">
        <v>5.0</v>
      </c>
      <c r="M7323" s="40">
        <v>42924.0</v>
      </c>
      <c r="N7323" s="40">
        <v>42930.0</v>
      </c>
      <c r="O7323" s="15" t="s">
        <v>1554</v>
      </c>
      <c r="Q7323" s="7"/>
    </row>
    <row r="7324">
      <c r="A7324" s="39" t="s">
        <v>27649</v>
      </c>
      <c r="B7324" s="15">
        <v>2016461.0</v>
      </c>
      <c r="C7324" s="15" t="s">
        <v>27650</v>
      </c>
      <c r="D7324" s="15">
        <v>394293.0</v>
      </c>
      <c r="E7324" s="15" t="s">
        <v>1664</v>
      </c>
      <c r="F7324" s="15" t="s">
        <v>15173</v>
      </c>
      <c r="G7324" s="7">
        <v>2.185</v>
      </c>
      <c r="H7324" s="15" t="s">
        <v>4521</v>
      </c>
      <c r="I7324" s="15" t="s">
        <v>1686</v>
      </c>
      <c r="J7324" s="15" t="s">
        <v>27651</v>
      </c>
      <c r="K7324" s="15">
        <v>3.0</v>
      </c>
      <c r="L7324" s="15">
        <v>3.0</v>
      </c>
      <c r="M7324" s="40">
        <v>42924.0</v>
      </c>
      <c r="N7324" s="40">
        <v>42971.0</v>
      </c>
      <c r="O7324" s="15" t="s">
        <v>1554</v>
      </c>
      <c r="Q7324" s="7"/>
    </row>
    <row r="7325">
      <c r="A7325" s="39" t="s">
        <v>27653</v>
      </c>
      <c r="B7325" s="15">
        <v>2016460.0</v>
      </c>
      <c r="C7325" s="15" t="s">
        <v>27654</v>
      </c>
      <c r="D7325" s="15">
        <v>394294.0</v>
      </c>
      <c r="E7325" s="15" t="s">
        <v>1808</v>
      </c>
      <c r="F7325" s="15" t="s">
        <v>2232</v>
      </c>
      <c r="G7325" s="7">
        <v>2.059</v>
      </c>
      <c r="H7325" s="15" t="s">
        <v>8889</v>
      </c>
      <c r="I7325" s="15" t="s">
        <v>1567</v>
      </c>
      <c r="J7325" s="15" t="s">
        <v>27655</v>
      </c>
      <c r="K7325" s="15">
        <v>3.0</v>
      </c>
      <c r="L7325" s="15">
        <v>3.0</v>
      </c>
      <c r="M7325" s="40">
        <v>42924.0</v>
      </c>
      <c r="N7325" s="40">
        <v>42971.0</v>
      </c>
      <c r="O7325" s="15" t="s">
        <v>1554</v>
      </c>
      <c r="Q7325" s="7"/>
    </row>
    <row r="7326">
      <c r="A7326" s="39" t="s">
        <v>27656</v>
      </c>
      <c r="B7326" s="15">
        <v>2016459.0</v>
      </c>
      <c r="C7326" s="15" t="s">
        <v>27657</v>
      </c>
      <c r="D7326" s="15">
        <v>394295.0</v>
      </c>
      <c r="E7326" s="15" t="s">
        <v>1808</v>
      </c>
      <c r="F7326" s="15" t="s">
        <v>1998</v>
      </c>
      <c r="G7326" s="7">
        <v>1.928</v>
      </c>
      <c r="H7326" s="15" t="s">
        <v>1902</v>
      </c>
      <c r="I7326" s="15" t="s">
        <v>1686</v>
      </c>
      <c r="J7326" s="15" t="s">
        <v>27658</v>
      </c>
      <c r="K7326" s="15">
        <v>2.0</v>
      </c>
      <c r="L7326" s="15">
        <v>2.0</v>
      </c>
      <c r="M7326" s="40">
        <v>42924.0</v>
      </c>
      <c r="N7326" s="40">
        <v>42971.0</v>
      </c>
      <c r="O7326" s="15" t="s">
        <v>1554</v>
      </c>
      <c r="Q7326" s="7"/>
    </row>
    <row r="7327">
      <c r="A7327" s="39" t="s">
        <v>27659</v>
      </c>
      <c r="B7327" s="15">
        <v>2016458.0</v>
      </c>
      <c r="C7327" s="15" t="s">
        <v>27660</v>
      </c>
      <c r="D7327" s="15">
        <v>394296.0</v>
      </c>
      <c r="E7327" s="15" t="s">
        <v>1808</v>
      </c>
      <c r="F7327" s="15" t="s">
        <v>1998</v>
      </c>
      <c r="G7327" s="7">
        <v>2.653</v>
      </c>
      <c r="H7327" s="15" t="s">
        <v>2223</v>
      </c>
      <c r="I7327" s="15" t="s">
        <v>1686</v>
      </c>
      <c r="J7327" s="15" t="s">
        <v>27661</v>
      </c>
      <c r="K7327" s="15">
        <v>3.0</v>
      </c>
      <c r="L7327" s="15">
        <v>3.0</v>
      </c>
      <c r="M7327" s="40">
        <v>42924.0</v>
      </c>
      <c r="N7327" s="40">
        <v>42971.0</v>
      </c>
      <c r="O7327" s="15" t="s">
        <v>1554</v>
      </c>
      <c r="Q7327" s="7"/>
    </row>
    <row r="7328">
      <c r="A7328" s="39" t="s">
        <v>27662</v>
      </c>
      <c r="B7328" s="15">
        <v>2016457.0</v>
      </c>
      <c r="C7328" s="15" t="s">
        <v>27663</v>
      </c>
      <c r="D7328" s="15">
        <v>394297.0</v>
      </c>
      <c r="E7328" s="15" t="s">
        <v>1808</v>
      </c>
      <c r="F7328" s="15" t="s">
        <v>1998</v>
      </c>
      <c r="G7328" s="7">
        <v>1.908</v>
      </c>
      <c r="H7328" s="15" t="s">
        <v>3304</v>
      </c>
      <c r="I7328" s="15" t="s">
        <v>1686</v>
      </c>
      <c r="J7328" s="15" t="s">
        <v>27665</v>
      </c>
      <c r="K7328" s="15">
        <v>3.0</v>
      </c>
      <c r="L7328" s="15">
        <v>3.0</v>
      </c>
      <c r="M7328" s="40">
        <v>42924.0</v>
      </c>
      <c r="N7328" s="40">
        <v>42971.0</v>
      </c>
      <c r="O7328" s="15" t="s">
        <v>1554</v>
      </c>
      <c r="Q7328" s="7"/>
    </row>
    <row r="7329">
      <c r="A7329" s="39" t="s">
        <v>27666</v>
      </c>
      <c r="B7329" s="15">
        <v>2016456.0</v>
      </c>
      <c r="C7329" s="15" t="s">
        <v>27667</v>
      </c>
      <c r="D7329" s="15">
        <v>394298.0</v>
      </c>
      <c r="E7329" s="15" t="s">
        <v>1808</v>
      </c>
      <c r="F7329" s="15" t="s">
        <v>1998</v>
      </c>
      <c r="G7329" s="7">
        <v>2.745</v>
      </c>
      <c r="H7329" s="15" t="s">
        <v>1551</v>
      </c>
      <c r="I7329" s="15" t="s">
        <v>1686</v>
      </c>
      <c r="J7329" s="15" t="s">
        <v>27668</v>
      </c>
      <c r="K7329" s="15">
        <v>2.0</v>
      </c>
      <c r="L7329" s="15">
        <v>2.0</v>
      </c>
      <c r="M7329" s="40">
        <v>42924.0</v>
      </c>
      <c r="N7329" s="40">
        <v>42971.0</v>
      </c>
      <c r="O7329" s="15" t="s">
        <v>1554</v>
      </c>
      <c r="Q7329" s="7"/>
    </row>
    <row r="7330">
      <c r="A7330" s="39" t="s">
        <v>27669</v>
      </c>
      <c r="B7330" s="15">
        <v>2016455.0</v>
      </c>
      <c r="C7330" s="15" t="s">
        <v>27670</v>
      </c>
      <c r="D7330" s="15">
        <v>394299.0</v>
      </c>
      <c r="E7330" s="15" t="s">
        <v>1557</v>
      </c>
      <c r="F7330" s="15" t="s">
        <v>1822</v>
      </c>
      <c r="G7330" s="7">
        <v>7.582</v>
      </c>
      <c r="H7330" s="15" t="s">
        <v>8889</v>
      </c>
      <c r="I7330" s="15" t="s">
        <v>1686</v>
      </c>
      <c r="J7330" s="15" t="s">
        <v>27671</v>
      </c>
      <c r="K7330" s="15">
        <v>5.0</v>
      </c>
      <c r="L7330" s="15">
        <v>5.0</v>
      </c>
      <c r="M7330" s="40">
        <v>42924.0</v>
      </c>
      <c r="N7330" s="40">
        <v>42971.0</v>
      </c>
      <c r="O7330" s="15" t="s">
        <v>1554</v>
      </c>
      <c r="Q7330" s="7"/>
    </row>
    <row r="7331">
      <c r="A7331" s="39" t="s">
        <v>27672</v>
      </c>
      <c r="B7331" s="15">
        <v>2016454.0</v>
      </c>
      <c r="C7331" s="15" t="s">
        <v>27673</v>
      </c>
      <c r="D7331" s="15">
        <v>394300.0</v>
      </c>
      <c r="E7331" s="15" t="s">
        <v>1557</v>
      </c>
      <c r="F7331" s="15" t="s">
        <v>1822</v>
      </c>
      <c r="G7331" s="7">
        <v>7.676</v>
      </c>
      <c r="H7331" s="15" t="s">
        <v>1943</v>
      </c>
      <c r="I7331" s="15" t="s">
        <v>1686</v>
      </c>
      <c r="J7331" s="15" t="s">
        <v>27675</v>
      </c>
      <c r="K7331" s="15">
        <v>5.0</v>
      </c>
      <c r="L7331" s="15">
        <v>5.0</v>
      </c>
      <c r="M7331" s="40">
        <v>42924.0</v>
      </c>
      <c r="N7331" s="40">
        <v>42971.0</v>
      </c>
      <c r="O7331" s="15" t="s">
        <v>1554</v>
      </c>
      <c r="Q7331" s="7"/>
    </row>
    <row r="7332">
      <c r="A7332" s="39" t="s">
        <v>27676</v>
      </c>
      <c r="B7332" s="15">
        <v>2016453.0</v>
      </c>
      <c r="C7332" s="15" t="s">
        <v>27677</v>
      </c>
      <c r="D7332" s="15">
        <v>394301.0</v>
      </c>
      <c r="E7332" s="15" t="s">
        <v>1557</v>
      </c>
      <c r="F7332" s="15" t="s">
        <v>1822</v>
      </c>
      <c r="G7332" s="7">
        <v>7.996</v>
      </c>
      <c r="H7332" s="15" t="s">
        <v>1823</v>
      </c>
      <c r="I7332" s="15" t="s">
        <v>1686</v>
      </c>
      <c r="J7332" s="15" t="s">
        <v>27678</v>
      </c>
      <c r="K7332" s="15">
        <v>7.0</v>
      </c>
      <c r="L7332" s="15">
        <v>7.0</v>
      </c>
      <c r="M7332" s="40">
        <v>42924.0</v>
      </c>
      <c r="N7332" s="40">
        <v>42971.0</v>
      </c>
      <c r="O7332" s="15" t="s">
        <v>1554</v>
      </c>
      <c r="Q7332" s="7"/>
    </row>
    <row r="7333">
      <c r="A7333" s="39" t="s">
        <v>27679</v>
      </c>
      <c r="B7333" s="15">
        <v>2016448.0</v>
      </c>
      <c r="C7333" s="15" t="s">
        <v>27680</v>
      </c>
      <c r="D7333" s="15">
        <v>394302.0</v>
      </c>
      <c r="E7333" s="15" t="s">
        <v>1548</v>
      </c>
      <c r="F7333" s="15" t="s">
        <v>1776</v>
      </c>
      <c r="G7333" s="7">
        <v>43320.0</v>
      </c>
      <c r="H7333" s="15" t="s">
        <v>1792</v>
      </c>
      <c r="I7333" s="15" t="s">
        <v>1686</v>
      </c>
      <c r="J7333" s="15" t="s">
        <v>27681</v>
      </c>
      <c r="K7333" s="15">
        <v>1.0</v>
      </c>
      <c r="L7333" s="15">
        <v>1.0</v>
      </c>
      <c r="M7333" s="40">
        <v>42924.0</v>
      </c>
      <c r="N7333" s="40">
        <v>42971.0</v>
      </c>
      <c r="O7333" s="15" t="s">
        <v>1554</v>
      </c>
      <c r="Q7333" s="7"/>
    </row>
    <row r="7334">
      <c r="A7334" s="39" t="s">
        <v>27682</v>
      </c>
      <c r="B7334" s="15">
        <v>2016427.0</v>
      </c>
      <c r="C7334" s="15" t="s">
        <v>27683</v>
      </c>
      <c r="D7334" s="15">
        <v>394303.0</v>
      </c>
      <c r="E7334" s="15" t="s">
        <v>1548</v>
      </c>
      <c r="F7334" s="15" t="s">
        <v>1633</v>
      </c>
      <c r="G7334" s="7">
        <v>6.295</v>
      </c>
      <c r="H7334" s="15" t="s">
        <v>2296</v>
      </c>
      <c r="I7334" s="15" t="s">
        <v>1628</v>
      </c>
      <c r="J7334" s="15" t="s">
        <v>27685</v>
      </c>
      <c r="K7334" s="15">
        <v>5.0</v>
      </c>
      <c r="L7334" s="15">
        <v>5.0</v>
      </c>
      <c r="M7334" s="40">
        <v>42927.0</v>
      </c>
      <c r="N7334" s="40">
        <v>42930.0</v>
      </c>
      <c r="O7334" s="15" t="s">
        <v>1554</v>
      </c>
      <c r="Q7334" s="7"/>
    </row>
    <row r="7335">
      <c r="A7335" s="39" t="s">
        <v>27686</v>
      </c>
      <c r="B7335" s="15">
        <v>2016426.0</v>
      </c>
      <c r="C7335" s="15" t="s">
        <v>27687</v>
      </c>
      <c r="D7335" s="15">
        <v>394304.0</v>
      </c>
      <c r="E7335" s="15" t="s">
        <v>1548</v>
      </c>
      <c r="F7335" s="15" t="s">
        <v>1633</v>
      </c>
      <c r="G7335" s="7">
        <v>7.462</v>
      </c>
      <c r="H7335" s="15" t="s">
        <v>2877</v>
      </c>
      <c r="I7335" s="15" t="s">
        <v>1628</v>
      </c>
      <c r="J7335" s="15" t="s">
        <v>27688</v>
      </c>
      <c r="K7335" s="15">
        <v>6.0</v>
      </c>
      <c r="L7335" s="15">
        <v>6.0</v>
      </c>
      <c r="M7335" s="40">
        <v>42927.0</v>
      </c>
      <c r="N7335" s="40">
        <v>42930.0</v>
      </c>
      <c r="O7335" s="15" t="s">
        <v>1554</v>
      </c>
      <c r="Q7335" s="7"/>
    </row>
    <row r="7336">
      <c r="A7336" s="39" t="s">
        <v>27689</v>
      </c>
      <c r="B7336" s="15">
        <v>2016035.0</v>
      </c>
      <c r="C7336" s="15" t="s">
        <v>27690</v>
      </c>
      <c r="D7336" s="15">
        <v>394305.0</v>
      </c>
      <c r="E7336" s="15" t="s">
        <v>1548</v>
      </c>
      <c r="F7336" s="15" t="s">
        <v>1786</v>
      </c>
      <c r="G7336" s="7">
        <v>8.701</v>
      </c>
      <c r="H7336" s="15">
        <v>43.0</v>
      </c>
      <c r="I7336" s="15" t="s">
        <v>1628</v>
      </c>
      <c r="J7336" s="15" t="s">
        <v>27692</v>
      </c>
      <c r="K7336" s="15">
        <v>5.0</v>
      </c>
      <c r="L7336" s="15">
        <v>5.0</v>
      </c>
      <c r="M7336" s="40">
        <v>42926.0</v>
      </c>
      <c r="N7336" s="40">
        <v>43014.0</v>
      </c>
      <c r="O7336" s="15" t="s">
        <v>1554</v>
      </c>
      <c r="Q7336" s="7"/>
    </row>
    <row r="7337">
      <c r="A7337" s="39" t="s">
        <v>27693</v>
      </c>
      <c r="B7337" s="15">
        <v>2016034.0</v>
      </c>
      <c r="C7337" s="15" t="s">
        <v>27694</v>
      </c>
      <c r="D7337" s="15">
        <v>394306.0</v>
      </c>
      <c r="E7337" s="15" t="s">
        <v>1548</v>
      </c>
      <c r="F7337" s="15" t="s">
        <v>1786</v>
      </c>
      <c r="G7337" s="7">
        <v>7.476</v>
      </c>
      <c r="H7337" s="15" t="s">
        <v>2901</v>
      </c>
      <c r="I7337" s="15" t="s">
        <v>1628</v>
      </c>
      <c r="J7337" s="15" t="s">
        <v>27695</v>
      </c>
      <c r="K7337" s="15">
        <v>5.0</v>
      </c>
      <c r="L7337" s="15">
        <v>5.0</v>
      </c>
      <c r="M7337" s="40">
        <v>42926.0</v>
      </c>
      <c r="N7337" s="40">
        <v>42978.0</v>
      </c>
      <c r="O7337" s="15" t="s">
        <v>1554</v>
      </c>
      <c r="Q7337" s="7"/>
    </row>
    <row r="7338">
      <c r="A7338" s="39" t="s">
        <v>27696</v>
      </c>
      <c r="B7338" s="15">
        <v>2014603.0</v>
      </c>
      <c r="C7338" s="15" t="s">
        <v>27697</v>
      </c>
      <c r="D7338" s="15">
        <v>394307.0</v>
      </c>
      <c r="E7338" s="15" t="s">
        <v>1808</v>
      </c>
      <c r="F7338" s="15" t="s">
        <v>2436</v>
      </c>
      <c r="G7338" s="7">
        <v>5.183</v>
      </c>
      <c r="H7338" s="15" t="s">
        <v>5382</v>
      </c>
      <c r="I7338" s="15" t="s">
        <v>1686</v>
      </c>
      <c r="J7338" s="15" t="s">
        <v>27698</v>
      </c>
      <c r="K7338" s="15">
        <v>4.0</v>
      </c>
      <c r="L7338" s="15">
        <v>4.0</v>
      </c>
      <c r="M7338" s="40">
        <v>42912.0</v>
      </c>
      <c r="N7338" s="40">
        <v>42930.0</v>
      </c>
      <c r="O7338" s="15" t="s">
        <v>1554</v>
      </c>
      <c r="Q7338" s="7"/>
    </row>
    <row r="7339">
      <c r="A7339" s="39" t="s">
        <v>27700</v>
      </c>
      <c r="B7339" s="15">
        <v>2013968.0</v>
      </c>
      <c r="C7339" s="15" t="s">
        <v>27701</v>
      </c>
      <c r="D7339" s="15">
        <v>394308.0</v>
      </c>
      <c r="E7339" s="15" t="s">
        <v>1548</v>
      </c>
      <c r="F7339" s="15" t="s">
        <v>1633</v>
      </c>
      <c r="G7339" s="7">
        <v>7.279</v>
      </c>
      <c r="H7339" s="15" t="s">
        <v>5368</v>
      </c>
      <c r="I7339" s="15" t="s">
        <v>1628</v>
      </c>
      <c r="J7339" s="15" t="s">
        <v>27702</v>
      </c>
      <c r="K7339" s="15">
        <v>5.0</v>
      </c>
      <c r="L7339" s="15">
        <v>5.0</v>
      </c>
      <c r="M7339" s="40">
        <v>42918.0</v>
      </c>
      <c r="N7339" s="40">
        <v>42930.0</v>
      </c>
      <c r="O7339" s="15" t="s">
        <v>1554</v>
      </c>
      <c r="Q7339" s="7"/>
    </row>
    <row r="7340">
      <c r="A7340" s="39" t="s">
        <v>27703</v>
      </c>
      <c r="B7340" s="15">
        <v>2010269.0</v>
      </c>
      <c r="C7340" s="15" t="s">
        <v>27704</v>
      </c>
      <c r="D7340" s="15">
        <v>394309.0</v>
      </c>
      <c r="E7340" s="15" t="s">
        <v>1577</v>
      </c>
      <c r="F7340" s="15" t="s">
        <v>1578</v>
      </c>
      <c r="G7340" s="7">
        <v>14.009</v>
      </c>
      <c r="H7340" s="15" t="s">
        <v>27705</v>
      </c>
      <c r="I7340" s="15" t="s">
        <v>1560</v>
      </c>
      <c r="J7340" s="15" t="s">
        <v>27706</v>
      </c>
      <c r="K7340" s="15">
        <v>4.0</v>
      </c>
      <c r="L7340" s="15">
        <v>4.0</v>
      </c>
      <c r="M7340" s="40">
        <v>42906.0</v>
      </c>
      <c r="N7340" s="40">
        <v>42930.0</v>
      </c>
      <c r="O7340" s="15" t="s">
        <v>1554</v>
      </c>
      <c r="Q7340" s="7"/>
    </row>
    <row r="7341">
      <c r="A7341" s="39" t="s">
        <v>27707</v>
      </c>
      <c r="B7341" s="15">
        <v>2006642.0</v>
      </c>
      <c r="C7341" s="15" t="s">
        <v>27708</v>
      </c>
      <c r="D7341" s="15">
        <v>394310.0</v>
      </c>
      <c r="E7341" s="15" t="s">
        <v>1808</v>
      </c>
      <c r="F7341" s="15" t="s">
        <v>1998</v>
      </c>
      <c r="G7341" s="7">
        <v>1.971</v>
      </c>
      <c r="H7341" s="15" t="s">
        <v>3082</v>
      </c>
      <c r="I7341" s="15" t="s">
        <v>1686</v>
      </c>
      <c r="J7341" s="15" t="s">
        <v>27709</v>
      </c>
      <c r="K7341" s="15">
        <v>2.0</v>
      </c>
      <c r="L7341" s="15">
        <v>2.0</v>
      </c>
      <c r="M7341" s="40">
        <v>42916.0</v>
      </c>
      <c r="N7341" s="40">
        <v>42930.0</v>
      </c>
      <c r="O7341" s="15" t="s">
        <v>1554</v>
      </c>
      <c r="Q7341" s="7"/>
    </row>
    <row r="7342">
      <c r="A7342" s="39" t="s">
        <v>27710</v>
      </c>
      <c r="B7342" s="15">
        <v>1969400.0</v>
      </c>
      <c r="C7342" s="15" t="s">
        <v>27711</v>
      </c>
      <c r="D7342" s="15">
        <v>394311.0</v>
      </c>
      <c r="E7342" s="15" t="s">
        <v>1548</v>
      </c>
      <c r="F7342" s="15" t="s">
        <v>1801</v>
      </c>
      <c r="G7342" s="7">
        <v>10.026</v>
      </c>
      <c r="H7342" s="15">
        <v>54.0</v>
      </c>
      <c r="I7342" s="15" t="s">
        <v>1560</v>
      </c>
      <c r="J7342" s="15" t="s">
        <v>27712</v>
      </c>
      <c r="K7342" s="15">
        <v>1.0</v>
      </c>
      <c r="L7342" s="15">
        <v>1.0</v>
      </c>
      <c r="M7342" s="40">
        <v>42914.0</v>
      </c>
      <c r="N7342" s="40">
        <v>42930.0</v>
      </c>
      <c r="O7342" s="15" t="s">
        <v>1554</v>
      </c>
      <c r="Q7342" s="7"/>
    </row>
    <row r="7343">
      <c r="A7343" s="39" t="s">
        <v>27713</v>
      </c>
      <c r="B7343" s="15">
        <v>1968887.0</v>
      </c>
      <c r="C7343" s="15" t="s">
        <v>27714</v>
      </c>
      <c r="D7343" s="15">
        <v>394312.0</v>
      </c>
      <c r="E7343" s="15" t="s">
        <v>1557</v>
      </c>
      <c r="F7343" s="15" t="s">
        <v>2628</v>
      </c>
      <c r="G7343" s="7">
        <v>35.03</v>
      </c>
      <c r="H7343" s="15" t="s">
        <v>2107</v>
      </c>
      <c r="I7343" s="15" t="s">
        <v>1686</v>
      </c>
      <c r="J7343" s="15" t="s">
        <v>27715</v>
      </c>
      <c r="K7343" s="15">
        <v>29.0</v>
      </c>
      <c r="L7343" s="15">
        <v>29.0</v>
      </c>
      <c r="M7343" s="40">
        <v>42928.0</v>
      </c>
      <c r="N7343" s="40">
        <v>42930.0</v>
      </c>
      <c r="O7343" s="15" t="s">
        <v>1554</v>
      </c>
      <c r="Q7343" s="7"/>
    </row>
    <row r="7344">
      <c r="A7344" s="39" t="s">
        <v>27716</v>
      </c>
      <c r="B7344" s="15">
        <v>1961162.0</v>
      </c>
      <c r="C7344" s="15" t="s">
        <v>27718</v>
      </c>
      <c r="D7344" s="15">
        <v>394313.0</v>
      </c>
      <c r="E7344" s="15" t="s">
        <v>1638</v>
      </c>
      <c r="F7344" s="15" t="s">
        <v>1649</v>
      </c>
      <c r="G7344" s="7">
        <v>1.689</v>
      </c>
      <c r="H7344" s="15" t="s">
        <v>2877</v>
      </c>
      <c r="I7344" s="15" t="s">
        <v>1686</v>
      </c>
      <c r="J7344" s="15" t="s">
        <v>27719</v>
      </c>
      <c r="K7344" s="15">
        <v>1.0</v>
      </c>
      <c r="L7344" s="15">
        <v>1.0</v>
      </c>
      <c r="M7344" s="40">
        <v>42928.0</v>
      </c>
      <c r="N7344" s="40">
        <v>42930.0</v>
      </c>
      <c r="O7344" s="15" t="s">
        <v>1554</v>
      </c>
      <c r="Q7344" s="7"/>
    </row>
    <row r="7345">
      <c r="A7345" s="39" t="s">
        <v>27720</v>
      </c>
      <c r="B7345" s="15">
        <v>187984.0</v>
      </c>
      <c r="C7345" s="15" t="s">
        <v>27721</v>
      </c>
      <c r="D7345" s="15">
        <v>394314.0</v>
      </c>
      <c r="E7345" s="15" t="s">
        <v>1557</v>
      </c>
      <c r="F7345" s="15" t="s">
        <v>2028</v>
      </c>
      <c r="G7345" s="7">
        <v>127.941</v>
      </c>
      <c r="H7345" s="15" t="s">
        <v>5199</v>
      </c>
      <c r="I7345" s="15" t="s">
        <v>1686</v>
      </c>
      <c r="J7345" s="15" t="s">
        <v>27723</v>
      </c>
      <c r="K7345" s="15">
        <v>120.0</v>
      </c>
      <c r="L7345" s="15">
        <v>120.0</v>
      </c>
      <c r="M7345" s="40">
        <v>42913.0</v>
      </c>
      <c r="N7345" s="40">
        <v>42930.0</v>
      </c>
      <c r="O7345" s="15" t="s">
        <v>1554</v>
      </c>
      <c r="Q7345" s="7"/>
    </row>
    <row r="7346">
      <c r="A7346" s="39" t="s">
        <v>27724</v>
      </c>
      <c r="B7346" s="15">
        <v>1872708.0</v>
      </c>
      <c r="C7346" s="15" t="s">
        <v>27725</v>
      </c>
      <c r="D7346" s="15">
        <v>394315.0</v>
      </c>
      <c r="E7346" s="15" t="s">
        <v>1638</v>
      </c>
      <c r="F7346" s="15" t="s">
        <v>2539</v>
      </c>
      <c r="G7346" s="7">
        <v>3.387</v>
      </c>
      <c r="H7346" s="15" t="s">
        <v>1828</v>
      </c>
      <c r="I7346" s="15" t="s">
        <v>1552</v>
      </c>
      <c r="J7346" s="15" t="s">
        <v>27726</v>
      </c>
      <c r="K7346" s="15">
        <v>2.0</v>
      </c>
      <c r="L7346" s="15">
        <v>2.0</v>
      </c>
      <c r="M7346" s="40">
        <v>42917.0</v>
      </c>
      <c r="N7346" s="40">
        <v>42930.0</v>
      </c>
      <c r="O7346" s="15" t="s">
        <v>1554</v>
      </c>
      <c r="Q7346" s="7"/>
    </row>
    <row r="7347">
      <c r="A7347" s="39" t="s">
        <v>27727</v>
      </c>
      <c r="B7347" s="15">
        <v>1810396.0</v>
      </c>
      <c r="C7347" s="15" t="s">
        <v>27728</v>
      </c>
      <c r="D7347" s="15">
        <v>394316.0</v>
      </c>
      <c r="E7347" s="15" t="s">
        <v>1548</v>
      </c>
      <c r="F7347" s="15" t="s">
        <v>1626</v>
      </c>
      <c r="G7347" s="7">
        <v>11.775</v>
      </c>
      <c r="H7347" s="15" t="s">
        <v>27729</v>
      </c>
      <c r="I7347" s="15" t="s">
        <v>1628</v>
      </c>
      <c r="J7347" s="15" t="s">
        <v>27731</v>
      </c>
      <c r="K7347" s="15">
        <v>3.0</v>
      </c>
      <c r="L7347" s="15">
        <v>3.0</v>
      </c>
      <c r="M7347" s="40">
        <v>42438.0</v>
      </c>
      <c r="N7347" s="40">
        <v>42968.0</v>
      </c>
      <c r="O7347" s="15" t="s">
        <v>1554</v>
      </c>
      <c r="Q7347" s="7"/>
    </row>
    <row r="7348">
      <c r="A7348" s="39" t="s">
        <v>27732</v>
      </c>
      <c r="B7348" s="15">
        <v>1561160.0</v>
      </c>
      <c r="C7348" s="15" t="s">
        <v>27733</v>
      </c>
      <c r="D7348" s="15">
        <v>394318.0</v>
      </c>
      <c r="E7348" s="15" t="s">
        <v>1548</v>
      </c>
      <c r="F7348" s="15" t="s">
        <v>1626</v>
      </c>
      <c r="G7348" s="7">
        <v>12.031</v>
      </c>
      <c r="H7348" s="15" t="s">
        <v>27734</v>
      </c>
      <c r="I7348" s="15" t="s">
        <v>1628</v>
      </c>
      <c r="J7348" s="15" t="s">
        <v>27735</v>
      </c>
      <c r="K7348" s="15">
        <v>3.0</v>
      </c>
      <c r="L7348" s="15">
        <v>3.0</v>
      </c>
      <c r="M7348" s="41">
        <v>41933.0</v>
      </c>
      <c r="N7348" s="40">
        <v>42968.0</v>
      </c>
      <c r="O7348" s="15" t="s">
        <v>1554</v>
      </c>
      <c r="Q7348" s="7"/>
    </row>
    <row r="7349">
      <c r="A7349" s="39" t="s">
        <v>27736</v>
      </c>
      <c r="B7349" s="15">
        <v>1511916.0</v>
      </c>
      <c r="C7349" s="15" t="s">
        <v>27737</v>
      </c>
      <c r="D7349" s="15">
        <v>394319.0</v>
      </c>
      <c r="E7349" s="15" t="s">
        <v>1808</v>
      </c>
      <c r="F7349" s="15" t="s">
        <v>2436</v>
      </c>
      <c r="G7349" s="7">
        <v>5.533</v>
      </c>
      <c r="H7349" s="15" t="s">
        <v>3794</v>
      </c>
      <c r="I7349" s="15" t="s">
        <v>1686</v>
      </c>
      <c r="J7349" s="15" t="s">
        <v>27738</v>
      </c>
      <c r="K7349" s="15">
        <v>2.0</v>
      </c>
      <c r="L7349" s="15">
        <v>2.0</v>
      </c>
      <c r="M7349" s="40">
        <v>42916.0</v>
      </c>
      <c r="N7349" s="40">
        <v>42930.0</v>
      </c>
      <c r="O7349" s="15" t="s">
        <v>1554</v>
      </c>
      <c r="Q7349" s="7"/>
    </row>
    <row r="7350">
      <c r="A7350" s="39" t="s">
        <v>27739</v>
      </c>
      <c r="B7350" s="15">
        <v>1508228.0</v>
      </c>
      <c r="C7350" s="15" t="s">
        <v>27740</v>
      </c>
      <c r="D7350" s="15">
        <v>394320.0</v>
      </c>
      <c r="E7350" s="15" t="s">
        <v>1548</v>
      </c>
      <c r="F7350" s="15" t="s">
        <v>1684</v>
      </c>
      <c r="G7350" s="7">
        <v>25.995</v>
      </c>
      <c r="H7350" s="15">
        <v>32.0</v>
      </c>
      <c r="I7350" s="15" t="s">
        <v>1686</v>
      </c>
      <c r="J7350" s="15" t="s">
        <v>27741</v>
      </c>
      <c r="K7350" s="15">
        <v>5.0</v>
      </c>
      <c r="L7350" s="15">
        <v>5.0</v>
      </c>
      <c r="M7350" s="40">
        <v>42922.0</v>
      </c>
      <c r="N7350" s="40">
        <v>42930.0</v>
      </c>
      <c r="O7350" s="15" t="s">
        <v>1554</v>
      </c>
      <c r="Q7350" s="7"/>
    </row>
    <row r="7351">
      <c r="A7351" s="39" t="s">
        <v>27743</v>
      </c>
      <c r="B7351" s="15">
        <v>1358807.0</v>
      </c>
      <c r="C7351" s="15" t="s">
        <v>27744</v>
      </c>
      <c r="D7351" s="15">
        <v>394321.0</v>
      </c>
      <c r="E7351" s="15" t="s">
        <v>1548</v>
      </c>
      <c r="F7351" s="15" t="s">
        <v>1626</v>
      </c>
      <c r="G7351" s="7">
        <v>12.886</v>
      </c>
      <c r="H7351" s="15" t="s">
        <v>27745</v>
      </c>
      <c r="I7351" s="15" t="s">
        <v>1628</v>
      </c>
      <c r="J7351" s="15" t="s">
        <v>27746</v>
      </c>
      <c r="K7351" s="15">
        <v>3.0</v>
      </c>
      <c r="L7351" s="15">
        <v>3.0</v>
      </c>
      <c r="M7351" s="40">
        <v>41482.0</v>
      </c>
      <c r="N7351" s="40">
        <v>42968.0</v>
      </c>
      <c r="O7351" s="15" t="s">
        <v>1554</v>
      </c>
      <c r="Q7351" s="7"/>
    </row>
    <row r="7352">
      <c r="A7352" s="39" t="s">
        <v>27747</v>
      </c>
      <c r="B7352" s="15">
        <v>10571.0</v>
      </c>
      <c r="C7352" s="15" t="s">
        <v>27748</v>
      </c>
      <c r="D7352" s="15">
        <v>394322.0</v>
      </c>
      <c r="E7352" s="15" t="s">
        <v>1557</v>
      </c>
      <c r="F7352" s="15" t="s">
        <v>1822</v>
      </c>
      <c r="G7352" s="7">
        <v>7.48</v>
      </c>
      <c r="H7352" s="15" t="s">
        <v>2392</v>
      </c>
      <c r="I7352" s="15" t="s">
        <v>1686</v>
      </c>
      <c r="J7352" s="15" t="s">
        <v>27749</v>
      </c>
      <c r="K7352" s="15">
        <v>6.0</v>
      </c>
      <c r="L7352" s="15">
        <v>6.0</v>
      </c>
      <c r="M7352" s="40">
        <v>42912.0</v>
      </c>
      <c r="N7352" s="40">
        <v>42930.0</v>
      </c>
      <c r="O7352" s="15" t="s">
        <v>1554</v>
      </c>
      <c r="Q7352" s="7"/>
    </row>
    <row r="7353">
      <c r="A7353" s="39" t="s">
        <v>27751</v>
      </c>
      <c r="B7353" s="15">
        <v>1041883.0</v>
      </c>
      <c r="C7353" s="15" t="s">
        <v>27752</v>
      </c>
      <c r="D7353" s="15">
        <v>394323.0</v>
      </c>
      <c r="E7353" s="15" t="s">
        <v>1548</v>
      </c>
      <c r="F7353" s="15" t="s">
        <v>2788</v>
      </c>
      <c r="G7353" s="7">
        <v>9.691</v>
      </c>
      <c r="H7353" s="15" t="s">
        <v>2597</v>
      </c>
      <c r="I7353" s="15" t="s">
        <v>1560</v>
      </c>
      <c r="J7353" s="15" t="s">
        <v>27753</v>
      </c>
      <c r="K7353" s="15">
        <v>2.0</v>
      </c>
      <c r="L7353" s="15">
        <v>2.0</v>
      </c>
      <c r="M7353" s="40">
        <v>42927.0</v>
      </c>
      <c r="N7353" s="40">
        <v>42930.0</v>
      </c>
      <c r="O7353" s="15" t="s">
        <v>1554</v>
      </c>
      <c r="Q7353" s="7"/>
    </row>
    <row r="7354">
      <c r="A7354" s="39" t="s">
        <v>27754</v>
      </c>
      <c r="B7354" s="15">
        <v>2014604.0</v>
      </c>
      <c r="C7354" s="15" t="s">
        <v>27755</v>
      </c>
      <c r="D7354" s="15">
        <v>392668.0</v>
      </c>
      <c r="E7354" s="15" t="s">
        <v>1808</v>
      </c>
      <c r="F7354" s="15" t="s">
        <v>2436</v>
      </c>
      <c r="G7354" s="7">
        <v>5.189</v>
      </c>
      <c r="H7354" s="15" t="s">
        <v>2223</v>
      </c>
      <c r="I7354" s="15" t="s">
        <v>1686</v>
      </c>
      <c r="J7354" s="15" t="s">
        <v>27756</v>
      </c>
      <c r="K7354" s="15">
        <v>3.0</v>
      </c>
      <c r="L7354" s="15">
        <v>3.0</v>
      </c>
      <c r="M7354" s="40">
        <v>42912.0</v>
      </c>
      <c r="N7354" s="40">
        <v>42931.0</v>
      </c>
      <c r="O7354" s="15" t="s">
        <v>1554</v>
      </c>
      <c r="Q7354" s="7"/>
    </row>
    <row r="7355">
      <c r="A7355" s="39" t="s">
        <v>27757</v>
      </c>
      <c r="B7355" s="15">
        <v>1868659.0</v>
      </c>
      <c r="C7355" s="15" t="s">
        <v>27758</v>
      </c>
      <c r="D7355" s="15">
        <v>393198.0</v>
      </c>
      <c r="E7355" s="15" t="s">
        <v>1808</v>
      </c>
      <c r="F7355" s="15" t="s">
        <v>1809</v>
      </c>
      <c r="G7355" s="7">
        <v>2.749</v>
      </c>
      <c r="H7355" s="15" t="s">
        <v>2836</v>
      </c>
      <c r="I7355" s="15" t="s">
        <v>1628</v>
      </c>
      <c r="J7355" s="15" t="s">
        <v>27759</v>
      </c>
      <c r="K7355" s="15">
        <v>4.0</v>
      </c>
      <c r="L7355" s="15">
        <v>4.0</v>
      </c>
      <c r="M7355" s="40">
        <v>42916.0</v>
      </c>
      <c r="N7355" s="40">
        <v>42931.0</v>
      </c>
      <c r="O7355" s="15" t="s">
        <v>1554</v>
      </c>
      <c r="Q7355" s="7"/>
    </row>
    <row r="7356">
      <c r="A7356" s="39" t="s">
        <v>27760</v>
      </c>
      <c r="B7356" s="15">
        <v>2005055.0</v>
      </c>
      <c r="C7356" s="15" t="s">
        <v>27762</v>
      </c>
      <c r="D7356" s="15">
        <v>321701.0</v>
      </c>
      <c r="E7356" s="15" t="s">
        <v>1557</v>
      </c>
      <c r="F7356" s="15" t="s">
        <v>2628</v>
      </c>
      <c r="G7356" s="7">
        <v>24.662</v>
      </c>
      <c r="H7356" s="15" t="s">
        <v>4479</v>
      </c>
      <c r="I7356" s="15" t="s">
        <v>1686</v>
      </c>
      <c r="J7356" s="15" t="s">
        <v>27763</v>
      </c>
      <c r="K7356" s="15">
        <v>22.0</v>
      </c>
      <c r="L7356" s="15">
        <v>22.0</v>
      </c>
      <c r="M7356" s="40">
        <v>42490.0</v>
      </c>
      <c r="N7356" s="40">
        <v>42880.0</v>
      </c>
      <c r="O7356" s="15" t="s">
        <v>1554</v>
      </c>
      <c r="Q7356" s="7"/>
    </row>
    <row r="7357">
      <c r="A7357" s="39" t="s">
        <v>27764</v>
      </c>
      <c r="B7357" s="15">
        <v>586459.0</v>
      </c>
      <c r="C7357" s="15" t="s">
        <v>27765</v>
      </c>
      <c r="D7357" s="15">
        <v>38499.0</v>
      </c>
      <c r="E7357" s="15" t="s">
        <v>1548</v>
      </c>
      <c r="F7357" s="15" t="s">
        <v>1776</v>
      </c>
      <c r="G7357" s="7">
        <v>7.205</v>
      </c>
      <c r="H7357" s="15" t="s">
        <v>3066</v>
      </c>
      <c r="I7357" s="15" t="s">
        <v>1686</v>
      </c>
      <c r="J7357" s="15" t="s">
        <v>27766</v>
      </c>
      <c r="K7357" s="15">
        <v>1.0</v>
      </c>
      <c r="L7357" s="15">
        <v>1.0</v>
      </c>
      <c r="M7357" s="40">
        <v>39823.0</v>
      </c>
      <c r="N7357" s="40">
        <v>42045.0</v>
      </c>
      <c r="O7357" s="15" t="s">
        <v>1554</v>
      </c>
      <c r="Q7357" s="7"/>
    </row>
    <row r="7358">
      <c r="A7358" s="39" t="s">
        <v>27767</v>
      </c>
      <c r="B7358" s="15">
        <v>2008764.0</v>
      </c>
      <c r="C7358" s="15" t="s">
        <v>27768</v>
      </c>
      <c r="D7358" s="15">
        <v>198869.0</v>
      </c>
      <c r="E7358" s="15" t="s">
        <v>1548</v>
      </c>
      <c r="F7358" s="15" t="s">
        <v>1801</v>
      </c>
      <c r="G7358" s="7">
        <v>8.879</v>
      </c>
      <c r="H7358" s="15" t="s">
        <v>3776</v>
      </c>
      <c r="I7358" s="15" t="s">
        <v>1567</v>
      </c>
      <c r="J7358" s="15" t="s">
        <v>27769</v>
      </c>
      <c r="K7358" s="15">
        <v>1.0</v>
      </c>
      <c r="L7358" s="15">
        <v>1.0</v>
      </c>
      <c r="M7358" s="40">
        <v>41385.0</v>
      </c>
      <c r="N7358" s="40">
        <v>42894.0</v>
      </c>
      <c r="O7358" s="15" t="s">
        <v>1554</v>
      </c>
      <c r="Q7358" s="7"/>
    </row>
    <row r="7359">
      <c r="A7359" s="39" t="s">
        <v>27770</v>
      </c>
      <c r="B7359" s="15">
        <v>2008767.0</v>
      </c>
      <c r="C7359" s="15" t="s">
        <v>27771</v>
      </c>
      <c r="D7359" s="15">
        <v>267779.0</v>
      </c>
      <c r="E7359" s="15" t="s">
        <v>1548</v>
      </c>
      <c r="F7359" s="15" t="s">
        <v>1801</v>
      </c>
      <c r="G7359" s="7">
        <v>8.568</v>
      </c>
      <c r="H7359" s="15" t="s">
        <v>4902</v>
      </c>
      <c r="I7359" s="15" t="s">
        <v>1567</v>
      </c>
      <c r="J7359" s="15" t="s">
        <v>27772</v>
      </c>
      <c r="K7359" s="15">
        <v>1.0</v>
      </c>
      <c r="L7359" s="15">
        <v>1.0</v>
      </c>
      <c r="M7359" s="41">
        <v>41939.0</v>
      </c>
      <c r="N7359" s="40">
        <v>42894.0</v>
      </c>
      <c r="O7359" s="15" t="s">
        <v>1554</v>
      </c>
      <c r="Q7359" s="7"/>
    </row>
    <row r="7360">
      <c r="A7360" s="39" t="s">
        <v>27773</v>
      </c>
      <c r="B7360" s="15">
        <v>2008766.0</v>
      </c>
      <c r="C7360" s="15" t="s">
        <v>27774</v>
      </c>
      <c r="D7360" s="15">
        <v>267736.0</v>
      </c>
      <c r="E7360" s="15" t="s">
        <v>1548</v>
      </c>
      <c r="F7360" s="15" t="s">
        <v>1801</v>
      </c>
      <c r="G7360" s="7">
        <v>8.976</v>
      </c>
      <c r="H7360" s="15">
        <v>55.0</v>
      </c>
      <c r="I7360" s="15" t="s">
        <v>1567</v>
      </c>
      <c r="J7360" s="15" t="s">
        <v>27775</v>
      </c>
      <c r="K7360" s="15">
        <v>1.0</v>
      </c>
      <c r="L7360" s="15">
        <v>1.0</v>
      </c>
      <c r="M7360" s="41">
        <v>41939.0</v>
      </c>
      <c r="N7360" s="40">
        <v>42894.0</v>
      </c>
      <c r="O7360" s="15" t="s">
        <v>1554</v>
      </c>
      <c r="Q7360" s="7"/>
    </row>
    <row r="7361">
      <c r="A7361" s="39" t="s">
        <v>27776</v>
      </c>
      <c r="B7361" s="15">
        <v>1963254.0</v>
      </c>
      <c r="C7361" s="15" t="s">
        <v>22413</v>
      </c>
      <c r="D7361" s="15">
        <v>338014.0</v>
      </c>
      <c r="E7361" s="15" t="s">
        <v>1638</v>
      </c>
      <c r="F7361" s="15" t="s">
        <v>1863</v>
      </c>
      <c r="G7361" s="7">
        <v>23.307</v>
      </c>
      <c r="H7361" s="15" t="s">
        <v>27778</v>
      </c>
      <c r="I7361" s="15" t="s">
        <v>1686</v>
      </c>
      <c r="J7361" s="15" t="s">
        <v>27779</v>
      </c>
      <c r="K7361" s="15">
        <v>12.0</v>
      </c>
      <c r="L7361" s="15">
        <v>12.0</v>
      </c>
      <c r="M7361" s="40">
        <v>42795.0</v>
      </c>
      <c r="N7361" s="40">
        <v>42802.0</v>
      </c>
      <c r="O7361" s="15" t="s">
        <v>1554</v>
      </c>
      <c r="Q7361" s="7"/>
    </row>
    <row r="7362">
      <c r="A7362" s="39" t="s">
        <v>27780</v>
      </c>
      <c r="B7362" s="15">
        <v>1980539.0</v>
      </c>
      <c r="C7362" s="15" t="s">
        <v>27781</v>
      </c>
      <c r="D7362" s="15">
        <v>385636.0</v>
      </c>
      <c r="E7362" s="15" t="s">
        <v>1548</v>
      </c>
      <c r="F7362" s="15" t="s">
        <v>27782</v>
      </c>
      <c r="G7362" s="7">
        <v>11.701</v>
      </c>
      <c r="H7362" s="15" t="s">
        <v>27783</v>
      </c>
      <c r="I7362" s="15" t="s">
        <v>1560</v>
      </c>
      <c r="J7362" s="15" t="s">
        <v>27784</v>
      </c>
      <c r="K7362" s="15">
        <v>3.0</v>
      </c>
      <c r="L7362" s="15">
        <v>3.0</v>
      </c>
      <c r="M7362" s="40">
        <v>41787.0</v>
      </c>
      <c r="N7362" s="40">
        <v>42975.0</v>
      </c>
      <c r="O7362" s="15" t="s">
        <v>1554</v>
      </c>
      <c r="Q7362" s="7"/>
    </row>
    <row r="7363">
      <c r="A7363" s="39" t="s">
        <v>27785</v>
      </c>
      <c r="B7363" s="15">
        <v>2022783.0</v>
      </c>
      <c r="C7363" s="15" t="s">
        <v>27786</v>
      </c>
      <c r="D7363" s="15">
        <v>392136.0</v>
      </c>
      <c r="E7363" s="15" t="s">
        <v>1557</v>
      </c>
      <c r="F7363" s="15" t="s">
        <v>1827</v>
      </c>
      <c r="G7363" s="7">
        <v>167.212</v>
      </c>
      <c r="H7363" s="15" t="s">
        <v>3220</v>
      </c>
      <c r="I7363" s="15" t="s">
        <v>1686</v>
      </c>
      <c r="J7363" s="15" t="s">
        <v>27787</v>
      </c>
      <c r="K7363" s="15">
        <v>72.0</v>
      </c>
      <c r="L7363" s="15">
        <v>72.0</v>
      </c>
      <c r="M7363" s="40">
        <v>42899.0</v>
      </c>
      <c r="N7363" s="40">
        <v>42971.0</v>
      </c>
      <c r="O7363" s="15" t="s">
        <v>1554</v>
      </c>
      <c r="Q7363" s="7"/>
    </row>
    <row r="7364">
      <c r="A7364" s="39" t="s">
        <v>27789</v>
      </c>
      <c r="B7364" s="15">
        <v>2025595.0</v>
      </c>
      <c r="C7364" s="15" t="s">
        <v>27790</v>
      </c>
      <c r="D7364" s="15">
        <v>399942.0</v>
      </c>
      <c r="E7364" s="15" t="s">
        <v>1664</v>
      </c>
      <c r="F7364" s="15" t="s">
        <v>1664</v>
      </c>
      <c r="G7364" s="7">
        <v>10.187</v>
      </c>
      <c r="H7364" s="15" t="s">
        <v>1902</v>
      </c>
      <c r="I7364" s="15" t="s">
        <v>1722</v>
      </c>
      <c r="J7364" s="15" t="s">
        <v>27791</v>
      </c>
      <c r="K7364" s="15">
        <v>3.0</v>
      </c>
      <c r="L7364" s="15">
        <v>3.0</v>
      </c>
      <c r="M7364" s="40">
        <v>42961.0</v>
      </c>
      <c r="N7364" s="40">
        <v>42971.0</v>
      </c>
      <c r="O7364" s="15" t="s">
        <v>1554</v>
      </c>
      <c r="Q7364" s="7"/>
    </row>
    <row r="7365">
      <c r="A7365" s="39" t="s">
        <v>27792</v>
      </c>
      <c r="B7365" s="15">
        <v>1906172.0</v>
      </c>
      <c r="C7365" s="15" t="s">
        <v>27793</v>
      </c>
      <c r="D7365" s="15">
        <v>399943.0</v>
      </c>
      <c r="E7365" s="15" t="s">
        <v>1548</v>
      </c>
      <c r="F7365" s="15" t="s">
        <v>1848</v>
      </c>
      <c r="G7365" s="7">
        <v>5.85</v>
      </c>
      <c r="H7365" s="15" t="s">
        <v>10437</v>
      </c>
      <c r="I7365" s="15" t="s">
        <v>1686</v>
      </c>
      <c r="J7365" s="15" t="s">
        <v>27794</v>
      </c>
      <c r="K7365" s="15">
        <v>2.0</v>
      </c>
      <c r="L7365" s="15">
        <v>2.0</v>
      </c>
      <c r="M7365" s="41">
        <v>42731.0</v>
      </c>
      <c r="N7365" s="40">
        <v>42971.0</v>
      </c>
      <c r="O7365" s="15" t="s">
        <v>1554</v>
      </c>
      <c r="Q7365" s="7"/>
    </row>
    <row r="7366">
      <c r="A7366" s="39" t="s">
        <v>27795</v>
      </c>
      <c r="B7366" s="15">
        <v>2025360.0</v>
      </c>
      <c r="C7366" s="15" t="s">
        <v>27796</v>
      </c>
      <c r="D7366" s="15">
        <v>399944.0</v>
      </c>
      <c r="E7366" s="15" t="s">
        <v>1557</v>
      </c>
      <c r="F7366" s="15" t="s">
        <v>2028</v>
      </c>
      <c r="G7366" s="7">
        <v>200.223</v>
      </c>
      <c r="H7366" s="42">
        <v>43249.0</v>
      </c>
      <c r="I7366" s="15" t="s">
        <v>1686</v>
      </c>
      <c r="J7366" s="15" t="s">
        <v>27797</v>
      </c>
      <c r="K7366" s="15">
        <v>197.0</v>
      </c>
      <c r="L7366" s="15">
        <v>197.0</v>
      </c>
      <c r="M7366" s="40">
        <v>42961.0</v>
      </c>
      <c r="N7366" s="40">
        <v>42971.0</v>
      </c>
      <c r="O7366" s="15" t="s">
        <v>1554</v>
      </c>
      <c r="Q7366" s="7"/>
    </row>
    <row r="7367">
      <c r="A7367" s="39" t="s">
        <v>27799</v>
      </c>
      <c r="B7367" s="15">
        <v>2025359.0</v>
      </c>
      <c r="C7367" s="15" t="s">
        <v>27800</v>
      </c>
      <c r="D7367" s="15">
        <v>399945.0</v>
      </c>
      <c r="E7367" s="15" t="s">
        <v>1557</v>
      </c>
      <c r="F7367" s="15" t="s">
        <v>2028</v>
      </c>
      <c r="G7367" s="7">
        <v>204.055</v>
      </c>
      <c r="H7367" s="42">
        <v>43341.0</v>
      </c>
      <c r="I7367" s="15" t="s">
        <v>1686</v>
      </c>
      <c r="J7367" s="15" t="s">
        <v>27801</v>
      </c>
      <c r="K7367" s="15">
        <v>206.0</v>
      </c>
      <c r="L7367" s="15">
        <v>206.0</v>
      </c>
      <c r="M7367" s="40">
        <v>42961.0</v>
      </c>
      <c r="N7367" s="40">
        <v>42971.0</v>
      </c>
      <c r="O7367" s="15" t="s">
        <v>1554</v>
      </c>
      <c r="Q7367" s="7"/>
    </row>
    <row r="7368">
      <c r="A7368" s="39" t="s">
        <v>27802</v>
      </c>
      <c r="B7368" s="15">
        <v>2025352.0</v>
      </c>
      <c r="C7368" s="15" t="s">
        <v>27803</v>
      </c>
      <c r="D7368" s="15">
        <v>399946.0</v>
      </c>
      <c r="E7368" s="15" t="s">
        <v>1808</v>
      </c>
      <c r="F7368" s="15" t="s">
        <v>1809</v>
      </c>
      <c r="G7368" s="7">
        <v>3.278</v>
      </c>
      <c r="H7368" s="15" t="s">
        <v>2023</v>
      </c>
      <c r="I7368" s="15" t="s">
        <v>1628</v>
      </c>
      <c r="J7368" s="15" t="s">
        <v>27804</v>
      </c>
      <c r="K7368" s="15">
        <v>6.0</v>
      </c>
      <c r="L7368" s="15">
        <v>6.0</v>
      </c>
      <c r="M7368" s="40">
        <v>42961.0</v>
      </c>
      <c r="N7368" s="40">
        <v>42971.0</v>
      </c>
      <c r="O7368" s="15" t="s">
        <v>1554</v>
      </c>
      <c r="Q7368" s="7"/>
    </row>
    <row r="7369">
      <c r="A7369" s="39" t="s">
        <v>27806</v>
      </c>
      <c r="B7369" s="15">
        <v>2025339.0</v>
      </c>
      <c r="C7369" s="15" t="s">
        <v>27807</v>
      </c>
      <c r="D7369" s="15">
        <v>399947.0</v>
      </c>
      <c r="E7369" s="15" t="s">
        <v>1557</v>
      </c>
      <c r="F7369" s="15" t="s">
        <v>1822</v>
      </c>
      <c r="G7369" s="7">
        <v>43258.0</v>
      </c>
      <c r="H7369" s="15" t="s">
        <v>1720</v>
      </c>
      <c r="I7369" s="15" t="s">
        <v>1686</v>
      </c>
      <c r="J7369" s="15" t="s">
        <v>27808</v>
      </c>
      <c r="K7369" s="15">
        <v>7.0</v>
      </c>
      <c r="L7369" s="15">
        <v>7.0</v>
      </c>
      <c r="M7369" s="40">
        <v>42961.0</v>
      </c>
      <c r="N7369" s="40">
        <v>42971.0</v>
      </c>
      <c r="O7369" s="15" t="s">
        <v>1554</v>
      </c>
      <c r="Q7369" s="7"/>
    </row>
    <row r="7370">
      <c r="A7370" s="39" t="s">
        <v>27809</v>
      </c>
      <c r="B7370" s="15">
        <v>2025338.0</v>
      </c>
      <c r="C7370" s="15" t="s">
        <v>27810</v>
      </c>
      <c r="D7370" s="15">
        <v>399948.0</v>
      </c>
      <c r="E7370" s="15" t="s">
        <v>1557</v>
      </c>
      <c r="F7370" s="15" t="s">
        <v>1822</v>
      </c>
      <c r="G7370" s="7">
        <v>8.218</v>
      </c>
      <c r="H7370" s="15" t="s">
        <v>2075</v>
      </c>
      <c r="I7370" s="15" t="s">
        <v>1686</v>
      </c>
      <c r="J7370" s="15" t="s">
        <v>27811</v>
      </c>
      <c r="K7370" s="15">
        <v>6.0</v>
      </c>
      <c r="L7370" s="15">
        <v>6.0</v>
      </c>
      <c r="M7370" s="40">
        <v>42961.0</v>
      </c>
      <c r="N7370" s="40">
        <v>42971.0</v>
      </c>
      <c r="O7370" s="15" t="s">
        <v>1554</v>
      </c>
      <c r="Q7370" s="7"/>
    </row>
    <row r="7371">
      <c r="A7371" s="39" t="s">
        <v>27813</v>
      </c>
      <c r="B7371" s="15">
        <v>2024724.0</v>
      </c>
      <c r="C7371" s="15" t="s">
        <v>27814</v>
      </c>
      <c r="D7371" s="15">
        <v>399949.0</v>
      </c>
      <c r="E7371" s="15" t="s">
        <v>1548</v>
      </c>
      <c r="F7371" s="15" t="s">
        <v>1790</v>
      </c>
      <c r="G7371" s="7">
        <v>18.848</v>
      </c>
      <c r="H7371" s="15" t="s">
        <v>2950</v>
      </c>
      <c r="I7371" s="15" t="s">
        <v>1628</v>
      </c>
      <c r="J7371" s="15" t="s">
        <v>27815</v>
      </c>
      <c r="K7371" s="15">
        <v>12.0</v>
      </c>
      <c r="L7371" s="15">
        <v>12.0</v>
      </c>
      <c r="M7371" s="40">
        <v>42959.0</v>
      </c>
      <c r="N7371" s="40">
        <v>42971.0</v>
      </c>
      <c r="O7371" s="15" t="s">
        <v>1554</v>
      </c>
      <c r="Q7371" s="7"/>
    </row>
    <row r="7372">
      <c r="A7372" s="39" t="s">
        <v>27816</v>
      </c>
      <c r="B7372" s="15">
        <v>2024604.0</v>
      </c>
      <c r="C7372" s="15" t="s">
        <v>27817</v>
      </c>
      <c r="D7372" s="15">
        <v>399950.0</v>
      </c>
      <c r="E7372" s="15" t="s">
        <v>1548</v>
      </c>
      <c r="F7372" s="15" t="s">
        <v>3116</v>
      </c>
      <c r="G7372" s="7">
        <v>9.384</v>
      </c>
      <c r="H7372" s="15" t="s">
        <v>27818</v>
      </c>
      <c r="I7372" s="15" t="s">
        <v>1722</v>
      </c>
      <c r="J7372" s="15" t="s">
        <v>27819</v>
      </c>
      <c r="K7372" s="15">
        <v>3.0</v>
      </c>
      <c r="L7372" s="15">
        <v>3.0</v>
      </c>
      <c r="M7372" s="40">
        <v>42961.0</v>
      </c>
      <c r="N7372" s="40">
        <v>42978.0</v>
      </c>
      <c r="O7372" s="15" t="s">
        <v>1554</v>
      </c>
      <c r="Q7372" s="7"/>
    </row>
    <row r="7373">
      <c r="A7373" s="39" t="s">
        <v>27821</v>
      </c>
      <c r="B7373" s="15">
        <v>2023155.0</v>
      </c>
      <c r="C7373" s="15" t="s">
        <v>27822</v>
      </c>
      <c r="D7373" s="15">
        <v>399951.0</v>
      </c>
      <c r="E7373" s="15" t="s">
        <v>2416</v>
      </c>
      <c r="F7373" s="15" t="s">
        <v>1578</v>
      </c>
      <c r="G7373" s="7">
        <v>9.78</v>
      </c>
      <c r="H7373" s="15">
        <v>54.0</v>
      </c>
      <c r="I7373" s="15" t="s">
        <v>1618</v>
      </c>
      <c r="J7373" s="15" t="s">
        <v>27823</v>
      </c>
      <c r="K7373" s="15">
        <v>21.0</v>
      </c>
      <c r="L7373" s="15">
        <v>21.0</v>
      </c>
      <c r="M7373" s="40">
        <v>42949.0</v>
      </c>
      <c r="N7373" s="40">
        <v>42971.0</v>
      </c>
      <c r="O7373" s="15" t="s">
        <v>1554</v>
      </c>
      <c r="Q7373" s="7"/>
    </row>
    <row r="7374">
      <c r="A7374" s="39" t="s">
        <v>27824</v>
      </c>
      <c r="B7374" s="15">
        <v>2021667.0</v>
      </c>
      <c r="C7374" s="15" t="s">
        <v>27825</v>
      </c>
      <c r="D7374" s="15">
        <v>399953.0</v>
      </c>
      <c r="E7374" s="15" t="s">
        <v>1808</v>
      </c>
      <c r="F7374" s="15" t="s">
        <v>1809</v>
      </c>
      <c r="G7374" s="7">
        <v>2.629</v>
      </c>
      <c r="H7374" s="15" t="s">
        <v>2484</v>
      </c>
      <c r="I7374" s="15" t="s">
        <v>1628</v>
      </c>
      <c r="J7374" s="15" t="s">
        <v>27826</v>
      </c>
      <c r="K7374" s="15">
        <v>6.0</v>
      </c>
      <c r="L7374" s="15">
        <v>6.0</v>
      </c>
      <c r="M7374" s="40">
        <v>42963.0</v>
      </c>
      <c r="N7374" s="40">
        <v>42971.0</v>
      </c>
      <c r="O7374" s="15" t="s">
        <v>1554</v>
      </c>
      <c r="Q7374" s="7"/>
    </row>
    <row r="7375">
      <c r="A7375" s="39" t="s">
        <v>27828</v>
      </c>
      <c r="B7375" s="15">
        <v>2021666.0</v>
      </c>
      <c r="D7375" s="15">
        <v>0.0</v>
      </c>
      <c r="E7375" s="15" t="s">
        <v>1808</v>
      </c>
      <c r="F7375" s="15" t="s">
        <v>1809</v>
      </c>
      <c r="G7375" s="7">
        <v>5.224</v>
      </c>
      <c r="H7375" s="15" t="s">
        <v>27829</v>
      </c>
      <c r="I7375" s="15" t="s">
        <v>1628</v>
      </c>
      <c r="J7375" s="15" t="s">
        <v>27830</v>
      </c>
      <c r="K7375" s="15">
        <v>8.0</v>
      </c>
      <c r="L7375" s="15">
        <v>8.0</v>
      </c>
      <c r="M7375" s="40">
        <v>42963.0</v>
      </c>
      <c r="N7375" s="41">
        <v>43018.0</v>
      </c>
      <c r="O7375" s="15" t="s">
        <v>1554</v>
      </c>
      <c r="Q7375" s="7"/>
    </row>
    <row r="7376">
      <c r="A7376" s="39" t="s">
        <v>27832</v>
      </c>
      <c r="B7376" s="15">
        <v>2021212.0</v>
      </c>
      <c r="C7376" s="15" t="s">
        <v>27833</v>
      </c>
      <c r="D7376" s="15">
        <v>399955.0</v>
      </c>
      <c r="E7376" s="15" t="s">
        <v>1548</v>
      </c>
      <c r="F7376" s="15" t="s">
        <v>2900</v>
      </c>
      <c r="G7376" s="7">
        <v>4.832</v>
      </c>
      <c r="H7376" s="15" t="s">
        <v>2540</v>
      </c>
      <c r="I7376" s="15" t="s">
        <v>1628</v>
      </c>
      <c r="J7376" s="15" t="s">
        <v>27834</v>
      </c>
      <c r="K7376" s="15">
        <v>5.0</v>
      </c>
      <c r="L7376" s="15">
        <v>5.0</v>
      </c>
      <c r="M7376" s="40">
        <v>42940.0</v>
      </c>
      <c r="N7376" s="40">
        <v>42971.0</v>
      </c>
      <c r="O7376" s="15" t="s">
        <v>1554</v>
      </c>
      <c r="Q7376" s="7"/>
    </row>
    <row r="7377">
      <c r="A7377" s="39" t="s">
        <v>27835</v>
      </c>
      <c r="B7377" s="15">
        <v>2020956.0</v>
      </c>
      <c r="C7377" s="15" t="s">
        <v>27836</v>
      </c>
      <c r="D7377" s="15">
        <v>399956.0</v>
      </c>
      <c r="E7377" s="15" t="s">
        <v>1916</v>
      </c>
      <c r="F7377" s="15" t="s">
        <v>1917</v>
      </c>
      <c r="G7377" s="7">
        <v>7.194</v>
      </c>
      <c r="H7377" s="15" t="s">
        <v>2552</v>
      </c>
      <c r="I7377" s="15" t="s">
        <v>1628</v>
      </c>
      <c r="J7377" s="15" t="s">
        <v>27837</v>
      </c>
      <c r="K7377" s="15">
        <v>5.0</v>
      </c>
      <c r="L7377" s="15">
        <v>5.0</v>
      </c>
      <c r="M7377" s="40">
        <v>42939.0</v>
      </c>
      <c r="N7377" s="40">
        <v>42971.0</v>
      </c>
      <c r="O7377" s="15" t="s">
        <v>1554</v>
      </c>
      <c r="Q7377" s="7"/>
    </row>
    <row r="7378">
      <c r="A7378" s="39" t="s">
        <v>27838</v>
      </c>
      <c r="B7378" s="15">
        <v>2020881.0</v>
      </c>
      <c r="C7378" s="15" t="s">
        <v>27839</v>
      </c>
      <c r="D7378" s="15">
        <v>399957.0</v>
      </c>
      <c r="E7378" s="15" t="s">
        <v>1808</v>
      </c>
      <c r="F7378" s="15" t="s">
        <v>1809</v>
      </c>
      <c r="G7378" s="7">
        <v>2.746</v>
      </c>
      <c r="H7378" s="15" t="s">
        <v>1559</v>
      </c>
      <c r="I7378" s="15" t="s">
        <v>1628</v>
      </c>
      <c r="J7378" s="15" t="s">
        <v>27841</v>
      </c>
      <c r="K7378" s="15">
        <v>6.0</v>
      </c>
      <c r="L7378" s="15">
        <v>6.0</v>
      </c>
      <c r="M7378" s="40">
        <v>42939.0</v>
      </c>
      <c r="N7378" s="40">
        <v>42971.0</v>
      </c>
      <c r="O7378" s="15" t="s">
        <v>1554</v>
      </c>
      <c r="Q7378" s="7"/>
    </row>
    <row r="7379">
      <c r="A7379" s="39" t="s">
        <v>27842</v>
      </c>
      <c r="B7379" s="15">
        <v>2020287.0</v>
      </c>
      <c r="C7379" s="15" t="s">
        <v>27843</v>
      </c>
      <c r="D7379" s="15">
        <v>399958.0</v>
      </c>
      <c r="E7379" s="15" t="s">
        <v>1548</v>
      </c>
      <c r="F7379" s="15" t="s">
        <v>5261</v>
      </c>
      <c r="G7379" s="7">
        <v>2.784</v>
      </c>
      <c r="H7379" s="15" t="s">
        <v>1977</v>
      </c>
      <c r="I7379" s="15" t="s">
        <v>1552</v>
      </c>
      <c r="J7379" s="15" t="s">
        <v>27844</v>
      </c>
      <c r="K7379" s="15">
        <v>1.0</v>
      </c>
      <c r="L7379" s="15">
        <v>1.0</v>
      </c>
      <c r="M7379" s="40">
        <v>42938.0</v>
      </c>
      <c r="N7379" s="40">
        <v>42971.0</v>
      </c>
      <c r="O7379" s="15" t="s">
        <v>1554</v>
      </c>
      <c r="Q7379" s="7"/>
    </row>
    <row r="7380">
      <c r="A7380" s="39" t="s">
        <v>27845</v>
      </c>
      <c r="B7380" s="15">
        <v>2020286.0</v>
      </c>
      <c r="C7380" s="15" t="s">
        <v>27846</v>
      </c>
      <c r="D7380" s="15">
        <v>399959.0</v>
      </c>
      <c r="E7380" s="15" t="s">
        <v>1548</v>
      </c>
      <c r="F7380" s="15" t="s">
        <v>1786</v>
      </c>
      <c r="G7380" s="7">
        <v>6.93</v>
      </c>
      <c r="H7380" s="15" t="s">
        <v>2193</v>
      </c>
      <c r="I7380" s="15" t="s">
        <v>1628</v>
      </c>
      <c r="J7380" s="15" t="s">
        <v>27847</v>
      </c>
      <c r="K7380" s="15">
        <v>2.0</v>
      </c>
      <c r="L7380" s="15">
        <v>2.0</v>
      </c>
      <c r="M7380" s="40">
        <v>42938.0</v>
      </c>
      <c r="N7380" s="40">
        <v>42971.0</v>
      </c>
      <c r="O7380" s="15" t="s">
        <v>1554</v>
      </c>
      <c r="Q7380" s="7"/>
    </row>
    <row r="7381">
      <c r="A7381" s="39" t="s">
        <v>27849</v>
      </c>
      <c r="B7381" s="15">
        <v>2019445.0</v>
      </c>
      <c r="C7381" s="15" t="s">
        <v>27850</v>
      </c>
      <c r="D7381" s="15">
        <v>399960.0</v>
      </c>
      <c r="E7381" s="15" t="s">
        <v>1548</v>
      </c>
      <c r="F7381" s="15" t="s">
        <v>1771</v>
      </c>
      <c r="G7381" s="7">
        <v>5.772</v>
      </c>
      <c r="H7381" s="15" t="s">
        <v>3798</v>
      </c>
      <c r="I7381" s="15" t="s">
        <v>1628</v>
      </c>
      <c r="J7381" s="15" t="s">
        <v>27851</v>
      </c>
      <c r="K7381" s="15">
        <v>7.0</v>
      </c>
      <c r="L7381" s="15">
        <v>7.0</v>
      </c>
      <c r="M7381" s="40">
        <v>42933.0</v>
      </c>
      <c r="N7381" s="40">
        <v>42971.0</v>
      </c>
      <c r="O7381" s="15" t="s">
        <v>1554</v>
      </c>
      <c r="Q7381" s="7"/>
    </row>
    <row r="7382">
      <c r="A7382" s="39" t="s">
        <v>27852</v>
      </c>
      <c r="B7382" s="15">
        <v>2018503.0</v>
      </c>
      <c r="C7382" s="15" t="s">
        <v>27853</v>
      </c>
      <c r="D7382" s="15">
        <v>399961.0</v>
      </c>
      <c r="E7382" s="15" t="s">
        <v>1548</v>
      </c>
      <c r="F7382" s="15" t="s">
        <v>1578</v>
      </c>
      <c r="G7382" s="7">
        <v>11.092</v>
      </c>
      <c r="H7382" s="15" t="s">
        <v>2288</v>
      </c>
      <c r="I7382" s="15" t="s">
        <v>1722</v>
      </c>
      <c r="J7382" s="15" t="s">
        <v>27854</v>
      </c>
      <c r="K7382" s="15">
        <v>6.0</v>
      </c>
      <c r="L7382" s="15">
        <v>6.0</v>
      </c>
      <c r="M7382" s="40">
        <v>42931.0</v>
      </c>
      <c r="N7382" s="40">
        <v>42971.0</v>
      </c>
      <c r="O7382" s="15" t="s">
        <v>1554</v>
      </c>
      <c r="Q7382" s="7"/>
    </row>
    <row r="7383">
      <c r="A7383" s="39" t="s">
        <v>27855</v>
      </c>
      <c r="B7383" s="15">
        <v>2018502.0</v>
      </c>
      <c r="C7383" s="15" t="s">
        <v>27856</v>
      </c>
      <c r="D7383" s="15">
        <v>399962.0</v>
      </c>
      <c r="E7383" s="15" t="s">
        <v>1548</v>
      </c>
      <c r="F7383" s="15" t="s">
        <v>1578</v>
      </c>
      <c r="G7383" s="7">
        <v>43354.0</v>
      </c>
      <c r="H7383" s="15" t="s">
        <v>2752</v>
      </c>
      <c r="I7383" s="15" t="s">
        <v>1722</v>
      </c>
      <c r="J7383" s="15" t="s">
        <v>27858</v>
      </c>
      <c r="K7383" s="15">
        <v>6.0</v>
      </c>
      <c r="L7383" s="15">
        <v>6.0</v>
      </c>
      <c r="M7383" s="40">
        <v>42931.0</v>
      </c>
      <c r="N7383" s="40">
        <v>42971.0</v>
      </c>
      <c r="O7383" s="15" t="s">
        <v>1554</v>
      </c>
      <c r="Q7383" s="7"/>
    </row>
    <row r="7384">
      <c r="A7384" s="39" t="s">
        <v>27859</v>
      </c>
      <c r="B7384" s="15">
        <v>2018500.0</v>
      </c>
      <c r="C7384" s="15" t="s">
        <v>27860</v>
      </c>
      <c r="D7384" s="15">
        <v>399963.0</v>
      </c>
      <c r="E7384" s="15" t="s">
        <v>1548</v>
      </c>
      <c r="F7384" s="15" t="s">
        <v>1578</v>
      </c>
      <c r="G7384" s="7">
        <v>12.102</v>
      </c>
      <c r="H7384" s="15" t="s">
        <v>10067</v>
      </c>
      <c r="I7384" s="15" t="s">
        <v>1722</v>
      </c>
      <c r="J7384" s="15" t="s">
        <v>27861</v>
      </c>
      <c r="K7384" s="15">
        <v>6.0</v>
      </c>
      <c r="L7384" s="15">
        <v>6.0</v>
      </c>
      <c r="M7384" s="40">
        <v>42931.0</v>
      </c>
      <c r="N7384" s="40">
        <v>42971.0</v>
      </c>
      <c r="O7384" s="15" t="s">
        <v>1554</v>
      </c>
      <c r="Q7384" s="7"/>
    </row>
    <row r="7385">
      <c r="A7385" s="39" t="s">
        <v>27862</v>
      </c>
      <c r="B7385" s="15">
        <v>2018313.0</v>
      </c>
      <c r="C7385" s="15" t="s">
        <v>27863</v>
      </c>
      <c r="D7385" s="15">
        <v>399964.0</v>
      </c>
      <c r="E7385" s="15" t="s">
        <v>1548</v>
      </c>
      <c r="F7385" s="15" t="s">
        <v>1911</v>
      </c>
      <c r="G7385" s="7">
        <v>10.152</v>
      </c>
      <c r="H7385" s="15" t="s">
        <v>2178</v>
      </c>
      <c r="I7385" s="15" t="s">
        <v>1628</v>
      </c>
      <c r="J7385" s="15" t="s">
        <v>27864</v>
      </c>
      <c r="K7385" s="15">
        <v>1.0</v>
      </c>
      <c r="L7385" s="15">
        <v>1.0</v>
      </c>
      <c r="M7385" s="40">
        <v>42931.0</v>
      </c>
      <c r="N7385" s="40">
        <v>42971.0</v>
      </c>
      <c r="O7385" s="15" t="s">
        <v>1554</v>
      </c>
      <c r="Q7385" s="7"/>
    </row>
    <row r="7386">
      <c r="A7386" s="39" t="s">
        <v>27865</v>
      </c>
      <c r="B7386" s="15">
        <v>2018312.0</v>
      </c>
      <c r="C7386" s="15" t="s">
        <v>27866</v>
      </c>
      <c r="D7386" s="15">
        <v>399965.0</v>
      </c>
      <c r="E7386" s="15" t="s">
        <v>1548</v>
      </c>
      <c r="F7386" s="15" t="s">
        <v>1911</v>
      </c>
      <c r="G7386" s="7">
        <v>10.232</v>
      </c>
      <c r="H7386" s="15" t="s">
        <v>2178</v>
      </c>
      <c r="I7386" s="15" t="s">
        <v>1628</v>
      </c>
      <c r="J7386" s="15" t="s">
        <v>27867</v>
      </c>
      <c r="K7386" s="15">
        <v>1.0</v>
      </c>
      <c r="L7386" s="15">
        <v>1.0</v>
      </c>
      <c r="M7386" s="40">
        <v>42931.0</v>
      </c>
      <c r="N7386" s="40">
        <v>42971.0</v>
      </c>
      <c r="O7386" s="15" t="s">
        <v>1554</v>
      </c>
      <c r="Q7386" s="7"/>
    </row>
    <row r="7387">
      <c r="A7387" s="39" t="s">
        <v>27868</v>
      </c>
      <c r="B7387" s="15">
        <v>2017724.0</v>
      </c>
      <c r="C7387" s="15" t="s">
        <v>27869</v>
      </c>
      <c r="D7387" s="15">
        <v>399966.0</v>
      </c>
      <c r="E7387" s="15" t="s">
        <v>1808</v>
      </c>
      <c r="F7387" s="15" t="s">
        <v>1998</v>
      </c>
      <c r="G7387" s="7">
        <v>3.081</v>
      </c>
      <c r="H7387" s="15" t="s">
        <v>2158</v>
      </c>
      <c r="I7387" s="15" t="s">
        <v>1686</v>
      </c>
      <c r="J7387" s="15" t="s">
        <v>27870</v>
      </c>
      <c r="K7387" s="15">
        <v>2.0</v>
      </c>
      <c r="L7387" s="15">
        <v>2.0</v>
      </c>
      <c r="M7387" s="40">
        <v>42945.0</v>
      </c>
      <c r="N7387" s="40">
        <v>42971.0</v>
      </c>
      <c r="O7387" s="15" t="s">
        <v>1554</v>
      </c>
      <c r="Q7387" s="7"/>
    </row>
    <row r="7388">
      <c r="A7388" s="39" t="s">
        <v>27872</v>
      </c>
      <c r="B7388" s="15">
        <v>2017712.0</v>
      </c>
      <c r="C7388" s="15" t="s">
        <v>27873</v>
      </c>
      <c r="D7388" s="15">
        <v>399967.0</v>
      </c>
      <c r="E7388" s="15" t="s">
        <v>1664</v>
      </c>
      <c r="F7388" s="15" t="s">
        <v>15173</v>
      </c>
      <c r="G7388" s="7">
        <v>2.204</v>
      </c>
      <c r="H7388" s="15" t="s">
        <v>3304</v>
      </c>
      <c r="I7388" s="15" t="s">
        <v>1722</v>
      </c>
      <c r="J7388" s="15" t="s">
        <v>27874</v>
      </c>
      <c r="K7388" s="15">
        <v>2.0</v>
      </c>
      <c r="L7388" s="15">
        <v>2.0</v>
      </c>
      <c r="M7388" s="40">
        <v>42945.0</v>
      </c>
      <c r="N7388" s="40">
        <v>42971.0</v>
      </c>
      <c r="O7388" s="15" t="s">
        <v>1554</v>
      </c>
      <c r="Q7388" s="7"/>
    </row>
    <row r="7389">
      <c r="A7389" s="39" t="s">
        <v>27875</v>
      </c>
      <c r="B7389" s="15">
        <v>2016400.0</v>
      </c>
      <c r="C7389" s="15" t="s">
        <v>27876</v>
      </c>
      <c r="D7389" s="15">
        <v>399968.0</v>
      </c>
      <c r="E7389" s="15" t="s">
        <v>1548</v>
      </c>
      <c r="F7389" s="15" t="s">
        <v>1578</v>
      </c>
      <c r="G7389" s="7">
        <v>32.399</v>
      </c>
      <c r="H7389" s="15" t="s">
        <v>1828</v>
      </c>
      <c r="I7389" s="15" t="s">
        <v>1722</v>
      </c>
      <c r="J7389" s="15" t="s">
        <v>27877</v>
      </c>
      <c r="K7389" s="15">
        <v>9.0</v>
      </c>
      <c r="L7389" s="15">
        <v>9.0</v>
      </c>
      <c r="M7389" s="40">
        <v>42952.0</v>
      </c>
      <c r="N7389" s="40">
        <v>42971.0</v>
      </c>
      <c r="O7389" s="15" t="s">
        <v>1554</v>
      </c>
      <c r="Q7389" s="7"/>
    </row>
    <row r="7390">
      <c r="A7390" s="39" t="s">
        <v>27879</v>
      </c>
      <c r="B7390" s="15">
        <v>1959287.0</v>
      </c>
      <c r="C7390" s="15" t="s">
        <v>27880</v>
      </c>
      <c r="D7390" s="15">
        <v>399969.0</v>
      </c>
      <c r="E7390" s="15" t="s">
        <v>1548</v>
      </c>
      <c r="F7390" s="15" t="s">
        <v>1911</v>
      </c>
      <c r="G7390" s="7">
        <v>9.426</v>
      </c>
      <c r="H7390" s="15" t="s">
        <v>3432</v>
      </c>
      <c r="I7390" s="15" t="s">
        <v>1628</v>
      </c>
      <c r="J7390" s="15" t="s">
        <v>27881</v>
      </c>
      <c r="K7390" s="15">
        <v>1.0</v>
      </c>
      <c r="L7390" s="15">
        <v>1.0</v>
      </c>
      <c r="M7390" s="40">
        <v>42935.0</v>
      </c>
      <c r="N7390" s="40">
        <v>42971.0</v>
      </c>
      <c r="O7390" s="15" t="s">
        <v>1554</v>
      </c>
      <c r="Q7390" s="7"/>
    </row>
    <row r="7391">
      <c r="A7391" s="39" t="s">
        <v>27882</v>
      </c>
      <c r="B7391" s="15">
        <v>12851.0</v>
      </c>
      <c r="C7391" s="15" t="s">
        <v>27883</v>
      </c>
      <c r="D7391" s="15">
        <v>399970.0</v>
      </c>
      <c r="E7391" s="15" t="s">
        <v>1548</v>
      </c>
      <c r="F7391" s="15" t="s">
        <v>5033</v>
      </c>
      <c r="G7391" s="7">
        <v>17.031</v>
      </c>
      <c r="H7391" s="15" t="s">
        <v>27884</v>
      </c>
      <c r="I7391" s="15" t="s">
        <v>2034</v>
      </c>
      <c r="J7391" s="15" t="s">
        <v>27885</v>
      </c>
      <c r="K7391" s="15">
        <v>5.0</v>
      </c>
      <c r="L7391" s="15">
        <v>5.0</v>
      </c>
      <c r="M7391" s="40">
        <v>42927.0</v>
      </c>
      <c r="N7391" s="40">
        <v>42971.0</v>
      </c>
      <c r="O7391" s="15" t="s">
        <v>1554</v>
      </c>
      <c r="Q7391" s="7"/>
    </row>
    <row r="7392">
      <c r="A7392" s="39" t="s">
        <v>27886</v>
      </c>
      <c r="B7392" s="15">
        <v>1820159.0</v>
      </c>
      <c r="C7392" s="15" t="s">
        <v>27887</v>
      </c>
      <c r="D7392" s="15">
        <v>399971.0</v>
      </c>
      <c r="E7392" s="15" t="s">
        <v>1577</v>
      </c>
      <c r="F7392" s="15" t="s">
        <v>1578</v>
      </c>
      <c r="G7392" s="7">
        <v>2.56</v>
      </c>
      <c r="H7392" s="15">
        <v>47.0</v>
      </c>
      <c r="I7392" s="15" t="s">
        <v>1580</v>
      </c>
      <c r="J7392" s="15" t="s">
        <v>27889</v>
      </c>
      <c r="K7392" s="15">
        <v>2.0</v>
      </c>
      <c r="L7392" s="15">
        <v>2.0</v>
      </c>
      <c r="M7392" s="40">
        <v>42942.0</v>
      </c>
      <c r="N7392" s="40">
        <v>42971.0</v>
      </c>
      <c r="O7392" s="15" t="s">
        <v>1554</v>
      </c>
      <c r="Q7392" s="7"/>
    </row>
    <row r="7393">
      <c r="A7393" s="39" t="s">
        <v>27890</v>
      </c>
      <c r="B7393" s="15">
        <v>1387301.0</v>
      </c>
      <c r="D7393" s="15">
        <v>0.0</v>
      </c>
      <c r="E7393" s="15" t="s">
        <v>1638</v>
      </c>
      <c r="F7393" s="15" t="s">
        <v>1796</v>
      </c>
      <c r="G7393" s="7">
        <v>4.528</v>
      </c>
      <c r="H7393" s="15" t="s">
        <v>27891</v>
      </c>
      <c r="I7393" s="15" t="s">
        <v>1628</v>
      </c>
      <c r="J7393" s="15" t="s">
        <v>27892</v>
      </c>
      <c r="K7393" s="15">
        <v>2.0</v>
      </c>
      <c r="L7393" s="15">
        <v>2.0</v>
      </c>
      <c r="M7393" s="40">
        <v>40926.0</v>
      </c>
      <c r="N7393" s="40">
        <v>43007.0</v>
      </c>
      <c r="O7393" s="15" t="s">
        <v>1554</v>
      </c>
      <c r="Q7393" s="7"/>
    </row>
    <row r="7394">
      <c r="A7394" s="39" t="s">
        <v>27893</v>
      </c>
      <c r="B7394" s="15">
        <v>1041831.0</v>
      </c>
      <c r="C7394" s="15" t="s">
        <v>27894</v>
      </c>
      <c r="D7394" s="15">
        <v>399973.0</v>
      </c>
      <c r="E7394" s="15" t="s">
        <v>1664</v>
      </c>
      <c r="F7394" s="15" t="s">
        <v>1664</v>
      </c>
      <c r="G7394" s="7">
        <v>5.911</v>
      </c>
      <c r="H7394" s="15" t="s">
        <v>5521</v>
      </c>
      <c r="I7394" s="15" t="s">
        <v>1722</v>
      </c>
      <c r="J7394" s="15" t="s">
        <v>27896</v>
      </c>
      <c r="K7394" s="15">
        <v>3.0</v>
      </c>
      <c r="L7394" s="15">
        <v>3.0</v>
      </c>
      <c r="M7394" s="40">
        <v>42960.0</v>
      </c>
      <c r="N7394" s="40">
        <v>42971.0</v>
      </c>
      <c r="O7394" s="15" t="s">
        <v>1554</v>
      </c>
      <c r="Q7394" s="7"/>
    </row>
    <row r="7395">
      <c r="A7395" s="39" t="s">
        <v>27897</v>
      </c>
      <c r="B7395" s="15">
        <v>1041806.0</v>
      </c>
      <c r="C7395" s="15" t="s">
        <v>27898</v>
      </c>
      <c r="D7395" s="15">
        <v>399974.0</v>
      </c>
      <c r="E7395" s="15" t="s">
        <v>1664</v>
      </c>
      <c r="F7395" s="15" t="s">
        <v>1664</v>
      </c>
      <c r="G7395" s="7">
        <v>5.898</v>
      </c>
      <c r="H7395" s="15" t="s">
        <v>2540</v>
      </c>
      <c r="I7395" s="15" t="s">
        <v>1722</v>
      </c>
      <c r="J7395" s="15" t="s">
        <v>27899</v>
      </c>
      <c r="K7395" s="15">
        <v>3.0</v>
      </c>
      <c r="L7395" s="15">
        <v>3.0</v>
      </c>
      <c r="M7395" s="40">
        <v>42960.0</v>
      </c>
      <c r="N7395" s="40">
        <v>42971.0</v>
      </c>
      <c r="O7395" s="15" t="s">
        <v>1554</v>
      </c>
      <c r="Q7395" s="7"/>
    </row>
    <row r="7396">
      <c r="A7396" s="39" t="s">
        <v>27900</v>
      </c>
      <c r="B7396" s="15">
        <v>1329402.0</v>
      </c>
      <c r="C7396" s="15" t="s">
        <v>27901</v>
      </c>
      <c r="D7396" s="15">
        <v>395094.0</v>
      </c>
      <c r="E7396" s="15" t="s">
        <v>1557</v>
      </c>
      <c r="F7396" s="15" t="s">
        <v>2028</v>
      </c>
      <c r="G7396" s="7">
        <v>176.688</v>
      </c>
      <c r="H7396" s="42">
        <v>43274.0</v>
      </c>
      <c r="I7396" s="15" t="s">
        <v>1722</v>
      </c>
      <c r="J7396" s="15" t="s">
        <v>27903</v>
      </c>
      <c r="K7396" s="15">
        <v>191.0</v>
      </c>
      <c r="L7396" s="15">
        <v>191.0</v>
      </c>
      <c r="M7396" s="40">
        <v>42933.0</v>
      </c>
      <c r="N7396" s="40">
        <v>42975.0</v>
      </c>
      <c r="O7396" s="15" t="s">
        <v>1554</v>
      </c>
      <c r="Q7396" s="7"/>
    </row>
    <row r="7397">
      <c r="A7397" s="39" t="s">
        <v>27904</v>
      </c>
      <c r="B7397" s="15">
        <v>2018501.0</v>
      </c>
      <c r="C7397" s="15" t="s">
        <v>27905</v>
      </c>
      <c r="D7397" s="15">
        <v>395565.0</v>
      </c>
      <c r="E7397" s="15" t="s">
        <v>1548</v>
      </c>
      <c r="F7397" s="15" t="s">
        <v>1578</v>
      </c>
      <c r="G7397" s="7">
        <v>11.851</v>
      </c>
      <c r="H7397" s="15" t="s">
        <v>2375</v>
      </c>
      <c r="I7397" s="15" t="s">
        <v>1722</v>
      </c>
      <c r="J7397" s="15" t="s">
        <v>27906</v>
      </c>
      <c r="K7397" s="15">
        <v>6.0</v>
      </c>
      <c r="L7397" s="15">
        <v>6.0</v>
      </c>
      <c r="M7397" s="40">
        <v>42931.0</v>
      </c>
      <c r="N7397" s="40">
        <v>42975.0</v>
      </c>
      <c r="O7397" s="15" t="s">
        <v>1554</v>
      </c>
      <c r="Q7397" s="7"/>
    </row>
    <row r="7398">
      <c r="A7398" s="39" t="s">
        <v>27907</v>
      </c>
      <c r="B7398" s="15">
        <v>2022430.0</v>
      </c>
      <c r="C7398" s="15" t="s">
        <v>27908</v>
      </c>
      <c r="D7398" s="15">
        <v>400090.0</v>
      </c>
      <c r="E7398" s="15" t="s">
        <v>10405</v>
      </c>
      <c r="F7398" s="15" t="s">
        <v>10436</v>
      </c>
      <c r="G7398" s="7">
        <v>0.304</v>
      </c>
      <c r="H7398" s="15" t="s">
        <v>2033</v>
      </c>
      <c r="I7398" s="15" t="s">
        <v>1628</v>
      </c>
      <c r="J7398" s="15" t="s">
        <v>27909</v>
      </c>
      <c r="K7398" s="15" t="s">
        <v>1722</v>
      </c>
      <c r="L7398" s="15" t="s">
        <v>1722</v>
      </c>
      <c r="M7398" s="40">
        <v>42946.0</v>
      </c>
      <c r="N7398" s="40">
        <v>42975.0</v>
      </c>
      <c r="O7398" s="15" t="s">
        <v>1554</v>
      </c>
      <c r="Q7398" s="7"/>
    </row>
    <row r="7399">
      <c r="A7399" s="39" t="s">
        <v>27911</v>
      </c>
      <c r="B7399" s="15">
        <v>78522.0</v>
      </c>
      <c r="C7399" s="15" t="s">
        <v>27912</v>
      </c>
      <c r="D7399" s="15">
        <v>400165.0</v>
      </c>
      <c r="E7399" s="15" t="s">
        <v>1557</v>
      </c>
      <c r="F7399" s="15" t="s">
        <v>2628</v>
      </c>
      <c r="G7399" s="7">
        <v>30.62</v>
      </c>
      <c r="H7399" s="15" t="s">
        <v>2009</v>
      </c>
      <c r="I7399" s="15" t="s">
        <v>1686</v>
      </c>
      <c r="J7399" s="15" t="s">
        <v>27913</v>
      </c>
      <c r="K7399" s="15">
        <v>27.0</v>
      </c>
      <c r="L7399" s="15">
        <v>27.0</v>
      </c>
      <c r="M7399" s="40">
        <v>42970.0</v>
      </c>
      <c r="N7399" s="40">
        <v>42975.0</v>
      </c>
      <c r="O7399" s="15" t="s">
        <v>1554</v>
      </c>
      <c r="Q7399" s="7"/>
    </row>
    <row r="7400">
      <c r="A7400" s="39" t="s">
        <v>27914</v>
      </c>
      <c r="B7400" s="15">
        <v>1949201.0</v>
      </c>
      <c r="C7400" s="15" t="s">
        <v>27915</v>
      </c>
      <c r="D7400" s="15">
        <v>400925.0</v>
      </c>
      <c r="E7400" s="15" t="s">
        <v>1548</v>
      </c>
      <c r="F7400" s="15" t="s">
        <v>4829</v>
      </c>
      <c r="G7400" s="7">
        <v>6.564</v>
      </c>
      <c r="H7400" s="15" t="s">
        <v>2540</v>
      </c>
      <c r="I7400" s="15" t="s">
        <v>1686</v>
      </c>
      <c r="J7400" s="15" t="s">
        <v>27916</v>
      </c>
      <c r="K7400" s="15">
        <v>2.0</v>
      </c>
      <c r="L7400" s="15">
        <v>2.0</v>
      </c>
      <c r="M7400" s="40">
        <v>42965.0</v>
      </c>
      <c r="N7400" s="40">
        <v>42978.0</v>
      </c>
      <c r="O7400" s="15" t="s">
        <v>1554</v>
      </c>
      <c r="Q7400" s="7"/>
    </row>
    <row r="7401">
      <c r="A7401" s="39" t="s">
        <v>27918</v>
      </c>
      <c r="B7401" s="15">
        <v>1803394.0</v>
      </c>
      <c r="C7401" s="15" t="s">
        <v>27919</v>
      </c>
      <c r="D7401" s="15">
        <v>401021.0</v>
      </c>
      <c r="E7401" s="15" t="s">
        <v>1548</v>
      </c>
      <c r="F7401" s="15" t="s">
        <v>1848</v>
      </c>
      <c r="G7401" s="7">
        <v>6.339</v>
      </c>
      <c r="H7401" s="15" t="s">
        <v>10545</v>
      </c>
      <c r="I7401" s="15" t="s">
        <v>1686</v>
      </c>
      <c r="J7401" s="15" t="s">
        <v>27920</v>
      </c>
      <c r="K7401" s="15">
        <v>3.0</v>
      </c>
      <c r="L7401" s="15">
        <v>3.0</v>
      </c>
      <c r="M7401" s="40">
        <v>42413.0</v>
      </c>
      <c r="N7401" s="40">
        <v>42978.0</v>
      </c>
      <c r="O7401" s="15" t="s">
        <v>1554</v>
      </c>
      <c r="Q7401" s="7"/>
    </row>
    <row r="7402">
      <c r="A7402" s="39" t="s">
        <v>27921</v>
      </c>
      <c r="B7402" s="15">
        <v>2027645.0</v>
      </c>
      <c r="C7402" s="15" t="s">
        <v>27922</v>
      </c>
      <c r="D7402" s="15">
        <v>400924.0</v>
      </c>
      <c r="E7402" s="15" t="s">
        <v>1808</v>
      </c>
      <c r="F7402" s="15" t="s">
        <v>1809</v>
      </c>
      <c r="G7402" s="7">
        <v>2.611</v>
      </c>
      <c r="H7402" s="15" t="s">
        <v>1559</v>
      </c>
      <c r="I7402" s="15" t="s">
        <v>1628</v>
      </c>
      <c r="J7402" s="15" t="s">
        <v>27923</v>
      </c>
      <c r="K7402" s="15">
        <v>5.0</v>
      </c>
      <c r="L7402" s="15">
        <v>5.0</v>
      </c>
      <c r="M7402" s="40">
        <v>42965.0</v>
      </c>
      <c r="N7402" s="40">
        <v>42978.0</v>
      </c>
      <c r="O7402" s="15" t="s">
        <v>1554</v>
      </c>
      <c r="Q7402" s="7"/>
    </row>
    <row r="7403">
      <c r="A7403" s="39" t="s">
        <v>27924</v>
      </c>
      <c r="B7403" s="15">
        <v>2026601.0</v>
      </c>
      <c r="C7403" s="15" t="s">
        <v>27925</v>
      </c>
      <c r="D7403" s="15">
        <v>400636.0</v>
      </c>
      <c r="E7403" s="15" t="s">
        <v>1638</v>
      </c>
      <c r="F7403" s="15" t="s">
        <v>1639</v>
      </c>
      <c r="G7403" s="7">
        <v>6.203</v>
      </c>
      <c r="H7403" s="15" t="s">
        <v>1670</v>
      </c>
      <c r="I7403" s="15" t="s">
        <v>1740</v>
      </c>
      <c r="J7403" s="15" t="s">
        <v>27927</v>
      </c>
      <c r="K7403" s="15">
        <v>2.0</v>
      </c>
      <c r="L7403" s="15">
        <v>2.0</v>
      </c>
      <c r="M7403" s="40">
        <v>42969.0</v>
      </c>
      <c r="N7403" s="40">
        <v>42978.0</v>
      </c>
      <c r="O7403" s="15" t="s">
        <v>1554</v>
      </c>
      <c r="Q7403" s="7"/>
    </row>
    <row r="7404">
      <c r="A7404" s="39" t="s">
        <v>27928</v>
      </c>
      <c r="B7404" s="15">
        <v>2033633.0</v>
      </c>
      <c r="C7404" s="15" t="s">
        <v>27929</v>
      </c>
      <c r="D7404" s="15">
        <v>60049.0</v>
      </c>
      <c r="E7404" s="15" t="s">
        <v>1916</v>
      </c>
      <c r="F7404" s="15" t="s">
        <v>1917</v>
      </c>
      <c r="G7404" s="7">
        <v>7.543</v>
      </c>
      <c r="H7404" s="15" t="s">
        <v>2945</v>
      </c>
      <c r="I7404" s="15" t="s">
        <v>1628</v>
      </c>
      <c r="J7404" s="15" t="s">
        <v>27930</v>
      </c>
      <c r="K7404" s="15">
        <v>3.0</v>
      </c>
      <c r="L7404" s="15">
        <v>3.0</v>
      </c>
      <c r="M7404" s="40">
        <v>40483.0</v>
      </c>
      <c r="N7404" s="41">
        <v>40492.0</v>
      </c>
      <c r="O7404" s="15" t="s">
        <v>1554</v>
      </c>
      <c r="Q7404" s="7"/>
    </row>
    <row r="7405">
      <c r="A7405" s="39" t="s">
        <v>27931</v>
      </c>
      <c r="B7405" s="15">
        <v>1980915.0</v>
      </c>
      <c r="C7405" s="15" t="s">
        <v>27932</v>
      </c>
      <c r="D7405" s="15">
        <v>15132.0</v>
      </c>
      <c r="E7405" s="15" t="s">
        <v>1548</v>
      </c>
      <c r="F7405" s="15" t="s">
        <v>1890</v>
      </c>
      <c r="G7405" s="7">
        <v>11.034</v>
      </c>
      <c r="H7405" s="15" t="s">
        <v>2324</v>
      </c>
      <c r="I7405" s="15" t="s">
        <v>1686</v>
      </c>
      <c r="J7405" s="15" t="s">
        <v>27934</v>
      </c>
      <c r="K7405" s="15">
        <v>6.0</v>
      </c>
      <c r="L7405" s="15">
        <v>6.0</v>
      </c>
      <c r="M7405" s="40">
        <v>36495.0</v>
      </c>
      <c r="N7405" s="40">
        <v>40352.0</v>
      </c>
      <c r="O7405" s="15" t="s">
        <v>1554</v>
      </c>
      <c r="Q7405" s="7"/>
    </row>
    <row r="7406">
      <c r="A7406" s="39" t="s">
        <v>27935</v>
      </c>
      <c r="B7406" s="15">
        <v>2030964.0</v>
      </c>
      <c r="C7406" s="15" t="s">
        <v>27936</v>
      </c>
      <c r="D7406" s="15">
        <v>16157.0</v>
      </c>
      <c r="E7406" s="15" t="s">
        <v>1548</v>
      </c>
      <c r="F7406" s="15" t="s">
        <v>27937</v>
      </c>
      <c r="G7406" s="7">
        <v>4.375</v>
      </c>
      <c r="H7406" s="15" t="s">
        <v>3468</v>
      </c>
      <c r="I7406" s="15" t="s">
        <v>1573</v>
      </c>
      <c r="J7406" s="15" t="s">
        <v>27938</v>
      </c>
      <c r="K7406" s="15">
        <v>2.0</v>
      </c>
      <c r="L7406" s="15">
        <v>2.0</v>
      </c>
      <c r="M7406" s="41">
        <v>38652.0</v>
      </c>
      <c r="N7406" s="40">
        <v>39790.0</v>
      </c>
      <c r="O7406" s="15" t="s">
        <v>1554</v>
      </c>
      <c r="Q7406" s="7"/>
    </row>
    <row r="7407">
      <c r="A7407" s="39" t="s">
        <v>27939</v>
      </c>
      <c r="B7407" s="15">
        <v>1985698.0</v>
      </c>
      <c r="C7407" s="15" t="s">
        <v>27940</v>
      </c>
      <c r="D7407" s="15">
        <v>32725.0</v>
      </c>
      <c r="E7407" s="15" t="s">
        <v>1548</v>
      </c>
      <c r="F7407" s="15" t="s">
        <v>1890</v>
      </c>
      <c r="G7407" s="7">
        <v>12.878</v>
      </c>
      <c r="H7407" s="15" t="s">
        <v>27942</v>
      </c>
      <c r="I7407" s="15" t="s">
        <v>1628</v>
      </c>
      <c r="J7407" s="15" t="s">
        <v>27943</v>
      </c>
      <c r="K7407" s="15">
        <v>6.0</v>
      </c>
      <c r="L7407" s="15">
        <v>6.0</v>
      </c>
      <c r="M7407" s="40">
        <v>37517.0</v>
      </c>
      <c r="N7407" s="40">
        <v>42045.0</v>
      </c>
      <c r="O7407" s="15" t="s">
        <v>1554</v>
      </c>
      <c r="Q7407" s="7"/>
    </row>
    <row r="7408">
      <c r="A7408" s="39" t="s">
        <v>27944</v>
      </c>
      <c r="B7408" s="15">
        <v>2034762.0</v>
      </c>
      <c r="C7408" s="15" t="s">
        <v>27945</v>
      </c>
      <c r="D7408" s="15">
        <v>68017.0</v>
      </c>
      <c r="E7408" s="15" t="s">
        <v>1916</v>
      </c>
      <c r="F7408" s="15" t="s">
        <v>1917</v>
      </c>
      <c r="G7408" s="7">
        <v>8.082</v>
      </c>
      <c r="H7408" s="15" t="s">
        <v>2552</v>
      </c>
      <c r="I7408" s="15" t="s">
        <v>1628</v>
      </c>
      <c r="J7408" s="15" t="s">
        <v>27946</v>
      </c>
      <c r="K7408" s="15">
        <v>5.0</v>
      </c>
      <c r="L7408" s="15">
        <v>5.0</v>
      </c>
      <c r="M7408" s="40">
        <v>39957.0</v>
      </c>
      <c r="N7408" s="40">
        <v>42990.0</v>
      </c>
      <c r="O7408" s="15" t="s">
        <v>1554</v>
      </c>
      <c r="Q7408" s="7"/>
    </row>
    <row r="7409">
      <c r="A7409" s="39" t="s">
        <v>27947</v>
      </c>
      <c r="B7409" s="15">
        <v>1987159.0</v>
      </c>
      <c r="C7409" s="15" t="s">
        <v>27948</v>
      </c>
      <c r="D7409" s="15">
        <v>81001.0</v>
      </c>
      <c r="E7409" s="15" t="s">
        <v>1557</v>
      </c>
      <c r="F7409" s="15" t="s">
        <v>1767</v>
      </c>
      <c r="G7409" s="7">
        <v>157.304</v>
      </c>
      <c r="H7409" s="15" t="s">
        <v>2877</v>
      </c>
      <c r="I7409" s="15" t="s">
        <v>1586</v>
      </c>
      <c r="J7409" s="15" t="s">
        <v>27950</v>
      </c>
      <c r="K7409" s="15">
        <v>208.0</v>
      </c>
      <c r="L7409" s="15">
        <v>204.0</v>
      </c>
      <c r="M7409" s="40">
        <v>40783.0</v>
      </c>
      <c r="N7409" s="40">
        <v>42986.0</v>
      </c>
      <c r="O7409" s="15" t="s">
        <v>1554</v>
      </c>
      <c r="Q7409" s="7"/>
    </row>
    <row r="7410">
      <c r="A7410" s="39" t="s">
        <v>27951</v>
      </c>
      <c r="B7410" s="15">
        <v>1891761.0</v>
      </c>
      <c r="C7410" s="15" t="s">
        <v>27952</v>
      </c>
      <c r="D7410" s="15">
        <v>167666.0</v>
      </c>
      <c r="E7410" s="15" t="s">
        <v>1557</v>
      </c>
      <c r="F7410" s="15" t="s">
        <v>2004</v>
      </c>
      <c r="G7410" s="7">
        <v>4.987</v>
      </c>
      <c r="H7410" s="15" t="s">
        <v>1962</v>
      </c>
      <c r="I7410" s="15" t="s">
        <v>1686</v>
      </c>
      <c r="J7410" s="15" t="s">
        <v>27953</v>
      </c>
      <c r="K7410" s="15">
        <v>5.0</v>
      </c>
      <c r="L7410" s="15">
        <v>5.0</v>
      </c>
      <c r="M7410" s="40">
        <v>41051.0</v>
      </c>
      <c r="N7410" s="40">
        <v>42990.0</v>
      </c>
      <c r="O7410" s="15" t="s">
        <v>1554</v>
      </c>
      <c r="Q7410" s="7"/>
    </row>
    <row r="7411">
      <c r="A7411" s="39" t="s">
        <v>27954</v>
      </c>
      <c r="B7411" s="15">
        <v>1977402.0</v>
      </c>
      <c r="C7411" s="15" t="s">
        <v>27955</v>
      </c>
      <c r="D7411" s="15">
        <v>14549.0</v>
      </c>
      <c r="E7411" s="15" t="s">
        <v>1808</v>
      </c>
      <c r="F7411" s="15" t="s">
        <v>2969</v>
      </c>
      <c r="G7411" s="7">
        <v>6.407</v>
      </c>
      <c r="H7411" s="15" t="s">
        <v>2223</v>
      </c>
      <c r="I7411" s="15" t="s">
        <v>1586</v>
      </c>
      <c r="J7411" s="15" t="s">
        <v>27957</v>
      </c>
      <c r="K7411" s="15">
        <v>10.0</v>
      </c>
      <c r="L7411" s="15">
        <v>10.0</v>
      </c>
      <c r="M7411" s="40">
        <v>30111.0</v>
      </c>
      <c r="N7411" s="40">
        <v>39920.0</v>
      </c>
      <c r="O7411" s="15" t="s">
        <v>1554</v>
      </c>
      <c r="Q7411" s="7"/>
    </row>
    <row r="7412">
      <c r="A7412" s="39" t="s">
        <v>27958</v>
      </c>
      <c r="B7412" s="15">
        <v>1933298.0</v>
      </c>
      <c r="C7412" s="15" t="s">
        <v>27959</v>
      </c>
      <c r="D7412" s="15">
        <v>14997.0</v>
      </c>
      <c r="E7412" s="15" t="s">
        <v>1548</v>
      </c>
      <c r="F7412" s="15" t="s">
        <v>5033</v>
      </c>
      <c r="G7412" s="7">
        <v>16.634</v>
      </c>
      <c r="H7412" s="15" t="s">
        <v>27960</v>
      </c>
      <c r="I7412" s="15" t="s">
        <v>2034</v>
      </c>
      <c r="J7412" s="15" t="s">
        <v>27961</v>
      </c>
      <c r="K7412" s="15">
        <v>5.0</v>
      </c>
      <c r="L7412" s="15">
        <v>5.0</v>
      </c>
      <c r="M7412" s="40">
        <v>34088.0</v>
      </c>
      <c r="N7412" s="41">
        <v>42297.0</v>
      </c>
      <c r="O7412" s="15" t="s">
        <v>1554</v>
      </c>
      <c r="Q7412" s="7"/>
    </row>
    <row r="7413">
      <c r="A7413" s="39" t="s">
        <v>27962</v>
      </c>
      <c r="B7413" s="15">
        <v>1933300.0</v>
      </c>
      <c r="C7413" s="15" t="s">
        <v>27963</v>
      </c>
      <c r="D7413" s="15">
        <v>15176.0</v>
      </c>
      <c r="E7413" s="15" t="s">
        <v>1548</v>
      </c>
      <c r="F7413" s="15" t="s">
        <v>5033</v>
      </c>
      <c r="G7413" s="7">
        <v>17.331</v>
      </c>
      <c r="H7413" s="15" t="s">
        <v>27964</v>
      </c>
      <c r="I7413" s="15" t="s">
        <v>2034</v>
      </c>
      <c r="J7413" s="15" t="s">
        <v>27965</v>
      </c>
      <c r="K7413" s="15">
        <v>5.0</v>
      </c>
      <c r="L7413" s="15">
        <v>5.0</v>
      </c>
      <c r="M7413" s="41">
        <v>35396.0</v>
      </c>
      <c r="N7413" s="41">
        <v>42297.0</v>
      </c>
      <c r="O7413" s="15" t="s">
        <v>1554</v>
      </c>
      <c r="Q7413" s="7"/>
    </row>
    <row r="7414">
      <c r="A7414" s="39" t="s">
        <v>27967</v>
      </c>
      <c r="B7414" s="15">
        <v>1891751.0</v>
      </c>
      <c r="C7414" s="15" t="s">
        <v>27968</v>
      </c>
      <c r="D7414" s="15">
        <v>16655.0</v>
      </c>
      <c r="E7414" s="15" t="s">
        <v>1557</v>
      </c>
      <c r="F7414" s="15" t="s">
        <v>2004</v>
      </c>
      <c r="G7414" s="7">
        <v>5.278</v>
      </c>
      <c r="H7414" s="15" t="s">
        <v>2263</v>
      </c>
      <c r="I7414" s="15" t="s">
        <v>1686</v>
      </c>
      <c r="J7414" s="15" t="s">
        <v>27969</v>
      </c>
      <c r="K7414" s="15">
        <v>6.0</v>
      </c>
      <c r="L7414" s="15">
        <v>6.0</v>
      </c>
      <c r="M7414" s="40">
        <v>38795.0</v>
      </c>
      <c r="N7414" s="40">
        <v>42978.0</v>
      </c>
      <c r="O7414" s="15" t="s">
        <v>1554</v>
      </c>
      <c r="Q7414" s="7"/>
    </row>
    <row r="7415">
      <c r="A7415" s="39" t="s">
        <v>27970</v>
      </c>
      <c r="B7415" s="15">
        <v>1891748.0</v>
      </c>
      <c r="C7415" s="15" t="s">
        <v>27971</v>
      </c>
      <c r="D7415" s="15">
        <v>16654.0</v>
      </c>
      <c r="E7415" s="15" t="s">
        <v>1557</v>
      </c>
      <c r="F7415" s="15" t="s">
        <v>2004</v>
      </c>
      <c r="G7415" s="7">
        <v>5.079</v>
      </c>
      <c r="H7415" s="15" t="s">
        <v>4401</v>
      </c>
      <c r="I7415" s="15" t="s">
        <v>1686</v>
      </c>
      <c r="J7415" s="15" t="s">
        <v>27972</v>
      </c>
      <c r="K7415" s="15">
        <v>6.0</v>
      </c>
      <c r="L7415" s="15">
        <v>6.0</v>
      </c>
      <c r="M7415" s="40">
        <v>38795.0</v>
      </c>
      <c r="N7415" s="40">
        <v>42978.0</v>
      </c>
      <c r="O7415" s="15" t="s">
        <v>1554</v>
      </c>
      <c r="Q7415" s="7"/>
    </row>
    <row r="7416">
      <c r="A7416" s="39" t="s">
        <v>27974</v>
      </c>
      <c r="B7416" s="15">
        <v>423446.0</v>
      </c>
      <c r="C7416" s="15" t="s">
        <v>27975</v>
      </c>
      <c r="D7416" s="15">
        <v>19155.0</v>
      </c>
      <c r="E7416" s="15" t="s">
        <v>1557</v>
      </c>
      <c r="F7416" s="15" t="s">
        <v>2004</v>
      </c>
      <c r="G7416" s="7">
        <v>43195.0</v>
      </c>
      <c r="H7416" s="15" t="s">
        <v>2304</v>
      </c>
      <c r="I7416" s="15" t="s">
        <v>1567</v>
      </c>
      <c r="J7416" s="15" t="s">
        <v>27976</v>
      </c>
      <c r="K7416" s="15">
        <v>5.0</v>
      </c>
      <c r="L7416" s="15">
        <v>5.0</v>
      </c>
      <c r="M7416" s="40">
        <v>39141.0</v>
      </c>
      <c r="N7416" s="40">
        <v>40263.0</v>
      </c>
      <c r="O7416" s="15" t="s">
        <v>1554</v>
      </c>
      <c r="Q7416" s="7"/>
    </row>
    <row r="7417">
      <c r="A7417" s="39" t="s">
        <v>27977</v>
      </c>
      <c r="B7417" s="15">
        <v>2029771.0</v>
      </c>
      <c r="C7417" s="15" t="s">
        <v>27978</v>
      </c>
      <c r="D7417" s="15">
        <v>406965.0</v>
      </c>
      <c r="E7417" s="15" t="s">
        <v>1548</v>
      </c>
      <c r="F7417" s="15" t="s">
        <v>1578</v>
      </c>
      <c r="G7417" s="7">
        <v>8.681</v>
      </c>
      <c r="H7417" s="15" t="s">
        <v>1828</v>
      </c>
      <c r="I7417" s="15" t="s">
        <v>1722</v>
      </c>
      <c r="J7417" s="15" t="s">
        <v>27979</v>
      </c>
      <c r="K7417" s="15">
        <v>2.0</v>
      </c>
      <c r="L7417" s="15">
        <v>2.0</v>
      </c>
      <c r="M7417" s="40">
        <v>42977.0</v>
      </c>
      <c r="N7417" s="40">
        <v>42991.0</v>
      </c>
      <c r="O7417" s="15" t="s">
        <v>1554</v>
      </c>
      <c r="Q7417" s="7"/>
    </row>
    <row r="7418">
      <c r="A7418" s="39" t="s">
        <v>27980</v>
      </c>
      <c r="B7418" s="15">
        <v>2029293.0</v>
      </c>
      <c r="C7418" s="15" t="s">
        <v>27981</v>
      </c>
      <c r="D7418" s="15">
        <v>406966.0</v>
      </c>
      <c r="E7418" s="15" t="s">
        <v>1557</v>
      </c>
      <c r="F7418" s="15" t="s">
        <v>2028</v>
      </c>
      <c r="G7418" s="7">
        <v>142.974</v>
      </c>
      <c r="H7418" s="15" t="s">
        <v>2857</v>
      </c>
      <c r="I7418" s="15" t="s">
        <v>1686</v>
      </c>
      <c r="J7418" s="15" t="s">
        <v>27982</v>
      </c>
      <c r="K7418" s="15" t="s">
        <v>1722</v>
      </c>
      <c r="L7418" s="15" t="s">
        <v>1722</v>
      </c>
      <c r="M7418" s="40">
        <v>42977.0</v>
      </c>
      <c r="N7418" s="40">
        <v>42991.0</v>
      </c>
      <c r="O7418" s="15" t="s">
        <v>1554</v>
      </c>
      <c r="Q7418" s="7"/>
    </row>
    <row r="7419">
      <c r="A7419" s="39" t="s">
        <v>27983</v>
      </c>
      <c r="B7419" s="15">
        <v>1985704.0</v>
      </c>
      <c r="C7419" s="15" t="s">
        <v>27984</v>
      </c>
      <c r="D7419" s="15">
        <v>14984.0</v>
      </c>
      <c r="E7419" s="15" t="s">
        <v>1548</v>
      </c>
      <c r="F7419" s="15" t="s">
        <v>1890</v>
      </c>
      <c r="G7419" s="7">
        <v>13.222</v>
      </c>
      <c r="H7419" s="15" t="s">
        <v>1849</v>
      </c>
      <c r="I7419" s="15" t="s">
        <v>2034</v>
      </c>
      <c r="J7419" s="15" t="s">
        <v>27985</v>
      </c>
      <c r="K7419" s="15">
        <v>9.0</v>
      </c>
      <c r="L7419" s="15">
        <v>9.0</v>
      </c>
      <c r="M7419" s="40">
        <v>36649.0</v>
      </c>
      <c r="N7419" s="40">
        <v>42045.0</v>
      </c>
      <c r="O7419" s="15" t="s">
        <v>1554</v>
      </c>
      <c r="Q7419" s="7"/>
    </row>
    <row r="7420">
      <c r="A7420" s="39" t="s">
        <v>27987</v>
      </c>
      <c r="B7420" s="15">
        <v>1891719.0</v>
      </c>
      <c r="C7420" s="15" t="s">
        <v>27988</v>
      </c>
      <c r="D7420" s="15">
        <v>183709.0</v>
      </c>
      <c r="E7420" s="15" t="s">
        <v>1557</v>
      </c>
      <c r="F7420" s="15" t="s">
        <v>2004</v>
      </c>
      <c r="G7420" s="7">
        <v>5.157</v>
      </c>
      <c r="H7420" s="15" t="s">
        <v>1602</v>
      </c>
      <c r="I7420" s="15" t="s">
        <v>1686</v>
      </c>
      <c r="J7420" s="15" t="s">
        <v>27989</v>
      </c>
      <c r="K7420" s="15">
        <v>4.0</v>
      </c>
      <c r="L7420" s="15">
        <v>4.0</v>
      </c>
      <c r="M7420" s="40">
        <v>41251.0</v>
      </c>
      <c r="N7420" s="40">
        <v>42993.0</v>
      </c>
      <c r="O7420" s="15" t="s">
        <v>1554</v>
      </c>
      <c r="Q7420" s="7"/>
    </row>
    <row r="7421">
      <c r="A7421" s="39" t="s">
        <v>27990</v>
      </c>
      <c r="B7421" s="15">
        <v>1891720.0</v>
      </c>
      <c r="C7421" s="15" t="s">
        <v>27991</v>
      </c>
      <c r="D7421" s="15">
        <v>270087.0</v>
      </c>
      <c r="E7421" s="15" t="s">
        <v>1557</v>
      </c>
      <c r="F7421" s="15" t="s">
        <v>2004</v>
      </c>
      <c r="G7421" s="7">
        <v>5.055</v>
      </c>
      <c r="H7421" s="15" t="s">
        <v>2820</v>
      </c>
      <c r="I7421" s="15" t="s">
        <v>1686</v>
      </c>
      <c r="J7421" s="15" t="s">
        <v>27992</v>
      </c>
      <c r="K7421" s="15">
        <v>5.0</v>
      </c>
      <c r="L7421" s="15">
        <v>5.0</v>
      </c>
      <c r="M7421" s="40">
        <v>41251.0</v>
      </c>
      <c r="N7421" s="40">
        <v>42993.0</v>
      </c>
      <c r="O7421" s="15" t="s">
        <v>1554</v>
      </c>
      <c r="Q7421" s="7"/>
    </row>
    <row r="7422">
      <c r="A7422" s="39" t="s">
        <v>27993</v>
      </c>
      <c r="B7422" s="15">
        <v>1891758.0</v>
      </c>
      <c r="C7422" s="15" t="s">
        <v>27994</v>
      </c>
      <c r="D7422" s="15">
        <v>270091.0</v>
      </c>
      <c r="E7422" s="15" t="s">
        <v>1557</v>
      </c>
      <c r="F7422" s="15" t="s">
        <v>2004</v>
      </c>
      <c r="G7422" s="7">
        <v>5.167</v>
      </c>
      <c r="H7422" s="15" t="s">
        <v>2118</v>
      </c>
      <c r="I7422" s="15" t="s">
        <v>1686</v>
      </c>
      <c r="J7422" s="15" t="s">
        <v>27996</v>
      </c>
      <c r="K7422" s="15">
        <v>6.0</v>
      </c>
      <c r="L7422" s="15">
        <v>6.0</v>
      </c>
      <c r="M7422" s="40">
        <v>41251.0</v>
      </c>
      <c r="N7422" s="40">
        <v>42993.0</v>
      </c>
      <c r="O7422" s="15" t="s">
        <v>1554</v>
      </c>
      <c r="Q7422" s="7"/>
    </row>
    <row r="7423">
      <c r="A7423" s="39" t="s">
        <v>27997</v>
      </c>
      <c r="B7423" s="15">
        <v>1891768.0</v>
      </c>
      <c r="C7423" s="15" t="s">
        <v>27998</v>
      </c>
      <c r="D7423" s="15">
        <v>270092.0</v>
      </c>
      <c r="E7423" s="15" t="s">
        <v>1557</v>
      </c>
      <c r="F7423" s="15" t="s">
        <v>2004</v>
      </c>
      <c r="G7423" s="7">
        <v>4.899</v>
      </c>
      <c r="H7423" s="15" t="s">
        <v>2320</v>
      </c>
      <c r="I7423" s="15" t="s">
        <v>1686</v>
      </c>
      <c r="J7423" s="15" t="s">
        <v>27999</v>
      </c>
      <c r="K7423" s="15">
        <v>6.0</v>
      </c>
      <c r="L7423" s="15">
        <v>6.0</v>
      </c>
      <c r="M7423" s="40">
        <v>40549.0</v>
      </c>
      <c r="N7423" s="40">
        <v>42993.0</v>
      </c>
      <c r="O7423" s="15" t="s">
        <v>1554</v>
      </c>
      <c r="Q7423" s="7"/>
    </row>
    <row r="7424">
      <c r="A7424" s="39" t="s">
        <v>28000</v>
      </c>
      <c r="B7424" s="15">
        <v>1755696.0</v>
      </c>
      <c r="C7424" s="15" t="s">
        <v>28001</v>
      </c>
      <c r="D7424" s="15">
        <v>18829.0</v>
      </c>
      <c r="E7424" s="15" t="s">
        <v>1916</v>
      </c>
      <c r="F7424" s="15" t="s">
        <v>1917</v>
      </c>
      <c r="G7424" s="7">
        <v>7.261</v>
      </c>
      <c r="H7424" s="15" t="s">
        <v>2648</v>
      </c>
      <c r="I7424" s="15" t="s">
        <v>1628</v>
      </c>
      <c r="J7424" s="15" t="s">
        <v>28002</v>
      </c>
      <c r="K7424" s="15">
        <v>3.0</v>
      </c>
      <c r="L7424" s="15">
        <v>3.0</v>
      </c>
      <c r="M7424" s="40">
        <v>39114.0</v>
      </c>
      <c r="N7424" s="40">
        <v>42998.0</v>
      </c>
      <c r="O7424" s="15" t="s">
        <v>1554</v>
      </c>
      <c r="Q7424" s="7"/>
    </row>
    <row r="7425">
      <c r="A7425" s="39" t="s">
        <v>28004</v>
      </c>
      <c r="B7425" s="15">
        <v>1915203.0</v>
      </c>
      <c r="C7425" s="15" t="s">
        <v>28005</v>
      </c>
      <c r="D7425" s="15">
        <v>354192.0</v>
      </c>
      <c r="E7425" s="15" t="s">
        <v>1808</v>
      </c>
      <c r="F7425" s="15" t="s">
        <v>1809</v>
      </c>
      <c r="G7425" s="7">
        <v>2.613</v>
      </c>
      <c r="H7425" s="15" t="s">
        <v>1710</v>
      </c>
      <c r="I7425" s="15" t="s">
        <v>1628</v>
      </c>
      <c r="J7425" s="15" t="s">
        <v>28006</v>
      </c>
      <c r="K7425" s="15">
        <v>5.0</v>
      </c>
      <c r="L7425" s="15">
        <v>5.0</v>
      </c>
      <c r="M7425" s="40">
        <v>42683.0</v>
      </c>
      <c r="N7425" s="40">
        <v>42999.0</v>
      </c>
      <c r="O7425" s="15" t="s">
        <v>1554</v>
      </c>
      <c r="Q7425" s="7"/>
    </row>
    <row r="7426">
      <c r="A7426" s="39" t="s">
        <v>28007</v>
      </c>
      <c r="B7426" s="15">
        <v>1913649.0</v>
      </c>
      <c r="C7426" s="15" t="s">
        <v>28008</v>
      </c>
      <c r="D7426" s="15">
        <v>354193.0</v>
      </c>
      <c r="E7426" s="15" t="s">
        <v>1548</v>
      </c>
      <c r="F7426" s="15" t="s">
        <v>15726</v>
      </c>
      <c r="G7426" s="7">
        <v>7.018</v>
      </c>
      <c r="H7426" s="15" t="s">
        <v>8889</v>
      </c>
      <c r="I7426" s="15" t="s">
        <v>1722</v>
      </c>
      <c r="J7426" s="15" t="s">
        <v>28009</v>
      </c>
      <c r="K7426" s="15">
        <v>2.0</v>
      </c>
      <c r="L7426" s="15">
        <v>2.0</v>
      </c>
      <c r="M7426" s="40">
        <v>42679.0</v>
      </c>
      <c r="N7426" s="40">
        <v>42999.0</v>
      </c>
      <c r="O7426" s="15" t="s">
        <v>1554</v>
      </c>
      <c r="Q7426" s="7"/>
    </row>
    <row r="7427">
      <c r="A7427" s="39" t="s">
        <v>28010</v>
      </c>
      <c r="B7427" s="15">
        <v>1917013.0</v>
      </c>
      <c r="C7427" s="15" t="s">
        <v>28012</v>
      </c>
      <c r="D7427" s="15">
        <v>354195.0</v>
      </c>
      <c r="E7427" s="15" t="s">
        <v>1808</v>
      </c>
      <c r="F7427" s="15" t="s">
        <v>2436</v>
      </c>
      <c r="G7427" s="7">
        <v>4.835</v>
      </c>
      <c r="H7427" s="15" t="s">
        <v>2141</v>
      </c>
      <c r="I7427" s="15" t="s">
        <v>1722</v>
      </c>
      <c r="J7427" s="15" t="s">
        <v>28013</v>
      </c>
      <c r="K7427" s="15">
        <v>2.0</v>
      </c>
      <c r="L7427" s="15">
        <v>2.0</v>
      </c>
      <c r="M7427" s="41">
        <v>42689.0</v>
      </c>
      <c r="N7427" s="40">
        <v>42999.0</v>
      </c>
      <c r="O7427" s="15" t="s">
        <v>1554</v>
      </c>
      <c r="Q7427" s="7"/>
    </row>
    <row r="7428">
      <c r="A7428" s="39" t="s">
        <v>28014</v>
      </c>
      <c r="B7428" s="15">
        <v>1916138.0</v>
      </c>
      <c r="C7428" s="15" t="s">
        <v>28015</v>
      </c>
      <c r="D7428" s="15">
        <v>354196.0</v>
      </c>
      <c r="E7428" s="15" t="s">
        <v>1548</v>
      </c>
      <c r="F7428" s="15" t="s">
        <v>1890</v>
      </c>
      <c r="G7428" s="7">
        <v>10.735</v>
      </c>
      <c r="H7428" s="15" t="s">
        <v>3870</v>
      </c>
      <c r="I7428" s="15" t="s">
        <v>1722</v>
      </c>
      <c r="J7428" s="15" t="s">
        <v>28016</v>
      </c>
      <c r="K7428" s="15" t="s">
        <v>1722</v>
      </c>
      <c r="L7428" s="15" t="s">
        <v>1722</v>
      </c>
      <c r="M7428" s="41">
        <v>42689.0</v>
      </c>
      <c r="N7428" s="40">
        <v>42999.0</v>
      </c>
      <c r="O7428" s="15" t="s">
        <v>1554</v>
      </c>
      <c r="Q7428" s="7"/>
    </row>
    <row r="7429">
      <c r="A7429" s="39" t="s">
        <v>28017</v>
      </c>
      <c r="B7429" s="15">
        <v>1923269.0</v>
      </c>
      <c r="C7429" s="15" t="s">
        <v>28018</v>
      </c>
      <c r="D7429" s="15">
        <v>361607.0</v>
      </c>
      <c r="E7429" s="15" t="s">
        <v>1664</v>
      </c>
      <c r="F7429" s="15" t="s">
        <v>1664</v>
      </c>
      <c r="G7429" s="7">
        <v>4.268</v>
      </c>
      <c r="H7429" s="15" t="s">
        <v>1640</v>
      </c>
      <c r="I7429" s="15" t="s">
        <v>1722</v>
      </c>
      <c r="J7429" s="15" t="s">
        <v>28020</v>
      </c>
      <c r="K7429" s="15">
        <v>3.0</v>
      </c>
      <c r="L7429" s="15">
        <v>3.0</v>
      </c>
      <c r="M7429" s="41">
        <v>42714.0</v>
      </c>
      <c r="N7429" s="40">
        <v>42999.0</v>
      </c>
      <c r="O7429" s="15" t="s">
        <v>1554</v>
      </c>
      <c r="Q7429" s="7"/>
    </row>
    <row r="7430">
      <c r="A7430" s="39" t="s">
        <v>28021</v>
      </c>
      <c r="B7430" s="15">
        <v>1923149.0</v>
      </c>
      <c r="C7430" s="15" t="s">
        <v>28022</v>
      </c>
      <c r="D7430" s="15">
        <v>361630.0</v>
      </c>
      <c r="E7430" s="15" t="s">
        <v>1664</v>
      </c>
      <c r="F7430" s="15" t="s">
        <v>1664</v>
      </c>
      <c r="G7430" s="7">
        <v>11.931</v>
      </c>
      <c r="H7430" s="15">
        <v>39.0</v>
      </c>
      <c r="I7430" s="15" t="s">
        <v>1722</v>
      </c>
      <c r="J7430" s="15" t="s">
        <v>28023</v>
      </c>
      <c r="K7430" s="15">
        <v>3.0</v>
      </c>
      <c r="L7430" s="15">
        <v>3.0</v>
      </c>
      <c r="M7430" s="41">
        <v>42714.0</v>
      </c>
      <c r="N7430" s="40">
        <v>42999.0</v>
      </c>
      <c r="O7430" s="15" t="s">
        <v>1554</v>
      </c>
      <c r="Q7430" s="7"/>
    </row>
    <row r="7431">
      <c r="A7431" s="39" t="s">
        <v>28024</v>
      </c>
      <c r="B7431" s="15">
        <v>1187973.0</v>
      </c>
      <c r="C7431" s="15" t="s">
        <v>28025</v>
      </c>
      <c r="D7431" s="15">
        <v>378394.0</v>
      </c>
      <c r="E7431" s="15" t="s">
        <v>1638</v>
      </c>
      <c r="F7431" s="15" t="s">
        <v>1649</v>
      </c>
      <c r="G7431" s="7">
        <v>4.035</v>
      </c>
      <c r="H7431" s="15" t="s">
        <v>28026</v>
      </c>
      <c r="I7431" s="15" t="s">
        <v>1722</v>
      </c>
      <c r="J7431" s="15" t="s">
        <v>28027</v>
      </c>
      <c r="K7431" s="15">
        <v>3.0</v>
      </c>
      <c r="L7431" s="15">
        <v>3.0</v>
      </c>
      <c r="M7431" s="40">
        <v>41045.0</v>
      </c>
      <c r="N7431" s="40">
        <v>42999.0</v>
      </c>
      <c r="O7431" s="15" t="s">
        <v>1554</v>
      </c>
      <c r="Q7431" s="7"/>
    </row>
    <row r="7432">
      <c r="A7432" s="39" t="s">
        <v>28029</v>
      </c>
      <c r="B7432" s="15">
        <v>1986506.0</v>
      </c>
      <c r="C7432" s="15" t="s">
        <v>28030</v>
      </c>
      <c r="D7432" s="15">
        <v>390621.0</v>
      </c>
      <c r="E7432" s="15" t="s">
        <v>1557</v>
      </c>
      <c r="F7432" s="15" t="s">
        <v>2628</v>
      </c>
      <c r="G7432" s="7">
        <v>29.812</v>
      </c>
      <c r="H7432" s="15" t="s">
        <v>3870</v>
      </c>
      <c r="I7432" s="15" t="s">
        <v>1686</v>
      </c>
      <c r="J7432" s="15" t="s">
        <v>28031</v>
      </c>
      <c r="K7432" s="15">
        <v>30.0</v>
      </c>
      <c r="L7432" s="15">
        <v>30.0</v>
      </c>
      <c r="M7432" s="40">
        <v>42872.0</v>
      </c>
      <c r="N7432" s="40">
        <v>42999.0</v>
      </c>
      <c r="O7432" s="15" t="s">
        <v>1554</v>
      </c>
      <c r="Q7432" s="7"/>
    </row>
    <row r="7433">
      <c r="A7433" s="39" t="s">
        <v>28032</v>
      </c>
      <c r="B7433" s="15">
        <v>2038729.0</v>
      </c>
      <c r="C7433" s="15" t="s">
        <v>28033</v>
      </c>
      <c r="D7433" s="15">
        <v>233603.0</v>
      </c>
      <c r="E7433" s="15" t="s">
        <v>1808</v>
      </c>
      <c r="F7433" s="15" t="s">
        <v>1854</v>
      </c>
      <c r="G7433" s="7">
        <v>8.091</v>
      </c>
      <c r="H7433" s="15" t="s">
        <v>28034</v>
      </c>
      <c r="I7433" s="15" t="s">
        <v>1628</v>
      </c>
      <c r="J7433" s="15" t="s">
        <v>28035</v>
      </c>
      <c r="K7433" s="15">
        <v>8.0</v>
      </c>
      <c r="L7433" s="15">
        <v>8.0</v>
      </c>
      <c r="M7433" s="41">
        <v>41631.0</v>
      </c>
      <c r="N7433" s="41">
        <v>42297.0</v>
      </c>
      <c r="O7433" s="15" t="s">
        <v>1554</v>
      </c>
      <c r="Q7433" s="7"/>
    </row>
    <row r="7434">
      <c r="A7434" s="39" t="s">
        <v>28037</v>
      </c>
      <c r="B7434" s="15">
        <v>1964370.0</v>
      </c>
      <c r="C7434" s="15" t="s">
        <v>28038</v>
      </c>
      <c r="D7434" s="15">
        <v>401187.0</v>
      </c>
      <c r="E7434" s="15" t="s">
        <v>1548</v>
      </c>
      <c r="F7434" s="15" t="s">
        <v>1776</v>
      </c>
      <c r="G7434" s="7">
        <v>7.964</v>
      </c>
      <c r="H7434" s="15" t="s">
        <v>2023</v>
      </c>
      <c r="I7434" s="15" t="s">
        <v>1686</v>
      </c>
      <c r="J7434" s="15" t="s">
        <v>28039</v>
      </c>
      <c r="K7434" s="15">
        <v>1.0</v>
      </c>
      <c r="L7434" s="15">
        <v>1.0</v>
      </c>
      <c r="M7434" s="40">
        <v>42977.0</v>
      </c>
      <c r="N7434" s="40">
        <v>42990.0</v>
      </c>
      <c r="O7434" s="15" t="s">
        <v>1554</v>
      </c>
      <c r="Q7434" s="7"/>
    </row>
    <row r="7435">
      <c r="A7435" s="39" t="s">
        <v>28040</v>
      </c>
      <c r="B7435" s="15">
        <v>418827.0</v>
      </c>
      <c r="C7435" s="15" t="s">
        <v>28041</v>
      </c>
      <c r="D7435" s="15">
        <v>78927.0</v>
      </c>
      <c r="E7435" s="15" t="s">
        <v>1548</v>
      </c>
      <c r="F7435" s="15" t="s">
        <v>1911</v>
      </c>
      <c r="G7435" s="7">
        <v>9.649</v>
      </c>
      <c r="H7435" s="15" t="s">
        <v>2440</v>
      </c>
      <c r="I7435" s="15" t="s">
        <v>1628</v>
      </c>
      <c r="J7435" s="15" t="s">
        <v>28042</v>
      </c>
      <c r="K7435" s="15">
        <v>2.0</v>
      </c>
      <c r="L7435" s="15">
        <v>2.0</v>
      </c>
      <c r="M7435" s="41">
        <v>40888.0</v>
      </c>
      <c r="N7435" s="40">
        <v>42045.0</v>
      </c>
      <c r="O7435" s="15" t="s">
        <v>1554</v>
      </c>
      <c r="Q7435" s="7"/>
    </row>
    <row r="7436">
      <c r="A7436" s="39" t="s">
        <v>28043</v>
      </c>
      <c r="B7436" s="15">
        <v>1985699.0</v>
      </c>
      <c r="C7436" s="15" t="s">
        <v>28044</v>
      </c>
      <c r="D7436" s="15">
        <v>301026.0</v>
      </c>
      <c r="E7436" s="15" t="s">
        <v>1548</v>
      </c>
      <c r="F7436" s="15" t="s">
        <v>1890</v>
      </c>
      <c r="G7436" s="7">
        <v>12.706</v>
      </c>
      <c r="H7436" s="15" t="s">
        <v>3255</v>
      </c>
      <c r="I7436" s="15" t="s">
        <v>1628</v>
      </c>
      <c r="J7436" s="15" t="s">
        <v>28045</v>
      </c>
      <c r="K7436" s="15">
        <v>10.0</v>
      </c>
      <c r="L7436" s="15">
        <v>10.0</v>
      </c>
      <c r="M7436" s="40">
        <v>42066.0</v>
      </c>
      <c r="N7436" s="40">
        <v>42311.0</v>
      </c>
      <c r="O7436" s="15" t="s">
        <v>1554</v>
      </c>
      <c r="Q7436" s="7"/>
    </row>
    <row r="7437">
      <c r="A7437" s="39" t="s">
        <v>28046</v>
      </c>
      <c r="B7437" s="15">
        <v>1920999.0</v>
      </c>
      <c r="C7437" s="15" t="s">
        <v>28047</v>
      </c>
      <c r="D7437" s="15">
        <v>15569.0</v>
      </c>
      <c r="E7437" s="15" t="s">
        <v>1557</v>
      </c>
      <c r="F7437" s="15" t="s">
        <v>1833</v>
      </c>
      <c r="G7437" s="7">
        <v>46.072</v>
      </c>
      <c r="H7437" s="15">
        <v>44.0</v>
      </c>
      <c r="I7437" s="15" t="s">
        <v>1586</v>
      </c>
      <c r="J7437" s="15" t="s">
        <v>28049</v>
      </c>
      <c r="K7437" s="15">
        <v>82.0</v>
      </c>
      <c r="L7437" s="15">
        <v>82.0</v>
      </c>
      <c r="M7437" s="40">
        <v>38564.0</v>
      </c>
      <c r="N7437" s="41">
        <v>39436.0</v>
      </c>
      <c r="O7437" s="15" t="s">
        <v>1554</v>
      </c>
      <c r="Q7437" s="7"/>
    </row>
    <row r="7438">
      <c r="A7438" s="39" t="s">
        <v>28050</v>
      </c>
      <c r="B7438" s="15">
        <v>1908804.0</v>
      </c>
      <c r="D7438" s="15">
        <v>0.0</v>
      </c>
      <c r="E7438" s="15" t="s">
        <v>1808</v>
      </c>
      <c r="F7438" s="15" t="s">
        <v>2436</v>
      </c>
      <c r="G7438" s="7">
        <v>43225.0</v>
      </c>
      <c r="H7438" s="15" t="s">
        <v>5368</v>
      </c>
      <c r="I7438" s="15" t="s">
        <v>1686</v>
      </c>
      <c r="J7438" s="15" t="s">
        <v>28051</v>
      </c>
      <c r="K7438" s="15">
        <v>2.0</v>
      </c>
      <c r="L7438" s="15">
        <v>2.0</v>
      </c>
      <c r="M7438" s="41">
        <v>42667.0</v>
      </c>
      <c r="N7438" s="41">
        <v>42671.0</v>
      </c>
      <c r="O7438" s="15" t="s">
        <v>1554</v>
      </c>
      <c r="Q7438" s="7"/>
    </row>
    <row r="7439">
      <c r="A7439" s="39" t="s">
        <v>28052</v>
      </c>
      <c r="B7439" s="15">
        <v>36362.0</v>
      </c>
      <c r="D7439" s="15">
        <v>0.0</v>
      </c>
      <c r="E7439" s="15" t="s">
        <v>1557</v>
      </c>
      <c r="F7439" s="15" t="s">
        <v>2004</v>
      </c>
      <c r="G7439" s="7">
        <v>4.564</v>
      </c>
      <c r="H7439" s="15" t="s">
        <v>2857</v>
      </c>
      <c r="I7439" s="15" t="s">
        <v>1686</v>
      </c>
      <c r="J7439" s="15" t="s">
        <v>28053</v>
      </c>
      <c r="K7439" s="15">
        <v>4.0</v>
      </c>
      <c r="L7439" s="15">
        <v>4.0</v>
      </c>
      <c r="M7439" s="41">
        <v>42674.0</v>
      </c>
      <c r="N7439" s="40">
        <v>42678.0</v>
      </c>
      <c r="O7439" s="15" t="s">
        <v>1554</v>
      </c>
      <c r="Q7439" s="7"/>
    </row>
    <row r="7440">
      <c r="A7440" s="39" t="s">
        <v>28055</v>
      </c>
      <c r="B7440" s="15">
        <v>1908805.0</v>
      </c>
      <c r="D7440" s="15">
        <v>0.0</v>
      </c>
      <c r="E7440" s="15" t="s">
        <v>1808</v>
      </c>
      <c r="F7440" s="15" t="s">
        <v>2436</v>
      </c>
      <c r="G7440" s="7">
        <v>4.662</v>
      </c>
      <c r="H7440" s="15" t="s">
        <v>2597</v>
      </c>
      <c r="I7440" s="15" t="s">
        <v>1686</v>
      </c>
      <c r="J7440" s="15" t="s">
        <v>28056</v>
      </c>
      <c r="K7440" s="15">
        <v>2.0</v>
      </c>
      <c r="L7440" s="15">
        <v>2.0</v>
      </c>
      <c r="M7440" s="41">
        <v>42674.0</v>
      </c>
      <c r="N7440" s="40">
        <v>42678.0</v>
      </c>
      <c r="O7440" s="15" t="s">
        <v>1554</v>
      </c>
      <c r="Q7440" s="7"/>
    </row>
    <row r="7441">
      <c r="A7441" s="39" t="s">
        <v>28057</v>
      </c>
      <c r="B7441" s="15">
        <v>1964372.0</v>
      </c>
      <c r="D7441" s="15">
        <v>0.0</v>
      </c>
      <c r="E7441" s="15" t="s">
        <v>1808</v>
      </c>
      <c r="F7441" s="15" t="s">
        <v>1998</v>
      </c>
      <c r="G7441" s="7">
        <v>1.873</v>
      </c>
      <c r="H7441" s="15">
        <v>54.0</v>
      </c>
      <c r="I7441" s="15" t="s">
        <v>1686</v>
      </c>
      <c r="J7441" s="15" t="s">
        <v>28058</v>
      </c>
      <c r="K7441" s="15">
        <v>2.0</v>
      </c>
      <c r="L7441" s="15">
        <v>2.0</v>
      </c>
      <c r="M7441" s="40">
        <v>42802.0</v>
      </c>
      <c r="N7441" s="40">
        <v>42808.0</v>
      </c>
      <c r="O7441" s="15" t="s">
        <v>1554</v>
      </c>
      <c r="Q7441" s="7"/>
    </row>
    <row r="7442">
      <c r="A7442" s="39" t="s">
        <v>28059</v>
      </c>
      <c r="B7442" s="15">
        <v>2008771.0</v>
      </c>
      <c r="D7442" s="15">
        <v>0.0</v>
      </c>
      <c r="E7442" s="15" t="s">
        <v>1548</v>
      </c>
      <c r="F7442" s="15" t="s">
        <v>1801</v>
      </c>
      <c r="G7442" s="7">
        <v>8.916</v>
      </c>
      <c r="H7442" s="15" t="s">
        <v>10401</v>
      </c>
      <c r="I7442" s="15" t="s">
        <v>1567</v>
      </c>
      <c r="J7442" s="15" t="s">
        <v>28060</v>
      </c>
      <c r="K7442" s="15">
        <v>1.0</v>
      </c>
      <c r="L7442" s="15">
        <v>1.0</v>
      </c>
      <c r="M7442" s="40">
        <v>41397.0</v>
      </c>
      <c r="N7442" s="40">
        <v>42996.0</v>
      </c>
      <c r="O7442" s="15" t="s">
        <v>1554</v>
      </c>
      <c r="Q7442" s="7"/>
    </row>
    <row r="7443">
      <c r="A7443" s="39" t="s">
        <v>28061</v>
      </c>
      <c r="B7443" s="15">
        <v>1980428.0</v>
      </c>
      <c r="D7443" s="15">
        <v>0.0</v>
      </c>
      <c r="E7443" s="15" t="s">
        <v>1548</v>
      </c>
      <c r="F7443" s="15" t="s">
        <v>27203</v>
      </c>
      <c r="G7443" s="7">
        <v>18.555</v>
      </c>
      <c r="H7443" s="15" t="s">
        <v>28063</v>
      </c>
      <c r="I7443" s="15" t="s">
        <v>1722</v>
      </c>
      <c r="J7443" s="15" t="s">
        <v>28064</v>
      </c>
      <c r="K7443" s="15">
        <v>8.0</v>
      </c>
      <c r="L7443" s="15">
        <v>8.0</v>
      </c>
      <c r="M7443" s="40">
        <v>41874.0</v>
      </c>
      <c r="N7443" s="40">
        <v>42551.0</v>
      </c>
      <c r="O7443" s="15" t="s">
        <v>1554</v>
      </c>
      <c r="Q7443" s="7"/>
    </row>
    <row r="7444">
      <c r="A7444" s="39" t="s">
        <v>28065</v>
      </c>
      <c r="B7444" s="15">
        <v>1885565.0</v>
      </c>
      <c r="D7444" s="15">
        <v>0.0</v>
      </c>
      <c r="E7444" s="15" t="s">
        <v>1557</v>
      </c>
      <c r="F7444" s="15" t="s">
        <v>2004</v>
      </c>
      <c r="G7444" s="7">
        <v>4.676</v>
      </c>
      <c r="H7444" s="15">
        <v>51.0</v>
      </c>
      <c r="I7444" s="15" t="s">
        <v>1686</v>
      </c>
      <c r="J7444" s="15" t="s">
        <v>28066</v>
      </c>
      <c r="K7444" s="15">
        <v>5.0</v>
      </c>
      <c r="L7444" s="15">
        <v>5.0</v>
      </c>
      <c r="M7444" s="40">
        <v>42755.0</v>
      </c>
      <c r="N7444" s="40">
        <v>43007.0</v>
      </c>
      <c r="O7444" s="15" t="s">
        <v>1554</v>
      </c>
      <c r="Q7444" s="7"/>
    </row>
    <row r="7445">
      <c r="A7445" s="39" t="s">
        <v>28067</v>
      </c>
      <c r="B7445" s="15">
        <v>908070.0</v>
      </c>
      <c r="C7445" s="15" t="s">
        <v>28068</v>
      </c>
      <c r="D7445" s="15">
        <v>14445.0</v>
      </c>
      <c r="E7445" s="15" t="s">
        <v>2014</v>
      </c>
      <c r="F7445" s="15" t="s">
        <v>2018</v>
      </c>
      <c r="G7445" s="7">
        <v>1.353</v>
      </c>
      <c r="H7445" s="15" t="s">
        <v>3317</v>
      </c>
      <c r="I7445" s="15" t="s">
        <v>1628</v>
      </c>
      <c r="J7445" s="15" t="s">
        <v>28070</v>
      </c>
      <c r="K7445" s="15">
        <v>1.0</v>
      </c>
      <c r="L7445" s="15">
        <v>1.0</v>
      </c>
      <c r="M7445" s="40">
        <v>36925.0</v>
      </c>
      <c r="N7445" s="40">
        <v>43007.0</v>
      </c>
      <c r="O7445" s="15" t="s">
        <v>1554</v>
      </c>
      <c r="Q7445" s="7"/>
    </row>
    <row r="7446">
      <c r="A7446" s="39" t="s">
        <v>28071</v>
      </c>
      <c r="B7446" s="15">
        <v>2044517.0</v>
      </c>
      <c r="C7446" s="15" t="s">
        <v>28072</v>
      </c>
      <c r="D7446" s="15">
        <v>328672.0</v>
      </c>
      <c r="E7446" s="15" t="s">
        <v>1916</v>
      </c>
      <c r="F7446" s="15" t="s">
        <v>1917</v>
      </c>
      <c r="G7446" s="7">
        <v>6.966</v>
      </c>
      <c r="H7446" s="15">
        <v>43.0</v>
      </c>
      <c r="I7446" s="15" t="s">
        <v>1628</v>
      </c>
      <c r="J7446" s="15" t="s">
        <v>28073</v>
      </c>
      <c r="K7446" s="15">
        <v>3.0</v>
      </c>
      <c r="L7446" s="15">
        <v>3.0</v>
      </c>
      <c r="M7446" s="40">
        <v>42554.0</v>
      </c>
      <c r="N7446" s="41">
        <v>43021.0</v>
      </c>
      <c r="O7446" s="15" t="s">
        <v>1554</v>
      </c>
      <c r="Q7446" s="7"/>
    </row>
    <row r="7447">
      <c r="A7447" s="39" t="s">
        <v>28074</v>
      </c>
      <c r="B7447" s="15">
        <v>1982901.0</v>
      </c>
      <c r="C7447" s="15" t="s">
        <v>28075</v>
      </c>
      <c r="D7447" s="15">
        <v>240774.0</v>
      </c>
      <c r="E7447" s="15" t="s">
        <v>1557</v>
      </c>
      <c r="F7447" s="15" t="s">
        <v>1833</v>
      </c>
      <c r="G7447" s="7">
        <v>69.864</v>
      </c>
      <c r="H7447" s="15" t="s">
        <v>1666</v>
      </c>
      <c r="I7447" s="15" t="s">
        <v>1586</v>
      </c>
      <c r="J7447" s="15" t="s">
        <v>28076</v>
      </c>
      <c r="K7447" s="15">
        <v>97.0</v>
      </c>
      <c r="L7447" s="15">
        <v>97.0</v>
      </c>
      <c r="M7447" s="40">
        <v>40853.0</v>
      </c>
      <c r="N7447" s="40">
        <v>41709.0</v>
      </c>
      <c r="O7447" s="15" t="s">
        <v>1554</v>
      </c>
      <c r="Q7447" s="7"/>
    </row>
    <row r="7448">
      <c r="A7448" s="39" t="s">
        <v>28078</v>
      </c>
      <c r="B7448" s="15">
        <v>1980429.0</v>
      </c>
      <c r="C7448" s="15" t="s">
        <v>28079</v>
      </c>
      <c r="D7448" s="15">
        <v>314257.0</v>
      </c>
      <c r="E7448" s="15" t="s">
        <v>1548</v>
      </c>
      <c r="F7448" s="15" t="s">
        <v>27203</v>
      </c>
      <c r="G7448" s="7">
        <v>14.051</v>
      </c>
      <c r="H7448" s="15" t="s">
        <v>28080</v>
      </c>
      <c r="I7448" s="15" t="s">
        <v>1722</v>
      </c>
      <c r="J7448" s="15" t="s">
        <v>28081</v>
      </c>
      <c r="K7448" s="15">
        <v>5.0</v>
      </c>
      <c r="L7448" s="15">
        <v>5.0</v>
      </c>
      <c r="M7448" s="41">
        <v>41575.0</v>
      </c>
      <c r="N7448" s="41">
        <v>43019.0</v>
      </c>
      <c r="O7448" s="15" t="s">
        <v>1554</v>
      </c>
      <c r="Q7448" s="7"/>
    </row>
    <row r="7449">
      <c r="A7449" s="39" t="s">
        <v>28082</v>
      </c>
      <c r="B7449" s="15">
        <v>1407671.0</v>
      </c>
      <c r="D7449" s="15">
        <v>0.0</v>
      </c>
      <c r="E7449" s="15" t="s">
        <v>1664</v>
      </c>
      <c r="F7449" s="15" t="s">
        <v>1664</v>
      </c>
      <c r="G7449" s="7">
        <v>39.365</v>
      </c>
      <c r="H7449" s="15" t="s">
        <v>1720</v>
      </c>
      <c r="I7449" s="15" t="s">
        <v>1722</v>
      </c>
      <c r="J7449" s="15" t="s">
        <v>28083</v>
      </c>
      <c r="K7449" s="15" t="s">
        <v>1722</v>
      </c>
      <c r="L7449" s="15">
        <v>46.0</v>
      </c>
      <c r="M7449" s="40">
        <v>41584.0</v>
      </c>
      <c r="N7449" s="41">
        <v>42307.0</v>
      </c>
      <c r="O7449" s="15" t="s">
        <v>1554</v>
      </c>
      <c r="Q7449" s="7"/>
    </row>
    <row r="7450">
      <c r="A7450" s="39" t="s">
        <v>28085</v>
      </c>
      <c r="B7450" s="15">
        <v>1758150.0</v>
      </c>
      <c r="D7450" s="15">
        <v>0.0</v>
      </c>
      <c r="E7450" s="15" t="s">
        <v>1808</v>
      </c>
      <c r="F7450" s="15" t="s">
        <v>3154</v>
      </c>
      <c r="G7450" s="7">
        <v>43105.0</v>
      </c>
      <c r="H7450" s="15" t="s">
        <v>2064</v>
      </c>
      <c r="I7450" s="15" t="s">
        <v>1586</v>
      </c>
      <c r="J7450" s="15" t="s">
        <v>28086</v>
      </c>
      <c r="K7450" s="15" t="s">
        <v>1722</v>
      </c>
      <c r="L7450" s="15">
        <v>5.0</v>
      </c>
      <c r="M7450" s="41">
        <v>42718.0</v>
      </c>
      <c r="N7450" s="41">
        <v>42718.0</v>
      </c>
      <c r="O7450" s="15" t="s">
        <v>1554</v>
      </c>
      <c r="Q7450" s="7"/>
    </row>
    <row r="7451">
      <c r="A7451" s="39" t="s">
        <v>28087</v>
      </c>
      <c r="B7451" s="15">
        <v>1461246.0</v>
      </c>
      <c r="D7451" s="15">
        <v>0.0</v>
      </c>
      <c r="E7451" s="15" t="s">
        <v>4407</v>
      </c>
      <c r="F7451" s="15" t="s">
        <v>1578</v>
      </c>
      <c r="G7451" s="7">
        <v>41.323</v>
      </c>
      <c r="H7451" s="15" t="s">
        <v>2320</v>
      </c>
      <c r="I7451" s="15" t="s">
        <v>1586</v>
      </c>
      <c r="J7451" s="15" t="s">
        <v>28088</v>
      </c>
      <c r="K7451" s="15" t="s">
        <v>1722</v>
      </c>
      <c r="L7451" s="15">
        <v>63.0</v>
      </c>
      <c r="M7451" s="40">
        <v>41731.0</v>
      </c>
      <c r="N7451" s="40">
        <v>41851.0</v>
      </c>
      <c r="O7451" s="15" t="s">
        <v>1554</v>
      </c>
      <c r="Q7451" s="7"/>
    </row>
    <row r="7452">
      <c r="A7452" s="39" t="s">
        <v>28089</v>
      </c>
      <c r="B7452" s="15">
        <v>1468179.0</v>
      </c>
      <c r="D7452" s="15">
        <v>0.0</v>
      </c>
      <c r="E7452" s="15" t="s">
        <v>4407</v>
      </c>
      <c r="F7452" s="15" t="s">
        <v>1578</v>
      </c>
      <c r="G7452" s="7">
        <v>79.178</v>
      </c>
      <c r="H7452" s="15" t="s">
        <v>4070</v>
      </c>
      <c r="I7452" s="15" t="s">
        <v>1586</v>
      </c>
      <c r="J7452" s="15" t="s">
        <v>28091</v>
      </c>
      <c r="K7452" s="15" t="s">
        <v>1722</v>
      </c>
      <c r="L7452" s="15">
        <v>129.0</v>
      </c>
      <c r="M7452" s="40">
        <v>42063.0</v>
      </c>
      <c r="N7452" s="40">
        <v>42117.0</v>
      </c>
      <c r="O7452" s="15" t="s">
        <v>1554</v>
      </c>
      <c r="Q7452" s="7"/>
    </row>
    <row r="7453">
      <c r="A7453" s="39" t="s">
        <v>28092</v>
      </c>
      <c r="B7453" s="15">
        <v>1852567.0</v>
      </c>
      <c r="D7453" s="15">
        <v>0.0</v>
      </c>
      <c r="E7453" s="15" t="s">
        <v>1557</v>
      </c>
      <c r="F7453" s="15" t="s">
        <v>1833</v>
      </c>
      <c r="G7453" s="7">
        <v>65.237</v>
      </c>
      <c r="H7453" s="15" t="s">
        <v>4467</v>
      </c>
      <c r="I7453" s="15" t="s">
        <v>1586</v>
      </c>
      <c r="J7453" s="15" t="s">
        <v>28093</v>
      </c>
      <c r="K7453" s="15">
        <v>115.0</v>
      </c>
      <c r="L7453" s="15">
        <v>115.0</v>
      </c>
      <c r="M7453" s="40">
        <v>42543.0</v>
      </c>
      <c r="N7453" s="40">
        <v>42543.0</v>
      </c>
      <c r="O7453" s="15" t="s">
        <v>1554</v>
      </c>
      <c r="Q7453" s="7"/>
    </row>
    <row r="7454">
      <c r="A7454" s="39" t="s">
        <v>28094</v>
      </c>
      <c r="B7454" s="15">
        <v>1480731.0</v>
      </c>
      <c r="D7454" s="15">
        <v>0.0</v>
      </c>
      <c r="E7454" s="15" t="s">
        <v>1557</v>
      </c>
      <c r="F7454" s="15" t="s">
        <v>1611</v>
      </c>
      <c r="G7454" s="7">
        <v>44.541</v>
      </c>
      <c r="H7454" s="15" t="s">
        <v>2392</v>
      </c>
      <c r="I7454" s="15" t="s">
        <v>1586</v>
      </c>
      <c r="J7454" s="15" t="s">
        <v>28095</v>
      </c>
      <c r="K7454" s="15">
        <v>44.0</v>
      </c>
      <c r="L7454" s="15">
        <v>44.0</v>
      </c>
      <c r="M7454" s="40">
        <v>41729.0</v>
      </c>
      <c r="N7454" s="40">
        <v>41729.0</v>
      </c>
      <c r="O7454" s="15" t="s">
        <v>1554</v>
      </c>
      <c r="Q7454" s="7"/>
    </row>
    <row r="7455">
      <c r="A7455" s="39" t="s">
        <v>28096</v>
      </c>
      <c r="B7455" s="15">
        <v>1481110.0</v>
      </c>
      <c r="D7455" s="15">
        <v>0.0</v>
      </c>
      <c r="E7455" s="15" t="s">
        <v>1557</v>
      </c>
      <c r="F7455" s="15" t="s">
        <v>1767</v>
      </c>
      <c r="G7455" s="7">
        <v>35.56</v>
      </c>
      <c r="H7455" s="15" t="s">
        <v>3297</v>
      </c>
      <c r="I7455" s="15" t="s">
        <v>1586</v>
      </c>
      <c r="J7455" s="15" t="s">
        <v>28097</v>
      </c>
      <c r="K7455" s="15" t="s">
        <v>1722</v>
      </c>
      <c r="L7455" s="15" t="s">
        <v>1722</v>
      </c>
      <c r="M7455" s="40">
        <v>41731.0</v>
      </c>
      <c r="N7455" s="40">
        <v>41731.0</v>
      </c>
      <c r="O7455" s="15" t="s">
        <v>1554</v>
      </c>
      <c r="Q7455" s="7"/>
    </row>
    <row r="7456">
      <c r="A7456" s="39" t="s">
        <v>28098</v>
      </c>
      <c r="B7456" s="15">
        <v>1486470.0</v>
      </c>
      <c r="D7456" s="15">
        <v>0.0</v>
      </c>
      <c r="E7456" s="15" t="s">
        <v>1557</v>
      </c>
      <c r="F7456" s="15" t="s">
        <v>1833</v>
      </c>
      <c r="G7456" s="7">
        <v>60.31</v>
      </c>
      <c r="H7456" s="15" t="s">
        <v>6615</v>
      </c>
      <c r="I7456" s="15" t="s">
        <v>1586</v>
      </c>
      <c r="J7456" s="15" t="s">
        <v>28099</v>
      </c>
      <c r="K7456" s="15">
        <v>101.0</v>
      </c>
      <c r="L7456" s="15">
        <v>100.0</v>
      </c>
      <c r="M7456" s="40">
        <v>41818.0</v>
      </c>
      <c r="N7456" s="40">
        <v>41818.0</v>
      </c>
      <c r="O7456" s="15" t="s">
        <v>1554</v>
      </c>
      <c r="Q7456" s="7"/>
    </row>
    <row r="7457">
      <c r="A7457" s="39" t="s">
        <v>28100</v>
      </c>
      <c r="B7457" s="15">
        <v>1498011.0</v>
      </c>
      <c r="D7457" s="15">
        <v>0.0</v>
      </c>
      <c r="E7457" s="15" t="s">
        <v>1557</v>
      </c>
      <c r="F7457" s="15" t="s">
        <v>1611</v>
      </c>
      <c r="G7457" s="7">
        <v>42.205</v>
      </c>
      <c r="H7457" s="15" t="s">
        <v>3538</v>
      </c>
      <c r="I7457" s="15" t="s">
        <v>1586</v>
      </c>
      <c r="J7457" s="15" t="s">
        <v>28101</v>
      </c>
      <c r="K7457" s="15">
        <v>57.0</v>
      </c>
      <c r="L7457" s="15">
        <v>57.0</v>
      </c>
      <c r="M7457" s="41">
        <v>41943.0</v>
      </c>
      <c r="N7457" s="40">
        <v>42040.0</v>
      </c>
      <c r="O7457" s="15" t="s">
        <v>1554</v>
      </c>
      <c r="Q7457" s="7"/>
    </row>
    <row r="7458">
      <c r="A7458" s="39" t="s">
        <v>28102</v>
      </c>
      <c r="B7458" s="15">
        <v>1505226.0</v>
      </c>
      <c r="D7458" s="15">
        <v>0.0</v>
      </c>
      <c r="E7458" s="15" t="s">
        <v>1557</v>
      </c>
      <c r="F7458" s="15" t="s">
        <v>1833</v>
      </c>
      <c r="G7458" s="7">
        <v>70.214</v>
      </c>
      <c r="H7458" s="15" t="s">
        <v>6325</v>
      </c>
      <c r="I7458" s="15" t="s">
        <v>1586</v>
      </c>
      <c r="J7458" s="15" t="s">
        <v>28104</v>
      </c>
      <c r="K7458" s="15">
        <v>124.0</v>
      </c>
      <c r="L7458" s="15">
        <v>124.0</v>
      </c>
      <c r="M7458" s="40">
        <v>41857.0</v>
      </c>
      <c r="N7458" s="40">
        <v>41857.0</v>
      </c>
      <c r="O7458" s="15" t="s">
        <v>1554</v>
      </c>
      <c r="Q7458" s="7"/>
    </row>
    <row r="7459">
      <c r="A7459" s="39" t="s">
        <v>28105</v>
      </c>
      <c r="B7459" s="15">
        <v>1508672.0</v>
      </c>
      <c r="D7459" s="15">
        <v>0.0</v>
      </c>
      <c r="E7459" s="15" t="s">
        <v>1557</v>
      </c>
      <c r="F7459" s="15" t="s">
        <v>1611</v>
      </c>
      <c r="G7459" s="7">
        <v>39.234</v>
      </c>
      <c r="H7459" s="15" t="s">
        <v>2365</v>
      </c>
      <c r="I7459" s="15" t="s">
        <v>1586</v>
      </c>
      <c r="J7459" s="15" t="s">
        <v>28106</v>
      </c>
      <c r="K7459" s="15">
        <v>51.0</v>
      </c>
      <c r="L7459" s="15">
        <v>50.0</v>
      </c>
      <c r="M7459" s="40">
        <v>42123.0</v>
      </c>
      <c r="N7459" s="40">
        <v>42123.0</v>
      </c>
      <c r="O7459" s="15" t="s">
        <v>1554</v>
      </c>
      <c r="Q7459" s="7"/>
    </row>
    <row r="7460">
      <c r="A7460" s="39" t="s">
        <v>28107</v>
      </c>
      <c r="B7460" s="15">
        <v>1508673.0</v>
      </c>
      <c r="D7460" s="15">
        <v>0.0</v>
      </c>
      <c r="E7460" s="15" t="s">
        <v>1557</v>
      </c>
      <c r="F7460" s="15" t="s">
        <v>1767</v>
      </c>
      <c r="G7460" s="7">
        <v>88.771</v>
      </c>
      <c r="H7460" s="15" t="s">
        <v>5806</v>
      </c>
      <c r="I7460" s="15" t="s">
        <v>1586</v>
      </c>
      <c r="J7460" s="15" t="s">
        <v>28108</v>
      </c>
      <c r="K7460" s="15">
        <v>158.0</v>
      </c>
      <c r="L7460" s="15">
        <v>132.0</v>
      </c>
      <c r="M7460" s="40">
        <v>42123.0</v>
      </c>
      <c r="N7460" s="40">
        <v>42123.0</v>
      </c>
      <c r="O7460" s="15" t="s">
        <v>1554</v>
      </c>
      <c r="Q7460" s="7"/>
    </row>
    <row r="7461">
      <c r="A7461" s="39" t="s">
        <v>28109</v>
      </c>
      <c r="B7461" s="15">
        <v>1508674.0</v>
      </c>
      <c r="D7461" s="15">
        <v>0.0</v>
      </c>
      <c r="E7461" s="15" t="s">
        <v>1557</v>
      </c>
      <c r="F7461" s="15" t="s">
        <v>1767</v>
      </c>
      <c r="G7461" s="7">
        <v>88.632</v>
      </c>
      <c r="H7461" s="15" t="s">
        <v>5806</v>
      </c>
      <c r="I7461" s="15" t="s">
        <v>1586</v>
      </c>
      <c r="J7461" s="15" t="s">
        <v>28110</v>
      </c>
      <c r="K7461" s="15">
        <v>158.0</v>
      </c>
      <c r="L7461" s="15">
        <v>132.0</v>
      </c>
      <c r="M7461" s="40">
        <v>42123.0</v>
      </c>
      <c r="N7461" s="40">
        <v>42123.0</v>
      </c>
      <c r="O7461" s="15" t="s">
        <v>1554</v>
      </c>
      <c r="Q7461" s="7"/>
    </row>
    <row r="7462">
      <c r="A7462" s="39" t="s">
        <v>28112</v>
      </c>
      <c r="B7462" s="15">
        <v>1508678.0</v>
      </c>
      <c r="D7462" s="15">
        <v>0.0</v>
      </c>
      <c r="E7462" s="15" t="s">
        <v>1557</v>
      </c>
      <c r="F7462" s="15" t="s">
        <v>1767</v>
      </c>
      <c r="G7462" s="7">
        <v>168.733</v>
      </c>
      <c r="H7462" s="15" t="s">
        <v>1714</v>
      </c>
      <c r="I7462" s="15" t="s">
        <v>1586</v>
      </c>
      <c r="J7462" s="15" t="s">
        <v>28113</v>
      </c>
      <c r="K7462" s="15">
        <v>272.0</v>
      </c>
      <c r="L7462" s="15">
        <v>270.0</v>
      </c>
      <c r="M7462" s="40">
        <v>42123.0</v>
      </c>
      <c r="N7462" s="40">
        <v>42123.0</v>
      </c>
      <c r="O7462" s="15" t="s">
        <v>1554</v>
      </c>
      <c r="Q7462" s="7"/>
    </row>
    <row r="7463">
      <c r="A7463" s="39" t="s">
        <v>28114</v>
      </c>
      <c r="B7463" s="15">
        <v>1508680.0</v>
      </c>
      <c r="D7463" s="15">
        <v>0.0</v>
      </c>
      <c r="E7463" s="15" t="s">
        <v>1557</v>
      </c>
      <c r="F7463" s="15" t="s">
        <v>1767</v>
      </c>
      <c r="G7463" s="7">
        <v>137.973</v>
      </c>
      <c r="H7463" s="15" t="s">
        <v>3653</v>
      </c>
      <c r="I7463" s="15" t="s">
        <v>1586</v>
      </c>
      <c r="J7463" s="15" t="s">
        <v>28115</v>
      </c>
      <c r="K7463" s="15">
        <v>220.0</v>
      </c>
      <c r="L7463" s="15">
        <v>214.0</v>
      </c>
      <c r="M7463" s="40">
        <v>42123.0</v>
      </c>
      <c r="N7463" s="40">
        <v>42123.0</v>
      </c>
      <c r="O7463" s="15" t="s">
        <v>1554</v>
      </c>
      <c r="Q7463" s="7"/>
    </row>
    <row r="7464">
      <c r="A7464" s="39" t="s">
        <v>28116</v>
      </c>
      <c r="B7464" s="15">
        <v>1508681.0</v>
      </c>
      <c r="D7464" s="15">
        <v>0.0</v>
      </c>
      <c r="E7464" s="15" t="s">
        <v>1557</v>
      </c>
      <c r="F7464" s="15" t="s">
        <v>1767</v>
      </c>
      <c r="G7464" s="7">
        <v>160.57</v>
      </c>
      <c r="H7464" s="15" t="s">
        <v>1714</v>
      </c>
      <c r="I7464" s="15" t="s">
        <v>1586</v>
      </c>
      <c r="J7464" s="15" t="s">
        <v>28118</v>
      </c>
      <c r="K7464" s="15">
        <v>251.0</v>
      </c>
      <c r="L7464" s="15">
        <v>251.0</v>
      </c>
      <c r="M7464" s="40">
        <v>42123.0</v>
      </c>
      <c r="N7464" s="40">
        <v>42123.0</v>
      </c>
      <c r="O7464" s="15" t="s">
        <v>1554</v>
      </c>
      <c r="Q7464" s="7"/>
    </row>
    <row r="7465">
      <c r="A7465" s="39" t="s">
        <v>28120</v>
      </c>
      <c r="B7465" s="15">
        <v>1524880.0</v>
      </c>
      <c r="D7465" s="15">
        <v>0.0</v>
      </c>
      <c r="E7465" s="15" t="s">
        <v>4407</v>
      </c>
      <c r="F7465" s="15" t="s">
        <v>1578</v>
      </c>
      <c r="G7465" s="7">
        <v>50.431</v>
      </c>
      <c r="H7465" s="15" t="s">
        <v>1710</v>
      </c>
      <c r="I7465" s="15" t="s">
        <v>1586</v>
      </c>
      <c r="J7465" s="15" t="s">
        <v>28121</v>
      </c>
      <c r="K7465" s="15">
        <v>69.0</v>
      </c>
      <c r="L7465" s="15">
        <v>67.0</v>
      </c>
      <c r="M7465" s="40">
        <v>41857.0</v>
      </c>
      <c r="N7465" s="40">
        <v>42787.0</v>
      </c>
      <c r="O7465" s="15" t="s">
        <v>1554</v>
      </c>
      <c r="Q7465" s="7"/>
    </row>
    <row r="7466">
      <c r="A7466" s="39" t="s">
        <v>28122</v>
      </c>
      <c r="B7466" s="15">
        <v>1527517.0</v>
      </c>
      <c r="D7466" s="15">
        <v>0.0</v>
      </c>
      <c r="E7466" s="15" t="s">
        <v>1557</v>
      </c>
      <c r="F7466" s="15" t="s">
        <v>1833</v>
      </c>
      <c r="G7466" s="7">
        <v>49.19</v>
      </c>
      <c r="H7466" s="15" t="s">
        <v>4117</v>
      </c>
      <c r="I7466" s="15" t="s">
        <v>1586</v>
      </c>
      <c r="J7466" s="15" t="s">
        <v>28123</v>
      </c>
      <c r="K7466" s="15">
        <v>87.0</v>
      </c>
      <c r="L7466" s="15">
        <v>84.0</v>
      </c>
      <c r="M7466" s="40">
        <v>41892.0</v>
      </c>
      <c r="N7466" s="40">
        <v>41892.0</v>
      </c>
      <c r="O7466" s="15" t="s">
        <v>1554</v>
      </c>
      <c r="Q7466" s="7"/>
    </row>
    <row r="7467">
      <c r="A7467" s="39" t="s">
        <v>28125</v>
      </c>
      <c r="B7467" s="15">
        <v>1541690.0</v>
      </c>
      <c r="D7467" s="15">
        <v>0.0</v>
      </c>
      <c r="E7467" s="15" t="s">
        <v>4407</v>
      </c>
      <c r="F7467" s="15" t="s">
        <v>1578</v>
      </c>
      <c r="G7467" s="7">
        <v>131.095</v>
      </c>
      <c r="H7467" s="42">
        <v>43126.0</v>
      </c>
      <c r="I7467" s="15" t="s">
        <v>1586</v>
      </c>
      <c r="J7467" s="15" t="s">
        <v>28126</v>
      </c>
      <c r="K7467" s="15">
        <v>175.0</v>
      </c>
      <c r="L7467" s="15">
        <v>172.0</v>
      </c>
      <c r="M7467" s="40">
        <v>42569.0</v>
      </c>
      <c r="N7467" s="40">
        <v>42622.0</v>
      </c>
      <c r="O7467" s="15" t="s">
        <v>1554</v>
      </c>
      <c r="Q7467" s="7"/>
    </row>
    <row r="7468">
      <c r="A7468" s="39" t="s">
        <v>28127</v>
      </c>
      <c r="B7468" s="15">
        <v>1542116.0</v>
      </c>
      <c r="D7468" s="15">
        <v>0.0</v>
      </c>
      <c r="E7468" s="15" t="s">
        <v>4407</v>
      </c>
      <c r="F7468" s="15" t="s">
        <v>1578</v>
      </c>
      <c r="G7468" s="7">
        <v>39.841</v>
      </c>
      <c r="H7468" s="15" t="s">
        <v>9648</v>
      </c>
      <c r="I7468" s="15" t="s">
        <v>1586</v>
      </c>
      <c r="J7468" s="15" t="s">
        <v>28128</v>
      </c>
      <c r="K7468" s="15">
        <v>65.0</v>
      </c>
      <c r="L7468" s="15">
        <v>65.0</v>
      </c>
      <c r="M7468" s="40">
        <v>42861.0</v>
      </c>
      <c r="N7468" s="40">
        <v>42861.0</v>
      </c>
      <c r="O7468" s="15" t="s">
        <v>1554</v>
      </c>
      <c r="Q7468" s="7"/>
    </row>
    <row r="7469">
      <c r="A7469" s="39" t="s">
        <v>28130</v>
      </c>
      <c r="B7469" s="15">
        <v>1551642.0</v>
      </c>
      <c r="D7469" s="15">
        <v>0.0</v>
      </c>
      <c r="E7469" s="15" t="s">
        <v>1557</v>
      </c>
      <c r="F7469" s="15" t="s">
        <v>1833</v>
      </c>
      <c r="G7469" s="7">
        <v>50.066</v>
      </c>
      <c r="H7469" s="15">
        <v>64.0</v>
      </c>
      <c r="I7469" s="15" t="s">
        <v>1586</v>
      </c>
      <c r="J7469" s="15" t="s">
        <v>28131</v>
      </c>
      <c r="K7469" s="15">
        <v>89.0</v>
      </c>
      <c r="L7469" s="15">
        <v>87.0</v>
      </c>
      <c r="M7469" s="41">
        <v>41923.0</v>
      </c>
      <c r="N7469" s="41">
        <v>41923.0</v>
      </c>
      <c r="O7469" s="15" t="s">
        <v>1554</v>
      </c>
      <c r="Q7469" s="7"/>
    </row>
    <row r="7470">
      <c r="A7470" s="39" t="s">
        <v>28132</v>
      </c>
      <c r="B7470" s="15">
        <v>1552733.0</v>
      </c>
      <c r="D7470" s="15">
        <v>0.0</v>
      </c>
      <c r="E7470" s="15" t="s">
        <v>1557</v>
      </c>
      <c r="F7470" s="15" t="s">
        <v>1833</v>
      </c>
      <c r="G7470" s="7">
        <v>53.395</v>
      </c>
      <c r="H7470" s="15" t="s">
        <v>3832</v>
      </c>
      <c r="I7470" s="15" t="s">
        <v>1586</v>
      </c>
      <c r="J7470" s="15" t="s">
        <v>28133</v>
      </c>
      <c r="K7470" s="15">
        <v>95.0</v>
      </c>
      <c r="L7470" s="15">
        <v>95.0</v>
      </c>
      <c r="M7470" s="41">
        <v>41923.0</v>
      </c>
      <c r="N7470" s="41">
        <v>41923.0</v>
      </c>
      <c r="O7470" s="15" t="s">
        <v>1554</v>
      </c>
      <c r="Q7470" s="7"/>
    </row>
    <row r="7471">
      <c r="A7471" s="39" t="s">
        <v>28134</v>
      </c>
      <c r="B7471" s="15">
        <v>1555207.0</v>
      </c>
      <c r="D7471" s="15">
        <v>0.0</v>
      </c>
      <c r="E7471" s="15" t="s">
        <v>1557</v>
      </c>
      <c r="F7471" s="15" t="s">
        <v>1611</v>
      </c>
      <c r="G7471" s="7">
        <v>43.865</v>
      </c>
      <c r="H7471" s="15" t="s">
        <v>4204</v>
      </c>
      <c r="I7471" s="15" t="s">
        <v>1586</v>
      </c>
      <c r="J7471" s="15" t="s">
        <v>28135</v>
      </c>
      <c r="K7471" s="15">
        <v>59.0</v>
      </c>
      <c r="L7471" s="15">
        <v>59.0</v>
      </c>
      <c r="M7471" s="40">
        <v>42828.0</v>
      </c>
      <c r="N7471" s="40">
        <v>42891.0</v>
      </c>
      <c r="O7471" s="15" t="s">
        <v>1554</v>
      </c>
      <c r="Q7471" s="7"/>
    </row>
    <row r="7472">
      <c r="A7472" s="39" t="s">
        <v>28137</v>
      </c>
      <c r="B7472" s="15">
        <v>1555234.0</v>
      </c>
      <c r="D7472" s="15">
        <v>0.0</v>
      </c>
      <c r="E7472" s="15" t="s">
        <v>1557</v>
      </c>
      <c r="F7472" s="15" t="s">
        <v>1833</v>
      </c>
      <c r="G7472" s="7">
        <v>42.596</v>
      </c>
      <c r="H7472" s="15" t="s">
        <v>12271</v>
      </c>
      <c r="I7472" s="15" t="s">
        <v>1586</v>
      </c>
      <c r="J7472" s="15" t="s">
        <v>28138</v>
      </c>
      <c r="K7472" s="15">
        <v>61.0</v>
      </c>
      <c r="L7472" s="15">
        <v>61.0</v>
      </c>
      <c r="M7472" s="41">
        <v>41925.0</v>
      </c>
      <c r="N7472" s="41">
        <v>41925.0</v>
      </c>
      <c r="O7472" s="15" t="s">
        <v>1554</v>
      </c>
      <c r="Q7472" s="7"/>
    </row>
    <row r="7473">
      <c r="A7473" s="39" t="s">
        <v>28139</v>
      </c>
      <c r="B7473" s="15">
        <v>1567007.0</v>
      </c>
      <c r="D7473" s="15">
        <v>0.0</v>
      </c>
      <c r="E7473" s="15" t="s">
        <v>1557</v>
      </c>
      <c r="F7473" s="15" t="s">
        <v>1833</v>
      </c>
      <c r="G7473" s="7">
        <v>108.418</v>
      </c>
      <c r="H7473" s="15" t="s">
        <v>3000</v>
      </c>
      <c r="I7473" s="15" t="s">
        <v>1586</v>
      </c>
      <c r="J7473" s="15" t="s">
        <v>28140</v>
      </c>
      <c r="K7473" s="15">
        <v>152.0</v>
      </c>
      <c r="L7473" s="15">
        <v>133.0</v>
      </c>
      <c r="M7473" s="41">
        <v>42001.0</v>
      </c>
      <c r="N7473" s="40">
        <v>42346.0</v>
      </c>
      <c r="O7473" s="15" t="s">
        <v>1554</v>
      </c>
      <c r="Q7473" s="7"/>
    </row>
    <row r="7474">
      <c r="A7474" s="39" t="s">
        <v>28141</v>
      </c>
      <c r="B7474" s="15">
        <v>1567451.0</v>
      </c>
      <c r="D7474" s="15">
        <v>0.0</v>
      </c>
      <c r="E7474" s="15" t="s">
        <v>1557</v>
      </c>
      <c r="F7474" s="15" t="s">
        <v>1833</v>
      </c>
      <c r="G7474" s="7">
        <v>49.267</v>
      </c>
      <c r="H7474" s="15" t="s">
        <v>4117</v>
      </c>
      <c r="I7474" s="15" t="s">
        <v>1586</v>
      </c>
      <c r="J7474" s="15" t="s">
        <v>28142</v>
      </c>
      <c r="K7474" s="15">
        <v>88.0</v>
      </c>
      <c r="L7474" s="15">
        <v>85.0</v>
      </c>
      <c r="M7474" s="41">
        <v>42001.0</v>
      </c>
      <c r="N7474" s="41">
        <v>42001.0</v>
      </c>
      <c r="O7474" s="15" t="s">
        <v>1554</v>
      </c>
      <c r="Q7474" s="7"/>
    </row>
    <row r="7475">
      <c r="A7475" s="39" t="s">
        <v>28143</v>
      </c>
      <c r="B7475" s="15">
        <v>1567452.0</v>
      </c>
      <c r="D7475" s="15">
        <v>0.0</v>
      </c>
      <c r="E7475" s="15" t="s">
        <v>1557</v>
      </c>
      <c r="F7475" s="15" t="s">
        <v>1833</v>
      </c>
      <c r="G7475" s="7">
        <v>50.989</v>
      </c>
      <c r="H7475" s="15" t="s">
        <v>12937</v>
      </c>
      <c r="I7475" s="15" t="s">
        <v>1586</v>
      </c>
      <c r="J7475" s="15" t="s">
        <v>28145</v>
      </c>
      <c r="K7475" s="15">
        <v>94.0</v>
      </c>
      <c r="L7475" s="15">
        <v>91.0</v>
      </c>
      <c r="M7475" s="41">
        <v>42001.0</v>
      </c>
      <c r="N7475" s="41">
        <v>42001.0</v>
      </c>
      <c r="O7475" s="15" t="s">
        <v>1554</v>
      </c>
      <c r="Q7475" s="7"/>
    </row>
    <row r="7476">
      <c r="A7476" s="39" t="s">
        <v>28146</v>
      </c>
      <c r="B7476" s="15">
        <v>1567465.0</v>
      </c>
      <c r="D7476" s="15">
        <v>0.0</v>
      </c>
      <c r="E7476" s="15" t="s">
        <v>1557</v>
      </c>
      <c r="F7476" s="15" t="s">
        <v>1833</v>
      </c>
      <c r="G7476" s="7">
        <v>69.45</v>
      </c>
      <c r="H7476" s="15" t="s">
        <v>9965</v>
      </c>
      <c r="I7476" s="15" t="s">
        <v>1586</v>
      </c>
      <c r="J7476" s="15" t="s">
        <v>28147</v>
      </c>
      <c r="K7476" s="15">
        <v>103.0</v>
      </c>
      <c r="L7476" s="15">
        <v>103.0</v>
      </c>
      <c r="M7476" s="40">
        <v>42022.0</v>
      </c>
      <c r="N7476" s="40">
        <v>42022.0</v>
      </c>
      <c r="O7476" s="15" t="s">
        <v>1554</v>
      </c>
      <c r="Q7476" s="7"/>
    </row>
    <row r="7477">
      <c r="A7477" s="39" t="s">
        <v>28148</v>
      </c>
      <c r="B7477" s="15">
        <v>1567467.0</v>
      </c>
      <c r="D7477" s="15">
        <v>0.0</v>
      </c>
      <c r="E7477" s="15" t="s">
        <v>1557</v>
      </c>
      <c r="F7477" s="15" t="s">
        <v>1833</v>
      </c>
      <c r="G7477" s="7">
        <v>78.229</v>
      </c>
      <c r="H7477" s="15" t="s">
        <v>3220</v>
      </c>
      <c r="I7477" s="15" t="s">
        <v>1586</v>
      </c>
      <c r="J7477" s="15" t="s">
        <v>28149</v>
      </c>
      <c r="K7477" s="15">
        <v>173.0</v>
      </c>
      <c r="L7477" s="15">
        <v>148.0</v>
      </c>
      <c r="M7477" s="40">
        <v>42022.0</v>
      </c>
      <c r="N7477" s="40">
        <v>42022.0</v>
      </c>
      <c r="O7477" s="15" t="s">
        <v>1554</v>
      </c>
      <c r="Q7477" s="7"/>
    </row>
    <row r="7478">
      <c r="A7478" s="39" t="s">
        <v>28150</v>
      </c>
      <c r="B7478" s="15">
        <v>1567470.0</v>
      </c>
      <c r="D7478" s="15">
        <v>0.0</v>
      </c>
      <c r="E7478" s="15" t="s">
        <v>1557</v>
      </c>
      <c r="F7478" s="15" t="s">
        <v>1833</v>
      </c>
      <c r="G7478" s="7">
        <v>51.376</v>
      </c>
      <c r="H7478" s="15">
        <v>64.0</v>
      </c>
      <c r="I7478" s="15" t="s">
        <v>1586</v>
      </c>
      <c r="J7478" s="15" t="s">
        <v>28152</v>
      </c>
      <c r="K7478" s="15">
        <v>88.0</v>
      </c>
      <c r="L7478" s="15">
        <v>88.0</v>
      </c>
      <c r="M7478" s="41">
        <v>42001.0</v>
      </c>
      <c r="N7478" s="41">
        <v>42001.0</v>
      </c>
      <c r="O7478" s="15" t="s">
        <v>1554</v>
      </c>
      <c r="Q7478" s="7"/>
    </row>
    <row r="7479">
      <c r="A7479" s="39" t="s">
        <v>28153</v>
      </c>
      <c r="B7479" s="15">
        <v>1567478.0</v>
      </c>
      <c r="D7479" s="15">
        <v>0.0</v>
      </c>
      <c r="E7479" s="15" t="s">
        <v>1557</v>
      </c>
      <c r="F7479" s="15" t="s">
        <v>1833</v>
      </c>
      <c r="G7479" s="7">
        <v>53.058</v>
      </c>
      <c r="H7479" s="15" t="s">
        <v>3029</v>
      </c>
      <c r="I7479" s="15" t="s">
        <v>1586</v>
      </c>
      <c r="J7479" s="15" t="s">
        <v>28154</v>
      </c>
      <c r="K7479" s="15" t="s">
        <v>1722</v>
      </c>
      <c r="L7479" s="15">
        <v>98.0</v>
      </c>
      <c r="M7479" s="41">
        <v>42001.0</v>
      </c>
      <c r="N7479" s="41">
        <v>42001.0</v>
      </c>
      <c r="O7479" s="15" t="s">
        <v>1554</v>
      </c>
      <c r="Q7479" s="7"/>
    </row>
    <row r="7480">
      <c r="A7480" s="39" t="s">
        <v>28155</v>
      </c>
      <c r="B7480" s="15">
        <v>1567479.0</v>
      </c>
      <c r="D7480" s="15">
        <v>0.0</v>
      </c>
      <c r="E7480" s="15" t="s">
        <v>1557</v>
      </c>
      <c r="F7480" s="15" t="s">
        <v>1833</v>
      </c>
      <c r="G7480" s="7">
        <v>53.008</v>
      </c>
      <c r="H7480" s="15" t="s">
        <v>3286</v>
      </c>
      <c r="I7480" s="15" t="s">
        <v>1586</v>
      </c>
      <c r="J7480" s="15" t="s">
        <v>28156</v>
      </c>
      <c r="K7480" s="15">
        <v>94.0</v>
      </c>
      <c r="L7480" s="15">
        <v>94.0</v>
      </c>
      <c r="M7480" s="41">
        <v>42001.0</v>
      </c>
      <c r="N7480" s="41">
        <v>42001.0</v>
      </c>
      <c r="O7480" s="15" t="s">
        <v>1554</v>
      </c>
      <c r="Q7480" s="7"/>
    </row>
    <row r="7481">
      <c r="A7481" s="39" t="s">
        <v>28157</v>
      </c>
      <c r="B7481" s="15">
        <v>1567483.0</v>
      </c>
      <c r="D7481" s="15">
        <v>0.0</v>
      </c>
      <c r="E7481" s="15" t="s">
        <v>1557</v>
      </c>
      <c r="F7481" s="15" t="s">
        <v>1833</v>
      </c>
      <c r="G7481" s="7">
        <v>51.37</v>
      </c>
      <c r="H7481" s="15" t="s">
        <v>3286</v>
      </c>
      <c r="I7481" s="15" t="s">
        <v>1586</v>
      </c>
      <c r="J7481" s="15" t="s">
        <v>28158</v>
      </c>
      <c r="K7481" s="15">
        <v>84.0</v>
      </c>
      <c r="L7481" s="15">
        <v>84.0</v>
      </c>
      <c r="M7481" s="41">
        <v>41972.0</v>
      </c>
      <c r="N7481" s="41">
        <v>41972.0</v>
      </c>
      <c r="O7481" s="15" t="s">
        <v>1554</v>
      </c>
      <c r="Q7481" s="7"/>
    </row>
    <row r="7482">
      <c r="A7482" s="39" t="s">
        <v>28159</v>
      </c>
      <c r="B7482" s="15">
        <v>1572749.0</v>
      </c>
      <c r="D7482" s="15">
        <v>0.0</v>
      </c>
      <c r="E7482" s="15" t="s">
        <v>1557</v>
      </c>
      <c r="F7482" s="15" t="s">
        <v>1833</v>
      </c>
      <c r="G7482" s="7">
        <v>52.049</v>
      </c>
      <c r="H7482" s="15" t="s">
        <v>1912</v>
      </c>
      <c r="I7482" s="15" t="s">
        <v>1586</v>
      </c>
      <c r="J7482" s="15" t="s">
        <v>28160</v>
      </c>
      <c r="K7482" s="15">
        <v>83.0</v>
      </c>
      <c r="L7482" s="15">
        <v>83.0</v>
      </c>
      <c r="M7482" s="40">
        <v>42255.0</v>
      </c>
      <c r="N7482" s="40">
        <v>42255.0</v>
      </c>
      <c r="O7482" s="15" t="s">
        <v>1554</v>
      </c>
      <c r="Q7482" s="7"/>
    </row>
    <row r="7483">
      <c r="A7483" s="39" t="s">
        <v>28161</v>
      </c>
      <c r="B7483" s="15">
        <v>1582354.0</v>
      </c>
      <c r="D7483" s="15">
        <v>0.0</v>
      </c>
      <c r="E7483" s="15" t="s">
        <v>4407</v>
      </c>
      <c r="F7483" s="15" t="s">
        <v>1578</v>
      </c>
      <c r="G7483" s="7">
        <v>52.491</v>
      </c>
      <c r="H7483" s="15" t="s">
        <v>2197</v>
      </c>
      <c r="I7483" s="15" t="s">
        <v>1586</v>
      </c>
      <c r="J7483" s="15" t="s">
        <v>28163</v>
      </c>
      <c r="K7483" s="15">
        <v>5.0</v>
      </c>
      <c r="L7483" s="15">
        <v>58.0</v>
      </c>
      <c r="M7483" s="40">
        <v>38186.0</v>
      </c>
      <c r="N7483" s="41">
        <v>41988.0</v>
      </c>
      <c r="O7483" s="15" t="s">
        <v>1554</v>
      </c>
      <c r="Q7483" s="7"/>
    </row>
    <row r="7484">
      <c r="A7484" s="39" t="s">
        <v>28164</v>
      </c>
      <c r="B7484" s="15">
        <v>1589753.0</v>
      </c>
      <c r="D7484" s="15">
        <v>0.0</v>
      </c>
      <c r="E7484" s="15" t="s">
        <v>1557</v>
      </c>
      <c r="F7484" s="15" t="s">
        <v>1833</v>
      </c>
      <c r="G7484" s="7">
        <v>37.971</v>
      </c>
      <c r="H7484" s="15" t="s">
        <v>2049</v>
      </c>
      <c r="I7484" s="15" t="s">
        <v>1586</v>
      </c>
      <c r="J7484" s="15" t="s">
        <v>28165</v>
      </c>
      <c r="K7484" s="15">
        <v>61.0</v>
      </c>
      <c r="L7484" s="15">
        <v>61.0</v>
      </c>
      <c r="M7484" s="40">
        <v>42049.0</v>
      </c>
      <c r="N7484" s="40">
        <v>42178.0</v>
      </c>
      <c r="O7484" s="15" t="s">
        <v>1554</v>
      </c>
      <c r="Q7484" s="7"/>
    </row>
    <row r="7485">
      <c r="A7485" s="39" t="s">
        <v>28166</v>
      </c>
      <c r="B7485" s="15">
        <v>1597967.0</v>
      </c>
      <c r="D7485" s="15">
        <v>0.0</v>
      </c>
      <c r="E7485" s="15" t="s">
        <v>1557</v>
      </c>
      <c r="F7485" s="15" t="s">
        <v>1611</v>
      </c>
      <c r="G7485" s="7">
        <v>38.731</v>
      </c>
      <c r="H7485" s="15" t="s">
        <v>6271</v>
      </c>
      <c r="I7485" s="15" t="s">
        <v>1586</v>
      </c>
      <c r="J7485" s="15" t="s">
        <v>28167</v>
      </c>
      <c r="K7485" s="15" t="s">
        <v>1722</v>
      </c>
      <c r="L7485" s="15">
        <v>54.0</v>
      </c>
      <c r="M7485" s="40">
        <v>42390.0</v>
      </c>
      <c r="N7485" s="40">
        <v>42390.0</v>
      </c>
      <c r="O7485" s="15" t="s">
        <v>1554</v>
      </c>
      <c r="Q7485" s="7"/>
    </row>
    <row r="7486">
      <c r="A7486" s="39" t="s">
        <v>28169</v>
      </c>
      <c r="B7486" s="15">
        <v>1597971.0</v>
      </c>
      <c r="D7486" s="15">
        <v>0.0</v>
      </c>
      <c r="E7486" s="15" t="s">
        <v>1557</v>
      </c>
      <c r="F7486" s="15" t="s">
        <v>1767</v>
      </c>
      <c r="G7486" s="7">
        <v>66.381</v>
      </c>
      <c r="H7486" s="15" t="s">
        <v>4563</v>
      </c>
      <c r="I7486" s="15" t="s">
        <v>1586</v>
      </c>
      <c r="J7486" s="15" t="s">
        <v>28170</v>
      </c>
      <c r="K7486" s="15">
        <v>94.0</v>
      </c>
      <c r="L7486" s="15">
        <v>94.0</v>
      </c>
      <c r="M7486" s="40">
        <v>42390.0</v>
      </c>
      <c r="N7486" s="40">
        <v>42390.0</v>
      </c>
      <c r="O7486" s="15" t="s">
        <v>1554</v>
      </c>
      <c r="Q7486" s="7"/>
    </row>
    <row r="7487">
      <c r="A7487" s="39" t="s">
        <v>28171</v>
      </c>
      <c r="B7487" s="15">
        <v>1597972.0</v>
      </c>
      <c r="D7487" s="15">
        <v>0.0</v>
      </c>
      <c r="E7487" s="15" t="s">
        <v>1557</v>
      </c>
      <c r="F7487" s="15" t="s">
        <v>1767</v>
      </c>
      <c r="G7487" s="7">
        <v>65.994</v>
      </c>
      <c r="H7487" s="15" t="s">
        <v>9707</v>
      </c>
      <c r="I7487" s="15" t="s">
        <v>1586</v>
      </c>
      <c r="J7487" s="15" t="s">
        <v>28172</v>
      </c>
      <c r="K7487" s="15">
        <v>91.0</v>
      </c>
      <c r="L7487" s="15">
        <v>91.0</v>
      </c>
      <c r="M7487" s="40">
        <v>42390.0</v>
      </c>
      <c r="N7487" s="40">
        <v>42390.0</v>
      </c>
      <c r="O7487" s="15" t="s">
        <v>1554</v>
      </c>
      <c r="Q7487" s="7"/>
    </row>
    <row r="7488">
      <c r="A7488" s="39" t="s">
        <v>28173</v>
      </c>
      <c r="B7488" s="15">
        <v>1606762.0</v>
      </c>
      <c r="D7488" s="15">
        <v>0.0</v>
      </c>
      <c r="E7488" s="15" t="s">
        <v>1557</v>
      </c>
      <c r="F7488" s="15" t="s">
        <v>1833</v>
      </c>
      <c r="G7488" s="7">
        <v>41.903</v>
      </c>
      <c r="H7488" s="15" t="s">
        <v>6615</v>
      </c>
      <c r="I7488" s="15" t="s">
        <v>1586</v>
      </c>
      <c r="J7488" s="15" t="s">
        <v>28174</v>
      </c>
      <c r="K7488" s="15">
        <v>62.0</v>
      </c>
      <c r="L7488" s="15">
        <v>62.0</v>
      </c>
      <c r="M7488" s="40">
        <v>42049.0</v>
      </c>
      <c r="N7488" s="40">
        <v>42049.0</v>
      </c>
      <c r="O7488" s="15" t="s">
        <v>1554</v>
      </c>
      <c r="Q7488" s="7"/>
    </row>
    <row r="7489">
      <c r="A7489" s="39" t="s">
        <v>28175</v>
      </c>
      <c r="B7489" s="15">
        <v>1622114.0</v>
      </c>
      <c r="D7489" s="15">
        <v>0.0</v>
      </c>
      <c r="E7489" s="15" t="s">
        <v>1557</v>
      </c>
      <c r="F7489" s="15" t="s">
        <v>1833</v>
      </c>
      <c r="G7489" s="7">
        <v>57.061</v>
      </c>
      <c r="H7489" s="15" t="s">
        <v>2831</v>
      </c>
      <c r="I7489" s="15" t="s">
        <v>1586</v>
      </c>
      <c r="J7489" s="15" t="s">
        <v>28177</v>
      </c>
      <c r="K7489" s="15">
        <v>77.0</v>
      </c>
      <c r="L7489" s="15">
        <v>77.0</v>
      </c>
      <c r="M7489" s="40">
        <v>42741.0</v>
      </c>
      <c r="N7489" s="40">
        <v>42941.0</v>
      </c>
      <c r="O7489" s="15" t="s">
        <v>1554</v>
      </c>
      <c r="Q7489" s="7"/>
    </row>
    <row r="7490">
      <c r="A7490" s="39" t="s">
        <v>28178</v>
      </c>
      <c r="B7490" s="15">
        <v>1622115.0</v>
      </c>
      <c r="D7490" s="15">
        <v>0.0</v>
      </c>
      <c r="E7490" s="15" t="s">
        <v>1557</v>
      </c>
      <c r="F7490" s="15" t="s">
        <v>1611</v>
      </c>
      <c r="G7490" s="7">
        <v>69.844</v>
      </c>
      <c r="H7490" s="15" t="s">
        <v>3584</v>
      </c>
      <c r="I7490" s="15" t="s">
        <v>1586</v>
      </c>
      <c r="J7490" s="15" t="s">
        <v>28179</v>
      </c>
      <c r="K7490" s="15">
        <v>95.0</v>
      </c>
      <c r="L7490" s="15">
        <v>85.0</v>
      </c>
      <c r="M7490" s="40">
        <v>42741.0</v>
      </c>
      <c r="N7490" s="40">
        <v>42941.0</v>
      </c>
      <c r="O7490" s="15" t="s">
        <v>1554</v>
      </c>
      <c r="Q7490" s="7"/>
    </row>
    <row r="7491">
      <c r="A7491" s="39" t="s">
        <v>28180</v>
      </c>
      <c r="B7491" s="15">
        <v>1622116.0</v>
      </c>
      <c r="D7491" s="15">
        <v>0.0</v>
      </c>
      <c r="E7491" s="15" t="s">
        <v>1557</v>
      </c>
      <c r="F7491" s="15" t="s">
        <v>1611</v>
      </c>
      <c r="G7491" s="7">
        <v>70.774</v>
      </c>
      <c r="H7491" s="15" t="s">
        <v>2648</v>
      </c>
      <c r="I7491" s="15" t="s">
        <v>1586</v>
      </c>
      <c r="J7491" s="15" t="s">
        <v>28181</v>
      </c>
      <c r="K7491" s="15">
        <v>92.0</v>
      </c>
      <c r="L7491" s="15">
        <v>83.0</v>
      </c>
      <c r="M7491" s="40">
        <v>42741.0</v>
      </c>
      <c r="N7491" s="40">
        <v>42941.0</v>
      </c>
      <c r="O7491" s="15" t="s">
        <v>1554</v>
      </c>
      <c r="Q7491" s="7"/>
    </row>
    <row r="7492">
      <c r="A7492" s="39" t="s">
        <v>28183</v>
      </c>
      <c r="B7492" s="15">
        <v>1628721.0</v>
      </c>
      <c r="D7492" s="15">
        <v>0.0</v>
      </c>
      <c r="E7492" s="15" t="s">
        <v>1557</v>
      </c>
      <c r="F7492" s="15" t="s">
        <v>1611</v>
      </c>
      <c r="G7492" s="7">
        <v>47.575</v>
      </c>
      <c r="H7492" s="15" t="s">
        <v>1994</v>
      </c>
      <c r="I7492" s="15" t="s">
        <v>1586</v>
      </c>
      <c r="J7492" s="15" t="s">
        <v>28184</v>
      </c>
      <c r="K7492" s="15">
        <v>80.0</v>
      </c>
      <c r="L7492" s="15">
        <v>80.0</v>
      </c>
      <c r="M7492" s="40">
        <v>42080.0</v>
      </c>
      <c r="N7492" s="40">
        <v>42346.0</v>
      </c>
      <c r="O7492" s="15" t="s">
        <v>1554</v>
      </c>
      <c r="Q7492" s="7"/>
    </row>
    <row r="7493">
      <c r="A7493" s="39" t="s">
        <v>28185</v>
      </c>
      <c r="B7493" s="15">
        <v>1628722.0</v>
      </c>
      <c r="D7493" s="15">
        <v>0.0</v>
      </c>
      <c r="E7493" s="15" t="s">
        <v>1557</v>
      </c>
      <c r="F7493" s="15" t="s">
        <v>1767</v>
      </c>
      <c r="G7493" s="7">
        <v>44.866</v>
      </c>
      <c r="H7493" s="15" t="s">
        <v>1714</v>
      </c>
      <c r="I7493" s="15" t="s">
        <v>1586</v>
      </c>
      <c r="J7493" s="15" t="s">
        <v>28187</v>
      </c>
      <c r="K7493" s="15">
        <v>85.0</v>
      </c>
      <c r="L7493" s="15">
        <v>85.0</v>
      </c>
      <c r="M7493" s="40">
        <v>42080.0</v>
      </c>
      <c r="N7493" s="40">
        <v>42080.0</v>
      </c>
      <c r="O7493" s="15" t="s">
        <v>1554</v>
      </c>
      <c r="Q7493" s="7"/>
    </row>
    <row r="7494">
      <c r="A7494" s="39" t="s">
        <v>28188</v>
      </c>
      <c r="B7494" s="15">
        <v>1633782.0</v>
      </c>
      <c r="D7494" s="15">
        <v>0.0</v>
      </c>
      <c r="E7494" s="15" t="s">
        <v>4407</v>
      </c>
      <c r="F7494" s="15" t="s">
        <v>1578</v>
      </c>
      <c r="G7494" s="7">
        <v>41.913</v>
      </c>
      <c r="H7494" s="15" t="s">
        <v>7408</v>
      </c>
      <c r="I7494" s="15" t="s">
        <v>1586</v>
      </c>
      <c r="J7494" s="15" t="s">
        <v>28189</v>
      </c>
      <c r="K7494" s="15">
        <v>57.0</v>
      </c>
      <c r="L7494" s="15">
        <v>56.0</v>
      </c>
      <c r="M7494" s="40">
        <v>42807.0</v>
      </c>
      <c r="N7494" s="40">
        <v>42807.0</v>
      </c>
      <c r="O7494" s="15" t="s">
        <v>1554</v>
      </c>
      <c r="Q7494" s="7"/>
    </row>
    <row r="7495">
      <c r="A7495" s="39" t="s">
        <v>28190</v>
      </c>
      <c r="B7495" s="15">
        <v>1636201.0</v>
      </c>
      <c r="D7495" s="15">
        <v>0.0</v>
      </c>
      <c r="E7495" s="15" t="s">
        <v>1557</v>
      </c>
      <c r="F7495" s="15" t="s">
        <v>1767</v>
      </c>
      <c r="G7495" s="7">
        <v>36.499</v>
      </c>
      <c r="H7495" s="15" t="s">
        <v>13306</v>
      </c>
      <c r="I7495" s="15" t="s">
        <v>1586</v>
      </c>
      <c r="J7495" s="15" t="s">
        <v>28192</v>
      </c>
      <c r="K7495" s="15">
        <v>51.0</v>
      </c>
      <c r="L7495" s="15">
        <v>51.0</v>
      </c>
      <c r="M7495" s="40">
        <v>42789.0</v>
      </c>
      <c r="N7495" s="40">
        <v>42789.0</v>
      </c>
      <c r="O7495" s="15" t="s">
        <v>1554</v>
      </c>
      <c r="Q7495" s="7"/>
    </row>
    <row r="7496">
      <c r="A7496" s="39" t="s">
        <v>28193</v>
      </c>
      <c r="B7496" s="15">
        <v>1636262.0</v>
      </c>
      <c r="D7496" s="15">
        <v>0.0</v>
      </c>
      <c r="E7496" s="15" t="s">
        <v>1557</v>
      </c>
      <c r="F7496" s="15" t="s">
        <v>1833</v>
      </c>
      <c r="G7496" s="7">
        <v>37.994</v>
      </c>
      <c r="H7496" s="15" t="s">
        <v>1849</v>
      </c>
      <c r="I7496" s="15" t="s">
        <v>1586</v>
      </c>
      <c r="J7496" s="15" t="s">
        <v>28194</v>
      </c>
      <c r="K7496" s="15">
        <v>68.0</v>
      </c>
      <c r="L7496" s="15">
        <v>68.0</v>
      </c>
      <c r="M7496" s="40">
        <v>42240.0</v>
      </c>
      <c r="N7496" s="40">
        <v>42438.0</v>
      </c>
      <c r="O7496" s="15" t="s">
        <v>1554</v>
      </c>
      <c r="Q7496" s="7"/>
    </row>
    <row r="7497">
      <c r="A7497" s="39" t="s">
        <v>28195</v>
      </c>
      <c r="B7497" s="15">
        <v>1702259.0</v>
      </c>
      <c r="D7497" s="15">
        <v>0.0</v>
      </c>
      <c r="E7497" s="15" t="s">
        <v>1557</v>
      </c>
      <c r="F7497" s="15" t="s">
        <v>1833</v>
      </c>
      <c r="G7497" s="7">
        <v>44.172</v>
      </c>
      <c r="H7497" s="15">
        <v>40.0</v>
      </c>
      <c r="I7497" s="15" t="s">
        <v>1586</v>
      </c>
      <c r="J7497" s="15" t="s">
        <v>28196</v>
      </c>
      <c r="K7497" s="15">
        <v>84.0</v>
      </c>
      <c r="L7497" s="15">
        <v>84.0</v>
      </c>
      <c r="M7497" s="40">
        <v>42240.0</v>
      </c>
      <c r="N7497" s="40">
        <v>42438.0</v>
      </c>
      <c r="O7497" s="15" t="s">
        <v>1554</v>
      </c>
      <c r="Q7497" s="7"/>
    </row>
    <row r="7498">
      <c r="A7498" s="39" t="s">
        <v>28198</v>
      </c>
      <c r="B7498" s="15">
        <v>1636315.0</v>
      </c>
      <c r="D7498" s="15">
        <v>0.0</v>
      </c>
      <c r="E7498" s="15" t="s">
        <v>1557</v>
      </c>
      <c r="F7498" s="15" t="s">
        <v>1611</v>
      </c>
      <c r="G7498" s="7">
        <v>39.142</v>
      </c>
      <c r="H7498" s="15" t="s">
        <v>2351</v>
      </c>
      <c r="I7498" s="15" t="s">
        <v>1586</v>
      </c>
      <c r="J7498" s="15" t="s">
        <v>28199</v>
      </c>
      <c r="K7498" s="15" t="s">
        <v>1722</v>
      </c>
      <c r="L7498" s="15">
        <v>52.0</v>
      </c>
      <c r="M7498" s="40">
        <v>42099.0</v>
      </c>
      <c r="N7498" s="40">
        <v>42099.0</v>
      </c>
      <c r="O7498" s="15" t="s">
        <v>1554</v>
      </c>
      <c r="Q7498" s="7"/>
    </row>
    <row r="7499">
      <c r="A7499" s="39" t="s">
        <v>28200</v>
      </c>
      <c r="B7499" s="15">
        <v>1636544.0</v>
      </c>
      <c r="D7499" s="15">
        <v>0.0</v>
      </c>
      <c r="E7499" s="15" t="s">
        <v>4407</v>
      </c>
      <c r="F7499" s="15" t="s">
        <v>1578</v>
      </c>
      <c r="G7499" s="7">
        <v>55.748</v>
      </c>
      <c r="H7499" s="15" t="s">
        <v>12077</v>
      </c>
      <c r="I7499" s="15" t="s">
        <v>1586</v>
      </c>
      <c r="J7499" s="15" t="s">
        <v>28201</v>
      </c>
      <c r="K7499" s="15">
        <v>67.0</v>
      </c>
      <c r="L7499" s="15">
        <v>67.0</v>
      </c>
      <c r="M7499" s="41">
        <v>42302.0</v>
      </c>
      <c r="N7499" s="41">
        <v>42302.0</v>
      </c>
      <c r="O7499" s="15" t="s">
        <v>1554</v>
      </c>
      <c r="Q7499" s="7"/>
    </row>
    <row r="7500">
      <c r="A7500" s="39" t="s">
        <v>28202</v>
      </c>
      <c r="B7500" s="15">
        <v>1640977.0</v>
      </c>
      <c r="D7500" s="15">
        <v>0.0</v>
      </c>
      <c r="E7500" s="15" t="s">
        <v>4407</v>
      </c>
      <c r="F7500" s="15" t="s">
        <v>1578</v>
      </c>
      <c r="G7500" s="7">
        <v>39.921</v>
      </c>
      <c r="H7500" s="15">
        <v>27.0</v>
      </c>
      <c r="I7500" s="15" t="s">
        <v>1586</v>
      </c>
      <c r="J7500" s="15" t="s">
        <v>28203</v>
      </c>
      <c r="K7500" s="15">
        <v>65.0</v>
      </c>
      <c r="L7500" s="15">
        <v>65.0</v>
      </c>
      <c r="M7500" s="40">
        <v>42114.0</v>
      </c>
      <c r="N7500" s="40">
        <v>42114.0</v>
      </c>
      <c r="O7500" s="15" t="s">
        <v>1554</v>
      </c>
      <c r="Q7500" s="7"/>
    </row>
    <row r="7501">
      <c r="A7501" s="39" t="s">
        <v>28205</v>
      </c>
      <c r="B7501" s="15">
        <v>1643327.0</v>
      </c>
      <c r="D7501" s="15">
        <v>0.0</v>
      </c>
      <c r="E7501" s="15" t="s">
        <v>1557</v>
      </c>
      <c r="F7501" s="15" t="s">
        <v>1833</v>
      </c>
      <c r="G7501" s="7">
        <v>46.635</v>
      </c>
      <c r="H7501" s="15" t="s">
        <v>3568</v>
      </c>
      <c r="I7501" s="15" t="s">
        <v>1586</v>
      </c>
      <c r="J7501" s="15" t="s">
        <v>28206</v>
      </c>
      <c r="K7501" s="15">
        <v>79.0</v>
      </c>
      <c r="L7501" s="15">
        <v>79.0</v>
      </c>
      <c r="M7501" s="41">
        <v>42332.0</v>
      </c>
      <c r="N7501" s="41">
        <v>42332.0</v>
      </c>
      <c r="O7501" s="15" t="s">
        <v>1554</v>
      </c>
      <c r="Q7501" s="7"/>
    </row>
    <row r="7502">
      <c r="A7502" s="39" t="s">
        <v>28207</v>
      </c>
      <c r="B7502" s="15">
        <v>1647282.0</v>
      </c>
      <c r="D7502" s="15">
        <v>0.0</v>
      </c>
      <c r="E7502" s="15" t="s">
        <v>4407</v>
      </c>
      <c r="F7502" s="15" t="s">
        <v>1578</v>
      </c>
      <c r="G7502" s="7">
        <v>38.261</v>
      </c>
      <c r="H7502" s="15" t="s">
        <v>8929</v>
      </c>
      <c r="I7502" s="15" t="s">
        <v>1586</v>
      </c>
      <c r="J7502" s="15" t="s">
        <v>28208</v>
      </c>
      <c r="K7502" s="15">
        <v>56.0</v>
      </c>
      <c r="L7502" s="15">
        <v>56.0</v>
      </c>
      <c r="M7502" s="41">
        <v>42369.0</v>
      </c>
      <c r="N7502" s="41">
        <v>42369.0</v>
      </c>
      <c r="O7502" s="15" t="s">
        <v>1554</v>
      </c>
      <c r="Q7502" s="7"/>
    </row>
    <row r="7503">
      <c r="A7503" s="39" t="s">
        <v>28209</v>
      </c>
      <c r="B7503" s="15">
        <v>1647283.0</v>
      </c>
      <c r="D7503" s="15">
        <v>0.0</v>
      </c>
      <c r="E7503" s="15" t="s">
        <v>4407</v>
      </c>
      <c r="F7503" s="15" t="s">
        <v>1578</v>
      </c>
      <c r="G7503" s="7">
        <v>103.424</v>
      </c>
      <c r="H7503" s="15" t="s">
        <v>1597</v>
      </c>
      <c r="I7503" s="15" t="s">
        <v>1586</v>
      </c>
      <c r="J7503" s="15" t="s">
        <v>28211</v>
      </c>
      <c r="K7503" s="15">
        <v>126.0</v>
      </c>
      <c r="L7503" s="15">
        <v>126.0</v>
      </c>
      <c r="M7503" s="40">
        <v>42233.0</v>
      </c>
      <c r="N7503" s="40">
        <v>42233.0</v>
      </c>
      <c r="O7503" s="15" t="s">
        <v>1554</v>
      </c>
      <c r="Q7503" s="7"/>
    </row>
    <row r="7504">
      <c r="A7504" s="39" t="s">
        <v>28212</v>
      </c>
      <c r="B7504" s="15">
        <v>1647307.0</v>
      </c>
      <c r="D7504" s="15">
        <v>0.0</v>
      </c>
      <c r="E7504" s="15" t="s">
        <v>1557</v>
      </c>
      <c r="F7504" s="15" t="s">
        <v>1833</v>
      </c>
      <c r="G7504" s="7">
        <v>72.109</v>
      </c>
      <c r="H7504" s="15" t="s">
        <v>13987</v>
      </c>
      <c r="I7504" s="15" t="s">
        <v>1586</v>
      </c>
      <c r="J7504" s="15" t="s">
        <v>28213</v>
      </c>
      <c r="K7504" s="15">
        <v>99.0</v>
      </c>
      <c r="L7504" s="15">
        <v>99.0</v>
      </c>
      <c r="M7504" s="40">
        <v>42130.0</v>
      </c>
      <c r="N7504" s="40">
        <v>42178.0</v>
      </c>
      <c r="O7504" s="15" t="s">
        <v>1554</v>
      </c>
      <c r="Q7504" s="7"/>
    </row>
    <row r="7505">
      <c r="A7505" s="39" t="s">
        <v>28214</v>
      </c>
      <c r="B7505" s="15">
        <v>1647310.0</v>
      </c>
      <c r="D7505" s="15">
        <v>0.0</v>
      </c>
      <c r="E7505" s="15" t="s">
        <v>1557</v>
      </c>
      <c r="F7505" s="15" t="s">
        <v>1833</v>
      </c>
      <c r="G7505" s="7">
        <v>68.674</v>
      </c>
      <c r="H7505" s="15" t="s">
        <v>9965</v>
      </c>
      <c r="I7505" s="15" t="s">
        <v>1586</v>
      </c>
      <c r="J7505" s="15" t="s">
        <v>28215</v>
      </c>
      <c r="K7505" s="15">
        <v>102.0</v>
      </c>
      <c r="L7505" s="15">
        <v>102.0</v>
      </c>
      <c r="M7505" s="40">
        <v>42130.0</v>
      </c>
      <c r="N7505" s="40">
        <v>42178.0</v>
      </c>
      <c r="O7505" s="15" t="s">
        <v>1554</v>
      </c>
      <c r="Q7505" s="7"/>
    </row>
    <row r="7506">
      <c r="A7506" s="39" t="s">
        <v>28217</v>
      </c>
      <c r="B7506" s="15">
        <v>1647312.0</v>
      </c>
      <c r="D7506" s="15">
        <v>0.0</v>
      </c>
      <c r="E7506" s="15" t="s">
        <v>1557</v>
      </c>
      <c r="F7506" s="15" t="s">
        <v>1833</v>
      </c>
      <c r="G7506" s="7">
        <v>68.685</v>
      </c>
      <c r="H7506" s="15" t="s">
        <v>9965</v>
      </c>
      <c r="I7506" s="15" t="s">
        <v>1586</v>
      </c>
      <c r="J7506" s="15" t="s">
        <v>28218</v>
      </c>
      <c r="K7506" s="15">
        <v>103.0</v>
      </c>
      <c r="L7506" s="15">
        <v>103.0</v>
      </c>
      <c r="M7506" s="40">
        <v>42140.0</v>
      </c>
      <c r="N7506" s="40">
        <v>42178.0</v>
      </c>
      <c r="O7506" s="15" t="s">
        <v>1554</v>
      </c>
      <c r="Q7506" s="7"/>
    </row>
    <row r="7507">
      <c r="A7507" s="39" t="s">
        <v>28219</v>
      </c>
      <c r="B7507" s="15">
        <v>1647402.0</v>
      </c>
      <c r="D7507" s="15">
        <v>0.0</v>
      </c>
      <c r="E7507" s="15" t="s">
        <v>1557</v>
      </c>
      <c r="F7507" s="15" t="s">
        <v>1767</v>
      </c>
      <c r="G7507" s="7">
        <v>33.133</v>
      </c>
      <c r="H7507" s="15" t="s">
        <v>2107</v>
      </c>
      <c r="I7507" s="15" t="s">
        <v>1586</v>
      </c>
      <c r="J7507" s="15" t="s">
        <v>28220</v>
      </c>
      <c r="K7507" s="15">
        <v>60.0</v>
      </c>
      <c r="L7507" s="15">
        <v>60.0</v>
      </c>
      <c r="M7507" s="41">
        <v>42307.0</v>
      </c>
      <c r="N7507" s="40">
        <v>42516.0</v>
      </c>
      <c r="O7507" s="15" t="s">
        <v>1554</v>
      </c>
      <c r="Q7507" s="7"/>
    </row>
    <row r="7508">
      <c r="A7508" s="39" t="s">
        <v>28221</v>
      </c>
      <c r="B7508" s="15">
        <v>1647524.0</v>
      </c>
      <c r="D7508" s="15">
        <v>0.0</v>
      </c>
      <c r="E7508" s="15" t="s">
        <v>1557</v>
      </c>
      <c r="F7508" s="15" t="s">
        <v>1833</v>
      </c>
      <c r="G7508" s="7">
        <v>40.551</v>
      </c>
      <c r="H7508" s="15" t="s">
        <v>3653</v>
      </c>
      <c r="I7508" s="15" t="s">
        <v>1586</v>
      </c>
      <c r="J7508" s="15" t="s">
        <v>28222</v>
      </c>
      <c r="K7508" s="15" t="s">
        <v>1722</v>
      </c>
      <c r="L7508" s="15">
        <v>51.0</v>
      </c>
      <c r="M7508" s="41">
        <v>42326.0</v>
      </c>
      <c r="N7508" s="41">
        <v>42326.0</v>
      </c>
      <c r="O7508" s="15" t="s">
        <v>1554</v>
      </c>
      <c r="Q7508" s="7"/>
    </row>
    <row r="7509">
      <c r="A7509" s="39" t="s">
        <v>28223</v>
      </c>
      <c r="B7509" s="15">
        <v>1647525.0</v>
      </c>
      <c r="D7509" s="15">
        <v>0.0</v>
      </c>
      <c r="E7509" s="15" t="s">
        <v>1557</v>
      </c>
      <c r="F7509" s="15" t="s">
        <v>1833</v>
      </c>
      <c r="G7509" s="7">
        <v>24.841</v>
      </c>
      <c r="H7509" s="15" t="s">
        <v>2064</v>
      </c>
      <c r="I7509" s="15" t="s">
        <v>1586</v>
      </c>
      <c r="J7509" s="15" t="s">
        <v>28225</v>
      </c>
      <c r="K7509" s="15" t="s">
        <v>1722</v>
      </c>
      <c r="L7509" s="15">
        <v>33.0</v>
      </c>
      <c r="M7509" s="41">
        <v>42326.0</v>
      </c>
      <c r="N7509" s="41">
        <v>42326.0</v>
      </c>
      <c r="O7509" s="15" t="s">
        <v>1554</v>
      </c>
      <c r="Q7509" s="7"/>
    </row>
    <row r="7510">
      <c r="A7510" s="39" t="s">
        <v>28226</v>
      </c>
      <c r="B7510" s="15">
        <v>1647526.0</v>
      </c>
      <c r="D7510" s="15">
        <v>0.0</v>
      </c>
      <c r="E7510" s="15" t="s">
        <v>1557</v>
      </c>
      <c r="F7510" s="15" t="s">
        <v>1833</v>
      </c>
      <c r="G7510" s="7">
        <v>25.085</v>
      </c>
      <c r="H7510" s="15" t="s">
        <v>1613</v>
      </c>
      <c r="I7510" s="15" t="s">
        <v>1586</v>
      </c>
      <c r="J7510" s="15" t="s">
        <v>28227</v>
      </c>
      <c r="K7510" s="15" t="s">
        <v>1722</v>
      </c>
      <c r="L7510" s="15">
        <v>33.0</v>
      </c>
      <c r="M7510" s="41">
        <v>42326.0</v>
      </c>
      <c r="N7510" s="41">
        <v>42326.0</v>
      </c>
      <c r="O7510" s="15" t="s">
        <v>1554</v>
      </c>
      <c r="Q7510" s="7"/>
    </row>
    <row r="7511">
      <c r="A7511" s="39" t="s">
        <v>28228</v>
      </c>
      <c r="B7511" s="15">
        <v>1647527.0</v>
      </c>
      <c r="D7511" s="15">
        <v>0.0</v>
      </c>
      <c r="E7511" s="15" t="s">
        <v>1557</v>
      </c>
      <c r="F7511" s="15" t="s">
        <v>1833</v>
      </c>
      <c r="G7511" s="7">
        <v>26.845</v>
      </c>
      <c r="H7511" s="15" t="s">
        <v>3653</v>
      </c>
      <c r="I7511" s="15" t="s">
        <v>1586</v>
      </c>
      <c r="J7511" s="15" t="s">
        <v>28229</v>
      </c>
      <c r="K7511" s="15" t="s">
        <v>1722</v>
      </c>
      <c r="L7511" s="15">
        <v>37.0</v>
      </c>
      <c r="M7511" s="41">
        <v>42326.0</v>
      </c>
      <c r="N7511" s="41">
        <v>42326.0</v>
      </c>
      <c r="O7511" s="15" t="s">
        <v>1554</v>
      </c>
      <c r="Q7511" s="7"/>
    </row>
    <row r="7512">
      <c r="A7512" s="39" t="s">
        <v>28230</v>
      </c>
      <c r="B7512" s="15">
        <v>1647528.0</v>
      </c>
      <c r="D7512" s="15">
        <v>0.0</v>
      </c>
      <c r="E7512" s="15" t="s">
        <v>1557</v>
      </c>
      <c r="F7512" s="15" t="s">
        <v>1833</v>
      </c>
      <c r="G7512" s="7">
        <v>34.664</v>
      </c>
      <c r="H7512" s="15" t="s">
        <v>3255</v>
      </c>
      <c r="I7512" s="15" t="s">
        <v>1586</v>
      </c>
      <c r="J7512" s="15" t="s">
        <v>28232</v>
      </c>
      <c r="K7512" s="15" t="s">
        <v>1722</v>
      </c>
      <c r="L7512" s="15">
        <v>44.0</v>
      </c>
      <c r="M7512" s="41">
        <v>42326.0</v>
      </c>
      <c r="N7512" s="41">
        <v>42326.0</v>
      </c>
      <c r="O7512" s="15" t="s">
        <v>1554</v>
      </c>
      <c r="Q7512" s="7"/>
    </row>
    <row r="7513">
      <c r="A7513" s="39" t="s">
        <v>28233</v>
      </c>
      <c r="B7513" s="15">
        <v>1647529.0</v>
      </c>
      <c r="D7513" s="15">
        <v>0.0</v>
      </c>
      <c r="E7513" s="15" t="s">
        <v>1557</v>
      </c>
      <c r="F7513" s="15" t="s">
        <v>1833</v>
      </c>
      <c r="G7513" s="7">
        <v>17.422</v>
      </c>
      <c r="H7513" s="15" t="s">
        <v>2552</v>
      </c>
      <c r="I7513" s="15" t="s">
        <v>1586</v>
      </c>
      <c r="J7513" s="15" t="s">
        <v>28234</v>
      </c>
      <c r="K7513" s="15" t="s">
        <v>1722</v>
      </c>
      <c r="L7513" s="15">
        <v>24.0</v>
      </c>
      <c r="M7513" s="41">
        <v>42326.0</v>
      </c>
      <c r="N7513" s="41">
        <v>42326.0</v>
      </c>
      <c r="O7513" s="15" t="s">
        <v>1554</v>
      </c>
      <c r="Q7513" s="7"/>
    </row>
    <row r="7514">
      <c r="A7514" s="39" t="s">
        <v>28235</v>
      </c>
      <c r="B7514" s="15">
        <v>1647530.0</v>
      </c>
      <c r="D7514" s="15">
        <v>0.0</v>
      </c>
      <c r="E7514" s="15" t="s">
        <v>1557</v>
      </c>
      <c r="F7514" s="15" t="s">
        <v>1833</v>
      </c>
      <c r="G7514" s="7">
        <v>46.083</v>
      </c>
      <c r="H7514" s="15" t="s">
        <v>2005</v>
      </c>
      <c r="I7514" s="15" t="s">
        <v>1586</v>
      </c>
      <c r="J7514" s="15" t="s">
        <v>28236</v>
      </c>
      <c r="K7514" s="15" t="s">
        <v>1722</v>
      </c>
      <c r="L7514" s="15">
        <v>42.0</v>
      </c>
      <c r="M7514" s="41">
        <v>42326.0</v>
      </c>
      <c r="N7514" s="41">
        <v>42326.0</v>
      </c>
      <c r="O7514" s="15" t="s">
        <v>1554</v>
      </c>
      <c r="Q7514" s="7"/>
    </row>
    <row r="7515">
      <c r="A7515" s="39" t="s">
        <v>28238</v>
      </c>
      <c r="B7515" s="15">
        <v>1647531.0</v>
      </c>
      <c r="D7515" s="15">
        <v>0.0</v>
      </c>
      <c r="E7515" s="15" t="s">
        <v>1557</v>
      </c>
      <c r="F7515" s="15" t="s">
        <v>1833</v>
      </c>
      <c r="G7515" s="7">
        <v>46.782</v>
      </c>
      <c r="H7515" s="15" t="s">
        <v>2005</v>
      </c>
      <c r="I7515" s="15" t="s">
        <v>1586</v>
      </c>
      <c r="J7515" s="15" t="s">
        <v>28239</v>
      </c>
      <c r="K7515" s="15" t="s">
        <v>1722</v>
      </c>
      <c r="L7515" s="15">
        <v>37.0</v>
      </c>
      <c r="M7515" s="41">
        <v>42326.0</v>
      </c>
      <c r="N7515" s="41">
        <v>42326.0</v>
      </c>
      <c r="O7515" s="15" t="s">
        <v>1554</v>
      </c>
      <c r="Q7515" s="7"/>
    </row>
    <row r="7516">
      <c r="A7516" s="39" t="s">
        <v>28240</v>
      </c>
      <c r="B7516" s="15">
        <v>1647532.0</v>
      </c>
      <c r="D7516" s="15">
        <v>0.0</v>
      </c>
      <c r="E7516" s="15" t="s">
        <v>1557</v>
      </c>
      <c r="F7516" s="15" t="s">
        <v>1833</v>
      </c>
      <c r="G7516" s="7">
        <v>60.303</v>
      </c>
      <c r="H7516" s="15" t="s">
        <v>2163</v>
      </c>
      <c r="I7516" s="15" t="s">
        <v>1586</v>
      </c>
      <c r="J7516" s="15" t="s">
        <v>28241</v>
      </c>
      <c r="K7516" s="15" t="s">
        <v>1722</v>
      </c>
      <c r="L7516" s="15">
        <v>51.0</v>
      </c>
      <c r="M7516" s="41">
        <v>42326.0</v>
      </c>
      <c r="N7516" s="41">
        <v>42326.0</v>
      </c>
      <c r="O7516" s="15" t="s">
        <v>1554</v>
      </c>
      <c r="Q7516" s="7"/>
    </row>
    <row r="7517">
      <c r="A7517" s="39" t="s">
        <v>28242</v>
      </c>
      <c r="B7517" s="15">
        <v>1647533.0</v>
      </c>
      <c r="D7517" s="15">
        <v>0.0</v>
      </c>
      <c r="E7517" s="15" t="s">
        <v>1557</v>
      </c>
      <c r="F7517" s="15" t="s">
        <v>1833</v>
      </c>
      <c r="G7517" s="7">
        <v>51.889</v>
      </c>
      <c r="H7517" s="15" t="s">
        <v>1591</v>
      </c>
      <c r="I7517" s="15" t="s">
        <v>1586</v>
      </c>
      <c r="J7517" s="15" t="s">
        <v>28243</v>
      </c>
      <c r="K7517" s="15" t="s">
        <v>1722</v>
      </c>
      <c r="L7517" s="15">
        <v>53.0</v>
      </c>
      <c r="M7517" s="41">
        <v>42326.0</v>
      </c>
      <c r="N7517" s="41">
        <v>42326.0</v>
      </c>
      <c r="O7517" s="15" t="s">
        <v>1554</v>
      </c>
      <c r="Q7517" s="7"/>
    </row>
    <row r="7518">
      <c r="A7518" s="39" t="s">
        <v>28245</v>
      </c>
      <c r="B7518" s="15">
        <v>1647534.0</v>
      </c>
      <c r="D7518" s="15">
        <v>0.0</v>
      </c>
      <c r="E7518" s="15" t="s">
        <v>1557</v>
      </c>
      <c r="F7518" s="15" t="s">
        <v>1833</v>
      </c>
      <c r="G7518" s="7">
        <v>36.471</v>
      </c>
      <c r="H7518" s="15" t="s">
        <v>1859</v>
      </c>
      <c r="I7518" s="15" t="s">
        <v>1586</v>
      </c>
      <c r="J7518" s="15" t="s">
        <v>28246</v>
      </c>
      <c r="K7518" s="15" t="s">
        <v>1722</v>
      </c>
      <c r="L7518" s="15">
        <v>41.0</v>
      </c>
      <c r="M7518" s="41">
        <v>42326.0</v>
      </c>
      <c r="N7518" s="41">
        <v>42326.0</v>
      </c>
      <c r="O7518" s="15" t="s">
        <v>1554</v>
      </c>
      <c r="Q7518" s="7"/>
    </row>
    <row r="7519">
      <c r="A7519" s="39" t="s">
        <v>28247</v>
      </c>
      <c r="B7519" s="15">
        <v>1647535.0</v>
      </c>
      <c r="D7519" s="15">
        <v>0.0</v>
      </c>
      <c r="E7519" s="15" t="s">
        <v>1557</v>
      </c>
      <c r="F7519" s="15" t="s">
        <v>1833</v>
      </c>
      <c r="G7519" s="7">
        <v>40.578</v>
      </c>
      <c r="H7519" s="15" t="s">
        <v>3653</v>
      </c>
      <c r="I7519" s="15" t="s">
        <v>1586</v>
      </c>
      <c r="J7519" s="15" t="s">
        <v>28248</v>
      </c>
      <c r="K7519" s="15" t="s">
        <v>1722</v>
      </c>
      <c r="L7519" s="15">
        <v>52.0</v>
      </c>
      <c r="M7519" s="41">
        <v>42326.0</v>
      </c>
      <c r="N7519" s="41">
        <v>42326.0</v>
      </c>
      <c r="O7519" s="15" t="s">
        <v>1554</v>
      </c>
      <c r="Q7519" s="7"/>
    </row>
    <row r="7520">
      <c r="A7520" s="39" t="s">
        <v>28249</v>
      </c>
      <c r="B7520" s="15">
        <v>1647536.0</v>
      </c>
      <c r="D7520" s="15">
        <v>0.0</v>
      </c>
      <c r="E7520" s="15" t="s">
        <v>1557</v>
      </c>
      <c r="F7520" s="15" t="s">
        <v>1833</v>
      </c>
      <c r="G7520" s="7">
        <v>23.629</v>
      </c>
      <c r="H7520" s="15" t="s">
        <v>2005</v>
      </c>
      <c r="I7520" s="15" t="s">
        <v>1586</v>
      </c>
      <c r="J7520" s="15" t="s">
        <v>28250</v>
      </c>
      <c r="K7520" s="15" t="s">
        <v>1722</v>
      </c>
      <c r="L7520" s="15">
        <v>36.0</v>
      </c>
      <c r="M7520" s="41">
        <v>42326.0</v>
      </c>
      <c r="N7520" s="41">
        <v>42326.0</v>
      </c>
      <c r="O7520" s="15" t="s">
        <v>1554</v>
      </c>
      <c r="Q7520" s="7"/>
    </row>
    <row r="7521">
      <c r="A7521" s="39" t="s">
        <v>28251</v>
      </c>
      <c r="B7521" s="15">
        <v>1647537.0</v>
      </c>
      <c r="D7521" s="15">
        <v>0.0</v>
      </c>
      <c r="E7521" s="15" t="s">
        <v>1557</v>
      </c>
      <c r="F7521" s="15" t="s">
        <v>1833</v>
      </c>
      <c r="G7521" s="7">
        <v>23.41</v>
      </c>
      <c r="H7521" s="15" t="s">
        <v>2023</v>
      </c>
      <c r="I7521" s="15" t="s">
        <v>1586</v>
      </c>
      <c r="J7521" s="15" t="s">
        <v>28253</v>
      </c>
      <c r="K7521" s="15" t="s">
        <v>1722</v>
      </c>
      <c r="L7521" s="15">
        <v>33.0</v>
      </c>
      <c r="M7521" s="41">
        <v>42326.0</v>
      </c>
      <c r="N7521" s="41">
        <v>42326.0</v>
      </c>
      <c r="O7521" s="15" t="s">
        <v>1554</v>
      </c>
      <c r="Q7521" s="7"/>
    </row>
    <row r="7522">
      <c r="A7522" s="39" t="s">
        <v>28254</v>
      </c>
      <c r="B7522" s="15">
        <v>1647538.0</v>
      </c>
      <c r="D7522" s="15">
        <v>0.0</v>
      </c>
      <c r="E7522" s="15" t="s">
        <v>1557</v>
      </c>
      <c r="F7522" s="15" t="s">
        <v>1833</v>
      </c>
      <c r="G7522" s="7">
        <v>40.408</v>
      </c>
      <c r="H7522" s="15" t="s">
        <v>2163</v>
      </c>
      <c r="I7522" s="15" t="s">
        <v>1586</v>
      </c>
      <c r="J7522" s="15" t="s">
        <v>28255</v>
      </c>
      <c r="K7522" s="15" t="s">
        <v>1722</v>
      </c>
      <c r="L7522" s="15">
        <v>61.0</v>
      </c>
      <c r="M7522" s="41">
        <v>42326.0</v>
      </c>
      <c r="N7522" s="41">
        <v>42326.0</v>
      </c>
      <c r="O7522" s="15" t="s">
        <v>1554</v>
      </c>
      <c r="Q7522" s="7"/>
    </row>
    <row r="7523">
      <c r="A7523" s="39" t="s">
        <v>28256</v>
      </c>
      <c r="B7523" s="15">
        <v>1647539.0</v>
      </c>
      <c r="D7523" s="15">
        <v>0.0</v>
      </c>
      <c r="E7523" s="15" t="s">
        <v>1557</v>
      </c>
      <c r="F7523" s="15" t="s">
        <v>1833</v>
      </c>
      <c r="G7523" s="7">
        <v>34.758</v>
      </c>
      <c r="H7523" s="15" t="s">
        <v>3584</v>
      </c>
      <c r="I7523" s="15" t="s">
        <v>1586</v>
      </c>
      <c r="J7523" s="15" t="s">
        <v>28257</v>
      </c>
      <c r="K7523" s="15" t="s">
        <v>1722</v>
      </c>
      <c r="L7523" s="15">
        <v>49.0</v>
      </c>
      <c r="M7523" s="41">
        <v>42326.0</v>
      </c>
      <c r="N7523" s="41">
        <v>42326.0</v>
      </c>
      <c r="O7523" s="15" t="s">
        <v>1554</v>
      </c>
      <c r="Q7523" s="7"/>
    </row>
    <row r="7524">
      <c r="A7524" s="39" t="s">
        <v>28258</v>
      </c>
      <c r="B7524" s="15">
        <v>1647540.0</v>
      </c>
      <c r="D7524" s="15">
        <v>0.0</v>
      </c>
      <c r="E7524" s="15" t="s">
        <v>1557</v>
      </c>
      <c r="F7524" s="15" t="s">
        <v>1833</v>
      </c>
      <c r="G7524" s="7">
        <v>39.29</v>
      </c>
      <c r="H7524" s="15" t="s">
        <v>3255</v>
      </c>
      <c r="I7524" s="15" t="s">
        <v>1586</v>
      </c>
      <c r="J7524" s="15" t="s">
        <v>28260</v>
      </c>
      <c r="K7524" s="15" t="s">
        <v>1722</v>
      </c>
      <c r="L7524" s="15">
        <v>58.0</v>
      </c>
      <c r="M7524" s="41">
        <v>42326.0</v>
      </c>
      <c r="N7524" s="41">
        <v>42326.0</v>
      </c>
      <c r="O7524" s="15" t="s">
        <v>1554</v>
      </c>
      <c r="Q7524" s="7"/>
    </row>
    <row r="7525">
      <c r="A7525" s="39" t="s">
        <v>28261</v>
      </c>
      <c r="B7525" s="15">
        <v>1647541.0</v>
      </c>
      <c r="D7525" s="15">
        <v>0.0</v>
      </c>
      <c r="E7525" s="15" t="s">
        <v>1557</v>
      </c>
      <c r="F7525" s="15" t="s">
        <v>1833</v>
      </c>
      <c r="G7525" s="7">
        <v>41.268</v>
      </c>
      <c r="H7525" s="15" t="s">
        <v>3584</v>
      </c>
      <c r="I7525" s="15" t="s">
        <v>1586</v>
      </c>
      <c r="J7525" s="15" t="s">
        <v>28262</v>
      </c>
      <c r="K7525" s="15" t="s">
        <v>1722</v>
      </c>
      <c r="L7525" s="15">
        <v>51.0</v>
      </c>
      <c r="M7525" s="41">
        <v>42326.0</v>
      </c>
      <c r="N7525" s="41">
        <v>42326.0</v>
      </c>
      <c r="O7525" s="15" t="s">
        <v>1554</v>
      </c>
      <c r="Q7525" s="7"/>
    </row>
    <row r="7526">
      <c r="A7526" s="39" t="s">
        <v>28263</v>
      </c>
      <c r="B7526" s="15">
        <v>1647542.0</v>
      </c>
      <c r="D7526" s="15">
        <v>0.0</v>
      </c>
      <c r="E7526" s="15" t="s">
        <v>1557</v>
      </c>
      <c r="F7526" s="15" t="s">
        <v>1833</v>
      </c>
      <c r="G7526" s="7">
        <v>37.967</v>
      </c>
      <c r="H7526" s="15" t="s">
        <v>1591</v>
      </c>
      <c r="I7526" s="15" t="s">
        <v>1586</v>
      </c>
      <c r="J7526" s="15" t="s">
        <v>28264</v>
      </c>
      <c r="K7526" s="15" t="s">
        <v>1722</v>
      </c>
      <c r="L7526" s="15">
        <v>51.0</v>
      </c>
      <c r="M7526" s="41">
        <v>42326.0</v>
      </c>
      <c r="N7526" s="41">
        <v>42326.0</v>
      </c>
      <c r="O7526" s="15" t="s">
        <v>1554</v>
      </c>
      <c r="Q7526" s="7"/>
    </row>
    <row r="7527">
      <c r="A7527" s="39" t="s">
        <v>28266</v>
      </c>
      <c r="B7527" s="15">
        <v>1647543.0</v>
      </c>
      <c r="D7527" s="15">
        <v>0.0</v>
      </c>
      <c r="E7527" s="15" t="s">
        <v>1557</v>
      </c>
      <c r="F7527" s="15" t="s">
        <v>1833</v>
      </c>
      <c r="G7527" s="7">
        <v>41.487</v>
      </c>
      <c r="H7527" s="15" t="s">
        <v>3584</v>
      </c>
      <c r="I7527" s="15" t="s">
        <v>1586</v>
      </c>
      <c r="J7527" s="15" t="s">
        <v>28267</v>
      </c>
      <c r="K7527" s="15" t="s">
        <v>1722</v>
      </c>
      <c r="L7527" s="15">
        <v>55.0</v>
      </c>
      <c r="M7527" s="41">
        <v>42326.0</v>
      </c>
      <c r="N7527" s="41">
        <v>42326.0</v>
      </c>
      <c r="O7527" s="15" t="s">
        <v>1554</v>
      </c>
      <c r="Q7527" s="7"/>
    </row>
    <row r="7528">
      <c r="A7528" s="39" t="s">
        <v>28268</v>
      </c>
      <c r="B7528" s="15">
        <v>1647544.0</v>
      </c>
      <c r="D7528" s="15">
        <v>0.0</v>
      </c>
      <c r="E7528" s="15" t="s">
        <v>1557</v>
      </c>
      <c r="F7528" s="15" t="s">
        <v>1833</v>
      </c>
      <c r="G7528" s="7">
        <v>54.84</v>
      </c>
      <c r="H7528" s="15" t="s">
        <v>1591</v>
      </c>
      <c r="I7528" s="15" t="s">
        <v>1586</v>
      </c>
      <c r="J7528" s="15" t="s">
        <v>28269</v>
      </c>
      <c r="K7528" s="15" t="s">
        <v>1722</v>
      </c>
      <c r="L7528" s="15">
        <v>86.0</v>
      </c>
      <c r="M7528" s="41">
        <v>42326.0</v>
      </c>
      <c r="N7528" s="41">
        <v>42326.0</v>
      </c>
      <c r="O7528" s="15" t="s">
        <v>1554</v>
      </c>
      <c r="Q7528" s="7"/>
    </row>
    <row r="7529">
      <c r="A7529" s="39" t="s">
        <v>28271</v>
      </c>
      <c r="B7529" s="15">
        <v>1647545.0</v>
      </c>
      <c r="D7529" s="15">
        <v>0.0</v>
      </c>
      <c r="E7529" s="15" t="s">
        <v>1557</v>
      </c>
      <c r="F7529" s="15" t="s">
        <v>1833</v>
      </c>
      <c r="G7529" s="7">
        <v>34.549</v>
      </c>
      <c r="H7529" s="15" t="s">
        <v>1591</v>
      </c>
      <c r="I7529" s="15" t="s">
        <v>1586</v>
      </c>
      <c r="J7529" s="15" t="s">
        <v>28272</v>
      </c>
      <c r="K7529" s="15" t="s">
        <v>1722</v>
      </c>
      <c r="L7529" s="15">
        <v>53.0</v>
      </c>
      <c r="M7529" s="41">
        <v>42326.0</v>
      </c>
      <c r="N7529" s="41">
        <v>42326.0</v>
      </c>
      <c r="O7529" s="15" t="s">
        <v>1554</v>
      </c>
      <c r="Q7529" s="7"/>
    </row>
    <row r="7530">
      <c r="A7530" s="39" t="s">
        <v>28273</v>
      </c>
      <c r="B7530" s="15">
        <v>1647546.0</v>
      </c>
      <c r="D7530" s="15">
        <v>0.0</v>
      </c>
      <c r="E7530" s="15" t="s">
        <v>1557</v>
      </c>
      <c r="F7530" s="15" t="s">
        <v>1833</v>
      </c>
      <c r="G7530" s="7">
        <v>31.332</v>
      </c>
      <c r="H7530" s="15" t="s">
        <v>3066</v>
      </c>
      <c r="I7530" s="15" t="s">
        <v>1586</v>
      </c>
      <c r="J7530" s="15" t="s">
        <v>28274</v>
      </c>
      <c r="K7530" s="15" t="s">
        <v>1722</v>
      </c>
      <c r="L7530" s="15">
        <v>40.0</v>
      </c>
      <c r="M7530" s="41">
        <v>42326.0</v>
      </c>
      <c r="N7530" s="41">
        <v>42326.0</v>
      </c>
      <c r="O7530" s="15" t="s">
        <v>1554</v>
      </c>
      <c r="Q7530" s="7"/>
    </row>
    <row r="7531">
      <c r="A7531" s="39" t="s">
        <v>28275</v>
      </c>
      <c r="B7531" s="15">
        <v>1647547.0</v>
      </c>
      <c r="D7531" s="15">
        <v>0.0</v>
      </c>
      <c r="E7531" s="15" t="s">
        <v>1557</v>
      </c>
      <c r="F7531" s="15" t="s">
        <v>1833</v>
      </c>
      <c r="G7531" s="7">
        <v>30.974</v>
      </c>
      <c r="H7531" s="15" t="s">
        <v>2005</v>
      </c>
      <c r="I7531" s="15" t="s">
        <v>1586</v>
      </c>
      <c r="J7531" s="15" t="s">
        <v>28277</v>
      </c>
      <c r="K7531" s="15" t="s">
        <v>1722</v>
      </c>
      <c r="L7531" s="15">
        <v>47.0</v>
      </c>
      <c r="M7531" s="41">
        <v>42326.0</v>
      </c>
      <c r="N7531" s="41">
        <v>42326.0</v>
      </c>
      <c r="O7531" s="15" t="s">
        <v>1554</v>
      </c>
      <c r="Q7531" s="7"/>
    </row>
    <row r="7532">
      <c r="A7532" s="39" t="s">
        <v>28278</v>
      </c>
      <c r="B7532" s="15">
        <v>1647548.0</v>
      </c>
      <c r="D7532" s="15">
        <v>0.0</v>
      </c>
      <c r="E7532" s="15" t="s">
        <v>1557</v>
      </c>
      <c r="F7532" s="15" t="s">
        <v>1833</v>
      </c>
      <c r="G7532" s="7">
        <v>30.974</v>
      </c>
      <c r="H7532" s="15" t="s">
        <v>2005</v>
      </c>
      <c r="I7532" s="15" t="s">
        <v>1586</v>
      </c>
      <c r="J7532" s="15" t="s">
        <v>28280</v>
      </c>
      <c r="K7532" s="15" t="s">
        <v>1722</v>
      </c>
      <c r="L7532" s="15">
        <v>45.0</v>
      </c>
      <c r="M7532" s="41">
        <v>42326.0</v>
      </c>
      <c r="N7532" s="41">
        <v>42326.0</v>
      </c>
      <c r="O7532" s="15" t="s">
        <v>1554</v>
      </c>
      <c r="Q7532" s="7"/>
    </row>
    <row r="7533">
      <c r="A7533" s="39" t="s">
        <v>28281</v>
      </c>
      <c r="B7533" s="15">
        <v>1647549.0</v>
      </c>
      <c r="D7533" s="15">
        <v>0.0</v>
      </c>
      <c r="E7533" s="15" t="s">
        <v>1557</v>
      </c>
      <c r="F7533" s="15" t="s">
        <v>1833</v>
      </c>
      <c r="G7533" s="7">
        <v>30.958</v>
      </c>
      <c r="H7533" s="15" t="s">
        <v>2005</v>
      </c>
      <c r="I7533" s="15" t="s">
        <v>1586</v>
      </c>
      <c r="J7533" s="15" t="s">
        <v>28282</v>
      </c>
      <c r="K7533" s="15" t="s">
        <v>1722</v>
      </c>
      <c r="L7533" s="15">
        <v>45.0</v>
      </c>
      <c r="M7533" s="41">
        <v>42326.0</v>
      </c>
      <c r="N7533" s="41">
        <v>42326.0</v>
      </c>
      <c r="O7533" s="15" t="s">
        <v>1554</v>
      </c>
      <c r="Q7533" s="7"/>
    </row>
    <row r="7534">
      <c r="A7534" s="39" t="s">
        <v>28283</v>
      </c>
      <c r="B7534" s="15">
        <v>1647550.0</v>
      </c>
      <c r="D7534" s="15">
        <v>0.0</v>
      </c>
      <c r="E7534" s="15" t="s">
        <v>1557</v>
      </c>
      <c r="F7534" s="15" t="s">
        <v>1833</v>
      </c>
      <c r="G7534" s="7">
        <v>42.819</v>
      </c>
      <c r="H7534" s="15" t="s">
        <v>2178</v>
      </c>
      <c r="I7534" s="15" t="s">
        <v>1586</v>
      </c>
      <c r="J7534" s="15" t="s">
        <v>28285</v>
      </c>
      <c r="K7534" s="15" t="s">
        <v>1722</v>
      </c>
      <c r="L7534" s="15">
        <v>57.0</v>
      </c>
      <c r="M7534" s="41">
        <v>42326.0</v>
      </c>
      <c r="N7534" s="41">
        <v>42326.0</v>
      </c>
      <c r="O7534" s="15" t="s">
        <v>1554</v>
      </c>
      <c r="Q7534" s="7"/>
    </row>
    <row r="7535">
      <c r="A7535" s="39" t="s">
        <v>28286</v>
      </c>
      <c r="B7535" s="15">
        <v>1647551.0</v>
      </c>
      <c r="D7535" s="15">
        <v>0.0</v>
      </c>
      <c r="E7535" s="15" t="s">
        <v>1557</v>
      </c>
      <c r="F7535" s="15" t="s">
        <v>1833</v>
      </c>
      <c r="G7535" s="7">
        <v>47.875</v>
      </c>
      <c r="H7535" s="15" t="s">
        <v>1685</v>
      </c>
      <c r="I7535" s="15" t="s">
        <v>1586</v>
      </c>
      <c r="J7535" s="15" t="s">
        <v>28287</v>
      </c>
      <c r="K7535" s="15" t="s">
        <v>1722</v>
      </c>
      <c r="L7535" s="15">
        <v>68.0</v>
      </c>
      <c r="M7535" s="41">
        <v>42326.0</v>
      </c>
      <c r="N7535" s="41">
        <v>42326.0</v>
      </c>
      <c r="O7535" s="15" t="s">
        <v>1554</v>
      </c>
      <c r="Q7535" s="7"/>
    </row>
    <row r="7536">
      <c r="A7536" s="39" t="s">
        <v>28288</v>
      </c>
      <c r="B7536" s="15">
        <v>1647552.0</v>
      </c>
      <c r="D7536" s="15">
        <v>0.0</v>
      </c>
      <c r="E7536" s="15" t="s">
        <v>1557</v>
      </c>
      <c r="F7536" s="15" t="s">
        <v>1833</v>
      </c>
      <c r="G7536" s="7">
        <v>54.619</v>
      </c>
      <c r="H7536" s="15" t="s">
        <v>2648</v>
      </c>
      <c r="I7536" s="15" t="s">
        <v>1586</v>
      </c>
      <c r="J7536" s="15" t="s">
        <v>28289</v>
      </c>
      <c r="K7536" s="15" t="s">
        <v>1722</v>
      </c>
      <c r="L7536" s="15">
        <v>56.0</v>
      </c>
      <c r="M7536" s="41">
        <v>42326.0</v>
      </c>
      <c r="N7536" s="41">
        <v>42326.0</v>
      </c>
      <c r="O7536" s="15" t="s">
        <v>1554</v>
      </c>
      <c r="Q7536" s="7"/>
    </row>
    <row r="7537">
      <c r="A7537" s="39" t="s">
        <v>28290</v>
      </c>
      <c r="B7537" s="15">
        <v>1647553.0</v>
      </c>
      <c r="D7537" s="15">
        <v>0.0</v>
      </c>
      <c r="E7537" s="15" t="s">
        <v>1557</v>
      </c>
      <c r="F7537" s="15" t="s">
        <v>1833</v>
      </c>
      <c r="G7537" s="7">
        <v>42.027</v>
      </c>
      <c r="H7537" s="15" t="s">
        <v>3653</v>
      </c>
      <c r="I7537" s="15" t="s">
        <v>1586</v>
      </c>
      <c r="J7537" s="15" t="s">
        <v>28292</v>
      </c>
      <c r="K7537" s="15" t="s">
        <v>1722</v>
      </c>
      <c r="L7537" s="15">
        <v>47.0</v>
      </c>
      <c r="M7537" s="41">
        <v>42326.0</v>
      </c>
      <c r="N7537" s="41">
        <v>42326.0</v>
      </c>
      <c r="O7537" s="15" t="s">
        <v>1554</v>
      </c>
      <c r="Q7537" s="7"/>
    </row>
    <row r="7538">
      <c r="A7538" s="39" t="s">
        <v>28293</v>
      </c>
      <c r="B7538" s="15">
        <v>1647554.0</v>
      </c>
      <c r="D7538" s="15">
        <v>0.0</v>
      </c>
      <c r="E7538" s="15" t="s">
        <v>1557</v>
      </c>
      <c r="F7538" s="15" t="s">
        <v>1833</v>
      </c>
      <c r="G7538" s="7">
        <v>40.71</v>
      </c>
      <c r="H7538" s="15" t="s">
        <v>1912</v>
      </c>
      <c r="I7538" s="15" t="s">
        <v>1586</v>
      </c>
      <c r="J7538" s="15" t="s">
        <v>28294</v>
      </c>
      <c r="K7538" s="15" t="s">
        <v>1722</v>
      </c>
      <c r="L7538" s="15">
        <v>56.0</v>
      </c>
      <c r="M7538" s="41">
        <v>42326.0</v>
      </c>
      <c r="N7538" s="41">
        <v>42326.0</v>
      </c>
      <c r="O7538" s="15" t="s">
        <v>1554</v>
      </c>
      <c r="Q7538" s="7"/>
    </row>
    <row r="7539">
      <c r="A7539" s="39" t="s">
        <v>28295</v>
      </c>
      <c r="B7539" s="15">
        <v>1647555.0</v>
      </c>
      <c r="D7539" s="15">
        <v>0.0</v>
      </c>
      <c r="E7539" s="15" t="s">
        <v>1557</v>
      </c>
      <c r="F7539" s="15" t="s">
        <v>1833</v>
      </c>
      <c r="G7539" s="7">
        <v>36.406</v>
      </c>
      <c r="H7539" s="15" t="s">
        <v>1613</v>
      </c>
      <c r="I7539" s="15" t="s">
        <v>1586</v>
      </c>
      <c r="J7539" s="15" t="s">
        <v>28296</v>
      </c>
      <c r="K7539" s="15" t="s">
        <v>1722</v>
      </c>
      <c r="L7539" s="15">
        <v>42.0</v>
      </c>
      <c r="M7539" s="41">
        <v>42326.0</v>
      </c>
      <c r="N7539" s="41">
        <v>42326.0</v>
      </c>
      <c r="O7539" s="15" t="s">
        <v>1554</v>
      </c>
      <c r="Q7539" s="7"/>
    </row>
    <row r="7540">
      <c r="A7540" s="39" t="s">
        <v>28297</v>
      </c>
      <c r="B7540" s="15">
        <v>1651816.0</v>
      </c>
      <c r="D7540" s="15">
        <v>0.0</v>
      </c>
      <c r="E7540" s="15" t="s">
        <v>4407</v>
      </c>
      <c r="F7540" s="15" t="s">
        <v>1578</v>
      </c>
      <c r="G7540" s="7">
        <v>168.489</v>
      </c>
      <c r="H7540" s="15" t="s">
        <v>1617</v>
      </c>
      <c r="I7540" s="15" t="s">
        <v>1586</v>
      </c>
      <c r="J7540" s="15" t="s">
        <v>28299</v>
      </c>
      <c r="K7540" s="15">
        <v>271.0</v>
      </c>
      <c r="L7540" s="15">
        <v>241.0</v>
      </c>
      <c r="M7540" s="40">
        <v>42451.0</v>
      </c>
      <c r="N7540" s="40">
        <v>42545.0</v>
      </c>
      <c r="O7540" s="15" t="s">
        <v>1554</v>
      </c>
      <c r="Q7540" s="7"/>
    </row>
    <row r="7541">
      <c r="A7541" s="39" t="s">
        <v>28300</v>
      </c>
      <c r="B7541" s="15">
        <v>1654717.0</v>
      </c>
      <c r="D7541" s="15">
        <v>0.0</v>
      </c>
      <c r="E7541" s="15" t="s">
        <v>1557</v>
      </c>
      <c r="F7541" s="15" t="s">
        <v>1767</v>
      </c>
      <c r="G7541" s="7">
        <v>159.514</v>
      </c>
      <c r="H7541" s="15" t="s">
        <v>3246</v>
      </c>
      <c r="I7541" s="15" t="s">
        <v>1586</v>
      </c>
      <c r="J7541" s="15" t="s">
        <v>28301</v>
      </c>
      <c r="K7541" s="15">
        <v>14.0</v>
      </c>
      <c r="L7541" s="15">
        <v>202.0</v>
      </c>
      <c r="M7541" s="40">
        <v>42190.0</v>
      </c>
      <c r="N7541" s="40">
        <v>42192.0</v>
      </c>
      <c r="O7541" s="15" t="s">
        <v>1554</v>
      </c>
      <c r="Q7541" s="7"/>
    </row>
    <row r="7542">
      <c r="A7542" s="39" t="s">
        <v>28302</v>
      </c>
      <c r="B7542" s="15">
        <v>1654892.0</v>
      </c>
      <c r="D7542" s="15">
        <v>0.0</v>
      </c>
      <c r="E7542" s="15" t="s">
        <v>4407</v>
      </c>
      <c r="F7542" s="15" t="s">
        <v>1578</v>
      </c>
      <c r="G7542" s="7">
        <v>21.437</v>
      </c>
      <c r="H7542" s="15" t="s">
        <v>3082</v>
      </c>
      <c r="I7542" s="15" t="s">
        <v>1586</v>
      </c>
      <c r="J7542" s="15" t="s">
        <v>28303</v>
      </c>
      <c r="K7542" s="15">
        <v>31.0</v>
      </c>
      <c r="L7542" s="15">
        <v>31.0</v>
      </c>
      <c r="M7542" s="41">
        <v>42307.0</v>
      </c>
      <c r="N7542" s="40">
        <v>42516.0</v>
      </c>
      <c r="O7542" s="15" t="s">
        <v>1554</v>
      </c>
      <c r="Q7542" s="7"/>
    </row>
    <row r="7543">
      <c r="A7543" s="39" t="s">
        <v>28304</v>
      </c>
      <c r="B7543" s="15">
        <v>1654893.0</v>
      </c>
      <c r="D7543" s="15">
        <v>0.0</v>
      </c>
      <c r="E7543" s="15" t="s">
        <v>4407</v>
      </c>
      <c r="F7543" s="15" t="s">
        <v>1578</v>
      </c>
      <c r="G7543" s="7">
        <v>63.263</v>
      </c>
      <c r="H7543" s="15" t="s">
        <v>1828</v>
      </c>
      <c r="I7543" s="15" t="s">
        <v>1586</v>
      </c>
      <c r="J7543" s="15" t="s">
        <v>28305</v>
      </c>
      <c r="K7543" s="15">
        <v>130.0</v>
      </c>
      <c r="L7543" s="15">
        <v>130.0</v>
      </c>
      <c r="M7543" s="41">
        <v>42307.0</v>
      </c>
      <c r="N7543" s="40">
        <v>42516.0</v>
      </c>
      <c r="O7543" s="15" t="s">
        <v>1554</v>
      </c>
      <c r="Q7543" s="7"/>
    </row>
    <row r="7544">
      <c r="A7544" s="39" t="s">
        <v>28306</v>
      </c>
      <c r="B7544" s="15">
        <v>1654894.0</v>
      </c>
      <c r="D7544" s="15">
        <v>0.0</v>
      </c>
      <c r="E7544" s="15" t="s">
        <v>4407</v>
      </c>
      <c r="F7544" s="15" t="s">
        <v>1578</v>
      </c>
      <c r="G7544" s="7">
        <v>91.721</v>
      </c>
      <c r="H7544" s="15" t="s">
        <v>8889</v>
      </c>
      <c r="I7544" s="15" t="s">
        <v>1586</v>
      </c>
      <c r="J7544" s="15" t="s">
        <v>28308</v>
      </c>
      <c r="K7544" s="15">
        <v>152.0</v>
      </c>
      <c r="L7544" s="15">
        <v>152.0</v>
      </c>
      <c r="M7544" s="41">
        <v>42307.0</v>
      </c>
      <c r="N7544" s="40">
        <v>42516.0</v>
      </c>
      <c r="O7544" s="15" t="s">
        <v>1554</v>
      </c>
      <c r="Q7544" s="7"/>
    </row>
    <row r="7545">
      <c r="A7545" s="39" t="s">
        <v>28309</v>
      </c>
      <c r="B7545" s="15">
        <v>1655307.0</v>
      </c>
      <c r="D7545" s="15">
        <v>0.0</v>
      </c>
      <c r="E7545" s="15" t="s">
        <v>1557</v>
      </c>
      <c r="F7545" s="15" t="s">
        <v>1833</v>
      </c>
      <c r="G7545" s="7">
        <v>103.737</v>
      </c>
      <c r="H7545" s="15" t="s">
        <v>5806</v>
      </c>
      <c r="I7545" s="15" t="s">
        <v>1586</v>
      </c>
      <c r="J7545" s="15" t="s">
        <v>28310</v>
      </c>
      <c r="K7545" s="15">
        <v>154.0</v>
      </c>
      <c r="L7545" s="15">
        <v>151.0</v>
      </c>
      <c r="M7545" s="41">
        <v>42369.0</v>
      </c>
      <c r="N7545" s="40">
        <v>42534.0</v>
      </c>
      <c r="O7545" s="15" t="s">
        <v>1554</v>
      </c>
      <c r="Q7545" s="7"/>
    </row>
    <row r="7546">
      <c r="A7546" s="39" t="s">
        <v>28311</v>
      </c>
      <c r="B7546" s="15">
        <v>1655314.0</v>
      </c>
      <c r="D7546" s="15">
        <v>0.0</v>
      </c>
      <c r="E7546" s="15" t="s">
        <v>1557</v>
      </c>
      <c r="F7546" s="15" t="s">
        <v>1767</v>
      </c>
      <c r="G7546" s="7">
        <v>135.4</v>
      </c>
      <c r="H7546" s="15" t="s">
        <v>3653</v>
      </c>
      <c r="I7546" s="15" t="s">
        <v>1586</v>
      </c>
      <c r="J7546" s="15" t="s">
        <v>28312</v>
      </c>
      <c r="K7546" s="15">
        <v>220.0</v>
      </c>
      <c r="L7546" s="15">
        <v>219.0</v>
      </c>
      <c r="M7546" s="41">
        <v>42369.0</v>
      </c>
      <c r="N7546" s="40">
        <v>42534.0</v>
      </c>
      <c r="O7546" s="15" t="s">
        <v>1554</v>
      </c>
      <c r="Q7546" s="7"/>
    </row>
    <row r="7547">
      <c r="A7547" s="39" t="s">
        <v>28313</v>
      </c>
      <c r="B7547" s="15">
        <v>1660382.0</v>
      </c>
      <c r="D7547" s="15">
        <v>0.0</v>
      </c>
      <c r="E7547" s="15" t="s">
        <v>1557</v>
      </c>
      <c r="F7547" s="15" t="s">
        <v>1611</v>
      </c>
      <c r="G7547" s="7">
        <v>63.584</v>
      </c>
      <c r="H7547" s="15" t="s">
        <v>3304</v>
      </c>
      <c r="I7547" s="15" t="s">
        <v>1586</v>
      </c>
      <c r="J7547" s="15" t="s">
        <v>28314</v>
      </c>
      <c r="K7547" s="15" t="s">
        <v>1722</v>
      </c>
      <c r="L7547" s="15">
        <v>85.0</v>
      </c>
      <c r="M7547" s="40">
        <v>42276.0</v>
      </c>
      <c r="N7547" s="40">
        <v>42277.0</v>
      </c>
      <c r="O7547" s="15" t="s">
        <v>1554</v>
      </c>
      <c r="Q7547" s="7"/>
    </row>
    <row r="7548">
      <c r="A7548" s="39" t="s">
        <v>28316</v>
      </c>
      <c r="B7548" s="15">
        <v>1661715.0</v>
      </c>
      <c r="D7548" s="15">
        <v>0.0</v>
      </c>
      <c r="E7548" s="15" t="s">
        <v>1557</v>
      </c>
      <c r="F7548" s="15" t="s">
        <v>1833</v>
      </c>
      <c r="G7548" s="7">
        <v>60.284</v>
      </c>
      <c r="H7548" s="15" t="s">
        <v>11392</v>
      </c>
      <c r="I7548" s="15" t="s">
        <v>1586</v>
      </c>
      <c r="J7548" s="15" t="s">
        <v>28317</v>
      </c>
      <c r="K7548" s="15">
        <v>77.0</v>
      </c>
      <c r="L7548" s="15">
        <v>77.0</v>
      </c>
      <c r="M7548" s="40">
        <v>42278.0</v>
      </c>
      <c r="N7548" s="40">
        <v>42285.0</v>
      </c>
      <c r="O7548" s="15" t="s">
        <v>1554</v>
      </c>
      <c r="Q7548" s="7"/>
    </row>
    <row r="7549">
      <c r="A7549" s="39" t="s">
        <v>28318</v>
      </c>
      <c r="B7549" s="15">
        <v>1662463.0</v>
      </c>
      <c r="D7549" s="15">
        <v>0.0</v>
      </c>
      <c r="E7549" s="15" t="s">
        <v>1557</v>
      </c>
      <c r="F7549" s="15" t="s">
        <v>1611</v>
      </c>
      <c r="G7549" s="7">
        <v>39.21</v>
      </c>
      <c r="H7549" s="15" t="s">
        <v>2540</v>
      </c>
      <c r="I7549" s="15" t="s">
        <v>1586</v>
      </c>
      <c r="J7549" s="15" t="s">
        <v>28319</v>
      </c>
      <c r="K7549" s="15">
        <v>46.0</v>
      </c>
      <c r="L7549" s="15">
        <v>46.0</v>
      </c>
      <c r="M7549" s="40">
        <v>42383.0</v>
      </c>
      <c r="N7549" s="40">
        <v>42444.0</v>
      </c>
      <c r="O7549" s="15" t="s">
        <v>1554</v>
      </c>
      <c r="Q7549" s="7"/>
    </row>
    <row r="7550">
      <c r="A7550" s="39" t="s">
        <v>28320</v>
      </c>
      <c r="B7550" s="15">
        <v>1673729.0</v>
      </c>
      <c r="D7550" s="15">
        <v>0.0</v>
      </c>
      <c r="E7550" s="15" t="s">
        <v>1557</v>
      </c>
      <c r="F7550" s="15" t="s">
        <v>1611</v>
      </c>
      <c r="G7550" s="7">
        <v>41.882</v>
      </c>
      <c r="H7550" s="15" t="s">
        <v>2840</v>
      </c>
      <c r="I7550" s="15" t="s">
        <v>1586</v>
      </c>
      <c r="J7550" s="15" t="s">
        <v>28321</v>
      </c>
      <c r="K7550" s="15" t="s">
        <v>1722</v>
      </c>
      <c r="L7550" s="15">
        <v>40.0</v>
      </c>
      <c r="M7550" s="41">
        <v>41990.0</v>
      </c>
      <c r="N7550" s="40">
        <v>42179.0</v>
      </c>
      <c r="O7550" s="15" t="s">
        <v>1554</v>
      </c>
      <c r="Q7550" s="7"/>
    </row>
    <row r="7551">
      <c r="A7551" s="39" t="s">
        <v>28322</v>
      </c>
      <c r="B7551" s="15">
        <v>1673872.0</v>
      </c>
      <c r="D7551" s="15">
        <v>0.0</v>
      </c>
      <c r="E7551" s="15" t="s">
        <v>1557</v>
      </c>
      <c r="F7551" s="15" t="s">
        <v>1767</v>
      </c>
      <c r="G7551" s="7">
        <v>157.147</v>
      </c>
      <c r="H7551" s="15" t="s">
        <v>2320</v>
      </c>
      <c r="I7551" s="15" t="s">
        <v>1586</v>
      </c>
      <c r="J7551" s="15" t="s">
        <v>28323</v>
      </c>
      <c r="K7551" s="15">
        <v>218.0</v>
      </c>
      <c r="L7551" s="15">
        <v>218.0</v>
      </c>
      <c r="M7551" s="40">
        <v>42916.0</v>
      </c>
      <c r="N7551" s="40">
        <v>42916.0</v>
      </c>
      <c r="O7551" s="15" t="s">
        <v>1554</v>
      </c>
      <c r="Q7551" s="7"/>
    </row>
    <row r="7552">
      <c r="A7552" s="39" t="s">
        <v>28324</v>
      </c>
      <c r="B7552" s="15">
        <v>1673875.0</v>
      </c>
      <c r="D7552" s="15">
        <v>0.0</v>
      </c>
      <c r="E7552" s="15" t="s">
        <v>1557</v>
      </c>
      <c r="F7552" s="15" t="s">
        <v>1833</v>
      </c>
      <c r="G7552" s="7">
        <v>74.655</v>
      </c>
      <c r="H7552" s="15">
        <v>63.0</v>
      </c>
      <c r="I7552" s="15" t="s">
        <v>1586</v>
      </c>
      <c r="J7552" s="15" t="s">
        <v>28326</v>
      </c>
      <c r="K7552" s="15">
        <v>145.0</v>
      </c>
      <c r="L7552" s="15">
        <v>143.0</v>
      </c>
      <c r="M7552" s="40">
        <v>42225.0</v>
      </c>
      <c r="N7552" s="40">
        <v>42225.0</v>
      </c>
      <c r="O7552" s="15" t="s">
        <v>1554</v>
      </c>
      <c r="Q7552" s="7"/>
    </row>
    <row r="7553">
      <c r="A7553" s="39" t="s">
        <v>28327</v>
      </c>
      <c r="B7553" s="15">
        <v>1673892.0</v>
      </c>
      <c r="D7553" s="15">
        <v>0.0</v>
      </c>
      <c r="E7553" s="15" t="s">
        <v>1557</v>
      </c>
      <c r="F7553" s="15" t="s">
        <v>1767</v>
      </c>
      <c r="G7553" s="7">
        <v>50.364</v>
      </c>
      <c r="H7553" s="15" t="s">
        <v>3653</v>
      </c>
      <c r="I7553" s="15" t="s">
        <v>1586</v>
      </c>
      <c r="J7553" s="15" t="s">
        <v>28328</v>
      </c>
      <c r="K7553" s="15" t="s">
        <v>1722</v>
      </c>
      <c r="L7553" s="15">
        <v>76.0</v>
      </c>
      <c r="M7553" s="40">
        <v>42225.0</v>
      </c>
      <c r="N7553" s="40">
        <v>42479.0</v>
      </c>
      <c r="O7553" s="15" t="s">
        <v>1554</v>
      </c>
      <c r="Q7553" s="7"/>
    </row>
    <row r="7554">
      <c r="A7554" s="39" t="s">
        <v>28329</v>
      </c>
      <c r="B7554" s="15">
        <v>1675014.0</v>
      </c>
      <c r="D7554" s="15">
        <v>0.0</v>
      </c>
      <c r="E7554" s="15" t="s">
        <v>1557</v>
      </c>
      <c r="F7554" s="15" t="s">
        <v>1767</v>
      </c>
      <c r="G7554" s="7">
        <v>66.158</v>
      </c>
      <c r="H7554" s="15" t="s">
        <v>4563</v>
      </c>
      <c r="I7554" s="15" t="s">
        <v>1586</v>
      </c>
      <c r="J7554" s="15" t="s">
        <v>28330</v>
      </c>
      <c r="K7554" s="15">
        <v>92.0</v>
      </c>
      <c r="L7554" s="15">
        <v>92.0</v>
      </c>
      <c r="M7554" s="40">
        <v>42198.0</v>
      </c>
      <c r="N7554" s="40">
        <v>42278.0</v>
      </c>
      <c r="O7554" s="15" t="s">
        <v>1554</v>
      </c>
      <c r="Q7554" s="7"/>
    </row>
    <row r="7555">
      <c r="A7555" s="39" t="s">
        <v>28331</v>
      </c>
      <c r="B7555" s="15">
        <v>1675028.0</v>
      </c>
      <c r="D7555" s="15">
        <v>0.0</v>
      </c>
      <c r="E7555" s="15" t="s">
        <v>1557</v>
      </c>
      <c r="F7555" s="15" t="s">
        <v>1833</v>
      </c>
      <c r="G7555" s="7">
        <v>80.647</v>
      </c>
      <c r="H7555" s="15">
        <v>34.0</v>
      </c>
      <c r="I7555" s="15" t="s">
        <v>1586</v>
      </c>
      <c r="J7555" s="15" t="s">
        <v>28332</v>
      </c>
      <c r="K7555" s="15">
        <v>125.0</v>
      </c>
      <c r="L7555" s="15">
        <v>123.0</v>
      </c>
      <c r="M7555" s="41">
        <v>42655.0</v>
      </c>
      <c r="N7555" s="41">
        <v>42655.0</v>
      </c>
      <c r="O7555" s="15" t="s">
        <v>1554</v>
      </c>
      <c r="Q7555" s="7"/>
    </row>
    <row r="7556">
      <c r="A7556" s="39" t="s">
        <v>28333</v>
      </c>
      <c r="B7556" s="15">
        <v>1675029.0</v>
      </c>
      <c r="D7556" s="15">
        <v>0.0</v>
      </c>
      <c r="E7556" s="15" t="s">
        <v>1557</v>
      </c>
      <c r="F7556" s="15" t="s">
        <v>1833</v>
      </c>
      <c r="G7556" s="7">
        <v>168.689</v>
      </c>
      <c r="H7556" s="15" t="s">
        <v>10067</v>
      </c>
      <c r="I7556" s="15" t="s">
        <v>1586</v>
      </c>
      <c r="J7556" s="15" t="s">
        <v>28335</v>
      </c>
      <c r="K7556" s="15">
        <v>252.0</v>
      </c>
      <c r="L7556" s="15">
        <v>251.0</v>
      </c>
      <c r="M7556" s="40">
        <v>42916.0</v>
      </c>
      <c r="N7556" s="40">
        <v>42916.0</v>
      </c>
      <c r="O7556" s="15" t="s">
        <v>1554</v>
      </c>
      <c r="Q7556" s="7"/>
    </row>
    <row r="7557">
      <c r="A7557" s="39" t="s">
        <v>28336</v>
      </c>
      <c r="B7557" s="15">
        <v>1675030.0</v>
      </c>
      <c r="D7557" s="15">
        <v>0.0</v>
      </c>
      <c r="E7557" s="15" t="s">
        <v>4407</v>
      </c>
      <c r="F7557" s="15" t="s">
        <v>1578</v>
      </c>
      <c r="G7557" s="7">
        <v>56.332</v>
      </c>
      <c r="H7557" s="15" t="s">
        <v>2640</v>
      </c>
      <c r="I7557" s="15" t="s">
        <v>1586</v>
      </c>
      <c r="J7557" s="15" t="s">
        <v>28337</v>
      </c>
      <c r="K7557" s="15">
        <v>93.0</v>
      </c>
      <c r="L7557" s="15">
        <v>93.0</v>
      </c>
      <c r="M7557" s="40">
        <v>42916.0</v>
      </c>
      <c r="N7557" s="40">
        <v>42916.0</v>
      </c>
      <c r="O7557" s="15" t="s">
        <v>1554</v>
      </c>
      <c r="Q7557" s="7"/>
    </row>
    <row r="7558">
      <c r="A7558" s="39" t="s">
        <v>28338</v>
      </c>
      <c r="B7558" s="15">
        <v>1675599.0</v>
      </c>
      <c r="D7558" s="15">
        <v>0.0</v>
      </c>
      <c r="E7558" s="15" t="s">
        <v>1557</v>
      </c>
      <c r="F7558" s="15" t="s">
        <v>1833</v>
      </c>
      <c r="G7558" s="7">
        <v>40.001</v>
      </c>
      <c r="H7558" s="15" t="s">
        <v>2824</v>
      </c>
      <c r="I7558" s="15" t="s">
        <v>1586</v>
      </c>
      <c r="J7558" s="15" t="s">
        <v>28339</v>
      </c>
      <c r="K7558" s="15">
        <v>66.0</v>
      </c>
      <c r="L7558" s="15">
        <v>66.0</v>
      </c>
      <c r="M7558" s="40">
        <v>42225.0</v>
      </c>
      <c r="N7558" s="41">
        <v>42290.0</v>
      </c>
      <c r="O7558" s="15" t="s">
        <v>1554</v>
      </c>
      <c r="Q7558" s="7"/>
    </row>
    <row r="7559">
      <c r="A7559" s="39" t="s">
        <v>28341</v>
      </c>
      <c r="B7559" s="15">
        <v>1675600.0</v>
      </c>
      <c r="D7559" s="15">
        <v>0.0</v>
      </c>
      <c r="E7559" s="15" t="s">
        <v>1557</v>
      </c>
      <c r="F7559" s="15" t="s">
        <v>1833</v>
      </c>
      <c r="G7559" s="7">
        <v>80.297</v>
      </c>
      <c r="H7559" s="15" t="s">
        <v>13200</v>
      </c>
      <c r="I7559" s="15" t="s">
        <v>1586</v>
      </c>
      <c r="J7559" s="15" t="s">
        <v>28342</v>
      </c>
      <c r="K7559" s="15">
        <v>122.0</v>
      </c>
      <c r="L7559" s="15">
        <v>122.0</v>
      </c>
      <c r="M7559" s="40">
        <v>42225.0</v>
      </c>
      <c r="N7559" s="41">
        <v>42290.0</v>
      </c>
      <c r="O7559" s="15" t="s">
        <v>1554</v>
      </c>
      <c r="Q7559" s="7"/>
    </row>
    <row r="7560">
      <c r="A7560" s="39" t="s">
        <v>28343</v>
      </c>
      <c r="B7560" s="15">
        <v>1675601.0</v>
      </c>
      <c r="D7560" s="15">
        <v>0.0</v>
      </c>
      <c r="E7560" s="15" t="s">
        <v>1557</v>
      </c>
      <c r="F7560" s="15" t="s">
        <v>1833</v>
      </c>
      <c r="G7560" s="7">
        <v>85.138</v>
      </c>
      <c r="H7560" s="15" t="s">
        <v>4108</v>
      </c>
      <c r="I7560" s="15" t="s">
        <v>1586</v>
      </c>
      <c r="J7560" s="15" t="s">
        <v>28344</v>
      </c>
      <c r="K7560" s="15">
        <v>120.0</v>
      </c>
      <c r="L7560" s="15">
        <v>120.0</v>
      </c>
      <c r="M7560" s="40">
        <v>42225.0</v>
      </c>
      <c r="N7560" s="41">
        <v>42290.0</v>
      </c>
      <c r="O7560" s="15" t="s">
        <v>1554</v>
      </c>
      <c r="Q7560" s="7"/>
    </row>
    <row r="7561">
      <c r="A7561" s="39" t="s">
        <v>28346</v>
      </c>
      <c r="B7561" s="15">
        <v>1675606.0</v>
      </c>
      <c r="D7561" s="15">
        <v>0.0</v>
      </c>
      <c r="E7561" s="15" t="s">
        <v>1557</v>
      </c>
      <c r="F7561" s="15" t="s">
        <v>1767</v>
      </c>
      <c r="G7561" s="7">
        <v>135.391</v>
      </c>
      <c r="H7561" s="15" t="s">
        <v>3653</v>
      </c>
      <c r="I7561" s="15" t="s">
        <v>1586</v>
      </c>
      <c r="J7561" s="15" t="s">
        <v>28347</v>
      </c>
      <c r="K7561" s="15">
        <v>219.0</v>
      </c>
      <c r="L7561" s="15">
        <v>212.0</v>
      </c>
      <c r="M7561" s="40">
        <v>42225.0</v>
      </c>
      <c r="N7561" s="41">
        <v>42290.0</v>
      </c>
      <c r="O7561" s="15" t="s">
        <v>1554</v>
      </c>
      <c r="Q7561" s="7"/>
    </row>
    <row r="7562">
      <c r="A7562" s="39" t="s">
        <v>28348</v>
      </c>
      <c r="B7562" s="15">
        <v>1685500.0</v>
      </c>
      <c r="D7562" s="15">
        <v>0.0</v>
      </c>
      <c r="E7562" s="15" t="s">
        <v>1557</v>
      </c>
      <c r="F7562" s="15" t="s">
        <v>1611</v>
      </c>
      <c r="G7562" s="7">
        <v>44.539</v>
      </c>
      <c r="H7562" s="15" t="s">
        <v>2324</v>
      </c>
      <c r="I7562" s="15" t="s">
        <v>1586</v>
      </c>
      <c r="J7562" s="15" t="s">
        <v>28349</v>
      </c>
      <c r="K7562" s="15">
        <v>9.0</v>
      </c>
      <c r="L7562" s="15">
        <v>55.0</v>
      </c>
      <c r="M7562" s="40">
        <v>42285.0</v>
      </c>
      <c r="N7562" s="40">
        <v>42431.0</v>
      </c>
      <c r="O7562" s="15" t="s">
        <v>1554</v>
      </c>
      <c r="Q7562" s="7"/>
    </row>
    <row r="7563">
      <c r="A7563" s="39" t="s">
        <v>28350</v>
      </c>
      <c r="B7563" s="15">
        <v>1685501.0</v>
      </c>
      <c r="D7563" s="15">
        <v>0.0</v>
      </c>
      <c r="E7563" s="15" t="s">
        <v>1808</v>
      </c>
      <c r="F7563" s="15" t="s">
        <v>2969</v>
      </c>
      <c r="G7563" s="7">
        <v>7.273</v>
      </c>
      <c r="H7563" s="15" t="s">
        <v>2098</v>
      </c>
      <c r="I7563" s="15" t="s">
        <v>1586</v>
      </c>
      <c r="J7563" s="15" t="s">
        <v>28351</v>
      </c>
      <c r="K7563" s="15">
        <v>1.0</v>
      </c>
      <c r="L7563" s="15">
        <v>12.0</v>
      </c>
      <c r="M7563" s="40">
        <v>42208.0</v>
      </c>
      <c r="N7563" s="40">
        <v>42208.0</v>
      </c>
      <c r="O7563" s="15" t="s">
        <v>1554</v>
      </c>
      <c r="Q7563" s="7"/>
    </row>
    <row r="7564">
      <c r="A7564" s="39" t="s">
        <v>28352</v>
      </c>
      <c r="B7564" s="15">
        <v>1689660.0</v>
      </c>
      <c r="D7564" s="15">
        <v>0.0</v>
      </c>
      <c r="E7564" s="15" t="s">
        <v>1557</v>
      </c>
      <c r="F7564" s="15" t="s">
        <v>1833</v>
      </c>
      <c r="G7564" s="7">
        <v>80.578</v>
      </c>
      <c r="H7564" s="15" t="s">
        <v>2223</v>
      </c>
      <c r="I7564" s="15" t="s">
        <v>1586</v>
      </c>
      <c r="J7564" s="15" t="s">
        <v>28353</v>
      </c>
      <c r="K7564" s="15">
        <v>103.0</v>
      </c>
      <c r="L7564" s="15">
        <v>93.0</v>
      </c>
      <c r="M7564" s="41">
        <v>42303.0</v>
      </c>
      <c r="N7564" s="40">
        <v>42391.0</v>
      </c>
      <c r="O7564" s="15" t="s">
        <v>1554</v>
      </c>
      <c r="Q7564" s="7"/>
    </row>
    <row r="7565">
      <c r="A7565" s="39" t="s">
        <v>28355</v>
      </c>
      <c r="B7565" s="15">
        <v>1691956.0</v>
      </c>
      <c r="D7565" s="15">
        <v>0.0</v>
      </c>
      <c r="E7565" s="15" t="s">
        <v>1557</v>
      </c>
      <c r="F7565" s="15" t="s">
        <v>1833</v>
      </c>
      <c r="G7565" s="7">
        <v>130.482</v>
      </c>
      <c r="H7565" s="15" t="s">
        <v>2005</v>
      </c>
      <c r="I7565" s="15" t="s">
        <v>1586</v>
      </c>
      <c r="J7565" s="15" t="s">
        <v>28356</v>
      </c>
      <c r="K7565" s="15">
        <v>189.0</v>
      </c>
      <c r="L7565" s="15">
        <v>183.0</v>
      </c>
      <c r="M7565" s="40">
        <v>42239.0</v>
      </c>
      <c r="N7565" s="40">
        <v>42313.0</v>
      </c>
      <c r="O7565" s="15" t="s">
        <v>1554</v>
      </c>
      <c r="Q7565" s="7"/>
    </row>
    <row r="7566">
      <c r="A7566" s="39" t="s">
        <v>28357</v>
      </c>
      <c r="B7566" s="15">
        <v>1691957.0</v>
      </c>
      <c r="D7566" s="15">
        <v>0.0</v>
      </c>
      <c r="E7566" s="15" t="s">
        <v>1557</v>
      </c>
      <c r="F7566" s="15" t="s">
        <v>1767</v>
      </c>
      <c r="G7566" s="7">
        <v>52.992</v>
      </c>
      <c r="H7566" s="15" t="s">
        <v>2668</v>
      </c>
      <c r="I7566" s="15" t="s">
        <v>1586</v>
      </c>
      <c r="J7566" s="15" t="s">
        <v>28358</v>
      </c>
      <c r="K7566" s="15">
        <v>103.0</v>
      </c>
      <c r="L7566" s="15">
        <v>103.0</v>
      </c>
      <c r="M7566" s="40">
        <v>42245.0</v>
      </c>
      <c r="N7566" s="40">
        <v>42313.0</v>
      </c>
      <c r="O7566" s="15" t="s">
        <v>1554</v>
      </c>
      <c r="Q7566" s="7"/>
    </row>
    <row r="7567">
      <c r="A7567" s="39" t="s">
        <v>28359</v>
      </c>
      <c r="B7567" s="15">
        <v>1698419.0</v>
      </c>
      <c r="D7567" s="15">
        <v>0.0</v>
      </c>
      <c r="E7567" s="15" t="s">
        <v>1557</v>
      </c>
      <c r="F7567" s="15" t="s">
        <v>1833</v>
      </c>
      <c r="G7567" s="7">
        <v>50.081</v>
      </c>
      <c r="H7567" s="15">
        <v>64.0</v>
      </c>
      <c r="I7567" s="15" t="s">
        <v>1586</v>
      </c>
      <c r="J7567" s="15" t="s">
        <v>28361</v>
      </c>
      <c r="K7567" s="15">
        <v>88.0</v>
      </c>
      <c r="L7567" s="15">
        <v>86.0</v>
      </c>
      <c r="M7567" s="40">
        <v>42240.0</v>
      </c>
      <c r="N7567" s="40">
        <v>42240.0</v>
      </c>
      <c r="O7567" s="15" t="s">
        <v>1554</v>
      </c>
      <c r="Q7567" s="7"/>
    </row>
    <row r="7568">
      <c r="A7568" s="39" t="s">
        <v>28362</v>
      </c>
      <c r="B7568" s="15">
        <v>1698523.0</v>
      </c>
      <c r="D7568" s="15">
        <v>0.0</v>
      </c>
      <c r="E7568" s="15" t="s">
        <v>1557</v>
      </c>
      <c r="F7568" s="15" t="s">
        <v>1833</v>
      </c>
      <c r="G7568" s="7">
        <v>39.591</v>
      </c>
      <c r="H7568" s="15" t="s">
        <v>8941</v>
      </c>
      <c r="I7568" s="15" t="s">
        <v>1586</v>
      </c>
      <c r="J7568" s="15" t="s">
        <v>28363</v>
      </c>
      <c r="K7568" s="15">
        <v>52.0</v>
      </c>
      <c r="L7568" s="15">
        <v>52.0</v>
      </c>
      <c r="M7568" s="40">
        <v>42592.0</v>
      </c>
      <c r="N7568" s="40">
        <v>42592.0</v>
      </c>
      <c r="O7568" s="15" t="s">
        <v>1554</v>
      </c>
      <c r="Q7568" s="7"/>
    </row>
    <row r="7569">
      <c r="A7569" s="39" t="s">
        <v>28364</v>
      </c>
      <c r="B7569" s="15">
        <v>1698708.0</v>
      </c>
      <c r="D7569" s="15">
        <v>0.0</v>
      </c>
      <c r="E7569" s="15" t="s">
        <v>1557</v>
      </c>
      <c r="F7569" s="15" t="s">
        <v>1611</v>
      </c>
      <c r="G7569" s="7">
        <v>43.872</v>
      </c>
      <c r="H7569" s="15" t="s">
        <v>4215</v>
      </c>
      <c r="I7569" s="15" t="s">
        <v>1586</v>
      </c>
      <c r="J7569" s="15" t="s">
        <v>28365</v>
      </c>
      <c r="K7569" s="15">
        <v>51.0</v>
      </c>
      <c r="L7569" s="15">
        <v>51.0</v>
      </c>
      <c r="M7569" s="40">
        <v>42947.0</v>
      </c>
      <c r="N7569" s="40">
        <v>42947.0</v>
      </c>
      <c r="O7569" s="15" t="s">
        <v>1554</v>
      </c>
      <c r="Q7569" s="7"/>
    </row>
    <row r="7570">
      <c r="A7570" s="39" t="s">
        <v>28367</v>
      </c>
      <c r="B7570" s="15">
        <v>1701259.0</v>
      </c>
      <c r="D7570" s="15">
        <v>0.0</v>
      </c>
      <c r="E7570" s="15" t="s">
        <v>4407</v>
      </c>
      <c r="F7570" s="15" t="s">
        <v>1578</v>
      </c>
      <c r="G7570" s="7">
        <v>53.802</v>
      </c>
      <c r="H7570" s="15" t="s">
        <v>3000</v>
      </c>
      <c r="I7570" s="15" t="s">
        <v>1586</v>
      </c>
      <c r="J7570" s="15" t="s">
        <v>28368</v>
      </c>
      <c r="K7570" s="15">
        <v>62.0</v>
      </c>
      <c r="L7570" s="15">
        <v>62.0</v>
      </c>
      <c r="M7570" s="40">
        <v>42582.0</v>
      </c>
      <c r="N7570" s="40">
        <v>42582.0</v>
      </c>
      <c r="O7570" s="15" t="s">
        <v>1554</v>
      </c>
      <c r="Q7570" s="7"/>
    </row>
    <row r="7571">
      <c r="A7571" s="39" t="s">
        <v>28369</v>
      </c>
      <c r="B7571" s="15">
        <v>1701260.0</v>
      </c>
      <c r="D7571" s="15">
        <v>0.0</v>
      </c>
      <c r="E7571" s="15" t="s">
        <v>4407</v>
      </c>
      <c r="F7571" s="15" t="s">
        <v>1578</v>
      </c>
      <c r="G7571" s="7">
        <v>57.638</v>
      </c>
      <c r="H7571" s="15" t="s">
        <v>1602</v>
      </c>
      <c r="I7571" s="15" t="s">
        <v>1586</v>
      </c>
      <c r="J7571" s="15" t="s">
        <v>28371</v>
      </c>
      <c r="K7571" s="15">
        <v>66.0</v>
      </c>
      <c r="L7571" s="15">
        <v>66.0</v>
      </c>
      <c r="M7571" s="40">
        <v>42582.0</v>
      </c>
      <c r="N7571" s="40">
        <v>42582.0</v>
      </c>
      <c r="O7571" s="15" t="s">
        <v>1554</v>
      </c>
      <c r="Q7571" s="7"/>
    </row>
    <row r="7572">
      <c r="A7572" s="39" t="s">
        <v>28372</v>
      </c>
      <c r="B7572" s="15">
        <v>1701799.0</v>
      </c>
      <c r="D7572" s="15">
        <v>0.0</v>
      </c>
      <c r="E7572" s="15" t="s">
        <v>1557</v>
      </c>
      <c r="F7572" s="15" t="s">
        <v>1833</v>
      </c>
      <c r="G7572" s="7">
        <v>51.372</v>
      </c>
      <c r="H7572" s="15" t="s">
        <v>3286</v>
      </c>
      <c r="I7572" s="15" t="s">
        <v>1586</v>
      </c>
      <c r="J7572" s="15" t="s">
        <v>28373</v>
      </c>
      <c r="K7572" s="15">
        <v>91.0</v>
      </c>
      <c r="L7572" s="15">
        <v>91.0</v>
      </c>
      <c r="M7572" s="40">
        <v>42270.0</v>
      </c>
      <c r="N7572" s="40">
        <v>42270.0</v>
      </c>
      <c r="O7572" s="15" t="s">
        <v>1554</v>
      </c>
      <c r="Q7572" s="7"/>
    </row>
    <row r="7573">
      <c r="A7573" s="39" t="s">
        <v>28374</v>
      </c>
      <c r="B7573" s="15">
        <v>1701801.0</v>
      </c>
      <c r="D7573" s="15">
        <v>0.0</v>
      </c>
      <c r="E7573" s="15" t="s">
        <v>1557</v>
      </c>
      <c r="F7573" s="15" t="s">
        <v>1833</v>
      </c>
      <c r="G7573" s="7">
        <v>41.893</v>
      </c>
      <c r="H7573" s="15" t="s">
        <v>6615</v>
      </c>
      <c r="I7573" s="15" t="s">
        <v>1586</v>
      </c>
      <c r="J7573" s="15" t="s">
        <v>28375</v>
      </c>
      <c r="K7573" s="15">
        <v>62.0</v>
      </c>
      <c r="L7573" s="15">
        <v>62.0</v>
      </c>
      <c r="M7573" s="40">
        <v>42270.0</v>
      </c>
      <c r="N7573" s="40">
        <v>42270.0</v>
      </c>
      <c r="O7573" s="15" t="s">
        <v>1554</v>
      </c>
      <c r="Q7573" s="7"/>
    </row>
    <row r="7574">
      <c r="A7574" s="39" t="s">
        <v>28377</v>
      </c>
      <c r="B7574" s="15">
        <v>1701806.0</v>
      </c>
      <c r="D7574" s="15">
        <v>0.0</v>
      </c>
      <c r="E7574" s="15" t="s">
        <v>1557</v>
      </c>
      <c r="F7574" s="15" t="s">
        <v>1611</v>
      </c>
      <c r="G7574" s="7">
        <v>48.493</v>
      </c>
      <c r="H7574" s="15" t="s">
        <v>4614</v>
      </c>
      <c r="I7574" s="15" t="s">
        <v>1586</v>
      </c>
      <c r="J7574" s="15" t="s">
        <v>28378</v>
      </c>
      <c r="K7574" s="15" t="s">
        <v>1722</v>
      </c>
      <c r="L7574" s="15">
        <v>59.0</v>
      </c>
      <c r="M7574" s="41">
        <v>42302.0</v>
      </c>
      <c r="N7574" s="41">
        <v>42302.0</v>
      </c>
      <c r="O7574" s="15" t="s">
        <v>1554</v>
      </c>
      <c r="Q7574" s="7"/>
    </row>
    <row r="7575">
      <c r="A7575" s="39" t="s">
        <v>28379</v>
      </c>
      <c r="B7575" s="15">
        <v>1701848.0</v>
      </c>
      <c r="D7575" s="15">
        <v>0.0</v>
      </c>
      <c r="E7575" s="15" t="s">
        <v>1557</v>
      </c>
      <c r="F7575" s="15" t="s">
        <v>1833</v>
      </c>
      <c r="G7575" s="7">
        <v>34.979</v>
      </c>
      <c r="H7575" s="15" t="s">
        <v>4287</v>
      </c>
      <c r="I7575" s="15" t="s">
        <v>1586</v>
      </c>
      <c r="J7575" s="15" t="s">
        <v>28380</v>
      </c>
      <c r="K7575" s="15">
        <v>47.0</v>
      </c>
      <c r="L7575" s="15">
        <v>47.0</v>
      </c>
      <c r="M7575" s="40">
        <v>42613.0</v>
      </c>
      <c r="N7575" s="40">
        <v>42650.0</v>
      </c>
      <c r="O7575" s="15" t="s">
        <v>1554</v>
      </c>
      <c r="Q7575" s="7"/>
    </row>
    <row r="7576">
      <c r="A7576" s="39" t="s">
        <v>28381</v>
      </c>
      <c r="B7576" s="15">
        <v>1718279.0</v>
      </c>
      <c r="D7576" s="15">
        <v>0.0</v>
      </c>
      <c r="E7576" s="15" t="s">
        <v>1557</v>
      </c>
      <c r="F7576" s="15" t="s">
        <v>1833</v>
      </c>
      <c r="G7576" s="7">
        <v>36.733</v>
      </c>
      <c r="H7576" s="15" t="s">
        <v>6565</v>
      </c>
      <c r="I7576" s="15" t="s">
        <v>1586</v>
      </c>
      <c r="J7576" s="15" t="s">
        <v>28383</v>
      </c>
      <c r="K7576" s="15">
        <v>46.0</v>
      </c>
      <c r="L7576" s="15">
        <v>46.0</v>
      </c>
      <c r="M7576" s="40">
        <v>42807.0</v>
      </c>
      <c r="N7576" s="40">
        <v>42807.0</v>
      </c>
      <c r="O7576" s="15" t="s">
        <v>1554</v>
      </c>
      <c r="Q7576" s="7"/>
    </row>
    <row r="7577">
      <c r="A7577" s="39" t="s">
        <v>28384</v>
      </c>
      <c r="B7577" s="15">
        <v>1718280.0</v>
      </c>
      <c r="D7577" s="15">
        <v>0.0</v>
      </c>
      <c r="E7577" s="15" t="s">
        <v>1557</v>
      </c>
      <c r="F7577" s="15" t="s">
        <v>1833</v>
      </c>
      <c r="G7577" s="7">
        <v>34.239</v>
      </c>
      <c r="H7577" s="15" t="s">
        <v>5806</v>
      </c>
      <c r="I7577" s="15" t="s">
        <v>1586</v>
      </c>
      <c r="J7577" s="15" t="s">
        <v>28385</v>
      </c>
      <c r="K7577" s="15">
        <v>41.0</v>
      </c>
      <c r="L7577" s="15">
        <v>41.0</v>
      </c>
      <c r="M7577" s="40">
        <v>42807.0</v>
      </c>
      <c r="N7577" s="40">
        <v>42807.0</v>
      </c>
      <c r="O7577" s="15" t="s">
        <v>1554</v>
      </c>
      <c r="Q7577" s="7"/>
    </row>
    <row r="7578">
      <c r="A7578" s="39" t="s">
        <v>28386</v>
      </c>
      <c r="B7578" s="15">
        <v>1718281.0</v>
      </c>
      <c r="D7578" s="15">
        <v>0.0</v>
      </c>
      <c r="E7578" s="15" t="s">
        <v>1557</v>
      </c>
      <c r="F7578" s="15" t="s">
        <v>1833</v>
      </c>
      <c r="G7578" s="7">
        <v>34.593</v>
      </c>
      <c r="H7578" s="15">
        <v>39.0</v>
      </c>
      <c r="I7578" s="15" t="s">
        <v>1586</v>
      </c>
      <c r="J7578" s="15" t="s">
        <v>28387</v>
      </c>
      <c r="K7578" s="15">
        <v>40.0</v>
      </c>
      <c r="L7578" s="15">
        <v>40.0</v>
      </c>
      <c r="M7578" s="40">
        <v>42807.0</v>
      </c>
      <c r="N7578" s="40">
        <v>42807.0</v>
      </c>
      <c r="O7578" s="15" t="s">
        <v>1554</v>
      </c>
      <c r="Q7578" s="7"/>
    </row>
    <row r="7579">
      <c r="A7579" s="39" t="s">
        <v>28389</v>
      </c>
      <c r="B7579" s="15">
        <v>1718594.0</v>
      </c>
      <c r="D7579" s="15">
        <v>0.0</v>
      </c>
      <c r="E7579" s="15" t="s">
        <v>4407</v>
      </c>
      <c r="F7579" s="15" t="s">
        <v>1578</v>
      </c>
      <c r="G7579" s="7">
        <v>55.349</v>
      </c>
      <c r="H7579" s="15" t="s">
        <v>9707</v>
      </c>
      <c r="I7579" s="15" t="s">
        <v>1586</v>
      </c>
      <c r="J7579" s="15" t="s">
        <v>28390</v>
      </c>
      <c r="K7579" s="15">
        <v>81.0</v>
      </c>
      <c r="L7579" s="15">
        <v>81.0</v>
      </c>
      <c r="M7579" s="41">
        <v>42288.0</v>
      </c>
      <c r="N7579" s="40">
        <v>42542.0</v>
      </c>
      <c r="O7579" s="15" t="s">
        <v>1554</v>
      </c>
      <c r="Q7579" s="7"/>
    </row>
    <row r="7580">
      <c r="A7580" s="39" t="s">
        <v>28391</v>
      </c>
      <c r="B7580" s="15">
        <v>1718840.0</v>
      </c>
      <c r="D7580" s="15">
        <v>0.0</v>
      </c>
      <c r="E7580" s="15" t="s">
        <v>4407</v>
      </c>
      <c r="F7580" s="15" t="s">
        <v>1578</v>
      </c>
      <c r="G7580" s="7">
        <v>41.496</v>
      </c>
      <c r="H7580" s="15" t="s">
        <v>6418</v>
      </c>
      <c r="I7580" s="15" t="s">
        <v>1586</v>
      </c>
      <c r="J7580" s="15" t="s">
        <v>28392</v>
      </c>
      <c r="K7580" s="15" t="s">
        <v>1722</v>
      </c>
      <c r="L7580" s="15">
        <v>63.0</v>
      </c>
      <c r="M7580" s="41">
        <v>42302.0</v>
      </c>
      <c r="N7580" s="41">
        <v>42302.0</v>
      </c>
      <c r="O7580" s="15" t="s">
        <v>1554</v>
      </c>
      <c r="Q7580" s="7"/>
    </row>
    <row r="7581">
      <c r="A7581" s="39" t="s">
        <v>28394</v>
      </c>
      <c r="B7581" s="15">
        <v>1718841.0</v>
      </c>
      <c r="D7581" s="15">
        <v>0.0</v>
      </c>
      <c r="E7581" s="15" t="s">
        <v>4407</v>
      </c>
      <c r="F7581" s="15" t="s">
        <v>1578</v>
      </c>
      <c r="G7581" s="7">
        <v>61.304</v>
      </c>
      <c r="H7581" s="15" t="s">
        <v>2304</v>
      </c>
      <c r="I7581" s="15" t="s">
        <v>1586</v>
      </c>
      <c r="J7581" s="15" t="s">
        <v>28395</v>
      </c>
      <c r="K7581" s="15">
        <v>93.0</v>
      </c>
      <c r="L7581" s="15">
        <v>93.0</v>
      </c>
      <c r="M7581" s="41">
        <v>42302.0</v>
      </c>
      <c r="N7581" s="40">
        <v>42929.0</v>
      </c>
      <c r="O7581" s="15" t="s">
        <v>1554</v>
      </c>
      <c r="Q7581" s="7"/>
    </row>
    <row r="7582">
      <c r="A7582" s="39" t="s">
        <v>28396</v>
      </c>
      <c r="B7582" s="15">
        <v>1735561.0</v>
      </c>
      <c r="D7582" s="15">
        <v>0.0</v>
      </c>
      <c r="E7582" s="15" t="s">
        <v>1557</v>
      </c>
      <c r="F7582" s="15" t="s">
        <v>1833</v>
      </c>
      <c r="G7582" s="7">
        <v>35.838</v>
      </c>
      <c r="H7582" s="15" t="s">
        <v>7887</v>
      </c>
      <c r="I7582" s="15" t="s">
        <v>1586</v>
      </c>
      <c r="J7582" s="15" t="s">
        <v>28397</v>
      </c>
      <c r="K7582" s="15">
        <v>58.0</v>
      </c>
      <c r="L7582" s="15">
        <v>58.0</v>
      </c>
      <c r="M7582" s="40">
        <v>42643.0</v>
      </c>
      <c r="N7582" s="40">
        <v>42643.0</v>
      </c>
      <c r="O7582" s="15" t="s">
        <v>1554</v>
      </c>
      <c r="Q7582" s="7"/>
    </row>
    <row r="7583">
      <c r="A7583" s="39" t="s">
        <v>28398</v>
      </c>
      <c r="B7583" s="15">
        <v>1735562.0</v>
      </c>
      <c r="D7583" s="15">
        <v>0.0</v>
      </c>
      <c r="E7583" s="15" t="s">
        <v>1557</v>
      </c>
      <c r="F7583" s="15" t="s">
        <v>1833</v>
      </c>
      <c r="G7583" s="7">
        <v>146.135</v>
      </c>
      <c r="H7583" s="15" t="s">
        <v>1966</v>
      </c>
      <c r="I7583" s="15" t="s">
        <v>1586</v>
      </c>
      <c r="J7583" s="15" t="s">
        <v>28400</v>
      </c>
      <c r="K7583" s="15">
        <v>229.0</v>
      </c>
      <c r="L7583" s="15">
        <v>229.0</v>
      </c>
      <c r="M7583" s="40">
        <v>42565.0</v>
      </c>
      <c r="N7583" s="40">
        <v>42566.0</v>
      </c>
      <c r="O7583" s="15" t="s">
        <v>1554</v>
      </c>
      <c r="Q7583" s="7"/>
    </row>
    <row r="7584">
      <c r="A7584" s="39" t="s">
        <v>28401</v>
      </c>
      <c r="B7584" s="15">
        <v>1735645.0</v>
      </c>
      <c r="D7584" s="15">
        <v>0.0</v>
      </c>
      <c r="E7584" s="15" t="s">
        <v>1557</v>
      </c>
      <c r="F7584" s="15" t="s">
        <v>1833</v>
      </c>
      <c r="G7584" s="7">
        <v>41.96</v>
      </c>
      <c r="H7584" s="15">
        <v>33.0</v>
      </c>
      <c r="I7584" s="15" t="s">
        <v>1586</v>
      </c>
      <c r="J7584" s="15" t="s">
        <v>28402</v>
      </c>
      <c r="K7584" s="15">
        <v>68.0</v>
      </c>
      <c r="L7584" s="15">
        <v>68.0</v>
      </c>
      <c r="M7584" s="40">
        <v>42879.0</v>
      </c>
      <c r="N7584" s="40">
        <v>42879.0</v>
      </c>
      <c r="O7584" s="15" t="s">
        <v>1554</v>
      </c>
      <c r="Q7584" s="7"/>
    </row>
    <row r="7585">
      <c r="A7585" s="39" t="s">
        <v>28403</v>
      </c>
      <c r="B7585" s="15">
        <v>1735646.0</v>
      </c>
      <c r="D7585" s="15">
        <v>0.0</v>
      </c>
      <c r="E7585" s="15" t="s">
        <v>1557</v>
      </c>
      <c r="F7585" s="15" t="s">
        <v>1833</v>
      </c>
      <c r="G7585" s="7">
        <v>40.448</v>
      </c>
      <c r="H7585" s="15" t="s">
        <v>4553</v>
      </c>
      <c r="I7585" s="15" t="s">
        <v>1586</v>
      </c>
      <c r="J7585" s="15" t="s">
        <v>28405</v>
      </c>
      <c r="K7585" s="15">
        <v>64.0</v>
      </c>
      <c r="L7585" s="15">
        <v>64.0</v>
      </c>
      <c r="M7585" s="40">
        <v>42879.0</v>
      </c>
      <c r="N7585" s="40">
        <v>42879.0</v>
      </c>
      <c r="O7585" s="15" t="s">
        <v>1554</v>
      </c>
      <c r="Q7585" s="7"/>
    </row>
    <row r="7586">
      <c r="A7586" s="39" t="s">
        <v>28406</v>
      </c>
      <c r="B7586" s="15">
        <v>1739968.0</v>
      </c>
      <c r="D7586" s="15">
        <v>0.0</v>
      </c>
      <c r="E7586" s="15" t="s">
        <v>1557</v>
      </c>
      <c r="F7586" s="15" t="s">
        <v>1767</v>
      </c>
      <c r="G7586" s="7">
        <v>255.569</v>
      </c>
      <c r="H7586" s="42">
        <v>43368.0</v>
      </c>
      <c r="I7586" s="15" t="s">
        <v>1586</v>
      </c>
      <c r="J7586" s="15" t="s">
        <v>28407</v>
      </c>
      <c r="K7586" s="15">
        <v>318.0</v>
      </c>
      <c r="L7586" s="15">
        <v>318.0</v>
      </c>
      <c r="M7586" s="40">
        <v>42465.0</v>
      </c>
      <c r="N7586" s="40">
        <v>42523.0</v>
      </c>
      <c r="O7586" s="15" t="s">
        <v>1554</v>
      </c>
      <c r="Q7586" s="7"/>
    </row>
    <row r="7587">
      <c r="A7587" s="39" t="s">
        <v>28408</v>
      </c>
      <c r="B7587" s="15">
        <v>1739971.0</v>
      </c>
      <c r="D7587" s="15">
        <v>0.0</v>
      </c>
      <c r="E7587" s="15" t="s">
        <v>13355</v>
      </c>
      <c r="F7587" s="15" t="s">
        <v>1578</v>
      </c>
      <c r="G7587" s="7">
        <v>28.788</v>
      </c>
      <c r="H7587" s="15" t="s">
        <v>2178</v>
      </c>
      <c r="I7587" s="15" t="s">
        <v>1722</v>
      </c>
      <c r="J7587" s="15" t="s">
        <v>28409</v>
      </c>
      <c r="K7587" s="15" t="s">
        <v>1722</v>
      </c>
      <c r="L7587" s="15">
        <v>28.0</v>
      </c>
      <c r="M7587" s="40">
        <v>42408.0</v>
      </c>
      <c r="N7587" s="40">
        <v>42408.0</v>
      </c>
      <c r="O7587" s="15" t="s">
        <v>1554</v>
      </c>
      <c r="Q7587" s="7"/>
    </row>
    <row r="7588">
      <c r="A7588" s="39" t="s">
        <v>28411</v>
      </c>
      <c r="B7588" s="15">
        <v>1740107.0</v>
      </c>
      <c r="D7588" s="15">
        <v>0.0</v>
      </c>
      <c r="E7588" s="15" t="s">
        <v>4407</v>
      </c>
      <c r="F7588" s="15" t="s">
        <v>1578</v>
      </c>
      <c r="G7588" s="7">
        <v>89.748</v>
      </c>
      <c r="H7588" s="42">
        <v>43369.0</v>
      </c>
      <c r="I7588" s="15" t="s">
        <v>1586</v>
      </c>
      <c r="J7588" s="15" t="s">
        <v>28412</v>
      </c>
      <c r="K7588" s="15" t="s">
        <v>1722</v>
      </c>
      <c r="L7588" s="15">
        <v>78.0</v>
      </c>
      <c r="M7588" s="40">
        <v>42460.0</v>
      </c>
      <c r="N7588" s="40">
        <v>42494.0</v>
      </c>
      <c r="O7588" s="15" t="s">
        <v>1554</v>
      </c>
      <c r="Q7588" s="7"/>
    </row>
    <row r="7589">
      <c r="A7589" s="39" t="s">
        <v>28413</v>
      </c>
      <c r="B7589" s="15">
        <v>1740108.0</v>
      </c>
      <c r="D7589" s="15">
        <v>0.0</v>
      </c>
      <c r="E7589" s="15" t="s">
        <v>4407</v>
      </c>
      <c r="F7589" s="15" t="s">
        <v>1578</v>
      </c>
      <c r="G7589" s="7">
        <v>88.308</v>
      </c>
      <c r="H7589" s="42">
        <v>43158.0</v>
      </c>
      <c r="I7589" s="15" t="s">
        <v>1586</v>
      </c>
      <c r="J7589" s="15" t="s">
        <v>28414</v>
      </c>
      <c r="K7589" s="15" t="s">
        <v>1722</v>
      </c>
      <c r="L7589" s="15">
        <v>75.0</v>
      </c>
      <c r="M7589" s="40">
        <v>42460.0</v>
      </c>
      <c r="N7589" s="40">
        <v>42494.0</v>
      </c>
      <c r="O7589" s="15" t="s">
        <v>1554</v>
      </c>
      <c r="Q7589" s="7"/>
    </row>
    <row r="7590">
      <c r="A7590" s="39" t="s">
        <v>28416</v>
      </c>
      <c r="B7590" s="15">
        <v>1740109.0</v>
      </c>
      <c r="D7590" s="15">
        <v>0.0</v>
      </c>
      <c r="E7590" s="15" t="s">
        <v>4407</v>
      </c>
      <c r="F7590" s="15" t="s">
        <v>1578</v>
      </c>
      <c r="G7590" s="7">
        <v>42.696</v>
      </c>
      <c r="H7590" s="15">
        <v>32.0</v>
      </c>
      <c r="I7590" s="15" t="s">
        <v>1586</v>
      </c>
      <c r="J7590" s="15" t="s">
        <v>28417</v>
      </c>
      <c r="K7590" s="15" t="s">
        <v>1722</v>
      </c>
      <c r="L7590" s="15">
        <v>58.0</v>
      </c>
      <c r="M7590" s="40">
        <v>42460.0</v>
      </c>
      <c r="N7590" s="40">
        <v>42494.0</v>
      </c>
      <c r="O7590" s="15" t="s">
        <v>1554</v>
      </c>
      <c r="Q7590" s="7"/>
    </row>
    <row r="7591">
      <c r="A7591" s="39" t="s">
        <v>28418</v>
      </c>
      <c r="B7591" s="15">
        <v>1747351.0</v>
      </c>
      <c r="D7591" s="15">
        <v>0.0</v>
      </c>
      <c r="E7591" s="15" t="s">
        <v>1557</v>
      </c>
      <c r="F7591" s="15" t="s">
        <v>1611</v>
      </c>
      <c r="G7591" s="7">
        <v>18.838</v>
      </c>
      <c r="H7591" s="15" t="s">
        <v>1696</v>
      </c>
      <c r="I7591" s="15" t="s">
        <v>1586</v>
      </c>
      <c r="J7591" s="15" t="s">
        <v>28419</v>
      </c>
      <c r="K7591" s="15" t="s">
        <v>1722</v>
      </c>
      <c r="L7591" s="15">
        <v>22.0</v>
      </c>
      <c r="M7591" s="41">
        <v>42332.0</v>
      </c>
      <c r="N7591" s="40">
        <v>42870.0</v>
      </c>
      <c r="O7591" s="15" t="s">
        <v>1554</v>
      </c>
      <c r="Q7591" s="7"/>
    </row>
    <row r="7592">
      <c r="A7592" s="39" t="s">
        <v>28421</v>
      </c>
      <c r="B7592" s="15">
        <v>1748773.0</v>
      </c>
      <c r="D7592" s="15">
        <v>0.0</v>
      </c>
      <c r="E7592" s="15" t="s">
        <v>4407</v>
      </c>
      <c r="F7592" s="15" t="s">
        <v>1578</v>
      </c>
      <c r="G7592" s="7">
        <v>47.457</v>
      </c>
      <c r="H7592" s="15" t="s">
        <v>10292</v>
      </c>
      <c r="I7592" s="15" t="s">
        <v>1586</v>
      </c>
      <c r="J7592" s="15" t="s">
        <v>28422</v>
      </c>
      <c r="K7592" s="15">
        <v>61.0</v>
      </c>
      <c r="L7592" s="15">
        <v>61.0</v>
      </c>
      <c r="M7592" s="41">
        <v>42690.0</v>
      </c>
      <c r="N7592" s="41">
        <v>42690.0</v>
      </c>
      <c r="O7592" s="15" t="s">
        <v>1554</v>
      </c>
      <c r="Q7592" s="7"/>
    </row>
    <row r="7593">
      <c r="A7593" s="39" t="s">
        <v>28423</v>
      </c>
      <c r="B7593" s="15">
        <v>1752028.0</v>
      </c>
      <c r="D7593" s="15">
        <v>0.0</v>
      </c>
      <c r="E7593" s="15" t="s">
        <v>1557</v>
      </c>
      <c r="F7593" s="15" t="s">
        <v>1767</v>
      </c>
      <c r="G7593" s="7">
        <v>66.257</v>
      </c>
      <c r="H7593" s="15" t="s">
        <v>4563</v>
      </c>
      <c r="I7593" s="15" t="s">
        <v>1586</v>
      </c>
      <c r="J7593" s="15" t="s">
        <v>28424</v>
      </c>
      <c r="K7593" s="15" t="s">
        <v>1722</v>
      </c>
      <c r="L7593" s="15">
        <v>94.0</v>
      </c>
      <c r="M7593" s="41">
        <v>42348.0</v>
      </c>
      <c r="N7593" s="40">
        <v>42502.0</v>
      </c>
      <c r="O7593" s="15" t="s">
        <v>1554</v>
      </c>
      <c r="Q7593" s="7"/>
    </row>
    <row r="7594">
      <c r="A7594" s="39" t="s">
        <v>28425</v>
      </c>
      <c r="B7594" s="15">
        <v>1754209.0</v>
      </c>
      <c r="D7594" s="15">
        <v>0.0</v>
      </c>
      <c r="E7594" s="15" t="s">
        <v>4407</v>
      </c>
      <c r="F7594" s="15" t="s">
        <v>1578</v>
      </c>
      <c r="G7594" s="7">
        <v>60.012</v>
      </c>
      <c r="H7594" s="15" t="s">
        <v>4190</v>
      </c>
      <c r="I7594" s="15" t="s">
        <v>1586</v>
      </c>
      <c r="J7594" s="15" t="s">
        <v>28426</v>
      </c>
      <c r="K7594" s="15">
        <v>70.0</v>
      </c>
      <c r="L7594" s="15">
        <v>70.0</v>
      </c>
      <c r="M7594" s="41">
        <v>42690.0</v>
      </c>
      <c r="N7594" s="41">
        <v>42690.0</v>
      </c>
      <c r="O7594" s="15" t="s">
        <v>1554</v>
      </c>
      <c r="Q7594" s="7"/>
    </row>
    <row r="7595">
      <c r="A7595" s="39" t="s">
        <v>28427</v>
      </c>
      <c r="B7595" s="15">
        <v>1754216.0</v>
      </c>
      <c r="D7595" s="15">
        <v>0.0</v>
      </c>
      <c r="E7595" s="15" t="s">
        <v>1557</v>
      </c>
      <c r="F7595" s="15" t="s">
        <v>1833</v>
      </c>
      <c r="G7595" s="7">
        <v>57.218</v>
      </c>
      <c r="H7595" s="15" t="s">
        <v>4415</v>
      </c>
      <c r="I7595" s="15" t="s">
        <v>1586</v>
      </c>
      <c r="J7595" s="15" t="s">
        <v>28429</v>
      </c>
      <c r="K7595" s="15" t="s">
        <v>1722</v>
      </c>
      <c r="L7595" s="15">
        <v>69.0</v>
      </c>
      <c r="M7595" s="40">
        <v>42388.0</v>
      </c>
      <c r="N7595" s="40">
        <v>42388.0</v>
      </c>
      <c r="O7595" s="15" t="s">
        <v>1554</v>
      </c>
      <c r="Q7595" s="7"/>
    </row>
    <row r="7596">
      <c r="A7596" s="39" t="s">
        <v>28430</v>
      </c>
      <c r="B7596" s="15">
        <v>1755693.0</v>
      </c>
      <c r="D7596" s="15">
        <v>0.0</v>
      </c>
      <c r="E7596" s="15" t="s">
        <v>1557</v>
      </c>
      <c r="F7596" s="15" t="s">
        <v>1833</v>
      </c>
      <c r="G7596" s="7">
        <v>41.619</v>
      </c>
      <c r="H7596" s="42">
        <v>43342.0</v>
      </c>
      <c r="I7596" s="15" t="s">
        <v>1586</v>
      </c>
      <c r="J7596" s="15" t="s">
        <v>28431</v>
      </c>
      <c r="K7596" s="15">
        <v>53.0</v>
      </c>
      <c r="L7596" s="15">
        <v>53.0</v>
      </c>
      <c r="M7596" s="41">
        <v>42704.0</v>
      </c>
      <c r="N7596" s="41">
        <v>42704.0</v>
      </c>
      <c r="O7596" s="15" t="s">
        <v>1554</v>
      </c>
      <c r="Q7596" s="7"/>
    </row>
    <row r="7597">
      <c r="A7597" s="39" t="s">
        <v>28432</v>
      </c>
      <c r="B7597" s="15">
        <v>1755697.0</v>
      </c>
      <c r="D7597" s="15">
        <v>0.0</v>
      </c>
      <c r="E7597" s="15" t="s">
        <v>1557</v>
      </c>
      <c r="F7597" s="15" t="s">
        <v>1767</v>
      </c>
      <c r="G7597" s="7">
        <v>79.099</v>
      </c>
      <c r="H7597" s="15" t="s">
        <v>2375</v>
      </c>
      <c r="I7597" s="15" t="s">
        <v>1586</v>
      </c>
      <c r="J7597" s="15" t="s">
        <v>28433</v>
      </c>
      <c r="K7597" s="15">
        <v>121.0</v>
      </c>
      <c r="L7597" s="15">
        <v>121.0</v>
      </c>
      <c r="M7597" s="40">
        <v>42675.0</v>
      </c>
      <c r="N7597" s="40">
        <v>42675.0</v>
      </c>
      <c r="O7597" s="15" t="s">
        <v>1554</v>
      </c>
      <c r="Q7597" s="7"/>
    </row>
    <row r="7598">
      <c r="A7598" s="39" t="s">
        <v>28435</v>
      </c>
      <c r="B7598" s="15">
        <v>1759531.0</v>
      </c>
      <c r="D7598" s="15">
        <v>0.0</v>
      </c>
      <c r="E7598" s="15" t="s">
        <v>4407</v>
      </c>
      <c r="F7598" s="15" t="s">
        <v>1578</v>
      </c>
      <c r="G7598" s="7">
        <v>52.291</v>
      </c>
      <c r="H7598" s="15" t="s">
        <v>2075</v>
      </c>
      <c r="I7598" s="15" t="s">
        <v>1586</v>
      </c>
      <c r="J7598" s="15" t="s">
        <v>28436</v>
      </c>
      <c r="K7598" s="15">
        <v>29.0</v>
      </c>
      <c r="L7598" s="15">
        <v>70.0</v>
      </c>
      <c r="M7598" s="40">
        <v>42370.0</v>
      </c>
      <c r="N7598" s="40">
        <v>42370.0</v>
      </c>
      <c r="O7598" s="15" t="s">
        <v>1554</v>
      </c>
      <c r="Q7598" s="7"/>
    </row>
    <row r="7599">
      <c r="A7599" s="39" t="s">
        <v>28437</v>
      </c>
      <c r="B7599" s="15">
        <v>1770232.0</v>
      </c>
      <c r="D7599" s="15">
        <v>0.0</v>
      </c>
      <c r="E7599" s="15" t="s">
        <v>1557</v>
      </c>
      <c r="F7599" s="15" t="s">
        <v>1611</v>
      </c>
      <c r="G7599" s="7">
        <v>41.31</v>
      </c>
      <c r="H7599" s="15" t="s">
        <v>4215</v>
      </c>
      <c r="I7599" s="15" t="s">
        <v>1586</v>
      </c>
      <c r="J7599" s="15" t="s">
        <v>28438</v>
      </c>
      <c r="K7599" s="15" t="s">
        <v>1722</v>
      </c>
      <c r="L7599" s="15">
        <v>49.0</v>
      </c>
      <c r="M7599" s="41">
        <v>42364.0</v>
      </c>
      <c r="N7599" s="41">
        <v>42364.0</v>
      </c>
      <c r="O7599" s="15" t="s">
        <v>1554</v>
      </c>
      <c r="Q7599" s="7"/>
    </row>
    <row r="7600">
      <c r="A7600" s="39" t="s">
        <v>28440</v>
      </c>
      <c r="B7600" s="15">
        <v>1772218.0</v>
      </c>
      <c r="D7600" s="15">
        <v>0.0</v>
      </c>
      <c r="E7600" s="15" t="s">
        <v>1557</v>
      </c>
      <c r="F7600" s="15" t="s">
        <v>1833</v>
      </c>
      <c r="G7600" s="7">
        <v>50.298</v>
      </c>
      <c r="H7600" s="15" t="s">
        <v>3407</v>
      </c>
      <c r="I7600" s="15" t="s">
        <v>1586</v>
      </c>
      <c r="J7600" s="15" t="s">
        <v>28441</v>
      </c>
      <c r="K7600" s="15">
        <v>81.0</v>
      </c>
      <c r="L7600" s="15">
        <v>80.0</v>
      </c>
      <c r="M7600" s="41">
        <v>42364.0</v>
      </c>
      <c r="N7600" s="40">
        <v>42494.0</v>
      </c>
      <c r="O7600" s="15" t="s">
        <v>1554</v>
      </c>
      <c r="Q7600" s="7"/>
    </row>
    <row r="7601">
      <c r="A7601" s="39" t="s">
        <v>28442</v>
      </c>
      <c r="B7601" s="15">
        <v>1772219.0</v>
      </c>
      <c r="D7601" s="15">
        <v>0.0</v>
      </c>
      <c r="E7601" s="15" t="s">
        <v>1557</v>
      </c>
      <c r="F7601" s="15" t="s">
        <v>1833</v>
      </c>
      <c r="G7601" s="7">
        <v>49.628</v>
      </c>
      <c r="H7601" s="15" t="s">
        <v>8889</v>
      </c>
      <c r="I7601" s="15" t="s">
        <v>1586</v>
      </c>
      <c r="J7601" s="15" t="s">
        <v>28443</v>
      </c>
      <c r="K7601" s="15">
        <v>78.0</v>
      </c>
      <c r="L7601" s="15">
        <v>78.0</v>
      </c>
      <c r="M7601" s="41">
        <v>42364.0</v>
      </c>
      <c r="N7601" s="40">
        <v>42494.0</v>
      </c>
      <c r="O7601" s="15" t="s">
        <v>1554</v>
      </c>
      <c r="Q7601" s="7"/>
    </row>
    <row r="7602">
      <c r="A7602" s="39" t="s">
        <v>28444</v>
      </c>
      <c r="B7602" s="15">
        <v>1772250.0</v>
      </c>
      <c r="D7602" s="15">
        <v>0.0</v>
      </c>
      <c r="E7602" s="15" t="s">
        <v>1557</v>
      </c>
      <c r="F7602" s="15" t="s">
        <v>1767</v>
      </c>
      <c r="G7602" s="7">
        <v>64.415</v>
      </c>
      <c r="H7602" s="15" t="s">
        <v>4563</v>
      </c>
      <c r="I7602" s="15" t="s">
        <v>1586</v>
      </c>
      <c r="J7602" s="15" t="s">
        <v>28445</v>
      </c>
      <c r="K7602" s="15" t="s">
        <v>1722</v>
      </c>
      <c r="L7602" s="15">
        <v>86.0</v>
      </c>
      <c r="M7602" s="41">
        <v>42361.0</v>
      </c>
      <c r="N7602" s="41">
        <v>42361.0</v>
      </c>
      <c r="O7602" s="15" t="s">
        <v>1554</v>
      </c>
      <c r="Q7602" s="7"/>
    </row>
    <row r="7603">
      <c r="A7603" s="39" t="s">
        <v>28447</v>
      </c>
      <c r="B7603" s="15">
        <v>1772251.0</v>
      </c>
      <c r="D7603" s="15">
        <v>0.0</v>
      </c>
      <c r="E7603" s="15" t="s">
        <v>1557</v>
      </c>
      <c r="F7603" s="15" t="s">
        <v>1767</v>
      </c>
      <c r="G7603" s="7">
        <v>64.415</v>
      </c>
      <c r="H7603" s="15" t="s">
        <v>4563</v>
      </c>
      <c r="I7603" s="15" t="s">
        <v>1586</v>
      </c>
      <c r="J7603" s="15" t="s">
        <v>28448</v>
      </c>
      <c r="K7603" s="15" t="s">
        <v>1722</v>
      </c>
      <c r="L7603" s="15">
        <v>86.0</v>
      </c>
      <c r="M7603" s="41">
        <v>42361.0</v>
      </c>
      <c r="N7603" s="41">
        <v>42361.0</v>
      </c>
      <c r="O7603" s="15" t="s">
        <v>1554</v>
      </c>
      <c r="Q7603" s="7"/>
    </row>
    <row r="7604">
      <c r="A7604" s="39" t="s">
        <v>28449</v>
      </c>
      <c r="B7604" s="15">
        <v>1772252.0</v>
      </c>
      <c r="D7604" s="15">
        <v>0.0</v>
      </c>
      <c r="E7604" s="15" t="s">
        <v>1557</v>
      </c>
      <c r="F7604" s="15" t="s">
        <v>1767</v>
      </c>
      <c r="G7604" s="7">
        <v>64.415</v>
      </c>
      <c r="H7604" s="15" t="s">
        <v>4563</v>
      </c>
      <c r="I7604" s="15" t="s">
        <v>1586</v>
      </c>
      <c r="J7604" s="15" t="s">
        <v>28450</v>
      </c>
      <c r="K7604" s="15" t="s">
        <v>1722</v>
      </c>
      <c r="L7604" s="15">
        <v>86.0</v>
      </c>
      <c r="M7604" s="41">
        <v>42361.0</v>
      </c>
      <c r="N7604" s="41">
        <v>42361.0</v>
      </c>
      <c r="O7604" s="15" t="s">
        <v>1554</v>
      </c>
      <c r="Q7604" s="7"/>
    </row>
    <row r="7605">
      <c r="A7605" s="39" t="s">
        <v>28451</v>
      </c>
      <c r="B7605" s="15">
        <v>1772253.0</v>
      </c>
      <c r="D7605" s="15">
        <v>0.0</v>
      </c>
      <c r="E7605" s="15" t="s">
        <v>1557</v>
      </c>
      <c r="F7605" s="15" t="s">
        <v>1767</v>
      </c>
      <c r="G7605" s="7">
        <v>64.415</v>
      </c>
      <c r="H7605" s="15" t="s">
        <v>4563</v>
      </c>
      <c r="I7605" s="15" t="s">
        <v>1586</v>
      </c>
      <c r="J7605" s="15" t="s">
        <v>28453</v>
      </c>
      <c r="K7605" s="15" t="s">
        <v>1722</v>
      </c>
      <c r="L7605" s="15">
        <v>86.0</v>
      </c>
      <c r="M7605" s="41">
        <v>42361.0</v>
      </c>
      <c r="N7605" s="41">
        <v>42361.0</v>
      </c>
      <c r="O7605" s="15" t="s">
        <v>1554</v>
      </c>
      <c r="Q7605" s="7"/>
    </row>
    <row r="7606">
      <c r="A7606" s="39" t="s">
        <v>28454</v>
      </c>
      <c r="B7606" s="15">
        <v>1772292.0</v>
      </c>
      <c r="D7606" s="15">
        <v>0.0</v>
      </c>
      <c r="E7606" s="15" t="s">
        <v>1557</v>
      </c>
      <c r="F7606" s="15" t="s">
        <v>1833</v>
      </c>
      <c r="G7606" s="7">
        <v>58.848</v>
      </c>
      <c r="H7606" s="15">
        <v>53.0</v>
      </c>
      <c r="I7606" s="15" t="s">
        <v>1586</v>
      </c>
      <c r="J7606" s="15" t="s">
        <v>28455</v>
      </c>
      <c r="K7606" s="15">
        <v>93.0</v>
      </c>
      <c r="L7606" s="15">
        <v>86.0</v>
      </c>
      <c r="M7606" s="40">
        <v>42388.0</v>
      </c>
      <c r="N7606" s="40">
        <v>42830.0</v>
      </c>
      <c r="O7606" s="15" t="s">
        <v>1554</v>
      </c>
      <c r="Q7606" s="7"/>
    </row>
    <row r="7607">
      <c r="A7607" s="39" t="s">
        <v>28456</v>
      </c>
      <c r="B7607" s="15">
        <v>1772299.0</v>
      </c>
      <c r="D7607" s="15">
        <v>0.0</v>
      </c>
      <c r="E7607" s="15" t="s">
        <v>1557</v>
      </c>
      <c r="F7607" s="15" t="s">
        <v>1833</v>
      </c>
      <c r="G7607" s="7">
        <v>58.979</v>
      </c>
      <c r="H7607" s="15">
        <v>53.0</v>
      </c>
      <c r="I7607" s="15" t="s">
        <v>1586</v>
      </c>
      <c r="J7607" s="15" t="s">
        <v>28457</v>
      </c>
      <c r="K7607" s="15">
        <v>93.0</v>
      </c>
      <c r="L7607" s="15">
        <v>86.0</v>
      </c>
      <c r="M7607" s="40">
        <v>42388.0</v>
      </c>
      <c r="N7607" s="40">
        <v>42830.0</v>
      </c>
      <c r="O7607" s="15" t="s">
        <v>1554</v>
      </c>
      <c r="Q7607" s="7"/>
    </row>
    <row r="7608">
      <c r="A7608" s="39" t="s">
        <v>28458</v>
      </c>
      <c r="B7608" s="15">
        <v>1772301.0</v>
      </c>
      <c r="D7608" s="15">
        <v>0.0</v>
      </c>
      <c r="E7608" s="15" t="s">
        <v>1557</v>
      </c>
      <c r="F7608" s="15" t="s">
        <v>1833</v>
      </c>
      <c r="G7608" s="7">
        <v>43.661</v>
      </c>
      <c r="H7608" s="15">
        <v>61.0</v>
      </c>
      <c r="I7608" s="15" t="s">
        <v>1586</v>
      </c>
      <c r="J7608" s="15" t="s">
        <v>28459</v>
      </c>
      <c r="K7608" s="15">
        <v>62.0</v>
      </c>
      <c r="L7608" s="15">
        <v>62.0</v>
      </c>
      <c r="M7608" s="40">
        <v>42388.0</v>
      </c>
      <c r="N7608" s="40">
        <v>42391.0</v>
      </c>
      <c r="O7608" s="15" t="s">
        <v>1554</v>
      </c>
      <c r="Q7608" s="7"/>
    </row>
    <row r="7609">
      <c r="A7609" s="39" t="s">
        <v>28460</v>
      </c>
      <c r="B7609" s="15">
        <v>1772302.0</v>
      </c>
      <c r="D7609" s="15">
        <v>0.0</v>
      </c>
      <c r="E7609" s="15" t="s">
        <v>1557</v>
      </c>
      <c r="F7609" s="15" t="s">
        <v>1611</v>
      </c>
      <c r="G7609" s="7">
        <v>46.723</v>
      </c>
      <c r="H7609" s="15" t="s">
        <v>4070</v>
      </c>
      <c r="I7609" s="15" t="s">
        <v>1586</v>
      </c>
      <c r="J7609" s="15" t="s">
        <v>28461</v>
      </c>
      <c r="K7609" s="15">
        <v>57.0</v>
      </c>
      <c r="L7609" s="15">
        <v>57.0</v>
      </c>
      <c r="M7609" s="40">
        <v>42388.0</v>
      </c>
      <c r="N7609" s="40">
        <v>42831.0</v>
      </c>
      <c r="O7609" s="15" t="s">
        <v>1554</v>
      </c>
      <c r="Q7609" s="7"/>
    </row>
    <row r="7610">
      <c r="A7610" s="39" t="s">
        <v>28462</v>
      </c>
      <c r="B7610" s="15">
        <v>1772309.0</v>
      </c>
      <c r="D7610" s="15">
        <v>0.0</v>
      </c>
      <c r="E7610" s="15" t="s">
        <v>1557</v>
      </c>
      <c r="F7610" s="15" t="s">
        <v>1833</v>
      </c>
      <c r="G7610" s="7">
        <v>15.524</v>
      </c>
      <c r="H7610" s="15" t="s">
        <v>10417</v>
      </c>
      <c r="I7610" s="15" t="s">
        <v>1586</v>
      </c>
      <c r="J7610" s="15" t="s">
        <v>28463</v>
      </c>
      <c r="K7610" s="15">
        <v>26.0</v>
      </c>
      <c r="L7610" s="15">
        <v>26.0</v>
      </c>
      <c r="M7610" s="40">
        <v>42388.0</v>
      </c>
      <c r="N7610" s="40">
        <v>42388.0</v>
      </c>
      <c r="O7610" s="15" t="s">
        <v>1554</v>
      </c>
      <c r="Q7610" s="7"/>
    </row>
    <row r="7611">
      <c r="A7611" s="39" t="s">
        <v>28464</v>
      </c>
      <c r="B7611" s="15">
        <v>1772312.0</v>
      </c>
      <c r="D7611" s="15">
        <v>0.0</v>
      </c>
      <c r="E7611" s="15" t="s">
        <v>1557</v>
      </c>
      <c r="F7611" s="15" t="s">
        <v>1833</v>
      </c>
      <c r="G7611" s="7">
        <v>44.259</v>
      </c>
      <c r="H7611" s="15" t="s">
        <v>4190</v>
      </c>
      <c r="I7611" s="15" t="s">
        <v>1586</v>
      </c>
      <c r="J7611" s="15" t="s">
        <v>28465</v>
      </c>
      <c r="K7611" s="15">
        <v>63.0</v>
      </c>
      <c r="L7611" s="15">
        <v>63.0</v>
      </c>
      <c r="M7611" s="40">
        <v>42388.0</v>
      </c>
      <c r="N7611" s="40">
        <v>42388.0</v>
      </c>
      <c r="O7611" s="15" t="s">
        <v>1554</v>
      </c>
      <c r="Q7611" s="7"/>
    </row>
    <row r="7612">
      <c r="A7612" s="39" t="s">
        <v>28466</v>
      </c>
      <c r="B7612" s="15">
        <v>1772313.0</v>
      </c>
      <c r="D7612" s="15">
        <v>0.0</v>
      </c>
      <c r="E7612" s="15" t="s">
        <v>1557</v>
      </c>
      <c r="F7612" s="15" t="s">
        <v>1833</v>
      </c>
      <c r="G7612" s="7">
        <v>59.167</v>
      </c>
      <c r="H7612" s="15">
        <v>53.0</v>
      </c>
      <c r="I7612" s="15" t="s">
        <v>1586</v>
      </c>
      <c r="J7612" s="15" t="s">
        <v>28467</v>
      </c>
      <c r="K7612" s="15">
        <v>93.0</v>
      </c>
      <c r="L7612" s="15">
        <v>87.0</v>
      </c>
      <c r="M7612" s="40">
        <v>42388.0</v>
      </c>
      <c r="N7612" s="40">
        <v>42830.0</v>
      </c>
      <c r="O7612" s="15" t="s">
        <v>1554</v>
      </c>
      <c r="Q7612" s="7"/>
    </row>
    <row r="7613">
      <c r="A7613" s="39" t="s">
        <v>28469</v>
      </c>
      <c r="B7613" s="15">
        <v>1772314.0</v>
      </c>
      <c r="D7613" s="15">
        <v>0.0</v>
      </c>
      <c r="E7613" s="15" t="s">
        <v>1557</v>
      </c>
      <c r="F7613" s="15" t="s">
        <v>1833</v>
      </c>
      <c r="G7613" s="7">
        <v>59.807</v>
      </c>
      <c r="H7613" s="15" t="s">
        <v>3251</v>
      </c>
      <c r="I7613" s="15" t="s">
        <v>1586</v>
      </c>
      <c r="J7613" s="15" t="s">
        <v>28470</v>
      </c>
      <c r="K7613" s="15">
        <v>99.0</v>
      </c>
      <c r="L7613" s="15">
        <v>99.0</v>
      </c>
      <c r="M7613" s="40">
        <v>42388.0</v>
      </c>
      <c r="N7613" s="40">
        <v>42388.0</v>
      </c>
      <c r="O7613" s="15" t="s">
        <v>1554</v>
      </c>
      <c r="Q7613" s="7"/>
    </row>
    <row r="7614">
      <c r="A7614" s="39" t="s">
        <v>28471</v>
      </c>
      <c r="B7614" s="15">
        <v>1772316.0</v>
      </c>
      <c r="D7614" s="15">
        <v>0.0</v>
      </c>
      <c r="E7614" s="15" t="s">
        <v>1557</v>
      </c>
      <c r="F7614" s="15" t="s">
        <v>1833</v>
      </c>
      <c r="G7614" s="7">
        <v>58.979</v>
      </c>
      <c r="H7614" s="15">
        <v>53.0</v>
      </c>
      <c r="I7614" s="15" t="s">
        <v>1586</v>
      </c>
      <c r="J7614" s="15" t="s">
        <v>28472</v>
      </c>
      <c r="K7614" s="15">
        <v>93.0</v>
      </c>
      <c r="L7614" s="15">
        <v>86.0</v>
      </c>
      <c r="M7614" s="40">
        <v>42388.0</v>
      </c>
      <c r="N7614" s="40">
        <v>42830.0</v>
      </c>
      <c r="O7614" s="15" t="s">
        <v>1554</v>
      </c>
      <c r="Q7614" s="7"/>
    </row>
    <row r="7615">
      <c r="A7615" s="39" t="s">
        <v>28473</v>
      </c>
      <c r="B7615" s="15">
        <v>1772318.0</v>
      </c>
      <c r="D7615" s="15">
        <v>0.0</v>
      </c>
      <c r="E7615" s="15" t="s">
        <v>1557</v>
      </c>
      <c r="F7615" s="15" t="s">
        <v>1767</v>
      </c>
      <c r="G7615" s="7">
        <v>50.999</v>
      </c>
      <c r="H7615" s="15">
        <v>61.0</v>
      </c>
      <c r="I7615" s="15" t="s">
        <v>1586</v>
      </c>
      <c r="J7615" s="15" t="s">
        <v>28474</v>
      </c>
      <c r="K7615" s="15">
        <v>78.0</v>
      </c>
      <c r="L7615" s="15">
        <v>78.0</v>
      </c>
      <c r="M7615" s="40">
        <v>42388.0</v>
      </c>
      <c r="N7615" s="40">
        <v>42388.0</v>
      </c>
      <c r="O7615" s="15" t="s">
        <v>1554</v>
      </c>
      <c r="Q7615" s="7"/>
    </row>
    <row r="7616">
      <c r="A7616" s="39" t="s">
        <v>28476</v>
      </c>
      <c r="B7616" s="15">
        <v>1772321.0</v>
      </c>
      <c r="D7616" s="15">
        <v>0.0</v>
      </c>
      <c r="E7616" s="15" t="s">
        <v>1557</v>
      </c>
      <c r="F7616" s="15" t="s">
        <v>1833</v>
      </c>
      <c r="G7616" s="7">
        <v>43.336</v>
      </c>
      <c r="H7616" s="15" t="s">
        <v>10442</v>
      </c>
      <c r="I7616" s="15" t="s">
        <v>1586</v>
      </c>
      <c r="J7616" s="15" t="s">
        <v>28477</v>
      </c>
      <c r="K7616" s="15">
        <v>60.0</v>
      </c>
      <c r="L7616" s="15">
        <v>60.0</v>
      </c>
      <c r="M7616" s="40">
        <v>42388.0</v>
      </c>
      <c r="N7616" s="40">
        <v>42388.0</v>
      </c>
      <c r="O7616" s="15" t="s">
        <v>1554</v>
      </c>
      <c r="Q7616" s="7"/>
    </row>
    <row r="7617">
      <c r="A7617" s="39" t="s">
        <v>28478</v>
      </c>
      <c r="B7617" s="15">
        <v>1772323.0</v>
      </c>
      <c r="D7617" s="15">
        <v>0.0</v>
      </c>
      <c r="E7617" s="15" t="s">
        <v>1557</v>
      </c>
      <c r="F7617" s="15" t="s">
        <v>1833</v>
      </c>
      <c r="G7617" s="7">
        <v>68.203</v>
      </c>
      <c r="H7617" s="15" t="s">
        <v>2517</v>
      </c>
      <c r="I7617" s="15" t="s">
        <v>1586</v>
      </c>
      <c r="J7617" s="15" t="s">
        <v>28480</v>
      </c>
      <c r="K7617" s="15">
        <v>109.0</v>
      </c>
      <c r="L7617" s="15">
        <v>109.0</v>
      </c>
      <c r="M7617" s="40">
        <v>42388.0</v>
      </c>
      <c r="N7617" s="40">
        <v>42830.0</v>
      </c>
      <c r="O7617" s="15" t="s">
        <v>1554</v>
      </c>
      <c r="Q7617" s="7"/>
    </row>
    <row r="7618">
      <c r="A7618" s="39" t="s">
        <v>28481</v>
      </c>
      <c r="B7618" s="15">
        <v>1772326.0</v>
      </c>
      <c r="D7618" s="15">
        <v>0.0</v>
      </c>
      <c r="E7618" s="15" t="s">
        <v>1557</v>
      </c>
      <c r="F7618" s="15" t="s">
        <v>1833</v>
      </c>
      <c r="G7618" s="7">
        <v>37.809</v>
      </c>
      <c r="H7618" s="15" t="s">
        <v>1666</v>
      </c>
      <c r="I7618" s="15" t="s">
        <v>1586</v>
      </c>
      <c r="J7618" s="15" t="s">
        <v>28482</v>
      </c>
      <c r="K7618" s="15">
        <v>65.0</v>
      </c>
      <c r="L7618" s="15">
        <v>65.0</v>
      </c>
      <c r="M7618" s="40">
        <v>42388.0</v>
      </c>
      <c r="N7618" s="40">
        <v>42388.0</v>
      </c>
      <c r="O7618" s="15" t="s">
        <v>1554</v>
      </c>
      <c r="Q7618" s="7"/>
    </row>
    <row r="7619">
      <c r="A7619" s="39" t="s">
        <v>28483</v>
      </c>
      <c r="B7619" s="15">
        <v>1772332.0</v>
      </c>
      <c r="D7619" s="15">
        <v>0.0</v>
      </c>
      <c r="E7619" s="15" t="s">
        <v>1557</v>
      </c>
      <c r="F7619" s="15" t="s">
        <v>1833</v>
      </c>
      <c r="G7619" s="7">
        <v>93.191</v>
      </c>
      <c r="H7619" s="15" t="s">
        <v>6716</v>
      </c>
      <c r="I7619" s="15" t="s">
        <v>1586</v>
      </c>
      <c r="J7619" s="15" t="s">
        <v>28485</v>
      </c>
      <c r="K7619" s="15">
        <v>129.0</v>
      </c>
      <c r="L7619" s="15">
        <v>129.0</v>
      </c>
      <c r="M7619" s="41">
        <v>42364.0</v>
      </c>
      <c r="N7619" s="40">
        <v>42374.0</v>
      </c>
      <c r="O7619" s="15" t="s">
        <v>1554</v>
      </c>
      <c r="Q7619" s="7"/>
    </row>
    <row r="7620">
      <c r="A7620" s="39" t="s">
        <v>28486</v>
      </c>
      <c r="B7620" s="15">
        <v>1775141.0</v>
      </c>
      <c r="D7620" s="15">
        <v>0.0</v>
      </c>
      <c r="E7620" s="15" t="s">
        <v>4407</v>
      </c>
      <c r="F7620" s="15" t="s">
        <v>1578</v>
      </c>
      <c r="G7620" s="7">
        <v>30.924</v>
      </c>
      <c r="H7620" s="15" t="s">
        <v>3882</v>
      </c>
      <c r="I7620" s="15" t="s">
        <v>1586</v>
      </c>
      <c r="J7620" s="15" t="s">
        <v>28487</v>
      </c>
      <c r="K7620" s="15">
        <v>57.0</v>
      </c>
      <c r="L7620" s="15">
        <v>57.0</v>
      </c>
      <c r="M7620" s="40">
        <v>42388.0</v>
      </c>
      <c r="N7620" s="40">
        <v>42388.0</v>
      </c>
      <c r="O7620" s="15" t="s">
        <v>1554</v>
      </c>
      <c r="Q7620" s="7"/>
    </row>
    <row r="7621">
      <c r="A7621" s="39" t="s">
        <v>28488</v>
      </c>
      <c r="B7621" s="15">
        <v>1775142.0</v>
      </c>
      <c r="D7621" s="15">
        <v>0.0</v>
      </c>
      <c r="E7621" s="15" t="s">
        <v>4407</v>
      </c>
      <c r="F7621" s="15" t="s">
        <v>1578</v>
      </c>
      <c r="G7621" s="7">
        <v>199.912</v>
      </c>
      <c r="H7621" s="15" t="s">
        <v>4479</v>
      </c>
      <c r="I7621" s="15" t="s">
        <v>1586</v>
      </c>
      <c r="J7621" s="15" t="s">
        <v>28490</v>
      </c>
      <c r="K7621" s="15">
        <v>261.0</v>
      </c>
      <c r="L7621" s="15">
        <v>254.0</v>
      </c>
      <c r="M7621" s="40">
        <v>42388.0</v>
      </c>
      <c r="N7621" s="40">
        <v>42388.0</v>
      </c>
      <c r="O7621" s="15" t="s">
        <v>1554</v>
      </c>
      <c r="Q7621" s="7"/>
    </row>
    <row r="7622">
      <c r="A7622" s="39" t="s">
        <v>28491</v>
      </c>
      <c r="B7622" s="15">
        <v>1775248.0</v>
      </c>
      <c r="D7622" s="15">
        <v>0.0</v>
      </c>
      <c r="E7622" s="15" t="s">
        <v>1557</v>
      </c>
      <c r="F7622" s="15" t="s">
        <v>1833</v>
      </c>
      <c r="G7622" s="7">
        <v>57.599</v>
      </c>
      <c r="H7622" s="15" t="s">
        <v>11392</v>
      </c>
      <c r="I7622" s="15" t="s">
        <v>1586</v>
      </c>
      <c r="J7622" s="15" t="s">
        <v>28492</v>
      </c>
      <c r="K7622" s="15">
        <v>76.0</v>
      </c>
      <c r="L7622" s="15">
        <v>76.0</v>
      </c>
      <c r="M7622" s="40">
        <v>42410.0</v>
      </c>
      <c r="N7622" s="40">
        <v>42544.0</v>
      </c>
      <c r="O7622" s="15" t="s">
        <v>1554</v>
      </c>
      <c r="Q7622" s="7"/>
    </row>
    <row r="7623">
      <c r="A7623" s="39" t="s">
        <v>28493</v>
      </c>
      <c r="B7623" s="15">
        <v>1775249.0</v>
      </c>
      <c r="D7623" s="15">
        <v>0.0</v>
      </c>
      <c r="E7623" s="15" t="s">
        <v>4407</v>
      </c>
      <c r="F7623" s="15" t="s">
        <v>1578</v>
      </c>
      <c r="G7623" s="7">
        <v>49.241</v>
      </c>
      <c r="H7623" s="15" t="s">
        <v>1844</v>
      </c>
      <c r="I7623" s="15" t="s">
        <v>1586</v>
      </c>
      <c r="J7623" s="15" t="s">
        <v>28495</v>
      </c>
      <c r="K7623" s="15" t="s">
        <v>1722</v>
      </c>
      <c r="L7623" s="15">
        <v>79.0</v>
      </c>
      <c r="M7623" s="41">
        <v>42701.0</v>
      </c>
      <c r="N7623" s="41">
        <v>42701.0</v>
      </c>
      <c r="O7623" s="15" t="s">
        <v>1554</v>
      </c>
      <c r="Q7623" s="7"/>
    </row>
    <row r="7624">
      <c r="A7624" s="39" t="s">
        <v>28496</v>
      </c>
      <c r="B7624" s="15">
        <v>1775250.0</v>
      </c>
      <c r="D7624" s="15">
        <v>0.0</v>
      </c>
      <c r="E7624" s="15" t="s">
        <v>4407</v>
      </c>
      <c r="F7624" s="15" t="s">
        <v>1578</v>
      </c>
      <c r="G7624" s="7">
        <v>44.862</v>
      </c>
      <c r="H7624" s="15" t="s">
        <v>2965</v>
      </c>
      <c r="I7624" s="15" t="s">
        <v>1586</v>
      </c>
      <c r="J7624" s="15" t="s">
        <v>28497</v>
      </c>
      <c r="K7624" s="15" t="s">
        <v>1722</v>
      </c>
      <c r="L7624" s="15">
        <v>53.0</v>
      </c>
      <c r="M7624" s="41">
        <v>42701.0</v>
      </c>
      <c r="N7624" s="41">
        <v>42701.0</v>
      </c>
      <c r="O7624" s="15" t="s">
        <v>1554</v>
      </c>
      <c r="Q7624" s="7"/>
    </row>
    <row r="7625">
      <c r="A7625" s="39" t="s">
        <v>28498</v>
      </c>
      <c r="B7625" s="15">
        <v>1775255.0</v>
      </c>
      <c r="D7625" s="15">
        <v>0.0</v>
      </c>
      <c r="E7625" s="15" t="s">
        <v>4407</v>
      </c>
      <c r="F7625" s="15" t="s">
        <v>1578</v>
      </c>
      <c r="G7625" s="7">
        <v>64.96</v>
      </c>
      <c r="H7625" s="15" t="s">
        <v>3568</v>
      </c>
      <c r="I7625" s="15" t="s">
        <v>1586</v>
      </c>
      <c r="J7625" s="15" t="s">
        <v>28499</v>
      </c>
      <c r="K7625" s="15" t="s">
        <v>1722</v>
      </c>
      <c r="L7625" s="15">
        <v>89.0</v>
      </c>
      <c r="M7625" s="40">
        <v>42543.0</v>
      </c>
      <c r="N7625" s="40">
        <v>42543.0</v>
      </c>
      <c r="O7625" s="15" t="s">
        <v>1554</v>
      </c>
      <c r="Q7625" s="7"/>
    </row>
    <row r="7626">
      <c r="A7626" s="39" t="s">
        <v>28501</v>
      </c>
      <c r="B7626" s="15">
        <v>1775256.0</v>
      </c>
      <c r="D7626" s="15">
        <v>0.0</v>
      </c>
      <c r="E7626" s="15" t="s">
        <v>4407</v>
      </c>
      <c r="F7626" s="15" t="s">
        <v>1578</v>
      </c>
      <c r="G7626" s="7">
        <v>68.304</v>
      </c>
      <c r="H7626" s="15" t="s">
        <v>4595</v>
      </c>
      <c r="I7626" s="15" t="s">
        <v>1586</v>
      </c>
      <c r="J7626" s="15" t="s">
        <v>28502</v>
      </c>
      <c r="K7626" s="15" t="s">
        <v>1722</v>
      </c>
      <c r="L7626" s="15">
        <v>96.0</v>
      </c>
      <c r="M7626" s="40">
        <v>42543.0</v>
      </c>
      <c r="N7626" s="40">
        <v>42543.0</v>
      </c>
      <c r="O7626" s="15" t="s">
        <v>1554</v>
      </c>
      <c r="Q7626" s="7"/>
    </row>
    <row r="7627">
      <c r="A7627" s="39" t="s">
        <v>28503</v>
      </c>
      <c r="B7627" s="15">
        <v>1775283.0</v>
      </c>
      <c r="D7627" s="15">
        <v>0.0</v>
      </c>
      <c r="E7627" s="15" t="s">
        <v>1557</v>
      </c>
      <c r="F7627" s="15" t="s">
        <v>1833</v>
      </c>
      <c r="G7627" s="7">
        <v>57.256</v>
      </c>
      <c r="H7627" s="15" t="s">
        <v>28504</v>
      </c>
      <c r="I7627" s="15" t="s">
        <v>1586</v>
      </c>
      <c r="J7627" s="15" t="s">
        <v>28505</v>
      </c>
      <c r="K7627" s="15">
        <v>70.0</v>
      </c>
      <c r="L7627" s="15">
        <v>70.0</v>
      </c>
      <c r="M7627" s="40">
        <v>42388.0</v>
      </c>
      <c r="N7627" s="40">
        <v>42388.0</v>
      </c>
      <c r="O7627" s="15" t="s">
        <v>1554</v>
      </c>
      <c r="Q7627" s="7"/>
    </row>
    <row r="7628">
      <c r="A7628" s="39" t="s">
        <v>28506</v>
      </c>
      <c r="B7628" s="15">
        <v>1777046.0</v>
      </c>
      <c r="D7628" s="15">
        <v>0.0</v>
      </c>
      <c r="E7628" s="15" t="s">
        <v>1557</v>
      </c>
      <c r="F7628" s="15" t="s">
        <v>1767</v>
      </c>
      <c r="G7628" s="7">
        <v>33.133</v>
      </c>
      <c r="H7628" s="15" t="s">
        <v>2365</v>
      </c>
      <c r="I7628" s="15" t="s">
        <v>1586</v>
      </c>
      <c r="J7628" s="15" t="s">
        <v>28508</v>
      </c>
      <c r="K7628" s="15" t="s">
        <v>1722</v>
      </c>
      <c r="L7628" s="15" t="s">
        <v>1722</v>
      </c>
      <c r="M7628" s="40">
        <v>42410.0</v>
      </c>
      <c r="N7628" s="40">
        <v>42523.0</v>
      </c>
      <c r="O7628" s="15" t="s">
        <v>1554</v>
      </c>
      <c r="Q7628" s="7"/>
    </row>
    <row r="7629">
      <c r="A7629" s="39" t="s">
        <v>28509</v>
      </c>
      <c r="B7629" s="15">
        <v>1777058.0</v>
      </c>
      <c r="D7629" s="15">
        <v>0.0</v>
      </c>
      <c r="E7629" s="15" t="s">
        <v>1557</v>
      </c>
      <c r="F7629" s="15" t="s">
        <v>1833</v>
      </c>
      <c r="G7629" s="7">
        <v>50.877</v>
      </c>
      <c r="H7629" s="15">
        <v>64.0</v>
      </c>
      <c r="I7629" s="15" t="s">
        <v>1586</v>
      </c>
      <c r="J7629" s="15" t="s">
        <v>28510</v>
      </c>
      <c r="K7629" s="15">
        <v>94.0</v>
      </c>
      <c r="L7629" s="15">
        <v>91.0</v>
      </c>
      <c r="M7629" s="40">
        <v>42388.0</v>
      </c>
      <c r="N7629" s="40">
        <v>42388.0</v>
      </c>
      <c r="O7629" s="15" t="s">
        <v>1554</v>
      </c>
      <c r="Q7629" s="7"/>
    </row>
    <row r="7630">
      <c r="A7630" s="39" t="s">
        <v>28511</v>
      </c>
      <c r="B7630" s="15">
        <v>1777059.0</v>
      </c>
      <c r="D7630" s="15">
        <v>0.0</v>
      </c>
      <c r="E7630" s="15" t="s">
        <v>4407</v>
      </c>
      <c r="F7630" s="15" t="s">
        <v>1578</v>
      </c>
      <c r="G7630" s="7">
        <v>121.442</v>
      </c>
      <c r="H7630" s="15" t="s">
        <v>2334</v>
      </c>
      <c r="I7630" s="15" t="s">
        <v>1586</v>
      </c>
      <c r="J7630" s="15" t="s">
        <v>28512</v>
      </c>
      <c r="K7630" s="15">
        <v>194.0</v>
      </c>
      <c r="L7630" s="15">
        <v>194.0</v>
      </c>
      <c r="M7630" s="40">
        <v>42384.0</v>
      </c>
      <c r="N7630" s="40">
        <v>42384.0</v>
      </c>
      <c r="O7630" s="15" t="s">
        <v>1554</v>
      </c>
      <c r="Q7630" s="7"/>
    </row>
    <row r="7631">
      <c r="A7631" s="39" t="s">
        <v>28514</v>
      </c>
      <c r="B7631" s="15">
        <v>1777060.0</v>
      </c>
      <c r="D7631" s="15">
        <v>0.0</v>
      </c>
      <c r="E7631" s="15" t="s">
        <v>1557</v>
      </c>
      <c r="F7631" s="15" t="s">
        <v>1833</v>
      </c>
      <c r="G7631" s="7">
        <v>75.844</v>
      </c>
      <c r="H7631" s="15" t="s">
        <v>3227</v>
      </c>
      <c r="I7631" s="15" t="s">
        <v>1586</v>
      </c>
      <c r="J7631" s="15" t="s">
        <v>28515</v>
      </c>
      <c r="K7631" s="15">
        <v>144.0</v>
      </c>
      <c r="L7631" s="15">
        <v>132.0</v>
      </c>
      <c r="M7631" s="40">
        <v>42388.0</v>
      </c>
      <c r="N7631" s="40">
        <v>42388.0</v>
      </c>
      <c r="O7631" s="15" t="s">
        <v>1554</v>
      </c>
      <c r="Q7631" s="7"/>
    </row>
    <row r="7632">
      <c r="A7632" s="39" t="s">
        <v>28516</v>
      </c>
      <c r="B7632" s="15">
        <v>1777061.0</v>
      </c>
      <c r="D7632" s="15">
        <v>0.0</v>
      </c>
      <c r="E7632" s="15" t="s">
        <v>1557</v>
      </c>
      <c r="F7632" s="15" t="s">
        <v>1833</v>
      </c>
      <c r="G7632" s="7">
        <v>53.182</v>
      </c>
      <c r="H7632" s="15" t="s">
        <v>17295</v>
      </c>
      <c r="I7632" s="15" t="s">
        <v>1586</v>
      </c>
      <c r="J7632" s="15" t="s">
        <v>28517</v>
      </c>
      <c r="K7632" s="15">
        <v>80.0</v>
      </c>
      <c r="L7632" s="15">
        <v>80.0</v>
      </c>
      <c r="M7632" s="40">
        <v>42388.0</v>
      </c>
      <c r="N7632" s="40">
        <v>42388.0</v>
      </c>
      <c r="O7632" s="15" t="s">
        <v>1554</v>
      </c>
      <c r="Q7632" s="7"/>
    </row>
    <row r="7633">
      <c r="A7633" s="39" t="s">
        <v>28518</v>
      </c>
      <c r="B7633" s="15">
        <v>1777062.0</v>
      </c>
      <c r="D7633" s="15">
        <v>0.0</v>
      </c>
      <c r="E7633" s="15" t="s">
        <v>1557</v>
      </c>
      <c r="F7633" s="15" t="s">
        <v>1833</v>
      </c>
      <c r="G7633" s="7">
        <v>52.92</v>
      </c>
      <c r="H7633" s="15" t="s">
        <v>2831</v>
      </c>
      <c r="I7633" s="15" t="s">
        <v>1586</v>
      </c>
      <c r="J7633" s="15" t="s">
        <v>28519</v>
      </c>
      <c r="K7633" s="15">
        <v>98.0</v>
      </c>
      <c r="L7633" s="15">
        <v>98.0</v>
      </c>
      <c r="M7633" s="40">
        <v>42400.0</v>
      </c>
      <c r="N7633" s="40">
        <v>42467.0</v>
      </c>
      <c r="O7633" s="15" t="s">
        <v>1554</v>
      </c>
      <c r="Q7633" s="7"/>
    </row>
    <row r="7634">
      <c r="A7634" s="39" t="s">
        <v>28521</v>
      </c>
      <c r="B7634" s="15">
        <v>1777071.0</v>
      </c>
      <c r="D7634" s="15">
        <v>0.0</v>
      </c>
      <c r="E7634" s="15" t="s">
        <v>1557</v>
      </c>
      <c r="F7634" s="15" t="s">
        <v>1611</v>
      </c>
      <c r="G7634" s="7">
        <v>60.897</v>
      </c>
      <c r="H7634" s="15" t="s">
        <v>3304</v>
      </c>
      <c r="I7634" s="15" t="s">
        <v>1586</v>
      </c>
      <c r="J7634" s="15" t="s">
        <v>28522</v>
      </c>
      <c r="K7634" s="15">
        <v>18.0</v>
      </c>
      <c r="L7634" s="15">
        <v>74.0</v>
      </c>
      <c r="M7634" s="40">
        <v>42410.0</v>
      </c>
      <c r="N7634" s="40">
        <v>42410.0</v>
      </c>
      <c r="O7634" s="15" t="s">
        <v>1554</v>
      </c>
      <c r="Q7634" s="7"/>
    </row>
    <row r="7635">
      <c r="A7635" s="39" t="s">
        <v>28523</v>
      </c>
      <c r="B7635" s="15">
        <v>1777122.0</v>
      </c>
      <c r="D7635" s="15">
        <v>0.0</v>
      </c>
      <c r="E7635" s="15" t="s">
        <v>1557</v>
      </c>
      <c r="F7635" s="15" t="s">
        <v>1578</v>
      </c>
      <c r="G7635" s="7">
        <v>139.1</v>
      </c>
      <c r="H7635" s="15" t="s">
        <v>2640</v>
      </c>
      <c r="I7635" s="15" t="s">
        <v>1586</v>
      </c>
      <c r="J7635" s="15" t="s">
        <v>28524</v>
      </c>
      <c r="K7635" s="15">
        <v>182.0</v>
      </c>
      <c r="L7635" s="15">
        <v>182.0</v>
      </c>
      <c r="M7635" s="40">
        <v>42708.0</v>
      </c>
      <c r="N7635" s="40">
        <v>42708.0</v>
      </c>
      <c r="O7635" s="15" t="s">
        <v>1554</v>
      </c>
      <c r="Q7635" s="7"/>
    </row>
    <row r="7636">
      <c r="A7636" s="39" t="s">
        <v>28526</v>
      </c>
      <c r="B7636" s="15">
        <v>1779843.0</v>
      </c>
      <c r="D7636" s="15">
        <v>0.0</v>
      </c>
      <c r="E7636" s="15" t="s">
        <v>1557</v>
      </c>
      <c r="F7636" s="15" t="s">
        <v>1611</v>
      </c>
      <c r="G7636" s="7">
        <v>38.039</v>
      </c>
      <c r="H7636" s="15">
        <v>29.0</v>
      </c>
      <c r="I7636" s="15" t="s">
        <v>1586</v>
      </c>
      <c r="J7636" s="15" t="s">
        <v>28527</v>
      </c>
      <c r="K7636" s="15">
        <v>48.0</v>
      </c>
      <c r="L7636" s="15">
        <v>48.0</v>
      </c>
      <c r="M7636" s="40">
        <v>42705.0</v>
      </c>
      <c r="N7636" s="40">
        <v>42705.0</v>
      </c>
      <c r="O7636" s="15" t="s">
        <v>1554</v>
      </c>
      <c r="Q7636" s="7"/>
    </row>
    <row r="7637">
      <c r="A7637" s="39" t="s">
        <v>28528</v>
      </c>
      <c r="B7637" s="15">
        <v>1784843.0</v>
      </c>
      <c r="D7637" s="15">
        <v>0.0</v>
      </c>
      <c r="E7637" s="15" t="s">
        <v>1557</v>
      </c>
      <c r="F7637" s="15" t="s">
        <v>1833</v>
      </c>
      <c r="G7637" s="7">
        <v>71.436</v>
      </c>
      <c r="H7637" s="15" t="s">
        <v>5199</v>
      </c>
      <c r="I7637" s="15" t="s">
        <v>1586</v>
      </c>
      <c r="J7637" s="15" t="s">
        <v>28529</v>
      </c>
      <c r="K7637" s="15">
        <v>100.0</v>
      </c>
      <c r="L7637" s="15">
        <v>100.0</v>
      </c>
      <c r="M7637" s="40">
        <v>42400.0</v>
      </c>
      <c r="N7637" s="40">
        <v>42400.0</v>
      </c>
      <c r="O7637" s="15" t="s">
        <v>1554</v>
      </c>
      <c r="Q7637" s="7"/>
    </row>
    <row r="7638">
      <c r="A7638" s="39" t="s">
        <v>28530</v>
      </c>
      <c r="B7638" s="15">
        <v>1784939.0</v>
      </c>
      <c r="D7638" s="15">
        <v>0.0</v>
      </c>
      <c r="E7638" s="15" t="s">
        <v>1557</v>
      </c>
      <c r="F7638" s="15" t="s">
        <v>1833</v>
      </c>
      <c r="G7638" s="7">
        <v>67.509</v>
      </c>
      <c r="H7638" s="15">
        <v>69.0</v>
      </c>
      <c r="I7638" s="15" t="s">
        <v>1586</v>
      </c>
      <c r="J7638" s="15" t="s">
        <v>28531</v>
      </c>
      <c r="K7638" s="15">
        <v>94.0</v>
      </c>
      <c r="L7638" s="15">
        <v>94.0</v>
      </c>
      <c r="M7638" s="40">
        <v>42400.0</v>
      </c>
      <c r="N7638" s="40">
        <v>42400.0</v>
      </c>
      <c r="O7638" s="15" t="s">
        <v>1554</v>
      </c>
      <c r="Q7638" s="7"/>
    </row>
    <row r="7639">
      <c r="A7639" s="39" t="s">
        <v>28532</v>
      </c>
      <c r="B7639" s="15">
        <v>1784947.0</v>
      </c>
      <c r="D7639" s="15">
        <v>0.0</v>
      </c>
      <c r="E7639" s="15" t="s">
        <v>1557</v>
      </c>
      <c r="F7639" s="15" t="s">
        <v>1833</v>
      </c>
      <c r="G7639" s="7">
        <v>64.477</v>
      </c>
      <c r="H7639" s="15" t="s">
        <v>14015</v>
      </c>
      <c r="I7639" s="15" t="s">
        <v>1586</v>
      </c>
      <c r="J7639" s="15" t="s">
        <v>28534</v>
      </c>
      <c r="K7639" s="15">
        <v>78.0</v>
      </c>
      <c r="L7639" s="15">
        <v>78.0</v>
      </c>
      <c r="M7639" s="40">
        <v>42410.0</v>
      </c>
      <c r="N7639" s="40">
        <v>42410.0</v>
      </c>
      <c r="O7639" s="15" t="s">
        <v>1554</v>
      </c>
      <c r="Q7639" s="7"/>
    </row>
    <row r="7640">
      <c r="A7640" s="39" t="s">
        <v>28535</v>
      </c>
      <c r="B7640" s="15">
        <v>1784948.0</v>
      </c>
      <c r="D7640" s="15">
        <v>0.0</v>
      </c>
      <c r="E7640" s="15" t="s">
        <v>1557</v>
      </c>
      <c r="F7640" s="15" t="s">
        <v>1767</v>
      </c>
      <c r="G7640" s="7">
        <v>146.647</v>
      </c>
      <c r="H7640" s="15" t="s">
        <v>2375</v>
      </c>
      <c r="I7640" s="15" t="s">
        <v>1586</v>
      </c>
      <c r="J7640" s="15" t="s">
        <v>28536</v>
      </c>
      <c r="K7640" s="15">
        <v>234.0</v>
      </c>
      <c r="L7640" s="15">
        <v>234.0</v>
      </c>
      <c r="M7640" s="40">
        <v>42434.0</v>
      </c>
      <c r="N7640" s="40">
        <v>42434.0</v>
      </c>
      <c r="O7640" s="15" t="s">
        <v>1554</v>
      </c>
      <c r="Q7640" s="7"/>
    </row>
    <row r="7641">
      <c r="A7641" s="39" t="s">
        <v>28537</v>
      </c>
      <c r="B7641" s="15">
        <v>1784980.0</v>
      </c>
      <c r="D7641" s="15">
        <v>0.0</v>
      </c>
      <c r="E7641" s="15" t="s">
        <v>1557</v>
      </c>
      <c r="F7641" s="15" t="s">
        <v>1611</v>
      </c>
      <c r="G7641" s="7">
        <v>41.865</v>
      </c>
      <c r="H7641" s="15" t="s">
        <v>5042</v>
      </c>
      <c r="I7641" s="15" t="s">
        <v>1586</v>
      </c>
      <c r="J7641" s="15" t="s">
        <v>28538</v>
      </c>
      <c r="K7641" s="15" t="s">
        <v>1722</v>
      </c>
      <c r="L7641" s="15">
        <v>61.0</v>
      </c>
      <c r="M7641" s="40">
        <v>42434.0</v>
      </c>
      <c r="N7641" s="41">
        <v>42697.0</v>
      </c>
      <c r="O7641" s="15" t="s">
        <v>1554</v>
      </c>
      <c r="Q7641" s="7"/>
    </row>
    <row r="7642">
      <c r="A7642" s="39" t="s">
        <v>28540</v>
      </c>
      <c r="B7642" s="15">
        <v>1792149.0</v>
      </c>
      <c r="D7642" s="15">
        <v>0.0</v>
      </c>
      <c r="E7642" s="15" t="s">
        <v>1557</v>
      </c>
      <c r="F7642" s="15" t="s">
        <v>1833</v>
      </c>
      <c r="G7642" s="7">
        <v>50.628</v>
      </c>
      <c r="H7642" s="15" t="s">
        <v>3029</v>
      </c>
      <c r="I7642" s="15" t="s">
        <v>1586</v>
      </c>
      <c r="J7642" s="15" t="s">
        <v>28541</v>
      </c>
      <c r="K7642" s="15">
        <v>92.0</v>
      </c>
      <c r="L7642" s="15">
        <v>91.0</v>
      </c>
      <c r="M7642" s="40">
        <v>42410.0</v>
      </c>
      <c r="N7642" s="40">
        <v>42562.0</v>
      </c>
      <c r="O7642" s="15" t="s">
        <v>1554</v>
      </c>
      <c r="Q7642" s="7"/>
    </row>
    <row r="7643">
      <c r="A7643" s="39" t="s">
        <v>28542</v>
      </c>
      <c r="B7643" s="15">
        <v>1792242.0</v>
      </c>
      <c r="D7643" s="15">
        <v>0.0</v>
      </c>
      <c r="E7643" s="15" t="s">
        <v>4407</v>
      </c>
      <c r="F7643" s="15" t="s">
        <v>1578</v>
      </c>
      <c r="G7643" s="7">
        <v>378.379</v>
      </c>
      <c r="H7643" s="15" t="s">
        <v>3554</v>
      </c>
      <c r="I7643" s="15" t="s">
        <v>1586</v>
      </c>
      <c r="J7643" s="15" t="s">
        <v>28543</v>
      </c>
      <c r="K7643" s="15">
        <v>638.0</v>
      </c>
      <c r="L7643" s="15">
        <v>605.0</v>
      </c>
      <c r="M7643" s="41">
        <v>42720.0</v>
      </c>
      <c r="N7643" s="41">
        <v>42720.0</v>
      </c>
      <c r="O7643" s="15" t="s">
        <v>1554</v>
      </c>
      <c r="Q7643" s="7"/>
    </row>
    <row r="7644">
      <c r="A7644" s="39" t="s">
        <v>28544</v>
      </c>
      <c r="B7644" s="15">
        <v>1792286.0</v>
      </c>
      <c r="D7644" s="15">
        <v>0.0</v>
      </c>
      <c r="E7644" s="15" t="s">
        <v>1557</v>
      </c>
      <c r="F7644" s="15" t="s">
        <v>1833</v>
      </c>
      <c r="G7644" s="7">
        <v>62.331</v>
      </c>
      <c r="H7644" s="15" t="s">
        <v>3798</v>
      </c>
      <c r="I7644" s="15" t="s">
        <v>1586</v>
      </c>
      <c r="J7644" s="15" t="s">
        <v>28546</v>
      </c>
      <c r="K7644" s="15">
        <v>90.0</v>
      </c>
      <c r="L7644" s="15">
        <v>87.0</v>
      </c>
      <c r="M7644" s="41">
        <v>42699.0</v>
      </c>
      <c r="N7644" s="41">
        <v>42699.0</v>
      </c>
      <c r="O7644" s="15" t="s">
        <v>1554</v>
      </c>
      <c r="Q7644" s="7"/>
    </row>
    <row r="7645">
      <c r="A7645" s="39" t="s">
        <v>28547</v>
      </c>
      <c r="B7645" s="15">
        <v>1792287.0</v>
      </c>
      <c r="D7645" s="15">
        <v>0.0</v>
      </c>
      <c r="E7645" s="15" t="s">
        <v>1557</v>
      </c>
      <c r="F7645" s="15" t="s">
        <v>1833</v>
      </c>
      <c r="G7645" s="7">
        <v>61.58</v>
      </c>
      <c r="H7645" s="15" t="s">
        <v>3604</v>
      </c>
      <c r="I7645" s="15" t="s">
        <v>1586</v>
      </c>
      <c r="J7645" s="15" t="s">
        <v>28548</v>
      </c>
      <c r="K7645" s="15">
        <v>91.0</v>
      </c>
      <c r="L7645" s="15">
        <v>88.0</v>
      </c>
      <c r="M7645" s="41">
        <v>42699.0</v>
      </c>
      <c r="N7645" s="41">
        <v>42699.0</v>
      </c>
      <c r="O7645" s="15" t="s">
        <v>1554</v>
      </c>
      <c r="Q7645" s="7"/>
    </row>
    <row r="7646">
      <c r="A7646" s="39" t="s">
        <v>28549</v>
      </c>
      <c r="B7646" s="15">
        <v>1792288.0</v>
      </c>
      <c r="D7646" s="15">
        <v>0.0</v>
      </c>
      <c r="E7646" s="15" t="s">
        <v>1557</v>
      </c>
      <c r="F7646" s="15" t="s">
        <v>1833</v>
      </c>
      <c r="G7646" s="7">
        <v>62.535</v>
      </c>
      <c r="H7646" s="15" t="s">
        <v>3798</v>
      </c>
      <c r="I7646" s="15" t="s">
        <v>1586</v>
      </c>
      <c r="J7646" s="15" t="s">
        <v>28550</v>
      </c>
      <c r="K7646" s="15">
        <v>93.0</v>
      </c>
      <c r="L7646" s="15">
        <v>90.0</v>
      </c>
      <c r="M7646" s="41">
        <v>42699.0</v>
      </c>
      <c r="N7646" s="41">
        <v>42699.0</v>
      </c>
      <c r="O7646" s="15" t="s">
        <v>1554</v>
      </c>
      <c r="Q7646" s="7"/>
    </row>
    <row r="7647">
      <c r="A7647" s="39" t="s">
        <v>28552</v>
      </c>
      <c r="B7647" s="15">
        <v>1792289.0</v>
      </c>
      <c r="D7647" s="15">
        <v>0.0</v>
      </c>
      <c r="E7647" s="15" t="s">
        <v>1557</v>
      </c>
      <c r="F7647" s="15" t="s">
        <v>1833</v>
      </c>
      <c r="G7647" s="7">
        <v>62.822</v>
      </c>
      <c r="H7647" s="15" t="s">
        <v>5475</v>
      </c>
      <c r="I7647" s="15" t="s">
        <v>1586</v>
      </c>
      <c r="J7647" s="15" t="s">
        <v>28553</v>
      </c>
      <c r="K7647" s="15">
        <v>90.0</v>
      </c>
      <c r="L7647" s="15">
        <v>87.0</v>
      </c>
      <c r="M7647" s="41">
        <v>42699.0</v>
      </c>
      <c r="N7647" s="41">
        <v>42699.0</v>
      </c>
      <c r="O7647" s="15" t="s">
        <v>1554</v>
      </c>
      <c r="Q7647" s="7"/>
    </row>
    <row r="7648">
      <c r="A7648" s="39" t="s">
        <v>28554</v>
      </c>
      <c r="B7648" s="15">
        <v>1796993.0</v>
      </c>
      <c r="D7648" s="15">
        <v>0.0</v>
      </c>
      <c r="E7648" s="15" t="s">
        <v>4407</v>
      </c>
      <c r="F7648" s="15" t="s">
        <v>1578</v>
      </c>
      <c r="G7648" s="7">
        <v>58.951</v>
      </c>
      <c r="H7648" s="15" t="s">
        <v>3407</v>
      </c>
      <c r="I7648" s="15" t="s">
        <v>1586</v>
      </c>
      <c r="J7648" s="15" t="s">
        <v>28555</v>
      </c>
      <c r="K7648" s="15" t="s">
        <v>1722</v>
      </c>
      <c r="L7648" s="15">
        <v>80.0</v>
      </c>
      <c r="M7648" s="40">
        <v>42451.0</v>
      </c>
      <c r="N7648" s="40">
        <v>42451.0</v>
      </c>
      <c r="O7648" s="15" t="s">
        <v>1554</v>
      </c>
      <c r="Q7648" s="7"/>
    </row>
    <row r="7649">
      <c r="A7649" s="39" t="s">
        <v>28556</v>
      </c>
      <c r="B7649" s="15">
        <v>1805958.0</v>
      </c>
      <c r="D7649" s="15">
        <v>0.0</v>
      </c>
      <c r="E7649" s="15" t="s">
        <v>4407</v>
      </c>
      <c r="F7649" s="15" t="s">
        <v>1578</v>
      </c>
      <c r="G7649" s="7">
        <v>55.06</v>
      </c>
      <c r="H7649" s="15" t="s">
        <v>4237</v>
      </c>
      <c r="I7649" s="15" t="s">
        <v>1586</v>
      </c>
      <c r="J7649" s="15" t="s">
        <v>28557</v>
      </c>
      <c r="K7649" s="15">
        <v>95.0</v>
      </c>
      <c r="L7649" s="15">
        <v>95.0</v>
      </c>
      <c r="M7649" s="40">
        <v>42566.0</v>
      </c>
      <c r="N7649" s="40">
        <v>42566.0</v>
      </c>
      <c r="O7649" s="15" t="s">
        <v>1554</v>
      </c>
      <c r="Q7649" s="7"/>
    </row>
    <row r="7650">
      <c r="A7650" s="39" t="s">
        <v>28559</v>
      </c>
      <c r="B7650" s="15">
        <v>1805959.0</v>
      </c>
      <c r="D7650" s="15">
        <v>0.0</v>
      </c>
      <c r="E7650" s="15" t="s">
        <v>4407</v>
      </c>
      <c r="F7650" s="15" t="s">
        <v>1578</v>
      </c>
      <c r="G7650" s="7">
        <v>16.812</v>
      </c>
      <c r="H7650" s="15" t="s">
        <v>3227</v>
      </c>
      <c r="I7650" s="15" t="s">
        <v>1586</v>
      </c>
      <c r="J7650" s="15" t="s">
        <v>28560</v>
      </c>
      <c r="K7650" s="15">
        <v>29.0</v>
      </c>
      <c r="L7650" s="15">
        <v>29.0</v>
      </c>
      <c r="M7650" s="40">
        <v>42566.0</v>
      </c>
      <c r="N7650" s="40">
        <v>42566.0</v>
      </c>
      <c r="O7650" s="15" t="s">
        <v>1554</v>
      </c>
      <c r="Q7650" s="7"/>
    </row>
    <row r="7651">
      <c r="A7651" s="39" t="s">
        <v>28561</v>
      </c>
      <c r="B7651" s="15">
        <v>1808964.0</v>
      </c>
      <c r="D7651" s="15">
        <v>0.0</v>
      </c>
      <c r="E7651" s="15" t="s">
        <v>1557</v>
      </c>
      <c r="F7651" s="15" t="s">
        <v>1767</v>
      </c>
      <c r="G7651" s="7">
        <v>154.012</v>
      </c>
      <c r="H7651" s="15" t="s">
        <v>2580</v>
      </c>
      <c r="I7651" s="15" t="s">
        <v>1586</v>
      </c>
      <c r="J7651" s="15" t="s">
        <v>28562</v>
      </c>
      <c r="K7651" s="15" t="s">
        <v>1722</v>
      </c>
      <c r="L7651" s="15" t="s">
        <v>1722</v>
      </c>
      <c r="M7651" s="40">
        <v>42586.0</v>
      </c>
      <c r="N7651" s="40">
        <v>42586.0</v>
      </c>
      <c r="O7651" s="15" t="s">
        <v>1554</v>
      </c>
      <c r="Q7651" s="7"/>
    </row>
    <row r="7652">
      <c r="A7652" s="39" t="s">
        <v>28563</v>
      </c>
      <c r="B7652" s="15">
        <v>1815582.0</v>
      </c>
      <c r="D7652" s="15">
        <v>0.0</v>
      </c>
      <c r="E7652" s="15" t="s">
        <v>1557</v>
      </c>
      <c r="F7652" s="15" t="s">
        <v>1767</v>
      </c>
      <c r="G7652" s="7">
        <v>103.218</v>
      </c>
      <c r="H7652" s="15" t="s">
        <v>1792</v>
      </c>
      <c r="I7652" s="15" t="s">
        <v>1586</v>
      </c>
      <c r="J7652" s="15" t="s">
        <v>28564</v>
      </c>
      <c r="K7652" s="15">
        <v>229.0</v>
      </c>
      <c r="L7652" s="15">
        <v>229.0</v>
      </c>
      <c r="M7652" s="40">
        <v>42798.0</v>
      </c>
      <c r="N7652" s="40">
        <v>42798.0</v>
      </c>
      <c r="O7652" s="15" t="s">
        <v>1554</v>
      </c>
      <c r="Q7652" s="7"/>
    </row>
    <row r="7653">
      <c r="A7653" s="39" t="s">
        <v>28566</v>
      </c>
      <c r="B7653" s="15">
        <v>1815630.0</v>
      </c>
      <c r="D7653" s="15">
        <v>0.0</v>
      </c>
      <c r="E7653" s="15" t="s">
        <v>4407</v>
      </c>
      <c r="F7653" s="15" t="s">
        <v>1578</v>
      </c>
      <c r="G7653" s="7">
        <v>158.136</v>
      </c>
      <c r="H7653" s="15" t="s">
        <v>6070</v>
      </c>
      <c r="I7653" s="15" t="s">
        <v>1586</v>
      </c>
      <c r="J7653" s="15" t="s">
        <v>28567</v>
      </c>
      <c r="K7653" s="15">
        <v>237.0</v>
      </c>
      <c r="L7653" s="15">
        <v>237.0</v>
      </c>
      <c r="M7653" s="40">
        <v>42802.0</v>
      </c>
      <c r="N7653" s="40">
        <v>42802.0</v>
      </c>
      <c r="O7653" s="15" t="s">
        <v>1554</v>
      </c>
      <c r="Q7653" s="7"/>
    </row>
    <row r="7654">
      <c r="A7654" s="39" t="s">
        <v>28568</v>
      </c>
      <c r="B7654" s="15">
        <v>1815973.0</v>
      </c>
      <c r="D7654" s="15">
        <v>0.0</v>
      </c>
      <c r="E7654" s="15" t="s">
        <v>1557</v>
      </c>
      <c r="F7654" s="15" t="s">
        <v>1833</v>
      </c>
      <c r="G7654" s="7">
        <v>48.589</v>
      </c>
      <c r="H7654" s="15" t="s">
        <v>2950</v>
      </c>
      <c r="I7654" s="15" t="s">
        <v>1586</v>
      </c>
      <c r="J7654" s="15" t="s">
        <v>28569</v>
      </c>
      <c r="K7654" s="15">
        <v>74.0</v>
      </c>
      <c r="L7654" s="15">
        <v>74.0</v>
      </c>
      <c r="M7654" s="40">
        <v>42795.0</v>
      </c>
      <c r="N7654" s="40">
        <v>42795.0</v>
      </c>
      <c r="O7654" s="15" t="s">
        <v>1554</v>
      </c>
      <c r="Q7654" s="7"/>
    </row>
    <row r="7655">
      <c r="A7655" s="39" t="s">
        <v>28570</v>
      </c>
      <c r="B7655" s="15">
        <v>1821539.0</v>
      </c>
      <c r="D7655" s="15">
        <v>0.0</v>
      </c>
      <c r="E7655" s="15" t="s">
        <v>1557</v>
      </c>
      <c r="F7655" s="15" t="s">
        <v>1833</v>
      </c>
      <c r="G7655" s="7">
        <v>43.478</v>
      </c>
      <c r="H7655" s="15" t="s">
        <v>2492</v>
      </c>
      <c r="I7655" s="15" t="s">
        <v>1586</v>
      </c>
      <c r="J7655" s="15" t="s">
        <v>28572</v>
      </c>
      <c r="K7655" s="15">
        <v>67.0</v>
      </c>
      <c r="L7655" s="15">
        <v>67.0</v>
      </c>
      <c r="M7655" s="40">
        <v>42469.0</v>
      </c>
      <c r="N7655" s="40">
        <v>42469.0</v>
      </c>
      <c r="O7655" s="15" t="s">
        <v>1554</v>
      </c>
      <c r="Q7655" s="7"/>
    </row>
    <row r="7656">
      <c r="A7656" s="39" t="s">
        <v>28573</v>
      </c>
      <c r="B7656" s="15">
        <v>1821728.0</v>
      </c>
      <c r="D7656" s="15">
        <v>0.0</v>
      </c>
      <c r="E7656" s="15" t="s">
        <v>1557</v>
      </c>
      <c r="F7656" s="15" t="s">
        <v>1833</v>
      </c>
      <c r="G7656" s="7">
        <v>34.742</v>
      </c>
      <c r="H7656" s="15" t="s">
        <v>28574</v>
      </c>
      <c r="I7656" s="15" t="s">
        <v>1586</v>
      </c>
      <c r="J7656" s="15" t="s">
        <v>28575</v>
      </c>
      <c r="K7656" s="15">
        <v>55.0</v>
      </c>
      <c r="L7656" s="15">
        <v>55.0</v>
      </c>
      <c r="M7656" s="40">
        <v>42463.0</v>
      </c>
      <c r="N7656" s="40">
        <v>42463.0</v>
      </c>
      <c r="O7656" s="15" t="s">
        <v>1554</v>
      </c>
      <c r="Q7656" s="7"/>
    </row>
    <row r="7657">
      <c r="A7657" s="39" t="s">
        <v>28576</v>
      </c>
      <c r="B7657" s="15">
        <v>182851.0</v>
      </c>
      <c r="D7657" s="15">
        <v>0.0</v>
      </c>
      <c r="E7657" s="15" t="s">
        <v>1557</v>
      </c>
      <c r="F7657" s="15" t="s">
        <v>1833</v>
      </c>
      <c r="G7657" s="7">
        <v>94.87</v>
      </c>
      <c r="H7657" s="15" t="s">
        <v>11392</v>
      </c>
      <c r="I7657" s="15" t="s">
        <v>1586</v>
      </c>
      <c r="J7657" s="15" t="s">
        <v>28577</v>
      </c>
      <c r="K7657" s="15">
        <v>133.0</v>
      </c>
      <c r="L7657" s="15">
        <v>132.0</v>
      </c>
      <c r="M7657" s="40">
        <v>41076.0</v>
      </c>
      <c r="N7657" s="40">
        <v>41134.0</v>
      </c>
      <c r="O7657" s="15" t="s">
        <v>1554</v>
      </c>
      <c r="Q7657" s="7"/>
    </row>
    <row r="7658">
      <c r="A7658" s="39" t="s">
        <v>28579</v>
      </c>
      <c r="B7658" s="15">
        <v>1837829.0</v>
      </c>
      <c r="D7658" s="15">
        <v>0.0</v>
      </c>
      <c r="E7658" s="15" t="s">
        <v>1557</v>
      </c>
      <c r="F7658" s="15" t="s">
        <v>1767</v>
      </c>
      <c r="G7658" s="7">
        <v>101.986</v>
      </c>
      <c r="H7658" s="42">
        <v>43131.0</v>
      </c>
      <c r="I7658" s="15" t="s">
        <v>1586</v>
      </c>
      <c r="J7658" s="15" t="s">
        <v>28580</v>
      </c>
      <c r="K7658" s="15">
        <v>131.0</v>
      </c>
      <c r="L7658" s="15">
        <v>131.0</v>
      </c>
      <c r="M7658" s="40">
        <v>42523.0</v>
      </c>
      <c r="N7658" s="41">
        <v>43025.0</v>
      </c>
      <c r="O7658" s="15" t="s">
        <v>1554</v>
      </c>
      <c r="Q7658" s="7"/>
    </row>
    <row r="7659">
      <c r="A7659" s="39" t="s">
        <v>28581</v>
      </c>
      <c r="B7659" s="15">
        <v>1837875.0</v>
      </c>
      <c r="D7659" s="15">
        <v>0.0</v>
      </c>
      <c r="E7659" s="15" t="s">
        <v>1557</v>
      </c>
      <c r="F7659" s="15" t="s">
        <v>1767</v>
      </c>
      <c r="G7659" s="7">
        <v>166.423</v>
      </c>
      <c r="H7659" s="15" t="s">
        <v>3568</v>
      </c>
      <c r="I7659" s="15" t="s">
        <v>1586</v>
      </c>
      <c r="J7659" s="15" t="s">
        <v>28582</v>
      </c>
      <c r="K7659" s="15">
        <v>273.0</v>
      </c>
      <c r="L7659" s="15">
        <v>263.0</v>
      </c>
      <c r="M7659" s="40">
        <v>42853.0</v>
      </c>
      <c r="N7659" s="40">
        <v>42853.0</v>
      </c>
      <c r="O7659" s="15" t="s">
        <v>1554</v>
      </c>
      <c r="Q7659" s="7"/>
    </row>
    <row r="7660">
      <c r="A7660" s="39" t="s">
        <v>28583</v>
      </c>
      <c r="B7660" s="15">
        <v>1837876.0</v>
      </c>
      <c r="D7660" s="15">
        <v>0.0</v>
      </c>
      <c r="E7660" s="15" t="s">
        <v>4407</v>
      </c>
      <c r="F7660" s="15" t="s">
        <v>1578</v>
      </c>
      <c r="G7660" s="7">
        <v>234.9</v>
      </c>
      <c r="H7660" s="42">
        <v>43342.0</v>
      </c>
      <c r="I7660" s="15" t="s">
        <v>1586</v>
      </c>
      <c r="J7660" s="15" t="s">
        <v>28584</v>
      </c>
      <c r="K7660" s="15">
        <v>330.0</v>
      </c>
      <c r="L7660" s="15">
        <v>326.0</v>
      </c>
      <c r="M7660" s="40">
        <v>42505.0</v>
      </c>
      <c r="N7660" s="40">
        <v>42543.0</v>
      </c>
      <c r="O7660" s="15" t="s">
        <v>1554</v>
      </c>
      <c r="Q7660" s="7"/>
    </row>
    <row r="7661">
      <c r="A7661" s="39" t="s">
        <v>28586</v>
      </c>
      <c r="B7661" s="15">
        <v>1821550.0</v>
      </c>
      <c r="D7661" s="15">
        <v>0.0</v>
      </c>
      <c r="E7661" s="15" t="s">
        <v>1557</v>
      </c>
      <c r="F7661" s="15" t="s">
        <v>1833</v>
      </c>
      <c r="G7661" s="7">
        <v>75.38</v>
      </c>
      <c r="H7661" s="15" t="s">
        <v>10654</v>
      </c>
      <c r="I7661" s="15" t="s">
        <v>1586</v>
      </c>
      <c r="J7661" s="15" t="s">
        <v>28587</v>
      </c>
      <c r="K7661" s="15">
        <v>99.0</v>
      </c>
      <c r="L7661" s="15">
        <v>99.0</v>
      </c>
      <c r="M7661" s="40">
        <v>42463.0</v>
      </c>
      <c r="N7661" s="40">
        <v>42513.0</v>
      </c>
      <c r="O7661" s="15" t="s">
        <v>1554</v>
      </c>
      <c r="Q7661" s="7"/>
    </row>
    <row r="7662">
      <c r="A7662" s="39" t="s">
        <v>28588</v>
      </c>
      <c r="B7662" s="15">
        <v>1838151.0</v>
      </c>
      <c r="D7662" s="15">
        <v>0.0</v>
      </c>
      <c r="E7662" s="15" t="s">
        <v>4407</v>
      </c>
      <c r="F7662" s="15" t="s">
        <v>1578</v>
      </c>
      <c r="G7662" s="7">
        <v>61.371</v>
      </c>
      <c r="H7662" s="15" t="s">
        <v>1983</v>
      </c>
      <c r="I7662" s="15" t="s">
        <v>1586</v>
      </c>
      <c r="J7662" s="15" t="s">
        <v>28589</v>
      </c>
      <c r="K7662" s="15">
        <v>88.0</v>
      </c>
      <c r="L7662" s="15">
        <v>88.0</v>
      </c>
      <c r="M7662" s="40">
        <v>42571.0</v>
      </c>
      <c r="N7662" s="40">
        <v>42571.0</v>
      </c>
      <c r="O7662" s="15" t="s">
        <v>1554</v>
      </c>
      <c r="Q7662" s="7"/>
    </row>
    <row r="7663">
      <c r="A7663" s="39" t="s">
        <v>28591</v>
      </c>
      <c r="B7663" s="15">
        <v>1838152.0</v>
      </c>
      <c r="D7663" s="15">
        <v>0.0</v>
      </c>
      <c r="E7663" s="15" t="s">
        <v>4407</v>
      </c>
      <c r="F7663" s="15" t="s">
        <v>1578</v>
      </c>
      <c r="G7663" s="7">
        <v>42.18</v>
      </c>
      <c r="H7663" s="15" t="s">
        <v>1745</v>
      </c>
      <c r="I7663" s="15" t="s">
        <v>1586</v>
      </c>
      <c r="J7663" s="15" t="s">
        <v>28592</v>
      </c>
      <c r="K7663" s="15">
        <v>59.0</v>
      </c>
      <c r="L7663" s="15">
        <v>59.0</v>
      </c>
      <c r="M7663" s="40">
        <v>42571.0</v>
      </c>
      <c r="N7663" s="40">
        <v>42571.0</v>
      </c>
      <c r="O7663" s="15" t="s">
        <v>1554</v>
      </c>
      <c r="Q7663" s="7"/>
    </row>
    <row r="7664">
      <c r="A7664" s="39" t="s">
        <v>28593</v>
      </c>
      <c r="B7664" s="15">
        <v>1838153.0</v>
      </c>
      <c r="D7664" s="15">
        <v>0.0</v>
      </c>
      <c r="E7664" s="15" t="s">
        <v>4407</v>
      </c>
      <c r="F7664" s="15" t="s">
        <v>1578</v>
      </c>
      <c r="G7664" s="7">
        <v>40.987</v>
      </c>
      <c r="H7664" s="15" t="s">
        <v>1782</v>
      </c>
      <c r="I7664" s="15" t="s">
        <v>1586</v>
      </c>
      <c r="J7664" s="15" t="s">
        <v>28594</v>
      </c>
      <c r="K7664" s="15">
        <v>40.0</v>
      </c>
      <c r="L7664" s="15">
        <v>40.0</v>
      </c>
      <c r="M7664" s="40">
        <v>42571.0</v>
      </c>
      <c r="N7664" s="40">
        <v>42571.0</v>
      </c>
      <c r="O7664" s="15" t="s">
        <v>1554</v>
      </c>
      <c r="Q7664" s="7"/>
    </row>
    <row r="7665">
      <c r="A7665" s="39" t="s">
        <v>28595</v>
      </c>
      <c r="B7665" s="15">
        <v>1838154.0</v>
      </c>
      <c r="D7665" s="15">
        <v>0.0</v>
      </c>
      <c r="E7665" s="15" t="s">
        <v>4407</v>
      </c>
      <c r="F7665" s="15" t="s">
        <v>1578</v>
      </c>
      <c r="G7665" s="7">
        <v>40.606</v>
      </c>
      <c r="H7665" s="15" t="s">
        <v>1912</v>
      </c>
      <c r="I7665" s="15" t="s">
        <v>1586</v>
      </c>
      <c r="J7665" s="15" t="s">
        <v>28596</v>
      </c>
      <c r="K7665" s="15">
        <v>57.0</v>
      </c>
      <c r="L7665" s="15">
        <v>57.0</v>
      </c>
      <c r="M7665" s="40">
        <v>42571.0</v>
      </c>
      <c r="N7665" s="40">
        <v>42571.0</v>
      </c>
      <c r="O7665" s="15" t="s">
        <v>1554</v>
      </c>
      <c r="Q7665" s="7"/>
    </row>
    <row r="7666">
      <c r="A7666" s="39" t="s">
        <v>28598</v>
      </c>
      <c r="B7666" s="15">
        <v>1838155.0</v>
      </c>
      <c r="D7666" s="15">
        <v>0.0</v>
      </c>
      <c r="E7666" s="15" t="s">
        <v>4407</v>
      </c>
      <c r="F7666" s="15" t="s">
        <v>1578</v>
      </c>
      <c r="G7666" s="7">
        <v>40.306</v>
      </c>
      <c r="H7666" s="15" t="s">
        <v>2901</v>
      </c>
      <c r="I7666" s="15" t="s">
        <v>1586</v>
      </c>
      <c r="J7666" s="15" t="s">
        <v>28599</v>
      </c>
      <c r="K7666" s="15">
        <v>59.0</v>
      </c>
      <c r="L7666" s="15">
        <v>59.0</v>
      </c>
      <c r="M7666" s="40">
        <v>42571.0</v>
      </c>
      <c r="N7666" s="40">
        <v>42571.0</v>
      </c>
      <c r="O7666" s="15" t="s">
        <v>1554</v>
      </c>
      <c r="Q7666" s="7"/>
    </row>
    <row r="7667">
      <c r="A7667" s="39" t="s">
        <v>28600</v>
      </c>
      <c r="B7667" s="15">
        <v>1838156.0</v>
      </c>
      <c r="D7667" s="15">
        <v>0.0</v>
      </c>
      <c r="E7667" s="15" t="s">
        <v>4407</v>
      </c>
      <c r="F7667" s="15" t="s">
        <v>1578</v>
      </c>
      <c r="G7667" s="7">
        <v>40.207</v>
      </c>
      <c r="H7667" s="15" t="s">
        <v>1591</v>
      </c>
      <c r="I7667" s="15" t="s">
        <v>1586</v>
      </c>
      <c r="J7667" s="15" t="s">
        <v>28601</v>
      </c>
      <c r="K7667" s="15">
        <v>58.0</v>
      </c>
      <c r="L7667" s="15">
        <v>58.0</v>
      </c>
      <c r="M7667" s="40">
        <v>42571.0</v>
      </c>
      <c r="N7667" s="40">
        <v>42571.0</v>
      </c>
      <c r="O7667" s="15" t="s">
        <v>1554</v>
      </c>
      <c r="Q7667" s="7"/>
    </row>
    <row r="7668">
      <c r="A7668" s="39" t="s">
        <v>28602</v>
      </c>
      <c r="B7668" s="15">
        <v>1838157.0</v>
      </c>
      <c r="D7668" s="15">
        <v>0.0</v>
      </c>
      <c r="E7668" s="15" t="s">
        <v>4407</v>
      </c>
      <c r="F7668" s="15" t="s">
        <v>1578</v>
      </c>
      <c r="G7668" s="7">
        <v>38.969</v>
      </c>
      <c r="H7668" s="15" t="s">
        <v>3082</v>
      </c>
      <c r="I7668" s="15" t="s">
        <v>1586</v>
      </c>
      <c r="J7668" s="15" t="s">
        <v>28604</v>
      </c>
      <c r="K7668" s="15">
        <v>45.0</v>
      </c>
      <c r="L7668" s="15">
        <v>45.0</v>
      </c>
      <c r="M7668" s="40">
        <v>42571.0</v>
      </c>
      <c r="N7668" s="40">
        <v>42571.0</v>
      </c>
      <c r="O7668" s="15" t="s">
        <v>1554</v>
      </c>
      <c r="Q7668" s="7"/>
    </row>
    <row r="7669">
      <c r="A7669" s="39" t="s">
        <v>28605</v>
      </c>
      <c r="B7669" s="15">
        <v>1838158.0</v>
      </c>
      <c r="D7669" s="15">
        <v>0.0</v>
      </c>
      <c r="E7669" s="15" t="s">
        <v>4407</v>
      </c>
      <c r="F7669" s="15" t="s">
        <v>1578</v>
      </c>
      <c r="G7669" s="7">
        <v>14.429</v>
      </c>
      <c r="H7669" s="15" t="s">
        <v>3798</v>
      </c>
      <c r="I7669" s="15" t="s">
        <v>1586</v>
      </c>
      <c r="J7669" s="15" t="s">
        <v>28606</v>
      </c>
      <c r="K7669" s="15">
        <v>22.0</v>
      </c>
      <c r="L7669" s="15">
        <v>22.0</v>
      </c>
      <c r="M7669" s="40">
        <v>42571.0</v>
      </c>
      <c r="N7669" s="40">
        <v>42571.0</v>
      </c>
      <c r="O7669" s="15" t="s">
        <v>1554</v>
      </c>
      <c r="Q7669" s="7"/>
    </row>
    <row r="7670">
      <c r="A7670" s="39" t="s">
        <v>28607</v>
      </c>
      <c r="B7670" s="15">
        <v>1840236.0</v>
      </c>
      <c r="D7670" s="15">
        <v>0.0</v>
      </c>
      <c r="E7670" s="15" t="s">
        <v>1557</v>
      </c>
      <c r="F7670" s="15" t="s">
        <v>1833</v>
      </c>
      <c r="G7670" s="7">
        <v>42.282</v>
      </c>
      <c r="H7670" s="15" t="s">
        <v>2219</v>
      </c>
      <c r="I7670" s="15" t="s">
        <v>1586</v>
      </c>
      <c r="J7670" s="15" t="s">
        <v>28608</v>
      </c>
      <c r="K7670" s="15">
        <v>69.0</v>
      </c>
      <c r="L7670" s="15">
        <v>69.0</v>
      </c>
      <c r="M7670" s="40">
        <v>42879.0</v>
      </c>
      <c r="N7670" s="40">
        <v>42879.0</v>
      </c>
      <c r="O7670" s="15" t="s">
        <v>1554</v>
      </c>
      <c r="Q7670" s="7"/>
    </row>
    <row r="7671">
      <c r="A7671" s="39" t="s">
        <v>28610</v>
      </c>
      <c r="B7671" s="15">
        <v>1846168.0</v>
      </c>
      <c r="D7671" s="15">
        <v>0.0</v>
      </c>
      <c r="E7671" s="15" t="s">
        <v>4407</v>
      </c>
      <c r="F7671" s="15" t="s">
        <v>1578</v>
      </c>
      <c r="G7671" s="7">
        <v>73.787</v>
      </c>
      <c r="H7671" s="15">
        <v>39.0</v>
      </c>
      <c r="I7671" s="15" t="s">
        <v>1586</v>
      </c>
      <c r="J7671" s="15" t="s">
        <v>28611</v>
      </c>
      <c r="K7671" s="15">
        <v>88.0</v>
      </c>
      <c r="L7671" s="15">
        <v>86.0</v>
      </c>
      <c r="M7671" s="40">
        <v>42789.0</v>
      </c>
      <c r="N7671" s="40">
        <v>42789.0</v>
      </c>
      <c r="O7671" s="15" t="s">
        <v>1554</v>
      </c>
      <c r="Q7671" s="7"/>
    </row>
    <row r="7672">
      <c r="A7672" s="39" t="s">
        <v>28612</v>
      </c>
      <c r="B7672" s="15">
        <v>1851646.0</v>
      </c>
      <c r="D7672" s="15">
        <v>0.0</v>
      </c>
      <c r="E7672" s="15" t="s">
        <v>4407</v>
      </c>
      <c r="F7672" s="15" t="s">
        <v>1578</v>
      </c>
      <c r="G7672" s="7">
        <v>53.16</v>
      </c>
      <c r="H7672" s="15" t="s">
        <v>2038</v>
      </c>
      <c r="I7672" s="15" t="s">
        <v>1586</v>
      </c>
      <c r="J7672" s="15" t="s">
        <v>28613</v>
      </c>
      <c r="K7672" s="15" t="s">
        <v>1722</v>
      </c>
      <c r="L7672" s="15">
        <v>60.0</v>
      </c>
      <c r="M7672" s="40">
        <v>42888.0</v>
      </c>
      <c r="N7672" s="40">
        <v>42888.0</v>
      </c>
      <c r="O7672" s="15" t="s">
        <v>1554</v>
      </c>
      <c r="Q7672" s="7"/>
    </row>
    <row r="7673">
      <c r="A7673" s="39" t="s">
        <v>28614</v>
      </c>
      <c r="B7673" s="15">
        <v>1852562.0</v>
      </c>
      <c r="D7673" s="15">
        <v>0.0</v>
      </c>
      <c r="E7673" s="15" t="s">
        <v>1557</v>
      </c>
      <c r="F7673" s="15" t="s">
        <v>1611</v>
      </c>
      <c r="G7673" s="7">
        <v>40.556</v>
      </c>
      <c r="H7673" s="15" t="s">
        <v>4415</v>
      </c>
      <c r="I7673" s="15" t="s">
        <v>1586</v>
      </c>
      <c r="J7673" s="15" t="s">
        <v>28615</v>
      </c>
      <c r="K7673" s="15">
        <v>46.0</v>
      </c>
      <c r="L7673" s="15">
        <v>46.0</v>
      </c>
      <c r="M7673" s="40">
        <v>42523.0</v>
      </c>
      <c r="N7673" s="40">
        <v>42523.0</v>
      </c>
      <c r="O7673" s="15" t="s">
        <v>1554</v>
      </c>
      <c r="Q7673" s="7"/>
    </row>
    <row r="7674">
      <c r="A7674" s="39" t="s">
        <v>28616</v>
      </c>
      <c r="B7674" s="15">
        <v>1852565.0</v>
      </c>
      <c r="D7674" s="15">
        <v>0.0</v>
      </c>
      <c r="E7674" s="15" t="s">
        <v>1557</v>
      </c>
      <c r="F7674" s="15" t="s">
        <v>1833</v>
      </c>
      <c r="G7674" s="7">
        <v>44.677</v>
      </c>
      <c r="H7674" s="15" t="s">
        <v>7532</v>
      </c>
      <c r="I7674" s="15" t="s">
        <v>1586</v>
      </c>
      <c r="J7674" s="15" t="s">
        <v>28618</v>
      </c>
      <c r="K7674" s="15" t="s">
        <v>1722</v>
      </c>
      <c r="L7674" s="15">
        <v>69.0</v>
      </c>
      <c r="M7674" s="41">
        <v>42673.0</v>
      </c>
      <c r="N7674" s="41">
        <v>42673.0</v>
      </c>
      <c r="O7674" s="15" t="s">
        <v>1554</v>
      </c>
      <c r="Q7674" s="7"/>
    </row>
    <row r="7675">
      <c r="A7675" s="39" t="s">
        <v>28619</v>
      </c>
      <c r="B7675" s="15">
        <v>1852597.0</v>
      </c>
      <c r="D7675" s="15">
        <v>0.0</v>
      </c>
      <c r="E7675" s="15" t="s">
        <v>4407</v>
      </c>
      <c r="F7675" s="15" t="s">
        <v>1578</v>
      </c>
      <c r="G7675" s="7">
        <v>7.19</v>
      </c>
      <c r="H7675" s="15" t="s">
        <v>8179</v>
      </c>
      <c r="I7675" s="15" t="s">
        <v>1586</v>
      </c>
      <c r="J7675" s="15" t="s">
        <v>28620</v>
      </c>
      <c r="K7675" s="15">
        <v>12.0</v>
      </c>
      <c r="L7675" s="15">
        <v>12.0</v>
      </c>
      <c r="M7675" s="41">
        <v>42663.0</v>
      </c>
      <c r="N7675" s="41">
        <v>42663.0</v>
      </c>
      <c r="O7675" s="15" t="s">
        <v>1554</v>
      </c>
      <c r="Q7675" s="7"/>
    </row>
    <row r="7676">
      <c r="A7676" s="39" t="s">
        <v>28621</v>
      </c>
      <c r="B7676" s="15">
        <v>1852598.0</v>
      </c>
      <c r="D7676" s="15">
        <v>0.0</v>
      </c>
      <c r="E7676" s="15" t="s">
        <v>1808</v>
      </c>
      <c r="F7676" s="15" t="s">
        <v>2969</v>
      </c>
      <c r="G7676" s="7">
        <v>7.929</v>
      </c>
      <c r="H7676" s="15" t="s">
        <v>13856</v>
      </c>
      <c r="I7676" s="15" t="s">
        <v>1586</v>
      </c>
      <c r="J7676" s="15" t="s">
        <v>28622</v>
      </c>
      <c r="K7676" s="15" t="s">
        <v>1722</v>
      </c>
      <c r="L7676" s="15">
        <v>14.0</v>
      </c>
      <c r="M7676" s="40">
        <v>42859.0</v>
      </c>
      <c r="N7676" s="40">
        <v>42859.0</v>
      </c>
      <c r="O7676" s="15" t="s">
        <v>1554</v>
      </c>
      <c r="Q7676" s="7"/>
    </row>
    <row r="7677">
      <c r="A7677" s="39" t="s">
        <v>28624</v>
      </c>
      <c r="B7677" s="15">
        <v>1852599.0</v>
      </c>
      <c r="D7677" s="15">
        <v>0.0</v>
      </c>
      <c r="E7677" s="15" t="s">
        <v>4407</v>
      </c>
      <c r="F7677" s="15" t="s">
        <v>1578</v>
      </c>
      <c r="G7677" s="7">
        <v>42.279</v>
      </c>
      <c r="H7677" s="15" t="s">
        <v>7956</v>
      </c>
      <c r="I7677" s="15" t="s">
        <v>1586</v>
      </c>
      <c r="J7677" s="15" t="s">
        <v>28625</v>
      </c>
      <c r="K7677" s="15" t="s">
        <v>1722</v>
      </c>
      <c r="L7677" s="15">
        <v>29.0</v>
      </c>
      <c r="M7677" s="40">
        <v>42556.0</v>
      </c>
      <c r="N7677" s="40">
        <v>42556.0</v>
      </c>
      <c r="O7677" s="15" t="s">
        <v>1554</v>
      </c>
      <c r="Q7677" s="7"/>
    </row>
    <row r="7678">
      <c r="A7678" s="39" t="s">
        <v>28626</v>
      </c>
      <c r="B7678" s="15">
        <v>1852622.0</v>
      </c>
      <c r="D7678" s="15">
        <v>0.0</v>
      </c>
      <c r="E7678" s="15" t="s">
        <v>1557</v>
      </c>
      <c r="F7678" s="15" t="s">
        <v>1833</v>
      </c>
      <c r="G7678" s="7">
        <v>60.497</v>
      </c>
      <c r="H7678" s="15" t="s">
        <v>4308</v>
      </c>
      <c r="I7678" s="15" t="s">
        <v>1586</v>
      </c>
      <c r="J7678" s="15" t="s">
        <v>28627</v>
      </c>
      <c r="K7678" s="15">
        <v>79.0</v>
      </c>
      <c r="L7678" s="15">
        <v>79.0</v>
      </c>
      <c r="M7678" s="40">
        <v>42886.0</v>
      </c>
      <c r="N7678" s="40">
        <v>42886.0</v>
      </c>
      <c r="O7678" s="15" t="s">
        <v>1554</v>
      </c>
      <c r="Q7678" s="7"/>
    </row>
    <row r="7679">
      <c r="A7679" s="39" t="s">
        <v>28628</v>
      </c>
      <c r="B7679" s="15">
        <v>1852626.0</v>
      </c>
      <c r="D7679" s="15">
        <v>0.0</v>
      </c>
      <c r="E7679" s="15" t="s">
        <v>1557</v>
      </c>
      <c r="F7679" s="15" t="s">
        <v>1833</v>
      </c>
      <c r="G7679" s="7">
        <v>36.753</v>
      </c>
      <c r="H7679" s="15">
        <v>45.0</v>
      </c>
      <c r="I7679" s="15" t="s">
        <v>1586</v>
      </c>
      <c r="J7679" s="15" t="s">
        <v>28629</v>
      </c>
      <c r="K7679" s="15">
        <v>58.0</v>
      </c>
      <c r="L7679" s="15">
        <v>58.0</v>
      </c>
      <c r="M7679" s="40">
        <v>42539.0</v>
      </c>
      <c r="N7679" s="40">
        <v>42539.0</v>
      </c>
      <c r="O7679" s="15" t="s">
        <v>1554</v>
      </c>
      <c r="Q7679" s="7"/>
    </row>
    <row r="7680">
      <c r="A7680" s="39" t="s">
        <v>28630</v>
      </c>
      <c r="B7680" s="15">
        <v>1852630.0</v>
      </c>
      <c r="D7680" s="15">
        <v>0.0</v>
      </c>
      <c r="E7680" s="15" t="s">
        <v>1557</v>
      </c>
      <c r="F7680" s="15" t="s">
        <v>1611</v>
      </c>
      <c r="G7680" s="7">
        <v>38.89</v>
      </c>
      <c r="H7680" s="15" t="s">
        <v>2351</v>
      </c>
      <c r="I7680" s="15" t="s">
        <v>1586</v>
      </c>
      <c r="J7680" s="15" t="s">
        <v>28631</v>
      </c>
      <c r="K7680" s="15" t="s">
        <v>1722</v>
      </c>
      <c r="L7680" s="15">
        <v>47.0</v>
      </c>
      <c r="M7680" s="40">
        <v>42553.0</v>
      </c>
      <c r="N7680" s="40">
        <v>42553.0</v>
      </c>
      <c r="O7680" s="15" t="s">
        <v>1554</v>
      </c>
      <c r="Q7680" s="7"/>
    </row>
    <row r="7681">
      <c r="A7681" s="39" t="s">
        <v>28632</v>
      </c>
      <c r="B7681" s="15">
        <v>1852661.0</v>
      </c>
      <c r="D7681" s="15">
        <v>0.0</v>
      </c>
      <c r="E7681" s="15" t="s">
        <v>4407</v>
      </c>
      <c r="F7681" s="15" t="s">
        <v>1578</v>
      </c>
      <c r="G7681" s="7">
        <v>28.068</v>
      </c>
      <c r="H7681" s="15" t="s">
        <v>2288</v>
      </c>
      <c r="I7681" s="15" t="s">
        <v>1586</v>
      </c>
      <c r="J7681" s="15" t="s">
        <v>28634</v>
      </c>
      <c r="K7681" s="15" t="s">
        <v>1722</v>
      </c>
      <c r="L7681" s="15">
        <v>33.0</v>
      </c>
      <c r="M7681" s="40">
        <v>42783.0</v>
      </c>
      <c r="N7681" s="40">
        <v>42783.0</v>
      </c>
      <c r="O7681" s="15" t="s">
        <v>1554</v>
      </c>
      <c r="Q7681" s="7"/>
    </row>
    <row r="7682">
      <c r="A7682" s="39" t="s">
        <v>28635</v>
      </c>
      <c r="B7682" s="15">
        <v>1852662.0</v>
      </c>
      <c r="D7682" s="15">
        <v>0.0</v>
      </c>
      <c r="E7682" s="15" t="s">
        <v>4407</v>
      </c>
      <c r="F7682" s="15" t="s">
        <v>1578</v>
      </c>
      <c r="G7682" s="7">
        <v>31.2</v>
      </c>
      <c r="H7682" s="15" t="s">
        <v>2580</v>
      </c>
      <c r="I7682" s="15" t="s">
        <v>1586</v>
      </c>
      <c r="J7682" s="15" t="s">
        <v>28636</v>
      </c>
      <c r="K7682" s="15" t="s">
        <v>1722</v>
      </c>
      <c r="L7682" s="15">
        <v>37.0</v>
      </c>
      <c r="M7682" s="40">
        <v>42783.0</v>
      </c>
      <c r="N7682" s="40">
        <v>42783.0</v>
      </c>
      <c r="O7682" s="15" t="s">
        <v>1554</v>
      </c>
      <c r="Q7682" s="7"/>
    </row>
    <row r="7683">
      <c r="A7683" s="39" t="s">
        <v>28637</v>
      </c>
      <c r="B7683" s="15">
        <v>1852663.0</v>
      </c>
      <c r="D7683" s="15">
        <v>0.0</v>
      </c>
      <c r="E7683" s="15" t="s">
        <v>4407</v>
      </c>
      <c r="F7683" s="15" t="s">
        <v>1578</v>
      </c>
      <c r="G7683" s="7">
        <v>29.388</v>
      </c>
      <c r="H7683" s="15" t="s">
        <v>4479</v>
      </c>
      <c r="I7683" s="15" t="s">
        <v>1586</v>
      </c>
      <c r="J7683" s="15" t="s">
        <v>28638</v>
      </c>
      <c r="K7683" s="15" t="s">
        <v>1722</v>
      </c>
      <c r="L7683" s="15">
        <v>36.0</v>
      </c>
      <c r="M7683" s="40">
        <v>42783.0</v>
      </c>
      <c r="N7683" s="40">
        <v>42783.0</v>
      </c>
      <c r="O7683" s="15" t="s">
        <v>1554</v>
      </c>
      <c r="Q7683" s="7"/>
    </row>
    <row r="7684">
      <c r="A7684" s="39" t="s">
        <v>28640</v>
      </c>
      <c r="B7684" s="15">
        <v>1852664.0</v>
      </c>
      <c r="D7684" s="15">
        <v>0.0</v>
      </c>
      <c r="E7684" s="15" t="s">
        <v>4407</v>
      </c>
      <c r="F7684" s="15" t="s">
        <v>1578</v>
      </c>
      <c r="G7684" s="7">
        <v>22.559</v>
      </c>
      <c r="H7684" s="15">
        <v>36.0</v>
      </c>
      <c r="I7684" s="15" t="s">
        <v>1586</v>
      </c>
      <c r="J7684" s="15" t="s">
        <v>28641</v>
      </c>
      <c r="K7684" s="15" t="s">
        <v>1722</v>
      </c>
      <c r="L7684" s="15">
        <v>26.0</v>
      </c>
      <c r="M7684" s="40">
        <v>42783.0</v>
      </c>
      <c r="N7684" s="40">
        <v>42783.0</v>
      </c>
      <c r="O7684" s="15" t="s">
        <v>1554</v>
      </c>
      <c r="Q7684" s="7"/>
    </row>
    <row r="7685">
      <c r="A7685" s="39" t="s">
        <v>28642</v>
      </c>
      <c r="B7685" s="15">
        <v>1852665.0</v>
      </c>
      <c r="D7685" s="15">
        <v>0.0</v>
      </c>
      <c r="E7685" s="15" t="s">
        <v>4407</v>
      </c>
      <c r="F7685" s="15" t="s">
        <v>1578</v>
      </c>
      <c r="G7685" s="7">
        <v>28.565</v>
      </c>
      <c r="H7685" s="15" t="s">
        <v>2699</v>
      </c>
      <c r="I7685" s="15" t="s">
        <v>1586</v>
      </c>
      <c r="J7685" s="15" t="s">
        <v>28643</v>
      </c>
      <c r="K7685" s="15" t="s">
        <v>1722</v>
      </c>
      <c r="L7685" s="15">
        <v>36.0</v>
      </c>
      <c r="M7685" s="40">
        <v>42783.0</v>
      </c>
      <c r="N7685" s="40">
        <v>42783.0</v>
      </c>
      <c r="O7685" s="15" t="s">
        <v>1554</v>
      </c>
      <c r="Q7685" s="7"/>
    </row>
    <row r="7686">
      <c r="A7686" s="39" t="s">
        <v>28644</v>
      </c>
      <c r="B7686" s="15">
        <v>1852666.0</v>
      </c>
      <c r="D7686" s="15">
        <v>0.0</v>
      </c>
      <c r="E7686" s="15" t="s">
        <v>4407</v>
      </c>
      <c r="F7686" s="15" t="s">
        <v>1578</v>
      </c>
      <c r="G7686" s="7">
        <v>32.975</v>
      </c>
      <c r="H7686" s="15" t="s">
        <v>3317</v>
      </c>
      <c r="I7686" s="15" t="s">
        <v>1586</v>
      </c>
      <c r="J7686" s="15" t="s">
        <v>28646</v>
      </c>
      <c r="K7686" s="15" t="s">
        <v>1722</v>
      </c>
      <c r="L7686" s="15">
        <v>39.0</v>
      </c>
      <c r="M7686" s="40">
        <v>42783.0</v>
      </c>
      <c r="N7686" s="40">
        <v>42783.0</v>
      </c>
      <c r="O7686" s="15" t="s">
        <v>1554</v>
      </c>
      <c r="Q7686" s="7"/>
    </row>
    <row r="7687">
      <c r="A7687" s="39" t="s">
        <v>28647</v>
      </c>
      <c r="B7687" s="15">
        <v>1852667.0</v>
      </c>
      <c r="D7687" s="15">
        <v>0.0</v>
      </c>
      <c r="E7687" s="15" t="s">
        <v>4407</v>
      </c>
      <c r="F7687" s="15" t="s">
        <v>1578</v>
      </c>
      <c r="G7687" s="7">
        <v>31.236</v>
      </c>
      <c r="H7687" s="15" t="s">
        <v>2885</v>
      </c>
      <c r="I7687" s="15" t="s">
        <v>1586</v>
      </c>
      <c r="J7687" s="15" t="s">
        <v>28648</v>
      </c>
      <c r="K7687" s="15" t="s">
        <v>1722</v>
      </c>
      <c r="L7687" s="15">
        <v>37.0</v>
      </c>
      <c r="M7687" s="40">
        <v>42783.0</v>
      </c>
      <c r="N7687" s="40">
        <v>42783.0</v>
      </c>
      <c r="O7687" s="15" t="s">
        <v>1554</v>
      </c>
      <c r="Q7687" s="7"/>
    </row>
    <row r="7688">
      <c r="A7688" s="39" t="s">
        <v>28649</v>
      </c>
      <c r="B7688" s="15">
        <v>1852669.0</v>
      </c>
      <c r="D7688" s="15">
        <v>0.0</v>
      </c>
      <c r="E7688" s="15" t="s">
        <v>4407</v>
      </c>
      <c r="F7688" s="15" t="s">
        <v>1578</v>
      </c>
      <c r="G7688" s="7">
        <v>30.071</v>
      </c>
      <c r="H7688" s="15" t="s">
        <v>4331</v>
      </c>
      <c r="I7688" s="15" t="s">
        <v>1586</v>
      </c>
      <c r="J7688" s="15" t="s">
        <v>28650</v>
      </c>
      <c r="K7688" s="15" t="s">
        <v>1722</v>
      </c>
      <c r="L7688" s="15">
        <v>36.0</v>
      </c>
      <c r="M7688" s="40">
        <v>42783.0</v>
      </c>
      <c r="N7688" s="40">
        <v>42783.0</v>
      </c>
      <c r="O7688" s="15" t="s">
        <v>1554</v>
      </c>
      <c r="Q7688" s="7"/>
    </row>
    <row r="7689">
      <c r="A7689" s="39" t="s">
        <v>28651</v>
      </c>
      <c r="B7689" s="15">
        <v>1852670.0</v>
      </c>
      <c r="D7689" s="15">
        <v>0.0</v>
      </c>
      <c r="E7689" s="15" t="s">
        <v>4407</v>
      </c>
      <c r="F7689" s="15" t="s">
        <v>1578</v>
      </c>
      <c r="G7689" s="7">
        <v>27.96</v>
      </c>
      <c r="H7689" s="15">
        <v>37.0</v>
      </c>
      <c r="I7689" s="15" t="s">
        <v>1586</v>
      </c>
      <c r="J7689" s="15" t="s">
        <v>28652</v>
      </c>
      <c r="K7689" s="15" t="s">
        <v>1722</v>
      </c>
      <c r="L7689" s="15">
        <v>32.0</v>
      </c>
      <c r="M7689" s="40">
        <v>42783.0</v>
      </c>
      <c r="N7689" s="40">
        <v>42783.0</v>
      </c>
      <c r="O7689" s="15" t="s">
        <v>1554</v>
      </c>
      <c r="Q7689" s="7"/>
    </row>
    <row r="7690">
      <c r="A7690" s="39" t="s">
        <v>28653</v>
      </c>
      <c r="B7690" s="15">
        <v>1852671.0</v>
      </c>
      <c r="D7690" s="15">
        <v>0.0</v>
      </c>
      <c r="E7690" s="15" t="s">
        <v>4407</v>
      </c>
      <c r="F7690" s="15" t="s">
        <v>1578</v>
      </c>
      <c r="G7690" s="7">
        <v>28.67</v>
      </c>
      <c r="H7690" s="15" t="s">
        <v>2288</v>
      </c>
      <c r="I7690" s="15" t="s">
        <v>1586</v>
      </c>
      <c r="J7690" s="15" t="s">
        <v>28654</v>
      </c>
      <c r="K7690" s="15" t="s">
        <v>1722</v>
      </c>
      <c r="L7690" s="15">
        <v>34.0</v>
      </c>
      <c r="M7690" s="40">
        <v>42783.0</v>
      </c>
      <c r="N7690" s="40">
        <v>42783.0</v>
      </c>
      <c r="O7690" s="15" t="s">
        <v>1554</v>
      </c>
      <c r="Q7690" s="7"/>
    </row>
    <row r="7691">
      <c r="A7691" s="39" t="s">
        <v>28656</v>
      </c>
      <c r="B7691" s="15">
        <v>1852672.0</v>
      </c>
      <c r="D7691" s="15">
        <v>0.0</v>
      </c>
      <c r="E7691" s="15" t="s">
        <v>4407</v>
      </c>
      <c r="F7691" s="15" t="s">
        <v>1578</v>
      </c>
      <c r="G7691" s="7">
        <v>23.008</v>
      </c>
      <c r="H7691" s="15" t="s">
        <v>2316</v>
      </c>
      <c r="I7691" s="15" t="s">
        <v>1586</v>
      </c>
      <c r="J7691" s="15" t="s">
        <v>28657</v>
      </c>
      <c r="K7691" s="15" t="s">
        <v>1722</v>
      </c>
      <c r="L7691" s="15">
        <v>24.0</v>
      </c>
      <c r="M7691" s="40">
        <v>42783.0</v>
      </c>
      <c r="N7691" s="40">
        <v>42783.0</v>
      </c>
      <c r="O7691" s="15" t="s">
        <v>1554</v>
      </c>
      <c r="Q7691" s="7"/>
    </row>
    <row r="7692">
      <c r="A7692" s="39" t="s">
        <v>28658</v>
      </c>
      <c r="B7692" s="15">
        <v>1852673.0</v>
      </c>
      <c r="D7692" s="15">
        <v>0.0</v>
      </c>
      <c r="E7692" s="15" t="s">
        <v>4407</v>
      </c>
      <c r="F7692" s="15" t="s">
        <v>1578</v>
      </c>
      <c r="G7692" s="7">
        <v>30.078</v>
      </c>
      <c r="H7692" s="15" t="s">
        <v>2580</v>
      </c>
      <c r="I7692" s="15" t="s">
        <v>1586</v>
      </c>
      <c r="J7692" s="15" t="s">
        <v>28659</v>
      </c>
      <c r="K7692" s="15" t="s">
        <v>1722</v>
      </c>
      <c r="L7692" s="15">
        <v>38.0</v>
      </c>
      <c r="M7692" s="40">
        <v>42783.0</v>
      </c>
      <c r="N7692" s="40">
        <v>42783.0</v>
      </c>
      <c r="O7692" s="15" t="s">
        <v>1554</v>
      </c>
      <c r="Q7692" s="7"/>
    </row>
    <row r="7693">
      <c r="A7693" s="39" t="s">
        <v>28660</v>
      </c>
      <c r="B7693" s="15">
        <v>1852675.0</v>
      </c>
      <c r="D7693" s="15">
        <v>0.0</v>
      </c>
      <c r="E7693" s="15" t="s">
        <v>4407</v>
      </c>
      <c r="F7693" s="15" t="s">
        <v>1578</v>
      </c>
      <c r="G7693" s="7">
        <v>27.572</v>
      </c>
      <c r="H7693" s="15" t="s">
        <v>2752</v>
      </c>
      <c r="I7693" s="15" t="s">
        <v>1586</v>
      </c>
      <c r="J7693" s="15" t="s">
        <v>28662</v>
      </c>
      <c r="K7693" s="15" t="s">
        <v>1722</v>
      </c>
      <c r="L7693" s="15">
        <v>32.0</v>
      </c>
      <c r="M7693" s="40">
        <v>42783.0</v>
      </c>
      <c r="N7693" s="40">
        <v>42783.0</v>
      </c>
      <c r="O7693" s="15" t="s">
        <v>1554</v>
      </c>
      <c r="Q7693" s="7"/>
    </row>
    <row r="7694">
      <c r="A7694" s="39" t="s">
        <v>28663</v>
      </c>
      <c r="B7694" s="15">
        <v>1852676.0</v>
      </c>
      <c r="D7694" s="15">
        <v>0.0</v>
      </c>
      <c r="E7694" s="15" t="s">
        <v>4407</v>
      </c>
      <c r="F7694" s="15" t="s">
        <v>1578</v>
      </c>
      <c r="G7694" s="7">
        <v>25.388</v>
      </c>
      <c r="H7694" s="15" t="s">
        <v>3309</v>
      </c>
      <c r="I7694" s="15" t="s">
        <v>1586</v>
      </c>
      <c r="J7694" s="15" t="s">
        <v>28664</v>
      </c>
      <c r="K7694" s="15" t="s">
        <v>1722</v>
      </c>
      <c r="L7694" s="15">
        <v>33.0</v>
      </c>
      <c r="M7694" s="40">
        <v>42783.0</v>
      </c>
      <c r="N7694" s="40">
        <v>42783.0</v>
      </c>
      <c r="O7694" s="15" t="s">
        <v>1554</v>
      </c>
      <c r="Q7694" s="7"/>
    </row>
    <row r="7695">
      <c r="A7695" s="39" t="s">
        <v>28665</v>
      </c>
      <c r="B7695" s="15">
        <v>1852677.0</v>
      </c>
      <c r="D7695" s="15">
        <v>0.0</v>
      </c>
      <c r="E7695" s="15" t="s">
        <v>4407</v>
      </c>
      <c r="F7695" s="15" t="s">
        <v>1578</v>
      </c>
      <c r="G7695" s="7">
        <v>29.393</v>
      </c>
      <c r="H7695" s="15" t="s">
        <v>2288</v>
      </c>
      <c r="I7695" s="15" t="s">
        <v>1586</v>
      </c>
      <c r="J7695" s="15" t="s">
        <v>28666</v>
      </c>
      <c r="K7695" s="15" t="s">
        <v>1722</v>
      </c>
      <c r="L7695" s="15">
        <v>36.0</v>
      </c>
      <c r="M7695" s="40">
        <v>42783.0</v>
      </c>
      <c r="N7695" s="40">
        <v>42783.0</v>
      </c>
      <c r="O7695" s="15" t="s">
        <v>1554</v>
      </c>
      <c r="Q7695" s="7"/>
    </row>
    <row r="7696">
      <c r="A7696" s="39" t="s">
        <v>28668</v>
      </c>
      <c r="B7696" s="15">
        <v>1852679.0</v>
      </c>
      <c r="D7696" s="15">
        <v>0.0</v>
      </c>
      <c r="E7696" s="15" t="s">
        <v>4407</v>
      </c>
      <c r="F7696" s="15" t="s">
        <v>1578</v>
      </c>
      <c r="G7696" s="7">
        <v>28.341</v>
      </c>
      <c r="H7696" s="15" t="s">
        <v>4331</v>
      </c>
      <c r="I7696" s="15" t="s">
        <v>1586</v>
      </c>
      <c r="J7696" s="15" t="s">
        <v>28669</v>
      </c>
      <c r="K7696" s="15" t="s">
        <v>1722</v>
      </c>
      <c r="L7696" s="15">
        <v>31.0</v>
      </c>
      <c r="M7696" s="40">
        <v>42783.0</v>
      </c>
      <c r="N7696" s="40">
        <v>42783.0</v>
      </c>
      <c r="O7696" s="15" t="s">
        <v>1554</v>
      </c>
      <c r="Q7696" s="7"/>
    </row>
    <row r="7697">
      <c r="A7697" s="39" t="s">
        <v>28670</v>
      </c>
      <c r="B7697" s="15">
        <v>1852680.0</v>
      </c>
      <c r="D7697" s="15">
        <v>0.0</v>
      </c>
      <c r="E7697" s="15" t="s">
        <v>4407</v>
      </c>
      <c r="F7697" s="15" t="s">
        <v>1578</v>
      </c>
      <c r="G7697" s="7">
        <v>29.801</v>
      </c>
      <c r="H7697" s="15">
        <v>37.0</v>
      </c>
      <c r="I7697" s="15" t="s">
        <v>1586</v>
      </c>
      <c r="J7697" s="15" t="s">
        <v>28672</v>
      </c>
      <c r="K7697" s="15" t="s">
        <v>1722</v>
      </c>
      <c r="L7697" s="15">
        <v>34.0</v>
      </c>
      <c r="M7697" s="40">
        <v>42783.0</v>
      </c>
      <c r="N7697" s="40">
        <v>42783.0</v>
      </c>
      <c r="O7697" s="15" t="s">
        <v>1554</v>
      </c>
      <c r="Q7697" s="7"/>
    </row>
    <row r="7698">
      <c r="A7698" s="39" t="s">
        <v>28673</v>
      </c>
      <c r="B7698" s="15">
        <v>1852681.0</v>
      </c>
      <c r="D7698" s="15">
        <v>0.0</v>
      </c>
      <c r="E7698" s="15" t="s">
        <v>4407</v>
      </c>
      <c r="F7698" s="15" t="s">
        <v>1578</v>
      </c>
      <c r="G7698" s="7">
        <v>27.363</v>
      </c>
      <c r="H7698" s="15" t="s">
        <v>2334</v>
      </c>
      <c r="I7698" s="15" t="s">
        <v>1586</v>
      </c>
      <c r="J7698" s="15" t="s">
        <v>28674</v>
      </c>
      <c r="K7698" s="15" t="s">
        <v>1722</v>
      </c>
      <c r="L7698" s="15">
        <v>32.0</v>
      </c>
      <c r="M7698" s="40">
        <v>42783.0</v>
      </c>
      <c r="N7698" s="40">
        <v>42783.0</v>
      </c>
      <c r="O7698" s="15" t="s">
        <v>1554</v>
      </c>
      <c r="Q7698" s="7"/>
    </row>
    <row r="7699">
      <c r="A7699" s="39" t="s">
        <v>28675</v>
      </c>
      <c r="B7699" s="15">
        <v>1852682.0</v>
      </c>
      <c r="D7699" s="15">
        <v>0.0</v>
      </c>
      <c r="E7699" s="15" t="s">
        <v>4407</v>
      </c>
      <c r="F7699" s="15" t="s">
        <v>1578</v>
      </c>
      <c r="G7699" s="7">
        <v>30.548</v>
      </c>
      <c r="H7699" s="15" t="s">
        <v>4331</v>
      </c>
      <c r="I7699" s="15" t="s">
        <v>1586</v>
      </c>
      <c r="J7699" s="15" t="s">
        <v>28677</v>
      </c>
      <c r="K7699" s="15" t="s">
        <v>1722</v>
      </c>
      <c r="L7699" s="15">
        <v>39.0</v>
      </c>
      <c r="M7699" s="40">
        <v>42783.0</v>
      </c>
      <c r="N7699" s="40">
        <v>42783.0</v>
      </c>
      <c r="O7699" s="15" t="s">
        <v>1554</v>
      </c>
      <c r="Q7699" s="7"/>
    </row>
    <row r="7700">
      <c r="A7700" s="39" t="s">
        <v>28678</v>
      </c>
      <c r="B7700" s="15">
        <v>1852683.0</v>
      </c>
      <c r="D7700" s="15">
        <v>0.0</v>
      </c>
      <c r="E7700" s="15" t="s">
        <v>4407</v>
      </c>
      <c r="F7700" s="15" t="s">
        <v>1578</v>
      </c>
      <c r="G7700" s="7">
        <v>26.906</v>
      </c>
      <c r="H7700" s="15" t="s">
        <v>3317</v>
      </c>
      <c r="I7700" s="15" t="s">
        <v>1586</v>
      </c>
      <c r="J7700" s="15" t="s">
        <v>28679</v>
      </c>
      <c r="K7700" s="15" t="s">
        <v>1722</v>
      </c>
      <c r="L7700" s="15">
        <v>32.0</v>
      </c>
      <c r="M7700" s="40">
        <v>42783.0</v>
      </c>
      <c r="N7700" s="40">
        <v>42783.0</v>
      </c>
      <c r="O7700" s="15" t="s">
        <v>1554</v>
      </c>
      <c r="Q7700" s="7"/>
    </row>
    <row r="7701">
      <c r="A7701" s="39" t="s">
        <v>28680</v>
      </c>
      <c r="B7701" s="15">
        <v>1852684.0</v>
      </c>
      <c r="D7701" s="15">
        <v>0.0</v>
      </c>
      <c r="E7701" s="15" t="s">
        <v>4407</v>
      </c>
      <c r="F7701" s="15" t="s">
        <v>1578</v>
      </c>
      <c r="G7701" s="7">
        <v>30.977</v>
      </c>
      <c r="H7701" s="15" t="s">
        <v>4595</v>
      </c>
      <c r="I7701" s="15" t="s">
        <v>1586</v>
      </c>
      <c r="J7701" s="15" t="s">
        <v>28681</v>
      </c>
      <c r="K7701" s="15" t="s">
        <v>1722</v>
      </c>
      <c r="L7701" s="15">
        <v>37.0</v>
      </c>
      <c r="M7701" s="40">
        <v>42783.0</v>
      </c>
      <c r="N7701" s="40">
        <v>42783.0</v>
      </c>
      <c r="O7701" s="15" t="s">
        <v>1554</v>
      </c>
      <c r="Q7701" s="7"/>
    </row>
    <row r="7702">
      <c r="A7702" s="39" t="s">
        <v>28682</v>
      </c>
      <c r="B7702" s="15">
        <v>1852687.0</v>
      </c>
      <c r="D7702" s="15">
        <v>0.0</v>
      </c>
      <c r="E7702" s="15" t="s">
        <v>4407</v>
      </c>
      <c r="F7702" s="15" t="s">
        <v>1578</v>
      </c>
      <c r="G7702" s="7">
        <v>30.456</v>
      </c>
      <c r="H7702" s="15" t="s">
        <v>2158</v>
      </c>
      <c r="I7702" s="15" t="s">
        <v>1586</v>
      </c>
      <c r="J7702" s="15" t="s">
        <v>28684</v>
      </c>
      <c r="K7702" s="15" t="s">
        <v>1722</v>
      </c>
      <c r="L7702" s="15">
        <v>35.0</v>
      </c>
      <c r="M7702" s="40">
        <v>42783.0</v>
      </c>
      <c r="N7702" s="40">
        <v>42783.0</v>
      </c>
      <c r="O7702" s="15" t="s">
        <v>1554</v>
      </c>
      <c r="Q7702" s="7"/>
    </row>
    <row r="7703">
      <c r="A7703" s="39" t="s">
        <v>28685</v>
      </c>
      <c r="B7703" s="15">
        <v>1852688.0</v>
      </c>
      <c r="D7703" s="15">
        <v>0.0</v>
      </c>
      <c r="E7703" s="15" t="s">
        <v>4407</v>
      </c>
      <c r="F7703" s="15" t="s">
        <v>1578</v>
      </c>
      <c r="G7703" s="7">
        <v>29.882</v>
      </c>
      <c r="H7703" s="15" t="s">
        <v>2158</v>
      </c>
      <c r="I7703" s="15" t="s">
        <v>1586</v>
      </c>
      <c r="J7703" s="15" t="s">
        <v>28686</v>
      </c>
      <c r="K7703" s="15" t="s">
        <v>1722</v>
      </c>
      <c r="L7703" s="15">
        <v>35.0</v>
      </c>
      <c r="M7703" s="40">
        <v>42783.0</v>
      </c>
      <c r="N7703" s="40">
        <v>42783.0</v>
      </c>
      <c r="O7703" s="15" t="s">
        <v>1554</v>
      </c>
      <c r="Q7703" s="7"/>
    </row>
    <row r="7704">
      <c r="A7704" s="39" t="s">
        <v>28687</v>
      </c>
      <c r="B7704" s="15">
        <v>1856120.0</v>
      </c>
      <c r="D7704" s="15">
        <v>0.0</v>
      </c>
      <c r="E7704" s="15" t="s">
        <v>1557</v>
      </c>
      <c r="F7704" s="15" t="s">
        <v>1833</v>
      </c>
      <c r="G7704" s="7">
        <v>45.306</v>
      </c>
      <c r="H7704" s="15" t="s">
        <v>2451</v>
      </c>
      <c r="I7704" s="15" t="s">
        <v>1586</v>
      </c>
      <c r="J7704" s="15" t="s">
        <v>28688</v>
      </c>
      <c r="K7704" s="15">
        <v>73.0</v>
      </c>
      <c r="L7704" s="15">
        <v>73.0</v>
      </c>
      <c r="M7704" s="40">
        <v>42528.0</v>
      </c>
      <c r="N7704" s="41">
        <v>42664.0</v>
      </c>
      <c r="O7704" s="15" t="s">
        <v>1554</v>
      </c>
      <c r="Q7704" s="7"/>
    </row>
    <row r="7705">
      <c r="A7705" s="39" t="s">
        <v>28690</v>
      </c>
      <c r="B7705" s="15">
        <v>1860178.0</v>
      </c>
      <c r="D7705" s="15">
        <v>0.0</v>
      </c>
      <c r="E7705" s="15" t="s">
        <v>1557</v>
      </c>
      <c r="F7705" s="15" t="s">
        <v>1611</v>
      </c>
      <c r="G7705" s="7">
        <v>36.636</v>
      </c>
      <c r="H7705" s="15" t="s">
        <v>1912</v>
      </c>
      <c r="I7705" s="15" t="s">
        <v>1586</v>
      </c>
      <c r="J7705" s="15" t="s">
        <v>28691</v>
      </c>
      <c r="K7705" s="15" t="s">
        <v>1722</v>
      </c>
      <c r="L7705" s="15">
        <v>60.0</v>
      </c>
      <c r="M7705" s="40">
        <v>42886.0</v>
      </c>
      <c r="N7705" s="40">
        <v>42886.0</v>
      </c>
      <c r="O7705" s="15" t="s">
        <v>1554</v>
      </c>
      <c r="Q7705" s="7"/>
    </row>
    <row r="7706">
      <c r="A7706" s="39" t="s">
        <v>28692</v>
      </c>
      <c r="B7706" s="15">
        <v>1860179.0</v>
      </c>
      <c r="D7706" s="15">
        <v>0.0</v>
      </c>
      <c r="E7706" s="15" t="s">
        <v>1557</v>
      </c>
      <c r="F7706" s="15" t="s">
        <v>1611</v>
      </c>
      <c r="G7706" s="7">
        <v>45.451</v>
      </c>
      <c r="H7706" s="15" t="s">
        <v>2118</v>
      </c>
      <c r="I7706" s="15" t="s">
        <v>1586</v>
      </c>
      <c r="J7706" s="15" t="s">
        <v>28693</v>
      </c>
      <c r="K7706" s="15">
        <v>2.0</v>
      </c>
      <c r="L7706" s="15">
        <v>72.0</v>
      </c>
      <c r="M7706" s="40">
        <v>42886.0</v>
      </c>
      <c r="N7706" s="40">
        <v>42886.0</v>
      </c>
      <c r="O7706" s="15" t="s">
        <v>1554</v>
      </c>
      <c r="Q7706" s="7"/>
    </row>
    <row r="7707">
      <c r="A7707" s="39" t="s">
        <v>28695</v>
      </c>
      <c r="B7707" s="15">
        <v>1860190.0</v>
      </c>
      <c r="D7707" s="15">
        <v>0.0</v>
      </c>
      <c r="E7707" s="15" t="s">
        <v>4407</v>
      </c>
      <c r="F7707" s="15" t="s">
        <v>1578</v>
      </c>
      <c r="G7707" s="7">
        <v>14.113</v>
      </c>
      <c r="H7707" s="15">
        <v>41.0</v>
      </c>
      <c r="I7707" s="15" t="s">
        <v>1586</v>
      </c>
      <c r="J7707" s="15" t="s">
        <v>28696</v>
      </c>
      <c r="K7707" s="15" t="s">
        <v>1722</v>
      </c>
      <c r="L7707" s="15">
        <v>24.0</v>
      </c>
      <c r="M7707" s="40">
        <v>42886.0</v>
      </c>
      <c r="N7707" s="40">
        <v>42886.0</v>
      </c>
      <c r="O7707" s="15" t="s">
        <v>1554</v>
      </c>
      <c r="Q7707" s="7"/>
    </row>
    <row r="7708">
      <c r="A7708" s="39" t="s">
        <v>28697</v>
      </c>
      <c r="B7708" s="15">
        <v>1860191.0</v>
      </c>
      <c r="D7708" s="15">
        <v>0.0</v>
      </c>
      <c r="E7708" s="15" t="s">
        <v>4407</v>
      </c>
      <c r="F7708" s="15" t="s">
        <v>1578</v>
      </c>
      <c r="G7708" s="7">
        <v>11.295</v>
      </c>
      <c r="H7708" s="15" t="s">
        <v>2396</v>
      </c>
      <c r="I7708" s="15" t="s">
        <v>1586</v>
      </c>
      <c r="J7708" s="15" t="s">
        <v>28698</v>
      </c>
      <c r="K7708" s="15">
        <v>1.0</v>
      </c>
      <c r="L7708" s="15">
        <v>19.0</v>
      </c>
      <c r="M7708" s="40">
        <v>42886.0</v>
      </c>
      <c r="N7708" s="40">
        <v>42886.0</v>
      </c>
      <c r="O7708" s="15" t="s">
        <v>1554</v>
      </c>
      <c r="Q7708" s="7"/>
    </row>
    <row r="7709">
      <c r="A7709" s="39" t="s">
        <v>28700</v>
      </c>
      <c r="B7709" s="15">
        <v>1860192.0</v>
      </c>
      <c r="D7709" s="15">
        <v>0.0</v>
      </c>
      <c r="E7709" s="15" t="s">
        <v>1557</v>
      </c>
      <c r="F7709" s="15" t="s">
        <v>1611</v>
      </c>
      <c r="G7709" s="7">
        <v>22.861</v>
      </c>
      <c r="H7709" s="15" t="s">
        <v>2648</v>
      </c>
      <c r="I7709" s="15" t="s">
        <v>1586</v>
      </c>
      <c r="J7709" s="15" t="s">
        <v>28701</v>
      </c>
      <c r="K7709" s="15" t="s">
        <v>1722</v>
      </c>
      <c r="L7709" s="15">
        <v>26.0</v>
      </c>
      <c r="M7709" s="40">
        <v>42886.0</v>
      </c>
      <c r="N7709" s="40">
        <v>42886.0</v>
      </c>
      <c r="O7709" s="15" t="s">
        <v>1554</v>
      </c>
      <c r="Q7709" s="7"/>
    </row>
    <row r="7710">
      <c r="A7710" s="39" t="s">
        <v>28702</v>
      </c>
      <c r="B7710" s="15">
        <v>1860193.0</v>
      </c>
      <c r="D7710" s="15">
        <v>0.0</v>
      </c>
      <c r="E7710" s="15" t="s">
        <v>1557</v>
      </c>
      <c r="F7710" s="15" t="s">
        <v>1611</v>
      </c>
      <c r="G7710" s="7">
        <v>41.057</v>
      </c>
      <c r="H7710" s="15" t="s">
        <v>2118</v>
      </c>
      <c r="I7710" s="15" t="s">
        <v>1586</v>
      </c>
      <c r="J7710" s="15" t="s">
        <v>28703</v>
      </c>
      <c r="K7710" s="15" t="s">
        <v>1722</v>
      </c>
      <c r="L7710" s="15">
        <v>64.0</v>
      </c>
      <c r="M7710" s="40">
        <v>42886.0</v>
      </c>
      <c r="N7710" s="40">
        <v>42886.0</v>
      </c>
      <c r="O7710" s="15" t="s">
        <v>1554</v>
      </c>
      <c r="Q7710" s="7"/>
    </row>
    <row r="7711">
      <c r="A7711" s="39" t="s">
        <v>28704</v>
      </c>
      <c r="B7711" s="15">
        <v>1860194.0</v>
      </c>
      <c r="D7711" s="15">
        <v>0.0</v>
      </c>
      <c r="E7711" s="15" t="s">
        <v>4407</v>
      </c>
      <c r="F7711" s="15" t="s">
        <v>1578</v>
      </c>
      <c r="G7711" s="7">
        <v>67.195</v>
      </c>
      <c r="H7711" s="15" t="s">
        <v>2857</v>
      </c>
      <c r="I7711" s="15" t="s">
        <v>1586</v>
      </c>
      <c r="J7711" s="15" t="s">
        <v>28705</v>
      </c>
      <c r="K7711" s="15">
        <v>6.0</v>
      </c>
      <c r="L7711" s="15">
        <v>76.0</v>
      </c>
      <c r="M7711" s="40">
        <v>42886.0</v>
      </c>
      <c r="N7711" s="40">
        <v>42886.0</v>
      </c>
      <c r="O7711" s="15" t="s">
        <v>1554</v>
      </c>
      <c r="Q7711" s="7"/>
    </row>
    <row r="7712">
      <c r="A7712" s="39" t="s">
        <v>28707</v>
      </c>
      <c r="B7712" s="15">
        <v>1860195.0</v>
      </c>
      <c r="D7712" s="15">
        <v>0.0</v>
      </c>
      <c r="E7712" s="15" t="s">
        <v>4407</v>
      </c>
      <c r="F7712" s="15" t="s">
        <v>1578</v>
      </c>
      <c r="G7712" s="7">
        <v>33.253</v>
      </c>
      <c r="H7712" s="15" t="s">
        <v>1559</v>
      </c>
      <c r="I7712" s="15" t="s">
        <v>1586</v>
      </c>
      <c r="J7712" s="15" t="s">
        <v>28708</v>
      </c>
      <c r="K7712" s="15">
        <v>1.0</v>
      </c>
      <c r="L7712" s="15">
        <v>46.0</v>
      </c>
      <c r="M7712" s="40">
        <v>42886.0</v>
      </c>
      <c r="N7712" s="40">
        <v>42886.0</v>
      </c>
      <c r="O7712" s="15" t="s">
        <v>1554</v>
      </c>
      <c r="Q7712" s="7"/>
    </row>
    <row r="7713">
      <c r="A7713" s="39" t="s">
        <v>28709</v>
      </c>
      <c r="B7713" s="15">
        <v>1868594.0</v>
      </c>
      <c r="D7713" s="15">
        <v>0.0</v>
      </c>
      <c r="E7713" s="15" t="s">
        <v>1557</v>
      </c>
      <c r="F7713" s="15" t="s">
        <v>1767</v>
      </c>
      <c r="G7713" s="7">
        <v>49.822</v>
      </c>
      <c r="H7713" s="15">
        <v>29.0</v>
      </c>
      <c r="I7713" s="15" t="s">
        <v>1586</v>
      </c>
      <c r="J7713" s="15" t="s">
        <v>28710</v>
      </c>
      <c r="K7713" s="15">
        <v>75.0</v>
      </c>
      <c r="L7713" s="15">
        <v>75.0</v>
      </c>
      <c r="M7713" s="41">
        <v>42699.0</v>
      </c>
      <c r="N7713" s="41">
        <v>42699.0</v>
      </c>
      <c r="O7713" s="15" t="s">
        <v>1554</v>
      </c>
      <c r="Q7713" s="7"/>
    </row>
    <row r="7714">
      <c r="A7714" s="39" t="s">
        <v>28711</v>
      </c>
      <c r="B7714" s="15">
        <v>1868595.0</v>
      </c>
      <c r="D7714" s="15">
        <v>0.0</v>
      </c>
      <c r="E7714" s="15" t="s">
        <v>1557</v>
      </c>
      <c r="F7714" s="15" t="s">
        <v>1767</v>
      </c>
      <c r="G7714" s="7">
        <v>50.605</v>
      </c>
      <c r="H7714" s="42">
        <v>43309.0</v>
      </c>
      <c r="I7714" s="15" t="s">
        <v>1586</v>
      </c>
      <c r="J7714" s="15" t="s">
        <v>28712</v>
      </c>
      <c r="K7714" s="15">
        <v>79.0</v>
      </c>
      <c r="L7714" s="15">
        <v>79.0</v>
      </c>
      <c r="M7714" s="41">
        <v>42699.0</v>
      </c>
      <c r="N7714" s="41">
        <v>42699.0</v>
      </c>
      <c r="O7714" s="15" t="s">
        <v>1554</v>
      </c>
      <c r="Q7714" s="7"/>
    </row>
    <row r="7715">
      <c r="A7715" s="39" t="s">
        <v>28714</v>
      </c>
      <c r="B7715" s="15">
        <v>1868597.0</v>
      </c>
      <c r="D7715" s="15">
        <v>0.0</v>
      </c>
      <c r="E7715" s="15" t="s">
        <v>1557</v>
      </c>
      <c r="F7715" s="15" t="s">
        <v>1833</v>
      </c>
      <c r="G7715" s="7">
        <v>60.973</v>
      </c>
      <c r="H7715" s="15" t="s">
        <v>4653</v>
      </c>
      <c r="I7715" s="15" t="s">
        <v>1586</v>
      </c>
      <c r="J7715" s="15" t="s">
        <v>28715</v>
      </c>
      <c r="K7715" s="15" t="s">
        <v>1722</v>
      </c>
      <c r="L7715" s="15">
        <v>83.0</v>
      </c>
      <c r="M7715" s="40">
        <v>42556.0</v>
      </c>
      <c r="N7715" s="40">
        <v>42556.0</v>
      </c>
      <c r="O7715" s="15" t="s">
        <v>1554</v>
      </c>
      <c r="Q7715" s="7"/>
    </row>
    <row r="7716">
      <c r="A7716" s="39" t="s">
        <v>28716</v>
      </c>
      <c r="B7716" s="15">
        <v>1868600.0</v>
      </c>
      <c r="D7716" s="15">
        <v>0.0</v>
      </c>
      <c r="E7716" s="15" t="s">
        <v>1557</v>
      </c>
      <c r="F7716" s="15" t="s">
        <v>1833</v>
      </c>
      <c r="G7716" s="7">
        <v>48.709</v>
      </c>
      <c r="H7716" s="15" t="s">
        <v>4595</v>
      </c>
      <c r="I7716" s="15" t="s">
        <v>1586</v>
      </c>
      <c r="J7716" s="15" t="s">
        <v>28717</v>
      </c>
      <c r="K7716" s="15" t="s">
        <v>1722</v>
      </c>
      <c r="L7716" s="15">
        <v>81.0</v>
      </c>
      <c r="M7716" s="40">
        <v>42571.0</v>
      </c>
      <c r="N7716" s="40">
        <v>42571.0</v>
      </c>
      <c r="O7716" s="15" t="s">
        <v>1554</v>
      </c>
      <c r="Q7716" s="7"/>
    </row>
    <row r="7717">
      <c r="A7717" s="39" t="s">
        <v>28718</v>
      </c>
      <c r="B7717" s="15">
        <v>1868601.0</v>
      </c>
      <c r="D7717" s="15">
        <v>0.0</v>
      </c>
      <c r="E7717" s="15" t="s">
        <v>1557</v>
      </c>
      <c r="F7717" s="15" t="s">
        <v>1833</v>
      </c>
      <c r="G7717" s="7">
        <v>48.055</v>
      </c>
      <c r="H7717" s="15" t="s">
        <v>2752</v>
      </c>
      <c r="I7717" s="15" t="s">
        <v>1586</v>
      </c>
      <c r="J7717" s="15" t="s">
        <v>28720</v>
      </c>
      <c r="K7717" s="15" t="s">
        <v>1722</v>
      </c>
      <c r="L7717" s="15">
        <v>80.0</v>
      </c>
      <c r="M7717" s="40">
        <v>42571.0</v>
      </c>
      <c r="N7717" s="40">
        <v>42571.0</v>
      </c>
      <c r="O7717" s="15" t="s">
        <v>1554</v>
      </c>
      <c r="Q7717" s="7"/>
    </row>
    <row r="7718">
      <c r="A7718" s="39" t="s">
        <v>28721</v>
      </c>
      <c r="B7718" s="15">
        <v>1868824.0</v>
      </c>
      <c r="D7718" s="15">
        <v>0.0</v>
      </c>
      <c r="E7718" s="15" t="s">
        <v>1557</v>
      </c>
      <c r="F7718" s="15" t="s">
        <v>1833</v>
      </c>
      <c r="G7718" s="7">
        <v>37.385</v>
      </c>
      <c r="H7718" s="15" t="s">
        <v>2233</v>
      </c>
      <c r="I7718" s="15" t="s">
        <v>1586</v>
      </c>
      <c r="J7718" s="15" t="s">
        <v>28722</v>
      </c>
      <c r="K7718" s="15">
        <v>59.0</v>
      </c>
      <c r="L7718" s="15">
        <v>59.0</v>
      </c>
      <c r="M7718" s="40">
        <v>42571.0</v>
      </c>
      <c r="N7718" s="40">
        <v>42571.0</v>
      </c>
      <c r="O7718" s="15" t="s">
        <v>1554</v>
      </c>
      <c r="Q7718" s="7"/>
    </row>
    <row r="7719">
      <c r="A7719" s="39" t="s">
        <v>28723</v>
      </c>
      <c r="B7719" s="15">
        <v>1868825.0</v>
      </c>
      <c r="D7719" s="15">
        <v>0.0</v>
      </c>
      <c r="E7719" s="15" t="s">
        <v>4407</v>
      </c>
      <c r="F7719" s="15" t="s">
        <v>1578</v>
      </c>
      <c r="G7719" s="7">
        <v>26.471</v>
      </c>
      <c r="H7719" s="15">
        <v>35.0</v>
      </c>
      <c r="I7719" s="15" t="s">
        <v>1586</v>
      </c>
      <c r="J7719" s="15" t="s">
        <v>28724</v>
      </c>
      <c r="K7719" s="15">
        <v>30.0</v>
      </c>
      <c r="L7719" s="15">
        <v>30.0</v>
      </c>
      <c r="M7719" s="40">
        <v>42571.0</v>
      </c>
      <c r="N7719" s="40">
        <v>42650.0</v>
      </c>
      <c r="O7719" s="15" t="s">
        <v>1554</v>
      </c>
      <c r="Q7719" s="7"/>
    </row>
    <row r="7720">
      <c r="A7720" s="39" t="s">
        <v>28726</v>
      </c>
      <c r="B7720" s="15">
        <v>1868826.0</v>
      </c>
      <c r="D7720" s="15">
        <v>0.0</v>
      </c>
      <c r="E7720" s="15" t="s">
        <v>4407</v>
      </c>
      <c r="F7720" s="15" t="s">
        <v>1578</v>
      </c>
      <c r="G7720" s="7">
        <v>50.74</v>
      </c>
      <c r="H7720" s="15" t="s">
        <v>3309</v>
      </c>
      <c r="I7720" s="15" t="s">
        <v>1586</v>
      </c>
      <c r="J7720" s="15" t="s">
        <v>28727</v>
      </c>
      <c r="K7720" s="15">
        <v>75.0</v>
      </c>
      <c r="L7720" s="15">
        <v>75.0</v>
      </c>
      <c r="M7720" s="40">
        <v>42571.0</v>
      </c>
      <c r="N7720" s="40">
        <v>42650.0</v>
      </c>
      <c r="O7720" s="15" t="s">
        <v>1554</v>
      </c>
      <c r="Q7720" s="7"/>
    </row>
    <row r="7721">
      <c r="A7721" s="39" t="s">
        <v>28728</v>
      </c>
      <c r="B7721" s="15">
        <v>1868827.0</v>
      </c>
      <c r="D7721" s="15">
        <v>0.0</v>
      </c>
      <c r="E7721" s="15" t="s">
        <v>4407</v>
      </c>
      <c r="F7721" s="15" t="s">
        <v>1578</v>
      </c>
      <c r="G7721" s="7">
        <v>34.986</v>
      </c>
      <c r="H7721" s="15" t="s">
        <v>3568</v>
      </c>
      <c r="I7721" s="15" t="s">
        <v>1586</v>
      </c>
      <c r="J7721" s="15" t="s">
        <v>28729</v>
      </c>
      <c r="K7721" s="15">
        <v>47.0</v>
      </c>
      <c r="L7721" s="15">
        <v>47.0</v>
      </c>
      <c r="M7721" s="40">
        <v>42571.0</v>
      </c>
      <c r="N7721" s="40">
        <v>42650.0</v>
      </c>
      <c r="O7721" s="15" t="s">
        <v>1554</v>
      </c>
      <c r="Q7721" s="7"/>
    </row>
    <row r="7722">
      <c r="A7722" s="39" t="s">
        <v>28730</v>
      </c>
      <c r="B7722" s="15">
        <v>1868828.0</v>
      </c>
      <c r="D7722" s="15">
        <v>0.0</v>
      </c>
      <c r="E7722" s="15" t="s">
        <v>1557</v>
      </c>
      <c r="F7722" s="15" t="s">
        <v>1767</v>
      </c>
      <c r="G7722" s="7">
        <v>66.922</v>
      </c>
      <c r="H7722" s="15" t="s">
        <v>1617</v>
      </c>
      <c r="I7722" s="15" t="s">
        <v>1586</v>
      </c>
      <c r="J7722" s="15" t="s">
        <v>28731</v>
      </c>
      <c r="K7722" s="15">
        <v>90.0</v>
      </c>
      <c r="L7722" s="15">
        <v>90.0</v>
      </c>
      <c r="M7722" s="40">
        <v>42868.0</v>
      </c>
      <c r="N7722" s="40">
        <v>42868.0</v>
      </c>
      <c r="O7722" s="15" t="s">
        <v>1554</v>
      </c>
      <c r="Q7722" s="7"/>
    </row>
    <row r="7723">
      <c r="A7723" s="39" t="s">
        <v>28732</v>
      </c>
      <c r="B7723" s="15">
        <v>1868829.0</v>
      </c>
      <c r="D7723" s="15">
        <v>0.0</v>
      </c>
      <c r="E7723" s="15" t="s">
        <v>1557</v>
      </c>
      <c r="F7723" s="15" t="s">
        <v>1611</v>
      </c>
      <c r="G7723" s="7">
        <v>72.728</v>
      </c>
      <c r="H7723" s="15" t="s">
        <v>2996</v>
      </c>
      <c r="I7723" s="15" t="s">
        <v>1586</v>
      </c>
      <c r="J7723" s="15" t="s">
        <v>28733</v>
      </c>
      <c r="K7723" s="15">
        <v>92.0</v>
      </c>
      <c r="L7723" s="15">
        <v>92.0</v>
      </c>
      <c r="M7723" s="40">
        <v>42868.0</v>
      </c>
      <c r="N7723" s="40">
        <v>42868.0</v>
      </c>
      <c r="O7723" s="15" t="s">
        <v>1554</v>
      </c>
      <c r="Q7723" s="7"/>
    </row>
    <row r="7724">
      <c r="A7724" s="39" t="s">
        <v>28735</v>
      </c>
      <c r="B7724" s="15">
        <v>1868842.0</v>
      </c>
      <c r="D7724" s="15">
        <v>0.0</v>
      </c>
      <c r="E7724" s="15" t="s">
        <v>1557</v>
      </c>
      <c r="F7724" s="15" t="s">
        <v>1611</v>
      </c>
      <c r="G7724" s="7">
        <v>72.508</v>
      </c>
      <c r="H7724" s="15" t="s">
        <v>2996</v>
      </c>
      <c r="I7724" s="15" t="s">
        <v>1586</v>
      </c>
      <c r="J7724" s="15" t="s">
        <v>28736</v>
      </c>
      <c r="K7724" s="15">
        <v>91.0</v>
      </c>
      <c r="L7724" s="15">
        <v>91.0</v>
      </c>
      <c r="M7724" s="40">
        <v>42868.0</v>
      </c>
      <c r="N7724" s="40">
        <v>42868.0</v>
      </c>
      <c r="O7724" s="15" t="s">
        <v>1554</v>
      </c>
      <c r="Q7724" s="7"/>
    </row>
    <row r="7725">
      <c r="A7725" s="39" t="s">
        <v>28737</v>
      </c>
      <c r="B7725" s="15">
        <v>1868843.0</v>
      </c>
      <c r="D7725" s="15">
        <v>0.0</v>
      </c>
      <c r="E7725" s="15" t="s">
        <v>1557</v>
      </c>
      <c r="F7725" s="15" t="s">
        <v>1767</v>
      </c>
      <c r="G7725" s="7">
        <v>158.986</v>
      </c>
      <c r="H7725" s="15" t="s">
        <v>1983</v>
      </c>
      <c r="I7725" s="15" t="s">
        <v>1586</v>
      </c>
      <c r="J7725" s="15" t="s">
        <v>28738</v>
      </c>
      <c r="K7725" s="15">
        <v>208.0</v>
      </c>
      <c r="L7725" s="15">
        <v>204.0</v>
      </c>
      <c r="M7725" s="40">
        <v>42868.0</v>
      </c>
      <c r="N7725" s="40">
        <v>42868.0</v>
      </c>
      <c r="O7725" s="15" t="s">
        <v>1554</v>
      </c>
      <c r="Q7725" s="7"/>
    </row>
    <row r="7726">
      <c r="A7726" s="39" t="s">
        <v>28739</v>
      </c>
      <c r="B7726" s="15">
        <v>1868844.0</v>
      </c>
      <c r="D7726" s="15">
        <v>0.0</v>
      </c>
      <c r="E7726" s="15" t="s">
        <v>4407</v>
      </c>
      <c r="F7726" s="15" t="s">
        <v>1578</v>
      </c>
      <c r="G7726" s="7">
        <v>139.681</v>
      </c>
      <c r="H7726" s="42">
        <v>43343.0</v>
      </c>
      <c r="I7726" s="15" t="s">
        <v>1586</v>
      </c>
      <c r="J7726" s="15" t="s">
        <v>28741</v>
      </c>
      <c r="K7726" s="15">
        <v>203.0</v>
      </c>
      <c r="L7726" s="15">
        <v>203.0</v>
      </c>
      <c r="M7726" s="40">
        <v>42868.0</v>
      </c>
      <c r="N7726" s="40">
        <v>42868.0</v>
      </c>
      <c r="O7726" s="15" t="s">
        <v>1554</v>
      </c>
      <c r="Q7726" s="7"/>
    </row>
    <row r="7727">
      <c r="A7727" s="39" t="s">
        <v>28742</v>
      </c>
      <c r="B7727" s="15">
        <v>1868845.0</v>
      </c>
      <c r="D7727" s="15">
        <v>0.0</v>
      </c>
      <c r="E7727" s="15" t="s">
        <v>4407</v>
      </c>
      <c r="F7727" s="15" t="s">
        <v>1578</v>
      </c>
      <c r="G7727" s="7">
        <v>139.682</v>
      </c>
      <c r="H7727" s="42">
        <v>43343.0</v>
      </c>
      <c r="I7727" s="15" t="s">
        <v>1586</v>
      </c>
      <c r="J7727" s="15" t="s">
        <v>28743</v>
      </c>
      <c r="K7727" s="15">
        <v>202.0</v>
      </c>
      <c r="L7727" s="15">
        <v>202.0</v>
      </c>
      <c r="M7727" s="40">
        <v>42868.0</v>
      </c>
      <c r="N7727" s="40">
        <v>42868.0</v>
      </c>
      <c r="O7727" s="15" t="s">
        <v>1554</v>
      </c>
      <c r="Q7727" s="7"/>
    </row>
    <row r="7728">
      <c r="A7728" s="39" t="s">
        <v>28744</v>
      </c>
      <c r="B7728" s="15">
        <v>1868846.0</v>
      </c>
      <c r="D7728" s="15">
        <v>0.0</v>
      </c>
      <c r="E7728" s="15" t="s">
        <v>1557</v>
      </c>
      <c r="F7728" s="15" t="s">
        <v>1833</v>
      </c>
      <c r="G7728" s="7">
        <v>34.067</v>
      </c>
      <c r="H7728" s="15" t="s">
        <v>3568</v>
      </c>
      <c r="I7728" s="15" t="s">
        <v>1586</v>
      </c>
      <c r="J7728" s="15" t="s">
        <v>28745</v>
      </c>
      <c r="K7728" s="15">
        <v>60.0</v>
      </c>
      <c r="L7728" s="15">
        <v>60.0</v>
      </c>
      <c r="M7728" s="40">
        <v>42780.0</v>
      </c>
      <c r="N7728" s="40">
        <v>42780.0</v>
      </c>
      <c r="O7728" s="15" t="s">
        <v>1554</v>
      </c>
      <c r="Q7728" s="7"/>
    </row>
    <row r="7729">
      <c r="A7729" s="39" t="s">
        <v>28747</v>
      </c>
      <c r="B7729" s="15">
        <v>1868847.0</v>
      </c>
      <c r="D7729" s="15">
        <v>0.0</v>
      </c>
      <c r="E7729" s="15" t="s">
        <v>1557</v>
      </c>
      <c r="F7729" s="15" t="s">
        <v>1833</v>
      </c>
      <c r="G7729" s="7">
        <v>35.8</v>
      </c>
      <c r="H7729" s="15" t="s">
        <v>3554</v>
      </c>
      <c r="I7729" s="15" t="s">
        <v>1586</v>
      </c>
      <c r="J7729" s="15" t="s">
        <v>28748</v>
      </c>
      <c r="K7729" s="15">
        <v>60.0</v>
      </c>
      <c r="L7729" s="15">
        <v>60.0</v>
      </c>
      <c r="M7729" s="40">
        <v>42780.0</v>
      </c>
      <c r="N7729" s="40">
        <v>42780.0</v>
      </c>
      <c r="O7729" s="15" t="s">
        <v>1554</v>
      </c>
      <c r="Q7729" s="7"/>
    </row>
    <row r="7730">
      <c r="A7730" s="39" t="s">
        <v>28749</v>
      </c>
      <c r="B7730" s="15">
        <v>1868848.0</v>
      </c>
      <c r="D7730" s="15">
        <v>0.0</v>
      </c>
      <c r="E7730" s="15" t="s">
        <v>1557</v>
      </c>
      <c r="F7730" s="15" t="s">
        <v>1833</v>
      </c>
      <c r="G7730" s="7">
        <v>30.745</v>
      </c>
      <c r="H7730" s="15">
        <v>36.0</v>
      </c>
      <c r="I7730" s="15" t="s">
        <v>1586</v>
      </c>
      <c r="J7730" s="15" t="s">
        <v>28750</v>
      </c>
      <c r="K7730" s="15">
        <v>47.0</v>
      </c>
      <c r="L7730" s="15">
        <v>47.0</v>
      </c>
      <c r="M7730" s="40">
        <v>42780.0</v>
      </c>
      <c r="N7730" s="40">
        <v>42780.0</v>
      </c>
      <c r="O7730" s="15" t="s">
        <v>1554</v>
      </c>
      <c r="Q7730" s="7"/>
    </row>
    <row r="7731">
      <c r="A7731" s="39" t="s">
        <v>28752</v>
      </c>
      <c r="B7731" s="15">
        <v>1868849.0</v>
      </c>
      <c r="D7731" s="15">
        <v>0.0</v>
      </c>
      <c r="E7731" s="15" t="s">
        <v>1557</v>
      </c>
      <c r="F7731" s="15" t="s">
        <v>1833</v>
      </c>
      <c r="G7731" s="7">
        <v>36.378</v>
      </c>
      <c r="H7731" s="15" t="s">
        <v>3317</v>
      </c>
      <c r="I7731" s="15" t="s">
        <v>1586</v>
      </c>
      <c r="J7731" s="15" t="s">
        <v>28753</v>
      </c>
      <c r="K7731" s="15">
        <v>53.0</v>
      </c>
      <c r="L7731" s="15">
        <v>53.0</v>
      </c>
      <c r="M7731" s="40">
        <v>42780.0</v>
      </c>
      <c r="N7731" s="40">
        <v>42780.0</v>
      </c>
      <c r="O7731" s="15" t="s">
        <v>1554</v>
      </c>
      <c r="Q7731" s="7"/>
    </row>
    <row r="7732">
      <c r="A7732" s="39" t="s">
        <v>28754</v>
      </c>
      <c r="B7732" s="15">
        <v>1868850.0</v>
      </c>
      <c r="D7732" s="15">
        <v>0.0</v>
      </c>
      <c r="E7732" s="15" t="s">
        <v>1557</v>
      </c>
      <c r="F7732" s="15" t="s">
        <v>1833</v>
      </c>
      <c r="G7732" s="7">
        <v>36.445</v>
      </c>
      <c r="H7732" s="15">
        <v>36.0</v>
      </c>
      <c r="I7732" s="15" t="s">
        <v>1586</v>
      </c>
      <c r="J7732" s="15" t="s">
        <v>28755</v>
      </c>
      <c r="K7732" s="15">
        <v>58.0</v>
      </c>
      <c r="L7732" s="15">
        <v>58.0</v>
      </c>
      <c r="M7732" s="40">
        <v>42780.0</v>
      </c>
      <c r="N7732" s="40">
        <v>42780.0</v>
      </c>
      <c r="O7732" s="15" t="s">
        <v>1554</v>
      </c>
      <c r="Q7732" s="7"/>
    </row>
    <row r="7733">
      <c r="A7733" s="39" t="s">
        <v>28756</v>
      </c>
      <c r="B7733" s="15">
        <v>1868851.0</v>
      </c>
      <c r="D7733" s="15">
        <v>0.0</v>
      </c>
      <c r="E7733" s="15" t="s">
        <v>1557</v>
      </c>
      <c r="F7733" s="15" t="s">
        <v>1833</v>
      </c>
      <c r="G7733" s="7">
        <v>30.238</v>
      </c>
      <c r="H7733" s="15" t="s">
        <v>2288</v>
      </c>
      <c r="I7733" s="15" t="s">
        <v>1586</v>
      </c>
      <c r="J7733" s="15" t="s">
        <v>28758</v>
      </c>
      <c r="K7733" s="15">
        <v>49.0</v>
      </c>
      <c r="L7733" s="15">
        <v>49.0</v>
      </c>
      <c r="M7733" s="40">
        <v>42780.0</v>
      </c>
      <c r="N7733" s="40">
        <v>42780.0</v>
      </c>
      <c r="O7733" s="15" t="s">
        <v>1554</v>
      </c>
      <c r="Q7733" s="7"/>
    </row>
    <row r="7734">
      <c r="A7734" s="39" t="s">
        <v>28759</v>
      </c>
      <c r="B7734" s="15">
        <v>1868852.0</v>
      </c>
      <c r="D7734" s="15">
        <v>0.0</v>
      </c>
      <c r="E7734" s="15" t="s">
        <v>1557</v>
      </c>
      <c r="F7734" s="15" t="s">
        <v>1833</v>
      </c>
      <c r="G7734" s="7">
        <v>30.616</v>
      </c>
      <c r="H7734" s="15" t="s">
        <v>6583</v>
      </c>
      <c r="I7734" s="15" t="s">
        <v>1586</v>
      </c>
      <c r="J7734" s="15" t="s">
        <v>28760</v>
      </c>
      <c r="K7734" s="15">
        <v>52.0</v>
      </c>
      <c r="L7734" s="15">
        <v>52.0</v>
      </c>
      <c r="M7734" s="40">
        <v>42780.0</v>
      </c>
      <c r="N7734" s="40">
        <v>42780.0</v>
      </c>
      <c r="O7734" s="15" t="s">
        <v>1554</v>
      </c>
      <c r="Q7734" s="7"/>
    </row>
    <row r="7735">
      <c r="A7735" s="39" t="s">
        <v>28762</v>
      </c>
      <c r="B7735" s="15">
        <v>1868853.0</v>
      </c>
      <c r="D7735" s="15">
        <v>0.0</v>
      </c>
      <c r="E7735" s="15" t="s">
        <v>1557</v>
      </c>
      <c r="F7735" s="15" t="s">
        <v>1833</v>
      </c>
      <c r="G7735" s="7">
        <v>30.556</v>
      </c>
      <c r="H7735" s="15" t="s">
        <v>3317</v>
      </c>
      <c r="I7735" s="15" t="s">
        <v>1586</v>
      </c>
      <c r="J7735" s="15" t="s">
        <v>28763</v>
      </c>
      <c r="K7735" s="15">
        <v>50.0</v>
      </c>
      <c r="L7735" s="15">
        <v>50.0</v>
      </c>
      <c r="M7735" s="40">
        <v>42780.0</v>
      </c>
      <c r="N7735" s="40">
        <v>42780.0</v>
      </c>
      <c r="O7735" s="15" t="s">
        <v>1554</v>
      </c>
      <c r="Q7735" s="7"/>
    </row>
    <row r="7736">
      <c r="A7736" s="39" t="s">
        <v>28764</v>
      </c>
      <c r="B7736" s="15">
        <v>1868854.0</v>
      </c>
      <c r="D7736" s="15">
        <v>0.0</v>
      </c>
      <c r="E7736" s="15" t="s">
        <v>1557</v>
      </c>
      <c r="F7736" s="15" t="s">
        <v>1833</v>
      </c>
      <c r="G7736" s="7">
        <v>34.635</v>
      </c>
      <c r="H7736" s="15" t="s">
        <v>3554</v>
      </c>
      <c r="I7736" s="15" t="s">
        <v>1586</v>
      </c>
      <c r="J7736" s="15" t="s">
        <v>28765</v>
      </c>
      <c r="K7736" s="15">
        <v>55.0</v>
      </c>
      <c r="L7736" s="15">
        <v>55.0</v>
      </c>
      <c r="M7736" s="40">
        <v>42780.0</v>
      </c>
      <c r="N7736" s="40">
        <v>42780.0</v>
      </c>
      <c r="O7736" s="15" t="s">
        <v>1554</v>
      </c>
      <c r="Q7736" s="7"/>
    </row>
    <row r="7737">
      <c r="A7737" s="39" t="s">
        <v>28767</v>
      </c>
      <c r="B7737" s="15">
        <v>1868855.0</v>
      </c>
      <c r="D7737" s="15">
        <v>0.0</v>
      </c>
      <c r="E7737" s="15" t="s">
        <v>1557</v>
      </c>
      <c r="F7737" s="15" t="s">
        <v>1833</v>
      </c>
      <c r="G7737" s="7">
        <v>34.421</v>
      </c>
      <c r="H7737" s="15" t="s">
        <v>6303</v>
      </c>
      <c r="I7737" s="15" t="s">
        <v>1586</v>
      </c>
      <c r="J7737" s="15" t="s">
        <v>28768</v>
      </c>
      <c r="K7737" s="15">
        <v>53.0</v>
      </c>
      <c r="L7737" s="15">
        <v>53.0</v>
      </c>
      <c r="M7737" s="40">
        <v>42780.0</v>
      </c>
      <c r="N7737" s="40">
        <v>42780.0</v>
      </c>
      <c r="O7737" s="15" t="s">
        <v>1554</v>
      </c>
      <c r="Q7737" s="7"/>
    </row>
    <row r="7738">
      <c r="A7738" s="39" t="s">
        <v>28769</v>
      </c>
      <c r="B7738" s="15">
        <v>1868856.0</v>
      </c>
      <c r="D7738" s="15">
        <v>0.0</v>
      </c>
      <c r="E7738" s="15" t="s">
        <v>1557</v>
      </c>
      <c r="F7738" s="15" t="s">
        <v>1833</v>
      </c>
      <c r="G7738" s="7">
        <v>35.904</v>
      </c>
      <c r="H7738" s="15" t="s">
        <v>6303</v>
      </c>
      <c r="I7738" s="15" t="s">
        <v>1586</v>
      </c>
      <c r="J7738" s="15" t="s">
        <v>28770</v>
      </c>
      <c r="K7738" s="15">
        <v>58.0</v>
      </c>
      <c r="L7738" s="15">
        <v>58.0</v>
      </c>
      <c r="M7738" s="40">
        <v>42780.0</v>
      </c>
      <c r="N7738" s="40">
        <v>42780.0</v>
      </c>
      <c r="O7738" s="15" t="s">
        <v>1554</v>
      </c>
      <c r="Q7738" s="7"/>
    </row>
    <row r="7739">
      <c r="A7739" s="39" t="s">
        <v>28772</v>
      </c>
      <c r="B7739" s="15">
        <v>1868857.0</v>
      </c>
      <c r="D7739" s="15">
        <v>0.0</v>
      </c>
      <c r="E7739" s="15" t="s">
        <v>1557</v>
      </c>
      <c r="F7739" s="15" t="s">
        <v>1833</v>
      </c>
      <c r="G7739" s="7">
        <v>34.989</v>
      </c>
      <c r="H7739" s="15" t="s">
        <v>6583</v>
      </c>
      <c r="I7739" s="15" t="s">
        <v>1586</v>
      </c>
      <c r="J7739" s="15" t="s">
        <v>28773</v>
      </c>
      <c r="K7739" s="15">
        <v>55.0</v>
      </c>
      <c r="L7739" s="15">
        <v>55.0</v>
      </c>
      <c r="M7739" s="40">
        <v>42780.0</v>
      </c>
      <c r="N7739" s="40">
        <v>42780.0</v>
      </c>
      <c r="O7739" s="15" t="s">
        <v>1554</v>
      </c>
      <c r="Q7739" s="7"/>
    </row>
    <row r="7740">
      <c r="A7740" s="39" t="s">
        <v>28774</v>
      </c>
      <c r="B7740" s="15">
        <v>1868858.0</v>
      </c>
      <c r="D7740" s="15">
        <v>0.0</v>
      </c>
      <c r="E7740" s="15" t="s">
        <v>1557</v>
      </c>
      <c r="F7740" s="15" t="s">
        <v>1833</v>
      </c>
      <c r="G7740" s="7">
        <v>35.636</v>
      </c>
      <c r="H7740" s="15" t="s">
        <v>6583</v>
      </c>
      <c r="I7740" s="15" t="s">
        <v>1586</v>
      </c>
      <c r="J7740" s="15" t="s">
        <v>28776</v>
      </c>
      <c r="K7740" s="15">
        <v>53.0</v>
      </c>
      <c r="L7740" s="15">
        <v>53.0</v>
      </c>
      <c r="M7740" s="40">
        <v>42780.0</v>
      </c>
      <c r="N7740" s="40">
        <v>42780.0</v>
      </c>
      <c r="O7740" s="15" t="s">
        <v>1554</v>
      </c>
      <c r="Q7740" s="7"/>
    </row>
    <row r="7741">
      <c r="A7741" s="39" t="s">
        <v>28777</v>
      </c>
      <c r="B7741" s="15">
        <v>1868859.0</v>
      </c>
      <c r="D7741" s="15">
        <v>0.0</v>
      </c>
      <c r="E7741" s="15" t="s">
        <v>1557</v>
      </c>
      <c r="F7741" s="15" t="s">
        <v>1833</v>
      </c>
      <c r="G7741" s="7">
        <v>35.867</v>
      </c>
      <c r="H7741" s="15" t="s">
        <v>3317</v>
      </c>
      <c r="I7741" s="15" t="s">
        <v>1586</v>
      </c>
      <c r="J7741" s="15" t="s">
        <v>28778</v>
      </c>
      <c r="K7741" s="15">
        <v>52.0</v>
      </c>
      <c r="L7741" s="15">
        <v>52.0</v>
      </c>
      <c r="M7741" s="40">
        <v>42780.0</v>
      </c>
      <c r="N7741" s="40">
        <v>42780.0</v>
      </c>
      <c r="O7741" s="15" t="s">
        <v>1554</v>
      </c>
      <c r="Q7741" s="7"/>
    </row>
    <row r="7742">
      <c r="A7742" s="39" t="s">
        <v>28780</v>
      </c>
      <c r="B7742" s="15">
        <v>1868860.0</v>
      </c>
      <c r="D7742" s="15">
        <v>0.0</v>
      </c>
      <c r="E7742" s="15" t="s">
        <v>1557</v>
      </c>
      <c r="F7742" s="15" t="s">
        <v>1833</v>
      </c>
      <c r="G7742" s="7">
        <v>38.334</v>
      </c>
      <c r="H7742" s="15" t="s">
        <v>2752</v>
      </c>
      <c r="I7742" s="15" t="s">
        <v>1586</v>
      </c>
      <c r="J7742" s="15" t="s">
        <v>28781</v>
      </c>
      <c r="K7742" s="15">
        <v>56.0</v>
      </c>
      <c r="L7742" s="15">
        <v>56.0</v>
      </c>
      <c r="M7742" s="40">
        <v>42780.0</v>
      </c>
      <c r="N7742" s="40">
        <v>42780.0</v>
      </c>
      <c r="O7742" s="15" t="s">
        <v>1554</v>
      </c>
      <c r="Q7742" s="7"/>
    </row>
    <row r="7743">
      <c r="A7743" s="39" t="s">
        <v>28782</v>
      </c>
      <c r="B7743" s="15">
        <v>1868861.0</v>
      </c>
      <c r="D7743" s="15">
        <v>0.0</v>
      </c>
      <c r="E7743" s="15" t="s">
        <v>1557</v>
      </c>
      <c r="F7743" s="15" t="s">
        <v>1833</v>
      </c>
      <c r="G7743" s="7">
        <v>31.446</v>
      </c>
      <c r="H7743" s="15" t="s">
        <v>6303</v>
      </c>
      <c r="I7743" s="15" t="s">
        <v>1586</v>
      </c>
      <c r="J7743" s="15" t="s">
        <v>28784</v>
      </c>
      <c r="K7743" s="15">
        <v>52.0</v>
      </c>
      <c r="L7743" s="15">
        <v>52.0</v>
      </c>
      <c r="M7743" s="40">
        <v>42780.0</v>
      </c>
      <c r="N7743" s="40">
        <v>42780.0</v>
      </c>
      <c r="O7743" s="15" t="s">
        <v>1554</v>
      </c>
      <c r="Q7743" s="7"/>
    </row>
    <row r="7744">
      <c r="A7744" s="39" t="s">
        <v>28785</v>
      </c>
      <c r="B7744" s="15">
        <v>1868862.0</v>
      </c>
      <c r="D7744" s="15">
        <v>0.0</v>
      </c>
      <c r="E7744" s="15" t="s">
        <v>1557</v>
      </c>
      <c r="F7744" s="15" t="s">
        <v>1833</v>
      </c>
      <c r="G7744" s="7">
        <v>35.188</v>
      </c>
      <c r="H7744" s="15" t="s">
        <v>3568</v>
      </c>
      <c r="I7744" s="15" t="s">
        <v>1586</v>
      </c>
      <c r="J7744" s="15" t="s">
        <v>28786</v>
      </c>
      <c r="K7744" s="15">
        <v>53.0</v>
      </c>
      <c r="L7744" s="15">
        <v>53.0</v>
      </c>
      <c r="M7744" s="40">
        <v>42780.0</v>
      </c>
      <c r="N7744" s="40">
        <v>42780.0</v>
      </c>
      <c r="O7744" s="15" t="s">
        <v>1554</v>
      </c>
      <c r="Q7744" s="7"/>
    </row>
    <row r="7745">
      <c r="A7745" s="39" t="s">
        <v>28787</v>
      </c>
      <c r="B7745" s="15">
        <v>1871314.0</v>
      </c>
      <c r="D7745" s="15">
        <v>0.0</v>
      </c>
      <c r="E7745" s="15" t="s">
        <v>1557</v>
      </c>
      <c r="F7745" s="15" t="s">
        <v>1611</v>
      </c>
      <c r="G7745" s="7">
        <v>45.26</v>
      </c>
      <c r="H7745" s="15" t="s">
        <v>9707</v>
      </c>
      <c r="I7745" s="15" t="s">
        <v>1586</v>
      </c>
      <c r="J7745" s="15" t="s">
        <v>28788</v>
      </c>
      <c r="K7745" s="15" t="s">
        <v>1722</v>
      </c>
      <c r="L7745" s="15">
        <v>53.0</v>
      </c>
      <c r="M7745" s="40">
        <v>42567.0</v>
      </c>
      <c r="N7745" s="40">
        <v>42683.0</v>
      </c>
      <c r="O7745" s="15" t="s">
        <v>1554</v>
      </c>
      <c r="Q7745" s="7"/>
    </row>
    <row r="7746">
      <c r="A7746" s="39" t="s">
        <v>28789</v>
      </c>
      <c r="B7746" s="15">
        <v>1873341.0</v>
      </c>
      <c r="D7746" s="15">
        <v>0.0</v>
      </c>
      <c r="E7746" s="15" t="s">
        <v>4407</v>
      </c>
      <c r="F7746" s="15" t="s">
        <v>1578</v>
      </c>
      <c r="G7746" s="7">
        <v>36.278</v>
      </c>
      <c r="H7746" s="15" t="s">
        <v>6633</v>
      </c>
      <c r="I7746" s="15" t="s">
        <v>1586</v>
      </c>
      <c r="J7746" s="15" t="s">
        <v>28791</v>
      </c>
      <c r="K7746" s="15">
        <v>40.0</v>
      </c>
      <c r="L7746" s="15">
        <v>40.0</v>
      </c>
      <c r="M7746" s="40">
        <v>42897.0</v>
      </c>
      <c r="N7746" s="40">
        <v>42897.0</v>
      </c>
      <c r="O7746" s="15" t="s">
        <v>1554</v>
      </c>
      <c r="Q7746" s="7"/>
    </row>
    <row r="7747">
      <c r="A7747" s="39" t="s">
        <v>28792</v>
      </c>
      <c r="B7747" s="15">
        <v>1873778.0</v>
      </c>
      <c r="D7747" s="15">
        <v>0.0</v>
      </c>
      <c r="E7747" s="15" t="s">
        <v>1557</v>
      </c>
      <c r="F7747" s="15" t="s">
        <v>1611</v>
      </c>
      <c r="G7747" s="7">
        <v>44.559</v>
      </c>
      <c r="H7747" s="15" t="s">
        <v>3082</v>
      </c>
      <c r="I7747" s="15" t="s">
        <v>1586</v>
      </c>
      <c r="J7747" s="15" t="s">
        <v>28793</v>
      </c>
      <c r="K7747" s="15" t="s">
        <v>1722</v>
      </c>
      <c r="L7747" s="15">
        <v>52.0</v>
      </c>
      <c r="M7747" s="40">
        <v>42772.0</v>
      </c>
      <c r="N7747" s="40">
        <v>42907.0</v>
      </c>
      <c r="O7747" s="15" t="s">
        <v>1554</v>
      </c>
      <c r="Q7747" s="7"/>
    </row>
    <row r="7748">
      <c r="A7748" s="39" t="s">
        <v>28794</v>
      </c>
      <c r="B7748" s="15">
        <v>1873894.0</v>
      </c>
      <c r="D7748" s="15">
        <v>0.0</v>
      </c>
      <c r="E7748" s="15" t="s">
        <v>1557</v>
      </c>
      <c r="F7748" s="15" t="s">
        <v>1767</v>
      </c>
      <c r="G7748" s="7">
        <v>158.127</v>
      </c>
      <c r="H7748" s="15" t="s">
        <v>2320</v>
      </c>
      <c r="I7748" s="15" t="s">
        <v>1586</v>
      </c>
      <c r="J7748" s="15" t="s">
        <v>28795</v>
      </c>
      <c r="K7748" s="15">
        <v>1.0</v>
      </c>
      <c r="L7748" s="15">
        <v>235.0</v>
      </c>
      <c r="M7748" s="40">
        <v>42948.0</v>
      </c>
      <c r="N7748" s="40">
        <v>42948.0</v>
      </c>
      <c r="O7748" s="15" t="s">
        <v>1554</v>
      </c>
      <c r="Q7748" s="7"/>
    </row>
    <row r="7749">
      <c r="A7749" s="39" t="s">
        <v>28796</v>
      </c>
      <c r="B7749" s="15">
        <v>1873904.0</v>
      </c>
      <c r="D7749" s="15">
        <v>0.0</v>
      </c>
      <c r="E7749" s="15" t="s">
        <v>1557</v>
      </c>
      <c r="F7749" s="15" t="s">
        <v>1833</v>
      </c>
      <c r="G7749" s="7">
        <v>40.823</v>
      </c>
      <c r="H7749" s="15" t="s">
        <v>2428</v>
      </c>
      <c r="I7749" s="15" t="s">
        <v>1586</v>
      </c>
      <c r="J7749" s="15" t="s">
        <v>28797</v>
      </c>
      <c r="K7749" s="15" t="s">
        <v>1722</v>
      </c>
      <c r="L7749" s="15">
        <v>57.0</v>
      </c>
      <c r="M7749" s="40">
        <v>42634.0</v>
      </c>
      <c r="N7749" s="40">
        <v>42634.0</v>
      </c>
      <c r="O7749" s="15" t="s">
        <v>1554</v>
      </c>
      <c r="Q7749" s="7"/>
    </row>
    <row r="7750">
      <c r="A7750" s="39" t="s">
        <v>28799</v>
      </c>
      <c r="B7750" s="15">
        <v>1873905.0</v>
      </c>
      <c r="D7750" s="15">
        <v>0.0</v>
      </c>
      <c r="E7750" s="15" t="s">
        <v>4407</v>
      </c>
      <c r="F7750" s="15" t="s">
        <v>1578</v>
      </c>
      <c r="G7750" s="7">
        <v>129.756</v>
      </c>
      <c r="H7750" s="15" t="s">
        <v>3309</v>
      </c>
      <c r="I7750" s="15" t="s">
        <v>1586</v>
      </c>
      <c r="J7750" s="15" t="s">
        <v>28800</v>
      </c>
      <c r="K7750" s="15" t="s">
        <v>1722</v>
      </c>
      <c r="L7750" s="15">
        <v>176.0</v>
      </c>
      <c r="M7750" s="40">
        <v>42634.0</v>
      </c>
      <c r="N7750" s="40">
        <v>42634.0</v>
      </c>
      <c r="O7750" s="15" t="s">
        <v>1554</v>
      </c>
      <c r="Q7750" s="7"/>
    </row>
    <row r="7751">
      <c r="A7751" s="39" t="s">
        <v>28801</v>
      </c>
      <c r="B7751" s="15">
        <v>1873954.0</v>
      </c>
      <c r="D7751" s="15">
        <v>0.0</v>
      </c>
      <c r="E7751" s="15" t="s">
        <v>1557</v>
      </c>
      <c r="F7751" s="15" t="s">
        <v>1767</v>
      </c>
      <c r="G7751" s="7">
        <v>181.57</v>
      </c>
      <c r="H7751" s="15" t="s">
        <v>1983</v>
      </c>
      <c r="I7751" s="15" t="s">
        <v>1586</v>
      </c>
      <c r="J7751" s="15" t="s">
        <v>28802</v>
      </c>
      <c r="K7751" s="15">
        <v>284.0</v>
      </c>
      <c r="L7751" s="15">
        <v>284.0</v>
      </c>
      <c r="M7751" s="40">
        <v>42865.0</v>
      </c>
      <c r="N7751" s="40">
        <v>42865.0</v>
      </c>
      <c r="O7751" s="15" t="s">
        <v>1554</v>
      </c>
      <c r="Q7751" s="7"/>
    </row>
    <row r="7752">
      <c r="A7752" s="39" t="s">
        <v>28803</v>
      </c>
      <c r="B7752" s="15">
        <v>1873994.0</v>
      </c>
      <c r="D7752" s="15">
        <v>0.0</v>
      </c>
      <c r="E7752" s="15" t="s">
        <v>1557</v>
      </c>
      <c r="F7752" s="15" t="s">
        <v>1833</v>
      </c>
      <c r="G7752" s="7">
        <v>51.067</v>
      </c>
      <c r="H7752" s="15" t="s">
        <v>13375</v>
      </c>
      <c r="I7752" s="15" t="s">
        <v>1586</v>
      </c>
      <c r="J7752" s="15" t="s">
        <v>28804</v>
      </c>
      <c r="K7752" s="15">
        <v>77.0</v>
      </c>
      <c r="L7752" s="15">
        <v>77.0</v>
      </c>
      <c r="M7752" s="40">
        <v>42634.0</v>
      </c>
      <c r="N7752" s="40">
        <v>42634.0</v>
      </c>
      <c r="O7752" s="15" t="s">
        <v>1554</v>
      </c>
      <c r="Q7752" s="7"/>
    </row>
    <row r="7753">
      <c r="A7753" s="39" t="s">
        <v>28805</v>
      </c>
      <c r="B7753" s="15">
        <v>1873995.0</v>
      </c>
      <c r="D7753" s="15">
        <v>0.0</v>
      </c>
      <c r="E7753" s="15" t="s">
        <v>1557</v>
      </c>
      <c r="F7753" s="15" t="s">
        <v>1833</v>
      </c>
      <c r="G7753" s="7">
        <v>50.701</v>
      </c>
      <c r="H7753" s="15" t="s">
        <v>13375</v>
      </c>
      <c r="I7753" s="15" t="s">
        <v>1586</v>
      </c>
      <c r="J7753" s="15" t="s">
        <v>28807</v>
      </c>
      <c r="K7753" s="15">
        <v>76.0</v>
      </c>
      <c r="L7753" s="15">
        <v>76.0</v>
      </c>
      <c r="M7753" s="40">
        <v>42634.0</v>
      </c>
      <c r="N7753" s="40">
        <v>42634.0</v>
      </c>
      <c r="O7753" s="15" t="s">
        <v>1554</v>
      </c>
      <c r="Q7753" s="7"/>
    </row>
    <row r="7754">
      <c r="A7754" s="39" t="s">
        <v>28808</v>
      </c>
      <c r="B7754" s="15">
        <v>1873996.0</v>
      </c>
      <c r="D7754" s="15">
        <v>0.0</v>
      </c>
      <c r="E7754" s="15" t="s">
        <v>1557</v>
      </c>
      <c r="F7754" s="15" t="s">
        <v>1833</v>
      </c>
      <c r="G7754" s="7">
        <v>50.558</v>
      </c>
      <c r="H7754" s="15" t="s">
        <v>13200</v>
      </c>
      <c r="I7754" s="15" t="s">
        <v>1586</v>
      </c>
      <c r="J7754" s="15" t="s">
        <v>28809</v>
      </c>
      <c r="K7754" s="15">
        <v>75.0</v>
      </c>
      <c r="L7754" s="15">
        <v>75.0</v>
      </c>
      <c r="M7754" s="40">
        <v>42634.0</v>
      </c>
      <c r="N7754" s="40">
        <v>42634.0</v>
      </c>
      <c r="O7754" s="15" t="s">
        <v>1554</v>
      </c>
      <c r="Q7754" s="7"/>
    </row>
    <row r="7755">
      <c r="A7755" s="39" t="s">
        <v>28810</v>
      </c>
      <c r="B7755" s="15">
        <v>187944.0</v>
      </c>
      <c r="D7755" s="15">
        <v>0.0</v>
      </c>
      <c r="E7755" s="15" t="s">
        <v>1557</v>
      </c>
      <c r="F7755" s="15" t="s">
        <v>1833</v>
      </c>
      <c r="G7755" s="7">
        <v>81.509</v>
      </c>
      <c r="H7755" s="15" t="s">
        <v>1572</v>
      </c>
      <c r="I7755" s="15" t="s">
        <v>1586</v>
      </c>
      <c r="J7755" s="15" t="s">
        <v>28811</v>
      </c>
      <c r="K7755" s="15" t="s">
        <v>1722</v>
      </c>
      <c r="L7755" s="15">
        <v>125.0</v>
      </c>
      <c r="M7755" s="40">
        <v>40991.0</v>
      </c>
      <c r="N7755" s="40">
        <v>40997.0</v>
      </c>
      <c r="O7755" s="15" t="s">
        <v>1554</v>
      </c>
      <c r="Q7755" s="7"/>
    </row>
    <row r="7756">
      <c r="A7756" s="39" t="s">
        <v>28812</v>
      </c>
      <c r="B7756" s="15">
        <v>1880590.0</v>
      </c>
      <c r="D7756" s="15">
        <v>0.0</v>
      </c>
      <c r="E7756" s="15" t="s">
        <v>4407</v>
      </c>
      <c r="F7756" s="15" t="s">
        <v>1578</v>
      </c>
      <c r="G7756" s="7">
        <v>234.67</v>
      </c>
      <c r="H7756" s="42">
        <v>43309.0</v>
      </c>
      <c r="I7756" s="15" t="s">
        <v>1586</v>
      </c>
      <c r="J7756" s="15" t="s">
        <v>28813</v>
      </c>
      <c r="K7756" s="15">
        <v>300.0</v>
      </c>
      <c r="L7756" s="15">
        <v>297.0</v>
      </c>
      <c r="M7756" s="40">
        <v>42574.0</v>
      </c>
      <c r="N7756" s="40">
        <v>42866.0</v>
      </c>
      <c r="O7756" s="15" t="s">
        <v>1554</v>
      </c>
      <c r="Q7756" s="7"/>
    </row>
    <row r="7757">
      <c r="A7757" s="39" t="s">
        <v>28814</v>
      </c>
      <c r="B7757" s="15">
        <v>1881104.0</v>
      </c>
      <c r="D7757" s="15">
        <v>0.0</v>
      </c>
      <c r="E7757" s="15" t="s">
        <v>1557</v>
      </c>
      <c r="F7757" s="15" t="s">
        <v>1767</v>
      </c>
      <c r="G7757" s="7">
        <v>149.813</v>
      </c>
      <c r="H7757" s="15" t="s">
        <v>3895</v>
      </c>
      <c r="I7757" s="15" t="s">
        <v>1586</v>
      </c>
      <c r="J7757" s="15" t="s">
        <v>28815</v>
      </c>
      <c r="K7757" s="15">
        <v>291.0</v>
      </c>
      <c r="L7757" s="15">
        <v>281.0</v>
      </c>
      <c r="M7757" s="40">
        <v>42650.0</v>
      </c>
      <c r="N7757" s="40">
        <v>42774.0</v>
      </c>
      <c r="O7757" s="15" t="s">
        <v>1554</v>
      </c>
      <c r="Q7757" s="7"/>
    </row>
    <row r="7758">
      <c r="A7758" s="39" t="s">
        <v>28816</v>
      </c>
      <c r="B7758" s="15">
        <v>1881139.0</v>
      </c>
      <c r="D7758" s="15">
        <v>0.0</v>
      </c>
      <c r="E7758" s="15" t="s">
        <v>1557</v>
      </c>
      <c r="F7758" s="15" t="s">
        <v>1833</v>
      </c>
      <c r="G7758" s="7">
        <v>51.178</v>
      </c>
      <c r="H7758" s="15" t="s">
        <v>3286</v>
      </c>
      <c r="I7758" s="15" t="s">
        <v>1586</v>
      </c>
      <c r="J7758" s="15" t="s">
        <v>28817</v>
      </c>
      <c r="K7758" s="15">
        <v>88.0</v>
      </c>
      <c r="L7758" s="15">
        <v>88.0</v>
      </c>
      <c r="M7758" s="40">
        <v>42651.0</v>
      </c>
      <c r="N7758" s="40">
        <v>42651.0</v>
      </c>
      <c r="O7758" s="15" t="s">
        <v>1554</v>
      </c>
      <c r="Q7758" s="7"/>
    </row>
    <row r="7759">
      <c r="A7759" s="39" t="s">
        <v>28819</v>
      </c>
      <c r="B7759" s="15">
        <v>1881140.0</v>
      </c>
      <c r="D7759" s="15">
        <v>0.0</v>
      </c>
      <c r="E7759" s="15" t="s">
        <v>1557</v>
      </c>
      <c r="F7759" s="15" t="s">
        <v>1833</v>
      </c>
      <c r="G7759" s="7">
        <v>51.274</v>
      </c>
      <c r="H7759" s="15" t="s">
        <v>3029</v>
      </c>
      <c r="I7759" s="15" t="s">
        <v>1586</v>
      </c>
      <c r="J7759" s="15" t="s">
        <v>28820</v>
      </c>
      <c r="K7759" s="15">
        <v>85.0</v>
      </c>
      <c r="L7759" s="15">
        <v>85.0</v>
      </c>
      <c r="M7759" s="40">
        <v>42651.0</v>
      </c>
      <c r="N7759" s="40">
        <v>42651.0</v>
      </c>
      <c r="O7759" s="15" t="s">
        <v>1554</v>
      </c>
      <c r="Q7759" s="7"/>
    </row>
    <row r="7760">
      <c r="A7760" s="39" t="s">
        <v>28821</v>
      </c>
      <c r="B7760" s="15">
        <v>1881141.0</v>
      </c>
      <c r="D7760" s="15">
        <v>0.0</v>
      </c>
      <c r="E7760" s="15" t="s">
        <v>1557</v>
      </c>
      <c r="F7760" s="15" t="s">
        <v>1833</v>
      </c>
      <c r="G7760" s="7">
        <v>51.743</v>
      </c>
      <c r="H7760" s="15" t="s">
        <v>6661</v>
      </c>
      <c r="I7760" s="15" t="s">
        <v>1586</v>
      </c>
      <c r="J7760" s="15" t="s">
        <v>28822</v>
      </c>
      <c r="K7760" s="15">
        <v>92.0</v>
      </c>
      <c r="L7760" s="15">
        <v>92.0</v>
      </c>
      <c r="M7760" s="40">
        <v>42651.0</v>
      </c>
      <c r="N7760" s="40">
        <v>42651.0</v>
      </c>
      <c r="O7760" s="15" t="s">
        <v>1554</v>
      </c>
      <c r="Q7760" s="7"/>
    </row>
    <row r="7761">
      <c r="A7761" s="39" t="s">
        <v>28824</v>
      </c>
      <c r="B7761" s="15">
        <v>1882400.0</v>
      </c>
      <c r="D7761" s="15">
        <v>0.0</v>
      </c>
      <c r="E7761" s="15" t="s">
        <v>1557</v>
      </c>
      <c r="F7761" s="15" t="s">
        <v>1611</v>
      </c>
      <c r="G7761" s="7">
        <v>40.765</v>
      </c>
      <c r="H7761" s="15" t="s">
        <v>1977</v>
      </c>
      <c r="I7761" s="15" t="s">
        <v>1586</v>
      </c>
      <c r="J7761" s="15" t="s">
        <v>28825</v>
      </c>
      <c r="K7761" s="15">
        <v>49.0</v>
      </c>
      <c r="L7761" s="15">
        <v>49.0</v>
      </c>
      <c r="M7761" s="40">
        <v>42651.0</v>
      </c>
      <c r="N7761" s="40">
        <v>42651.0</v>
      </c>
      <c r="O7761" s="15" t="s">
        <v>1554</v>
      </c>
      <c r="Q7761" s="7"/>
    </row>
    <row r="7762">
      <c r="A7762" s="39" t="s">
        <v>28826</v>
      </c>
      <c r="B7762" s="15">
        <v>1882439.0</v>
      </c>
      <c r="D7762" s="15">
        <v>0.0</v>
      </c>
      <c r="E7762" s="15" t="s">
        <v>1557</v>
      </c>
      <c r="F7762" s="15" t="s">
        <v>1833</v>
      </c>
      <c r="G7762" s="7">
        <v>70.679</v>
      </c>
      <c r="H7762" s="15">
        <v>69.0</v>
      </c>
      <c r="I7762" s="15" t="s">
        <v>1586</v>
      </c>
      <c r="J7762" s="15" t="s">
        <v>28827</v>
      </c>
      <c r="K7762" s="15">
        <v>94.0</v>
      </c>
      <c r="L7762" s="15">
        <v>94.0</v>
      </c>
      <c r="M7762" s="40">
        <v>42651.0</v>
      </c>
      <c r="N7762" s="40">
        <v>42651.0</v>
      </c>
      <c r="O7762" s="15" t="s">
        <v>1554</v>
      </c>
      <c r="Q7762" s="7"/>
    </row>
    <row r="7763">
      <c r="A7763" s="39" t="s">
        <v>28828</v>
      </c>
      <c r="B7763" s="15">
        <v>1882465.0</v>
      </c>
      <c r="D7763" s="15">
        <v>0.0</v>
      </c>
      <c r="E7763" s="15" t="s">
        <v>1557</v>
      </c>
      <c r="F7763" s="15" t="s">
        <v>1833</v>
      </c>
      <c r="G7763" s="7">
        <v>41.901</v>
      </c>
      <c r="H7763" s="15" t="s">
        <v>6615</v>
      </c>
      <c r="I7763" s="15" t="s">
        <v>1586</v>
      </c>
      <c r="J7763" s="15" t="s">
        <v>28829</v>
      </c>
      <c r="K7763" s="15">
        <v>63.0</v>
      </c>
      <c r="L7763" s="15">
        <v>63.0</v>
      </c>
      <c r="M7763" s="40">
        <v>42651.0</v>
      </c>
      <c r="N7763" s="40">
        <v>42651.0</v>
      </c>
      <c r="O7763" s="15" t="s">
        <v>1554</v>
      </c>
      <c r="Q7763" s="7"/>
    </row>
    <row r="7764">
      <c r="A7764" s="39" t="s">
        <v>28831</v>
      </c>
      <c r="B7764" s="15">
        <v>1885242.0</v>
      </c>
      <c r="D7764" s="15">
        <v>0.0</v>
      </c>
      <c r="E7764" s="15" t="s">
        <v>1557</v>
      </c>
      <c r="F7764" s="15" t="s">
        <v>1767</v>
      </c>
      <c r="G7764" s="7">
        <v>177.907</v>
      </c>
      <c r="H7764" s="15" t="s">
        <v>1828</v>
      </c>
      <c r="I7764" s="15" t="s">
        <v>1586</v>
      </c>
      <c r="J7764" s="15" t="s">
        <v>28832</v>
      </c>
      <c r="K7764" s="15">
        <v>280.0</v>
      </c>
      <c r="L7764" s="15">
        <v>280.0</v>
      </c>
      <c r="M7764" s="40">
        <v>42865.0</v>
      </c>
      <c r="N7764" s="40">
        <v>42865.0</v>
      </c>
      <c r="O7764" s="15" t="s">
        <v>1554</v>
      </c>
      <c r="Q7764" s="7"/>
    </row>
    <row r="7765">
      <c r="A7765" s="39" t="s">
        <v>28833</v>
      </c>
      <c r="B7765" s="15">
        <v>1885245.0</v>
      </c>
      <c r="D7765" s="15">
        <v>0.0</v>
      </c>
      <c r="E7765" s="15" t="s">
        <v>1557</v>
      </c>
      <c r="F7765" s="15" t="s">
        <v>1767</v>
      </c>
      <c r="G7765" s="7">
        <v>179.516</v>
      </c>
      <c r="H7765" s="15" t="s">
        <v>1828</v>
      </c>
      <c r="I7765" s="15" t="s">
        <v>1586</v>
      </c>
      <c r="J7765" s="15" t="s">
        <v>28834</v>
      </c>
      <c r="K7765" s="15">
        <v>286.0</v>
      </c>
      <c r="L7765" s="15">
        <v>286.0</v>
      </c>
      <c r="M7765" s="40">
        <v>42865.0</v>
      </c>
      <c r="N7765" s="40">
        <v>42865.0</v>
      </c>
      <c r="O7765" s="15" t="s">
        <v>1554</v>
      </c>
      <c r="Q7765" s="7"/>
    </row>
    <row r="7766">
      <c r="A7766" s="39" t="s">
        <v>28835</v>
      </c>
      <c r="B7766" s="15">
        <v>1887657.0</v>
      </c>
      <c r="D7766" s="15">
        <v>0.0</v>
      </c>
      <c r="E7766" s="15" t="s">
        <v>1557</v>
      </c>
      <c r="F7766" s="15" t="s">
        <v>1833</v>
      </c>
      <c r="G7766" s="7">
        <v>69.165</v>
      </c>
      <c r="H7766" s="15" t="s">
        <v>2840</v>
      </c>
      <c r="I7766" s="15" t="s">
        <v>1586</v>
      </c>
      <c r="J7766" s="15" t="s">
        <v>28836</v>
      </c>
      <c r="K7766" s="15">
        <v>95.0</v>
      </c>
      <c r="L7766" s="15">
        <v>95.0</v>
      </c>
      <c r="M7766" s="40">
        <v>42627.0</v>
      </c>
      <c r="N7766" s="40">
        <v>42907.0</v>
      </c>
      <c r="O7766" s="15" t="s">
        <v>1554</v>
      </c>
      <c r="Q7766" s="7"/>
    </row>
    <row r="7767">
      <c r="A7767" s="39" t="s">
        <v>28837</v>
      </c>
      <c r="B7767" s="15">
        <v>1897424.0</v>
      </c>
      <c r="D7767" s="15">
        <v>0.0</v>
      </c>
      <c r="E7767" s="15" t="s">
        <v>1557</v>
      </c>
      <c r="F7767" s="15" t="s">
        <v>1833</v>
      </c>
      <c r="G7767" s="7">
        <v>61.145</v>
      </c>
      <c r="H7767" s="15" t="s">
        <v>8962</v>
      </c>
      <c r="I7767" s="15" t="s">
        <v>1586</v>
      </c>
      <c r="J7767" s="15" t="s">
        <v>28838</v>
      </c>
      <c r="K7767" s="15">
        <v>97.0</v>
      </c>
      <c r="L7767" s="15">
        <v>97.0</v>
      </c>
      <c r="M7767" s="40">
        <v>42651.0</v>
      </c>
      <c r="N7767" s="40">
        <v>42651.0</v>
      </c>
      <c r="O7767" s="15" t="s">
        <v>1554</v>
      </c>
      <c r="Q7767" s="7"/>
    </row>
    <row r="7768">
      <c r="A7768" s="39" t="s">
        <v>28839</v>
      </c>
      <c r="B7768" s="15">
        <v>1897425.0</v>
      </c>
      <c r="D7768" s="15">
        <v>0.0</v>
      </c>
      <c r="E7768" s="15" t="s">
        <v>1557</v>
      </c>
      <c r="F7768" s="15" t="s">
        <v>1833</v>
      </c>
      <c r="G7768" s="7">
        <v>51.646</v>
      </c>
      <c r="H7768" s="15" t="s">
        <v>3029</v>
      </c>
      <c r="I7768" s="15" t="s">
        <v>1586</v>
      </c>
      <c r="J7768" s="15" t="s">
        <v>28840</v>
      </c>
      <c r="K7768" s="15">
        <v>87.0</v>
      </c>
      <c r="L7768" s="15">
        <v>87.0</v>
      </c>
      <c r="M7768" s="40">
        <v>42634.0</v>
      </c>
      <c r="N7768" s="40">
        <v>42634.0</v>
      </c>
      <c r="O7768" s="15" t="s">
        <v>1554</v>
      </c>
      <c r="Q7768" s="7"/>
    </row>
    <row r="7769">
      <c r="A7769" s="39" t="s">
        <v>28841</v>
      </c>
      <c r="B7769" s="15">
        <v>1897428.0</v>
      </c>
      <c r="D7769" s="15">
        <v>0.0</v>
      </c>
      <c r="E7769" s="15" t="s">
        <v>1557</v>
      </c>
      <c r="F7769" s="15" t="s">
        <v>1833</v>
      </c>
      <c r="G7769" s="7">
        <v>43.977</v>
      </c>
      <c r="H7769" s="15" t="s">
        <v>13856</v>
      </c>
      <c r="I7769" s="15" t="s">
        <v>1586</v>
      </c>
      <c r="J7769" s="15" t="s">
        <v>28842</v>
      </c>
      <c r="K7769" s="15">
        <v>61.0</v>
      </c>
      <c r="L7769" s="15">
        <v>61.0</v>
      </c>
      <c r="M7769" s="40">
        <v>42676.0</v>
      </c>
      <c r="N7769" s="40">
        <v>42676.0</v>
      </c>
      <c r="O7769" s="15" t="s">
        <v>1554</v>
      </c>
      <c r="Q7769" s="7"/>
    </row>
    <row r="7770">
      <c r="A7770" s="39" t="s">
        <v>28844</v>
      </c>
      <c r="B7770" s="15">
        <v>1897429.0</v>
      </c>
      <c r="D7770" s="15">
        <v>0.0</v>
      </c>
      <c r="E7770" s="15" t="s">
        <v>1557</v>
      </c>
      <c r="F7770" s="15" t="s">
        <v>1833</v>
      </c>
      <c r="G7770" s="7">
        <v>44.163</v>
      </c>
      <c r="H7770" s="15" t="s">
        <v>13856</v>
      </c>
      <c r="I7770" s="15" t="s">
        <v>1586</v>
      </c>
      <c r="J7770" s="15" t="s">
        <v>28845</v>
      </c>
      <c r="K7770" s="15">
        <v>62.0</v>
      </c>
      <c r="L7770" s="15">
        <v>62.0</v>
      </c>
      <c r="M7770" s="40">
        <v>42676.0</v>
      </c>
      <c r="N7770" s="40">
        <v>42676.0</v>
      </c>
      <c r="O7770" s="15" t="s">
        <v>1554</v>
      </c>
      <c r="Q7770" s="7"/>
    </row>
    <row r="7771">
      <c r="A7771" s="39" t="s">
        <v>28846</v>
      </c>
      <c r="B7771" s="15">
        <v>1897430.0</v>
      </c>
      <c r="D7771" s="15">
        <v>0.0</v>
      </c>
      <c r="E7771" s="15" t="s">
        <v>1557</v>
      </c>
      <c r="F7771" s="15" t="s">
        <v>1611</v>
      </c>
      <c r="G7771" s="7">
        <v>40.395</v>
      </c>
      <c r="H7771" s="15" t="s">
        <v>1756</v>
      </c>
      <c r="I7771" s="15" t="s">
        <v>1586</v>
      </c>
      <c r="J7771" s="15" t="s">
        <v>28847</v>
      </c>
      <c r="K7771" s="15">
        <v>52.0</v>
      </c>
      <c r="L7771" s="15">
        <v>52.0</v>
      </c>
      <c r="M7771" s="40">
        <v>42676.0</v>
      </c>
      <c r="N7771" s="40">
        <v>42676.0</v>
      </c>
      <c r="O7771" s="15" t="s">
        <v>1554</v>
      </c>
      <c r="Q7771" s="7"/>
    </row>
    <row r="7772">
      <c r="A7772" s="39" t="s">
        <v>28848</v>
      </c>
      <c r="B7772" s="15">
        <v>1897431.0</v>
      </c>
      <c r="D7772" s="15">
        <v>0.0</v>
      </c>
      <c r="E7772" s="15" t="s">
        <v>1557</v>
      </c>
      <c r="F7772" s="15" t="s">
        <v>1767</v>
      </c>
      <c r="G7772" s="7">
        <v>41.283</v>
      </c>
      <c r="H7772" s="15" t="s">
        <v>1640</v>
      </c>
      <c r="I7772" s="15" t="s">
        <v>1586</v>
      </c>
      <c r="J7772" s="15" t="s">
        <v>28850</v>
      </c>
      <c r="K7772" s="15">
        <v>50.0</v>
      </c>
      <c r="L7772" s="15">
        <v>50.0</v>
      </c>
      <c r="M7772" s="40">
        <v>42676.0</v>
      </c>
      <c r="N7772" s="40">
        <v>42676.0</v>
      </c>
      <c r="O7772" s="15" t="s">
        <v>1554</v>
      </c>
      <c r="Q7772" s="7"/>
    </row>
    <row r="7773">
      <c r="A7773" s="39" t="s">
        <v>28851</v>
      </c>
      <c r="B7773" s="15">
        <v>1897432.0</v>
      </c>
      <c r="D7773" s="15">
        <v>0.0</v>
      </c>
      <c r="E7773" s="15" t="s">
        <v>1557</v>
      </c>
      <c r="F7773" s="15" t="s">
        <v>1767</v>
      </c>
      <c r="G7773" s="7">
        <v>155.565</v>
      </c>
      <c r="H7773" s="15" t="s">
        <v>8929</v>
      </c>
      <c r="I7773" s="15" t="s">
        <v>1586</v>
      </c>
      <c r="J7773" s="15" t="s">
        <v>28852</v>
      </c>
      <c r="K7773" s="15">
        <v>269.0</v>
      </c>
      <c r="L7773" s="15">
        <v>233.0</v>
      </c>
      <c r="M7773" s="40">
        <v>42676.0</v>
      </c>
      <c r="N7773" s="40">
        <v>42676.0</v>
      </c>
      <c r="O7773" s="15" t="s">
        <v>1554</v>
      </c>
      <c r="Q7773" s="7"/>
    </row>
    <row r="7774">
      <c r="A7774" s="39" t="s">
        <v>28853</v>
      </c>
      <c r="B7774" s="15">
        <v>1897433.0</v>
      </c>
      <c r="D7774" s="15">
        <v>0.0</v>
      </c>
      <c r="E7774" s="15" t="s">
        <v>1557</v>
      </c>
      <c r="F7774" s="15" t="s">
        <v>1767</v>
      </c>
      <c r="G7774" s="7">
        <v>155.582</v>
      </c>
      <c r="H7774" s="15" t="s">
        <v>8929</v>
      </c>
      <c r="I7774" s="15" t="s">
        <v>1586</v>
      </c>
      <c r="J7774" s="15" t="s">
        <v>28855</v>
      </c>
      <c r="K7774" s="15">
        <v>268.0</v>
      </c>
      <c r="L7774" s="15">
        <v>232.0</v>
      </c>
      <c r="M7774" s="40">
        <v>42676.0</v>
      </c>
      <c r="N7774" s="40">
        <v>42676.0</v>
      </c>
      <c r="O7774" s="15" t="s">
        <v>1554</v>
      </c>
      <c r="Q7774" s="7"/>
    </row>
    <row r="7775">
      <c r="A7775" s="39" t="s">
        <v>28856</v>
      </c>
      <c r="B7775" s="15">
        <v>1897434.0</v>
      </c>
      <c r="D7775" s="15">
        <v>0.0</v>
      </c>
      <c r="E7775" s="15" t="s">
        <v>1557</v>
      </c>
      <c r="F7775" s="15" t="s">
        <v>1611</v>
      </c>
      <c r="G7775" s="7">
        <v>39.331</v>
      </c>
      <c r="H7775" s="15" t="s">
        <v>2540</v>
      </c>
      <c r="I7775" s="15" t="s">
        <v>1586</v>
      </c>
      <c r="J7775" s="15" t="s">
        <v>28857</v>
      </c>
      <c r="K7775" s="15">
        <v>48.0</v>
      </c>
      <c r="L7775" s="15">
        <v>48.0</v>
      </c>
      <c r="M7775" s="40">
        <v>42676.0</v>
      </c>
      <c r="N7775" s="40">
        <v>42993.0</v>
      </c>
      <c r="O7775" s="15" t="s">
        <v>1554</v>
      </c>
      <c r="Q7775" s="7"/>
    </row>
    <row r="7776">
      <c r="A7776" s="39" t="s">
        <v>28858</v>
      </c>
      <c r="B7776" s="15">
        <v>1897435.0</v>
      </c>
      <c r="D7776" s="15">
        <v>0.0</v>
      </c>
      <c r="E7776" s="15" t="s">
        <v>1557</v>
      </c>
      <c r="F7776" s="15" t="s">
        <v>1767</v>
      </c>
      <c r="G7776" s="7">
        <v>154.474</v>
      </c>
      <c r="H7776" s="15" t="s">
        <v>4171</v>
      </c>
      <c r="I7776" s="15" t="s">
        <v>1586</v>
      </c>
      <c r="J7776" s="15" t="s">
        <v>28860</v>
      </c>
      <c r="K7776" s="15">
        <v>269.0</v>
      </c>
      <c r="L7776" s="15">
        <v>233.0</v>
      </c>
      <c r="M7776" s="40">
        <v>42676.0</v>
      </c>
      <c r="N7776" s="40">
        <v>42676.0</v>
      </c>
      <c r="O7776" s="15" t="s">
        <v>1554</v>
      </c>
      <c r="Q7776" s="7"/>
    </row>
    <row r="7777">
      <c r="A7777" s="39" t="s">
        <v>28861</v>
      </c>
      <c r="B7777" s="15">
        <v>1897436.0</v>
      </c>
      <c r="D7777" s="15">
        <v>0.0</v>
      </c>
      <c r="E7777" s="15" t="s">
        <v>4407</v>
      </c>
      <c r="F7777" s="15" t="s">
        <v>1578</v>
      </c>
      <c r="G7777" s="7">
        <v>32.826</v>
      </c>
      <c r="H7777" s="15" t="s">
        <v>2189</v>
      </c>
      <c r="I7777" s="15" t="s">
        <v>1586</v>
      </c>
      <c r="J7777" s="15" t="s">
        <v>28862</v>
      </c>
      <c r="K7777" s="15">
        <v>49.0</v>
      </c>
      <c r="L7777" s="15">
        <v>49.0</v>
      </c>
      <c r="M7777" s="41">
        <v>42672.0</v>
      </c>
      <c r="N7777" s="41">
        <v>42672.0</v>
      </c>
      <c r="O7777" s="15" t="s">
        <v>1554</v>
      </c>
      <c r="Q7777" s="7"/>
    </row>
    <row r="7778">
      <c r="A7778" s="39" t="s">
        <v>28863</v>
      </c>
      <c r="B7778" s="15">
        <v>1897437.0</v>
      </c>
      <c r="D7778" s="15">
        <v>0.0</v>
      </c>
      <c r="E7778" s="15" t="s">
        <v>1557</v>
      </c>
      <c r="F7778" s="15" t="s">
        <v>1833</v>
      </c>
      <c r="G7778" s="7">
        <v>134.973</v>
      </c>
      <c r="H7778" s="15" t="s">
        <v>1710</v>
      </c>
      <c r="I7778" s="15" t="s">
        <v>1586</v>
      </c>
      <c r="J7778" s="15" t="s">
        <v>28864</v>
      </c>
      <c r="K7778" s="15">
        <v>293.0</v>
      </c>
      <c r="L7778" s="15">
        <v>283.0</v>
      </c>
      <c r="M7778" s="40">
        <v>42676.0</v>
      </c>
      <c r="N7778" s="40">
        <v>42676.0</v>
      </c>
      <c r="O7778" s="15" t="s">
        <v>1554</v>
      </c>
      <c r="Q7778" s="7"/>
    </row>
    <row r="7779">
      <c r="A7779" s="39" t="s">
        <v>28865</v>
      </c>
      <c r="B7779" s="15">
        <v>1897438.0</v>
      </c>
      <c r="D7779" s="15">
        <v>0.0</v>
      </c>
      <c r="E7779" s="15" t="s">
        <v>1557</v>
      </c>
      <c r="F7779" s="15" t="s">
        <v>1833</v>
      </c>
      <c r="G7779" s="7">
        <v>42.454</v>
      </c>
      <c r="H7779" s="15" t="s">
        <v>12271</v>
      </c>
      <c r="I7779" s="15" t="s">
        <v>1586</v>
      </c>
      <c r="J7779" s="15" t="s">
        <v>28867</v>
      </c>
      <c r="K7779" s="15">
        <v>69.0</v>
      </c>
      <c r="L7779" s="15">
        <v>69.0</v>
      </c>
      <c r="M7779" s="40">
        <v>42676.0</v>
      </c>
      <c r="N7779" s="40">
        <v>42676.0</v>
      </c>
      <c r="O7779" s="15" t="s">
        <v>1554</v>
      </c>
      <c r="Q7779" s="7"/>
    </row>
    <row r="7780">
      <c r="A7780" s="39" t="s">
        <v>28868</v>
      </c>
      <c r="B7780" s="15">
        <v>1897439.0</v>
      </c>
      <c r="D7780" s="15">
        <v>0.0</v>
      </c>
      <c r="E7780" s="15" t="s">
        <v>1557</v>
      </c>
      <c r="F7780" s="15" t="s">
        <v>1833</v>
      </c>
      <c r="G7780" s="7">
        <v>52.462</v>
      </c>
      <c r="H7780" s="15" t="s">
        <v>3034</v>
      </c>
      <c r="I7780" s="15" t="s">
        <v>1586</v>
      </c>
      <c r="J7780" s="15" t="s">
        <v>28869</v>
      </c>
      <c r="K7780" s="15">
        <v>91.0</v>
      </c>
      <c r="L7780" s="15">
        <v>90.0</v>
      </c>
      <c r="M7780" s="41">
        <v>42693.0</v>
      </c>
      <c r="N7780" s="41">
        <v>42693.0</v>
      </c>
      <c r="O7780" s="15" t="s">
        <v>1554</v>
      </c>
      <c r="Q7780" s="7"/>
    </row>
    <row r="7781">
      <c r="A7781" s="39" t="s">
        <v>28870</v>
      </c>
      <c r="B7781" s="15">
        <v>1897440.0</v>
      </c>
      <c r="D7781" s="15">
        <v>0.0</v>
      </c>
      <c r="E7781" s="15" t="s">
        <v>1557</v>
      </c>
      <c r="F7781" s="15" t="s">
        <v>1833</v>
      </c>
      <c r="G7781" s="7">
        <v>52.753</v>
      </c>
      <c r="H7781" s="15" t="s">
        <v>3832</v>
      </c>
      <c r="I7781" s="15" t="s">
        <v>1586</v>
      </c>
      <c r="J7781" s="15" t="s">
        <v>28871</v>
      </c>
      <c r="K7781" s="15">
        <v>93.0</v>
      </c>
      <c r="L7781" s="15">
        <v>93.0</v>
      </c>
      <c r="M7781" s="41">
        <v>42693.0</v>
      </c>
      <c r="N7781" s="41">
        <v>42693.0</v>
      </c>
      <c r="O7781" s="15" t="s">
        <v>1554</v>
      </c>
      <c r="Q7781" s="7"/>
    </row>
    <row r="7782">
      <c r="A7782" s="39" t="s">
        <v>28872</v>
      </c>
      <c r="B7782" s="15">
        <v>1897441.0</v>
      </c>
      <c r="D7782" s="15">
        <v>0.0</v>
      </c>
      <c r="E7782" s="15" t="s">
        <v>1557</v>
      </c>
      <c r="F7782" s="15" t="s">
        <v>1833</v>
      </c>
      <c r="G7782" s="7">
        <v>46.962</v>
      </c>
      <c r="H7782" s="15" t="s">
        <v>2057</v>
      </c>
      <c r="I7782" s="15" t="s">
        <v>1586</v>
      </c>
      <c r="J7782" s="15" t="s">
        <v>28873</v>
      </c>
      <c r="K7782" s="15">
        <v>69.0</v>
      </c>
      <c r="L7782" s="15">
        <v>66.0</v>
      </c>
      <c r="M7782" s="40">
        <v>42676.0</v>
      </c>
      <c r="N7782" s="40">
        <v>42676.0</v>
      </c>
      <c r="O7782" s="15" t="s">
        <v>1554</v>
      </c>
      <c r="Q7782" s="7"/>
    </row>
    <row r="7783">
      <c r="A7783" s="39" t="s">
        <v>28875</v>
      </c>
      <c r="B7783" s="15">
        <v>1897442.0</v>
      </c>
      <c r="D7783" s="15">
        <v>0.0</v>
      </c>
      <c r="E7783" s="15" t="s">
        <v>1557</v>
      </c>
      <c r="F7783" s="15" t="s">
        <v>1833</v>
      </c>
      <c r="G7783" s="7">
        <v>46.93</v>
      </c>
      <c r="H7783" s="15" t="s">
        <v>2057</v>
      </c>
      <c r="I7783" s="15" t="s">
        <v>1586</v>
      </c>
      <c r="J7783" s="15" t="s">
        <v>28876</v>
      </c>
      <c r="K7783" s="15">
        <v>69.0</v>
      </c>
      <c r="L7783" s="15">
        <v>66.0</v>
      </c>
      <c r="M7783" s="40">
        <v>42676.0</v>
      </c>
      <c r="N7783" s="40">
        <v>42676.0</v>
      </c>
      <c r="O7783" s="15" t="s">
        <v>1554</v>
      </c>
      <c r="Q7783" s="7"/>
    </row>
    <row r="7784">
      <c r="A7784" s="39" t="s">
        <v>28877</v>
      </c>
      <c r="B7784" s="15">
        <v>1897443.0</v>
      </c>
      <c r="D7784" s="15">
        <v>0.0</v>
      </c>
      <c r="E7784" s="15" t="s">
        <v>1557</v>
      </c>
      <c r="F7784" s="15" t="s">
        <v>1611</v>
      </c>
      <c r="G7784" s="7">
        <v>39.024</v>
      </c>
      <c r="H7784" s="15" t="s">
        <v>3836</v>
      </c>
      <c r="I7784" s="15" t="s">
        <v>1586</v>
      </c>
      <c r="J7784" s="15" t="s">
        <v>28878</v>
      </c>
      <c r="K7784" s="15" t="s">
        <v>1722</v>
      </c>
      <c r="L7784" s="15">
        <v>45.0</v>
      </c>
      <c r="M7784" s="40">
        <v>42676.0</v>
      </c>
      <c r="N7784" s="40">
        <v>42849.0</v>
      </c>
      <c r="O7784" s="15" t="s">
        <v>1554</v>
      </c>
      <c r="Q7784" s="7"/>
    </row>
    <row r="7785">
      <c r="A7785" s="39" t="s">
        <v>28879</v>
      </c>
      <c r="B7785" s="15">
        <v>1897445.0</v>
      </c>
      <c r="D7785" s="15">
        <v>0.0</v>
      </c>
      <c r="E7785" s="15" t="s">
        <v>1557</v>
      </c>
      <c r="F7785" s="15" t="s">
        <v>1833</v>
      </c>
      <c r="G7785" s="7">
        <v>58.129</v>
      </c>
      <c r="H7785" s="15" t="s">
        <v>19615</v>
      </c>
      <c r="I7785" s="15" t="s">
        <v>1586</v>
      </c>
      <c r="J7785" s="15" t="s">
        <v>28880</v>
      </c>
      <c r="K7785" s="15">
        <v>92.0</v>
      </c>
      <c r="L7785" s="15">
        <v>92.0</v>
      </c>
      <c r="M7785" s="40">
        <v>42676.0</v>
      </c>
      <c r="N7785" s="40">
        <v>42676.0</v>
      </c>
      <c r="O7785" s="15" t="s">
        <v>1554</v>
      </c>
      <c r="Q7785" s="7"/>
    </row>
    <row r="7786">
      <c r="A7786" s="39" t="s">
        <v>28881</v>
      </c>
      <c r="B7786" s="15">
        <v>1897448.0</v>
      </c>
      <c r="D7786" s="15">
        <v>0.0</v>
      </c>
      <c r="E7786" s="15" t="s">
        <v>1557</v>
      </c>
      <c r="F7786" s="15" t="s">
        <v>1833</v>
      </c>
      <c r="G7786" s="7">
        <v>53.111</v>
      </c>
      <c r="H7786" s="15" t="s">
        <v>3832</v>
      </c>
      <c r="I7786" s="15" t="s">
        <v>1586</v>
      </c>
      <c r="J7786" s="15" t="s">
        <v>28882</v>
      </c>
      <c r="K7786" s="15">
        <v>97.0</v>
      </c>
      <c r="L7786" s="15">
        <v>97.0</v>
      </c>
      <c r="M7786" s="40">
        <v>42676.0</v>
      </c>
      <c r="N7786" s="40">
        <v>42676.0</v>
      </c>
      <c r="O7786" s="15" t="s">
        <v>1554</v>
      </c>
      <c r="Q7786" s="7"/>
    </row>
    <row r="7787">
      <c r="A7787" s="39" t="s">
        <v>28884</v>
      </c>
      <c r="B7787" s="15">
        <v>1897449.0</v>
      </c>
      <c r="D7787" s="15">
        <v>0.0</v>
      </c>
      <c r="E7787" s="15" t="s">
        <v>1557</v>
      </c>
      <c r="F7787" s="15" t="s">
        <v>1833</v>
      </c>
      <c r="G7787" s="7">
        <v>52.659</v>
      </c>
      <c r="H7787" s="15" t="s">
        <v>6661</v>
      </c>
      <c r="I7787" s="15" t="s">
        <v>1586</v>
      </c>
      <c r="J7787" s="15" t="s">
        <v>28885</v>
      </c>
      <c r="K7787" s="15">
        <v>97.0</v>
      </c>
      <c r="L7787" s="15">
        <v>97.0</v>
      </c>
      <c r="M7787" s="40">
        <v>42676.0</v>
      </c>
      <c r="N7787" s="40">
        <v>42676.0</v>
      </c>
      <c r="O7787" s="15" t="s">
        <v>1554</v>
      </c>
      <c r="Q7787" s="7"/>
    </row>
    <row r="7788">
      <c r="A7788" s="39" t="s">
        <v>28886</v>
      </c>
      <c r="B7788" s="15">
        <v>1897483.0</v>
      </c>
      <c r="D7788" s="15">
        <v>0.0</v>
      </c>
      <c r="E7788" s="15" t="s">
        <v>1557</v>
      </c>
      <c r="F7788" s="15" t="s">
        <v>1833</v>
      </c>
      <c r="G7788" s="7">
        <v>51.371</v>
      </c>
      <c r="H7788" s="15" t="s">
        <v>3286</v>
      </c>
      <c r="I7788" s="15" t="s">
        <v>1586</v>
      </c>
      <c r="J7788" s="15" t="s">
        <v>28887</v>
      </c>
      <c r="K7788" s="15">
        <v>88.0</v>
      </c>
      <c r="L7788" s="15">
        <v>88.0</v>
      </c>
      <c r="M7788" s="40">
        <v>42634.0</v>
      </c>
      <c r="N7788" s="40">
        <v>42634.0</v>
      </c>
      <c r="O7788" s="15" t="s">
        <v>1554</v>
      </c>
      <c r="Q7788" s="7"/>
    </row>
    <row r="7789">
      <c r="A7789" s="39" t="s">
        <v>28888</v>
      </c>
      <c r="B7789" s="15">
        <v>1897484.0</v>
      </c>
      <c r="D7789" s="15">
        <v>0.0</v>
      </c>
      <c r="E7789" s="15" t="s">
        <v>1557</v>
      </c>
      <c r="F7789" s="15" t="s">
        <v>1833</v>
      </c>
      <c r="G7789" s="7">
        <v>52.911</v>
      </c>
      <c r="H7789" s="15" t="s">
        <v>4499</v>
      </c>
      <c r="I7789" s="15" t="s">
        <v>1586</v>
      </c>
      <c r="J7789" s="15" t="s">
        <v>28889</v>
      </c>
      <c r="K7789" s="15">
        <v>97.0</v>
      </c>
      <c r="L7789" s="15">
        <v>96.0</v>
      </c>
      <c r="M7789" s="40">
        <v>42651.0</v>
      </c>
      <c r="N7789" s="40">
        <v>42651.0</v>
      </c>
      <c r="O7789" s="15" t="s">
        <v>1554</v>
      </c>
      <c r="Q7789" s="7"/>
    </row>
    <row r="7790">
      <c r="A7790" s="39" t="s">
        <v>28891</v>
      </c>
      <c r="B7790" s="15">
        <v>1897486.0</v>
      </c>
      <c r="D7790" s="15">
        <v>0.0</v>
      </c>
      <c r="E7790" s="15" t="s">
        <v>1557</v>
      </c>
      <c r="F7790" s="15" t="s">
        <v>1833</v>
      </c>
      <c r="G7790" s="7">
        <v>50.657</v>
      </c>
      <c r="H7790" s="15" t="s">
        <v>3542</v>
      </c>
      <c r="I7790" s="15" t="s">
        <v>1586</v>
      </c>
      <c r="J7790" s="15" t="s">
        <v>28892</v>
      </c>
      <c r="K7790" s="15">
        <v>93.0</v>
      </c>
      <c r="L7790" s="15">
        <v>92.0</v>
      </c>
      <c r="M7790" s="40">
        <v>42651.0</v>
      </c>
      <c r="N7790" s="40">
        <v>42651.0</v>
      </c>
      <c r="O7790" s="15" t="s">
        <v>1554</v>
      </c>
      <c r="Q7790" s="7"/>
    </row>
    <row r="7791">
      <c r="A7791" s="39" t="s">
        <v>28893</v>
      </c>
      <c r="B7791" s="15">
        <v>1897487.0</v>
      </c>
      <c r="D7791" s="15">
        <v>0.0</v>
      </c>
      <c r="E7791" s="15" t="s">
        <v>1557</v>
      </c>
      <c r="F7791" s="15" t="s">
        <v>1833</v>
      </c>
      <c r="G7791" s="7">
        <v>53.3</v>
      </c>
      <c r="H7791" s="15" t="s">
        <v>4499</v>
      </c>
      <c r="I7791" s="15" t="s">
        <v>1586</v>
      </c>
      <c r="J7791" s="15" t="s">
        <v>28895</v>
      </c>
      <c r="K7791" s="15">
        <v>100.0</v>
      </c>
      <c r="L7791" s="15">
        <v>99.0</v>
      </c>
      <c r="M7791" s="41">
        <v>42672.0</v>
      </c>
      <c r="N7791" s="41">
        <v>42672.0</v>
      </c>
      <c r="O7791" s="15" t="s">
        <v>1554</v>
      </c>
      <c r="Q7791" s="7"/>
    </row>
    <row r="7792">
      <c r="A7792" s="39" t="s">
        <v>28896</v>
      </c>
      <c r="B7792" s="15">
        <v>1897489.0</v>
      </c>
      <c r="D7792" s="15">
        <v>0.0</v>
      </c>
      <c r="E7792" s="15" t="s">
        <v>1557</v>
      </c>
      <c r="F7792" s="15" t="s">
        <v>1833</v>
      </c>
      <c r="G7792" s="7">
        <v>50.841</v>
      </c>
      <c r="H7792" s="15">
        <v>64.0</v>
      </c>
      <c r="I7792" s="15" t="s">
        <v>1586</v>
      </c>
      <c r="J7792" s="15" t="s">
        <v>28897</v>
      </c>
      <c r="K7792" s="15">
        <v>89.0</v>
      </c>
      <c r="L7792" s="15">
        <v>89.0</v>
      </c>
      <c r="M7792" s="41">
        <v>42672.0</v>
      </c>
      <c r="N7792" s="41">
        <v>42672.0</v>
      </c>
      <c r="O7792" s="15" t="s">
        <v>1554</v>
      </c>
      <c r="Q7792" s="7"/>
    </row>
    <row r="7793">
      <c r="A7793" s="39" t="s">
        <v>28898</v>
      </c>
      <c r="B7793" s="15">
        <v>1897490.0</v>
      </c>
      <c r="D7793" s="15">
        <v>0.0</v>
      </c>
      <c r="E7793" s="15" t="s">
        <v>1557</v>
      </c>
      <c r="F7793" s="15" t="s">
        <v>1833</v>
      </c>
      <c r="G7793" s="7">
        <v>50.066</v>
      </c>
      <c r="H7793" s="15">
        <v>64.0</v>
      </c>
      <c r="I7793" s="15" t="s">
        <v>1586</v>
      </c>
      <c r="J7793" s="15" t="s">
        <v>28900</v>
      </c>
      <c r="K7793" s="15">
        <v>90.0</v>
      </c>
      <c r="L7793" s="15">
        <v>88.0</v>
      </c>
      <c r="M7793" s="40">
        <v>42651.0</v>
      </c>
      <c r="N7793" s="40">
        <v>42651.0</v>
      </c>
      <c r="O7793" s="15" t="s">
        <v>1554</v>
      </c>
      <c r="Q7793" s="7"/>
    </row>
    <row r="7794">
      <c r="A7794" s="39" t="s">
        <v>28901</v>
      </c>
      <c r="B7794" s="15">
        <v>1897495.0</v>
      </c>
      <c r="D7794" s="15">
        <v>0.0</v>
      </c>
      <c r="E7794" s="15" t="s">
        <v>1557</v>
      </c>
      <c r="F7794" s="15" t="s">
        <v>1767</v>
      </c>
      <c r="G7794" s="7">
        <v>149.312</v>
      </c>
      <c r="H7794" s="15">
        <v>39.0</v>
      </c>
      <c r="I7794" s="15" t="s">
        <v>1586</v>
      </c>
      <c r="J7794" s="15" t="s">
        <v>28902</v>
      </c>
      <c r="K7794" s="15">
        <v>275.0</v>
      </c>
      <c r="L7794" s="15">
        <v>265.0</v>
      </c>
      <c r="M7794" s="40">
        <v>42650.0</v>
      </c>
      <c r="N7794" s="40">
        <v>42774.0</v>
      </c>
      <c r="O7794" s="15" t="s">
        <v>1554</v>
      </c>
      <c r="Q7794" s="7"/>
    </row>
    <row r="7795">
      <c r="A7795" s="39" t="s">
        <v>28903</v>
      </c>
      <c r="B7795" s="15">
        <v>1897496.0</v>
      </c>
      <c r="D7795" s="15">
        <v>0.0</v>
      </c>
      <c r="E7795" s="15" t="s">
        <v>1557</v>
      </c>
      <c r="F7795" s="15" t="s">
        <v>1833</v>
      </c>
      <c r="G7795" s="7">
        <v>50.087</v>
      </c>
      <c r="H7795" s="15">
        <v>64.0</v>
      </c>
      <c r="I7795" s="15" t="s">
        <v>1586</v>
      </c>
      <c r="J7795" s="15" t="s">
        <v>28905</v>
      </c>
      <c r="K7795" s="15">
        <v>90.0</v>
      </c>
      <c r="L7795" s="15">
        <v>88.0</v>
      </c>
      <c r="M7795" s="40">
        <v>42651.0</v>
      </c>
      <c r="N7795" s="40">
        <v>42651.0</v>
      </c>
      <c r="O7795" s="15" t="s">
        <v>1554</v>
      </c>
      <c r="Q7795" s="7"/>
    </row>
    <row r="7796">
      <c r="A7796" s="39" t="s">
        <v>28906</v>
      </c>
      <c r="B7796" s="15">
        <v>1897497.0</v>
      </c>
      <c r="D7796" s="15">
        <v>0.0</v>
      </c>
      <c r="E7796" s="15" t="s">
        <v>1557</v>
      </c>
      <c r="F7796" s="15" t="s">
        <v>1833</v>
      </c>
      <c r="G7796" s="7">
        <v>49.658</v>
      </c>
      <c r="H7796" s="15" t="s">
        <v>13200</v>
      </c>
      <c r="I7796" s="15" t="s">
        <v>1586</v>
      </c>
      <c r="J7796" s="15" t="s">
        <v>28907</v>
      </c>
      <c r="K7796" s="15">
        <v>76.0</v>
      </c>
      <c r="L7796" s="15">
        <v>76.0</v>
      </c>
      <c r="M7796" s="40">
        <v>42651.0</v>
      </c>
      <c r="N7796" s="40">
        <v>43046.0</v>
      </c>
      <c r="O7796" s="15" t="s">
        <v>1554</v>
      </c>
      <c r="Q7796" s="7"/>
    </row>
    <row r="7797">
      <c r="A7797" s="39" t="s">
        <v>28908</v>
      </c>
      <c r="B7797" s="15">
        <v>1897498.0</v>
      </c>
      <c r="D7797" s="15">
        <v>0.0</v>
      </c>
      <c r="E7797" s="15" t="s">
        <v>1557</v>
      </c>
      <c r="F7797" s="15" t="s">
        <v>1833</v>
      </c>
      <c r="G7797" s="7">
        <v>41.901</v>
      </c>
      <c r="H7797" s="15" t="s">
        <v>6615</v>
      </c>
      <c r="I7797" s="15" t="s">
        <v>1586</v>
      </c>
      <c r="J7797" s="15" t="s">
        <v>28910</v>
      </c>
      <c r="K7797" s="15">
        <v>63.0</v>
      </c>
      <c r="L7797" s="15">
        <v>63.0</v>
      </c>
      <c r="M7797" s="40">
        <v>42651.0</v>
      </c>
      <c r="N7797" s="40">
        <v>42651.0</v>
      </c>
      <c r="O7797" s="15" t="s">
        <v>1554</v>
      </c>
      <c r="Q7797" s="7"/>
    </row>
    <row r="7798">
      <c r="A7798" s="39" t="s">
        <v>28911</v>
      </c>
      <c r="B7798" s="15">
        <v>1897499.0</v>
      </c>
      <c r="D7798" s="15">
        <v>0.0</v>
      </c>
      <c r="E7798" s="15" t="s">
        <v>1557</v>
      </c>
      <c r="F7798" s="15" t="s">
        <v>1833</v>
      </c>
      <c r="G7798" s="7">
        <v>51.376</v>
      </c>
      <c r="H7798" s="15">
        <v>64.0</v>
      </c>
      <c r="I7798" s="15" t="s">
        <v>1586</v>
      </c>
      <c r="J7798" s="15" t="s">
        <v>28912</v>
      </c>
      <c r="K7798" s="15">
        <v>89.0</v>
      </c>
      <c r="L7798" s="15">
        <v>89.0</v>
      </c>
      <c r="M7798" s="40">
        <v>42651.0</v>
      </c>
      <c r="N7798" s="40">
        <v>42651.0</v>
      </c>
      <c r="O7798" s="15" t="s">
        <v>1554</v>
      </c>
      <c r="Q7798" s="7"/>
    </row>
    <row r="7799">
      <c r="A7799" s="39" t="s">
        <v>28914</v>
      </c>
      <c r="B7799" s="15">
        <v>1897500.0</v>
      </c>
      <c r="D7799" s="15">
        <v>0.0</v>
      </c>
      <c r="E7799" s="15" t="s">
        <v>1557</v>
      </c>
      <c r="F7799" s="15" t="s">
        <v>1833</v>
      </c>
      <c r="G7799" s="7">
        <v>58.39</v>
      </c>
      <c r="H7799" s="15" t="s">
        <v>9965</v>
      </c>
      <c r="I7799" s="15" t="s">
        <v>1586</v>
      </c>
      <c r="J7799" s="15" t="s">
        <v>28915</v>
      </c>
      <c r="K7799" s="15">
        <v>95.0</v>
      </c>
      <c r="L7799" s="15">
        <v>94.0</v>
      </c>
      <c r="M7799" s="40">
        <v>42651.0</v>
      </c>
      <c r="N7799" s="40">
        <v>42651.0</v>
      </c>
      <c r="O7799" s="15" t="s">
        <v>1554</v>
      </c>
      <c r="Q7799" s="7"/>
    </row>
    <row r="7800">
      <c r="A7800" s="39" t="s">
        <v>28916</v>
      </c>
      <c r="B7800" s="15">
        <v>1897501.0</v>
      </c>
      <c r="D7800" s="15">
        <v>0.0</v>
      </c>
      <c r="E7800" s="15" t="s">
        <v>1557</v>
      </c>
      <c r="F7800" s="15" t="s">
        <v>1833</v>
      </c>
      <c r="G7800" s="7">
        <v>60.19</v>
      </c>
      <c r="H7800" s="15" t="s">
        <v>2154</v>
      </c>
      <c r="I7800" s="15" t="s">
        <v>1586</v>
      </c>
      <c r="J7800" s="15" t="s">
        <v>28917</v>
      </c>
      <c r="K7800" s="15">
        <v>107.0</v>
      </c>
      <c r="L7800" s="15">
        <v>107.0</v>
      </c>
      <c r="M7800" s="40">
        <v>42651.0</v>
      </c>
      <c r="N7800" s="40">
        <v>42651.0</v>
      </c>
      <c r="O7800" s="15" t="s">
        <v>1554</v>
      </c>
      <c r="Q7800" s="7"/>
    </row>
    <row r="7801">
      <c r="A7801" s="39" t="s">
        <v>28919</v>
      </c>
      <c r="B7801" s="15">
        <v>1897502.0</v>
      </c>
      <c r="D7801" s="15">
        <v>0.0</v>
      </c>
      <c r="E7801" s="15" t="s">
        <v>1557</v>
      </c>
      <c r="F7801" s="15" t="s">
        <v>1833</v>
      </c>
      <c r="G7801" s="7">
        <v>15.556</v>
      </c>
      <c r="H7801" s="15" t="s">
        <v>10437</v>
      </c>
      <c r="I7801" s="15" t="s">
        <v>1586</v>
      </c>
      <c r="J7801" s="15" t="s">
        <v>28920</v>
      </c>
      <c r="K7801" s="15">
        <v>26.0</v>
      </c>
      <c r="L7801" s="15">
        <v>26.0</v>
      </c>
      <c r="M7801" s="40">
        <v>42651.0</v>
      </c>
      <c r="N7801" s="41">
        <v>43020.0</v>
      </c>
      <c r="O7801" s="15" t="s">
        <v>1554</v>
      </c>
      <c r="Q7801" s="7"/>
    </row>
    <row r="7802">
      <c r="A7802" s="39" t="s">
        <v>28921</v>
      </c>
      <c r="B7802" s="15">
        <v>1897503.0</v>
      </c>
      <c r="D7802" s="15">
        <v>0.0</v>
      </c>
      <c r="E7802" s="15" t="s">
        <v>1557</v>
      </c>
      <c r="F7802" s="15" t="s">
        <v>1833</v>
      </c>
      <c r="G7802" s="7">
        <v>52.693</v>
      </c>
      <c r="H7802" s="15" t="s">
        <v>2831</v>
      </c>
      <c r="I7802" s="15" t="s">
        <v>1586</v>
      </c>
      <c r="J7802" s="15" t="s">
        <v>28922</v>
      </c>
      <c r="K7802" s="15">
        <v>96.0</v>
      </c>
      <c r="L7802" s="15">
        <v>95.0</v>
      </c>
      <c r="M7802" s="40">
        <v>42651.0</v>
      </c>
      <c r="N7802" s="40">
        <v>42651.0</v>
      </c>
      <c r="O7802" s="15" t="s">
        <v>1554</v>
      </c>
      <c r="Q7802" s="7"/>
    </row>
    <row r="7803">
      <c r="A7803" s="39" t="s">
        <v>28923</v>
      </c>
      <c r="B7803" s="15">
        <v>1897504.0</v>
      </c>
      <c r="D7803" s="15">
        <v>0.0</v>
      </c>
      <c r="E7803" s="15" t="s">
        <v>1557</v>
      </c>
      <c r="F7803" s="15" t="s">
        <v>1833</v>
      </c>
      <c r="G7803" s="7">
        <v>51.502</v>
      </c>
      <c r="H7803" s="15" t="s">
        <v>3286</v>
      </c>
      <c r="I7803" s="15" t="s">
        <v>1586</v>
      </c>
      <c r="J7803" s="15" t="s">
        <v>28925</v>
      </c>
      <c r="K7803" s="15">
        <v>87.0</v>
      </c>
      <c r="L7803" s="15">
        <v>87.0</v>
      </c>
      <c r="M7803" s="40">
        <v>42651.0</v>
      </c>
      <c r="N7803" s="40">
        <v>42651.0</v>
      </c>
      <c r="O7803" s="15" t="s">
        <v>1554</v>
      </c>
      <c r="Q7803" s="7"/>
    </row>
    <row r="7804">
      <c r="A7804" s="39" t="s">
        <v>28926</v>
      </c>
      <c r="B7804" s="15">
        <v>1897505.0</v>
      </c>
      <c r="D7804" s="15">
        <v>0.0</v>
      </c>
      <c r="E7804" s="15" t="s">
        <v>1557</v>
      </c>
      <c r="F7804" s="15" t="s">
        <v>1833</v>
      </c>
      <c r="G7804" s="7">
        <v>75.779</v>
      </c>
      <c r="H7804" s="15">
        <v>63.0</v>
      </c>
      <c r="I7804" s="15" t="s">
        <v>1586</v>
      </c>
      <c r="J7804" s="15" t="s">
        <v>28927</v>
      </c>
      <c r="K7804" s="15">
        <v>144.0</v>
      </c>
      <c r="L7804" s="15">
        <v>142.0</v>
      </c>
      <c r="M7804" s="40">
        <v>42651.0</v>
      </c>
      <c r="N7804" s="40">
        <v>42651.0</v>
      </c>
      <c r="O7804" s="15" t="s">
        <v>1554</v>
      </c>
      <c r="Q7804" s="7"/>
    </row>
    <row r="7805">
      <c r="A7805" s="39" t="s">
        <v>28928</v>
      </c>
      <c r="B7805" s="15">
        <v>1897506.0</v>
      </c>
      <c r="D7805" s="15">
        <v>0.0</v>
      </c>
      <c r="E7805" s="15" t="s">
        <v>1557</v>
      </c>
      <c r="F7805" s="15" t="s">
        <v>1833</v>
      </c>
      <c r="G7805" s="7">
        <v>76.363</v>
      </c>
      <c r="H7805" s="15" t="s">
        <v>3227</v>
      </c>
      <c r="I7805" s="15" t="s">
        <v>1586</v>
      </c>
      <c r="J7805" s="15" t="s">
        <v>28930</v>
      </c>
      <c r="K7805" s="15">
        <v>146.0</v>
      </c>
      <c r="L7805" s="15">
        <v>132.0</v>
      </c>
      <c r="M7805" s="40">
        <v>42651.0</v>
      </c>
      <c r="N7805" s="40">
        <v>42651.0</v>
      </c>
      <c r="O7805" s="15" t="s">
        <v>1554</v>
      </c>
      <c r="Q7805" s="7"/>
    </row>
    <row r="7806">
      <c r="A7806" s="39" t="s">
        <v>28931</v>
      </c>
      <c r="B7806" s="15">
        <v>1897507.0</v>
      </c>
      <c r="D7806" s="15">
        <v>0.0</v>
      </c>
      <c r="E7806" s="15" t="s">
        <v>1557</v>
      </c>
      <c r="F7806" s="15" t="s">
        <v>1833</v>
      </c>
      <c r="G7806" s="7">
        <v>75.806</v>
      </c>
      <c r="H7806" s="15" t="s">
        <v>3227</v>
      </c>
      <c r="I7806" s="15" t="s">
        <v>1586</v>
      </c>
      <c r="J7806" s="15" t="s">
        <v>28932</v>
      </c>
      <c r="K7806" s="15">
        <v>144.0</v>
      </c>
      <c r="L7806" s="15">
        <v>130.0</v>
      </c>
      <c r="M7806" s="40">
        <v>42651.0</v>
      </c>
      <c r="N7806" s="40">
        <v>42651.0</v>
      </c>
      <c r="O7806" s="15" t="s">
        <v>1554</v>
      </c>
      <c r="Q7806" s="7"/>
    </row>
    <row r="7807">
      <c r="A7807" s="39" t="s">
        <v>28933</v>
      </c>
      <c r="B7807" s="15">
        <v>1897516.0</v>
      </c>
      <c r="D7807" s="15">
        <v>0.0</v>
      </c>
      <c r="E7807" s="15" t="s">
        <v>1557</v>
      </c>
      <c r="F7807" s="15" t="s">
        <v>1833</v>
      </c>
      <c r="G7807" s="7">
        <v>59.812</v>
      </c>
      <c r="H7807" s="15" t="s">
        <v>6615</v>
      </c>
      <c r="I7807" s="15" t="s">
        <v>1586</v>
      </c>
      <c r="J7807" s="15" t="s">
        <v>28935</v>
      </c>
      <c r="K7807" s="15">
        <v>96.0</v>
      </c>
      <c r="L7807" s="15">
        <v>95.0</v>
      </c>
      <c r="M7807" s="40">
        <v>42634.0</v>
      </c>
      <c r="N7807" s="40">
        <v>42634.0</v>
      </c>
      <c r="O7807" s="15" t="s">
        <v>1554</v>
      </c>
      <c r="Q7807" s="7"/>
    </row>
    <row r="7808">
      <c r="A7808" s="39" t="s">
        <v>28936</v>
      </c>
      <c r="B7808" s="15">
        <v>1897517.0</v>
      </c>
      <c r="D7808" s="15">
        <v>0.0</v>
      </c>
      <c r="E7808" s="15" t="s">
        <v>1557</v>
      </c>
      <c r="F7808" s="15" t="s">
        <v>1833</v>
      </c>
      <c r="G7808" s="7">
        <v>53.426</v>
      </c>
      <c r="H7808" s="15" t="s">
        <v>4499</v>
      </c>
      <c r="I7808" s="15" t="s">
        <v>1586</v>
      </c>
      <c r="J7808" s="15" t="s">
        <v>28937</v>
      </c>
      <c r="K7808" s="15">
        <v>101.0</v>
      </c>
      <c r="L7808" s="15">
        <v>100.0</v>
      </c>
      <c r="M7808" s="40">
        <v>42634.0</v>
      </c>
      <c r="N7808" s="40">
        <v>42634.0</v>
      </c>
      <c r="O7808" s="15" t="s">
        <v>1554</v>
      </c>
      <c r="Q7808" s="7"/>
    </row>
    <row r="7809">
      <c r="A7809" s="39" t="s">
        <v>28938</v>
      </c>
      <c r="B7809" s="15">
        <v>1897518.0</v>
      </c>
      <c r="D7809" s="15">
        <v>0.0</v>
      </c>
      <c r="E7809" s="15" t="s">
        <v>1557</v>
      </c>
      <c r="F7809" s="15" t="s">
        <v>1833</v>
      </c>
      <c r="G7809" s="7">
        <v>61.248</v>
      </c>
      <c r="H7809" s="15" t="s">
        <v>9199</v>
      </c>
      <c r="I7809" s="15" t="s">
        <v>1586</v>
      </c>
      <c r="J7809" s="15" t="s">
        <v>28939</v>
      </c>
      <c r="K7809" s="15">
        <v>95.0</v>
      </c>
      <c r="L7809" s="15">
        <v>94.0</v>
      </c>
      <c r="M7809" s="40">
        <v>42634.0</v>
      </c>
      <c r="N7809" s="40">
        <v>42634.0</v>
      </c>
      <c r="O7809" s="15" t="s">
        <v>1554</v>
      </c>
      <c r="Q7809" s="7"/>
    </row>
    <row r="7810">
      <c r="A7810" s="39" t="s">
        <v>28940</v>
      </c>
      <c r="B7810" s="15">
        <v>1897523.0</v>
      </c>
      <c r="D7810" s="15">
        <v>0.0</v>
      </c>
      <c r="E7810" s="15" t="s">
        <v>1557</v>
      </c>
      <c r="F7810" s="15" t="s">
        <v>1833</v>
      </c>
      <c r="G7810" s="7">
        <v>50.899</v>
      </c>
      <c r="H7810" s="15" t="s">
        <v>4117</v>
      </c>
      <c r="I7810" s="15" t="s">
        <v>1586</v>
      </c>
      <c r="J7810" s="15" t="s">
        <v>28941</v>
      </c>
      <c r="K7810" s="15">
        <v>92.0</v>
      </c>
      <c r="L7810" s="15">
        <v>89.0</v>
      </c>
      <c r="M7810" s="40">
        <v>42676.0</v>
      </c>
      <c r="N7810" s="40">
        <v>42676.0</v>
      </c>
      <c r="O7810" s="15" t="s">
        <v>1554</v>
      </c>
      <c r="Q7810" s="7"/>
    </row>
    <row r="7811">
      <c r="A7811" s="39" t="s">
        <v>28943</v>
      </c>
      <c r="B7811" s="15">
        <v>1897524.0</v>
      </c>
      <c r="D7811" s="15">
        <v>0.0</v>
      </c>
      <c r="E7811" s="15" t="s">
        <v>1557</v>
      </c>
      <c r="F7811" s="15" t="s">
        <v>1833</v>
      </c>
      <c r="G7811" s="7">
        <v>56.189</v>
      </c>
      <c r="H7811" s="15" t="s">
        <v>10654</v>
      </c>
      <c r="I7811" s="15" t="s">
        <v>1586</v>
      </c>
      <c r="J7811" s="15" t="s">
        <v>28944</v>
      </c>
      <c r="K7811" s="15">
        <v>88.0</v>
      </c>
      <c r="L7811" s="15">
        <v>88.0</v>
      </c>
      <c r="M7811" s="40">
        <v>42676.0</v>
      </c>
      <c r="N7811" s="40">
        <v>42676.0</v>
      </c>
      <c r="O7811" s="15" t="s">
        <v>1554</v>
      </c>
      <c r="Q7811" s="7"/>
    </row>
    <row r="7812">
      <c r="A7812" s="39" t="s">
        <v>28945</v>
      </c>
      <c r="B7812" s="15">
        <v>1897525.0</v>
      </c>
      <c r="D7812" s="15">
        <v>0.0</v>
      </c>
      <c r="E7812" s="15" t="s">
        <v>1557</v>
      </c>
      <c r="F7812" s="15" t="s">
        <v>1833</v>
      </c>
      <c r="G7812" s="7">
        <v>56.167</v>
      </c>
      <c r="H7812" s="15" t="s">
        <v>8179</v>
      </c>
      <c r="I7812" s="15" t="s">
        <v>1586</v>
      </c>
      <c r="J7812" s="15" t="s">
        <v>28946</v>
      </c>
      <c r="K7812" s="15">
        <v>87.0</v>
      </c>
      <c r="L7812" s="15">
        <v>87.0</v>
      </c>
      <c r="M7812" s="40">
        <v>42676.0</v>
      </c>
      <c r="N7812" s="40">
        <v>42676.0</v>
      </c>
      <c r="O7812" s="15" t="s">
        <v>1554</v>
      </c>
      <c r="Q7812" s="7"/>
    </row>
    <row r="7813">
      <c r="A7813" s="39" t="s">
        <v>28948</v>
      </c>
      <c r="B7813" s="15">
        <v>1897526.0</v>
      </c>
      <c r="D7813" s="15">
        <v>0.0</v>
      </c>
      <c r="E7813" s="15" t="s">
        <v>1557</v>
      </c>
      <c r="F7813" s="15" t="s">
        <v>1767</v>
      </c>
      <c r="G7813" s="7">
        <v>69.798</v>
      </c>
      <c r="H7813" s="15" t="s">
        <v>3086</v>
      </c>
      <c r="I7813" s="15" t="s">
        <v>1586</v>
      </c>
      <c r="J7813" s="15" t="s">
        <v>28949</v>
      </c>
      <c r="K7813" s="15">
        <v>111.0</v>
      </c>
      <c r="L7813" s="15">
        <v>111.0</v>
      </c>
      <c r="M7813" s="40">
        <v>42676.0</v>
      </c>
      <c r="N7813" s="40">
        <v>42676.0</v>
      </c>
      <c r="O7813" s="15" t="s">
        <v>1554</v>
      </c>
      <c r="Q7813" s="7"/>
    </row>
    <row r="7814">
      <c r="A7814" s="39" t="s">
        <v>28950</v>
      </c>
      <c r="B7814" s="15">
        <v>1897527.0</v>
      </c>
      <c r="D7814" s="15">
        <v>0.0</v>
      </c>
      <c r="E7814" s="15" t="s">
        <v>1557</v>
      </c>
      <c r="F7814" s="15" t="s">
        <v>1767</v>
      </c>
      <c r="G7814" s="7">
        <v>70.258</v>
      </c>
      <c r="H7814" s="15" t="s">
        <v>3086</v>
      </c>
      <c r="I7814" s="15" t="s">
        <v>1586</v>
      </c>
      <c r="J7814" s="15" t="s">
        <v>28952</v>
      </c>
      <c r="K7814" s="15">
        <v>112.0</v>
      </c>
      <c r="L7814" s="15">
        <v>112.0</v>
      </c>
      <c r="M7814" s="40">
        <v>42676.0</v>
      </c>
      <c r="N7814" s="40">
        <v>42676.0</v>
      </c>
      <c r="O7814" s="15" t="s">
        <v>1554</v>
      </c>
      <c r="Q7814" s="7"/>
    </row>
    <row r="7815">
      <c r="A7815" s="39" t="s">
        <v>28953</v>
      </c>
      <c r="B7815" s="15">
        <v>1897531.0</v>
      </c>
      <c r="D7815" s="15">
        <v>0.0</v>
      </c>
      <c r="E7815" s="15" t="s">
        <v>1557</v>
      </c>
      <c r="F7815" s="15" t="s">
        <v>1833</v>
      </c>
      <c r="G7815" s="7">
        <v>35.284</v>
      </c>
      <c r="H7815" s="15" t="s">
        <v>13306</v>
      </c>
      <c r="I7815" s="15" t="s">
        <v>1586</v>
      </c>
      <c r="J7815" s="15" t="s">
        <v>28954</v>
      </c>
      <c r="K7815" s="15">
        <v>55.0</v>
      </c>
      <c r="L7815" s="15">
        <v>55.0</v>
      </c>
      <c r="M7815" s="40">
        <v>42651.0</v>
      </c>
      <c r="N7815" s="41">
        <v>42716.0</v>
      </c>
      <c r="O7815" s="15" t="s">
        <v>1554</v>
      </c>
      <c r="Q7815" s="7"/>
    </row>
    <row r="7816">
      <c r="A7816" s="39" t="s">
        <v>28956</v>
      </c>
      <c r="B7816" s="15">
        <v>1897532.0</v>
      </c>
      <c r="D7816" s="15">
        <v>0.0</v>
      </c>
      <c r="E7816" s="15" t="s">
        <v>1557</v>
      </c>
      <c r="F7816" s="15" t="s">
        <v>1833</v>
      </c>
      <c r="G7816" s="7">
        <v>37.219</v>
      </c>
      <c r="H7816" s="15" t="s">
        <v>11275</v>
      </c>
      <c r="I7816" s="15" t="s">
        <v>1586</v>
      </c>
      <c r="J7816" s="15" t="s">
        <v>28957</v>
      </c>
      <c r="K7816" s="15">
        <v>61.0</v>
      </c>
      <c r="L7816" s="15">
        <v>61.0</v>
      </c>
      <c r="M7816" s="40">
        <v>42651.0</v>
      </c>
      <c r="N7816" s="41">
        <v>42716.0</v>
      </c>
      <c r="O7816" s="15" t="s">
        <v>1554</v>
      </c>
      <c r="Q7816" s="7"/>
    </row>
    <row r="7817">
      <c r="A7817" s="39" t="s">
        <v>28958</v>
      </c>
      <c r="B7817" s="15">
        <v>1897533.0</v>
      </c>
      <c r="D7817" s="15">
        <v>0.0</v>
      </c>
      <c r="E7817" s="15" t="s">
        <v>1557</v>
      </c>
      <c r="F7817" s="15" t="s">
        <v>1833</v>
      </c>
      <c r="G7817" s="7">
        <v>35.948</v>
      </c>
      <c r="H7817" s="15" t="s">
        <v>13306</v>
      </c>
      <c r="I7817" s="15" t="s">
        <v>1586</v>
      </c>
      <c r="J7817" s="15" t="s">
        <v>28959</v>
      </c>
      <c r="K7817" s="15">
        <v>57.0</v>
      </c>
      <c r="L7817" s="15">
        <v>57.0</v>
      </c>
      <c r="M7817" s="40">
        <v>42651.0</v>
      </c>
      <c r="N7817" s="41">
        <v>42716.0</v>
      </c>
      <c r="O7817" s="15" t="s">
        <v>1554</v>
      </c>
      <c r="Q7817" s="7"/>
    </row>
    <row r="7818">
      <c r="A7818" s="39" t="s">
        <v>28960</v>
      </c>
      <c r="B7818" s="15">
        <v>1897534.0</v>
      </c>
      <c r="D7818" s="15">
        <v>0.0</v>
      </c>
      <c r="E7818" s="15" t="s">
        <v>1557</v>
      </c>
      <c r="F7818" s="15" t="s">
        <v>1833</v>
      </c>
      <c r="G7818" s="7">
        <v>37.429</v>
      </c>
      <c r="H7818" s="15" t="s">
        <v>17295</v>
      </c>
      <c r="I7818" s="15" t="s">
        <v>1586</v>
      </c>
      <c r="J7818" s="15" t="s">
        <v>28961</v>
      </c>
      <c r="K7818" s="15">
        <v>61.0</v>
      </c>
      <c r="L7818" s="15">
        <v>61.0</v>
      </c>
      <c r="M7818" s="40">
        <v>42651.0</v>
      </c>
      <c r="N7818" s="41">
        <v>42716.0</v>
      </c>
      <c r="O7818" s="15" t="s">
        <v>1554</v>
      </c>
      <c r="Q7818" s="7"/>
    </row>
    <row r="7819">
      <c r="A7819" s="39" t="s">
        <v>28962</v>
      </c>
      <c r="B7819" s="15">
        <v>1897535.0</v>
      </c>
      <c r="D7819" s="15">
        <v>0.0</v>
      </c>
      <c r="E7819" s="15" t="s">
        <v>1557</v>
      </c>
      <c r="F7819" s="15" t="s">
        <v>1833</v>
      </c>
      <c r="G7819" s="7">
        <v>35.209</v>
      </c>
      <c r="H7819" s="15" t="s">
        <v>13306</v>
      </c>
      <c r="I7819" s="15" t="s">
        <v>1586</v>
      </c>
      <c r="J7819" s="15" t="s">
        <v>28963</v>
      </c>
      <c r="K7819" s="15">
        <v>55.0</v>
      </c>
      <c r="L7819" s="15">
        <v>55.0</v>
      </c>
      <c r="M7819" s="40">
        <v>42651.0</v>
      </c>
      <c r="N7819" s="41">
        <v>42716.0</v>
      </c>
      <c r="O7819" s="15" t="s">
        <v>1554</v>
      </c>
      <c r="Q7819" s="7"/>
    </row>
    <row r="7820">
      <c r="A7820" s="39" t="s">
        <v>28964</v>
      </c>
      <c r="B7820" s="15">
        <v>1897536.0</v>
      </c>
      <c r="D7820" s="15">
        <v>0.0</v>
      </c>
      <c r="E7820" s="15" t="s">
        <v>1557</v>
      </c>
      <c r="F7820" s="15" t="s">
        <v>1833</v>
      </c>
      <c r="G7820" s="7">
        <v>38.067</v>
      </c>
      <c r="H7820" s="15" t="s">
        <v>4385</v>
      </c>
      <c r="I7820" s="15" t="s">
        <v>1586</v>
      </c>
      <c r="J7820" s="15" t="s">
        <v>28965</v>
      </c>
      <c r="K7820" s="15">
        <v>60.0</v>
      </c>
      <c r="L7820" s="15">
        <v>60.0</v>
      </c>
      <c r="M7820" s="40">
        <v>42651.0</v>
      </c>
      <c r="N7820" s="41">
        <v>42716.0</v>
      </c>
      <c r="O7820" s="15" t="s">
        <v>1554</v>
      </c>
      <c r="Q7820" s="7"/>
    </row>
    <row r="7821">
      <c r="A7821" s="39" t="s">
        <v>28966</v>
      </c>
      <c r="B7821" s="15">
        <v>1897537.0</v>
      </c>
      <c r="D7821" s="15">
        <v>0.0</v>
      </c>
      <c r="E7821" s="15" t="s">
        <v>1557</v>
      </c>
      <c r="F7821" s="15" t="s">
        <v>1833</v>
      </c>
      <c r="G7821" s="7">
        <v>38.555</v>
      </c>
      <c r="H7821" s="15" t="s">
        <v>13375</v>
      </c>
      <c r="I7821" s="15" t="s">
        <v>1586</v>
      </c>
      <c r="J7821" s="15" t="s">
        <v>28967</v>
      </c>
      <c r="K7821" s="15">
        <v>69.0</v>
      </c>
      <c r="L7821" s="15">
        <v>69.0</v>
      </c>
      <c r="M7821" s="40">
        <v>42651.0</v>
      </c>
      <c r="N7821" s="41">
        <v>42716.0</v>
      </c>
      <c r="O7821" s="15" t="s">
        <v>1554</v>
      </c>
      <c r="Q7821" s="7"/>
    </row>
    <row r="7822">
      <c r="A7822" s="39" t="s">
        <v>28968</v>
      </c>
      <c r="B7822" s="15">
        <v>1897539.0</v>
      </c>
      <c r="D7822" s="15">
        <v>0.0</v>
      </c>
      <c r="E7822" s="15" t="s">
        <v>1557</v>
      </c>
      <c r="F7822" s="15" t="s">
        <v>1833</v>
      </c>
      <c r="G7822" s="7">
        <v>26.559</v>
      </c>
      <c r="H7822" s="15" t="s">
        <v>3317</v>
      </c>
      <c r="I7822" s="15" t="s">
        <v>1586</v>
      </c>
      <c r="J7822" s="15" t="s">
        <v>28969</v>
      </c>
      <c r="K7822" s="15" t="s">
        <v>1722</v>
      </c>
      <c r="L7822" s="15">
        <v>40.0</v>
      </c>
      <c r="M7822" s="40">
        <v>42922.0</v>
      </c>
      <c r="N7822" s="40">
        <v>42922.0</v>
      </c>
      <c r="O7822" s="15" t="s">
        <v>1554</v>
      </c>
      <c r="Q7822" s="7"/>
    </row>
    <row r="7823">
      <c r="A7823" s="39" t="s">
        <v>28970</v>
      </c>
      <c r="B7823" s="15">
        <v>1897540.0</v>
      </c>
      <c r="D7823" s="15">
        <v>0.0</v>
      </c>
      <c r="E7823" s="15" t="s">
        <v>1557</v>
      </c>
      <c r="F7823" s="15" t="s">
        <v>1833</v>
      </c>
      <c r="G7823" s="7">
        <v>51.257</v>
      </c>
      <c r="H7823" s="15">
        <v>64.0</v>
      </c>
      <c r="I7823" s="15" t="s">
        <v>1586</v>
      </c>
      <c r="J7823" s="15" t="s">
        <v>28971</v>
      </c>
      <c r="K7823" s="15">
        <v>87.0</v>
      </c>
      <c r="L7823" s="15">
        <v>87.0</v>
      </c>
      <c r="M7823" s="40">
        <v>42634.0</v>
      </c>
      <c r="N7823" s="40">
        <v>42634.0</v>
      </c>
      <c r="O7823" s="15" t="s">
        <v>1554</v>
      </c>
      <c r="Q7823" s="7"/>
    </row>
    <row r="7824">
      <c r="A7824" s="39" t="s">
        <v>28972</v>
      </c>
      <c r="B7824" s="15">
        <v>1897541.0</v>
      </c>
      <c r="D7824" s="15">
        <v>0.0</v>
      </c>
      <c r="E7824" s="15" t="s">
        <v>1557</v>
      </c>
      <c r="F7824" s="15" t="s">
        <v>1833</v>
      </c>
      <c r="G7824" s="7">
        <v>46.527</v>
      </c>
      <c r="H7824" s="15" t="s">
        <v>10292</v>
      </c>
      <c r="I7824" s="15" t="s">
        <v>1586</v>
      </c>
      <c r="J7824" s="15" t="s">
        <v>28973</v>
      </c>
      <c r="K7824" s="15">
        <v>68.0</v>
      </c>
      <c r="L7824" s="15">
        <v>65.0</v>
      </c>
      <c r="M7824" s="40">
        <v>42634.0</v>
      </c>
      <c r="N7824" s="40">
        <v>42634.0</v>
      </c>
      <c r="O7824" s="15" t="s">
        <v>1554</v>
      </c>
      <c r="Q7824" s="7"/>
    </row>
    <row r="7825">
      <c r="A7825" s="39" t="s">
        <v>28974</v>
      </c>
      <c r="B7825" s="15">
        <v>1897542.0</v>
      </c>
      <c r="D7825" s="15">
        <v>0.0</v>
      </c>
      <c r="E7825" s="15" t="s">
        <v>1557</v>
      </c>
      <c r="F7825" s="15" t="s">
        <v>1833</v>
      </c>
      <c r="G7825" s="7">
        <v>52.732</v>
      </c>
      <c r="H7825" s="15" t="s">
        <v>3542</v>
      </c>
      <c r="I7825" s="15" t="s">
        <v>1586</v>
      </c>
      <c r="J7825" s="15" t="s">
        <v>28975</v>
      </c>
      <c r="K7825" s="15">
        <v>93.0</v>
      </c>
      <c r="L7825" s="15">
        <v>93.0</v>
      </c>
      <c r="M7825" s="40">
        <v>42634.0</v>
      </c>
      <c r="N7825" s="40">
        <v>42634.0</v>
      </c>
      <c r="O7825" s="15" t="s">
        <v>1554</v>
      </c>
      <c r="Q7825" s="7"/>
    </row>
    <row r="7826">
      <c r="A7826" s="39" t="s">
        <v>28976</v>
      </c>
      <c r="B7826" s="15">
        <v>1897543.0</v>
      </c>
      <c r="D7826" s="15">
        <v>0.0</v>
      </c>
      <c r="E7826" s="15" t="s">
        <v>1557</v>
      </c>
      <c r="F7826" s="15" t="s">
        <v>1833</v>
      </c>
      <c r="G7826" s="7">
        <v>52.833</v>
      </c>
      <c r="H7826" s="15" t="s">
        <v>2831</v>
      </c>
      <c r="I7826" s="15" t="s">
        <v>1586</v>
      </c>
      <c r="J7826" s="15" t="s">
        <v>28977</v>
      </c>
      <c r="K7826" s="15">
        <v>98.0</v>
      </c>
      <c r="L7826" s="15">
        <v>93.0</v>
      </c>
      <c r="M7826" s="40">
        <v>42634.0</v>
      </c>
      <c r="N7826" s="40">
        <v>42837.0</v>
      </c>
      <c r="O7826" s="15" t="s">
        <v>1554</v>
      </c>
      <c r="Q7826" s="7"/>
    </row>
    <row r="7827">
      <c r="A7827" s="39" t="s">
        <v>28978</v>
      </c>
      <c r="B7827" s="15">
        <v>1897544.0</v>
      </c>
      <c r="D7827" s="15">
        <v>0.0</v>
      </c>
      <c r="E7827" s="15" t="s">
        <v>1557</v>
      </c>
      <c r="F7827" s="15" t="s">
        <v>1833</v>
      </c>
      <c r="G7827" s="7">
        <v>51.91</v>
      </c>
      <c r="H7827" s="15" t="s">
        <v>10442</v>
      </c>
      <c r="I7827" s="15" t="s">
        <v>1586</v>
      </c>
      <c r="J7827" s="15" t="s">
        <v>28979</v>
      </c>
      <c r="K7827" s="15">
        <v>99.0</v>
      </c>
      <c r="L7827" s="15">
        <v>96.0</v>
      </c>
      <c r="M7827" s="40">
        <v>42651.0</v>
      </c>
      <c r="N7827" s="40">
        <v>42651.0</v>
      </c>
      <c r="O7827" s="15" t="s">
        <v>1554</v>
      </c>
      <c r="Q7827" s="7"/>
    </row>
    <row r="7828">
      <c r="A7828" s="39" t="s">
        <v>28980</v>
      </c>
      <c r="B7828" s="15">
        <v>1897545.0</v>
      </c>
      <c r="D7828" s="15">
        <v>0.0</v>
      </c>
      <c r="E7828" s="15" t="s">
        <v>1557</v>
      </c>
      <c r="F7828" s="15" t="s">
        <v>1833</v>
      </c>
      <c r="G7828" s="7">
        <v>53.33</v>
      </c>
      <c r="H7828" s="15" t="s">
        <v>13306</v>
      </c>
      <c r="I7828" s="15" t="s">
        <v>1586</v>
      </c>
      <c r="J7828" s="15" t="s">
        <v>28981</v>
      </c>
      <c r="K7828" s="15">
        <v>98.0</v>
      </c>
      <c r="L7828" s="15">
        <v>96.0</v>
      </c>
      <c r="M7828" s="40">
        <v>42651.0</v>
      </c>
      <c r="N7828" s="40">
        <v>42651.0</v>
      </c>
      <c r="O7828" s="15" t="s">
        <v>1554</v>
      </c>
      <c r="Q7828" s="7"/>
    </row>
    <row r="7829">
      <c r="A7829" s="39" t="s">
        <v>28982</v>
      </c>
      <c r="B7829" s="15">
        <v>1897546.0</v>
      </c>
      <c r="D7829" s="15">
        <v>0.0</v>
      </c>
      <c r="E7829" s="15" t="s">
        <v>1557</v>
      </c>
      <c r="F7829" s="15" t="s">
        <v>1833</v>
      </c>
      <c r="G7829" s="7">
        <v>60.053</v>
      </c>
      <c r="H7829" s="15" t="s">
        <v>9774</v>
      </c>
      <c r="I7829" s="15" t="s">
        <v>1586</v>
      </c>
      <c r="J7829" s="15" t="s">
        <v>28983</v>
      </c>
      <c r="K7829" s="15">
        <v>94.0</v>
      </c>
      <c r="L7829" s="15">
        <v>93.0</v>
      </c>
      <c r="M7829" s="40">
        <v>42651.0</v>
      </c>
      <c r="N7829" s="40">
        <v>42651.0</v>
      </c>
      <c r="O7829" s="15" t="s">
        <v>1554</v>
      </c>
      <c r="Q7829" s="7"/>
    </row>
    <row r="7830">
      <c r="A7830" s="39" t="s">
        <v>28984</v>
      </c>
      <c r="B7830" s="15">
        <v>1897547.0</v>
      </c>
      <c r="D7830" s="15">
        <v>0.0</v>
      </c>
      <c r="E7830" s="15" t="s">
        <v>1557</v>
      </c>
      <c r="F7830" s="15" t="s">
        <v>1833</v>
      </c>
      <c r="G7830" s="7">
        <v>48.87</v>
      </c>
      <c r="H7830" s="15" t="s">
        <v>9774</v>
      </c>
      <c r="I7830" s="15" t="s">
        <v>1586</v>
      </c>
      <c r="J7830" s="15" t="s">
        <v>28985</v>
      </c>
      <c r="K7830" s="15">
        <v>83.0</v>
      </c>
      <c r="L7830" s="15">
        <v>83.0</v>
      </c>
      <c r="M7830" s="40">
        <v>42651.0</v>
      </c>
      <c r="N7830" s="40">
        <v>43046.0</v>
      </c>
      <c r="O7830" s="15" t="s">
        <v>1554</v>
      </c>
      <c r="Q7830" s="7"/>
    </row>
    <row r="7831">
      <c r="A7831" s="39" t="s">
        <v>28986</v>
      </c>
      <c r="B7831" s="15">
        <v>1897548.0</v>
      </c>
      <c r="D7831" s="15">
        <v>0.0</v>
      </c>
      <c r="E7831" s="15" t="s">
        <v>1557</v>
      </c>
      <c r="F7831" s="15" t="s">
        <v>1833</v>
      </c>
      <c r="G7831" s="7">
        <v>51.591</v>
      </c>
      <c r="H7831" s="15" t="s">
        <v>3542</v>
      </c>
      <c r="I7831" s="15" t="s">
        <v>1586</v>
      </c>
      <c r="J7831" s="15" t="s">
        <v>28987</v>
      </c>
      <c r="K7831" s="15">
        <v>86.0</v>
      </c>
      <c r="L7831" s="15">
        <v>85.0</v>
      </c>
      <c r="M7831" s="40">
        <v>42651.0</v>
      </c>
      <c r="N7831" s="40">
        <v>42651.0</v>
      </c>
      <c r="O7831" s="15" t="s">
        <v>1554</v>
      </c>
      <c r="Q7831" s="7"/>
    </row>
    <row r="7832">
      <c r="A7832" s="39" t="s">
        <v>28988</v>
      </c>
      <c r="B7832" s="15">
        <v>1897549.0</v>
      </c>
      <c r="D7832" s="15">
        <v>0.0</v>
      </c>
      <c r="E7832" s="15" t="s">
        <v>1557</v>
      </c>
      <c r="F7832" s="15" t="s">
        <v>1833</v>
      </c>
      <c r="G7832" s="7">
        <v>41.077</v>
      </c>
      <c r="H7832" s="15" t="s">
        <v>2492</v>
      </c>
      <c r="I7832" s="15" t="s">
        <v>1586</v>
      </c>
      <c r="J7832" s="15" t="s">
        <v>28989</v>
      </c>
      <c r="K7832" s="15">
        <v>60.0</v>
      </c>
      <c r="L7832" s="15">
        <v>60.0</v>
      </c>
      <c r="M7832" s="40">
        <v>42651.0</v>
      </c>
      <c r="N7832" s="40">
        <v>42651.0</v>
      </c>
      <c r="O7832" s="15" t="s">
        <v>1554</v>
      </c>
      <c r="Q7832" s="7"/>
    </row>
    <row r="7833">
      <c r="A7833" s="39" t="s">
        <v>28990</v>
      </c>
      <c r="B7833" s="15">
        <v>1897550.0</v>
      </c>
      <c r="D7833" s="15">
        <v>0.0</v>
      </c>
      <c r="E7833" s="15" t="s">
        <v>1557</v>
      </c>
      <c r="F7833" s="15" t="s">
        <v>1833</v>
      </c>
      <c r="G7833" s="7">
        <v>41.077</v>
      </c>
      <c r="H7833" s="15" t="s">
        <v>2492</v>
      </c>
      <c r="I7833" s="15" t="s">
        <v>1586</v>
      </c>
      <c r="J7833" s="15" t="s">
        <v>28991</v>
      </c>
      <c r="K7833" s="15">
        <v>60.0</v>
      </c>
      <c r="L7833" s="15">
        <v>60.0</v>
      </c>
      <c r="M7833" s="40">
        <v>42651.0</v>
      </c>
      <c r="N7833" s="40">
        <v>42651.0</v>
      </c>
      <c r="O7833" s="15" t="s">
        <v>1554</v>
      </c>
      <c r="Q7833" s="7"/>
    </row>
    <row r="7834">
      <c r="A7834" s="39" t="s">
        <v>28992</v>
      </c>
      <c r="B7834" s="15">
        <v>1897551.0</v>
      </c>
      <c r="D7834" s="15">
        <v>0.0</v>
      </c>
      <c r="E7834" s="15" t="s">
        <v>1557</v>
      </c>
      <c r="F7834" s="15" t="s">
        <v>1833</v>
      </c>
      <c r="G7834" s="7">
        <v>46.383</v>
      </c>
      <c r="H7834" s="15" t="s">
        <v>2057</v>
      </c>
      <c r="I7834" s="15" t="s">
        <v>1586</v>
      </c>
      <c r="J7834" s="15" t="s">
        <v>28993</v>
      </c>
      <c r="K7834" s="15">
        <v>69.0</v>
      </c>
      <c r="L7834" s="15">
        <v>66.0</v>
      </c>
      <c r="M7834" s="40">
        <v>42651.0</v>
      </c>
      <c r="N7834" s="40">
        <v>42651.0</v>
      </c>
      <c r="O7834" s="15" t="s">
        <v>1554</v>
      </c>
      <c r="Q7834" s="7"/>
    </row>
    <row r="7835">
      <c r="A7835" s="39" t="s">
        <v>28994</v>
      </c>
      <c r="B7835" s="15">
        <v>1897553.0</v>
      </c>
      <c r="D7835" s="15">
        <v>0.0</v>
      </c>
      <c r="E7835" s="15" t="s">
        <v>1557</v>
      </c>
      <c r="F7835" s="15" t="s">
        <v>1833</v>
      </c>
      <c r="G7835" s="7">
        <v>43.914</v>
      </c>
      <c r="H7835" s="15" t="s">
        <v>2154</v>
      </c>
      <c r="I7835" s="15" t="s">
        <v>1586</v>
      </c>
      <c r="J7835" s="15" t="s">
        <v>28995</v>
      </c>
      <c r="K7835" s="15">
        <v>62.0</v>
      </c>
      <c r="L7835" s="15">
        <v>62.0</v>
      </c>
      <c r="M7835" s="40">
        <v>42651.0</v>
      </c>
      <c r="N7835" s="40">
        <v>42651.0</v>
      </c>
      <c r="O7835" s="15" t="s">
        <v>1554</v>
      </c>
      <c r="Q7835" s="7"/>
    </row>
    <row r="7836">
      <c r="A7836" s="39" t="s">
        <v>28996</v>
      </c>
      <c r="B7836" s="15">
        <v>1897554.0</v>
      </c>
      <c r="D7836" s="15">
        <v>0.0</v>
      </c>
      <c r="E7836" s="15" t="s">
        <v>1557</v>
      </c>
      <c r="F7836" s="15" t="s">
        <v>1833</v>
      </c>
      <c r="G7836" s="7">
        <v>43.607</v>
      </c>
      <c r="H7836" s="15">
        <v>61.0</v>
      </c>
      <c r="I7836" s="15" t="s">
        <v>1586</v>
      </c>
      <c r="J7836" s="15" t="s">
        <v>28997</v>
      </c>
      <c r="K7836" s="15">
        <v>62.0</v>
      </c>
      <c r="L7836" s="15">
        <v>62.0</v>
      </c>
      <c r="M7836" s="40">
        <v>42651.0</v>
      </c>
      <c r="N7836" s="40">
        <v>42651.0</v>
      </c>
      <c r="O7836" s="15" t="s">
        <v>1554</v>
      </c>
      <c r="Q7836" s="7"/>
    </row>
    <row r="7837">
      <c r="A7837" s="39" t="s">
        <v>28998</v>
      </c>
      <c r="B7837" s="15">
        <v>1897555.0</v>
      </c>
      <c r="D7837" s="15">
        <v>0.0</v>
      </c>
      <c r="E7837" s="15" t="s">
        <v>1557</v>
      </c>
      <c r="F7837" s="15" t="s">
        <v>1833</v>
      </c>
      <c r="G7837" s="7">
        <v>37.631</v>
      </c>
      <c r="H7837" s="15" t="s">
        <v>2824</v>
      </c>
      <c r="I7837" s="15" t="s">
        <v>1586</v>
      </c>
      <c r="J7837" s="15" t="s">
        <v>28999</v>
      </c>
      <c r="K7837" s="15" t="s">
        <v>1722</v>
      </c>
      <c r="L7837" s="15">
        <v>53.0</v>
      </c>
      <c r="M7837" s="40">
        <v>42634.0</v>
      </c>
      <c r="N7837" s="40">
        <v>42634.0</v>
      </c>
      <c r="O7837" s="15" t="s">
        <v>1554</v>
      </c>
      <c r="Q7837" s="7"/>
    </row>
    <row r="7838">
      <c r="A7838" s="39" t="s">
        <v>29000</v>
      </c>
      <c r="B7838" s="15">
        <v>1897640.0</v>
      </c>
      <c r="D7838" s="15">
        <v>0.0</v>
      </c>
      <c r="E7838" s="15" t="s">
        <v>4407</v>
      </c>
      <c r="F7838" s="15" t="s">
        <v>1578</v>
      </c>
      <c r="G7838" s="7">
        <v>41.655</v>
      </c>
      <c r="H7838" s="15" t="s">
        <v>4542</v>
      </c>
      <c r="I7838" s="15" t="s">
        <v>1586</v>
      </c>
      <c r="J7838" s="15" t="s">
        <v>29001</v>
      </c>
      <c r="K7838" s="15">
        <v>58.0</v>
      </c>
      <c r="L7838" s="15">
        <v>58.0</v>
      </c>
      <c r="M7838" s="40">
        <v>42935.0</v>
      </c>
      <c r="N7838" s="40">
        <v>42935.0</v>
      </c>
      <c r="O7838" s="15" t="s">
        <v>1554</v>
      </c>
      <c r="Q7838" s="7"/>
    </row>
    <row r="7839">
      <c r="A7839" s="39" t="s">
        <v>29002</v>
      </c>
      <c r="B7839" s="15">
        <v>1897641.0</v>
      </c>
      <c r="D7839" s="15">
        <v>0.0</v>
      </c>
      <c r="E7839" s="15" t="s">
        <v>1557</v>
      </c>
      <c r="F7839" s="15" t="s">
        <v>1611</v>
      </c>
      <c r="G7839" s="7">
        <v>39.89</v>
      </c>
      <c r="H7839" s="15" t="s">
        <v>3836</v>
      </c>
      <c r="I7839" s="15" t="s">
        <v>1586</v>
      </c>
      <c r="J7839" s="15" t="s">
        <v>29003</v>
      </c>
      <c r="K7839" s="15" t="s">
        <v>1722</v>
      </c>
      <c r="L7839" s="15">
        <v>48.0</v>
      </c>
      <c r="M7839" s="40">
        <v>42634.0</v>
      </c>
      <c r="N7839" s="41">
        <v>43020.0</v>
      </c>
      <c r="O7839" s="15" t="s">
        <v>1554</v>
      </c>
      <c r="Q7839" s="7"/>
    </row>
    <row r="7840">
      <c r="A7840" s="39" t="s">
        <v>29004</v>
      </c>
      <c r="B7840" s="15">
        <v>1897736.0</v>
      </c>
      <c r="D7840" s="15">
        <v>0.0</v>
      </c>
      <c r="E7840" s="15" t="s">
        <v>1557</v>
      </c>
      <c r="F7840" s="15" t="s">
        <v>1833</v>
      </c>
      <c r="G7840" s="7">
        <v>28.093</v>
      </c>
      <c r="H7840" s="15" t="s">
        <v>3317</v>
      </c>
      <c r="I7840" s="15" t="s">
        <v>1586</v>
      </c>
      <c r="J7840" s="15" t="s">
        <v>29005</v>
      </c>
      <c r="K7840" s="15" t="s">
        <v>1722</v>
      </c>
      <c r="L7840" s="15">
        <v>47.0</v>
      </c>
      <c r="M7840" s="40">
        <v>42922.0</v>
      </c>
      <c r="N7840" s="40">
        <v>42922.0</v>
      </c>
      <c r="O7840" s="15" t="s">
        <v>1554</v>
      </c>
      <c r="Q7840" s="7"/>
    </row>
    <row r="7841">
      <c r="A7841" s="39" t="s">
        <v>29006</v>
      </c>
      <c r="B7841" s="15">
        <v>1897737.0</v>
      </c>
      <c r="D7841" s="15">
        <v>0.0</v>
      </c>
      <c r="E7841" s="15" t="s">
        <v>1557</v>
      </c>
      <c r="F7841" s="15" t="s">
        <v>1833</v>
      </c>
      <c r="G7841" s="7">
        <v>28.265</v>
      </c>
      <c r="H7841" s="15" t="s">
        <v>3554</v>
      </c>
      <c r="I7841" s="15" t="s">
        <v>1586</v>
      </c>
      <c r="J7841" s="15" t="s">
        <v>29007</v>
      </c>
      <c r="K7841" s="15" t="s">
        <v>1722</v>
      </c>
      <c r="L7841" s="15">
        <v>45.0</v>
      </c>
      <c r="M7841" s="40">
        <v>42922.0</v>
      </c>
      <c r="N7841" s="40">
        <v>42922.0</v>
      </c>
      <c r="O7841" s="15" t="s">
        <v>1554</v>
      </c>
      <c r="Q7841" s="7"/>
    </row>
    <row r="7842">
      <c r="A7842" s="39" t="s">
        <v>29008</v>
      </c>
      <c r="B7842" s="15">
        <v>1897738.0</v>
      </c>
      <c r="D7842" s="15">
        <v>0.0</v>
      </c>
      <c r="E7842" s="15" t="s">
        <v>1557</v>
      </c>
      <c r="F7842" s="15" t="s">
        <v>1833</v>
      </c>
      <c r="G7842" s="7">
        <v>28.142</v>
      </c>
      <c r="H7842" s="15">
        <v>36.0</v>
      </c>
      <c r="I7842" s="15" t="s">
        <v>1586</v>
      </c>
      <c r="J7842" s="15" t="s">
        <v>29009</v>
      </c>
      <c r="K7842" s="15" t="s">
        <v>1722</v>
      </c>
      <c r="L7842" s="15">
        <v>43.0</v>
      </c>
      <c r="M7842" s="40">
        <v>42922.0</v>
      </c>
      <c r="N7842" s="40">
        <v>42922.0</v>
      </c>
      <c r="O7842" s="15" t="s">
        <v>1554</v>
      </c>
      <c r="Q7842" s="7"/>
    </row>
    <row r="7843">
      <c r="A7843" s="39" t="s">
        <v>29011</v>
      </c>
      <c r="B7843" s="15">
        <v>1897743.0</v>
      </c>
      <c r="D7843" s="15">
        <v>0.0</v>
      </c>
      <c r="E7843" s="15" t="s">
        <v>4407</v>
      </c>
      <c r="F7843" s="15" t="s">
        <v>1578</v>
      </c>
      <c r="G7843" s="7">
        <v>41.841</v>
      </c>
      <c r="H7843" s="15" t="s">
        <v>2241</v>
      </c>
      <c r="I7843" s="15" t="s">
        <v>1586</v>
      </c>
      <c r="J7843" s="15" t="s">
        <v>29012</v>
      </c>
      <c r="K7843" s="15">
        <v>47.0</v>
      </c>
      <c r="L7843" s="15">
        <v>47.0</v>
      </c>
      <c r="M7843" s="40">
        <v>42850.0</v>
      </c>
      <c r="N7843" s="40">
        <v>42850.0</v>
      </c>
      <c r="O7843" s="15" t="s">
        <v>1554</v>
      </c>
      <c r="Q7843" s="7"/>
    </row>
    <row r="7844">
      <c r="A7844" s="39" t="s">
        <v>29013</v>
      </c>
      <c r="B7844" s="15">
        <v>1897745.0</v>
      </c>
      <c r="D7844" s="15">
        <v>0.0</v>
      </c>
      <c r="E7844" s="15" t="s">
        <v>4407</v>
      </c>
      <c r="F7844" s="15" t="s">
        <v>1578</v>
      </c>
      <c r="G7844" s="7">
        <v>53.226</v>
      </c>
      <c r="H7844" s="15">
        <v>43.0</v>
      </c>
      <c r="I7844" s="15" t="s">
        <v>1586</v>
      </c>
      <c r="J7844" s="15" t="s">
        <v>29014</v>
      </c>
      <c r="K7844" s="15">
        <v>91.0</v>
      </c>
      <c r="L7844" s="15">
        <v>90.0</v>
      </c>
      <c r="M7844" s="40">
        <v>42830.0</v>
      </c>
      <c r="N7844" s="40">
        <v>42898.0</v>
      </c>
      <c r="O7844" s="15" t="s">
        <v>1554</v>
      </c>
      <c r="Q7844" s="7"/>
    </row>
    <row r="7845">
      <c r="A7845" s="39" t="s">
        <v>29015</v>
      </c>
      <c r="B7845" s="15">
        <v>1897746.0</v>
      </c>
      <c r="D7845" s="15">
        <v>0.0</v>
      </c>
      <c r="E7845" s="15" t="s">
        <v>4407</v>
      </c>
      <c r="F7845" s="15" t="s">
        <v>1578</v>
      </c>
      <c r="G7845" s="7">
        <v>53.226</v>
      </c>
      <c r="H7845" s="15">
        <v>43.0</v>
      </c>
      <c r="I7845" s="15" t="s">
        <v>1586</v>
      </c>
      <c r="J7845" s="15" t="s">
        <v>29016</v>
      </c>
      <c r="K7845" s="15">
        <v>91.0</v>
      </c>
      <c r="L7845" s="15">
        <v>90.0</v>
      </c>
      <c r="M7845" s="40">
        <v>42830.0</v>
      </c>
      <c r="N7845" s="40">
        <v>42898.0</v>
      </c>
      <c r="O7845" s="15" t="s">
        <v>1554</v>
      </c>
      <c r="Q7845" s="7"/>
    </row>
    <row r="7846">
      <c r="A7846" s="39" t="s">
        <v>29017</v>
      </c>
      <c r="B7846" s="15">
        <v>1897747.0</v>
      </c>
      <c r="D7846" s="15">
        <v>0.0</v>
      </c>
      <c r="E7846" s="15" t="s">
        <v>4407</v>
      </c>
      <c r="F7846" s="15" t="s">
        <v>1578</v>
      </c>
      <c r="G7846" s="7">
        <v>53.226</v>
      </c>
      <c r="H7846" s="15">
        <v>43.0</v>
      </c>
      <c r="I7846" s="15" t="s">
        <v>1586</v>
      </c>
      <c r="J7846" s="15" t="s">
        <v>29018</v>
      </c>
      <c r="K7846" s="15">
        <v>91.0</v>
      </c>
      <c r="L7846" s="15">
        <v>90.0</v>
      </c>
      <c r="M7846" s="40">
        <v>42830.0</v>
      </c>
      <c r="N7846" s="40">
        <v>42898.0</v>
      </c>
      <c r="O7846" s="15" t="s">
        <v>1554</v>
      </c>
      <c r="Q7846" s="7"/>
    </row>
    <row r="7847">
      <c r="A7847" s="39" t="s">
        <v>29020</v>
      </c>
      <c r="B7847" s="15">
        <v>1897748.0</v>
      </c>
      <c r="D7847" s="15">
        <v>0.0</v>
      </c>
      <c r="E7847" s="15" t="s">
        <v>4407</v>
      </c>
      <c r="F7847" s="15" t="s">
        <v>1578</v>
      </c>
      <c r="G7847" s="7">
        <v>53.227</v>
      </c>
      <c r="H7847" s="15">
        <v>43.0</v>
      </c>
      <c r="I7847" s="15" t="s">
        <v>1586</v>
      </c>
      <c r="J7847" s="15" t="s">
        <v>29021</v>
      </c>
      <c r="K7847" s="15">
        <v>91.0</v>
      </c>
      <c r="L7847" s="15">
        <v>90.0</v>
      </c>
      <c r="M7847" s="40">
        <v>42830.0</v>
      </c>
      <c r="N7847" s="40">
        <v>42898.0</v>
      </c>
      <c r="O7847" s="15" t="s">
        <v>1554</v>
      </c>
      <c r="Q7847" s="7"/>
    </row>
    <row r="7848">
      <c r="A7848" s="39" t="s">
        <v>29022</v>
      </c>
      <c r="B7848" s="15">
        <v>1897749.0</v>
      </c>
      <c r="D7848" s="15">
        <v>0.0</v>
      </c>
      <c r="E7848" s="15" t="s">
        <v>4407</v>
      </c>
      <c r="F7848" s="15" t="s">
        <v>1578</v>
      </c>
      <c r="G7848" s="7">
        <v>53.226</v>
      </c>
      <c r="H7848" s="15">
        <v>43.0</v>
      </c>
      <c r="I7848" s="15" t="s">
        <v>1586</v>
      </c>
      <c r="J7848" s="15" t="s">
        <v>29023</v>
      </c>
      <c r="K7848" s="15">
        <v>91.0</v>
      </c>
      <c r="L7848" s="15">
        <v>90.0</v>
      </c>
      <c r="M7848" s="40">
        <v>42830.0</v>
      </c>
      <c r="N7848" s="40">
        <v>42898.0</v>
      </c>
      <c r="O7848" s="15" t="s">
        <v>1554</v>
      </c>
      <c r="Q7848" s="7"/>
    </row>
    <row r="7849">
      <c r="A7849" s="39" t="s">
        <v>29024</v>
      </c>
      <c r="B7849" s="15">
        <v>1897750.0</v>
      </c>
      <c r="D7849" s="15">
        <v>0.0</v>
      </c>
      <c r="E7849" s="15" t="s">
        <v>4407</v>
      </c>
      <c r="F7849" s="15" t="s">
        <v>1578</v>
      </c>
      <c r="G7849" s="7">
        <v>53.216</v>
      </c>
      <c r="H7849" s="15" t="s">
        <v>2648</v>
      </c>
      <c r="I7849" s="15" t="s">
        <v>1586</v>
      </c>
      <c r="J7849" s="15" t="s">
        <v>29025</v>
      </c>
      <c r="K7849" s="15">
        <v>92.0</v>
      </c>
      <c r="L7849" s="15">
        <v>91.0</v>
      </c>
      <c r="M7849" s="40">
        <v>42830.0</v>
      </c>
      <c r="N7849" s="40">
        <v>42898.0</v>
      </c>
      <c r="O7849" s="15" t="s">
        <v>1554</v>
      </c>
      <c r="Q7849" s="7"/>
    </row>
    <row r="7850">
      <c r="A7850" s="39" t="s">
        <v>29027</v>
      </c>
      <c r="B7850" s="15">
        <v>1897751.0</v>
      </c>
      <c r="D7850" s="15">
        <v>0.0</v>
      </c>
      <c r="E7850" s="15" t="s">
        <v>4407</v>
      </c>
      <c r="F7850" s="15" t="s">
        <v>1578</v>
      </c>
      <c r="G7850" s="7">
        <v>53.227</v>
      </c>
      <c r="H7850" s="15">
        <v>43.0</v>
      </c>
      <c r="I7850" s="15" t="s">
        <v>1586</v>
      </c>
      <c r="J7850" s="15" t="s">
        <v>29028</v>
      </c>
      <c r="K7850" s="15">
        <v>91.0</v>
      </c>
      <c r="L7850" s="15">
        <v>90.0</v>
      </c>
      <c r="M7850" s="40">
        <v>42830.0</v>
      </c>
      <c r="N7850" s="40">
        <v>42898.0</v>
      </c>
      <c r="O7850" s="15" t="s">
        <v>1554</v>
      </c>
      <c r="Q7850" s="7"/>
    </row>
    <row r="7851">
      <c r="A7851" s="39" t="s">
        <v>29029</v>
      </c>
      <c r="B7851" s="15">
        <v>1897752.0</v>
      </c>
      <c r="D7851" s="15">
        <v>0.0</v>
      </c>
      <c r="E7851" s="15" t="s">
        <v>4407</v>
      </c>
      <c r="F7851" s="15" t="s">
        <v>1578</v>
      </c>
      <c r="G7851" s="7">
        <v>53.286</v>
      </c>
      <c r="H7851" s="15">
        <v>43.0</v>
      </c>
      <c r="I7851" s="15" t="s">
        <v>1586</v>
      </c>
      <c r="J7851" s="15" t="s">
        <v>29030</v>
      </c>
      <c r="K7851" s="15">
        <v>90.0</v>
      </c>
      <c r="L7851" s="15">
        <v>89.0</v>
      </c>
      <c r="M7851" s="40">
        <v>42830.0</v>
      </c>
      <c r="N7851" s="40">
        <v>42898.0</v>
      </c>
      <c r="O7851" s="15" t="s">
        <v>1554</v>
      </c>
      <c r="Q7851" s="7"/>
    </row>
    <row r="7852">
      <c r="A7852" s="39" t="s">
        <v>29031</v>
      </c>
      <c r="B7852" s="15">
        <v>1897753.0</v>
      </c>
      <c r="D7852" s="15">
        <v>0.0</v>
      </c>
      <c r="E7852" s="15" t="s">
        <v>4407</v>
      </c>
      <c r="F7852" s="15" t="s">
        <v>1578</v>
      </c>
      <c r="G7852" s="7">
        <v>53.227</v>
      </c>
      <c r="H7852" s="15">
        <v>43.0</v>
      </c>
      <c r="I7852" s="15" t="s">
        <v>1586</v>
      </c>
      <c r="J7852" s="15" t="s">
        <v>29032</v>
      </c>
      <c r="K7852" s="15">
        <v>91.0</v>
      </c>
      <c r="L7852" s="15">
        <v>90.0</v>
      </c>
      <c r="M7852" s="40">
        <v>42830.0</v>
      </c>
      <c r="N7852" s="40">
        <v>42898.0</v>
      </c>
      <c r="O7852" s="15" t="s">
        <v>1554</v>
      </c>
      <c r="Q7852" s="7"/>
    </row>
    <row r="7853">
      <c r="A7853" s="39" t="s">
        <v>29033</v>
      </c>
      <c r="B7853" s="15">
        <v>1897754.0</v>
      </c>
      <c r="D7853" s="15">
        <v>0.0</v>
      </c>
      <c r="E7853" s="15" t="s">
        <v>4407</v>
      </c>
      <c r="F7853" s="15" t="s">
        <v>1578</v>
      </c>
      <c r="G7853" s="7">
        <v>53.227</v>
      </c>
      <c r="H7853" s="15">
        <v>43.0</v>
      </c>
      <c r="I7853" s="15" t="s">
        <v>1586</v>
      </c>
      <c r="J7853" s="15" t="s">
        <v>29035</v>
      </c>
      <c r="K7853" s="15">
        <v>91.0</v>
      </c>
      <c r="L7853" s="15">
        <v>90.0</v>
      </c>
      <c r="M7853" s="40">
        <v>42830.0</v>
      </c>
      <c r="N7853" s="40">
        <v>42898.0</v>
      </c>
      <c r="O7853" s="15" t="s">
        <v>1554</v>
      </c>
      <c r="Q7853" s="7"/>
    </row>
    <row r="7854">
      <c r="A7854" s="39" t="s">
        <v>29036</v>
      </c>
      <c r="B7854" s="15">
        <v>1897755.0</v>
      </c>
      <c r="D7854" s="15">
        <v>0.0</v>
      </c>
      <c r="E7854" s="15" t="s">
        <v>4407</v>
      </c>
      <c r="F7854" s="15" t="s">
        <v>1578</v>
      </c>
      <c r="G7854" s="7">
        <v>54.268</v>
      </c>
      <c r="H7854" s="15" t="s">
        <v>2648</v>
      </c>
      <c r="I7854" s="15" t="s">
        <v>1586</v>
      </c>
      <c r="J7854" s="15" t="s">
        <v>29037</v>
      </c>
      <c r="K7854" s="15">
        <v>93.0</v>
      </c>
      <c r="L7854" s="15">
        <v>92.0</v>
      </c>
      <c r="M7854" s="40">
        <v>42830.0</v>
      </c>
      <c r="N7854" s="40">
        <v>42898.0</v>
      </c>
      <c r="O7854" s="15" t="s">
        <v>1554</v>
      </c>
      <c r="Q7854" s="7"/>
    </row>
    <row r="7855">
      <c r="A7855" s="39" t="s">
        <v>29038</v>
      </c>
      <c r="B7855" s="15">
        <v>1897761.0</v>
      </c>
      <c r="D7855" s="15">
        <v>0.0</v>
      </c>
      <c r="E7855" s="15" t="s">
        <v>1557</v>
      </c>
      <c r="F7855" s="15" t="s">
        <v>1833</v>
      </c>
      <c r="G7855" s="7">
        <v>42.944</v>
      </c>
      <c r="H7855" s="15" t="s">
        <v>1834</v>
      </c>
      <c r="I7855" s="15" t="s">
        <v>1586</v>
      </c>
      <c r="J7855" s="15" t="s">
        <v>29039</v>
      </c>
      <c r="K7855" s="15">
        <v>60.0</v>
      </c>
      <c r="L7855" s="15">
        <v>60.0</v>
      </c>
      <c r="M7855" s="40">
        <v>42634.0</v>
      </c>
      <c r="N7855" s="40">
        <v>42634.0</v>
      </c>
      <c r="O7855" s="15" t="s">
        <v>1554</v>
      </c>
      <c r="Q7855" s="7"/>
    </row>
    <row r="7856">
      <c r="A7856" s="39" t="s">
        <v>29040</v>
      </c>
      <c r="B7856" s="15">
        <v>1897762.0</v>
      </c>
      <c r="D7856" s="15">
        <v>0.0</v>
      </c>
      <c r="E7856" s="15" t="s">
        <v>1557</v>
      </c>
      <c r="F7856" s="15" t="s">
        <v>1833</v>
      </c>
      <c r="G7856" s="7">
        <v>15.556</v>
      </c>
      <c r="H7856" s="15" t="s">
        <v>10437</v>
      </c>
      <c r="I7856" s="15" t="s">
        <v>1586</v>
      </c>
      <c r="J7856" s="15" t="s">
        <v>29041</v>
      </c>
      <c r="K7856" s="15">
        <v>26.0</v>
      </c>
      <c r="L7856" s="15">
        <v>26.0</v>
      </c>
      <c r="M7856" s="40">
        <v>42634.0</v>
      </c>
      <c r="N7856" s="41">
        <v>43020.0</v>
      </c>
      <c r="O7856" s="15" t="s">
        <v>1554</v>
      </c>
      <c r="Q7856" s="7"/>
    </row>
    <row r="7857">
      <c r="A7857" s="39" t="s">
        <v>29042</v>
      </c>
      <c r="B7857" s="15">
        <v>1897763.0</v>
      </c>
      <c r="D7857" s="15">
        <v>0.0</v>
      </c>
      <c r="E7857" s="15" t="s">
        <v>1557</v>
      </c>
      <c r="F7857" s="15" t="s">
        <v>1833</v>
      </c>
      <c r="G7857" s="7">
        <v>43.891</v>
      </c>
      <c r="H7857" s="15" t="s">
        <v>1834</v>
      </c>
      <c r="I7857" s="15" t="s">
        <v>1586</v>
      </c>
      <c r="J7857" s="15" t="s">
        <v>29044</v>
      </c>
      <c r="K7857" s="15">
        <v>62.0</v>
      </c>
      <c r="L7857" s="15">
        <v>62.0</v>
      </c>
      <c r="M7857" s="40">
        <v>42634.0</v>
      </c>
      <c r="N7857" s="40">
        <v>42634.0</v>
      </c>
      <c r="O7857" s="15" t="s">
        <v>1554</v>
      </c>
      <c r="Q7857" s="7"/>
    </row>
    <row r="7858">
      <c r="A7858" s="39" t="s">
        <v>29045</v>
      </c>
      <c r="B7858" s="15">
        <v>1897766.0</v>
      </c>
      <c r="D7858" s="15">
        <v>0.0</v>
      </c>
      <c r="E7858" s="15" t="s">
        <v>1557</v>
      </c>
      <c r="F7858" s="15" t="s">
        <v>1833</v>
      </c>
      <c r="G7858" s="7">
        <v>52.917</v>
      </c>
      <c r="H7858" s="15" t="s">
        <v>3832</v>
      </c>
      <c r="I7858" s="15" t="s">
        <v>1586</v>
      </c>
      <c r="J7858" s="15" t="s">
        <v>29046</v>
      </c>
      <c r="K7858" s="15">
        <v>94.0</v>
      </c>
      <c r="L7858" s="15">
        <v>94.0</v>
      </c>
      <c r="M7858" s="40">
        <v>42634.0</v>
      </c>
      <c r="N7858" s="40">
        <v>42712.0</v>
      </c>
      <c r="O7858" s="15" t="s">
        <v>1554</v>
      </c>
      <c r="Q7858" s="7"/>
    </row>
    <row r="7859">
      <c r="A7859" s="39" t="s">
        <v>29047</v>
      </c>
      <c r="B7859" s="15">
        <v>1897769.0</v>
      </c>
      <c r="D7859" s="15">
        <v>0.0</v>
      </c>
      <c r="E7859" s="15" t="s">
        <v>1557</v>
      </c>
      <c r="F7859" s="15" t="s">
        <v>1833</v>
      </c>
      <c r="G7859" s="7">
        <v>58.608</v>
      </c>
      <c r="H7859" s="15" t="s">
        <v>10442</v>
      </c>
      <c r="I7859" s="15" t="s">
        <v>1586</v>
      </c>
      <c r="J7859" s="15" t="s">
        <v>29048</v>
      </c>
      <c r="K7859" s="15">
        <v>104.0</v>
      </c>
      <c r="L7859" s="15">
        <v>104.0</v>
      </c>
      <c r="M7859" s="40">
        <v>42634.0</v>
      </c>
      <c r="N7859" s="40">
        <v>42634.0</v>
      </c>
      <c r="O7859" s="15" t="s">
        <v>1554</v>
      </c>
      <c r="Q7859" s="7"/>
    </row>
    <row r="7860">
      <c r="A7860" s="39" t="s">
        <v>29049</v>
      </c>
      <c r="B7860" s="15">
        <v>1897770.0</v>
      </c>
      <c r="D7860" s="15">
        <v>0.0</v>
      </c>
      <c r="E7860" s="15" t="s">
        <v>1557</v>
      </c>
      <c r="F7860" s="15" t="s">
        <v>1833</v>
      </c>
      <c r="G7860" s="7">
        <v>52.195</v>
      </c>
      <c r="H7860" s="15" t="s">
        <v>4108</v>
      </c>
      <c r="I7860" s="15" t="s">
        <v>1586</v>
      </c>
      <c r="J7860" s="15" t="s">
        <v>29050</v>
      </c>
      <c r="K7860" s="15">
        <v>104.0</v>
      </c>
      <c r="L7860" s="15">
        <v>101.0</v>
      </c>
      <c r="M7860" s="40">
        <v>42634.0</v>
      </c>
      <c r="N7860" s="40">
        <v>42634.0</v>
      </c>
      <c r="O7860" s="15" t="s">
        <v>1554</v>
      </c>
      <c r="Q7860" s="7"/>
    </row>
    <row r="7861">
      <c r="A7861" s="39" t="s">
        <v>29052</v>
      </c>
      <c r="B7861" s="15">
        <v>1898549.0</v>
      </c>
      <c r="D7861" s="15">
        <v>0.0</v>
      </c>
      <c r="E7861" s="15" t="s">
        <v>1557</v>
      </c>
      <c r="F7861" s="15" t="s">
        <v>6500</v>
      </c>
      <c r="G7861" s="7">
        <v>57.9</v>
      </c>
      <c r="H7861" s="15" t="s">
        <v>2223</v>
      </c>
      <c r="I7861" s="15" t="s">
        <v>1618</v>
      </c>
      <c r="J7861" s="15" t="s">
        <v>29053</v>
      </c>
      <c r="K7861" s="15" t="s">
        <v>1722</v>
      </c>
      <c r="L7861" s="15">
        <v>63.0</v>
      </c>
      <c r="M7861" s="40">
        <v>42627.0</v>
      </c>
      <c r="N7861" s="40">
        <v>42627.0</v>
      </c>
      <c r="O7861" s="15" t="s">
        <v>1554</v>
      </c>
      <c r="Q7861" s="7"/>
    </row>
    <row r="7862">
      <c r="A7862" s="39" t="s">
        <v>29054</v>
      </c>
      <c r="B7862" s="15">
        <v>1898550.0</v>
      </c>
      <c r="D7862" s="15">
        <v>0.0</v>
      </c>
      <c r="E7862" s="15" t="s">
        <v>1557</v>
      </c>
      <c r="F7862" s="15" t="s">
        <v>6500</v>
      </c>
      <c r="G7862" s="7">
        <v>61.783</v>
      </c>
      <c r="H7862" s="15" t="s">
        <v>1710</v>
      </c>
      <c r="I7862" s="15" t="s">
        <v>1618</v>
      </c>
      <c r="J7862" s="15" t="s">
        <v>29055</v>
      </c>
      <c r="K7862" s="15" t="s">
        <v>1722</v>
      </c>
      <c r="L7862" s="15">
        <v>66.0</v>
      </c>
      <c r="M7862" s="40">
        <v>42627.0</v>
      </c>
      <c r="N7862" s="40">
        <v>42627.0</v>
      </c>
      <c r="O7862" s="15" t="s">
        <v>1554</v>
      </c>
      <c r="Q7862" s="7"/>
    </row>
    <row r="7863">
      <c r="A7863" s="39" t="s">
        <v>29056</v>
      </c>
      <c r="B7863" s="15">
        <v>1903185.0</v>
      </c>
      <c r="D7863" s="15">
        <v>0.0</v>
      </c>
      <c r="E7863" s="15" t="s">
        <v>4407</v>
      </c>
      <c r="F7863" s="15" t="s">
        <v>1578</v>
      </c>
      <c r="G7863" s="7">
        <v>38.989</v>
      </c>
      <c r="H7863" s="15" t="s">
        <v>2597</v>
      </c>
      <c r="I7863" s="15" t="s">
        <v>1586</v>
      </c>
      <c r="J7863" s="15" t="s">
        <v>29058</v>
      </c>
      <c r="K7863" s="15">
        <v>44.0</v>
      </c>
      <c r="L7863" s="15">
        <v>44.0</v>
      </c>
      <c r="M7863" s="41">
        <v>42727.0</v>
      </c>
      <c r="N7863" s="41">
        <v>42727.0</v>
      </c>
      <c r="O7863" s="15" t="s">
        <v>1554</v>
      </c>
      <c r="Q7863" s="7"/>
    </row>
    <row r="7864">
      <c r="A7864" s="39" t="s">
        <v>29059</v>
      </c>
      <c r="B7864" s="15">
        <v>1904491.0</v>
      </c>
      <c r="D7864" s="15">
        <v>0.0</v>
      </c>
      <c r="E7864" s="15" t="s">
        <v>4407</v>
      </c>
      <c r="F7864" s="15" t="s">
        <v>1578</v>
      </c>
      <c r="G7864" s="7">
        <v>134.073</v>
      </c>
      <c r="H7864" s="42">
        <v>43157.0</v>
      </c>
      <c r="I7864" s="15" t="s">
        <v>1586</v>
      </c>
      <c r="J7864" s="15" t="s">
        <v>29060</v>
      </c>
      <c r="K7864" s="15">
        <v>169.0</v>
      </c>
      <c r="L7864" s="15">
        <v>169.0</v>
      </c>
      <c r="M7864" s="40">
        <v>42651.0</v>
      </c>
      <c r="N7864" s="40">
        <v>42651.0</v>
      </c>
      <c r="O7864" s="15" t="s">
        <v>1554</v>
      </c>
      <c r="Q7864" s="7"/>
    </row>
    <row r="7865">
      <c r="A7865" s="39" t="s">
        <v>29061</v>
      </c>
      <c r="B7865" s="15">
        <v>1904925.0</v>
      </c>
      <c r="D7865" s="15">
        <v>0.0</v>
      </c>
      <c r="E7865" s="15" t="s">
        <v>1557</v>
      </c>
      <c r="F7865" s="15" t="s">
        <v>1611</v>
      </c>
      <c r="G7865" s="7">
        <v>43.557</v>
      </c>
      <c r="H7865" s="15" t="s">
        <v>3246</v>
      </c>
      <c r="I7865" s="15" t="s">
        <v>1586</v>
      </c>
      <c r="J7865" s="15" t="s">
        <v>29062</v>
      </c>
      <c r="K7865" s="15">
        <v>47.0</v>
      </c>
      <c r="L7865" s="15">
        <v>47.0</v>
      </c>
      <c r="M7865" s="40">
        <v>42651.0</v>
      </c>
      <c r="N7865" s="40">
        <v>42651.0</v>
      </c>
      <c r="O7865" s="15" t="s">
        <v>1554</v>
      </c>
      <c r="Q7865" s="7"/>
    </row>
    <row r="7866">
      <c r="A7866" s="39" t="s">
        <v>29063</v>
      </c>
      <c r="B7866" s="15">
        <v>1905713.0</v>
      </c>
      <c r="D7866" s="15">
        <v>0.0</v>
      </c>
      <c r="E7866" s="15" t="s">
        <v>4407</v>
      </c>
      <c r="F7866" s="15" t="s">
        <v>1578</v>
      </c>
      <c r="G7866" s="7">
        <v>87.308</v>
      </c>
      <c r="H7866" s="15" t="s">
        <v>2304</v>
      </c>
      <c r="I7866" s="15" t="s">
        <v>1586</v>
      </c>
      <c r="J7866" s="15" t="s">
        <v>29065</v>
      </c>
      <c r="K7866" s="15" t="s">
        <v>1722</v>
      </c>
      <c r="L7866" s="15" t="s">
        <v>1722</v>
      </c>
      <c r="M7866" s="40">
        <v>42651.0</v>
      </c>
      <c r="N7866" s="40">
        <v>42651.0</v>
      </c>
      <c r="O7866" s="15" t="s">
        <v>1554</v>
      </c>
      <c r="Q7866" s="7"/>
    </row>
    <row r="7867">
      <c r="A7867" s="39" t="s">
        <v>29066</v>
      </c>
      <c r="B7867" s="15">
        <v>1906944.0</v>
      </c>
      <c r="D7867" s="15">
        <v>0.0</v>
      </c>
      <c r="E7867" s="15" t="s">
        <v>1557</v>
      </c>
      <c r="F7867" s="15" t="s">
        <v>1833</v>
      </c>
      <c r="G7867" s="7">
        <v>75.728</v>
      </c>
      <c r="H7867" s="15" t="s">
        <v>2517</v>
      </c>
      <c r="I7867" s="15" t="s">
        <v>1586</v>
      </c>
      <c r="J7867" s="15" t="s">
        <v>29067</v>
      </c>
      <c r="K7867" s="15">
        <v>152.0</v>
      </c>
      <c r="L7867" s="15">
        <v>150.0</v>
      </c>
      <c r="M7867" s="41">
        <v>42672.0</v>
      </c>
      <c r="N7867" s="41">
        <v>42672.0</v>
      </c>
      <c r="O7867" s="15" t="s">
        <v>1554</v>
      </c>
      <c r="Q7867" s="7"/>
    </row>
    <row r="7868">
      <c r="A7868" s="39" t="s">
        <v>29068</v>
      </c>
      <c r="B7868" s="15">
        <v>1907781.0</v>
      </c>
      <c r="D7868" s="15">
        <v>0.0</v>
      </c>
      <c r="E7868" s="15" t="s">
        <v>4407</v>
      </c>
      <c r="F7868" s="15" t="s">
        <v>1578</v>
      </c>
      <c r="G7868" s="7">
        <v>40.605</v>
      </c>
      <c r="H7868" s="15" t="s">
        <v>4521</v>
      </c>
      <c r="I7868" s="15" t="s">
        <v>1586</v>
      </c>
      <c r="J7868" s="15" t="s">
        <v>29069</v>
      </c>
      <c r="K7868" s="15">
        <v>46.0</v>
      </c>
      <c r="L7868" s="15">
        <v>46.0</v>
      </c>
      <c r="M7868" s="40">
        <v>42823.0</v>
      </c>
      <c r="N7868" s="40">
        <v>42823.0</v>
      </c>
      <c r="O7868" s="15" t="s">
        <v>1554</v>
      </c>
      <c r="Q7868" s="7"/>
    </row>
    <row r="7869">
      <c r="A7869" s="39" t="s">
        <v>29070</v>
      </c>
      <c r="B7869" s="15">
        <v>1907782.0</v>
      </c>
      <c r="D7869" s="15">
        <v>0.0</v>
      </c>
      <c r="E7869" s="15" t="s">
        <v>4407</v>
      </c>
      <c r="F7869" s="15" t="s">
        <v>1578</v>
      </c>
      <c r="G7869" s="7">
        <v>41.697</v>
      </c>
      <c r="H7869" s="15" t="s">
        <v>6070</v>
      </c>
      <c r="I7869" s="15" t="s">
        <v>1586</v>
      </c>
      <c r="J7869" s="15" t="s">
        <v>29071</v>
      </c>
      <c r="K7869" s="15">
        <v>48.0</v>
      </c>
      <c r="L7869" s="15">
        <v>48.0</v>
      </c>
      <c r="M7869" s="40">
        <v>42823.0</v>
      </c>
      <c r="N7869" s="40">
        <v>42823.0</v>
      </c>
      <c r="O7869" s="15" t="s">
        <v>1554</v>
      </c>
      <c r="Q7869" s="7"/>
    </row>
    <row r="7870">
      <c r="A7870" s="39" t="s">
        <v>29073</v>
      </c>
      <c r="B7870" s="15">
        <v>1907783.0</v>
      </c>
      <c r="D7870" s="15">
        <v>0.0</v>
      </c>
      <c r="E7870" s="15" t="s">
        <v>4407</v>
      </c>
      <c r="F7870" s="15" t="s">
        <v>1578</v>
      </c>
      <c r="G7870" s="7">
        <v>41.335</v>
      </c>
      <c r="H7870" s="15" t="s">
        <v>4521</v>
      </c>
      <c r="I7870" s="15" t="s">
        <v>1586</v>
      </c>
      <c r="J7870" s="15" t="s">
        <v>29074</v>
      </c>
      <c r="K7870" s="15">
        <v>46.0</v>
      </c>
      <c r="L7870" s="15">
        <v>46.0</v>
      </c>
      <c r="M7870" s="40">
        <v>42823.0</v>
      </c>
      <c r="N7870" s="40">
        <v>42823.0</v>
      </c>
      <c r="O7870" s="15" t="s">
        <v>1554</v>
      </c>
      <c r="Q7870" s="7"/>
    </row>
    <row r="7871">
      <c r="A7871" s="39" t="s">
        <v>29075</v>
      </c>
      <c r="B7871" s="15">
        <v>1907784.0</v>
      </c>
      <c r="D7871" s="15">
        <v>0.0</v>
      </c>
      <c r="E7871" s="15" t="s">
        <v>4407</v>
      </c>
      <c r="F7871" s="15" t="s">
        <v>1578</v>
      </c>
      <c r="G7871" s="7">
        <v>147.443</v>
      </c>
      <c r="H7871" s="15" t="s">
        <v>1962</v>
      </c>
      <c r="I7871" s="15" t="s">
        <v>1586</v>
      </c>
      <c r="J7871" s="15" t="s">
        <v>29076</v>
      </c>
      <c r="K7871" s="15">
        <v>262.0</v>
      </c>
      <c r="L7871" s="15">
        <v>262.0</v>
      </c>
      <c r="M7871" s="40">
        <v>42823.0</v>
      </c>
      <c r="N7871" s="41">
        <v>43031.0</v>
      </c>
      <c r="O7871" s="15" t="s">
        <v>1554</v>
      </c>
      <c r="Q7871" s="7"/>
    </row>
    <row r="7872">
      <c r="A7872" s="39" t="s">
        <v>29077</v>
      </c>
      <c r="B7872" s="15">
        <v>1908549.0</v>
      </c>
      <c r="D7872" s="15">
        <v>0.0</v>
      </c>
      <c r="E7872" s="15" t="s">
        <v>4407</v>
      </c>
      <c r="F7872" s="15" t="s">
        <v>1578</v>
      </c>
      <c r="G7872" s="7">
        <v>160.342</v>
      </c>
      <c r="H7872" s="15" t="s">
        <v>2877</v>
      </c>
      <c r="I7872" s="15" t="s">
        <v>1586</v>
      </c>
      <c r="J7872" s="15" t="s">
        <v>29078</v>
      </c>
      <c r="K7872" s="15">
        <v>210.0</v>
      </c>
      <c r="L7872" s="15">
        <v>210.0</v>
      </c>
      <c r="M7872" s="40">
        <v>42855.0</v>
      </c>
      <c r="N7872" s="40">
        <v>42855.0</v>
      </c>
      <c r="O7872" s="15" t="s">
        <v>1554</v>
      </c>
      <c r="Q7872" s="7"/>
    </row>
    <row r="7873">
      <c r="A7873" s="39" t="s">
        <v>29079</v>
      </c>
      <c r="B7873" s="15">
        <v>1909400.0</v>
      </c>
      <c r="D7873" s="15">
        <v>0.0</v>
      </c>
      <c r="E7873" s="15" t="s">
        <v>1557</v>
      </c>
      <c r="F7873" s="15" t="s">
        <v>1611</v>
      </c>
      <c r="G7873" s="7">
        <v>26.054</v>
      </c>
      <c r="H7873" s="42">
        <v>43220.0</v>
      </c>
      <c r="I7873" s="15" t="s">
        <v>1586</v>
      </c>
      <c r="J7873" s="15" t="s">
        <v>29081</v>
      </c>
      <c r="K7873" s="15">
        <v>41.0</v>
      </c>
      <c r="L7873" s="15">
        <v>41.0</v>
      </c>
      <c r="M7873" s="40">
        <v>42676.0</v>
      </c>
      <c r="N7873" s="40">
        <v>42676.0</v>
      </c>
      <c r="O7873" s="15" t="s">
        <v>1554</v>
      </c>
      <c r="Q7873" s="7"/>
    </row>
    <row r="7874">
      <c r="A7874" s="39" t="s">
        <v>29082</v>
      </c>
      <c r="B7874" s="15">
        <v>1909401.0</v>
      </c>
      <c r="D7874" s="15">
        <v>0.0</v>
      </c>
      <c r="E7874" s="15" t="s">
        <v>4407</v>
      </c>
      <c r="F7874" s="15" t="s">
        <v>1578</v>
      </c>
      <c r="G7874" s="7">
        <v>161.643</v>
      </c>
      <c r="H7874" s="15" t="s">
        <v>1607</v>
      </c>
      <c r="I7874" s="15" t="s">
        <v>1586</v>
      </c>
      <c r="J7874" s="15" t="s">
        <v>29083</v>
      </c>
      <c r="K7874" s="15">
        <v>301.0</v>
      </c>
      <c r="L7874" s="15">
        <v>298.0</v>
      </c>
      <c r="M7874" s="40">
        <v>42676.0</v>
      </c>
      <c r="N7874" s="40">
        <v>42676.0</v>
      </c>
      <c r="O7874" s="15" t="s">
        <v>1554</v>
      </c>
      <c r="Q7874" s="7"/>
    </row>
    <row r="7875">
      <c r="A7875" s="39" t="s">
        <v>29084</v>
      </c>
      <c r="B7875" s="15">
        <v>1909402.0</v>
      </c>
      <c r="D7875" s="15">
        <v>0.0</v>
      </c>
      <c r="E7875" s="15" t="s">
        <v>1557</v>
      </c>
      <c r="F7875" s="15" t="s">
        <v>1767</v>
      </c>
      <c r="G7875" s="7">
        <v>160.732</v>
      </c>
      <c r="H7875" s="15" t="s">
        <v>1607</v>
      </c>
      <c r="I7875" s="15" t="s">
        <v>1586</v>
      </c>
      <c r="J7875" s="15" t="s">
        <v>29086</v>
      </c>
      <c r="K7875" s="15">
        <v>301.0</v>
      </c>
      <c r="L7875" s="15">
        <v>298.0</v>
      </c>
      <c r="M7875" s="40">
        <v>42676.0</v>
      </c>
      <c r="N7875" s="40">
        <v>42676.0</v>
      </c>
      <c r="O7875" s="15" t="s">
        <v>1554</v>
      </c>
      <c r="Q7875" s="7"/>
    </row>
    <row r="7876">
      <c r="A7876" s="39" t="s">
        <v>29087</v>
      </c>
      <c r="B7876" s="15">
        <v>1909403.0</v>
      </c>
      <c r="D7876" s="15">
        <v>0.0</v>
      </c>
      <c r="E7876" s="15" t="s">
        <v>1557</v>
      </c>
      <c r="F7876" s="15" t="s">
        <v>1767</v>
      </c>
      <c r="G7876" s="7">
        <v>164.911</v>
      </c>
      <c r="H7876" s="15" t="s">
        <v>2320</v>
      </c>
      <c r="I7876" s="15" t="s">
        <v>1586</v>
      </c>
      <c r="J7876" s="15" t="s">
        <v>29088</v>
      </c>
      <c r="K7876" s="15">
        <v>301.0</v>
      </c>
      <c r="L7876" s="15">
        <v>288.0</v>
      </c>
      <c r="M7876" s="40">
        <v>42676.0</v>
      </c>
      <c r="N7876" s="40">
        <v>42676.0</v>
      </c>
      <c r="O7876" s="15" t="s">
        <v>1554</v>
      </c>
      <c r="Q7876" s="7"/>
    </row>
    <row r="7877">
      <c r="A7877" s="39" t="s">
        <v>29089</v>
      </c>
      <c r="B7877" s="15">
        <v>1909694.0</v>
      </c>
      <c r="D7877" s="15">
        <v>0.0</v>
      </c>
      <c r="E7877" s="15" t="s">
        <v>1557</v>
      </c>
      <c r="F7877" s="15" t="s">
        <v>1833</v>
      </c>
      <c r="G7877" s="7">
        <v>44.52</v>
      </c>
      <c r="H7877" s="15" t="s">
        <v>1881</v>
      </c>
      <c r="I7877" s="15" t="s">
        <v>1586</v>
      </c>
      <c r="J7877" s="15" t="s">
        <v>29090</v>
      </c>
      <c r="K7877" s="15">
        <v>77.0</v>
      </c>
      <c r="L7877" s="15">
        <v>77.0</v>
      </c>
      <c r="M7877" s="40">
        <v>42772.0</v>
      </c>
      <c r="N7877" s="40">
        <v>42979.0</v>
      </c>
      <c r="O7877" s="15" t="s">
        <v>1554</v>
      </c>
      <c r="Q7877" s="7"/>
    </row>
    <row r="7878">
      <c r="A7878" s="39" t="s">
        <v>29091</v>
      </c>
      <c r="B7878" s="15">
        <v>338108.0</v>
      </c>
      <c r="D7878" s="15">
        <v>0.0</v>
      </c>
      <c r="E7878" s="15" t="s">
        <v>1808</v>
      </c>
      <c r="F7878" s="15" t="s">
        <v>3154</v>
      </c>
      <c r="G7878" s="7">
        <v>5.538</v>
      </c>
      <c r="H7878" s="15" t="s">
        <v>4070</v>
      </c>
      <c r="I7878" s="15" t="s">
        <v>1586</v>
      </c>
      <c r="J7878" s="15" t="s">
        <v>29093</v>
      </c>
      <c r="K7878" s="15">
        <v>11.0</v>
      </c>
      <c r="L7878" s="15">
        <v>11.0</v>
      </c>
      <c r="M7878" s="40">
        <v>38741.0</v>
      </c>
      <c r="N7878" s="40">
        <v>38741.0</v>
      </c>
      <c r="O7878" s="15" t="s">
        <v>1554</v>
      </c>
      <c r="Q7878" s="7"/>
    </row>
    <row r="7879">
      <c r="A7879" s="39" t="s">
        <v>29094</v>
      </c>
      <c r="B7879" s="15">
        <v>698488.0</v>
      </c>
      <c r="D7879" s="15">
        <v>0.0</v>
      </c>
      <c r="E7879" s="15" t="s">
        <v>1557</v>
      </c>
      <c r="F7879" s="15" t="s">
        <v>1833</v>
      </c>
      <c r="G7879" s="7">
        <v>42.292</v>
      </c>
      <c r="H7879" s="15" t="s">
        <v>5521</v>
      </c>
      <c r="I7879" s="15" t="s">
        <v>1586</v>
      </c>
      <c r="J7879" s="15" t="s">
        <v>29095</v>
      </c>
      <c r="K7879" s="15" t="s">
        <v>1722</v>
      </c>
      <c r="L7879" s="15">
        <v>51.0</v>
      </c>
      <c r="M7879" s="40">
        <v>40182.0</v>
      </c>
      <c r="N7879" s="40">
        <v>40182.0</v>
      </c>
      <c r="O7879" s="15" t="s">
        <v>1554</v>
      </c>
      <c r="Q7879" s="7"/>
    </row>
    <row r="7880">
      <c r="A7880" s="39" t="s">
        <v>29096</v>
      </c>
      <c r="B7880" s="15">
        <v>698489.0</v>
      </c>
      <c r="D7880" s="15">
        <v>0.0</v>
      </c>
      <c r="E7880" s="15" t="s">
        <v>1557</v>
      </c>
      <c r="F7880" s="15" t="s">
        <v>1833</v>
      </c>
      <c r="G7880" s="7">
        <v>42.765</v>
      </c>
      <c r="H7880" s="15" t="s">
        <v>5521</v>
      </c>
      <c r="I7880" s="15" t="s">
        <v>1586</v>
      </c>
      <c r="J7880" s="15" t="s">
        <v>29097</v>
      </c>
      <c r="K7880" s="15" t="s">
        <v>1722</v>
      </c>
      <c r="L7880" s="15">
        <v>48.0</v>
      </c>
      <c r="M7880" s="40">
        <v>40182.0</v>
      </c>
      <c r="N7880" s="40">
        <v>40182.0</v>
      </c>
      <c r="O7880" s="15" t="s">
        <v>1554</v>
      </c>
      <c r="Q7880" s="7"/>
    </row>
    <row r="7881">
      <c r="A7881" s="39" t="s">
        <v>29099</v>
      </c>
      <c r="B7881" s="15">
        <v>1912318.0</v>
      </c>
      <c r="D7881" s="15">
        <v>0.0</v>
      </c>
      <c r="E7881" s="15" t="s">
        <v>1557</v>
      </c>
      <c r="F7881" s="15" t="s">
        <v>1833</v>
      </c>
      <c r="G7881" s="7">
        <v>123.49</v>
      </c>
      <c r="H7881" s="15" t="s">
        <v>3407</v>
      </c>
      <c r="I7881" s="15" t="s">
        <v>1586</v>
      </c>
      <c r="J7881" s="15" t="s">
        <v>29100</v>
      </c>
      <c r="K7881" s="15" t="s">
        <v>1722</v>
      </c>
      <c r="L7881" s="15">
        <v>149.0</v>
      </c>
      <c r="M7881" s="40">
        <v>42676.0</v>
      </c>
      <c r="N7881" s="40">
        <v>42748.0</v>
      </c>
      <c r="O7881" s="15" t="s">
        <v>1554</v>
      </c>
      <c r="Q7881" s="7"/>
    </row>
    <row r="7882">
      <c r="A7882" s="39" t="s">
        <v>29101</v>
      </c>
      <c r="B7882" s="15">
        <v>1912319.0</v>
      </c>
      <c r="D7882" s="15">
        <v>0.0</v>
      </c>
      <c r="E7882" s="15" t="s">
        <v>1557</v>
      </c>
      <c r="F7882" s="15" t="s">
        <v>1578</v>
      </c>
      <c r="G7882" s="7">
        <v>44.623</v>
      </c>
      <c r="H7882" s="15" t="s">
        <v>3246</v>
      </c>
      <c r="I7882" s="15" t="s">
        <v>1586</v>
      </c>
      <c r="J7882" s="15" t="s">
        <v>29102</v>
      </c>
      <c r="K7882" s="15">
        <v>57.0</v>
      </c>
      <c r="L7882" s="15">
        <v>57.0</v>
      </c>
      <c r="M7882" s="40">
        <v>42676.0</v>
      </c>
      <c r="N7882" s="40">
        <v>42676.0</v>
      </c>
      <c r="O7882" s="15" t="s">
        <v>1554</v>
      </c>
      <c r="Q7882" s="7"/>
    </row>
    <row r="7883">
      <c r="A7883" s="39" t="s">
        <v>29104</v>
      </c>
      <c r="B7883" s="15">
        <v>1912320.0</v>
      </c>
      <c r="D7883" s="15">
        <v>0.0</v>
      </c>
      <c r="E7883" s="15" t="s">
        <v>1557</v>
      </c>
      <c r="F7883" s="15" t="s">
        <v>1578</v>
      </c>
      <c r="G7883" s="7">
        <v>51.099</v>
      </c>
      <c r="H7883" s="15" t="s">
        <v>2189</v>
      </c>
      <c r="I7883" s="15" t="s">
        <v>1586</v>
      </c>
      <c r="J7883" s="15" t="s">
        <v>29105</v>
      </c>
      <c r="K7883" s="15">
        <v>79.0</v>
      </c>
      <c r="L7883" s="15">
        <v>79.0</v>
      </c>
      <c r="M7883" s="40">
        <v>42676.0</v>
      </c>
      <c r="N7883" s="40">
        <v>42676.0</v>
      </c>
      <c r="O7883" s="15" t="s">
        <v>1554</v>
      </c>
      <c r="Q7883" s="7"/>
    </row>
    <row r="7884">
      <c r="A7884" s="39" t="s">
        <v>29106</v>
      </c>
      <c r="B7884" s="15">
        <v>1912321.0</v>
      </c>
      <c r="D7884" s="15">
        <v>0.0</v>
      </c>
      <c r="E7884" s="15" t="s">
        <v>1557</v>
      </c>
      <c r="F7884" s="15" t="s">
        <v>1578</v>
      </c>
      <c r="G7884" s="7">
        <v>47.405</v>
      </c>
      <c r="H7884" s="15">
        <v>49.0</v>
      </c>
      <c r="I7884" s="15" t="s">
        <v>1586</v>
      </c>
      <c r="J7884" s="15" t="s">
        <v>29107</v>
      </c>
      <c r="K7884" s="15">
        <v>75.0</v>
      </c>
      <c r="L7884" s="15">
        <v>75.0</v>
      </c>
      <c r="M7884" s="40">
        <v>42676.0</v>
      </c>
      <c r="N7884" s="40">
        <v>42676.0</v>
      </c>
      <c r="O7884" s="15" t="s">
        <v>1554</v>
      </c>
      <c r="Q7884" s="7"/>
    </row>
    <row r="7885">
      <c r="A7885" s="39" t="s">
        <v>29108</v>
      </c>
      <c r="B7885" s="15">
        <v>1912975.0</v>
      </c>
      <c r="D7885" s="15">
        <v>0.0</v>
      </c>
      <c r="E7885" s="15" t="s">
        <v>1557</v>
      </c>
      <c r="F7885" s="15" t="s">
        <v>1833</v>
      </c>
      <c r="G7885" s="7">
        <v>53.432</v>
      </c>
      <c r="H7885" s="15" t="s">
        <v>3034</v>
      </c>
      <c r="I7885" s="15" t="s">
        <v>1586</v>
      </c>
      <c r="J7885" s="15" t="s">
        <v>29110</v>
      </c>
      <c r="K7885" s="15">
        <v>92.0</v>
      </c>
      <c r="L7885" s="15">
        <v>91.0</v>
      </c>
      <c r="M7885" s="40">
        <v>42676.0</v>
      </c>
      <c r="N7885" s="40">
        <v>42676.0</v>
      </c>
      <c r="O7885" s="15" t="s">
        <v>1554</v>
      </c>
      <c r="Q7885" s="7"/>
    </row>
    <row r="7886">
      <c r="A7886" s="39" t="s">
        <v>29111</v>
      </c>
      <c r="B7886" s="15">
        <v>1912976.0</v>
      </c>
      <c r="D7886" s="15">
        <v>0.0</v>
      </c>
      <c r="E7886" s="15" t="s">
        <v>1557</v>
      </c>
      <c r="F7886" s="15" t="s">
        <v>1833</v>
      </c>
      <c r="G7886" s="7">
        <v>60.526</v>
      </c>
      <c r="H7886" s="15" t="s">
        <v>6204</v>
      </c>
      <c r="I7886" s="15" t="s">
        <v>1586</v>
      </c>
      <c r="J7886" s="15" t="s">
        <v>29112</v>
      </c>
      <c r="K7886" s="15">
        <v>98.0</v>
      </c>
      <c r="L7886" s="15">
        <v>97.0</v>
      </c>
      <c r="M7886" s="40">
        <v>42676.0</v>
      </c>
      <c r="N7886" s="40">
        <v>42676.0</v>
      </c>
      <c r="O7886" s="15" t="s">
        <v>1554</v>
      </c>
      <c r="Q7886" s="7"/>
    </row>
    <row r="7887">
      <c r="A7887" s="39" t="s">
        <v>29113</v>
      </c>
      <c r="B7887" s="15">
        <v>1912977.0</v>
      </c>
      <c r="D7887" s="15">
        <v>0.0</v>
      </c>
      <c r="E7887" s="15" t="s">
        <v>1557</v>
      </c>
      <c r="F7887" s="15" t="s">
        <v>1833</v>
      </c>
      <c r="G7887" s="7">
        <v>60.526</v>
      </c>
      <c r="H7887" s="15" t="s">
        <v>6204</v>
      </c>
      <c r="I7887" s="15" t="s">
        <v>1586</v>
      </c>
      <c r="J7887" s="15" t="s">
        <v>29114</v>
      </c>
      <c r="K7887" s="15">
        <v>98.0</v>
      </c>
      <c r="L7887" s="15">
        <v>97.0</v>
      </c>
      <c r="M7887" s="40">
        <v>42676.0</v>
      </c>
      <c r="N7887" s="40">
        <v>42676.0</v>
      </c>
      <c r="O7887" s="15" t="s">
        <v>1554</v>
      </c>
      <c r="Q7887" s="7"/>
    </row>
    <row r="7888">
      <c r="A7888" s="39" t="s">
        <v>29115</v>
      </c>
      <c r="B7888" s="15">
        <v>1912978.0</v>
      </c>
      <c r="D7888" s="15">
        <v>0.0</v>
      </c>
      <c r="E7888" s="15" t="s">
        <v>1557</v>
      </c>
      <c r="F7888" s="15" t="s">
        <v>1833</v>
      </c>
      <c r="G7888" s="7">
        <v>60.526</v>
      </c>
      <c r="H7888" s="15" t="s">
        <v>6204</v>
      </c>
      <c r="I7888" s="15" t="s">
        <v>1586</v>
      </c>
      <c r="J7888" s="15" t="s">
        <v>29117</v>
      </c>
      <c r="K7888" s="15">
        <v>98.0</v>
      </c>
      <c r="L7888" s="15">
        <v>97.0</v>
      </c>
      <c r="M7888" s="40">
        <v>42676.0</v>
      </c>
      <c r="N7888" s="40">
        <v>42676.0</v>
      </c>
      <c r="O7888" s="15" t="s">
        <v>1554</v>
      </c>
      <c r="Q7888" s="7"/>
    </row>
    <row r="7889">
      <c r="A7889" s="39" t="s">
        <v>29118</v>
      </c>
      <c r="B7889" s="15">
        <v>1913034.0</v>
      </c>
      <c r="D7889" s="15">
        <v>0.0</v>
      </c>
      <c r="E7889" s="15" t="s">
        <v>1557</v>
      </c>
      <c r="F7889" s="15" t="s">
        <v>1833</v>
      </c>
      <c r="G7889" s="7">
        <v>48.941</v>
      </c>
      <c r="H7889" s="15" t="s">
        <v>11275</v>
      </c>
      <c r="I7889" s="15" t="s">
        <v>1586</v>
      </c>
      <c r="J7889" s="15" t="s">
        <v>29119</v>
      </c>
      <c r="K7889" s="15">
        <v>81.0</v>
      </c>
      <c r="L7889" s="15">
        <v>81.0</v>
      </c>
      <c r="M7889" s="41">
        <v>42693.0</v>
      </c>
      <c r="N7889" s="41">
        <v>42693.0</v>
      </c>
      <c r="O7889" s="15" t="s">
        <v>1554</v>
      </c>
      <c r="Q7889" s="7"/>
    </row>
    <row r="7890">
      <c r="A7890" s="39" t="s">
        <v>29120</v>
      </c>
      <c r="B7890" s="15">
        <v>1913035.0</v>
      </c>
      <c r="D7890" s="15">
        <v>0.0</v>
      </c>
      <c r="E7890" s="15" t="s">
        <v>1557</v>
      </c>
      <c r="F7890" s="15" t="s">
        <v>1833</v>
      </c>
      <c r="G7890" s="7">
        <v>56.439</v>
      </c>
      <c r="H7890" s="15" t="s">
        <v>2632</v>
      </c>
      <c r="I7890" s="15" t="s">
        <v>1586</v>
      </c>
      <c r="J7890" s="15" t="s">
        <v>29122</v>
      </c>
      <c r="K7890" s="15">
        <v>77.0</v>
      </c>
      <c r="L7890" s="15">
        <v>77.0</v>
      </c>
      <c r="M7890" s="41">
        <v>42693.0</v>
      </c>
      <c r="N7890" s="41">
        <v>42693.0</v>
      </c>
      <c r="O7890" s="15" t="s">
        <v>1554</v>
      </c>
      <c r="Q7890" s="7"/>
    </row>
    <row r="7891">
      <c r="A7891" s="39" t="s">
        <v>29123</v>
      </c>
      <c r="B7891" s="15">
        <v>1913036.0</v>
      </c>
      <c r="D7891" s="15">
        <v>0.0</v>
      </c>
      <c r="E7891" s="15" t="s">
        <v>1557</v>
      </c>
      <c r="F7891" s="15" t="s">
        <v>1833</v>
      </c>
      <c r="G7891" s="7">
        <v>51.374</v>
      </c>
      <c r="H7891" s="15" t="s">
        <v>3286</v>
      </c>
      <c r="I7891" s="15" t="s">
        <v>1586</v>
      </c>
      <c r="J7891" s="15" t="s">
        <v>29124</v>
      </c>
      <c r="K7891" s="15">
        <v>88.0</v>
      </c>
      <c r="L7891" s="15">
        <v>88.0</v>
      </c>
      <c r="M7891" s="41">
        <v>42693.0</v>
      </c>
      <c r="N7891" s="41">
        <v>42693.0</v>
      </c>
      <c r="O7891" s="15" t="s">
        <v>1554</v>
      </c>
      <c r="Q7891" s="7"/>
    </row>
    <row r="7892">
      <c r="A7892" s="39" t="s">
        <v>29125</v>
      </c>
      <c r="B7892" s="15">
        <v>1913037.0</v>
      </c>
      <c r="D7892" s="15">
        <v>0.0</v>
      </c>
      <c r="E7892" s="15" t="s">
        <v>1557</v>
      </c>
      <c r="F7892" s="15" t="s">
        <v>1833</v>
      </c>
      <c r="G7892" s="7">
        <v>50.883</v>
      </c>
      <c r="H7892" s="15">
        <v>64.0</v>
      </c>
      <c r="I7892" s="15" t="s">
        <v>1586</v>
      </c>
      <c r="J7892" s="15" t="s">
        <v>29127</v>
      </c>
      <c r="K7892" s="15">
        <v>91.0</v>
      </c>
      <c r="L7892" s="15">
        <v>88.0</v>
      </c>
      <c r="M7892" s="41">
        <v>42693.0</v>
      </c>
      <c r="N7892" s="41">
        <v>42693.0</v>
      </c>
      <c r="O7892" s="15" t="s">
        <v>1554</v>
      </c>
      <c r="Q7892" s="7"/>
    </row>
    <row r="7893">
      <c r="A7893" s="39" t="s">
        <v>29128</v>
      </c>
      <c r="B7893" s="15">
        <v>1913038.0</v>
      </c>
      <c r="D7893" s="15">
        <v>0.0</v>
      </c>
      <c r="E7893" s="15" t="s">
        <v>1557</v>
      </c>
      <c r="F7893" s="15" t="s">
        <v>1833</v>
      </c>
      <c r="G7893" s="7">
        <v>59.346</v>
      </c>
      <c r="H7893" s="15" t="s">
        <v>3086</v>
      </c>
      <c r="I7893" s="15" t="s">
        <v>1586</v>
      </c>
      <c r="J7893" s="15" t="s">
        <v>29129</v>
      </c>
      <c r="K7893" s="15">
        <v>103.0</v>
      </c>
      <c r="L7893" s="15">
        <v>103.0</v>
      </c>
      <c r="M7893" s="41">
        <v>42693.0</v>
      </c>
      <c r="N7893" s="41">
        <v>42693.0</v>
      </c>
      <c r="O7893" s="15" t="s">
        <v>1554</v>
      </c>
      <c r="Q7893" s="7"/>
    </row>
    <row r="7894">
      <c r="A7894" s="39" t="s">
        <v>29130</v>
      </c>
      <c r="B7894" s="15">
        <v>1913039.0</v>
      </c>
      <c r="D7894" s="15">
        <v>0.0</v>
      </c>
      <c r="E7894" s="15" t="s">
        <v>1557</v>
      </c>
      <c r="F7894" s="15" t="s">
        <v>1767</v>
      </c>
      <c r="G7894" s="7">
        <v>158.432</v>
      </c>
      <c r="H7894" s="15" t="s">
        <v>2877</v>
      </c>
      <c r="I7894" s="15" t="s">
        <v>1586</v>
      </c>
      <c r="J7894" s="15" t="s">
        <v>29132</v>
      </c>
      <c r="K7894" s="15">
        <v>212.0</v>
      </c>
      <c r="L7894" s="15">
        <v>208.0</v>
      </c>
      <c r="M7894" s="40">
        <v>42979.0</v>
      </c>
      <c r="N7894" s="40">
        <v>42979.0</v>
      </c>
      <c r="O7894" s="15" t="s">
        <v>1554</v>
      </c>
      <c r="Q7894" s="7"/>
    </row>
    <row r="7895">
      <c r="A7895" s="39" t="s">
        <v>29133</v>
      </c>
      <c r="B7895" s="15">
        <v>1913041.0</v>
      </c>
      <c r="D7895" s="15">
        <v>0.0</v>
      </c>
      <c r="E7895" s="15" t="s">
        <v>1557</v>
      </c>
      <c r="F7895" s="15" t="s">
        <v>1833</v>
      </c>
      <c r="G7895" s="7">
        <v>51.372</v>
      </c>
      <c r="H7895" s="15" t="s">
        <v>3286</v>
      </c>
      <c r="I7895" s="15" t="s">
        <v>1586</v>
      </c>
      <c r="J7895" s="15" t="s">
        <v>29134</v>
      </c>
      <c r="K7895" s="15">
        <v>88.0</v>
      </c>
      <c r="L7895" s="15">
        <v>88.0</v>
      </c>
      <c r="M7895" s="41">
        <v>42693.0</v>
      </c>
      <c r="N7895" s="41">
        <v>42693.0</v>
      </c>
      <c r="O7895" s="15" t="s">
        <v>1554</v>
      </c>
      <c r="Q7895" s="7"/>
    </row>
    <row r="7896">
      <c r="A7896" s="39" t="s">
        <v>29135</v>
      </c>
      <c r="B7896" s="15">
        <v>1913042.0</v>
      </c>
      <c r="D7896" s="15">
        <v>0.0</v>
      </c>
      <c r="E7896" s="15" t="s">
        <v>1557</v>
      </c>
      <c r="F7896" s="15" t="s">
        <v>1833</v>
      </c>
      <c r="G7896" s="7">
        <v>51.373</v>
      </c>
      <c r="H7896" s="15" t="s">
        <v>3286</v>
      </c>
      <c r="I7896" s="15" t="s">
        <v>1586</v>
      </c>
      <c r="J7896" s="15" t="s">
        <v>29137</v>
      </c>
      <c r="K7896" s="15">
        <v>88.0</v>
      </c>
      <c r="L7896" s="15">
        <v>88.0</v>
      </c>
      <c r="M7896" s="41">
        <v>42693.0</v>
      </c>
      <c r="N7896" s="41">
        <v>42693.0</v>
      </c>
      <c r="O7896" s="15" t="s">
        <v>1554</v>
      </c>
      <c r="Q7896" s="7"/>
    </row>
    <row r="7897">
      <c r="A7897" s="39" t="s">
        <v>29138</v>
      </c>
      <c r="B7897" s="15">
        <v>1913043.0</v>
      </c>
      <c r="D7897" s="15">
        <v>0.0</v>
      </c>
      <c r="E7897" s="15" t="s">
        <v>1557</v>
      </c>
      <c r="F7897" s="15" t="s">
        <v>1833</v>
      </c>
      <c r="G7897" s="7">
        <v>76.944</v>
      </c>
      <c r="H7897" s="15">
        <v>63.0</v>
      </c>
      <c r="I7897" s="15" t="s">
        <v>1586</v>
      </c>
      <c r="J7897" s="15" t="s">
        <v>29139</v>
      </c>
      <c r="K7897" s="15">
        <v>150.0</v>
      </c>
      <c r="L7897" s="15">
        <v>148.0</v>
      </c>
      <c r="M7897" s="41">
        <v>42693.0</v>
      </c>
      <c r="N7897" s="41">
        <v>42693.0</v>
      </c>
      <c r="O7897" s="15" t="s">
        <v>1554</v>
      </c>
      <c r="Q7897" s="7"/>
    </row>
    <row r="7898">
      <c r="A7898" s="39" t="s">
        <v>29141</v>
      </c>
      <c r="B7898" s="15">
        <v>1913044.0</v>
      </c>
      <c r="D7898" s="15">
        <v>0.0</v>
      </c>
      <c r="E7898" s="15" t="s">
        <v>1557</v>
      </c>
      <c r="F7898" s="15" t="s">
        <v>1767</v>
      </c>
      <c r="G7898" s="7">
        <v>157.034</v>
      </c>
      <c r="H7898" s="15" t="s">
        <v>8929</v>
      </c>
      <c r="I7898" s="15" t="s">
        <v>1586</v>
      </c>
      <c r="J7898" s="15" t="s">
        <v>29142</v>
      </c>
      <c r="K7898" s="15">
        <v>256.0</v>
      </c>
      <c r="L7898" s="15">
        <v>221.0</v>
      </c>
      <c r="M7898" s="41">
        <v>42697.0</v>
      </c>
      <c r="N7898" s="41">
        <v>42697.0</v>
      </c>
      <c r="O7898" s="15" t="s">
        <v>1554</v>
      </c>
      <c r="Q7898" s="7"/>
    </row>
    <row r="7899">
      <c r="A7899" s="39" t="s">
        <v>29143</v>
      </c>
      <c r="B7899" s="15">
        <v>1913046.0</v>
      </c>
      <c r="D7899" s="15">
        <v>0.0</v>
      </c>
      <c r="E7899" s="15" t="s">
        <v>4407</v>
      </c>
      <c r="F7899" s="15" t="s">
        <v>1578</v>
      </c>
      <c r="G7899" s="7">
        <v>136.203</v>
      </c>
      <c r="H7899" s="15" t="s">
        <v>1696</v>
      </c>
      <c r="I7899" s="15" t="s">
        <v>1586</v>
      </c>
      <c r="J7899" s="15" t="s">
        <v>29144</v>
      </c>
      <c r="K7899" s="15" t="s">
        <v>1722</v>
      </c>
      <c r="L7899" s="15">
        <v>242.0</v>
      </c>
      <c r="M7899" s="40">
        <v>42852.0</v>
      </c>
      <c r="N7899" s="40">
        <v>42852.0</v>
      </c>
      <c r="O7899" s="15" t="s">
        <v>1554</v>
      </c>
      <c r="Q7899" s="7"/>
    </row>
    <row r="7900">
      <c r="A7900" s="39" t="s">
        <v>29146</v>
      </c>
      <c r="B7900" s="15">
        <v>1913047.0</v>
      </c>
      <c r="D7900" s="15">
        <v>0.0</v>
      </c>
      <c r="E7900" s="15" t="s">
        <v>1557</v>
      </c>
      <c r="F7900" s="15" t="s">
        <v>1578</v>
      </c>
      <c r="G7900" s="7">
        <v>54.894</v>
      </c>
      <c r="H7900" s="15">
        <v>46.0</v>
      </c>
      <c r="I7900" s="15" t="s">
        <v>1586</v>
      </c>
      <c r="J7900" s="15" t="s">
        <v>29147</v>
      </c>
      <c r="K7900" s="15" t="s">
        <v>1722</v>
      </c>
      <c r="L7900" s="15">
        <v>70.0</v>
      </c>
      <c r="M7900" s="40">
        <v>42985.0</v>
      </c>
      <c r="N7900" s="40">
        <v>42985.0</v>
      </c>
      <c r="O7900" s="15" t="s">
        <v>1554</v>
      </c>
      <c r="Q7900" s="7"/>
    </row>
    <row r="7901">
      <c r="A7901" s="39" t="s">
        <v>29148</v>
      </c>
      <c r="B7901" s="15">
        <v>1913048.0</v>
      </c>
      <c r="D7901" s="15">
        <v>0.0</v>
      </c>
      <c r="E7901" s="15" t="s">
        <v>1557</v>
      </c>
      <c r="F7901" s="15" t="s">
        <v>1833</v>
      </c>
      <c r="G7901" s="7">
        <v>50.552</v>
      </c>
      <c r="H7901" s="15" t="s">
        <v>1745</v>
      </c>
      <c r="I7901" s="15" t="s">
        <v>1586</v>
      </c>
      <c r="J7901" s="15" t="s">
        <v>29150</v>
      </c>
      <c r="K7901" s="15">
        <v>82.0</v>
      </c>
      <c r="L7901" s="15">
        <v>82.0</v>
      </c>
      <c r="M7901" s="41">
        <v>42693.0</v>
      </c>
      <c r="N7901" s="41">
        <v>42693.0</v>
      </c>
      <c r="O7901" s="15" t="s">
        <v>1554</v>
      </c>
      <c r="Q7901" s="7"/>
    </row>
    <row r="7902">
      <c r="A7902" s="39" t="s">
        <v>29151</v>
      </c>
      <c r="B7902" s="15">
        <v>1913049.0</v>
      </c>
      <c r="D7902" s="15">
        <v>0.0</v>
      </c>
      <c r="E7902" s="15" t="s">
        <v>4407</v>
      </c>
      <c r="F7902" s="15" t="s">
        <v>1578</v>
      </c>
      <c r="G7902" s="7">
        <v>164.87</v>
      </c>
      <c r="H7902" s="15" t="s">
        <v>3568</v>
      </c>
      <c r="I7902" s="15" t="s">
        <v>1586</v>
      </c>
      <c r="J7902" s="15" t="s">
        <v>29152</v>
      </c>
      <c r="K7902" s="15">
        <v>265.0</v>
      </c>
      <c r="L7902" s="15">
        <v>265.0</v>
      </c>
      <c r="M7902" s="41">
        <v>42693.0</v>
      </c>
      <c r="N7902" s="41">
        <v>42693.0</v>
      </c>
      <c r="O7902" s="15" t="s">
        <v>1554</v>
      </c>
      <c r="Q7902" s="7"/>
    </row>
    <row r="7903">
      <c r="A7903" s="39" t="s">
        <v>29153</v>
      </c>
      <c r="B7903" s="15">
        <v>1913079.0</v>
      </c>
      <c r="D7903" s="15">
        <v>0.0</v>
      </c>
      <c r="E7903" s="15" t="s">
        <v>1557</v>
      </c>
      <c r="F7903" s="15" t="s">
        <v>1833</v>
      </c>
      <c r="G7903" s="7">
        <v>70.176</v>
      </c>
      <c r="H7903" s="15" t="s">
        <v>10442</v>
      </c>
      <c r="I7903" s="15" t="s">
        <v>1586</v>
      </c>
      <c r="J7903" s="15" t="s">
        <v>29154</v>
      </c>
      <c r="K7903" s="15">
        <v>111.0</v>
      </c>
      <c r="L7903" s="15">
        <v>111.0</v>
      </c>
      <c r="M7903" s="41">
        <v>42693.0</v>
      </c>
      <c r="N7903" s="41">
        <v>42693.0</v>
      </c>
      <c r="O7903" s="15" t="s">
        <v>1554</v>
      </c>
      <c r="Q7903" s="7"/>
    </row>
    <row r="7904">
      <c r="A7904" s="39" t="s">
        <v>29156</v>
      </c>
      <c r="B7904" s="15">
        <v>1913080.0</v>
      </c>
      <c r="D7904" s="15">
        <v>0.0</v>
      </c>
      <c r="E7904" s="15" t="s">
        <v>1557</v>
      </c>
      <c r="F7904" s="15" t="s">
        <v>1833</v>
      </c>
      <c r="G7904" s="7">
        <v>69.978</v>
      </c>
      <c r="H7904" s="15" t="s">
        <v>3086</v>
      </c>
      <c r="I7904" s="15" t="s">
        <v>1586</v>
      </c>
      <c r="J7904" s="15" t="s">
        <v>29157</v>
      </c>
      <c r="K7904" s="15">
        <v>111.0</v>
      </c>
      <c r="L7904" s="15">
        <v>111.0</v>
      </c>
      <c r="M7904" s="41">
        <v>42693.0</v>
      </c>
      <c r="N7904" s="41">
        <v>42693.0</v>
      </c>
      <c r="O7904" s="15" t="s">
        <v>1554</v>
      </c>
      <c r="Q7904" s="7"/>
    </row>
    <row r="7905">
      <c r="A7905" s="39" t="s">
        <v>29158</v>
      </c>
      <c r="B7905" s="15">
        <v>1913081.0</v>
      </c>
      <c r="D7905" s="15">
        <v>0.0</v>
      </c>
      <c r="E7905" s="15" t="s">
        <v>1557</v>
      </c>
      <c r="F7905" s="15" t="s">
        <v>1833</v>
      </c>
      <c r="G7905" s="7">
        <v>35.129</v>
      </c>
      <c r="H7905" s="15" t="s">
        <v>3309</v>
      </c>
      <c r="I7905" s="15" t="s">
        <v>1586</v>
      </c>
      <c r="J7905" s="15" t="s">
        <v>29160</v>
      </c>
      <c r="K7905" s="15">
        <v>50.0</v>
      </c>
      <c r="L7905" s="15">
        <v>50.0</v>
      </c>
      <c r="M7905" s="40">
        <v>42738.0</v>
      </c>
      <c r="N7905" s="40">
        <v>42738.0</v>
      </c>
      <c r="O7905" s="15" t="s">
        <v>1554</v>
      </c>
      <c r="Q7905" s="7"/>
    </row>
    <row r="7906">
      <c r="A7906" s="39" t="s">
        <v>29161</v>
      </c>
      <c r="B7906" s="15">
        <v>1913082.0</v>
      </c>
      <c r="D7906" s="15">
        <v>0.0</v>
      </c>
      <c r="E7906" s="15" t="s">
        <v>1557</v>
      </c>
      <c r="F7906" s="15" t="s">
        <v>1833</v>
      </c>
      <c r="G7906" s="7">
        <v>30.077</v>
      </c>
      <c r="H7906" s="15">
        <v>37.0</v>
      </c>
      <c r="I7906" s="15" t="s">
        <v>1586</v>
      </c>
      <c r="J7906" s="15" t="s">
        <v>29163</v>
      </c>
      <c r="K7906" s="15">
        <v>44.0</v>
      </c>
      <c r="L7906" s="15">
        <v>44.0</v>
      </c>
      <c r="M7906" s="40">
        <v>42738.0</v>
      </c>
      <c r="N7906" s="40">
        <v>42738.0</v>
      </c>
      <c r="O7906" s="15" t="s">
        <v>1554</v>
      </c>
      <c r="Q7906" s="7"/>
    </row>
    <row r="7907">
      <c r="A7907" s="39" t="s">
        <v>29164</v>
      </c>
      <c r="B7907" s="15">
        <v>1913083.0</v>
      </c>
      <c r="D7907" s="15">
        <v>0.0</v>
      </c>
      <c r="E7907" s="15" t="s">
        <v>1557</v>
      </c>
      <c r="F7907" s="15" t="s">
        <v>1833</v>
      </c>
      <c r="G7907" s="7">
        <v>33.507</v>
      </c>
      <c r="H7907" s="15" t="s">
        <v>1823</v>
      </c>
      <c r="I7907" s="15" t="s">
        <v>1586</v>
      </c>
      <c r="J7907" s="15" t="s">
        <v>29165</v>
      </c>
      <c r="K7907" s="15">
        <v>46.0</v>
      </c>
      <c r="L7907" s="15">
        <v>46.0</v>
      </c>
      <c r="M7907" s="40">
        <v>42738.0</v>
      </c>
      <c r="N7907" s="40">
        <v>42738.0</v>
      </c>
      <c r="O7907" s="15" t="s">
        <v>1554</v>
      </c>
      <c r="Q7907" s="7"/>
    </row>
    <row r="7908">
      <c r="A7908" s="39" t="s">
        <v>29166</v>
      </c>
      <c r="B7908" s="15">
        <v>1913108.0</v>
      </c>
      <c r="D7908" s="15">
        <v>0.0</v>
      </c>
      <c r="E7908" s="15" t="s">
        <v>1557</v>
      </c>
      <c r="F7908" s="15" t="s">
        <v>1833</v>
      </c>
      <c r="G7908" s="7">
        <v>37.27</v>
      </c>
      <c r="H7908" s="15" t="s">
        <v>9774</v>
      </c>
      <c r="I7908" s="15" t="s">
        <v>1586</v>
      </c>
      <c r="J7908" s="15" t="s">
        <v>29168</v>
      </c>
      <c r="K7908" s="15">
        <v>69.0</v>
      </c>
      <c r="L7908" s="15">
        <v>69.0</v>
      </c>
      <c r="M7908" s="41">
        <v>42693.0</v>
      </c>
      <c r="N7908" s="41">
        <v>42693.0</v>
      </c>
      <c r="O7908" s="15" t="s">
        <v>1554</v>
      </c>
      <c r="Q7908" s="7"/>
    </row>
    <row r="7909">
      <c r="A7909" s="39" t="s">
        <v>29169</v>
      </c>
      <c r="B7909" s="15">
        <v>1913109.0</v>
      </c>
      <c r="D7909" s="15">
        <v>0.0</v>
      </c>
      <c r="E7909" s="15" t="s">
        <v>1557</v>
      </c>
      <c r="F7909" s="15" t="s">
        <v>1611</v>
      </c>
      <c r="G7909" s="7">
        <v>78.145</v>
      </c>
      <c r="H7909" s="15" t="s">
        <v>2178</v>
      </c>
      <c r="I7909" s="15" t="s">
        <v>1586</v>
      </c>
      <c r="J7909" s="15" t="s">
        <v>29170</v>
      </c>
      <c r="K7909" s="15">
        <v>107.0</v>
      </c>
      <c r="L7909" s="15">
        <v>106.0</v>
      </c>
      <c r="M7909" s="41">
        <v>42693.0</v>
      </c>
      <c r="N7909" s="40">
        <v>42975.0</v>
      </c>
      <c r="O7909" s="15" t="s">
        <v>1554</v>
      </c>
      <c r="Q7909" s="7"/>
    </row>
    <row r="7910">
      <c r="A7910" s="39" t="s">
        <v>29171</v>
      </c>
      <c r="B7910" s="15">
        <v>1913110.0</v>
      </c>
      <c r="D7910" s="15">
        <v>0.0</v>
      </c>
      <c r="E7910" s="15" t="s">
        <v>1557</v>
      </c>
      <c r="F7910" s="15" t="s">
        <v>1833</v>
      </c>
      <c r="G7910" s="7">
        <v>52.785</v>
      </c>
      <c r="H7910" s="15" t="s">
        <v>3832</v>
      </c>
      <c r="I7910" s="15" t="s">
        <v>1586</v>
      </c>
      <c r="J7910" s="15" t="s">
        <v>29173</v>
      </c>
      <c r="K7910" s="15">
        <v>98.0</v>
      </c>
      <c r="L7910" s="15">
        <v>93.0</v>
      </c>
      <c r="M7910" s="41">
        <v>42693.0</v>
      </c>
      <c r="N7910" s="41">
        <v>42693.0</v>
      </c>
      <c r="O7910" s="15" t="s">
        <v>1554</v>
      </c>
      <c r="Q7910" s="7"/>
    </row>
    <row r="7911">
      <c r="A7911" s="39" t="s">
        <v>29174</v>
      </c>
      <c r="B7911" s="15">
        <v>1913111.0</v>
      </c>
      <c r="D7911" s="15">
        <v>0.0</v>
      </c>
      <c r="E7911" s="15" t="s">
        <v>4407</v>
      </c>
      <c r="F7911" s="15" t="s">
        <v>1578</v>
      </c>
      <c r="G7911" s="7">
        <v>35.626</v>
      </c>
      <c r="H7911" s="15" t="s">
        <v>3070</v>
      </c>
      <c r="I7911" s="15" t="s">
        <v>1586</v>
      </c>
      <c r="J7911" s="15" t="s">
        <v>29175</v>
      </c>
      <c r="K7911" s="15" t="s">
        <v>1722</v>
      </c>
      <c r="L7911" s="15">
        <v>45.0</v>
      </c>
      <c r="M7911" s="41">
        <v>42693.0</v>
      </c>
      <c r="N7911" s="41">
        <v>42693.0</v>
      </c>
      <c r="O7911" s="15" t="s">
        <v>1554</v>
      </c>
      <c r="Q7911" s="7"/>
    </row>
    <row r="7912">
      <c r="A7912" s="39" t="s">
        <v>29176</v>
      </c>
      <c r="B7912" s="15">
        <v>1913112.0</v>
      </c>
      <c r="D7912" s="15">
        <v>0.0</v>
      </c>
      <c r="E7912" s="15" t="s">
        <v>4407</v>
      </c>
      <c r="F7912" s="15" t="s">
        <v>1578</v>
      </c>
      <c r="G7912" s="7">
        <v>51.606</v>
      </c>
      <c r="H7912" s="15" t="s">
        <v>2824</v>
      </c>
      <c r="I7912" s="15" t="s">
        <v>1586</v>
      </c>
      <c r="J7912" s="15" t="s">
        <v>29178</v>
      </c>
      <c r="K7912" s="15" t="s">
        <v>1722</v>
      </c>
      <c r="L7912" s="15">
        <v>73.0</v>
      </c>
      <c r="M7912" s="41">
        <v>42704.0</v>
      </c>
      <c r="N7912" s="41">
        <v>42704.0</v>
      </c>
      <c r="O7912" s="15" t="s">
        <v>1554</v>
      </c>
      <c r="Q7912" s="7"/>
    </row>
    <row r="7913">
      <c r="A7913" s="39" t="s">
        <v>29179</v>
      </c>
      <c r="B7913" s="15">
        <v>1913113.0</v>
      </c>
      <c r="D7913" s="15">
        <v>0.0</v>
      </c>
      <c r="E7913" s="15" t="s">
        <v>4407</v>
      </c>
      <c r="F7913" s="15" t="s">
        <v>1578</v>
      </c>
      <c r="G7913" s="7">
        <v>37.333</v>
      </c>
      <c r="H7913" s="15" t="s">
        <v>7408</v>
      </c>
      <c r="I7913" s="15" t="s">
        <v>1586</v>
      </c>
      <c r="J7913" s="15" t="s">
        <v>29180</v>
      </c>
      <c r="K7913" s="15" t="s">
        <v>1722</v>
      </c>
      <c r="L7913" s="15">
        <v>61.0</v>
      </c>
      <c r="M7913" s="41">
        <v>42693.0</v>
      </c>
      <c r="N7913" s="41">
        <v>42693.0</v>
      </c>
      <c r="O7913" s="15" t="s">
        <v>1554</v>
      </c>
      <c r="Q7913" s="7"/>
    </row>
    <row r="7914">
      <c r="A7914" s="39" t="s">
        <v>29182</v>
      </c>
      <c r="B7914" s="15">
        <v>1913114.0</v>
      </c>
      <c r="D7914" s="15">
        <v>0.0</v>
      </c>
      <c r="E7914" s="15" t="s">
        <v>1557</v>
      </c>
      <c r="F7914" s="15" t="s">
        <v>1833</v>
      </c>
      <c r="G7914" s="7">
        <v>53.263</v>
      </c>
      <c r="H7914" s="15" t="s">
        <v>2869</v>
      </c>
      <c r="I7914" s="15" t="s">
        <v>1586</v>
      </c>
      <c r="J7914" s="15" t="s">
        <v>29183</v>
      </c>
      <c r="K7914" s="15">
        <v>81.0</v>
      </c>
      <c r="L7914" s="15">
        <v>81.0</v>
      </c>
      <c r="M7914" s="40">
        <v>42753.0</v>
      </c>
      <c r="N7914" s="40">
        <v>42753.0</v>
      </c>
      <c r="O7914" s="15" t="s">
        <v>1554</v>
      </c>
      <c r="Q7914" s="7"/>
    </row>
    <row r="7915">
      <c r="A7915" s="39" t="s">
        <v>29184</v>
      </c>
      <c r="B7915" s="15">
        <v>1913117.0</v>
      </c>
      <c r="D7915" s="15">
        <v>0.0</v>
      </c>
      <c r="E7915" s="15" t="s">
        <v>1557</v>
      </c>
      <c r="F7915" s="15" t="s">
        <v>1833</v>
      </c>
      <c r="G7915" s="7">
        <v>56.051</v>
      </c>
      <c r="H7915" s="15" t="s">
        <v>1943</v>
      </c>
      <c r="I7915" s="15" t="s">
        <v>1586</v>
      </c>
      <c r="J7915" s="15" t="s">
        <v>29185</v>
      </c>
      <c r="K7915" s="15">
        <v>91.0</v>
      </c>
      <c r="L7915" s="15">
        <v>91.0</v>
      </c>
      <c r="M7915" s="40">
        <v>42753.0</v>
      </c>
      <c r="N7915" s="40">
        <v>42753.0</v>
      </c>
      <c r="O7915" s="15" t="s">
        <v>1554</v>
      </c>
      <c r="Q7915" s="7"/>
    </row>
    <row r="7916">
      <c r="A7916" s="39" t="s">
        <v>29186</v>
      </c>
      <c r="B7916" s="15">
        <v>1913118.0</v>
      </c>
      <c r="D7916" s="15">
        <v>0.0</v>
      </c>
      <c r="E7916" s="15" t="s">
        <v>1557</v>
      </c>
      <c r="F7916" s="15" t="s">
        <v>1833</v>
      </c>
      <c r="G7916" s="7">
        <v>57.155</v>
      </c>
      <c r="H7916" s="15" t="s">
        <v>2038</v>
      </c>
      <c r="I7916" s="15" t="s">
        <v>1586</v>
      </c>
      <c r="J7916" s="15" t="s">
        <v>29188</v>
      </c>
      <c r="K7916" s="15">
        <v>104.0</v>
      </c>
      <c r="L7916" s="15">
        <v>104.0</v>
      </c>
      <c r="M7916" s="41">
        <v>42693.0</v>
      </c>
      <c r="N7916" s="41">
        <v>42693.0</v>
      </c>
      <c r="O7916" s="15" t="s">
        <v>1554</v>
      </c>
      <c r="Q7916" s="7"/>
    </row>
    <row r="7917">
      <c r="A7917" s="39" t="s">
        <v>29189</v>
      </c>
      <c r="B7917" s="15">
        <v>1913119.0</v>
      </c>
      <c r="D7917" s="15">
        <v>0.0</v>
      </c>
      <c r="E7917" s="15" t="s">
        <v>4407</v>
      </c>
      <c r="F7917" s="15" t="s">
        <v>1578</v>
      </c>
      <c r="G7917" s="7">
        <v>65.675</v>
      </c>
      <c r="H7917" s="15" t="s">
        <v>4308</v>
      </c>
      <c r="I7917" s="15" t="s">
        <v>1586</v>
      </c>
      <c r="J7917" s="15" t="s">
        <v>29190</v>
      </c>
      <c r="K7917" s="15">
        <v>108.0</v>
      </c>
      <c r="L7917" s="15">
        <v>108.0</v>
      </c>
      <c r="M7917" s="40">
        <v>42772.0</v>
      </c>
      <c r="N7917" s="40">
        <v>42772.0</v>
      </c>
      <c r="O7917" s="15" t="s">
        <v>1554</v>
      </c>
      <c r="Q7917" s="7"/>
    </row>
    <row r="7918">
      <c r="A7918" s="39" t="s">
        <v>29192</v>
      </c>
      <c r="B7918" s="15">
        <v>1913145.0</v>
      </c>
      <c r="D7918" s="15">
        <v>0.0</v>
      </c>
      <c r="E7918" s="15" t="s">
        <v>1557</v>
      </c>
      <c r="F7918" s="15" t="s">
        <v>1833</v>
      </c>
      <c r="G7918" s="7">
        <v>38.122</v>
      </c>
      <c r="H7918" s="15" t="s">
        <v>3260</v>
      </c>
      <c r="I7918" s="15" t="s">
        <v>1586</v>
      </c>
      <c r="J7918" s="15" t="s">
        <v>29193</v>
      </c>
      <c r="K7918" s="15" t="s">
        <v>1722</v>
      </c>
      <c r="L7918" s="15">
        <v>58.0</v>
      </c>
      <c r="M7918" s="40">
        <v>42867.0</v>
      </c>
      <c r="N7918" s="40">
        <v>42867.0</v>
      </c>
      <c r="O7918" s="15" t="s">
        <v>1554</v>
      </c>
      <c r="Q7918" s="7"/>
    </row>
    <row r="7919">
      <c r="A7919" s="39" t="s">
        <v>29194</v>
      </c>
      <c r="B7919" s="15">
        <v>1913446.0</v>
      </c>
      <c r="D7919" s="15">
        <v>0.0</v>
      </c>
      <c r="E7919" s="15" t="s">
        <v>1557</v>
      </c>
      <c r="F7919" s="15" t="s">
        <v>1833</v>
      </c>
      <c r="G7919" s="7">
        <v>41.087</v>
      </c>
      <c r="H7919" s="15" t="s">
        <v>2103</v>
      </c>
      <c r="I7919" s="15" t="s">
        <v>1586</v>
      </c>
      <c r="J7919" s="15" t="s">
        <v>29195</v>
      </c>
      <c r="K7919" s="15">
        <v>68.0</v>
      </c>
      <c r="L7919" s="15">
        <v>68.0</v>
      </c>
      <c r="M7919" s="41">
        <v>42697.0</v>
      </c>
      <c r="N7919" s="41">
        <v>42697.0</v>
      </c>
      <c r="O7919" s="15" t="s">
        <v>1554</v>
      </c>
      <c r="Q7919" s="7"/>
    </row>
    <row r="7920">
      <c r="A7920" s="39" t="s">
        <v>29196</v>
      </c>
      <c r="B7920" s="15">
        <v>1913447.0</v>
      </c>
      <c r="D7920" s="15">
        <v>0.0</v>
      </c>
      <c r="E7920" s="15" t="s">
        <v>1557</v>
      </c>
      <c r="F7920" s="15" t="s">
        <v>1833</v>
      </c>
      <c r="G7920" s="7">
        <v>40.093</v>
      </c>
      <c r="H7920" s="15" t="s">
        <v>3827</v>
      </c>
      <c r="I7920" s="15" t="s">
        <v>1586</v>
      </c>
      <c r="J7920" s="15" t="s">
        <v>29197</v>
      </c>
      <c r="K7920" s="15">
        <v>66.0</v>
      </c>
      <c r="L7920" s="15">
        <v>66.0</v>
      </c>
      <c r="M7920" s="41">
        <v>42697.0</v>
      </c>
      <c r="N7920" s="41">
        <v>42697.0</v>
      </c>
      <c r="O7920" s="15" t="s">
        <v>1554</v>
      </c>
      <c r="Q7920" s="7"/>
    </row>
    <row r="7921">
      <c r="A7921" s="39" t="s">
        <v>29198</v>
      </c>
      <c r="B7921" s="15">
        <v>1913448.0</v>
      </c>
      <c r="D7921" s="15">
        <v>0.0</v>
      </c>
      <c r="E7921" s="15" t="s">
        <v>1557</v>
      </c>
      <c r="F7921" s="15" t="s">
        <v>1833</v>
      </c>
      <c r="G7921" s="7">
        <v>39.804</v>
      </c>
      <c r="H7921" s="15" t="s">
        <v>6303</v>
      </c>
      <c r="I7921" s="15" t="s">
        <v>1586</v>
      </c>
      <c r="J7921" s="15" t="s">
        <v>29200</v>
      </c>
      <c r="K7921" s="15">
        <v>67.0</v>
      </c>
      <c r="L7921" s="15">
        <v>67.0</v>
      </c>
      <c r="M7921" s="41">
        <v>42697.0</v>
      </c>
      <c r="N7921" s="41">
        <v>42697.0</v>
      </c>
      <c r="O7921" s="15" t="s">
        <v>1554</v>
      </c>
      <c r="Q7921" s="7"/>
    </row>
    <row r="7922">
      <c r="A7922" s="39" t="s">
        <v>29201</v>
      </c>
      <c r="B7922" s="15">
        <v>1913449.0</v>
      </c>
      <c r="D7922" s="15">
        <v>0.0</v>
      </c>
      <c r="E7922" s="15" t="s">
        <v>1557</v>
      </c>
      <c r="F7922" s="15" t="s">
        <v>1833</v>
      </c>
      <c r="G7922" s="7">
        <v>40.751</v>
      </c>
      <c r="H7922" s="15" t="s">
        <v>4479</v>
      </c>
      <c r="I7922" s="15" t="s">
        <v>1586</v>
      </c>
      <c r="J7922" s="15" t="s">
        <v>29202</v>
      </c>
      <c r="K7922" s="15">
        <v>68.0</v>
      </c>
      <c r="L7922" s="15">
        <v>68.0</v>
      </c>
      <c r="M7922" s="41">
        <v>42697.0</v>
      </c>
      <c r="N7922" s="41">
        <v>42697.0</v>
      </c>
      <c r="O7922" s="15" t="s">
        <v>1554</v>
      </c>
      <c r="Q7922" s="7"/>
    </row>
    <row r="7923">
      <c r="A7923" s="39" t="s">
        <v>29203</v>
      </c>
      <c r="B7923" s="15">
        <v>1913570.0</v>
      </c>
      <c r="D7923" s="15">
        <v>0.0</v>
      </c>
      <c r="E7923" s="15" t="s">
        <v>1557</v>
      </c>
      <c r="F7923" s="15" t="s">
        <v>1767</v>
      </c>
      <c r="G7923" s="7">
        <v>66.182</v>
      </c>
      <c r="H7923" s="15" t="s">
        <v>9707</v>
      </c>
      <c r="I7923" s="15" t="s">
        <v>1586</v>
      </c>
      <c r="J7923" s="15" t="s">
        <v>29204</v>
      </c>
      <c r="K7923" s="15" t="s">
        <v>1722</v>
      </c>
      <c r="L7923" s="15">
        <v>101.0</v>
      </c>
      <c r="M7923" s="41">
        <v>42697.0</v>
      </c>
      <c r="N7923" s="41">
        <v>42697.0</v>
      </c>
      <c r="O7923" s="15" t="s">
        <v>1554</v>
      </c>
      <c r="Q7923" s="7"/>
    </row>
    <row r="7924">
      <c r="A7924" s="39" t="s">
        <v>29205</v>
      </c>
      <c r="B7924" s="15">
        <v>1913571.0</v>
      </c>
      <c r="D7924" s="15">
        <v>0.0</v>
      </c>
      <c r="E7924" s="15" t="s">
        <v>1557</v>
      </c>
      <c r="F7924" s="15" t="s">
        <v>1767</v>
      </c>
      <c r="G7924" s="7">
        <v>97.139</v>
      </c>
      <c r="H7924" s="15" t="s">
        <v>2885</v>
      </c>
      <c r="I7924" s="15" t="s">
        <v>1586</v>
      </c>
      <c r="J7924" s="15" t="s">
        <v>29207</v>
      </c>
      <c r="K7924" s="15" t="s">
        <v>1722</v>
      </c>
      <c r="L7924" s="15">
        <v>146.0</v>
      </c>
      <c r="M7924" s="41">
        <v>42697.0</v>
      </c>
      <c r="N7924" s="41">
        <v>42697.0</v>
      </c>
      <c r="O7924" s="15" t="s">
        <v>1554</v>
      </c>
      <c r="Q7924" s="7"/>
    </row>
    <row r="7925">
      <c r="A7925" s="39" t="s">
        <v>29208</v>
      </c>
      <c r="B7925" s="15">
        <v>1913572.0</v>
      </c>
      <c r="D7925" s="15">
        <v>0.0</v>
      </c>
      <c r="E7925" s="15" t="s">
        <v>1557</v>
      </c>
      <c r="F7925" s="15" t="s">
        <v>1767</v>
      </c>
      <c r="G7925" s="7">
        <v>167.034</v>
      </c>
      <c r="H7925" s="15" t="s">
        <v>6418</v>
      </c>
      <c r="I7925" s="15" t="s">
        <v>1586</v>
      </c>
      <c r="J7925" s="15" t="s">
        <v>29209</v>
      </c>
      <c r="K7925" s="15" t="s">
        <v>1722</v>
      </c>
      <c r="L7925" s="15">
        <v>299.0</v>
      </c>
      <c r="M7925" s="41">
        <v>42697.0</v>
      </c>
      <c r="N7925" s="41">
        <v>42697.0</v>
      </c>
      <c r="O7925" s="15" t="s">
        <v>1554</v>
      </c>
      <c r="Q7925" s="7"/>
    </row>
    <row r="7926">
      <c r="A7926" s="39" t="s">
        <v>29210</v>
      </c>
      <c r="B7926" s="15">
        <v>1913574.0</v>
      </c>
      <c r="D7926" s="15">
        <v>0.0</v>
      </c>
      <c r="E7926" s="15" t="s">
        <v>1557</v>
      </c>
      <c r="F7926" s="15" t="s">
        <v>1611</v>
      </c>
      <c r="G7926" s="7">
        <v>42.641</v>
      </c>
      <c r="H7926" s="15" t="s">
        <v>5521</v>
      </c>
      <c r="I7926" s="15" t="s">
        <v>1586</v>
      </c>
      <c r="J7926" s="15" t="s">
        <v>29211</v>
      </c>
      <c r="K7926" s="15" t="s">
        <v>1722</v>
      </c>
      <c r="L7926" s="15">
        <v>43.0</v>
      </c>
      <c r="M7926" s="41">
        <v>42697.0</v>
      </c>
      <c r="N7926" s="41">
        <v>42697.0</v>
      </c>
      <c r="O7926" s="15" t="s">
        <v>1554</v>
      </c>
      <c r="Q7926" s="7"/>
    </row>
    <row r="7927">
      <c r="A7927" s="39" t="s">
        <v>29212</v>
      </c>
      <c r="B7927" s="15">
        <v>1913575.0</v>
      </c>
      <c r="D7927" s="15">
        <v>0.0</v>
      </c>
      <c r="E7927" s="15" t="s">
        <v>1557</v>
      </c>
      <c r="F7927" s="15" t="s">
        <v>1767</v>
      </c>
      <c r="G7927" s="7">
        <v>91.212</v>
      </c>
      <c r="H7927" s="15" t="s">
        <v>3798</v>
      </c>
      <c r="I7927" s="15" t="s">
        <v>1586</v>
      </c>
      <c r="J7927" s="15" t="s">
        <v>29213</v>
      </c>
      <c r="K7927" s="15" t="s">
        <v>1722</v>
      </c>
      <c r="L7927" s="15">
        <v>127.0</v>
      </c>
      <c r="M7927" s="41">
        <v>42697.0</v>
      </c>
      <c r="N7927" s="41">
        <v>42697.0</v>
      </c>
      <c r="O7927" s="15" t="s">
        <v>1554</v>
      </c>
      <c r="Q7927" s="7"/>
    </row>
    <row r="7928">
      <c r="A7928" s="39" t="s">
        <v>29215</v>
      </c>
      <c r="B7928" s="15">
        <v>1913581.0</v>
      </c>
      <c r="D7928" s="15">
        <v>0.0</v>
      </c>
      <c r="E7928" s="15" t="s">
        <v>1557</v>
      </c>
      <c r="F7928" s="15" t="s">
        <v>1611</v>
      </c>
      <c r="G7928" s="7">
        <v>18.023</v>
      </c>
      <c r="H7928" s="42">
        <v>43188.0</v>
      </c>
      <c r="I7928" s="15" t="s">
        <v>1586</v>
      </c>
      <c r="J7928" s="15" t="s">
        <v>29216</v>
      </c>
      <c r="K7928" s="15" t="s">
        <v>1722</v>
      </c>
      <c r="L7928" s="15">
        <v>21.0</v>
      </c>
      <c r="M7928" s="41">
        <v>42697.0</v>
      </c>
      <c r="N7928" s="41">
        <v>42697.0</v>
      </c>
      <c r="O7928" s="15" t="s">
        <v>1554</v>
      </c>
      <c r="Q7928" s="7"/>
    </row>
    <row r="7929">
      <c r="A7929" s="39" t="s">
        <v>29217</v>
      </c>
      <c r="B7929" s="15">
        <v>1913582.0</v>
      </c>
      <c r="D7929" s="15">
        <v>0.0</v>
      </c>
      <c r="E7929" s="15" t="s">
        <v>1557</v>
      </c>
      <c r="F7929" s="15" t="s">
        <v>1611</v>
      </c>
      <c r="G7929" s="7">
        <v>18.018</v>
      </c>
      <c r="H7929" s="42">
        <v>43188.0</v>
      </c>
      <c r="I7929" s="15" t="s">
        <v>1586</v>
      </c>
      <c r="J7929" s="15" t="s">
        <v>29218</v>
      </c>
      <c r="K7929" s="15" t="s">
        <v>1722</v>
      </c>
      <c r="L7929" s="15">
        <v>22.0</v>
      </c>
      <c r="M7929" s="41">
        <v>42697.0</v>
      </c>
      <c r="N7929" s="41">
        <v>42697.0</v>
      </c>
      <c r="O7929" s="15" t="s">
        <v>1554</v>
      </c>
      <c r="Q7929" s="7"/>
    </row>
    <row r="7930">
      <c r="A7930" s="39" t="s">
        <v>29219</v>
      </c>
      <c r="B7930" s="15">
        <v>1913591.0</v>
      </c>
      <c r="D7930" s="15">
        <v>0.0</v>
      </c>
      <c r="E7930" s="15" t="s">
        <v>4407</v>
      </c>
      <c r="F7930" s="15" t="s">
        <v>1578</v>
      </c>
      <c r="G7930" s="7">
        <v>112.523</v>
      </c>
      <c r="H7930" s="15" t="s">
        <v>1756</v>
      </c>
      <c r="I7930" s="15" t="s">
        <v>1586</v>
      </c>
      <c r="J7930" s="15" t="s">
        <v>29220</v>
      </c>
      <c r="K7930" s="15" t="s">
        <v>1722</v>
      </c>
      <c r="L7930" s="15">
        <v>187.0</v>
      </c>
      <c r="M7930" s="41">
        <v>42693.0</v>
      </c>
      <c r="N7930" s="41">
        <v>42693.0</v>
      </c>
      <c r="O7930" s="15" t="s">
        <v>1554</v>
      </c>
      <c r="Q7930" s="7"/>
    </row>
    <row r="7931">
      <c r="A7931" s="39" t="s">
        <v>29221</v>
      </c>
      <c r="B7931" s="15">
        <v>1913667.0</v>
      </c>
      <c r="D7931" s="15">
        <v>0.0</v>
      </c>
      <c r="E7931" s="15" t="s">
        <v>1557</v>
      </c>
      <c r="F7931" s="15" t="s">
        <v>1767</v>
      </c>
      <c r="G7931" s="7">
        <v>135.502</v>
      </c>
      <c r="H7931" s="15">
        <v>30.0</v>
      </c>
      <c r="I7931" s="15" t="s">
        <v>1586</v>
      </c>
      <c r="J7931" s="15" t="s">
        <v>29222</v>
      </c>
      <c r="K7931" s="15">
        <v>192.0</v>
      </c>
      <c r="L7931" s="15">
        <v>192.0</v>
      </c>
      <c r="M7931" s="40">
        <v>42753.0</v>
      </c>
      <c r="N7931" s="40">
        <v>42759.0</v>
      </c>
      <c r="O7931" s="15" t="s">
        <v>1554</v>
      </c>
      <c r="Q7931" s="7"/>
    </row>
    <row r="7932">
      <c r="A7932" s="39" t="s">
        <v>29224</v>
      </c>
      <c r="B7932" s="15">
        <v>1914788.0</v>
      </c>
      <c r="D7932" s="15">
        <v>0.0</v>
      </c>
      <c r="E7932" s="15" t="s">
        <v>4407</v>
      </c>
      <c r="F7932" s="15" t="s">
        <v>1578</v>
      </c>
      <c r="G7932" s="7">
        <v>43.428</v>
      </c>
      <c r="H7932" s="15" t="s">
        <v>5475</v>
      </c>
      <c r="I7932" s="15" t="s">
        <v>1586</v>
      </c>
      <c r="J7932" s="15" t="s">
        <v>29225</v>
      </c>
      <c r="K7932" s="15">
        <v>70.0</v>
      </c>
      <c r="L7932" s="15">
        <v>70.0</v>
      </c>
      <c r="M7932" s="40">
        <v>42824.0</v>
      </c>
      <c r="N7932" s="40">
        <v>42824.0</v>
      </c>
      <c r="O7932" s="15" t="s">
        <v>1554</v>
      </c>
      <c r="Q7932" s="7"/>
    </row>
    <row r="7933">
      <c r="A7933" s="39" t="s">
        <v>29226</v>
      </c>
      <c r="B7933" s="15">
        <v>1916098.0</v>
      </c>
      <c r="D7933" s="15">
        <v>0.0</v>
      </c>
      <c r="E7933" s="15" t="s">
        <v>1557</v>
      </c>
      <c r="F7933" s="15" t="s">
        <v>1833</v>
      </c>
      <c r="G7933" s="7">
        <v>59.024</v>
      </c>
      <c r="H7933" s="15" t="s">
        <v>2131</v>
      </c>
      <c r="I7933" s="15" t="s">
        <v>1586</v>
      </c>
      <c r="J7933" s="15" t="s">
        <v>29227</v>
      </c>
      <c r="K7933" s="15">
        <v>73.0</v>
      </c>
      <c r="L7933" s="15">
        <v>73.0</v>
      </c>
      <c r="M7933" s="41">
        <v>42697.0</v>
      </c>
      <c r="N7933" s="40">
        <v>42758.0</v>
      </c>
      <c r="O7933" s="15" t="s">
        <v>1554</v>
      </c>
      <c r="Q7933" s="7"/>
    </row>
    <row r="7934">
      <c r="A7934" s="39" t="s">
        <v>29228</v>
      </c>
      <c r="B7934" s="15">
        <v>1916099.0</v>
      </c>
      <c r="D7934" s="15">
        <v>0.0</v>
      </c>
      <c r="E7934" s="15" t="s">
        <v>1557</v>
      </c>
      <c r="F7934" s="15" t="s">
        <v>1767</v>
      </c>
      <c r="G7934" s="7">
        <v>92.338</v>
      </c>
      <c r="H7934" s="15" t="s">
        <v>3798</v>
      </c>
      <c r="I7934" s="15" t="s">
        <v>1586</v>
      </c>
      <c r="J7934" s="15" t="s">
        <v>29229</v>
      </c>
      <c r="K7934" s="15">
        <v>171.0</v>
      </c>
      <c r="L7934" s="15">
        <v>171.0</v>
      </c>
      <c r="M7934" s="41">
        <v>42697.0</v>
      </c>
      <c r="N7934" s="41">
        <v>42697.0</v>
      </c>
      <c r="O7934" s="15" t="s">
        <v>1554</v>
      </c>
      <c r="Q7934" s="7"/>
    </row>
    <row r="7935">
      <c r="A7935" s="39" t="s">
        <v>29230</v>
      </c>
      <c r="B7935" s="15">
        <v>1916101.0</v>
      </c>
      <c r="D7935" s="15">
        <v>0.0</v>
      </c>
      <c r="E7935" s="15" t="s">
        <v>1557</v>
      </c>
      <c r="F7935" s="15" t="s">
        <v>1611</v>
      </c>
      <c r="G7935" s="7">
        <v>39.79</v>
      </c>
      <c r="H7935" s="15" t="s">
        <v>1918</v>
      </c>
      <c r="I7935" s="15" t="s">
        <v>1586</v>
      </c>
      <c r="J7935" s="15" t="s">
        <v>29232</v>
      </c>
      <c r="K7935" s="15">
        <v>49.0</v>
      </c>
      <c r="L7935" s="15">
        <v>49.0</v>
      </c>
      <c r="M7935" s="41">
        <v>42697.0</v>
      </c>
      <c r="N7935" s="41">
        <v>42697.0</v>
      </c>
      <c r="O7935" s="15" t="s">
        <v>1554</v>
      </c>
      <c r="Q7935" s="7"/>
    </row>
    <row r="7936">
      <c r="A7936" s="39" t="s">
        <v>29233</v>
      </c>
      <c r="B7936" s="15">
        <v>1916103.0</v>
      </c>
      <c r="D7936" s="15">
        <v>0.0</v>
      </c>
      <c r="E7936" s="15" t="s">
        <v>4407</v>
      </c>
      <c r="F7936" s="15" t="s">
        <v>1578</v>
      </c>
      <c r="G7936" s="7">
        <v>24.435</v>
      </c>
      <c r="H7936" s="15" t="s">
        <v>4237</v>
      </c>
      <c r="I7936" s="15" t="s">
        <v>1586</v>
      </c>
      <c r="J7936" s="15" t="s">
        <v>29234</v>
      </c>
      <c r="K7936" s="15" t="s">
        <v>1722</v>
      </c>
      <c r="L7936" s="15" t="s">
        <v>1722</v>
      </c>
      <c r="M7936" s="41">
        <v>42724.0</v>
      </c>
      <c r="N7936" s="41">
        <v>42724.0</v>
      </c>
      <c r="O7936" s="15" t="s">
        <v>1554</v>
      </c>
      <c r="Q7936" s="7"/>
    </row>
    <row r="7937">
      <c r="A7937" s="39" t="s">
        <v>29235</v>
      </c>
      <c r="B7937" s="15">
        <v>1916107.0</v>
      </c>
      <c r="D7937" s="15">
        <v>0.0</v>
      </c>
      <c r="E7937" s="15" t="s">
        <v>4407</v>
      </c>
      <c r="F7937" s="15" t="s">
        <v>1578</v>
      </c>
      <c r="G7937" s="7">
        <v>35.209</v>
      </c>
      <c r="H7937" s="15" t="s">
        <v>1591</v>
      </c>
      <c r="I7937" s="15" t="s">
        <v>1586</v>
      </c>
      <c r="J7937" s="15" t="s">
        <v>29237</v>
      </c>
      <c r="K7937" s="15">
        <v>46.0</v>
      </c>
      <c r="L7937" s="15">
        <v>46.0</v>
      </c>
      <c r="M7937" s="41">
        <v>42722.0</v>
      </c>
      <c r="N7937" s="41">
        <v>42722.0</v>
      </c>
      <c r="O7937" s="15" t="s">
        <v>1554</v>
      </c>
      <c r="Q7937" s="7"/>
    </row>
    <row r="7938">
      <c r="A7938" s="39" t="s">
        <v>29238</v>
      </c>
      <c r="B7938" s="15">
        <v>1916110.0</v>
      </c>
      <c r="D7938" s="15">
        <v>0.0</v>
      </c>
      <c r="E7938" s="15" t="s">
        <v>1557</v>
      </c>
      <c r="F7938" s="15" t="s">
        <v>1767</v>
      </c>
      <c r="G7938" s="7">
        <v>124.261</v>
      </c>
      <c r="H7938" s="15" t="s">
        <v>2316</v>
      </c>
      <c r="I7938" s="15" t="s">
        <v>1586</v>
      </c>
      <c r="J7938" s="15" t="s">
        <v>29239</v>
      </c>
      <c r="K7938" s="15" t="s">
        <v>1722</v>
      </c>
      <c r="L7938" s="15">
        <v>228.0</v>
      </c>
      <c r="M7938" s="40">
        <v>42936.0</v>
      </c>
      <c r="N7938" s="40">
        <v>42936.0</v>
      </c>
      <c r="O7938" s="15" t="s">
        <v>1554</v>
      </c>
      <c r="Q7938" s="7"/>
    </row>
    <row r="7939">
      <c r="A7939" s="39" t="s">
        <v>29240</v>
      </c>
      <c r="B7939" s="15">
        <v>1916111.0</v>
      </c>
      <c r="D7939" s="15">
        <v>0.0</v>
      </c>
      <c r="E7939" s="15" t="s">
        <v>1557</v>
      </c>
      <c r="F7939" s="15" t="s">
        <v>1611</v>
      </c>
      <c r="G7939" s="7">
        <v>69.396</v>
      </c>
      <c r="H7939" s="15" t="s">
        <v>1696</v>
      </c>
      <c r="I7939" s="15" t="s">
        <v>1586</v>
      </c>
      <c r="J7939" s="15" t="s">
        <v>29241</v>
      </c>
      <c r="K7939" s="15" t="s">
        <v>1722</v>
      </c>
      <c r="L7939" s="15">
        <v>112.0</v>
      </c>
      <c r="M7939" s="40">
        <v>42936.0</v>
      </c>
      <c r="N7939" s="40">
        <v>42936.0</v>
      </c>
      <c r="O7939" s="15" t="s">
        <v>1554</v>
      </c>
      <c r="Q7939" s="7"/>
    </row>
    <row r="7940">
      <c r="A7940" s="39" t="s">
        <v>29243</v>
      </c>
      <c r="B7940" s="15">
        <v>1916112.0</v>
      </c>
      <c r="D7940" s="15">
        <v>0.0</v>
      </c>
      <c r="E7940" s="15" t="s">
        <v>1557</v>
      </c>
      <c r="F7940" s="15" t="s">
        <v>1833</v>
      </c>
      <c r="G7940" s="7">
        <v>51.381</v>
      </c>
      <c r="H7940" s="15" t="s">
        <v>3286</v>
      </c>
      <c r="I7940" s="15" t="s">
        <v>1586</v>
      </c>
      <c r="J7940" s="15" t="s">
        <v>29244</v>
      </c>
      <c r="K7940" s="15">
        <v>88.0</v>
      </c>
      <c r="L7940" s="15">
        <v>88.0</v>
      </c>
      <c r="M7940" s="41">
        <v>42697.0</v>
      </c>
      <c r="N7940" s="40">
        <v>42758.0</v>
      </c>
      <c r="O7940" s="15" t="s">
        <v>1554</v>
      </c>
      <c r="Q7940" s="7"/>
    </row>
    <row r="7941">
      <c r="A7941" s="39" t="s">
        <v>29245</v>
      </c>
      <c r="B7941" s="15">
        <v>1916113.0</v>
      </c>
      <c r="D7941" s="15">
        <v>0.0</v>
      </c>
      <c r="E7941" s="15" t="s">
        <v>1557</v>
      </c>
      <c r="F7941" s="15" t="s">
        <v>1833</v>
      </c>
      <c r="G7941" s="7">
        <v>51.433</v>
      </c>
      <c r="H7941" s="15" t="s">
        <v>3029</v>
      </c>
      <c r="I7941" s="15" t="s">
        <v>1586</v>
      </c>
      <c r="J7941" s="15" t="s">
        <v>29246</v>
      </c>
      <c r="K7941" s="15">
        <v>86.0</v>
      </c>
      <c r="L7941" s="15">
        <v>86.0</v>
      </c>
      <c r="M7941" s="41">
        <v>42697.0</v>
      </c>
      <c r="N7941" s="40">
        <v>42758.0</v>
      </c>
      <c r="O7941" s="15" t="s">
        <v>1554</v>
      </c>
      <c r="Q7941" s="7"/>
    </row>
    <row r="7942">
      <c r="A7942" s="39" t="s">
        <v>29247</v>
      </c>
      <c r="B7942" s="15">
        <v>1916114.0</v>
      </c>
      <c r="D7942" s="15">
        <v>0.0</v>
      </c>
      <c r="E7942" s="15" t="s">
        <v>1557</v>
      </c>
      <c r="F7942" s="15" t="s">
        <v>1833</v>
      </c>
      <c r="G7942" s="7">
        <v>51.374</v>
      </c>
      <c r="H7942" s="15" t="s">
        <v>3286</v>
      </c>
      <c r="I7942" s="15" t="s">
        <v>1586</v>
      </c>
      <c r="J7942" s="15" t="s">
        <v>29248</v>
      </c>
      <c r="K7942" s="15">
        <v>88.0</v>
      </c>
      <c r="L7942" s="15">
        <v>88.0</v>
      </c>
      <c r="M7942" s="41">
        <v>42697.0</v>
      </c>
      <c r="N7942" s="40">
        <v>42758.0</v>
      </c>
      <c r="O7942" s="15" t="s">
        <v>1554</v>
      </c>
      <c r="Q7942" s="7"/>
    </row>
    <row r="7943">
      <c r="A7943" s="39" t="s">
        <v>29249</v>
      </c>
      <c r="B7943" s="15">
        <v>1916115.0</v>
      </c>
      <c r="D7943" s="15">
        <v>0.0</v>
      </c>
      <c r="E7943" s="15" t="s">
        <v>1557</v>
      </c>
      <c r="F7943" s="15" t="s">
        <v>1833</v>
      </c>
      <c r="G7943" s="7">
        <v>51.386</v>
      </c>
      <c r="H7943" s="15">
        <v>64.0</v>
      </c>
      <c r="I7943" s="15" t="s">
        <v>1586</v>
      </c>
      <c r="J7943" s="15" t="s">
        <v>29250</v>
      </c>
      <c r="K7943" s="15">
        <v>88.0</v>
      </c>
      <c r="L7943" s="15">
        <v>88.0</v>
      </c>
      <c r="M7943" s="41">
        <v>42697.0</v>
      </c>
      <c r="N7943" s="40">
        <v>42758.0</v>
      </c>
      <c r="O7943" s="15" t="s">
        <v>1554</v>
      </c>
      <c r="Q7943" s="7"/>
    </row>
    <row r="7944">
      <c r="A7944" s="39" t="s">
        <v>29252</v>
      </c>
      <c r="B7944" s="15">
        <v>1916116.0</v>
      </c>
      <c r="D7944" s="15">
        <v>0.0</v>
      </c>
      <c r="E7944" s="15" t="s">
        <v>1557</v>
      </c>
      <c r="F7944" s="15" t="s">
        <v>1833</v>
      </c>
      <c r="G7944" s="7">
        <v>51.374</v>
      </c>
      <c r="H7944" s="15" t="s">
        <v>3286</v>
      </c>
      <c r="I7944" s="15" t="s">
        <v>1586</v>
      </c>
      <c r="J7944" s="15" t="s">
        <v>29253</v>
      </c>
      <c r="K7944" s="15">
        <v>88.0</v>
      </c>
      <c r="L7944" s="15">
        <v>88.0</v>
      </c>
      <c r="M7944" s="41">
        <v>42697.0</v>
      </c>
      <c r="N7944" s="40">
        <v>42758.0</v>
      </c>
      <c r="O7944" s="15" t="s">
        <v>1554</v>
      </c>
      <c r="Q7944" s="7"/>
    </row>
    <row r="7945">
      <c r="A7945" s="39" t="s">
        <v>29254</v>
      </c>
      <c r="B7945" s="15">
        <v>1916117.0</v>
      </c>
      <c r="D7945" s="15">
        <v>0.0</v>
      </c>
      <c r="E7945" s="15" t="s">
        <v>1557</v>
      </c>
      <c r="F7945" s="15" t="s">
        <v>1833</v>
      </c>
      <c r="G7945" s="7">
        <v>51.369</v>
      </c>
      <c r="H7945" s="15" t="s">
        <v>3286</v>
      </c>
      <c r="I7945" s="15" t="s">
        <v>1586</v>
      </c>
      <c r="J7945" s="15" t="s">
        <v>29255</v>
      </c>
      <c r="K7945" s="15">
        <v>88.0</v>
      </c>
      <c r="L7945" s="15">
        <v>88.0</v>
      </c>
      <c r="M7945" s="41">
        <v>42697.0</v>
      </c>
      <c r="N7945" s="40">
        <v>42758.0</v>
      </c>
      <c r="O7945" s="15" t="s">
        <v>1554</v>
      </c>
      <c r="Q7945" s="7"/>
    </row>
    <row r="7946">
      <c r="A7946" s="39" t="s">
        <v>29256</v>
      </c>
      <c r="B7946" s="15">
        <v>1916120.0</v>
      </c>
      <c r="D7946" s="15">
        <v>0.0</v>
      </c>
      <c r="E7946" s="15" t="s">
        <v>1557</v>
      </c>
      <c r="F7946" s="15" t="s">
        <v>1833</v>
      </c>
      <c r="G7946" s="7">
        <v>47.079</v>
      </c>
      <c r="H7946" s="15" t="s">
        <v>6661</v>
      </c>
      <c r="I7946" s="15" t="s">
        <v>1586</v>
      </c>
      <c r="J7946" s="15" t="s">
        <v>29257</v>
      </c>
      <c r="K7946" s="15" t="s">
        <v>1722</v>
      </c>
      <c r="L7946" s="15">
        <v>75.0</v>
      </c>
      <c r="M7946" s="41">
        <v>42697.0</v>
      </c>
      <c r="N7946" s="41">
        <v>42697.0</v>
      </c>
      <c r="O7946" s="15" t="s">
        <v>1554</v>
      </c>
      <c r="Q7946" s="7"/>
    </row>
    <row r="7947">
      <c r="A7947" s="39" t="s">
        <v>29258</v>
      </c>
      <c r="B7947" s="15">
        <v>1916121.0</v>
      </c>
      <c r="D7947" s="15">
        <v>0.0</v>
      </c>
      <c r="E7947" s="15" t="s">
        <v>1557</v>
      </c>
      <c r="F7947" s="15" t="s">
        <v>1833</v>
      </c>
      <c r="G7947" s="7">
        <v>68.398</v>
      </c>
      <c r="H7947" s="15" t="s">
        <v>6615</v>
      </c>
      <c r="I7947" s="15" t="s">
        <v>1586</v>
      </c>
      <c r="J7947" s="15" t="s">
        <v>29260</v>
      </c>
      <c r="K7947" s="15" t="s">
        <v>1722</v>
      </c>
      <c r="L7947" s="15">
        <v>99.0</v>
      </c>
      <c r="M7947" s="41">
        <v>42697.0</v>
      </c>
      <c r="N7947" s="41">
        <v>42697.0</v>
      </c>
      <c r="O7947" s="15" t="s">
        <v>1554</v>
      </c>
      <c r="Q7947" s="7"/>
    </row>
    <row r="7948">
      <c r="A7948" s="39" t="s">
        <v>29261</v>
      </c>
      <c r="B7948" s="15">
        <v>1916127.0</v>
      </c>
      <c r="D7948" s="15">
        <v>0.0</v>
      </c>
      <c r="E7948" s="15" t="s">
        <v>1557</v>
      </c>
      <c r="F7948" s="15" t="s">
        <v>1611</v>
      </c>
      <c r="G7948" s="7">
        <v>40.493</v>
      </c>
      <c r="H7948" s="15" t="s">
        <v>6418</v>
      </c>
      <c r="I7948" s="15" t="s">
        <v>1586</v>
      </c>
      <c r="J7948" s="15" t="s">
        <v>29262</v>
      </c>
      <c r="K7948" s="15">
        <v>51.0</v>
      </c>
      <c r="L7948" s="15">
        <v>51.0</v>
      </c>
      <c r="M7948" s="40">
        <v>42928.0</v>
      </c>
      <c r="N7948" s="40">
        <v>42928.0</v>
      </c>
      <c r="O7948" s="15" t="s">
        <v>1554</v>
      </c>
      <c r="Q7948" s="7"/>
    </row>
    <row r="7949">
      <c r="A7949" s="39" t="s">
        <v>29263</v>
      </c>
      <c r="B7949" s="15">
        <v>1916151.0</v>
      </c>
      <c r="D7949" s="15">
        <v>0.0</v>
      </c>
      <c r="E7949" s="15" t="s">
        <v>4407</v>
      </c>
      <c r="F7949" s="15" t="s">
        <v>1578</v>
      </c>
      <c r="G7949" s="7">
        <v>40.648</v>
      </c>
      <c r="H7949" s="15">
        <v>40.0</v>
      </c>
      <c r="I7949" s="15" t="s">
        <v>1586</v>
      </c>
      <c r="J7949" s="15" t="s">
        <v>29264</v>
      </c>
      <c r="K7949" s="15">
        <v>63.0</v>
      </c>
      <c r="L7949" s="15">
        <v>63.0</v>
      </c>
      <c r="M7949" s="40">
        <v>42787.0</v>
      </c>
      <c r="N7949" s="40">
        <v>42787.0</v>
      </c>
      <c r="O7949" s="15" t="s">
        <v>1554</v>
      </c>
      <c r="Q7949" s="7"/>
    </row>
    <row r="7950">
      <c r="A7950" s="39" t="s">
        <v>29265</v>
      </c>
      <c r="B7950" s="15">
        <v>1916152.0</v>
      </c>
      <c r="D7950" s="15">
        <v>0.0</v>
      </c>
      <c r="E7950" s="15" t="s">
        <v>4407</v>
      </c>
      <c r="F7950" s="15" t="s">
        <v>1578</v>
      </c>
      <c r="G7950" s="7">
        <v>37.518</v>
      </c>
      <c r="H7950" s="15" t="s">
        <v>2141</v>
      </c>
      <c r="I7950" s="15" t="s">
        <v>1586</v>
      </c>
      <c r="J7950" s="15" t="s">
        <v>29267</v>
      </c>
      <c r="K7950" s="15">
        <v>56.0</v>
      </c>
      <c r="L7950" s="15">
        <v>56.0</v>
      </c>
      <c r="M7950" s="40">
        <v>42787.0</v>
      </c>
      <c r="N7950" s="40">
        <v>42787.0</v>
      </c>
      <c r="O7950" s="15" t="s">
        <v>1554</v>
      </c>
      <c r="Q7950" s="7"/>
    </row>
    <row r="7951">
      <c r="A7951" s="39" t="s">
        <v>29268</v>
      </c>
      <c r="B7951" s="15">
        <v>1916153.0</v>
      </c>
      <c r="D7951" s="15">
        <v>0.0</v>
      </c>
      <c r="E7951" s="15" t="s">
        <v>4407</v>
      </c>
      <c r="F7951" s="15" t="s">
        <v>1578</v>
      </c>
      <c r="G7951" s="7">
        <v>34.428</v>
      </c>
      <c r="H7951" s="15" t="s">
        <v>2640</v>
      </c>
      <c r="I7951" s="15" t="s">
        <v>1586</v>
      </c>
      <c r="J7951" s="15" t="s">
        <v>29269</v>
      </c>
      <c r="K7951" s="15">
        <v>57.0</v>
      </c>
      <c r="L7951" s="15">
        <v>57.0</v>
      </c>
      <c r="M7951" s="40">
        <v>42787.0</v>
      </c>
      <c r="N7951" s="40">
        <v>42787.0</v>
      </c>
      <c r="O7951" s="15" t="s">
        <v>1554</v>
      </c>
      <c r="Q7951" s="7"/>
    </row>
    <row r="7952">
      <c r="A7952" s="39" t="s">
        <v>29270</v>
      </c>
      <c r="B7952" s="15">
        <v>1916154.0</v>
      </c>
      <c r="D7952" s="15">
        <v>0.0</v>
      </c>
      <c r="E7952" s="15" t="s">
        <v>4407</v>
      </c>
      <c r="F7952" s="15" t="s">
        <v>1578</v>
      </c>
      <c r="G7952" s="7">
        <v>37.252</v>
      </c>
      <c r="H7952" s="15" t="s">
        <v>6633</v>
      </c>
      <c r="I7952" s="15" t="s">
        <v>1586</v>
      </c>
      <c r="J7952" s="15" t="s">
        <v>29271</v>
      </c>
      <c r="K7952" s="15">
        <v>49.0</v>
      </c>
      <c r="L7952" s="15">
        <v>49.0</v>
      </c>
      <c r="M7952" s="40">
        <v>42787.0</v>
      </c>
      <c r="N7952" s="40">
        <v>42787.0</v>
      </c>
      <c r="O7952" s="15" t="s">
        <v>1554</v>
      </c>
      <c r="Q7952" s="7"/>
    </row>
    <row r="7953">
      <c r="A7953" s="39" t="s">
        <v>29272</v>
      </c>
      <c r="B7953" s="15">
        <v>1916155.0</v>
      </c>
      <c r="D7953" s="15">
        <v>0.0</v>
      </c>
      <c r="E7953" s="15" t="s">
        <v>4407</v>
      </c>
      <c r="F7953" s="15" t="s">
        <v>1578</v>
      </c>
      <c r="G7953" s="7">
        <v>38.083</v>
      </c>
      <c r="H7953" s="15" t="s">
        <v>2640</v>
      </c>
      <c r="I7953" s="15" t="s">
        <v>1586</v>
      </c>
      <c r="J7953" s="15" t="s">
        <v>29273</v>
      </c>
      <c r="K7953" s="15">
        <v>55.0</v>
      </c>
      <c r="L7953" s="15">
        <v>55.0</v>
      </c>
      <c r="M7953" s="40">
        <v>42787.0</v>
      </c>
      <c r="N7953" s="40">
        <v>42787.0</v>
      </c>
      <c r="O7953" s="15" t="s">
        <v>1554</v>
      </c>
      <c r="Q7953" s="7"/>
    </row>
    <row r="7954">
      <c r="A7954" s="39" t="s">
        <v>29275</v>
      </c>
      <c r="B7954" s="15">
        <v>1916156.0</v>
      </c>
      <c r="D7954" s="15">
        <v>0.0</v>
      </c>
      <c r="E7954" s="15" t="s">
        <v>4407</v>
      </c>
      <c r="F7954" s="15" t="s">
        <v>1578</v>
      </c>
      <c r="G7954" s="7">
        <v>34.329</v>
      </c>
      <c r="H7954" s="15" t="s">
        <v>2375</v>
      </c>
      <c r="I7954" s="15" t="s">
        <v>1586</v>
      </c>
      <c r="J7954" s="15" t="s">
        <v>29276</v>
      </c>
      <c r="K7954" s="15">
        <v>56.0</v>
      </c>
      <c r="L7954" s="15">
        <v>55.0</v>
      </c>
      <c r="M7954" s="40">
        <v>42787.0</v>
      </c>
      <c r="N7954" s="40">
        <v>42787.0</v>
      </c>
      <c r="O7954" s="15" t="s">
        <v>1554</v>
      </c>
      <c r="Q7954" s="7"/>
    </row>
    <row r="7955">
      <c r="A7955" s="39" t="s">
        <v>29277</v>
      </c>
      <c r="B7955" s="15">
        <v>1916157.0</v>
      </c>
      <c r="D7955" s="15">
        <v>0.0</v>
      </c>
      <c r="E7955" s="15" t="s">
        <v>4407</v>
      </c>
      <c r="F7955" s="15" t="s">
        <v>1578</v>
      </c>
      <c r="G7955" s="7">
        <v>34.864</v>
      </c>
      <c r="H7955" s="15" t="s">
        <v>1902</v>
      </c>
      <c r="I7955" s="15" t="s">
        <v>1586</v>
      </c>
      <c r="J7955" s="15" t="s">
        <v>29278</v>
      </c>
      <c r="K7955" s="15">
        <v>49.0</v>
      </c>
      <c r="L7955" s="15">
        <v>49.0</v>
      </c>
      <c r="M7955" s="40">
        <v>42787.0</v>
      </c>
      <c r="N7955" s="40">
        <v>42787.0</v>
      </c>
      <c r="O7955" s="15" t="s">
        <v>1554</v>
      </c>
      <c r="Q7955" s="7"/>
    </row>
    <row r="7956">
      <c r="A7956" s="39" t="s">
        <v>29279</v>
      </c>
      <c r="B7956" s="15">
        <v>1916158.0</v>
      </c>
      <c r="D7956" s="15">
        <v>0.0</v>
      </c>
      <c r="E7956" s="15" t="s">
        <v>4407</v>
      </c>
      <c r="F7956" s="15" t="s">
        <v>1578</v>
      </c>
      <c r="G7956" s="7">
        <v>34.235</v>
      </c>
      <c r="H7956" s="15" t="s">
        <v>1902</v>
      </c>
      <c r="I7956" s="15" t="s">
        <v>1586</v>
      </c>
      <c r="J7956" s="15" t="s">
        <v>29280</v>
      </c>
      <c r="K7956" s="15">
        <v>55.0</v>
      </c>
      <c r="L7956" s="15">
        <v>55.0</v>
      </c>
      <c r="M7956" s="40">
        <v>42787.0</v>
      </c>
      <c r="N7956" s="40">
        <v>42787.0</v>
      </c>
      <c r="O7956" s="15" t="s">
        <v>1554</v>
      </c>
      <c r="Q7956" s="7"/>
    </row>
    <row r="7957">
      <c r="A7957" s="39" t="s">
        <v>29281</v>
      </c>
      <c r="B7957" s="15">
        <v>1916159.0</v>
      </c>
      <c r="D7957" s="15">
        <v>0.0</v>
      </c>
      <c r="E7957" s="15" t="s">
        <v>4407</v>
      </c>
      <c r="F7957" s="15" t="s">
        <v>1578</v>
      </c>
      <c r="G7957" s="7">
        <v>33.895</v>
      </c>
      <c r="H7957" s="15" t="s">
        <v>2019</v>
      </c>
      <c r="I7957" s="15" t="s">
        <v>1586</v>
      </c>
      <c r="J7957" s="15" t="s">
        <v>29283</v>
      </c>
      <c r="K7957" s="15">
        <v>48.0</v>
      </c>
      <c r="L7957" s="15">
        <v>48.0</v>
      </c>
      <c r="M7957" s="40">
        <v>42787.0</v>
      </c>
      <c r="N7957" s="40">
        <v>42787.0</v>
      </c>
      <c r="O7957" s="15" t="s">
        <v>1554</v>
      </c>
      <c r="Q7957" s="7"/>
    </row>
    <row r="7958">
      <c r="A7958" s="39" t="s">
        <v>29284</v>
      </c>
      <c r="B7958" s="15">
        <v>1916160.0</v>
      </c>
      <c r="D7958" s="15">
        <v>0.0</v>
      </c>
      <c r="E7958" s="15" t="s">
        <v>4407</v>
      </c>
      <c r="F7958" s="15" t="s">
        <v>1578</v>
      </c>
      <c r="G7958" s="7">
        <v>37.441</v>
      </c>
      <c r="H7958" s="15" t="s">
        <v>2451</v>
      </c>
      <c r="I7958" s="15" t="s">
        <v>1586</v>
      </c>
      <c r="J7958" s="15" t="s">
        <v>29285</v>
      </c>
      <c r="K7958" s="15">
        <v>56.0</v>
      </c>
      <c r="L7958" s="15">
        <v>56.0</v>
      </c>
      <c r="M7958" s="40">
        <v>42787.0</v>
      </c>
      <c r="N7958" s="40">
        <v>42787.0</v>
      </c>
      <c r="O7958" s="15" t="s">
        <v>1554</v>
      </c>
      <c r="Q7958" s="7"/>
    </row>
    <row r="7959">
      <c r="A7959" s="39" t="s">
        <v>29286</v>
      </c>
      <c r="B7959" s="15">
        <v>1916161.0</v>
      </c>
      <c r="D7959" s="15">
        <v>0.0</v>
      </c>
      <c r="E7959" s="15" t="s">
        <v>4407</v>
      </c>
      <c r="F7959" s="15" t="s">
        <v>1578</v>
      </c>
      <c r="G7959" s="7">
        <v>37.192</v>
      </c>
      <c r="H7959" s="15" t="s">
        <v>1902</v>
      </c>
      <c r="I7959" s="15" t="s">
        <v>1586</v>
      </c>
      <c r="J7959" s="15" t="s">
        <v>29287</v>
      </c>
      <c r="K7959" s="15">
        <v>56.0</v>
      </c>
      <c r="L7959" s="15">
        <v>56.0</v>
      </c>
      <c r="M7959" s="40">
        <v>42787.0</v>
      </c>
      <c r="N7959" s="40">
        <v>42787.0</v>
      </c>
      <c r="O7959" s="15" t="s">
        <v>1554</v>
      </c>
      <c r="Q7959" s="7"/>
    </row>
    <row r="7960">
      <c r="A7960" s="39" t="s">
        <v>29288</v>
      </c>
      <c r="B7960" s="15">
        <v>1916162.0</v>
      </c>
      <c r="D7960" s="15">
        <v>0.0</v>
      </c>
      <c r="E7960" s="15" t="s">
        <v>4407</v>
      </c>
      <c r="F7960" s="15" t="s">
        <v>1578</v>
      </c>
      <c r="G7960" s="7">
        <v>36.344</v>
      </c>
      <c r="H7960" s="15" t="s">
        <v>1902</v>
      </c>
      <c r="I7960" s="15" t="s">
        <v>1586</v>
      </c>
      <c r="J7960" s="15" t="s">
        <v>29290</v>
      </c>
      <c r="K7960" s="15">
        <v>53.0</v>
      </c>
      <c r="L7960" s="15">
        <v>53.0</v>
      </c>
      <c r="M7960" s="40">
        <v>42787.0</v>
      </c>
      <c r="N7960" s="40">
        <v>42787.0</v>
      </c>
      <c r="O7960" s="15" t="s">
        <v>1554</v>
      </c>
      <c r="Q7960" s="7"/>
    </row>
    <row r="7961">
      <c r="A7961" s="39" t="s">
        <v>29291</v>
      </c>
      <c r="B7961" s="15">
        <v>1916163.0</v>
      </c>
      <c r="D7961" s="15">
        <v>0.0</v>
      </c>
      <c r="E7961" s="15" t="s">
        <v>4407</v>
      </c>
      <c r="F7961" s="15" t="s">
        <v>1578</v>
      </c>
      <c r="G7961" s="7">
        <v>33.903</v>
      </c>
      <c r="H7961" s="15" t="s">
        <v>2193</v>
      </c>
      <c r="I7961" s="15" t="s">
        <v>1586</v>
      </c>
      <c r="J7961" s="15" t="s">
        <v>29292</v>
      </c>
      <c r="K7961" s="15">
        <v>54.0</v>
      </c>
      <c r="L7961" s="15">
        <v>54.0</v>
      </c>
      <c r="M7961" s="40">
        <v>42787.0</v>
      </c>
      <c r="N7961" s="40">
        <v>42787.0</v>
      </c>
      <c r="O7961" s="15" t="s">
        <v>1554</v>
      </c>
      <c r="Q7961" s="7"/>
    </row>
    <row r="7962">
      <c r="A7962" s="39" t="s">
        <v>29293</v>
      </c>
      <c r="B7962" s="15">
        <v>1916164.0</v>
      </c>
      <c r="D7962" s="15">
        <v>0.0</v>
      </c>
      <c r="E7962" s="15" t="s">
        <v>4407</v>
      </c>
      <c r="F7962" s="15" t="s">
        <v>1578</v>
      </c>
      <c r="G7962" s="7">
        <v>34.638</v>
      </c>
      <c r="H7962" s="15" t="s">
        <v>1602</v>
      </c>
      <c r="I7962" s="15" t="s">
        <v>1586</v>
      </c>
      <c r="J7962" s="15" t="s">
        <v>29294</v>
      </c>
      <c r="K7962" s="15">
        <v>56.0</v>
      </c>
      <c r="L7962" s="15">
        <v>56.0</v>
      </c>
      <c r="M7962" s="40">
        <v>42787.0</v>
      </c>
      <c r="N7962" s="40">
        <v>42787.0</v>
      </c>
      <c r="O7962" s="15" t="s">
        <v>1554</v>
      </c>
      <c r="Q7962" s="7"/>
    </row>
    <row r="7963">
      <c r="A7963" s="39" t="s">
        <v>29295</v>
      </c>
      <c r="B7963" s="15">
        <v>1916165.0</v>
      </c>
      <c r="D7963" s="15">
        <v>0.0</v>
      </c>
      <c r="E7963" s="15" t="s">
        <v>4407</v>
      </c>
      <c r="F7963" s="15" t="s">
        <v>1578</v>
      </c>
      <c r="G7963" s="7">
        <v>33.895</v>
      </c>
      <c r="H7963" s="15" t="s">
        <v>2193</v>
      </c>
      <c r="I7963" s="15" t="s">
        <v>1586</v>
      </c>
      <c r="J7963" s="15" t="s">
        <v>29296</v>
      </c>
      <c r="K7963" s="15">
        <v>53.0</v>
      </c>
      <c r="L7963" s="15">
        <v>52.0</v>
      </c>
      <c r="M7963" s="40">
        <v>42787.0</v>
      </c>
      <c r="N7963" s="40">
        <v>42787.0</v>
      </c>
      <c r="O7963" s="15" t="s">
        <v>1554</v>
      </c>
      <c r="Q7963" s="7"/>
    </row>
    <row r="7964">
      <c r="A7964" s="39" t="s">
        <v>29297</v>
      </c>
      <c r="B7964" s="15">
        <v>1916166.0</v>
      </c>
      <c r="D7964" s="15">
        <v>0.0</v>
      </c>
      <c r="E7964" s="15" t="s">
        <v>4407</v>
      </c>
      <c r="F7964" s="15" t="s">
        <v>1578</v>
      </c>
      <c r="G7964" s="7">
        <v>34.001</v>
      </c>
      <c r="H7964" s="15" t="s">
        <v>2396</v>
      </c>
      <c r="I7964" s="15" t="s">
        <v>1586</v>
      </c>
      <c r="J7964" s="15" t="s">
        <v>29298</v>
      </c>
      <c r="K7964" s="15">
        <v>52.0</v>
      </c>
      <c r="L7964" s="15">
        <v>51.0</v>
      </c>
      <c r="M7964" s="40">
        <v>42787.0</v>
      </c>
      <c r="N7964" s="40">
        <v>42787.0</v>
      </c>
      <c r="O7964" s="15" t="s">
        <v>1554</v>
      </c>
      <c r="Q7964" s="7"/>
    </row>
    <row r="7965">
      <c r="A7965" s="39" t="s">
        <v>29300</v>
      </c>
      <c r="B7965" s="15">
        <v>1916167.0</v>
      </c>
      <c r="D7965" s="15">
        <v>0.0</v>
      </c>
      <c r="E7965" s="15" t="s">
        <v>4407</v>
      </c>
      <c r="F7965" s="15" t="s">
        <v>1578</v>
      </c>
      <c r="G7965" s="7">
        <v>32.649</v>
      </c>
      <c r="H7965" s="15" t="s">
        <v>2342</v>
      </c>
      <c r="I7965" s="15" t="s">
        <v>1586</v>
      </c>
      <c r="J7965" s="15" t="s">
        <v>29301</v>
      </c>
      <c r="K7965" s="15">
        <v>50.0</v>
      </c>
      <c r="L7965" s="15">
        <v>49.0</v>
      </c>
      <c r="M7965" s="40">
        <v>42787.0</v>
      </c>
      <c r="N7965" s="40">
        <v>42787.0</v>
      </c>
      <c r="O7965" s="15" t="s">
        <v>1554</v>
      </c>
      <c r="Q7965" s="7"/>
    </row>
    <row r="7966">
      <c r="A7966" s="39" t="s">
        <v>29302</v>
      </c>
      <c r="B7966" s="15">
        <v>1916168.0</v>
      </c>
      <c r="D7966" s="15">
        <v>0.0</v>
      </c>
      <c r="E7966" s="15" t="s">
        <v>4407</v>
      </c>
      <c r="F7966" s="15" t="s">
        <v>1578</v>
      </c>
      <c r="G7966" s="7">
        <v>33.045</v>
      </c>
      <c r="H7966" s="15" t="s">
        <v>3000</v>
      </c>
      <c r="I7966" s="15" t="s">
        <v>1586</v>
      </c>
      <c r="J7966" s="15" t="s">
        <v>29303</v>
      </c>
      <c r="K7966" s="15">
        <v>52.0</v>
      </c>
      <c r="L7966" s="15">
        <v>52.0</v>
      </c>
      <c r="M7966" s="40">
        <v>42787.0</v>
      </c>
      <c r="N7966" s="40">
        <v>42787.0</v>
      </c>
      <c r="O7966" s="15" t="s">
        <v>1554</v>
      </c>
      <c r="Q7966" s="7"/>
    </row>
    <row r="7967">
      <c r="A7967" s="39" t="s">
        <v>29304</v>
      </c>
      <c r="B7967" s="15">
        <v>1916169.0</v>
      </c>
      <c r="D7967" s="15">
        <v>0.0</v>
      </c>
      <c r="E7967" s="15" t="s">
        <v>4407</v>
      </c>
      <c r="F7967" s="15" t="s">
        <v>1578</v>
      </c>
      <c r="G7967" s="7">
        <v>33.953</v>
      </c>
      <c r="H7967" s="15" t="s">
        <v>2320</v>
      </c>
      <c r="I7967" s="15" t="s">
        <v>1586</v>
      </c>
      <c r="J7967" s="15" t="s">
        <v>29305</v>
      </c>
      <c r="K7967" s="15">
        <v>54.0</v>
      </c>
      <c r="L7967" s="15">
        <v>54.0</v>
      </c>
      <c r="M7967" s="40">
        <v>42787.0</v>
      </c>
      <c r="N7967" s="40">
        <v>42787.0</v>
      </c>
      <c r="O7967" s="15" t="s">
        <v>1554</v>
      </c>
      <c r="Q7967" s="7"/>
    </row>
    <row r="7968">
      <c r="A7968" s="39" t="s">
        <v>29307</v>
      </c>
      <c r="B7968" s="15">
        <v>1916170.0</v>
      </c>
      <c r="D7968" s="15">
        <v>0.0</v>
      </c>
      <c r="E7968" s="15" t="s">
        <v>4407</v>
      </c>
      <c r="F7968" s="15" t="s">
        <v>1578</v>
      </c>
      <c r="G7968" s="7">
        <v>36.844</v>
      </c>
      <c r="H7968" s="15" t="s">
        <v>2451</v>
      </c>
      <c r="I7968" s="15" t="s">
        <v>1586</v>
      </c>
      <c r="J7968" s="15" t="s">
        <v>29308</v>
      </c>
      <c r="K7968" s="15">
        <v>54.0</v>
      </c>
      <c r="L7968" s="15">
        <v>54.0</v>
      </c>
      <c r="M7968" s="40">
        <v>42787.0</v>
      </c>
      <c r="N7968" s="40">
        <v>42787.0</v>
      </c>
      <c r="O7968" s="15" t="s">
        <v>1554</v>
      </c>
      <c r="Q7968" s="7"/>
    </row>
    <row r="7969">
      <c r="A7969" s="39" t="s">
        <v>29309</v>
      </c>
      <c r="B7969" s="15">
        <v>1916171.0</v>
      </c>
      <c r="D7969" s="15">
        <v>0.0</v>
      </c>
      <c r="E7969" s="15" t="s">
        <v>4407</v>
      </c>
      <c r="F7969" s="15" t="s">
        <v>1578</v>
      </c>
      <c r="G7969" s="7">
        <v>39.828</v>
      </c>
      <c r="H7969" s="15">
        <v>40.0</v>
      </c>
      <c r="I7969" s="15" t="s">
        <v>1586</v>
      </c>
      <c r="J7969" s="15" t="s">
        <v>29310</v>
      </c>
      <c r="K7969" s="15">
        <v>63.0</v>
      </c>
      <c r="L7969" s="15">
        <v>63.0</v>
      </c>
      <c r="M7969" s="40">
        <v>42787.0</v>
      </c>
      <c r="N7969" s="40">
        <v>42787.0</v>
      </c>
      <c r="O7969" s="15" t="s">
        <v>1554</v>
      </c>
      <c r="Q7969" s="7"/>
    </row>
    <row r="7970">
      <c r="A7970" s="39" t="s">
        <v>29311</v>
      </c>
      <c r="B7970" s="15">
        <v>1916172.0</v>
      </c>
      <c r="D7970" s="15">
        <v>0.0</v>
      </c>
      <c r="E7970" s="15" t="s">
        <v>4407</v>
      </c>
      <c r="F7970" s="15" t="s">
        <v>1578</v>
      </c>
      <c r="G7970" s="7">
        <v>41.421</v>
      </c>
      <c r="H7970" s="15" t="s">
        <v>2640</v>
      </c>
      <c r="I7970" s="15" t="s">
        <v>1586</v>
      </c>
      <c r="J7970" s="15" t="s">
        <v>29312</v>
      </c>
      <c r="K7970" s="15">
        <v>64.0</v>
      </c>
      <c r="L7970" s="15">
        <v>64.0</v>
      </c>
      <c r="M7970" s="40">
        <v>42787.0</v>
      </c>
      <c r="N7970" s="40">
        <v>42787.0</v>
      </c>
      <c r="O7970" s="15" t="s">
        <v>1554</v>
      </c>
      <c r="Q7970" s="7"/>
    </row>
    <row r="7971">
      <c r="A7971" s="39" t="s">
        <v>29313</v>
      </c>
      <c r="B7971" s="15">
        <v>1916173.0</v>
      </c>
      <c r="D7971" s="15">
        <v>0.0</v>
      </c>
      <c r="E7971" s="15" t="s">
        <v>4407</v>
      </c>
      <c r="F7971" s="15" t="s">
        <v>1578</v>
      </c>
      <c r="G7971" s="7">
        <v>38.867</v>
      </c>
      <c r="H7971" s="15">
        <v>40.0</v>
      </c>
      <c r="I7971" s="15" t="s">
        <v>1586</v>
      </c>
      <c r="J7971" s="15" t="s">
        <v>29315</v>
      </c>
      <c r="K7971" s="15">
        <v>67.0</v>
      </c>
      <c r="L7971" s="15">
        <v>67.0</v>
      </c>
      <c r="M7971" s="40">
        <v>42787.0</v>
      </c>
      <c r="N7971" s="40">
        <v>42787.0</v>
      </c>
      <c r="O7971" s="15" t="s">
        <v>1554</v>
      </c>
      <c r="Q7971" s="7"/>
    </row>
    <row r="7972">
      <c r="A7972" s="39" t="s">
        <v>29316</v>
      </c>
      <c r="B7972" s="15">
        <v>1916174.0</v>
      </c>
      <c r="D7972" s="15">
        <v>0.0</v>
      </c>
      <c r="E7972" s="15" t="s">
        <v>4407</v>
      </c>
      <c r="F7972" s="15" t="s">
        <v>1578</v>
      </c>
      <c r="G7972" s="7">
        <v>40.164</v>
      </c>
      <c r="H7972" s="15" t="s">
        <v>2320</v>
      </c>
      <c r="I7972" s="15" t="s">
        <v>1586</v>
      </c>
      <c r="J7972" s="15" t="s">
        <v>29317</v>
      </c>
      <c r="K7972" s="15">
        <v>68.0</v>
      </c>
      <c r="L7972" s="15">
        <v>68.0</v>
      </c>
      <c r="M7972" s="40">
        <v>42787.0</v>
      </c>
      <c r="N7972" s="40">
        <v>42787.0</v>
      </c>
      <c r="O7972" s="15" t="s">
        <v>1554</v>
      </c>
      <c r="Q7972" s="7"/>
    </row>
    <row r="7973">
      <c r="A7973" s="39" t="s">
        <v>29318</v>
      </c>
      <c r="B7973" s="15">
        <v>1916175.0</v>
      </c>
      <c r="D7973" s="15">
        <v>0.0</v>
      </c>
      <c r="E7973" s="15" t="s">
        <v>4407</v>
      </c>
      <c r="F7973" s="15" t="s">
        <v>1578</v>
      </c>
      <c r="G7973" s="7">
        <v>40.781</v>
      </c>
      <c r="H7973" s="15" t="s">
        <v>1902</v>
      </c>
      <c r="I7973" s="15" t="s">
        <v>1586</v>
      </c>
      <c r="J7973" s="15" t="s">
        <v>29319</v>
      </c>
      <c r="K7973" s="15">
        <v>67.0</v>
      </c>
      <c r="L7973" s="15">
        <v>67.0</v>
      </c>
      <c r="M7973" s="40">
        <v>42787.0</v>
      </c>
      <c r="N7973" s="40">
        <v>42787.0</v>
      </c>
      <c r="O7973" s="15" t="s">
        <v>1554</v>
      </c>
      <c r="Q7973" s="7"/>
    </row>
    <row r="7974">
      <c r="A7974" s="39" t="s">
        <v>29320</v>
      </c>
      <c r="B7974" s="15">
        <v>1916177.0</v>
      </c>
      <c r="D7974" s="15">
        <v>0.0</v>
      </c>
      <c r="E7974" s="15" t="s">
        <v>4407</v>
      </c>
      <c r="F7974" s="15" t="s">
        <v>1578</v>
      </c>
      <c r="G7974" s="7">
        <v>40.403</v>
      </c>
      <c r="H7974" s="15">
        <v>40.0</v>
      </c>
      <c r="I7974" s="15" t="s">
        <v>1586</v>
      </c>
      <c r="J7974" s="15" t="s">
        <v>29322</v>
      </c>
      <c r="K7974" s="15">
        <v>63.0</v>
      </c>
      <c r="L7974" s="15">
        <v>63.0</v>
      </c>
      <c r="M7974" s="40">
        <v>42787.0</v>
      </c>
      <c r="N7974" s="40">
        <v>42787.0</v>
      </c>
      <c r="O7974" s="15" t="s">
        <v>1554</v>
      </c>
      <c r="Q7974" s="7"/>
    </row>
    <row r="7975">
      <c r="A7975" s="39" t="s">
        <v>29323</v>
      </c>
      <c r="B7975" s="15">
        <v>1916178.0</v>
      </c>
      <c r="D7975" s="15">
        <v>0.0</v>
      </c>
      <c r="E7975" s="15" t="s">
        <v>4407</v>
      </c>
      <c r="F7975" s="15" t="s">
        <v>1578</v>
      </c>
      <c r="G7975" s="7">
        <v>37.761</v>
      </c>
      <c r="H7975" s="15" t="s">
        <v>6633</v>
      </c>
      <c r="I7975" s="15" t="s">
        <v>1586</v>
      </c>
      <c r="J7975" s="15" t="s">
        <v>29324</v>
      </c>
      <c r="K7975" s="15">
        <v>50.0</v>
      </c>
      <c r="L7975" s="15">
        <v>50.0</v>
      </c>
      <c r="M7975" s="40">
        <v>42787.0</v>
      </c>
      <c r="N7975" s="40">
        <v>42787.0</v>
      </c>
      <c r="O7975" s="15" t="s">
        <v>1554</v>
      </c>
      <c r="Q7975" s="7"/>
    </row>
    <row r="7976">
      <c r="A7976" s="39" t="s">
        <v>29325</v>
      </c>
      <c r="B7976" s="15">
        <v>1916179.0</v>
      </c>
      <c r="D7976" s="15">
        <v>0.0</v>
      </c>
      <c r="E7976" s="15" t="s">
        <v>4407</v>
      </c>
      <c r="F7976" s="15" t="s">
        <v>1578</v>
      </c>
      <c r="G7976" s="7">
        <v>40.449</v>
      </c>
      <c r="H7976" s="15">
        <v>40.0</v>
      </c>
      <c r="I7976" s="15" t="s">
        <v>1586</v>
      </c>
      <c r="J7976" s="15" t="s">
        <v>29326</v>
      </c>
      <c r="K7976" s="15">
        <v>65.0</v>
      </c>
      <c r="L7976" s="15">
        <v>65.0</v>
      </c>
      <c r="M7976" s="40">
        <v>42787.0</v>
      </c>
      <c r="N7976" s="40">
        <v>42787.0</v>
      </c>
      <c r="O7976" s="15" t="s">
        <v>1554</v>
      </c>
      <c r="Q7976" s="7"/>
    </row>
    <row r="7977">
      <c r="A7977" s="39" t="s">
        <v>29327</v>
      </c>
      <c r="B7977" s="15">
        <v>1916180.0</v>
      </c>
      <c r="D7977" s="15">
        <v>0.0</v>
      </c>
      <c r="E7977" s="15" t="s">
        <v>4407</v>
      </c>
      <c r="F7977" s="15" t="s">
        <v>1578</v>
      </c>
      <c r="G7977" s="7">
        <v>34.915</v>
      </c>
      <c r="H7977" s="15" t="s">
        <v>1602</v>
      </c>
      <c r="I7977" s="15" t="s">
        <v>1586</v>
      </c>
      <c r="J7977" s="15" t="s">
        <v>29328</v>
      </c>
      <c r="K7977" s="15">
        <v>46.0</v>
      </c>
      <c r="L7977" s="15">
        <v>46.0</v>
      </c>
      <c r="M7977" s="40">
        <v>42787.0</v>
      </c>
      <c r="N7977" s="40">
        <v>42787.0</v>
      </c>
      <c r="O7977" s="15" t="s">
        <v>1554</v>
      </c>
      <c r="Q7977" s="7"/>
    </row>
    <row r="7978">
      <c r="A7978" s="39" t="s">
        <v>29330</v>
      </c>
      <c r="B7978" s="15">
        <v>1916181.0</v>
      </c>
      <c r="D7978" s="15">
        <v>0.0</v>
      </c>
      <c r="E7978" s="15" t="s">
        <v>4407</v>
      </c>
      <c r="F7978" s="15" t="s">
        <v>1578</v>
      </c>
      <c r="G7978" s="7">
        <v>35.061</v>
      </c>
      <c r="H7978" s="15" t="s">
        <v>2597</v>
      </c>
      <c r="I7978" s="15" t="s">
        <v>1586</v>
      </c>
      <c r="J7978" s="15" t="s">
        <v>29331</v>
      </c>
      <c r="K7978" s="15">
        <v>43.0</v>
      </c>
      <c r="L7978" s="15">
        <v>43.0</v>
      </c>
      <c r="M7978" s="40">
        <v>42787.0</v>
      </c>
      <c r="N7978" s="40">
        <v>42787.0</v>
      </c>
      <c r="O7978" s="15" t="s">
        <v>1554</v>
      </c>
      <c r="Q7978" s="7"/>
    </row>
    <row r="7979">
      <c r="A7979" s="39" t="s">
        <v>29332</v>
      </c>
      <c r="B7979" s="15">
        <v>1916182.0</v>
      </c>
      <c r="D7979" s="15">
        <v>0.0</v>
      </c>
      <c r="E7979" s="15" t="s">
        <v>4407</v>
      </c>
      <c r="F7979" s="15" t="s">
        <v>1578</v>
      </c>
      <c r="G7979" s="7">
        <v>33.032</v>
      </c>
      <c r="H7979" s="15" t="s">
        <v>3895</v>
      </c>
      <c r="I7979" s="15" t="s">
        <v>1586</v>
      </c>
      <c r="J7979" s="15" t="s">
        <v>29333</v>
      </c>
      <c r="K7979" s="15">
        <v>47.0</v>
      </c>
      <c r="L7979" s="15">
        <v>47.0</v>
      </c>
      <c r="M7979" s="40">
        <v>42787.0</v>
      </c>
      <c r="N7979" s="40">
        <v>42787.0</v>
      </c>
      <c r="O7979" s="15" t="s">
        <v>1554</v>
      </c>
      <c r="Q7979" s="7"/>
    </row>
    <row r="7980">
      <c r="A7980" s="39" t="s">
        <v>29334</v>
      </c>
      <c r="B7980" s="15">
        <v>1916183.0</v>
      </c>
      <c r="D7980" s="15">
        <v>0.0</v>
      </c>
      <c r="E7980" s="15" t="s">
        <v>4407</v>
      </c>
      <c r="F7980" s="15" t="s">
        <v>1578</v>
      </c>
      <c r="G7980" s="7">
        <v>30.572</v>
      </c>
      <c r="H7980" s="15" t="s">
        <v>5806</v>
      </c>
      <c r="I7980" s="15" t="s">
        <v>1586</v>
      </c>
      <c r="J7980" s="15" t="s">
        <v>29335</v>
      </c>
      <c r="K7980" s="15">
        <v>45.0</v>
      </c>
      <c r="L7980" s="15">
        <v>45.0</v>
      </c>
      <c r="M7980" s="40">
        <v>42787.0</v>
      </c>
      <c r="N7980" s="40">
        <v>42787.0</v>
      </c>
      <c r="O7980" s="15" t="s">
        <v>1554</v>
      </c>
      <c r="Q7980" s="7"/>
    </row>
    <row r="7981">
      <c r="A7981" s="39" t="s">
        <v>29337</v>
      </c>
      <c r="B7981" s="15">
        <v>1916184.0</v>
      </c>
      <c r="D7981" s="15">
        <v>0.0</v>
      </c>
      <c r="E7981" s="15" t="s">
        <v>4407</v>
      </c>
      <c r="F7981" s="15" t="s">
        <v>1578</v>
      </c>
      <c r="G7981" s="7">
        <v>37.387</v>
      </c>
      <c r="H7981" s="15" t="s">
        <v>2524</v>
      </c>
      <c r="I7981" s="15" t="s">
        <v>1586</v>
      </c>
      <c r="J7981" s="15" t="s">
        <v>29338</v>
      </c>
      <c r="K7981" s="15">
        <v>57.0</v>
      </c>
      <c r="L7981" s="15">
        <v>57.0</v>
      </c>
      <c r="M7981" s="40">
        <v>42787.0</v>
      </c>
      <c r="N7981" s="40">
        <v>42787.0</v>
      </c>
      <c r="O7981" s="15" t="s">
        <v>1554</v>
      </c>
      <c r="Q7981" s="7"/>
    </row>
    <row r="7982">
      <c r="A7982" s="39" t="s">
        <v>29339</v>
      </c>
      <c r="B7982" s="15">
        <v>1916185.0</v>
      </c>
      <c r="D7982" s="15">
        <v>0.0</v>
      </c>
      <c r="E7982" s="15" t="s">
        <v>4407</v>
      </c>
      <c r="F7982" s="15" t="s">
        <v>1578</v>
      </c>
      <c r="G7982" s="7">
        <v>40.232</v>
      </c>
      <c r="H7982" s="15" t="s">
        <v>2820</v>
      </c>
      <c r="I7982" s="15" t="s">
        <v>1586</v>
      </c>
      <c r="J7982" s="15" t="s">
        <v>29340</v>
      </c>
      <c r="K7982" s="15">
        <v>67.0</v>
      </c>
      <c r="L7982" s="15">
        <v>67.0</v>
      </c>
      <c r="M7982" s="40">
        <v>42787.0</v>
      </c>
      <c r="N7982" s="40">
        <v>42787.0</v>
      </c>
      <c r="O7982" s="15" t="s">
        <v>1554</v>
      </c>
      <c r="Q7982" s="7"/>
    </row>
    <row r="7983">
      <c r="A7983" s="39" t="s">
        <v>29341</v>
      </c>
      <c r="B7983" s="15">
        <v>1916186.0</v>
      </c>
      <c r="D7983" s="15">
        <v>0.0</v>
      </c>
      <c r="E7983" s="15" t="s">
        <v>4407</v>
      </c>
      <c r="F7983" s="15" t="s">
        <v>1578</v>
      </c>
      <c r="G7983" s="7">
        <v>37.848</v>
      </c>
      <c r="H7983" s="15" t="s">
        <v>1823</v>
      </c>
      <c r="I7983" s="15" t="s">
        <v>1586</v>
      </c>
      <c r="J7983" s="15" t="s">
        <v>29342</v>
      </c>
      <c r="K7983" s="15">
        <v>52.0</v>
      </c>
      <c r="L7983" s="15">
        <v>52.0</v>
      </c>
      <c r="M7983" s="40">
        <v>42787.0</v>
      </c>
      <c r="N7983" s="40">
        <v>42787.0</v>
      </c>
      <c r="O7983" s="15" t="s">
        <v>1554</v>
      </c>
      <c r="Q7983" s="7"/>
    </row>
    <row r="7984">
      <c r="A7984" s="39" t="s">
        <v>29344</v>
      </c>
      <c r="B7984" s="15">
        <v>1916187.0</v>
      </c>
      <c r="D7984" s="15">
        <v>0.0</v>
      </c>
      <c r="E7984" s="15" t="s">
        <v>4407</v>
      </c>
      <c r="F7984" s="15" t="s">
        <v>1578</v>
      </c>
      <c r="G7984" s="7">
        <v>33.495</v>
      </c>
      <c r="H7984" s="15" t="s">
        <v>5806</v>
      </c>
      <c r="I7984" s="15" t="s">
        <v>1586</v>
      </c>
      <c r="J7984" s="15" t="s">
        <v>29345</v>
      </c>
      <c r="K7984" s="15">
        <v>47.0</v>
      </c>
      <c r="L7984" s="15">
        <v>47.0</v>
      </c>
      <c r="M7984" s="40">
        <v>42787.0</v>
      </c>
      <c r="N7984" s="40">
        <v>42787.0</v>
      </c>
      <c r="O7984" s="15" t="s">
        <v>1554</v>
      </c>
      <c r="Q7984" s="7"/>
    </row>
    <row r="7985">
      <c r="A7985" s="39" t="s">
        <v>29346</v>
      </c>
      <c r="B7985" s="15">
        <v>1916188.0</v>
      </c>
      <c r="D7985" s="15">
        <v>0.0</v>
      </c>
      <c r="E7985" s="15" t="s">
        <v>4407</v>
      </c>
      <c r="F7985" s="15" t="s">
        <v>1578</v>
      </c>
      <c r="G7985" s="7">
        <v>40.284</v>
      </c>
      <c r="H7985" s="15" t="s">
        <v>1994</v>
      </c>
      <c r="I7985" s="15" t="s">
        <v>1586</v>
      </c>
      <c r="J7985" s="15" t="s">
        <v>29347</v>
      </c>
      <c r="K7985" s="15">
        <v>62.0</v>
      </c>
      <c r="L7985" s="15">
        <v>62.0</v>
      </c>
      <c r="M7985" s="40">
        <v>42787.0</v>
      </c>
      <c r="N7985" s="40">
        <v>42787.0</v>
      </c>
      <c r="O7985" s="15" t="s">
        <v>1554</v>
      </c>
      <c r="Q7985" s="7"/>
    </row>
    <row r="7986">
      <c r="A7986" s="39" t="s">
        <v>29348</v>
      </c>
      <c r="B7986" s="15">
        <v>1916189.0</v>
      </c>
      <c r="D7986" s="15">
        <v>0.0</v>
      </c>
      <c r="E7986" s="15" t="s">
        <v>4407</v>
      </c>
      <c r="F7986" s="15" t="s">
        <v>1578</v>
      </c>
      <c r="G7986" s="7">
        <v>32.793</v>
      </c>
      <c r="H7986" s="15">
        <v>39.0</v>
      </c>
      <c r="I7986" s="15" t="s">
        <v>1586</v>
      </c>
      <c r="J7986" s="15" t="s">
        <v>29349</v>
      </c>
      <c r="K7986" s="15">
        <v>48.0</v>
      </c>
      <c r="L7986" s="15">
        <v>48.0</v>
      </c>
      <c r="M7986" s="40">
        <v>42787.0</v>
      </c>
      <c r="N7986" s="40">
        <v>42787.0</v>
      </c>
      <c r="O7986" s="15" t="s">
        <v>1554</v>
      </c>
      <c r="Q7986" s="7"/>
    </row>
    <row r="7987">
      <c r="A7987" s="39" t="s">
        <v>29350</v>
      </c>
      <c r="B7987" s="15">
        <v>1916190.0</v>
      </c>
      <c r="D7987" s="15">
        <v>0.0</v>
      </c>
      <c r="E7987" s="15" t="s">
        <v>4407</v>
      </c>
      <c r="F7987" s="15" t="s">
        <v>1578</v>
      </c>
      <c r="G7987" s="7">
        <v>36.805</v>
      </c>
      <c r="H7987" s="15" t="s">
        <v>2668</v>
      </c>
      <c r="I7987" s="15" t="s">
        <v>1586</v>
      </c>
      <c r="J7987" s="15" t="s">
        <v>29352</v>
      </c>
      <c r="K7987" s="15">
        <v>52.0</v>
      </c>
      <c r="L7987" s="15">
        <v>52.0</v>
      </c>
      <c r="M7987" s="40">
        <v>42787.0</v>
      </c>
      <c r="N7987" s="40">
        <v>42787.0</v>
      </c>
      <c r="O7987" s="15" t="s">
        <v>1554</v>
      </c>
      <c r="Q7987" s="7"/>
    </row>
    <row r="7988">
      <c r="A7988" s="39" t="s">
        <v>29353</v>
      </c>
      <c r="B7988" s="15">
        <v>1916191.0</v>
      </c>
      <c r="D7988" s="15">
        <v>0.0</v>
      </c>
      <c r="E7988" s="15" t="s">
        <v>4407</v>
      </c>
      <c r="F7988" s="15" t="s">
        <v>1578</v>
      </c>
      <c r="G7988" s="7">
        <v>37.235</v>
      </c>
      <c r="H7988" s="15" t="s">
        <v>2824</v>
      </c>
      <c r="I7988" s="15" t="s">
        <v>1586</v>
      </c>
      <c r="J7988" s="15" t="s">
        <v>29354</v>
      </c>
      <c r="K7988" s="15">
        <v>55.0</v>
      </c>
      <c r="L7988" s="15">
        <v>55.0</v>
      </c>
      <c r="M7988" s="40">
        <v>42787.0</v>
      </c>
      <c r="N7988" s="40">
        <v>42787.0</v>
      </c>
      <c r="O7988" s="15" t="s">
        <v>1554</v>
      </c>
      <c r="Q7988" s="7"/>
    </row>
    <row r="7989">
      <c r="A7989" s="39" t="s">
        <v>29355</v>
      </c>
      <c r="B7989" s="15">
        <v>1916192.0</v>
      </c>
      <c r="D7989" s="15">
        <v>0.0</v>
      </c>
      <c r="E7989" s="15" t="s">
        <v>4407</v>
      </c>
      <c r="F7989" s="15" t="s">
        <v>1578</v>
      </c>
      <c r="G7989" s="7">
        <v>38.9</v>
      </c>
      <c r="H7989" s="15" t="s">
        <v>6633</v>
      </c>
      <c r="I7989" s="15" t="s">
        <v>1586</v>
      </c>
      <c r="J7989" s="15" t="s">
        <v>29356</v>
      </c>
      <c r="K7989" s="15">
        <v>55.0</v>
      </c>
      <c r="L7989" s="15">
        <v>55.0</v>
      </c>
      <c r="M7989" s="40">
        <v>42787.0</v>
      </c>
      <c r="N7989" s="40">
        <v>42787.0</v>
      </c>
      <c r="O7989" s="15" t="s">
        <v>1554</v>
      </c>
      <c r="Q7989" s="7"/>
    </row>
    <row r="7990">
      <c r="A7990" s="39" t="s">
        <v>29357</v>
      </c>
      <c r="B7990" s="15">
        <v>1916193.0</v>
      </c>
      <c r="D7990" s="15">
        <v>0.0</v>
      </c>
      <c r="E7990" s="15" t="s">
        <v>4407</v>
      </c>
      <c r="F7990" s="15" t="s">
        <v>1578</v>
      </c>
      <c r="G7990" s="7">
        <v>37.847</v>
      </c>
      <c r="H7990" s="15" t="s">
        <v>1607</v>
      </c>
      <c r="I7990" s="15" t="s">
        <v>1586</v>
      </c>
      <c r="J7990" s="15" t="s">
        <v>29358</v>
      </c>
      <c r="K7990" s="15">
        <v>48.0</v>
      </c>
      <c r="L7990" s="15">
        <v>48.0</v>
      </c>
      <c r="M7990" s="40">
        <v>42787.0</v>
      </c>
      <c r="N7990" s="40">
        <v>42787.0</v>
      </c>
      <c r="O7990" s="15" t="s">
        <v>1554</v>
      </c>
      <c r="Q7990" s="7"/>
    </row>
    <row r="7991">
      <c r="A7991" s="39" t="s">
        <v>29359</v>
      </c>
      <c r="B7991" s="15">
        <v>1916194.0</v>
      </c>
      <c r="D7991" s="15">
        <v>0.0</v>
      </c>
      <c r="E7991" s="15" t="s">
        <v>4407</v>
      </c>
      <c r="F7991" s="15" t="s">
        <v>1578</v>
      </c>
      <c r="G7991" s="7">
        <v>33.084</v>
      </c>
      <c r="H7991" s="15" t="s">
        <v>1902</v>
      </c>
      <c r="I7991" s="15" t="s">
        <v>1586</v>
      </c>
      <c r="J7991" s="15" t="s">
        <v>29360</v>
      </c>
      <c r="K7991" s="15">
        <v>50.0</v>
      </c>
      <c r="L7991" s="15">
        <v>50.0</v>
      </c>
      <c r="M7991" s="40">
        <v>42787.0</v>
      </c>
      <c r="N7991" s="40">
        <v>42787.0</v>
      </c>
      <c r="O7991" s="15" t="s">
        <v>1554</v>
      </c>
      <c r="Q7991" s="7"/>
    </row>
    <row r="7992">
      <c r="A7992" s="39" t="s">
        <v>29361</v>
      </c>
      <c r="B7992" s="15">
        <v>1916195.0</v>
      </c>
      <c r="D7992" s="15">
        <v>0.0</v>
      </c>
      <c r="E7992" s="15" t="s">
        <v>4407</v>
      </c>
      <c r="F7992" s="15" t="s">
        <v>1578</v>
      </c>
      <c r="G7992" s="7">
        <v>32.027</v>
      </c>
      <c r="H7992" s="15" t="s">
        <v>2451</v>
      </c>
      <c r="I7992" s="15" t="s">
        <v>1586</v>
      </c>
      <c r="J7992" s="15" t="s">
        <v>29363</v>
      </c>
      <c r="K7992" s="15">
        <v>50.0</v>
      </c>
      <c r="L7992" s="15">
        <v>50.0</v>
      </c>
      <c r="M7992" s="40">
        <v>42787.0</v>
      </c>
      <c r="N7992" s="40">
        <v>42787.0</v>
      </c>
      <c r="O7992" s="15" t="s">
        <v>1554</v>
      </c>
      <c r="Q7992" s="7"/>
    </row>
    <row r="7993">
      <c r="A7993" s="39" t="s">
        <v>29364</v>
      </c>
      <c r="B7993" s="15">
        <v>1916196.0</v>
      </c>
      <c r="D7993" s="15">
        <v>0.0</v>
      </c>
      <c r="E7993" s="15" t="s">
        <v>4407</v>
      </c>
      <c r="F7993" s="15" t="s">
        <v>1578</v>
      </c>
      <c r="G7993" s="7">
        <v>41.977</v>
      </c>
      <c r="H7993" s="15" t="s">
        <v>2451</v>
      </c>
      <c r="I7993" s="15" t="s">
        <v>1586</v>
      </c>
      <c r="J7993" s="15" t="s">
        <v>29365</v>
      </c>
      <c r="K7993" s="15">
        <v>63.0</v>
      </c>
      <c r="L7993" s="15">
        <v>63.0</v>
      </c>
      <c r="M7993" s="40">
        <v>42787.0</v>
      </c>
      <c r="N7993" s="40">
        <v>42787.0</v>
      </c>
      <c r="O7993" s="15" t="s">
        <v>1554</v>
      </c>
      <c r="Q7993" s="7"/>
    </row>
    <row r="7994">
      <c r="A7994" s="39" t="s">
        <v>29366</v>
      </c>
      <c r="B7994" s="15">
        <v>1916197.0</v>
      </c>
      <c r="D7994" s="15">
        <v>0.0</v>
      </c>
      <c r="E7994" s="15" t="s">
        <v>4407</v>
      </c>
      <c r="F7994" s="15" t="s">
        <v>1578</v>
      </c>
      <c r="G7994" s="7">
        <v>59.87</v>
      </c>
      <c r="H7994" s="15" t="s">
        <v>2320</v>
      </c>
      <c r="I7994" s="15" t="s">
        <v>1586</v>
      </c>
      <c r="J7994" s="15" t="s">
        <v>29367</v>
      </c>
      <c r="K7994" s="15">
        <v>82.0</v>
      </c>
      <c r="L7994" s="15">
        <v>82.0</v>
      </c>
      <c r="M7994" s="40">
        <v>42787.0</v>
      </c>
      <c r="N7994" s="40">
        <v>42787.0</v>
      </c>
      <c r="O7994" s="15" t="s">
        <v>1554</v>
      </c>
      <c r="Q7994" s="7"/>
    </row>
    <row r="7995">
      <c r="A7995" s="39" t="s">
        <v>29368</v>
      </c>
      <c r="B7995" s="15">
        <v>1916198.0</v>
      </c>
      <c r="D7995" s="15">
        <v>0.0</v>
      </c>
      <c r="E7995" s="15" t="s">
        <v>4407</v>
      </c>
      <c r="F7995" s="15" t="s">
        <v>1578</v>
      </c>
      <c r="G7995" s="7">
        <v>39.369</v>
      </c>
      <c r="H7995" s="15" t="s">
        <v>3070</v>
      </c>
      <c r="I7995" s="15" t="s">
        <v>1586</v>
      </c>
      <c r="J7995" s="15" t="s">
        <v>29370</v>
      </c>
      <c r="K7995" s="15">
        <v>56.0</v>
      </c>
      <c r="L7995" s="15">
        <v>56.0</v>
      </c>
      <c r="M7995" s="40">
        <v>42787.0</v>
      </c>
      <c r="N7995" s="40">
        <v>42787.0</v>
      </c>
      <c r="O7995" s="15" t="s">
        <v>1554</v>
      </c>
      <c r="Q7995" s="7"/>
    </row>
    <row r="7996">
      <c r="A7996" s="39" t="s">
        <v>29371</v>
      </c>
      <c r="B7996" s="15">
        <v>1916199.0</v>
      </c>
      <c r="D7996" s="15">
        <v>0.0</v>
      </c>
      <c r="E7996" s="15" t="s">
        <v>4407</v>
      </c>
      <c r="F7996" s="15" t="s">
        <v>1578</v>
      </c>
      <c r="G7996" s="7">
        <v>34.28</v>
      </c>
      <c r="H7996" s="15" t="s">
        <v>2451</v>
      </c>
      <c r="I7996" s="15" t="s">
        <v>1586</v>
      </c>
      <c r="J7996" s="15" t="s">
        <v>29372</v>
      </c>
      <c r="K7996" s="15">
        <v>52.0</v>
      </c>
      <c r="L7996" s="15">
        <v>52.0</v>
      </c>
      <c r="M7996" s="40">
        <v>42787.0</v>
      </c>
      <c r="N7996" s="40">
        <v>42787.0</v>
      </c>
      <c r="O7996" s="15" t="s">
        <v>1554</v>
      </c>
      <c r="Q7996" s="7"/>
    </row>
    <row r="7997">
      <c r="A7997" s="39" t="s">
        <v>29373</v>
      </c>
      <c r="B7997" s="15">
        <v>1916200.0</v>
      </c>
      <c r="D7997" s="15">
        <v>0.0</v>
      </c>
      <c r="E7997" s="15" t="s">
        <v>4407</v>
      </c>
      <c r="F7997" s="15" t="s">
        <v>1578</v>
      </c>
      <c r="G7997" s="7">
        <v>39.689</v>
      </c>
      <c r="H7997" s="15" t="s">
        <v>2440</v>
      </c>
      <c r="I7997" s="15" t="s">
        <v>1586</v>
      </c>
      <c r="J7997" s="15" t="s">
        <v>29374</v>
      </c>
      <c r="K7997" s="15">
        <v>67.0</v>
      </c>
      <c r="L7997" s="15">
        <v>67.0</v>
      </c>
      <c r="M7997" s="40">
        <v>42787.0</v>
      </c>
      <c r="N7997" s="40">
        <v>42787.0</v>
      </c>
      <c r="O7997" s="15" t="s">
        <v>1554</v>
      </c>
      <c r="Q7997" s="7"/>
    </row>
    <row r="7998">
      <c r="A7998" s="39" t="s">
        <v>29375</v>
      </c>
      <c r="B7998" s="15">
        <v>1916201.0</v>
      </c>
      <c r="D7998" s="15">
        <v>0.0</v>
      </c>
      <c r="E7998" s="15" t="s">
        <v>4407</v>
      </c>
      <c r="F7998" s="15" t="s">
        <v>1578</v>
      </c>
      <c r="G7998" s="7">
        <v>39.046</v>
      </c>
      <c r="H7998" s="15" t="s">
        <v>1823</v>
      </c>
      <c r="I7998" s="15" t="s">
        <v>1586</v>
      </c>
      <c r="J7998" s="15" t="s">
        <v>29376</v>
      </c>
      <c r="K7998" s="15">
        <v>50.0</v>
      </c>
      <c r="L7998" s="15">
        <v>50.0</v>
      </c>
      <c r="M7998" s="40">
        <v>42787.0</v>
      </c>
      <c r="N7998" s="40">
        <v>42787.0</v>
      </c>
      <c r="O7998" s="15" t="s">
        <v>1554</v>
      </c>
      <c r="Q7998" s="7"/>
    </row>
    <row r="7999">
      <c r="A7999" s="39" t="s">
        <v>29378</v>
      </c>
      <c r="B7999" s="15">
        <v>1916202.0</v>
      </c>
      <c r="D7999" s="15">
        <v>0.0</v>
      </c>
      <c r="E7999" s="15" t="s">
        <v>4407</v>
      </c>
      <c r="F7999" s="15" t="s">
        <v>1578</v>
      </c>
      <c r="G7999" s="7">
        <v>37.969</v>
      </c>
      <c r="H7999" s="15" t="s">
        <v>2233</v>
      </c>
      <c r="I7999" s="15" t="s">
        <v>1586</v>
      </c>
      <c r="J7999" s="15" t="s">
        <v>29379</v>
      </c>
      <c r="K7999" s="15">
        <v>53.0</v>
      </c>
      <c r="L7999" s="15">
        <v>53.0</v>
      </c>
      <c r="M7999" s="40">
        <v>42787.0</v>
      </c>
      <c r="N7999" s="40">
        <v>42787.0</v>
      </c>
      <c r="O7999" s="15" t="s">
        <v>1554</v>
      </c>
      <c r="Q7999" s="7"/>
    </row>
    <row r="8000">
      <c r="A8000" s="39" t="s">
        <v>29380</v>
      </c>
      <c r="B8000" s="15">
        <v>1916203.0</v>
      </c>
      <c r="D8000" s="15">
        <v>0.0</v>
      </c>
      <c r="E8000" s="15" t="s">
        <v>4407</v>
      </c>
      <c r="F8000" s="15" t="s">
        <v>1578</v>
      </c>
      <c r="G8000" s="7">
        <v>33.607</v>
      </c>
      <c r="H8000" s="15" t="s">
        <v>3070</v>
      </c>
      <c r="I8000" s="15" t="s">
        <v>1586</v>
      </c>
      <c r="J8000" s="15" t="s">
        <v>29381</v>
      </c>
      <c r="K8000" s="15">
        <v>54.0</v>
      </c>
      <c r="L8000" s="15">
        <v>54.0</v>
      </c>
      <c r="M8000" s="40">
        <v>42787.0</v>
      </c>
      <c r="N8000" s="40">
        <v>42787.0</v>
      </c>
      <c r="O8000" s="15" t="s">
        <v>1554</v>
      </c>
      <c r="Q8000" s="7"/>
    </row>
    <row r="8001">
      <c r="A8001" s="39" t="s">
        <v>29382</v>
      </c>
      <c r="B8001" s="15">
        <v>1916204.0</v>
      </c>
      <c r="D8001" s="15">
        <v>0.0</v>
      </c>
      <c r="E8001" s="15" t="s">
        <v>4407</v>
      </c>
      <c r="F8001" s="15" t="s">
        <v>1578</v>
      </c>
      <c r="G8001" s="7">
        <v>36.203</v>
      </c>
      <c r="H8001" s="15">
        <v>41.0</v>
      </c>
      <c r="I8001" s="15" t="s">
        <v>1586</v>
      </c>
      <c r="J8001" s="15" t="s">
        <v>29383</v>
      </c>
      <c r="K8001" s="15">
        <v>54.0</v>
      </c>
      <c r="L8001" s="15">
        <v>54.0</v>
      </c>
      <c r="M8001" s="40">
        <v>42787.0</v>
      </c>
      <c r="N8001" s="40">
        <v>42787.0</v>
      </c>
      <c r="O8001" s="15" t="s">
        <v>1554</v>
      </c>
      <c r="Q8001" s="7"/>
    </row>
    <row r="8002">
      <c r="A8002" s="39" t="s">
        <v>29385</v>
      </c>
      <c r="B8002" s="15">
        <v>1916205.0</v>
      </c>
      <c r="D8002" s="15">
        <v>0.0</v>
      </c>
      <c r="E8002" s="15" t="s">
        <v>4407</v>
      </c>
      <c r="F8002" s="15" t="s">
        <v>1578</v>
      </c>
      <c r="G8002" s="7">
        <v>40.787</v>
      </c>
      <c r="H8002" s="15" t="s">
        <v>2019</v>
      </c>
      <c r="I8002" s="15" t="s">
        <v>1586</v>
      </c>
      <c r="J8002" s="15" t="s">
        <v>29386</v>
      </c>
      <c r="K8002" s="15">
        <v>66.0</v>
      </c>
      <c r="L8002" s="15">
        <v>66.0</v>
      </c>
      <c r="M8002" s="40">
        <v>42787.0</v>
      </c>
      <c r="N8002" s="40">
        <v>42787.0</v>
      </c>
      <c r="O8002" s="15" t="s">
        <v>1554</v>
      </c>
      <c r="Q8002" s="7"/>
    </row>
    <row r="8003">
      <c r="A8003" s="39" t="s">
        <v>29387</v>
      </c>
      <c r="B8003" s="15">
        <v>1916206.0</v>
      </c>
      <c r="D8003" s="15">
        <v>0.0</v>
      </c>
      <c r="E8003" s="15" t="s">
        <v>4407</v>
      </c>
      <c r="F8003" s="15" t="s">
        <v>1578</v>
      </c>
      <c r="G8003" s="7">
        <v>40.08</v>
      </c>
      <c r="H8003" s="15" t="s">
        <v>2451</v>
      </c>
      <c r="I8003" s="15" t="s">
        <v>1586</v>
      </c>
      <c r="J8003" s="15" t="s">
        <v>29388</v>
      </c>
      <c r="K8003" s="15">
        <v>61.0</v>
      </c>
      <c r="L8003" s="15">
        <v>60.0</v>
      </c>
      <c r="M8003" s="40">
        <v>42787.0</v>
      </c>
      <c r="N8003" s="40">
        <v>42787.0</v>
      </c>
      <c r="O8003" s="15" t="s">
        <v>1554</v>
      </c>
      <c r="Q8003" s="7"/>
    </row>
    <row r="8004">
      <c r="A8004" s="39" t="s">
        <v>29389</v>
      </c>
      <c r="B8004" s="15">
        <v>1916207.0</v>
      </c>
      <c r="D8004" s="15">
        <v>0.0</v>
      </c>
      <c r="E8004" s="15" t="s">
        <v>4407</v>
      </c>
      <c r="F8004" s="15" t="s">
        <v>1578</v>
      </c>
      <c r="G8004" s="7">
        <v>41.185</v>
      </c>
      <c r="H8004" s="15">
        <v>40.0</v>
      </c>
      <c r="I8004" s="15" t="s">
        <v>1586</v>
      </c>
      <c r="J8004" s="15" t="s">
        <v>29390</v>
      </c>
      <c r="K8004" s="15">
        <v>63.0</v>
      </c>
      <c r="L8004" s="15">
        <v>63.0</v>
      </c>
      <c r="M8004" s="40">
        <v>42787.0</v>
      </c>
      <c r="N8004" s="40">
        <v>42787.0</v>
      </c>
      <c r="O8004" s="15" t="s">
        <v>1554</v>
      </c>
      <c r="Q8004" s="7"/>
    </row>
    <row r="8005">
      <c r="A8005" s="39" t="s">
        <v>29391</v>
      </c>
      <c r="B8005" s="15">
        <v>1916414.0</v>
      </c>
      <c r="D8005" s="15">
        <v>0.0</v>
      </c>
      <c r="E8005" s="15" t="s">
        <v>1557</v>
      </c>
      <c r="F8005" s="15" t="s">
        <v>1767</v>
      </c>
      <c r="G8005" s="7">
        <v>53.46</v>
      </c>
      <c r="H8005" s="15" t="s">
        <v>1828</v>
      </c>
      <c r="I8005" s="15" t="s">
        <v>1586</v>
      </c>
      <c r="J8005" s="15" t="s">
        <v>29392</v>
      </c>
      <c r="K8005" s="15">
        <v>82.0</v>
      </c>
      <c r="L8005" s="15">
        <v>82.0</v>
      </c>
      <c r="M8005" s="41">
        <v>42697.0</v>
      </c>
      <c r="N8005" s="41">
        <v>42697.0</v>
      </c>
      <c r="O8005" s="15" t="s">
        <v>1554</v>
      </c>
      <c r="Q8005" s="7"/>
    </row>
    <row r="8006">
      <c r="A8006" s="39" t="s">
        <v>29393</v>
      </c>
      <c r="B8006" s="15">
        <v>1917488.0</v>
      </c>
      <c r="D8006" s="15">
        <v>0.0</v>
      </c>
      <c r="E8006" s="15" t="s">
        <v>1557</v>
      </c>
      <c r="F8006" s="15" t="s">
        <v>1833</v>
      </c>
      <c r="G8006" s="7">
        <v>57.895</v>
      </c>
      <c r="H8006" s="15">
        <v>68.0</v>
      </c>
      <c r="I8006" s="15" t="s">
        <v>1586</v>
      </c>
      <c r="J8006" s="15" t="s">
        <v>29395</v>
      </c>
      <c r="K8006" s="15">
        <v>95.0</v>
      </c>
      <c r="L8006" s="15">
        <v>94.0</v>
      </c>
      <c r="M8006" s="41">
        <v>42697.0</v>
      </c>
      <c r="N8006" s="41">
        <v>42697.0</v>
      </c>
      <c r="O8006" s="15" t="s">
        <v>1554</v>
      </c>
      <c r="Q8006" s="7"/>
    </row>
    <row r="8007">
      <c r="A8007" s="39" t="s">
        <v>29396</v>
      </c>
      <c r="B8007" s="15">
        <v>1920298.0</v>
      </c>
      <c r="D8007" s="15">
        <v>0.0</v>
      </c>
      <c r="E8007" s="15" t="s">
        <v>1557</v>
      </c>
      <c r="F8007" s="15" t="s">
        <v>1833</v>
      </c>
      <c r="G8007" s="7">
        <v>61.812</v>
      </c>
      <c r="H8007" s="15" t="s">
        <v>14676</v>
      </c>
      <c r="I8007" s="15" t="s">
        <v>1586</v>
      </c>
      <c r="J8007" s="15" t="s">
        <v>29397</v>
      </c>
      <c r="K8007" s="15">
        <v>95.0</v>
      </c>
      <c r="L8007" s="15">
        <v>94.0</v>
      </c>
      <c r="M8007" s="41">
        <v>42697.0</v>
      </c>
      <c r="N8007" s="41">
        <v>42697.0</v>
      </c>
      <c r="O8007" s="15" t="s">
        <v>1554</v>
      </c>
      <c r="Q8007" s="7"/>
    </row>
    <row r="8008">
      <c r="A8008" s="39" t="s">
        <v>29398</v>
      </c>
      <c r="B8008" s="15">
        <v>1920305.0</v>
      </c>
      <c r="D8008" s="15">
        <v>0.0</v>
      </c>
      <c r="E8008" s="15" t="s">
        <v>1557</v>
      </c>
      <c r="F8008" s="15" t="s">
        <v>1833</v>
      </c>
      <c r="G8008" s="7">
        <v>60.973</v>
      </c>
      <c r="H8008" s="15" t="s">
        <v>8725</v>
      </c>
      <c r="I8008" s="15" t="s">
        <v>1586</v>
      </c>
      <c r="J8008" s="15" t="s">
        <v>29400</v>
      </c>
      <c r="K8008" s="15">
        <v>93.0</v>
      </c>
      <c r="L8008" s="15">
        <v>92.0</v>
      </c>
      <c r="M8008" s="41">
        <v>42697.0</v>
      </c>
      <c r="N8008" s="40">
        <v>42741.0</v>
      </c>
      <c r="O8008" s="15" t="s">
        <v>1554</v>
      </c>
      <c r="Q8008" s="7"/>
    </row>
    <row r="8009">
      <c r="A8009" s="39" t="s">
        <v>29401</v>
      </c>
      <c r="B8009" s="15">
        <v>1920307.0</v>
      </c>
      <c r="D8009" s="15">
        <v>0.0</v>
      </c>
      <c r="E8009" s="15" t="s">
        <v>1557</v>
      </c>
      <c r="F8009" s="15" t="s">
        <v>1833</v>
      </c>
      <c r="G8009" s="7">
        <v>37.83</v>
      </c>
      <c r="H8009" s="15" t="s">
        <v>29402</v>
      </c>
      <c r="I8009" s="15" t="s">
        <v>1586</v>
      </c>
      <c r="J8009" s="15" t="s">
        <v>29403</v>
      </c>
      <c r="K8009" s="15">
        <v>55.0</v>
      </c>
      <c r="L8009" s="15">
        <v>54.0</v>
      </c>
      <c r="M8009" s="41">
        <v>42697.0</v>
      </c>
      <c r="N8009" s="41">
        <v>42697.0</v>
      </c>
      <c r="O8009" s="15" t="s">
        <v>1554</v>
      </c>
      <c r="Q8009" s="7"/>
    </row>
    <row r="8010">
      <c r="A8010" s="39" t="s">
        <v>29404</v>
      </c>
      <c r="B8010" s="15">
        <v>1920308.0</v>
      </c>
      <c r="D8010" s="15">
        <v>0.0</v>
      </c>
      <c r="E8010" s="15" t="s">
        <v>1557</v>
      </c>
      <c r="F8010" s="15" t="s">
        <v>1833</v>
      </c>
      <c r="G8010" s="7">
        <v>37.817</v>
      </c>
      <c r="H8010" s="15" t="s">
        <v>6570</v>
      </c>
      <c r="I8010" s="15" t="s">
        <v>1586</v>
      </c>
      <c r="J8010" s="15" t="s">
        <v>29405</v>
      </c>
      <c r="K8010" s="15">
        <v>56.0</v>
      </c>
      <c r="L8010" s="15">
        <v>55.0</v>
      </c>
      <c r="M8010" s="41">
        <v>42697.0</v>
      </c>
      <c r="N8010" s="41">
        <v>42697.0</v>
      </c>
      <c r="O8010" s="15" t="s">
        <v>1554</v>
      </c>
      <c r="Q8010" s="7"/>
    </row>
    <row r="8011">
      <c r="A8011" s="39" t="s">
        <v>29406</v>
      </c>
      <c r="B8011" s="15">
        <v>1920309.0</v>
      </c>
      <c r="D8011" s="15">
        <v>0.0</v>
      </c>
      <c r="E8011" s="15" t="s">
        <v>1557</v>
      </c>
      <c r="F8011" s="15" t="s">
        <v>1833</v>
      </c>
      <c r="G8011" s="7">
        <v>38.496</v>
      </c>
      <c r="H8011" s="15" t="s">
        <v>29408</v>
      </c>
      <c r="I8011" s="15" t="s">
        <v>1586</v>
      </c>
      <c r="J8011" s="15" t="s">
        <v>29409</v>
      </c>
      <c r="K8011" s="15">
        <v>56.0</v>
      </c>
      <c r="L8011" s="15">
        <v>56.0</v>
      </c>
      <c r="M8011" s="41">
        <v>42697.0</v>
      </c>
      <c r="N8011" s="41">
        <v>42697.0</v>
      </c>
      <c r="O8011" s="15" t="s">
        <v>1554</v>
      </c>
      <c r="Q8011" s="7"/>
    </row>
    <row r="8012">
      <c r="A8012" s="39" t="s">
        <v>29410</v>
      </c>
      <c r="B8012" s="15">
        <v>1920310.0</v>
      </c>
      <c r="D8012" s="15">
        <v>0.0</v>
      </c>
      <c r="E8012" s="15" t="s">
        <v>1557</v>
      </c>
      <c r="F8012" s="15" t="s">
        <v>1833</v>
      </c>
      <c r="G8012" s="7">
        <v>38.411</v>
      </c>
      <c r="H8012" s="15" t="s">
        <v>29411</v>
      </c>
      <c r="I8012" s="15" t="s">
        <v>1586</v>
      </c>
      <c r="J8012" s="15" t="s">
        <v>29412</v>
      </c>
      <c r="K8012" s="15">
        <v>55.0</v>
      </c>
      <c r="L8012" s="15">
        <v>54.0</v>
      </c>
      <c r="M8012" s="41">
        <v>42697.0</v>
      </c>
      <c r="N8012" s="41">
        <v>42697.0</v>
      </c>
      <c r="O8012" s="15" t="s">
        <v>1554</v>
      </c>
      <c r="Q8012" s="7"/>
    </row>
    <row r="8013">
      <c r="A8013" s="39" t="s">
        <v>29413</v>
      </c>
      <c r="B8013" s="15">
        <v>1920311.0</v>
      </c>
      <c r="D8013" s="15">
        <v>0.0</v>
      </c>
      <c r="E8013" s="15" t="s">
        <v>1557</v>
      </c>
      <c r="F8013" s="15" t="s">
        <v>1833</v>
      </c>
      <c r="G8013" s="7">
        <v>39.522</v>
      </c>
      <c r="H8013" s="15" t="s">
        <v>29411</v>
      </c>
      <c r="I8013" s="15" t="s">
        <v>1586</v>
      </c>
      <c r="J8013" s="15" t="s">
        <v>29414</v>
      </c>
      <c r="K8013" s="15">
        <v>56.0</v>
      </c>
      <c r="L8013" s="15">
        <v>56.0</v>
      </c>
      <c r="M8013" s="41">
        <v>42697.0</v>
      </c>
      <c r="N8013" s="41">
        <v>42697.0</v>
      </c>
      <c r="O8013" s="15" t="s">
        <v>1554</v>
      </c>
      <c r="Q8013" s="7"/>
    </row>
    <row r="8014">
      <c r="A8014" s="39" t="s">
        <v>29415</v>
      </c>
      <c r="B8014" s="15">
        <v>1920312.0</v>
      </c>
      <c r="D8014" s="15">
        <v>0.0</v>
      </c>
      <c r="E8014" s="15" t="s">
        <v>1557</v>
      </c>
      <c r="F8014" s="15" t="s">
        <v>1833</v>
      </c>
      <c r="G8014" s="7">
        <v>40.785</v>
      </c>
      <c r="H8014" s="15" t="s">
        <v>29416</v>
      </c>
      <c r="I8014" s="15" t="s">
        <v>1586</v>
      </c>
      <c r="J8014" s="15" t="s">
        <v>29417</v>
      </c>
      <c r="K8014" s="15">
        <v>53.0</v>
      </c>
      <c r="L8014" s="15">
        <v>53.0</v>
      </c>
      <c r="M8014" s="41">
        <v>42697.0</v>
      </c>
      <c r="N8014" s="41">
        <v>42697.0</v>
      </c>
      <c r="O8014" s="15" t="s">
        <v>1554</v>
      </c>
      <c r="Q8014" s="7"/>
    </row>
    <row r="8015">
      <c r="A8015" s="39" t="s">
        <v>29418</v>
      </c>
      <c r="B8015" s="15">
        <v>1920338.0</v>
      </c>
      <c r="D8015" s="15">
        <v>0.0</v>
      </c>
      <c r="E8015" s="15" t="s">
        <v>1557</v>
      </c>
      <c r="F8015" s="15" t="s">
        <v>1611</v>
      </c>
      <c r="G8015" s="7">
        <v>41.446</v>
      </c>
      <c r="H8015" s="15" t="s">
        <v>3823</v>
      </c>
      <c r="I8015" s="15" t="s">
        <v>1586</v>
      </c>
      <c r="J8015" s="15" t="s">
        <v>29420</v>
      </c>
      <c r="K8015" s="15">
        <v>64.0</v>
      </c>
      <c r="L8015" s="15">
        <v>64.0</v>
      </c>
      <c r="M8015" s="40">
        <v>42832.0</v>
      </c>
      <c r="N8015" s="40">
        <v>42832.0</v>
      </c>
      <c r="O8015" s="15" t="s">
        <v>1554</v>
      </c>
      <c r="Q8015" s="7"/>
    </row>
    <row r="8016">
      <c r="A8016" s="39" t="s">
        <v>29421</v>
      </c>
      <c r="B8016" s="15">
        <v>1920379.0</v>
      </c>
      <c r="D8016" s="15">
        <v>0.0</v>
      </c>
      <c r="E8016" s="15" t="s">
        <v>4407</v>
      </c>
      <c r="F8016" s="15" t="s">
        <v>1578</v>
      </c>
      <c r="G8016" s="7">
        <v>45.985</v>
      </c>
      <c r="H8016" s="15" t="s">
        <v>6058</v>
      </c>
      <c r="I8016" s="15" t="s">
        <v>1586</v>
      </c>
      <c r="J8016" s="15" t="s">
        <v>29422</v>
      </c>
      <c r="K8016" s="15">
        <v>67.0</v>
      </c>
      <c r="L8016" s="15">
        <v>67.0</v>
      </c>
      <c r="M8016" s="40">
        <v>42879.0</v>
      </c>
      <c r="N8016" s="40">
        <v>42879.0</v>
      </c>
      <c r="O8016" s="15" t="s">
        <v>1554</v>
      </c>
      <c r="Q8016" s="7"/>
    </row>
    <row r="8017">
      <c r="A8017" s="39" t="s">
        <v>29423</v>
      </c>
      <c r="B8017" s="15">
        <v>1258572.0</v>
      </c>
      <c r="D8017" s="15">
        <v>0.0</v>
      </c>
      <c r="E8017" s="15" t="s">
        <v>1557</v>
      </c>
      <c r="F8017" s="15" t="s">
        <v>1611</v>
      </c>
      <c r="G8017" s="7">
        <v>70.912</v>
      </c>
      <c r="H8017" s="15" t="s">
        <v>1813</v>
      </c>
      <c r="I8017" s="15" t="s">
        <v>1586</v>
      </c>
      <c r="J8017" s="15" t="s">
        <v>29424</v>
      </c>
      <c r="K8017" s="15" t="s">
        <v>1722</v>
      </c>
      <c r="L8017" s="15">
        <v>80.0</v>
      </c>
      <c r="M8017" s="40">
        <v>41290.0</v>
      </c>
      <c r="N8017" s="40">
        <v>41506.0</v>
      </c>
      <c r="O8017" s="15" t="s">
        <v>1554</v>
      </c>
      <c r="Q8017" s="7"/>
    </row>
    <row r="8018">
      <c r="A8018" s="39" t="s">
        <v>29426</v>
      </c>
      <c r="B8018" s="15">
        <v>1204542.0</v>
      </c>
      <c r="D8018" s="15">
        <v>0.0</v>
      </c>
      <c r="E8018" s="15" t="s">
        <v>1557</v>
      </c>
      <c r="F8018" s="15" t="s">
        <v>1611</v>
      </c>
      <c r="G8018" s="7">
        <v>72.321</v>
      </c>
      <c r="H8018" s="15" t="s">
        <v>3055</v>
      </c>
      <c r="I8018" s="15" t="s">
        <v>1586</v>
      </c>
      <c r="J8018" s="15" t="s">
        <v>29427</v>
      </c>
      <c r="K8018" s="15" t="s">
        <v>1722</v>
      </c>
      <c r="L8018" s="15">
        <v>88.0</v>
      </c>
      <c r="M8018" s="40">
        <v>41122.0</v>
      </c>
      <c r="N8018" s="40">
        <v>41148.0</v>
      </c>
      <c r="O8018" s="15" t="s">
        <v>1554</v>
      </c>
      <c r="Q8018" s="7"/>
    </row>
    <row r="8019">
      <c r="A8019" s="39" t="s">
        <v>29428</v>
      </c>
      <c r="B8019" s="15">
        <v>1220604.0</v>
      </c>
      <c r="D8019" s="15">
        <v>0.0</v>
      </c>
      <c r="E8019" s="15" t="s">
        <v>1557</v>
      </c>
      <c r="F8019" s="15" t="s">
        <v>1767</v>
      </c>
      <c r="G8019" s="7">
        <v>53.018</v>
      </c>
      <c r="H8019" s="15" t="s">
        <v>2131</v>
      </c>
      <c r="I8019" s="15" t="s">
        <v>1586</v>
      </c>
      <c r="J8019" s="15" t="s">
        <v>29429</v>
      </c>
      <c r="K8019" s="15">
        <v>81.0</v>
      </c>
      <c r="L8019" s="15">
        <v>81.0</v>
      </c>
      <c r="M8019" s="40">
        <v>41290.0</v>
      </c>
      <c r="N8019" s="40">
        <v>41642.0</v>
      </c>
      <c r="O8019" s="15" t="s">
        <v>1554</v>
      </c>
      <c r="Q8019" s="7"/>
    </row>
    <row r="8020">
      <c r="A8020" s="39" t="s">
        <v>29430</v>
      </c>
      <c r="B8020" s="15">
        <v>1589754.0</v>
      </c>
      <c r="D8020" s="15">
        <v>0.0</v>
      </c>
      <c r="E8020" s="15" t="s">
        <v>1557</v>
      </c>
      <c r="F8020" s="15" t="s">
        <v>1833</v>
      </c>
      <c r="G8020" s="7">
        <v>41.152</v>
      </c>
      <c r="H8020" s="15" t="s">
        <v>2777</v>
      </c>
      <c r="I8020" s="15" t="s">
        <v>1586</v>
      </c>
      <c r="J8020" s="15" t="s">
        <v>29431</v>
      </c>
      <c r="K8020" s="15">
        <v>68.0</v>
      </c>
      <c r="L8020" s="15">
        <v>68.0</v>
      </c>
      <c r="M8020" s="40">
        <v>42049.0</v>
      </c>
      <c r="N8020" s="40">
        <v>42178.0</v>
      </c>
      <c r="O8020" s="15" t="s">
        <v>1554</v>
      </c>
      <c r="Q8020" s="7"/>
    </row>
    <row r="8021">
      <c r="A8021" s="39" t="s">
        <v>29433</v>
      </c>
      <c r="B8021" s="15">
        <v>1161928.0</v>
      </c>
      <c r="D8021" s="15">
        <v>0.0</v>
      </c>
      <c r="E8021" s="15" t="s">
        <v>1557</v>
      </c>
      <c r="F8021" s="15" t="s">
        <v>1833</v>
      </c>
      <c r="G8021" s="7">
        <v>76.35</v>
      </c>
      <c r="H8021" s="15" t="s">
        <v>3297</v>
      </c>
      <c r="I8021" s="15" t="s">
        <v>1586</v>
      </c>
      <c r="J8021" s="15" t="s">
        <v>29434</v>
      </c>
      <c r="K8021" s="15">
        <v>102.0</v>
      </c>
      <c r="L8021" s="15">
        <v>102.0</v>
      </c>
      <c r="M8021" s="40">
        <v>40995.0</v>
      </c>
      <c r="N8021" s="40">
        <v>41089.0</v>
      </c>
      <c r="O8021" s="15" t="s">
        <v>1554</v>
      </c>
      <c r="Q8021" s="7"/>
    </row>
    <row r="8022">
      <c r="A8022" s="39" t="s">
        <v>29435</v>
      </c>
      <c r="B8022" s="15">
        <v>1923889.0</v>
      </c>
      <c r="D8022" s="15">
        <v>0.0</v>
      </c>
      <c r="E8022" s="15" t="s">
        <v>4407</v>
      </c>
      <c r="F8022" s="15" t="s">
        <v>1578</v>
      </c>
      <c r="G8022" s="7">
        <v>279.845</v>
      </c>
      <c r="H8022" s="15" t="s">
        <v>1597</v>
      </c>
      <c r="I8022" s="15" t="s">
        <v>1586</v>
      </c>
      <c r="J8022" s="15" t="s">
        <v>29436</v>
      </c>
      <c r="K8022" s="15" t="s">
        <v>1722</v>
      </c>
      <c r="L8022" s="15">
        <v>289.0</v>
      </c>
      <c r="M8022" s="40">
        <v>42707.0</v>
      </c>
      <c r="N8022" s="40">
        <v>42707.0</v>
      </c>
      <c r="O8022" s="15" t="s">
        <v>1554</v>
      </c>
      <c r="Q8022" s="7"/>
    </row>
    <row r="8023">
      <c r="A8023" s="39" t="s">
        <v>29437</v>
      </c>
      <c r="B8023" s="15">
        <v>1923890.0</v>
      </c>
      <c r="D8023" s="15">
        <v>0.0</v>
      </c>
      <c r="E8023" s="15" t="s">
        <v>4407</v>
      </c>
      <c r="F8023" s="15" t="s">
        <v>1578</v>
      </c>
      <c r="G8023" s="7">
        <v>276.958</v>
      </c>
      <c r="H8023" s="15" t="s">
        <v>5627</v>
      </c>
      <c r="I8023" s="15" t="s">
        <v>1586</v>
      </c>
      <c r="J8023" s="15" t="s">
        <v>29438</v>
      </c>
      <c r="K8023" s="15" t="s">
        <v>1722</v>
      </c>
      <c r="L8023" s="15">
        <v>287.0</v>
      </c>
      <c r="M8023" s="40">
        <v>42707.0</v>
      </c>
      <c r="N8023" s="40">
        <v>42707.0</v>
      </c>
      <c r="O8023" s="15" t="s">
        <v>1554</v>
      </c>
      <c r="Q8023" s="7"/>
    </row>
    <row r="8024">
      <c r="A8024" s="39" t="s">
        <v>29439</v>
      </c>
      <c r="B8024" s="15">
        <v>1926594.0</v>
      </c>
      <c r="D8024" s="15">
        <v>0.0</v>
      </c>
      <c r="E8024" s="15" t="s">
        <v>4407</v>
      </c>
      <c r="F8024" s="15" t="s">
        <v>1578</v>
      </c>
      <c r="G8024" s="7">
        <v>155.053</v>
      </c>
      <c r="H8024" s="15">
        <v>37.0</v>
      </c>
      <c r="I8024" s="15" t="s">
        <v>1586</v>
      </c>
      <c r="J8024" s="15" t="s">
        <v>29441</v>
      </c>
      <c r="K8024" s="15">
        <v>193.0</v>
      </c>
      <c r="L8024" s="15">
        <v>193.0</v>
      </c>
      <c r="M8024" s="40">
        <v>43008.0</v>
      </c>
      <c r="N8024" s="40">
        <v>43008.0</v>
      </c>
      <c r="O8024" s="15" t="s">
        <v>1554</v>
      </c>
      <c r="Q8024" s="7"/>
    </row>
    <row r="8025">
      <c r="A8025" s="39" t="s">
        <v>29442</v>
      </c>
      <c r="B8025" s="15">
        <v>1927013.0</v>
      </c>
      <c r="D8025" s="15">
        <v>0.0</v>
      </c>
      <c r="E8025" s="15" t="s">
        <v>1557</v>
      </c>
      <c r="F8025" s="15" t="s">
        <v>1611</v>
      </c>
      <c r="G8025" s="7">
        <v>40.551</v>
      </c>
      <c r="H8025" s="15" t="s">
        <v>6856</v>
      </c>
      <c r="I8025" s="15" t="s">
        <v>1586</v>
      </c>
      <c r="J8025" s="15" t="s">
        <v>29443</v>
      </c>
      <c r="K8025" s="15">
        <v>48.0</v>
      </c>
      <c r="L8025" s="15">
        <v>48.0</v>
      </c>
      <c r="M8025" s="41">
        <v>42722.0</v>
      </c>
      <c r="N8025" s="40">
        <v>42755.0</v>
      </c>
      <c r="O8025" s="15" t="s">
        <v>1554</v>
      </c>
      <c r="Q8025" s="7"/>
    </row>
    <row r="8026">
      <c r="A8026" s="39" t="s">
        <v>29444</v>
      </c>
      <c r="B8026" s="15">
        <v>1927014.0</v>
      </c>
      <c r="D8026" s="15">
        <v>0.0</v>
      </c>
      <c r="E8026" s="15" t="s">
        <v>1557</v>
      </c>
      <c r="F8026" s="15" t="s">
        <v>1611</v>
      </c>
      <c r="G8026" s="7">
        <v>40.727</v>
      </c>
      <c r="H8026" s="15" t="s">
        <v>2365</v>
      </c>
      <c r="I8026" s="15" t="s">
        <v>1586</v>
      </c>
      <c r="J8026" s="15" t="s">
        <v>29445</v>
      </c>
      <c r="K8026" s="15" t="s">
        <v>1722</v>
      </c>
      <c r="L8026" s="15">
        <v>43.0</v>
      </c>
      <c r="M8026" s="40">
        <v>42750.0</v>
      </c>
      <c r="N8026" s="40">
        <v>42750.0</v>
      </c>
      <c r="O8026" s="15" t="s">
        <v>1554</v>
      </c>
      <c r="Q8026" s="7"/>
    </row>
    <row r="8027">
      <c r="A8027" s="39" t="s">
        <v>29446</v>
      </c>
      <c r="B8027" s="15">
        <v>1927015.0</v>
      </c>
      <c r="D8027" s="15">
        <v>0.0</v>
      </c>
      <c r="E8027" s="15" t="s">
        <v>4407</v>
      </c>
      <c r="F8027" s="15" t="s">
        <v>1578</v>
      </c>
      <c r="G8027" s="7">
        <v>46.335</v>
      </c>
      <c r="H8027" s="15" t="s">
        <v>1597</v>
      </c>
      <c r="I8027" s="15" t="s">
        <v>1586</v>
      </c>
      <c r="J8027" s="15" t="s">
        <v>29447</v>
      </c>
      <c r="K8027" s="15" t="s">
        <v>1722</v>
      </c>
      <c r="L8027" s="15">
        <v>65.0</v>
      </c>
      <c r="M8027" s="41">
        <v>42731.0</v>
      </c>
      <c r="N8027" s="41">
        <v>42731.0</v>
      </c>
      <c r="O8027" s="15" t="s">
        <v>1554</v>
      </c>
      <c r="Q8027" s="7"/>
    </row>
    <row r="8028">
      <c r="A8028" s="39" t="s">
        <v>29449</v>
      </c>
      <c r="B8028" s="15">
        <v>1927016.0</v>
      </c>
      <c r="D8028" s="15">
        <v>0.0</v>
      </c>
      <c r="E8028" s="15" t="s">
        <v>1557</v>
      </c>
      <c r="F8028" s="15" t="s">
        <v>1767</v>
      </c>
      <c r="G8028" s="7">
        <v>50.401</v>
      </c>
      <c r="H8028" s="15" t="s">
        <v>8397</v>
      </c>
      <c r="I8028" s="15" t="s">
        <v>1586</v>
      </c>
      <c r="J8028" s="15" t="s">
        <v>29450</v>
      </c>
      <c r="K8028" s="15">
        <v>69.0</v>
      </c>
      <c r="L8028" s="15">
        <v>69.0</v>
      </c>
      <c r="M8028" s="41">
        <v>42731.0</v>
      </c>
      <c r="N8028" s="41">
        <v>42731.0</v>
      </c>
      <c r="O8028" s="15" t="s">
        <v>1554</v>
      </c>
      <c r="Q8028" s="7"/>
    </row>
    <row r="8029">
      <c r="A8029" s="39" t="s">
        <v>29451</v>
      </c>
      <c r="B8029" s="15">
        <v>1927018.0</v>
      </c>
      <c r="D8029" s="15">
        <v>0.0</v>
      </c>
      <c r="E8029" s="15" t="s">
        <v>1557</v>
      </c>
      <c r="F8029" s="15" t="s">
        <v>1833</v>
      </c>
      <c r="G8029" s="7">
        <v>49.531</v>
      </c>
      <c r="H8029" s="15" t="s">
        <v>6661</v>
      </c>
      <c r="I8029" s="15" t="s">
        <v>1586</v>
      </c>
      <c r="J8029" s="15" t="s">
        <v>29452</v>
      </c>
      <c r="K8029" s="15">
        <v>90.0</v>
      </c>
      <c r="L8029" s="15">
        <v>90.0</v>
      </c>
      <c r="M8029" s="41">
        <v>42731.0</v>
      </c>
      <c r="N8029" s="41">
        <v>42731.0</v>
      </c>
      <c r="O8029" s="15" t="s">
        <v>1554</v>
      </c>
      <c r="Q8029" s="7"/>
    </row>
    <row r="8030">
      <c r="A8030" s="39" t="s">
        <v>29453</v>
      </c>
      <c r="B8030" s="15">
        <v>1927019.0</v>
      </c>
      <c r="D8030" s="15">
        <v>0.0</v>
      </c>
      <c r="E8030" s="15" t="s">
        <v>1557</v>
      </c>
      <c r="F8030" s="15" t="s">
        <v>1833</v>
      </c>
      <c r="G8030" s="7">
        <v>50.864</v>
      </c>
      <c r="H8030" s="15" t="s">
        <v>3286</v>
      </c>
      <c r="I8030" s="15" t="s">
        <v>1586</v>
      </c>
      <c r="J8030" s="15" t="s">
        <v>29454</v>
      </c>
      <c r="K8030" s="15">
        <v>84.0</v>
      </c>
      <c r="L8030" s="15">
        <v>84.0</v>
      </c>
      <c r="M8030" s="41">
        <v>42731.0</v>
      </c>
      <c r="N8030" s="41">
        <v>42731.0</v>
      </c>
      <c r="O8030" s="15" t="s">
        <v>1554</v>
      </c>
      <c r="Q8030" s="7"/>
    </row>
    <row r="8031">
      <c r="A8031" s="39" t="s">
        <v>29456</v>
      </c>
      <c r="B8031" s="15">
        <v>1927020.0</v>
      </c>
      <c r="D8031" s="15">
        <v>0.0</v>
      </c>
      <c r="E8031" s="15" t="s">
        <v>1557</v>
      </c>
      <c r="F8031" s="15" t="s">
        <v>1833</v>
      </c>
      <c r="G8031" s="7">
        <v>84.303</v>
      </c>
      <c r="H8031" s="15" t="s">
        <v>13856</v>
      </c>
      <c r="I8031" s="15" t="s">
        <v>1586</v>
      </c>
      <c r="J8031" s="15" t="s">
        <v>29457</v>
      </c>
      <c r="K8031" s="15">
        <v>176.0</v>
      </c>
      <c r="L8031" s="15">
        <v>155.0</v>
      </c>
      <c r="M8031" s="41">
        <v>42731.0</v>
      </c>
      <c r="N8031" s="41">
        <v>42731.0</v>
      </c>
      <c r="O8031" s="15" t="s">
        <v>1554</v>
      </c>
      <c r="Q8031" s="7"/>
    </row>
    <row r="8032">
      <c r="A8032" s="39" t="s">
        <v>29458</v>
      </c>
      <c r="B8032" s="15">
        <v>1927021.0</v>
      </c>
      <c r="D8032" s="15">
        <v>0.0</v>
      </c>
      <c r="E8032" s="15" t="s">
        <v>1557</v>
      </c>
      <c r="F8032" s="15" t="s">
        <v>1833</v>
      </c>
      <c r="G8032" s="7">
        <v>69.819</v>
      </c>
      <c r="H8032" s="15" t="s">
        <v>9656</v>
      </c>
      <c r="I8032" s="15" t="s">
        <v>1586</v>
      </c>
      <c r="J8032" s="15" t="s">
        <v>29459</v>
      </c>
      <c r="K8032" s="15">
        <v>95.0</v>
      </c>
      <c r="L8032" s="15">
        <v>95.0</v>
      </c>
      <c r="M8032" s="41">
        <v>42731.0</v>
      </c>
      <c r="N8032" s="41">
        <v>42731.0</v>
      </c>
      <c r="O8032" s="15" t="s">
        <v>1554</v>
      </c>
      <c r="Q8032" s="7"/>
    </row>
    <row r="8033">
      <c r="A8033" s="39" t="s">
        <v>29460</v>
      </c>
      <c r="B8033" s="15">
        <v>1927022.0</v>
      </c>
      <c r="D8033" s="15">
        <v>0.0</v>
      </c>
      <c r="E8033" s="15" t="s">
        <v>1557</v>
      </c>
      <c r="F8033" s="15" t="s">
        <v>1833</v>
      </c>
      <c r="G8033" s="7">
        <v>58.2</v>
      </c>
      <c r="H8033" s="15" t="s">
        <v>4215</v>
      </c>
      <c r="I8033" s="15" t="s">
        <v>1586</v>
      </c>
      <c r="J8033" s="15" t="s">
        <v>29461</v>
      </c>
      <c r="K8033" s="15">
        <v>101.0</v>
      </c>
      <c r="L8033" s="15">
        <v>101.0</v>
      </c>
      <c r="M8033" s="40">
        <v>42773.0</v>
      </c>
      <c r="N8033" s="40">
        <v>42773.0</v>
      </c>
      <c r="O8033" s="15" t="s">
        <v>1554</v>
      </c>
      <c r="Q8033" s="7"/>
    </row>
    <row r="8034">
      <c r="A8034" s="39" t="s">
        <v>29463</v>
      </c>
      <c r="B8034" s="15">
        <v>1927023.0</v>
      </c>
      <c r="D8034" s="15">
        <v>0.0</v>
      </c>
      <c r="E8034" s="15" t="s">
        <v>1557</v>
      </c>
      <c r="F8034" s="15" t="s">
        <v>1833</v>
      </c>
      <c r="G8034" s="7">
        <v>51.397</v>
      </c>
      <c r="H8034" s="15" t="s">
        <v>3286</v>
      </c>
      <c r="I8034" s="15" t="s">
        <v>1586</v>
      </c>
      <c r="J8034" s="15" t="s">
        <v>29464</v>
      </c>
      <c r="K8034" s="15">
        <v>88.0</v>
      </c>
      <c r="L8034" s="15">
        <v>88.0</v>
      </c>
      <c r="M8034" s="41">
        <v>42722.0</v>
      </c>
      <c r="N8034" s="41">
        <v>42722.0</v>
      </c>
      <c r="O8034" s="15" t="s">
        <v>1554</v>
      </c>
      <c r="Q8034" s="7"/>
    </row>
    <row r="8035">
      <c r="A8035" s="39" t="s">
        <v>29465</v>
      </c>
      <c r="B8035" s="15">
        <v>1927024.0</v>
      </c>
      <c r="D8035" s="15">
        <v>0.0</v>
      </c>
      <c r="E8035" s="15" t="s">
        <v>1557</v>
      </c>
      <c r="F8035" s="15" t="s">
        <v>1833</v>
      </c>
      <c r="G8035" s="7">
        <v>51.131</v>
      </c>
      <c r="H8035" s="15" t="s">
        <v>3286</v>
      </c>
      <c r="I8035" s="15" t="s">
        <v>1586</v>
      </c>
      <c r="J8035" s="15" t="s">
        <v>29466</v>
      </c>
      <c r="K8035" s="15">
        <v>87.0</v>
      </c>
      <c r="L8035" s="15">
        <v>87.0</v>
      </c>
      <c r="M8035" s="41">
        <v>42722.0</v>
      </c>
      <c r="N8035" s="41">
        <v>42722.0</v>
      </c>
      <c r="O8035" s="15" t="s">
        <v>1554</v>
      </c>
      <c r="Q8035" s="7"/>
    </row>
    <row r="8036">
      <c r="A8036" s="39" t="s">
        <v>29467</v>
      </c>
      <c r="B8036" s="15">
        <v>1927025.0</v>
      </c>
      <c r="D8036" s="15">
        <v>0.0</v>
      </c>
      <c r="E8036" s="15" t="s">
        <v>1557</v>
      </c>
      <c r="F8036" s="15" t="s">
        <v>1833</v>
      </c>
      <c r="G8036" s="7">
        <v>51.372</v>
      </c>
      <c r="H8036" s="15" t="s">
        <v>3286</v>
      </c>
      <c r="I8036" s="15" t="s">
        <v>1586</v>
      </c>
      <c r="J8036" s="15" t="s">
        <v>29468</v>
      </c>
      <c r="K8036" s="15">
        <v>88.0</v>
      </c>
      <c r="L8036" s="15">
        <v>88.0</v>
      </c>
      <c r="M8036" s="41">
        <v>42722.0</v>
      </c>
      <c r="N8036" s="41">
        <v>42722.0</v>
      </c>
      <c r="O8036" s="15" t="s">
        <v>1554</v>
      </c>
      <c r="Q8036" s="7"/>
    </row>
    <row r="8037">
      <c r="A8037" s="39" t="s">
        <v>29469</v>
      </c>
      <c r="B8037" s="15">
        <v>1927026.0</v>
      </c>
      <c r="D8037" s="15">
        <v>0.0</v>
      </c>
      <c r="E8037" s="15" t="s">
        <v>1557</v>
      </c>
      <c r="F8037" s="15" t="s">
        <v>1833</v>
      </c>
      <c r="G8037" s="7">
        <v>51.372</v>
      </c>
      <c r="H8037" s="15">
        <v>64.0</v>
      </c>
      <c r="I8037" s="15" t="s">
        <v>1586</v>
      </c>
      <c r="J8037" s="15" t="s">
        <v>29471</v>
      </c>
      <c r="K8037" s="15">
        <v>88.0</v>
      </c>
      <c r="L8037" s="15">
        <v>88.0</v>
      </c>
      <c r="M8037" s="41">
        <v>42722.0</v>
      </c>
      <c r="N8037" s="41">
        <v>42722.0</v>
      </c>
      <c r="O8037" s="15" t="s">
        <v>1554</v>
      </c>
      <c r="Q8037" s="7"/>
    </row>
    <row r="8038">
      <c r="A8038" s="39" t="s">
        <v>29472</v>
      </c>
      <c r="B8038" s="15">
        <v>1927027.0</v>
      </c>
      <c r="D8038" s="15">
        <v>0.0</v>
      </c>
      <c r="E8038" s="15" t="s">
        <v>1557</v>
      </c>
      <c r="F8038" s="15" t="s">
        <v>1833</v>
      </c>
      <c r="G8038" s="7">
        <v>51.366</v>
      </c>
      <c r="H8038" s="15" t="s">
        <v>3286</v>
      </c>
      <c r="I8038" s="15" t="s">
        <v>1586</v>
      </c>
      <c r="J8038" s="15" t="s">
        <v>29473</v>
      </c>
      <c r="K8038" s="15">
        <v>88.0</v>
      </c>
      <c r="L8038" s="15">
        <v>88.0</v>
      </c>
      <c r="M8038" s="41">
        <v>42722.0</v>
      </c>
      <c r="N8038" s="41">
        <v>42722.0</v>
      </c>
      <c r="O8038" s="15" t="s">
        <v>1554</v>
      </c>
      <c r="Q8038" s="7"/>
    </row>
    <row r="8039">
      <c r="A8039" s="39" t="s">
        <v>29474</v>
      </c>
      <c r="B8039" s="15">
        <v>1927028.0</v>
      </c>
      <c r="D8039" s="15">
        <v>0.0</v>
      </c>
      <c r="E8039" s="15" t="s">
        <v>1557</v>
      </c>
      <c r="F8039" s="15" t="s">
        <v>1833</v>
      </c>
      <c r="G8039" s="7">
        <v>51.365</v>
      </c>
      <c r="H8039" s="15" t="s">
        <v>3286</v>
      </c>
      <c r="I8039" s="15" t="s">
        <v>1586</v>
      </c>
      <c r="J8039" s="15" t="s">
        <v>29475</v>
      </c>
      <c r="K8039" s="15">
        <v>88.0</v>
      </c>
      <c r="L8039" s="15">
        <v>88.0</v>
      </c>
      <c r="M8039" s="41">
        <v>42722.0</v>
      </c>
      <c r="N8039" s="41">
        <v>42722.0</v>
      </c>
      <c r="O8039" s="15" t="s">
        <v>1554</v>
      </c>
      <c r="Q8039" s="7"/>
    </row>
    <row r="8040">
      <c r="A8040" s="39" t="s">
        <v>29476</v>
      </c>
      <c r="B8040" s="15">
        <v>1927029.0</v>
      </c>
      <c r="D8040" s="15">
        <v>0.0</v>
      </c>
      <c r="E8040" s="15" t="s">
        <v>1557</v>
      </c>
      <c r="F8040" s="15" t="s">
        <v>1833</v>
      </c>
      <c r="G8040" s="7">
        <v>51.407</v>
      </c>
      <c r="H8040" s="15" t="s">
        <v>3286</v>
      </c>
      <c r="I8040" s="15" t="s">
        <v>1586</v>
      </c>
      <c r="J8040" s="15" t="s">
        <v>29477</v>
      </c>
      <c r="K8040" s="15">
        <v>88.0</v>
      </c>
      <c r="L8040" s="15">
        <v>88.0</v>
      </c>
      <c r="M8040" s="41">
        <v>42722.0</v>
      </c>
      <c r="N8040" s="41">
        <v>42722.0</v>
      </c>
      <c r="O8040" s="15" t="s">
        <v>1554</v>
      </c>
      <c r="Q8040" s="7"/>
    </row>
    <row r="8041">
      <c r="A8041" s="39" t="s">
        <v>29479</v>
      </c>
      <c r="B8041" s="15">
        <v>1927030.0</v>
      </c>
      <c r="D8041" s="15">
        <v>0.0</v>
      </c>
      <c r="E8041" s="15" t="s">
        <v>1557</v>
      </c>
      <c r="F8041" s="15" t="s">
        <v>1833</v>
      </c>
      <c r="G8041" s="7">
        <v>51.37</v>
      </c>
      <c r="H8041" s="15" t="s">
        <v>3286</v>
      </c>
      <c r="I8041" s="15" t="s">
        <v>1586</v>
      </c>
      <c r="J8041" s="15" t="s">
        <v>29480</v>
      </c>
      <c r="K8041" s="15">
        <v>88.0</v>
      </c>
      <c r="L8041" s="15">
        <v>88.0</v>
      </c>
      <c r="M8041" s="41">
        <v>42722.0</v>
      </c>
      <c r="N8041" s="41">
        <v>42722.0</v>
      </c>
      <c r="O8041" s="15" t="s">
        <v>1554</v>
      </c>
      <c r="Q8041" s="7"/>
    </row>
    <row r="8042">
      <c r="A8042" s="39" t="s">
        <v>29481</v>
      </c>
      <c r="B8042" s="15">
        <v>1929963.0</v>
      </c>
      <c r="D8042" s="15">
        <v>0.0</v>
      </c>
      <c r="E8042" s="15" t="s">
        <v>4407</v>
      </c>
      <c r="F8042" s="15" t="s">
        <v>1578</v>
      </c>
      <c r="G8042" s="7">
        <v>41.854</v>
      </c>
      <c r="H8042" s="15" t="s">
        <v>5042</v>
      </c>
      <c r="I8042" s="15" t="s">
        <v>1586</v>
      </c>
      <c r="J8042" s="15" t="s">
        <v>29482</v>
      </c>
      <c r="K8042" s="15">
        <v>59.0</v>
      </c>
      <c r="L8042" s="15">
        <v>59.0</v>
      </c>
      <c r="M8042" s="40">
        <v>42750.0</v>
      </c>
      <c r="N8042" s="40">
        <v>42750.0</v>
      </c>
      <c r="O8042" s="15" t="s">
        <v>1554</v>
      </c>
      <c r="Q8042" s="7"/>
    </row>
    <row r="8043">
      <c r="A8043" s="39" t="s">
        <v>29483</v>
      </c>
      <c r="B8043" s="15">
        <v>1930080.0</v>
      </c>
      <c r="D8043" s="15">
        <v>0.0</v>
      </c>
      <c r="E8043" s="15" t="s">
        <v>1557</v>
      </c>
      <c r="F8043" s="15" t="s">
        <v>1833</v>
      </c>
      <c r="G8043" s="7">
        <v>52.32</v>
      </c>
      <c r="H8043" s="15" t="s">
        <v>3286</v>
      </c>
      <c r="I8043" s="15" t="s">
        <v>1586</v>
      </c>
      <c r="J8043" s="15" t="s">
        <v>29485</v>
      </c>
      <c r="K8043" s="15">
        <v>92.0</v>
      </c>
      <c r="L8043" s="15">
        <v>92.0</v>
      </c>
      <c r="M8043" s="41">
        <v>42731.0</v>
      </c>
      <c r="N8043" s="41">
        <v>42731.0</v>
      </c>
      <c r="O8043" s="15" t="s">
        <v>1554</v>
      </c>
      <c r="Q8043" s="7"/>
    </row>
    <row r="8044">
      <c r="A8044" s="39" t="s">
        <v>29486</v>
      </c>
      <c r="B8044" s="15">
        <v>1931407.0</v>
      </c>
      <c r="D8044" s="15">
        <v>0.0</v>
      </c>
      <c r="E8044" s="15" t="s">
        <v>1557</v>
      </c>
      <c r="F8044" s="15" t="s">
        <v>1833</v>
      </c>
      <c r="G8044" s="7">
        <v>118.537</v>
      </c>
      <c r="H8044" s="15" t="s">
        <v>6418</v>
      </c>
      <c r="I8044" s="15" t="s">
        <v>1586</v>
      </c>
      <c r="J8044" s="15" t="s">
        <v>29487</v>
      </c>
      <c r="K8044" s="15">
        <v>157.0</v>
      </c>
      <c r="L8044" s="15">
        <v>157.0</v>
      </c>
      <c r="M8044" s="40">
        <v>42795.0</v>
      </c>
      <c r="N8044" s="40">
        <v>42817.0</v>
      </c>
      <c r="O8044" s="15" t="s">
        <v>1554</v>
      </c>
      <c r="Q8044" s="7"/>
    </row>
    <row r="8045">
      <c r="A8045" s="39" t="s">
        <v>29488</v>
      </c>
      <c r="B8045" s="15">
        <v>1932118.0</v>
      </c>
      <c r="D8045" s="15">
        <v>0.0</v>
      </c>
      <c r="E8045" s="15" t="s">
        <v>4407</v>
      </c>
      <c r="F8045" s="15" t="s">
        <v>1578</v>
      </c>
      <c r="G8045" s="7">
        <v>59.782</v>
      </c>
      <c r="H8045" s="15" t="s">
        <v>2033</v>
      </c>
      <c r="I8045" s="15" t="s">
        <v>1586</v>
      </c>
      <c r="J8045" s="15" t="s">
        <v>29489</v>
      </c>
      <c r="K8045" s="15">
        <v>78.0</v>
      </c>
      <c r="L8045" s="15">
        <v>78.0</v>
      </c>
      <c r="M8045" s="40">
        <v>42935.0</v>
      </c>
      <c r="N8045" s="40">
        <v>42935.0</v>
      </c>
      <c r="O8045" s="15" t="s">
        <v>1554</v>
      </c>
      <c r="Q8045" s="7"/>
    </row>
    <row r="8046">
      <c r="A8046" s="39" t="s">
        <v>29491</v>
      </c>
      <c r="B8046" s="15">
        <v>1932131.0</v>
      </c>
      <c r="D8046" s="15">
        <v>0.0</v>
      </c>
      <c r="E8046" s="15" t="s">
        <v>1557</v>
      </c>
      <c r="F8046" s="15" t="s">
        <v>1767</v>
      </c>
      <c r="G8046" s="7">
        <v>165.213</v>
      </c>
      <c r="H8046" s="15" t="s">
        <v>1602</v>
      </c>
      <c r="I8046" s="15" t="s">
        <v>1586</v>
      </c>
      <c r="J8046" s="15" t="s">
        <v>29492</v>
      </c>
      <c r="K8046" s="15">
        <v>283.0</v>
      </c>
      <c r="L8046" s="15">
        <v>266.0</v>
      </c>
      <c r="M8046" s="41">
        <v>42332.0</v>
      </c>
      <c r="N8046" s="40">
        <v>42775.0</v>
      </c>
      <c r="O8046" s="15" t="s">
        <v>1554</v>
      </c>
      <c r="Q8046" s="7"/>
    </row>
    <row r="8047">
      <c r="A8047" s="39" t="s">
        <v>29493</v>
      </c>
      <c r="B8047" s="15">
        <v>1932361.0</v>
      </c>
      <c r="D8047" s="15">
        <v>0.0</v>
      </c>
      <c r="E8047" s="15" t="s">
        <v>1557</v>
      </c>
      <c r="F8047" s="15" t="s">
        <v>1611</v>
      </c>
      <c r="G8047" s="7">
        <v>41.116</v>
      </c>
      <c r="H8047" s="15" t="s">
        <v>5627</v>
      </c>
      <c r="I8047" s="15" t="s">
        <v>1586</v>
      </c>
      <c r="J8047" s="15" t="s">
        <v>29494</v>
      </c>
      <c r="K8047" s="15">
        <v>42.0</v>
      </c>
      <c r="L8047" s="15">
        <v>42.0</v>
      </c>
      <c r="M8047" s="40">
        <v>42928.0</v>
      </c>
      <c r="N8047" s="40">
        <v>42928.0</v>
      </c>
      <c r="O8047" s="15" t="s">
        <v>1554</v>
      </c>
      <c r="Q8047" s="7"/>
    </row>
    <row r="8048">
      <c r="A8048" s="39" t="s">
        <v>29495</v>
      </c>
      <c r="B8048" s="15">
        <v>1932362.0</v>
      </c>
      <c r="D8048" s="15">
        <v>0.0</v>
      </c>
      <c r="E8048" s="15" t="s">
        <v>1557</v>
      </c>
      <c r="F8048" s="15" t="s">
        <v>1611</v>
      </c>
      <c r="G8048" s="7">
        <v>40.163</v>
      </c>
      <c r="H8048" s="15" t="s">
        <v>4606</v>
      </c>
      <c r="I8048" s="15" t="s">
        <v>1586</v>
      </c>
      <c r="J8048" s="15" t="s">
        <v>29496</v>
      </c>
      <c r="K8048" s="15">
        <v>42.0</v>
      </c>
      <c r="L8048" s="15">
        <v>42.0</v>
      </c>
      <c r="M8048" s="40">
        <v>42928.0</v>
      </c>
      <c r="N8048" s="40">
        <v>42928.0</v>
      </c>
      <c r="O8048" s="15" t="s">
        <v>1554</v>
      </c>
      <c r="Q8048" s="7"/>
    </row>
    <row r="8049">
      <c r="A8049" s="39" t="s">
        <v>29498</v>
      </c>
      <c r="B8049" s="15">
        <v>1932363.0</v>
      </c>
      <c r="D8049" s="15">
        <v>0.0</v>
      </c>
      <c r="E8049" s="15" t="s">
        <v>1557</v>
      </c>
      <c r="F8049" s="15" t="s">
        <v>1833</v>
      </c>
      <c r="G8049" s="7">
        <v>59.707</v>
      </c>
      <c r="H8049" s="15" t="s">
        <v>6615</v>
      </c>
      <c r="I8049" s="15" t="s">
        <v>1586</v>
      </c>
      <c r="J8049" s="15" t="s">
        <v>29499</v>
      </c>
      <c r="K8049" s="15">
        <v>95.0</v>
      </c>
      <c r="L8049" s="15">
        <v>94.0</v>
      </c>
      <c r="M8049" s="40">
        <v>42753.0</v>
      </c>
      <c r="N8049" s="40">
        <v>42753.0</v>
      </c>
      <c r="O8049" s="15" t="s">
        <v>1554</v>
      </c>
      <c r="Q8049" s="7"/>
    </row>
    <row r="8050">
      <c r="A8050" s="39" t="s">
        <v>29500</v>
      </c>
      <c r="B8050" s="15">
        <v>1932865.0</v>
      </c>
      <c r="D8050" s="15">
        <v>0.0</v>
      </c>
      <c r="E8050" s="15" t="s">
        <v>1557</v>
      </c>
      <c r="F8050" s="15" t="s">
        <v>1611</v>
      </c>
      <c r="G8050" s="7">
        <v>44.793</v>
      </c>
      <c r="H8050" s="15">
        <v>61.0</v>
      </c>
      <c r="I8050" s="15" t="s">
        <v>1586</v>
      </c>
      <c r="J8050" s="15" t="s">
        <v>29501</v>
      </c>
      <c r="K8050" s="15">
        <v>56.0</v>
      </c>
      <c r="L8050" s="15">
        <v>56.0</v>
      </c>
      <c r="M8050" s="40">
        <v>42750.0</v>
      </c>
      <c r="N8050" s="40">
        <v>42750.0</v>
      </c>
      <c r="O8050" s="15" t="s">
        <v>1554</v>
      </c>
      <c r="Q8050" s="7"/>
    </row>
    <row r="8051">
      <c r="A8051" s="39" t="s">
        <v>29502</v>
      </c>
      <c r="B8051" s="15">
        <v>1932882.0</v>
      </c>
      <c r="D8051" s="15">
        <v>0.0</v>
      </c>
      <c r="E8051" s="15" t="s">
        <v>4407</v>
      </c>
      <c r="F8051" s="15" t="s">
        <v>1578</v>
      </c>
      <c r="G8051" s="7">
        <v>40.844</v>
      </c>
      <c r="H8051" s="15" t="s">
        <v>2365</v>
      </c>
      <c r="I8051" s="15" t="s">
        <v>1586</v>
      </c>
      <c r="J8051" s="15" t="s">
        <v>29503</v>
      </c>
      <c r="K8051" s="15">
        <v>43.0</v>
      </c>
      <c r="L8051" s="15">
        <v>43.0</v>
      </c>
      <c r="M8051" s="40">
        <v>42759.0</v>
      </c>
      <c r="N8051" s="40">
        <v>42759.0</v>
      </c>
      <c r="O8051" s="15" t="s">
        <v>1554</v>
      </c>
      <c r="Q8051" s="7"/>
    </row>
    <row r="8052">
      <c r="A8052" s="39" t="s">
        <v>29505</v>
      </c>
      <c r="B8052" s="15">
        <v>1932883.0</v>
      </c>
      <c r="D8052" s="15">
        <v>0.0</v>
      </c>
      <c r="E8052" s="15" t="s">
        <v>4407</v>
      </c>
      <c r="F8052" s="15" t="s">
        <v>1578</v>
      </c>
      <c r="G8052" s="7">
        <v>44.609</v>
      </c>
      <c r="H8052" s="15" t="s">
        <v>7408</v>
      </c>
      <c r="I8052" s="15" t="s">
        <v>1586</v>
      </c>
      <c r="J8052" s="15" t="s">
        <v>29506</v>
      </c>
      <c r="K8052" s="15">
        <v>52.0</v>
      </c>
      <c r="L8052" s="15">
        <v>52.0</v>
      </c>
      <c r="M8052" s="40">
        <v>42759.0</v>
      </c>
      <c r="N8052" s="40">
        <v>42759.0</v>
      </c>
      <c r="O8052" s="15" t="s">
        <v>1554</v>
      </c>
      <c r="Q8052" s="7"/>
    </row>
    <row r="8053">
      <c r="A8053" s="39" t="s">
        <v>29507</v>
      </c>
      <c r="B8053" s="15">
        <v>1932885.0</v>
      </c>
      <c r="D8053" s="15">
        <v>0.0</v>
      </c>
      <c r="E8053" s="15" t="s">
        <v>1557</v>
      </c>
      <c r="F8053" s="15" t="s">
        <v>1611</v>
      </c>
      <c r="G8053" s="7">
        <v>41.402</v>
      </c>
      <c r="H8053" s="15" t="s">
        <v>2597</v>
      </c>
      <c r="I8053" s="15" t="s">
        <v>1586</v>
      </c>
      <c r="J8053" s="15" t="s">
        <v>29508</v>
      </c>
      <c r="K8053" s="15">
        <v>49.0</v>
      </c>
      <c r="L8053" s="15">
        <v>49.0</v>
      </c>
      <c r="M8053" s="40">
        <v>42917.0</v>
      </c>
      <c r="N8053" s="40">
        <v>42917.0</v>
      </c>
      <c r="O8053" s="15" t="s">
        <v>1554</v>
      </c>
      <c r="Q8053" s="7"/>
    </row>
    <row r="8054">
      <c r="A8054" s="39" t="s">
        <v>29509</v>
      </c>
      <c r="B8054" s="15">
        <v>1932886.0</v>
      </c>
      <c r="D8054" s="15">
        <v>0.0</v>
      </c>
      <c r="E8054" s="15" t="s">
        <v>1557</v>
      </c>
      <c r="F8054" s="15" t="s">
        <v>1611</v>
      </c>
      <c r="G8054" s="7">
        <v>41.642</v>
      </c>
      <c r="H8054" s="15" t="s">
        <v>2597</v>
      </c>
      <c r="I8054" s="15" t="s">
        <v>1586</v>
      </c>
      <c r="J8054" s="15" t="s">
        <v>29510</v>
      </c>
      <c r="K8054" s="15">
        <v>51.0</v>
      </c>
      <c r="L8054" s="15">
        <v>51.0</v>
      </c>
      <c r="M8054" s="40">
        <v>42917.0</v>
      </c>
      <c r="N8054" s="40">
        <v>42917.0</v>
      </c>
      <c r="O8054" s="15" t="s">
        <v>1554</v>
      </c>
      <c r="Q8054" s="7"/>
    </row>
    <row r="8055">
      <c r="A8055" s="39" t="s">
        <v>29512</v>
      </c>
      <c r="B8055" s="15">
        <v>1932889.0</v>
      </c>
      <c r="D8055" s="15">
        <v>0.0</v>
      </c>
      <c r="E8055" s="15" t="s">
        <v>1557</v>
      </c>
      <c r="F8055" s="15" t="s">
        <v>1767</v>
      </c>
      <c r="G8055" s="7">
        <v>169.621</v>
      </c>
      <c r="H8055" s="15" t="s">
        <v>3568</v>
      </c>
      <c r="I8055" s="15" t="s">
        <v>1586</v>
      </c>
      <c r="J8055" s="15" t="s">
        <v>29513</v>
      </c>
      <c r="K8055" s="15">
        <v>286.0</v>
      </c>
      <c r="L8055" s="15">
        <v>273.0</v>
      </c>
      <c r="M8055" s="40">
        <v>42750.0</v>
      </c>
      <c r="N8055" s="40">
        <v>42906.0</v>
      </c>
      <c r="O8055" s="15" t="s">
        <v>1554</v>
      </c>
      <c r="Q8055" s="7"/>
    </row>
    <row r="8056">
      <c r="A8056" s="39" t="s">
        <v>29514</v>
      </c>
      <c r="B8056" s="15">
        <v>1932890.0</v>
      </c>
      <c r="D8056" s="15">
        <v>0.0</v>
      </c>
      <c r="E8056" s="15" t="s">
        <v>1557</v>
      </c>
      <c r="F8056" s="15" t="s">
        <v>1611</v>
      </c>
      <c r="G8056" s="7">
        <v>43.121</v>
      </c>
      <c r="H8056" s="15" t="s">
        <v>2552</v>
      </c>
      <c r="I8056" s="15" t="s">
        <v>1586</v>
      </c>
      <c r="J8056" s="15" t="s">
        <v>29515</v>
      </c>
      <c r="K8056" s="15">
        <v>49.0</v>
      </c>
      <c r="L8056" s="15">
        <v>49.0</v>
      </c>
      <c r="M8056" s="40">
        <v>42750.0</v>
      </c>
      <c r="N8056" s="40">
        <v>42750.0</v>
      </c>
      <c r="O8056" s="15" t="s">
        <v>1554</v>
      </c>
      <c r="Q8056" s="7"/>
    </row>
    <row r="8057">
      <c r="A8057" s="39" t="s">
        <v>29516</v>
      </c>
      <c r="B8057" s="15">
        <v>1932891.0</v>
      </c>
      <c r="D8057" s="15">
        <v>0.0</v>
      </c>
      <c r="E8057" s="15" t="s">
        <v>1557</v>
      </c>
      <c r="F8057" s="15" t="s">
        <v>1833</v>
      </c>
      <c r="G8057" s="7">
        <v>58.984</v>
      </c>
      <c r="H8057" s="15" t="s">
        <v>1994</v>
      </c>
      <c r="I8057" s="15" t="s">
        <v>1586</v>
      </c>
      <c r="J8057" s="15" t="s">
        <v>29517</v>
      </c>
      <c r="K8057" s="15">
        <v>101.0</v>
      </c>
      <c r="L8057" s="15">
        <v>101.0</v>
      </c>
      <c r="M8057" s="40">
        <v>42750.0</v>
      </c>
      <c r="N8057" s="40">
        <v>42750.0</v>
      </c>
      <c r="O8057" s="15" t="s">
        <v>1554</v>
      </c>
      <c r="Q8057" s="7"/>
    </row>
    <row r="8058">
      <c r="A8058" s="39" t="s">
        <v>29519</v>
      </c>
      <c r="B8058" s="15">
        <v>1932892.0</v>
      </c>
      <c r="D8058" s="15">
        <v>0.0</v>
      </c>
      <c r="E8058" s="15" t="s">
        <v>4407</v>
      </c>
      <c r="F8058" s="15" t="s">
        <v>1578</v>
      </c>
      <c r="G8058" s="7">
        <v>42.042</v>
      </c>
      <c r="H8058" s="15" t="s">
        <v>3034</v>
      </c>
      <c r="I8058" s="15" t="s">
        <v>1586</v>
      </c>
      <c r="J8058" s="15" t="s">
        <v>29520</v>
      </c>
      <c r="K8058" s="15" t="s">
        <v>1722</v>
      </c>
      <c r="L8058" s="15">
        <v>46.0</v>
      </c>
      <c r="M8058" s="40">
        <v>42750.0</v>
      </c>
      <c r="N8058" s="40">
        <v>42750.0</v>
      </c>
      <c r="O8058" s="15" t="s">
        <v>1554</v>
      </c>
      <c r="Q8058" s="7"/>
    </row>
    <row r="8059">
      <c r="A8059" s="39" t="s">
        <v>29521</v>
      </c>
      <c r="B8059" s="15">
        <v>1932893.0</v>
      </c>
      <c r="D8059" s="15">
        <v>0.0</v>
      </c>
      <c r="E8059" s="15" t="s">
        <v>1557</v>
      </c>
      <c r="F8059" s="15" t="s">
        <v>1611</v>
      </c>
      <c r="G8059" s="7">
        <v>42.771</v>
      </c>
      <c r="H8059" s="15" t="s">
        <v>3882</v>
      </c>
      <c r="I8059" s="15" t="s">
        <v>1586</v>
      </c>
      <c r="J8059" s="15" t="s">
        <v>29522</v>
      </c>
      <c r="K8059" s="15">
        <v>56.0</v>
      </c>
      <c r="L8059" s="15">
        <v>56.0</v>
      </c>
      <c r="M8059" s="40">
        <v>42750.0</v>
      </c>
      <c r="N8059" s="40">
        <v>42829.0</v>
      </c>
      <c r="O8059" s="15" t="s">
        <v>1554</v>
      </c>
      <c r="Q8059" s="7"/>
    </row>
    <row r="8060">
      <c r="A8060" s="39" t="s">
        <v>29523</v>
      </c>
      <c r="B8060" s="15">
        <v>1932894.0</v>
      </c>
      <c r="D8060" s="15">
        <v>0.0</v>
      </c>
      <c r="E8060" s="15" t="s">
        <v>1557</v>
      </c>
      <c r="F8060" s="15" t="s">
        <v>1833</v>
      </c>
      <c r="G8060" s="7">
        <v>76.483</v>
      </c>
      <c r="H8060" s="15">
        <v>63.0</v>
      </c>
      <c r="I8060" s="15" t="s">
        <v>1586</v>
      </c>
      <c r="J8060" s="15" t="s">
        <v>29524</v>
      </c>
      <c r="K8060" s="15">
        <v>145.0</v>
      </c>
      <c r="L8060" s="15">
        <v>143.0</v>
      </c>
      <c r="M8060" s="40">
        <v>42750.0</v>
      </c>
      <c r="N8060" s="40">
        <v>42750.0</v>
      </c>
      <c r="O8060" s="15" t="s">
        <v>1554</v>
      </c>
      <c r="Q8060" s="7"/>
    </row>
    <row r="8061">
      <c r="A8061" s="39" t="s">
        <v>29525</v>
      </c>
      <c r="B8061" s="15">
        <v>1932895.0</v>
      </c>
      <c r="D8061" s="15">
        <v>0.0</v>
      </c>
      <c r="E8061" s="15" t="s">
        <v>1557</v>
      </c>
      <c r="F8061" s="15" t="s">
        <v>1833</v>
      </c>
      <c r="G8061" s="7">
        <v>57.647</v>
      </c>
      <c r="H8061" s="15" t="s">
        <v>4108</v>
      </c>
      <c r="I8061" s="15" t="s">
        <v>1586</v>
      </c>
      <c r="J8061" s="15" t="s">
        <v>29527</v>
      </c>
      <c r="K8061" s="15">
        <v>100.0</v>
      </c>
      <c r="L8061" s="15">
        <v>100.0</v>
      </c>
      <c r="M8061" s="40">
        <v>42753.0</v>
      </c>
      <c r="N8061" s="40">
        <v>42753.0</v>
      </c>
      <c r="O8061" s="15" t="s">
        <v>1554</v>
      </c>
      <c r="Q8061" s="7"/>
    </row>
    <row r="8062">
      <c r="A8062" s="39" t="s">
        <v>29528</v>
      </c>
      <c r="B8062" s="15">
        <v>1932896.0</v>
      </c>
      <c r="D8062" s="15">
        <v>0.0</v>
      </c>
      <c r="E8062" s="15" t="s">
        <v>4407</v>
      </c>
      <c r="F8062" s="15" t="s">
        <v>1578</v>
      </c>
      <c r="G8062" s="7">
        <v>236.567</v>
      </c>
      <c r="H8062" s="15" t="s">
        <v>2580</v>
      </c>
      <c r="I8062" s="15" t="s">
        <v>1586</v>
      </c>
      <c r="J8062" s="15" t="s">
        <v>29529</v>
      </c>
      <c r="K8062" s="15" t="s">
        <v>1722</v>
      </c>
      <c r="L8062" s="15">
        <v>410.0</v>
      </c>
      <c r="M8062" s="40">
        <v>42956.0</v>
      </c>
      <c r="N8062" s="40">
        <v>42956.0</v>
      </c>
      <c r="O8062" s="15" t="s">
        <v>1554</v>
      </c>
      <c r="Q8062" s="7"/>
    </row>
    <row r="8063">
      <c r="A8063" s="39" t="s">
        <v>29530</v>
      </c>
      <c r="B8063" s="15">
        <v>1932897.0</v>
      </c>
      <c r="D8063" s="15">
        <v>0.0</v>
      </c>
      <c r="E8063" s="15" t="s">
        <v>4407</v>
      </c>
      <c r="F8063" s="15" t="s">
        <v>1578</v>
      </c>
      <c r="G8063" s="7">
        <v>46.349</v>
      </c>
      <c r="H8063" s="15">
        <v>57.0</v>
      </c>
      <c r="I8063" s="15" t="s">
        <v>1586</v>
      </c>
      <c r="J8063" s="15" t="s">
        <v>29531</v>
      </c>
      <c r="K8063" s="15" t="s">
        <v>1722</v>
      </c>
      <c r="L8063" s="15">
        <v>83.0</v>
      </c>
      <c r="M8063" s="40">
        <v>42956.0</v>
      </c>
      <c r="N8063" s="40">
        <v>42956.0</v>
      </c>
      <c r="O8063" s="15" t="s">
        <v>1554</v>
      </c>
      <c r="Q8063" s="7"/>
    </row>
    <row r="8064">
      <c r="A8064" s="39" t="s">
        <v>29532</v>
      </c>
      <c r="B8064" s="15">
        <v>1932898.0</v>
      </c>
      <c r="D8064" s="15">
        <v>0.0</v>
      </c>
      <c r="E8064" s="15" t="s">
        <v>4407</v>
      </c>
      <c r="F8064" s="15" t="s">
        <v>1578</v>
      </c>
      <c r="G8064" s="7">
        <v>172.957</v>
      </c>
      <c r="H8064" s="15" t="s">
        <v>1613</v>
      </c>
      <c r="I8064" s="15" t="s">
        <v>1586</v>
      </c>
      <c r="J8064" s="15" t="s">
        <v>29534</v>
      </c>
      <c r="K8064" s="15" t="s">
        <v>1722</v>
      </c>
      <c r="L8064" s="15">
        <v>245.0</v>
      </c>
      <c r="M8064" s="40">
        <v>42956.0</v>
      </c>
      <c r="N8064" s="40">
        <v>42956.0</v>
      </c>
      <c r="O8064" s="15" t="s">
        <v>1554</v>
      </c>
      <c r="Q8064" s="7"/>
    </row>
    <row r="8065">
      <c r="A8065" s="39" t="s">
        <v>29535</v>
      </c>
      <c r="B8065" s="15">
        <v>1932899.0</v>
      </c>
      <c r="D8065" s="15">
        <v>0.0</v>
      </c>
      <c r="E8065" s="15" t="s">
        <v>4407</v>
      </c>
      <c r="F8065" s="15" t="s">
        <v>1578</v>
      </c>
      <c r="G8065" s="7">
        <v>48.252</v>
      </c>
      <c r="H8065" s="15" t="s">
        <v>4542</v>
      </c>
      <c r="I8065" s="15" t="s">
        <v>1586</v>
      </c>
      <c r="J8065" s="15" t="s">
        <v>29536</v>
      </c>
      <c r="K8065" s="15" t="s">
        <v>1722</v>
      </c>
      <c r="L8065" s="15">
        <v>83.0</v>
      </c>
      <c r="M8065" s="40">
        <v>42956.0</v>
      </c>
      <c r="N8065" s="40">
        <v>42956.0</v>
      </c>
      <c r="O8065" s="15" t="s">
        <v>1554</v>
      </c>
      <c r="Q8065" s="7"/>
    </row>
    <row r="8066">
      <c r="A8066" s="39" t="s">
        <v>29537</v>
      </c>
      <c r="B8066" s="15">
        <v>1932900.0</v>
      </c>
      <c r="D8066" s="15">
        <v>0.0</v>
      </c>
      <c r="E8066" s="15" t="s">
        <v>4407</v>
      </c>
      <c r="F8066" s="15" t="s">
        <v>1578</v>
      </c>
      <c r="G8066" s="7">
        <v>173.59</v>
      </c>
      <c r="H8066" s="15" t="s">
        <v>1613</v>
      </c>
      <c r="I8066" s="15" t="s">
        <v>1586</v>
      </c>
      <c r="J8066" s="15" t="s">
        <v>29538</v>
      </c>
      <c r="K8066" s="15" t="s">
        <v>1722</v>
      </c>
      <c r="L8066" s="15">
        <v>253.0</v>
      </c>
      <c r="M8066" s="40">
        <v>42956.0</v>
      </c>
      <c r="N8066" s="40">
        <v>42956.0</v>
      </c>
      <c r="O8066" s="15" t="s">
        <v>1554</v>
      </c>
      <c r="Q8066" s="7"/>
    </row>
    <row r="8067">
      <c r="A8067" s="39" t="s">
        <v>29539</v>
      </c>
      <c r="B8067" s="15">
        <v>1932901.0</v>
      </c>
      <c r="D8067" s="15">
        <v>0.0</v>
      </c>
      <c r="E8067" s="15" t="s">
        <v>4407</v>
      </c>
      <c r="F8067" s="15" t="s">
        <v>1578</v>
      </c>
      <c r="G8067" s="7">
        <v>43.551</v>
      </c>
      <c r="H8067" s="15" t="s">
        <v>10401</v>
      </c>
      <c r="I8067" s="15" t="s">
        <v>1586</v>
      </c>
      <c r="J8067" s="15" t="s">
        <v>29540</v>
      </c>
      <c r="K8067" s="15" t="s">
        <v>1722</v>
      </c>
      <c r="L8067" s="15">
        <v>84.0</v>
      </c>
      <c r="M8067" s="40">
        <v>42956.0</v>
      </c>
      <c r="N8067" s="40">
        <v>42956.0</v>
      </c>
      <c r="O8067" s="15" t="s">
        <v>1554</v>
      </c>
      <c r="Q8067" s="7"/>
    </row>
    <row r="8068">
      <c r="A8068" s="39" t="s">
        <v>29542</v>
      </c>
      <c r="B8068" s="15">
        <v>1932902.0</v>
      </c>
      <c r="D8068" s="15">
        <v>0.0</v>
      </c>
      <c r="E8068" s="15" t="s">
        <v>4407</v>
      </c>
      <c r="F8068" s="15" t="s">
        <v>1578</v>
      </c>
      <c r="G8068" s="7">
        <v>43.551</v>
      </c>
      <c r="H8068" s="15" t="s">
        <v>10401</v>
      </c>
      <c r="I8068" s="15" t="s">
        <v>1586</v>
      </c>
      <c r="J8068" s="15" t="s">
        <v>29543</v>
      </c>
      <c r="K8068" s="15" t="s">
        <v>1722</v>
      </c>
      <c r="L8068" s="15">
        <v>84.0</v>
      </c>
      <c r="M8068" s="40">
        <v>42956.0</v>
      </c>
      <c r="N8068" s="40">
        <v>42956.0</v>
      </c>
      <c r="O8068" s="15" t="s">
        <v>1554</v>
      </c>
      <c r="Q8068" s="7"/>
    </row>
    <row r="8069">
      <c r="A8069" s="39" t="s">
        <v>29544</v>
      </c>
      <c r="B8069" s="15">
        <v>1932903.0</v>
      </c>
      <c r="D8069" s="15">
        <v>0.0</v>
      </c>
      <c r="E8069" s="15" t="s">
        <v>4407</v>
      </c>
      <c r="F8069" s="15" t="s">
        <v>1578</v>
      </c>
      <c r="G8069" s="7">
        <v>46.057</v>
      </c>
      <c r="H8069" s="15">
        <v>54.0</v>
      </c>
      <c r="I8069" s="15" t="s">
        <v>1586</v>
      </c>
      <c r="J8069" s="15" t="s">
        <v>29545</v>
      </c>
      <c r="K8069" s="15" t="s">
        <v>1722</v>
      </c>
      <c r="L8069" s="15">
        <v>87.0</v>
      </c>
      <c r="M8069" s="40">
        <v>42956.0</v>
      </c>
      <c r="N8069" s="40">
        <v>42956.0</v>
      </c>
      <c r="O8069" s="15" t="s">
        <v>1554</v>
      </c>
      <c r="Q8069" s="7"/>
    </row>
    <row r="8070">
      <c r="A8070" s="39" t="s">
        <v>29546</v>
      </c>
      <c r="B8070" s="15">
        <v>1932904.0</v>
      </c>
      <c r="D8070" s="15">
        <v>0.0</v>
      </c>
      <c r="E8070" s="15" t="s">
        <v>4407</v>
      </c>
      <c r="F8070" s="15" t="s">
        <v>1578</v>
      </c>
      <c r="G8070" s="7">
        <v>47.977</v>
      </c>
      <c r="H8070" s="15" t="s">
        <v>3220</v>
      </c>
      <c r="I8070" s="15" t="s">
        <v>1586</v>
      </c>
      <c r="J8070" s="15" t="s">
        <v>29547</v>
      </c>
      <c r="K8070" s="15" t="s">
        <v>1722</v>
      </c>
      <c r="L8070" s="15">
        <v>83.0</v>
      </c>
      <c r="M8070" s="40">
        <v>42956.0</v>
      </c>
      <c r="N8070" s="40">
        <v>42956.0</v>
      </c>
      <c r="O8070" s="15" t="s">
        <v>1554</v>
      </c>
      <c r="Q8070" s="7"/>
    </row>
    <row r="8071">
      <c r="A8071" s="39" t="s">
        <v>29549</v>
      </c>
      <c r="B8071" s="15">
        <v>1932905.0</v>
      </c>
      <c r="D8071" s="15">
        <v>0.0</v>
      </c>
      <c r="E8071" s="15" t="s">
        <v>4407</v>
      </c>
      <c r="F8071" s="15" t="s">
        <v>1578</v>
      </c>
      <c r="G8071" s="7">
        <v>173.578</v>
      </c>
      <c r="H8071" s="15" t="s">
        <v>1613</v>
      </c>
      <c r="I8071" s="15" t="s">
        <v>1586</v>
      </c>
      <c r="J8071" s="15" t="s">
        <v>29550</v>
      </c>
      <c r="K8071" s="15" t="s">
        <v>1722</v>
      </c>
      <c r="L8071" s="15">
        <v>251.0</v>
      </c>
      <c r="M8071" s="40">
        <v>42956.0</v>
      </c>
      <c r="N8071" s="40">
        <v>42956.0</v>
      </c>
      <c r="O8071" s="15" t="s">
        <v>1554</v>
      </c>
      <c r="Q8071" s="7"/>
    </row>
    <row r="8072">
      <c r="A8072" s="39" t="s">
        <v>29551</v>
      </c>
      <c r="B8072" s="15">
        <v>1932906.0</v>
      </c>
      <c r="D8072" s="15">
        <v>0.0</v>
      </c>
      <c r="E8072" s="15" t="s">
        <v>4407</v>
      </c>
      <c r="F8072" s="15" t="s">
        <v>1578</v>
      </c>
      <c r="G8072" s="7">
        <v>174.311</v>
      </c>
      <c r="H8072" s="15" t="s">
        <v>3066</v>
      </c>
      <c r="I8072" s="15" t="s">
        <v>1586</v>
      </c>
      <c r="J8072" s="15" t="s">
        <v>29552</v>
      </c>
      <c r="K8072" s="15" t="s">
        <v>1722</v>
      </c>
      <c r="L8072" s="15">
        <v>249.0</v>
      </c>
      <c r="M8072" s="40">
        <v>42956.0</v>
      </c>
      <c r="N8072" s="40">
        <v>42956.0</v>
      </c>
      <c r="O8072" s="15" t="s">
        <v>1554</v>
      </c>
      <c r="Q8072" s="7"/>
    </row>
    <row r="8073">
      <c r="A8073" s="39" t="s">
        <v>29553</v>
      </c>
      <c r="B8073" s="15">
        <v>1932907.0</v>
      </c>
      <c r="D8073" s="15">
        <v>0.0</v>
      </c>
      <c r="E8073" s="15" t="s">
        <v>4407</v>
      </c>
      <c r="F8073" s="15" t="s">
        <v>1578</v>
      </c>
      <c r="G8073" s="7">
        <v>173.097</v>
      </c>
      <c r="H8073" s="15" t="s">
        <v>1613</v>
      </c>
      <c r="I8073" s="15" t="s">
        <v>1586</v>
      </c>
      <c r="J8073" s="15" t="s">
        <v>29554</v>
      </c>
      <c r="K8073" s="15" t="s">
        <v>1722</v>
      </c>
      <c r="L8073" s="15">
        <v>249.0</v>
      </c>
      <c r="M8073" s="40">
        <v>42956.0</v>
      </c>
      <c r="N8073" s="40">
        <v>42956.0</v>
      </c>
      <c r="O8073" s="15" t="s">
        <v>1554</v>
      </c>
      <c r="Q8073" s="7"/>
    </row>
    <row r="8074">
      <c r="A8074" s="39" t="s">
        <v>29555</v>
      </c>
      <c r="B8074" s="15">
        <v>1933062.0</v>
      </c>
      <c r="D8074" s="15">
        <v>0.0</v>
      </c>
      <c r="E8074" s="15" t="s">
        <v>1557</v>
      </c>
      <c r="F8074" s="15" t="s">
        <v>1767</v>
      </c>
      <c r="G8074" s="7">
        <v>146.141</v>
      </c>
      <c r="H8074" s="15" t="s">
        <v>2640</v>
      </c>
      <c r="I8074" s="15" t="s">
        <v>1586</v>
      </c>
      <c r="J8074" s="15" t="s">
        <v>29556</v>
      </c>
      <c r="K8074" s="15">
        <v>230.0</v>
      </c>
      <c r="L8074" s="15">
        <v>226.0</v>
      </c>
      <c r="M8074" s="40">
        <v>42908.0</v>
      </c>
      <c r="N8074" s="40">
        <v>42909.0</v>
      </c>
      <c r="O8074" s="15" t="s">
        <v>1554</v>
      </c>
      <c r="Q8074" s="7"/>
    </row>
    <row r="8075">
      <c r="A8075" s="39" t="s">
        <v>29557</v>
      </c>
      <c r="B8075" s="15">
        <v>1933063.0</v>
      </c>
      <c r="D8075" s="15">
        <v>0.0</v>
      </c>
      <c r="E8075" s="15" t="s">
        <v>4407</v>
      </c>
      <c r="F8075" s="15" t="s">
        <v>1578</v>
      </c>
      <c r="G8075" s="7">
        <v>156.43</v>
      </c>
      <c r="H8075" s="15" t="s">
        <v>1849</v>
      </c>
      <c r="I8075" s="15" t="s">
        <v>1586</v>
      </c>
      <c r="J8075" s="15" t="s">
        <v>29559</v>
      </c>
      <c r="K8075" s="15">
        <v>251.0</v>
      </c>
      <c r="L8075" s="15">
        <v>246.0</v>
      </c>
      <c r="M8075" s="40">
        <v>42908.0</v>
      </c>
      <c r="N8075" s="40">
        <v>42909.0</v>
      </c>
      <c r="O8075" s="15" t="s">
        <v>1554</v>
      </c>
      <c r="Q8075" s="7"/>
    </row>
    <row r="8076">
      <c r="A8076" s="39" t="s">
        <v>29560</v>
      </c>
      <c r="B8076" s="15">
        <v>1933093.0</v>
      </c>
      <c r="D8076" s="15">
        <v>0.0</v>
      </c>
      <c r="E8076" s="15" t="s">
        <v>1557</v>
      </c>
      <c r="F8076" s="15" t="s">
        <v>1833</v>
      </c>
      <c r="G8076" s="7">
        <v>39.558</v>
      </c>
      <c r="H8076" s="15">
        <v>41.0</v>
      </c>
      <c r="I8076" s="15" t="s">
        <v>1586</v>
      </c>
      <c r="J8076" s="15" t="s">
        <v>29561</v>
      </c>
      <c r="K8076" s="15">
        <v>70.0</v>
      </c>
      <c r="L8076" s="15">
        <v>70.0</v>
      </c>
      <c r="M8076" s="40">
        <v>42753.0</v>
      </c>
      <c r="N8076" s="40">
        <v>42753.0</v>
      </c>
      <c r="O8076" s="15" t="s">
        <v>1554</v>
      </c>
      <c r="Q8076" s="7"/>
    </row>
    <row r="8077">
      <c r="A8077" s="39" t="s">
        <v>29562</v>
      </c>
      <c r="B8077" s="15">
        <v>1933103.0</v>
      </c>
      <c r="D8077" s="15">
        <v>0.0</v>
      </c>
      <c r="E8077" s="15" t="s">
        <v>4407</v>
      </c>
      <c r="F8077" s="15" t="s">
        <v>1578</v>
      </c>
      <c r="G8077" s="7">
        <v>35.736</v>
      </c>
      <c r="H8077" s="15" t="s">
        <v>5806</v>
      </c>
      <c r="I8077" s="15" t="s">
        <v>1586</v>
      </c>
      <c r="J8077" s="15" t="s">
        <v>29563</v>
      </c>
      <c r="K8077" s="15">
        <v>33.0</v>
      </c>
      <c r="L8077" s="15">
        <v>33.0</v>
      </c>
      <c r="M8077" s="40">
        <v>42919.0</v>
      </c>
      <c r="N8077" s="40">
        <v>42919.0</v>
      </c>
      <c r="O8077" s="15" t="s">
        <v>1554</v>
      </c>
      <c r="Q8077" s="7"/>
    </row>
    <row r="8078">
      <c r="A8078" s="39" t="s">
        <v>29565</v>
      </c>
      <c r="B8078" s="15">
        <v>1933104.0</v>
      </c>
      <c r="D8078" s="15">
        <v>0.0</v>
      </c>
      <c r="E8078" s="15" t="s">
        <v>4407</v>
      </c>
      <c r="F8078" s="15" t="s">
        <v>1578</v>
      </c>
      <c r="G8078" s="7">
        <v>35.728</v>
      </c>
      <c r="H8078" s="15" t="s">
        <v>5806</v>
      </c>
      <c r="I8078" s="15" t="s">
        <v>1586</v>
      </c>
      <c r="J8078" s="15" t="s">
        <v>29566</v>
      </c>
      <c r="K8078" s="15">
        <v>33.0</v>
      </c>
      <c r="L8078" s="15">
        <v>33.0</v>
      </c>
      <c r="M8078" s="40">
        <v>42919.0</v>
      </c>
      <c r="N8078" s="40">
        <v>42919.0</v>
      </c>
      <c r="O8078" s="15" t="s">
        <v>1554</v>
      </c>
      <c r="Q8078" s="7"/>
    </row>
    <row r="8079">
      <c r="A8079" s="39" t="s">
        <v>29567</v>
      </c>
      <c r="B8079" s="15">
        <v>1933107.0</v>
      </c>
      <c r="D8079" s="15">
        <v>0.0</v>
      </c>
      <c r="E8079" s="15" t="s">
        <v>1557</v>
      </c>
      <c r="F8079" s="15" t="s">
        <v>1611</v>
      </c>
      <c r="G8079" s="7">
        <v>44.018</v>
      </c>
      <c r="H8079" s="15">
        <v>45.0</v>
      </c>
      <c r="I8079" s="15" t="s">
        <v>1586</v>
      </c>
      <c r="J8079" s="15" t="s">
        <v>29568</v>
      </c>
      <c r="K8079" s="15">
        <v>55.0</v>
      </c>
      <c r="L8079" s="15">
        <v>55.0</v>
      </c>
      <c r="M8079" s="40">
        <v>42781.0</v>
      </c>
      <c r="N8079" s="40">
        <v>42999.0</v>
      </c>
      <c r="O8079" s="15" t="s">
        <v>1554</v>
      </c>
      <c r="Q8079" s="7"/>
    </row>
    <row r="8080">
      <c r="A8080" s="39" t="s">
        <v>29569</v>
      </c>
      <c r="B8080" s="15">
        <v>1933108.0</v>
      </c>
      <c r="D8080" s="15">
        <v>0.0</v>
      </c>
      <c r="E8080" s="15" t="s">
        <v>1557</v>
      </c>
      <c r="F8080" s="15" t="s">
        <v>1611</v>
      </c>
      <c r="G8080" s="7">
        <v>44.97</v>
      </c>
      <c r="H8080" s="15">
        <v>45.0</v>
      </c>
      <c r="I8080" s="15" t="s">
        <v>1586</v>
      </c>
      <c r="J8080" s="15" t="s">
        <v>29570</v>
      </c>
      <c r="K8080" s="15">
        <v>59.0</v>
      </c>
      <c r="L8080" s="15">
        <v>59.0</v>
      </c>
      <c r="M8080" s="40">
        <v>42781.0</v>
      </c>
      <c r="N8080" s="40">
        <v>42999.0</v>
      </c>
      <c r="O8080" s="15" t="s">
        <v>1554</v>
      </c>
      <c r="Q8080" s="7"/>
    </row>
    <row r="8081">
      <c r="A8081" s="39" t="s">
        <v>29571</v>
      </c>
      <c r="B8081" s="15">
        <v>1933109.0</v>
      </c>
      <c r="D8081" s="15">
        <v>0.0</v>
      </c>
      <c r="E8081" s="15" t="s">
        <v>1557</v>
      </c>
      <c r="F8081" s="15" t="s">
        <v>1611</v>
      </c>
      <c r="G8081" s="7">
        <v>44.931</v>
      </c>
      <c r="H8081" s="15">
        <v>45.0</v>
      </c>
      <c r="I8081" s="15" t="s">
        <v>1586</v>
      </c>
      <c r="J8081" s="15" t="s">
        <v>29573</v>
      </c>
      <c r="K8081" s="15">
        <v>59.0</v>
      </c>
      <c r="L8081" s="15">
        <v>59.0</v>
      </c>
      <c r="M8081" s="40">
        <v>42781.0</v>
      </c>
      <c r="N8081" s="40">
        <v>42999.0</v>
      </c>
      <c r="O8081" s="15" t="s">
        <v>1554</v>
      </c>
      <c r="Q8081" s="7"/>
    </row>
    <row r="8082">
      <c r="A8082" s="39" t="s">
        <v>29574</v>
      </c>
      <c r="B8082" s="15">
        <v>1933110.0</v>
      </c>
      <c r="D8082" s="15">
        <v>0.0</v>
      </c>
      <c r="E8082" s="15" t="s">
        <v>1557</v>
      </c>
      <c r="F8082" s="15" t="s">
        <v>1611</v>
      </c>
      <c r="G8082" s="7">
        <v>39.3</v>
      </c>
      <c r="H8082" s="15">
        <v>50.0</v>
      </c>
      <c r="I8082" s="15" t="s">
        <v>1586</v>
      </c>
      <c r="J8082" s="15" t="s">
        <v>29575</v>
      </c>
      <c r="K8082" s="15">
        <v>48.0</v>
      </c>
      <c r="L8082" s="15">
        <v>48.0</v>
      </c>
      <c r="M8082" s="40">
        <v>42795.0</v>
      </c>
      <c r="N8082" s="40">
        <v>42999.0</v>
      </c>
      <c r="O8082" s="15" t="s">
        <v>1554</v>
      </c>
      <c r="Q8082" s="7"/>
    </row>
    <row r="8083">
      <c r="A8083" s="39" t="s">
        <v>29577</v>
      </c>
      <c r="B8083" s="15">
        <v>1933111.0</v>
      </c>
      <c r="D8083" s="15">
        <v>0.0</v>
      </c>
      <c r="E8083" s="15" t="s">
        <v>1557</v>
      </c>
      <c r="F8083" s="15" t="s">
        <v>1611</v>
      </c>
      <c r="G8083" s="7">
        <v>37.775</v>
      </c>
      <c r="H8083" s="15" t="s">
        <v>1792</v>
      </c>
      <c r="I8083" s="15" t="s">
        <v>1586</v>
      </c>
      <c r="J8083" s="15" t="s">
        <v>29578</v>
      </c>
      <c r="K8083" s="15">
        <v>46.0</v>
      </c>
      <c r="L8083" s="15">
        <v>46.0</v>
      </c>
      <c r="M8083" s="40">
        <v>42781.0</v>
      </c>
      <c r="N8083" s="40">
        <v>42999.0</v>
      </c>
      <c r="O8083" s="15" t="s">
        <v>1554</v>
      </c>
      <c r="Q8083" s="7"/>
    </row>
    <row r="8084">
      <c r="A8084" s="39" t="s">
        <v>29579</v>
      </c>
      <c r="B8084" s="15">
        <v>1933112.0</v>
      </c>
      <c r="D8084" s="15">
        <v>0.0</v>
      </c>
      <c r="E8084" s="15" t="s">
        <v>1557</v>
      </c>
      <c r="F8084" s="15" t="s">
        <v>1611</v>
      </c>
      <c r="G8084" s="7">
        <v>44.941</v>
      </c>
      <c r="H8084" s="15">
        <v>45.0</v>
      </c>
      <c r="I8084" s="15" t="s">
        <v>1586</v>
      </c>
      <c r="J8084" s="15" t="s">
        <v>29580</v>
      </c>
      <c r="K8084" s="15">
        <v>60.0</v>
      </c>
      <c r="L8084" s="15">
        <v>60.0</v>
      </c>
      <c r="M8084" s="40">
        <v>42781.0</v>
      </c>
      <c r="N8084" s="40">
        <v>42999.0</v>
      </c>
      <c r="O8084" s="15" t="s">
        <v>1554</v>
      </c>
      <c r="Q8084" s="7"/>
    </row>
    <row r="8085">
      <c r="A8085" s="39" t="s">
        <v>29581</v>
      </c>
      <c r="B8085" s="15">
        <v>1933113.0</v>
      </c>
      <c r="D8085" s="15">
        <v>0.0</v>
      </c>
      <c r="E8085" s="15" t="s">
        <v>1557</v>
      </c>
      <c r="F8085" s="15" t="s">
        <v>1833</v>
      </c>
      <c r="G8085" s="7">
        <v>41.519</v>
      </c>
      <c r="H8085" s="15" t="s">
        <v>2189</v>
      </c>
      <c r="I8085" s="15" t="s">
        <v>1586</v>
      </c>
      <c r="J8085" s="15" t="s">
        <v>29582</v>
      </c>
      <c r="K8085" s="15">
        <v>68.0</v>
      </c>
      <c r="L8085" s="15">
        <v>68.0</v>
      </c>
      <c r="M8085" s="40">
        <v>42781.0</v>
      </c>
      <c r="N8085" s="40">
        <v>42781.0</v>
      </c>
      <c r="O8085" s="15" t="s">
        <v>1554</v>
      </c>
      <c r="Q8085" s="7"/>
    </row>
    <row r="8086">
      <c r="A8086" s="39" t="s">
        <v>29583</v>
      </c>
      <c r="B8086" s="15">
        <v>1933114.0</v>
      </c>
      <c r="D8086" s="15">
        <v>0.0</v>
      </c>
      <c r="E8086" s="15" t="s">
        <v>1557</v>
      </c>
      <c r="F8086" s="15" t="s">
        <v>1833</v>
      </c>
      <c r="G8086" s="7">
        <v>41.039</v>
      </c>
      <c r="H8086" s="15" t="s">
        <v>2324</v>
      </c>
      <c r="I8086" s="15" t="s">
        <v>1586</v>
      </c>
      <c r="J8086" s="15" t="s">
        <v>29584</v>
      </c>
      <c r="K8086" s="15">
        <v>67.0</v>
      </c>
      <c r="L8086" s="15">
        <v>67.0</v>
      </c>
      <c r="M8086" s="40">
        <v>42781.0</v>
      </c>
      <c r="N8086" s="40">
        <v>42781.0</v>
      </c>
      <c r="O8086" s="15" t="s">
        <v>1554</v>
      </c>
      <c r="Q8086" s="7"/>
    </row>
    <row r="8087">
      <c r="A8087" s="39" t="s">
        <v>29586</v>
      </c>
      <c r="B8087" s="15">
        <v>1933115.0</v>
      </c>
      <c r="D8087" s="15">
        <v>0.0</v>
      </c>
      <c r="E8087" s="15" t="s">
        <v>1557</v>
      </c>
      <c r="F8087" s="15" t="s">
        <v>1833</v>
      </c>
      <c r="G8087" s="7">
        <v>41.184</v>
      </c>
      <c r="H8087" s="15" t="s">
        <v>5521</v>
      </c>
      <c r="I8087" s="15" t="s">
        <v>1586</v>
      </c>
      <c r="J8087" s="15" t="s">
        <v>29587</v>
      </c>
      <c r="K8087" s="15">
        <v>62.0</v>
      </c>
      <c r="L8087" s="15">
        <v>62.0</v>
      </c>
      <c r="M8087" s="40">
        <v>42781.0</v>
      </c>
      <c r="N8087" s="40">
        <v>42781.0</v>
      </c>
      <c r="O8087" s="15" t="s">
        <v>1554</v>
      </c>
      <c r="Q8087" s="7"/>
    </row>
    <row r="8088">
      <c r="A8088" s="39" t="s">
        <v>29588</v>
      </c>
      <c r="B8088" s="15">
        <v>1933412.0</v>
      </c>
      <c r="D8088" s="15">
        <v>0.0</v>
      </c>
      <c r="E8088" s="15" t="s">
        <v>4407</v>
      </c>
      <c r="F8088" s="15" t="s">
        <v>1578</v>
      </c>
      <c r="G8088" s="7">
        <v>46.717</v>
      </c>
      <c r="H8088" s="15" t="s">
        <v>2392</v>
      </c>
      <c r="I8088" s="15" t="s">
        <v>1586</v>
      </c>
      <c r="J8088" s="15" t="s">
        <v>29589</v>
      </c>
      <c r="K8088" s="15" t="s">
        <v>1722</v>
      </c>
      <c r="L8088" s="15">
        <v>74.0</v>
      </c>
      <c r="M8088" s="40">
        <v>42753.0</v>
      </c>
      <c r="N8088" s="40">
        <v>42753.0</v>
      </c>
      <c r="O8088" s="15" t="s">
        <v>1554</v>
      </c>
      <c r="Q8088" s="7"/>
    </row>
    <row r="8089">
      <c r="A8089" s="39" t="s">
        <v>29590</v>
      </c>
      <c r="B8089" s="15">
        <v>1933692.0</v>
      </c>
      <c r="D8089" s="15">
        <v>0.0</v>
      </c>
      <c r="E8089" s="15" t="s">
        <v>1557</v>
      </c>
      <c r="F8089" s="15" t="s">
        <v>1833</v>
      </c>
      <c r="G8089" s="7">
        <v>57.165</v>
      </c>
      <c r="H8089" s="15" t="s">
        <v>19276</v>
      </c>
      <c r="I8089" s="15" t="s">
        <v>1586</v>
      </c>
      <c r="J8089" s="15" t="s">
        <v>29591</v>
      </c>
      <c r="K8089" s="15">
        <v>72.0</v>
      </c>
      <c r="L8089" s="15">
        <v>72.0</v>
      </c>
      <c r="M8089" s="40">
        <v>42772.0</v>
      </c>
      <c r="N8089" s="40">
        <v>42772.0</v>
      </c>
      <c r="O8089" s="15" t="s">
        <v>1554</v>
      </c>
      <c r="Q8089" s="7"/>
    </row>
    <row r="8090">
      <c r="A8090" s="39" t="s">
        <v>29592</v>
      </c>
      <c r="B8090" s="15">
        <v>1933693.0</v>
      </c>
      <c r="D8090" s="15">
        <v>0.0</v>
      </c>
      <c r="E8090" s="15" t="s">
        <v>4407</v>
      </c>
      <c r="F8090" s="15" t="s">
        <v>1578</v>
      </c>
      <c r="G8090" s="7">
        <v>32.296</v>
      </c>
      <c r="H8090" s="15" t="s">
        <v>2640</v>
      </c>
      <c r="I8090" s="15" t="s">
        <v>1586</v>
      </c>
      <c r="J8090" s="15" t="s">
        <v>29594</v>
      </c>
      <c r="K8090" s="15">
        <v>48.0</v>
      </c>
      <c r="L8090" s="15">
        <v>48.0</v>
      </c>
      <c r="M8090" s="40">
        <v>42772.0</v>
      </c>
      <c r="N8090" s="40">
        <v>42772.0</v>
      </c>
      <c r="O8090" s="15" t="s">
        <v>1554</v>
      </c>
      <c r="Q8090" s="7"/>
    </row>
    <row r="8091">
      <c r="A8091" s="39" t="s">
        <v>29595</v>
      </c>
      <c r="B8091" s="15">
        <v>1933695.0</v>
      </c>
      <c r="D8091" s="15">
        <v>0.0</v>
      </c>
      <c r="E8091" s="15" t="s">
        <v>4407</v>
      </c>
      <c r="F8091" s="15" t="s">
        <v>1578</v>
      </c>
      <c r="G8091" s="7">
        <v>37.03</v>
      </c>
      <c r="H8091" s="15" t="s">
        <v>2193</v>
      </c>
      <c r="I8091" s="15" t="s">
        <v>1586</v>
      </c>
      <c r="J8091" s="15" t="s">
        <v>29596</v>
      </c>
      <c r="K8091" s="15">
        <v>54.0</v>
      </c>
      <c r="L8091" s="15">
        <v>54.0</v>
      </c>
      <c r="M8091" s="40">
        <v>42772.0</v>
      </c>
      <c r="N8091" s="40">
        <v>42772.0</v>
      </c>
      <c r="O8091" s="15" t="s">
        <v>1554</v>
      </c>
      <c r="Q8091" s="7"/>
    </row>
    <row r="8092">
      <c r="A8092" s="39" t="s">
        <v>29597</v>
      </c>
      <c r="B8092" s="15">
        <v>1933772.0</v>
      </c>
      <c r="D8092" s="15">
        <v>0.0</v>
      </c>
      <c r="E8092" s="15" t="s">
        <v>1557</v>
      </c>
      <c r="F8092" s="15" t="s">
        <v>1833</v>
      </c>
      <c r="G8092" s="7">
        <v>15.556</v>
      </c>
      <c r="H8092" s="15" t="s">
        <v>10437</v>
      </c>
      <c r="I8092" s="15" t="s">
        <v>1586</v>
      </c>
      <c r="J8092" s="15" t="s">
        <v>29598</v>
      </c>
      <c r="K8092" s="15">
        <v>26.0</v>
      </c>
      <c r="L8092" s="15">
        <v>26.0</v>
      </c>
      <c r="M8092" s="40">
        <v>42798.0</v>
      </c>
      <c r="N8092" s="41">
        <v>43020.0</v>
      </c>
      <c r="O8092" s="15" t="s">
        <v>1554</v>
      </c>
      <c r="Q8092" s="7"/>
    </row>
    <row r="8093">
      <c r="A8093" s="39" t="s">
        <v>29600</v>
      </c>
      <c r="B8093" s="15">
        <v>1933773.0</v>
      </c>
      <c r="D8093" s="15">
        <v>0.0</v>
      </c>
      <c r="E8093" s="15" t="s">
        <v>1557</v>
      </c>
      <c r="F8093" s="15" t="s">
        <v>1611</v>
      </c>
      <c r="G8093" s="7">
        <v>44.094</v>
      </c>
      <c r="H8093" s="15" t="s">
        <v>3246</v>
      </c>
      <c r="I8093" s="15" t="s">
        <v>1586</v>
      </c>
      <c r="J8093" s="15" t="s">
        <v>29601</v>
      </c>
      <c r="K8093" s="15">
        <v>56.0</v>
      </c>
      <c r="L8093" s="15">
        <v>56.0</v>
      </c>
      <c r="M8093" s="40">
        <v>42772.0</v>
      </c>
      <c r="N8093" s="40">
        <v>42772.0</v>
      </c>
      <c r="O8093" s="15" t="s">
        <v>1554</v>
      </c>
      <c r="Q8093" s="7"/>
    </row>
    <row r="8094">
      <c r="A8094" s="39" t="s">
        <v>29602</v>
      </c>
      <c r="B8094" s="15">
        <v>1933774.0</v>
      </c>
      <c r="D8094" s="15">
        <v>0.0</v>
      </c>
      <c r="E8094" s="15" t="s">
        <v>4407</v>
      </c>
      <c r="F8094" s="15" t="s">
        <v>1578</v>
      </c>
      <c r="G8094" s="7">
        <v>44.234</v>
      </c>
      <c r="H8094" s="15" t="s">
        <v>2392</v>
      </c>
      <c r="I8094" s="15" t="s">
        <v>1586</v>
      </c>
      <c r="J8094" s="15" t="s">
        <v>29604</v>
      </c>
      <c r="K8094" s="15">
        <v>71.0</v>
      </c>
      <c r="L8094" s="15">
        <v>70.0</v>
      </c>
      <c r="M8094" s="40">
        <v>42781.0</v>
      </c>
      <c r="N8094" s="40">
        <v>42782.0</v>
      </c>
      <c r="O8094" s="15" t="s">
        <v>1554</v>
      </c>
      <c r="Q8094" s="7"/>
    </row>
    <row r="8095">
      <c r="A8095" s="39" t="s">
        <v>29605</v>
      </c>
      <c r="B8095" s="15">
        <v>1934428.0</v>
      </c>
      <c r="D8095" s="15">
        <v>0.0</v>
      </c>
      <c r="E8095" s="15" t="s">
        <v>4407</v>
      </c>
      <c r="F8095" s="15" t="s">
        <v>1578</v>
      </c>
      <c r="G8095" s="7">
        <v>43.922</v>
      </c>
      <c r="H8095" s="15" t="s">
        <v>3862</v>
      </c>
      <c r="I8095" s="15" t="s">
        <v>1586</v>
      </c>
      <c r="J8095" s="15" t="s">
        <v>29606</v>
      </c>
      <c r="K8095" s="15" t="s">
        <v>1722</v>
      </c>
      <c r="L8095" s="15">
        <v>66.0</v>
      </c>
      <c r="M8095" s="40">
        <v>42759.0</v>
      </c>
      <c r="N8095" s="40">
        <v>42759.0</v>
      </c>
      <c r="O8095" s="15" t="s">
        <v>1554</v>
      </c>
      <c r="Q8095" s="7"/>
    </row>
    <row r="8096">
      <c r="A8096" s="39" t="s">
        <v>29607</v>
      </c>
      <c r="B8096" s="15">
        <v>1938577.0</v>
      </c>
      <c r="D8096" s="15">
        <v>0.0</v>
      </c>
      <c r="E8096" s="15" t="s">
        <v>4407</v>
      </c>
      <c r="F8096" s="15" t="s">
        <v>1578</v>
      </c>
      <c r="G8096" s="7">
        <v>239.276</v>
      </c>
      <c r="H8096" s="15" t="s">
        <v>2877</v>
      </c>
      <c r="I8096" s="15" t="s">
        <v>1586</v>
      </c>
      <c r="J8096" s="15" t="s">
        <v>29608</v>
      </c>
      <c r="K8096" s="15" t="s">
        <v>1722</v>
      </c>
      <c r="L8096" s="15">
        <v>209.0</v>
      </c>
      <c r="M8096" s="40">
        <v>42781.0</v>
      </c>
      <c r="N8096" s="40">
        <v>42784.0</v>
      </c>
      <c r="O8096" s="15" t="s">
        <v>1554</v>
      </c>
      <c r="Q8096" s="7"/>
    </row>
    <row r="8097">
      <c r="A8097" s="39" t="s">
        <v>29609</v>
      </c>
      <c r="B8097" s="15">
        <v>338105.0</v>
      </c>
      <c r="D8097" s="15">
        <v>0.0</v>
      </c>
      <c r="E8097" s="15" t="s">
        <v>1808</v>
      </c>
      <c r="F8097" s="15" t="s">
        <v>3154</v>
      </c>
      <c r="G8097" s="7">
        <v>6.068</v>
      </c>
      <c r="H8097" s="15" t="s">
        <v>1828</v>
      </c>
      <c r="I8097" s="15" t="s">
        <v>1586</v>
      </c>
      <c r="J8097" s="15" t="s">
        <v>29611</v>
      </c>
      <c r="K8097" s="15">
        <v>10.0</v>
      </c>
      <c r="L8097" s="15">
        <v>10.0</v>
      </c>
      <c r="M8097" s="40">
        <v>38741.0</v>
      </c>
      <c r="N8097" s="40">
        <v>38741.0</v>
      </c>
      <c r="O8097" s="15" t="s">
        <v>1554</v>
      </c>
      <c r="Q8097" s="7"/>
    </row>
    <row r="8098">
      <c r="A8098" s="39" t="s">
        <v>29612</v>
      </c>
      <c r="B8098" s="15">
        <v>338103.0</v>
      </c>
      <c r="D8098" s="15">
        <v>0.0</v>
      </c>
      <c r="E8098" s="15" t="s">
        <v>1808</v>
      </c>
      <c r="F8098" s="15" t="s">
        <v>3154</v>
      </c>
      <c r="G8098" s="7">
        <v>6.039</v>
      </c>
      <c r="H8098" s="15" t="s">
        <v>1983</v>
      </c>
      <c r="I8098" s="15" t="s">
        <v>1586</v>
      </c>
      <c r="J8098" s="15" t="s">
        <v>29613</v>
      </c>
      <c r="K8098" s="15">
        <v>10.0</v>
      </c>
      <c r="L8098" s="15">
        <v>10.0</v>
      </c>
      <c r="M8098" s="40">
        <v>38741.0</v>
      </c>
      <c r="N8098" s="40">
        <v>38741.0</v>
      </c>
      <c r="O8098" s="15" t="s">
        <v>1554</v>
      </c>
      <c r="Q8098" s="7"/>
    </row>
    <row r="8099">
      <c r="A8099" s="39" t="s">
        <v>29614</v>
      </c>
      <c r="B8099" s="15">
        <v>338101.0</v>
      </c>
      <c r="D8099" s="15">
        <v>0.0</v>
      </c>
      <c r="E8099" s="15" t="s">
        <v>1808</v>
      </c>
      <c r="F8099" s="15" t="s">
        <v>3154</v>
      </c>
      <c r="G8099" s="7">
        <v>6.068</v>
      </c>
      <c r="H8099" s="15" t="s">
        <v>2864</v>
      </c>
      <c r="I8099" s="15" t="s">
        <v>1586</v>
      </c>
      <c r="J8099" s="15" t="s">
        <v>29615</v>
      </c>
      <c r="K8099" s="15">
        <v>10.0</v>
      </c>
      <c r="L8099" s="15">
        <v>10.0</v>
      </c>
      <c r="M8099" s="40">
        <v>38741.0</v>
      </c>
      <c r="N8099" s="40">
        <v>38741.0</v>
      </c>
      <c r="O8099" s="15" t="s">
        <v>1554</v>
      </c>
      <c r="Q8099" s="7"/>
    </row>
    <row r="8100">
      <c r="A8100" s="39" t="s">
        <v>29616</v>
      </c>
      <c r="B8100" s="15">
        <v>338106.0</v>
      </c>
      <c r="D8100" s="15">
        <v>0.0</v>
      </c>
      <c r="E8100" s="15" t="s">
        <v>1808</v>
      </c>
      <c r="F8100" s="15" t="s">
        <v>3154</v>
      </c>
      <c r="G8100" s="7">
        <v>6.065</v>
      </c>
      <c r="H8100" s="15" t="s">
        <v>3097</v>
      </c>
      <c r="I8100" s="15" t="s">
        <v>1586</v>
      </c>
      <c r="J8100" s="15" t="s">
        <v>29617</v>
      </c>
      <c r="K8100" s="15">
        <v>10.0</v>
      </c>
      <c r="L8100" s="15">
        <v>10.0</v>
      </c>
      <c r="M8100" s="40">
        <v>38741.0</v>
      </c>
      <c r="N8100" s="40">
        <v>38741.0</v>
      </c>
      <c r="O8100" s="15" t="s">
        <v>1554</v>
      </c>
      <c r="Q8100" s="7"/>
    </row>
    <row r="8101">
      <c r="A8101" s="39" t="s">
        <v>29619</v>
      </c>
      <c r="B8101" s="15">
        <v>338110.0</v>
      </c>
      <c r="D8101" s="15">
        <v>0.0</v>
      </c>
      <c r="E8101" s="15" t="s">
        <v>1808</v>
      </c>
      <c r="F8101" s="15" t="s">
        <v>3154</v>
      </c>
      <c r="G8101" s="7">
        <v>6.259</v>
      </c>
      <c r="H8101" s="15" t="s">
        <v>2107</v>
      </c>
      <c r="I8101" s="15" t="s">
        <v>1586</v>
      </c>
      <c r="J8101" s="15" t="s">
        <v>29620</v>
      </c>
      <c r="K8101" s="15">
        <v>10.0</v>
      </c>
      <c r="L8101" s="15">
        <v>10.0</v>
      </c>
      <c r="M8101" s="40">
        <v>38741.0</v>
      </c>
      <c r="N8101" s="40">
        <v>38741.0</v>
      </c>
      <c r="O8101" s="15" t="s">
        <v>1554</v>
      </c>
      <c r="Q8101" s="7"/>
    </row>
    <row r="8102">
      <c r="A8102" s="39" t="s">
        <v>29621</v>
      </c>
      <c r="B8102" s="15">
        <v>338102.0</v>
      </c>
      <c r="D8102" s="15">
        <v>0.0</v>
      </c>
      <c r="E8102" s="15" t="s">
        <v>1808</v>
      </c>
      <c r="F8102" s="15" t="s">
        <v>3154</v>
      </c>
      <c r="G8102" s="7">
        <v>6.071</v>
      </c>
      <c r="H8102" s="15">
        <v>45.0</v>
      </c>
      <c r="I8102" s="15" t="s">
        <v>1586</v>
      </c>
      <c r="J8102" s="15" t="s">
        <v>29622</v>
      </c>
      <c r="K8102" s="15">
        <v>10.0</v>
      </c>
      <c r="L8102" s="15">
        <v>10.0</v>
      </c>
      <c r="M8102" s="40">
        <v>38741.0</v>
      </c>
      <c r="N8102" s="40">
        <v>38741.0</v>
      </c>
      <c r="O8102" s="15" t="s">
        <v>1554</v>
      </c>
      <c r="Q8102" s="7"/>
    </row>
    <row r="8103">
      <c r="A8103" s="39" t="s">
        <v>29623</v>
      </c>
      <c r="B8103" s="15">
        <v>338107.0</v>
      </c>
      <c r="D8103" s="15">
        <v>0.0</v>
      </c>
      <c r="E8103" s="15" t="s">
        <v>1808</v>
      </c>
      <c r="F8103" s="15" t="s">
        <v>3154</v>
      </c>
      <c r="G8103" s="7">
        <v>6.051</v>
      </c>
      <c r="H8103" s="15" t="s">
        <v>1828</v>
      </c>
      <c r="I8103" s="15" t="s">
        <v>1586</v>
      </c>
      <c r="J8103" s="15" t="s">
        <v>29624</v>
      </c>
      <c r="K8103" s="15">
        <v>10.0</v>
      </c>
      <c r="L8103" s="15">
        <v>10.0</v>
      </c>
      <c r="M8103" s="40">
        <v>38741.0</v>
      </c>
      <c r="N8103" s="40">
        <v>38741.0</v>
      </c>
      <c r="O8103" s="15" t="s">
        <v>1554</v>
      </c>
      <c r="Q8103" s="7"/>
    </row>
    <row r="8104">
      <c r="A8104" s="39" t="s">
        <v>29625</v>
      </c>
      <c r="B8104" s="15">
        <v>1955176.0</v>
      </c>
      <c r="D8104" s="15">
        <v>0.0</v>
      </c>
      <c r="E8104" s="15" t="s">
        <v>1557</v>
      </c>
      <c r="F8104" s="15" t="s">
        <v>1833</v>
      </c>
      <c r="G8104" s="7">
        <v>42.16</v>
      </c>
      <c r="H8104" s="42">
        <v>43343.0</v>
      </c>
      <c r="I8104" s="15" t="s">
        <v>1586</v>
      </c>
      <c r="J8104" s="15" t="s">
        <v>29627</v>
      </c>
      <c r="K8104" s="15" t="s">
        <v>1722</v>
      </c>
      <c r="L8104" s="15">
        <v>58.0</v>
      </c>
      <c r="M8104" s="40">
        <v>42781.0</v>
      </c>
      <c r="N8104" s="40">
        <v>42863.0</v>
      </c>
      <c r="O8104" s="15" t="s">
        <v>1554</v>
      </c>
      <c r="Q8104" s="7"/>
    </row>
    <row r="8105">
      <c r="A8105" s="39" t="s">
        <v>29628</v>
      </c>
      <c r="B8105" s="15">
        <v>1955181.0</v>
      </c>
      <c r="D8105" s="15">
        <v>0.0</v>
      </c>
      <c r="E8105" s="15" t="s">
        <v>1557</v>
      </c>
      <c r="F8105" s="15" t="s">
        <v>1833</v>
      </c>
      <c r="G8105" s="7">
        <v>41.448</v>
      </c>
      <c r="H8105" s="15">
        <v>32.0</v>
      </c>
      <c r="I8105" s="15" t="s">
        <v>1586</v>
      </c>
      <c r="J8105" s="15" t="s">
        <v>29629</v>
      </c>
      <c r="K8105" s="15" t="s">
        <v>1722</v>
      </c>
      <c r="L8105" s="15">
        <v>55.0</v>
      </c>
      <c r="M8105" s="40">
        <v>42781.0</v>
      </c>
      <c r="N8105" s="40">
        <v>42863.0</v>
      </c>
      <c r="O8105" s="15" t="s">
        <v>1554</v>
      </c>
      <c r="Q8105" s="7"/>
    </row>
    <row r="8106">
      <c r="A8106" s="39" t="s">
        <v>29630</v>
      </c>
      <c r="B8106" s="15">
        <v>1955235.0</v>
      </c>
      <c r="D8106" s="15">
        <v>0.0</v>
      </c>
      <c r="E8106" s="15" t="s">
        <v>4407</v>
      </c>
      <c r="F8106" s="15" t="s">
        <v>1578</v>
      </c>
      <c r="G8106" s="7">
        <v>35.802</v>
      </c>
      <c r="H8106" s="15" t="s">
        <v>2141</v>
      </c>
      <c r="I8106" s="15" t="s">
        <v>1586</v>
      </c>
      <c r="J8106" s="15" t="s">
        <v>29631</v>
      </c>
      <c r="K8106" s="15" t="s">
        <v>1722</v>
      </c>
      <c r="L8106" s="15">
        <v>41.0</v>
      </c>
      <c r="M8106" s="40">
        <v>42781.0</v>
      </c>
      <c r="N8106" s="40">
        <v>42971.0</v>
      </c>
      <c r="O8106" s="15" t="s">
        <v>1554</v>
      </c>
      <c r="Q8106" s="7"/>
    </row>
    <row r="8107">
      <c r="A8107" s="39" t="s">
        <v>29632</v>
      </c>
      <c r="B8107" s="15">
        <v>1955242.0</v>
      </c>
      <c r="D8107" s="15">
        <v>0.0</v>
      </c>
      <c r="E8107" s="15" t="s">
        <v>4407</v>
      </c>
      <c r="F8107" s="15" t="s">
        <v>1578</v>
      </c>
      <c r="G8107" s="7">
        <v>52.338</v>
      </c>
      <c r="H8107" s="15" t="s">
        <v>3242</v>
      </c>
      <c r="I8107" s="15" t="s">
        <v>1586</v>
      </c>
      <c r="J8107" s="15" t="s">
        <v>29634</v>
      </c>
      <c r="K8107" s="15" t="s">
        <v>1722</v>
      </c>
      <c r="L8107" s="15">
        <v>24.0</v>
      </c>
      <c r="M8107" s="40">
        <v>42863.0</v>
      </c>
      <c r="N8107" s="40">
        <v>42863.0</v>
      </c>
      <c r="O8107" s="15" t="s">
        <v>1554</v>
      </c>
      <c r="Q8107" s="7"/>
    </row>
    <row r="8108">
      <c r="A8108" s="39" t="s">
        <v>29635</v>
      </c>
      <c r="B8108" s="15">
        <v>1955423.0</v>
      </c>
      <c r="D8108" s="15">
        <v>0.0</v>
      </c>
      <c r="E8108" s="15" t="s">
        <v>1557</v>
      </c>
      <c r="F8108" s="15" t="s">
        <v>1833</v>
      </c>
      <c r="G8108" s="7">
        <v>75.215</v>
      </c>
      <c r="H8108" s="15">
        <v>63.0</v>
      </c>
      <c r="I8108" s="15" t="s">
        <v>1586</v>
      </c>
      <c r="J8108" s="15" t="s">
        <v>29636</v>
      </c>
      <c r="K8108" s="15">
        <v>148.0</v>
      </c>
      <c r="L8108" s="15">
        <v>146.0</v>
      </c>
      <c r="M8108" s="40">
        <v>42785.0</v>
      </c>
      <c r="N8108" s="40">
        <v>42785.0</v>
      </c>
      <c r="O8108" s="15" t="s">
        <v>1554</v>
      </c>
      <c r="Q8108" s="7"/>
    </row>
    <row r="8109">
      <c r="A8109" s="39" t="s">
        <v>29637</v>
      </c>
      <c r="B8109" s="15">
        <v>1955424.0</v>
      </c>
      <c r="D8109" s="15">
        <v>0.0</v>
      </c>
      <c r="E8109" s="15" t="s">
        <v>1557</v>
      </c>
      <c r="F8109" s="15" t="s">
        <v>1833</v>
      </c>
      <c r="G8109" s="7">
        <v>51.402</v>
      </c>
      <c r="H8109" s="15">
        <v>64.0</v>
      </c>
      <c r="I8109" s="15" t="s">
        <v>1586</v>
      </c>
      <c r="J8109" s="15" t="s">
        <v>29638</v>
      </c>
      <c r="K8109" s="15">
        <v>89.0</v>
      </c>
      <c r="L8109" s="15">
        <v>89.0</v>
      </c>
      <c r="M8109" s="40">
        <v>42785.0</v>
      </c>
      <c r="N8109" s="40">
        <v>42785.0</v>
      </c>
      <c r="O8109" s="15" t="s">
        <v>1554</v>
      </c>
      <c r="Q8109" s="7"/>
    </row>
    <row r="8110">
      <c r="A8110" s="39" t="s">
        <v>29639</v>
      </c>
      <c r="B8110" s="15">
        <v>1955425.0</v>
      </c>
      <c r="D8110" s="15">
        <v>0.0</v>
      </c>
      <c r="E8110" s="15" t="s">
        <v>1557</v>
      </c>
      <c r="F8110" s="15" t="s">
        <v>1833</v>
      </c>
      <c r="G8110" s="7">
        <v>46.597</v>
      </c>
      <c r="H8110" s="15" t="s">
        <v>2057</v>
      </c>
      <c r="I8110" s="15" t="s">
        <v>1586</v>
      </c>
      <c r="J8110" s="15" t="s">
        <v>29640</v>
      </c>
      <c r="K8110" s="15">
        <v>67.0</v>
      </c>
      <c r="L8110" s="15">
        <v>65.0</v>
      </c>
      <c r="M8110" s="40">
        <v>42785.0</v>
      </c>
      <c r="N8110" s="40">
        <v>42785.0</v>
      </c>
      <c r="O8110" s="15" t="s">
        <v>1554</v>
      </c>
      <c r="Q8110" s="7"/>
    </row>
    <row r="8111">
      <c r="A8111" s="39" t="s">
        <v>29641</v>
      </c>
      <c r="B8111" s="15">
        <v>1955426.0</v>
      </c>
      <c r="D8111" s="15">
        <v>0.0</v>
      </c>
      <c r="E8111" s="15" t="s">
        <v>1557</v>
      </c>
      <c r="F8111" s="15" t="s">
        <v>1833</v>
      </c>
      <c r="G8111" s="7">
        <v>46.641</v>
      </c>
      <c r="H8111" s="15" t="s">
        <v>2057</v>
      </c>
      <c r="I8111" s="15" t="s">
        <v>1586</v>
      </c>
      <c r="J8111" s="15" t="s">
        <v>29642</v>
      </c>
      <c r="K8111" s="15">
        <v>68.0</v>
      </c>
      <c r="L8111" s="15">
        <v>65.0</v>
      </c>
      <c r="M8111" s="40">
        <v>42785.0</v>
      </c>
      <c r="N8111" s="40">
        <v>42785.0</v>
      </c>
      <c r="O8111" s="15" t="s">
        <v>1554</v>
      </c>
      <c r="Q8111" s="7"/>
    </row>
    <row r="8112">
      <c r="A8112" s="39" t="s">
        <v>29644</v>
      </c>
      <c r="B8112" s="15">
        <v>1958895.0</v>
      </c>
      <c r="D8112" s="15">
        <v>0.0</v>
      </c>
      <c r="E8112" s="15" t="s">
        <v>1557</v>
      </c>
      <c r="F8112" s="15" t="s">
        <v>1833</v>
      </c>
      <c r="G8112" s="7">
        <v>49.156</v>
      </c>
      <c r="H8112" s="15" t="s">
        <v>6661</v>
      </c>
      <c r="I8112" s="15" t="s">
        <v>1586</v>
      </c>
      <c r="J8112" s="15" t="s">
        <v>29645</v>
      </c>
      <c r="K8112" s="15">
        <v>86.0</v>
      </c>
      <c r="L8112" s="15">
        <v>84.0</v>
      </c>
      <c r="M8112" s="40">
        <v>42798.0</v>
      </c>
      <c r="N8112" s="40">
        <v>42798.0</v>
      </c>
      <c r="O8112" s="15" t="s">
        <v>1554</v>
      </c>
      <c r="Q8112" s="7"/>
    </row>
    <row r="8113">
      <c r="A8113" s="39" t="s">
        <v>29646</v>
      </c>
      <c r="B8113" s="15">
        <v>1958907.0</v>
      </c>
      <c r="D8113" s="15">
        <v>0.0</v>
      </c>
      <c r="E8113" s="15" t="s">
        <v>1557</v>
      </c>
      <c r="F8113" s="15" t="s">
        <v>1611</v>
      </c>
      <c r="G8113" s="7">
        <v>18.546</v>
      </c>
      <c r="H8113" s="42">
        <v>43341.0</v>
      </c>
      <c r="I8113" s="15" t="s">
        <v>1586</v>
      </c>
      <c r="J8113" s="15" t="s">
        <v>29647</v>
      </c>
      <c r="K8113" s="15">
        <v>20.0</v>
      </c>
      <c r="L8113" s="15">
        <v>20.0</v>
      </c>
      <c r="M8113" s="40">
        <v>42800.0</v>
      </c>
      <c r="N8113" s="40">
        <v>42807.0</v>
      </c>
      <c r="O8113" s="15" t="s">
        <v>1554</v>
      </c>
      <c r="Q8113" s="7"/>
    </row>
    <row r="8114">
      <c r="A8114" s="39" t="s">
        <v>29648</v>
      </c>
      <c r="B8114" s="15">
        <v>1958908.0</v>
      </c>
      <c r="D8114" s="15">
        <v>0.0</v>
      </c>
      <c r="E8114" s="15" t="s">
        <v>1557</v>
      </c>
      <c r="F8114" s="15" t="s">
        <v>1833</v>
      </c>
      <c r="G8114" s="7">
        <v>44.936</v>
      </c>
      <c r="H8114" s="15" t="s">
        <v>6204</v>
      </c>
      <c r="I8114" s="15" t="s">
        <v>1586</v>
      </c>
      <c r="J8114" s="15" t="s">
        <v>29649</v>
      </c>
      <c r="K8114" s="15">
        <v>82.0</v>
      </c>
      <c r="L8114" s="15">
        <v>82.0</v>
      </c>
      <c r="M8114" s="40">
        <v>42812.0</v>
      </c>
      <c r="N8114" s="40">
        <v>42812.0</v>
      </c>
      <c r="O8114" s="15" t="s">
        <v>1554</v>
      </c>
      <c r="Q8114" s="7"/>
    </row>
    <row r="8115">
      <c r="A8115" s="39" t="s">
        <v>29650</v>
      </c>
      <c r="B8115" s="15">
        <v>1958909.0</v>
      </c>
      <c r="D8115" s="15">
        <v>0.0</v>
      </c>
      <c r="E8115" s="15" t="s">
        <v>1557</v>
      </c>
      <c r="F8115" s="15" t="s">
        <v>1833</v>
      </c>
      <c r="G8115" s="7">
        <v>44.936</v>
      </c>
      <c r="H8115" s="15" t="s">
        <v>6204</v>
      </c>
      <c r="I8115" s="15" t="s">
        <v>1586</v>
      </c>
      <c r="J8115" s="15" t="s">
        <v>29652</v>
      </c>
      <c r="K8115" s="15">
        <v>82.0</v>
      </c>
      <c r="L8115" s="15">
        <v>82.0</v>
      </c>
      <c r="M8115" s="40">
        <v>42812.0</v>
      </c>
      <c r="N8115" s="40">
        <v>42812.0</v>
      </c>
      <c r="O8115" s="15" t="s">
        <v>1554</v>
      </c>
      <c r="Q8115" s="7"/>
    </row>
    <row r="8116">
      <c r="A8116" s="39" t="s">
        <v>29653</v>
      </c>
      <c r="B8116" s="15">
        <v>1958910.0</v>
      </c>
      <c r="D8116" s="15">
        <v>0.0</v>
      </c>
      <c r="E8116" s="15" t="s">
        <v>1557</v>
      </c>
      <c r="F8116" s="15" t="s">
        <v>1833</v>
      </c>
      <c r="G8116" s="7">
        <v>55.094</v>
      </c>
      <c r="H8116" s="15" t="s">
        <v>10442</v>
      </c>
      <c r="I8116" s="15" t="s">
        <v>1586</v>
      </c>
      <c r="J8116" s="15" t="s">
        <v>29654</v>
      </c>
      <c r="K8116" s="15">
        <v>95.0</v>
      </c>
      <c r="L8116" s="15">
        <v>95.0</v>
      </c>
      <c r="M8116" s="40">
        <v>42812.0</v>
      </c>
      <c r="N8116" s="40">
        <v>42812.0</v>
      </c>
      <c r="O8116" s="15" t="s">
        <v>1554</v>
      </c>
      <c r="Q8116" s="7"/>
    </row>
    <row r="8117">
      <c r="A8117" s="39" t="s">
        <v>29655</v>
      </c>
      <c r="B8117" s="15">
        <v>1958911.0</v>
      </c>
      <c r="D8117" s="15">
        <v>0.0</v>
      </c>
      <c r="E8117" s="15" t="s">
        <v>1557</v>
      </c>
      <c r="F8117" s="15" t="s">
        <v>1833</v>
      </c>
      <c r="G8117" s="7">
        <v>51.367</v>
      </c>
      <c r="H8117" s="15" t="s">
        <v>3286</v>
      </c>
      <c r="I8117" s="15" t="s">
        <v>1586</v>
      </c>
      <c r="J8117" s="15" t="s">
        <v>29656</v>
      </c>
      <c r="K8117" s="15">
        <v>86.0</v>
      </c>
      <c r="L8117" s="15">
        <v>86.0</v>
      </c>
      <c r="M8117" s="40">
        <v>42812.0</v>
      </c>
      <c r="N8117" s="40">
        <v>42913.0</v>
      </c>
      <c r="O8117" s="15" t="s">
        <v>1554</v>
      </c>
      <c r="Q8117" s="7"/>
    </row>
    <row r="8118">
      <c r="A8118" s="39" t="s">
        <v>29657</v>
      </c>
      <c r="B8118" s="15">
        <v>1958912.0</v>
      </c>
      <c r="D8118" s="15">
        <v>0.0</v>
      </c>
      <c r="E8118" s="15" t="s">
        <v>1557</v>
      </c>
      <c r="F8118" s="15" t="s">
        <v>1833</v>
      </c>
      <c r="G8118" s="7">
        <v>57.408</v>
      </c>
      <c r="H8118" s="15" t="s">
        <v>1994</v>
      </c>
      <c r="I8118" s="15" t="s">
        <v>1586</v>
      </c>
      <c r="J8118" s="15" t="s">
        <v>29658</v>
      </c>
      <c r="K8118" s="15">
        <v>127.0</v>
      </c>
      <c r="L8118" s="15">
        <v>127.0</v>
      </c>
      <c r="M8118" s="40">
        <v>42798.0</v>
      </c>
      <c r="N8118" s="40">
        <v>42798.0</v>
      </c>
      <c r="O8118" s="15" t="s">
        <v>1554</v>
      </c>
      <c r="Q8118" s="7"/>
    </row>
    <row r="8119">
      <c r="A8119" s="39" t="s">
        <v>29659</v>
      </c>
      <c r="B8119" s="15">
        <v>1958921.0</v>
      </c>
      <c r="D8119" s="15">
        <v>0.0</v>
      </c>
      <c r="E8119" s="15" t="s">
        <v>4407</v>
      </c>
      <c r="F8119" s="15" t="s">
        <v>1578</v>
      </c>
      <c r="G8119" s="7">
        <v>231.998</v>
      </c>
      <c r="H8119" s="15" t="s">
        <v>1962</v>
      </c>
      <c r="I8119" s="15" t="s">
        <v>1586</v>
      </c>
      <c r="J8119" s="15" t="s">
        <v>29660</v>
      </c>
      <c r="K8119" s="15">
        <v>241.0</v>
      </c>
      <c r="L8119" s="15">
        <v>241.0</v>
      </c>
      <c r="M8119" s="40">
        <v>42798.0</v>
      </c>
      <c r="N8119" s="40">
        <v>42880.0</v>
      </c>
      <c r="O8119" s="15" t="s">
        <v>1554</v>
      </c>
      <c r="Q8119" s="7"/>
    </row>
    <row r="8120">
      <c r="A8120" s="39" t="s">
        <v>29662</v>
      </c>
      <c r="B8120" s="15">
        <v>1958922.0</v>
      </c>
      <c r="D8120" s="15">
        <v>0.0</v>
      </c>
      <c r="E8120" s="15" t="s">
        <v>1557</v>
      </c>
      <c r="F8120" s="15" t="s">
        <v>1611</v>
      </c>
      <c r="G8120" s="7">
        <v>18.275</v>
      </c>
      <c r="H8120" s="42">
        <v>43130.0</v>
      </c>
      <c r="I8120" s="15" t="s">
        <v>1586</v>
      </c>
      <c r="J8120" s="15" t="s">
        <v>29663</v>
      </c>
      <c r="K8120" s="15" t="s">
        <v>1722</v>
      </c>
      <c r="L8120" s="15">
        <v>21.0</v>
      </c>
      <c r="M8120" s="40">
        <v>42795.0</v>
      </c>
      <c r="N8120" s="40">
        <v>42795.0</v>
      </c>
      <c r="O8120" s="15" t="s">
        <v>1554</v>
      </c>
      <c r="Q8120" s="7"/>
    </row>
    <row r="8121">
      <c r="A8121" s="39" t="s">
        <v>29664</v>
      </c>
      <c r="B8121" s="15">
        <v>1958956.0</v>
      </c>
      <c r="D8121" s="15">
        <v>0.0</v>
      </c>
      <c r="E8121" s="15" t="s">
        <v>1557</v>
      </c>
      <c r="F8121" s="15" t="s">
        <v>1767</v>
      </c>
      <c r="G8121" s="7">
        <v>259.7</v>
      </c>
      <c r="H8121" s="15" t="s">
        <v>1572</v>
      </c>
      <c r="I8121" s="15" t="s">
        <v>1586</v>
      </c>
      <c r="J8121" s="15" t="s">
        <v>29665</v>
      </c>
      <c r="K8121" s="15">
        <v>334.0</v>
      </c>
      <c r="L8121" s="15">
        <v>334.0</v>
      </c>
      <c r="M8121" s="40">
        <v>42798.0</v>
      </c>
      <c r="N8121" s="41">
        <v>43033.0</v>
      </c>
      <c r="O8121" s="15" t="s">
        <v>1554</v>
      </c>
      <c r="Q8121" s="7"/>
    </row>
    <row r="8122">
      <c r="A8122" s="39" t="s">
        <v>29666</v>
      </c>
      <c r="B8122" s="15">
        <v>1958965.0</v>
      </c>
      <c r="D8122" s="15">
        <v>0.0</v>
      </c>
      <c r="E8122" s="15" t="s">
        <v>1557</v>
      </c>
      <c r="F8122" s="15" t="s">
        <v>1611</v>
      </c>
      <c r="G8122" s="7">
        <v>43.211</v>
      </c>
      <c r="H8122" s="15" t="s">
        <v>2038</v>
      </c>
      <c r="I8122" s="15" t="s">
        <v>1586</v>
      </c>
      <c r="J8122" s="15" t="s">
        <v>29667</v>
      </c>
      <c r="K8122" s="15" t="s">
        <v>1722</v>
      </c>
      <c r="L8122" s="15">
        <v>48.0</v>
      </c>
      <c r="M8122" s="40">
        <v>42798.0</v>
      </c>
      <c r="N8122" s="40">
        <v>42798.0</v>
      </c>
      <c r="O8122" s="15" t="s">
        <v>1554</v>
      </c>
      <c r="Q8122" s="7"/>
    </row>
    <row r="8123">
      <c r="A8123" s="39" t="s">
        <v>29668</v>
      </c>
      <c r="B8123" s="15">
        <v>1959008.0</v>
      </c>
      <c r="D8123" s="15">
        <v>0.0</v>
      </c>
      <c r="E8123" s="15" t="s">
        <v>1557</v>
      </c>
      <c r="F8123" s="15" t="s">
        <v>3164</v>
      </c>
      <c r="G8123" s="7">
        <v>16.271</v>
      </c>
      <c r="H8123" s="15" t="s">
        <v>2316</v>
      </c>
      <c r="I8123" s="15" t="s">
        <v>1618</v>
      </c>
      <c r="J8123" s="15" t="s">
        <v>29670</v>
      </c>
      <c r="K8123" s="15" t="s">
        <v>1722</v>
      </c>
      <c r="L8123" s="15">
        <v>38.0</v>
      </c>
      <c r="M8123" s="40">
        <v>42786.0</v>
      </c>
      <c r="N8123" s="40">
        <v>42786.0</v>
      </c>
      <c r="O8123" s="15" t="s">
        <v>1554</v>
      </c>
      <c r="Q8123" s="7"/>
    </row>
    <row r="8124">
      <c r="A8124" s="39" t="s">
        <v>29671</v>
      </c>
      <c r="B8124" s="15">
        <v>1959009.0</v>
      </c>
      <c r="D8124" s="15">
        <v>0.0</v>
      </c>
      <c r="E8124" s="15" t="s">
        <v>1557</v>
      </c>
      <c r="F8124" s="15" t="s">
        <v>3164</v>
      </c>
      <c r="G8124" s="7">
        <v>15.23</v>
      </c>
      <c r="H8124" s="15" t="s">
        <v>2342</v>
      </c>
      <c r="I8124" s="15" t="s">
        <v>1618</v>
      </c>
      <c r="J8124" s="15" t="s">
        <v>29672</v>
      </c>
      <c r="K8124" s="15">
        <v>3.0</v>
      </c>
      <c r="L8124" s="15">
        <v>31.0</v>
      </c>
      <c r="M8124" s="40">
        <v>42786.0</v>
      </c>
      <c r="N8124" s="40">
        <v>42786.0</v>
      </c>
      <c r="O8124" s="15" t="s">
        <v>1554</v>
      </c>
      <c r="Q8124" s="7"/>
    </row>
    <row r="8125">
      <c r="A8125" s="39" t="s">
        <v>29673</v>
      </c>
      <c r="B8125" s="15">
        <v>1959484.0</v>
      </c>
      <c r="D8125" s="15">
        <v>0.0</v>
      </c>
      <c r="E8125" s="15" t="s">
        <v>1557</v>
      </c>
      <c r="F8125" s="15" t="s">
        <v>1833</v>
      </c>
      <c r="G8125" s="7">
        <v>52.715</v>
      </c>
      <c r="H8125" s="15" t="s">
        <v>3029</v>
      </c>
      <c r="I8125" s="15" t="s">
        <v>1586</v>
      </c>
      <c r="J8125" s="15" t="s">
        <v>29674</v>
      </c>
      <c r="K8125" s="15">
        <v>100.0</v>
      </c>
      <c r="L8125" s="15">
        <v>99.0</v>
      </c>
      <c r="M8125" s="40">
        <v>42798.0</v>
      </c>
      <c r="N8125" s="40">
        <v>42798.0</v>
      </c>
      <c r="O8125" s="15" t="s">
        <v>1554</v>
      </c>
      <c r="Q8125" s="7"/>
    </row>
    <row r="8126">
      <c r="A8126" s="39" t="s">
        <v>29675</v>
      </c>
      <c r="B8126" s="15">
        <v>1959735.0</v>
      </c>
      <c r="D8126" s="15">
        <v>0.0</v>
      </c>
      <c r="E8126" s="15" t="s">
        <v>1557</v>
      </c>
      <c r="F8126" s="15" t="s">
        <v>1833</v>
      </c>
      <c r="G8126" s="7">
        <v>219.348</v>
      </c>
      <c r="H8126" s="15" t="s">
        <v>12271</v>
      </c>
      <c r="I8126" s="15" t="s">
        <v>1586</v>
      </c>
      <c r="J8126" s="15" t="s">
        <v>29676</v>
      </c>
      <c r="K8126" s="15">
        <v>373.0</v>
      </c>
      <c r="L8126" s="15">
        <v>347.0</v>
      </c>
      <c r="M8126" s="40">
        <v>42823.0</v>
      </c>
      <c r="N8126" s="40">
        <v>42823.0</v>
      </c>
      <c r="O8126" s="15" t="s">
        <v>1554</v>
      </c>
      <c r="Q8126" s="7"/>
    </row>
    <row r="8127">
      <c r="A8127" s="39" t="s">
        <v>29678</v>
      </c>
      <c r="B8127" s="15">
        <v>1959736.0</v>
      </c>
      <c r="D8127" s="15">
        <v>0.0</v>
      </c>
      <c r="E8127" s="15" t="s">
        <v>1557</v>
      </c>
      <c r="F8127" s="15" t="s">
        <v>1833</v>
      </c>
      <c r="G8127" s="7">
        <v>220.299</v>
      </c>
      <c r="H8127" s="15" t="s">
        <v>12271</v>
      </c>
      <c r="I8127" s="15" t="s">
        <v>1586</v>
      </c>
      <c r="J8127" s="15" t="s">
        <v>29679</v>
      </c>
      <c r="K8127" s="15">
        <v>370.0</v>
      </c>
      <c r="L8127" s="15">
        <v>344.0</v>
      </c>
      <c r="M8127" s="40">
        <v>42823.0</v>
      </c>
      <c r="N8127" s="40">
        <v>42823.0</v>
      </c>
      <c r="O8127" s="15" t="s">
        <v>1554</v>
      </c>
      <c r="Q8127" s="7"/>
    </row>
    <row r="8128">
      <c r="A8128" s="39" t="s">
        <v>29680</v>
      </c>
      <c r="B8128" s="15">
        <v>1959737.0</v>
      </c>
      <c r="D8128" s="15">
        <v>0.0</v>
      </c>
      <c r="E8128" s="15" t="s">
        <v>1557</v>
      </c>
      <c r="F8128" s="15" t="s">
        <v>1833</v>
      </c>
      <c r="G8128" s="7">
        <v>229.319</v>
      </c>
      <c r="H8128" s="15" t="s">
        <v>6204</v>
      </c>
      <c r="I8128" s="15" t="s">
        <v>1586</v>
      </c>
      <c r="J8128" s="15" t="s">
        <v>29681</v>
      </c>
      <c r="K8128" s="15">
        <v>387.0</v>
      </c>
      <c r="L8128" s="15">
        <v>361.0</v>
      </c>
      <c r="M8128" s="40">
        <v>42823.0</v>
      </c>
      <c r="N8128" s="40">
        <v>42823.0</v>
      </c>
      <c r="O8128" s="15" t="s">
        <v>1554</v>
      </c>
      <c r="Q8128" s="7"/>
    </row>
    <row r="8129">
      <c r="A8129" s="39" t="s">
        <v>29682</v>
      </c>
      <c r="B8129" s="15">
        <v>1959738.0</v>
      </c>
      <c r="D8129" s="15">
        <v>0.0</v>
      </c>
      <c r="E8129" s="15" t="s">
        <v>1557</v>
      </c>
      <c r="F8129" s="15" t="s">
        <v>1833</v>
      </c>
      <c r="G8129" s="7">
        <v>215.799</v>
      </c>
      <c r="H8129" s="15" t="s">
        <v>6204</v>
      </c>
      <c r="I8129" s="15" t="s">
        <v>1586</v>
      </c>
      <c r="J8129" s="15" t="s">
        <v>29683</v>
      </c>
      <c r="K8129" s="15">
        <v>357.0</v>
      </c>
      <c r="L8129" s="15">
        <v>331.0</v>
      </c>
      <c r="M8129" s="40">
        <v>42823.0</v>
      </c>
      <c r="N8129" s="40">
        <v>42823.0</v>
      </c>
      <c r="O8129" s="15" t="s">
        <v>1554</v>
      </c>
      <c r="Q8129" s="7"/>
    </row>
    <row r="8130">
      <c r="A8130" s="39" t="s">
        <v>29684</v>
      </c>
      <c r="B8130" s="15">
        <v>1959739.0</v>
      </c>
      <c r="D8130" s="15">
        <v>0.0</v>
      </c>
      <c r="E8130" s="15" t="s">
        <v>1557</v>
      </c>
      <c r="F8130" s="15" t="s">
        <v>1833</v>
      </c>
      <c r="G8130" s="7">
        <v>216.24</v>
      </c>
      <c r="H8130" s="15" t="s">
        <v>6204</v>
      </c>
      <c r="I8130" s="15" t="s">
        <v>1586</v>
      </c>
      <c r="J8130" s="15" t="s">
        <v>29686</v>
      </c>
      <c r="K8130" s="15">
        <v>365.0</v>
      </c>
      <c r="L8130" s="15">
        <v>339.0</v>
      </c>
      <c r="M8130" s="40">
        <v>42823.0</v>
      </c>
      <c r="N8130" s="40">
        <v>42823.0</v>
      </c>
      <c r="O8130" s="15" t="s">
        <v>1554</v>
      </c>
      <c r="Q8130" s="7"/>
    </row>
    <row r="8131">
      <c r="A8131" s="39" t="s">
        <v>29687</v>
      </c>
      <c r="B8131" s="15">
        <v>1959740.0</v>
      </c>
      <c r="D8131" s="15">
        <v>0.0</v>
      </c>
      <c r="E8131" s="15" t="s">
        <v>1557</v>
      </c>
      <c r="F8131" s="15" t="s">
        <v>1833</v>
      </c>
      <c r="G8131" s="7">
        <v>218.729</v>
      </c>
      <c r="H8131" s="15" t="s">
        <v>6204</v>
      </c>
      <c r="I8131" s="15" t="s">
        <v>1586</v>
      </c>
      <c r="J8131" s="15" t="s">
        <v>29688</v>
      </c>
      <c r="K8131" s="15">
        <v>367.0</v>
      </c>
      <c r="L8131" s="15">
        <v>340.0</v>
      </c>
      <c r="M8131" s="40">
        <v>42823.0</v>
      </c>
      <c r="N8131" s="40">
        <v>42823.0</v>
      </c>
      <c r="O8131" s="15" t="s">
        <v>1554</v>
      </c>
      <c r="Q8131" s="7"/>
    </row>
    <row r="8132">
      <c r="A8132" s="39" t="s">
        <v>29689</v>
      </c>
      <c r="B8132" s="15">
        <v>1960654.0</v>
      </c>
      <c r="D8132" s="15">
        <v>0.0</v>
      </c>
      <c r="E8132" s="15" t="s">
        <v>4407</v>
      </c>
      <c r="F8132" s="15" t="s">
        <v>1578</v>
      </c>
      <c r="G8132" s="7">
        <v>29.88</v>
      </c>
      <c r="H8132" s="15" t="s">
        <v>1750</v>
      </c>
      <c r="I8132" s="15" t="s">
        <v>1586</v>
      </c>
      <c r="J8132" s="15" t="s">
        <v>29690</v>
      </c>
      <c r="K8132" s="15" t="s">
        <v>1722</v>
      </c>
      <c r="L8132" s="15">
        <v>24.0</v>
      </c>
      <c r="M8132" s="40">
        <v>42863.0</v>
      </c>
      <c r="N8132" s="40">
        <v>42863.0</v>
      </c>
      <c r="O8132" s="15" t="s">
        <v>1554</v>
      </c>
      <c r="Q8132" s="7"/>
    </row>
    <row r="8133">
      <c r="A8133" s="39" t="s">
        <v>29691</v>
      </c>
      <c r="B8133" s="15">
        <v>1960655.0</v>
      </c>
      <c r="D8133" s="15">
        <v>0.0</v>
      </c>
      <c r="E8133" s="15" t="s">
        <v>4407</v>
      </c>
      <c r="F8133" s="15" t="s">
        <v>1578</v>
      </c>
      <c r="G8133" s="7">
        <v>44.4</v>
      </c>
      <c r="H8133" s="15" t="s">
        <v>5955</v>
      </c>
      <c r="I8133" s="15" t="s">
        <v>1586</v>
      </c>
      <c r="J8133" s="15" t="s">
        <v>29692</v>
      </c>
      <c r="K8133" s="15" t="s">
        <v>1722</v>
      </c>
      <c r="L8133" s="15">
        <v>50.0</v>
      </c>
      <c r="M8133" s="40">
        <v>42875.0</v>
      </c>
      <c r="N8133" s="40">
        <v>42875.0</v>
      </c>
      <c r="O8133" s="15" t="s">
        <v>1554</v>
      </c>
      <c r="Q8133" s="7"/>
    </row>
    <row r="8134">
      <c r="A8134" s="39" t="s">
        <v>29693</v>
      </c>
      <c r="B8134" s="15">
        <v>1960656.0</v>
      </c>
      <c r="D8134" s="15">
        <v>0.0</v>
      </c>
      <c r="E8134" s="15" t="s">
        <v>4407</v>
      </c>
      <c r="F8134" s="15" t="s">
        <v>1578</v>
      </c>
      <c r="G8134" s="7">
        <v>44.279</v>
      </c>
      <c r="H8134" s="15">
        <v>53.0</v>
      </c>
      <c r="I8134" s="15" t="s">
        <v>1586</v>
      </c>
      <c r="J8134" s="15" t="s">
        <v>29694</v>
      </c>
      <c r="K8134" s="15" t="s">
        <v>1722</v>
      </c>
      <c r="L8134" s="15">
        <v>46.0</v>
      </c>
      <c r="M8134" s="40">
        <v>42863.0</v>
      </c>
      <c r="N8134" s="40">
        <v>42863.0</v>
      </c>
      <c r="O8134" s="15" t="s">
        <v>1554</v>
      </c>
      <c r="Q8134" s="7"/>
    </row>
    <row r="8135">
      <c r="A8135" s="39" t="s">
        <v>29696</v>
      </c>
      <c r="B8135" s="15">
        <v>1960657.0</v>
      </c>
      <c r="D8135" s="15">
        <v>0.0</v>
      </c>
      <c r="E8135" s="15" t="s">
        <v>4407</v>
      </c>
      <c r="F8135" s="15" t="s">
        <v>1578</v>
      </c>
      <c r="G8135" s="7">
        <v>35.1</v>
      </c>
      <c r="H8135" s="15" t="s">
        <v>6085</v>
      </c>
      <c r="I8135" s="15" t="s">
        <v>1586</v>
      </c>
      <c r="J8135" s="15" t="s">
        <v>29697</v>
      </c>
      <c r="K8135" s="15" t="s">
        <v>1722</v>
      </c>
      <c r="L8135" s="15">
        <v>36.0</v>
      </c>
      <c r="M8135" s="40">
        <v>42863.0</v>
      </c>
      <c r="N8135" s="40">
        <v>42863.0</v>
      </c>
      <c r="O8135" s="15" t="s">
        <v>1554</v>
      </c>
      <c r="Q8135" s="7"/>
    </row>
    <row r="8136">
      <c r="A8136" s="39" t="s">
        <v>29698</v>
      </c>
      <c r="B8136" s="15">
        <v>1960658.0</v>
      </c>
      <c r="D8136" s="15">
        <v>0.0</v>
      </c>
      <c r="E8136" s="15" t="s">
        <v>4407</v>
      </c>
      <c r="F8136" s="15" t="s">
        <v>1578</v>
      </c>
      <c r="G8136" s="7">
        <v>33.54</v>
      </c>
      <c r="H8136" s="15" t="s">
        <v>1750</v>
      </c>
      <c r="I8136" s="15" t="s">
        <v>1586</v>
      </c>
      <c r="J8136" s="15" t="s">
        <v>29699</v>
      </c>
      <c r="K8136" s="15" t="s">
        <v>1722</v>
      </c>
      <c r="L8136" s="15">
        <v>38.0</v>
      </c>
      <c r="M8136" s="40">
        <v>42863.0</v>
      </c>
      <c r="N8136" s="40">
        <v>42863.0</v>
      </c>
      <c r="O8136" s="15" t="s">
        <v>1554</v>
      </c>
      <c r="Q8136" s="7"/>
    </row>
    <row r="8137">
      <c r="A8137" s="39" t="s">
        <v>29700</v>
      </c>
      <c r="B8137" s="15">
        <v>1960659.0</v>
      </c>
      <c r="D8137" s="15">
        <v>0.0</v>
      </c>
      <c r="E8137" s="15" t="s">
        <v>4407</v>
      </c>
      <c r="F8137" s="15" t="s">
        <v>1578</v>
      </c>
      <c r="G8137" s="7">
        <v>47.014</v>
      </c>
      <c r="H8137" s="15" t="s">
        <v>1881</v>
      </c>
      <c r="I8137" s="15" t="s">
        <v>1586</v>
      </c>
      <c r="J8137" s="15" t="s">
        <v>29701</v>
      </c>
      <c r="K8137" s="15" t="s">
        <v>1722</v>
      </c>
      <c r="L8137" s="15">
        <v>41.0</v>
      </c>
      <c r="M8137" s="40">
        <v>42863.0</v>
      </c>
      <c r="N8137" s="40">
        <v>42863.0</v>
      </c>
      <c r="O8137" s="15" t="s">
        <v>1554</v>
      </c>
      <c r="Q8137" s="7"/>
    </row>
    <row r="8138">
      <c r="A8138" s="39" t="s">
        <v>29703</v>
      </c>
      <c r="B8138" s="15">
        <v>1960660.0</v>
      </c>
      <c r="D8138" s="15">
        <v>0.0</v>
      </c>
      <c r="E8138" s="15" t="s">
        <v>4407</v>
      </c>
      <c r="F8138" s="15" t="s">
        <v>1578</v>
      </c>
      <c r="G8138" s="7">
        <v>19.26</v>
      </c>
      <c r="H8138" s="15" t="s">
        <v>1977</v>
      </c>
      <c r="I8138" s="15" t="s">
        <v>1586</v>
      </c>
      <c r="J8138" s="15" t="s">
        <v>29704</v>
      </c>
      <c r="K8138" s="15" t="s">
        <v>1722</v>
      </c>
      <c r="L8138" s="15">
        <v>22.0</v>
      </c>
      <c r="M8138" s="40">
        <v>42863.0</v>
      </c>
      <c r="N8138" s="40">
        <v>42863.0</v>
      </c>
      <c r="O8138" s="15" t="s">
        <v>1554</v>
      </c>
      <c r="Q8138" s="7"/>
    </row>
    <row r="8139">
      <c r="A8139" s="39" t="s">
        <v>29705</v>
      </c>
      <c r="B8139" s="15">
        <v>1961797.0</v>
      </c>
      <c r="D8139" s="15">
        <v>0.0</v>
      </c>
      <c r="E8139" s="15" t="s">
        <v>1557</v>
      </c>
      <c r="F8139" s="15" t="s">
        <v>1767</v>
      </c>
      <c r="G8139" s="7">
        <v>137.836</v>
      </c>
      <c r="H8139" s="42">
        <v>43220.0</v>
      </c>
      <c r="I8139" s="15" t="s">
        <v>1586</v>
      </c>
      <c r="J8139" s="15" t="s">
        <v>29706</v>
      </c>
      <c r="K8139" s="15">
        <v>212.0</v>
      </c>
      <c r="L8139" s="15">
        <v>209.0</v>
      </c>
      <c r="M8139" s="40">
        <v>42795.0</v>
      </c>
      <c r="N8139" s="40">
        <v>42831.0</v>
      </c>
      <c r="O8139" s="15" t="s">
        <v>1554</v>
      </c>
      <c r="Q8139" s="7"/>
    </row>
    <row r="8140">
      <c r="A8140" s="39" t="s">
        <v>29707</v>
      </c>
      <c r="B8140" s="15">
        <v>1961914.0</v>
      </c>
      <c r="D8140" s="15">
        <v>0.0</v>
      </c>
      <c r="E8140" s="15" t="s">
        <v>1557</v>
      </c>
      <c r="F8140" s="15" t="s">
        <v>1611</v>
      </c>
      <c r="G8140" s="7">
        <v>39.906</v>
      </c>
      <c r="H8140" s="15" t="s">
        <v>2365</v>
      </c>
      <c r="I8140" s="15" t="s">
        <v>1586</v>
      </c>
      <c r="J8140" s="15" t="s">
        <v>29708</v>
      </c>
      <c r="K8140" s="15" t="s">
        <v>1722</v>
      </c>
      <c r="L8140" s="15">
        <v>49.0</v>
      </c>
      <c r="M8140" s="40">
        <v>42976.0</v>
      </c>
      <c r="N8140" s="40">
        <v>42976.0</v>
      </c>
      <c r="O8140" s="15" t="s">
        <v>1554</v>
      </c>
      <c r="Q8140" s="7"/>
    </row>
    <row r="8141">
      <c r="A8141" s="39" t="s">
        <v>29709</v>
      </c>
      <c r="B8141" s="15">
        <v>1962671.0</v>
      </c>
      <c r="D8141" s="15">
        <v>0.0</v>
      </c>
      <c r="E8141" s="15" t="s">
        <v>4407</v>
      </c>
      <c r="F8141" s="15" t="s">
        <v>1578</v>
      </c>
      <c r="G8141" s="7">
        <v>357.154</v>
      </c>
      <c r="H8141" s="15" t="s">
        <v>10067</v>
      </c>
      <c r="I8141" s="15" t="s">
        <v>1586</v>
      </c>
      <c r="J8141" s="15" t="s">
        <v>29711</v>
      </c>
      <c r="K8141" s="15">
        <v>580.0</v>
      </c>
      <c r="L8141" s="15">
        <v>549.0</v>
      </c>
      <c r="M8141" s="40">
        <v>42800.0</v>
      </c>
      <c r="N8141" s="40">
        <v>42800.0</v>
      </c>
      <c r="O8141" s="15" t="s">
        <v>1554</v>
      </c>
      <c r="Q8141" s="7"/>
    </row>
    <row r="8142">
      <c r="A8142" s="39" t="s">
        <v>29712</v>
      </c>
      <c r="B8142" s="15">
        <v>1962672.0</v>
      </c>
      <c r="D8142" s="15">
        <v>0.0</v>
      </c>
      <c r="E8142" s="15" t="s">
        <v>1557</v>
      </c>
      <c r="F8142" s="15" t="s">
        <v>1833</v>
      </c>
      <c r="G8142" s="7">
        <v>56.075</v>
      </c>
      <c r="H8142" s="15" t="s">
        <v>2023</v>
      </c>
      <c r="I8142" s="15" t="s">
        <v>1586</v>
      </c>
      <c r="J8142" s="15" t="s">
        <v>29713</v>
      </c>
      <c r="K8142" s="15">
        <v>77.0</v>
      </c>
      <c r="L8142" s="15">
        <v>77.0</v>
      </c>
      <c r="M8142" s="40">
        <v>42812.0</v>
      </c>
      <c r="N8142" s="40">
        <v>42866.0</v>
      </c>
      <c r="O8142" s="15" t="s">
        <v>1554</v>
      </c>
      <c r="Q8142" s="7"/>
    </row>
    <row r="8143">
      <c r="A8143" s="39" t="s">
        <v>29714</v>
      </c>
      <c r="B8143" s="15">
        <v>1962768.0</v>
      </c>
      <c r="D8143" s="15">
        <v>0.0</v>
      </c>
      <c r="E8143" s="15" t="s">
        <v>1557</v>
      </c>
      <c r="F8143" s="15" t="s">
        <v>1578</v>
      </c>
      <c r="G8143" s="7">
        <v>50.8</v>
      </c>
      <c r="H8143" s="15" t="s">
        <v>3538</v>
      </c>
      <c r="I8143" s="15" t="s">
        <v>1586</v>
      </c>
      <c r="J8143" s="15" t="s">
        <v>29715</v>
      </c>
      <c r="K8143" s="15">
        <v>80.0</v>
      </c>
      <c r="L8143" s="15">
        <v>79.0</v>
      </c>
      <c r="M8143" s="40">
        <v>42812.0</v>
      </c>
      <c r="N8143" s="40">
        <v>42812.0</v>
      </c>
      <c r="O8143" s="15" t="s">
        <v>1554</v>
      </c>
      <c r="Q8143" s="7"/>
    </row>
    <row r="8144">
      <c r="A8144" s="39" t="s">
        <v>29716</v>
      </c>
      <c r="B8144" s="15">
        <v>1964565.0</v>
      </c>
      <c r="D8144" s="15">
        <v>0.0</v>
      </c>
      <c r="E8144" s="15" t="s">
        <v>1557</v>
      </c>
      <c r="F8144" s="15" t="s">
        <v>1833</v>
      </c>
      <c r="G8144" s="7">
        <v>60.362</v>
      </c>
      <c r="H8144" s="15" t="s">
        <v>4190</v>
      </c>
      <c r="I8144" s="15" t="s">
        <v>1586</v>
      </c>
      <c r="J8144" s="15" t="s">
        <v>29717</v>
      </c>
      <c r="K8144" s="15" t="s">
        <v>1722</v>
      </c>
      <c r="L8144" s="15">
        <v>52.0</v>
      </c>
      <c r="M8144" s="40">
        <v>42823.0</v>
      </c>
      <c r="N8144" s="40">
        <v>42823.0</v>
      </c>
      <c r="O8144" s="15" t="s">
        <v>1554</v>
      </c>
      <c r="Q8144" s="7"/>
    </row>
    <row r="8145">
      <c r="A8145" s="39" t="s">
        <v>29719</v>
      </c>
      <c r="B8145" s="15">
        <v>1965283.0</v>
      </c>
      <c r="D8145" s="15">
        <v>0.0</v>
      </c>
      <c r="E8145" s="15" t="s">
        <v>4407</v>
      </c>
      <c r="F8145" s="15" t="s">
        <v>1578</v>
      </c>
      <c r="G8145" s="7">
        <v>36.671</v>
      </c>
      <c r="H8145" s="15">
        <v>51.0</v>
      </c>
      <c r="I8145" s="15" t="s">
        <v>1586</v>
      </c>
      <c r="J8145" s="15" t="s">
        <v>29720</v>
      </c>
      <c r="K8145" s="15">
        <v>49.0</v>
      </c>
      <c r="L8145" s="15">
        <v>48.0</v>
      </c>
      <c r="M8145" s="40">
        <v>42812.0</v>
      </c>
      <c r="N8145" s="40">
        <v>42812.0</v>
      </c>
      <c r="O8145" s="15" t="s">
        <v>1554</v>
      </c>
      <c r="Q8145" s="7"/>
    </row>
    <row r="8146">
      <c r="A8146" s="39" t="s">
        <v>29721</v>
      </c>
      <c r="B8146" s="15">
        <v>1965361.0</v>
      </c>
      <c r="D8146" s="15">
        <v>0.0</v>
      </c>
      <c r="E8146" s="15" t="s">
        <v>4407</v>
      </c>
      <c r="F8146" s="15" t="s">
        <v>1578</v>
      </c>
      <c r="G8146" s="7">
        <v>47.703</v>
      </c>
      <c r="H8146" s="15" t="s">
        <v>7408</v>
      </c>
      <c r="I8146" s="15" t="s">
        <v>1586</v>
      </c>
      <c r="J8146" s="15" t="s">
        <v>29722</v>
      </c>
      <c r="K8146" s="15">
        <v>1.0</v>
      </c>
      <c r="L8146" s="15">
        <v>82.0</v>
      </c>
      <c r="M8146" s="40">
        <v>42812.0</v>
      </c>
      <c r="N8146" s="40">
        <v>42812.0</v>
      </c>
      <c r="O8146" s="15" t="s">
        <v>1554</v>
      </c>
      <c r="Q8146" s="7"/>
    </row>
    <row r="8147">
      <c r="A8147" s="39" t="s">
        <v>29723</v>
      </c>
      <c r="B8147" s="15">
        <v>1965363.0</v>
      </c>
      <c r="D8147" s="15">
        <v>0.0</v>
      </c>
      <c r="E8147" s="15" t="s">
        <v>1557</v>
      </c>
      <c r="F8147" s="15" t="s">
        <v>1767</v>
      </c>
      <c r="G8147" s="7">
        <v>167.773</v>
      </c>
      <c r="H8147" s="15" t="s">
        <v>11674</v>
      </c>
      <c r="I8147" s="15" t="s">
        <v>1586</v>
      </c>
      <c r="J8147" s="15" t="s">
        <v>29724</v>
      </c>
      <c r="K8147" s="15">
        <v>280.0</v>
      </c>
      <c r="L8147" s="15">
        <v>280.0</v>
      </c>
      <c r="M8147" s="40">
        <v>42823.0</v>
      </c>
      <c r="N8147" s="40">
        <v>42823.0</v>
      </c>
      <c r="O8147" s="15" t="s">
        <v>1554</v>
      </c>
      <c r="Q8147" s="7"/>
    </row>
    <row r="8148">
      <c r="A8148" s="39" t="s">
        <v>29725</v>
      </c>
      <c r="B8148" s="15">
        <v>1965365.0</v>
      </c>
      <c r="D8148" s="15">
        <v>0.0</v>
      </c>
      <c r="E8148" s="15" t="s">
        <v>1557</v>
      </c>
      <c r="F8148" s="15" t="s">
        <v>1578</v>
      </c>
      <c r="G8148" s="7">
        <v>168.188</v>
      </c>
      <c r="H8148" s="15" t="s">
        <v>3568</v>
      </c>
      <c r="I8148" s="15" t="s">
        <v>1586</v>
      </c>
      <c r="J8148" s="15" t="s">
        <v>29726</v>
      </c>
      <c r="K8148" s="15" t="s">
        <v>1722</v>
      </c>
      <c r="L8148" s="15" t="s">
        <v>1722</v>
      </c>
      <c r="M8148" s="40">
        <v>42846.0</v>
      </c>
      <c r="N8148" s="40">
        <v>42846.0</v>
      </c>
      <c r="O8148" s="15" t="s">
        <v>1554</v>
      </c>
      <c r="Q8148" s="7"/>
    </row>
    <row r="8149">
      <c r="A8149" s="39" t="s">
        <v>29728</v>
      </c>
      <c r="B8149" s="15">
        <v>1965366.0</v>
      </c>
      <c r="D8149" s="15">
        <v>0.0</v>
      </c>
      <c r="E8149" s="15" t="s">
        <v>1557</v>
      </c>
      <c r="F8149" s="15" t="s">
        <v>1578</v>
      </c>
      <c r="G8149" s="7">
        <v>53.242</v>
      </c>
      <c r="H8149" s="15" t="s">
        <v>4070</v>
      </c>
      <c r="I8149" s="15" t="s">
        <v>1586</v>
      </c>
      <c r="J8149" s="15" t="s">
        <v>29729</v>
      </c>
      <c r="K8149" s="15" t="s">
        <v>1722</v>
      </c>
      <c r="L8149" s="15" t="s">
        <v>1722</v>
      </c>
      <c r="M8149" s="40">
        <v>42846.0</v>
      </c>
      <c r="N8149" s="40">
        <v>42846.0</v>
      </c>
      <c r="O8149" s="15" t="s">
        <v>1554</v>
      </c>
      <c r="Q8149" s="7"/>
    </row>
    <row r="8150">
      <c r="A8150" s="39" t="s">
        <v>29730</v>
      </c>
      <c r="B8150" s="15">
        <v>1965367.0</v>
      </c>
      <c r="D8150" s="15">
        <v>0.0</v>
      </c>
      <c r="E8150" s="15" t="s">
        <v>1557</v>
      </c>
      <c r="F8150" s="15" t="s">
        <v>1578</v>
      </c>
      <c r="G8150" s="7">
        <v>170.254</v>
      </c>
      <c r="H8150" s="15" t="s">
        <v>1714</v>
      </c>
      <c r="I8150" s="15" t="s">
        <v>1586</v>
      </c>
      <c r="J8150" s="15" t="s">
        <v>29731</v>
      </c>
      <c r="K8150" s="15" t="s">
        <v>1722</v>
      </c>
      <c r="L8150" s="15" t="s">
        <v>1722</v>
      </c>
      <c r="M8150" s="40">
        <v>42846.0</v>
      </c>
      <c r="N8150" s="40">
        <v>42846.0</v>
      </c>
      <c r="O8150" s="15" t="s">
        <v>1554</v>
      </c>
      <c r="Q8150" s="7"/>
    </row>
    <row r="8151">
      <c r="A8151" s="39" t="s">
        <v>29732</v>
      </c>
      <c r="B8151" s="15">
        <v>1965368.0</v>
      </c>
      <c r="D8151" s="15">
        <v>0.0</v>
      </c>
      <c r="E8151" s="15" t="s">
        <v>1557</v>
      </c>
      <c r="F8151" s="15" t="s">
        <v>1833</v>
      </c>
      <c r="G8151" s="7">
        <v>77.874</v>
      </c>
      <c r="H8151" s="15" t="s">
        <v>2038</v>
      </c>
      <c r="I8151" s="15" t="s">
        <v>1586</v>
      </c>
      <c r="J8151" s="15" t="s">
        <v>29733</v>
      </c>
      <c r="K8151" s="15">
        <v>123.0</v>
      </c>
      <c r="L8151" s="15">
        <v>123.0</v>
      </c>
      <c r="M8151" s="40">
        <v>42823.0</v>
      </c>
      <c r="N8151" s="40">
        <v>42823.0</v>
      </c>
      <c r="O8151" s="15" t="s">
        <v>1554</v>
      </c>
      <c r="Q8151" s="7"/>
    </row>
    <row r="8152">
      <c r="A8152" s="39" t="s">
        <v>29734</v>
      </c>
      <c r="B8152" s="15">
        <v>1965369.0</v>
      </c>
      <c r="D8152" s="15">
        <v>0.0</v>
      </c>
      <c r="E8152" s="15" t="s">
        <v>1557</v>
      </c>
      <c r="F8152" s="15" t="s">
        <v>1611</v>
      </c>
      <c r="G8152" s="7">
        <v>44.244</v>
      </c>
      <c r="H8152" s="15" t="s">
        <v>2552</v>
      </c>
      <c r="I8152" s="15" t="s">
        <v>1586</v>
      </c>
      <c r="J8152" s="15" t="s">
        <v>29735</v>
      </c>
      <c r="K8152" s="15" t="s">
        <v>1722</v>
      </c>
      <c r="L8152" s="15">
        <v>50.0</v>
      </c>
      <c r="M8152" s="40">
        <v>42839.0</v>
      </c>
      <c r="N8152" s="40">
        <v>42839.0</v>
      </c>
      <c r="O8152" s="15" t="s">
        <v>1554</v>
      </c>
      <c r="Q8152" s="7"/>
    </row>
    <row r="8153">
      <c r="A8153" s="39" t="s">
        <v>29737</v>
      </c>
      <c r="B8153" s="15">
        <v>1965370.0</v>
      </c>
      <c r="D8153" s="15">
        <v>0.0</v>
      </c>
      <c r="E8153" s="15" t="s">
        <v>1557</v>
      </c>
      <c r="F8153" s="15" t="s">
        <v>1611</v>
      </c>
      <c r="G8153" s="7">
        <v>44.245</v>
      </c>
      <c r="H8153" s="15" t="s">
        <v>2552</v>
      </c>
      <c r="I8153" s="15" t="s">
        <v>1586</v>
      </c>
      <c r="J8153" s="15" t="s">
        <v>29738</v>
      </c>
      <c r="K8153" s="15" t="s">
        <v>1722</v>
      </c>
      <c r="L8153" s="15">
        <v>50.0</v>
      </c>
      <c r="M8153" s="40">
        <v>42839.0</v>
      </c>
      <c r="N8153" s="40">
        <v>42839.0</v>
      </c>
      <c r="O8153" s="15" t="s">
        <v>1554</v>
      </c>
      <c r="Q8153" s="7"/>
    </row>
    <row r="8154">
      <c r="A8154" s="39" t="s">
        <v>29739</v>
      </c>
      <c r="B8154" s="15">
        <v>1965372.0</v>
      </c>
      <c r="D8154" s="15">
        <v>0.0</v>
      </c>
      <c r="E8154" s="15" t="s">
        <v>4407</v>
      </c>
      <c r="F8154" s="15" t="s">
        <v>1578</v>
      </c>
      <c r="G8154" s="7">
        <v>43.567</v>
      </c>
      <c r="H8154" s="15" t="s">
        <v>3794</v>
      </c>
      <c r="I8154" s="15" t="s">
        <v>1586</v>
      </c>
      <c r="J8154" s="15" t="s">
        <v>29740</v>
      </c>
      <c r="K8154" s="15">
        <v>49.0</v>
      </c>
      <c r="L8154" s="15">
        <v>49.0</v>
      </c>
      <c r="M8154" s="40">
        <v>42823.0</v>
      </c>
      <c r="N8154" s="40">
        <v>42823.0</v>
      </c>
      <c r="O8154" s="15" t="s">
        <v>1554</v>
      </c>
      <c r="Q8154" s="7"/>
    </row>
    <row r="8155">
      <c r="A8155" s="39" t="s">
        <v>29741</v>
      </c>
      <c r="B8155" s="15">
        <v>1965374.0</v>
      </c>
      <c r="D8155" s="15">
        <v>0.0</v>
      </c>
      <c r="E8155" s="15" t="s">
        <v>1557</v>
      </c>
      <c r="F8155" s="15" t="s">
        <v>1767</v>
      </c>
      <c r="G8155" s="7">
        <v>84.419</v>
      </c>
      <c r="H8155" s="15">
        <v>39.0</v>
      </c>
      <c r="I8155" s="15" t="s">
        <v>1586</v>
      </c>
      <c r="J8155" s="15" t="s">
        <v>29742</v>
      </c>
      <c r="K8155" s="15">
        <v>5.0</v>
      </c>
      <c r="L8155" s="15">
        <v>119.0</v>
      </c>
      <c r="M8155" s="40">
        <v>42854.0</v>
      </c>
      <c r="N8155" s="40">
        <v>42854.0</v>
      </c>
      <c r="O8155" s="15" t="s">
        <v>1554</v>
      </c>
      <c r="Q8155" s="7"/>
    </row>
    <row r="8156">
      <c r="A8156" s="39" t="s">
        <v>29743</v>
      </c>
      <c r="B8156" s="15">
        <v>1965375.0</v>
      </c>
      <c r="D8156" s="15">
        <v>0.0</v>
      </c>
      <c r="E8156" s="15" t="s">
        <v>1557</v>
      </c>
      <c r="F8156" s="15" t="s">
        <v>1833</v>
      </c>
      <c r="G8156" s="7">
        <v>28.914</v>
      </c>
      <c r="H8156" s="15" t="s">
        <v>3304</v>
      </c>
      <c r="I8156" s="15" t="s">
        <v>1586</v>
      </c>
      <c r="J8156" s="15" t="s">
        <v>29745</v>
      </c>
      <c r="K8156" s="15" t="s">
        <v>1722</v>
      </c>
      <c r="L8156" s="15">
        <v>36.0</v>
      </c>
      <c r="M8156" s="40">
        <v>42854.0</v>
      </c>
      <c r="N8156" s="40">
        <v>42854.0</v>
      </c>
      <c r="O8156" s="15" t="s">
        <v>1554</v>
      </c>
      <c r="Q8156" s="7"/>
    </row>
    <row r="8157">
      <c r="A8157" s="39" t="s">
        <v>29746</v>
      </c>
      <c r="B8157" s="15">
        <v>1572716.0</v>
      </c>
      <c r="D8157" s="15">
        <v>0.0</v>
      </c>
      <c r="E8157" s="15" t="s">
        <v>1557</v>
      </c>
      <c r="F8157" s="15" t="s">
        <v>1767</v>
      </c>
      <c r="G8157" s="7">
        <v>87.709</v>
      </c>
      <c r="H8157" s="15">
        <v>39.0</v>
      </c>
      <c r="I8157" s="15" t="s">
        <v>1586</v>
      </c>
      <c r="J8157" s="15" t="s">
        <v>29747</v>
      </c>
      <c r="K8157" s="15">
        <v>150.0</v>
      </c>
      <c r="L8157" s="15">
        <v>128.0</v>
      </c>
      <c r="M8157" s="40">
        <v>42036.0</v>
      </c>
      <c r="N8157" s="40">
        <v>42109.0</v>
      </c>
      <c r="O8157" s="15" t="s">
        <v>1554</v>
      </c>
      <c r="Q8157" s="7"/>
    </row>
    <row r="8158">
      <c r="A8158" s="39" t="s">
        <v>29748</v>
      </c>
      <c r="B8158" s="15">
        <v>1965386.0</v>
      </c>
      <c r="D8158" s="15">
        <v>0.0</v>
      </c>
      <c r="E8158" s="15" t="s">
        <v>1808</v>
      </c>
      <c r="F8158" s="15" t="s">
        <v>3154</v>
      </c>
      <c r="G8158" s="7">
        <v>5.387</v>
      </c>
      <c r="H8158" s="15" t="s">
        <v>1983</v>
      </c>
      <c r="I8158" s="15" t="s">
        <v>1586</v>
      </c>
      <c r="J8158" s="15" t="s">
        <v>29749</v>
      </c>
      <c r="K8158" s="15">
        <v>11.0</v>
      </c>
      <c r="L8158" s="15">
        <v>11.0</v>
      </c>
      <c r="M8158" s="40">
        <v>42812.0</v>
      </c>
      <c r="N8158" s="40">
        <v>42812.0</v>
      </c>
      <c r="O8158" s="15" t="s">
        <v>1554</v>
      </c>
      <c r="Q8158" s="7"/>
    </row>
    <row r="8159">
      <c r="A8159" s="39" t="s">
        <v>29750</v>
      </c>
      <c r="B8159" s="15">
        <v>1965452.0</v>
      </c>
      <c r="D8159" s="15">
        <v>0.0</v>
      </c>
      <c r="E8159" s="15" t="s">
        <v>1557</v>
      </c>
      <c r="F8159" s="15" t="s">
        <v>1833</v>
      </c>
      <c r="G8159" s="7">
        <v>39.693</v>
      </c>
      <c r="H8159" s="15" t="s">
        <v>29408</v>
      </c>
      <c r="I8159" s="15" t="s">
        <v>1586</v>
      </c>
      <c r="J8159" s="15" t="s">
        <v>29751</v>
      </c>
      <c r="K8159" s="15">
        <v>52.0</v>
      </c>
      <c r="L8159" s="15">
        <v>52.0</v>
      </c>
      <c r="M8159" s="40">
        <v>42823.0</v>
      </c>
      <c r="N8159" s="40">
        <v>42823.0</v>
      </c>
      <c r="O8159" s="15" t="s">
        <v>1554</v>
      </c>
      <c r="Q8159" s="7"/>
    </row>
    <row r="8160">
      <c r="A8160" s="39" t="s">
        <v>29752</v>
      </c>
      <c r="B8160" s="15">
        <v>1965454.0</v>
      </c>
      <c r="D8160" s="15">
        <v>0.0</v>
      </c>
      <c r="E8160" s="15" t="s">
        <v>1557</v>
      </c>
      <c r="F8160" s="15" t="s">
        <v>1767</v>
      </c>
      <c r="G8160" s="7">
        <v>45.415</v>
      </c>
      <c r="H8160" s="15" t="s">
        <v>1714</v>
      </c>
      <c r="I8160" s="15" t="s">
        <v>1586</v>
      </c>
      <c r="J8160" s="15" t="s">
        <v>29754</v>
      </c>
      <c r="K8160" s="15">
        <v>88.0</v>
      </c>
      <c r="L8160" s="15">
        <v>88.0</v>
      </c>
      <c r="M8160" s="40">
        <v>42823.0</v>
      </c>
      <c r="N8160" s="40">
        <v>42956.0</v>
      </c>
      <c r="O8160" s="15" t="s">
        <v>1554</v>
      </c>
      <c r="Q8160" s="7"/>
    </row>
    <row r="8161">
      <c r="A8161" s="39" t="s">
        <v>29755</v>
      </c>
      <c r="B8161" s="15">
        <v>1965455.0</v>
      </c>
      <c r="D8161" s="15">
        <v>0.0</v>
      </c>
      <c r="E8161" s="15" t="s">
        <v>1557</v>
      </c>
      <c r="F8161" s="15" t="s">
        <v>1611</v>
      </c>
      <c r="G8161" s="7">
        <v>31.449</v>
      </c>
      <c r="H8161" s="15">
        <v>40.0</v>
      </c>
      <c r="I8161" s="15" t="s">
        <v>1586</v>
      </c>
      <c r="J8161" s="15" t="s">
        <v>29756</v>
      </c>
      <c r="K8161" s="15">
        <v>36.0</v>
      </c>
      <c r="L8161" s="15">
        <v>36.0</v>
      </c>
      <c r="M8161" s="40">
        <v>42928.0</v>
      </c>
      <c r="N8161" s="40">
        <v>42928.0</v>
      </c>
      <c r="O8161" s="15" t="s">
        <v>1554</v>
      </c>
      <c r="Q8161" s="7"/>
    </row>
    <row r="8162">
      <c r="A8162" s="39" t="s">
        <v>29757</v>
      </c>
      <c r="B8162" s="15">
        <v>1965456.0</v>
      </c>
      <c r="D8162" s="15">
        <v>0.0</v>
      </c>
      <c r="E8162" s="15" t="s">
        <v>1557</v>
      </c>
      <c r="F8162" s="15" t="s">
        <v>1767</v>
      </c>
      <c r="G8162" s="7">
        <v>87.998</v>
      </c>
      <c r="H8162" s="15">
        <v>39.0</v>
      </c>
      <c r="I8162" s="15" t="s">
        <v>1586</v>
      </c>
      <c r="J8162" s="15" t="s">
        <v>29758</v>
      </c>
      <c r="K8162" s="15">
        <v>156.0</v>
      </c>
      <c r="L8162" s="15">
        <v>131.0</v>
      </c>
      <c r="M8162" s="40">
        <v>42823.0</v>
      </c>
      <c r="N8162" s="40">
        <v>42906.0</v>
      </c>
      <c r="O8162" s="15" t="s">
        <v>1554</v>
      </c>
      <c r="Q8162" s="7"/>
    </row>
    <row r="8163">
      <c r="A8163" s="39" t="s">
        <v>29759</v>
      </c>
      <c r="B8163" s="15">
        <v>1965457.0</v>
      </c>
      <c r="D8163" s="15">
        <v>0.0</v>
      </c>
      <c r="E8163" s="15" t="s">
        <v>4407</v>
      </c>
      <c r="F8163" s="15" t="s">
        <v>1578</v>
      </c>
      <c r="G8163" s="7">
        <v>53.224</v>
      </c>
      <c r="H8163" s="15">
        <v>43.0</v>
      </c>
      <c r="I8163" s="15" t="s">
        <v>1586</v>
      </c>
      <c r="J8163" s="15" t="s">
        <v>29760</v>
      </c>
      <c r="K8163" s="15">
        <v>91.0</v>
      </c>
      <c r="L8163" s="15">
        <v>90.0</v>
      </c>
      <c r="M8163" s="40">
        <v>42823.0</v>
      </c>
      <c r="N8163" s="40">
        <v>42898.0</v>
      </c>
      <c r="O8163" s="15" t="s">
        <v>1554</v>
      </c>
      <c r="Q8163" s="7"/>
    </row>
    <row r="8164">
      <c r="A8164" s="39" t="s">
        <v>29762</v>
      </c>
      <c r="B8164" s="15">
        <v>1965458.0</v>
      </c>
      <c r="D8164" s="15">
        <v>0.0</v>
      </c>
      <c r="E8164" s="15" t="s">
        <v>4407</v>
      </c>
      <c r="F8164" s="15" t="s">
        <v>1578</v>
      </c>
      <c r="G8164" s="7">
        <v>46.157</v>
      </c>
      <c r="H8164" s="15" t="s">
        <v>2648</v>
      </c>
      <c r="I8164" s="15" t="s">
        <v>1586</v>
      </c>
      <c r="J8164" s="15" t="s">
        <v>29763</v>
      </c>
      <c r="K8164" s="15">
        <v>76.0</v>
      </c>
      <c r="L8164" s="15">
        <v>75.0</v>
      </c>
      <c r="M8164" s="40">
        <v>42823.0</v>
      </c>
      <c r="N8164" s="40">
        <v>42898.0</v>
      </c>
      <c r="O8164" s="15" t="s">
        <v>1554</v>
      </c>
      <c r="Q8164" s="7"/>
    </row>
    <row r="8165">
      <c r="A8165" s="39" t="s">
        <v>29764</v>
      </c>
      <c r="B8165" s="15">
        <v>1965459.0</v>
      </c>
      <c r="D8165" s="15">
        <v>0.0</v>
      </c>
      <c r="E8165" s="15" t="s">
        <v>4407</v>
      </c>
      <c r="F8165" s="15" t="s">
        <v>1578</v>
      </c>
      <c r="G8165" s="7">
        <v>46.149</v>
      </c>
      <c r="H8165" s="15" t="s">
        <v>2648</v>
      </c>
      <c r="I8165" s="15" t="s">
        <v>1586</v>
      </c>
      <c r="J8165" s="15" t="s">
        <v>29765</v>
      </c>
      <c r="K8165" s="15">
        <v>76.0</v>
      </c>
      <c r="L8165" s="15">
        <v>75.0</v>
      </c>
      <c r="M8165" s="40">
        <v>42823.0</v>
      </c>
      <c r="N8165" s="40">
        <v>42898.0</v>
      </c>
      <c r="O8165" s="15" t="s">
        <v>1554</v>
      </c>
      <c r="Q8165" s="7"/>
    </row>
    <row r="8166">
      <c r="A8166" s="39" t="s">
        <v>29766</v>
      </c>
      <c r="B8166" s="15">
        <v>1965460.0</v>
      </c>
      <c r="D8166" s="15">
        <v>0.0</v>
      </c>
      <c r="E8166" s="15" t="s">
        <v>4407</v>
      </c>
      <c r="F8166" s="15" t="s">
        <v>1578</v>
      </c>
      <c r="G8166" s="7">
        <v>53.242</v>
      </c>
      <c r="H8166" s="15">
        <v>43.0</v>
      </c>
      <c r="I8166" s="15" t="s">
        <v>1586</v>
      </c>
      <c r="J8166" s="15" t="s">
        <v>29767</v>
      </c>
      <c r="K8166" s="15">
        <v>91.0</v>
      </c>
      <c r="L8166" s="15">
        <v>90.0</v>
      </c>
      <c r="M8166" s="40">
        <v>42823.0</v>
      </c>
      <c r="N8166" s="40">
        <v>42898.0</v>
      </c>
      <c r="O8166" s="15" t="s">
        <v>1554</v>
      </c>
      <c r="Q8166" s="7"/>
    </row>
    <row r="8167">
      <c r="A8167" s="39" t="s">
        <v>29768</v>
      </c>
      <c r="B8167" s="15">
        <v>1965461.0</v>
      </c>
      <c r="D8167" s="15">
        <v>0.0</v>
      </c>
      <c r="E8167" s="15" t="s">
        <v>4407</v>
      </c>
      <c r="F8167" s="15" t="s">
        <v>1578</v>
      </c>
      <c r="G8167" s="7">
        <v>54.344</v>
      </c>
      <c r="H8167" s="15" t="s">
        <v>2648</v>
      </c>
      <c r="I8167" s="15" t="s">
        <v>1586</v>
      </c>
      <c r="J8167" s="15" t="s">
        <v>29769</v>
      </c>
      <c r="K8167" s="15">
        <v>94.0</v>
      </c>
      <c r="L8167" s="15">
        <v>93.0</v>
      </c>
      <c r="M8167" s="40">
        <v>42823.0</v>
      </c>
      <c r="N8167" s="40">
        <v>42898.0</v>
      </c>
      <c r="O8167" s="15" t="s">
        <v>1554</v>
      </c>
      <c r="Q8167" s="7"/>
    </row>
    <row r="8168">
      <c r="A8168" s="39" t="s">
        <v>29771</v>
      </c>
      <c r="B8168" s="15">
        <v>1965462.0</v>
      </c>
      <c r="D8168" s="15">
        <v>0.0</v>
      </c>
      <c r="E8168" s="15" t="s">
        <v>4407</v>
      </c>
      <c r="F8168" s="15" t="s">
        <v>1578</v>
      </c>
      <c r="G8168" s="7">
        <v>54.295</v>
      </c>
      <c r="H8168" s="15" t="s">
        <v>2648</v>
      </c>
      <c r="I8168" s="15" t="s">
        <v>1586</v>
      </c>
      <c r="J8168" s="15" t="s">
        <v>29772</v>
      </c>
      <c r="K8168" s="15">
        <v>93.0</v>
      </c>
      <c r="L8168" s="15">
        <v>92.0</v>
      </c>
      <c r="M8168" s="40">
        <v>42823.0</v>
      </c>
      <c r="N8168" s="40">
        <v>42898.0</v>
      </c>
      <c r="O8168" s="15" t="s">
        <v>1554</v>
      </c>
      <c r="Q8168" s="7"/>
    </row>
    <row r="8169">
      <c r="A8169" s="39" t="s">
        <v>29773</v>
      </c>
      <c r="B8169" s="15">
        <v>1965463.0</v>
      </c>
      <c r="D8169" s="15">
        <v>0.0</v>
      </c>
      <c r="E8169" s="15" t="s">
        <v>4407</v>
      </c>
      <c r="F8169" s="15" t="s">
        <v>1578</v>
      </c>
      <c r="G8169" s="7">
        <v>53.227</v>
      </c>
      <c r="H8169" s="15">
        <v>43.0</v>
      </c>
      <c r="I8169" s="15" t="s">
        <v>1586</v>
      </c>
      <c r="J8169" s="15" t="s">
        <v>29774</v>
      </c>
      <c r="K8169" s="15">
        <v>91.0</v>
      </c>
      <c r="L8169" s="15">
        <v>90.0</v>
      </c>
      <c r="M8169" s="40">
        <v>42823.0</v>
      </c>
      <c r="N8169" s="40">
        <v>42898.0</v>
      </c>
      <c r="O8169" s="15" t="s">
        <v>1554</v>
      </c>
      <c r="Q8169" s="7"/>
    </row>
    <row r="8170">
      <c r="A8170" s="39" t="s">
        <v>29775</v>
      </c>
      <c r="B8170" s="15">
        <v>1965464.0</v>
      </c>
      <c r="D8170" s="15">
        <v>0.0</v>
      </c>
      <c r="E8170" s="15" t="s">
        <v>1557</v>
      </c>
      <c r="F8170" s="15" t="s">
        <v>1833</v>
      </c>
      <c r="G8170" s="7">
        <v>50.407</v>
      </c>
      <c r="H8170" s="15" t="s">
        <v>3255</v>
      </c>
      <c r="I8170" s="15" t="s">
        <v>1586</v>
      </c>
      <c r="J8170" s="15" t="s">
        <v>29776</v>
      </c>
      <c r="K8170" s="15">
        <v>80.0</v>
      </c>
      <c r="L8170" s="15">
        <v>80.0</v>
      </c>
      <c r="M8170" s="40">
        <v>42823.0</v>
      </c>
      <c r="N8170" s="40">
        <v>42823.0</v>
      </c>
      <c r="O8170" s="15" t="s">
        <v>1554</v>
      </c>
      <c r="Q8170" s="7"/>
    </row>
    <row r="8171">
      <c r="A8171" s="39" t="s">
        <v>29777</v>
      </c>
      <c r="B8171" s="15">
        <v>1965465.0</v>
      </c>
      <c r="D8171" s="15">
        <v>0.0</v>
      </c>
      <c r="E8171" s="15" t="s">
        <v>1557</v>
      </c>
      <c r="F8171" s="15" t="s">
        <v>1833</v>
      </c>
      <c r="G8171" s="7">
        <v>107.263</v>
      </c>
      <c r="H8171" s="15">
        <v>39.0</v>
      </c>
      <c r="I8171" s="15" t="s">
        <v>1586</v>
      </c>
      <c r="J8171" s="15" t="s">
        <v>29778</v>
      </c>
      <c r="K8171" s="15">
        <v>160.0</v>
      </c>
      <c r="L8171" s="15">
        <v>160.0</v>
      </c>
      <c r="M8171" s="40">
        <v>42823.0</v>
      </c>
      <c r="N8171" s="40">
        <v>42823.0</v>
      </c>
      <c r="O8171" s="15" t="s">
        <v>1554</v>
      </c>
      <c r="Q8171" s="7"/>
    </row>
    <row r="8172">
      <c r="A8172" s="39" t="s">
        <v>29780</v>
      </c>
      <c r="B8172" s="15">
        <v>1965467.0</v>
      </c>
      <c r="D8172" s="15">
        <v>0.0</v>
      </c>
      <c r="E8172" s="15" t="s">
        <v>4407</v>
      </c>
      <c r="F8172" s="15" t="s">
        <v>1578</v>
      </c>
      <c r="G8172" s="7">
        <v>125.658</v>
      </c>
      <c r="H8172" s="15" t="s">
        <v>10167</v>
      </c>
      <c r="I8172" s="15" t="s">
        <v>1586</v>
      </c>
      <c r="J8172" s="15" t="s">
        <v>29781</v>
      </c>
      <c r="K8172" s="15">
        <v>181.0</v>
      </c>
      <c r="L8172" s="15">
        <v>178.0</v>
      </c>
      <c r="M8172" s="40">
        <v>42865.0</v>
      </c>
      <c r="N8172" s="40">
        <v>42865.0</v>
      </c>
      <c r="O8172" s="15" t="s">
        <v>1554</v>
      </c>
      <c r="Q8172" s="7"/>
    </row>
    <row r="8173">
      <c r="A8173" s="39" t="s">
        <v>29782</v>
      </c>
      <c r="B8173" s="15">
        <v>1965468.0</v>
      </c>
      <c r="D8173" s="15">
        <v>0.0</v>
      </c>
      <c r="E8173" s="15" t="s">
        <v>4407</v>
      </c>
      <c r="F8173" s="15" t="s">
        <v>1578</v>
      </c>
      <c r="G8173" s="7">
        <v>126.161</v>
      </c>
      <c r="H8173" s="15" t="s">
        <v>11241</v>
      </c>
      <c r="I8173" s="15" t="s">
        <v>1586</v>
      </c>
      <c r="J8173" s="15" t="s">
        <v>29783</v>
      </c>
      <c r="K8173" s="15">
        <v>181.0</v>
      </c>
      <c r="L8173" s="15">
        <v>178.0</v>
      </c>
      <c r="M8173" s="40">
        <v>42865.0</v>
      </c>
      <c r="N8173" s="40">
        <v>42865.0</v>
      </c>
      <c r="O8173" s="15" t="s">
        <v>1554</v>
      </c>
      <c r="Q8173" s="7"/>
    </row>
    <row r="8174">
      <c r="A8174" s="39" t="s">
        <v>29785</v>
      </c>
      <c r="B8174" s="15">
        <v>1965469.0</v>
      </c>
      <c r="D8174" s="15">
        <v>0.0</v>
      </c>
      <c r="E8174" s="15" t="s">
        <v>4407</v>
      </c>
      <c r="F8174" s="15" t="s">
        <v>1578</v>
      </c>
      <c r="G8174" s="7">
        <v>125.842</v>
      </c>
      <c r="H8174" s="15" t="s">
        <v>10167</v>
      </c>
      <c r="I8174" s="15" t="s">
        <v>1586</v>
      </c>
      <c r="J8174" s="15" t="s">
        <v>29786</v>
      </c>
      <c r="K8174" s="15">
        <v>182.0</v>
      </c>
      <c r="L8174" s="15">
        <v>179.0</v>
      </c>
      <c r="M8174" s="40">
        <v>42875.0</v>
      </c>
      <c r="N8174" s="40">
        <v>42875.0</v>
      </c>
      <c r="O8174" s="15" t="s">
        <v>1554</v>
      </c>
      <c r="Q8174" s="7"/>
    </row>
    <row r="8175">
      <c r="A8175" s="39" t="s">
        <v>29787</v>
      </c>
      <c r="B8175" s="15">
        <v>1965470.0</v>
      </c>
      <c r="D8175" s="15">
        <v>0.0</v>
      </c>
      <c r="E8175" s="15" t="s">
        <v>4407</v>
      </c>
      <c r="F8175" s="15" t="s">
        <v>1578</v>
      </c>
      <c r="G8175" s="7">
        <v>125.656</v>
      </c>
      <c r="H8175" s="15" t="s">
        <v>11241</v>
      </c>
      <c r="I8175" s="15" t="s">
        <v>1586</v>
      </c>
      <c r="J8175" s="15" t="s">
        <v>29788</v>
      </c>
      <c r="K8175" s="15">
        <v>180.0</v>
      </c>
      <c r="L8175" s="15">
        <v>177.0</v>
      </c>
      <c r="M8175" s="40">
        <v>42865.0</v>
      </c>
      <c r="N8175" s="40">
        <v>42865.0</v>
      </c>
      <c r="O8175" s="15" t="s">
        <v>1554</v>
      </c>
      <c r="Q8175" s="7"/>
    </row>
    <row r="8176">
      <c r="A8176" s="39" t="s">
        <v>29789</v>
      </c>
      <c r="B8176" s="15">
        <v>1965471.0</v>
      </c>
      <c r="D8176" s="15">
        <v>0.0</v>
      </c>
      <c r="E8176" s="15" t="s">
        <v>4407</v>
      </c>
      <c r="F8176" s="15" t="s">
        <v>1578</v>
      </c>
      <c r="G8176" s="7">
        <v>126.032</v>
      </c>
      <c r="H8176" s="15" t="s">
        <v>11241</v>
      </c>
      <c r="I8176" s="15" t="s">
        <v>1586</v>
      </c>
      <c r="J8176" s="15" t="s">
        <v>29790</v>
      </c>
      <c r="K8176" s="15">
        <v>180.0</v>
      </c>
      <c r="L8176" s="15">
        <v>177.0</v>
      </c>
      <c r="M8176" s="40">
        <v>42865.0</v>
      </c>
      <c r="N8176" s="40">
        <v>42865.0</v>
      </c>
      <c r="O8176" s="15" t="s">
        <v>1554</v>
      </c>
      <c r="Q8176" s="7"/>
    </row>
    <row r="8177">
      <c r="A8177" s="39" t="s">
        <v>29791</v>
      </c>
      <c r="B8177" s="15">
        <v>1965472.0</v>
      </c>
      <c r="D8177" s="15">
        <v>0.0</v>
      </c>
      <c r="E8177" s="15" t="s">
        <v>4407</v>
      </c>
      <c r="F8177" s="15" t="s">
        <v>1578</v>
      </c>
      <c r="G8177" s="7">
        <v>132.949</v>
      </c>
      <c r="H8177" s="15" t="s">
        <v>11241</v>
      </c>
      <c r="I8177" s="15" t="s">
        <v>1586</v>
      </c>
      <c r="J8177" s="15" t="s">
        <v>29792</v>
      </c>
      <c r="K8177" s="15">
        <v>197.0</v>
      </c>
      <c r="L8177" s="15">
        <v>194.0</v>
      </c>
      <c r="M8177" s="40">
        <v>42865.0</v>
      </c>
      <c r="N8177" s="40">
        <v>42865.0</v>
      </c>
      <c r="O8177" s="15" t="s">
        <v>1554</v>
      </c>
      <c r="Q8177" s="7"/>
    </row>
    <row r="8178">
      <c r="A8178" s="39" t="s">
        <v>29794</v>
      </c>
      <c r="B8178" s="15">
        <v>1965473.0</v>
      </c>
      <c r="D8178" s="15">
        <v>0.0</v>
      </c>
      <c r="E8178" s="15" t="s">
        <v>4407</v>
      </c>
      <c r="F8178" s="15" t="s">
        <v>1578</v>
      </c>
      <c r="G8178" s="7">
        <v>128.178</v>
      </c>
      <c r="H8178" s="15" t="s">
        <v>10167</v>
      </c>
      <c r="I8178" s="15" t="s">
        <v>1586</v>
      </c>
      <c r="J8178" s="15" t="s">
        <v>29795</v>
      </c>
      <c r="K8178" s="15">
        <v>185.0</v>
      </c>
      <c r="L8178" s="15">
        <v>182.0</v>
      </c>
      <c r="M8178" s="40">
        <v>42865.0</v>
      </c>
      <c r="N8178" s="40">
        <v>42865.0</v>
      </c>
      <c r="O8178" s="15" t="s">
        <v>1554</v>
      </c>
      <c r="Q8178" s="7"/>
    </row>
    <row r="8179">
      <c r="A8179" s="39" t="s">
        <v>29796</v>
      </c>
      <c r="B8179" s="15">
        <v>1965474.0</v>
      </c>
      <c r="D8179" s="15">
        <v>0.0</v>
      </c>
      <c r="E8179" s="15" t="s">
        <v>4407</v>
      </c>
      <c r="F8179" s="15" t="s">
        <v>1578</v>
      </c>
      <c r="G8179" s="7">
        <v>62.054</v>
      </c>
      <c r="H8179" s="15" t="s">
        <v>3870</v>
      </c>
      <c r="I8179" s="15" t="s">
        <v>1586</v>
      </c>
      <c r="J8179" s="15" t="s">
        <v>29797</v>
      </c>
      <c r="K8179" s="15">
        <v>94.0</v>
      </c>
      <c r="L8179" s="15">
        <v>90.0</v>
      </c>
      <c r="M8179" s="40">
        <v>42865.0</v>
      </c>
      <c r="N8179" s="40">
        <v>42865.0</v>
      </c>
      <c r="O8179" s="15" t="s">
        <v>1554</v>
      </c>
      <c r="Q8179" s="7"/>
    </row>
    <row r="8180">
      <c r="A8180" s="39" t="s">
        <v>29798</v>
      </c>
      <c r="B8180" s="15">
        <v>1965475.0</v>
      </c>
      <c r="D8180" s="15">
        <v>0.0</v>
      </c>
      <c r="E8180" s="15" t="s">
        <v>4407</v>
      </c>
      <c r="F8180" s="15" t="s">
        <v>1578</v>
      </c>
      <c r="G8180" s="7">
        <v>62.252</v>
      </c>
      <c r="H8180" s="15" t="s">
        <v>3870</v>
      </c>
      <c r="I8180" s="15" t="s">
        <v>1586</v>
      </c>
      <c r="J8180" s="15" t="s">
        <v>29799</v>
      </c>
      <c r="K8180" s="15">
        <v>94.0</v>
      </c>
      <c r="L8180" s="15">
        <v>90.0</v>
      </c>
      <c r="M8180" s="40">
        <v>42865.0</v>
      </c>
      <c r="N8180" s="40">
        <v>42865.0</v>
      </c>
      <c r="O8180" s="15" t="s">
        <v>1554</v>
      </c>
      <c r="Q8180" s="7"/>
    </row>
    <row r="8181">
      <c r="A8181" s="39" t="s">
        <v>29800</v>
      </c>
      <c r="B8181" s="15">
        <v>1965476.0</v>
      </c>
      <c r="D8181" s="15">
        <v>0.0</v>
      </c>
      <c r="E8181" s="15" t="s">
        <v>4407</v>
      </c>
      <c r="F8181" s="15" t="s">
        <v>1578</v>
      </c>
      <c r="G8181" s="7">
        <v>126.177</v>
      </c>
      <c r="H8181" s="15" t="s">
        <v>11241</v>
      </c>
      <c r="I8181" s="15" t="s">
        <v>1586</v>
      </c>
      <c r="J8181" s="15" t="s">
        <v>29802</v>
      </c>
      <c r="K8181" s="15">
        <v>181.0</v>
      </c>
      <c r="L8181" s="15">
        <v>178.0</v>
      </c>
      <c r="M8181" s="40">
        <v>42865.0</v>
      </c>
      <c r="N8181" s="40">
        <v>42865.0</v>
      </c>
      <c r="O8181" s="15" t="s">
        <v>1554</v>
      </c>
      <c r="Q8181" s="7"/>
    </row>
    <row r="8182">
      <c r="A8182" s="39" t="s">
        <v>29803</v>
      </c>
      <c r="B8182" s="15">
        <v>1965477.0</v>
      </c>
      <c r="D8182" s="15">
        <v>0.0</v>
      </c>
      <c r="E8182" s="15" t="s">
        <v>4407</v>
      </c>
      <c r="F8182" s="15" t="s">
        <v>1578</v>
      </c>
      <c r="G8182" s="7">
        <v>125.294</v>
      </c>
      <c r="H8182" s="15" t="s">
        <v>11241</v>
      </c>
      <c r="I8182" s="15" t="s">
        <v>1586</v>
      </c>
      <c r="J8182" s="15" t="s">
        <v>29804</v>
      </c>
      <c r="K8182" s="15">
        <v>182.0</v>
      </c>
      <c r="L8182" s="15">
        <v>179.0</v>
      </c>
      <c r="M8182" s="40">
        <v>42865.0</v>
      </c>
      <c r="N8182" s="40">
        <v>42865.0</v>
      </c>
      <c r="O8182" s="15" t="s">
        <v>1554</v>
      </c>
      <c r="Q8182" s="7"/>
    </row>
    <row r="8183">
      <c r="A8183" s="39" t="s">
        <v>29805</v>
      </c>
      <c r="B8183" s="15">
        <v>1965478.0</v>
      </c>
      <c r="D8183" s="15">
        <v>0.0</v>
      </c>
      <c r="E8183" s="15" t="s">
        <v>4407</v>
      </c>
      <c r="F8183" s="15" t="s">
        <v>1578</v>
      </c>
      <c r="G8183" s="7">
        <v>60.551</v>
      </c>
      <c r="H8183" s="15" t="s">
        <v>7532</v>
      </c>
      <c r="I8183" s="15" t="s">
        <v>1586</v>
      </c>
      <c r="J8183" s="15" t="s">
        <v>29806</v>
      </c>
      <c r="K8183" s="15">
        <v>88.0</v>
      </c>
      <c r="L8183" s="15">
        <v>85.0</v>
      </c>
      <c r="M8183" s="40">
        <v>42865.0</v>
      </c>
      <c r="N8183" s="40">
        <v>42865.0</v>
      </c>
      <c r="O8183" s="15" t="s">
        <v>1554</v>
      </c>
      <c r="Q8183" s="7"/>
    </row>
    <row r="8184">
      <c r="A8184" s="39" t="s">
        <v>29807</v>
      </c>
      <c r="B8184" s="15">
        <v>1965479.0</v>
      </c>
      <c r="D8184" s="15">
        <v>0.0</v>
      </c>
      <c r="E8184" s="15" t="s">
        <v>4407</v>
      </c>
      <c r="F8184" s="15" t="s">
        <v>1578</v>
      </c>
      <c r="G8184" s="7">
        <v>60.161</v>
      </c>
      <c r="H8184" s="15" t="s">
        <v>10067</v>
      </c>
      <c r="I8184" s="15" t="s">
        <v>1586</v>
      </c>
      <c r="J8184" s="15" t="s">
        <v>29808</v>
      </c>
      <c r="K8184" s="15">
        <v>90.0</v>
      </c>
      <c r="L8184" s="15">
        <v>87.0</v>
      </c>
      <c r="M8184" s="40">
        <v>42865.0</v>
      </c>
      <c r="N8184" s="40">
        <v>42865.0</v>
      </c>
      <c r="O8184" s="15" t="s">
        <v>1554</v>
      </c>
      <c r="Q8184" s="7"/>
    </row>
    <row r="8185">
      <c r="A8185" s="39" t="s">
        <v>29810</v>
      </c>
      <c r="B8185" s="15">
        <v>1965480.0</v>
      </c>
      <c r="D8185" s="15">
        <v>0.0</v>
      </c>
      <c r="E8185" s="15" t="s">
        <v>4407</v>
      </c>
      <c r="F8185" s="15" t="s">
        <v>1578</v>
      </c>
      <c r="G8185" s="7">
        <v>59.899</v>
      </c>
      <c r="H8185" s="15" t="s">
        <v>10067</v>
      </c>
      <c r="I8185" s="15" t="s">
        <v>1586</v>
      </c>
      <c r="J8185" s="15" t="s">
        <v>29811</v>
      </c>
      <c r="K8185" s="15">
        <v>89.0</v>
      </c>
      <c r="L8185" s="15">
        <v>86.0</v>
      </c>
      <c r="M8185" s="40">
        <v>42865.0</v>
      </c>
      <c r="N8185" s="40">
        <v>42865.0</v>
      </c>
      <c r="O8185" s="15" t="s">
        <v>1554</v>
      </c>
      <c r="Q8185" s="7"/>
    </row>
    <row r="8186">
      <c r="A8186" s="39" t="s">
        <v>29812</v>
      </c>
      <c r="B8186" s="15">
        <v>1965481.0</v>
      </c>
      <c r="D8186" s="15">
        <v>0.0</v>
      </c>
      <c r="E8186" s="15" t="s">
        <v>4407</v>
      </c>
      <c r="F8186" s="15" t="s">
        <v>1578</v>
      </c>
      <c r="G8186" s="7">
        <v>60.217</v>
      </c>
      <c r="H8186" s="15" t="s">
        <v>7532</v>
      </c>
      <c r="I8186" s="15" t="s">
        <v>1586</v>
      </c>
      <c r="J8186" s="15" t="s">
        <v>29813</v>
      </c>
      <c r="K8186" s="15">
        <v>90.0</v>
      </c>
      <c r="L8186" s="15">
        <v>87.0</v>
      </c>
      <c r="M8186" s="40">
        <v>42865.0</v>
      </c>
      <c r="N8186" s="40">
        <v>42865.0</v>
      </c>
      <c r="O8186" s="15" t="s">
        <v>1554</v>
      </c>
      <c r="Q8186" s="7"/>
    </row>
    <row r="8187">
      <c r="A8187" s="39" t="s">
        <v>29814</v>
      </c>
      <c r="B8187" s="15">
        <v>1965482.0</v>
      </c>
      <c r="D8187" s="15">
        <v>0.0</v>
      </c>
      <c r="E8187" s="15" t="s">
        <v>4407</v>
      </c>
      <c r="F8187" s="15" t="s">
        <v>1578</v>
      </c>
      <c r="G8187" s="7">
        <v>128.179</v>
      </c>
      <c r="H8187" s="15" t="s">
        <v>10167</v>
      </c>
      <c r="I8187" s="15" t="s">
        <v>1586</v>
      </c>
      <c r="J8187" s="15" t="s">
        <v>29815</v>
      </c>
      <c r="K8187" s="15">
        <v>183.0</v>
      </c>
      <c r="L8187" s="15">
        <v>178.0</v>
      </c>
      <c r="M8187" s="40">
        <v>42865.0</v>
      </c>
      <c r="N8187" s="40">
        <v>42865.0</v>
      </c>
      <c r="O8187" s="15" t="s">
        <v>1554</v>
      </c>
      <c r="Q8187" s="7"/>
    </row>
    <row r="8188">
      <c r="A8188" s="39" t="s">
        <v>29816</v>
      </c>
      <c r="B8188" s="15">
        <v>1965483.0</v>
      </c>
      <c r="D8188" s="15">
        <v>0.0</v>
      </c>
      <c r="E8188" s="15" t="s">
        <v>4407</v>
      </c>
      <c r="F8188" s="15" t="s">
        <v>1578</v>
      </c>
      <c r="G8188" s="7">
        <v>27.704</v>
      </c>
      <c r="H8188" s="15" t="s">
        <v>3568</v>
      </c>
      <c r="I8188" s="15" t="s">
        <v>1586</v>
      </c>
      <c r="J8188" s="15" t="s">
        <v>29818</v>
      </c>
      <c r="K8188" s="15">
        <v>49.0</v>
      </c>
      <c r="L8188" s="15">
        <v>49.0</v>
      </c>
      <c r="M8188" s="40">
        <v>42865.0</v>
      </c>
      <c r="N8188" s="40">
        <v>42865.0</v>
      </c>
      <c r="O8188" s="15" t="s">
        <v>1554</v>
      </c>
      <c r="Q8188" s="7"/>
    </row>
    <row r="8189">
      <c r="A8189" s="39" t="s">
        <v>29819</v>
      </c>
      <c r="B8189" s="15">
        <v>1965484.0</v>
      </c>
      <c r="D8189" s="15">
        <v>0.0</v>
      </c>
      <c r="E8189" s="15" t="s">
        <v>4407</v>
      </c>
      <c r="F8189" s="15" t="s">
        <v>1578</v>
      </c>
      <c r="G8189" s="7">
        <v>27.203</v>
      </c>
      <c r="H8189" s="15" t="s">
        <v>3568</v>
      </c>
      <c r="I8189" s="15" t="s">
        <v>1586</v>
      </c>
      <c r="J8189" s="15" t="s">
        <v>29820</v>
      </c>
      <c r="K8189" s="15">
        <v>51.0</v>
      </c>
      <c r="L8189" s="15">
        <v>51.0</v>
      </c>
      <c r="M8189" s="40">
        <v>42865.0</v>
      </c>
      <c r="N8189" s="40">
        <v>42865.0</v>
      </c>
      <c r="O8189" s="15" t="s">
        <v>1554</v>
      </c>
      <c r="Q8189" s="7"/>
    </row>
    <row r="8190">
      <c r="A8190" s="39" t="s">
        <v>29821</v>
      </c>
      <c r="B8190" s="15">
        <v>1965485.0</v>
      </c>
      <c r="D8190" s="15">
        <v>0.0</v>
      </c>
      <c r="E8190" s="15" t="s">
        <v>1557</v>
      </c>
      <c r="F8190" s="15" t="s">
        <v>1611</v>
      </c>
      <c r="G8190" s="7">
        <v>74.325</v>
      </c>
      <c r="H8190" s="15" t="s">
        <v>1607</v>
      </c>
      <c r="I8190" s="15" t="s">
        <v>1586</v>
      </c>
      <c r="J8190" s="15" t="s">
        <v>29822</v>
      </c>
      <c r="K8190" s="15">
        <v>126.0</v>
      </c>
      <c r="L8190" s="15">
        <v>126.0</v>
      </c>
      <c r="M8190" s="40">
        <v>42861.0</v>
      </c>
      <c r="N8190" s="40">
        <v>42999.0</v>
      </c>
      <c r="O8190" s="15" t="s">
        <v>1554</v>
      </c>
      <c r="Q8190" s="7"/>
    </row>
    <row r="8191">
      <c r="A8191" s="39" t="s">
        <v>29823</v>
      </c>
      <c r="B8191" s="15">
        <v>1965486.0</v>
      </c>
      <c r="D8191" s="15">
        <v>0.0</v>
      </c>
      <c r="E8191" s="15" t="s">
        <v>1557</v>
      </c>
      <c r="F8191" s="15" t="s">
        <v>1833</v>
      </c>
      <c r="G8191" s="7">
        <v>45.236</v>
      </c>
      <c r="H8191" s="15" t="s">
        <v>3260</v>
      </c>
      <c r="I8191" s="15" t="s">
        <v>1586</v>
      </c>
      <c r="J8191" s="15" t="s">
        <v>29824</v>
      </c>
      <c r="K8191" s="15" t="s">
        <v>1722</v>
      </c>
      <c r="L8191" s="15">
        <v>72.0</v>
      </c>
      <c r="M8191" s="40">
        <v>42861.0</v>
      </c>
      <c r="N8191" s="40">
        <v>42861.0</v>
      </c>
      <c r="O8191" s="15" t="s">
        <v>1554</v>
      </c>
      <c r="Q8191" s="7"/>
    </row>
    <row r="8192">
      <c r="A8192" s="39" t="s">
        <v>29825</v>
      </c>
      <c r="B8192" s="15">
        <v>1965487.0</v>
      </c>
      <c r="D8192" s="15">
        <v>0.0</v>
      </c>
      <c r="E8192" s="15" t="s">
        <v>1557</v>
      </c>
      <c r="F8192" s="15" t="s">
        <v>1833</v>
      </c>
      <c r="G8192" s="7">
        <v>44.282</v>
      </c>
      <c r="H8192" s="15" t="s">
        <v>3870</v>
      </c>
      <c r="I8192" s="15" t="s">
        <v>1586</v>
      </c>
      <c r="J8192" s="15" t="s">
        <v>29827</v>
      </c>
      <c r="K8192" s="15" t="s">
        <v>1722</v>
      </c>
      <c r="L8192" s="15">
        <v>67.0</v>
      </c>
      <c r="M8192" s="40">
        <v>42861.0</v>
      </c>
      <c r="N8192" s="40">
        <v>42861.0</v>
      </c>
      <c r="O8192" s="15" t="s">
        <v>1554</v>
      </c>
      <c r="Q8192" s="7"/>
    </row>
    <row r="8193">
      <c r="A8193" s="39" t="s">
        <v>29828</v>
      </c>
      <c r="B8193" s="15">
        <v>1965488.0</v>
      </c>
      <c r="D8193" s="15">
        <v>0.0</v>
      </c>
      <c r="E8193" s="15" t="s">
        <v>1557</v>
      </c>
      <c r="F8193" s="15" t="s">
        <v>1833</v>
      </c>
      <c r="G8193" s="7">
        <v>39.387</v>
      </c>
      <c r="H8193" s="15">
        <v>50.0</v>
      </c>
      <c r="I8193" s="15" t="s">
        <v>1586</v>
      </c>
      <c r="J8193" s="15" t="s">
        <v>29829</v>
      </c>
      <c r="K8193" s="15" t="s">
        <v>1722</v>
      </c>
      <c r="L8193" s="15">
        <v>60.0</v>
      </c>
      <c r="M8193" s="40">
        <v>42861.0</v>
      </c>
      <c r="N8193" s="40">
        <v>42861.0</v>
      </c>
      <c r="O8193" s="15" t="s">
        <v>1554</v>
      </c>
      <c r="Q8193" s="7"/>
    </row>
    <row r="8194">
      <c r="A8194" s="39" t="s">
        <v>29830</v>
      </c>
      <c r="B8194" s="15">
        <v>1965489.0</v>
      </c>
      <c r="D8194" s="15">
        <v>0.0</v>
      </c>
      <c r="E8194" s="15" t="s">
        <v>1557</v>
      </c>
      <c r="F8194" s="15" t="s">
        <v>1833</v>
      </c>
      <c r="G8194" s="7">
        <v>42.371</v>
      </c>
      <c r="H8194" s="15" t="s">
        <v>4283</v>
      </c>
      <c r="I8194" s="15" t="s">
        <v>1586</v>
      </c>
      <c r="J8194" s="15" t="s">
        <v>29831</v>
      </c>
      <c r="K8194" s="15" t="s">
        <v>1722</v>
      </c>
      <c r="L8194" s="15">
        <v>63.0</v>
      </c>
      <c r="M8194" s="40">
        <v>42861.0</v>
      </c>
      <c r="N8194" s="40">
        <v>42861.0</v>
      </c>
      <c r="O8194" s="15" t="s">
        <v>1554</v>
      </c>
      <c r="Q8194" s="7"/>
    </row>
    <row r="8195">
      <c r="A8195" s="39" t="s">
        <v>29832</v>
      </c>
      <c r="B8195" s="15">
        <v>1965490.0</v>
      </c>
      <c r="D8195" s="15">
        <v>0.0</v>
      </c>
      <c r="E8195" s="15" t="s">
        <v>1557</v>
      </c>
      <c r="F8195" s="15" t="s">
        <v>1833</v>
      </c>
      <c r="G8195" s="7">
        <v>43.516</v>
      </c>
      <c r="H8195" s="15" t="s">
        <v>13643</v>
      </c>
      <c r="I8195" s="15" t="s">
        <v>1586</v>
      </c>
      <c r="J8195" s="15" t="s">
        <v>29833</v>
      </c>
      <c r="K8195" s="15" t="s">
        <v>1722</v>
      </c>
      <c r="L8195" s="15">
        <v>67.0</v>
      </c>
      <c r="M8195" s="40">
        <v>42861.0</v>
      </c>
      <c r="N8195" s="40">
        <v>42861.0</v>
      </c>
      <c r="O8195" s="15" t="s">
        <v>1554</v>
      </c>
      <c r="Q8195" s="7"/>
    </row>
    <row r="8196">
      <c r="A8196" s="39" t="s">
        <v>29835</v>
      </c>
      <c r="B8196" s="15">
        <v>1965491.0</v>
      </c>
      <c r="D8196" s="15">
        <v>0.0</v>
      </c>
      <c r="E8196" s="15" t="s">
        <v>1557</v>
      </c>
      <c r="F8196" s="15" t="s">
        <v>1833</v>
      </c>
      <c r="G8196" s="7">
        <v>43.135</v>
      </c>
      <c r="H8196" s="15" t="s">
        <v>4553</v>
      </c>
      <c r="I8196" s="15" t="s">
        <v>1586</v>
      </c>
      <c r="J8196" s="15" t="s">
        <v>29836</v>
      </c>
      <c r="K8196" s="15" t="s">
        <v>1722</v>
      </c>
      <c r="L8196" s="15">
        <v>68.0</v>
      </c>
      <c r="M8196" s="40">
        <v>42861.0</v>
      </c>
      <c r="N8196" s="40">
        <v>42861.0</v>
      </c>
      <c r="O8196" s="15" t="s">
        <v>1554</v>
      </c>
      <c r="Q8196" s="7"/>
    </row>
    <row r="8197">
      <c r="A8197" s="39" t="s">
        <v>29837</v>
      </c>
      <c r="B8197" s="15">
        <v>1965492.0</v>
      </c>
      <c r="D8197" s="15">
        <v>0.0</v>
      </c>
      <c r="E8197" s="15" t="s">
        <v>1557</v>
      </c>
      <c r="F8197" s="15" t="s">
        <v>1833</v>
      </c>
      <c r="G8197" s="7">
        <v>42.689</v>
      </c>
      <c r="H8197" s="15" t="s">
        <v>2207</v>
      </c>
      <c r="I8197" s="15" t="s">
        <v>1586</v>
      </c>
      <c r="J8197" s="15" t="s">
        <v>29838</v>
      </c>
      <c r="K8197" s="15" t="s">
        <v>1722</v>
      </c>
      <c r="L8197" s="15">
        <v>72.0</v>
      </c>
      <c r="M8197" s="40">
        <v>42861.0</v>
      </c>
      <c r="N8197" s="40">
        <v>42861.0</v>
      </c>
      <c r="O8197" s="15" t="s">
        <v>1554</v>
      </c>
      <c r="Q8197" s="7"/>
    </row>
    <row r="8198">
      <c r="A8198" s="39" t="s">
        <v>29839</v>
      </c>
      <c r="B8198" s="15">
        <v>1965493.0</v>
      </c>
      <c r="D8198" s="15">
        <v>0.0</v>
      </c>
      <c r="E8198" s="15" t="s">
        <v>1557</v>
      </c>
      <c r="F8198" s="15" t="s">
        <v>1833</v>
      </c>
      <c r="G8198" s="7">
        <v>42.706</v>
      </c>
      <c r="H8198" s="15" t="s">
        <v>3870</v>
      </c>
      <c r="I8198" s="15" t="s">
        <v>1586</v>
      </c>
      <c r="J8198" s="15" t="s">
        <v>29840</v>
      </c>
      <c r="K8198" s="15" t="s">
        <v>1722</v>
      </c>
      <c r="L8198" s="15">
        <v>64.0</v>
      </c>
      <c r="M8198" s="40">
        <v>42861.0</v>
      </c>
      <c r="N8198" s="40">
        <v>42861.0</v>
      </c>
      <c r="O8198" s="15" t="s">
        <v>1554</v>
      </c>
      <c r="Q8198" s="7"/>
    </row>
    <row r="8199">
      <c r="A8199" s="39" t="s">
        <v>29842</v>
      </c>
      <c r="B8199" s="15">
        <v>1965494.0</v>
      </c>
      <c r="D8199" s="15">
        <v>0.0</v>
      </c>
      <c r="E8199" s="15" t="s">
        <v>1557</v>
      </c>
      <c r="F8199" s="15" t="s">
        <v>1833</v>
      </c>
      <c r="G8199" s="7">
        <v>44.875</v>
      </c>
      <c r="H8199" s="15" t="s">
        <v>3361</v>
      </c>
      <c r="I8199" s="15" t="s">
        <v>1586</v>
      </c>
      <c r="J8199" s="15" t="s">
        <v>29843</v>
      </c>
      <c r="K8199" s="15" t="s">
        <v>1722</v>
      </c>
      <c r="L8199" s="15">
        <v>63.0</v>
      </c>
      <c r="M8199" s="40">
        <v>42861.0</v>
      </c>
      <c r="N8199" s="40">
        <v>42861.0</v>
      </c>
      <c r="O8199" s="15" t="s">
        <v>1554</v>
      </c>
      <c r="Q8199" s="7"/>
    </row>
    <row r="8200">
      <c r="A8200" s="39" t="s">
        <v>29844</v>
      </c>
      <c r="B8200" s="15">
        <v>1965532.0</v>
      </c>
      <c r="D8200" s="15">
        <v>0.0</v>
      </c>
      <c r="E8200" s="15" t="s">
        <v>4407</v>
      </c>
      <c r="F8200" s="15" t="s">
        <v>1578</v>
      </c>
      <c r="G8200" s="7">
        <v>47.739</v>
      </c>
      <c r="H8200" s="15" t="s">
        <v>1745</v>
      </c>
      <c r="I8200" s="15" t="s">
        <v>1586</v>
      </c>
      <c r="J8200" s="15" t="s">
        <v>29845</v>
      </c>
      <c r="K8200" s="15" t="s">
        <v>1722</v>
      </c>
      <c r="L8200" s="15">
        <v>67.0</v>
      </c>
      <c r="M8200" s="40">
        <v>42861.0</v>
      </c>
      <c r="N8200" s="40">
        <v>42861.0</v>
      </c>
      <c r="O8200" s="15" t="s">
        <v>1554</v>
      </c>
      <c r="Q8200" s="7"/>
    </row>
    <row r="8201">
      <c r="A8201" s="39" t="s">
        <v>29846</v>
      </c>
      <c r="B8201" s="15">
        <v>1965533.0</v>
      </c>
      <c r="D8201" s="15">
        <v>0.0</v>
      </c>
      <c r="E8201" s="15" t="s">
        <v>4407</v>
      </c>
      <c r="F8201" s="15" t="s">
        <v>1578</v>
      </c>
      <c r="G8201" s="7">
        <v>15.906</v>
      </c>
      <c r="H8201" s="42">
        <v>43218.0</v>
      </c>
      <c r="I8201" s="15" t="s">
        <v>1586</v>
      </c>
      <c r="J8201" s="15" t="s">
        <v>29847</v>
      </c>
      <c r="K8201" s="15" t="s">
        <v>1722</v>
      </c>
      <c r="L8201" s="15">
        <v>24.0</v>
      </c>
      <c r="M8201" s="40">
        <v>42861.0</v>
      </c>
      <c r="N8201" s="40">
        <v>42861.0</v>
      </c>
      <c r="O8201" s="15" t="s">
        <v>1554</v>
      </c>
      <c r="Q8201" s="7"/>
    </row>
    <row r="8202">
      <c r="A8202" s="39" t="s">
        <v>29848</v>
      </c>
      <c r="B8202" s="15">
        <v>1965534.0</v>
      </c>
      <c r="D8202" s="15">
        <v>0.0</v>
      </c>
      <c r="E8202" s="15" t="s">
        <v>4407</v>
      </c>
      <c r="F8202" s="15" t="s">
        <v>1578</v>
      </c>
      <c r="G8202" s="7">
        <v>17.141</v>
      </c>
      <c r="H8202" s="15" t="s">
        <v>4736</v>
      </c>
      <c r="I8202" s="15" t="s">
        <v>1586</v>
      </c>
      <c r="J8202" s="15" t="s">
        <v>29850</v>
      </c>
      <c r="K8202" s="15" t="s">
        <v>1722</v>
      </c>
      <c r="L8202" s="15">
        <v>24.0</v>
      </c>
      <c r="M8202" s="40">
        <v>42861.0</v>
      </c>
      <c r="N8202" s="40">
        <v>42861.0</v>
      </c>
      <c r="O8202" s="15" t="s">
        <v>1554</v>
      </c>
      <c r="Q8202" s="7"/>
    </row>
    <row r="8203">
      <c r="A8203" s="39" t="s">
        <v>29851</v>
      </c>
      <c r="B8203" s="15">
        <v>1965535.0</v>
      </c>
      <c r="D8203" s="15">
        <v>0.0</v>
      </c>
      <c r="E8203" s="15" t="s">
        <v>4407</v>
      </c>
      <c r="F8203" s="15" t="s">
        <v>1578</v>
      </c>
      <c r="G8203" s="7">
        <v>40.068</v>
      </c>
      <c r="H8203" s="15">
        <v>58.0</v>
      </c>
      <c r="I8203" s="15" t="s">
        <v>1586</v>
      </c>
      <c r="J8203" s="15" t="s">
        <v>29852</v>
      </c>
      <c r="K8203" s="15" t="s">
        <v>1722</v>
      </c>
      <c r="L8203" s="15">
        <v>53.0</v>
      </c>
      <c r="M8203" s="40">
        <v>42861.0</v>
      </c>
      <c r="N8203" s="40">
        <v>42861.0</v>
      </c>
      <c r="O8203" s="15" t="s">
        <v>1554</v>
      </c>
      <c r="Q8203" s="7"/>
    </row>
    <row r="8204">
      <c r="A8204" s="39" t="s">
        <v>29853</v>
      </c>
      <c r="B8204" s="15">
        <v>1965536.0</v>
      </c>
      <c r="D8204" s="15">
        <v>0.0</v>
      </c>
      <c r="E8204" s="15" t="s">
        <v>4407</v>
      </c>
      <c r="F8204" s="15" t="s">
        <v>1578</v>
      </c>
      <c r="G8204" s="7">
        <v>12.366</v>
      </c>
      <c r="H8204" s="42">
        <v>43343.0</v>
      </c>
      <c r="I8204" s="15" t="s">
        <v>1586</v>
      </c>
      <c r="J8204" s="15" t="s">
        <v>29854</v>
      </c>
      <c r="K8204" s="15" t="s">
        <v>1722</v>
      </c>
      <c r="L8204" s="15">
        <v>20.0</v>
      </c>
      <c r="M8204" s="40">
        <v>42861.0</v>
      </c>
      <c r="N8204" s="40">
        <v>42861.0</v>
      </c>
      <c r="O8204" s="15" t="s">
        <v>1554</v>
      </c>
      <c r="Q8204" s="7"/>
    </row>
    <row r="8205">
      <c r="A8205" s="39" t="s">
        <v>29855</v>
      </c>
      <c r="B8205" s="15">
        <v>1968339.0</v>
      </c>
      <c r="D8205" s="15">
        <v>0.0</v>
      </c>
      <c r="E8205" s="15" t="s">
        <v>1808</v>
      </c>
      <c r="F8205" s="15" t="s">
        <v>2969</v>
      </c>
      <c r="G8205" s="7">
        <v>5.688</v>
      </c>
      <c r="H8205" s="15">
        <v>58.0</v>
      </c>
      <c r="I8205" s="15" t="s">
        <v>1586</v>
      </c>
      <c r="J8205" s="15" t="s">
        <v>29856</v>
      </c>
      <c r="K8205" s="15">
        <v>8.0</v>
      </c>
      <c r="L8205" s="15">
        <v>8.0</v>
      </c>
      <c r="M8205" s="40">
        <v>42265.0</v>
      </c>
      <c r="N8205" s="40">
        <v>42812.0</v>
      </c>
      <c r="O8205" s="15" t="s">
        <v>1554</v>
      </c>
      <c r="Q8205" s="7"/>
    </row>
    <row r="8206">
      <c r="A8206" s="39" t="s">
        <v>29857</v>
      </c>
      <c r="B8206" s="15">
        <v>1968340.0</v>
      </c>
      <c r="D8206" s="15">
        <v>0.0</v>
      </c>
      <c r="E8206" s="15" t="s">
        <v>1808</v>
      </c>
      <c r="F8206" s="15" t="s">
        <v>2969</v>
      </c>
      <c r="G8206" s="7">
        <v>6.533</v>
      </c>
      <c r="H8206" s="15" t="s">
        <v>10545</v>
      </c>
      <c r="I8206" s="15" t="s">
        <v>1586</v>
      </c>
      <c r="J8206" s="15" t="s">
        <v>29859</v>
      </c>
      <c r="K8206" s="15">
        <v>9.0</v>
      </c>
      <c r="L8206" s="15">
        <v>9.0</v>
      </c>
      <c r="M8206" s="40">
        <v>42812.0</v>
      </c>
      <c r="N8206" s="40">
        <v>42812.0</v>
      </c>
      <c r="O8206" s="15" t="s">
        <v>1554</v>
      </c>
      <c r="Q8206" s="7"/>
    </row>
    <row r="8207">
      <c r="A8207" s="39" t="s">
        <v>29860</v>
      </c>
      <c r="B8207" s="15">
        <v>1969736.0</v>
      </c>
      <c r="D8207" s="15">
        <v>0.0</v>
      </c>
      <c r="E8207" s="15" t="s">
        <v>1557</v>
      </c>
      <c r="F8207" s="15" t="s">
        <v>1833</v>
      </c>
      <c r="G8207" s="7">
        <v>34.73</v>
      </c>
      <c r="H8207" s="15" t="s">
        <v>8397</v>
      </c>
      <c r="I8207" s="15" t="s">
        <v>1586</v>
      </c>
      <c r="J8207" s="15" t="s">
        <v>29861</v>
      </c>
      <c r="K8207" s="15" t="s">
        <v>1722</v>
      </c>
      <c r="L8207" s="15">
        <v>53.0</v>
      </c>
      <c r="M8207" s="40">
        <v>42823.0</v>
      </c>
      <c r="N8207" s="40">
        <v>42823.0</v>
      </c>
      <c r="O8207" s="15" t="s">
        <v>1554</v>
      </c>
      <c r="Q8207" s="7"/>
    </row>
    <row r="8208">
      <c r="A8208" s="39" t="s">
        <v>29862</v>
      </c>
      <c r="B8208" s="15">
        <v>1969841.0</v>
      </c>
      <c r="D8208" s="15">
        <v>0.0</v>
      </c>
      <c r="E8208" s="15" t="s">
        <v>4407</v>
      </c>
      <c r="F8208" s="15" t="s">
        <v>1578</v>
      </c>
      <c r="G8208" s="7">
        <v>54.836</v>
      </c>
      <c r="H8208" s="15" t="s">
        <v>6583</v>
      </c>
      <c r="I8208" s="15" t="s">
        <v>1586</v>
      </c>
      <c r="J8208" s="15" t="s">
        <v>29863</v>
      </c>
      <c r="K8208" s="15" t="s">
        <v>1722</v>
      </c>
      <c r="L8208" s="15">
        <v>91.0</v>
      </c>
      <c r="M8208" s="40">
        <v>42819.0</v>
      </c>
      <c r="N8208" s="40">
        <v>42879.0</v>
      </c>
      <c r="O8208" s="15" t="s">
        <v>1554</v>
      </c>
      <c r="Q8208" s="7"/>
    </row>
    <row r="8209">
      <c r="A8209" s="39" t="s">
        <v>29864</v>
      </c>
      <c r="B8209" s="15">
        <v>1970744.0</v>
      </c>
      <c r="D8209" s="15">
        <v>0.0</v>
      </c>
      <c r="E8209" s="15" t="s">
        <v>1557</v>
      </c>
      <c r="F8209" s="15" t="s">
        <v>1767</v>
      </c>
      <c r="G8209" s="7">
        <v>135.563</v>
      </c>
      <c r="H8209" s="42">
        <v>43372.0</v>
      </c>
      <c r="I8209" s="15" t="s">
        <v>1586</v>
      </c>
      <c r="J8209" s="15" t="s">
        <v>29866</v>
      </c>
      <c r="K8209" s="15">
        <v>199.0</v>
      </c>
      <c r="L8209" s="15">
        <v>199.0</v>
      </c>
      <c r="M8209" s="40">
        <v>42875.0</v>
      </c>
      <c r="N8209" s="40">
        <v>42875.0</v>
      </c>
      <c r="O8209" s="15" t="s">
        <v>1554</v>
      </c>
      <c r="Q8209" s="7"/>
    </row>
    <row r="8210">
      <c r="A8210" s="39" t="s">
        <v>29867</v>
      </c>
      <c r="B8210" s="15">
        <v>1970746.0</v>
      </c>
      <c r="D8210" s="15">
        <v>0.0</v>
      </c>
      <c r="E8210" s="15" t="s">
        <v>1557</v>
      </c>
      <c r="F8210" s="15" t="s">
        <v>1767</v>
      </c>
      <c r="G8210" s="7">
        <v>142.499</v>
      </c>
      <c r="H8210" s="42">
        <v>43189.0</v>
      </c>
      <c r="I8210" s="15" t="s">
        <v>1586</v>
      </c>
      <c r="J8210" s="15" t="s">
        <v>29868</v>
      </c>
      <c r="K8210" s="15">
        <v>231.0</v>
      </c>
      <c r="L8210" s="15">
        <v>231.0</v>
      </c>
      <c r="M8210" s="40">
        <v>42875.0</v>
      </c>
      <c r="N8210" s="40">
        <v>42875.0</v>
      </c>
      <c r="O8210" s="15" t="s">
        <v>1554</v>
      </c>
      <c r="Q8210" s="7"/>
    </row>
    <row r="8211">
      <c r="A8211" s="39" t="s">
        <v>29869</v>
      </c>
      <c r="B8211" s="15">
        <v>1970747.0</v>
      </c>
      <c r="D8211" s="15">
        <v>0.0</v>
      </c>
      <c r="E8211" s="15" t="s">
        <v>1557</v>
      </c>
      <c r="F8211" s="15" t="s">
        <v>1611</v>
      </c>
      <c r="G8211" s="7">
        <v>51.738</v>
      </c>
      <c r="H8211" s="15" t="s">
        <v>2279</v>
      </c>
      <c r="I8211" s="15" t="s">
        <v>1586</v>
      </c>
      <c r="J8211" s="15" t="s">
        <v>29870</v>
      </c>
      <c r="K8211" s="15" t="s">
        <v>1722</v>
      </c>
      <c r="L8211" s="15">
        <v>87.0</v>
      </c>
      <c r="M8211" s="40">
        <v>42823.0</v>
      </c>
      <c r="N8211" s="40">
        <v>42823.0</v>
      </c>
      <c r="O8211" s="15" t="s">
        <v>1554</v>
      </c>
      <c r="Q8211" s="7"/>
    </row>
    <row r="8212">
      <c r="A8212" s="39" t="s">
        <v>29871</v>
      </c>
      <c r="B8212" s="15">
        <v>1970773.0</v>
      </c>
      <c r="D8212" s="15">
        <v>0.0</v>
      </c>
      <c r="E8212" s="15" t="s">
        <v>1557</v>
      </c>
      <c r="F8212" s="15" t="s">
        <v>1578</v>
      </c>
      <c r="G8212" s="7">
        <v>50.339</v>
      </c>
      <c r="H8212" s="15" t="s">
        <v>3584</v>
      </c>
      <c r="I8212" s="15" t="s">
        <v>1586</v>
      </c>
      <c r="J8212" s="15" t="s">
        <v>29873</v>
      </c>
      <c r="K8212" s="15" t="s">
        <v>1722</v>
      </c>
      <c r="L8212" s="15">
        <v>87.0</v>
      </c>
      <c r="M8212" s="40">
        <v>42854.0</v>
      </c>
      <c r="N8212" s="40">
        <v>42854.0</v>
      </c>
      <c r="O8212" s="15" t="s">
        <v>1554</v>
      </c>
      <c r="Q8212" s="7"/>
    </row>
    <row r="8213">
      <c r="A8213" s="39" t="s">
        <v>29874</v>
      </c>
      <c r="B8213" s="15">
        <v>1970776.0</v>
      </c>
      <c r="D8213" s="15">
        <v>0.0</v>
      </c>
      <c r="E8213" s="15" t="s">
        <v>1557</v>
      </c>
      <c r="F8213" s="15" t="s">
        <v>1767</v>
      </c>
      <c r="G8213" s="7">
        <v>186.57</v>
      </c>
      <c r="H8213" s="15" t="s">
        <v>1714</v>
      </c>
      <c r="I8213" s="15" t="s">
        <v>1586</v>
      </c>
      <c r="J8213" s="15" t="s">
        <v>29875</v>
      </c>
      <c r="K8213" s="15">
        <v>281.0</v>
      </c>
      <c r="L8213" s="15">
        <v>281.0</v>
      </c>
      <c r="M8213" s="40">
        <v>42861.0</v>
      </c>
      <c r="N8213" s="40">
        <v>42861.0</v>
      </c>
      <c r="O8213" s="15" t="s">
        <v>1554</v>
      </c>
      <c r="Q8213" s="7"/>
    </row>
    <row r="8214">
      <c r="A8214" s="39" t="s">
        <v>29876</v>
      </c>
      <c r="B8214" s="15">
        <v>1970789.0</v>
      </c>
      <c r="D8214" s="15">
        <v>0.0</v>
      </c>
      <c r="E8214" s="15" t="s">
        <v>1557</v>
      </c>
      <c r="F8214" s="15" t="s">
        <v>1833</v>
      </c>
      <c r="G8214" s="7">
        <v>80.309</v>
      </c>
      <c r="H8214" s="15" t="s">
        <v>4190</v>
      </c>
      <c r="I8214" s="15" t="s">
        <v>1586</v>
      </c>
      <c r="J8214" s="15" t="s">
        <v>29877</v>
      </c>
      <c r="K8214" s="15">
        <v>164.0</v>
      </c>
      <c r="L8214" s="15">
        <v>142.0</v>
      </c>
      <c r="M8214" s="40">
        <v>42861.0</v>
      </c>
      <c r="N8214" s="40">
        <v>42861.0</v>
      </c>
      <c r="O8214" s="15" t="s">
        <v>1554</v>
      </c>
      <c r="Q8214" s="7"/>
    </row>
    <row r="8215">
      <c r="A8215" s="39" t="s">
        <v>29878</v>
      </c>
      <c r="B8215" s="15">
        <v>1970794.0</v>
      </c>
      <c r="D8215" s="15">
        <v>0.0</v>
      </c>
      <c r="E8215" s="15" t="s">
        <v>1557</v>
      </c>
      <c r="F8215" s="15" t="s">
        <v>1833</v>
      </c>
      <c r="G8215" s="7">
        <v>60.3</v>
      </c>
      <c r="H8215" s="15" t="s">
        <v>4108</v>
      </c>
      <c r="I8215" s="15" t="s">
        <v>1586</v>
      </c>
      <c r="J8215" s="15" t="s">
        <v>29879</v>
      </c>
      <c r="K8215" s="15">
        <v>112.0</v>
      </c>
      <c r="L8215" s="15">
        <v>112.0</v>
      </c>
      <c r="M8215" s="40">
        <v>42861.0</v>
      </c>
      <c r="N8215" s="40">
        <v>42861.0</v>
      </c>
      <c r="O8215" s="15" t="s">
        <v>1554</v>
      </c>
      <c r="Q8215" s="7"/>
    </row>
    <row r="8216">
      <c r="A8216" s="39" t="s">
        <v>29881</v>
      </c>
      <c r="B8216" s="15">
        <v>1970795.0</v>
      </c>
      <c r="D8216" s="15">
        <v>0.0</v>
      </c>
      <c r="E8216" s="15" t="s">
        <v>4407</v>
      </c>
      <c r="F8216" s="15" t="s">
        <v>1578</v>
      </c>
      <c r="G8216" s="7">
        <v>54.319</v>
      </c>
      <c r="H8216" s="15" t="s">
        <v>3973</v>
      </c>
      <c r="I8216" s="15" t="s">
        <v>1586</v>
      </c>
      <c r="J8216" s="15" t="s">
        <v>29882</v>
      </c>
      <c r="K8216" s="15">
        <v>69.0</v>
      </c>
      <c r="L8216" s="15">
        <v>69.0</v>
      </c>
      <c r="M8216" s="40">
        <v>42861.0</v>
      </c>
      <c r="N8216" s="40">
        <v>42861.0</v>
      </c>
      <c r="O8216" s="15" t="s">
        <v>1554</v>
      </c>
      <c r="Q8216" s="7"/>
    </row>
    <row r="8217">
      <c r="A8217" s="39" t="s">
        <v>29883</v>
      </c>
      <c r="B8217" s="15">
        <v>1970797.0</v>
      </c>
      <c r="D8217" s="15">
        <v>0.0</v>
      </c>
      <c r="E8217" s="15" t="s">
        <v>1557</v>
      </c>
      <c r="F8217" s="15" t="s">
        <v>1767</v>
      </c>
      <c r="G8217" s="7">
        <v>41.289</v>
      </c>
      <c r="H8217" s="15" t="s">
        <v>4606</v>
      </c>
      <c r="I8217" s="15" t="s">
        <v>1586</v>
      </c>
      <c r="J8217" s="15" t="s">
        <v>29884</v>
      </c>
      <c r="K8217" s="15">
        <v>56.0</v>
      </c>
      <c r="L8217" s="15">
        <v>56.0</v>
      </c>
      <c r="M8217" s="40">
        <v>42861.0</v>
      </c>
      <c r="N8217" s="40">
        <v>42861.0</v>
      </c>
      <c r="O8217" s="15" t="s">
        <v>1554</v>
      </c>
      <c r="Q8217" s="7"/>
    </row>
    <row r="8218">
      <c r="A8218" s="39" t="s">
        <v>29885</v>
      </c>
      <c r="B8218" s="15">
        <v>1970798.0</v>
      </c>
      <c r="D8218" s="15">
        <v>0.0</v>
      </c>
      <c r="E8218" s="15" t="s">
        <v>4407</v>
      </c>
      <c r="F8218" s="15" t="s">
        <v>1578</v>
      </c>
      <c r="G8218" s="7">
        <v>50.526</v>
      </c>
      <c r="H8218" s="15" t="s">
        <v>2263</v>
      </c>
      <c r="I8218" s="15" t="s">
        <v>1586</v>
      </c>
      <c r="J8218" s="15" t="s">
        <v>29886</v>
      </c>
      <c r="K8218" s="15">
        <v>81.0</v>
      </c>
      <c r="L8218" s="15">
        <v>81.0</v>
      </c>
      <c r="M8218" s="40">
        <v>42861.0</v>
      </c>
      <c r="N8218" s="40">
        <v>42861.0</v>
      </c>
      <c r="O8218" s="15" t="s">
        <v>1554</v>
      </c>
      <c r="Q8218" s="7"/>
    </row>
    <row r="8219">
      <c r="A8219" s="39" t="s">
        <v>29887</v>
      </c>
      <c r="B8219" s="15">
        <v>1971232.0</v>
      </c>
      <c r="D8219" s="15">
        <v>0.0</v>
      </c>
      <c r="E8219" s="15" t="s">
        <v>4407</v>
      </c>
      <c r="F8219" s="15" t="s">
        <v>1578</v>
      </c>
      <c r="G8219" s="7">
        <v>56.606</v>
      </c>
      <c r="H8219" s="42">
        <v>43369.0</v>
      </c>
      <c r="I8219" s="15" t="s">
        <v>1586</v>
      </c>
      <c r="J8219" s="15" t="s">
        <v>29888</v>
      </c>
      <c r="K8219" s="15">
        <v>74.0</v>
      </c>
      <c r="L8219" s="15">
        <v>74.0</v>
      </c>
      <c r="M8219" s="40">
        <v>42823.0</v>
      </c>
      <c r="N8219" s="40">
        <v>42823.0</v>
      </c>
      <c r="O8219" s="15" t="s">
        <v>1554</v>
      </c>
      <c r="Q8219" s="7"/>
    </row>
    <row r="8220">
      <c r="A8220" s="39" t="s">
        <v>29890</v>
      </c>
      <c r="B8220" s="15">
        <v>1971410.0</v>
      </c>
      <c r="D8220" s="15">
        <v>0.0</v>
      </c>
      <c r="E8220" s="15" t="s">
        <v>4407</v>
      </c>
      <c r="F8220" s="15" t="s">
        <v>1578</v>
      </c>
      <c r="G8220" s="7">
        <v>35.653</v>
      </c>
      <c r="H8220" s="15" t="s">
        <v>2197</v>
      </c>
      <c r="I8220" s="15" t="s">
        <v>1586</v>
      </c>
      <c r="J8220" s="15" t="s">
        <v>29891</v>
      </c>
      <c r="K8220" s="15">
        <v>44.0</v>
      </c>
      <c r="L8220" s="15">
        <v>44.0</v>
      </c>
      <c r="M8220" s="40">
        <v>42991.0</v>
      </c>
      <c r="N8220" s="40">
        <v>42991.0</v>
      </c>
      <c r="O8220" s="15" t="s">
        <v>1554</v>
      </c>
      <c r="Q8220" s="7"/>
    </row>
    <row r="8221">
      <c r="A8221" s="39" t="s">
        <v>29892</v>
      </c>
      <c r="B8221" s="15">
        <v>1971411.0</v>
      </c>
      <c r="D8221" s="15">
        <v>0.0</v>
      </c>
      <c r="E8221" s="15" t="s">
        <v>4407</v>
      </c>
      <c r="F8221" s="15" t="s">
        <v>1578</v>
      </c>
      <c r="G8221" s="7">
        <v>34.58</v>
      </c>
      <c r="H8221" s="15" t="s">
        <v>6633</v>
      </c>
      <c r="I8221" s="15" t="s">
        <v>1586</v>
      </c>
      <c r="J8221" s="15" t="s">
        <v>29893</v>
      </c>
      <c r="K8221" s="15">
        <v>50.0</v>
      </c>
      <c r="L8221" s="15">
        <v>50.0</v>
      </c>
      <c r="M8221" s="40">
        <v>42991.0</v>
      </c>
      <c r="N8221" s="40">
        <v>42991.0</v>
      </c>
      <c r="O8221" s="15" t="s">
        <v>1554</v>
      </c>
      <c r="Q8221" s="7"/>
    </row>
    <row r="8222">
      <c r="A8222" s="39" t="s">
        <v>29894</v>
      </c>
      <c r="B8222" s="15">
        <v>1971412.0</v>
      </c>
      <c r="D8222" s="15">
        <v>0.0</v>
      </c>
      <c r="E8222" s="15" t="s">
        <v>4407</v>
      </c>
      <c r="F8222" s="15" t="s">
        <v>1578</v>
      </c>
      <c r="G8222" s="7">
        <v>34.932</v>
      </c>
      <c r="H8222" s="15" t="s">
        <v>2857</v>
      </c>
      <c r="I8222" s="15" t="s">
        <v>1586</v>
      </c>
      <c r="J8222" s="15" t="s">
        <v>29895</v>
      </c>
      <c r="K8222" s="15">
        <v>51.0</v>
      </c>
      <c r="L8222" s="15">
        <v>51.0</v>
      </c>
      <c r="M8222" s="40">
        <v>42991.0</v>
      </c>
      <c r="N8222" s="40">
        <v>42991.0</v>
      </c>
      <c r="O8222" s="15" t="s">
        <v>1554</v>
      </c>
      <c r="Q8222" s="7"/>
    </row>
    <row r="8223">
      <c r="A8223" s="39" t="s">
        <v>29897</v>
      </c>
      <c r="B8223" s="15">
        <v>1971413.0</v>
      </c>
      <c r="D8223" s="15">
        <v>0.0</v>
      </c>
      <c r="E8223" s="15" t="s">
        <v>4407</v>
      </c>
      <c r="F8223" s="15" t="s">
        <v>1578</v>
      </c>
      <c r="G8223" s="7">
        <v>33.335</v>
      </c>
      <c r="H8223" s="15" t="s">
        <v>1823</v>
      </c>
      <c r="I8223" s="15" t="s">
        <v>1586</v>
      </c>
      <c r="J8223" s="15" t="s">
        <v>29898</v>
      </c>
      <c r="K8223" s="15">
        <v>47.0</v>
      </c>
      <c r="L8223" s="15">
        <v>47.0</v>
      </c>
      <c r="M8223" s="40">
        <v>42991.0</v>
      </c>
      <c r="N8223" s="40">
        <v>42991.0</v>
      </c>
      <c r="O8223" s="15" t="s">
        <v>1554</v>
      </c>
      <c r="Q8223" s="7"/>
    </row>
    <row r="8224">
      <c r="A8224" s="39" t="s">
        <v>29899</v>
      </c>
      <c r="B8224" s="15">
        <v>1971414.0</v>
      </c>
      <c r="D8224" s="15">
        <v>0.0</v>
      </c>
      <c r="E8224" s="15" t="s">
        <v>4407</v>
      </c>
      <c r="F8224" s="15" t="s">
        <v>1578</v>
      </c>
      <c r="G8224" s="7">
        <v>35.966</v>
      </c>
      <c r="H8224" s="15" t="s">
        <v>2668</v>
      </c>
      <c r="I8224" s="15" t="s">
        <v>1586</v>
      </c>
      <c r="J8224" s="15" t="s">
        <v>29900</v>
      </c>
      <c r="K8224" s="15">
        <v>55.0</v>
      </c>
      <c r="L8224" s="15">
        <v>54.0</v>
      </c>
      <c r="M8224" s="40">
        <v>42991.0</v>
      </c>
      <c r="N8224" s="40">
        <v>42991.0</v>
      </c>
      <c r="O8224" s="15" t="s">
        <v>1554</v>
      </c>
      <c r="Q8224" s="7"/>
    </row>
    <row r="8225">
      <c r="A8225" s="39" t="s">
        <v>29901</v>
      </c>
      <c r="B8225" s="15">
        <v>1971415.0</v>
      </c>
      <c r="D8225" s="15">
        <v>0.0</v>
      </c>
      <c r="E8225" s="15" t="s">
        <v>4407</v>
      </c>
      <c r="F8225" s="15" t="s">
        <v>1578</v>
      </c>
      <c r="G8225" s="7">
        <v>36.168</v>
      </c>
      <c r="H8225" s="15" t="s">
        <v>6633</v>
      </c>
      <c r="I8225" s="15" t="s">
        <v>1586</v>
      </c>
      <c r="J8225" s="15" t="s">
        <v>29902</v>
      </c>
      <c r="K8225" s="15">
        <v>46.0</v>
      </c>
      <c r="L8225" s="15">
        <v>45.0</v>
      </c>
      <c r="M8225" s="40">
        <v>42991.0</v>
      </c>
      <c r="N8225" s="40">
        <v>42991.0</v>
      </c>
      <c r="O8225" s="15" t="s">
        <v>1554</v>
      </c>
      <c r="Q8225" s="7"/>
    </row>
    <row r="8226">
      <c r="A8226" s="39" t="s">
        <v>29903</v>
      </c>
      <c r="B8226" s="15">
        <v>1971416.0</v>
      </c>
      <c r="D8226" s="15">
        <v>0.0</v>
      </c>
      <c r="E8226" s="15" t="s">
        <v>4407</v>
      </c>
      <c r="F8226" s="15" t="s">
        <v>1578</v>
      </c>
      <c r="G8226" s="7">
        <v>35.444</v>
      </c>
      <c r="H8226" s="15" t="s">
        <v>5806</v>
      </c>
      <c r="I8226" s="15" t="s">
        <v>1586</v>
      </c>
      <c r="J8226" s="15" t="s">
        <v>29905</v>
      </c>
      <c r="K8226" s="15">
        <v>45.0</v>
      </c>
      <c r="L8226" s="15">
        <v>44.0</v>
      </c>
      <c r="M8226" s="40">
        <v>42991.0</v>
      </c>
      <c r="N8226" s="40">
        <v>42991.0</v>
      </c>
      <c r="O8226" s="15" t="s">
        <v>1554</v>
      </c>
      <c r="Q8226" s="7"/>
    </row>
    <row r="8227">
      <c r="A8227" s="39" t="s">
        <v>29906</v>
      </c>
      <c r="B8227" s="15">
        <v>1971417.0</v>
      </c>
      <c r="D8227" s="15">
        <v>0.0</v>
      </c>
      <c r="E8227" s="15" t="s">
        <v>4407</v>
      </c>
      <c r="F8227" s="15" t="s">
        <v>1578</v>
      </c>
      <c r="G8227" s="7">
        <v>38.139</v>
      </c>
      <c r="H8227" s="15">
        <v>39.0</v>
      </c>
      <c r="I8227" s="15" t="s">
        <v>1586</v>
      </c>
      <c r="J8227" s="15" t="s">
        <v>29907</v>
      </c>
      <c r="K8227" s="15">
        <v>55.0</v>
      </c>
      <c r="L8227" s="15">
        <v>55.0</v>
      </c>
      <c r="M8227" s="40">
        <v>42991.0</v>
      </c>
      <c r="N8227" s="40">
        <v>42991.0</v>
      </c>
      <c r="O8227" s="15" t="s">
        <v>1554</v>
      </c>
      <c r="Q8227" s="7"/>
    </row>
    <row r="8228">
      <c r="A8228" s="39" t="s">
        <v>29908</v>
      </c>
      <c r="B8228" s="15">
        <v>1971418.0</v>
      </c>
      <c r="D8228" s="15">
        <v>0.0</v>
      </c>
      <c r="E8228" s="15" t="s">
        <v>4407</v>
      </c>
      <c r="F8228" s="15" t="s">
        <v>1578</v>
      </c>
      <c r="G8228" s="7">
        <v>37.235</v>
      </c>
      <c r="H8228" s="15" t="s">
        <v>6565</v>
      </c>
      <c r="I8228" s="15" t="s">
        <v>1586</v>
      </c>
      <c r="J8228" s="15" t="s">
        <v>29909</v>
      </c>
      <c r="K8228" s="15">
        <v>52.0</v>
      </c>
      <c r="L8228" s="15">
        <v>52.0</v>
      </c>
      <c r="M8228" s="40">
        <v>42991.0</v>
      </c>
      <c r="N8228" s="40">
        <v>42991.0</v>
      </c>
      <c r="O8228" s="15" t="s">
        <v>1554</v>
      </c>
      <c r="Q8228" s="7"/>
    </row>
    <row r="8229">
      <c r="A8229" s="39" t="s">
        <v>29910</v>
      </c>
      <c r="B8229" s="15">
        <v>1971419.0</v>
      </c>
      <c r="D8229" s="15">
        <v>0.0</v>
      </c>
      <c r="E8229" s="15" t="s">
        <v>4407</v>
      </c>
      <c r="F8229" s="15" t="s">
        <v>1578</v>
      </c>
      <c r="G8229" s="7">
        <v>34.292</v>
      </c>
      <c r="H8229" s="15" t="s">
        <v>3895</v>
      </c>
      <c r="I8229" s="15" t="s">
        <v>1586</v>
      </c>
      <c r="J8229" s="15" t="s">
        <v>29911</v>
      </c>
      <c r="K8229" s="15">
        <v>43.0</v>
      </c>
      <c r="L8229" s="15">
        <v>43.0</v>
      </c>
      <c r="M8229" s="40">
        <v>42991.0</v>
      </c>
      <c r="N8229" s="40">
        <v>42991.0</v>
      </c>
      <c r="O8229" s="15" t="s">
        <v>1554</v>
      </c>
      <c r="Q8229" s="7"/>
    </row>
    <row r="8230">
      <c r="A8230" s="39" t="s">
        <v>29912</v>
      </c>
      <c r="B8230" s="15">
        <v>1971420.0</v>
      </c>
      <c r="D8230" s="15">
        <v>0.0</v>
      </c>
      <c r="E8230" s="15" t="s">
        <v>4407</v>
      </c>
      <c r="F8230" s="15" t="s">
        <v>1578</v>
      </c>
      <c r="G8230" s="7">
        <v>33.448</v>
      </c>
      <c r="H8230" s="15" t="s">
        <v>2597</v>
      </c>
      <c r="I8230" s="15" t="s">
        <v>1586</v>
      </c>
      <c r="J8230" s="15" t="s">
        <v>29914</v>
      </c>
      <c r="K8230" s="15">
        <v>43.0</v>
      </c>
      <c r="L8230" s="15">
        <v>43.0</v>
      </c>
      <c r="M8230" s="40">
        <v>42991.0</v>
      </c>
      <c r="N8230" s="40">
        <v>42991.0</v>
      </c>
      <c r="O8230" s="15" t="s">
        <v>1554</v>
      </c>
      <c r="Q8230" s="7"/>
    </row>
    <row r="8231">
      <c r="A8231" s="39" t="s">
        <v>29915</v>
      </c>
      <c r="B8231" s="15">
        <v>1971421.0</v>
      </c>
      <c r="D8231" s="15">
        <v>0.0</v>
      </c>
      <c r="E8231" s="15" t="s">
        <v>4407</v>
      </c>
      <c r="F8231" s="15" t="s">
        <v>1578</v>
      </c>
      <c r="G8231" s="7">
        <v>35.843</v>
      </c>
      <c r="H8231" s="15">
        <v>39.0</v>
      </c>
      <c r="I8231" s="15" t="s">
        <v>1586</v>
      </c>
      <c r="J8231" s="15" t="s">
        <v>29916</v>
      </c>
      <c r="K8231" s="15">
        <v>45.0</v>
      </c>
      <c r="L8231" s="15">
        <v>44.0</v>
      </c>
      <c r="M8231" s="40">
        <v>42991.0</v>
      </c>
      <c r="N8231" s="40">
        <v>42991.0</v>
      </c>
      <c r="O8231" s="15" t="s">
        <v>1554</v>
      </c>
      <c r="Q8231" s="7"/>
    </row>
    <row r="8232">
      <c r="A8232" s="39" t="s">
        <v>29917</v>
      </c>
      <c r="B8232" s="15">
        <v>1971422.0</v>
      </c>
      <c r="D8232" s="15">
        <v>0.0</v>
      </c>
      <c r="E8232" s="15" t="s">
        <v>4407</v>
      </c>
      <c r="F8232" s="15" t="s">
        <v>1578</v>
      </c>
      <c r="G8232" s="7">
        <v>33.284</v>
      </c>
      <c r="H8232" s="15" t="s">
        <v>6565</v>
      </c>
      <c r="I8232" s="15" t="s">
        <v>1586</v>
      </c>
      <c r="J8232" s="15" t="s">
        <v>29918</v>
      </c>
      <c r="K8232" s="15">
        <v>42.0</v>
      </c>
      <c r="L8232" s="15">
        <v>42.0</v>
      </c>
      <c r="M8232" s="40">
        <v>42991.0</v>
      </c>
      <c r="N8232" s="40">
        <v>42991.0</v>
      </c>
      <c r="O8232" s="15" t="s">
        <v>1554</v>
      </c>
      <c r="Q8232" s="7"/>
    </row>
    <row r="8233">
      <c r="A8233" s="39" t="s">
        <v>29919</v>
      </c>
      <c r="B8233" s="15">
        <v>1971423.0</v>
      </c>
      <c r="D8233" s="15">
        <v>0.0</v>
      </c>
      <c r="E8233" s="15" t="s">
        <v>4407</v>
      </c>
      <c r="F8233" s="15" t="s">
        <v>1578</v>
      </c>
      <c r="G8233" s="7">
        <v>34.019</v>
      </c>
      <c r="H8233" s="15" t="s">
        <v>5806</v>
      </c>
      <c r="I8233" s="15" t="s">
        <v>1586</v>
      </c>
      <c r="J8233" s="15" t="s">
        <v>29920</v>
      </c>
      <c r="K8233" s="15">
        <v>45.0</v>
      </c>
      <c r="L8233" s="15">
        <v>45.0</v>
      </c>
      <c r="M8233" s="40">
        <v>42991.0</v>
      </c>
      <c r="N8233" s="40">
        <v>42991.0</v>
      </c>
      <c r="O8233" s="15" t="s">
        <v>1554</v>
      </c>
      <c r="Q8233" s="7"/>
    </row>
    <row r="8234">
      <c r="A8234" s="39" t="s">
        <v>29922</v>
      </c>
      <c r="B8234" s="15">
        <v>1971424.0</v>
      </c>
      <c r="D8234" s="15">
        <v>0.0</v>
      </c>
      <c r="E8234" s="15" t="s">
        <v>4407</v>
      </c>
      <c r="F8234" s="15" t="s">
        <v>1578</v>
      </c>
      <c r="G8234" s="7">
        <v>35.025</v>
      </c>
      <c r="H8234" s="15" t="s">
        <v>6565</v>
      </c>
      <c r="I8234" s="15" t="s">
        <v>1586</v>
      </c>
      <c r="J8234" s="15" t="s">
        <v>29923</v>
      </c>
      <c r="K8234" s="15">
        <v>47.0</v>
      </c>
      <c r="L8234" s="15">
        <v>47.0</v>
      </c>
      <c r="M8234" s="40">
        <v>42991.0</v>
      </c>
      <c r="N8234" s="40">
        <v>42991.0</v>
      </c>
      <c r="O8234" s="15" t="s">
        <v>1554</v>
      </c>
      <c r="Q8234" s="7"/>
    </row>
    <row r="8235">
      <c r="A8235" s="39" t="s">
        <v>29924</v>
      </c>
      <c r="B8235" s="15">
        <v>1971425.0</v>
      </c>
      <c r="D8235" s="15">
        <v>0.0</v>
      </c>
      <c r="E8235" s="15" t="s">
        <v>4407</v>
      </c>
      <c r="F8235" s="15" t="s">
        <v>1578</v>
      </c>
      <c r="G8235" s="7">
        <v>35.663</v>
      </c>
      <c r="H8235" s="15" t="s">
        <v>5806</v>
      </c>
      <c r="I8235" s="15" t="s">
        <v>1586</v>
      </c>
      <c r="J8235" s="15" t="s">
        <v>29925</v>
      </c>
      <c r="K8235" s="15">
        <v>46.0</v>
      </c>
      <c r="L8235" s="15">
        <v>46.0</v>
      </c>
      <c r="M8235" s="40">
        <v>42991.0</v>
      </c>
      <c r="N8235" s="40">
        <v>42991.0</v>
      </c>
      <c r="O8235" s="15" t="s">
        <v>1554</v>
      </c>
      <c r="Q8235" s="7"/>
    </row>
    <row r="8236">
      <c r="A8236" s="39" t="s">
        <v>29926</v>
      </c>
      <c r="B8236" s="15">
        <v>1971426.0</v>
      </c>
      <c r="D8236" s="15">
        <v>0.0</v>
      </c>
      <c r="E8236" s="15" t="s">
        <v>4407</v>
      </c>
      <c r="F8236" s="15" t="s">
        <v>1578</v>
      </c>
      <c r="G8236" s="7">
        <v>34.507</v>
      </c>
      <c r="H8236" s="15" t="s">
        <v>6565</v>
      </c>
      <c r="I8236" s="15" t="s">
        <v>1586</v>
      </c>
      <c r="J8236" s="15" t="s">
        <v>29927</v>
      </c>
      <c r="K8236" s="15">
        <v>42.0</v>
      </c>
      <c r="L8236" s="15">
        <v>42.0</v>
      </c>
      <c r="M8236" s="40">
        <v>42991.0</v>
      </c>
      <c r="N8236" s="40">
        <v>42991.0</v>
      </c>
      <c r="O8236" s="15" t="s">
        <v>1554</v>
      </c>
      <c r="Q8236" s="7"/>
    </row>
    <row r="8237">
      <c r="A8237" s="39" t="s">
        <v>29929</v>
      </c>
      <c r="B8237" s="15">
        <v>1971427.0</v>
      </c>
      <c r="D8237" s="15">
        <v>0.0</v>
      </c>
      <c r="E8237" s="15" t="s">
        <v>4407</v>
      </c>
      <c r="F8237" s="15" t="s">
        <v>1578</v>
      </c>
      <c r="G8237" s="7">
        <v>34.907</v>
      </c>
      <c r="H8237" s="15" t="s">
        <v>2304</v>
      </c>
      <c r="I8237" s="15" t="s">
        <v>1586</v>
      </c>
      <c r="J8237" s="15" t="s">
        <v>29930</v>
      </c>
      <c r="K8237" s="15">
        <v>49.0</v>
      </c>
      <c r="L8237" s="15">
        <v>49.0</v>
      </c>
      <c r="M8237" s="40">
        <v>42991.0</v>
      </c>
      <c r="N8237" s="40">
        <v>42991.0</v>
      </c>
      <c r="O8237" s="15" t="s">
        <v>1554</v>
      </c>
      <c r="Q8237" s="7"/>
    </row>
    <row r="8238">
      <c r="A8238" s="39" t="s">
        <v>29931</v>
      </c>
      <c r="B8238" s="15">
        <v>1971428.0</v>
      </c>
      <c r="D8238" s="15">
        <v>0.0</v>
      </c>
      <c r="E8238" s="15" t="s">
        <v>4407</v>
      </c>
      <c r="F8238" s="15" t="s">
        <v>1578</v>
      </c>
      <c r="G8238" s="7">
        <v>33.41</v>
      </c>
      <c r="H8238" s="15" t="s">
        <v>1602</v>
      </c>
      <c r="I8238" s="15" t="s">
        <v>1586</v>
      </c>
      <c r="J8238" s="15" t="s">
        <v>29932</v>
      </c>
      <c r="K8238" s="15">
        <v>43.0</v>
      </c>
      <c r="L8238" s="15">
        <v>43.0</v>
      </c>
      <c r="M8238" s="40">
        <v>42991.0</v>
      </c>
      <c r="N8238" s="40">
        <v>42991.0</v>
      </c>
      <c r="O8238" s="15" t="s">
        <v>1554</v>
      </c>
      <c r="Q8238" s="7"/>
    </row>
    <row r="8239">
      <c r="A8239" s="39" t="s">
        <v>29933</v>
      </c>
      <c r="B8239" s="15">
        <v>1971429.0</v>
      </c>
      <c r="D8239" s="15">
        <v>0.0</v>
      </c>
      <c r="E8239" s="15" t="s">
        <v>4407</v>
      </c>
      <c r="F8239" s="15" t="s">
        <v>1578</v>
      </c>
      <c r="G8239" s="7">
        <v>37.715</v>
      </c>
      <c r="H8239" s="15" t="s">
        <v>1607</v>
      </c>
      <c r="I8239" s="15" t="s">
        <v>1586</v>
      </c>
      <c r="J8239" s="15" t="s">
        <v>29934</v>
      </c>
      <c r="K8239" s="15">
        <v>49.0</v>
      </c>
      <c r="L8239" s="15">
        <v>48.0</v>
      </c>
      <c r="M8239" s="40">
        <v>42991.0</v>
      </c>
      <c r="N8239" s="40">
        <v>42991.0</v>
      </c>
      <c r="O8239" s="15" t="s">
        <v>1554</v>
      </c>
      <c r="Q8239" s="7"/>
    </row>
    <row r="8240">
      <c r="A8240" s="39" t="s">
        <v>29935</v>
      </c>
      <c r="B8240" s="15">
        <v>1971430.0</v>
      </c>
      <c r="D8240" s="15">
        <v>0.0</v>
      </c>
      <c r="E8240" s="15" t="s">
        <v>4407</v>
      </c>
      <c r="F8240" s="15" t="s">
        <v>1578</v>
      </c>
      <c r="G8240" s="7">
        <v>36.298</v>
      </c>
      <c r="H8240" s="15" t="s">
        <v>1607</v>
      </c>
      <c r="I8240" s="15" t="s">
        <v>1586</v>
      </c>
      <c r="J8240" s="15" t="s">
        <v>29936</v>
      </c>
      <c r="K8240" s="15">
        <v>50.0</v>
      </c>
      <c r="L8240" s="15">
        <v>49.0</v>
      </c>
      <c r="M8240" s="40">
        <v>42991.0</v>
      </c>
      <c r="N8240" s="40">
        <v>42991.0</v>
      </c>
      <c r="O8240" s="15" t="s">
        <v>1554</v>
      </c>
      <c r="Q8240" s="7"/>
    </row>
    <row r="8241">
      <c r="A8241" s="39" t="s">
        <v>29937</v>
      </c>
      <c r="B8241" s="15">
        <v>1971431.0</v>
      </c>
      <c r="D8241" s="15">
        <v>0.0</v>
      </c>
      <c r="E8241" s="15" t="s">
        <v>4407</v>
      </c>
      <c r="F8241" s="15" t="s">
        <v>1578</v>
      </c>
      <c r="G8241" s="7">
        <v>35.395</v>
      </c>
      <c r="H8241" s="15" t="s">
        <v>1823</v>
      </c>
      <c r="I8241" s="15" t="s">
        <v>1586</v>
      </c>
      <c r="J8241" s="15" t="s">
        <v>29939</v>
      </c>
      <c r="K8241" s="15">
        <v>51.0</v>
      </c>
      <c r="L8241" s="15">
        <v>51.0</v>
      </c>
      <c r="M8241" s="40">
        <v>42991.0</v>
      </c>
      <c r="N8241" s="40">
        <v>42991.0</v>
      </c>
      <c r="O8241" s="15" t="s">
        <v>1554</v>
      </c>
      <c r="Q8241" s="7"/>
    </row>
    <row r="8242">
      <c r="A8242" s="39" t="s">
        <v>29940</v>
      </c>
      <c r="B8242" s="15">
        <v>1971432.0</v>
      </c>
      <c r="D8242" s="15">
        <v>0.0</v>
      </c>
      <c r="E8242" s="15" t="s">
        <v>4407</v>
      </c>
      <c r="F8242" s="15" t="s">
        <v>1578</v>
      </c>
      <c r="G8242" s="7">
        <v>37.202</v>
      </c>
      <c r="H8242" s="15" t="s">
        <v>1607</v>
      </c>
      <c r="I8242" s="15" t="s">
        <v>1586</v>
      </c>
      <c r="J8242" s="15" t="s">
        <v>29941</v>
      </c>
      <c r="K8242" s="15">
        <v>51.0</v>
      </c>
      <c r="L8242" s="15">
        <v>51.0</v>
      </c>
      <c r="M8242" s="40">
        <v>42991.0</v>
      </c>
      <c r="N8242" s="40">
        <v>42991.0</v>
      </c>
      <c r="O8242" s="15" t="s">
        <v>1554</v>
      </c>
      <c r="Q8242" s="7"/>
    </row>
    <row r="8243">
      <c r="A8243" s="39" t="s">
        <v>29942</v>
      </c>
      <c r="B8243" s="15">
        <v>1971433.0</v>
      </c>
      <c r="D8243" s="15">
        <v>0.0</v>
      </c>
      <c r="E8243" s="15" t="s">
        <v>4407</v>
      </c>
      <c r="F8243" s="15" t="s">
        <v>1578</v>
      </c>
      <c r="G8243" s="7">
        <v>36.164</v>
      </c>
      <c r="H8243" s="15" t="s">
        <v>5806</v>
      </c>
      <c r="I8243" s="15" t="s">
        <v>1586</v>
      </c>
      <c r="J8243" s="15" t="s">
        <v>29943</v>
      </c>
      <c r="K8243" s="15">
        <v>48.0</v>
      </c>
      <c r="L8243" s="15">
        <v>48.0</v>
      </c>
      <c r="M8243" s="40">
        <v>42991.0</v>
      </c>
      <c r="N8243" s="40">
        <v>42991.0</v>
      </c>
      <c r="O8243" s="15" t="s">
        <v>1554</v>
      </c>
      <c r="Q8243" s="7"/>
    </row>
    <row r="8244">
      <c r="A8244" s="39" t="s">
        <v>29944</v>
      </c>
      <c r="B8244" s="15">
        <v>1971434.0</v>
      </c>
      <c r="D8244" s="15">
        <v>0.0</v>
      </c>
      <c r="E8244" s="15" t="s">
        <v>4407</v>
      </c>
      <c r="F8244" s="15" t="s">
        <v>1578</v>
      </c>
      <c r="G8244" s="7">
        <v>35.988</v>
      </c>
      <c r="H8244" s="15" t="s">
        <v>3895</v>
      </c>
      <c r="I8244" s="15" t="s">
        <v>1586</v>
      </c>
      <c r="J8244" s="15" t="s">
        <v>29945</v>
      </c>
      <c r="K8244" s="15">
        <v>48.0</v>
      </c>
      <c r="L8244" s="15">
        <v>47.0</v>
      </c>
      <c r="M8244" s="40">
        <v>42991.0</v>
      </c>
      <c r="N8244" s="40">
        <v>42991.0</v>
      </c>
      <c r="O8244" s="15" t="s">
        <v>1554</v>
      </c>
      <c r="Q8244" s="7"/>
    </row>
    <row r="8245">
      <c r="A8245" s="39" t="s">
        <v>29947</v>
      </c>
      <c r="B8245" s="15">
        <v>1971435.0</v>
      </c>
      <c r="D8245" s="15">
        <v>0.0</v>
      </c>
      <c r="E8245" s="15" t="s">
        <v>4407</v>
      </c>
      <c r="F8245" s="15" t="s">
        <v>1578</v>
      </c>
      <c r="G8245" s="7">
        <v>35.921</v>
      </c>
      <c r="H8245" s="15">
        <v>39.0</v>
      </c>
      <c r="I8245" s="15" t="s">
        <v>1586</v>
      </c>
      <c r="J8245" s="15" t="s">
        <v>29948</v>
      </c>
      <c r="K8245" s="15">
        <v>47.0</v>
      </c>
      <c r="L8245" s="15">
        <v>47.0</v>
      </c>
      <c r="M8245" s="40">
        <v>42991.0</v>
      </c>
      <c r="N8245" s="40">
        <v>42991.0</v>
      </c>
      <c r="O8245" s="15" t="s">
        <v>1554</v>
      </c>
      <c r="Q8245" s="7"/>
    </row>
    <row r="8246">
      <c r="A8246" s="39" t="s">
        <v>29949</v>
      </c>
      <c r="B8246" s="15">
        <v>1971436.0</v>
      </c>
      <c r="D8246" s="15">
        <v>0.0</v>
      </c>
      <c r="E8246" s="15" t="s">
        <v>4407</v>
      </c>
      <c r="F8246" s="15" t="s">
        <v>1578</v>
      </c>
      <c r="G8246" s="7">
        <v>34.123</v>
      </c>
      <c r="H8246" s="15" t="s">
        <v>1994</v>
      </c>
      <c r="I8246" s="15" t="s">
        <v>1586</v>
      </c>
      <c r="J8246" s="15" t="s">
        <v>29950</v>
      </c>
      <c r="K8246" s="15">
        <v>47.0</v>
      </c>
      <c r="L8246" s="15">
        <v>47.0</v>
      </c>
      <c r="M8246" s="40">
        <v>42991.0</v>
      </c>
      <c r="N8246" s="40">
        <v>42991.0</v>
      </c>
      <c r="O8246" s="15" t="s">
        <v>1554</v>
      </c>
      <c r="Q8246" s="7"/>
    </row>
    <row r="8247">
      <c r="A8247" s="39" t="s">
        <v>29951</v>
      </c>
      <c r="B8247" s="15">
        <v>1971437.0</v>
      </c>
      <c r="D8247" s="15">
        <v>0.0</v>
      </c>
      <c r="E8247" s="15" t="s">
        <v>4407</v>
      </c>
      <c r="F8247" s="15" t="s">
        <v>1578</v>
      </c>
      <c r="G8247" s="7">
        <v>37.594</v>
      </c>
      <c r="H8247" s="15">
        <v>39.0</v>
      </c>
      <c r="I8247" s="15" t="s">
        <v>1586</v>
      </c>
      <c r="J8247" s="15" t="s">
        <v>29952</v>
      </c>
      <c r="K8247" s="15">
        <v>48.0</v>
      </c>
      <c r="L8247" s="15">
        <v>48.0</v>
      </c>
      <c r="M8247" s="40">
        <v>42991.0</v>
      </c>
      <c r="N8247" s="40">
        <v>42991.0</v>
      </c>
      <c r="O8247" s="15" t="s">
        <v>1554</v>
      </c>
      <c r="Q8247" s="7"/>
    </row>
    <row r="8248">
      <c r="A8248" s="39" t="s">
        <v>29953</v>
      </c>
      <c r="B8248" s="15">
        <v>1971438.0</v>
      </c>
      <c r="D8248" s="15">
        <v>0.0</v>
      </c>
      <c r="E8248" s="15" t="s">
        <v>4407</v>
      </c>
      <c r="F8248" s="15" t="s">
        <v>1578</v>
      </c>
      <c r="G8248" s="7">
        <v>35.786</v>
      </c>
      <c r="H8248" s="15" t="s">
        <v>3895</v>
      </c>
      <c r="I8248" s="15" t="s">
        <v>1586</v>
      </c>
      <c r="J8248" s="15" t="s">
        <v>29955</v>
      </c>
      <c r="K8248" s="15">
        <v>43.0</v>
      </c>
      <c r="L8248" s="15">
        <v>43.0</v>
      </c>
      <c r="M8248" s="40">
        <v>42991.0</v>
      </c>
      <c r="N8248" s="40">
        <v>42991.0</v>
      </c>
      <c r="O8248" s="15" t="s">
        <v>1554</v>
      </c>
      <c r="Q8248" s="7"/>
    </row>
    <row r="8249">
      <c r="A8249" s="39" t="s">
        <v>29956</v>
      </c>
      <c r="B8249" s="15">
        <v>1971439.0</v>
      </c>
      <c r="D8249" s="15">
        <v>0.0</v>
      </c>
      <c r="E8249" s="15" t="s">
        <v>4407</v>
      </c>
      <c r="F8249" s="15" t="s">
        <v>1578</v>
      </c>
      <c r="G8249" s="7">
        <v>35.688</v>
      </c>
      <c r="H8249" s="15" t="s">
        <v>5806</v>
      </c>
      <c r="I8249" s="15" t="s">
        <v>1586</v>
      </c>
      <c r="J8249" s="15" t="s">
        <v>29957</v>
      </c>
      <c r="K8249" s="15">
        <v>46.0</v>
      </c>
      <c r="L8249" s="15">
        <v>46.0</v>
      </c>
      <c r="M8249" s="40">
        <v>42991.0</v>
      </c>
      <c r="N8249" s="40">
        <v>42991.0</v>
      </c>
      <c r="O8249" s="15" t="s">
        <v>1554</v>
      </c>
      <c r="Q8249" s="7"/>
    </row>
    <row r="8250">
      <c r="A8250" s="39" t="s">
        <v>29958</v>
      </c>
      <c r="B8250" s="15">
        <v>1971440.0</v>
      </c>
      <c r="D8250" s="15">
        <v>0.0</v>
      </c>
      <c r="E8250" s="15" t="s">
        <v>4407</v>
      </c>
      <c r="F8250" s="15" t="s">
        <v>1578</v>
      </c>
      <c r="G8250" s="7">
        <v>36.931</v>
      </c>
      <c r="H8250" s="15" t="s">
        <v>5806</v>
      </c>
      <c r="I8250" s="15" t="s">
        <v>1586</v>
      </c>
      <c r="J8250" s="15" t="s">
        <v>29959</v>
      </c>
      <c r="K8250" s="15">
        <v>50.0</v>
      </c>
      <c r="L8250" s="15">
        <v>50.0</v>
      </c>
      <c r="M8250" s="40">
        <v>42991.0</v>
      </c>
      <c r="N8250" s="40">
        <v>42991.0</v>
      </c>
      <c r="O8250" s="15" t="s">
        <v>1554</v>
      </c>
      <c r="Q8250" s="7"/>
    </row>
    <row r="8251">
      <c r="A8251" s="39" t="s">
        <v>29960</v>
      </c>
      <c r="B8251" s="15">
        <v>1971441.0</v>
      </c>
      <c r="D8251" s="15">
        <v>0.0</v>
      </c>
      <c r="E8251" s="15" t="s">
        <v>4407</v>
      </c>
      <c r="F8251" s="15" t="s">
        <v>1578</v>
      </c>
      <c r="G8251" s="7">
        <v>34.516</v>
      </c>
      <c r="H8251" s="15">
        <v>39.0</v>
      </c>
      <c r="I8251" s="15" t="s">
        <v>1586</v>
      </c>
      <c r="J8251" s="15" t="s">
        <v>29962</v>
      </c>
      <c r="K8251" s="15">
        <v>46.0</v>
      </c>
      <c r="L8251" s="15">
        <v>46.0</v>
      </c>
      <c r="M8251" s="40">
        <v>42991.0</v>
      </c>
      <c r="N8251" s="40">
        <v>42991.0</v>
      </c>
      <c r="O8251" s="15" t="s">
        <v>1554</v>
      </c>
      <c r="Q8251" s="7"/>
    </row>
    <row r="8252">
      <c r="A8252" s="39" t="s">
        <v>29963</v>
      </c>
      <c r="B8252" s="15">
        <v>1971442.0</v>
      </c>
      <c r="D8252" s="15">
        <v>0.0</v>
      </c>
      <c r="E8252" s="15" t="s">
        <v>4407</v>
      </c>
      <c r="F8252" s="15" t="s">
        <v>1578</v>
      </c>
      <c r="G8252" s="7">
        <v>34.509</v>
      </c>
      <c r="H8252" s="15" t="s">
        <v>6565</v>
      </c>
      <c r="I8252" s="15" t="s">
        <v>1586</v>
      </c>
      <c r="J8252" s="15" t="s">
        <v>29964</v>
      </c>
      <c r="K8252" s="15">
        <v>43.0</v>
      </c>
      <c r="L8252" s="15">
        <v>43.0</v>
      </c>
      <c r="M8252" s="40">
        <v>42991.0</v>
      </c>
      <c r="N8252" s="40">
        <v>42991.0</v>
      </c>
      <c r="O8252" s="15" t="s">
        <v>1554</v>
      </c>
      <c r="Q8252" s="7"/>
    </row>
    <row r="8253">
      <c r="A8253" s="39" t="s">
        <v>29965</v>
      </c>
      <c r="B8253" s="15">
        <v>1971443.0</v>
      </c>
      <c r="D8253" s="15">
        <v>0.0</v>
      </c>
      <c r="E8253" s="15" t="s">
        <v>4407</v>
      </c>
      <c r="F8253" s="15" t="s">
        <v>1578</v>
      </c>
      <c r="G8253" s="7">
        <v>35.835</v>
      </c>
      <c r="H8253" s="15" t="s">
        <v>3895</v>
      </c>
      <c r="I8253" s="15" t="s">
        <v>1586</v>
      </c>
      <c r="J8253" s="15" t="s">
        <v>29966</v>
      </c>
      <c r="K8253" s="15">
        <v>48.0</v>
      </c>
      <c r="L8253" s="15">
        <v>48.0</v>
      </c>
      <c r="M8253" s="40">
        <v>42991.0</v>
      </c>
      <c r="N8253" s="40">
        <v>42991.0</v>
      </c>
      <c r="O8253" s="15" t="s">
        <v>1554</v>
      </c>
      <c r="Q8253" s="7"/>
    </row>
    <row r="8254">
      <c r="A8254" s="39" t="s">
        <v>29968</v>
      </c>
      <c r="B8254" s="15">
        <v>1971444.0</v>
      </c>
      <c r="D8254" s="15">
        <v>0.0</v>
      </c>
      <c r="E8254" s="15" t="s">
        <v>4407</v>
      </c>
      <c r="F8254" s="15" t="s">
        <v>1578</v>
      </c>
      <c r="G8254" s="7">
        <v>34.638</v>
      </c>
      <c r="H8254" s="15">
        <v>40.0</v>
      </c>
      <c r="I8254" s="15" t="s">
        <v>1586</v>
      </c>
      <c r="J8254" s="15" t="s">
        <v>29969</v>
      </c>
      <c r="K8254" s="15">
        <v>44.0</v>
      </c>
      <c r="L8254" s="15">
        <v>44.0</v>
      </c>
      <c r="M8254" s="40">
        <v>42991.0</v>
      </c>
      <c r="N8254" s="40">
        <v>42991.0</v>
      </c>
      <c r="O8254" s="15" t="s">
        <v>1554</v>
      </c>
      <c r="Q8254" s="7"/>
    </row>
    <row r="8255">
      <c r="A8255" s="39" t="s">
        <v>29970</v>
      </c>
      <c r="B8255" s="15">
        <v>1971445.0</v>
      </c>
      <c r="D8255" s="15">
        <v>0.0</v>
      </c>
      <c r="E8255" s="15" t="s">
        <v>4407</v>
      </c>
      <c r="F8255" s="15" t="s">
        <v>1578</v>
      </c>
      <c r="G8255" s="7">
        <v>34.469</v>
      </c>
      <c r="H8255" s="15" t="s">
        <v>3000</v>
      </c>
      <c r="I8255" s="15" t="s">
        <v>1586</v>
      </c>
      <c r="J8255" s="15" t="s">
        <v>29971</v>
      </c>
      <c r="K8255" s="15">
        <v>45.0</v>
      </c>
      <c r="L8255" s="15">
        <v>45.0</v>
      </c>
      <c r="M8255" s="40">
        <v>42991.0</v>
      </c>
      <c r="N8255" s="40">
        <v>42991.0</v>
      </c>
      <c r="O8255" s="15" t="s">
        <v>1554</v>
      </c>
      <c r="Q8255" s="7"/>
    </row>
    <row r="8256">
      <c r="A8256" s="39" t="s">
        <v>29972</v>
      </c>
      <c r="B8256" s="15">
        <v>1971446.0</v>
      </c>
      <c r="D8256" s="15">
        <v>0.0</v>
      </c>
      <c r="E8256" s="15" t="s">
        <v>4407</v>
      </c>
      <c r="F8256" s="15" t="s">
        <v>1578</v>
      </c>
      <c r="G8256" s="7">
        <v>36.979</v>
      </c>
      <c r="H8256" s="15" t="s">
        <v>5806</v>
      </c>
      <c r="I8256" s="15" t="s">
        <v>1586</v>
      </c>
      <c r="J8256" s="15" t="s">
        <v>29973</v>
      </c>
      <c r="K8256" s="15">
        <v>48.0</v>
      </c>
      <c r="L8256" s="15">
        <v>48.0</v>
      </c>
      <c r="M8256" s="40">
        <v>42991.0</v>
      </c>
      <c r="N8256" s="40">
        <v>42991.0</v>
      </c>
      <c r="O8256" s="15" t="s">
        <v>1554</v>
      </c>
      <c r="Q8256" s="7"/>
    </row>
    <row r="8257">
      <c r="A8257" s="39" t="s">
        <v>29974</v>
      </c>
      <c r="B8257" s="15">
        <v>1971447.0</v>
      </c>
      <c r="D8257" s="15">
        <v>0.0</v>
      </c>
      <c r="E8257" s="15" t="s">
        <v>4407</v>
      </c>
      <c r="F8257" s="15" t="s">
        <v>1578</v>
      </c>
      <c r="G8257" s="7">
        <v>35.211</v>
      </c>
      <c r="H8257" s="15" t="s">
        <v>5806</v>
      </c>
      <c r="I8257" s="15" t="s">
        <v>1586</v>
      </c>
      <c r="J8257" s="15" t="s">
        <v>29975</v>
      </c>
      <c r="K8257" s="15">
        <v>47.0</v>
      </c>
      <c r="L8257" s="15">
        <v>47.0</v>
      </c>
      <c r="M8257" s="40">
        <v>42991.0</v>
      </c>
      <c r="N8257" s="40">
        <v>42991.0</v>
      </c>
      <c r="O8257" s="15" t="s">
        <v>1554</v>
      </c>
      <c r="Q8257" s="7"/>
    </row>
    <row r="8258">
      <c r="A8258" s="39" t="s">
        <v>29976</v>
      </c>
      <c r="B8258" s="15">
        <v>1971448.0</v>
      </c>
      <c r="D8258" s="15">
        <v>0.0</v>
      </c>
      <c r="E8258" s="15" t="s">
        <v>4407</v>
      </c>
      <c r="F8258" s="15" t="s">
        <v>1578</v>
      </c>
      <c r="G8258" s="7">
        <v>35.535</v>
      </c>
      <c r="H8258" s="15" t="s">
        <v>5806</v>
      </c>
      <c r="I8258" s="15" t="s">
        <v>1586</v>
      </c>
      <c r="J8258" s="15" t="s">
        <v>29977</v>
      </c>
      <c r="K8258" s="15">
        <v>51.0</v>
      </c>
      <c r="L8258" s="15">
        <v>50.0</v>
      </c>
      <c r="M8258" s="40">
        <v>42991.0</v>
      </c>
      <c r="N8258" s="40">
        <v>42991.0</v>
      </c>
      <c r="O8258" s="15" t="s">
        <v>1554</v>
      </c>
      <c r="Q8258" s="7"/>
    </row>
    <row r="8259">
      <c r="A8259" s="39" t="s">
        <v>29979</v>
      </c>
      <c r="B8259" s="15">
        <v>1971449.0</v>
      </c>
      <c r="D8259" s="15">
        <v>0.0</v>
      </c>
      <c r="E8259" s="15" t="s">
        <v>4407</v>
      </c>
      <c r="F8259" s="15" t="s">
        <v>1578</v>
      </c>
      <c r="G8259" s="7">
        <v>35.256</v>
      </c>
      <c r="H8259" s="15" t="s">
        <v>1607</v>
      </c>
      <c r="I8259" s="15" t="s">
        <v>1586</v>
      </c>
      <c r="J8259" s="15" t="s">
        <v>29980</v>
      </c>
      <c r="K8259" s="15">
        <v>50.0</v>
      </c>
      <c r="L8259" s="15">
        <v>50.0</v>
      </c>
      <c r="M8259" s="40">
        <v>42991.0</v>
      </c>
      <c r="N8259" s="40">
        <v>42991.0</v>
      </c>
      <c r="O8259" s="15" t="s">
        <v>1554</v>
      </c>
      <c r="Q8259" s="7"/>
    </row>
    <row r="8260">
      <c r="A8260" s="39" t="s">
        <v>29981</v>
      </c>
      <c r="B8260" s="15">
        <v>1972433.0</v>
      </c>
      <c r="D8260" s="15">
        <v>0.0</v>
      </c>
      <c r="E8260" s="15" t="s">
        <v>4407</v>
      </c>
      <c r="F8260" s="15" t="s">
        <v>1578</v>
      </c>
      <c r="G8260" s="7">
        <v>36.671</v>
      </c>
      <c r="H8260" s="15">
        <v>51.0</v>
      </c>
      <c r="I8260" s="15" t="s">
        <v>1586</v>
      </c>
      <c r="J8260" s="15" t="s">
        <v>29982</v>
      </c>
      <c r="K8260" s="15" t="s">
        <v>1722</v>
      </c>
      <c r="L8260" s="15">
        <v>48.0</v>
      </c>
      <c r="M8260" s="40">
        <v>42861.0</v>
      </c>
      <c r="N8260" s="40">
        <v>42861.0</v>
      </c>
      <c r="O8260" s="15" t="s">
        <v>1554</v>
      </c>
      <c r="Q8260" s="7"/>
    </row>
    <row r="8261">
      <c r="A8261" s="39" t="s">
        <v>29983</v>
      </c>
      <c r="B8261" s="15">
        <v>1972434.0</v>
      </c>
      <c r="D8261" s="15">
        <v>0.0</v>
      </c>
      <c r="E8261" s="15" t="s">
        <v>4407</v>
      </c>
      <c r="F8261" s="15" t="s">
        <v>1578</v>
      </c>
      <c r="G8261" s="7">
        <v>36.671</v>
      </c>
      <c r="H8261" s="15">
        <v>51.0</v>
      </c>
      <c r="I8261" s="15" t="s">
        <v>1586</v>
      </c>
      <c r="J8261" s="15" t="s">
        <v>29984</v>
      </c>
      <c r="K8261" s="15" t="s">
        <v>1722</v>
      </c>
      <c r="L8261" s="15">
        <v>48.0</v>
      </c>
      <c r="M8261" s="40">
        <v>42861.0</v>
      </c>
      <c r="N8261" s="40">
        <v>42861.0</v>
      </c>
      <c r="O8261" s="15" t="s">
        <v>1554</v>
      </c>
      <c r="Q8261" s="7"/>
    </row>
    <row r="8262">
      <c r="A8262" s="39" t="s">
        <v>29985</v>
      </c>
      <c r="B8262" s="15">
        <v>1972435.0</v>
      </c>
      <c r="D8262" s="15">
        <v>0.0</v>
      </c>
      <c r="E8262" s="15" t="s">
        <v>4407</v>
      </c>
      <c r="F8262" s="15" t="s">
        <v>1578</v>
      </c>
      <c r="G8262" s="7">
        <v>36.674</v>
      </c>
      <c r="H8262" s="15">
        <v>51.0</v>
      </c>
      <c r="I8262" s="15" t="s">
        <v>1586</v>
      </c>
      <c r="J8262" s="15" t="s">
        <v>29987</v>
      </c>
      <c r="K8262" s="15" t="s">
        <v>1722</v>
      </c>
      <c r="L8262" s="15">
        <v>49.0</v>
      </c>
      <c r="M8262" s="40">
        <v>42861.0</v>
      </c>
      <c r="N8262" s="40">
        <v>42861.0</v>
      </c>
      <c r="O8262" s="15" t="s">
        <v>1554</v>
      </c>
      <c r="Q8262" s="7"/>
    </row>
    <row r="8263">
      <c r="A8263" s="39" t="s">
        <v>29988</v>
      </c>
      <c r="B8263" s="15">
        <v>1972436.0</v>
      </c>
      <c r="D8263" s="15">
        <v>0.0</v>
      </c>
      <c r="E8263" s="15" t="s">
        <v>4407</v>
      </c>
      <c r="F8263" s="15" t="s">
        <v>1578</v>
      </c>
      <c r="G8263" s="7">
        <v>36.671</v>
      </c>
      <c r="H8263" s="15">
        <v>51.0</v>
      </c>
      <c r="I8263" s="15" t="s">
        <v>1586</v>
      </c>
      <c r="J8263" s="15" t="s">
        <v>29989</v>
      </c>
      <c r="K8263" s="15" t="s">
        <v>1722</v>
      </c>
      <c r="L8263" s="15">
        <v>48.0</v>
      </c>
      <c r="M8263" s="40">
        <v>42861.0</v>
      </c>
      <c r="N8263" s="40">
        <v>42861.0</v>
      </c>
      <c r="O8263" s="15" t="s">
        <v>1554</v>
      </c>
      <c r="Q8263" s="7"/>
    </row>
    <row r="8264">
      <c r="A8264" s="39" t="s">
        <v>29990</v>
      </c>
      <c r="B8264" s="15">
        <v>1972437.0</v>
      </c>
      <c r="D8264" s="15">
        <v>0.0</v>
      </c>
      <c r="E8264" s="15" t="s">
        <v>4407</v>
      </c>
      <c r="F8264" s="15" t="s">
        <v>1578</v>
      </c>
      <c r="G8264" s="7">
        <v>36.671</v>
      </c>
      <c r="H8264" s="15">
        <v>51.0</v>
      </c>
      <c r="I8264" s="15" t="s">
        <v>1586</v>
      </c>
      <c r="J8264" s="15" t="s">
        <v>29991</v>
      </c>
      <c r="K8264" s="15" t="s">
        <v>1722</v>
      </c>
      <c r="L8264" s="15">
        <v>48.0</v>
      </c>
      <c r="M8264" s="40">
        <v>42861.0</v>
      </c>
      <c r="N8264" s="40">
        <v>42861.0</v>
      </c>
      <c r="O8264" s="15" t="s">
        <v>1554</v>
      </c>
      <c r="Q8264" s="7"/>
    </row>
    <row r="8265">
      <c r="A8265" s="39" t="s">
        <v>29992</v>
      </c>
      <c r="B8265" s="15">
        <v>1972438.0</v>
      </c>
      <c r="D8265" s="15">
        <v>0.0</v>
      </c>
      <c r="E8265" s="15" t="s">
        <v>4407</v>
      </c>
      <c r="F8265" s="15" t="s">
        <v>1578</v>
      </c>
      <c r="G8265" s="7">
        <v>36.671</v>
      </c>
      <c r="H8265" s="15">
        <v>51.0</v>
      </c>
      <c r="I8265" s="15" t="s">
        <v>1586</v>
      </c>
      <c r="J8265" s="15" t="s">
        <v>29994</v>
      </c>
      <c r="K8265" s="15" t="s">
        <v>1722</v>
      </c>
      <c r="L8265" s="15">
        <v>48.0</v>
      </c>
      <c r="M8265" s="40">
        <v>42861.0</v>
      </c>
      <c r="N8265" s="40">
        <v>42861.0</v>
      </c>
      <c r="O8265" s="15" t="s">
        <v>1554</v>
      </c>
      <c r="Q8265" s="7"/>
    </row>
    <row r="8266">
      <c r="A8266" s="39" t="s">
        <v>29995</v>
      </c>
      <c r="B8266" s="15">
        <v>1972439.0</v>
      </c>
      <c r="D8266" s="15">
        <v>0.0</v>
      </c>
      <c r="E8266" s="15" t="s">
        <v>4407</v>
      </c>
      <c r="F8266" s="15" t="s">
        <v>1578</v>
      </c>
      <c r="G8266" s="7">
        <v>36.671</v>
      </c>
      <c r="H8266" s="15">
        <v>51.0</v>
      </c>
      <c r="I8266" s="15" t="s">
        <v>1586</v>
      </c>
      <c r="J8266" s="15" t="s">
        <v>29996</v>
      </c>
      <c r="K8266" s="15" t="s">
        <v>1722</v>
      </c>
      <c r="L8266" s="15">
        <v>48.0</v>
      </c>
      <c r="M8266" s="40">
        <v>42861.0</v>
      </c>
      <c r="N8266" s="40">
        <v>42861.0</v>
      </c>
      <c r="O8266" s="15" t="s">
        <v>1554</v>
      </c>
      <c r="Q8266" s="7"/>
    </row>
    <row r="8267">
      <c r="A8267" s="39" t="s">
        <v>29997</v>
      </c>
      <c r="B8267" s="15">
        <v>1972440.0</v>
      </c>
      <c r="D8267" s="15">
        <v>0.0</v>
      </c>
      <c r="E8267" s="15" t="s">
        <v>4407</v>
      </c>
      <c r="F8267" s="15" t="s">
        <v>1578</v>
      </c>
      <c r="G8267" s="7">
        <v>36.671</v>
      </c>
      <c r="H8267" s="15">
        <v>51.0</v>
      </c>
      <c r="I8267" s="15" t="s">
        <v>1586</v>
      </c>
      <c r="J8267" s="15" t="s">
        <v>29998</v>
      </c>
      <c r="K8267" s="15" t="s">
        <v>1722</v>
      </c>
      <c r="L8267" s="15">
        <v>48.0</v>
      </c>
      <c r="M8267" s="40">
        <v>42861.0</v>
      </c>
      <c r="N8267" s="40">
        <v>42861.0</v>
      </c>
      <c r="O8267" s="15" t="s">
        <v>1554</v>
      </c>
      <c r="Q8267" s="7"/>
    </row>
    <row r="8268">
      <c r="A8268" s="39" t="s">
        <v>29999</v>
      </c>
      <c r="B8268" s="15">
        <v>1973454.0</v>
      </c>
      <c r="D8268" s="15">
        <v>0.0</v>
      </c>
      <c r="E8268" s="15" t="s">
        <v>4407</v>
      </c>
      <c r="F8268" s="15" t="s">
        <v>1578</v>
      </c>
      <c r="G8268" s="7">
        <v>47.657</v>
      </c>
      <c r="H8268" s="15" t="s">
        <v>7408</v>
      </c>
      <c r="I8268" s="15" t="s">
        <v>1586</v>
      </c>
      <c r="J8268" s="15" t="s">
        <v>30000</v>
      </c>
      <c r="K8268" s="15">
        <v>87.0</v>
      </c>
      <c r="L8268" s="15">
        <v>87.0</v>
      </c>
      <c r="M8268" s="40">
        <v>42854.0</v>
      </c>
      <c r="N8268" s="40">
        <v>42936.0</v>
      </c>
      <c r="O8268" s="15" t="s">
        <v>1554</v>
      </c>
      <c r="Q8268" s="7"/>
    </row>
    <row r="8269">
      <c r="A8269" s="39" t="s">
        <v>30002</v>
      </c>
      <c r="B8269" s="15">
        <v>1975614.0</v>
      </c>
      <c r="D8269" s="15">
        <v>0.0</v>
      </c>
      <c r="E8269" s="15" t="s">
        <v>1557</v>
      </c>
      <c r="F8269" s="15" t="s">
        <v>1833</v>
      </c>
      <c r="G8269" s="7">
        <v>17.253</v>
      </c>
      <c r="H8269" s="15" t="s">
        <v>4673</v>
      </c>
      <c r="I8269" s="15" t="s">
        <v>1586</v>
      </c>
      <c r="J8269" s="15" t="s">
        <v>30003</v>
      </c>
      <c r="K8269" s="15">
        <v>35.0</v>
      </c>
      <c r="L8269" s="15">
        <v>35.0</v>
      </c>
      <c r="M8269" s="40">
        <v>42854.0</v>
      </c>
      <c r="N8269" s="40">
        <v>42854.0</v>
      </c>
      <c r="O8269" s="15" t="s">
        <v>1554</v>
      </c>
      <c r="Q8269" s="7"/>
    </row>
    <row r="8270">
      <c r="A8270" s="39" t="s">
        <v>30004</v>
      </c>
      <c r="B8270" s="15">
        <v>1978922.0</v>
      </c>
      <c r="D8270" s="15">
        <v>0.0</v>
      </c>
      <c r="E8270" s="15" t="s">
        <v>4407</v>
      </c>
      <c r="F8270" s="15" t="s">
        <v>1578</v>
      </c>
      <c r="G8270" s="7">
        <v>144.974</v>
      </c>
      <c r="H8270" s="15" t="s">
        <v>5368</v>
      </c>
      <c r="I8270" s="15" t="s">
        <v>1586</v>
      </c>
      <c r="J8270" s="15" t="s">
        <v>30005</v>
      </c>
      <c r="K8270" s="15">
        <v>185.0</v>
      </c>
      <c r="L8270" s="15">
        <v>185.0</v>
      </c>
      <c r="M8270" s="40">
        <v>42854.0</v>
      </c>
      <c r="N8270" s="40">
        <v>42854.0</v>
      </c>
      <c r="O8270" s="15" t="s">
        <v>1554</v>
      </c>
      <c r="Q8270" s="7"/>
    </row>
    <row r="8271">
      <c r="A8271" s="39" t="s">
        <v>30006</v>
      </c>
      <c r="B8271" s="15">
        <v>1979540.0</v>
      </c>
      <c r="D8271" s="15">
        <v>0.0</v>
      </c>
      <c r="E8271" s="15" t="s">
        <v>4407</v>
      </c>
      <c r="F8271" s="15" t="s">
        <v>1578</v>
      </c>
      <c r="G8271" s="7">
        <v>8.28</v>
      </c>
      <c r="H8271" s="15" t="s">
        <v>4842</v>
      </c>
      <c r="I8271" s="15" t="s">
        <v>1586</v>
      </c>
      <c r="J8271" s="15" t="s">
        <v>30007</v>
      </c>
      <c r="K8271" s="15" t="s">
        <v>1722</v>
      </c>
      <c r="L8271" s="15">
        <v>14.0</v>
      </c>
      <c r="M8271" s="40">
        <v>42854.0</v>
      </c>
      <c r="N8271" s="40">
        <v>42871.0</v>
      </c>
      <c r="O8271" s="15" t="s">
        <v>1554</v>
      </c>
      <c r="Q8271" s="7"/>
    </row>
    <row r="8272">
      <c r="A8272" s="39" t="s">
        <v>30008</v>
      </c>
      <c r="B8272" s="15">
        <v>1980139.0</v>
      </c>
      <c r="D8272" s="15">
        <v>0.0</v>
      </c>
      <c r="E8272" s="15" t="s">
        <v>4407</v>
      </c>
      <c r="F8272" s="15" t="s">
        <v>1578</v>
      </c>
      <c r="G8272" s="7">
        <v>130.138</v>
      </c>
      <c r="H8272" s="15" t="s">
        <v>10417</v>
      </c>
      <c r="I8272" s="15" t="s">
        <v>1586</v>
      </c>
      <c r="J8272" s="15" t="s">
        <v>30009</v>
      </c>
      <c r="K8272" s="15">
        <v>221.0</v>
      </c>
      <c r="L8272" s="15">
        <v>196.0</v>
      </c>
      <c r="M8272" s="40">
        <v>42854.0</v>
      </c>
      <c r="N8272" s="40">
        <v>42984.0</v>
      </c>
      <c r="O8272" s="15" t="s">
        <v>1554</v>
      </c>
      <c r="Q8272" s="7"/>
    </row>
    <row r="8273">
      <c r="A8273" s="39" t="s">
        <v>30011</v>
      </c>
      <c r="B8273" s="15">
        <v>1340769.0</v>
      </c>
      <c r="D8273" s="15">
        <v>0.0</v>
      </c>
      <c r="E8273" s="15" t="s">
        <v>1557</v>
      </c>
      <c r="F8273" s="15" t="s">
        <v>1767</v>
      </c>
      <c r="G8273" s="7">
        <v>139.928</v>
      </c>
      <c r="H8273" s="42">
        <v>43370.0</v>
      </c>
      <c r="I8273" s="15" t="s">
        <v>1586</v>
      </c>
      <c r="J8273" s="15" t="s">
        <v>30012</v>
      </c>
      <c r="K8273" s="15">
        <v>200.0</v>
      </c>
      <c r="L8273" s="15">
        <v>200.0</v>
      </c>
      <c r="M8273" s="41">
        <v>41557.0</v>
      </c>
      <c r="N8273" s="40">
        <v>41695.0</v>
      </c>
      <c r="O8273" s="15" t="s">
        <v>1554</v>
      </c>
      <c r="Q8273" s="7"/>
    </row>
    <row r="8274">
      <c r="A8274" s="39" t="s">
        <v>30013</v>
      </c>
      <c r="B8274" s="15">
        <v>1647403.0</v>
      </c>
      <c r="D8274" s="15">
        <v>0.0</v>
      </c>
      <c r="E8274" s="15" t="s">
        <v>1557</v>
      </c>
      <c r="F8274" s="15" t="s">
        <v>1767</v>
      </c>
      <c r="G8274" s="7">
        <v>188.427</v>
      </c>
      <c r="H8274" s="15">
        <v>49.0</v>
      </c>
      <c r="I8274" s="15" t="s">
        <v>1586</v>
      </c>
      <c r="J8274" s="15" t="s">
        <v>30014</v>
      </c>
      <c r="K8274" s="15">
        <v>369.0</v>
      </c>
      <c r="L8274" s="15">
        <v>361.0</v>
      </c>
      <c r="M8274" s="40">
        <v>42130.0</v>
      </c>
      <c r="N8274" s="40">
        <v>42233.0</v>
      </c>
      <c r="O8274" s="15" t="s">
        <v>1554</v>
      </c>
      <c r="Q8274" s="7"/>
    </row>
    <row r="8275">
      <c r="A8275" s="39" t="s">
        <v>30015</v>
      </c>
      <c r="B8275" s="15">
        <v>1701798.0</v>
      </c>
      <c r="D8275" s="15">
        <v>0.0</v>
      </c>
      <c r="E8275" s="15" t="s">
        <v>1557</v>
      </c>
      <c r="F8275" s="15" t="s">
        <v>1767</v>
      </c>
      <c r="G8275" s="7">
        <v>49.879</v>
      </c>
      <c r="H8275" s="15" t="s">
        <v>2831</v>
      </c>
      <c r="I8275" s="15" t="s">
        <v>1586</v>
      </c>
      <c r="J8275" s="15" t="s">
        <v>30016</v>
      </c>
      <c r="K8275" s="15">
        <v>74.0</v>
      </c>
      <c r="L8275" s="15">
        <v>74.0</v>
      </c>
      <c r="M8275" s="40">
        <v>42270.0</v>
      </c>
      <c r="N8275" s="40">
        <v>42270.0</v>
      </c>
      <c r="O8275" s="15" t="s">
        <v>1554</v>
      </c>
      <c r="Q8275" s="7"/>
    </row>
    <row r="8276">
      <c r="A8276" s="39" t="s">
        <v>30018</v>
      </c>
      <c r="B8276" s="15">
        <v>1772327.0</v>
      </c>
      <c r="D8276" s="15">
        <v>0.0</v>
      </c>
      <c r="E8276" s="15" t="s">
        <v>1557</v>
      </c>
      <c r="F8276" s="15" t="s">
        <v>1767</v>
      </c>
      <c r="G8276" s="7">
        <v>49.419</v>
      </c>
      <c r="H8276" s="15" t="s">
        <v>2831</v>
      </c>
      <c r="I8276" s="15" t="s">
        <v>1586</v>
      </c>
      <c r="J8276" s="15" t="s">
        <v>30019</v>
      </c>
      <c r="K8276" s="15">
        <v>73.0</v>
      </c>
      <c r="L8276" s="15">
        <v>73.0</v>
      </c>
      <c r="M8276" s="40">
        <v>42388.0</v>
      </c>
      <c r="N8276" s="40">
        <v>42388.0</v>
      </c>
      <c r="O8276" s="15" t="s">
        <v>1554</v>
      </c>
      <c r="Q8276" s="7"/>
    </row>
    <row r="8277">
      <c r="A8277" s="39" t="s">
        <v>30020</v>
      </c>
      <c r="B8277" s="15">
        <v>1772307.0</v>
      </c>
      <c r="D8277" s="15">
        <v>0.0</v>
      </c>
      <c r="E8277" s="15" t="s">
        <v>1557</v>
      </c>
      <c r="F8277" s="15" t="s">
        <v>1767</v>
      </c>
      <c r="G8277" s="7">
        <v>51.027</v>
      </c>
      <c r="H8277" s="15">
        <v>61.0</v>
      </c>
      <c r="I8277" s="15" t="s">
        <v>1586</v>
      </c>
      <c r="J8277" s="15" t="s">
        <v>30021</v>
      </c>
      <c r="K8277" s="15">
        <v>77.0</v>
      </c>
      <c r="L8277" s="15">
        <v>77.0</v>
      </c>
      <c r="M8277" s="40">
        <v>42388.0</v>
      </c>
      <c r="N8277" s="40">
        <v>42388.0</v>
      </c>
      <c r="O8277" s="15" t="s">
        <v>1554</v>
      </c>
      <c r="Q8277" s="7"/>
    </row>
    <row r="8278">
      <c r="A8278" s="39" t="s">
        <v>30022</v>
      </c>
      <c r="B8278" s="15">
        <v>1772315.0</v>
      </c>
      <c r="D8278" s="15">
        <v>0.0</v>
      </c>
      <c r="E8278" s="15" t="s">
        <v>1557</v>
      </c>
      <c r="F8278" s="15" t="s">
        <v>1767</v>
      </c>
      <c r="G8278" s="7">
        <v>50.909</v>
      </c>
      <c r="H8278" s="15" t="s">
        <v>9648</v>
      </c>
      <c r="I8278" s="15" t="s">
        <v>1586</v>
      </c>
      <c r="J8278" s="15" t="s">
        <v>30023</v>
      </c>
      <c r="K8278" s="15">
        <v>77.0</v>
      </c>
      <c r="L8278" s="15">
        <v>77.0</v>
      </c>
      <c r="M8278" s="40">
        <v>42388.0</v>
      </c>
      <c r="N8278" s="40">
        <v>42388.0</v>
      </c>
      <c r="O8278" s="15" t="s">
        <v>1554</v>
      </c>
      <c r="Q8278" s="7"/>
    </row>
    <row r="8279">
      <c r="A8279" s="39" t="s">
        <v>30024</v>
      </c>
      <c r="B8279" s="15">
        <v>1308899.0</v>
      </c>
      <c r="D8279" s="15">
        <v>0.0</v>
      </c>
      <c r="E8279" s="15" t="s">
        <v>1557</v>
      </c>
      <c r="F8279" s="15" t="s">
        <v>1833</v>
      </c>
      <c r="G8279" s="7">
        <v>61.818</v>
      </c>
      <c r="H8279" s="15" t="s">
        <v>13306</v>
      </c>
      <c r="I8279" s="15" t="s">
        <v>1586</v>
      </c>
      <c r="J8279" s="15" t="s">
        <v>30025</v>
      </c>
      <c r="K8279" s="15">
        <v>89.0</v>
      </c>
      <c r="L8279" s="15">
        <v>89.0</v>
      </c>
      <c r="M8279" s="41">
        <v>42369.0</v>
      </c>
      <c r="N8279" s="41">
        <v>42369.0</v>
      </c>
      <c r="O8279" s="15" t="s">
        <v>1554</v>
      </c>
      <c r="Q8279" s="7"/>
    </row>
    <row r="8280">
      <c r="A8280" s="39" t="s">
        <v>30027</v>
      </c>
      <c r="B8280" s="15">
        <v>1660368.0</v>
      </c>
      <c r="D8280" s="15">
        <v>0.0</v>
      </c>
      <c r="E8280" s="15" t="s">
        <v>1557</v>
      </c>
      <c r="F8280" s="15" t="s">
        <v>1611</v>
      </c>
      <c r="G8280" s="7">
        <v>61.292</v>
      </c>
      <c r="H8280" s="15" t="s">
        <v>1670</v>
      </c>
      <c r="I8280" s="15" t="s">
        <v>1586</v>
      </c>
      <c r="J8280" s="15" t="s">
        <v>30028</v>
      </c>
      <c r="K8280" s="15" t="s">
        <v>1722</v>
      </c>
      <c r="L8280" s="15">
        <v>90.0</v>
      </c>
      <c r="M8280" s="40">
        <v>42276.0</v>
      </c>
      <c r="N8280" s="40">
        <v>42277.0</v>
      </c>
      <c r="O8280" s="15" t="s">
        <v>1554</v>
      </c>
      <c r="Q8280" s="7"/>
    </row>
    <row r="8281">
      <c r="A8281" s="39" t="s">
        <v>30029</v>
      </c>
      <c r="B8281" s="15">
        <v>1981499.0</v>
      </c>
      <c r="D8281" s="15">
        <v>0.0</v>
      </c>
      <c r="E8281" s="15" t="s">
        <v>1557</v>
      </c>
      <c r="F8281" s="15" t="s">
        <v>1767</v>
      </c>
      <c r="G8281" s="7">
        <v>164.706</v>
      </c>
      <c r="H8281" s="15" t="s">
        <v>2019</v>
      </c>
      <c r="I8281" s="15" t="s">
        <v>1586</v>
      </c>
      <c r="J8281" s="15" t="s">
        <v>30030</v>
      </c>
      <c r="K8281" s="15">
        <v>263.0</v>
      </c>
      <c r="L8281" s="15">
        <v>262.0</v>
      </c>
      <c r="M8281" s="40">
        <v>42927.0</v>
      </c>
      <c r="N8281" s="40">
        <v>42927.0</v>
      </c>
      <c r="O8281" s="15" t="s">
        <v>1554</v>
      </c>
      <c r="Q8281" s="7"/>
    </row>
    <row r="8282">
      <c r="A8282" s="39" t="s">
        <v>30031</v>
      </c>
      <c r="B8282" s="15">
        <v>1981500.0</v>
      </c>
      <c r="D8282" s="15">
        <v>0.0</v>
      </c>
      <c r="E8282" s="15" t="s">
        <v>1557</v>
      </c>
      <c r="F8282" s="15" t="s">
        <v>1767</v>
      </c>
      <c r="G8282" s="7">
        <v>129.454</v>
      </c>
      <c r="H8282" s="15" t="s">
        <v>3653</v>
      </c>
      <c r="I8282" s="15" t="s">
        <v>1586</v>
      </c>
      <c r="J8282" s="15" t="s">
        <v>30032</v>
      </c>
      <c r="K8282" s="15">
        <v>211.0</v>
      </c>
      <c r="L8282" s="15">
        <v>207.0</v>
      </c>
      <c r="M8282" s="40">
        <v>42927.0</v>
      </c>
      <c r="N8282" s="40">
        <v>42927.0</v>
      </c>
      <c r="O8282" s="15" t="s">
        <v>1554</v>
      </c>
      <c r="Q8282" s="7"/>
    </row>
    <row r="8283">
      <c r="A8283" s="39" t="s">
        <v>30034</v>
      </c>
      <c r="B8283" s="15">
        <v>1981514.0</v>
      </c>
      <c r="D8283" s="15">
        <v>0.0</v>
      </c>
      <c r="E8283" s="15" t="s">
        <v>1557</v>
      </c>
      <c r="F8283" s="15" t="s">
        <v>1767</v>
      </c>
      <c r="G8283" s="7">
        <v>142.934</v>
      </c>
      <c r="H8283" s="42">
        <v>43250.0</v>
      </c>
      <c r="I8283" s="15" t="s">
        <v>1586</v>
      </c>
      <c r="J8283" s="15" t="s">
        <v>30035</v>
      </c>
      <c r="K8283" s="15">
        <v>224.0</v>
      </c>
      <c r="L8283" s="15">
        <v>224.0</v>
      </c>
      <c r="M8283" s="40">
        <v>42950.0</v>
      </c>
      <c r="N8283" s="40">
        <v>42950.0</v>
      </c>
      <c r="O8283" s="15" t="s">
        <v>1554</v>
      </c>
      <c r="Q8283" s="7"/>
    </row>
    <row r="8284">
      <c r="A8284" s="39" t="s">
        <v>30036</v>
      </c>
      <c r="B8284" s="15">
        <v>1981552.0</v>
      </c>
      <c r="D8284" s="15">
        <v>0.0</v>
      </c>
      <c r="E8284" s="15" t="s">
        <v>1557</v>
      </c>
      <c r="F8284" s="15" t="s">
        <v>1767</v>
      </c>
      <c r="G8284" s="7">
        <v>143.734</v>
      </c>
      <c r="H8284" s="42">
        <v>43373.0</v>
      </c>
      <c r="I8284" s="15" t="s">
        <v>1586</v>
      </c>
      <c r="J8284" s="15" t="s">
        <v>30037</v>
      </c>
      <c r="K8284" s="15">
        <v>213.0</v>
      </c>
      <c r="L8284" s="15">
        <v>213.0</v>
      </c>
      <c r="M8284" s="40">
        <v>42950.0</v>
      </c>
      <c r="N8284" s="40">
        <v>42950.0</v>
      </c>
      <c r="O8284" s="15" t="s">
        <v>1554</v>
      </c>
      <c r="Q8284" s="7"/>
    </row>
    <row r="8285">
      <c r="A8285" s="39" t="s">
        <v>30038</v>
      </c>
      <c r="B8285" s="15">
        <v>1981553.0</v>
      </c>
      <c r="D8285" s="15">
        <v>0.0</v>
      </c>
      <c r="E8285" s="15" t="s">
        <v>1557</v>
      </c>
      <c r="F8285" s="15" t="s">
        <v>1767</v>
      </c>
      <c r="G8285" s="7">
        <v>139.997</v>
      </c>
      <c r="H8285" s="42">
        <v>43373.0</v>
      </c>
      <c r="I8285" s="15" t="s">
        <v>1586</v>
      </c>
      <c r="J8285" s="15" t="s">
        <v>30039</v>
      </c>
      <c r="K8285" s="15">
        <v>209.0</v>
      </c>
      <c r="L8285" s="15">
        <v>209.0</v>
      </c>
      <c r="M8285" s="40">
        <v>42950.0</v>
      </c>
      <c r="N8285" s="40">
        <v>42950.0</v>
      </c>
      <c r="O8285" s="15" t="s">
        <v>1554</v>
      </c>
      <c r="Q8285" s="7"/>
    </row>
    <row r="8286">
      <c r="A8286" s="39" t="s">
        <v>30040</v>
      </c>
      <c r="B8286" s="15">
        <v>1981931.0</v>
      </c>
      <c r="D8286" s="15">
        <v>0.0</v>
      </c>
      <c r="E8286" s="15" t="s">
        <v>1557</v>
      </c>
      <c r="F8286" s="15" t="s">
        <v>1611</v>
      </c>
      <c r="G8286" s="7">
        <v>21.684</v>
      </c>
      <c r="H8286" s="15" t="s">
        <v>3361</v>
      </c>
      <c r="I8286" s="15" t="s">
        <v>1586</v>
      </c>
      <c r="J8286" s="15" t="s">
        <v>30042</v>
      </c>
      <c r="K8286" s="15">
        <v>33.0</v>
      </c>
      <c r="L8286" s="15">
        <v>33.0</v>
      </c>
      <c r="M8286" s="40">
        <v>42861.0</v>
      </c>
      <c r="N8286" s="40">
        <v>42935.0</v>
      </c>
      <c r="O8286" s="15" t="s">
        <v>1554</v>
      </c>
      <c r="Q8286" s="7"/>
    </row>
    <row r="8287">
      <c r="A8287" s="39" t="s">
        <v>30043</v>
      </c>
      <c r="B8287" s="15">
        <v>1981932.0</v>
      </c>
      <c r="D8287" s="15">
        <v>0.0</v>
      </c>
      <c r="E8287" s="15" t="s">
        <v>1557</v>
      </c>
      <c r="F8287" s="15" t="s">
        <v>1611</v>
      </c>
      <c r="G8287" s="7">
        <v>40.214</v>
      </c>
      <c r="H8287" s="15" t="s">
        <v>3321</v>
      </c>
      <c r="I8287" s="15" t="s">
        <v>1586</v>
      </c>
      <c r="J8287" s="15" t="s">
        <v>30044</v>
      </c>
      <c r="K8287" s="15">
        <v>49.0</v>
      </c>
      <c r="L8287" s="15">
        <v>49.0</v>
      </c>
      <c r="M8287" s="40">
        <v>42861.0</v>
      </c>
      <c r="N8287" s="40">
        <v>42861.0</v>
      </c>
      <c r="O8287" s="15" t="s">
        <v>1554</v>
      </c>
      <c r="Q8287" s="7"/>
    </row>
    <row r="8288">
      <c r="A8288" s="39" t="s">
        <v>30045</v>
      </c>
      <c r="B8288" s="15">
        <v>1981933.0</v>
      </c>
      <c r="D8288" s="15">
        <v>0.0</v>
      </c>
      <c r="E8288" s="15" t="s">
        <v>1557</v>
      </c>
      <c r="F8288" s="15" t="s">
        <v>1611</v>
      </c>
      <c r="G8288" s="7">
        <v>40.491</v>
      </c>
      <c r="H8288" s="15" t="s">
        <v>4113</v>
      </c>
      <c r="I8288" s="15" t="s">
        <v>1586</v>
      </c>
      <c r="J8288" s="15" t="s">
        <v>30046</v>
      </c>
      <c r="K8288" s="15">
        <v>50.0</v>
      </c>
      <c r="L8288" s="15">
        <v>50.0</v>
      </c>
      <c r="M8288" s="40">
        <v>42861.0</v>
      </c>
      <c r="N8288" s="40">
        <v>42861.0</v>
      </c>
      <c r="O8288" s="15" t="s">
        <v>1554</v>
      </c>
      <c r="Q8288" s="7"/>
    </row>
    <row r="8289">
      <c r="A8289" s="39" t="s">
        <v>30047</v>
      </c>
      <c r="B8289" s="15">
        <v>1772293.0</v>
      </c>
      <c r="D8289" s="15">
        <v>0.0</v>
      </c>
      <c r="E8289" s="15" t="s">
        <v>1557</v>
      </c>
      <c r="F8289" s="15" t="s">
        <v>1833</v>
      </c>
      <c r="G8289" s="7">
        <v>43.075</v>
      </c>
      <c r="H8289" s="15" t="s">
        <v>4108</v>
      </c>
      <c r="I8289" s="15" t="s">
        <v>1586</v>
      </c>
      <c r="J8289" s="15" t="s">
        <v>30049</v>
      </c>
      <c r="K8289" s="15">
        <v>62.0</v>
      </c>
      <c r="L8289" s="15">
        <v>62.0</v>
      </c>
      <c r="M8289" s="40">
        <v>42388.0</v>
      </c>
      <c r="N8289" s="40">
        <v>42831.0</v>
      </c>
      <c r="O8289" s="15" t="s">
        <v>1554</v>
      </c>
      <c r="Q8289" s="7"/>
    </row>
    <row r="8290">
      <c r="A8290" s="39" t="s">
        <v>30050</v>
      </c>
      <c r="B8290" s="15">
        <v>1772296.0</v>
      </c>
      <c r="D8290" s="15">
        <v>0.0</v>
      </c>
      <c r="E8290" s="15" t="s">
        <v>1557</v>
      </c>
      <c r="F8290" s="15" t="s">
        <v>1833</v>
      </c>
      <c r="G8290" s="7">
        <v>42.601</v>
      </c>
      <c r="H8290" s="15" t="s">
        <v>4160</v>
      </c>
      <c r="I8290" s="15" t="s">
        <v>1586</v>
      </c>
      <c r="J8290" s="15" t="s">
        <v>30051</v>
      </c>
      <c r="K8290" s="15">
        <v>59.0</v>
      </c>
      <c r="L8290" s="15">
        <v>59.0</v>
      </c>
      <c r="M8290" s="40">
        <v>42388.0</v>
      </c>
      <c r="N8290" s="40">
        <v>42388.0</v>
      </c>
      <c r="O8290" s="15" t="s">
        <v>1554</v>
      </c>
      <c r="Q8290" s="7"/>
    </row>
    <row r="8291">
      <c r="A8291" s="39" t="s">
        <v>30052</v>
      </c>
      <c r="B8291" s="15">
        <v>1772297.0</v>
      </c>
      <c r="D8291" s="15">
        <v>0.0</v>
      </c>
      <c r="E8291" s="15" t="s">
        <v>1557</v>
      </c>
      <c r="F8291" s="15" t="s">
        <v>1833</v>
      </c>
      <c r="G8291" s="7">
        <v>44.389</v>
      </c>
      <c r="H8291" s="15" t="s">
        <v>13856</v>
      </c>
      <c r="I8291" s="15" t="s">
        <v>1586</v>
      </c>
      <c r="J8291" s="15" t="s">
        <v>30053</v>
      </c>
      <c r="K8291" s="15">
        <v>64.0</v>
      </c>
      <c r="L8291" s="15">
        <v>64.0</v>
      </c>
      <c r="M8291" s="40">
        <v>42388.0</v>
      </c>
      <c r="N8291" s="40">
        <v>42388.0</v>
      </c>
      <c r="O8291" s="15" t="s">
        <v>1554</v>
      </c>
      <c r="Q8291" s="7"/>
    </row>
    <row r="8292">
      <c r="A8292" s="39" t="s">
        <v>30054</v>
      </c>
      <c r="B8292" s="15">
        <v>1772300.0</v>
      </c>
      <c r="D8292" s="15">
        <v>0.0</v>
      </c>
      <c r="E8292" s="15" t="s">
        <v>1557</v>
      </c>
      <c r="F8292" s="15" t="s">
        <v>1833</v>
      </c>
      <c r="G8292" s="7">
        <v>43.336</v>
      </c>
      <c r="H8292" s="15" t="s">
        <v>10442</v>
      </c>
      <c r="I8292" s="15" t="s">
        <v>1586</v>
      </c>
      <c r="J8292" s="15" t="s">
        <v>30056</v>
      </c>
      <c r="K8292" s="15">
        <v>60.0</v>
      </c>
      <c r="L8292" s="15">
        <v>60.0</v>
      </c>
      <c r="M8292" s="40">
        <v>42388.0</v>
      </c>
      <c r="N8292" s="40">
        <v>42388.0</v>
      </c>
      <c r="O8292" s="15" t="s">
        <v>1554</v>
      </c>
      <c r="Q8292" s="7"/>
    </row>
    <row r="8293">
      <c r="A8293" s="39" t="s">
        <v>30057</v>
      </c>
      <c r="B8293" s="15">
        <v>1772303.0</v>
      </c>
      <c r="D8293" s="15">
        <v>0.0</v>
      </c>
      <c r="E8293" s="15" t="s">
        <v>1557</v>
      </c>
      <c r="F8293" s="15" t="s">
        <v>1833</v>
      </c>
      <c r="G8293" s="7">
        <v>44.183</v>
      </c>
      <c r="H8293" s="15" t="s">
        <v>1834</v>
      </c>
      <c r="I8293" s="15" t="s">
        <v>1586</v>
      </c>
      <c r="J8293" s="15" t="s">
        <v>30058</v>
      </c>
      <c r="K8293" s="15">
        <v>63.0</v>
      </c>
      <c r="L8293" s="15">
        <v>63.0</v>
      </c>
      <c r="M8293" s="40">
        <v>42388.0</v>
      </c>
      <c r="N8293" s="40">
        <v>42388.0</v>
      </c>
      <c r="O8293" s="15" t="s">
        <v>1554</v>
      </c>
      <c r="Q8293" s="7"/>
    </row>
    <row r="8294">
      <c r="A8294" s="39" t="s">
        <v>30059</v>
      </c>
      <c r="B8294" s="15">
        <v>1772304.0</v>
      </c>
      <c r="D8294" s="15">
        <v>0.0</v>
      </c>
      <c r="E8294" s="15" t="s">
        <v>1557</v>
      </c>
      <c r="F8294" s="15" t="s">
        <v>1833</v>
      </c>
      <c r="G8294" s="7">
        <v>43.707</v>
      </c>
      <c r="H8294" s="15" t="s">
        <v>9648</v>
      </c>
      <c r="I8294" s="15" t="s">
        <v>1586</v>
      </c>
      <c r="J8294" s="15" t="s">
        <v>30060</v>
      </c>
      <c r="K8294" s="15">
        <v>59.0</v>
      </c>
      <c r="L8294" s="15">
        <v>59.0</v>
      </c>
      <c r="M8294" s="40">
        <v>42388.0</v>
      </c>
      <c r="N8294" s="40">
        <v>42831.0</v>
      </c>
      <c r="O8294" s="15" t="s">
        <v>1554</v>
      </c>
      <c r="Q8294" s="7"/>
    </row>
    <row r="8295">
      <c r="A8295" s="39" t="s">
        <v>30061</v>
      </c>
      <c r="B8295" s="15">
        <v>1772310.0</v>
      </c>
      <c r="D8295" s="15">
        <v>0.0</v>
      </c>
      <c r="E8295" s="15" t="s">
        <v>1557</v>
      </c>
      <c r="F8295" s="15" t="s">
        <v>1833</v>
      </c>
      <c r="G8295" s="7">
        <v>43.374</v>
      </c>
      <c r="H8295" s="15" t="s">
        <v>1834</v>
      </c>
      <c r="I8295" s="15" t="s">
        <v>1586</v>
      </c>
      <c r="J8295" s="15" t="s">
        <v>30062</v>
      </c>
      <c r="K8295" s="15">
        <v>64.0</v>
      </c>
      <c r="L8295" s="15">
        <v>64.0</v>
      </c>
      <c r="M8295" s="40">
        <v>42388.0</v>
      </c>
      <c r="N8295" s="40">
        <v>42388.0</v>
      </c>
      <c r="O8295" s="15" t="s">
        <v>1554</v>
      </c>
      <c r="Q8295" s="7"/>
    </row>
    <row r="8296">
      <c r="A8296" s="39" t="s">
        <v>30063</v>
      </c>
      <c r="B8296" s="15">
        <v>1772311.0</v>
      </c>
      <c r="D8296" s="15">
        <v>0.0</v>
      </c>
      <c r="E8296" s="15" t="s">
        <v>1557</v>
      </c>
      <c r="F8296" s="15" t="s">
        <v>1833</v>
      </c>
      <c r="G8296" s="7">
        <v>42.83</v>
      </c>
      <c r="H8296" s="15" t="s">
        <v>3086</v>
      </c>
      <c r="I8296" s="15" t="s">
        <v>1586</v>
      </c>
      <c r="J8296" s="15" t="s">
        <v>30065</v>
      </c>
      <c r="K8296" s="15">
        <v>61.0</v>
      </c>
      <c r="L8296" s="15">
        <v>61.0</v>
      </c>
      <c r="M8296" s="40">
        <v>42388.0</v>
      </c>
      <c r="N8296" s="40">
        <v>42388.0</v>
      </c>
      <c r="O8296" s="15" t="s">
        <v>1554</v>
      </c>
      <c r="Q8296" s="7"/>
    </row>
    <row r="8297">
      <c r="A8297" s="39" t="s">
        <v>30066</v>
      </c>
      <c r="B8297" s="15">
        <v>1772322.0</v>
      </c>
      <c r="D8297" s="15">
        <v>0.0</v>
      </c>
      <c r="E8297" s="15" t="s">
        <v>1557</v>
      </c>
      <c r="F8297" s="15" t="s">
        <v>1833</v>
      </c>
      <c r="G8297" s="7">
        <v>44.371</v>
      </c>
      <c r="H8297" s="15" t="s">
        <v>9648</v>
      </c>
      <c r="I8297" s="15" t="s">
        <v>1586</v>
      </c>
      <c r="J8297" s="15" t="s">
        <v>30067</v>
      </c>
      <c r="K8297" s="15">
        <v>63.0</v>
      </c>
      <c r="L8297" s="15">
        <v>63.0</v>
      </c>
      <c r="M8297" s="40">
        <v>42388.0</v>
      </c>
      <c r="N8297" s="40">
        <v>42831.0</v>
      </c>
      <c r="O8297" s="15" t="s">
        <v>1554</v>
      </c>
      <c r="Q8297" s="7"/>
    </row>
    <row r="8298">
      <c r="A8298" s="39" t="s">
        <v>30068</v>
      </c>
      <c r="B8298" s="15">
        <v>1772305.0</v>
      </c>
      <c r="D8298" s="15">
        <v>0.0</v>
      </c>
      <c r="E8298" s="15" t="s">
        <v>1557</v>
      </c>
      <c r="F8298" s="15" t="s">
        <v>1833</v>
      </c>
      <c r="G8298" s="7">
        <v>60.005</v>
      </c>
      <c r="H8298" s="15" t="s">
        <v>4171</v>
      </c>
      <c r="I8298" s="15" t="s">
        <v>1586</v>
      </c>
      <c r="J8298" s="15" t="s">
        <v>30069</v>
      </c>
      <c r="K8298" s="15">
        <v>99.0</v>
      </c>
      <c r="L8298" s="15">
        <v>99.0</v>
      </c>
      <c r="M8298" s="40">
        <v>42388.0</v>
      </c>
      <c r="N8298" s="40">
        <v>42388.0</v>
      </c>
      <c r="O8298" s="15" t="s">
        <v>1554</v>
      </c>
      <c r="Q8298" s="7"/>
    </row>
    <row r="8299">
      <c r="A8299" s="39" t="s">
        <v>30070</v>
      </c>
      <c r="B8299" s="15">
        <v>1772295.0</v>
      </c>
      <c r="D8299" s="15">
        <v>0.0</v>
      </c>
      <c r="E8299" s="15" t="s">
        <v>1557</v>
      </c>
      <c r="F8299" s="15" t="s">
        <v>1833</v>
      </c>
      <c r="G8299" s="7">
        <v>58.353</v>
      </c>
      <c r="H8299" s="15" t="s">
        <v>3082</v>
      </c>
      <c r="I8299" s="15" t="s">
        <v>1586</v>
      </c>
      <c r="J8299" s="15" t="s">
        <v>30072</v>
      </c>
      <c r="K8299" s="15">
        <v>99.0</v>
      </c>
      <c r="L8299" s="15">
        <v>99.0</v>
      </c>
      <c r="M8299" s="40">
        <v>42388.0</v>
      </c>
      <c r="N8299" s="40">
        <v>42388.0</v>
      </c>
      <c r="O8299" s="15" t="s">
        <v>1554</v>
      </c>
      <c r="Q8299" s="7"/>
    </row>
    <row r="8300">
      <c r="A8300" s="39" t="s">
        <v>30073</v>
      </c>
      <c r="B8300" s="15">
        <v>1772291.0</v>
      </c>
      <c r="D8300" s="15">
        <v>0.0</v>
      </c>
      <c r="E8300" s="15" t="s">
        <v>1557</v>
      </c>
      <c r="F8300" s="15" t="s">
        <v>1833</v>
      </c>
      <c r="G8300" s="7">
        <v>59.173</v>
      </c>
      <c r="H8300" s="15" t="s">
        <v>1881</v>
      </c>
      <c r="I8300" s="15" t="s">
        <v>1586</v>
      </c>
      <c r="J8300" s="15" t="s">
        <v>30074</v>
      </c>
      <c r="K8300" s="15">
        <v>93.0</v>
      </c>
      <c r="L8300" s="15">
        <v>86.0</v>
      </c>
      <c r="M8300" s="40">
        <v>42388.0</v>
      </c>
      <c r="N8300" s="40">
        <v>42830.0</v>
      </c>
      <c r="O8300" s="15" t="s">
        <v>1554</v>
      </c>
      <c r="Q8300" s="7"/>
    </row>
    <row r="8301">
      <c r="A8301" s="39" t="s">
        <v>30076</v>
      </c>
      <c r="B8301" s="15">
        <v>1821555.0</v>
      </c>
      <c r="D8301" s="15">
        <v>0.0</v>
      </c>
      <c r="E8301" s="15" t="s">
        <v>1557</v>
      </c>
      <c r="F8301" s="15" t="s">
        <v>1833</v>
      </c>
      <c r="G8301" s="7">
        <v>75.38</v>
      </c>
      <c r="H8301" s="15" t="s">
        <v>10654</v>
      </c>
      <c r="I8301" s="15" t="s">
        <v>1586</v>
      </c>
      <c r="J8301" s="15" t="s">
        <v>30077</v>
      </c>
      <c r="K8301" s="15">
        <v>99.0</v>
      </c>
      <c r="L8301" s="15">
        <v>99.0</v>
      </c>
      <c r="M8301" s="40">
        <v>42463.0</v>
      </c>
      <c r="N8301" s="40">
        <v>42513.0</v>
      </c>
      <c r="O8301" s="15" t="s">
        <v>1554</v>
      </c>
      <c r="Q8301" s="7"/>
    </row>
    <row r="8302">
      <c r="A8302" s="39" t="s">
        <v>30078</v>
      </c>
      <c r="B8302" s="15">
        <v>1772294.0</v>
      </c>
      <c r="D8302" s="15">
        <v>0.0</v>
      </c>
      <c r="E8302" s="15" t="s">
        <v>1557</v>
      </c>
      <c r="F8302" s="15" t="s">
        <v>1833</v>
      </c>
      <c r="G8302" s="7">
        <v>58.159</v>
      </c>
      <c r="H8302" s="15" t="s">
        <v>5475</v>
      </c>
      <c r="I8302" s="15" t="s">
        <v>1586</v>
      </c>
      <c r="J8302" s="15" t="s">
        <v>30079</v>
      </c>
      <c r="K8302" s="15">
        <v>88.0</v>
      </c>
      <c r="L8302" s="15">
        <v>88.0</v>
      </c>
      <c r="M8302" s="40">
        <v>42388.0</v>
      </c>
      <c r="N8302" s="40">
        <v>42844.0</v>
      </c>
      <c r="O8302" s="15" t="s">
        <v>1554</v>
      </c>
      <c r="Q8302" s="7"/>
    </row>
    <row r="8303">
      <c r="A8303" s="39" t="s">
        <v>30080</v>
      </c>
      <c r="B8303" s="15">
        <v>1772298.0</v>
      </c>
      <c r="D8303" s="15">
        <v>0.0</v>
      </c>
      <c r="E8303" s="15" t="s">
        <v>1557</v>
      </c>
      <c r="F8303" s="15" t="s">
        <v>1833</v>
      </c>
      <c r="G8303" s="7">
        <v>58.279</v>
      </c>
      <c r="H8303" s="15" t="s">
        <v>5042</v>
      </c>
      <c r="I8303" s="15" t="s">
        <v>1586</v>
      </c>
      <c r="J8303" s="15" t="s">
        <v>30081</v>
      </c>
      <c r="K8303" s="15">
        <v>89.0</v>
      </c>
      <c r="L8303" s="15">
        <v>89.0</v>
      </c>
      <c r="M8303" s="40">
        <v>42388.0</v>
      </c>
      <c r="N8303" s="40">
        <v>42388.0</v>
      </c>
      <c r="O8303" s="15" t="s">
        <v>1554</v>
      </c>
      <c r="Q8303" s="7"/>
    </row>
    <row r="8304">
      <c r="A8304" s="39" t="s">
        <v>30082</v>
      </c>
      <c r="B8304" s="15">
        <v>1175654.0</v>
      </c>
      <c r="D8304" s="15">
        <v>0.0</v>
      </c>
      <c r="E8304" s="15" t="s">
        <v>1557</v>
      </c>
      <c r="F8304" s="15" t="s">
        <v>1833</v>
      </c>
      <c r="G8304" s="7">
        <v>57.899</v>
      </c>
      <c r="H8304" s="15" t="s">
        <v>10292</v>
      </c>
      <c r="I8304" s="15" t="s">
        <v>1586</v>
      </c>
      <c r="J8304" s="15" t="s">
        <v>30084</v>
      </c>
      <c r="K8304" s="15">
        <v>74.0</v>
      </c>
      <c r="L8304" s="15">
        <v>74.0</v>
      </c>
      <c r="M8304" s="40">
        <v>41066.0</v>
      </c>
      <c r="N8304" s="40">
        <v>42775.0</v>
      </c>
      <c r="O8304" s="15" t="s">
        <v>1554</v>
      </c>
      <c r="Q8304" s="7"/>
    </row>
    <row r="8305">
      <c r="A8305" s="39" t="s">
        <v>30085</v>
      </c>
      <c r="B8305" s="15">
        <v>1655013.0</v>
      </c>
      <c r="D8305" s="15">
        <v>0.0</v>
      </c>
      <c r="E8305" s="15" t="s">
        <v>1557</v>
      </c>
      <c r="F8305" s="15" t="s">
        <v>1833</v>
      </c>
      <c r="G8305" s="7">
        <v>29.339</v>
      </c>
      <c r="H8305" s="15">
        <v>54.0</v>
      </c>
      <c r="I8305" s="15" t="s">
        <v>1586</v>
      </c>
      <c r="J8305" s="15" t="s">
        <v>30086</v>
      </c>
      <c r="K8305" s="15">
        <v>45.0</v>
      </c>
      <c r="L8305" s="15">
        <v>45.0</v>
      </c>
      <c r="M8305" s="40">
        <v>42190.0</v>
      </c>
      <c r="N8305" s="40">
        <v>42970.0</v>
      </c>
      <c r="O8305" s="15" t="s">
        <v>1554</v>
      </c>
      <c r="Q8305" s="7"/>
    </row>
    <row r="8306">
      <c r="A8306" s="39" t="s">
        <v>30087</v>
      </c>
      <c r="B8306" s="15">
        <v>1500805.0</v>
      </c>
      <c r="D8306" s="15">
        <v>0.0</v>
      </c>
      <c r="E8306" s="15" t="s">
        <v>1557</v>
      </c>
      <c r="F8306" s="15" t="s">
        <v>1833</v>
      </c>
      <c r="G8306" s="7">
        <v>29.377</v>
      </c>
      <c r="H8306" s="15" t="s">
        <v>5663</v>
      </c>
      <c r="I8306" s="15" t="s">
        <v>1586</v>
      </c>
      <c r="J8306" s="15" t="s">
        <v>30088</v>
      </c>
      <c r="K8306" s="15">
        <v>46.0</v>
      </c>
      <c r="L8306" s="15">
        <v>46.0</v>
      </c>
      <c r="M8306" s="40">
        <v>42114.0</v>
      </c>
      <c r="N8306" s="40">
        <v>42114.0</v>
      </c>
      <c r="O8306" s="15" t="s">
        <v>1554</v>
      </c>
      <c r="Q8306" s="7"/>
    </row>
    <row r="8307">
      <c r="A8307" s="39" t="s">
        <v>30089</v>
      </c>
      <c r="B8307" s="15">
        <v>1500810.0</v>
      </c>
      <c r="D8307" s="15">
        <v>0.0</v>
      </c>
      <c r="E8307" s="15" t="s">
        <v>1557</v>
      </c>
      <c r="F8307" s="15" t="s">
        <v>1833</v>
      </c>
      <c r="G8307" s="7">
        <v>29.491</v>
      </c>
      <c r="H8307" s="15" t="s">
        <v>6085</v>
      </c>
      <c r="I8307" s="15" t="s">
        <v>1586</v>
      </c>
      <c r="J8307" s="15" t="s">
        <v>30090</v>
      </c>
      <c r="K8307" s="15">
        <v>46.0</v>
      </c>
      <c r="L8307" s="15">
        <v>46.0</v>
      </c>
      <c r="M8307" s="40">
        <v>42114.0</v>
      </c>
      <c r="N8307" s="40">
        <v>42114.0</v>
      </c>
      <c r="O8307" s="15" t="s">
        <v>1554</v>
      </c>
      <c r="Q8307" s="7"/>
    </row>
    <row r="8308">
      <c r="A8308" s="39" t="s">
        <v>30092</v>
      </c>
      <c r="B8308" s="15">
        <v>1500818.0</v>
      </c>
      <c r="D8308" s="15">
        <v>0.0</v>
      </c>
      <c r="E8308" s="15" t="s">
        <v>1557</v>
      </c>
      <c r="F8308" s="15" t="s">
        <v>1833</v>
      </c>
      <c r="G8308" s="7">
        <v>29.255</v>
      </c>
      <c r="H8308" s="15" t="s">
        <v>5483</v>
      </c>
      <c r="I8308" s="15" t="s">
        <v>1586</v>
      </c>
      <c r="J8308" s="15" t="s">
        <v>30093</v>
      </c>
      <c r="K8308" s="15">
        <v>45.0</v>
      </c>
      <c r="L8308" s="15">
        <v>45.0</v>
      </c>
      <c r="M8308" s="40">
        <v>42114.0</v>
      </c>
      <c r="N8308" s="40">
        <v>42114.0</v>
      </c>
      <c r="O8308" s="15" t="s">
        <v>1554</v>
      </c>
      <c r="Q8308" s="7"/>
    </row>
    <row r="8309">
      <c r="A8309" s="39" t="s">
        <v>30094</v>
      </c>
      <c r="B8309" s="15">
        <v>1500819.0</v>
      </c>
      <c r="D8309" s="15">
        <v>0.0</v>
      </c>
      <c r="E8309" s="15" t="s">
        <v>1557</v>
      </c>
      <c r="F8309" s="15" t="s">
        <v>1833</v>
      </c>
      <c r="G8309" s="7">
        <v>29.422</v>
      </c>
      <c r="H8309" s="15" t="s">
        <v>4204</v>
      </c>
      <c r="I8309" s="15" t="s">
        <v>1586</v>
      </c>
      <c r="J8309" s="15" t="s">
        <v>30095</v>
      </c>
      <c r="K8309" s="15">
        <v>46.0</v>
      </c>
      <c r="L8309" s="15">
        <v>46.0</v>
      </c>
      <c r="M8309" s="40">
        <v>42114.0</v>
      </c>
      <c r="N8309" s="40">
        <v>42114.0</v>
      </c>
      <c r="O8309" s="15" t="s">
        <v>1554</v>
      </c>
      <c r="Q8309" s="7"/>
    </row>
    <row r="8310">
      <c r="A8310" s="39" t="s">
        <v>30096</v>
      </c>
      <c r="B8310" s="15">
        <v>1500823.0</v>
      </c>
      <c r="D8310" s="15">
        <v>0.0</v>
      </c>
      <c r="E8310" s="15" t="s">
        <v>1557</v>
      </c>
      <c r="F8310" s="15" t="s">
        <v>1833</v>
      </c>
      <c r="G8310" s="7">
        <v>29.511</v>
      </c>
      <c r="H8310" s="15">
        <v>54.0</v>
      </c>
      <c r="I8310" s="15" t="s">
        <v>1586</v>
      </c>
      <c r="J8310" s="15" t="s">
        <v>30097</v>
      </c>
      <c r="K8310" s="15">
        <v>46.0</v>
      </c>
      <c r="L8310" s="15">
        <v>46.0</v>
      </c>
      <c r="M8310" s="40">
        <v>42114.0</v>
      </c>
      <c r="N8310" s="40">
        <v>42114.0</v>
      </c>
      <c r="O8310" s="15" t="s">
        <v>1554</v>
      </c>
      <c r="Q8310" s="7"/>
    </row>
    <row r="8311">
      <c r="A8311" s="39" t="s">
        <v>30098</v>
      </c>
      <c r="B8311" s="15">
        <v>1500824.0</v>
      </c>
      <c r="D8311" s="15">
        <v>0.0</v>
      </c>
      <c r="E8311" s="15" t="s">
        <v>1557</v>
      </c>
      <c r="F8311" s="15" t="s">
        <v>1833</v>
      </c>
      <c r="G8311" s="7">
        <v>29.511</v>
      </c>
      <c r="H8311" s="15">
        <v>54.0</v>
      </c>
      <c r="I8311" s="15" t="s">
        <v>1586</v>
      </c>
      <c r="J8311" s="15" t="s">
        <v>30100</v>
      </c>
      <c r="K8311" s="15">
        <v>46.0</v>
      </c>
      <c r="L8311" s="15">
        <v>46.0</v>
      </c>
      <c r="M8311" s="40">
        <v>42114.0</v>
      </c>
      <c r="N8311" s="40">
        <v>42114.0</v>
      </c>
      <c r="O8311" s="15" t="s">
        <v>1554</v>
      </c>
      <c r="Q8311" s="7"/>
    </row>
    <row r="8312">
      <c r="A8312" s="39" t="s">
        <v>30101</v>
      </c>
      <c r="B8312" s="15">
        <v>1500826.0</v>
      </c>
      <c r="D8312" s="15">
        <v>0.0</v>
      </c>
      <c r="E8312" s="15" t="s">
        <v>1557</v>
      </c>
      <c r="F8312" s="15" t="s">
        <v>1833</v>
      </c>
      <c r="G8312" s="7">
        <v>29.264</v>
      </c>
      <c r="H8312" s="15" t="s">
        <v>5483</v>
      </c>
      <c r="I8312" s="15" t="s">
        <v>1586</v>
      </c>
      <c r="J8312" s="15" t="s">
        <v>30102</v>
      </c>
      <c r="K8312" s="15">
        <v>46.0</v>
      </c>
      <c r="L8312" s="15">
        <v>46.0</v>
      </c>
      <c r="M8312" s="40">
        <v>42114.0</v>
      </c>
      <c r="N8312" s="40">
        <v>42114.0</v>
      </c>
      <c r="O8312" s="15" t="s">
        <v>1554</v>
      </c>
      <c r="Q8312" s="7"/>
    </row>
    <row r="8313">
      <c r="A8313" s="39" t="s">
        <v>30103</v>
      </c>
      <c r="B8313" s="15">
        <v>1500829.0</v>
      </c>
      <c r="D8313" s="15">
        <v>0.0</v>
      </c>
      <c r="E8313" s="15" t="s">
        <v>1557</v>
      </c>
      <c r="F8313" s="15" t="s">
        <v>1833</v>
      </c>
      <c r="G8313" s="7">
        <v>29.264</v>
      </c>
      <c r="H8313" s="15" t="s">
        <v>5483</v>
      </c>
      <c r="I8313" s="15" t="s">
        <v>1586</v>
      </c>
      <c r="J8313" s="15" t="s">
        <v>30104</v>
      </c>
      <c r="K8313" s="15">
        <v>45.0</v>
      </c>
      <c r="L8313" s="15">
        <v>45.0</v>
      </c>
      <c r="M8313" s="40">
        <v>42114.0</v>
      </c>
      <c r="N8313" s="40">
        <v>42114.0</v>
      </c>
      <c r="O8313" s="15" t="s">
        <v>1554</v>
      </c>
      <c r="Q8313" s="7"/>
    </row>
    <row r="8314">
      <c r="A8314" s="39" t="s">
        <v>30105</v>
      </c>
      <c r="B8314" s="15">
        <v>1500832.0</v>
      </c>
      <c r="D8314" s="15">
        <v>0.0</v>
      </c>
      <c r="E8314" s="15" t="s">
        <v>1557</v>
      </c>
      <c r="F8314" s="15" t="s">
        <v>1833</v>
      </c>
      <c r="G8314" s="7">
        <v>29.442</v>
      </c>
      <c r="H8314" s="15" t="s">
        <v>5483</v>
      </c>
      <c r="I8314" s="15" t="s">
        <v>1586</v>
      </c>
      <c r="J8314" s="15" t="s">
        <v>30106</v>
      </c>
      <c r="K8314" s="15">
        <v>45.0</v>
      </c>
      <c r="L8314" s="15">
        <v>45.0</v>
      </c>
      <c r="M8314" s="40">
        <v>42114.0</v>
      </c>
      <c r="N8314" s="40">
        <v>42114.0</v>
      </c>
      <c r="O8314" s="15" t="s">
        <v>1554</v>
      </c>
      <c r="Q8314" s="7"/>
    </row>
    <row r="8315">
      <c r="A8315" s="39" t="s">
        <v>30107</v>
      </c>
      <c r="B8315" s="15">
        <v>1682380.0</v>
      </c>
      <c r="D8315" s="15">
        <v>0.0</v>
      </c>
      <c r="E8315" s="15" t="s">
        <v>1557</v>
      </c>
      <c r="F8315" s="15" t="s">
        <v>1833</v>
      </c>
      <c r="G8315" s="7">
        <v>63.513</v>
      </c>
      <c r="H8315" s="15" t="s">
        <v>4113</v>
      </c>
      <c r="I8315" s="15" t="s">
        <v>1586</v>
      </c>
      <c r="J8315" s="15" t="s">
        <v>30109</v>
      </c>
      <c r="K8315" s="15">
        <v>76.0</v>
      </c>
      <c r="L8315" s="15">
        <v>76.0</v>
      </c>
      <c r="M8315" s="40">
        <v>42206.0</v>
      </c>
      <c r="N8315" s="40">
        <v>42206.0</v>
      </c>
      <c r="O8315" s="15" t="s">
        <v>1554</v>
      </c>
      <c r="Q8315" s="7"/>
    </row>
    <row r="8316">
      <c r="A8316" s="39" t="s">
        <v>30110</v>
      </c>
      <c r="B8316" s="15">
        <v>1351735.0</v>
      </c>
      <c r="D8316" s="15">
        <v>0.0</v>
      </c>
      <c r="E8316" s="15" t="s">
        <v>1557</v>
      </c>
      <c r="F8316" s="15" t="s">
        <v>1833</v>
      </c>
      <c r="G8316" s="7">
        <v>57.081</v>
      </c>
      <c r="H8316" s="15">
        <v>40.0</v>
      </c>
      <c r="I8316" s="15" t="s">
        <v>1586</v>
      </c>
      <c r="J8316" s="15" t="s">
        <v>30111</v>
      </c>
      <c r="K8316" s="15" t="s">
        <v>1722</v>
      </c>
      <c r="L8316" s="15">
        <v>98.0</v>
      </c>
      <c r="M8316" s="40">
        <v>41478.0</v>
      </c>
      <c r="N8316" s="41">
        <v>41598.0</v>
      </c>
      <c r="O8316" s="15" t="s">
        <v>1554</v>
      </c>
      <c r="Q8316" s="7"/>
    </row>
    <row r="8317">
      <c r="A8317" s="39" t="s">
        <v>30112</v>
      </c>
      <c r="B8317" s="15">
        <v>1073766.0</v>
      </c>
      <c r="D8317" s="15">
        <v>0.0</v>
      </c>
      <c r="E8317" s="15" t="s">
        <v>1557</v>
      </c>
      <c r="F8317" s="15" t="s">
        <v>1833</v>
      </c>
      <c r="G8317" s="7">
        <v>58.619</v>
      </c>
      <c r="H8317" s="15">
        <v>40.0</v>
      </c>
      <c r="I8317" s="15" t="s">
        <v>1586</v>
      </c>
      <c r="J8317" s="15" t="s">
        <v>30113</v>
      </c>
      <c r="K8317" s="15" t="s">
        <v>1722</v>
      </c>
      <c r="L8317" s="15">
        <v>44.0</v>
      </c>
      <c r="M8317" s="40">
        <v>40771.0</v>
      </c>
      <c r="N8317" s="40">
        <v>41017.0</v>
      </c>
      <c r="O8317" s="15" t="s">
        <v>1554</v>
      </c>
      <c r="Q8317" s="7"/>
    </row>
    <row r="8318">
      <c r="A8318" s="39" t="s">
        <v>30114</v>
      </c>
      <c r="B8318" s="15">
        <v>1772319.0</v>
      </c>
      <c r="D8318" s="15">
        <v>0.0</v>
      </c>
      <c r="E8318" s="15" t="s">
        <v>1557</v>
      </c>
      <c r="F8318" s="15" t="s">
        <v>1833</v>
      </c>
      <c r="G8318" s="7">
        <v>67.592</v>
      </c>
      <c r="H8318" s="15" t="s">
        <v>2517</v>
      </c>
      <c r="I8318" s="15" t="s">
        <v>1586</v>
      </c>
      <c r="J8318" s="15" t="s">
        <v>30115</v>
      </c>
      <c r="K8318" s="15">
        <v>105.0</v>
      </c>
      <c r="L8318" s="15">
        <v>105.0</v>
      </c>
      <c r="M8318" s="40">
        <v>42388.0</v>
      </c>
      <c r="N8318" s="40">
        <v>42830.0</v>
      </c>
      <c r="O8318" s="15" t="s">
        <v>1554</v>
      </c>
      <c r="Q8318" s="7"/>
    </row>
    <row r="8319">
      <c r="A8319" s="39" t="s">
        <v>30117</v>
      </c>
      <c r="B8319" s="15">
        <v>1636547.0</v>
      </c>
      <c r="D8319" s="15">
        <v>0.0</v>
      </c>
      <c r="E8319" s="15" t="s">
        <v>1557</v>
      </c>
      <c r="F8319" s="15" t="s">
        <v>1833</v>
      </c>
      <c r="G8319" s="7">
        <v>76.268</v>
      </c>
      <c r="H8319" s="15" t="s">
        <v>10407</v>
      </c>
      <c r="I8319" s="15" t="s">
        <v>1586</v>
      </c>
      <c r="J8319" s="15" t="s">
        <v>30118</v>
      </c>
      <c r="K8319" s="15">
        <v>109.0</v>
      </c>
      <c r="L8319" s="15">
        <v>109.0</v>
      </c>
      <c r="M8319" s="40">
        <v>42212.0</v>
      </c>
      <c r="N8319" s="40">
        <v>42255.0</v>
      </c>
      <c r="O8319" s="15" t="s">
        <v>1554</v>
      </c>
      <c r="Q8319" s="7"/>
    </row>
    <row r="8320">
      <c r="A8320" s="39" t="s">
        <v>30119</v>
      </c>
      <c r="B8320" s="15">
        <v>1662331.0</v>
      </c>
      <c r="D8320" s="15">
        <v>0.0</v>
      </c>
      <c r="E8320" s="15" t="s">
        <v>1557</v>
      </c>
      <c r="F8320" s="15" t="s">
        <v>1833</v>
      </c>
      <c r="G8320" s="7">
        <v>44.194</v>
      </c>
      <c r="H8320" s="15" t="s">
        <v>3776</v>
      </c>
      <c r="I8320" s="15" t="s">
        <v>1586</v>
      </c>
      <c r="J8320" s="15" t="s">
        <v>30120</v>
      </c>
      <c r="K8320" s="15">
        <v>61.0</v>
      </c>
      <c r="L8320" s="15">
        <v>61.0</v>
      </c>
      <c r="M8320" s="40">
        <v>42225.0</v>
      </c>
      <c r="N8320" s="40">
        <v>42528.0</v>
      </c>
      <c r="O8320" s="15" t="s">
        <v>1554</v>
      </c>
      <c r="Q8320" s="7"/>
    </row>
    <row r="8321">
      <c r="A8321" s="39" t="s">
        <v>30121</v>
      </c>
      <c r="B8321" s="15">
        <v>1752027.0</v>
      </c>
      <c r="D8321" s="15">
        <v>0.0</v>
      </c>
      <c r="E8321" s="15" t="s">
        <v>1557</v>
      </c>
      <c r="F8321" s="15" t="s">
        <v>1611</v>
      </c>
      <c r="G8321" s="7">
        <v>63.56</v>
      </c>
      <c r="H8321" s="15" t="s">
        <v>2309</v>
      </c>
      <c r="I8321" s="15" t="s">
        <v>1586</v>
      </c>
      <c r="J8321" s="15" t="s">
        <v>30122</v>
      </c>
      <c r="K8321" s="15" t="s">
        <v>1722</v>
      </c>
      <c r="L8321" s="15">
        <v>86.0</v>
      </c>
      <c r="M8321" s="41">
        <v>42348.0</v>
      </c>
      <c r="N8321" s="40">
        <v>42502.0</v>
      </c>
      <c r="O8321" s="15" t="s">
        <v>1554</v>
      </c>
      <c r="Q8321" s="7"/>
    </row>
    <row r="8322">
      <c r="A8322" s="39" t="s">
        <v>30123</v>
      </c>
      <c r="B8322" s="15">
        <v>1982658.0</v>
      </c>
      <c r="D8322" s="15">
        <v>0.0</v>
      </c>
      <c r="E8322" s="15" t="s">
        <v>2416</v>
      </c>
      <c r="F8322" s="15" t="s">
        <v>1578</v>
      </c>
      <c r="G8322" s="7">
        <v>20.222</v>
      </c>
      <c r="H8322" s="15" t="s">
        <v>2824</v>
      </c>
      <c r="I8322" s="15" t="s">
        <v>1618</v>
      </c>
      <c r="J8322" s="15" t="s">
        <v>30124</v>
      </c>
      <c r="K8322" s="15" t="s">
        <v>1722</v>
      </c>
      <c r="L8322" s="15">
        <v>45.0</v>
      </c>
      <c r="M8322" s="40">
        <v>42857.0</v>
      </c>
      <c r="N8322" s="40">
        <v>42857.0</v>
      </c>
      <c r="O8322" s="15" t="s">
        <v>1554</v>
      </c>
      <c r="Q8322" s="7"/>
    </row>
    <row r="8323">
      <c r="A8323" s="39" t="s">
        <v>30125</v>
      </c>
      <c r="B8323" s="15">
        <v>1089112.0</v>
      </c>
      <c r="D8323" s="15">
        <v>0.0</v>
      </c>
      <c r="E8323" s="15" t="s">
        <v>1557</v>
      </c>
      <c r="F8323" s="15" t="s">
        <v>1833</v>
      </c>
      <c r="G8323" s="7">
        <v>67.436</v>
      </c>
      <c r="H8323" s="15">
        <v>69.0</v>
      </c>
      <c r="I8323" s="15" t="s">
        <v>1586</v>
      </c>
      <c r="J8323" s="15" t="s">
        <v>30126</v>
      </c>
      <c r="K8323" s="15">
        <v>92.0</v>
      </c>
      <c r="L8323" s="15">
        <v>92.0</v>
      </c>
      <c r="M8323" s="40">
        <v>40853.0</v>
      </c>
      <c r="N8323" s="40">
        <v>40942.0</v>
      </c>
      <c r="O8323" s="15" t="s">
        <v>1554</v>
      </c>
      <c r="Q8323" s="7"/>
    </row>
    <row r="8324">
      <c r="A8324" s="39" t="s">
        <v>30128</v>
      </c>
      <c r="B8324" s="15">
        <v>1089113.0</v>
      </c>
      <c r="D8324" s="15">
        <v>0.0</v>
      </c>
      <c r="E8324" s="15" t="s">
        <v>1557</v>
      </c>
      <c r="F8324" s="15" t="s">
        <v>1833</v>
      </c>
      <c r="G8324" s="7">
        <v>69.409</v>
      </c>
      <c r="H8324" s="15" t="s">
        <v>9965</v>
      </c>
      <c r="I8324" s="15" t="s">
        <v>1586</v>
      </c>
      <c r="J8324" s="15" t="s">
        <v>30129</v>
      </c>
      <c r="K8324" s="15">
        <v>105.0</v>
      </c>
      <c r="L8324" s="15">
        <v>105.0</v>
      </c>
      <c r="M8324" s="40">
        <v>40853.0</v>
      </c>
      <c r="N8324" s="40">
        <v>40942.0</v>
      </c>
      <c r="O8324" s="15" t="s">
        <v>1554</v>
      </c>
      <c r="Q8324" s="7"/>
    </row>
    <row r="8325">
      <c r="A8325" s="39" t="s">
        <v>30130</v>
      </c>
      <c r="B8325" s="15">
        <v>1983408.0</v>
      </c>
      <c r="D8325" s="15">
        <v>0.0</v>
      </c>
      <c r="E8325" s="15" t="s">
        <v>1557</v>
      </c>
      <c r="F8325" s="15" t="s">
        <v>1833</v>
      </c>
      <c r="G8325" s="7">
        <v>48.502</v>
      </c>
      <c r="H8325" s="15" t="s">
        <v>2149</v>
      </c>
      <c r="I8325" s="15" t="s">
        <v>1586</v>
      </c>
      <c r="J8325" s="15" t="s">
        <v>30131</v>
      </c>
      <c r="K8325" s="15">
        <v>81.0</v>
      </c>
      <c r="L8325" s="15">
        <v>81.0</v>
      </c>
      <c r="M8325" s="40">
        <v>42875.0</v>
      </c>
      <c r="N8325" s="40">
        <v>42875.0</v>
      </c>
      <c r="O8325" s="15" t="s">
        <v>1554</v>
      </c>
      <c r="Q8325" s="7"/>
    </row>
    <row r="8326">
      <c r="A8326" s="39" t="s">
        <v>30132</v>
      </c>
      <c r="B8326" s="15">
        <v>1983409.0</v>
      </c>
      <c r="D8326" s="15">
        <v>0.0</v>
      </c>
      <c r="E8326" s="15" t="s">
        <v>1557</v>
      </c>
      <c r="F8326" s="15" t="s">
        <v>1767</v>
      </c>
      <c r="G8326" s="7">
        <v>45.888</v>
      </c>
      <c r="H8326" s="15" t="s">
        <v>1714</v>
      </c>
      <c r="I8326" s="15" t="s">
        <v>1586</v>
      </c>
      <c r="J8326" s="15" t="s">
        <v>30133</v>
      </c>
      <c r="K8326" s="15">
        <v>89.0</v>
      </c>
      <c r="L8326" s="15">
        <v>89.0</v>
      </c>
      <c r="M8326" s="40">
        <v>42875.0</v>
      </c>
      <c r="N8326" s="40">
        <v>42956.0</v>
      </c>
      <c r="O8326" s="15" t="s">
        <v>1554</v>
      </c>
      <c r="Q8326" s="7"/>
    </row>
    <row r="8327">
      <c r="A8327" s="39" t="s">
        <v>30135</v>
      </c>
      <c r="B8327" s="15">
        <v>1983413.0</v>
      </c>
      <c r="D8327" s="15">
        <v>0.0</v>
      </c>
      <c r="E8327" s="15" t="s">
        <v>1557</v>
      </c>
      <c r="F8327" s="15" t="s">
        <v>1611</v>
      </c>
      <c r="G8327" s="7">
        <v>27.206</v>
      </c>
      <c r="H8327" s="42">
        <v>43220.0</v>
      </c>
      <c r="I8327" s="15" t="s">
        <v>1586</v>
      </c>
      <c r="J8327" s="15" t="s">
        <v>30136</v>
      </c>
      <c r="K8327" s="15">
        <v>44.0</v>
      </c>
      <c r="L8327" s="15">
        <v>44.0</v>
      </c>
      <c r="M8327" s="40">
        <v>42875.0</v>
      </c>
      <c r="N8327" s="40">
        <v>42875.0</v>
      </c>
      <c r="O8327" s="15" t="s">
        <v>1554</v>
      </c>
      <c r="Q8327" s="7"/>
    </row>
    <row r="8328">
      <c r="A8328" s="39" t="s">
        <v>30137</v>
      </c>
      <c r="B8328" s="15">
        <v>1983447.0</v>
      </c>
      <c r="D8328" s="15">
        <v>0.0</v>
      </c>
      <c r="E8328" s="15" t="s">
        <v>1557</v>
      </c>
      <c r="F8328" s="15" t="s">
        <v>1833</v>
      </c>
      <c r="G8328" s="7">
        <v>60.618</v>
      </c>
      <c r="H8328" s="15" t="s">
        <v>9965</v>
      </c>
      <c r="I8328" s="15" t="s">
        <v>1586</v>
      </c>
      <c r="J8328" s="15" t="s">
        <v>30138</v>
      </c>
      <c r="K8328" s="15" t="s">
        <v>1722</v>
      </c>
      <c r="L8328" s="15">
        <v>96.0</v>
      </c>
      <c r="M8328" s="40">
        <v>42875.0</v>
      </c>
      <c r="N8328" s="40">
        <v>42875.0</v>
      </c>
      <c r="O8328" s="15" t="s">
        <v>1554</v>
      </c>
      <c r="Q8328" s="7"/>
    </row>
    <row r="8329">
      <c r="A8329" s="39" t="s">
        <v>30139</v>
      </c>
      <c r="B8329" s="15">
        <v>1983459.0</v>
      </c>
      <c r="D8329" s="15">
        <v>0.0</v>
      </c>
      <c r="E8329" s="15" t="s">
        <v>4407</v>
      </c>
      <c r="F8329" s="15" t="s">
        <v>1578</v>
      </c>
      <c r="G8329" s="7">
        <v>121.342</v>
      </c>
      <c r="H8329" s="15" t="s">
        <v>10442</v>
      </c>
      <c r="I8329" s="15" t="s">
        <v>1586</v>
      </c>
      <c r="J8329" s="15" t="s">
        <v>30140</v>
      </c>
      <c r="K8329" s="15">
        <v>1.0</v>
      </c>
      <c r="L8329" s="15">
        <v>207.0</v>
      </c>
      <c r="M8329" s="40">
        <v>42875.0</v>
      </c>
      <c r="N8329" s="40">
        <v>42875.0</v>
      </c>
      <c r="O8329" s="15" t="s">
        <v>1554</v>
      </c>
      <c r="Q8329" s="7"/>
    </row>
    <row r="8330">
      <c r="A8330" s="39" t="s">
        <v>30142</v>
      </c>
      <c r="B8330" s="15">
        <v>1983461.0</v>
      </c>
      <c r="D8330" s="15">
        <v>0.0</v>
      </c>
      <c r="E8330" s="15" t="s">
        <v>1557</v>
      </c>
      <c r="F8330" s="15" t="s">
        <v>1611</v>
      </c>
      <c r="G8330" s="7">
        <v>21.054</v>
      </c>
      <c r="H8330" s="15" t="s">
        <v>3568</v>
      </c>
      <c r="I8330" s="15" t="s">
        <v>1586</v>
      </c>
      <c r="J8330" s="15" t="s">
        <v>30143</v>
      </c>
      <c r="K8330" s="15">
        <v>30.0</v>
      </c>
      <c r="L8330" s="15">
        <v>30.0</v>
      </c>
      <c r="M8330" s="40">
        <v>42875.0</v>
      </c>
      <c r="N8330" s="40">
        <v>42875.0</v>
      </c>
      <c r="O8330" s="15" t="s">
        <v>1554</v>
      </c>
      <c r="Q8330" s="7"/>
    </row>
    <row r="8331">
      <c r="A8331" s="39" t="s">
        <v>30144</v>
      </c>
      <c r="B8331" s="15">
        <v>1983465.0</v>
      </c>
      <c r="D8331" s="15">
        <v>0.0</v>
      </c>
      <c r="E8331" s="15" t="s">
        <v>1557</v>
      </c>
      <c r="F8331" s="15" t="s">
        <v>1767</v>
      </c>
      <c r="G8331" s="7">
        <v>166.137</v>
      </c>
      <c r="H8331" s="15" t="s">
        <v>1714</v>
      </c>
      <c r="I8331" s="15" t="s">
        <v>1586</v>
      </c>
      <c r="J8331" s="15" t="s">
        <v>30145</v>
      </c>
      <c r="K8331" s="15">
        <v>288.0</v>
      </c>
      <c r="L8331" s="15">
        <v>288.0</v>
      </c>
      <c r="M8331" s="40">
        <v>42875.0</v>
      </c>
      <c r="N8331" s="40">
        <v>42900.0</v>
      </c>
      <c r="O8331" s="15" t="s">
        <v>1554</v>
      </c>
      <c r="Q8331" s="7"/>
    </row>
    <row r="8332">
      <c r="A8332" s="39" t="s">
        <v>30146</v>
      </c>
      <c r="B8332" s="15">
        <v>1983525.0</v>
      </c>
      <c r="D8332" s="15">
        <v>0.0</v>
      </c>
      <c r="E8332" s="15" t="s">
        <v>1557</v>
      </c>
      <c r="F8332" s="15" t="s">
        <v>1611</v>
      </c>
      <c r="G8332" s="7">
        <v>40.409</v>
      </c>
      <c r="H8332" s="15" t="s">
        <v>2304</v>
      </c>
      <c r="I8332" s="15" t="s">
        <v>1586</v>
      </c>
      <c r="J8332" s="15" t="s">
        <v>30147</v>
      </c>
      <c r="K8332" s="15">
        <v>47.0</v>
      </c>
      <c r="L8332" s="15">
        <v>47.0</v>
      </c>
      <c r="M8332" s="40">
        <v>42875.0</v>
      </c>
      <c r="N8332" s="40">
        <v>42956.0</v>
      </c>
      <c r="O8332" s="15" t="s">
        <v>1554</v>
      </c>
      <c r="Q8332" s="7"/>
    </row>
    <row r="8333">
      <c r="A8333" s="39" t="s">
        <v>30149</v>
      </c>
      <c r="B8333" s="15">
        <v>1983539.0</v>
      </c>
      <c r="D8333" s="15">
        <v>0.0</v>
      </c>
      <c r="E8333" s="15" t="s">
        <v>1557</v>
      </c>
      <c r="F8333" s="15" t="s">
        <v>1767</v>
      </c>
      <c r="G8333" s="7">
        <v>87.646</v>
      </c>
      <c r="H8333" s="15" t="s">
        <v>2996</v>
      </c>
      <c r="I8333" s="15" t="s">
        <v>1586</v>
      </c>
      <c r="J8333" s="15" t="s">
        <v>30150</v>
      </c>
      <c r="K8333" s="15">
        <v>156.0</v>
      </c>
      <c r="L8333" s="15">
        <v>156.0</v>
      </c>
      <c r="M8333" s="40">
        <v>42921.0</v>
      </c>
      <c r="N8333" s="40">
        <v>42921.0</v>
      </c>
      <c r="O8333" s="15" t="s">
        <v>1554</v>
      </c>
      <c r="Q8333" s="7"/>
    </row>
    <row r="8334">
      <c r="A8334" s="39" t="s">
        <v>30151</v>
      </c>
      <c r="B8334" s="15">
        <v>1983543.0</v>
      </c>
      <c r="D8334" s="15">
        <v>0.0</v>
      </c>
      <c r="E8334" s="15" t="s">
        <v>1557</v>
      </c>
      <c r="F8334" s="15" t="s">
        <v>1767</v>
      </c>
      <c r="G8334" s="7">
        <v>49.016</v>
      </c>
      <c r="H8334" s="42">
        <v>43310.0</v>
      </c>
      <c r="I8334" s="15" t="s">
        <v>1586</v>
      </c>
      <c r="J8334" s="15" t="s">
        <v>30152</v>
      </c>
      <c r="K8334" s="15" t="s">
        <v>1722</v>
      </c>
      <c r="L8334" s="15">
        <v>78.0</v>
      </c>
      <c r="M8334" s="40">
        <v>42914.0</v>
      </c>
      <c r="N8334" s="40">
        <v>42914.0</v>
      </c>
      <c r="O8334" s="15" t="s">
        <v>1554</v>
      </c>
      <c r="Q8334" s="7"/>
    </row>
    <row r="8335">
      <c r="A8335" s="39" t="s">
        <v>30153</v>
      </c>
      <c r="B8335" s="15">
        <v>1983544.0</v>
      </c>
      <c r="D8335" s="15">
        <v>0.0</v>
      </c>
      <c r="E8335" s="15" t="s">
        <v>1557</v>
      </c>
      <c r="F8335" s="15" t="s">
        <v>1767</v>
      </c>
      <c r="G8335" s="7">
        <v>49.014</v>
      </c>
      <c r="H8335" s="42">
        <v>43310.0</v>
      </c>
      <c r="I8335" s="15" t="s">
        <v>1586</v>
      </c>
      <c r="J8335" s="15" t="s">
        <v>30154</v>
      </c>
      <c r="K8335" s="15" t="s">
        <v>1722</v>
      </c>
      <c r="L8335" s="15">
        <v>77.0</v>
      </c>
      <c r="M8335" s="40">
        <v>42914.0</v>
      </c>
      <c r="N8335" s="40">
        <v>42914.0</v>
      </c>
      <c r="O8335" s="15" t="s">
        <v>1554</v>
      </c>
      <c r="Q8335" s="7"/>
    </row>
    <row r="8336">
      <c r="A8336" s="39" t="s">
        <v>30155</v>
      </c>
      <c r="B8336" s="15">
        <v>1983554.0</v>
      </c>
      <c r="D8336" s="15">
        <v>0.0</v>
      </c>
      <c r="E8336" s="15" t="s">
        <v>1557</v>
      </c>
      <c r="F8336" s="15" t="s">
        <v>1833</v>
      </c>
      <c r="G8336" s="7">
        <v>49.088</v>
      </c>
      <c r="H8336" s="15" t="s">
        <v>7408</v>
      </c>
      <c r="I8336" s="15" t="s">
        <v>1586</v>
      </c>
      <c r="J8336" s="15" t="s">
        <v>30156</v>
      </c>
      <c r="K8336" s="15">
        <v>80.0</v>
      </c>
      <c r="L8336" s="15">
        <v>80.0</v>
      </c>
      <c r="M8336" s="40">
        <v>42897.0</v>
      </c>
      <c r="N8336" s="40">
        <v>42897.0</v>
      </c>
      <c r="O8336" s="15" t="s">
        <v>1554</v>
      </c>
      <c r="Q8336" s="7"/>
    </row>
    <row r="8337">
      <c r="A8337" s="39" t="s">
        <v>30158</v>
      </c>
      <c r="B8337" s="15">
        <v>1983572.0</v>
      </c>
      <c r="D8337" s="15">
        <v>0.0</v>
      </c>
      <c r="E8337" s="15" t="s">
        <v>1557</v>
      </c>
      <c r="F8337" s="15" t="s">
        <v>1767</v>
      </c>
      <c r="G8337" s="7">
        <v>174.231</v>
      </c>
      <c r="H8337" s="15" t="s">
        <v>2820</v>
      </c>
      <c r="I8337" s="15" t="s">
        <v>1586</v>
      </c>
      <c r="J8337" s="15" t="s">
        <v>30159</v>
      </c>
      <c r="K8337" s="15" t="s">
        <v>1722</v>
      </c>
      <c r="L8337" s="15">
        <v>204.0</v>
      </c>
      <c r="M8337" s="40">
        <v>42897.0</v>
      </c>
      <c r="N8337" s="40">
        <v>42897.0</v>
      </c>
      <c r="O8337" s="15" t="s">
        <v>1554</v>
      </c>
      <c r="Q8337" s="7"/>
    </row>
    <row r="8338">
      <c r="A8338" s="39" t="s">
        <v>30160</v>
      </c>
      <c r="B8338" s="15">
        <v>1983573.0</v>
      </c>
      <c r="D8338" s="15">
        <v>0.0</v>
      </c>
      <c r="E8338" s="15" t="s">
        <v>1557</v>
      </c>
      <c r="F8338" s="15" t="s">
        <v>1833</v>
      </c>
      <c r="G8338" s="7">
        <v>71.726</v>
      </c>
      <c r="H8338" s="15">
        <v>56.0</v>
      </c>
      <c r="I8338" s="15" t="s">
        <v>1586</v>
      </c>
      <c r="J8338" s="15" t="s">
        <v>30161</v>
      </c>
      <c r="K8338" s="15">
        <v>102.0</v>
      </c>
      <c r="L8338" s="15">
        <v>102.0</v>
      </c>
      <c r="M8338" s="40">
        <v>42897.0</v>
      </c>
      <c r="N8338" s="40">
        <v>42897.0</v>
      </c>
      <c r="O8338" s="15" t="s">
        <v>1554</v>
      </c>
      <c r="Q8338" s="7"/>
    </row>
    <row r="8339">
      <c r="A8339" s="39" t="s">
        <v>30162</v>
      </c>
      <c r="B8339" s="15">
        <v>1983574.0</v>
      </c>
      <c r="D8339" s="15">
        <v>0.0</v>
      </c>
      <c r="E8339" s="15" t="s">
        <v>1557</v>
      </c>
      <c r="F8339" s="15" t="s">
        <v>1833</v>
      </c>
      <c r="G8339" s="7">
        <v>68.714</v>
      </c>
      <c r="H8339" s="15" t="s">
        <v>4308</v>
      </c>
      <c r="I8339" s="15" t="s">
        <v>1586</v>
      </c>
      <c r="J8339" s="15" t="s">
        <v>30163</v>
      </c>
      <c r="K8339" s="15">
        <v>101.0</v>
      </c>
      <c r="L8339" s="15">
        <v>101.0</v>
      </c>
      <c r="M8339" s="40">
        <v>42927.0</v>
      </c>
      <c r="N8339" s="40">
        <v>42927.0</v>
      </c>
      <c r="O8339" s="15" t="s">
        <v>1554</v>
      </c>
      <c r="Q8339" s="7"/>
    </row>
    <row r="8340">
      <c r="A8340" s="39" t="s">
        <v>30164</v>
      </c>
      <c r="B8340" s="15">
        <v>1983575.0</v>
      </c>
      <c r="D8340" s="15">
        <v>0.0</v>
      </c>
      <c r="E8340" s="15" t="s">
        <v>1557</v>
      </c>
      <c r="F8340" s="15" t="s">
        <v>1833</v>
      </c>
      <c r="G8340" s="7">
        <v>53.085</v>
      </c>
      <c r="H8340" s="15" t="s">
        <v>3542</v>
      </c>
      <c r="I8340" s="15" t="s">
        <v>1586</v>
      </c>
      <c r="J8340" s="15" t="s">
        <v>30166</v>
      </c>
      <c r="K8340" s="15">
        <v>92.0</v>
      </c>
      <c r="L8340" s="15">
        <v>92.0</v>
      </c>
      <c r="M8340" s="40">
        <v>42927.0</v>
      </c>
      <c r="N8340" s="40">
        <v>42927.0</v>
      </c>
      <c r="O8340" s="15" t="s">
        <v>1554</v>
      </c>
      <c r="Q8340" s="7"/>
    </row>
    <row r="8341">
      <c r="A8341" s="39" t="s">
        <v>30167</v>
      </c>
      <c r="B8341" s="15">
        <v>1983576.0</v>
      </c>
      <c r="D8341" s="15">
        <v>0.0</v>
      </c>
      <c r="E8341" s="15" t="s">
        <v>1557</v>
      </c>
      <c r="F8341" s="15" t="s">
        <v>1833</v>
      </c>
      <c r="G8341" s="7">
        <v>56.663</v>
      </c>
      <c r="H8341" s="15" t="s">
        <v>2038</v>
      </c>
      <c r="I8341" s="15" t="s">
        <v>1586</v>
      </c>
      <c r="J8341" s="15" t="s">
        <v>30168</v>
      </c>
      <c r="K8341" s="15">
        <v>103.0</v>
      </c>
      <c r="L8341" s="15">
        <v>103.0</v>
      </c>
      <c r="M8341" s="40">
        <v>42927.0</v>
      </c>
      <c r="N8341" s="40">
        <v>42927.0</v>
      </c>
      <c r="O8341" s="15" t="s">
        <v>1554</v>
      </c>
      <c r="Q8341" s="7"/>
    </row>
    <row r="8342">
      <c r="A8342" s="39" t="s">
        <v>30169</v>
      </c>
      <c r="B8342" s="15">
        <v>1983577.0</v>
      </c>
      <c r="D8342" s="15">
        <v>0.0</v>
      </c>
      <c r="E8342" s="15" t="s">
        <v>1557</v>
      </c>
      <c r="F8342" s="15" t="s">
        <v>1833</v>
      </c>
      <c r="G8342" s="7">
        <v>48.596</v>
      </c>
      <c r="H8342" s="15">
        <v>64.0</v>
      </c>
      <c r="I8342" s="15" t="s">
        <v>1586</v>
      </c>
      <c r="J8342" s="15" t="s">
        <v>30170</v>
      </c>
      <c r="K8342" s="15">
        <v>86.0</v>
      </c>
      <c r="L8342" s="15">
        <v>83.0</v>
      </c>
      <c r="M8342" s="40">
        <v>42927.0</v>
      </c>
      <c r="N8342" s="40">
        <v>42927.0</v>
      </c>
      <c r="O8342" s="15" t="s">
        <v>1554</v>
      </c>
      <c r="Q8342" s="7"/>
    </row>
    <row r="8343">
      <c r="A8343" s="39" t="s">
        <v>30171</v>
      </c>
      <c r="B8343" s="15">
        <v>1983578.0</v>
      </c>
      <c r="D8343" s="15">
        <v>0.0</v>
      </c>
      <c r="E8343" s="15" t="s">
        <v>1557</v>
      </c>
      <c r="F8343" s="15" t="s">
        <v>1833</v>
      </c>
      <c r="G8343" s="7">
        <v>40.165</v>
      </c>
      <c r="H8343" s="15" t="s">
        <v>7887</v>
      </c>
      <c r="I8343" s="15" t="s">
        <v>1586</v>
      </c>
      <c r="J8343" s="15" t="s">
        <v>30172</v>
      </c>
      <c r="K8343" s="15" t="s">
        <v>1722</v>
      </c>
      <c r="L8343" s="15">
        <v>56.0</v>
      </c>
      <c r="M8343" s="40">
        <v>42997.0</v>
      </c>
      <c r="N8343" s="40">
        <v>42997.0</v>
      </c>
      <c r="O8343" s="15" t="s">
        <v>1554</v>
      </c>
      <c r="Q8343" s="7"/>
    </row>
    <row r="8344">
      <c r="A8344" s="39" t="s">
        <v>30174</v>
      </c>
      <c r="B8344" s="15">
        <v>1983579.0</v>
      </c>
      <c r="D8344" s="15">
        <v>0.0</v>
      </c>
      <c r="E8344" s="15" t="s">
        <v>1557</v>
      </c>
      <c r="F8344" s="15" t="s">
        <v>1833</v>
      </c>
      <c r="G8344" s="7">
        <v>40.375</v>
      </c>
      <c r="H8344" s="15" t="s">
        <v>3550</v>
      </c>
      <c r="I8344" s="15" t="s">
        <v>1586</v>
      </c>
      <c r="J8344" s="15" t="s">
        <v>30175</v>
      </c>
      <c r="K8344" s="15" t="s">
        <v>1722</v>
      </c>
      <c r="L8344" s="15">
        <v>57.0</v>
      </c>
      <c r="M8344" s="40">
        <v>42997.0</v>
      </c>
      <c r="N8344" s="40">
        <v>42997.0</v>
      </c>
      <c r="O8344" s="15" t="s">
        <v>1554</v>
      </c>
      <c r="Q8344" s="7"/>
    </row>
    <row r="8345">
      <c r="A8345" s="39" t="s">
        <v>30176</v>
      </c>
      <c r="B8345" s="15">
        <v>1983580.0</v>
      </c>
      <c r="D8345" s="15">
        <v>0.0</v>
      </c>
      <c r="E8345" s="15" t="s">
        <v>4407</v>
      </c>
      <c r="F8345" s="15" t="s">
        <v>1578</v>
      </c>
      <c r="G8345" s="7">
        <v>41.231</v>
      </c>
      <c r="H8345" s="15" t="s">
        <v>2284</v>
      </c>
      <c r="I8345" s="15" t="s">
        <v>1586</v>
      </c>
      <c r="J8345" s="15" t="s">
        <v>30177</v>
      </c>
      <c r="K8345" s="15" t="s">
        <v>1722</v>
      </c>
      <c r="L8345" s="15">
        <v>71.0</v>
      </c>
      <c r="M8345" s="40">
        <v>42997.0</v>
      </c>
      <c r="N8345" s="40">
        <v>42997.0</v>
      </c>
      <c r="O8345" s="15" t="s">
        <v>1554</v>
      </c>
      <c r="Q8345" s="7"/>
    </row>
    <row r="8346">
      <c r="A8346" s="39" t="s">
        <v>30178</v>
      </c>
      <c r="B8346" s="15">
        <v>1983581.0</v>
      </c>
      <c r="D8346" s="15">
        <v>0.0</v>
      </c>
      <c r="E8346" s="15" t="s">
        <v>1557</v>
      </c>
      <c r="F8346" s="15" t="s">
        <v>1833</v>
      </c>
      <c r="G8346" s="7">
        <v>40.397</v>
      </c>
      <c r="H8346" s="15" t="s">
        <v>3550</v>
      </c>
      <c r="I8346" s="15" t="s">
        <v>1586</v>
      </c>
      <c r="J8346" s="15" t="s">
        <v>30179</v>
      </c>
      <c r="K8346" s="15" t="s">
        <v>1722</v>
      </c>
      <c r="L8346" s="15">
        <v>61.0</v>
      </c>
      <c r="M8346" s="40">
        <v>42997.0</v>
      </c>
      <c r="N8346" s="40">
        <v>42997.0</v>
      </c>
      <c r="O8346" s="15" t="s">
        <v>1554</v>
      </c>
      <c r="Q8346" s="7"/>
    </row>
    <row r="8347">
      <c r="A8347" s="39" t="s">
        <v>30181</v>
      </c>
      <c r="B8347" s="15">
        <v>1983585.0</v>
      </c>
      <c r="D8347" s="15">
        <v>0.0</v>
      </c>
      <c r="E8347" s="15" t="s">
        <v>1557</v>
      </c>
      <c r="F8347" s="15" t="s">
        <v>1767</v>
      </c>
      <c r="G8347" s="7">
        <v>46.481</v>
      </c>
      <c r="H8347" s="42">
        <v>43341.0</v>
      </c>
      <c r="I8347" s="15" t="s">
        <v>1586</v>
      </c>
      <c r="J8347" s="15" t="s">
        <v>30182</v>
      </c>
      <c r="K8347" s="15" t="s">
        <v>1722</v>
      </c>
      <c r="L8347" s="15">
        <v>74.0</v>
      </c>
      <c r="M8347" s="40">
        <v>42914.0</v>
      </c>
      <c r="N8347" s="40">
        <v>42914.0</v>
      </c>
      <c r="O8347" s="15" t="s">
        <v>1554</v>
      </c>
      <c r="Q8347" s="7"/>
    </row>
    <row r="8348">
      <c r="A8348" s="39" t="s">
        <v>30183</v>
      </c>
      <c r="B8348" s="15">
        <v>1983586.0</v>
      </c>
      <c r="D8348" s="15">
        <v>0.0</v>
      </c>
      <c r="E8348" s="15" t="s">
        <v>1557</v>
      </c>
      <c r="F8348" s="15" t="s">
        <v>1767</v>
      </c>
      <c r="G8348" s="7">
        <v>46.496</v>
      </c>
      <c r="H8348" s="42">
        <v>43341.0</v>
      </c>
      <c r="I8348" s="15" t="s">
        <v>1586</v>
      </c>
      <c r="J8348" s="15" t="s">
        <v>30184</v>
      </c>
      <c r="K8348" s="15" t="s">
        <v>1722</v>
      </c>
      <c r="L8348" s="15">
        <v>74.0</v>
      </c>
      <c r="M8348" s="40">
        <v>42914.0</v>
      </c>
      <c r="N8348" s="40">
        <v>42914.0</v>
      </c>
      <c r="O8348" s="15" t="s">
        <v>1554</v>
      </c>
      <c r="Q8348" s="7"/>
    </row>
    <row r="8349">
      <c r="A8349" s="39" t="s">
        <v>30185</v>
      </c>
      <c r="B8349" s="15">
        <v>1983620.0</v>
      </c>
      <c r="D8349" s="15">
        <v>0.0</v>
      </c>
      <c r="E8349" s="15" t="s">
        <v>1557</v>
      </c>
      <c r="F8349" s="15" t="s">
        <v>1833</v>
      </c>
      <c r="G8349" s="7">
        <v>29.533</v>
      </c>
      <c r="H8349" s="15">
        <v>54.0</v>
      </c>
      <c r="I8349" s="15" t="s">
        <v>1586</v>
      </c>
      <c r="J8349" s="15" t="s">
        <v>30186</v>
      </c>
      <c r="K8349" s="15" t="s">
        <v>1722</v>
      </c>
      <c r="L8349" s="15">
        <v>44.0</v>
      </c>
      <c r="M8349" s="40">
        <v>42927.0</v>
      </c>
      <c r="N8349" s="40">
        <v>42927.0</v>
      </c>
      <c r="O8349" s="15" t="s">
        <v>1554</v>
      </c>
      <c r="Q8349" s="7"/>
    </row>
    <row r="8350">
      <c r="A8350" s="39" t="s">
        <v>30187</v>
      </c>
      <c r="B8350" s="15">
        <v>1983621.0</v>
      </c>
      <c r="D8350" s="15">
        <v>0.0</v>
      </c>
      <c r="E8350" s="15" t="s">
        <v>1557</v>
      </c>
      <c r="F8350" s="15" t="s">
        <v>1833</v>
      </c>
      <c r="G8350" s="7">
        <v>30.016</v>
      </c>
      <c r="H8350" s="15" t="s">
        <v>6085</v>
      </c>
      <c r="I8350" s="15" t="s">
        <v>1586</v>
      </c>
      <c r="J8350" s="15" t="s">
        <v>30189</v>
      </c>
      <c r="K8350" s="15" t="s">
        <v>1722</v>
      </c>
      <c r="L8350" s="15">
        <v>44.0</v>
      </c>
      <c r="M8350" s="40">
        <v>42927.0</v>
      </c>
      <c r="N8350" s="40">
        <v>42927.0</v>
      </c>
      <c r="O8350" s="15" t="s">
        <v>1554</v>
      </c>
      <c r="Q8350" s="7"/>
    </row>
    <row r="8351">
      <c r="A8351" s="39" t="s">
        <v>30190</v>
      </c>
      <c r="B8351" s="15">
        <v>1983655.0</v>
      </c>
      <c r="D8351" s="15">
        <v>0.0</v>
      </c>
      <c r="E8351" s="15" t="s">
        <v>1557</v>
      </c>
      <c r="F8351" s="15" t="s">
        <v>1767</v>
      </c>
      <c r="G8351" s="7">
        <v>153.757</v>
      </c>
      <c r="H8351" s="15" t="s">
        <v>3604</v>
      </c>
      <c r="I8351" s="15" t="s">
        <v>1586</v>
      </c>
      <c r="J8351" s="15" t="s">
        <v>30191</v>
      </c>
      <c r="K8351" s="15" t="s">
        <v>1722</v>
      </c>
      <c r="L8351" s="15">
        <v>199.0</v>
      </c>
      <c r="M8351" s="40">
        <v>42984.0</v>
      </c>
      <c r="N8351" s="40">
        <v>42984.0</v>
      </c>
      <c r="O8351" s="15" t="s">
        <v>1554</v>
      </c>
      <c r="Q8351" s="7"/>
    </row>
    <row r="8352">
      <c r="A8352" s="39" t="s">
        <v>30192</v>
      </c>
      <c r="B8352" s="15">
        <v>1983656.0</v>
      </c>
      <c r="D8352" s="15">
        <v>0.0</v>
      </c>
      <c r="E8352" s="15" t="s">
        <v>1557</v>
      </c>
      <c r="F8352" s="15" t="s">
        <v>1767</v>
      </c>
      <c r="G8352" s="7">
        <v>151.519</v>
      </c>
      <c r="H8352" s="15" t="s">
        <v>4821</v>
      </c>
      <c r="I8352" s="15" t="s">
        <v>1586</v>
      </c>
      <c r="J8352" s="15" t="s">
        <v>30193</v>
      </c>
      <c r="K8352" s="15" t="s">
        <v>1722</v>
      </c>
      <c r="L8352" s="15">
        <v>196.0</v>
      </c>
      <c r="M8352" s="40">
        <v>42984.0</v>
      </c>
      <c r="N8352" s="40">
        <v>42984.0</v>
      </c>
      <c r="O8352" s="15" t="s">
        <v>1554</v>
      </c>
      <c r="Q8352" s="7"/>
    </row>
    <row r="8353">
      <c r="A8353" s="39" t="s">
        <v>30194</v>
      </c>
      <c r="B8353" s="15">
        <v>1076631.0</v>
      </c>
      <c r="D8353" s="15">
        <v>0.0</v>
      </c>
      <c r="E8353" s="15" t="s">
        <v>1557</v>
      </c>
      <c r="F8353" s="15" t="s">
        <v>1833</v>
      </c>
      <c r="G8353" s="7">
        <v>45.58</v>
      </c>
      <c r="H8353" s="15" t="s">
        <v>8962</v>
      </c>
      <c r="I8353" s="15" t="s">
        <v>1586</v>
      </c>
      <c r="J8353" s="15" t="s">
        <v>30195</v>
      </c>
      <c r="K8353" s="15" t="s">
        <v>1722</v>
      </c>
      <c r="L8353" s="15">
        <v>77.0</v>
      </c>
      <c r="M8353" s="40">
        <v>40790.0</v>
      </c>
      <c r="N8353" s="40">
        <v>43046.0</v>
      </c>
      <c r="O8353" s="15" t="s">
        <v>1554</v>
      </c>
      <c r="Q8353" s="7"/>
    </row>
    <row r="8354">
      <c r="A8354" s="39" t="s">
        <v>30196</v>
      </c>
      <c r="B8354" s="15">
        <v>1088864.0</v>
      </c>
      <c r="D8354" s="15">
        <v>0.0</v>
      </c>
      <c r="E8354" s="15" t="s">
        <v>1557</v>
      </c>
      <c r="F8354" s="15" t="s">
        <v>1833</v>
      </c>
      <c r="G8354" s="7">
        <v>80.228</v>
      </c>
      <c r="H8354" s="15" t="s">
        <v>10442</v>
      </c>
      <c r="I8354" s="15" t="s">
        <v>1586</v>
      </c>
      <c r="J8354" s="15" t="s">
        <v>30198</v>
      </c>
      <c r="K8354" s="15">
        <v>153.0</v>
      </c>
      <c r="L8354" s="15">
        <v>132.0</v>
      </c>
      <c r="M8354" s="41">
        <v>40847.0</v>
      </c>
      <c r="N8354" s="40">
        <v>40942.0</v>
      </c>
      <c r="O8354" s="15" t="s">
        <v>1554</v>
      </c>
      <c r="Q8354" s="7"/>
    </row>
    <row r="8355">
      <c r="A8355" s="39" t="s">
        <v>30199</v>
      </c>
      <c r="B8355" s="15">
        <v>1034115.0</v>
      </c>
      <c r="D8355" s="15">
        <v>0.0</v>
      </c>
      <c r="E8355" s="15" t="s">
        <v>1557</v>
      </c>
      <c r="F8355" s="15" t="s">
        <v>1833</v>
      </c>
      <c r="G8355" s="7">
        <v>83.724</v>
      </c>
      <c r="H8355" s="15" t="s">
        <v>4190</v>
      </c>
      <c r="I8355" s="15" t="s">
        <v>1586</v>
      </c>
      <c r="J8355" s="15" t="s">
        <v>30200</v>
      </c>
      <c r="K8355" s="15">
        <v>23.0</v>
      </c>
      <c r="L8355" s="15">
        <v>153.0</v>
      </c>
      <c r="M8355" s="40">
        <v>40741.0</v>
      </c>
      <c r="N8355" s="40">
        <v>40855.0</v>
      </c>
      <c r="O8355" s="15" t="s">
        <v>1554</v>
      </c>
      <c r="Q8355" s="7"/>
    </row>
    <row r="8356">
      <c r="A8356" s="39" t="s">
        <v>30201</v>
      </c>
      <c r="B8356" s="15">
        <v>1983789.0</v>
      </c>
      <c r="D8356" s="15">
        <v>0.0</v>
      </c>
      <c r="E8356" s="15" t="s">
        <v>1557</v>
      </c>
      <c r="F8356" s="15" t="s">
        <v>1611</v>
      </c>
      <c r="G8356" s="7">
        <v>39.693</v>
      </c>
      <c r="H8356" s="15">
        <v>50.0</v>
      </c>
      <c r="I8356" s="15" t="s">
        <v>1586</v>
      </c>
      <c r="J8356" s="15" t="s">
        <v>30202</v>
      </c>
      <c r="K8356" s="15" t="s">
        <v>1722</v>
      </c>
      <c r="L8356" s="15">
        <v>45.0</v>
      </c>
      <c r="M8356" s="40">
        <v>42897.0</v>
      </c>
      <c r="N8356" s="40">
        <v>42897.0</v>
      </c>
      <c r="O8356" s="15" t="s">
        <v>1554</v>
      </c>
      <c r="Q8356" s="7"/>
    </row>
    <row r="8357">
      <c r="A8357" s="39" t="s">
        <v>30203</v>
      </c>
      <c r="B8357" s="15">
        <v>1984747.0</v>
      </c>
      <c r="D8357" s="15">
        <v>0.0</v>
      </c>
      <c r="E8357" s="15" t="s">
        <v>1557</v>
      </c>
      <c r="F8357" s="15" t="s">
        <v>1767</v>
      </c>
      <c r="G8357" s="7">
        <v>46.482</v>
      </c>
      <c r="H8357" s="42">
        <v>43341.0</v>
      </c>
      <c r="I8357" s="15" t="s">
        <v>1586</v>
      </c>
      <c r="J8357" s="15" t="s">
        <v>30204</v>
      </c>
      <c r="K8357" s="15" t="s">
        <v>1722</v>
      </c>
      <c r="L8357" s="15">
        <v>74.0</v>
      </c>
      <c r="M8357" s="40">
        <v>42914.0</v>
      </c>
      <c r="N8357" s="40">
        <v>42914.0</v>
      </c>
      <c r="O8357" s="15" t="s">
        <v>1554</v>
      </c>
      <c r="Q8357" s="7"/>
    </row>
    <row r="8358">
      <c r="A8358" s="39" t="s">
        <v>30206</v>
      </c>
      <c r="B8358" s="15">
        <v>1984748.0</v>
      </c>
      <c r="D8358" s="15">
        <v>0.0</v>
      </c>
      <c r="E8358" s="15" t="s">
        <v>1557</v>
      </c>
      <c r="F8358" s="15" t="s">
        <v>1767</v>
      </c>
      <c r="G8358" s="7">
        <v>46.481</v>
      </c>
      <c r="H8358" s="42">
        <v>43341.0</v>
      </c>
      <c r="I8358" s="15" t="s">
        <v>1586</v>
      </c>
      <c r="J8358" s="15" t="s">
        <v>30207</v>
      </c>
      <c r="K8358" s="15" t="s">
        <v>1722</v>
      </c>
      <c r="L8358" s="15">
        <v>74.0</v>
      </c>
      <c r="M8358" s="40">
        <v>42914.0</v>
      </c>
      <c r="N8358" s="40">
        <v>42914.0</v>
      </c>
      <c r="O8358" s="15" t="s">
        <v>1554</v>
      </c>
      <c r="Q8358" s="7"/>
    </row>
    <row r="8359">
      <c r="A8359" s="39" t="s">
        <v>30208</v>
      </c>
      <c r="B8359" s="15">
        <v>1984749.0</v>
      </c>
      <c r="D8359" s="15">
        <v>0.0</v>
      </c>
      <c r="E8359" s="15" t="s">
        <v>1557</v>
      </c>
      <c r="F8359" s="15" t="s">
        <v>1767</v>
      </c>
      <c r="G8359" s="7">
        <v>48.564</v>
      </c>
      <c r="H8359" s="42">
        <v>43372.0</v>
      </c>
      <c r="I8359" s="15" t="s">
        <v>1586</v>
      </c>
      <c r="J8359" s="15" t="s">
        <v>30209</v>
      </c>
      <c r="K8359" s="15" t="s">
        <v>1722</v>
      </c>
      <c r="L8359" s="15">
        <v>78.0</v>
      </c>
      <c r="M8359" s="40">
        <v>42914.0</v>
      </c>
      <c r="N8359" s="40">
        <v>42914.0</v>
      </c>
      <c r="O8359" s="15" t="s">
        <v>1554</v>
      </c>
      <c r="Q8359" s="7"/>
    </row>
    <row r="8360">
      <c r="A8360" s="39" t="s">
        <v>30210</v>
      </c>
      <c r="B8360" s="15">
        <v>1984750.0</v>
      </c>
      <c r="D8360" s="15">
        <v>0.0</v>
      </c>
      <c r="E8360" s="15" t="s">
        <v>1557</v>
      </c>
      <c r="F8360" s="15" t="s">
        <v>1767</v>
      </c>
      <c r="G8360" s="7">
        <v>48.565</v>
      </c>
      <c r="H8360" s="42">
        <v>43372.0</v>
      </c>
      <c r="I8360" s="15" t="s">
        <v>1586</v>
      </c>
      <c r="J8360" s="15" t="s">
        <v>30211</v>
      </c>
      <c r="K8360" s="15" t="s">
        <v>1722</v>
      </c>
      <c r="L8360" s="15">
        <v>78.0</v>
      </c>
      <c r="M8360" s="40">
        <v>42914.0</v>
      </c>
      <c r="N8360" s="40">
        <v>42914.0</v>
      </c>
      <c r="O8360" s="15" t="s">
        <v>1554</v>
      </c>
      <c r="Q8360" s="7"/>
    </row>
    <row r="8361">
      <c r="A8361" s="39" t="s">
        <v>30212</v>
      </c>
      <c r="B8361" s="15">
        <v>1984751.0</v>
      </c>
      <c r="D8361" s="15">
        <v>0.0</v>
      </c>
      <c r="E8361" s="15" t="s">
        <v>1557</v>
      </c>
      <c r="F8361" s="15" t="s">
        <v>1767</v>
      </c>
      <c r="G8361" s="7">
        <v>49.013</v>
      </c>
      <c r="H8361" s="42">
        <v>43310.0</v>
      </c>
      <c r="I8361" s="15" t="s">
        <v>1586</v>
      </c>
      <c r="J8361" s="15" t="s">
        <v>30214</v>
      </c>
      <c r="K8361" s="15" t="s">
        <v>1722</v>
      </c>
      <c r="L8361" s="15">
        <v>78.0</v>
      </c>
      <c r="M8361" s="40">
        <v>42914.0</v>
      </c>
      <c r="N8361" s="40">
        <v>42914.0</v>
      </c>
      <c r="O8361" s="15" t="s">
        <v>1554</v>
      </c>
      <c r="Q8361" s="7"/>
    </row>
    <row r="8362">
      <c r="A8362" s="39" t="s">
        <v>30215</v>
      </c>
      <c r="B8362" s="15">
        <v>1984752.0</v>
      </c>
      <c r="D8362" s="15">
        <v>0.0</v>
      </c>
      <c r="E8362" s="15" t="s">
        <v>1557</v>
      </c>
      <c r="F8362" s="15" t="s">
        <v>1767</v>
      </c>
      <c r="G8362" s="7">
        <v>49.099</v>
      </c>
      <c r="H8362" s="42">
        <v>43341.0</v>
      </c>
      <c r="I8362" s="15" t="s">
        <v>1586</v>
      </c>
      <c r="J8362" s="15" t="s">
        <v>30216</v>
      </c>
      <c r="K8362" s="15" t="s">
        <v>1722</v>
      </c>
      <c r="L8362" s="15">
        <v>79.0</v>
      </c>
      <c r="M8362" s="40">
        <v>42914.0</v>
      </c>
      <c r="N8362" s="40">
        <v>42914.0</v>
      </c>
      <c r="O8362" s="15" t="s">
        <v>1554</v>
      </c>
      <c r="Q8362" s="7"/>
    </row>
    <row r="8363">
      <c r="A8363" s="39" t="s">
        <v>30217</v>
      </c>
      <c r="B8363" s="15">
        <v>1984753.0</v>
      </c>
      <c r="D8363" s="15">
        <v>0.0</v>
      </c>
      <c r="E8363" s="15" t="s">
        <v>1557</v>
      </c>
      <c r="F8363" s="15" t="s">
        <v>1767</v>
      </c>
      <c r="G8363" s="7">
        <v>46.496</v>
      </c>
      <c r="H8363" s="42">
        <v>43341.0</v>
      </c>
      <c r="I8363" s="15" t="s">
        <v>1586</v>
      </c>
      <c r="J8363" s="15" t="s">
        <v>30218</v>
      </c>
      <c r="K8363" s="15" t="s">
        <v>1722</v>
      </c>
      <c r="L8363" s="15">
        <v>74.0</v>
      </c>
      <c r="M8363" s="40">
        <v>42914.0</v>
      </c>
      <c r="N8363" s="40">
        <v>42914.0</v>
      </c>
      <c r="O8363" s="15" t="s">
        <v>1554</v>
      </c>
      <c r="Q8363" s="7"/>
    </row>
    <row r="8364">
      <c r="A8364" s="39" t="s">
        <v>30219</v>
      </c>
      <c r="B8364" s="15">
        <v>1984754.0</v>
      </c>
      <c r="D8364" s="15">
        <v>0.0</v>
      </c>
      <c r="E8364" s="15" t="s">
        <v>1557</v>
      </c>
      <c r="F8364" s="15" t="s">
        <v>1767</v>
      </c>
      <c r="G8364" s="7">
        <v>46.455</v>
      </c>
      <c r="H8364" s="42">
        <v>43341.0</v>
      </c>
      <c r="I8364" s="15" t="s">
        <v>1586</v>
      </c>
      <c r="J8364" s="15" t="s">
        <v>30220</v>
      </c>
      <c r="K8364" s="15" t="s">
        <v>1722</v>
      </c>
      <c r="L8364" s="15">
        <v>74.0</v>
      </c>
      <c r="M8364" s="40">
        <v>42914.0</v>
      </c>
      <c r="N8364" s="40">
        <v>42914.0</v>
      </c>
      <c r="O8364" s="15" t="s">
        <v>1554</v>
      </c>
      <c r="Q8364" s="7"/>
    </row>
    <row r="8365">
      <c r="A8365" s="39" t="s">
        <v>30222</v>
      </c>
      <c r="B8365" s="15">
        <v>1984755.0</v>
      </c>
      <c r="D8365" s="15">
        <v>0.0</v>
      </c>
      <c r="E8365" s="15" t="s">
        <v>1557</v>
      </c>
      <c r="F8365" s="15" t="s">
        <v>1767</v>
      </c>
      <c r="G8365" s="7">
        <v>46.57</v>
      </c>
      <c r="H8365" s="15">
        <v>30.0</v>
      </c>
      <c r="I8365" s="15" t="s">
        <v>1586</v>
      </c>
      <c r="J8365" s="15" t="s">
        <v>30223</v>
      </c>
      <c r="K8365" s="15" t="s">
        <v>1722</v>
      </c>
      <c r="L8365" s="15">
        <v>76.0</v>
      </c>
      <c r="M8365" s="40">
        <v>42914.0</v>
      </c>
      <c r="N8365" s="40">
        <v>42914.0</v>
      </c>
      <c r="O8365" s="15" t="s">
        <v>1554</v>
      </c>
      <c r="Q8365" s="7"/>
    </row>
    <row r="8366">
      <c r="A8366" s="39" t="s">
        <v>30224</v>
      </c>
      <c r="B8366" s="15">
        <v>1984756.0</v>
      </c>
      <c r="D8366" s="15">
        <v>0.0</v>
      </c>
      <c r="E8366" s="15" t="s">
        <v>1557</v>
      </c>
      <c r="F8366" s="15" t="s">
        <v>1767</v>
      </c>
      <c r="G8366" s="7">
        <v>46.455</v>
      </c>
      <c r="H8366" s="42">
        <v>43341.0</v>
      </c>
      <c r="I8366" s="15" t="s">
        <v>1586</v>
      </c>
      <c r="J8366" s="15" t="s">
        <v>30225</v>
      </c>
      <c r="K8366" s="15" t="s">
        <v>1722</v>
      </c>
      <c r="L8366" s="15">
        <v>74.0</v>
      </c>
      <c r="M8366" s="40">
        <v>42914.0</v>
      </c>
      <c r="N8366" s="40">
        <v>42914.0</v>
      </c>
      <c r="O8366" s="15" t="s">
        <v>1554</v>
      </c>
      <c r="Q8366" s="7"/>
    </row>
    <row r="8367">
      <c r="A8367" s="39" t="s">
        <v>30226</v>
      </c>
      <c r="B8367" s="15">
        <v>1984757.0</v>
      </c>
      <c r="D8367" s="15">
        <v>0.0</v>
      </c>
      <c r="E8367" s="15" t="s">
        <v>1557</v>
      </c>
      <c r="F8367" s="15" t="s">
        <v>1767</v>
      </c>
      <c r="G8367" s="7">
        <v>46.448</v>
      </c>
      <c r="H8367" s="15">
        <v>30.0</v>
      </c>
      <c r="I8367" s="15" t="s">
        <v>1586</v>
      </c>
      <c r="J8367" s="15" t="s">
        <v>30227</v>
      </c>
      <c r="K8367" s="15" t="s">
        <v>1722</v>
      </c>
      <c r="L8367" s="15">
        <v>75.0</v>
      </c>
      <c r="M8367" s="40">
        <v>42914.0</v>
      </c>
      <c r="N8367" s="40">
        <v>42914.0</v>
      </c>
      <c r="O8367" s="15" t="s">
        <v>1554</v>
      </c>
      <c r="Q8367" s="7"/>
    </row>
    <row r="8368">
      <c r="A8368" s="39" t="s">
        <v>30229</v>
      </c>
      <c r="B8368" s="15">
        <v>1984758.0</v>
      </c>
      <c r="D8368" s="15">
        <v>0.0</v>
      </c>
      <c r="E8368" s="15" t="s">
        <v>1557</v>
      </c>
      <c r="F8368" s="15" t="s">
        <v>1767</v>
      </c>
      <c r="G8368" s="7">
        <v>46.496</v>
      </c>
      <c r="H8368" s="42">
        <v>43341.0</v>
      </c>
      <c r="I8368" s="15" t="s">
        <v>1586</v>
      </c>
      <c r="J8368" s="15" t="s">
        <v>30230</v>
      </c>
      <c r="K8368" s="15" t="s">
        <v>1722</v>
      </c>
      <c r="L8368" s="15">
        <v>74.0</v>
      </c>
      <c r="M8368" s="40">
        <v>42914.0</v>
      </c>
      <c r="N8368" s="40">
        <v>42914.0</v>
      </c>
      <c r="O8368" s="15" t="s">
        <v>1554</v>
      </c>
      <c r="Q8368" s="7"/>
    </row>
    <row r="8369">
      <c r="A8369" s="39" t="s">
        <v>30231</v>
      </c>
      <c r="B8369" s="15">
        <v>1815986.0</v>
      </c>
      <c r="D8369" s="15">
        <v>0.0</v>
      </c>
      <c r="E8369" s="15" t="s">
        <v>1557</v>
      </c>
      <c r="F8369" s="15" t="s">
        <v>1767</v>
      </c>
      <c r="G8369" s="7">
        <v>273.501</v>
      </c>
      <c r="H8369" s="15" t="s">
        <v>3836</v>
      </c>
      <c r="I8369" s="15" t="s">
        <v>1586</v>
      </c>
      <c r="J8369" s="15" t="s">
        <v>30232</v>
      </c>
      <c r="K8369" s="15">
        <v>326.0</v>
      </c>
      <c r="L8369" s="15">
        <v>326.0</v>
      </c>
      <c r="M8369" s="40">
        <v>42523.0</v>
      </c>
      <c r="N8369" s="40">
        <v>42906.0</v>
      </c>
      <c r="O8369" s="15" t="s">
        <v>1554</v>
      </c>
      <c r="Q8369" s="7"/>
    </row>
    <row r="8370">
      <c r="A8370" s="39" t="s">
        <v>30233</v>
      </c>
      <c r="B8370" s="15">
        <v>1815987.0</v>
      </c>
      <c r="D8370" s="15">
        <v>0.0</v>
      </c>
      <c r="E8370" s="15" t="s">
        <v>1557</v>
      </c>
      <c r="F8370" s="15" t="s">
        <v>1767</v>
      </c>
      <c r="G8370" s="7">
        <v>271.182</v>
      </c>
      <c r="H8370" s="15" t="s">
        <v>3836</v>
      </c>
      <c r="I8370" s="15" t="s">
        <v>1586</v>
      </c>
      <c r="J8370" s="15" t="s">
        <v>30234</v>
      </c>
      <c r="K8370" s="15">
        <v>320.0</v>
      </c>
      <c r="L8370" s="15">
        <v>319.0</v>
      </c>
      <c r="M8370" s="40">
        <v>42523.0</v>
      </c>
      <c r="N8370" s="40">
        <v>42906.0</v>
      </c>
      <c r="O8370" s="15" t="s">
        <v>1554</v>
      </c>
      <c r="Q8370" s="7"/>
    </row>
    <row r="8371">
      <c r="A8371" s="39" t="s">
        <v>30235</v>
      </c>
      <c r="B8371" s="15">
        <v>1815988.0</v>
      </c>
      <c r="D8371" s="15">
        <v>0.0</v>
      </c>
      <c r="E8371" s="15" t="s">
        <v>1557</v>
      </c>
      <c r="F8371" s="15" t="s">
        <v>1767</v>
      </c>
      <c r="G8371" s="7">
        <v>271.088</v>
      </c>
      <c r="H8371" s="15" t="s">
        <v>3836</v>
      </c>
      <c r="I8371" s="15" t="s">
        <v>1586</v>
      </c>
      <c r="J8371" s="15" t="s">
        <v>30236</v>
      </c>
      <c r="K8371" s="15">
        <v>323.0</v>
      </c>
      <c r="L8371" s="15">
        <v>322.0</v>
      </c>
      <c r="M8371" s="40">
        <v>42523.0</v>
      </c>
      <c r="N8371" s="40">
        <v>42906.0</v>
      </c>
      <c r="O8371" s="15" t="s">
        <v>1554</v>
      </c>
      <c r="Q8371" s="7"/>
    </row>
    <row r="8372">
      <c r="A8372" s="39" t="s">
        <v>30237</v>
      </c>
      <c r="B8372" s="15">
        <v>1815989.0</v>
      </c>
      <c r="D8372" s="15">
        <v>0.0</v>
      </c>
      <c r="E8372" s="15" t="s">
        <v>1557</v>
      </c>
      <c r="F8372" s="15" t="s">
        <v>1767</v>
      </c>
      <c r="G8372" s="7">
        <v>273.224</v>
      </c>
      <c r="H8372" s="15" t="s">
        <v>5042</v>
      </c>
      <c r="I8372" s="15" t="s">
        <v>1586</v>
      </c>
      <c r="J8372" s="15" t="s">
        <v>30238</v>
      </c>
      <c r="K8372" s="15">
        <v>324.0</v>
      </c>
      <c r="L8372" s="15">
        <v>324.0</v>
      </c>
      <c r="M8372" s="40">
        <v>42539.0</v>
      </c>
      <c r="N8372" s="40">
        <v>42906.0</v>
      </c>
      <c r="O8372" s="15" t="s">
        <v>1554</v>
      </c>
      <c r="Q8372" s="7"/>
    </row>
    <row r="8373">
      <c r="A8373" s="39" t="s">
        <v>30240</v>
      </c>
      <c r="B8373" s="15">
        <v>1296658.0</v>
      </c>
      <c r="D8373" s="15">
        <v>0.0</v>
      </c>
      <c r="E8373" s="15" t="s">
        <v>1557</v>
      </c>
      <c r="F8373" s="15" t="s">
        <v>1767</v>
      </c>
      <c r="G8373" s="7">
        <v>54.312</v>
      </c>
      <c r="H8373" s="15" t="s">
        <v>2668</v>
      </c>
      <c r="I8373" s="15" t="s">
        <v>1586</v>
      </c>
      <c r="J8373" s="15" t="s">
        <v>30241</v>
      </c>
      <c r="K8373" s="15">
        <v>103.0</v>
      </c>
      <c r="L8373" s="15">
        <v>103.0</v>
      </c>
      <c r="M8373" s="40">
        <v>41478.0</v>
      </c>
      <c r="N8373" s="40">
        <v>42186.0</v>
      </c>
      <c r="O8373" s="15" t="s">
        <v>1554</v>
      </c>
      <c r="Q8373" s="7"/>
    </row>
    <row r="8374">
      <c r="A8374" s="39" t="s">
        <v>30242</v>
      </c>
      <c r="B8374" s="15">
        <v>1701846.0</v>
      </c>
      <c r="D8374" s="15">
        <v>0.0</v>
      </c>
      <c r="E8374" s="15" t="s">
        <v>1557</v>
      </c>
      <c r="F8374" s="15" t="s">
        <v>1767</v>
      </c>
      <c r="G8374" s="7">
        <v>89.596</v>
      </c>
      <c r="H8374" s="15" t="s">
        <v>6565</v>
      </c>
      <c r="I8374" s="15" t="s">
        <v>1586</v>
      </c>
      <c r="J8374" s="15" t="s">
        <v>30243</v>
      </c>
      <c r="K8374" s="15">
        <v>163.0</v>
      </c>
      <c r="L8374" s="15">
        <v>138.0</v>
      </c>
      <c r="M8374" s="40">
        <v>42239.0</v>
      </c>
      <c r="N8374" s="40">
        <v>42313.0</v>
      </c>
      <c r="O8374" s="15" t="s">
        <v>1554</v>
      </c>
      <c r="Q8374" s="7"/>
    </row>
    <row r="8375">
      <c r="A8375" s="39" t="s">
        <v>30244</v>
      </c>
      <c r="B8375" s="15">
        <v>1051674.0</v>
      </c>
      <c r="D8375" s="15">
        <v>0.0</v>
      </c>
      <c r="E8375" s="15" t="s">
        <v>1557</v>
      </c>
      <c r="F8375" s="15" t="s">
        <v>1767</v>
      </c>
      <c r="G8375" s="7">
        <v>84.694</v>
      </c>
      <c r="H8375" s="15" t="s">
        <v>2552</v>
      </c>
      <c r="I8375" s="15" t="s">
        <v>1586</v>
      </c>
      <c r="J8375" s="15" t="s">
        <v>30245</v>
      </c>
      <c r="K8375" s="15" t="s">
        <v>1722</v>
      </c>
      <c r="L8375" s="15">
        <v>117.0</v>
      </c>
      <c r="M8375" s="40">
        <v>40735.0</v>
      </c>
      <c r="N8375" s="40">
        <v>40786.0</v>
      </c>
      <c r="O8375" s="15" t="s">
        <v>1554</v>
      </c>
      <c r="Q8375" s="7"/>
    </row>
    <row r="8376">
      <c r="A8376" s="39" t="s">
        <v>30246</v>
      </c>
      <c r="B8376" s="15">
        <v>1508671.0</v>
      </c>
      <c r="D8376" s="15">
        <v>0.0</v>
      </c>
      <c r="E8376" s="15" t="s">
        <v>1557</v>
      </c>
      <c r="F8376" s="15" t="s">
        <v>1767</v>
      </c>
      <c r="G8376" s="7">
        <v>88.531</v>
      </c>
      <c r="H8376" s="15" t="s">
        <v>6565</v>
      </c>
      <c r="I8376" s="15" t="s">
        <v>1586</v>
      </c>
      <c r="J8376" s="15" t="s">
        <v>30247</v>
      </c>
      <c r="K8376" s="15">
        <v>158.0</v>
      </c>
      <c r="L8376" s="15">
        <v>132.0</v>
      </c>
      <c r="M8376" s="40">
        <v>42123.0</v>
      </c>
      <c r="N8376" s="40">
        <v>42123.0</v>
      </c>
      <c r="O8376" s="15" t="s">
        <v>1554</v>
      </c>
      <c r="Q8376" s="7"/>
    </row>
    <row r="8377">
      <c r="A8377" s="39" t="s">
        <v>30248</v>
      </c>
      <c r="B8377" s="15">
        <v>1682394.0</v>
      </c>
      <c r="D8377" s="15">
        <v>0.0</v>
      </c>
      <c r="E8377" s="15" t="s">
        <v>1557</v>
      </c>
      <c r="F8377" s="15" t="s">
        <v>1767</v>
      </c>
      <c r="G8377" s="7">
        <v>175.814</v>
      </c>
      <c r="H8377" s="15">
        <v>42.0</v>
      </c>
      <c r="I8377" s="15" t="s">
        <v>1586</v>
      </c>
      <c r="J8377" s="15" t="s">
        <v>30249</v>
      </c>
      <c r="K8377" s="15">
        <v>278.0</v>
      </c>
      <c r="L8377" s="15">
        <v>278.0</v>
      </c>
      <c r="M8377" s="40">
        <v>42245.0</v>
      </c>
      <c r="N8377" s="40">
        <v>42473.0</v>
      </c>
      <c r="O8377" s="15" t="s">
        <v>1554</v>
      </c>
      <c r="Q8377" s="7"/>
    </row>
    <row r="8378">
      <c r="A8378" s="39" t="s">
        <v>30251</v>
      </c>
      <c r="B8378" s="15">
        <v>1675608.0</v>
      </c>
      <c r="D8378" s="15">
        <v>0.0</v>
      </c>
      <c r="E8378" s="15" t="s">
        <v>1557</v>
      </c>
      <c r="F8378" s="15" t="s">
        <v>1767</v>
      </c>
      <c r="G8378" s="7">
        <v>176.055</v>
      </c>
      <c r="H8378" s="15" t="s">
        <v>2049</v>
      </c>
      <c r="I8378" s="15" t="s">
        <v>1586</v>
      </c>
      <c r="J8378" s="15" t="s">
        <v>30252</v>
      </c>
      <c r="K8378" s="15">
        <v>278.0</v>
      </c>
      <c r="L8378" s="15">
        <v>277.0</v>
      </c>
      <c r="M8378" s="40">
        <v>42225.0</v>
      </c>
      <c r="N8378" s="41">
        <v>42290.0</v>
      </c>
      <c r="O8378" s="15" t="s">
        <v>1554</v>
      </c>
      <c r="Q8378" s="7"/>
    </row>
    <row r="8379">
      <c r="A8379" s="39" t="s">
        <v>30253</v>
      </c>
      <c r="B8379" s="15">
        <v>1784979.0</v>
      </c>
      <c r="D8379" s="15">
        <v>0.0</v>
      </c>
      <c r="E8379" s="15" t="s">
        <v>1557</v>
      </c>
      <c r="F8379" s="15" t="s">
        <v>1611</v>
      </c>
      <c r="G8379" s="7">
        <v>43.851</v>
      </c>
      <c r="H8379" s="15" t="s">
        <v>10412</v>
      </c>
      <c r="I8379" s="15" t="s">
        <v>1586</v>
      </c>
      <c r="J8379" s="15" t="s">
        <v>30254</v>
      </c>
      <c r="K8379" s="15" t="s">
        <v>1722</v>
      </c>
      <c r="L8379" s="15">
        <v>53.0</v>
      </c>
      <c r="M8379" s="40">
        <v>42434.0</v>
      </c>
      <c r="N8379" s="41">
        <v>42697.0</v>
      </c>
      <c r="O8379" s="15" t="s">
        <v>1554</v>
      </c>
      <c r="Q8379" s="7"/>
    </row>
    <row r="8380">
      <c r="A8380" s="39" t="s">
        <v>30255</v>
      </c>
      <c r="B8380" s="15">
        <v>1784981.0</v>
      </c>
      <c r="D8380" s="15">
        <v>0.0</v>
      </c>
      <c r="E8380" s="15" t="s">
        <v>1557</v>
      </c>
      <c r="F8380" s="15" t="s">
        <v>1611</v>
      </c>
      <c r="G8380" s="7">
        <v>44.262</v>
      </c>
      <c r="H8380" s="15" t="s">
        <v>17894</v>
      </c>
      <c r="I8380" s="15" t="s">
        <v>1586</v>
      </c>
      <c r="J8380" s="15" t="s">
        <v>30256</v>
      </c>
      <c r="K8380" s="15" t="s">
        <v>1722</v>
      </c>
      <c r="L8380" s="15">
        <v>53.0</v>
      </c>
      <c r="M8380" s="40">
        <v>42434.0</v>
      </c>
      <c r="N8380" s="41">
        <v>42697.0</v>
      </c>
      <c r="O8380" s="15" t="s">
        <v>1554</v>
      </c>
      <c r="Q8380" s="7"/>
    </row>
    <row r="8381">
      <c r="A8381" s="39" t="s">
        <v>30257</v>
      </c>
      <c r="B8381" s="15">
        <v>1986030.0</v>
      </c>
      <c r="D8381" s="15">
        <v>0.0</v>
      </c>
      <c r="E8381" s="15" t="s">
        <v>1808</v>
      </c>
      <c r="F8381" s="15" t="s">
        <v>3154</v>
      </c>
      <c r="G8381" s="7">
        <v>5.508</v>
      </c>
      <c r="H8381" s="15" t="s">
        <v>4821</v>
      </c>
      <c r="I8381" s="15" t="s">
        <v>1586</v>
      </c>
      <c r="J8381" s="15" t="s">
        <v>30258</v>
      </c>
      <c r="K8381" s="15" t="s">
        <v>1722</v>
      </c>
      <c r="L8381" s="15">
        <v>4.0</v>
      </c>
      <c r="M8381" s="40">
        <v>42870.0</v>
      </c>
      <c r="N8381" s="40">
        <v>42870.0</v>
      </c>
      <c r="O8381" s="15" t="s">
        <v>1554</v>
      </c>
      <c r="Q8381" s="7"/>
    </row>
    <row r="8382">
      <c r="A8382" s="39" t="s">
        <v>30259</v>
      </c>
      <c r="B8382" s="15">
        <v>1986032.0</v>
      </c>
      <c r="D8382" s="15">
        <v>0.0</v>
      </c>
      <c r="E8382" s="15" t="s">
        <v>1808</v>
      </c>
      <c r="F8382" s="15" t="s">
        <v>3154</v>
      </c>
      <c r="G8382" s="7">
        <v>6.363</v>
      </c>
      <c r="H8382" s="15" t="s">
        <v>3895</v>
      </c>
      <c r="I8382" s="15" t="s">
        <v>1586</v>
      </c>
      <c r="J8382" s="15" t="s">
        <v>30260</v>
      </c>
      <c r="K8382" s="15" t="s">
        <v>1722</v>
      </c>
      <c r="L8382" s="15">
        <v>4.0</v>
      </c>
      <c r="M8382" s="40">
        <v>42870.0</v>
      </c>
      <c r="N8382" s="40">
        <v>42870.0</v>
      </c>
      <c r="O8382" s="15" t="s">
        <v>1554</v>
      </c>
      <c r="Q8382" s="7"/>
    </row>
    <row r="8383">
      <c r="A8383" s="39" t="s">
        <v>30262</v>
      </c>
      <c r="B8383" s="15">
        <v>1986033.0</v>
      </c>
      <c r="D8383" s="15">
        <v>0.0</v>
      </c>
      <c r="E8383" s="15" t="s">
        <v>1808</v>
      </c>
      <c r="F8383" s="15" t="s">
        <v>3154</v>
      </c>
      <c r="G8383" s="7">
        <v>6.312</v>
      </c>
      <c r="H8383" s="15" t="s">
        <v>2580</v>
      </c>
      <c r="I8383" s="15" t="s">
        <v>1586</v>
      </c>
      <c r="J8383" s="15" t="s">
        <v>30263</v>
      </c>
      <c r="K8383" s="15" t="s">
        <v>1722</v>
      </c>
      <c r="L8383" s="15">
        <v>4.0</v>
      </c>
      <c r="M8383" s="40">
        <v>42870.0</v>
      </c>
      <c r="N8383" s="40">
        <v>42870.0</v>
      </c>
      <c r="O8383" s="15" t="s">
        <v>1554</v>
      </c>
      <c r="Q8383" s="7"/>
    </row>
    <row r="8384">
      <c r="A8384" s="39" t="s">
        <v>30264</v>
      </c>
      <c r="B8384" s="15">
        <v>1161933.0</v>
      </c>
      <c r="D8384" s="15">
        <v>0.0</v>
      </c>
      <c r="E8384" s="15" t="s">
        <v>1557</v>
      </c>
      <c r="F8384" s="15" t="s">
        <v>1833</v>
      </c>
      <c r="G8384" s="7">
        <v>51.094</v>
      </c>
      <c r="H8384" s="15">
        <v>65.0</v>
      </c>
      <c r="I8384" s="15" t="s">
        <v>1586</v>
      </c>
      <c r="J8384" s="15" t="s">
        <v>30265</v>
      </c>
      <c r="K8384" s="15">
        <v>88.0</v>
      </c>
      <c r="L8384" s="15">
        <v>87.0</v>
      </c>
      <c r="M8384" s="40">
        <v>40996.0</v>
      </c>
      <c r="N8384" s="40">
        <v>40996.0</v>
      </c>
      <c r="O8384" s="15" t="s">
        <v>1554</v>
      </c>
      <c r="Q8384" s="7"/>
    </row>
    <row r="8385">
      <c r="A8385" s="39" t="s">
        <v>30266</v>
      </c>
      <c r="B8385" s="15">
        <v>1032895.0</v>
      </c>
      <c r="D8385" s="15">
        <v>0.0</v>
      </c>
      <c r="E8385" s="15" t="s">
        <v>1557</v>
      </c>
      <c r="F8385" s="15" t="s">
        <v>1833</v>
      </c>
      <c r="G8385" s="7">
        <v>53.278</v>
      </c>
      <c r="H8385" s="15" t="s">
        <v>4096</v>
      </c>
      <c r="I8385" s="15" t="s">
        <v>1586</v>
      </c>
      <c r="J8385" s="15" t="s">
        <v>30267</v>
      </c>
      <c r="K8385" s="15">
        <v>86.0</v>
      </c>
      <c r="L8385" s="15">
        <v>85.0</v>
      </c>
      <c r="M8385" s="40">
        <v>40740.0</v>
      </c>
      <c r="N8385" s="40">
        <v>40942.0</v>
      </c>
      <c r="O8385" s="15" t="s">
        <v>1554</v>
      </c>
      <c r="Q8385" s="7"/>
    </row>
    <row r="8386">
      <c r="A8386" s="39" t="s">
        <v>30268</v>
      </c>
      <c r="B8386" s="15">
        <v>1161934.0</v>
      </c>
      <c r="D8386" s="15">
        <v>0.0</v>
      </c>
      <c r="E8386" s="15" t="s">
        <v>1557</v>
      </c>
      <c r="F8386" s="15" t="s">
        <v>1833</v>
      </c>
      <c r="G8386" s="7">
        <v>50.332</v>
      </c>
      <c r="H8386" s="15" t="s">
        <v>1834</v>
      </c>
      <c r="I8386" s="15" t="s">
        <v>1586</v>
      </c>
      <c r="J8386" s="15" t="s">
        <v>30269</v>
      </c>
      <c r="K8386" s="15">
        <v>86.0</v>
      </c>
      <c r="L8386" s="15">
        <v>85.0</v>
      </c>
      <c r="M8386" s="40">
        <v>40996.0</v>
      </c>
      <c r="N8386" s="40">
        <v>40996.0</v>
      </c>
      <c r="O8386" s="15" t="s">
        <v>1554</v>
      </c>
      <c r="Q8386" s="7"/>
    </row>
    <row r="8387">
      <c r="A8387" s="39" t="s">
        <v>30270</v>
      </c>
      <c r="B8387" s="15">
        <v>1993881.0</v>
      </c>
      <c r="D8387" s="15">
        <v>0.0</v>
      </c>
      <c r="E8387" s="15" t="s">
        <v>1557</v>
      </c>
      <c r="F8387" s="15" t="s">
        <v>1833</v>
      </c>
      <c r="G8387" s="7">
        <v>67.324</v>
      </c>
      <c r="H8387" s="15">
        <v>69.0</v>
      </c>
      <c r="I8387" s="15" t="s">
        <v>1586</v>
      </c>
      <c r="J8387" s="15" t="s">
        <v>30271</v>
      </c>
      <c r="K8387" s="15">
        <v>95.0</v>
      </c>
      <c r="L8387" s="15">
        <v>95.0</v>
      </c>
      <c r="M8387" s="40">
        <v>41498.0</v>
      </c>
      <c r="N8387" s="40">
        <v>42865.0</v>
      </c>
      <c r="O8387" s="15" t="s">
        <v>1554</v>
      </c>
      <c r="Q8387" s="7"/>
    </row>
    <row r="8388">
      <c r="A8388" s="39" t="s">
        <v>30272</v>
      </c>
      <c r="B8388" s="15">
        <v>1034118.0</v>
      </c>
      <c r="D8388" s="15">
        <v>0.0</v>
      </c>
      <c r="E8388" s="15" t="s">
        <v>1557</v>
      </c>
      <c r="F8388" s="15" t="s">
        <v>1833</v>
      </c>
      <c r="G8388" s="7">
        <v>52.298</v>
      </c>
      <c r="H8388" s="15" t="s">
        <v>6661</v>
      </c>
      <c r="I8388" s="15" t="s">
        <v>1586</v>
      </c>
      <c r="J8388" s="15" t="s">
        <v>30274</v>
      </c>
      <c r="K8388" s="15" t="s">
        <v>1722</v>
      </c>
      <c r="L8388" s="15">
        <v>91.0</v>
      </c>
      <c r="M8388" s="40">
        <v>40741.0</v>
      </c>
      <c r="N8388" s="40">
        <v>40942.0</v>
      </c>
      <c r="O8388" s="15" t="s">
        <v>1554</v>
      </c>
      <c r="Q8388" s="7"/>
    </row>
    <row r="8389">
      <c r="A8389" s="39" t="s">
        <v>30275</v>
      </c>
      <c r="B8389" s="15">
        <v>1147141.0</v>
      </c>
      <c r="D8389" s="15">
        <v>0.0</v>
      </c>
      <c r="E8389" s="15" t="s">
        <v>1557</v>
      </c>
      <c r="F8389" s="15" t="s">
        <v>1833</v>
      </c>
      <c r="G8389" s="7">
        <v>61.164</v>
      </c>
      <c r="H8389" s="15" t="s">
        <v>3086</v>
      </c>
      <c r="I8389" s="15" t="s">
        <v>1586</v>
      </c>
      <c r="J8389" s="15" t="s">
        <v>30276</v>
      </c>
      <c r="K8389" s="15">
        <v>110.0</v>
      </c>
      <c r="L8389" s="15">
        <v>110.0</v>
      </c>
      <c r="M8389" s="40">
        <v>40957.0</v>
      </c>
      <c r="N8389" s="40">
        <v>40957.0</v>
      </c>
      <c r="O8389" s="15" t="s">
        <v>1554</v>
      </c>
      <c r="Q8389" s="7"/>
    </row>
    <row r="8390">
      <c r="A8390" s="39" t="s">
        <v>30277</v>
      </c>
      <c r="B8390" s="15">
        <v>1034116.0</v>
      </c>
      <c r="D8390" s="15">
        <v>0.0</v>
      </c>
      <c r="E8390" s="15" t="s">
        <v>1557</v>
      </c>
      <c r="F8390" s="15" t="s">
        <v>1833</v>
      </c>
      <c r="G8390" s="7">
        <v>75.973</v>
      </c>
      <c r="H8390" s="15" t="s">
        <v>2517</v>
      </c>
      <c r="I8390" s="15" t="s">
        <v>1586</v>
      </c>
      <c r="J8390" s="15" t="s">
        <v>30278</v>
      </c>
      <c r="K8390" s="15">
        <v>2.0</v>
      </c>
      <c r="L8390" s="15">
        <v>145.0</v>
      </c>
      <c r="M8390" s="40">
        <v>40741.0</v>
      </c>
      <c r="N8390" s="40">
        <v>40855.0</v>
      </c>
      <c r="O8390" s="15" t="s">
        <v>1554</v>
      </c>
      <c r="Q8390" s="7"/>
    </row>
    <row r="8391">
      <c r="A8391" s="39" t="s">
        <v>30279</v>
      </c>
      <c r="B8391" s="15">
        <v>1036616.0</v>
      </c>
      <c r="D8391" s="15">
        <v>0.0</v>
      </c>
      <c r="E8391" s="15" t="s">
        <v>1557</v>
      </c>
      <c r="F8391" s="15" t="s">
        <v>1833</v>
      </c>
      <c r="G8391" s="7">
        <v>59.794</v>
      </c>
      <c r="H8391" s="15" t="s">
        <v>4108</v>
      </c>
      <c r="I8391" s="15" t="s">
        <v>1586</v>
      </c>
      <c r="J8391" s="15" t="s">
        <v>30280</v>
      </c>
      <c r="K8391" s="15">
        <v>107.0</v>
      </c>
      <c r="L8391" s="15">
        <v>107.0</v>
      </c>
      <c r="M8391" s="40">
        <v>40740.0</v>
      </c>
      <c r="N8391" s="40">
        <v>40942.0</v>
      </c>
      <c r="O8391" s="15" t="s">
        <v>1554</v>
      </c>
      <c r="Q8391" s="7"/>
    </row>
    <row r="8392">
      <c r="A8392" s="39" t="s">
        <v>30281</v>
      </c>
      <c r="B8392" s="15">
        <v>1036615.0</v>
      </c>
      <c r="D8392" s="15">
        <v>0.0</v>
      </c>
      <c r="E8392" s="15" t="s">
        <v>1557</v>
      </c>
      <c r="F8392" s="15" t="s">
        <v>1833</v>
      </c>
      <c r="G8392" s="7">
        <v>59.314</v>
      </c>
      <c r="H8392" s="15" t="s">
        <v>3086</v>
      </c>
      <c r="I8392" s="15" t="s">
        <v>1586</v>
      </c>
      <c r="J8392" s="15" t="s">
        <v>30282</v>
      </c>
      <c r="K8392" s="15">
        <v>107.0</v>
      </c>
      <c r="L8392" s="15">
        <v>107.0</v>
      </c>
      <c r="M8392" s="40">
        <v>40740.0</v>
      </c>
      <c r="N8392" s="40">
        <v>40942.0</v>
      </c>
      <c r="O8392" s="15" t="s">
        <v>1554</v>
      </c>
      <c r="Q8392" s="7"/>
    </row>
    <row r="8393">
      <c r="A8393" s="39" t="s">
        <v>30283</v>
      </c>
      <c r="B8393" s="15">
        <v>2005047.0</v>
      </c>
      <c r="D8393" s="15">
        <v>0.0</v>
      </c>
      <c r="E8393" s="15" t="s">
        <v>4407</v>
      </c>
      <c r="F8393" s="15" t="s">
        <v>1578</v>
      </c>
      <c r="G8393" s="7">
        <v>170.496</v>
      </c>
      <c r="H8393" s="15" t="s">
        <v>2396</v>
      </c>
      <c r="I8393" s="15" t="s">
        <v>1586</v>
      </c>
      <c r="J8393" s="15" t="s">
        <v>30284</v>
      </c>
      <c r="K8393" s="15" t="s">
        <v>1722</v>
      </c>
      <c r="L8393" s="15">
        <v>266.0</v>
      </c>
      <c r="M8393" s="40">
        <v>42914.0</v>
      </c>
      <c r="N8393" s="40">
        <v>42914.0</v>
      </c>
      <c r="O8393" s="15" t="s">
        <v>1554</v>
      </c>
      <c r="Q8393" s="7"/>
    </row>
    <row r="8394">
      <c r="A8394" s="39" t="s">
        <v>30286</v>
      </c>
      <c r="B8394" s="15">
        <v>2005048.0</v>
      </c>
      <c r="D8394" s="15">
        <v>0.0</v>
      </c>
      <c r="E8394" s="15" t="s">
        <v>4407</v>
      </c>
      <c r="F8394" s="15" t="s">
        <v>1578</v>
      </c>
      <c r="G8394" s="7">
        <v>53.092</v>
      </c>
      <c r="H8394" s="15" t="s">
        <v>2064</v>
      </c>
      <c r="I8394" s="15" t="s">
        <v>1586</v>
      </c>
      <c r="J8394" s="15" t="s">
        <v>30287</v>
      </c>
      <c r="K8394" s="15" t="s">
        <v>1722</v>
      </c>
      <c r="L8394" s="15">
        <v>56.0</v>
      </c>
      <c r="M8394" s="40">
        <v>42914.0</v>
      </c>
      <c r="N8394" s="40">
        <v>42914.0</v>
      </c>
      <c r="O8394" s="15" t="s">
        <v>1554</v>
      </c>
      <c r="Q8394" s="7"/>
    </row>
    <row r="8395">
      <c r="A8395" s="39" t="s">
        <v>30288</v>
      </c>
      <c r="B8395" s="15">
        <v>2005054.0</v>
      </c>
      <c r="D8395" s="15">
        <v>0.0</v>
      </c>
      <c r="E8395" s="15" t="s">
        <v>1557</v>
      </c>
      <c r="F8395" s="15" t="s">
        <v>1611</v>
      </c>
      <c r="G8395" s="7">
        <v>38.67</v>
      </c>
      <c r="H8395" s="15" t="s">
        <v>3070</v>
      </c>
      <c r="I8395" s="15" t="s">
        <v>1586</v>
      </c>
      <c r="J8395" s="15" t="s">
        <v>30289</v>
      </c>
      <c r="K8395" s="15" t="s">
        <v>1722</v>
      </c>
      <c r="L8395" s="15">
        <v>47.0</v>
      </c>
      <c r="M8395" s="40">
        <v>42893.0</v>
      </c>
      <c r="N8395" s="40">
        <v>42893.0</v>
      </c>
      <c r="O8395" s="15" t="s">
        <v>1554</v>
      </c>
      <c r="Q8395" s="7"/>
    </row>
    <row r="8396">
      <c r="A8396" s="39" t="s">
        <v>30290</v>
      </c>
      <c r="B8396" s="15">
        <v>1211279.0</v>
      </c>
      <c r="D8396" s="15">
        <v>0.0</v>
      </c>
      <c r="E8396" s="15" t="s">
        <v>1557</v>
      </c>
      <c r="F8396" s="15" t="s">
        <v>1833</v>
      </c>
      <c r="G8396" s="7">
        <v>41.546</v>
      </c>
      <c r="H8396" s="15" t="s">
        <v>3836</v>
      </c>
      <c r="I8396" s="15" t="s">
        <v>1586</v>
      </c>
      <c r="J8396" s="15" t="s">
        <v>30291</v>
      </c>
      <c r="K8396" s="15">
        <v>66.0</v>
      </c>
      <c r="L8396" s="15">
        <v>66.0</v>
      </c>
      <c r="M8396" s="40">
        <v>41487.0</v>
      </c>
      <c r="N8396" s="40">
        <v>41487.0</v>
      </c>
      <c r="O8396" s="15" t="s">
        <v>1554</v>
      </c>
      <c r="Q8396" s="7"/>
    </row>
    <row r="8397">
      <c r="A8397" s="39" t="s">
        <v>30292</v>
      </c>
      <c r="B8397" s="15">
        <v>1204541.0</v>
      </c>
      <c r="D8397" s="15">
        <v>0.0</v>
      </c>
      <c r="E8397" s="15" t="s">
        <v>1557</v>
      </c>
      <c r="F8397" s="15" t="s">
        <v>1833</v>
      </c>
      <c r="G8397" s="7">
        <v>42.633</v>
      </c>
      <c r="H8397" s="15" t="s">
        <v>5042</v>
      </c>
      <c r="I8397" s="15" t="s">
        <v>1586</v>
      </c>
      <c r="J8397" s="15" t="s">
        <v>30293</v>
      </c>
      <c r="K8397" s="15" t="s">
        <v>1722</v>
      </c>
      <c r="L8397" s="15">
        <v>64.0</v>
      </c>
      <c r="M8397" s="40">
        <v>41118.0</v>
      </c>
      <c r="N8397" s="40">
        <v>41341.0</v>
      </c>
      <c r="O8397" s="15" t="s">
        <v>1554</v>
      </c>
      <c r="Q8397" s="7"/>
    </row>
    <row r="8398">
      <c r="A8398" s="39" t="s">
        <v>30294</v>
      </c>
      <c r="B8398" s="15">
        <v>2005789.0</v>
      </c>
      <c r="D8398" s="15">
        <v>0.0</v>
      </c>
      <c r="E8398" s="15" t="s">
        <v>4407</v>
      </c>
      <c r="F8398" s="15" t="s">
        <v>1578</v>
      </c>
      <c r="G8398" s="7">
        <v>44.005</v>
      </c>
      <c r="H8398" s="15">
        <v>61.0</v>
      </c>
      <c r="I8398" s="15" t="s">
        <v>1586</v>
      </c>
      <c r="J8398" s="15" t="s">
        <v>30295</v>
      </c>
      <c r="K8398" s="15" t="s">
        <v>1722</v>
      </c>
      <c r="L8398" s="15">
        <v>59.0</v>
      </c>
      <c r="M8398" s="40">
        <v>42893.0</v>
      </c>
      <c r="N8398" s="40">
        <v>42893.0</v>
      </c>
      <c r="O8398" s="15" t="s">
        <v>1554</v>
      </c>
      <c r="Q8398" s="7"/>
    </row>
    <row r="8399">
      <c r="A8399" s="39" t="s">
        <v>30296</v>
      </c>
      <c r="B8399" s="15">
        <v>1052672.0</v>
      </c>
      <c r="D8399" s="15">
        <v>0.0</v>
      </c>
      <c r="E8399" s="15" t="s">
        <v>1557</v>
      </c>
      <c r="F8399" s="15" t="s">
        <v>1767</v>
      </c>
      <c r="G8399" s="7">
        <v>155.286</v>
      </c>
      <c r="H8399" s="15" t="s">
        <v>4171</v>
      </c>
      <c r="I8399" s="15" t="s">
        <v>1586</v>
      </c>
      <c r="J8399" s="15" t="s">
        <v>30297</v>
      </c>
      <c r="K8399" s="15">
        <v>268.0</v>
      </c>
      <c r="L8399" s="15">
        <v>231.0</v>
      </c>
      <c r="M8399" s="40">
        <v>40741.0</v>
      </c>
      <c r="N8399" s="40">
        <v>40942.0</v>
      </c>
      <c r="O8399" s="15" t="s">
        <v>1554</v>
      </c>
      <c r="Q8399" s="7"/>
    </row>
    <row r="8400">
      <c r="A8400" s="39" t="s">
        <v>30299</v>
      </c>
      <c r="B8400" s="15">
        <v>2006668.0</v>
      </c>
      <c r="D8400" s="15">
        <v>0.0</v>
      </c>
      <c r="E8400" s="15" t="s">
        <v>1557</v>
      </c>
      <c r="F8400" s="15" t="s">
        <v>1767</v>
      </c>
      <c r="G8400" s="7">
        <v>309.157</v>
      </c>
      <c r="H8400" s="15">
        <v>43.0</v>
      </c>
      <c r="I8400" s="15" t="s">
        <v>1586</v>
      </c>
      <c r="J8400" s="15" t="s">
        <v>30300</v>
      </c>
      <c r="K8400" s="15">
        <v>471.0</v>
      </c>
      <c r="L8400" s="15">
        <v>468.0</v>
      </c>
      <c r="M8400" s="40">
        <v>42893.0</v>
      </c>
      <c r="N8400" s="40">
        <v>42893.0</v>
      </c>
      <c r="O8400" s="15" t="s">
        <v>1554</v>
      </c>
      <c r="Q8400" s="7"/>
    </row>
    <row r="8401">
      <c r="A8401" s="39" t="s">
        <v>30301</v>
      </c>
      <c r="B8401" s="15">
        <v>2006671.0</v>
      </c>
      <c r="D8401" s="15">
        <v>0.0</v>
      </c>
      <c r="E8401" s="15" t="s">
        <v>1557</v>
      </c>
      <c r="F8401" s="15" t="s">
        <v>1611</v>
      </c>
      <c r="G8401" s="7">
        <v>62.978</v>
      </c>
      <c r="H8401" s="15" t="s">
        <v>1834</v>
      </c>
      <c r="I8401" s="15" t="s">
        <v>1586</v>
      </c>
      <c r="J8401" s="15" t="s">
        <v>30302</v>
      </c>
      <c r="K8401" s="15">
        <v>72.0</v>
      </c>
      <c r="L8401" s="15">
        <v>72.0</v>
      </c>
      <c r="M8401" s="40">
        <v>42893.0</v>
      </c>
      <c r="N8401" s="40">
        <v>42893.0</v>
      </c>
      <c r="O8401" s="15" t="s">
        <v>1554</v>
      </c>
      <c r="Q8401" s="7"/>
    </row>
    <row r="8402">
      <c r="A8402" s="39" t="s">
        <v>30303</v>
      </c>
      <c r="B8402" s="15">
        <v>2006684.0</v>
      </c>
      <c r="D8402" s="15">
        <v>0.0</v>
      </c>
      <c r="E8402" s="15" t="s">
        <v>1557</v>
      </c>
      <c r="F8402" s="15" t="s">
        <v>1767</v>
      </c>
      <c r="G8402" s="7">
        <v>278.136</v>
      </c>
      <c r="H8402" s="15" t="s">
        <v>1957</v>
      </c>
      <c r="I8402" s="15" t="s">
        <v>1586</v>
      </c>
      <c r="J8402" s="15" t="s">
        <v>30304</v>
      </c>
      <c r="K8402" s="15">
        <v>338.0</v>
      </c>
      <c r="L8402" s="15">
        <v>334.0</v>
      </c>
      <c r="M8402" s="40">
        <v>42893.0</v>
      </c>
      <c r="N8402" s="40">
        <v>42893.0</v>
      </c>
      <c r="O8402" s="15" t="s">
        <v>1554</v>
      </c>
      <c r="Q8402" s="7"/>
    </row>
    <row r="8403">
      <c r="A8403" s="39" t="s">
        <v>30305</v>
      </c>
      <c r="B8403" s="15">
        <v>2006922.0</v>
      </c>
      <c r="D8403" s="15">
        <v>0.0</v>
      </c>
      <c r="E8403" s="15" t="s">
        <v>1557</v>
      </c>
      <c r="F8403" s="15" t="s">
        <v>1833</v>
      </c>
      <c r="G8403" s="7">
        <v>50.564</v>
      </c>
      <c r="H8403" s="15" t="s">
        <v>7408</v>
      </c>
      <c r="I8403" s="15" t="s">
        <v>1586</v>
      </c>
      <c r="J8403" s="15" t="s">
        <v>30306</v>
      </c>
      <c r="K8403" s="15">
        <v>76.0</v>
      </c>
      <c r="L8403" s="15">
        <v>76.0</v>
      </c>
      <c r="M8403" s="40">
        <v>42914.0</v>
      </c>
      <c r="N8403" s="40">
        <v>42914.0</v>
      </c>
      <c r="O8403" s="15" t="s">
        <v>1554</v>
      </c>
      <c r="Q8403" s="7"/>
    </row>
    <row r="8404">
      <c r="A8404" s="39" t="s">
        <v>30307</v>
      </c>
      <c r="B8404" s="15">
        <v>2006923.0</v>
      </c>
      <c r="D8404" s="15">
        <v>0.0</v>
      </c>
      <c r="E8404" s="15" t="s">
        <v>1557</v>
      </c>
      <c r="F8404" s="15" t="s">
        <v>1833</v>
      </c>
      <c r="G8404" s="7">
        <v>109.575</v>
      </c>
      <c r="H8404" s="15" t="s">
        <v>2154</v>
      </c>
      <c r="I8404" s="15" t="s">
        <v>1586</v>
      </c>
      <c r="J8404" s="15" t="s">
        <v>30308</v>
      </c>
      <c r="K8404" s="15">
        <v>243.0</v>
      </c>
      <c r="L8404" s="15">
        <v>241.0</v>
      </c>
      <c r="M8404" s="40">
        <v>42914.0</v>
      </c>
      <c r="N8404" s="40">
        <v>42914.0</v>
      </c>
      <c r="O8404" s="15" t="s">
        <v>1554</v>
      </c>
      <c r="Q8404" s="7"/>
    </row>
    <row r="8405">
      <c r="A8405" s="39" t="s">
        <v>30310</v>
      </c>
      <c r="B8405" s="15">
        <v>2006925.0</v>
      </c>
      <c r="D8405" s="15">
        <v>0.0</v>
      </c>
      <c r="E8405" s="15" t="s">
        <v>1557</v>
      </c>
      <c r="F8405" s="15" t="s">
        <v>1833</v>
      </c>
      <c r="G8405" s="7">
        <v>44.517</v>
      </c>
      <c r="H8405" s="15" t="s">
        <v>2189</v>
      </c>
      <c r="I8405" s="15" t="s">
        <v>1586</v>
      </c>
      <c r="J8405" s="15" t="s">
        <v>30311</v>
      </c>
      <c r="K8405" s="15" t="s">
        <v>1722</v>
      </c>
      <c r="L8405" s="15">
        <v>72.0</v>
      </c>
      <c r="M8405" s="40">
        <v>42924.0</v>
      </c>
      <c r="N8405" s="40">
        <v>42924.0</v>
      </c>
      <c r="O8405" s="15" t="s">
        <v>1554</v>
      </c>
      <c r="Q8405" s="7"/>
    </row>
    <row r="8406">
      <c r="A8406" s="39" t="s">
        <v>30312</v>
      </c>
      <c r="B8406" s="15">
        <v>2006926.0</v>
      </c>
      <c r="D8406" s="15">
        <v>0.0</v>
      </c>
      <c r="E8406" s="15" t="s">
        <v>1557</v>
      </c>
      <c r="F8406" s="15" t="s">
        <v>1833</v>
      </c>
      <c r="G8406" s="7">
        <v>43.344</v>
      </c>
      <c r="H8406" s="15">
        <v>66.0</v>
      </c>
      <c r="I8406" s="15" t="s">
        <v>1586</v>
      </c>
      <c r="J8406" s="15" t="s">
        <v>30313</v>
      </c>
      <c r="K8406" s="15">
        <v>67.0</v>
      </c>
      <c r="L8406" s="15">
        <v>67.0</v>
      </c>
      <c r="M8406" s="40">
        <v>42927.0</v>
      </c>
      <c r="N8406" s="40">
        <v>42927.0</v>
      </c>
      <c r="O8406" s="15" t="s">
        <v>1554</v>
      </c>
      <c r="Q8406" s="7"/>
    </row>
    <row r="8407">
      <c r="A8407" s="39" t="s">
        <v>30314</v>
      </c>
      <c r="B8407" s="15">
        <v>2006928.0</v>
      </c>
      <c r="D8407" s="15">
        <v>0.0</v>
      </c>
      <c r="E8407" s="15" t="s">
        <v>1557</v>
      </c>
      <c r="F8407" s="15" t="s">
        <v>1833</v>
      </c>
      <c r="G8407" s="7">
        <v>39.707</v>
      </c>
      <c r="H8407" s="15">
        <v>38.0</v>
      </c>
      <c r="I8407" s="15" t="s">
        <v>1586</v>
      </c>
      <c r="J8407" s="15" t="s">
        <v>30315</v>
      </c>
      <c r="K8407" s="15">
        <v>54.0</v>
      </c>
      <c r="L8407" s="15">
        <v>54.0</v>
      </c>
      <c r="M8407" s="40">
        <v>42956.0</v>
      </c>
      <c r="N8407" s="40">
        <v>42956.0</v>
      </c>
      <c r="O8407" s="15" t="s">
        <v>1554</v>
      </c>
      <c r="Q8407" s="7"/>
    </row>
    <row r="8408">
      <c r="A8408" s="39" t="s">
        <v>30316</v>
      </c>
      <c r="B8408" s="15">
        <v>2006930.0</v>
      </c>
      <c r="D8408" s="15">
        <v>0.0</v>
      </c>
      <c r="E8408" s="15" t="s">
        <v>1557</v>
      </c>
      <c r="F8408" s="15" t="s">
        <v>1611</v>
      </c>
      <c r="G8408" s="7">
        <v>37.287</v>
      </c>
      <c r="H8408" s="15" t="s">
        <v>2223</v>
      </c>
      <c r="I8408" s="15" t="s">
        <v>1586</v>
      </c>
      <c r="J8408" s="15" t="s">
        <v>30317</v>
      </c>
      <c r="K8408" s="15" t="s">
        <v>1722</v>
      </c>
      <c r="L8408" s="15">
        <v>43.0</v>
      </c>
      <c r="M8408" s="40">
        <v>42917.0</v>
      </c>
      <c r="N8408" s="40">
        <v>42917.0</v>
      </c>
      <c r="O8408" s="15" t="s">
        <v>1554</v>
      </c>
      <c r="Q8408" s="7"/>
    </row>
    <row r="8409">
      <c r="A8409" s="39" t="s">
        <v>30318</v>
      </c>
      <c r="B8409" s="15">
        <v>2006940.0</v>
      </c>
      <c r="D8409" s="15">
        <v>0.0</v>
      </c>
      <c r="E8409" s="15" t="s">
        <v>4407</v>
      </c>
      <c r="F8409" s="15" t="s">
        <v>1578</v>
      </c>
      <c r="G8409" s="7">
        <v>171.175</v>
      </c>
      <c r="H8409" s="15" t="s">
        <v>1607</v>
      </c>
      <c r="I8409" s="15" t="s">
        <v>1586</v>
      </c>
      <c r="J8409" s="15" t="s">
        <v>30319</v>
      </c>
      <c r="K8409" s="15" t="s">
        <v>1722</v>
      </c>
      <c r="L8409" s="15">
        <v>275.0</v>
      </c>
      <c r="M8409" s="40">
        <v>42897.0</v>
      </c>
      <c r="N8409" s="40">
        <v>42897.0</v>
      </c>
      <c r="O8409" s="15" t="s">
        <v>1554</v>
      </c>
      <c r="Q8409" s="7"/>
    </row>
    <row r="8410">
      <c r="A8410" s="39" t="s">
        <v>30320</v>
      </c>
      <c r="B8410" s="15">
        <v>2006941.0</v>
      </c>
      <c r="D8410" s="15">
        <v>0.0</v>
      </c>
      <c r="E8410" s="15" t="s">
        <v>4407</v>
      </c>
      <c r="F8410" s="15" t="s">
        <v>1578</v>
      </c>
      <c r="G8410" s="7">
        <v>171.175</v>
      </c>
      <c r="H8410" s="15" t="s">
        <v>1607</v>
      </c>
      <c r="I8410" s="15" t="s">
        <v>1586</v>
      </c>
      <c r="J8410" s="15" t="s">
        <v>30321</v>
      </c>
      <c r="K8410" s="15" t="s">
        <v>1722</v>
      </c>
      <c r="L8410" s="15">
        <v>275.0</v>
      </c>
      <c r="M8410" s="40">
        <v>42897.0</v>
      </c>
      <c r="N8410" s="40">
        <v>42897.0</v>
      </c>
      <c r="O8410" s="15" t="s">
        <v>1554</v>
      </c>
      <c r="Q8410" s="7"/>
    </row>
    <row r="8411">
      <c r="A8411" s="39" t="s">
        <v>30322</v>
      </c>
      <c r="B8411" s="15">
        <v>2006942.0</v>
      </c>
      <c r="D8411" s="15">
        <v>0.0</v>
      </c>
      <c r="E8411" s="15" t="s">
        <v>4407</v>
      </c>
      <c r="F8411" s="15" t="s">
        <v>1578</v>
      </c>
      <c r="G8411" s="7">
        <v>172.45</v>
      </c>
      <c r="H8411" s="15" t="s">
        <v>1607</v>
      </c>
      <c r="I8411" s="15" t="s">
        <v>1586</v>
      </c>
      <c r="J8411" s="15" t="s">
        <v>30323</v>
      </c>
      <c r="K8411" s="15" t="s">
        <v>1722</v>
      </c>
      <c r="L8411" s="15">
        <v>277.0</v>
      </c>
      <c r="M8411" s="40">
        <v>42897.0</v>
      </c>
      <c r="N8411" s="40">
        <v>42897.0</v>
      </c>
      <c r="O8411" s="15" t="s">
        <v>1554</v>
      </c>
      <c r="Q8411" s="7"/>
    </row>
    <row r="8412">
      <c r="A8412" s="39" t="s">
        <v>30325</v>
      </c>
      <c r="B8412" s="15">
        <v>2010329.0</v>
      </c>
      <c r="D8412" s="15">
        <v>0.0</v>
      </c>
      <c r="E8412" s="15" t="s">
        <v>4407</v>
      </c>
      <c r="F8412" s="15" t="s">
        <v>1578</v>
      </c>
      <c r="G8412" s="7">
        <v>156.281</v>
      </c>
      <c r="H8412" s="15" t="s">
        <v>6183</v>
      </c>
      <c r="I8412" s="15" t="s">
        <v>1586</v>
      </c>
      <c r="J8412" s="15" t="s">
        <v>30326</v>
      </c>
      <c r="K8412" s="15" t="s">
        <v>1722</v>
      </c>
      <c r="L8412" s="15">
        <v>253.0</v>
      </c>
      <c r="M8412" s="40">
        <v>42914.0</v>
      </c>
      <c r="N8412" s="40">
        <v>42954.0</v>
      </c>
      <c r="O8412" s="15" t="s">
        <v>1554</v>
      </c>
      <c r="Q8412" s="7"/>
    </row>
    <row r="8413">
      <c r="A8413" s="39" t="s">
        <v>30327</v>
      </c>
      <c r="B8413" s="15">
        <v>1346893.0</v>
      </c>
      <c r="D8413" s="15">
        <v>0.0</v>
      </c>
      <c r="E8413" s="15" t="s">
        <v>1808</v>
      </c>
      <c r="F8413" s="15" t="s">
        <v>2969</v>
      </c>
      <c r="G8413" s="7">
        <v>7.648</v>
      </c>
      <c r="H8413" s="15" t="s">
        <v>4499</v>
      </c>
      <c r="I8413" s="15" t="s">
        <v>1586</v>
      </c>
      <c r="J8413" s="15" t="s">
        <v>30328</v>
      </c>
      <c r="K8413" s="15">
        <v>1.0</v>
      </c>
      <c r="L8413" s="15">
        <v>10.0</v>
      </c>
      <c r="M8413" s="40">
        <v>41452.0</v>
      </c>
      <c r="N8413" s="40">
        <v>41794.0</v>
      </c>
      <c r="O8413" s="15" t="s">
        <v>1554</v>
      </c>
      <c r="Q8413" s="7"/>
    </row>
    <row r="8414">
      <c r="A8414" s="39" t="s">
        <v>30329</v>
      </c>
      <c r="B8414" s="15">
        <v>2014347.0</v>
      </c>
      <c r="D8414" s="15">
        <v>0.0</v>
      </c>
      <c r="E8414" s="15" t="s">
        <v>1557</v>
      </c>
      <c r="F8414" s="15" t="s">
        <v>1833</v>
      </c>
      <c r="G8414" s="7">
        <v>58.405</v>
      </c>
      <c r="H8414" s="15" t="s">
        <v>3836</v>
      </c>
      <c r="I8414" s="15" t="s">
        <v>1586</v>
      </c>
      <c r="J8414" s="15" t="s">
        <v>30330</v>
      </c>
      <c r="K8414" s="15">
        <v>93.0</v>
      </c>
      <c r="L8414" s="15">
        <v>93.0</v>
      </c>
      <c r="M8414" s="40">
        <v>42914.0</v>
      </c>
      <c r="N8414" s="40">
        <v>42914.0</v>
      </c>
      <c r="O8414" s="15" t="s">
        <v>1554</v>
      </c>
      <c r="Q8414" s="7"/>
    </row>
    <row r="8415">
      <c r="A8415" s="39" t="s">
        <v>30331</v>
      </c>
      <c r="B8415" s="15">
        <v>2014348.0</v>
      </c>
      <c r="D8415" s="15">
        <v>0.0</v>
      </c>
      <c r="E8415" s="15" t="s">
        <v>1557</v>
      </c>
      <c r="F8415" s="15" t="s">
        <v>1833</v>
      </c>
      <c r="G8415" s="7">
        <v>58.405</v>
      </c>
      <c r="H8415" s="15" t="s">
        <v>3836</v>
      </c>
      <c r="I8415" s="15" t="s">
        <v>1586</v>
      </c>
      <c r="J8415" s="15" t="s">
        <v>30332</v>
      </c>
      <c r="K8415" s="15">
        <v>93.0</v>
      </c>
      <c r="L8415" s="15">
        <v>93.0</v>
      </c>
      <c r="M8415" s="40">
        <v>42914.0</v>
      </c>
      <c r="N8415" s="40">
        <v>42914.0</v>
      </c>
      <c r="O8415" s="15" t="s">
        <v>1554</v>
      </c>
      <c r="Q8415" s="7"/>
    </row>
    <row r="8416">
      <c r="A8416" s="39" t="s">
        <v>30333</v>
      </c>
      <c r="B8416" s="15">
        <v>2014349.0</v>
      </c>
      <c r="D8416" s="15">
        <v>0.0</v>
      </c>
      <c r="E8416" s="15" t="s">
        <v>1557</v>
      </c>
      <c r="F8416" s="15" t="s">
        <v>1833</v>
      </c>
      <c r="G8416" s="7">
        <v>108.627</v>
      </c>
      <c r="H8416" s="15" t="s">
        <v>9648</v>
      </c>
      <c r="I8416" s="15" t="s">
        <v>1586</v>
      </c>
      <c r="J8416" s="15" t="s">
        <v>30334</v>
      </c>
      <c r="K8416" s="15">
        <v>239.0</v>
      </c>
      <c r="L8416" s="15">
        <v>237.0</v>
      </c>
      <c r="M8416" s="40">
        <v>42914.0</v>
      </c>
      <c r="N8416" s="40">
        <v>42914.0</v>
      </c>
      <c r="O8416" s="15" t="s">
        <v>1554</v>
      </c>
      <c r="Q8416" s="7"/>
    </row>
    <row r="8417">
      <c r="A8417" s="39" t="s">
        <v>30335</v>
      </c>
      <c r="B8417" s="15">
        <v>2014350.0</v>
      </c>
      <c r="D8417" s="15">
        <v>0.0</v>
      </c>
      <c r="E8417" s="15" t="s">
        <v>1557</v>
      </c>
      <c r="F8417" s="15" t="s">
        <v>1833</v>
      </c>
      <c r="G8417" s="7">
        <v>48.639</v>
      </c>
      <c r="H8417" s="15" t="s">
        <v>2497</v>
      </c>
      <c r="I8417" s="15" t="s">
        <v>1586</v>
      </c>
      <c r="J8417" s="15" t="s">
        <v>30336</v>
      </c>
      <c r="K8417" s="15">
        <v>81.0</v>
      </c>
      <c r="L8417" s="15">
        <v>81.0</v>
      </c>
      <c r="M8417" s="40">
        <v>42914.0</v>
      </c>
      <c r="N8417" s="40">
        <v>43046.0</v>
      </c>
      <c r="O8417" s="15" t="s">
        <v>1554</v>
      </c>
      <c r="Q8417" s="7"/>
    </row>
    <row r="8418">
      <c r="A8418" s="39" t="s">
        <v>30338</v>
      </c>
      <c r="B8418" s="15">
        <v>2014434.0</v>
      </c>
      <c r="D8418" s="15">
        <v>0.0</v>
      </c>
      <c r="E8418" s="15" t="s">
        <v>4407</v>
      </c>
      <c r="F8418" s="15" t="s">
        <v>1578</v>
      </c>
      <c r="G8418" s="7">
        <v>91.159</v>
      </c>
      <c r="H8418" s="15">
        <v>47.0</v>
      </c>
      <c r="I8418" s="15" t="s">
        <v>1586</v>
      </c>
      <c r="J8418" s="15" t="s">
        <v>30339</v>
      </c>
      <c r="K8418" s="15">
        <v>118.0</v>
      </c>
      <c r="L8418" s="15">
        <v>118.0</v>
      </c>
      <c r="M8418" s="40">
        <v>42956.0</v>
      </c>
      <c r="N8418" s="40">
        <v>42956.0</v>
      </c>
      <c r="O8418" s="15" t="s">
        <v>1554</v>
      </c>
      <c r="Q8418" s="7"/>
    </row>
    <row r="8419">
      <c r="A8419" s="39" t="s">
        <v>30340</v>
      </c>
      <c r="B8419" s="15">
        <v>2014586.0</v>
      </c>
      <c r="D8419" s="15">
        <v>0.0</v>
      </c>
      <c r="E8419" s="15" t="s">
        <v>1557</v>
      </c>
      <c r="F8419" s="15" t="s">
        <v>1767</v>
      </c>
      <c r="G8419" s="7">
        <v>30.413</v>
      </c>
      <c r="H8419" s="15" t="s">
        <v>3246</v>
      </c>
      <c r="I8419" s="15" t="s">
        <v>1586</v>
      </c>
      <c r="J8419" s="15" t="s">
        <v>30341</v>
      </c>
      <c r="K8419" s="15">
        <v>45.0</v>
      </c>
      <c r="L8419" s="15">
        <v>45.0</v>
      </c>
      <c r="M8419" s="40">
        <v>42914.0</v>
      </c>
      <c r="N8419" s="40">
        <v>42914.0</v>
      </c>
      <c r="O8419" s="15" t="s">
        <v>1554</v>
      </c>
      <c r="Q8419" s="7"/>
    </row>
    <row r="8420">
      <c r="A8420" s="39" t="s">
        <v>30342</v>
      </c>
      <c r="B8420" s="15">
        <v>2015804.0</v>
      </c>
      <c r="D8420" s="15">
        <v>0.0</v>
      </c>
      <c r="E8420" s="15" t="s">
        <v>1557</v>
      </c>
      <c r="F8420" s="15" t="s">
        <v>1767</v>
      </c>
      <c r="G8420" s="7">
        <v>45.373</v>
      </c>
      <c r="H8420" s="15" t="s">
        <v>2233</v>
      </c>
      <c r="I8420" s="15" t="s">
        <v>1586</v>
      </c>
      <c r="J8420" s="15" t="s">
        <v>30343</v>
      </c>
      <c r="K8420" s="15">
        <v>88.0</v>
      </c>
      <c r="L8420" s="15">
        <v>88.0</v>
      </c>
      <c r="M8420" s="40">
        <v>42927.0</v>
      </c>
      <c r="N8420" s="40">
        <v>42927.0</v>
      </c>
      <c r="O8420" s="15" t="s">
        <v>1554</v>
      </c>
      <c r="Q8420" s="7"/>
    </row>
    <row r="8421">
      <c r="A8421" s="39" t="s">
        <v>30344</v>
      </c>
      <c r="B8421" s="15">
        <v>2015805.0</v>
      </c>
      <c r="D8421" s="15">
        <v>0.0</v>
      </c>
      <c r="E8421" s="15" t="s">
        <v>1557</v>
      </c>
      <c r="F8421" s="15" t="s">
        <v>1833</v>
      </c>
      <c r="G8421" s="7">
        <v>132.996</v>
      </c>
      <c r="H8421" s="15" t="s">
        <v>5475</v>
      </c>
      <c r="I8421" s="15" t="s">
        <v>1586</v>
      </c>
      <c r="J8421" s="15" t="s">
        <v>30345</v>
      </c>
      <c r="K8421" s="15">
        <v>278.0</v>
      </c>
      <c r="L8421" s="15">
        <v>233.0</v>
      </c>
      <c r="M8421" s="40">
        <v>42946.0</v>
      </c>
      <c r="N8421" s="40">
        <v>42946.0</v>
      </c>
      <c r="O8421" s="15" t="s">
        <v>1554</v>
      </c>
      <c r="Q8421" s="7"/>
    </row>
    <row r="8422">
      <c r="A8422" s="39" t="s">
        <v>30346</v>
      </c>
      <c r="B8422" s="15">
        <v>2015806.0</v>
      </c>
      <c r="D8422" s="15">
        <v>0.0</v>
      </c>
      <c r="E8422" s="15" t="s">
        <v>1557</v>
      </c>
      <c r="F8422" s="15" t="s">
        <v>1833</v>
      </c>
      <c r="G8422" s="7">
        <v>133.917</v>
      </c>
      <c r="H8422" s="15">
        <v>50.0</v>
      </c>
      <c r="I8422" s="15" t="s">
        <v>1586</v>
      </c>
      <c r="J8422" s="15" t="s">
        <v>30347</v>
      </c>
      <c r="K8422" s="15">
        <v>274.0</v>
      </c>
      <c r="L8422" s="15">
        <v>229.0</v>
      </c>
      <c r="M8422" s="40">
        <v>42956.0</v>
      </c>
      <c r="N8422" s="40">
        <v>42956.0</v>
      </c>
      <c r="O8422" s="15" t="s">
        <v>1554</v>
      </c>
      <c r="Q8422" s="7"/>
    </row>
    <row r="8423">
      <c r="A8423" s="39" t="s">
        <v>30348</v>
      </c>
      <c r="B8423" s="15">
        <v>2015807.0</v>
      </c>
      <c r="D8423" s="15">
        <v>0.0</v>
      </c>
      <c r="E8423" s="15" t="s">
        <v>1557</v>
      </c>
      <c r="F8423" s="15" t="s">
        <v>1833</v>
      </c>
      <c r="G8423" s="7">
        <v>40.469</v>
      </c>
      <c r="H8423" s="15">
        <v>51.0</v>
      </c>
      <c r="I8423" s="15" t="s">
        <v>1586</v>
      </c>
      <c r="J8423" s="15" t="s">
        <v>30350</v>
      </c>
      <c r="K8423" s="15">
        <v>63.0</v>
      </c>
      <c r="L8423" s="15">
        <v>63.0</v>
      </c>
      <c r="M8423" s="40">
        <v>42927.0</v>
      </c>
      <c r="N8423" s="40">
        <v>42927.0</v>
      </c>
      <c r="O8423" s="15" t="s">
        <v>1554</v>
      </c>
      <c r="Q8423" s="7"/>
    </row>
    <row r="8424">
      <c r="A8424" s="39" t="s">
        <v>30351</v>
      </c>
      <c r="B8424" s="15">
        <v>2015808.0</v>
      </c>
      <c r="D8424" s="15">
        <v>0.0</v>
      </c>
      <c r="E8424" s="15" t="s">
        <v>1557</v>
      </c>
      <c r="F8424" s="15" t="s">
        <v>1767</v>
      </c>
      <c r="G8424" s="7">
        <v>62.829</v>
      </c>
      <c r="H8424" s="15" t="s">
        <v>2597</v>
      </c>
      <c r="I8424" s="15" t="s">
        <v>1586</v>
      </c>
      <c r="J8424" s="15" t="s">
        <v>30352</v>
      </c>
      <c r="K8424" s="15">
        <v>135.0</v>
      </c>
      <c r="L8424" s="15">
        <v>132.0</v>
      </c>
      <c r="M8424" s="40">
        <v>42927.0</v>
      </c>
      <c r="N8424" s="40">
        <v>42927.0</v>
      </c>
      <c r="O8424" s="15" t="s">
        <v>1554</v>
      </c>
      <c r="Q8424" s="7"/>
    </row>
    <row r="8425">
      <c r="A8425" s="39" t="s">
        <v>30353</v>
      </c>
      <c r="B8425" s="15">
        <v>2015809.0</v>
      </c>
      <c r="D8425" s="15">
        <v>0.0</v>
      </c>
      <c r="E8425" s="15" t="s">
        <v>1557</v>
      </c>
      <c r="F8425" s="15" t="s">
        <v>1833</v>
      </c>
      <c r="G8425" s="7">
        <v>50.053</v>
      </c>
      <c r="H8425" s="15">
        <v>64.0</v>
      </c>
      <c r="I8425" s="15" t="s">
        <v>1586</v>
      </c>
      <c r="J8425" s="15" t="s">
        <v>30354</v>
      </c>
      <c r="K8425" s="15">
        <v>87.0</v>
      </c>
      <c r="L8425" s="15">
        <v>85.0</v>
      </c>
      <c r="M8425" s="40">
        <v>42984.0</v>
      </c>
      <c r="N8425" s="40">
        <v>42984.0</v>
      </c>
      <c r="O8425" s="15" t="s">
        <v>1554</v>
      </c>
      <c r="Q8425" s="7"/>
    </row>
    <row r="8426">
      <c r="A8426" s="39" t="s">
        <v>30355</v>
      </c>
      <c r="B8426" s="15">
        <v>2015810.0</v>
      </c>
      <c r="D8426" s="15">
        <v>0.0</v>
      </c>
      <c r="E8426" s="15" t="s">
        <v>1557</v>
      </c>
      <c r="F8426" s="15" t="s">
        <v>1833</v>
      </c>
      <c r="G8426" s="7">
        <v>61.318</v>
      </c>
      <c r="H8426" s="15" t="s">
        <v>2632</v>
      </c>
      <c r="I8426" s="15" t="s">
        <v>1586</v>
      </c>
      <c r="J8426" s="15" t="s">
        <v>30356</v>
      </c>
      <c r="K8426" s="15">
        <v>98.0</v>
      </c>
      <c r="L8426" s="15">
        <v>98.0</v>
      </c>
      <c r="M8426" s="40">
        <v>42968.0</v>
      </c>
      <c r="N8426" s="40">
        <v>42968.0</v>
      </c>
      <c r="O8426" s="15" t="s">
        <v>1554</v>
      </c>
      <c r="Q8426" s="7"/>
    </row>
    <row r="8427">
      <c r="A8427" s="39" t="s">
        <v>30357</v>
      </c>
      <c r="B8427" s="15">
        <v>2015811.0</v>
      </c>
      <c r="D8427" s="15">
        <v>0.0</v>
      </c>
      <c r="E8427" s="15" t="s">
        <v>1557</v>
      </c>
      <c r="F8427" s="15" t="s">
        <v>1833</v>
      </c>
      <c r="G8427" s="7">
        <v>48.815</v>
      </c>
      <c r="H8427" s="15" t="s">
        <v>2497</v>
      </c>
      <c r="I8427" s="15" t="s">
        <v>1586</v>
      </c>
      <c r="J8427" s="15" t="s">
        <v>30358</v>
      </c>
      <c r="K8427" s="15">
        <v>81.0</v>
      </c>
      <c r="L8427" s="15">
        <v>81.0</v>
      </c>
      <c r="M8427" s="40">
        <v>42968.0</v>
      </c>
      <c r="N8427" s="40">
        <v>43046.0</v>
      </c>
      <c r="O8427" s="15" t="s">
        <v>1554</v>
      </c>
      <c r="Q8427" s="7"/>
    </row>
    <row r="8428">
      <c r="A8428" s="39" t="s">
        <v>30359</v>
      </c>
      <c r="B8428" s="15">
        <v>2015812.0</v>
      </c>
      <c r="D8428" s="15">
        <v>0.0</v>
      </c>
      <c r="E8428" s="15" t="s">
        <v>1557</v>
      </c>
      <c r="F8428" s="15" t="s">
        <v>1833</v>
      </c>
      <c r="G8428" s="7">
        <v>46.314</v>
      </c>
      <c r="H8428" s="15" t="s">
        <v>6183</v>
      </c>
      <c r="I8428" s="15" t="s">
        <v>1586</v>
      </c>
      <c r="J8428" s="15" t="s">
        <v>30360</v>
      </c>
      <c r="K8428" s="15">
        <v>68.0</v>
      </c>
      <c r="L8428" s="15">
        <v>65.0</v>
      </c>
      <c r="M8428" s="40">
        <v>42927.0</v>
      </c>
      <c r="N8428" s="40">
        <v>42927.0</v>
      </c>
      <c r="O8428" s="15" t="s">
        <v>1554</v>
      </c>
      <c r="Q8428" s="7"/>
    </row>
    <row r="8429">
      <c r="A8429" s="39" t="s">
        <v>30362</v>
      </c>
      <c r="B8429" s="15">
        <v>2015814.0</v>
      </c>
      <c r="D8429" s="15">
        <v>0.0</v>
      </c>
      <c r="E8429" s="15" t="s">
        <v>1557</v>
      </c>
      <c r="F8429" s="15" t="s">
        <v>1767</v>
      </c>
      <c r="G8429" s="7">
        <v>440.001</v>
      </c>
      <c r="H8429" s="15">
        <v>30.0</v>
      </c>
      <c r="I8429" s="15" t="s">
        <v>1586</v>
      </c>
      <c r="J8429" s="15" t="s">
        <v>30363</v>
      </c>
      <c r="K8429" s="15">
        <v>541.0</v>
      </c>
      <c r="L8429" s="15">
        <v>541.0</v>
      </c>
      <c r="M8429" s="40">
        <v>42976.0</v>
      </c>
      <c r="N8429" s="40">
        <v>42976.0</v>
      </c>
      <c r="O8429" s="15" t="s">
        <v>1554</v>
      </c>
      <c r="Q8429" s="7"/>
    </row>
    <row r="8430">
      <c r="A8430" s="39" t="s">
        <v>30364</v>
      </c>
      <c r="B8430" s="15">
        <v>2015815.0</v>
      </c>
      <c r="D8430" s="15">
        <v>0.0</v>
      </c>
      <c r="E8430" s="15" t="s">
        <v>1557</v>
      </c>
      <c r="F8430" s="15" t="s">
        <v>1833</v>
      </c>
      <c r="G8430" s="7">
        <v>49.797</v>
      </c>
      <c r="H8430" s="15" t="s">
        <v>3542</v>
      </c>
      <c r="I8430" s="15" t="s">
        <v>1586</v>
      </c>
      <c r="J8430" s="15" t="s">
        <v>30365</v>
      </c>
      <c r="K8430" s="15">
        <v>73.0</v>
      </c>
      <c r="L8430" s="15">
        <v>73.0</v>
      </c>
      <c r="M8430" s="40">
        <v>42956.0</v>
      </c>
      <c r="N8430" s="40">
        <v>42956.0</v>
      </c>
      <c r="O8430" s="15" t="s">
        <v>1554</v>
      </c>
      <c r="Q8430" s="7"/>
    </row>
    <row r="8431">
      <c r="A8431" s="39" t="s">
        <v>30366</v>
      </c>
      <c r="B8431" s="15">
        <v>2015816.0</v>
      </c>
      <c r="D8431" s="15">
        <v>0.0</v>
      </c>
      <c r="E8431" s="15" t="s">
        <v>1557</v>
      </c>
      <c r="F8431" s="15" t="s">
        <v>1833</v>
      </c>
      <c r="G8431" s="7">
        <v>58.739</v>
      </c>
      <c r="H8431" s="15" t="s">
        <v>3082</v>
      </c>
      <c r="I8431" s="15" t="s">
        <v>1586</v>
      </c>
      <c r="J8431" s="15" t="s">
        <v>30367</v>
      </c>
      <c r="K8431" s="15">
        <v>101.0</v>
      </c>
      <c r="L8431" s="15">
        <v>101.0</v>
      </c>
      <c r="M8431" s="40">
        <v>42956.0</v>
      </c>
      <c r="N8431" s="40">
        <v>42956.0</v>
      </c>
      <c r="O8431" s="15" t="s">
        <v>1554</v>
      </c>
      <c r="Q8431" s="7"/>
    </row>
    <row r="8432">
      <c r="A8432" s="39" t="s">
        <v>30368</v>
      </c>
      <c r="B8432" s="15">
        <v>2015817.0</v>
      </c>
      <c r="D8432" s="15">
        <v>0.0</v>
      </c>
      <c r="E8432" s="15" t="s">
        <v>1557</v>
      </c>
      <c r="F8432" s="15" t="s">
        <v>1833</v>
      </c>
      <c r="G8432" s="7">
        <v>62.236</v>
      </c>
      <c r="H8432" s="15" t="s">
        <v>2492</v>
      </c>
      <c r="I8432" s="15" t="s">
        <v>1586</v>
      </c>
      <c r="J8432" s="15" t="s">
        <v>30369</v>
      </c>
      <c r="K8432" s="15">
        <v>97.0</v>
      </c>
      <c r="L8432" s="15">
        <v>97.0</v>
      </c>
      <c r="M8432" s="40">
        <v>42968.0</v>
      </c>
      <c r="N8432" s="40">
        <v>42968.0</v>
      </c>
      <c r="O8432" s="15" t="s">
        <v>1554</v>
      </c>
      <c r="Q8432" s="7"/>
    </row>
    <row r="8433">
      <c r="A8433" s="39" t="s">
        <v>30370</v>
      </c>
      <c r="B8433" s="15">
        <v>2015818.0</v>
      </c>
      <c r="D8433" s="15">
        <v>0.0</v>
      </c>
      <c r="E8433" s="15" t="s">
        <v>1557</v>
      </c>
      <c r="F8433" s="15" t="s">
        <v>1833</v>
      </c>
      <c r="G8433" s="7">
        <v>60.813</v>
      </c>
      <c r="H8433" s="15" t="s">
        <v>2400</v>
      </c>
      <c r="I8433" s="15" t="s">
        <v>1586</v>
      </c>
      <c r="J8433" s="15" t="s">
        <v>30372</v>
      </c>
      <c r="K8433" s="15">
        <v>102.0</v>
      </c>
      <c r="L8433" s="15">
        <v>100.0</v>
      </c>
      <c r="M8433" s="40">
        <v>42968.0</v>
      </c>
      <c r="N8433" s="40">
        <v>42968.0</v>
      </c>
      <c r="O8433" s="15" t="s">
        <v>1554</v>
      </c>
      <c r="Q8433" s="7"/>
    </row>
    <row r="8434">
      <c r="A8434" s="39" t="s">
        <v>30373</v>
      </c>
      <c r="B8434" s="15">
        <v>2015819.0</v>
      </c>
      <c r="D8434" s="15">
        <v>0.0</v>
      </c>
      <c r="E8434" s="15" t="s">
        <v>1557</v>
      </c>
      <c r="F8434" s="15" t="s">
        <v>1833</v>
      </c>
      <c r="G8434" s="7">
        <v>76.315</v>
      </c>
      <c r="H8434" s="15" t="s">
        <v>3227</v>
      </c>
      <c r="I8434" s="15" t="s">
        <v>1586</v>
      </c>
      <c r="J8434" s="15" t="s">
        <v>30374</v>
      </c>
      <c r="K8434" s="15">
        <v>140.0</v>
      </c>
      <c r="L8434" s="15">
        <v>129.0</v>
      </c>
      <c r="M8434" s="40">
        <v>42984.0</v>
      </c>
      <c r="N8434" s="40">
        <v>42984.0</v>
      </c>
      <c r="O8434" s="15" t="s">
        <v>1554</v>
      </c>
      <c r="Q8434" s="7"/>
    </row>
    <row r="8435">
      <c r="A8435" s="39" t="s">
        <v>30375</v>
      </c>
      <c r="B8435" s="15">
        <v>2015820.0</v>
      </c>
      <c r="D8435" s="15">
        <v>0.0</v>
      </c>
      <c r="E8435" s="15" t="s">
        <v>1557</v>
      </c>
      <c r="F8435" s="15" t="s">
        <v>1833</v>
      </c>
      <c r="G8435" s="7">
        <v>60.321</v>
      </c>
      <c r="H8435" s="15" t="s">
        <v>4308</v>
      </c>
      <c r="I8435" s="15" t="s">
        <v>1586</v>
      </c>
      <c r="J8435" s="15" t="s">
        <v>30376</v>
      </c>
      <c r="K8435" s="15">
        <v>101.0</v>
      </c>
      <c r="L8435" s="15">
        <v>100.0</v>
      </c>
      <c r="M8435" s="40">
        <v>42968.0</v>
      </c>
      <c r="N8435" s="40">
        <v>42968.0</v>
      </c>
      <c r="O8435" s="15" t="s">
        <v>1554</v>
      </c>
      <c r="Q8435" s="7"/>
    </row>
    <row r="8436">
      <c r="A8436" s="39" t="s">
        <v>30377</v>
      </c>
      <c r="B8436" s="15">
        <v>2015821.0</v>
      </c>
      <c r="D8436" s="15">
        <v>0.0</v>
      </c>
      <c r="E8436" s="15" t="s">
        <v>1557</v>
      </c>
      <c r="F8436" s="15" t="s">
        <v>1833</v>
      </c>
      <c r="G8436" s="7">
        <v>51.008</v>
      </c>
      <c r="H8436" s="15" t="s">
        <v>2831</v>
      </c>
      <c r="I8436" s="15" t="s">
        <v>1586</v>
      </c>
      <c r="J8436" s="15" t="s">
        <v>30378</v>
      </c>
      <c r="K8436" s="15">
        <v>90.0</v>
      </c>
      <c r="L8436" s="15">
        <v>89.0</v>
      </c>
      <c r="M8436" s="40">
        <v>42984.0</v>
      </c>
      <c r="N8436" s="40">
        <v>42984.0</v>
      </c>
      <c r="O8436" s="15" t="s">
        <v>1554</v>
      </c>
      <c r="Q8436" s="7"/>
    </row>
    <row r="8437">
      <c r="A8437" s="39" t="s">
        <v>30379</v>
      </c>
      <c r="B8437" s="15">
        <v>2015822.0</v>
      </c>
      <c r="D8437" s="15">
        <v>0.0</v>
      </c>
      <c r="E8437" s="15" t="s">
        <v>1557</v>
      </c>
      <c r="F8437" s="15" t="s">
        <v>1833</v>
      </c>
      <c r="G8437" s="7">
        <v>56.58</v>
      </c>
      <c r="H8437" s="15" t="s">
        <v>12271</v>
      </c>
      <c r="I8437" s="15" t="s">
        <v>1586</v>
      </c>
      <c r="J8437" s="15" t="s">
        <v>30381</v>
      </c>
      <c r="K8437" s="15">
        <v>92.0</v>
      </c>
      <c r="L8437" s="15">
        <v>90.0</v>
      </c>
      <c r="M8437" s="40">
        <v>42968.0</v>
      </c>
      <c r="N8437" s="40">
        <v>42968.0</v>
      </c>
      <c r="O8437" s="15" t="s">
        <v>1554</v>
      </c>
      <c r="Q8437" s="7"/>
    </row>
    <row r="8438">
      <c r="A8438" s="39" t="s">
        <v>30382</v>
      </c>
      <c r="B8438" s="15">
        <v>2015823.0</v>
      </c>
      <c r="D8438" s="15">
        <v>0.0</v>
      </c>
      <c r="E8438" s="15" t="s">
        <v>1557</v>
      </c>
      <c r="F8438" s="15" t="s">
        <v>1833</v>
      </c>
      <c r="G8438" s="7">
        <v>61.109</v>
      </c>
      <c r="H8438" s="15" t="s">
        <v>6204</v>
      </c>
      <c r="I8438" s="15" t="s">
        <v>1586</v>
      </c>
      <c r="J8438" s="15" t="s">
        <v>30383</v>
      </c>
      <c r="K8438" s="15">
        <v>103.0</v>
      </c>
      <c r="L8438" s="15">
        <v>101.0</v>
      </c>
      <c r="M8438" s="40">
        <v>42968.0</v>
      </c>
      <c r="N8438" s="40">
        <v>42968.0</v>
      </c>
      <c r="O8438" s="15" t="s">
        <v>1554</v>
      </c>
      <c r="Q8438" s="7"/>
    </row>
    <row r="8439">
      <c r="A8439" s="39" t="s">
        <v>30384</v>
      </c>
      <c r="B8439" s="15">
        <v>2015824.0</v>
      </c>
      <c r="D8439" s="15">
        <v>0.0</v>
      </c>
      <c r="E8439" s="15" t="s">
        <v>1557</v>
      </c>
      <c r="F8439" s="15" t="s">
        <v>1833</v>
      </c>
      <c r="G8439" s="7">
        <v>61.882</v>
      </c>
      <c r="H8439" s="15" t="s">
        <v>8941</v>
      </c>
      <c r="I8439" s="15" t="s">
        <v>1586</v>
      </c>
      <c r="J8439" s="15" t="s">
        <v>30385</v>
      </c>
      <c r="K8439" s="15">
        <v>98.0</v>
      </c>
      <c r="L8439" s="15">
        <v>97.0</v>
      </c>
      <c r="M8439" s="40">
        <v>42968.0</v>
      </c>
      <c r="N8439" s="40">
        <v>42968.0</v>
      </c>
      <c r="O8439" s="15" t="s">
        <v>1554</v>
      </c>
      <c r="Q8439" s="7"/>
    </row>
    <row r="8440">
      <c r="A8440" s="39" t="s">
        <v>30386</v>
      </c>
      <c r="B8440" s="15">
        <v>2015825.0</v>
      </c>
      <c r="D8440" s="15">
        <v>0.0</v>
      </c>
      <c r="E8440" s="15" t="s">
        <v>1557</v>
      </c>
      <c r="F8440" s="15" t="s">
        <v>1833</v>
      </c>
      <c r="G8440" s="7">
        <v>61.208</v>
      </c>
      <c r="H8440" s="15" t="s">
        <v>6204</v>
      </c>
      <c r="I8440" s="15" t="s">
        <v>1586</v>
      </c>
      <c r="J8440" s="15" t="s">
        <v>30388</v>
      </c>
      <c r="K8440" s="15">
        <v>102.0</v>
      </c>
      <c r="L8440" s="15">
        <v>100.0</v>
      </c>
      <c r="M8440" s="40">
        <v>42968.0</v>
      </c>
      <c r="N8440" s="40">
        <v>42968.0</v>
      </c>
      <c r="O8440" s="15" t="s">
        <v>1554</v>
      </c>
      <c r="Q8440" s="7"/>
    </row>
    <row r="8441">
      <c r="A8441" s="39" t="s">
        <v>30389</v>
      </c>
      <c r="B8441" s="15">
        <v>2015826.0</v>
      </c>
      <c r="D8441" s="15">
        <v>0.0</v>
      </c>
      <c r="E8441" s="15" t="s">
        <v>1557</v>
      </c>
      <c r="F8441" s="15" t="s">
        <v>1833</v>
      </c>
      <c r="G8441" s="7">
        <v>46.673</v>
      </c>
      <c r="H8441" s="15" t="s">
        <v>6183</v>
      </c>
      <c r="I8441" s="15" t="s">
        <v>1586</v>
      </c>
      <c r="J8441" s="15" t="s">
        <v>30390</v>
      </c>
      <c r="K8441" s="15">
        <v>68.0</v>
      </c>
      <c r="L8441" s="15">
        <v>65.0</v>
      </c>
      <c r="M8441" s="40">
        <v>42956.0</v>
      </c>
      <c r="N8441" s="40">
        <v>42956.0</v>
      </c>
      <c r="O8441" s="15" t="s">
        <v>1554</v>
      </c>
      <c r="Q8441" s="7"/>
    </row>
    <row r="8442">
      <c r="A8442" s="39" t="s">
        <v>30391</v>
      </c>
      <c r="B8442" s="15">
        <v>2015827.0</v>
      </c>
      <c r="D8442" s="15">
        <v>0.0</v>
      </c>
      <c r="E8442" s="15" t="s">
        <v>1557</v>
      </c>
      <c r="F8442" s="15" t="s">
        <v>1833</v>
      </c>
      <c r="G8442" s="7">
        <v>46.389</v>
      </c>
      <c r="H8442" s="15" t="s">
        <v>6183</v>
      </c>
      <c r="I8442" s="15" t="s">
        <v>1586</v>
      </c>
      <c r="J8442" s="15" t="s">
        <v>30392</v>
      </c>
      <c r="K8442" s="15">
        <v>66.0</v>
      </c>
      <c r="L8442" s="15">
        <v>64.0</v>
      </c>
      <c r="M8442" s="40">
        <v>42962.0</v>
      </c>
      <c r="N8442" s="40">
        <v>42962.0</v>
      </c>
      <c r="O8442" s="15" t="s">
        <v>1554</v>
      </c>
      <c r="Q8442" s="7"/>
    </row>
    <row r="8443">
      <c r="A8443" s="39" t="s">
        <v>30393</v>
      </c>
      <c r="B8443" s="15">
        <v>2015828.0</v>
      </c>
      <c r="D8443" s="15">
        <v>0.0</v>
      </c>
      <c r="E8443" s="15" t="s">
        <v>1557</v>
      </c>
      <c r="F8443" s="15" t="s">
        <v>1833</v>
      </c>
      <c r="G8443" s="7">
        <v>46.854</v>
      </c>
      <c r="H8443" s="15" t="s">
        <v>6183</v>
      </c>
      <c r="I8443" s="15" t="s">
        <v>1586</v>
      </c>
      <c r="J8443" s="15" t="s">
        <v>30394</v>
      </c>
      <c r="K8443" s="15">
        <v>68.0</v>
      </c>
      <c r="L8443" s="15">
        <v>65.0</v>
      </c>
      <c r="M8443" s="40">
        <v>42956.0</v>
      </c>
      <c r="N8443" s="40">
        <v>42956.0</v>
      </c>
      <c r="O8443" s="15" t="s">
        <v>1554</v>
      </c>
      <c r="Q8443" s="7"/>
    </row>
    <row r="8444">
      <c r="A8444" s="39" t="s">
        <v>30396</v>
      </c>
      <c r="B8444" s="15">
        <v>2015829.0</v>
      </c>
      <c r="D8444" s="15">
        <v>0.0</v>
      </c>
      <c r="E8444" s="15" t="s">
        <v>1557</v>
      </c>
      <c r="F8444" s="15" t="s">
        <v>1833</v>
      </c>
      <c r="G8444" s="7">
        <v>46.985</v>
      </c>
      <c r="H8444" s="15" t="s">
        <v>3101</v>
      </c>
      <c r="I8444" s="15" t="s">
        <v>1586</v>
      </c>
      <c r="J8444" s="15" t="s">
        <v>30397</v>
      </c>
      <c r="K8444" s="15">
        <v>70.0</v>
      </c>
      <c r="L8444" s="15">
        <v>67.0</v>
      </c>
      <c r="M8444" s="40">
        <v>42956.0</v>
      </c>
      <c r="N8444" s="40">
        <v>42956.0</v>
      </c>
      <c r="O8444" s="15" t="s">
        <v>1554</v>
      </c>
      <c r="Q8444" s="7"/>
    </row>
    <row r="8445">
      <c r="A8445" s="39" t="s">
        <v>30398</v>
      </c>
      <c r="B8445" s="15">
        <v>2015830.0</v>
      </c>
      <c r="D8445" s="15">
        <v>0.0</v>
      </c>
      <c r="E8445" s="15" t="s">
        <v>1557</v>
      </c>
      <c r="F8445" s="15" t="s">
        <v>1833</v>
      </c>
      <c r="G8445" s="7">
        <v>46.619</v>
      </c>
      <c r="H8445" s="15" t="s">
        <v>10292</v>
      </c>
      <c r="I8445" s="15" t="s">
        <v>1586</v>
      </c>
      <c r="J8445" s="15" t="s">
        <v>30399</v>
      </c>
      <c r="K8445" s="15">
        <v>68.0</v>
      </c>
      <c r="L8445" s="15">
        <v>65.0</v>
      </c>
      <c r="M8445" s="40">
        <v>42956.0</v>
      </c>
      <c r="N8445" s="40">
        <v>42956.0</v>
      </c>
      <c r="O8445" s="15" t="s">
        <v>1554</v>
      </c>
      <c r="Q8445" s="7"/>
    </row>
    <row r="8446">
      <c r="A8446" s="39" t="s">
        <v>30400</v>
      </c>
      <c r="B8446" s="15">
        <v>2015831.0</v>
      </c>
      <c r="D8446" s="15">
        <v>0.0</v>
      </c>
      <c r="E8446" s="15" t="s">
        <v>1557</v>
      </c>
      <c r="F8446" s="15" t="s">
        <v>1833</v>
      </c>
      <c r="G8446" s="7">
        <v>46.627</v>
      </c>
      <c r="H8446" s="15" t="s">
        <v>10292</v>
      </c>
      <c r="I8446" s="15" t="s">
        <v>1586</v>
      </c>
      <c r="J8446" s="15" t="s">
        <v>30402</v>
      </c>
      <c r="K8446" s="15">
        <v>68.0</v>
      </c>
      <c r="L8446" s="15">
        <v>65.0</v>
      </c>
      <c r="M8446" s="40">
        <v>42956.0</v>
      </c>
      <c r="N8446" s="40">
        <v>42956.0</v>
      </c>
      <c r="O8446" s="15" t="s">
        <v>1554</v>
      </c>
      <c r="Q8446" s="7"/>
    </row>
    <row r="8447">
      <c r="A8447" s="39" t="s">
        <v>30403</v>
      </c>
      <c r="B8447" s="15">
        <v>2015832.0</v>
      </c>
      <c r="D8447" s="15">
        <v>0.0</v>
      </c>
      <c r="E8447" s="15" t="s">
        <v>1557</v>
      </c>
      <c r="F8447" s="15" t="s">
        <v>1833</v>
      </c>
      <c r="G8447" s="7">
        <v>46.619</v>
      </c>
      <c r="H8447" s="15" t="s">
        <v>10292</v>
      </c>
      <c r="I8447" s="15" t="s">
        <v>1586</v>
      </c>
      <c r="J8447" s="15" t="s">
        <v>30404</v>
      </c>
      <c r="K8447" s="15">
        <v>68.0</v>
      </c>
      <c r="L8447" s="15">
        <v>65.0</v>
      </c>
      <c r="M8447" s="40">
        <v>42956.0</v>
      </c>
      <c r="N8447" s="40">
        <v>42956.0</v>
      </c>
      <c r="O8447" s="15" t="s">
        <v>1554</v>
      </c>
      <c r="Q8447" s="7"/>
    </row>
    <row r="8448">
      <c r="A8448" s="39" t="s">
        <v>30405</v>
      </c>
      <c r="B8448" s="15">
        <v>2015833.0</v>
      </c>
      <c r="D8448" s="15">
        <v>0.0</v>
      </c>
      <c r="E8448" s="15" t="s">
        <v>1557</v>
      </c>
      <c r="F8448" s="15" t="s">
        <v>1833</v>
      </c>
      <c r="G8448" s="7">
        <v>48.699</v>
      </c>
      <c r="H8448" s="15" t="s">
        <v>2632</v>
      </c>
      <c r="I8448" s="15" t="s">
        <v>1586</v>
      </c>
      <c r="J8448" s="15" t="s">
        <v>30406</v>
      </c>
      <c r="K8448" s="15">
        <v>80.0</v>
      </c>
      <c r="L8448" s="15">
        <v>80.0</v>
      </c>
      <c r="M8448" s="40">
        <v>42968.0</v>
      </c>
      <c r="N8448" s="40">
        <v>43046.0</v>
      </c>
      <c r="O8448" s="15" t="s">
        <v>1554</v>
      </c>
      <c r="Q8448" s="7"/>
    </row>
    <row r="8449">
      <c r="A8449" s="39" t="s">
        <v>30407</v>
      </c>
      <c r="B8449" s="15">
        <v>2015834.0</v>
      </c>
      <c r="D8449" s="15">
        <v>0.0</v>
      </c>
      <c r="E8449" s="15" t="s">
        <v>1557</v>
      </c>
      <c r="F8449" s="15" t="s">
        <v>1767</v>
      </c>
      <c r="G8449" s="7">
        <v>70.707</v>
      </c>
      <c r="H8449" s="15" t="s">
        <v>3086</v>
      </c>
      <c r="I8449" s="15" t="s">
        <v>1586</v>
      </c>
      <c r="J8449" s="15" t="s">
        <v>30408</v>
      </c>
      <c r="K8449" s="15">
        <v>114.0</v>
      </c>
      <c r="L8449" s="15">
        <v>114.0</v>
      </c>
      <c r="M8449" s="40">
        <v>42989.0</v>
      </c>
      <c r="N8449" s="40">
        <v>42989.0</v>
      </c>
      <c r="O8449" s="15" t="s">
        <v>1554</v>
      </c>
      <c r="Q8449" s="7"/>
    </row>
    <row r="8450">
      <c r="A8450" s="39" t="s">
        <v>30409</v>
      </c>
      <c r="B8450" s="15">
        <v>2015835.0</v>
      </c>
      <c r="D8450" s="15">
        <v>0.0</v>
      </c>
      <c r="E8450" s="15" t="s">
        <v>1557</v>
      </c>
      <c r="F8450" s="15" t="s">
        <v>1767</v>
      </c>
      <c r="G8450" s="7">
        <v>70.035</v>
      </c>
      <c r="H8450" s="15" t="s">
        <v>3086</v>
      </c>
      <c r="I8450" s="15" t="s">
        <v>1586</v>
      </c>
      <c r="J8450" s="15" t="s">
        <v>30410</v>
      </c>
      <c r="K8450" s="15">
        <v>111.0</v>
      </c>
      <c r="L8450" s="15">
        <v>111.0</v>
      </c>
      <c r="M8450" s="40">
        <v>42989.0</v>
      </c>
      <c r="N8450" s="40">
        <v>42989.0</v>
      </c>
      <c r="O8450" s="15" t="s">
        <v>1554</v>
      </c>
      <c r="Q8450" s="7"/>
    </row>
    <row r="8451">
      <c r="A8451" s="39" t="s">
        <v>30411</v>
      </c>
      <c r="B8451" s="15">
        <v>2015836.0</v>
      </c>
      <c r="D8451" s="15">
        <v>0.0</v>
      </c>
      <c r="E8451" s="15" t="s">
        <v>1557</v>
      </c>
      <c r="F8451" s="15" t="s">
        <v>1767</v>
      </c>
      <c r="G8451" s="7">
        <v>70.396</v>
      </c>
      <c r="H8451" s="15" t="s">
        <v>3086</v>
      </c>
      <c r="I8451" s="15" t="s">
        <v>1586</v>
      </c>
      <c r="J8451" s="15" t="s">
        <v>30413</v>
      </c>
      <c r="K8451" s="15">
        <v>112.0</v>
      </c>
      <c r="L8451" s="15">
        <v>112.0</v>
      </c>
      <c r="M8451" s="40">
        <v>42989.0</v>
      </c>
      <c r="N8451" s="40">
        <v>42989.0</v>
      </c>
      <c r="O8451" s="15" t="s">
        <v>1554</v>
      </c>
      <c r="Q8451" s="7"/>
    </row>
    <row r="8452">
      <c r="A8452" s="39" t="s">
        <v>30414</v>
      </c>
      <c r="B8452" s="15">
        <v>2015837.0</v>
      </c>
      <c r="D8452" s="15">
        <v>0.0</v>
      </c>
      <c r="E8452" s="15" t="s">
        <v>1557</v>
      </c>
      <c r="F8452" s="15" t="s">
        <v>1767</v>
      </c>
      <c r="G8452" s="7">
        <v>70.123</v>
      </c>
      <c r="H8452" s="15" t="s">
        <v>10442</v>
      </c>
      <c r="I8452" s="15" t="s">
        <v>1586</v>
      </c>
      <c r="J8452" s="15" t="s">
        <v>30415</v>
      </c>
      <c r="K8452" s="15">
        <v>112.0</v>
      </c>
      <c r="L8452" s="15">
        <v>112.0</v>
      </c>
      <c r="M8452" s="40">
        <v>42989.0</v>
      </c>
      <c r="N8452" s="40">
        <v>42989.0</v>
      </c>
      <c r="O8452" s="15" t="s">
        <v>1554</v>
      </c>
      <c r="Q8452" s="7"/>
    </row>
    <row r="8453">
      <c r="A8453" s="39" t="s">
        <v>30416</v>
      </c>
      <c r="B8453" s="15">
        <v>2015838.0</v>
      </c>
      <c r="D8453" s="15">
        <v>0.0</v>
      </c>
      <c r="E8453" s="15" t="s">
        <v>1557</v>
      </c>
      <c r="F8453" s="15" t="s">
        <v>1767</v>
      </c>
      <c r="G8453" s="7">
        <v>70.091</v>
      </c>
      <c r="H8453" s="15" t="s">
        <v>10442</v>
      </c>
      <c r="I8453" s="15" t="s">
        <v>1586</v>
      </c>
      <c r="J8453" s="15" t="s">
        <v>30417</v>
      </c>
      <c r="K8453" s="15">
        <v>111.0</v>
      </c>
      <c r="L8453" s="15">
        <v>111.0</v>
      </c>
      <c r="M8453" s="40">
        <v>42989.0</v>
      </c>
      <c r="N8453" s="40">
        <v>42989.0</v>
      </c>
      <c r="O8453" s="15" t="s">
        <v>1554</v>
      </c>
      <c r="Q8453" s="7"/>
    </row>
    <row r="8454">
      <c r="A8454" s="39" t="s">
        <v>30419</v>
      </c>
      <c r="B8454" s="15">
        <v>2015839.0</v>
      </c>
      <c r="D8454" s="15">
        <v>0.0</v>
      </c>
      <c r="E8454" s="15" t="s">
        <v>1557</v>
      </c>
      <c r="F8454" s="15" t="s">
        <v>1833</v>
      </c>
      <c r="G8454" s="7">
        <v>58.247</v>
      </c>
      <c r="H8454" s="15" t="s">
        <v>1957</v>
      </c>
      <c r="I8454" s="15" t="s">
        <v>1586</v>
      </c>
      <c r="J8454" s="15" t="s">
        <v>30420</v>
      </c>
      <c r="K8454" s="15">
        <v>98.0</v>
      </c>
      <c r="L8454" s="15">
        <v>92.0</v>
      </c>
      <c r="M8454" s="40">
        <v>42989.0</v>
      </c>
      <c r="N8454" s="40">
        <v>43005.0</v>
      </c>
      <c r="O8454" s="15" t="s">
        <v>1554</v>
      </c>
      <c r="Q8454" s="7"/>
    </row>
    <row r="8455">
      <c r="A8455" s="39" t="s">
        <v>30421</v>
      </c>
      <c r="B8455" s="15">
        <v>2015840.0</v>
      </c>
      <c r="D8455" s="15">
        <v>0.0</v>
      </c>
      <c r="E8455" s="15" t="s">
        <v>1557</v>
      </c>
      <c r="F8455" s="15" t="s">
        <v>1833</v>
      </c>
      <c r="G8455" s="7">
        <v>62.112</v>
      </c>
      <c r="H8455" s="15" t="s">
        <v>6325</v>
      </c>
      <c r="I8455" s="15" t="s">
        <v>1586</v>
      </c>
      <c r="J8455" s="15" t="s">
        <v>30422</v>
      </c>
      <c r="K8455" s="15">
        <v>100.0</v>
      </c>
      <c r="L8455" s="15">
        <v>99.0</v>
      </c>
      <c r="M8455" s="40">
        <v>42941.0</v>
      </c>
      <c r="N8455" s="41">
        <v>43020.0</v>
      </c>
      <c r="O8455" s="15" t="s">
        <v>1554</v>
      </c>
      <c r="Q8455" s="7"/>
    </row>
    <row r="8456">
      <c r="A8456" s="39" t="s">
        <v>30423</v>
      </c>
      <c r="B8456" s="15">
        <v>2015841.0</v>
      </c>
      <c r="D8456" s="15">
        <v>0.0</v>
      </c>
      <c r="E8456" s="15" t="s">
        <v>1557</v>
      </c>
      <c r="F8456" s="15" t="s">
        <v>1833</v>
      </c>
      <c r="G8456" s="7">
        <v>73.808</v>
      </c>
      <c r="H8456" s="15" t="s">
        <v>3227</v>
      </c>
      <c r="I8456" s="15" t="s">
        <v>1586</v>
      </c>
      <c r="J8456" s="15" t="s">
        <v>30424</v>
      </c>
      <c r="K8456" s="15">
        <v>133.0</v>
      </c>
      <c r="L8456" s="15">
        <v>125.0</v>
      </c>
      <c r="M8456" s="40">
        <v>42968.0</v>
      </c>
      <c r="N8456" s="40">
        <v>42968.0</v>
      </c>
      <c r="O8456" s="15" t="s">
        <v>1554</v>
      </c>
      <c r="Q8456" s="7"/>
    </row>
    <row r="8457">
      <c r="A8457" s="39" t="s">
        <v>30425</v>
      </c>
      <c r="B8457" s="15">
        <v>2015842.0</v>
      </c>
      <c r="D8457" s="15">
        <v>0.0</v>
      </c>
      <c r="E8457" s="15" t="s">
        <v>1557</v>
      </c>
      <c r="F8457" s="15" t="s">
        <v>1833</v>
      </c>
      <c r="G8457" s="7">
        <v>50.4</v>
      </c>
      <c r="H8457" s="15" t="s">
        <v>4467</v>
      </c>
      <c r="I8457" s="15" t="s">
        <v>1586</v>
      </c>
      <c r="J8457" s="15" t="s">
        <v>30427</v>
      </c>
      <c r="K8457" s="15">
        <v>89.0</v>
      </c>
      <c r="L8457" s="15">
        <v>88.0</v>
      </c>
      <c r="M8457" s="40">
        <v>42968.0</v>
      </c>
      <c r="N8457" s="40">
        <v>42968.0</v>
      </c>
      <c r="O8457" s="15" t="s">
        <v>1554</v>
      </c>
      <c r="Q8457" s="7"/>
    </row>
    <row r="8458">
      <c r="A8458" s="39" t="s">
        <v>30428</v>
      </c>
      <c r="B8458" s="15">
        <v>2015843.0</v>
      </c>
      <c r="D8458" s="15">
        <v>0.0</v>
      </c>
      <c r="E8458" s="15" t="s">
        <v>1557</v>
      </c>
      <c r="F8458" s="15" t="s">
        <v>1833</v>
      </c>
      <c r="G8458" s="7">
        <v>63.344</v>
      </c>
      <c r="H8458" s="15" t="s">
        <v>6325</v>
      </c>
      <c r="I8458" s="15" t="s">
        <v>1586</v>
      </c>
      <c r="J8458" s="15" t="s">
        <v>30429</v>
      </c>
      <c r="K8458" s="15">
        <v>93.0</v>
      </c>
      <c r="L8458" s="15">
        <v>92.0</v>
      </c>
      <c r="M8458" s="40">
        <v>42968.0</v>
      </c>
      <c r="N8458" s="41">
        <v>43020.0</v>
      </c>
      <c r="O8458" s="15" t="s">
        <v>1554</v>
      </c>
      <c r="Q8458" s="7"/>
    </row>
    <row r="8459">
      <c r="A8459" s="39" t="s">
        <v>30430</v>
      </c>
      <c r="B8459" s="15">
        <v>2015845.0</v>
      </c>
      <c r="D8459" s="15">
        <v>0.0</v>
      </c>
      <c r="E8459" s="15" t="s">
        <v>1557</v>
      </c>
      <c r="F8459" s="15" t="s">
        <v>1833</v>
      </c>
      <c r="G8459" s="7">
        <v>63.153</v>
      </c>
      <c r="H8459" s="15">
        <v>65.0</v>
      </c>
      <c r="I8459" s="15" t="s">
        <v>1586</v>
      </c>
      <c r="J8459" s="15" t="s">
        <v>30431</v>
      </c>
      <c r="K8459" s="15">
        <v>96.0</v>
      </c>
      <c r="L8459" s="15">
        <v>95.0</v>
      </c>
      <c r="M8459" s="40">
        <v>42968.0</v>
      </c>
      <c r="N8459" s="41">
        <v>43020.0</v>
      </c>
      <c r="O8459" s="15" t="s">
        <v>1554</v>
      </c>
      <c r="Q8459" s="7"/>
    </row>
    <row r="8460">
      <c r="A8460" s="39" t="s">
        <v>30432</v>
      </c>
      <c r="B8460" s="15">
        <v>2015846.0</v>
      </c>
      <c r="D8460" s="15">
        <v>0.0</v>
      </c>
      <c r="E8460" s="15" t="s">
        <v>1557</v>
      </c>
      <c r="F8460" s="15" t="s">
        <v>1833</v>
      </c>
      <c r="G8460" s="7">
        <v>50.898</v>
      </c>
      <c r="H8460" s="15" t="s">
        <v>4117</v>
      </c>
      <c r="I8460" s="15" t="s">
        <v>1586</v>
      </c>
      <c r="J8460" s="15" t="s">
        <v>30433</v>
      </c>
      <c r="K8460" s="15">
        <v>90.0</v>
      </c>
      <c r="L8460" s="15">
        <v>87.0</v>
      </c>
      <c r="M8460" s="40">
        <v>42941.0</v>
      </c>
      <c r="N8460" s="40">
        <v>42941.0</v>
      </c>
      <c r="O8460" s="15" t="s">
        <v>1554</v>
      </c>
      <c r="Q8460" s="7"/>
    </row>
    <row r="8461">
      <c r="A8461" s="39" t="s">
        <v>30435</v>
      </c>
      <c r="B8461" s="15">
        <v>2015847.0</v>
      </c>
      <c r="D8461" s="15">
        <v>0.0</v>
      </c>
      <c r="E8461" s="15" t="s">
        <v>1557</v>
      </c>
      <c r="F8461" s="15" t="s">
        <v>1833</v>
      </c>
      <c r="G8461" s="7">
        <v>76.653</v>
      </c>
      <c r="H8461" s="15" t="s">
        <v>3227</v>
      </c>
      <c r="I8461" s="15" t="s">
        <v>1586</v>
      </c>
      <c r="J8461" s="15" t="s">
        <v>30436</v>
      </c>
      <c r="K8461" s="15">
        <v>144.0</v>
      </c>
      <c r="L8461" s="15">
        <v>132.0</v>
      </c>
      <c r="M8461" s="40">
        <v>42941.0</v>
      </c>
      <c r="N8461" s="40">
        <v>42941.0</v>
      </c>
      <c r="O8461" s="15" t="s">
        <v>1554</v>
      </c>
      <c r="Q8461" s="7"/>
    </row>
    <row r="8462">
      <c r="A8462" s="39" t="s">
        <v>30437</v>
      </c>
      <c r="B8462" s="15">
        <v>2015848.0</v>
      </c>
      <c r="D8462" s="15">
        <v>0.0</v>
      </c>
      <c r="E8462" s="15" t="s">
        <v>1557</v>
      </c>
      <c r="F8462" s="15" t="s">
        <v>1833</v>
      </c>
      <c r="G8462" s="7">
        <v>61.041</v>
      </c>
      <c r="H8462" s="15" t="s">
        <v>15444</v>
      </c>
      <c r="I8462" s="15" t="s">
        <v>1586</v>
      </c>
      <c r="J8462" s="15" t="s">
        <v>30438</v>
      </c>
      <c r="K8462" s="15">
        <v>99.0</v>
      </c>
      <c r="L8462" s="15">
        <v>98.0</v>
      </c>
      <c r="M8462" s="40">
        <v>42968.0</v>
      </c>
      <c r="N8462" s="40">
        <v>42968.0</v>
      </c>
      <c r="O8462" s="15" t="s">
        <v>1554</v>
      </c>
      <c r="Q8462" s="7"/>
    </row>
    <row r="8463">
      <c r="A8463" s="39" t="s">
        <v>30439</v>
      </c>
      <c r="B8463" s="15">
        <v>2015849.0</v>
      </c>
      <c r="D8463" s="15">
        <v>0.0</v>
      </c>
      <c r="E8463" s="15" t="s">
        <v>1557</v>
      </c>
      <c r="F8463" s="15" t="s">
        <v>1833</v>
      </c>
      <c r="G8463" s="7">
        <v>50.856</v>
      </c>
      <c r="H8463" s="15">
        <v>64.0</v>
      </c>
      <c r="I8463" s="15" t="s">
        <v>1586</v>
      </c>
      <c r="J8463" s="15" t="s">
        <v>30440</v>
      </c>
      <c r="K8463" s="15">
        <v>89.0</v>
      </c>
      <c r="L8463" s="15">
        <v>86.0</v>
      </c>
      <c r="M8463" s="40">
        <v>42968.0</v>
      </c>
      <c r="N8463" s="40">
        <v>42968.0</v>
      </c>
      <c r="O8463" s="15" t="s">
        <v>1554</v>
      </c>
      <c r="Q8463" s="7"/>
    </row>
    <row r="8464">
      <c r="A8464" s="39" t="s">
        <v>30441</v>
      </c>
      <c r="B8464" s="15">
        <v>2015850.0</v>
      </c>
      <c r="D8464" s="15">
        <v>0.0</v>
      </c>
      <c r="E8464" s="15" t="s">
        <v>1557</v>
      </c>
      <c r="F8464" s="15" t="s">
        <v>1833</v>
      </c>
      <c r="G8464" s="7">
        <v>50.841</v>
      </c>
      <c r="H8464" s="15">
        <v>64.0</v>
      </c>
      <c r="I8464" s="15" t="s">
        <v>1586</v>
      </c>
      <c r="J8464" s="15" t="s">
        <v>30442</v>
      </c>
      <c r="K8464" s="15">
        <v>93.0</v>
      </c>
      <c r="L8464" s="15">
        <v>90.0</v>
      </c>
      <c r="M8464" s="40">
        <v>42984.0</v>
      </c>
      <c r="N8464" s="40">
        <v>42984.0</v>
      </c>
      <c r="O8464" s="15" t="s">
        <v>1554</v>
      </c>
      <c r="Q8464" s="7"/>
    </row>
    <row r="8465">
      <c r="A8465" s="39" t="s">
        <v>30443</v>
      </c>
      <c r="B8465" s="15">
        <v>2015851.0</v>
      </c>
      <c r="D8465" s="15">
        <v>0.0</v>
      </c>
      <c r="E8465" s="15" t="s">
        <v>1557</v>
      </c>
      <c r="F8465" s="15" t="s">
        <v>1833</v>
      </c>
      <c r="G8465" s="7">
        <v>40.353</v>
      </c>
      <c r="H8465" s="15">
        <v>60.0</v>
      </c>
      <c r="I8465" s="15" t="s">
        <v>1586</v>
      </c>
      <c r="J8465" s="15" t="s">
        <v>30445</v>
      </c>
      <c r="K8465" s="15">
        <v>54.0</v>
      </c>
      <c r="L8465" s="15">
        <v>54.0</v>
      </c>
      <c r="M8465" s="40">
        <v>42927.0</v>
      </c>
      <c r="N8465" s="40">
        <v>42927.0</v>
      </c>
      <c r="O8465" s="15" t="s">
        <v>1554</v>
      </c>
      <c r="Q8465" s="7"/>
    </row>
    <row r="8466">
      <c r="A8466" s="39" t="s">
        <v>30446</v>
      </c>
      <c r="B8466" s="15">
        <v>2015853.0</v>
      </c>
      <c r="D8466" s="15">
        <v>0.0</v>
      </c>
      <c r="E8466" s="15" t="s">
        <v>1557</v>
      </c>
      <c r="F8466" s="15" t="s">
        <v>1833</v>
      </c>
      <c r="G8466" s="7">
        <v>39.122</v>
      </c>
      <c r="H8466" s="15" t="s">
        <v>15444</v>
      </c>
      <c r="I8466" s="15" t="s">
        <v>1586</v>
      </c>
      <c r="J8466" s="15" t="s">
        <v>30447</v>
      </c>
      <c r="K8466" s="15">
        <v>66.0</v>
      </c>
      <c r="L8466" s="15">
        <v>66.0</v>
      </c>
      <c r="M8466" s="40">
        <v>42956.0</v>
      </c>
      <c r="N8466" s="40">
        <v>42956.0</v>
      </c>
      <c r="O8466" s="15" t="s">
        <v>1554</v>
      </c>
      <c r="Q8466" s="7"/>
    </row>
    <row r="8467">
      <c r="A8467" s="39" t="s">
        <v>30448</v>
      </c>
      <c r="B8467" s="15">
        <v>2015854.0</v>
      </c>
      <c r="D8467" s="15">
        <v>0.0</v>
      </c>
      <c r="E8467" s="15" t="s">
        <v>1557</v>
      </c>
      <c r="F8467" s="15" t="s">
        <v>1833</v>
      </c>
      <c r="G8467" s="7">
        <v>43.914</v>
      </c>
      <c r="H8467" s="15" t="s">
        <v>2154</v>
      </c>
      <c r="I8467" s="15" t="s">
        <v>1586</v>
      </c>
      <c r="J8467" s="15" t="s">
        <v>30449</v>
      </c>
      <c r="K8467" s="15">
        <v>62.0</v>
      </c>
      <c r="L8467" s="15">
        <v>62.0</v>
      </c>
      <c r="M8467" s="40">
        <v>42956.0</v>
      </c>
      <c r="N8467" s="40">
        <v>42956.0</v>
      </c>
      <c r="O8467" s="15" t="s">
        <v>1554</v>
      </c>
      <c r="Q8467" s="7"/>
    </row>
    <row r="8468">
      <c r="A8468" s="39" t="s">
        <v>30450</v>
      </c>
      <c r="B8468" s="15">
        <v>2015855.0</v>
      </c>
      <c r="D8468" s="15">
        <v>0.0</v>
      </c>
      <c r="E8468" s="15" t="s">
        <v>1557</v>
      </c>
      <c r="F8468" s="15" t="s">
        <v>1833</v>
      </c>
      <c r="G8468" s="7">
        <v>56.622</v>
      </c>
      <c r="H8468" s="15" t="s">
        <v>2324</v>
      </c>
      <c r="I8468" s="15" t="s">
        <v>1586</v>
      </c>
      <c r="J8468" s="15" t="s">
        <v>30451</v>
      </c>
      <c r="K8468" s="15">
        <v>86.0</v>
      </c>
      <c r="L8468" s="15">
        <v>86.0</v>
      </c>
      <c r="M8468" s="40">
        <v>42956.0</v>
      </c>
      <c r="N8468" s="41">
        <v>43020.0</v>
      </c>
      <c r="O8468" s="15" t="s">
        <v>1554</v>
      </c>
      <c r="Q8468" s="7"/>
    </row>
    <row r="8469">
      <c r="A8469" s="39" t="s">
        <v>30453</v>
      </c>
      <c r="B8469" s="15">
        <v>2015856.0</v>
      </c>
      <c r="D8469" s="15">
        <v>0.0</v>
      </c>
      <c r="E8469" s="15" t="s">
        <v>1557</v>
      </c>
      <c r="F8469" s="15" t="s">
        <v>1833</v>
      </c>
      <c r="G8469" s="7">
        <v>43.081</v>
      </c>
      <c r="H8469" s="15" t="s">
        <v>1834</v>
      </c>
      <c r="I8469" s="15" t="s">
        <v>1586</v>
      </c>
      <c r="J8469" s="15" t="s">
        <v>30454</v>
      </c>
      <c r="K8469" s="15">
        <v>61.0</v>
      </c>
      <c r="L8469" s="15">
        <v>61.0</v>
      </c>
      <c r="M8469" s="40">
        <v>42956.0</v>
      </c>
      <c r="N8469" s="40">
        <v>42956.0</v>
      </c>
      <c r="O8469" s="15" t="s">
        <v>1554</v>
      </c>
      <c r="Q8469" s="7"/>
    </row>
    <row r="8470">
      <c r="A8470" s="39" t="s">
        <v>30455</v>
      </c>
      <c r="B8470" s="15">
        <v>2015857.0</v>
      </c>
      <c r="D8470" s="15">
        <v>0.0</v>
      </c>
      <c r="E8470" s="15" t="s">
        <v>1557</v>
      </c>
      <c r="F8470" s="15" t="s">
        <v>1833</v>
      </c>
      <c r="G8470" s="7">
        <v>43.562</v>
      </c>
      <c r="H8470" s="15" t="s">
        <v>9648</v>
      </c>
      <c r="I8470" s="15" t="s">
        <v>1586</v>
      </c>
      <c r="J8470" s="15" t="s">
        <v>30457</v>
      </c>
      <c r="K8470" s="15">
        <v>62.0</v>
      </c>
      <c r="L8470" s="15">
        <v>62.0</v>
      </c>
      <c r="M8470" s="40">
        <v>42956.0</v>
      </c>
      <c r="N8470" s="40">
        <v>42956.0</v>
      </c>
      <c r="O8470" s="15" t="s">
        <v>1554</v>
      </c>
      <c r="Q8470" s="7"/>
    </row>
    <row r="8471">
      <c r="A8471" s="39" t="s">
        <v>30459</v>
      </c>
      <c r="B8471" s="15">
        <v>2015858.0</v>
      </c>
      <c r="D8471" s="15">
        <v>0.0</v>
      </c>
      <c r="E8471" s="15" t="s">
        <v>1557</v>
      </c>
      <c r="F8471" s="15" t="s">
        <v>1833</v>
      </c>
      <c r="G8471" s="7">
        <v>15.556</v>
      </c>
      <c r="H8471" s="15" t="s">
        <v>8179</v>
      </c>
      <c r="I8471" s="15" t="s">
        <v>1586</v>
      </c>
      <c r="J8471" s="15" t="s">
        <v>30460</v>
      </c>
      <c r="K8471" s="15">
        <v>26.0</v>
      </c>
      <c r="L8471" s="15">
        <v>26.0</v>
      </c>
      <c r="M8471" s="40">
        <v>42956.0</v>
      </c>
      <c r="N8471" s="40">
        <v>42956.0</v>
      </c>
      <c r="O8471" s="15" t="s">
        <v>1554</v>
      </c>
      <c r="Q8471" s="7"/>
    </row>
    <row r="8472">
      <c r="A8472" s="39" t="s">
        <v>30461</v>
      </c>
      <c r="B8472" s="15">
        <v>2015859.0</v>
      </c>
      <c r="D8472" s="15">
        <v>0.0</v>
      </c>
      <c r="E8472" s="15" t="s">
        <v>1557</v>
      </c>
      <c r="F8472" s="15" t="s">
        <v>1833</v>
      </c>
      <c r="G8472" s="7">
        <v>15.54</v>
      </c>
      <c r="H8472" s="15" t="s">
        <v>10412</v>
      </c>
      <c r="I8472" s="15" t="s">
        <v>1586</v>
      </c>
      <c r="J8472" s="15" t="s">
        <v>30462</v>
      </c>
      <c r="K8472" s="15">
        <v>27.0</v>
      </c>
      <c r="L8472" s="15">
        <v>27.0</v>
      </c>
      <c r="M8472" s="40">
        <v>42956.0</v>
      </c>
      <c r="N8472" s="40">
        <v>42956.0</v>
      </c>
      <c r="O8472" s="15" t="s">
        <v>1554</v>
      </c>
      <c r="Q8472" s="7"/>
    </row>
    <row r="8473">
      <c r="A8473" s="39" t="s">
        <v>30463</v>
      </c>
      <c r="B8473" s="15">
        <v>2015860.0</v>
      </c>
      <c r="D8473" s="15">
        <v>0.0</v>
      </c>
      <c r="E8473" s="15" t="s">
        <v>1557</v>
      </c>
      <c r="F8473" s="15" t="s">
        <v>1833</v>
      </c>
      <c r="G8473" s="7">
        <v>60.137</v>
      </c>
      <c r="H8473" s="15" t="s">
        <v>8929</v>
      </c>
      <c r="I8473" s="15" t="s">
        <v>1586</v>
      </c>
      <c r="J8473" s="15" t="s">
        <v>30464</v>
      </c>
      <c r="K8473" s="15">
        <v>96.0</v>
      </c>
      <c r="L8473" s="15">
        <v>96.0</v>
      </c>
      <c r="M8473" s="40">
        <v>42956.0</v>
      </c>
      <c r="N8473" s="40">
        <v>42956.0</v>
      </c>
      <c r="O8473" s="15" t="s">
        <v>1554</v>
      </c>
      <c r="Q8473" s="7"/>
    </row>
    <row r="8474">
      <c r="A8474" s="39" t="s">
        <v>30465</v>
      </c>
      <c r="B8474" s="15">
        <v>2015861.0</v>
      </c>
      <c r="D8474" s="15">
        <v>0.0</v>
      </c>
      <c r="E8474" s="15" t="s">
        <v>1557</v>
      </c>
      <c r="F8474" s="15" t="s">
        <v>1833</v>
      </c>
      <c r="G8474" s="7">
        <v>15.521</v>
      </c>
      <c r="H8474" s="15" t="s">
        <v>10417</v>
      </c>
      <c r="I8474" s="15" t="s">
        <v>1586</v>
      </c>
      <c r="J8474" s="15" t="s">
        <v>30467</v>
      </c>
      <c r="K8474" s="15">
        <v>26.0</v>
      </c>
      <c r="L8474" s="15">
        <v>26.0</v>
      </c>
      <c r="M8474" s="40">
        <v>42956.0</v>
      </c>
      <c r="N8474" s="40">
        <v>42956.0</v>
      </c>
      <c r="O8474" s="15" t="s">
        <v>1554</v>
      </c>
      <c r="Q8474" s="7"/>
    </row>
    <row r="8475">
      <c r="A8475" s="39" t="s">
        <v>30468</v>
      </c>
      <c r="B8475" s="15">
        <v>2015862.0</v>
      </c>
      <c r="D8475" s="15">
        <v>0.0</v>
      </c>
      <c r="E8475" s="15" t="s">
        <v>1557</v>
      </c>
      <c r="F8475" s="15" t="s">
        <v>1833</v>
      </c>
      <c r="G8475" s="7">
        <v>15.556</v>
      </c>
      <c r="H8475" s="15" t="s">
        <v>8179</v>
      </c>
      <c r="I8475" s="15" t="s">
        <v>1586</v>
      </c>
      <c r="J8475" s="15" t="s">
        <v>30469</v>
      </c>
      <c r="K8475" s="15">
        <v>26.0</v>
      </c>
      <c r="L8475" s="15">
        <v>26.0</v>
      </c>
      <c r="M8475" s="40">
        <v>42956.0</v>
      </c>
      <c r="N8475" s="40">
        <v>42956.0</v>
      </c>
      <c r="O8475" s="15" t="s">
        <v>1554</v>
      </c>
      <c r="Q8475" s="7"/>
    </row>
    <row r="8476">
      <c r="A8476" s="39" t="s">
        <v>30470</v>
      </c>
      <c r="B8476" s="15">
        <v>2015863.0</v>
      </c>
      <c r="D8476" s="15">
        <v>0.0</v>
      </c>
      <c r="E8476" s="15" t="s">
        <v>1557</v>
      </c>
      <c r="F8476" s="15" t="s">
        <v>1833</v>
      </c>
      <c r="G8476" s="7">
        <v>15.556</v>
      </c>
      <c r="H8476" s="15" t="s">
        <v>10437</v>
      </c>
      <c r="I8476" s="15" t="s">
        <v>1586</v>
      </c>
      <c r="J8476" s="15" t="s">
        <v>30472</v>
      </c>
      <c r="K8476" s="15">
        <v>26.0</v>
      </c>
      <c r="L8476" s="15">
        <v>26.0</v>
      </c>
      <c r="M8476" s="40">
        <v>42956.0</v>
      </c>
      <c r="N8476" s="40">
        <v>42956.0</v>
      </c>
      <c r="O8476" s="15" t="s">
        <v>1554</v>
      </c>
      <c r="Q8476" s="7"/>
    </row>
    <row r="8477">
      <c r="A8477" s="39" t="s">
        <v>30473</v>
      </c>
      <c r="B8477" s="15">
        <v>2015864.0</v>
      </c>
      <c r="D8477" s="15">
        <v>0.0</v>
      </c>
      <c r="E8477" s="15" t="s">
        <v>1557</v>
      </c>
      <c r="F8477" s="15" t="s">
        <v>1833</v>
      </c>
      <c r="G8477" s="7">
        <v>58.839</v>
      </c>
      <c r="H8477" s="15" t="s">
        <v>3836</v>
      </c>
      <c r="I8477" s="15" t="s">
        <v>1586</v>
      </c>
      <c r="J8477" s="15" t="s">
        <v>30474</v>
      </c>
      <c r="K8477" s="15">
        <v>92.0</v>
      </c>
      <c r="L8477" s="15">
        <v>92.0</v>
      </c>
      <c r="M8477" s="40">
        <v>42941.0</v>
      </c>
      <c r="N8477" s="40">
        <v>42941.0</v>
      </c>
      <c r="O8477" s="15" t="s">
        <v>1554</v>
      </c>
      <c r="Q8477" s="7"/>
    </row>
    <row r="8478">
      <c r="A8478" s="39" t="s">
        <v>30475</v>
      </c>
      <c r="B8478" s="15">
        <v>2015865.0</v>
      </c>
      <c r="D8478" s="15">
        <v>0.0</v>
      </c>
      <c r="E8478" s="15" t="s">
        <v>1557</v>
      </c>
      <c r="F8478" s="15" t="s">
        <v>1833</v>
      </c>
      <c r="G8478" s="7">
        <v>44.045</v>
      </c>
      <c r="H8478" s="15" t="s">
        <v>1834</v>
      </c>
      <c r="I8478" s="15" t="s">
        <v>1586</v>
      </c>
      <c r="J8478" s="15" t="s">
        <v>30476</v>
      </c>
      <c r="K8478" s="15">
        <v>61.0</v>
      </c>
      <c r="L8478" s="15">
        <v>61.0</v>
      </c>
      <c r="M8478" s="40">
        <v>42956.0</v>
      </c>
      <c r="N8478" s="40">
        <v>42956.0</v>
      </c>
      <c r="O8478" s="15" t="s">
        <v>1554</v>
      </c>
      <c r="Q8478" s="7"/>
    </row>
    <row r="8479">
      <c r="A8479" s="39" t="s">
        <v>30477</v>
      </c>
      <c r="B8479" s="15">
        <v>2015866.0</v>
      </c>
      <c r="D8479" s="15">
        <v>0.0</v>
      </c>
      <c r="E8479" s="15" t="s">
        <v>1557</v>
      </c>
      <c r="F8479" s="15" t="s">
        <v>1833</v>
      </c>
      <c r="G8479" s="7">
        <v>42.963</v>
      </c>
      <c r="H8479" s="15" t="s">
        <v>1834</v>
      </c>
      <c r="I8479" s="15" t="s">
        <v>1586</v>
      </c>
      <c r="J8479" s="15" t="s">
        <v>30479</v>
      </c>
      <c r="K8479" s="15">
        <v>61.0</v>
      </c>
      <c r="L8479" s="15">
        <v>61.0</v>
      </c>
      <c r="M8479" s="40">
        <v>42956.0</v>
      </c>
      <c r="N8479" s="40">
        <v>42956.0</v>
      </c>
      <c r="O8479" s="15" t="s">
        <v>1554</v>
      </c>
      <c r="Q8479" s="7"/>
    </row>
    <row r="8480">
      <c r="A8480" s="39" t="s">
        <v>30480</v>
      </c>
      <c r="B8480" s="15">
        <v>2015867.0</v>
      </c>
      <c r="D8480" s="15">
        <v>0.0</v>
      </c>
      <c r="E8480" s="15" t="s">
        <v>1557</v>
      </c>
      <c r="F8480" s="15" t="s">
        <v>1833</v>
      </c>
      <c r="G8480" s="7">
        <v>15.319</v>
      </c>
      <c r="H8480" s="15" t="s">
        <v>2309</v>
      </c>
      <c r="I8480" s="15" t="s">
        <v>1586</v>
      </c>
      <c r="J8480" s="15" t="s">
        <v>30481</v>
      </c>
      <c r="K8480" s="15">
        <v>26.0</v>
      </c>
      <c r="L8480" s="15">
        <v>26.0</v>
      </c>
      <c r="M8480" s="40">
        <v>42956.0</v>
      </c>
      <c r="N8480" s="40">
        <v>42956.0</v>
      </c>
      <c r="O8480" s="15" t="s">
        <v>1554</v>
      </c>
      <c r="Q8480" s="7"/>
    </row>
    <row r="8481">
      <c r="A8481" s="39" t="s">
        <v>30482</v>
      </c>
      <c r="B8481" s="15">
        <v>2015868.0</v>
      </c>
      <c r="D8481" s="15">
        <v>0.0</v>
      </c>
      <c r="E8481" s="15" t="s">
        <v>1557</v>
      </c>
      <c r="F8481" s="15" t="s">
        <v>1833</v>
      </c>
      <c r="G8481" s="7">
        <v>59.707</v>
      </c>
      <c r="H8481" s="15" t="s">
        <v>4653</v>
      </c>
      <c r="I8481" s="15" t="s">
        <v>1586</v>
      </c>
      <c r="J8481" s="15" t="s">
        <v>30483</v>
      </c>
      <c r="K8481" s="15">
        <v>98.0</v>
      </c>
      <c r="L8481" s="15">
        <v>98.0</v>
      </c>
      <c r="M8481" s="40">
        <v>42956.0</v>
      </c>
      <c r="N8481" s="40">
        <v>42956.0</v>
      </c>
      <c r="O8481" s="15" t="s">
        <v>1554</v>
      </c>
      <c r="Q8481" s="7"/>
    </row>
    <row r="8482">
      <c r="A8482" s="39" t="s">
        <v>30484</v>
      </c>
      <c r="B8482" s="15">
        <v>2015869.0</v>
      </c>
      <c r="D8482" s="15">
        <v>0.0</v>
      </c>
      <c r="E8482" s="15" t="s">
        <v>1557</v>
      </c>
      <c r="F8482" s="15" t="s">
        <v>1833</v>
      </c>
      <c r="G8482" s="7">
        <v>15.68</v>
      </c>
      <c r="H8482" s="15" t="s">
        <v>17894</v>
      </c>
      <c r="I8482" s="15" t="s">
        <v>1586</v>
      </c>
      <c r="J8482" s="15" t="s">
        <v>30485</v>
      </c>
      <c r="K8482" s="15">
        <v>26.0</v>
      </c>
      <c r="L8482" s="15">
        <v>26.0</v>
      </c>
      <c r="M8482" s="40">
        <v>42956.0</v>
      </c>
      <c r="N8482" s="40">
        <v>42956.0</v>
      </c>
      <c r="O8482" s="15" t="s">
        <v>1554</v>
      </c>
      <c r="Q8482" s="7"/>
    </row>
    <row r="8483">
      <c r="A8483" s="39" t="s">
        <v>30486</v>
      </c>
      <c r="B8483" s="15">
        <v>2015870.0</v>
      </c>
      <c r="D8483" s="15">
        <v>0.0</v>
      </c>
      <c r="E8483" s="15" t="s">
        <v>1557</v>
      </c>
      <c r="F8483" s="15" t="s">
        <v>1833</v>
      </c>
      <c r="G8483" s="7">
        <v>15.546</v>
      </c>
      <c r="H8483" s="15" t="s">
        <v>17894</v>
      </c>
      <c r="I8483" s="15" t="s">
        <v>1586</v>
      </c>
      <c r="J8483" s="15" t="s">
        <v>30488</v>
      </c>
      <c r="K8483" s="15">
        <v>26.0</v>
      </c>
      <c r="L8483" s="15">
        <v>26.0</v>
      </c>
      <c r="M8483" s="40">
        <v>42941.0</v>
      </c>
      <c r="N8483" s="40">
        <v>42941.0</v>
      </c>
      <c r="O8483" s="15" t="s">
        <v>1554</v>
      </c>
      <c r="Q8483" s="7"/>
    </row>
    <row r="8484">
      <c r="A8484" s="39" t="s">
        <v>30489</v>
      </c>
      <c r="B8484" s="15">
        <v>2015871.0</v>
      </c>
      <c r="D8484" s="15">
        <v>0.0</v>
      </c>
      <c r="E8484" s="15" t="s">
        <v>1557</v>
      </c>
      <c r="F8484" s="15" t="s">
        <v>1833</v>
      </c>
      <c r="G8484" s="7">
        <v>58.238</v>
      </c>
      <c r="H8484" s="15" t="s">
        <v>5042</v>
      </c>
      <c r="I8484" s="15" t="s">
        <v>1586</v>
      </c>
      <c r="J8484" s="15" t="s">
        <v>30490</v>
      </c>
      <c r="K8484" s="15">
        <v>88.0</v>
      </c>
      <c r="L8484" s="15">
        <v>88.0</v>
      </c>
      <c r="M8484" s="40">
        <v>42956.0</v>
      </c>
      <c r="N8484" s="40">
        <v>42956.0</v>
      </c>
      <c r="O8484" s="15" t="s">
        <v>1554</v>
      </c>
      <c r="Q8484" s="7"/>
    </row>
    <row r="8485">
      <c r="A8485" s="39" t="s">
        <v>30491</v>
      </c>
      <c r="B8485" s="15">
        <v>2015872.0</v>
      </c>
      <c r="D8485" s="15">
        <v>0.0</v>
      </c>
      <c r="E8485" s="15" t="s">
        <v>1557</v>
      </c>
      <c r="F8485" s="15" t="s">
        <v>1833</v>
      </c>
      <c r="G8485" s="7">
        <v>15.556</v>
      </c>
      <c r="H8485" s="15" t="s">
        <v>10437</v>
      </c>
      <c r="I8485" s="15" t="s">
        <v>1586</v>
      </c>
      <c r="J8485" s="15" t="s">
        <v>30492</v>
      </c>
      <c r="K8485" s="15">
        <v>26.0</v>
      </c>
      <c r="L8485" s="15">
        <v>26.0</v>
      </c>
      <c r="M8485" s="40">
        <v>42941.0</v>
      </c>
      <c r="N8485" s="40">
        <v>42941.0</v>
      </c>
      <c r="O8485" s="15" t="s">
        <v>1554</v>
      </c>
      <c r="Q8485" s="7"/>
    </row>
    <row r="8486">
      <c r="A8486" s="39" t="s">
        <v>30493</v>
      </c>
      <c r="B8486" s="15">
        <v>2015873.0</v>
      </c>
      <c r="D8486" s="15">
        <v>0.0</v>
      </c>
      <c r="E8486" s="15" t="s">
        <v>1557</v>
      </c>
      <c r="F8486" s="15" t="s">
        <v>1833</v>
      </c>
      <c r="G8486" s="7">
        <v>59.879</v>
      </c>
      <c r="H8486" s="15" t="s">
        <v>4171</v>
      </c>
      <c r="I8486" s="15" t="s">
        <v>1586</v>
      </c>
      <c r="J8486" s="15" t="s">
        <v>30495</v>
      </c>
      <c r="K8486" s="15">
        <v>94.0</v>
      </c>
      <c r="L8486" s="15">
        <v>94.0</v>
      </c>
      <c r="M8486" s="40">
        <v>42956.0</v>
      </c>
      <c r="N8486" s="40">
        <v>42965.0</v>
      </c>
      <c r="O8486" s="15" t="s">
        <v>1554</v>
      </c>
      <c r="Q8486" s="7"/>
    </row>
    <row r="8487">
      <c r="A8487" s="39" t="s">
        <v>30496</v>
      </c>
      <c r="B8487" s="15">
        <v>2015874.0</v>
      </c>
      <c r="D8487" s="15">
        <v>0.0</v>
      </c>
      <c r="E8487" s="15" t="s">
        <v>1557</v>
      </c>
      <c r="F8487" s="15" t="s">
        <v>1833</v>
      </c>
      <c r="G8487" s="7">
        <v>61.761</v>
      </c>
      <c r="H8487" s="15" t="s">
        <v>14676</v>
      </c>
      <c r="I8487" s="15" t="s">
        <v>1586</v>
      </c>
      <c r="J8487" s="15" t="s">
        <v>30497</v>
      </c>
      <c r="K8487" s="15">
        <v>95.0</v>
      </c>
      <c r="L8487" s="15">
        <v>94.0</v>
      </c>
      <c r="M8487" s="40">
        <v>42968.0</v>
      </c>
      <c r="N8487" s="40">
        <v>42968.0</v>
      </c>
      <c r="O8487" s="15" t="s">
        <v>1554</v>
      </c>
      <c r="Q8487" s="7"/>
    </row>
    <row r="8488">
      <c r="A8488" s="39" t="s">
        <v>30498</v>
      </c>
      <c r="B8488" s="15">
        <v>2015875.0</v>
      </c>
      <c r="D8488" s="15">
        <v>0.0</v>
      </c>
      <c r="E8488" s="15" t="s">
        <v>1557</v>
      </c>
      <c r="F8488" s="15" t="s">
        <v>1833</v>
      </c>
      <c r="G8488" s="7">
        <v>46.484</v>
      </c>
      <c r="H8488" s="15" t="s">
        <v>14676</v>
      </c>
      <c r="I8488" s="15" t="s">
        <v>1586</v>
      </c>
      <c r="J8488" s="15" t="s">
        <v>30499</v>
      </c>
      <c r="K8488" s="15">
        <v>77.0</v>
      </c>
      <c r="L8488" s="15">
        <v>77.0</v>
      </c>
      <c r="M8488" s="40">
        <v>42968.0</v>
      </c>
      <c r="N8488" s="40">
        <v>43046.0</v>
      </c>
      <c r="O8488" s="15" t="s">
        <v>1554</v>
      </c>
      <c r="Q8488" s="7"/>
    </row>
    <row r="8489">
      <c r="A8489" s="39" t="s">
        <v>30500</v>
      </c>
      <c r="B8489" s="15">
        <v>2015876.0</v>
      </c>
      <c r="D8489" s="15">
        <v>0.0</v>
      </c>
      <c r="E8489" s="15" t="s">
        <v>1557</v>
      </c>
      <c r="F8489" s="15" t="s">
        <v>1833</v>
      </c>
      <c r="G8489" s="7">
        <v>57.697</v>
      </c>
      <c r="H8489" s="15">
        <v>68.0</v>
      </c>
      <c r="I8489" s="15" t="s">
        <v>1586</v>
      </c>
      <c r="J8489" s="15" t="s">
        <v>30501</v>
      </c>
      <c r="K8489" s="15">
        <v>95.0</v>
      </c>
      <c r="L8489" s="15">
        <v>94.0</v>
      </c>
      <c r="M8489" s="40">
        <v>42984.0</v>
      </c>
      <c r="N8489" s="40">
        <v>42984.0</v>
      </c>
      <c r="O8489" s="15" t="s">
        <v>1554</v>
      </c>
      <c r="Q8489" s="7"/>
    </row>
    <row r="8490">
      <c r="A8490" s="39" t="s">
        <v>30503</v>
      </c>
      <c r="B8490" s="15">
        <v>2015877.0</v>
      </c>
      <c r="D8490" s="15">
        <v>0.0</v>
      </c>
      <c r="E8490" s="15" t="s">
        <v>1557</v>
      </c>
      <c r="F8490" s="15" t="s">
        <v>1833</v>
      </c>
      <c r="G8490" s="7">
        <v>52.991</v>
      </c>
      <c r="H8490" s="15" t="s">
        <v>3251</v>
      </c>
      <c r="I8490" s="15" t="s">
        <v>1586</v>
      </c>
      <c r="J8490" s="15" t="s">
        <v>30504</v>
      </c>
      <c r="K8490" s="15">
        <v>93.0</v>
      </c>
      <c r="L8490" s="15">
        <v>92.0</v>
      </c>
      <c r="M8490" s="40">
        <v>42968.0</v>
      </c>
      <c r="N8490" s="40">
        <v>42968.0</v>
      </c>
      <c r="O8490" s="15" t="s">
        <v>1554</v>
      </c>
      <c r="Q8490" s="7"/>
    </row>
    <row r="8491">
      <c r="A8491" s="39" t="s">
        <v>30505</v>
      </c>
      <c r="B8491" s="15">
        <v>2015878.0</v>
      </c>
      <c r="D8491" s="15">
        <v>0.0</v>
      </c>
      <c r="E8491" s="15" t="s">
        <v>1557</v>
      </c>
      <c r="F8491" s="15" t="s">
        <v>1833</v>
      </c>
      <c r="G8491" s="7">
        <v>72.055</v>
      </c>
      <c r="H8491" s="15" t="s">
        <v>6118</v>
      </c>
      <c r="I8491" s="15" t="s">
        <v>1586</v>
      </c>
      <c r="J8491" s="15" t="s">
        <v>30506</v>
      </c>
      <c r="K8491" s="15">
        <v>132.0</v>
      </c>
      <c r="L8491" s="15">
        <v>122.0</v>
      </c>
      <c r="M8491" s="40">
        <v>42941.0</v>
      </c>
      <c r="N8491" s="40">
        <v>42941.0</v>
      </c>
      <c r="O8491" s="15" t="s">
        <v>1554</v>
      </c>
      <c r="Q8491" s="7"/>
    </row>
    <row r="8492">
      <c r="A8492" s="39" t="s">
        <v>30507</v>
      </c>
      <c r="B8492" s="15">
        <v>2015879.0</v>
      </c>
      <c r="D8492" s="15">
        <v>0.0</v>
      </c>
      <c r="E8492" s="15" t="s">
        <v>1557</v>
      </c>
      <c r="F8492" s="15" t="s">
        <v>1833</v>
      </c>
      <c r="G8492" s="7">
        <v>61.594</v>
      </c>
      <c r="H8492" s="15" t="s">
        <v>14676</v>
      </c>
      <c r="I8492" s="15" t="s">
        <v>1586</v>
      </c>
      <c r="J8492" s="15" t="s">
        <v>30508</v>
      </c>
      <c r="K8492" s="15">
        <v>95.0</v>
      </c>
      <c r="L8492" s="15">
        <v>94.0</v>
      </c>
      <c r="M8492" s="40">
        <v>42984.0</v>
      </c>
      <c r="N8492" s="40">
        <v>42984.0</v>
      </c>
      <c r="O8492" s="15" t="s">
        <v>1554</v>
      </c>
      <c r="Q8492" s="7"/>
    </row>
    <row r="8493">
      <c r="A8493" s="39" t="s">
        <v>30509</v>
      </c>
      <c r="B8493" s="15">
        <v>2015880.0</v>
      </c>
      <c r="D8493" s="15">
        <v>0.0</v>
      </c>
      <c r="E8493" s="15" t="s">
        <v>1557</v>
      </c>
      <c r="F8493" s="15" t="s">
        <v>1833</v>
      </c>
      <c r="G8493" s="7">
        <v>58.129</v>
      </c>
      <c r="H8493" s="15" t="s">
        <v>6951</v>
      </c>
      <c r="I8493" s="15" t="s">
        <v>1586</v>
      </c>
      <c r="J8493" s="15" t="s">
        <v>30511</v>
      </c>
      <c r="K8493" s="15">
        <v>94.0</v>
      </c>
      <c r="L8493" s="15">
        <v>94.0</v>
      </c>
      <c r="M8493" s="40">
        <v>42968.0</v>
      </c>
      <c r="N8493" s="40">
        <v>42968.0</v>
      </c>
      <c r="O8493" s="15" t="s">
        <v>1554</v>
      </c>
      <c r="Q8493" s="7"/>
    </row>
    <row r="8494">
      <c r="A8494" s="39" t="s">
        <v>30512</v>
      </c>
      <c r="B8494" s="15">
        <v>2015881.0</v>
      </c>
      <c r="D8494" s="15">
        <v>0.0</v>
      </c>
      <c r="E8494" s="15" t="s">
        <v>1557</v>
      </c>
      <c r="F8494" s="15" t="s">
        <v>1833</v>
      </c>
      <c r="G8494" s="7">
        <v>52.495</v>
      </c>
      <c r="H8494" s="15" t="s">
        <v>6661</v>
      </c>
      <c r="I8494" s="15" t="s">
        <v>1586</v>
      </c>
      <c r="J8494" s="15" t="s">
        <v>30513</v>
      </c>
      <c r="K8494" s="15">
        <v>102.0</v>
      </c>
      <c r="L8494" s="15">
        <v>101.0</v>
      </c>
      <c r="M8494" s="40">
        <v>42968.0</v>
      </c>
      <c r="N8494" s="40">
        <v>42968.0</v>
      </c>
      <c r="O8494" s="15" t="s">
        <v>1554</v>
      </c>
      <c r="Q8494" s="7"/>
    </row>
    <row r="8495">
      <c r="A8495" s="39" t="s">
        <v>30514</v>
      </c>
      <c r="B8495" s="15">
        <v>2015882.0</v>
      </c>
      <c r="D8495" s="15">
        <v>0.0</v>
      </c>
      <c r="E8495" s="15" t="s">
        <v>1557</v>
      </c>
      <c r="F8495" s="15" t="s">
        <v>1833</v>
      </c>
      <c r="G8495" s="7">
        <v>58.15</v>
      </c>
      <c r="H8495" s="15" t="s">
        <v>6951</v>
      </c>
      <c r="I8495" s="15" t="s">
        <v>1586</v>
      </c>
      <c r="J8495" s="15" t="s">
        <v>30515</v>
      </c>
      <c r="K8495" s="15">
        <v>94.0</v>
      </c>
      <c r="L8495" s="15">
        <v>94.0</v>
      </c>
      <c r="M8495" s="40">
        <v>42968.0</v>
      </c>
      <c r="N8495" s="40">
        <v>42968.0</v>
      </c>
      <c r="O8495" s="15" t="s">
        <v>1554</v>
      </c>
      <c r="Q8495" s="7"/>
    </row>
    <row r="8496">
      <c r="A8496" s="39" t="s">
        <v>30516</v>
      </c>
      <c r="B8496" s="15">
        <v>2015883.0</v>
      </c>
      <c r="D8496" s="15">
        <v>0.0</v>
      </c>
      <c r="E8496" s="15" t="s">
        <v>1557</v>
      </c>
      <c r="F8496" s="15" t="s">
        <v>1833</v>
      </c>
      <c r="G8496" s="7">
        <v>59.708</v>
      </c>
      <c r="H8496" s="15" t="s">
        <v>6615</v>
      </c>
      <c r="I8496" s="15" t="s">
        <v>1586</v>
      </c>
      <c r="J8496" s="15" t="s">
        <v>30517</v>
      </c>
      <c r="K8496" s="15">
        <v>97.0</v>
      </c>
      <c r="L8496" s="15">
        <v>96.0</v>
      </c>
      <c r="M8496" s="40">
        <v>42968.0</v>
      </c>
      <c r="N8496" s="40">
        <v>42968.0</v>
      </c>
      <c r="O8496" s="15" t="s">
        <v>1554</v>
      </c>
      <c r="Q8496" s="7"/>
    </row>
    <row r="8497">
      <c r="A8497" s="39" t="s">
        <v>30518</v>
      </c>
      <c r="B8497" s="15">
        <v>2015884.0</v>
      </c>
      <c r="D8497" s="15">
        <v>0.0</v>
      </c>
      <c r="E8497" s="15" t="s">
        <v>1557</v>
      </c>
      <c r="F8497" s="15" t="s">
        <v>1833</v>
      </c>
      <c r="G8497" s="7">
        <v>69.537</v>
      </c>
      <c r="H8497" s="15" t="s">
        <v>7956</v>
      </c>
      <c r="I8497" s="15" t="s">
        <v>1586</v>
      </c>
      <c r="J8497" s="15" t="s">
        <v>30520</v>
      </c>
      <c r="K8497" s="15">
        <v>120.0</v>
      </c>
      <c r="L8497" s="15">
        <v>110.0</v>
      </c>
      <c r="M8497" s="40">
        <v>42968.0</v>
      </c>
      <c r="N8497" s="41">
        <v>43020.0</v>
      </c>
      <c r="O8497" s="15" t="s">
        <v>1554</v>
      </c>
      <c r="Q8497" s="7"/>
    </row>
    <row r="8498">
      <c r="A8498" s="39" t="s">
        <v>30521</v>
      </c>
      <c r="B8498" s="15">
        <v>2015885.0</v>
      </c>
      <c r="D8498" s="15">
        <v>0.0</v>
      </c>
      <c r="E8498" s="15" t="s">
        <v>1557</v>
      </c>
      <c r="F8498" s="15" t="s">
        <v>1833</v>
      </c>
      <c r="G8498" s="7">
        <v>76.075</v>
      </c>
      <c r="H8498" s="15" t="s">
        <v>10407</v>
      </c>
      <c r="I8498" s="15" t="s">
        <v>1586</v>
      </c>
      <c r="J8498" s="15" t="s">
        <v>30522</v>
      </c>
      <c r="K8498" s="15">
        <v>141.0</v>
      </c>
      <c r="L8498" s="15">
        <v>130.0</v>
      </c>
      <c r="M8498" s="40">
        <v>42968.0</v>
      </c>
      <c r="N8498" s="40">
        <v>42968.0</v>
      </c>
      <c r="O8498" s="15" t="s">
        <v>1554</v>
      </c>
      <c r="Q8498" s="7"/>
    </row>
    <row r="8499">
      <c r="A8499" s="39" t="s">
        <v>30523</v>
      </c>
      <c r="B8499" s="15">
        <v>2015886.0</v>
      </c>
      <c r="D8499" s="15">
        <v>0.0</v>
      </c>
      <c r="E8499" s="15" t="s">
        <v>1557</v>
      </c>
      <c r="F8499" s="15" t="s">
        <v>1833</v>
      </c>
      <c r="G8499" s="7">
        <v>60.934</v>
      </c>
      <c r="H8499" s="15" t="s">
        <v>2497</v>
      </c>
      <c r="I8499" s="15" t="s">
        <v>1586</v>
      </c>
      <c r="J8499" s="15" t="s">
        <v>30524</v>
      </c>
      <c r="K8499" s="15">
        <v>103.0</v>
      </c>
      <c r="L8499" s="15">
        <v>102.0</v>
      </c>
      <c r="M8499" s="40">
        <v>42968.0</v>
      </c>
      <c r="N8499" s="40">
        <v>42968.0</v>
      </c>
      <c r="O8499" s="15" t="s">
        <v>1554</v>
      </c>
      <c r="Q8499" s="7"/>
    </row>
    <row r="8500">
      <c r="A8500" s="39" t="s">
        <v>30525</v>
      </c>
      <c r="B8500" s="15">
        <v>2015887.0</v>
      </c>
      <c r="D8500" s="15">
        <v>0.0</v>
      </c>
      <c r="E8500" s="15" t="s">
        <v>1557</v>
      </c>
      <c r="F8500" s="15" t="s">
        <v>1833</v>
      </c>
      <c r="G8500" s="7">
        <v>70.413</v>
      </c>
      <c r="H8500" s="15" t="s">
        <v>6118</v>
      </c>
      <c r="I8500" s="15" t="s">
        <v>1586</v>
      </c>
      <c r="J8500" s="15" t="s">
        <v>30527</v>
      </c>
      <c r="K8500" s="15">
        <v>122.0</v>
      </c>
      <c r="L8500" s="15">
        <v>112.0</v>
      </c>
      <c r="M8500" s="40">
        <v>42968.0</v>
      </c>
      <c r="N8500" s="40">
        <v>42968.0</v>
      </c>
      <c r="O8500" s="15" t="s">
        <v>1554</v>
      </c>
      <c r="Q8500" s="7"/>
    </row>
    <row r="8501">
      <c r="A8501" s="39" t="s">
        <v>30528</v>
      </c>
      <c r="B8501" s="15">
        <v>2015888.0</v>
      </c>
      <c r="D8501" s="15">
        <v>0.0</v>
      </c>
      <c r="E8501" s="15" t="s">
        <v>1557</v>
      </c>
      <c r="F8501" s="15" t="s">
        <v>1833</v>
      </c>
      <c r="G8501" s="7">
        <v>75.822</v>
      </c>
      <c r="H8501" s="15" t="s">
        <v>3227</v>
      </c>
      <c r="I8501" s="15" t="s">
        <v>1586</v>
      </c>
      <c r="J8501" s="15" t="s">
        <v>30529</v>
      </c>
      <c r="K8501" s="15">
        <v>142.0</v>
      </c>
      <c r="L8501" s="15">
        <v>130.0</v>
      </c>
      <c r="M8501" s="40">
        <v>42968.0</v>
      </c>
      <c r="N8501" s="40">
        <v>42968.0</v>
      </c>
      <c r="O8501" s="15" t="s">
        <v>1554</v>
      </c>
      <c r="Q8501" s="7"/>
    </row>
    <row r="8502">
      <c r="A8502" s="39" t="s">
        <v>30530</v>
      </c>
      <c r="B8502" s="15">
        <v>2015889.0</v>
      </c>
      <c r="D8502" s="15">
        <v>0.0</v>
      </c>
      <c r="E8502" s="15" t="s">
        <v>1557</v>
      </c>
      <c r="F8502" s="15" t="s">
        <v>1833</v>
      </c>
      <c r="G8502" s="7">
        <v>60.143</v>
      </c>
      <c r="H8502" s="15" t="s">
        <v>6615</v>
      </c>
      <c r="I8502" s="15" t="s">
        <v>1586</v>
      </c>
      <c r="J8502" s="15" t="s">
        <v>30531</v>
      </c>
      <c r="K8502" s="15">
        <v>99.0</v>
      </c>
      <c r="L8502" s="15">
        <v>98.0</v>
      </c>
      <c r="M8502" s="40">
        <v>42968.0</v>
      </c>
      <c r="N8502" s="40">
        <v>42968.0</v>
      </c>
      <c r="O8502" s="15" t="s">
        <v>1554</v>
      </c>
      <c r="Q8502" s="7"/>
    </row>
    <row r="8503">
      <c r="A8503" s="39" t="s">
        <v>30532</v>
      </c>
      <c r="B8503" s="15">
        <v>2015890.0</v>
      </c>
      <c r="D8503" s="15">
        <v>0.0</v>
      </c>
      <c r="E8503" s="15" t="s">
        <v>1557</v>
      </c>
      <c r="F8503" s="15" t="s">
        <v>1833</v>
      </c>
      <c r="G8503" s="7">
        <v>59.556</v>
      </c>
      <c r="H8503" s="15" t="s">
        <v>4308</v>
      </c>
      <c r="I8503" s="15" t="s">
        <v>1586</v>
      </c>
      <c r="J8503" s="15" t="s">
        <v>30533</v>
      </c>
      <c r="K8503" s="15">
        <v>97.0</v>
      </c>
      <c r="L8503" s="15">
        <v>96.0</v>
      </c>
      <c r="M8503" s="40">
        <v>42968.0</v>
      </c>
      <c r="N8503" s="40">
        <v>42968.0</v>
      </c>
      <c r="O8503" s="15" t="s">
        <v>1554</v>
      </c>
      <c r="Q8503" s="7"/>
    </row>
    <row r="8504">
      <c r="A8504" s="39" t="s">
        <v>30534</v>
      </c>
      <c r="B8504" s="15">
        <v>2015891.0</v>
      </c>
      <c r="D8504" s="15">
        <v>0.0</v>
      </c>
      <c r="E8504" s="15" t="s">
        <v>1557</v>
      </c>
      <c r="F8504" s="15" t="s">
        <v>1833</v>
      </c>
      <c r="G8504" s="7">
        <v>58.046</v>
      </c>
      <c r="H8504" s="15">
        <v>68.0</v>
      </c>
      <c r="I8504" s="15" t="s">
        <v>1586</v>
      </c>
      <c r="J8504" s="15" t="s">
        <v>30535</v>
      </c>
      <c r="K8504" s="15">
        <v>95.0</v>
      </c>
      <c r="L8504" s="15">
        <v>94.0</v>
      </c>
      <c r="M8504" s="40">
        <v>42968.0</v>
      </c>
      <c r="N8504" s="40">
        <v>42968.0</v>
      </c>
      <c r="O8504" s="15" t="s">
        <v>1554</v>
      </c>
      <c r="Q8504" s="7"/>
    </row>
    <row r="8505">
      <c r="A8505" s="39" t="s">
        <v>30536</v>
      </c>
      <c r="B8505" s="15">
        <v>2016032.0</v>
      </c>
      <c r="D8505" s="15">
        <v>0.0</v>
      </c>
      <c r="E8505" s="15" t="s">
        <v>1557</v>
      </c>
      <c r="F8505" s="15" t="s">
        <v>1611</v>
      </c>
      <c r="G8505" s="7">
        <v>47.631</v>
      </c>
      <c r="H8505" s="15" t="s">
        <v>3070</v>
      </c>
      <c r="I8505" s="15" t="s">
        <v>1586</v>
      </c>
      <c r="J8505" s="15" t="s">
        <v>30537</v>
      </c>
      <c r="K8505" s="15">
        <v>49.0</v>
      </c>
      <c r="L8505" s="15">
        <v>49.0</v>
      </c>
      <c r="M8505" s="40">
        <v>42935.0</v>
      </c>
      <c r="N8505" s="40">
        <v>43010.0</v>
      </c>
      <c r="O8505" s="15" t="s">
        <v>1554</v>
      </c>
      <c r="Q8505" s="7"/>
    </row>
    <row r="8506">
      <c r="A8506" s="39" t="s">
        <v>30538</v>
      </c>
      <c r="B8506" s="15">
        <v>2016049.0</v>
      </c>
      <c r="D8506" s="15">
        <v>0.0</v>
      </c>
      <c r="E8506" s="15" t="s">
        <v>1557</v>
      </c>
      <c r="F8506" s="15" t="s">
        <v>1611</v>
      </c>
      <c r="G8506" s="7">
        <v>40.879</v>
      </c>
      <c r="H8506" s="15" t="s">
        <v>3895</v>
      </c>
      <c r="I8506" s="15" t="s">
        <v>1586</v>
      </c>
      <c r="J8506" s="15" t="s">
        <v>30540</v>
      </c>
      <c r="K8506" s="15">
        <v>51.0</v>
      </c>
      <c r="L8506" s="15">
        <v>51.0</v>
      </c>
      <c r="M8506" s="40">
        <v>42946.0</v>
      </c>
      <c r="N8506" s="40">
        <v>42946.0</v>
      </c>
      <c r="O8506" s="15" t="s">
        <v>1554</v>
      </c>
      <c r="Q8506" s="7"/>
    </row>
    <row r="8507">
      <c r="A8507" s="39" t="s">
        <v>30541</v>
      </c>
      <c r="B8507" s="15">
        <v>2016050.0</v>
      </c>
      <c r="D8507" s="15">
        <v>0.0</v>
      </c>
      <c r="E8507" s="15" t="s">
        <v>1557</v>
      </c>
      <c r="F8507" s="15" t="s">
        <v>1611</v>
      </c>
      <c r="G8507" s="7">
        <v>40.598</v>
      </c>
      <c r="H8507" s="15" t="s">
        <v>2597</v>
      </c>
      <c r="I8507" s="15" t="s">
        <v>1586</v>
      </c>
      <c r="J8507" s="15" t="s">
        <v>30542</v>
      </c>
      <c r="K8507" s="15">
        <v>49.0</v>
      </c>
      <c r="L8507" s="15">
        <v>49.0</v>
      </c>
      <c r="M8507" s="40">
        <v>42946.0</v>
      </c>
      <c r="N8507" s="40">
        <v>42946.0</v>
      </c>
      <c r="O8507" s="15" t="s">
        <v>1554</v>
      </c>
      <c r="Q8507" s="7"/>
    </row>
    <row r="8508">
      <c r="A8508" s="39" t="s">
        <v>30543</v>
      </c>
      <c r="B8508" s="15">
        <v>2016051.0</v>
      </c>
      <c r="D8508" s="15">
        <v>0.0</v>
      </c>
      <c r="E8508" s="15" t="s">
        <v>1557</v>
      </c>
      <c r="F8508" s="15" t="s">
        <v>1611</v>
      </c>
      <c r="G8508" s="7">
        <v>41.608</v>
      </c>
      <c r="H8508" s="15" t="s">
        <v>2597</v>
      </c>
      <c r="I8508" s="15" t="s">
        <v>1586</v>
      </c>
      <c r="J8508" s="15" t="s">
        <v>30544</v>
      </c>
      <c r="K8508" s="15">
        <v>53.0</v>
      </c>
      <c r="L8508" s="15">
        <v>53.0</v>
      </c>
      <c r="M8508" s="40">
        <v>42946.0</v>
      </c>
      <c r="N8508" s="40">
        <v>43046.0</v>
      </c>
      <c r="O8508" s="15" t="s">
        <v>1554</v>
      </c>
      <c r="Q8508" s="7"/>
    </row>
    <row r="8509">
      <c r="A8509" s="39" t="s">
        <v>30545</v>
      </c>
      <c r="B8509" s="15">
        <v>2016052.0</v>
      </c>
      <c r="D8509" s="15">
        <v>0.0</v>
      </c>
      <c r="E8509" s="15" t="s">
        <v>1557</v>
      </c>
      <c r="F8509" s="15" t="s">
        <v>1611</v>
      </c>
      <c r="G8509" s="7">
        <v>41.208</v>
      </c>
      <c r="H8509" s="15" t="s">
        <v>2197</v>
      </c>
      <c r="I8509" s="15" t="s">
        <v>1586</v>
      </c>
      <c r="J8509" s="15" t="s">
        <v>30546</v>
      </c>
      <c r="K8509" s="15">
        <v>49.0</v>
      </c>
      <c r="L8509" s="15">
        <v>49.0</v>
      </c>
      <c r="M8509" s="40">
        <v>42946.0</v>
      </c>
      <c r="N8509" s="40">
        <v>42946.0</v>
      </c>
      <c r="O8509" s="15" t="s">
        <v>1554</v>
      </c>
      <c r="Q8509" s="7"/>
    </row>
    <row r="8510">
      <c r="A8510" s="39" t="s">
        <v>30548</v>
      </c>
      <c r="B8510" s="15">
        <v>2016053.0</v>
      </c>
      <c r="D8510" s="15">
        <v>0.0</v>
      </c>
      <c r="E8510" s="15" t="s">
        <v>1557</v>
      </c>
      <c r="F8510" s="15" t="s">
        <v>1611</v>
      </c>
      <c r="G8510" s="7">
        <v>41.514</v>
      </c>
      <c r="H8510" s="15" t="s">
        <v>2597</v>
      </c>
      <c r="I8510" s="15" t="s">
        <v>1586</v>
      </c>
      <c r="J8510" s="15" t="s">
        <v>30549</v>
      </c>
      <c r="K8510" s="15">
        <v>54.0</v>
      </c>
      <c r="L8510" s="15">
        <v>54.0</v>
      </c>
      <c r="M8510" s="40">
        <v>42946.0</v>
      </c>
      <c r="N8510" s="40">
        <v>42946.0</v>
      </c>
      <c r="O8510" s="15" t="s">
        <v>1554</v>
      </c>
      <c r="Q8510" s="7"/>
    </row>
    <row r="8511">
      <c r="A8511" s="39" t="s">
        <v>30550</v>
      </c>
      <c r="B8511" s="15">
        <v>2018029.0</v>
      </c>
      <c r="D8511" s="15">
        <v>0.0</v>
      </c>
      <c r="E8511" s="15" t="s">
        <v>1557</v>
      </c>
      <c r="F8511" s="15" t="s">
        <v>1611</v>
      </c>
      <c r="G8511" s="7">
        <v>40.574</v>
      </c>
      <c r="H8511" s="15" t="s">
        <v>3432</v>
      </c>
      <c r="I8511" s="15" t="s">
        <v>1586</v>
      </c>
      <c r="J8511" s="15" t="s">
        <v>30551</v>
      </c>
      <c r="K8511" s="15" t="s">
        <v>1722</v>
      </c>
      <c r="L8511" s="15">
        <v>68.0</v>
      </c>
      <c r="M8511" s="40">
        <v>42927.0</v>
      </c>
      <c r="N8511" s="40">
        <v>42927.0</v>
      </c>
      <c r="O8511" s="15" t="s">
        <v>1554</v>
      </c>
      <c r="Q8511" s="7"/>
    </row>
    <row r="8512">
      <c r="A8512" s="39" t="s">
        <v>30552</v>
      </c>
      <c r="B8512" s="15">
        <v>2020879.0</v>
      </c>
      <c r="D8512" s="15">
        <v>0.0</v>
      </c>
      <c r="E8512" s="15" t="s">
        <v>1557</v>
      </c>
      <c r="F8512" s="15" t="s">
        <v>1833</v>
      </c>
      <c r="G8512" s="7">
        <v>110.901</v>
      </c>
      <c r="H8512" s="15" t="s">
        <v>2197</v>
      </c>
      <c r="I8512" s="15" t="s">
        <v>1586</v>
      </c>
      <c r="J8512" s="15" t="s">
        <v>30553</v>
      </c>
      <c r="K8512" s="15">
        <v>166.0</v>
      </c>
      <c r="L8512" s="15">
        <v>166.0</v>
      </c>
      <c r="M8512" s="40">
        <v>42941.0</v>
      </c>
      <c r="N8512" s="40">
        <v>42941.0</v>
      </c>
      <c r="O8512" s="15" t="s">
        <v>1554</v>
      </c>
      <c r="Q8512" s="7"/>
    </row>
    <row r="8513">
      <c r="A8513" s="39" t="s">
        <v>30554</v>
      </c>
      <c r="B8513" s="15">
        <v>2022331.0</v>
      </c>
      <c r="D8513" s="15">
        <v>0.0</v>
      </c>
      <c r="E8513" s="15" t="s">
        <v>4407</v>
      </c>
      <c r="F8513" s="15" t="s">
        <v>1578</v>
      </c>
      <c r="G8513" s="7">
        <v>42.091</v>
      </c>
      <c r="H8513" s="15" t="s">
        <v>9693</v>
      </c>
      <c r="I8513" s="15" t="s">
        <v>1586</v>
      </c>
      <c r="J8513" s="15" t="s">
        <v>30555</v>
      </c>
      <c r="K8513" s="15">
        <v>38.0</v>
      </c>
      <c r="L8513" s="15">
        <v>38.0</v>
      </c>
      <c r="M8513" s="40">
        <v>42946.0</v>
      </c>
      <c r="N8513" s="40">
        <v>42946.0</v>
      </c>
      <c r="O8513" s="15" t="s">
        <v>1554</v>
      </c>
      <c r="Q8513" s="7"/>
    </row>
    <row r="8514">
      <c r="A8514" s="39" t="s">
        <v>30557</v>
      </c>
      <c r="B8514" s="15">
        <v>2022474.0</v>
      </c>
      <c r="D8514" s="15">
        <v>0.0</v>
      </c>
      <c r="E8514" s="15" t="s">
        <v>1557</v>
      </c>
      <c r="F8514" s="15" t="s">
        <v>1611</v>
      </c>
      <c r="G8514" s="7">
        <v>19.105</v>
      </c>
      <c r="H8514" s="15" t="s">
        <v>1994</v>
      </c>
      <c r="I8514" s="15" t="s">
        <v>1586</v>
      </c>
      <c r="J8514" s="15" t="s">
        <v>30558</v>
      </c>
      <c r="K8514" s="15">
        <v>26.0</v>
      </c>
      <c r="L8514" s="15">
        <v>25.0</v>
      </c>
      <c r="M8514" s="40">
        <v>42956.0</v>
      </c>
      <c r="N8514" s="40">
        <v>42956.0</v>
      </c>
      <c r="O8514" s="15" t="s">
        <v>1554</v>
      </c>
      <c r="Q8514" s="7"/>
    </row>
    <row r="8515">
      <c r="A8515" s="39" t="s">
        <v>30559</v>
      </c>
      <c r="B8515" s="15">
        <v>2022859.0</v>
      </c>
      <c r="D8515" s="15">
        <v>0.0</v>
      </c>
      <c r="E8515" s="15" t="s">
        <v>1557</v>
      </c>
      <c r="F8515" s="15" t="s">
        <v>1611</v>
      </c>
      <c r="G8515" s="7">
        <v>45.385</v>
      </c>
      <c r="H8515" s="15" t="s">
        <v>2178</v>
      </c>
      <c r="I8515" s="15" t="s">
        <v>1586</v>
      </c>
      <c r="J8515" s="15" t="s">
        <v>30560</v>
      </c>
      <c r="K8515" s="15" t="s">
        <v>1722</v>
      </c>
      <c r="L8515" s="15">
        <v>54.0</v>
      </c>
      <c r="M8515" s="40">
        <v>42953.0</v>
      </c>
      <c r="N8515" s="40">
        <v>42953.0</v>
      </c>
      <c r="O8515" s="15" t="s">
        <v>1554</v>
      </c>
      <c r="Q8515" s="7"/>
    </row>
    <row r="8516">
      <c r="A8516" s="39" t="s">
        <v>30562</v>
      </c>
      <c r="B8516" s="15">
        <v>2023716.0</v>
      </c>
      <c r="D8516" s="15">
        <v>0.0</v>
      </c>
      <c r="E8516" s="15" t="s">
        <v>4407</v>
      </c>
      <c r="F8516" s="15" t="s">
        <v>1578</v>
      </c>
      <c r="G8516" s="7">
        <v>9.174</v>
      </c>
      <c r="H8516" s="15" t="s">
        <v>3870</v>
      </c>
      <c r="I8516" s="15" t="s">
        <v>1586</v>
      </c>
      <c r="J8516" s="15" t="s">
        <v>30563</v>
      </c>
      <c r="K8516" s="15" t="s">
        <v>1722</v>
      </c>
      <c r="L8516" s="15">
        <v>16.0</v>
      </c>
      <c r="M8516" s="40">
        <v>42950.0</v>
      </c>
      <c r="N8516" s="40">
        <v>42950.0</v>
      </c>
      <c r="O8516" s="15" t="s">
        <v>1554</v>
      </c>
      <c r="Q8516" s="7"/>
    </row>
    <row r="8517">
      <c r="A8517" s="39" t="s">
        <v>30564</v>
      </c>
      <c r="B8517" s="15">
        <v>2023949.0</v>
      </c>
      <c r="D8517" s="15">
        <v>0.0</v>
      </c>
      <c r="E8517" s="15" t="s">
        <v>1557</v>
      </c>
      <c r="F8517" s="15" t="s">
        <v>1611</v>
      </c>
      <c r="G8517" s="7">
        <v>25.032</v>
      </c>
      <c r="H8517" s="42">
        <v>43281.0</v>
      </c>
      <c r="I8517" s="15" t="s">
        <v>1586</v>
      </c>
      <c r="J8517" s="15" t="s">
        <v>30565</v>
      </c>
      <c r="K8517" s="15" t="s">
        <v>1722</v>
      </c>
      <c r="L8517" s="15">
        <v>34.0</v>
      </c>
      <c r="M8517" s="40">
        <v>42966.0</v>
      </c>
      <c r="N8517" s="40">
        <v>42966.0</v>
      </c>
      <c r="O8517" s="15" t="s">
        <v>1554</v>
      </c>
      <c r="Q8517" s="7"/>
    </row>
    <row r="8518">
      <c r="A8518" s="39" t="s">
        <v>30567</v>
      </c>
      <c r="B8518" s="15">
        <v>2023950.0</v>
      </c>
      <c r="D8518" s="15">
        <v>0.0</v>
      </c>
      <c r="E8518" s="15" t="s">
        <v>1557</v>
      </c>
      <c r="F8518" s="15" t="s">
        <v>1611</v>
      </c>
      <c r="G8518" s="7">
        <v>26.061</v>
      </c>
      <c r="H8518" s="42">
        <v>43130.0</v>
      </c>
      <c r="I8518" s="15" t="s">
        <v>1586</v>
      </c>
      <c r="J8518" s="15" t="s">
        <v>30568</v>
      </c>
      <c r="K8518" s="15" t="s">
        <v>1722</v>
      </c>
      <c r="L8518" s="15">
        <v>40.0</v>
      </c>
      <c r="M8518" s="40">
        <v>42966.0</v>
      </c>
      <c r="N8518" s="40">
        <v>42966.0</v>
      </c>
      <c r="O8518" s="15" t="s">
        <v>1554</v>
      </c>
      <c r="Q8518" s="7"/>
    </row>
    <row r="8519">
      <c r="A8519" s="39" t="s">
        <v>30569</v>
      </c>
      <c r="B8519" s="15">
        <v>2023951.0</v>
      </c>
      <c r="D8519" s="15">
        <v>0.0</v>
      </c>
      <c r="E8519" s="15" t="s">
        <v>1557</v>
      </c>
      <c r="F8519" s="15" t="s">
        <v>1611</v>
      </c>
      <c r="G8519" s="7">
        <v>23.946</v>
      </c>
      <c r="H8519" s="42">
        <v>43281.0</v>
      </c>
      <c r="I8519" s="15" t="s">
        <v>1586</v>
      </c>
      <c r="J8519" s="15" t="s">
        <v>30570</v>
      </c>
      <c r="K8519" s="15" t="s">
        <v>1722</v>
      </c>
      <c r="L8519" s="15">
        <v>34.0</v>
      </c>
      <c r="M8519" s="40">
        <v>42966.0</v>
      </c>
      <c r="N8519" s="40">
        <v>42966.0</v>
      </c>
      <c r="O8519" s="15" t="s">
        <v>1554</v>
      </c>
      <c r="Q8519" s="7"/>
    </row>
    <row r="8520">
      <c r="A8520" s="39" t="s">
        <v>30571</v>
      </c>
      <c r="B8520" s="15">
        <v>2023953.0</v>
      </c>
      <c r="D8520" s="15">
        <v>0.0</v>
      </c>
      <c r="E8520" s="15" t="s">
        <v>1557</v>
      </c>
      <c r="F8520" s="15" t="s">
        <v>1833</v>
      </c>
      <c r="G8520" s="7">
        <v>55.735</v>
      </c>
      <c r="H8520" s="15" t="s">
        <v>4430</v>
      </c>
      <c r="I8520" s="15" t="s">
        <v>1586</v>
      </c>
      <c r="J8520" s="15" t="s">
        <v>30572</v>
      </c>
      <c r="K8520" s="15">
        <v>104.0</v>
      </c>
      <c r="L8520" s="15">
        <v>103.0</v>
      </c>
      <c r="M8520" s="40">
        <v>42956.0</v>
      </c>
      <c r="N8520" s="40">
        <v>42956.0</v>
      </c>
      <c r="O8520" s="15" t="s">
        <v>1554</v>
      </c>
      <c r="Q8520" s="7"/>
    </row>
    <row r="8521">
      <c r="A8521" s="39" t="s">
        <v>30574</v>
      </c>
      <c r="B8521" s="15">
        <v>2023958.0</v>
      </c>
      <c r="D8521" s="15">
        <v>0.0</v>
      </c>
      <c r="E8521" s="15" t="s">
        <v>1557</v>
      </c>
      <c r="F8521" s="15" t="s">
        <v>1833</v>
      </c>
      <c r="G8521" s="7">
        <v>68.324</v>
      </c>
      <c r="H8521" s="15" t="s">
        <v>4308</v>
      </c>
      <c r="I8521" s="15" t="s">
        <v>1586</v>
      </c>
      <c r="J8521" s="15" t="s">
        <v>30575</v>
      </c>
      <c r="K8521" s="15">
        <v>102.0</v>
      </c>
      <c r="L8521" s="15">
        <v>102.0</v>
      </c>
      <c r="M8521" s="40">
        <v>42956.0</v>
      </c>
      <c r="N8521" s="40">
        <v>42956.0</v>
      </c>
      <c r="O8521" s="15" t="s">
        <v>1554</v>
      </c>
      <c r="Q8521" s="7"/>
    </row>
    <row r="8522">
      <c r="A8522" s="39" t="s">
        <v>30576</v>
      </c>
      <c r="B8522" s="15">
        <v>2023959.0</v>
      </c>
      <c r="D8522" s="15">
        <v>0.0</v>
      </c>
      <c r="E8522" s="15" t="s">
        <v>1557</v>
      </c>
      <c r="F8522" s="15" t="s">
        <v>1833</v>
      </c>
      <c r="G8522" s="7">
        <v>131.976</v>
      </c>
      <c r="H8522" s="15" t="s">
        <v>1772</v>
      </c>
      <c r="I8522" s="15" t="s">
        <v>1586</v>
      </c>
      <c r="J8522" s="15" t="s">
        <v>30577</v>
      </c>
      <c r="K8522" s="15">
        <v>283.0</v>
      </c>
      <c r="L8522" s="15">
        <v>234.0</v>
      </c>
      <c r="M8522" s="40">
        <v>42956.0</v>
      </c>
      <c r="N8522" s="40">
        <v>42956.0</v>
      </c>
      <c r="O8522" s="15" t="s">
        <v>1554</v>
      </c>
      <c r="Q8522" s="7"/>
    </row>
    <row r="8523">
      <c r="A8523" s="39" t="s">
        <v>30578</v>
      </c>
      <c r="B8523" s="15">
        <v>2023990.0</v>
      </c>
      <c r="D8523" s="15">
        <v>0.0</v>
      </c>
      <c r="E8523" s="15" t="s">
        <v>1557</v>
      </c>
      <c r="F8523" s="15" t="s">
        <v>1767</v>
      </c>
      <c r="G8523" s="7">
        <v>82.101</v>
      </c>
      <c r="H8523" s="15">
        <v>39.0</v>
      </c>
      <c r="I8523" s="15" t="s">
        <v>1586</v>
      </c>
      <c r="J8523" s="15" t="s">
        <v>30579</v>
      </c>
      <c r="K8523" s="15" t="s">
        <v>1722</v>
      </c>
      <c r="L8523" s="15">
        <v>123.0</v>
      </c>
      <c r="M8523" s="40">
        <v>42956.0</v>
      </c>
      <c r="N8523" s="40">
        <v>42956.0</v>
      </c>
      <c r="O8523" s="15" t="s">
        <v>1554</v>
      </c>
      <c r="Q8523" s="7"/>
    </row>
    <row r="8524">
      <c r="A8524" s="39" t="s">
        <v>30580</v>
      </c>
      <c r="B8524" s="15">
        <v>2023992.0</v>
      </c>
      <c r="D8524" s="15">
        <v>0.0</v>
      </c>
      <c r="E8524" s="15" t="s">
        <v>1557</v>
      </c>
      <c r="F8524" s="15" t="s">
        <v>1833</v>
      </c>
      <c r="G8524" s="7">
        <v>131.086</v>
      </c>
      <c r="H8524" s="15" t="s">
        <v>3304</v>
      </c>
      <c r="I8524" s="15" t="s">
        <v>1586</v>
      </c>
      <c r="J8524" s="15" t="s">
        <v>30582</v>
      </c>
      <c r="K8524" s="15">
        <v>267.0</v>
      </c>
      <c r="L8524" s="15">
        <v>221.0</v>
      </c>
      <c r="M8524" s="40">
        <v>42956.0</v>
      </c>
      <c r="N8524" s="40">
        <v>42956.0</v>
      </c>
      <c r="O8524" s="15" t="s">
        <v>1554</v>
      </c>
      <c r="Q8524" s="7"/>
    </row>
    <row r="8525">
      <c r="A8525" s="39" t="s">
        <v>30583</v>
      </c>
      <c r="B8525" s="15">
        <v>2023993.0</v>
      </c>
      <c r="D8525" s="15">
        <v>0.0</v>
      </c>
      <c r="E8525" s="15" t="s">
        <v>1557</v>
      </c>
      <c r="F8525" s="15" t="s">
        <v>1833</v>
      </c>
      <c r="G8525" s="7">
        <v>133.486</v>
      </c>
      <c r="H8525" s="15" t="s">
        <v>1802</v>
      </c>
      <c r="I8525" s="15" t="s">
        <v>1586</v>
      </c>
      <c r="J8525" s="15" t="s">
        <v>30584</v>
      </c>
      <c r="K8525" s="15">
        <v>263.0</v>
      </c>
      <c r="L8525" s="15">
        <v>216.0</v>
      </c>
      <c r="M8525" s="40">
        <v>42956.0</v>
      </c>
      <c r="N8525" s="40">
        <v>42956.0</v>
      </c>
      <c r="O8525" s="15" t="s">
        <v>1554</v>
      </c>
      <c r="Q8525" s="7"/>
    </row>
    <row r="8526">
      <c r="A8526" s="39" t="s">
        <v>30585</v>
      </c>
      <c r="B8526" s="15">
        <v>2023994.0</v>
      </c>
      <c r="D8526" s="15">
        <v>0.0</v>
      </c>
      <c r="E8526" s="15" t="s">
        <v>1557</v>
      </c>
      <c r="F8526" s="15" t="s">
        <v>1833</v>
      </c>
      <c r="G8526" s="7">
        <v>133.047</v>
      </c>
      <c r="H8526" s="15" t="s">
        <v>1802</v>
      </c>
      <c r="I8526" s="15" t="s">
        <v>1586</v>
      </c>
      <c r="J8526" s="15" t="s">
        <v>30586</v>
      </c>
      <c r="K8526" s="15">
        <v>270.0</v>
      </c>
      <c r="L8526" s="15">
        <v>226.0</v>
      </c>
      <c r="M8526" s="40">
        <v>42956.0</v>
      </c>
      <c r="N8526" s="40">
        <v>42956.0</v>
      </c>
      <c r="O8526" s="15" t="s">
        <v>1554</v>
      </c>
      <c r="Q8526" s="7"/>
    </row>
    <row r="8527">
      <c r="A8527" s="39" t="s">
        <v>30587</v>
      </c>
      <c r="B8527" s="15">
        <v>2023995.0</v>
      </c>
      <c r="D8527" s="15">
        <v>0.0</v>
      </c>
      <c r="E8527" s="15" t="s">
        <v>1557</v>
      </c>
      <c r="F8527" s="15" t="s">
        <v>1833</v>
      </c>
      <c r="G8527" s="7">
        <v>133.71</v>
      </c>
      <c r="H8527" s="15" t="s">
        <v>3836</v>
      </c>
      <c r="I8527" s="15" t="s">
        <v>1586</v>
      </c>
      <c r="J8527" s="15" t="s">
        <v>30588</v>
      </c>
      <c r="K8527" s="15">
        <v>271.0</v>
      </c>
      <c r="L8527" s="15">
        <v>226.0</v>
      </c>
      <c r="M8527" s="40">
        <v>42962.0</v>
      </c>
      <c r="N8527" s="41">
        <v>43055.0</v>
      </c>
      <c r="O8527" s="15" t="s">
        <v>1554</v>
      </c>
      <c r="Q8527" s="7"/>
    </row>
    <row r="8528">
      <c r="A8528" s="39" t="s">
        <v>30590</v>
      </c>
      <c r="B8528" s="15">
        <v>2023996.0</v>
      </c>
      <c r="D8528" s="15">
        <v>0.0</v>
      </c>
      <c r="E8528" s="15" t="s">
        <v>1557</v>
      </c>
      <c r="F8528" s="15" t="s">
        <v>1767</v>
      </c>
      <c r="G8528" s="7">
        <v>204.93</v>
      </c>
      <c r="H8528" s="15" t="s">
        <v>2440</v>
      </c>
      <c r="I8528" s="15" t="s">
        <v>1586</v>
      </c>
      <c r="J8528" s="15" t="s">
        <v>30591</v>
      </c>
      <c r="K8528" s="15">
        <v>279.0</v>
      </c>
      <c r="L8528" s="15">
        <v>269.0</v>
      </c>
      <c r="M8528" s="40">
        <v>42956.0</v>
      </c>
      <c r="N8528" s="40">
        <v>42956.0</v>
      </c>
      <c r="O8528" s="15" t="s">
        <v>1554</v>
      </c>
      <c r="Q8528" s="7"/>
    </row>
    <row r="8529">
      <c r="A8529" s="39" t="s">
        <v>30592</v>
      </c>
      <c r="B8529" s="15">
        <v>2023998.0</v>
      </c>
      <c r="D8529" s="15">
        <v>0.0</v>
      </c>
      <c r="E8529" s="15" t="s">
        <v>4407</v>
      </c>
      <c r="F8529" s="15" t="s">
        <v>1578</v>
      </c>
      <c r="G8529" s="7">
        <v>120.295</v>
      </c>
      <c r="H8529" s="15" t="s">
        <v>6303</v>
      </c>
      <c r="I8529" s="15" t="s">
        <v>1586</v>
      </c>
      <c r="J8529" s="15" t="s">
        <v>30593</v>
      </c>
      <c r="K8529" s="15" t="s">
        <v>1722</v>
      </c>
      <c r="L8529" s="15">
        <v>95.0</v>
      </c>
      <c r="M8529" s="40">
        <v>42966.0</v>
      </c>
      <c r="N8529" s="40">
        <v>42966.0</v>
      </c>
      <c r="O8529" s="15" t="s">
        <v>1554</v>
      </c>
      <c r="Q8529" s="7"/>
    </row>
    <row r="8530">
      <c r="A8530" s="39" t="s">
        <v>30594</v>
      </c>
      <c r="B8530" s="15">
        <v>2023999.0</v>
      </c>
      <c r="D8530" s="15">
        <v>0.0</v>
      </c>
      <c r="E8530" s="15" t="s">
        <v>4407</v>
      </c>
      <c r="F8530" s="15" t="s">
        <v>1578</v>
      </c>
      <c r="G8530" s="7">
        <v>33.906</v>
      </c>
      <c r="H8530" s="15" t="s">
        <v>2223</v>
      </c>
      <c r="I8530" s="15" t="s">
        <v>1586</v>
      </c>
      <c r="J8530" s="15" t="s">
        <v>30595</v>
      </c>
      <c r="K8530" s="15" t="s">
        <v>1722</v>
      </c>
      <c r="L8530" s="15">
        <v>44.0</v>
      </c>
      <c r="M8530" s="40">
        <v>42966.0</v>
      </c>
      <c r="N8530" s="40">
        <v>42966.0</v>
      </c>
      <c r="O8530" s="15" t="s">
        <v>1554</v>
      </c>
      <c r="Q8530" s="7"/>
    </row>
    <row r="8531">
      <c r="A8531" s="39" t="s">
        <v>30597</v>
      </c>
      <c r="B8531" s="15">
        <v>2024005.0</v>
      </c>
      <c r="D8531" s="15">
        <v>0.0</v>
      </c>
      <c r="E8531" s="15" t="s">
        <v>1557</v>
      </c>
      <c r="F8531" s="15" t="s">
        <v>1833</v>
      </c>
      <c r="G8531" s="7">
        <v>60.746</v>
      </c>
      <c r="H8531" s="15" t="s">
        <v>12271</v>
      </c>
      <c r="I8531" s="15" t="s">
        <v>1586</v>
      </c>
      <c r="J8531" s="15" t="s">
        <v>30598</v>
      </c>
      <c r="K8531" s="15">
        <v>98.0</v>
      </c>
      <c r="L8531" s="15">
        <v>97.0</v>
      </c>
      <c r="M8531" s="40">
        <v>42956.0</v>
      </c>
      <c r="N8531" s="40">
        <v>42956.0</v>
      </c>
      <c r="O8531" s="15" t="s">
        <v>1554</v>
      </c>
      <c r="Q8531" s="7"/>
    </row>
    <row r="8532">
      <c r="A8532" s="39" t="s">
        <v>30599</v>
      </c>
      <c r="B8532" s="15">
        <v>2024006.0</v>
      </c>
      <c r="D8532" s="15">
        <v>0.0</v>
      </c>
      <c r="E8532" s="15" t="s">
        <v>1557</v>
      </c>
      <c r="F8532" s="15" t="s">
        <v>1833</v>
      </c>
      <c r="G8532" s="7">
        <v>51.138</v>
      </c>
      <c r="H8532" s="15" t="s">
        <v>4190</v>
      </c>
      <c r="I8532" s="15" t="s">
        <v>1586</v>
      </c>
      <c r="J8532" s="15" t="s">
        <v>30600</v>
      </c>
      <c r="K8532" s="15">
        <v>79.0</v>
      </c>
      <c r="L8532" s="15">
        <v>79.0</v>
      </c>
      <c r="M8532" s="40">
        <v>42956.0</v>
      </c>
      <c r="N8532" s="40">
        <v>42956.0</v>
      </c>
      <c r="O8532" s="15" t="s">
        <v>1554</v>
      </c>
      <c r="Q8532" s="7"/>
    </row>
    <row r="8533">
      <c r="A8533" s="39" t="s">
        <v>30601</v>
      </c>
      <c r="B8533" s="15">
        <v>2024007.0</v>
      </c>
      <c r="D8533" s="15">
        <v>0.0</v>
      </c>
      <c r="E8533" s="15" t="s">
        <v>1557</v>
      </c>
      <c r="F8533" s="15" t="s">
        <v>1833</v>
      </c>
      <c r="G8533" s="7">
        <v>49.976</v>
      </c>
      <c r="H8533" s="15" t="s">
        <v>4467</v>
      </c>
      <c r="I8533" s="15" t="s">
        <v>1586</v>
      </c>
      <c r="J8533" s="15" t="s">
        <v>30602</v>
      </c>
      <c r="K8533" s="15">
        <v>72.0</v>
      </c>
      <c r="L8533" s="15">
        <v>72.0</v>
      </c>
      <c r="M8533" s="40">
        <v>42956.0</v>
      </c>
      <c r="N8533" s="40">
        <v>42956.0</v>
      </c>
      <c r="O8533" s="15" t="s">
        <v>1554</v>
      </c>
      <c r="Q8533" s="7"/>
    </row>
    <row r="8534">
      <c r="A8534" s="39" t="s">
        <v>30604</v>
      </c>
      <c r="B8534" s="15">
        <v>2024010.0</v>
      </c>
      <c r="D8534" s="15">
        <v>0.0</v>
      </c>
      <c r="E8534" s="15" t="s">
        <v>1557</v>
      </c>
      <c r="F8534" s="15" t="s">
        <v>1833</v>
      </c>
      <c r="G8534" s="7">
        <v>80.123</v>
      </c>
      <c r="H8534" s="15" t="s">
        <v>13856</v>
      </c>
      <c r="I8534" s="15" t="s">
        <v>1586</v>
      </c>
      <c r="J8534" s="15" t="s">
        <v>30605</v>
      </c>
      <c r="K8534" s="15">
        <v>168.0</v>
      </c>
      <c r="L8534" s="15">
        <v>144.0</v>
      </c>
      <c r="M8534" s="40">
        <v>42956.0</v>
      </c>
      <c r="N8534" s="40">
        <v>42956.0</v>
      </c>
      <c r="O8534" s="15" t="s">
        <v>1554</v>
      </c>
      <c r="Q8534" s="7"/>
    </row>
    <row r="8535">
      <c r="A8535" s="39" t="s">
        <v>30606</v>
      </c>
      <c r="B8535" s="15">
        <v>2024208.0</v>
      </c>
      <c r="D8535" s="15">
        <v>0.0</v>
      </c>
      <c r="E8535" s="15" t="s">
        <v>1557</v>
      </c>
      <c r="F8535" s="15" t="s">
        <v>1767</v>
      </c>
      <c r="G8535" s="7">
        <v>229.929</v>
      </c>
      <c r="H8535" s="15" t="s">
        <v>1607</v>
      </c>
      <c r="I8535" s="15" t="s">
        <v>1586</v>
      </c>
      <c r="J8535" s="15" t="s">
        <v>30607</v>
      </c>
      <c r="K8535" s="15" t="s">
        <v>1722</v>
      </c>
      <c r="L8535" s="15">
        <v>402.0</v>
      </c>
      <c r="M8535" s="40">
        <v>42966.0</v>
      </c>
      <c r="N8535" s="40">
        <v>42966.0</v>
      </c>
      <c r="O8535" s="15" t="s">
        <v>1554</v>
      </c>
      <c r="Q8535" s="7"/>
    </row>
    <row r="8536">
      <c r="A8536" s="39" t="s">
        <v>30608</v>
      </c>
      <c r="B8536" s="15">
        <v>2024210.0</v>
      </c>
      <c r="D8536" s="15">
        <v>0.0</v>
      </c>
      <c r="E8536" s="15" t="s">
        <v>1557</v>
      </c>
      <c r="F8536" s="15" t="s">
        <v>1833</v>
      </c>
      <c r="G8536" s="7">
        <v>39.779</v>
      </c>
      <c r="H8536" s="15" t="s">
        <v>6303</v>
      </c>
      <c r="I8536" s="15" t="s">
        <v>1586</v>
      </c>
      <c r="J8536" s="15" t="s">
        <v>30610</v>
      </c>
      <c r="K8536" s="15" t="s">
        <v>1722</v>
      </c>
      <c r="L8536" s="15">
        <v>68.0</v>
      </c>
      <c r="M8536" s="40">
        <v>42966.0</v>
      </c>
      <c r="N8536" s="40">
        <v>42966.0</v>
      </c>
      <c r="O8536" s="15" t="s">
        <v>1554</v>
      </c>
      <c r="Q8536" s="7"/>
    </row>
    <row r="8537">
      <c r="A8537" s="39" t="s">
        <v>30611</v>
      </c>
      <c r="B8537" s="15">
        <v>2024211.0</v>
      </c>
      <c r="D8537" s="15">
        <v>0.0</v>
      </c>
      <c r="E8537" s="15" t="s">
        <v>1557</v>
      </c>
      <c r="F8537" s="15" t="s">
        <v>1833</v>
      </c>
      <c r="G8537" s="7">
        <v>40.108</v>
      </c>
      <c r="H8537" s="15" t="s">
        <v>6303</v>
      </c>
      <c r="I8537" s="15" t="s">
        <v>1586</v>
      </c>
      <c r="J8537" s="15" t="s">
        <v>30612</v>
      </c>
      <c r="K8537" s="15" t="s">
        <v>1722</v>
      </c>
      <c r="L8537" s="15">
        <v>70.0</v>
      </c>
      <c r="M8537" s="40">
        <v>42966.0</v>
      </c>
      <c r="N8537" s="40">
        <v>42966.0</v>
      </c>
      <c r="O8537" s="15" t="s">
        <v>1554</v>
      </c>
      <c r="Q8537" s="7"/>
    </row>
    <row r="8538">
      <c r="A8538" s="39" t="s">
        <v>30613</v>
      </c>
      <c r="B8538" s="15">
        <v>2024212.0</v>
      </c>
      <c r="D8538" s="15">
        <v>0.0</v>
      </c>
      <c r="E8538" s="15" t="s">
        <v>1557</v>
      </c>
      <c r="F8538" s="15" t="s">
        <v>1833</v>
      </c>
      <c r="G8538" s="7">
        <v>40.462</v>
      </c>
      <c r="H8538" s="15" t="s">
        <v>3827</v>
      </c>
      <c r="I8538" s="15" t="s">
        <v>1586</v>
      </c>
      <c r="J8538" s="15" t="s">
        <v>30614</v>
      </c>
      <c r="K8538" s="15" t="s">
        <v>1722</v>
      </c>
      <c r="L8538" s="15">
        <v>71.0</v>
      </c>
      <c r="M8538" s="40">
        <v>42966.0</v>
      </c>
      <c r="N8538" s="40">
        <v>42966.0</v>
      </c>
      <c r="O8538" s="15" t="s">
        <v>1554</v>
      </c>
      <c r="Q8538" s="7"/>
    </row>
    <row r="8539">
      <c r="A8539" s="39" t="s">
        <v>30615</v>
      </c>
      <c r="B8539" s="15">
        <v>2024213.0</v>
      </c>
      <c r="D8539" s="15">
        <v>0.0</v>
      </c>
      <c r="E8539" s="15" t="s">
        <v>1557</v>
      </c>
      <c r="F8539" s="15" t="s">
        <v>1833</v>
      </c>
      <c r="G8539" s="7">
        <v>39.803</v>
      </c>
      <c r="H8539" s="15" t="s">
        <v>6303</v>
      </c>
      <c r="I8539" s="15" t="s">
        <v>1586</v>
      </c>
      <c r="J8539" s="15" t="s">
        <v>30616</v>
      </c>
      <c r="K8539" s="15" t="s">
        <v>1722</v>
      </c>
      <c r="L8539" s="15">
        <v>69.0</v>
      </c>
      <c r="M8539" s="40">
        <v>42966.0</v>
      </c>
      <c r="N8539" s="40">
        <v>42966.0</v>
      </c>
      <c r="O8539" s="15" t="s">
        <v>1554</v>
      </c>
      <c r="Q8539" s="7"/>
    </row>
    <row r="8540">
      <c r="A8540" s="39" t="s">
        <v>30617</v>
      </c>
      <c r="B8540" s="15">
        <v>2024214.0</v>
      </c>
      <c r="D8540" s="15">
        <v>0.0</v>
      </c>
      <c r="E8540" s="15" t="s">
        <v>1557</v>
      </c>
      <c r="F8540" s="15" t="s">
        <v>1833</v>
      </c>
      <c r="G8540" s="7">
        <v>42.425</v>
      </c>
      <c r="H8540" s="15">
        <v>50.0</v>
      </c>
      <c r="I8540" s="15" t="s">
        <v>1586</v>
      </c>
      <c r="J8540" s="15" t="s">
        <v>30619</v>
      </c>
      <c r="K8540" s="15">
        <v>60.0</v>
      </c>
      <c r="L8540" s="15">
        <v>60.0</v>
      </c>
      <c r="M8540" s="40">
        <v>42962.0</v>
      </c>
      <c r="N8540" s="40">
        <v>42962.0</v>
      </c>
      <c r="O8540" s="15" t="s">
        <v>1554</v>
      </c>
      <c r="Q8540" s="7"/>
    </row>
    <row r="8541">
      <c r="A8541" s="39" t="s">
        <v>30620</v>
      </c>
      <c r="B8541" s="15">
        <v>2024229.0</v>
      </c>
      <c r="D8541" s="15">
        <v>0.0</v>
      </c>
      <c r="E8541" s="15" t="s">
        <v>1557</v>
      </c>
      <c r="F8541" s="15" t="s">
        <v>1767</v>
      </c>
      <c r="G8541" s="7">
        <v>50.345</v>
      </c>
      <c r="H8541" s="15" t="s">
        <v>1912</v>
      </c>
      <c r="I8541" s="15" t="s">
        <v>1586</v>
      </c>
      <c r="J8541" s="15" t="s">
        <v>30621</v>
      </c>
      <c r="K8541" s="15" t="s">
        <v>1722</v>
      </c>
      <c r="L8541" s="15">
        <v>67.0</v>
      </c>
      <c r="M8541" s="40">
        <v>42955.0</v>
      </c>
      <c r="N8541" s="40">
        <v>42962.0</v>
      </c>
      <c r="O8541" s="15" t="s">
        <v>1554</v>
      </c>
      <c r="Q8541" s="7"/>
    </row>
    <row r="8542">
      <c r="A8542" s="39" t="s">
        <v>30622</v>
      </c>
      <c r="B8542" s="15">
        <v>2024230.0</v>
      </c>
      <c r="D8542" s="15">
        <v>0.0</v>
      </c>
      <c r="E8542" s="15" t="s">
        <v>1557</v>
      </c>
      <c r="F8542" s="15" t="s">
        <v>1767</v>
      </c>
      <c r="G8542" s="7">
        <v>161.772</v>
      </c>
      <c r="H8542" s="15" t="s">
        <v>1607</v>
      </c>
      <c r="I8542" s="15" t="s">
        <v>1586</v>
      </c>
      <c r="J8542" s="15" t="s">
        <v>30623</v>
      </c>
      <c r="K8542" s="15">
        <v>304.0</v>
      </c>
      <c r="L8542" s="15">
        <v>301.0</v>
      </c>
      <c r="M8542" s="40">
        <v>42956.0</v>
      </c>
      <c r="N8542" s="40">
        <v>42956.0</v>
      </c>
      <c r="O8542" s="15" t="s">
        <v>1554</v>
      </c>
      <c r="Q8542" s="7"/>
    </row>
    <row r="8543">
      <c r="A8543" s="39" t="s">
        <v>30624</v>
      </c>
      <c r="B8543" s="15">
        <v>2024231.0</v>
      </c>
      <c r="D8543" s="15">
        <v>0.0</v>
      </c>
      <c r="E8543" s="15" t="s">
        <v>1557</v>
      </c>
      <c r="F8543" s="15" t="s">
        <v>1767</v>
      </c>
      <c r="G8543" s="7">
        <v>162.449</v>
      </c>
      <c r="H8543" s="15" t="s">
        <v>6565</v>
      </c>
      <c r="I8543" s="15" t="s">
        <v>1586</v>
      </c>
      <c r="J8543" s="15" t="s">
        <v>30626</v>
      </c>
      <c r="K8543" s="15">
        <v>302.0</v>
      </c>
      <c r="L8543" s="15">
        <v>302.0</v>
      </c>
      <c r="M8543" s="40">
        <v>42956.0</v>
      </c>
      <c r="N8543" s="40">
        <v>42956.0</v>
      </c>
      <c r="O8543" s="15" t="s">
        <v>1554</v>
      </c>
      <c r="Q8543" s="7"/>
    </row>
    <row r="8544">
      <c r="A8544" s="39" t="s">
        <v>30627</v>
      </c>
      <c r="B8544" s="15">
        <v>2024232.0</v>
      </c>
      <c r="D8544" s="15">
        <v>0.0</v>
      </c>
      <c r="E8544" s="15" t="s">
        <v>1557</v>
      </c>
      <c r="F8544" s="15" t="s">
        <v>1767</v>
      </c>
      <c r="G8544" s="7">
        <v>160.705</v>
      </c>
      <c r="H8544" s="15">
        <v>38.0</v>
      </c>
      <c r="I8544" s="15" t="s">
        <v>1586</v>
      </c>
      <c r="J8544" s="15" t="s">
        <v>30628</v>
      </c>
      <c r="K8544" s="15">
        <v>292.0</v>
      </c>
      <c r="L8544" s="15">
        <v>285.0</v>
      </c>
      <c r="M8544" s="40">
        <v>42956.0</v>
      </c>
      <c r="N8544" s="40">
        <v>42956.0</v>
      </c>
      <c r="O8544" s="15" t="s">
        <v>1554</v>
      </c>
      <c r="Q8544" s="7"/>
    </row>
    <row r="8545">
      <c r="A8545" s="39" t="s">
        <v>30629</v>
      </c>
      <c r="B8545" s="15">
        <v>2024233.0</v>
      </c>
      <c r="D8545" s="15">
        <v>0.0</v>
      </c>
      <c r="E8545" s="15" t="s">
        <v>1557</v>
      </c>
      <c r="F8545" s="15" t="s">
        <v>1767</v>
      </c>
      <c r="G8545" s="7">
        <v>161.807</v>
      </c>
      <c r="H8545" s="15" t="s">
        <v>2193</v>
      </c>
      <c r="I8545" s="15" t="s">
        <v>1586</v>
      </c>
      <c r="J8545" s="15" t="s">
        <v>30630</v>
      </c>
      <c r="K8545" s="15">
        <v>298.0</v>
      </c>
      <c r="L8545" s="15">
        <v>291.0</v>
      </c>
      <c r="M8545" s="40">
        <v>42956.0</v>
      </c>
      <c r="N8545" s="40">
        <v>42956.0</v>
      </c>
      <c r="O8545" s="15" t="s">
        <v>1554</v>
      </c>
      <c r="Q8545" s="7"/>
    </row>
    <row r="8546">
      <c r="A8546" s="39" t="s">
        <v>30631</v>
      </c>
      <c r="B8546" s="15">
        <v>2024234.0</v>
      </c>
      <c r="D8546" s="15">
        <v>0.0</v>
      </c>
      <c r="E8546" s="15" t="s">
        <v>1557</v>
      </c>
      <c r="F8546" s="15" t="s">
        <v>1767</v>
      </c>
      <c r="G8546" s="7">
        <v>162.281</v>
      </c>
      <c r="H8546" s="15" t="s">
        <v>2857</v>
      </c>
      <c r="I8546" s="15" t="s">
        <v>1586</v>
      </c>
      <c r="J8546" s="15" t="s">
        <v>30632</v>
      </c>
      <c r="K8546" s="15">
        <v>301.0</v>
      </c>
      <c r="L8546" s="15">
        <v>301.0</v>
      </c>
      <c r="M8546" s="40">
        <v>42956.0</v>
      </c>
      <c r="N8546" s="40">
        <v>42956.0</v>
      </c>
      <c r="O8546" s="15" t="s">
        <v>1554</v>
      </c>
      <c r="Q8546" s="7"/>
    </row>
    <row r="8547">
      <c r="A8547" s="39" t="s">
        <v>30633</v>
      </c>
      <c r="B8547" s="15">
        <v>2024235.0</v>
      </c>
      <c r="D8547" s="15">
        <v>0.0</v>
      </c>
      <c r="E8547" s="15" t="s">
        <v>1557</v>
      </c>
      <c r="F8547" s="15" t="s">
        <v>1767</v>
      </c>
      <c r="G8547" s="7">
        <v>162.692</v>
      </c>
      <c r="H8547" s="15" t="s">
        <v>1607</v>
      </c>
      <c r="I8547" s="15" t="s">
        <v>1586</v>
      </c>
      <c r="J8547" s="15" t="s">
        <v>30634</v>
      </c>
      <c r="K8547" s="15">
        <v>303.0</v>
      </c>
      <c r="L8547" s="15">
        <v>303.0</v>
      </c>
      <c r="M8547" s="40">
        <v>42956.0</v>
      </c>
      <c r="N8547" s="40">
        <v>42956.0</v>
      </c>
      <c r="O8547" s="15" t="s">
        <v>1554</v>
      </c>
      <c r="Q8547" s="7"/>
    </row>
    <row r="8548">
      <c r="A8548" s="39" t="s">
        <v>30635</v>
      </c>
      <c r="B8548" s="15">
        <v>2024237.0</v>
      </c>
      <c r="D8548" s="15">
        <v>0.0</v>
      </c>
      <c r="E8548" s="15" t="s">
        <v>1557</v>
      </c>
      <c r="F8548" s="15" t="s">
        <v>1611</v>
      </c>
      <c r="G8548" s="7">
        <v>44.597</v>
      </c>
      <c r="H8548" s="15" t="s">
        <v>7616</v>
      </c>
      <c r="I8548" s="15" t="s">
        <v>1586</v>
      </c>
      <c r="J8548" s="15" t="s">
        <v>30636</v>
      </c>
      <c r="K8548" s="15" t="s">
        <v>1722</v>
      </c>
      <c r="L8548" s="15">
        <v>54.0</v>
      </c>
      <c r="M8548" s="40">
        <v>42994.0</v>
      </c>
      <c r="N8548" s="40">
        <v>42994.0</v>
      </c>
      <c r="O8548" s="15" t="s">
        <v>1554</v>
      </c>
      <c r="Q8548" s="7"/>
    </row>
    <row r="8549">
      <c r="A8549" s="39" t="s">
        <v>30638</v>
      </c>
      <c r="B8549" s="15">
        <v>2024238.0</v>
      </c>
      <c r="D8549" s="15">
        <v>0.0</v>
      </c>
      <c r="E8549" s="15" t="s">
        <v>4407</v>
      </c>
      <c r="F8549" s="15" t="s">
        <v>1578</v>
      </c>
      <c r="G8549" s="7">
        <v>59.1</v>
      </c>
      <c r="H8549" s="15" t="s">
        <v>1966</v>
      </c>
      <c r="I8549" s="15" t="s">
        <v>1586</v>
      </c>
      <c r="J8549" s="15" t="s">
        <v>30639</v>
      </c>
      <c r="K8549" s="15">
        <v>79.0</v>
      </c>
      <c r="L8549" s="15">
        <v>79.0</v>
      </c>
      <c r="M8549" s="40">
        <v>42984.0</v>
      </c>
      <c r="N8549" s="40">
        <v>42984.0</v>
      </c>
      <c r="O8549" s="15" t="s">
        <v>1554</v>
      </c>
      <c r="Q8549" s="7"/>
    </row>
    <row r="8550">
      <c r="A8550" s="39" t="s">
        <v>30640</v>
      </c>
      <c r="B8550" s="15">
        <v>2024239.0</v>
      </c>
      <c r="D8550" s="15">
        <v>0.0</v>
      </c>
      <c r="E8550" s="15" t="s">
        <v>4407</v>
      </c>
      <c r="F8550" s="15" t="s">
        <v>1578</v>
      </c>
      <c r="G8550" s="7">
        <v>49.09</v>
      </c>
      <c r="H8550" s="15">
        <v>51.0</v>
      </c>
      <c r="I8550" s="15" t="s">
        <v>1586</v>
      </c>
      <c r="J8550" s="15" t="s">
        <v>30641</v>
      </c>
      <c r="K8550" s="15">
        <v>76.0</v>
      </c>
      <c r="L8550" s="15">
        <v>76.0</v>
      </c>
      <c r="M8550" s="40">
        <v>42984.0</v>
      </c>
      <c r="N8550" s="40">
        <v>42984.0</v>
      </c>
      <c r="O8550" s="15" t="s">
        <v>1554</v>
      </c>
      <c r="Q8550" s="7"/>
    </row>
    <row r="8551">
      <c r="A8551" s="39" t="s">
        <v>30642</v>
      </c>
      <c r="B8551" s="15">
        <v>2024240.0</v>
      </c>
      <c r="D8551" s="15">
        <v>0.0</v>
      </c>
      <c r="E8551" s="15" t="s">
        <v>4407</v>
      </c>
      <c r="F8551" s="15" t="s">
        <v>1578</v>
      </c>
      <c r="G8551" s="7">
        <v>59.1</v>
      </c>
      <c r="H8551" s="15" t="s">
        <v>1966</v>
      </c>
      <c r="I8551" s="15" t="s">
        <v>1586</v>
      </c>
      <c r="J8551" s="15" t="s">
        <v>30643</v>
      </c>
      <c r="K8551" s="15">
        <v>78.0</v>
      </c>
      <c r="L8551" s="15">
        <v>78.0</v>
      </c>
      <c r="M8551" s="40">
        <v>42984.0</v>
      </c>
      <c r="N8551" s="40">
        <v>42984.0</v>
      </c>
      <c r="O8551" s="15" t="s">
        <v>1554</v>
      </c>
      <c r="Q8551" s="7"/>
    </row>
    <row r="8552">
      <c r="A8552" s="39" t="s">
        <v>30644</v>
      </c>
      <c r="B8552" s="15">
        <v>2024241.0</v>
      </c>
      <c r="D8552" s="15">
        <v>0.0</v>
      </c>
      <c r="E8552" s="15" t="s">
        <v>4407</v>
      </c>
      <c r="F8552" s="15" t="s">
        <v>1578</v>
      </c>
      <c r="G8552" s="7">
        <v>59.087</v>
      </c>
      <c r="H8552" s="15" t="s">
        <v>1966</v>
      </c>
      <c r="I8552" s="15" t="s">
        <v>1586</v>
      </c>
      <c r="J8552" s="15" t="s">
        <v>30646</v>
      </c>
      <c r="K8552" s="15">
        <v>80.0</v>
      </c>
      <c r="L8552" s="15">
        <v>80.0</v>
      </c>
      <c r="M8552" s="40">
        <v>42984.0</v>
      </c>
      <c r="N8552" s="40">
        <v>42984.0</v>
      </c>
      <c r="O8552" s="15" t="s">
        <v>1554</v>
      </c>
      <c r="Q8552" s="7"/>
    </row>
    <row r="8553">
      <c r="A8553" s="39" t="s">
        <v>30647</v>
      </c>
      <c r="B8553" s="15">
        <v>2024247.0</v>
      </c>
      <c r="D8553" s="15">
        <v>0.0</v>
      </c>
      <c r="E8553" s="15" t="s">
        <v>4407</v>
      </c>
      <c r="F8553" s="15" t="s">
        <v>1578</v>
      </c>
      <c r="G8553" s="7">
        <v>40.048</v>
      </c>
      <c r="H8553" s="15" t="s">
        <v>1881</v>
      </c>
      <c r="I8553" s="15" t="s">
        <v>1586</v>
      </c>
      <c r="J8553" s="15" t="s">
        <v>30648</v>
      </c>
      <c r="K8553" s="15">
        <v>44.0</v>
      </c>
      <c r="L8553" s="15">
        <v>44.0</v>
      </c>
      <c r="M8553" s="40">
        <v>42994.0</v>
      </c>
      <c r="N8553" s="40">
        <v>42994.0</v>
      </c>
      <c r="O8553" s="15" t="s">
        <v>1554</v>
      </c>
      <c r="Q8553" s="7"/>
    </row>
    <row r="8554">
      <c r="A8554" s="39" t="s">
        <v>30649</v>
      </c>
      <c r="B8554" s="15">
        <v>2024248.0</v>
      </c>
      <c r="D8554" s="15">
        <v>0.0</v>
      </c>
      <c r="E8554" s="15" t="s">
        <v>4407</v>
      </c>
      <c r="F8554" s="15" t="s">
        <v>1578</v>
      </c>
      <c r="G8554" s="7">
        <v>39.064</v>
      </c>
      <c r="H8554" s="15" t="s">
        <v>2189</v>
      </c>
      <c r="I8554" s="15" t="s">
        <v>1586</v>
      </c>
      <c r="J8554" s="15" t="s">
        <v>30650</v>
      </c>
      <c r="K8554" s="15">
        <v>46.0</v>
      </c>
      <c r="L8554" s="15">
        <v>46.0</v>
      </c>
      <c r="M8554" s="40">
        <v>42996.0</v>
      </c>
      <c r="N8554" s="40">
        <v>42996.0</v>
      </c>
      <c r="O8554" s="15" t="s">
        <v>1554</v>
      </c>
      <c r="Q8554" s="7"/>
    </row>
    <row r="8555">
      <c r="A8555" s="39" t="s">
        <v>30651</v>
      </c>
      <c r="B8555" s="15">
        <v>2024249.0</v>
      </c>
      <c r="D8555" s="15">
        <v>0.0</v>
      </c>
      <c r="E8555" s="15" t="s">
        <v>4407</v>
      </c>
      <c r="F8555" s="15" t="s">
        <v>1578</v>
      </c>
      <c r="G8555" s="7">
        <v>39.3</v>
      </c>
      <c r="H8555" s="15" t="s">
        <v>2189</v>
      </c>
      <c r="I8555" s="15" t="s">
        <v>1586</v>
      </c>
      <c r="J8555" s="15" t="s">
        <v>30653</v>
      </c>
      <c r="K8555" s="15">
        <v>46.0</v>
      </c>
      <c r="L8555" s="15">
        <v>46.0</v>
      </c>
      <c r="M8555" s="40">
        <v>42996.0</v>
      </c>
      <c r="N8555" s="40">
        <v>42996.0</v>
      </c>
      <c r="O8555" s="15" t="s">
        <v>1554</v>
      </c>
      <c r="Q8555" s="7"/>
    </row>
    <row r="8556">
      <c r="A8556" s="39" t="s">
        <v>30654</v>
      </c>
      <c r="B8556" s="15">
        <v>2024250.0</v>
      </c>
      <c r="D8556" s="15">
        <v>0.0</v>
      </c>
      <c r="E8556" s="15" t="s">
        <v>4407</v>
      </c>
      <c r="F8556" s="15" t="s">
        <v>1578</v>
      </c>
      <c r="G8556" s="7">
        <v>159.631</v>
      </c>
      <c r="H8556" s="15">
        <v>52.0</v>
      </c>
      <c r="I8556" s="15" t="s">
        <v>1586</v>
      </c>
      <c r="J8556" s="15" t="s">
        <v>30655</v>
      </c>
      <c r="K8556" s="15">
        <v>213.0</v>
      </c>
      <c r="L8556" s="15">
        <v>213.0</v>
      </c>
      <c r="M8556" s="40">
        <v>42994.0</v>
      </c>
      <c r="N8556" s="40">
        <v>42994.0</v>
      </c>
      <c r="O8556" s="15" t="s">
        <v>1554</v>
      </c>
      <c r="Q8556" s="7"/>
    </row>
    <row r="8557">
      <c r="A8557" s="39" t="s">
        <v>30656</v>
      </c>
      <c r="B8557" s="15">
        <v>2024251.0</v>
      </c>
      <c r="D8557" s="15">
        <v>0.0</v>
      </c>
      <c r="E8557" s="15" t="s">
        <v>4407</v>
      </c>
      <c r="F8557" s="15" t="s">
        <v>1578</v>
      </c>
      <c r="G8557" s="7">
        <v>39.216</v>
      </c>
      <c r="H8557" s="15" t="s">
        <v>1750</v>
      </c>
      <c r="I8557" s="15" t="s">
        <v>1586</v>
      </c>
      <c r="J8557" s="15" t="s">
        <v>30657</v>
      </c>
      <c r="K8557" s="15">
        <v>43.0</v>
      </c>
      <c r="L8557" s="15">
        <v>43.0</v>
      </c>
      <c r="M8557" s="40">
        <v>42994.0</v>
      </c>
      <c r="N8557" s="40">
        <v>42994.0</v>
      </c>
      <c r="O8557" s="15" t="s">
        <v>1554</v>
      </c>
      <c r="Q8557" s="7"/>
    </row>
    <row r="8558">
      <c r="A8558" s="39" t="s">
        <v>30658</v>
      </c>
      <c r="B8558" s="15">
        <v>2024252.0</v>
      </c>
      <c r="D8558" s="15">
        <v>0.0</v>
      </c>
      <c r="E8558" s="15" t="s">
        <v>4407</v>
      </c>
      <c r="F8558" s="15" t="s">
        <v>1578</v>
      </c>
      <c r="G8558" s="7">
        <v>276.025</v>
      </c>
      <c r="H8558" s="15" t="s">
        <v>2981</v>
      </c>
      <c r="I8558" s="15" t="s">
        <v>1586</v>
      </c>
      <c r="J8558" s="15" t="s">
        <v>30659</v>
      </c>
      <c r="K8558" s="15">
        <v>363.0</v>
      </c>
      <c r="L8558" s="15">
        <v>363.0</v>
      </c>
      <c r="M8558" s="40">
        <v>42996.0</v>
      </c>
      <c r="N8558" s="40">
        <v>42996.0</v>
      </c>
      <c r="O8558" s="15" t="s">
        <v>1554</v>
      </c>
      <c r="Q8558" s="7"/>
    </row>
    <row r="8559">
      <c r="A8559" s="39" t="s">
        <v>30660</v>
      </c>
      <c r="B8559" s="15">
        <v>2024253.0</v>
      </c>
      <c r="D8559" s="15">
        <v>0.0</v>
      </c>
      <c r="E8559" s="15" t="s">
        <v>1557</v>
      </c>
      <c r="F8559" s="15" t="s">
        <v>1767</v>
      </c>
      <c r="G8559" s="7">
        <v>159.983</v>
      </c>
      <c r="H8559" s="15">
        <v>38.0</v>
      </c>
      <c r="I8559" s="15" t="s">
        <v>1586</v>
      </c>
      <c r="J8559" s="15" t="s">
        <v>30662</v>
      </c>
      <c r="K8559" s="15">
        <v>286.0</v>
      </c>
      <c r="L8559" s="15">
        <v>279.0</v>
      </c>
      <c r="M8559" s="40">
        <v>42966.0</v>
      </c>
      <c r="N8559" s="40">
        <v>42966.0</v>
      </c>
      <c r="O8559" s="15" t="s">
        <v>1554</v>
      </c>
      <c r="Q8559" s="7"/>
    </row>
    <row r="8560">
      <c r="A8560" s="39" t="s">
        <v>30663</v>
      </c>
      <c r="B8560" s="15">
        <v>2024254.0</v>
      </c>
      <c r="D8560" s="15">
        <v>0.0</v>
      </c>
      <c r="E8560" s="15" t="s">
        <v>1557</v>
      </c>
      <c r="F8560" s="15" t="s">
        <v>1833</v>
      </c>
      <c r="G8560" s="7">
        <v>46.932</v>
      </c>
      <c r="H8560" s="15" t="s">
        <v>2057</v>
      </c>
      <c r="I8560" s="15" t="s">
        <v>1586</v>
      </c>
      <c r="J8560" s="15" t="s">
        <v>30664</v>
      </c>
      <c r="K8560" s="15">
        <v>69.0</v>
      </c>
      <c r="L8560" s="15">
        <v>66.0</v>
      </c>
      <c r="M8560" s="40">
        <v>42956.0</v>
      </c>
      <c r="N8560" s="40">
        <v>42956.0</v>
      </c>
      <c r="O8560" s="15" t="s">
        <v>1554</v>
      </c>
      <c r="Q8560" s="7"/>
    </row>
    <row r="8561">
      <c r="A8561" s="39" t="s">
        <v>30665</v>
      </c>
      <c r="B8561" s="15">
        <v>2024261.0</v>
      </c>
      <c r="D8561" s="15">
        <v>0.0</v>
      </c>
      <c r="E8561" s="15" t="s">
        <v>4407</v>
      </c>
      <c r="F8561" s="15" t="s">
        <v>1578</v>
      </c>
      <c r="G8561" s="7">
        <v>45.423</v>
      </c>
      <c r="H8561" s="15" t="s">
        <v>3055</v>
      </c>
      <c r="I8561" s="15" t="s">
        <v>1586</v>
      </c>
      <c r="J8561" s="15" t="s">
        <v>30666</v>
      </c>
      <c r="K8561" s="15" t="s">
        <v>1722</v>
      </c>
      <c r="L8561" s="15">
        <v>18.0</v>
      </c>
      <c r="M8561" s="40">
        <v>42971.0</v>
      </c>
      <c r="N8561" s="40">
        <v>42971.0</v>
      </c>
      <c r="O8561" s="15" t="s">
        <v>1554</v>
      </c>
      <c r="Q8561" s="7"/>
    </row>
    <row r="8562">
      <c r="A8562" s="39" t="s">
        <v>30667</v>
      </c>
      <c r="B8562" s="15">
        <v>2024262.0</v>
      </c>
      <c r="D8562" s="15">
        <v>0.0</v>
      </c>
      <c r="E8562" s="15" t="s">
        <v>4407</v>
      </c>
      <c r="F8562" s="15" t="s">
        <v>1578</v>
      </c>
      <c r="G8562" s="7">
        <v>45.175</v>
      </c>
      <c r="H8562" s="15" t="s">
        <v>2996</v>
      </c>
      <c r="I8562" s="15" t="s">
        <v>1586</v>
      </c>
      <c r="J8562" s="15" t="s">
        <v>30668</v>
      </c>
      <c r="K8562" s="15" t="s">
        <v>1722</v>
      </c>
      <c r="L8562" s="15">
        <v>15.0</v>
      </c>
      <c r="M8562" s="40">
        <v>42971.0</v>
      </c>
      <c r="N8562" s="40">
        <v>42971.0</v>
      </c>
      <c r="O8562" s="15" t="s">
        <v>1554</v>
      </c>
      <c r="Q8562" s="7"/>
    </row>
    <row r="8563">
      <c r="A8563" s="39" t="s">
        <v>30669</v>
      </c>
      <c r="B8563" s="15">
        <v>2024263.0</v>
      </c>
      <c r="D8563" s="15">
        <v>0.0</v>
      </c>
      <c r="E8563" s="15" t="s">
        <v>4407</v>
      </c>
      <c r="F8563" s="15" t="s">
        <v>1578</v>
      </c>
      <c r="G8563" s="7">
        <v>143.349</v>
      </c>
      <c r="H8563" s="15" t="s">
        <v>4821</v>
      </c>
      <c r="I8563" s="15" t="s">
        <v>1586</v>
      </c>
      <c r="J8563" s="15" t="s">
        <v>30670</v>
      </c>
      <c r="K8563" s="15" t="s">
        <v>1722</v>
      </c>
      <c r="L8563" s="15">
        <v>102.0</v>
      </c>
      <c r="M8563" s="40">
        <v>42971.0</v>
      </c>
      <c r="N8563" s="40">
        <v>42971.0</v>
      </c>
      <c r="O8563" s="15" t="s">
        <v>1554</v>
      </c>
      <c r="Q8563" s="7"/>
    </row>
    <row r="8564">
      <c r="A8564" s="39" t="s">
        <v>30671</v>
      </c>
      <c r="B8564" s="15">
        <v>2024264.0</v>
      </c>
      <c r="D8564" s="15">
        <v>0.0</v>
      </c>
      <c r="E8564" s="15" t="s">
        <v>4407</v>
      </c>
      <c r="F8564" s="15" t="s">
        <v>1578</v>
      </c>
      <c r="G8564" s="7">
        <v>490.38</v>
      </c>
      <c r="H8564" s="15" t="s">
        <v>2316</v>
      </c>
      <c r="I8564" s="15" t="s">
        <v>1586</v>
      </c>
      <c r="J8564" s="15" t="s">
        <v>30673</v>
      </c>
      <c r="K8564" s="15" t="s">
        <v>1722</v>
      </c>
      <c r="L8564" s="15">
        <v>76.0</v>
      </c>
      <c r="M8564" s="40">
        <v>42971.0</v>
      </c>
      <c r="N8564" s="40">
        <v>42971.0</v>
      </c>
      <c r="O8564" s="15" t="s">
        <v>1554</v>
      </c>
      <c r="Q8564" s="7"/>
    </row>
    <row r="8565">
      <c r="A8565" s="39" t="s">
        <v>30674</v>
      </c>
      <c r="B8565" s="15">
        <v>2024265.0</v>
      </c>
      <c r="D8565" s="15">
        <v>0.0</v>
      </c>
      <c r="E8565" s="15" t="s">
        <v>4407</v>
      </c>
      <c r="F8565" s="15" t="s">
        <v>1578</v>
      </c>
      <c r="G8565" s="7">
        <v>58.966</v>
      </c>
      <c r="H8565" s="15" t="s">
        <v>4842</v>
      </c>
      <c r="I8565" s="15" t="s">
        <v>1586</v>
      </c>
      <c r="J8565" s="15" t="s">
        <v>30675</v>
      </c>
      <c r="K8565" s="15" t="s">
        <v>1722</v>
      </c>
      <c r="L8565" s="15">
        <v>37.0</v>
      </c>
      <c r="M8565" s="40">
        <v>42971.0</v>
      </c>
      <c r="N8565" s="40">
        <v>42971.0</v>
      </c>
      <c r="O8565" s="15" t="s">
        <v>1554</v>
      </c>
      <c r="Q8565" s="7"/>
    </row>
    <row r="8566">
      <c r="A8566" s="39" t="s">
        <v>30676</v>
      </c>
      <c r="B8566" s="15">
        <v>2024274.0</v>
      </c>
      <c r="D8566" s="15">
        <v>0.0</v>
      </c>
      <c r="E8566" s="15" t="s">
        <v>1557</v>
      </c>
      <c r="F8566" s="15" t="s">
        <v>1833</v>
      </c>
      <c r="G8566" s="7">
        <v>58.059</v>
      </c>
      <c r="H8566" s="15" t="s">
        <v>3082</v>
      </c>
      <c r="I8566" s="15" t="s">
        <v>1586</v>
      </c>
      <c r="J8566" s="15" t="s">
        <v>30677</v>
      </c>
      <c r="K8566" s="15">
        <v>97.0</v>
      </c>
      <c r="L8566" s="15">
        <v>97.0</v>
      </c>
      <c r="M8566" s="40">
        <v>42956.0</v>
      </c>
      <c r="N8566" s="40">
        <v>42956.0</v>
      </c>
      <c r="O8566" s="15" t="s">
        <v>1554</v>
      </c>
      <c r="Q8566" s="7"/>
    </row>
    <row r="8567">
      <c r="A8567" s="39" t="s">
        <v>30678</v>
      </c>
      <c r="B8567" s="15">
        <v>2024275.0</v>
      </c>
      <c r="D8567" s="15">
        <v>0.0</v>
      </c>
      <c r="E8567" s="15" t="s">
        <v>1557</v>
      </c>
      <c r="F8567" s="15" t="s">
        <v>1833</v>
      </c>
      <c r="G8567" s="7">
        <v>57.401</v>
      </c>
      <c r="H8567" s="15" t="s">
        <v>3082</v>
      </c>
      <c r="I8567" s="15" t="s">
        <v>1586</v>
      </c>
      <c r="J8567" s="15" t="s">
        <v>30679</v>
      </c>
      <c r="K8567" s="15">
        <v>96.0</v>
      </c>
      <c r="L8567" s="15">
        <v>96.0</v>
      </c>
      <c r="M8567" s="40">
        <v>42956.0</v>
      </c>
      <c r="N8567" s="40">
        <v>42956.0</v>
      </c>
      <c r="O8567" s="15" t="s">
        <v>1554</v>
      </c>
      <c r="Q8567" s="7"/>
    </row>
    <row r="8568">
      <c r="A8568" s="39" t="s">
        <v>30681</v>
      </c>
      <c r="B8568" s="15">
        <v>2024276.0</v>
      </c>
      <c r="D8568" s="15">
        <v>0.0</v>
      </c>
      <c r="E8568" s="15" t="s">
        <v>1557</v>
      </c>
      <c r="F8568" s="15" t="s">
        <v>1833</v>
      </c>
      <c r="G8568" s="7">
        <v>58.059</v>
      </c>
      <c r="H8568" s="15" t="s">
        <v>3082</v>
      </c>
      <c r="I8568" s="15" t="s">
        <v>1586</v>
      </c>
      <c r="J8568" s="15" t="s">
        <v>30682</v>
      </c>
      <c r="K8568" s="15">
        <v>97.0</v>
      </c>
      <c r="L8568" s="15">
        <v>97.0</v>
      </c>
      <c r="M8568" s="40">
        <v>42956.0</v>
      </c>
      <c r="N8568" s="40">
        <v>42956.0</v>
      </c>
      <c r="O8568" s="15" t="s">
        <v>1554</v>
      </c>
      <c r="Q8568" s="7"/>
    </row>
    <row r="8569">
      <c r="A8569" s="39" t="s">
        <v>30683</v>
      </c>
      <c r="B8569" s="15">
        <v>2024277.0</v>
      </c>
      <c r="D8569" s="15">
        <v>0.0</v>
      </c>
      <c r="E8569" s="15" t="s">
        <v>1557</v>
      </c>
      <c r="F8569" s="15" t="s">
        <v>1833</v>
      </c>
      <c r="G8569" s="7">
        <v>58.208</v>
      </c>
      <c r="H8569" s="15" t="s">
        <v>1792</v>
      </c>
      <c r="I8569" s="15" t="s">
        <v>1586</v>
      </c>
      <c r="J8569" s="15" t="s">
        <v>30684</v>
      </c>
      <c r="K8569" s="15">
        <v>100.0</v>
      </c>
      <c r="L8569" s="15">
        <v>100.0</v>
      </c>
      <c r="M8569" s="40">
        <v>42956.0</v>
      </c>
      <c r="N8569" s="40">
        <v>42956.0</v>
      </c>
      <c r="O8569" s="15" t="s">
        <v>1554</v>
      </c>
      <c r="Q8569" s="7"/>
    </row>
    <row r="8570">
      <c r="A8570" s="39" t="s">
        <v>30685</v>
      </c>
      <c r="B8570" s="15">
        <v>2024278.0</v>
      </c>
      <c r="D8570" s="15">
        <v>0.0</v>
      </c>
      <c r="E8570" s="15" t="s">
        <v>1557</v>
      </c>
      <c r="F8570" s="15" t="s">
        <v>1833</v>
      </c>
      <c r="G8570" s="7">
        <v>58.059</v>
      </c>
      <c r="H8570" s="15" t="s">
        <v>1792</v>
      </c>
      <c r="I8570" s="15" t="s">
        <v>1586</v>
      </c>
      <c r="J8570" s="15" t="s">
        <v>30686</v>
      </c>
      <c r="K8570" s="15">
        <v>97.0</v>
      </c>
      <c r="L8570" s="15">
        <v>97.0</v>
      </c>
      <c r="M8570" s="40">
        <v>42956.0</v>
      </c>
      <c r="N8570" s="40">
        <v>42956.0</v>
      </c>
      <c r="O8570" s="15" t="s">
        <v>1554</v>
      </c>
      <c r="Q8570" s="7"/>
    </row>
    <row r="8571">
      <c r="A8571" s="39" t="s">
        <v>30687</v>
      </c>
      <c r="B8571" s="15">
        <v>2024279.0</v>
      </c>
      <c r="D8571" s="15">
        <v>0.0</v>
      </c>
      <c r="E8571" s="15" t="s">
        <v>1557</v>
      </c>
      <c r="F8571" s="15" t="s">
        <v>1833</v>
      </c>
      <c r="G8571" s="7">
        <v>59.084</v>
      </c>
      <c r="H8571" s="15" t="s">
        <v>3082</v>
      </c>
      <c r="I8571" s="15" t="s">
        <v>1586</v>
      </c>
      <c r="J8571" s="15" t="s">
        <v>30688</v>
      </c>
      <c r="K8571" s="15">
        <v>102.0</v>
      </c>
      <c r="L8571" s="15">
        <v>102.0</v>
      </c>
      <c r="M8571" s="40">
        <v>42956.0</v>
      </c>
      <c r="N8571" s="40">
        <v>42956.0</v>
      </c>
      <c r="O8571" s="15" t="s">
        <v>1554</v>
      </c>
      <c r="Q8571" s="7"/>
    </row>
    <row r="8572">
      <c r="A8572" s="39" t="s">
        <v>30690</v>
      </c>
      <c r="B8572" s="15">
        <v>2024280.0</v>
      </c>
      <c r="D8572" s="15">
        <v>0.0</v>
      </c>
      <c r="E8572" s="15" t="s">
        <v>1557</v>
      </c>
      <c r="F8572" s="15" t="s">
        <v>1833</v>
      </c>
      <c r="G8572" s="7">
        <v>46.353</v>
      </c>
      <c r="H8572" s="15" t="s">
        <v>2057</v>
      </c>
      <c r="I8572" s="15" t="s">
        <v>1586</v>
      </c>
      <c r="J8572" s="15" t="s">
        <v>30691</v>
      </c>
      <c r="K8572" s="15">
        <v>68.0</v>
      </c>
      <c r="L8572" s="15">
        <v>65.0</v>
      </c>
      <c r="M8572" s="40">
        <v>42956.0</v>
      </c>
      <c r="N8572" s="40">
        <v>42956.0</v>
      </c>
      <c r="O8572" s="15" t="s">
        <v>1554</v>
      </c>
      <c r="Q8572" s="7"/>
    </row>
    <row r="8573">
      <c r="A8573" s="39" t="s">
        <v>30692</v>
      </c>
      <c r="B8573" s="15">
        <v>2024281.0</v>
      </c>
      <c r="D8573" s="15">
        <v>0.0</v>
      </c>
      <c r="E8573" s="15" t="s">
        <v>1557</v>
      </c>
      <c r="F8573" s="15" t="s">
        <v>1767</v>
      </c>
      <c r="G8573" s="7">
        <v>51.347</v>
      </c>
      <c r="H8573" s="15" t="s">
        <v>9648</v>
      </c>
      <c r="I8573" s="15" t="s">
        <v>1586</v>
      </c>
      <c r="J8573" s="15" t="s">
        <v>30693</v>
      </c>
      <c r="K8573" s="15">
        <v>78.0</v>
      </c>
      <c r="L8573" s="15">
        <v>78.0</v>
      </c>
      <c r="M8573" s="40">
        <v>42956.0</v>
      </c>
      <c r="N8573" s="40">
        <v>42956.0</v>
      </c>
      <c r="O8573" s="15" t="s">
        <v>1554</v>
      </c>
      <c r="Q8573" s="7"/>
    </row>
    <row r="8574">
      <c r="A8574" s="39" t="s">
        <v>30694</v>
      </c>
      <c r="B8574" s="15">
        <v>2024282.0</v>
      </c>
      <c r="D8574" s="15">
        <v>0.0</v>
      </c>
      <c r="E8574" s="15" t="s">
        <v>1557</v>
      </c>
      <c r="F8574" s="15" t="s">
        <v>1767</v>
      </c>
      <c r="G8574" s="7">
        <v>49.808</v>
      </c>
      <c r="H8574" s="15" t="s">
        <v>3542</v>
      </c>
      <c r="I8574" s="15" t="s">
        <v>1586</v>
      </c>
      <c r="J8574" s="15" t="s">
        <v>30695</v>
      </c>
      <c r="K8574" s="15">
        <v>74.0</v>
      </c>
      <c r="L8574" s="15">
        <v>74.0</v>
      </c>
      <c r="M8574" s="40">
        <v>42956.0</v>
      </c>
      <c r="N8574" s="40">
        <v>42956.0</v>
      </c>
      <c r="O8574" s="15" t="s">
        <v>1554</v>
      </c>
      <c r="Q8574" s="7"/>
    </row>
    <row r="8575">
      <c r="A8575" s="39" t="s">
        <v>30696</v>
      </c>
      <c r="B8575" s="15">
        <v>2024283.0</v>
      </c>
      <c r="D8575" s="15">
        <v>0.0</v>
      </c>
      <c r="E8575" s="15" t="s">
        <v>1557</v>
      </c>
      <c r="F8575" s="15" t="s">
        <v>1767</v>
      </c>
      <c r="G8575" s="7">
        <v>50.93</v>
      </c>
      <c r="H8575" s="15" t="s">
        <v>9648</v>
      </c>
      <c r="I8575" s="15" t="s">
        <v>1586</v>
      </c>
      <c r="J8575" s="15" t="s">
        <v>30697</v>
      </c>
      <c r="K8575" s="15">
        <v>77.0</v>
      </c>
      <c r="L8575" s="15">
        <v>77.0</v>
      </c>
      <c r="M8575" s="40">
        <v>42956.0</v>
      </c>
      <c r="N8575" s="40">
        <v>42956.0</v>
      </c>
      <c r="O8575" s="15" t="s">
        <v>1554</v>
      </c>
      <c r="Q8575" s="7"/>
    </row>
    <row r="8576">
      <c r="A8576" s="39" t="s">
        <v>30698</v>
      </c>
      <c r="B8576" s="15">
        <v>2024284.0</v>
      </c>
      <c r="D8576" s="15">
        <v>0.0</v>
      </c>
      <c r="E8576" s="15" t="s">
        <v>1557</v>
      </c>
      <c r="F8576" s="15" t="s">
        <v>1833</v>
      </c>
      <c r="G8576" s="7">
        <v>56.076</v>
      </c>
      <c r="H8576" s="15" t="s">
        <v>10654</v>
      </c>
      <c r="I8576" s="15" t="s">
        <v>1586</v>
      </c>
      <c r="J8576" s="15" t="s">
        <v>30699</v>
      </c>
      <c r="K8576" s="15">
        <v>82.0</v>
      </c>
      <c r="L8576" s="15">
        <v>82.0</v>
      </c>
      <c r="M8576" s="40">
        <v>42966.0</v>
      </c>
      <c r="N8576" s="40">
        <v>42966.0</v>
      </c>
      <c r="O8576" s="15" t="s">
        <v>1554</v>
      </c>
      <c r="Q8576" s="7"/>
    </row>
    <row r="8577">
      <c r="A8577" s="39" t="s">
        <v>30700</v>
      </c>
      <c r="B8577" s="15">
        <v>2024285.0</v>
      </c>
      <c r="D8577" s="15">
        <v>0.0</v>
      </c>
      <c r="E8577" s="15" t="s">
        <v>1557</v>
      </c>
      <c r="F8577" s="15" t="s">
        <v>1833</v>
      </c>
      <c r="G8577" s="7">
        <v>55.707</v>
      </c>
      <c r="H8577" s="15" t="s">
        <v>10654</v>
      </c>
      <c r="I8577" s="15" t="s">
        <v>1586</v>
      </c>
      <c r="J8577" s="15" t="s">
        <v>30701</v>
      </c>
      <c r="K8577" s="15">
        <v>85.0</v>
      </c>
      <c r="L8577" s="15">
        <v>85.0</v>
      </c>
      <c r="M8577" s="40">
        <v>42966.0</v>
      </c>
      <c r="N8577" s="40">
        <v>42966.0</v>
      </c>
      <c r="O8577" s="15" t="s">
        <v>1554</v>
      </c>
      <c r="Q8577" s="7"/>
    </row>
    <row r="8578">
      <c r="A8578" s="39" t="s">
        <v>30702</v>
      </c>
      <c r="B8578" s="15">
        <v>2024286.0</v>
      </c>
      <c r="D8578" s="15">
        <v>0.0</v>
      </c>
      <c r="E8578" s="15" t="s">
        <v>1557</v>
      </c>
      <c r="F8578" s="15" t="s">
        <v>1833</v>
      </c>
      <c r="G8578" s="7">
        <v>49.941</v>
      </c>
      <c r="H8578" s="15" t="s">
        <v>6204</v>
      </c>
      <c r="I8578" s="15" t="s">
        <v>1586</v>
      </c>
      <c r="J8578" s="15" t="s">
        <v>30703</v>
      </c>
      <c r="K8578" s="15">
        <v>74.0</v>
      </c>
      <c r="L8578" s="15">
        <v>74.0</v>
      </c>
      <c r="M8578" s="40">
        <v>43009.0</v>
      </c>
      <c r="N8578" s="40">
        <v>43009.0</v>
      </c>
      <c r="O8578" s="15" t="s">
        <v>1554</v>
      </c>
      <c r="Q8578" s="7"/>
    </row>
    <row r="8579">
      <c r="A8579" s="39" t="s">
        <v>30705</v>
      </c>
      <c r="B8579" s="15">
        <v>2024287.0</v>
      </c>
      <c r="D8579" s="15">
        <v>0.0</v>
      </c>
      <c r="E8579" s="15" t="s">
        <v>1557</v>
      </c>
      <c r="F8579" s="15" t="s">
        <v>1833</v>
      </c>
      <c r="G8579" s="7">
        <v>50.066</v>
      </c>
      <c r="H8579" s="15" t="s">
        <v>11392</v>
      </c>
      <c r="I8579" s="15" t="s">
        <v>1586</v>
      </c>
      <c r="J8579" s="15" t="s">
        <v>30706</v>
      </c>
      <c r="K8579" s="15">
        <v>75.0</v>
      </c>
      <c r="L8579" s="15">
        <v>75.0</v>
      </c>
      <c r="M8579" s="40">
        <v>43009.0</v>
      </c>
      <c r="N8579" s="40">
        <v>43009.0</v>
      </c>
      <c r="O8579" s="15" t="s">
        <v>1554</v>
      </c>
      <c r="Q8579" s="7"/>
    </row>
    <row r="8580">
      <c r="A8580" s="39" t="s">
        <v>30707</v>
      </c>
      <c r="B8580" s="15">
        <v>2024288.0</v>
      </c>
      <c r="D8580" s="15">
        <v>0.0</v>
      </c>
      <c r="E8580" s="15" t="s">
        <v>1557</v>
      </c>
      <c r="F8580" s="15" t="s">
        <v>1833</v>
      </c>
      <c r="G8580" s="7">
        <v>50.536</v>
      </c>
      <c r="H8580" s="15" t="s">
        <v>13200</v>
      </c>
      <c r="I8580" s="15" t="s">
        <v>1586</v>
      </c>
      <c r="J8580" s="15" t="s">
        <v>30708</v>
      </c>
      <c r="K8580" s="15">
        <v>76.0</v>
      </c>
      <c r="L8580" s="15">
        <v>76.0</v>
      </c>
      <c r="M8580" s="40">
        <v>43009.0</v>
      </c>
      <c r="N8580" s="40">
        <v>43009.0</v>
      </c>
      <c r="O8580" s="15" t="s">
        <v>1554</v>
      </c>
      <c r="Q8580" s="7"/>
    </row>
    <row r="8581">
      <c r="A8581" s="39" t="s">
        <v>30709</v>
      </c>
      <c r="B8581" s="15">
        <v>2024289.0</v>
      </c>
      <c r="D8581" s="15">
        <v>0.0</v>
      </c>
      <c r="E8581" s="15" t="s">
        <v>1557</v>
      </c>
      <c r="F8581" s="15" t="s">
        <v>1833</v>
      </c>
      <c r="G8581" s="7">
        <v>50.976</v>
      </c>
      <c r="H8581" s="15" t="s">
        <v>13200</v>
      </c>
      <c r="I8581" s="15" t="s">
        <v>1586</v>
      </c>
      <c r="J8581" s="15" t="s">
        <v>30710</v>
      </c>
      <c r="K8581" s="15">
        <v>77.0</v>
      </c>
      <c r="L8581" s="15">
        <v>77.0</v>
      </c>
      <c r="M8581" s="40">
        <v>43009.0</v>
      </c>
      <c r="N8581" s="40">
        <v>43009.0</v>
      </c>
      <c r="O8581" s="15" t="s">
        <v>1554</v>
      </c>
      <c r="Q8581" s="7"/>
    </row>
    <row r="8582">
      <c r="A8582" s="39" t="s">
        <v>30711</v>
      </c>
      <c r="B8582" s="15">
        <v>2024290.0</v>
      </c>
      <c r="D8582" s="15">
        <v>0.0</v>
      </c>
      <c r="E8582" s="15" t="s">
        <v>1557</v>
      </c>
      <c r="F8582" s="15" t="s">
        <v>1833</v>
      </c>
      <c r="G8582" s="7">
        <v>49.908</v>
      </c>
      <c r="H8582" s="15" t="s">
        <v>6204</v>
      </c>
      <c r="I8582" s="15" t="s">
        <v>1586</v>
      </c>
      <c r="J8582" s="15" t="s">
        <v>30712</v>
      </c>
      <c r="K8582" s="15">
        <v>74.0</v>
      </c>
      <c r="L8582" s="15">
        <v>74.0</v>
      </c>
      <c r="M8582" s="40">
        <v>43009.0</v>
      </c>
      <c r="N8582" s="40">
        <v>43009.0</v>
      </c>
      <c r="O8582" s="15" t="s">
        <v>1554</v>
      </c>
      <c r="Q8582" s="7"/>
    </row>
    <row r="8583">
      <c r="A8583" s="39" t="s">
        <v>30713</v>
      </c>
      <c r="B8583" s="15">
        <v>2024291.0</v>
      </c>
      <c r="D8583" s="15">
        <v>0.0</v>
      </c>
      <c r="E8583" s="15" t="s">
        <v>1557</v>
      </c>
      <c r="F8583" s="15" t="s">
        <v>1833</v>
      </c>
      <c r="G8583" s="7">
        <v>50.066</v>
      </c>
      <c r="H8583" s="15" t="s">
        <v>11392</v>
      </c>
      <c r="I8583" s="15" t="s">
        <v>1586</v>
      </c>
      <c r="J8583" s="15" t="s">
        <v>30714</v>
      </c>
      <c r="K8583" s="15">
        <v>75.0</v>
      </c>
      <c r="L8583" s="15">
        <v>75.0</v>
      </c>
      <c r="M8583" s="40">
        <v>43009.0</v>
      </c>
      <c r="N8583" s="40">
        <v>43009.0</v>
      </c>
      <c r="O8583" s="15" t="s">
        <v>1554</v>
      </c>
      <c r="Q8583" s="7"/>
    </row>
    <row r="8584">
      <c r="A8584" s="39" t="s">
        <v>30715</v>
      </c>
      <c r="B8584" s="15">
        <v>2024292.0</v>
      </c>
      <c r="D8584" s="15">
        <v>0.0</v>
      </c>
      <c r="E8584" s="15" t="s">
        <v>1557</v>
      </c>
      <c r="F8584" s="15" t="s">
        <v>1833</v>
      </c>
      <c r="G8584" s="7">
        <v>49.976</v>
      </c>
      <c r="H8584" s="15" t="s">
        <v>11392</v>
      </c>
      <c r="I8584" s="15" t="s">
        <v>1586</v>
      </c>
      <c r="J8584" s="15" t="s">
        <v>30716</v>
      </c>
      <c r="K8584" s="15">
        <v>75.0</v>
      </c>
      <c r="L8584" s="15">
        <v>75.0</v>
      </c>
      <c r="M8584" s="40">
        <v>43009.0</v>
      </c>
      <c r="N8584" s="40">
        <v>43009.0</v>
      </c>
      <c r="O8584" s="15" t="s">
        <v>1554</v>
      </c>
      <c r="Q8584" s="7"/>
    </row>
    <row r="8585">
      <c r="A8585" s="39" t="s">
        <v>30717</v>
      </c>
      <c r="B8585" s="15">
        <v>2024293.0</v>
      </c>
      <c r="D8585" s="15">
        <v>0.0</v>
      </c>
      <c r="E8585" s="15" t="s">
        <v>1557</v>
      </c>
      <c r="F8585" s="15" t="s">
        <v>1833</v>
      </c>
      <c r="G8585" s="7">
        <v>49.961</v>
      </c>
      <c r="H8585" s="15" t="s">
        <v>6204</v>
      </c>
      <c r="I8585" s="15" t="s">
        <v>1586</v>
      </c>
      <c r="J8585" s="15" t="s">
        <v>30719</v>
      </c>
      <c r="K8585" s="15">
        <v>73.0</v>
      </c>
      <c r="L8585" s="15">
        <v>73.0</v>
      </c>
      <c r="M8585" s="40">
        <v>43009.0</v>
      </c>
      <c r="N8585" s="40">
        <v>43009.0</v>
      </c>
      <c r="O8585" s="15" t="s">
        <v>1554</v>
      </c>
      <c r="Q8585" s="7"/>
    </row>
    <row r="8586">
      <c r="A8586" s="39" t="s">
        <v>30720</v>
      </c>
      <c r="B8586" s="15">
        <v>2024294.0</v>
      </c>
      <c r="D8586" s="15">
        <v>0.0</v>
      </c>
      <c r="E8586" s="15" t="s">
        <v>1557</v>
      </c>
      <c r="F8586" s="15" t="s">
        <v>1833</v>
      </c>
      <c r="G8586" s="7">
        <v>53.366</v>
      </c>
      <c r="H8586" s="15">
        <v>63.0</v>
      </c>
      <c r="I8586" s="15" t="s">
        <v>1586</v>
      </c>
      <c r="J8586" s="15" t="s">
        <v>30721</v>
      </c>
      <c r="K8586" s="15">
        <v>98.0</v>
      </c>
      <c r="L8586" s="15">
        <v>97.0</v>
      </c>
      <c r="M8586" s="40">
        <v>42994.0</v>
      </c>
      <c r="N8586" s="40">
        <v>42994.0</v>
      </c>
      <c r="O8586" s="15" t="s">
        <v>1554</v>
      </c>
      <c r="Q8586" s="7"/>
    </row>
    <row r="8587">
      <c r="A8587" s="39" t="s">
        <v>30722</v>
      </c>
      <c r="B8587" s="15">
        <v>2024295.0</v>
      </c>
      <c r="D8587" s="15">
        <v>0.0</v>
      </c>
      <c r="E8587" s="15" t="s">
        <v>1557</v>
      </c>
      <c r="F8587" s="15" t="s">
        <v>1833</v>
      </c>
      <c r="G8587" s="7">
        <v>50.283</v>
      </c>
      <c r="H8587" s="15" t="s">
        <v>13306</v>
      </c>
      <c r="I8587" s="15" t="s">
        <v>1586</v>
      </c>
      <c r="J8587" s="15" t="s">
        <v>30723</v>
      </c>
      <c r="K8587" s="15">
        <v>89.0</v>
      </c>
      <c r="L8587" s="15">
        <v>87.0</v>
      </c>
      <c r="M8587" s="40">
        <v>42994.0</v>
      </c>
      <c r="N8587" s="40">
        <v>42994.0</v>
      </c>
      <c r="O8587" s="15" t="s">
        <v>1554</v>
      </c>
      <c r="Q8587" s="7"/>
    </row>
    <row r="8588">
      <c r="A8588" s="39" t="s">
        <v>30724</v>
      </c>
      <c r="B8588" s="15">
        <v>2024296.0</v>
      </c>
      <c r="D8588" s="15">
        <v>0.0</v>
      </c>
      <c r="E8588" s="15" t="s">
        <v>1557</v>
      </c>
      <c r="F8588" s="15" t="s">
        <v>1833</v>
      </c>
      <c r="G8588" s="7">
        <v>47.612</v>
      </c>
      <c r="H8588" s="15" t="s">
        <v>8725</v>
      </c>
      <c r="I8588" s="15" t="s">
        <v>1586</v>
      </c>
      <c r="J8588" s="15" t="s">
        <v>30725</v>
      </c>
      <c r="K8588" s="15">
        <v>81.0</v>
      </c>
      <c r="L8588" s="15">
        <v>81.0</v>
      </c>
      <c r="M8588" s="40">
        <v>42994.0</v>
      </c>
      <c r="N8588" s="40">
        <v>43046.0</v>
      </c>
      <c r="O8588" s="15" t="s">
        <v>1554</v>
      </c>
      <c r="Q8588" s="7"/>
    </row>
    <row r="8589">
      <c r="A8589" s="39" t="s">
        <v>30727</v>
      </c>
      <c r="B8589" s="15">
        <v>2024297.0</v>
      </c>
      <c r="D8589" s="15">
        <v>0.0</v>
      </c>
      <c r="E8589" s="15" t="s">
        <v>1557</v>
      </c>
      <c r="F8589" s="15" t="s">
        <v>1833</v>
      </c>
      <c r="G8589" s="7">
        <v>50.263</v>
      </c>
      <c r="H8589" s="15" t="s">
        <v>4467</v>
      </c>
      <c r="I8589" s="15" t="s">
        <v>1586</v>
      </c>
      <c r="J8589" s="15" t="s">
        <v>30728</v>
      </c>
      <c r="K8589" s="15">
        <v>94.0</v>
      </c>
      <c r="L8589" s="15">
        <v>92.0</v>
      </c>
      <c r="M8589" s="40">
        <v>42994.0</v>
      </c>
      <c r="N8589" s="40">
        <v>42994.0</v>
      </c>
      <c r="O8589" s="15" t="s">
        <v>1554</v>
      </c>
      <c r="Q8589" s="7"/>
    </row>
    <row r="8590">
      <c r="A8590" s="39" t="s">
        <v>30729</v>
      </c>
      <c r="B8590" s="15">
        <v>2024298.0</v>
      </c>
      <c r="D8590" s="15">
        <v>0.0</v>
      </c>
      <c r="E8590" s="15" t="s">
        <v>1557</v>
      </c>
      <c r="F8590" s="15" t="s">
        <v>1833</v>
      </c>
      <c r="G8590" s="7">
        <v>60.311</v>
      </c>
      <c r="H8590" s="15" t="s">
        <v>9774</v>
      </c>
      <c r="I8590" s="15" t="s">
        <v>1586</v>
      </c>
      <c r="J8590" s="15" t="s">
        <v>30730</v>
      </c>
      <c r="K8590" s="15">
        <v>98.0</v>
      </c>
      <c r="L8590" s="15">
        <v>97.0</v>
      </c>
      <c r="M8590" s="40">
        <v>42994.0</v>
      </c>
      <c r="N8590" s="40">
        <v>42994.0</v>
      </c>
      <c r="O8590" s="15" t="s">
        <v>1554</v>
      </c>
      <c r="Q8590" s="7"/>
    </row>
    <row r="8591">
      <c r="A8591" s="39" t="s">
        <v>30731</v>
      </c>
      <c r="B8591" s="15">
        <v>2024302.0</v>
      </c>
      <c r="D8591" s="15">
        <v>0.0</v>
      </c>
      <c r="E8591" s="15" t="s">
        <v>1557</v>
      </c>
      <c r="F8591" s="15" t="s">
        <v>1833</v>
      </c>
      <c r="G8591" s="7">
        <v>45.389</v>
      </c>
      <c r="H8591" s="15" t="s">
        <v>30732</v>
      </c>
      <c r="I8591" s="15" t="s">
        <v>1586</v>
      </c>
      <c r="J8591" s="15" t="s">
        <v>30733</v>
      </c>
      <c r="K8591" s="15">
        <v>68.0</v>
      </c>
      <c r="L8591" s="15">
        <v>68.0</v>
      </c>
      <c r="M8591" s="40">
        <v>42956.0</v>
      </c>
      <c r="N8591" s="40">
        <v>42956.0</v>
      </c>
      <c r="O8591" s="15" t="s">
        <v>1554</v>
      </c>
      <c r="Q8591" s="7"/>
    </row>
    <row r="8592">
      <c r="A8592" s="39" t="s">
        <v>30734</v>
      </c>
      <c r="B8592" s="15">
        <v>2024303.0</v>
      </c>
      <c r="D8592" s="15">
        <v>0.0</v>
      </c>
      <c r="E8592" s="15" t="s">
        <v>1557</v>
      </c>
      <c r="F8592" s="15" t="s">
        <v>1833</v>
      </c>
      <c r="G8592" s="7">
        <v>50.514</v>
      </c>
      <c r="H8592" s="15" t="s">
        <v>2149</v>
      </c>
      <c r="I8592" s="15" t="s">
        <v>1586</v>
      </c>
      <c r="J8592" s="15" t="s">
        <v>30735</v>
      </c>
      <c r="K8592" s="15">
        <v>94.0</v>
      </c>
      <c r="L8592" s="15">
        <v>94.0</v>
      </c>
      <c r="M8592" s="40">
        <v>42956.0</v>
      </c>
      <c r="N8592" s="40">
        <v>42956.0</v>
      </c>
      <c r="O8592" s="15" t="s">
        <v>1554</v>
      </c>
      <c r="Q8592" s="7"/>
    </row>
    <row r="8593">
      <c r="A8593" s="39" t="s">
        <v>30736</v>
      </c>
      <c r="B8593" s="15">
        <v>2024311.0</v>
      </c>
      <c r="D8593" s="15">
        <v>0.0</v>
      </c>
      <c r="E8593" s="15" t="s">
        <v>4407</v>
      </c>
      <c r="F8593" s="15" t="s">
        <v>1578</v>
      </c>
      <c r="G8593" s="7">
        <v>29.178</v>
      </c>
      <c r="H8593" s="15" t="s">
        <v>2351</v>
      </c>
      <c r="I8593" s="15" t="s">
        <v>1586</v>
      </c>
      <c r="J8593" s="15" t="s">
        <v>30738</v>
      </c>
      <c r="K8593" s="15">
        <v>47.0</v>
      </c>
      <c r="L8593" s="15">
        <v>47.0</v>
      </c>
      <c r="M8593" s="40">
        <v>43009.0</v>
      </c>
      <c r="N8593" s="40">
        <v>43009.0</v>
      </c>
      <c r="O8593" s="15" t="s">
        <v>1554</v>
      </c>
      <c r="Q8593" s="7"/>
    </row>
    <row r="8594">
      <c r="A8594" s="39" t="s">
        <v>30739</v>
      </c>
      <c r="B8594" s="15">
        <v>2024312.0</v>
      </c>
      <c r="D8594" s="15">
        <v>0.0</v>
      </c>
      <c r="E8594" s="15" t="s">
        <v>4407</v>
      </c>
      <c r="F8594" s="15" t="s">
        <v>1578</v>
      </c>
      <c r="G8594" s="7">
        <v>42.701</v>
      </c>
      <c r="H8594" s="15" t="s">
        <v>2263</v>
      </c>
      <c r="I8594" s="15" t="s">
        <v>1586</v>
      </c>
      <c r="J8594" s="15" t="s">
        <v>30740</v>
      </c>
      <c r="K8594" s="15">
        <v>62.0</v>
      </c>
      <c r="L8594" s="15">
        <v>62.0</v>
      </c>
      <c r="M8594" s="40">
        <v>43009.0</v>
      </c>
      <c r="N8594" s="40">
        <v>43009.0</v>
      </c>
      <c r="O8594" s="15" t="s">
        <v>1554</v>
      </c>
      <c r="Q8594" s="7"/>
    </row>
    <row r="8595">
      <c r="A8595" s="39" t="s">
        <v>30741</v>
      </c>
      <c r="B8595" s="15">
        <v>2024313.0</v>
      </c>
      <c r="D8595" s="15">
        <v>0.0</v>
      </c>
      <c r="E8595" s="15" t="s">
        <v>4407</v>
      </c>
      <c r="F8595" s="15" t="s">
        <v>1578</v>
      </c>
      <c r="G8595" s="7">
        <v>48.262</v>
      </c>
      <c r="H8595" s="15" t="s">
        <v>2877</v>
      </c>
      <c r="I8595" s="15" t="s">
        <v>1586</v>
      </c>
      <c r="J8595" s="15" t="s">
        <v>30742</v>
      </c>
      <c r="K8595" s="15">
        <v>73.0</v>
      </c>
      <c r="L8595" s="15">
        <v>73.0</v>
      </c>
      <c r="M8595" s="40">
        <v>43009.0</v>
      </c>
      <c r="N8595" s="40">
        <v>43009.0</v>
      </c>
      <c r="O8595" s="15" t="s">
        <v>1554</v>
      </c>
      <c r="Q8595" s="7"/>
    </row>
    <row r="8596">
      <c r="A8596" s="39" t="s">
        <v>30743</v>
      </c>
      <c r="B8596" s="15">
        <v>2024314.0</v>
      </c>
      <c r="D8596" s="15">
        <v>0.0</v>
      </c>
      <c r="E8596" s="15" t="s">
        <v>4407</v>
      </c>
      <c r="F8596" s="15" t="s">
        <v>1578</v>
      </c>
      <c r="G8596" s="7">
        <v>46.454</v>
      </c>
      <c r="H8596" s="15">
        <v>46.0</v>
      </c>
      <c r="I8596" s="15" t="s">
        <v>1586</v>
      </c>
      <c r="J8596" s="15" t="s">
        <v>30744</v>
      </c>
      <c r="K8596" s="15">
        <v>80.0</v>
      </c>
      <c r="L8596" s="15">
        <v>80.0</v>
      </c>
      <c r="M8596" s="40">
        <v>43009.0</v>
      </c>
      <c r="N8596" s="40">
        <v>43009.0</v>
      </c>
      <c r="O8596" s="15" t="s">
        <v>1554</v>
      </c>
      <c r="Q8596" s="7"/>
    </row>
    <row r="8597">
      <c r="A8597" s="39" t="s">
        <v>30745</v>
      </c>
      <c r="B8597" s="15">
        <v>2024315.0</v>
      </c>
      <c r="D8597" s="15">
        <v>0.0</v>
      </c>
      <c r="E8597" s="15" t="s">
        <v>4407</v>
      </c>
      <c r="F8597" s="15" t="s">
        <v>1578</v>
      </c>
      <c r="G8597" s="7">
        <v>47.647</v>
      </c>
      <c r="H8597" s="15" t="s">
        <v>1818</v>
      </c>
      <c r="I8597" s="15" t="s">
        <v>1586</v>
      </c>
      <c r="J8597" s="15" t="s">
        <v>30747</v>
      </c>
      <c r="K8597" s="15">
        <v>74.0</v>
      </c>
      <c r="L8597" s="15">
        <v>74.0</v>
      </c>
      <c r="M8597" s="40">
        <v>43009.0</v>
      </c>
      <c r="N8597" s="40">
        <v>43009.0</v>
      </c>
      <c r="O8597" s="15" t="s">
        <v>1554</v>
      </c>
      <c r="Q8597" s="7"/>
    </row>
    <row r="8598">
      <c r="A8598" s="39" t="s">
        <v>30748</v>
      </c>
      <c r="B8598" s="15">
        <v>2024316.0</v>
      </c>
      <c r="D8598" s="15">
        <v>0.0</v>
      </c>
      <c r="E8598" s="15" t="s">
        <v>4407</v>
      </c>
      <c r="F8598" s="15" t="s">
        <v>1578</v>
      </c>
      <c r="G8598" s="7">
        <v>87.57</v>
      </c>
      <c r="H8598" s="15" t="s">
        <v>5806</v>
      </c>
      <c r="I8598" s="15" t="s">
        <v>1586</v>
      </c>
      <c r="J8598" s="15" t="s">
        <v>30749</v>
      </c>
      <c r="K8598" s="15">
        <v>132.0</v>
      </c>
      <c r="L8598" s="15">
        <v>132.0</v>
      </c>
      <c r="M8598" s="40">
        <v>43009.0</v>
      </c>
      <c r="N8598" s="40">
        <v>43009.0</v>
      </c>
      <c r="O8598" s="15" t="s">
        <v>1554</v>
      </c>
      <c r="Q8598" s="7"/>
    </row>
    <row r="8599">
      <c r="A8599" s="39" t="s">
        <v>30750</v>
      </c>
      <c r="B8599" s="15">
        <v>2024317.0</v>
      </c>
      <c r="D8599" s="15">
        <v>0.0</v>
      </c>
      <c r="E8599" s="15" t="s">
        <v>4407</v>
      </c>
      <c r="F8599" s="15" t="s">
        <v>1578</v>
      </c>
      <c r="G8599" s="7">
        <v>88.474</v>
      </c>
      <c r="H8599" s="15">
        <v>39.0</v>
      </c>
      <c r="I8599" s="15" t="s">
        <v>1586</v>
      </c>
      <c r="J8599" s="15" t="s">
        <v>30751</v>
      </c>
      <c r="K8599" s="15">
        <v>134.0</v>
      </c>
      <c r="L8599" s="15">
        <v>134.0</v>
      </c>
      <c r="M8599" s="40">
        <v>43009.0</v>
      </c>
      <c r="N8599" s="40">
        <v>43009.0</v>
      </c>
      <c r="O8599" s="15" t="s">
        <v>1554</v>
      </c>
      <c r="Q8599" s="7"/>
    </row>
    <row r="8600">
      <c r="A8600" s="39" t="s">
        <v>30752</v>
      </c>
      <c r="B8600" s="15">
        <v>2024318.0</v>
      </c>
      <c r="D8600" s="15">
        <v>0.0</v>
      </c>
      <c r="E8600" s="15" t="s">
        <v>4407</v>
      </c>
      <c r="F8600" s="15" t="s">
        <v>1578</v>
      </c>
      <c r="G8600" s="7">
        <v>88.58</v>
      </c>
      <c r="H8600" s="15">
        <v>39.0</v>
      </c>
      <c r="I8600" s="15" t="s">
        <v>1586</v>
      </c>
      <c r="J8600" s="15" t="s">
        <v>30753</v>
      </c>
      <c r="K8600" s="15">
        <v>134.0</v>
      </c>
      <c r="L8600" s="15">
        <v>134.0</v>
      </c>
      <c r="M8600" s="40">
        <v>43009.0</v>
      </c>
      <c r="N8600" s="40">
        <v>43009.0</v>
      </c>
      <c r="O8600" s="15" t="s">
        <v>1554</v>
      </c>
      <c r="Q8600" s="7"/>
    </row>
    <row r="8601">
      <c r="A8601" s="39" t="s">
        <v>30754</v>
      </c>
      <c r="B8601" s="15">
        <v>2024319.0</v>
      </c>
      <c r="D8601" s="15">
        <v>0.0</v>
      </c>
      <c r="E8601" s="15" t="s">
        <v>4407</v>
      </c>
      <c r="F8601" s="15" t="s">
        <v>1578</v>
      </c>
      <c r="G8601" s="7">
        <v>90.27</v>
      </c>
      <c r="H8601" s="15">
        <v>39.0</v>
      </c>
      <c r="I8601" s="15" t="s">
        <v>1586</v>
      </c>
      <c r="J8601" s="15" t="s">
        <v>30756</v>
      </c>
      <c r="K8601" s="15">
        <v>136.0</v>
      </c>
      <c r="L8601" s="15">
        <v>136.0</v>
      </c>
      <c r="M8601" s="40">
        <v>43009.0</v>
      </c>
      <c r="N8601" s="40">
        <v>43009.0</v>
      </c>
      <c r="O8601" s="15" t="s">
        <v>1554</v>
      </c>
      <c r="Q8601" s="7"/>
    </row>
    <row r="8602">
      <c r="A8602" s="39" t="s">
        <v>30757</v>
      </c>
      <c r="B8602" s="15">
        <v>2024321.0</v>
      </c>
      <c r="D8602" s="15">
        <v>0.0</v>
      </c>
      <c r="E8602" s="15" t="s">
        <v>4407</v>
      </c>
      <c r="F8602" s="15" t="s">
        <v>1578</v>
      </c>
      <c r="G8602" s="7">
        <v>167.678</v>
      </c>
      <c r="H8602" s="15" t="s">
        <v>3568</v>
      </c>
      <c r="I8602" s="15" t="s">
        <v>1586</v>
      </c>
      <c r="J8602" s="15" t="s">
        <v>30758</v>
      </c>
      <c r="K8602" s="15">
        <v>271.0</v>
      </c>
      <c r="L8602" s="15">
        <v>271.0</v>
      </c>
      <c r="M8602" s="40">
        <v>43009.0</v>
      </c>
      <c r="N8602" s="40">
        <v>43009.0</v>
      </c>
      <c r="O8602" s="15" t="s">
        <v>1554</v>
      </c>
      <c r="Q8602" s="7"/>
    </row>
    <row r="8603">
      <c r="A8603" s="39" t="s">
        <v>30759</v>
      </c>
      <c r="B8603" s="15">
        <v>2024543.0</v>
      </c>
      <c r="D8603" s="15">
        <v>0.0</v>
      </c>
      <c r="E8603" s="15" t="s">
        <v>1557</v>
      </c>
      <c r="F8603" s="15" t="s">
        <v>1767</v>
      </c>
      <c r="G8603" s="7">
        <v>148.464</v>
      </c>
      <c r="H8603" s="15" t="s">
        <v>2215</v>
      </c>
      <c r="I8603" s="15" t="s">
        <v>1586</v>
      </c>
      <c r="J8603" s="15" t="s">
        <v>30760</v>
      </c>
      <c r="K8603" s="15">
        <v>236.0</v>
      </c>
      <c r="L8603" s="15">
        <v>236.0</v>
      </c>
      <c r="M8603" s="40">
        <v>42962.0</v>
      </c>
      <c r="N8603" s="41">
        <v>43034.0</v>
      </c>
      <c r="O8603" s="15" t="s">
        <v>1554</v>
      </c>
      <c r="Q8603" s="7"/>
    </row>
    <row r="8604">
      <c r="A8604" s="39" t="s">
        <v>30761</v>
      </c>
      <c r="B8604" s="15">
        <v>2026080.0</v>
      </c>
      <c r="D8604" s="15">
        <v>0.0</v>
      </c>
      <c r="E8604" s="15" t="s">
        <v>1557</v>
      </c>
      <c r="F8604" s="15" t="s">
        <v>1767</v>
      </c>
      <c r="G8604" s="7">
        <v>235.108</v>
      </c>
      <c r="H8604" s="15" t="s">
        <v>5382</v>
      </c>
      <c r="I8604" s="15" t="s">
        <v>1586</v>
      </c>
      <c r="J8604" s="15" t="s">
        <v>30762</v>
      </c>
      <c r="K8604" s="15">
        <v>243.0</v>
      </c>
      <c r="L8604" s="15">
        <v>243.0</v>
      </c>
      <c r="M8604" s="40">
        <v>42966.0</v>
      </c>
      <c r="N8604" s="40">
        <v>42966.0</v>
      </c>
      <c r="O8604" s="15" t="s">
        <v>1554</v>
      </c>
      <c r="Q8604" s="7"/>
    </row>
    <row r="8605">
      <c r="A8605" s="39" t="s">
        <v>30763</v>
      </c>
      <c r="B8605" s="15">
        <v>2026081.0</v>
      </c>
      <c r="D8605" s="15">
        <v>0.0</v>
      </c>
      <c r="E8605" s="15" t="s">
        <v>1557</v>
      </c>
      <c r="F8605" s="15" t="s">
        <v>1767</v>
      </c>
      <c r="G8605" s="7">
        <v>235.374</v>
      </c>
      <c r="H8605" s="15" t="s">
        <v>5382</v>
      </c>
      <c r="I8605" s="15" t="s">
        <v>1586</v>
      </c>
      <c r="J8605" s="15" t="s">
        <v>30765</v>
      </c>
      <c r="K8605" s="15">
        <v>245.0</v>
      </c>
      <c r="L8605" s="15">
        <v>245.0</v>
      </c>
      <c r="M8605" s="40">
        <v>42966.0</v>
      </c>
      <c r="N8605" s="40">
        <v>42966.0</v>
      </c>
      <c r="O8605" s="15" t="s">
        <v>1554</v>
      </c>
      <c r="Q8605" s="7"/>
    </row>
    <row r="8606">
      <c r="A8606" s="39" t="s">
        <v>30766</v>
      </c>
      <c r="B8606" s="15">
        <v>2026082.0</v>
      </c>
      <c r="D8606" s="15">
        <v>0.0</v>
      </c>
      <c r="E8606" s="15" t="s">
        <v>1557</v>
      </c>
      <c r="F8606" s="15" t="s">
        <v>1767</v>
      </c>
      <c r="G8606" s="7">
        <v>162.422</v>
      </c>
      <c r="H8606" s="15" t="s">
        <v>2440</v>
      </c>
      <c r="I8606" s="15" t="s">
        <v>1586</v>
      </c>
      <c r="J8606" s="15" t="s">
        <v>30767</v>
      </c>
      <c r="K8606" s="15" t="s">
        <v>1722</v>
      </c>
      <c r="L8606" s="15">
        <v>237.0</v>
      </c>
      <c r="M8606" s="40">
        <v>42966.0</v>
      </c>
      <c r="N8606" s="40">
        <v>42966.0</v>
      </c>
      <c r="O8606" s="15" t="s">
        <v>1554</v>
      </c>
      <c r="Q8606" s="7"/>
    </row>
    <row r="8607">
      <c r="A8607" s="39" t="s">
        <v>30768</v>
      </c>
      <c r="B8607" s="15">
        <v>2026101.0</v>
      </c>
      <c r="D8607" s="15">
        <v>0.0</v>
      </c>
      <c r="E8607" s="15" t="s">
        <v>4407</v>
      </c>
      <c r="F8607" s="15" t="s">
        <v>1578</v>
      </c>
      <c r="G8607" s="7">
        <v>59.1</v>
      </c>
      <c r="H8607" s="15" t="s">
        <v>1966</v>
      </c>
      <c r="I8607" s="15" t="s">
        <v>1586</v>
      </c>
      <c r="J8607" s="15" t="s">
        <v>30769</v>
      </c>
      <c r="K8607" s="15">
        <v>78.0</v>
      </c>
      <c r="L8607" s="15">
        <v>78.0</v>
      </c>
      <c r="M8607" s="40">
        <v>42984.0</v>
      </c>
      <c r="N8607" s="40">
        <v>42984.0</v>
      </c>
      <c r="O8607" s="15" t="s">
        <v>1554</v>
      </c>
      <c r="Q8607" s="7"/>
    </row>
    <row r="8608">
      <c r="A8608" s="39" t="s">
        <v>30770</v>
      </c>
      <c r="B8608" s="15">
        <v>2026102.0</v>
      </c>
      <c r="D8608" s="15">
        <v>0.0</v>
      </c>
      <c r="E8608" s="15" t="s">
        <v>4407</v>
      </c>
      <c r="F8608" s="15" t="s">
        <v>1578</v>
      </c>
      <c r="G8608" s="7">
        <v>58.387</v>
      </c>
      <c r="H8608" s="15" t="s">
        <v>3227</v>
      </c>
      <c r="I8608" s="15" t="s">
        <v>1586</v>
      </c>
      <c r="J8608" s="15" t="s">
        <v>30771</v>
      </c>
      <c r="K8608" s="15">
        <v>70.0</v>
      </c>
      <c r="L8608" s="15">
        <v>70.0</v>
      </c>
      <c r="M8608" s="40">
        <v>42984.0</v>
      </c>
      <c r="N8608" s="40">
        <v>42984.0</v>
      </c>
      <c r="O8608" s="15" t="s">
        <v>1554</v>
      </c>
      <c r="Q8608" s="7"/>
    </row>
    <row r="8609">
      <c r="A8609" s="39" t="s">
        <v>30772</v>
      </c>
      <c r="B8609" s="15">
        <v>2026943.0</v>
      </c>
      <c r="D8609" s="15">
        <v>0.0</v>
      </c>
      <c r="E8609" s="15" t="s">
        <v>1557</v>
      </c>
      <c r="F8609" s="15" t="s">
        <v>1611</v>
      </c>
      <c r="G8609" s="7">
        <v>43.012</v>
      </c>
      <c r="H8609" s="15" t="s">
        <v>5627</v>
      </c>
      <c r="I8609" s="15" t="s">
        <v>1586</v>
      </c>
      <c r="J8609" s="15" t="s">
        <v>30774</v>
      </c>
      <c r="K8609" s="15">
        <v>53.0</v>
      </c>
      <c r="L8609" s="15">
        <v>53.0</v>
      </c>
      <c r="M8609" s="40">
        <v>42976.0</v>
      </c>
      <c r="N8609" s="41">
        <v>43020.0</v>
      </c>
      <c r="O8609" s="15" t="s">
        <v>1554</v>
      </c>
      <c r="Q8609" s="7"/>
    </row>
    <row r="8610">
      <c r="A8610" s="39" t="s">
        <v>30775</v>
      </c>
      <c r="B8610" s="15">
        <v>2026944.0</v>
      </c>
      <c r="D8610" s="15">
        <v>0.0</v>
      </c>
      <c r="E8610" s="15" t="s">
        <v>1557</v>
      </c>
      <c r="F8610" s="15" t="s">
        <v>1611</v>
      </c>
      <c r="G8610" s="7">
        <v>61.644</v>
      </c>
      <c r="H8610" s="15" t="s">
        <v>4113</v>
      </c>
      <c r="I8610" s="15" t="s">
        <v>1586</v>
      </c>
      <c r="J8610" s="15" t="s">
        <v>30776</v>
      </c>
      <c r="K8610" s="15">
        <v>77.0</v>
      </c>
      <c r="L8610" s="15">
        <v>77.0</v>
      </c>
      <c r="M8610" s="40">
        <v>42976.0</v>
      </c>
      <c r="N8610" s="40">
        <v>42976.0</v>
      </c>
      <c r="O8610" s="15" t="s">
        <v>1554</v>
      </c>
      <c r="Q8610" s="7"/>
    </row>
    <row r="8611">
      <c r="A8611" s="39" t="s">
        <v>30777</v>
      </c>
      <c r="B8611" s="15">
        <v>2026950.0</v>
      </c>
      <c r="D8611" s="15">
        <v>0.0</v>
      </c>
      <c r="E8611" s="15" t="s">
        <v>1557</v>
      </c>
      <c r="F8611" s="15" t="s">
        <v>1833</v>
      </c>
      <c r="G8611" s="7">
        <v>49.807</v>
      </c>
      <c r="H8611" s="15">
        <v>51.0</v>
      </c>
      <c r="I8611" s="15" t="s">
        <v>1586</v>
      </c>
      <c r="J8611" s="15" t="s">
        <v>30778</v>
      </c>
      <c r="K8611" s="15">
        <v>78.0</v>
      </c>
      <c r="L8611" s="15">
        <v>76.0</v>
      </c>
      <c r="M8611" s="40">
        <v>42976.0</v>
      </c>
      <c r="N8611" s="40">
        <v>42976.0</v>
      </c>
      <c r="O8611" s="15" t="s">
        <v>1554</v>
      </c>
      <c r="Q8611" s="7"/>
    </row>
    <row r="8612">
      <c r="A8612" s="39" t="s">
        <v>30779</v>
      </c>
      <c r="B8612" s="15">
        <v>2027883.0</v>
      </c>
      <c r="D8612" s="15">
        <v>0.0</v>
      </c>
      <c r="E8612" s="15" t="s">
        <v>1557</v>
      </c>
      <c r="F8612" s="15" t="s">
        <v>1611</v>
      </c>
      <c r="G8612" s="7">
        <v>45.428</v>
      </c>
      <c r="H8612" s="15" t="s">
        <v>4401</v>
      </c>
      <c r="I8612" s="15" t="s">
        <v>1586</v>
      </c>
      <c r="J8612" s="15" t="s">
        <v>30780</v>
      </c>
      <c r="K8612" s="15">
        <v>56.0</v>
      </c>
      <c r="L8612" s="15">
        <v>56.0</v>
      </c>
      <c r="M8612" s="40">
        <v>42994.0</v>
      </c>
      <c r="N8612" s="40">
        <v>42994.0</v>
      </c>
      <c r="O8612" s="15" t="s">
        <v>1554</v>
      </c>
      <c r="Q8612" s="7"/>
    </row>
    <row r="8613">
      <c r="A8613" s="39" t="s">
        <v>30782</v>
      </c>
      <c r="B8613" s="15">
        <v>2027884.0</v>
      </c>
      <c r="D8613" s="15">
        <v>0.0</v>
      </c>
      <c r="E8613" s="15" t="s">
        <v>1557</v>
      </c>
      <c r="F8613" s="15" t="s">
        <v>1611</v>
      </c>
      <c r="G8613" s="7">
        <v>45.426</v>
      </c>
      <c r="H8613" s="15" t="s">
        <v>4401</v>
      </c>
      <c r="I8613" s="15" t="s">
        <v>1586</v>
      </c>
      <c r="J8613" s="15" t="s">
        <v>30783</v>
      </c>
      <c r="K8613" s="15">
        <v>56.0</v>
      </c>
      <c r="L8613" s="15">
        <v>56.0</v>
      </c>
      <c r="M8613" s="40">
        <v>42994.0</v>
      </c>
      <c r="N8613" s="40">
        <v>42994.0</v>
      </c>
      <c r="O8613" s="15" t="s">
        <v>1554</v>
      </c>
      <c r="Q8613" s="7"/>
    </row>
    <row r="8614">
      <c r="A8614" s="39" t="s">
        <v>30784</v>
      </c>
      <c r="B8614" s="15">
        <v>2027885.0</v>
      </c>
      <c r="D8614" s="15">
        <v>0.0</v>
      </c>
      <c r="E8614" s="15" t="s">
        <v>1557</v>
      </c>
      <c r="F8614" s="15" t="s">
        <v>1767</v>
      </c>
      <c r="G8614" s="7">
        <v>70.362</v>
      </c>
      <c r="H8614" s="15" t="s">
        <v>3086</v>
      </c>
      <c r="I8614" s="15" t="s">
        <v>1586</v>
      </c>
      <c r="J8614" s="15" t="s">
        <v>30785</v>
      </c>
      <c r="K8614" s="15">
        <v>112.0</v>
      </c>
      <c r="L8614" s="15">
        <v>112.0</v>
      </c>
      <c r="M8614" s="40">
        <v>42994.0</v>
      </c>
      <c r="N8614" s="40">
        <v>42994.0</v>
      </c>
      <c r="O8614" s="15" t="s">
        <v>1554</v>
      </c>
      <c r="Q8614" s="7"/>
    </row>
    <row r="8615">
      <c r="A8615" s="39" t="s">
        <v>30786</v>
      </c>
      <c r="B8615" s="15">
        <v>2027886.0</v>
      </c>
      <c r="D8615" s="15">
        <v>0.0</v>
      </c>
      <c r="E8615" s="15" t="s">
        <v>1557</v>
      </c>
      <c r="F8615" s="15" t="s">
        <v>1611</v>
      </c>
      <c r="G8615" s="7">
        <v>45.428</v>
      </c>
      <c r="H8615" s="15" t="s">
        <v>1745</v>
      </c>
      <c r="I8615" s="15" t="s">
        <v>1586</v>
      </c>
      <c r="J8615" s="15" t="s">
        <v>30787</v>
      </c>
      <c r="K8615" s="15">
        <v>57.0</v>
      </c>
      <c r="L8615" s="15">
        <v>57.0</v>
      </c>
      <c r="M8615" s="40">
        <v>42994.0</v>
      </c>
      <c r="N8615" s="40">
        <v>42994.0</v>
      </c>
      <c r="O8615" s="15" t="s">
        <v>1554</v>
      </c>
      <c r="Q8615" s="7"/>
    </row>
    <row r="8616">
      <c r="A8616" s="39" t="s">
        <v>30788</v>
      </c>
      <c r="B8616" s="15">
        <v>2027887.0</v>
      </c>
      <c r="D8616" s="15">
        <v>0.0</v>
      </c>
      <c r="E8616" s="15" t="s">
        <v>1557</v>
      </c>
      <c r="F8616" s="15" t="s">
        <v>1833</v>
      </c>
      <c r="G8616" s="7">
        <v>43.95</v>
      </c>
      <c r="H8616" s="15" t="s">
        <v>3890</v>
      </c>
      <c r="I8616" s="15" t="s">
        <v>1586</v>
      </c>
      <c r="J8616" s="15" t="s">
        <v>30789</v>
      </c>
      <c r="K8616" s="15">
        <v>60.0</v>
      </c>
      <c r="L8616" s="15">
        <v>60.0</v>
      </c>
      <c r="M8616" s="40">
        <v>42994.0</v>
      </c>
      <c r="N8616" s="40">
        <v>42994.0</v>
      </c>
      <c r="O8616" s="15" t="s">
        <v>1554</v>
      </c>
      <c r="Q8616" s="7"/>
    </row>
    <row r="8617">
      <c r="A8617" s="39" t="s">
        <v>30790</v>
      </c>
      <c r="B8617" s="15">
        <v>2027888.0</v>
      </c>
      <c r="D8617" s="15">
        <v>0.0</v>
      </c>
      <c r="E8617" s="15" t="s">
        <v>1557</v>
      </c>
      <c r="F8617" s="15" t="s">
        <v>1833</v>
      </c>
      <c r="G8617" s="7">
        <v>50.774</v>
      </c>
      <c r="H8617" s="15" t="s">
        <v>3890</v>
      </c>
      <c r="I8617" s="15" t="s">
        <v>1586</v>
      </c>
      <c r="J8617" s="15" t="s">
        <v>30791</v>
      </c>
      <c r="K8617" s="15">
        <v>67.0</v>
      </c>
      <c r="L8617" s="15">
        <v>67.0</v>
      </c>
      <c r="M8617" s="40">
        <v>42994.0</v>
      </c>
      <c r="N8617" s="40">
        <v>42994.0</v>
      </c>
      <c r="O8617" s="15" t="s">
        <v>1554</v>
      </c>
      <c r="Q8617" s="7"/>
    </row>
    <row r="8618">
      <c r="A8618" s="39" t="s">
        <v>30793</v>
      </c>
      <c r="B8618" s="15">
        <v>2027889.0</v>
      </c>
      <c r="D8618" s="15">
        <v>0.0</v>
      </c>
      <c r="E8618" s="15" t="s">
        <v>1557</v>
      </c>
      <c r="F8618" s="15" t="s">
        <v>1833</v>
      </c>
      <c r="G8618" s="7">
        <v>51.238</v>
      </c>
      <c r="H8618" s="15" t="s">
        <v>2098</v>
      </c>
      <c r="I8618" s="15" t="s">
        <v>1586</v>
      </c>
      <c r="J8618" s="15" t="s">
        <v>30794</v>
      </c>
      <c r="K8618" s="15">
        <v>100.0</v>
      </c>
      <c r="L8618" s="15">
        <v>97.0</v>
      </c>
      <c r="M8618" s="40">
        <v>42994.0</v>
      </c>
      <c r="N8618" s="40">
        <v>42994.0</v>
      </c>
      <c r="O8618" s="15" t="s">
        <v>1554</v>
      </c>
      <c r="Q8618" s="7"/>
    </row>
    <row r="8619">
      <c r="A8619" s="39" t="s">
        <v>30795</v>
      </c>
      <c r="B8619" s="15">
        <v>2027890.0</v>
      </c>
      <c r="D8619" s="15">
        <v>0.0</v>
      </c>
      <c r="E8619" s="15" t="s">
        <v>1557</v>
      </c>
      <c r="F8619" s="15" t="s">
        <v>1833</v>
      </c>
      <c r="G8619" s="7">
        <v>59.947</v>
      </c>
      <c r="H8619" s="15" t="s">
        <v>2492</v>
      </c>
      <c r="I8619" s="15" t="s">
        <v>1586</v>
      </c>
      <c r="J8619" s="15" t="s">
        <v>30796</v>
      </c>
      <c r="K8619" s="15">
        <v>99.0</v>
      </c>
      <c r="L8619" s="15">
        <v>98.0</v>
      </c>
      <c r="M8619" s="40">
        <v>42994.0</v>
      </c>
      <c r="N8619" s="40">
        <v>42994.0</v>
      </c>
      <c r="O8619" s="15" t="s">
        <v>1554</v>
      </c>
      <c r="Q8619" s="7"/>
    </row>
    <row r="8620">
      <c r="A8620" s="39" t="s">
        <v>30797</v>
      </c>
      <c r="B8620" s="15">
        <v>2027891.0</v>
      </c>
      <c r="D8620" s="15">
        <v>0.0</v>
      </c>
      <c r="E8620" s="15" t="s">
        <v>1557</v>
      </c>
      <c r="F8620" s="15" t="s">
        <v>1833</v>
      </c>
      <c r="G8620" s="7">
        <v>41.903</v>
      </c>
      <c r="H8620" s="15" t="s">
        <v>6615</v>
      </c>
      <c r="I8620" s="15" t="s">
        <v>1586</v>
      </c>
      <c r="J8620" s="15" t="s">
        <v>30798</v>
      </c>
      <c r="K8620" s="15">
        <v>63.0</v>
      </c>
      <c r="L8620" s="15">
        <v>63.0</v>
      </c>
      <c r="M8620" s="40">
        <v>42994.0</v>
      </c>
      <c r="N8620" s="40">
        <v>42994.0</v>
      </c>
      <c r="O8620" s="15" t="s">
        <v>1554</v>
      </c>
      <c r="Q8620" s="7"/>
    </row>
    <row r="8621">
      <c r="A8621" s="39" t="s">
        <v>30799</v>
      </c>
      <c r="B8621" s="15">
        <v>2027892.0</v>
      </c>
      <c r="D8621" s="15">
        <v>0.0</v>
      </c>
      <c r="E8621" s="15" t="s">
        <v>1557</v>
      </c>
      <c r="F8621" s="15" t="s">
        <v>1833</v>
      </c>
      <c r="G8621" s="7">
        <v>52.719</v>
      </c>
      <c r="H8621" s="15" t="s">
        <v>2831</v>
      </c>
      <c r="I8621" s="15" t="s">
        <v>1586</v>
      </c>
      <c r="J8621" s="15" t="s">
        <v>30800</v>
      </c>
      <c r="K8621" s="15">
        <v>97.0</v>
      </c>
      <c r="L8621" s="15">
        <v>96.0</v>
      </c>
      <c r="M8621" s="40">
        <v>42994.0</v>
      </c>
      <c r="N8621" s="40">
        <v>42994.0</v>
      </c>
      <c r="O8621" s="15" t="s">
        <v>1554</v>
      </c>
      <c r="Q8621" s="7"/>
    </row>
    <row r="8622">
      <c r="A8622" s="39" t="s">
        <v>30801</v>
      </c>
      <c r="B8622" s="15">
        <v>2027893.0</v>
      </c>
      <c r="D8622" s="15">
        <v>0.0</v>
      </c>
      <c r="E8622" s="15" t="s">
        <v>1557</v>
      </c>
      <c r="F8622" s="15" t="s">
        <v>1833</v>
      </c>
      <c r="G8622" s="7">
        <v>56.418</v>
      </c>
      <c r="H8622" s="15" t="s">
        <v>4430</v>
      </c>
      <c r="I8622" s="15" t="s">
        <v>1586</v>
      </c>
      <c r="J8622" s="15" t="s">
        <v>30803</v>
      </c>
      <c r="K8622" s="15">
        <v>109.0</v>
      </c>
      <c r="L8622" s="15">
        <v>109.0</v>
      </c>
      <c r="M8622" s="40">
        <v>42994.0</v>
      </c>
      <c r="N8622" s="40">
        <v>42994.0</v>
      </c>
      <c r="O8622" s="15" t="s">
        <v>1554</v>
      </c>
      <c r="Q8622" s="7"/>
    </row>
    <row r="8623">
      <c r="A8623" s="39" t="s">
        <v>30804</v>
      </c>
      <c r="B8623" s="15">
        <v>2027894.0</v>
      </c>
      <c r="D8623" s="15">
        <v>0.0</v>
      </c>
      <c r="E8623" s="15" t="s">
        <v>1557</v>
      </c>
      <c r="F8623" s="15" t="s">
        <v>1833</v>
      </c>
      <c r="G8623" s="7">
        <v>55.765</v>
      </c>
      <c r="H8623" s="15" t="s">
        <v>2038</v>
      </c>
      <c r="I8623" s="15" t="s">
        <v>1586</v>
      </c>
      <c r="J8623" s="15" t="s">
        <v>30805</v>
      </c>
      <c r="K8623" s="15">
        <v>97.0</v>
      </c>
      <c r="L8623" s="15">
        <v>97.0</v>
      </c>
      <c r="M8623" s="40">
        <v>42994.0</v>
      </c>
      <c r="N8623" s="40">
        <v>42994.0</v>
      </c>
      <c r="O8623" s="15" t="s">
        <v>1554</v>
      </c>
      <c r="Q8623" s="7"/>
    </row>
    <row r="8624">
      <c r="A8624" s="39" t="s">
        <v>30806</v>
      </c>
      <c r="B8624" s="15">
        <v>2027895.0</v>
      </c>
      <c r="D8624" s="15">
        <v>0.0</v>
      </c>
      <c r="E8624" s="15" t="s">
        <v>1557</v>
      </c>
      <c r="F8624" s="15" t="s">
        <v>1833</v>
      </c>
      <c r="G8624" s="7">
        <v>41.903</v>
      </c>
      <c r="H8624" s="15" t="s">
        <v>6615</v>
      </c>
      <c r="I8624" s="15" t="s">
        <v>1586</v>
      </c>
      <c r="J8624" s="15" t="s">
        <v>30807</v>
      </c>
      <c r="K8624" s="15">
        <v>63.0</v>
      </c>
      <c r="L8624" s="15">
        <v>63.0</v>
      </c>
      <c r="M8624" s="40">
        <v>42994.0</v>
      </c>
      <c r="N8624" s="40">
        <v>42994.0</v>
      </c>
      <c r="O8624" s="15" t="s">
        <v>1554</v>
      </c>
      <c r="Q8624" s="7"/>
    </row>
    <row r="8625">
      <c r="A8625" s="39" t="s">
        <v>30808</v>
      </c>
      <c r="B8625" s="15">
        <v>2027896.0</v>
      </c>
      <c r="D8625" s="15">
        <v>0.0</v>
      </c>
      <c r="E8625" s="15" t="s">
        <v>1557</v>
      </c>
      <c r="F8625" s="15" t="s">
        <v>1833</v>
      </c>
      <c r="G8625" s="7">
        <v>68.056</v>
      </c>
      <c r="H8625" s="15" t="s">
        <v>6615</v>
      </c>
      <c r="I8625" s="15" t="s">
        <v>1586</v>
      </c>
      <c r="J8625" s="15" t="s">
        <v>30809</v>
      </c>
      <c r="K8625" s="15">
        <v>97.0</v>
      </c>
      <c r="L8625" s="15">
        <v>97.0</v>
      </c>
      <c r="M8625" s="40">
        <v>42994.0</v>
      </c>
      <c r="N8625" s="40">
        <v>42994.0</v>
      </c>
      <c r="O8625" s="15" t="s">
        <v>1554</v>
      </c>
      <c r="Q8625" s="7"/>
    </row>
    <row r="8626">
      <c r="A8626" s="39" t="s">
        <v>30811</v>
      </c>
      <c r="B8626" s="15">
        <v>2027897.0</v>
      </c>
      <c r="D8626" s="15">
        <v>0.0</v>
      </c>
      <c r="E8626" s="15" t="s">
        <v>1557</v>
      </c>
      <c r="F8626" s="15" t="s">
        <v>1833</v>
      </c>
      <c r="G8626" s="7">
        <v>75.554</v>
      </c>
      <c r="H8626" s="15">
        <v>63.0</v>
      </c>
      <c r="I8626" s="15" t="s">
        <v>1586</v>
      </c>
      <c r="J8626" s="15" t="s">
        <v>30812</v>
      </c>
      <c r="K8626" s="15">
        <v>148.0</v>
      </c>
      <c r="L8626" s="15">
        <v>146.0</v>
      </c>
      <c r="M8626" s="40">
        <v>42994.0</v>
      </c>
      <c r="N8626" s="40">
        <v>42998.0</v>
      </c>
      <c r="O8626" s="15" t="s">
        <v>1554</v>
      </c>
      <c r="Q8626" s="7"/>
    </row>
    <row r="8627">
      <c r="A8627" s="39" t="s">
        <v>30813</v>
      </c>
      <c r="B8627" s="15">
        <v>2027898.0</v>
      </c>
      <c r="D8627" s="15">
        <v>0.0</v>
      </c>
      <c r="E8627" s="15" t="s">
        <v>1557</v>
      </c>
      <c r="F8627" s="15" t="s">
        <v>1833</v>
      </c>
      <c r="G8627" s="7">
        <v>51.294</v>
      </c>
      <c r="H8627" s="15" t="s">
        <v>3029</v>
      </c>
      <c r="I8627" s="15" t="s">
        <v>1586</v>
      </c>
      <c r="J8627" s="15" t="s">
        <v>30814</v>
      </c>
      <c r="K8627" s="15">
        <v>86.0</v>
      </c>
      <c r="L8627" s="15">
        <v>86.0</v>
      </c>
      <c r="M8627" s="40">
        <v>42994.0</v>
      </c>
      <c r="N8627" s="40">
        <v>42994.0</v>
      </c>
      <c r="O8627" s="15" t="s">
        <v>1554</v>
      </c>
      <c r="Q8627" s="7"/>
    </row>
    <row r="8628">
      <c r="A8628" s="39" t="s">
        <v>30815</v>
      </c>
      <c r="B8628" s="15">
        <v>2027899.0</v>
      </c>
      <c r="D8628" s="15">
        <v>0.0</v>
      </c>
      <c r="E8628" s="15" t="s">
        <v>1557</v>
      </c>
      <c r="F8628" s="15" t="s">
        <v>1833</v>
      </c>
      <c r="G8628" s="7">
        <v>164.254</v>
      </c>
      <c r="H8628" s="15" t="s">
        <v>4385</v>
      </c>
      <c r="I8628" s="15" t="s">
        <v>1586</v>
      </c>
      <c r="J8628" s="15" t="s">
        <v>30817</v>
      </c>
      <c r="K8628" s="15">
        <v>282.0</v>
      </c>
      <c r="L8628" s="15">
        <v>244.0</v>
      </c>
      <c r="M8628" s="40">
        <v>42994.0</v>
      </c>
      <c r="N8628" s="40">
        <v>42994.0</v>
      </c>
      <c r="O8628" s="15" t="s">
        <v>1554</v>
      </c>
      <c r="Q8628" s="7"/>
    </row>
    <row r="8629">
      <c r="A8629" s="39" t="s">
        <v>30818</v>
      </c>
      <c r="B8629" s="15">
        <v>2027900.0</v>
      </c>
      <c r="D8629" s="15">
        <v>0.0</v>
      </c>
      <c r="E8629" s="15" t="s">
        <v>1557</v>
      </c>
      <c r="F8629" s="15" t="s">
        <v>1833</v>
      </c>
      <c r="G8629" s="7">
        <v>57.789</v>
      </c>
      <c r="H8629" s="15" t="s">
        <v>10442</v>
      </c>
      <c r="I8629" s="15" t="s">
        <v>1586</v>
      </c>
      <c r="J8629" s="15" t="s">
        <v>30819</v>
      </c>
      <c r="K8629" s="15">
        <v>103.0</v>
      </c>
      <c r="L8629" s="15">
        <v>103.0</v>
      </c>
      <c r="M8629" s="40">
        <v>42994.0</v>
      </c>
      <c r="N8629" s="40">
        <v>42994.0</v>
      </c>
      <c r="O8629" s="15" t="s">
        <v>1554</v>
      </c>
      <c r="Q8629" s="7"/>
    </row>
    <row r="8630">
      <c r="A8630" s="39" t="s">
        <v>30820</v>
      </c>
      <c r="B8630" s="15">
        <v>2027901.0</v>
      </c>
      <c r="D8630" s="15">
        <v>0.0</v>
      </c>
      <c r="E8630" s="15" t="s">
        <v>1557</v>
      </c>
      <c r="F8630" s="15" t="s">
        <v>1833</v>
      </c>
      <c r="G8630" s="7">
        <v>54.655</v>
      </c>
      <c r="H8630" s="15" t="s">
        <v>3542</v>
      </c>
      <c r="I8630" s="15" t="s">
        <v>1586</v>
      </c>
      <c r="J8630" s="15" t="s">
        <v>30821</v>
      </c>
      <c r="K8630" s="15">
        <v>100.0</v>
      </c>
      <c r="L8630" s="15">
        <v>100.0</v>
      </c>
      <c r="M8630" s="40">
        <v>42994.0</v>
      </c>
      <c r="N8630" s="40">
        <v>42994.0</v>
      </c>
      <c r="O8630" s="15" t="s">
        <v>1554</v>
      </c>
      <c r="Q8630" s="7"/>
    </row>
    <row r="8631">
      <c r="A8631" s="39" t="s">
        <v>30822</v>
      </c>
      <c r="B8631" s="15">
        <v>2027902.0</v>
      </c>
      <c r="D8631" s="15">
        <v>0.0</v>
      </c>
      <c r="E8631" s="15" t="s">
        <v>1557</v>
      </c>
      <c r="F8631" s="15" t="s">
        <v>1833</v>
      </c>
      <c r="G8631" s="7">
        <v>110.24</v>
      </c>
      <c r="H8631" s="15">
        <v>61.0</v>
      </c>
      <c r="I8631" s="15" t="s">
        <v>1586</v>
      </c>
      <c r="J8631" s="15" t="s">
        <v>30823</v>
      </c>
      <c r="K8631" s="15">
        <v>239.0</v>
      </c>
      <c r="L8631" s="15">
        <v>238.0</v>
      </c>
      <c r="M8631" s="40">
        <v>42994.0</v>
      </c>
      <c r="N8631" s="40">
        <v>42994.0</v>
      </c>
      <c r="O8631" s="15" t="s">
        <v>1554</v>
      </c>
      <c r="Q8631" s="7"/>
    </row>
    <row r="8632">
      <c r="A8632" s="39" t="s">
        <v>30825</v>
      </c>
      <c r="B8632" s="15">
        <v>2027903.0</v>
      </c>
      <c r="D8632" s="15">
        <v>0.0</v>
      </c>
      <c r="E8632" s="15" t="s">
        <v>1557</v>
      </c>
      <c r="F8632" s="15" t="s">
        <v>1833</v>
      </c>
      <c r="G8632" s="7">
        <v>54.513</v>
      </c>
      <c r="H8632" s="15" t="s">
        <v>3086</v>
      </c>
      <c r="I8632" s="15" t="s">
        <v>1586</v>
      </c>
      <c r="J8632" s="15" t="s">
        <v>30826</v>
      </c>
      <c r="K8632" s="15">
        <v>101.0</v>
      </c>
      <c r="L8632" s="15">
        <v>101.0</v>
      </c>
      <c r="M8632" s="40">
        <v>42994.0</v>
      </c>
      <c r="N8632" s="40">
        <v>42994.0</v>
      </c>
      <c r="O8632" s="15" t="s">
        <v>1554</v>
      </c>
      <c r="Q8632" s="7"/>
    </row>
    <row r="8633">
      <c r="A8633" s="39" t="s">
        <v>30827</v>
      </c>
      <c r="B8633" s="15">
        <v>2027904.0</v>
      </c>
      <c r="D8633" s="15">
        <v>0.0</v>
      </c>
      <c r="E8633" s="15" t="s">
        <v>1557</v>
      </c>
      <c r="F8633" s="15" t="s">
        <v>1833</v>
      </c>
      <c r="G8633" s="7">
        <v>52.122</v>
      </c>
      <c r="H8633" s="15" t="s">
        <v>2038</v>
      </c>
      <c r="I8633" s="15" t="s">
        <v>1586</v>
      </c>
      <c r="J8633" s="15" t="s">
        <v>30828</v>
      </c>
      <c r="K8633" s="15">
        <v>103.0</v>
      </c>
      <c r="L8633" s="15">
        <v>100.0</v>
      </c>
      <c r="M8633" s="40">
        <v>42994.0</v>
      </c>
      <c r="N8633" s="40">
        <v>42994.0</v>
      </c>
      <c r="O8633" s="15" t="s">
        <v>1554</v>
      </c>
      <c r="Q8633" s="7"/>
    </row>
    <row r="8634">
      <c r="A8634" s="39" t="s">
        <v>30829</v>
      </c>
      <c r="B8634" s="15">
        <v>2029632.0</v>
      </c>
      <c r="D8634" s="15">
        <v>0.0</v>
      </c>
      <c r="E8634" s="15" t="s">
        <v>1557</v>
      </c>
      <c r="F8634" s="15" t="s">
        <v>1578</v>
      </c>
      <c r="G8634" s="7">
        <v>46.6</v>
      </c>
      <c r="H8634" s="15" t="s">
        <v>4160</v>
      </c>
      <c r="I8634" s="15" t="s">
        <v>1586</v>
      </c>
      <c r="J8634" s="15" t="s">
        <v>30830</v>
      </c>
      <c r="K8634" s="15">
        <v>69.0</v>
      </c>
      <c r="L8634" s="15">
        <v>69.0</v>
      </c>
      <c r="M8634" s="40">
        <v>43009.0</v>
      </c>
      <c r="N8634" s="40">
        <v>43009.0</v>
      </c>
      <c r="O8634" s="15" t="s">
        <v>1554</v>
      </c>
      <c r="Q8634" s="7"/>
    </row>
    <row r="8635">
      <c r="A8635" s="39" t="s">
        <v>30831</v>
      </c>
      <c r="B8635" s="15">
        <v>2029634.0</v>
      </c>
      <c r="D8635" s="15">
        <v>0.0</v>
      </c>
      <c r="E8635" s="15" t="s">
        <v>4407</v>
      </c>
      <c r="F8635" s="15" t="s">
        <v>1578</v>
      </c>
      <c r="G8635" s="7">
        <v>41.448</v>
      </c>
      <c r="H8635" s="15" t="s">
        <v>2154</v>
      </c>
      <c r="I8635" s="15" t="s">
        <v>1586</v>
      </c>
      <c r="J8635" s="15" t="s">
        <v>30833</v>
      </c>
      <c r="K8635" s="15">
        <v>59.0</v>
      </c>
      <c r="L8635" s="15">
        <v>59.0</v>
      </c>
      <c r="M8635" s="40">
        <v>43009.0</v>
      </c>
      <c r="N8635" s="40">
        <v>43009.0</v>
      </c>
      <c r="O8635" s="15" t="s">
        <v>1554</v>
      </c>
      <c r="Q8635" s="7"/>
    </row>
    <row r="8636">
      <c r="A8636" s="39" t="s">
        <v>30834</v>
      </c>
      <c r="B8636" s="15">
        <v>2030094.0</v>
      </c>
      <c r="D8636" s="15">
        <v>0.0</v>
      </c>
      <c r="E8636" s="15" t="s">
        <v>1557</v>
      </c>
      <c r="F8636" s="15" t="s">
        <v>1767</v>
      </c>
      <c r="G8636" s="7">
        <v>164.241</v>
      </c>
      <c r="H8636" s="15" t="s">
        <v>2233</v>
      </c>
      <c r="I8636" s="15" t="s">
        <v>1586</v>
      </c>
      <c r="J8636" s="15" t="s">
        <v>30835</v>
      </c>
      <c r="K8636" s="15">
        <v>284.0</v>
      </c>
      <c r="L8636" s="15">
        <v>284.0</v>
      </c>
      <c r="M8636" s="40">
        <v>42994.0</v>
      </c>
      <c r="N8636" s="40">
        <v>42994.0</v>
      </c>
      <c r="O8636" s="15" t="s">
        <v>1554</v>
      </c>
      <c r="Q8636" s="7"/>
    </row>
    <row r="8637">
      <c r="A8637" s="39" t="s">
        <v>30836</v>
      </c>
      <c r="B8637" s="15">
        <v>2030922.0</v>
      </c>
      <c r="D8637" s="15">
        <v>0.0</v>
      </c>
      <c r="E8637" s="15" t="s">
        <v>1557</v>
      </c>
      <c r="F8637" s="15" t="s">
        <v>1833</v>
      </c>
      <c r="G8637" s="7">
        <v>41.712</v>
      </c>
      <c r="H8637" s="15" t="s">
        <v>1696</v>
      </c>
      <c r="I8637" s="15" t="s">
        <v>1586</v>
      </c>
      <c r="J8637" s="15" t="s">
        <v>30837</v>
      </c>
      <c r="K8637" s="15">
        <v>68.0</v>
      </c>
      <c r="L8637" s="15">
        <v>68.0</v>
      </c>
      <c r="M8637" s="40">
        <v>42994.0</v>
      </c>
      <c r="N8637" s="40">
        <v>42994.0</v>
      </c>
      <c r="O8637" s="15" t="s">
        <v>1554</v>
      </c>
      <c r="Q8637" s="7"/>
    </row>
    <row r="8638">
      <c r="A8638" s="39" t="s">
        <v>30838</v>
      </c>
      <c r="B8638" s="15">
        <v>2030923.0</v>
      </c>
      <c r="D8638" s="15">
        <v>0.0</v>
      </c>
      <c r="E8638" s="15" t="s">
        <v>1557</v>
      </c>
      <c r="F8638" s="15" t="s">
        <v>1833</v>
      </c>
      <c r="G8638" s="7">
        <v>41.081</v>
      </c>
      <c r="H8638" s="15" t="s">
        <v>4283</v>
      </c>
      <c r="I8638" s="15" t="s">
        <v>1586</v>
      </c>
      <c r="J8638" s="15" t="s">
        <v>30839</v>
      </c>
      <c r="K8638" s="15">
        <v>63.0</v>
      </c>
      <c r="L8638" s="15">
        <v>63.0</v>
      </c>
      <c r="M8638" s="40">
        <v>42994.0</v>
      </c>
      <c r="N8638" s="40">
        <v>42994.0</v>
      </c>
      <c r="O8638" s="15" t="s">
        <v>1554</v>
      </c>
      <c r="Q8638" s="7"/>
    </row>
    <row r="8639">
      <c r="A8639" s="39" t="s">
        <v>30840</v>
      </c>
      <c r="B8639" s="15">
        <v>2030924.0</v>
      </c>
      <c r="D8639" s="15">
        <v>0.0</v>
      </c>
      <c r="E8639" s="15" t="s">
        <v>1557</v>
      </c>
      <c r="F8639" s="15" t="s">
        <v>1833</v>
      </c>
      <c r="G8639" s="7">
        <v>41.598</v>
      </c>
      <c r="H8639" s="15" t="s">
        <v>4283</v>
      </c>
      <c r="I8639" s="15" t="s">
        <v>1586</v>
      </c>
      <c r="J8639" s="15" t="s">
        <v>30842</v>
      </c>
      <c r="K8639" s="15">
        <v>69.0</v>
      </c>
      <c r="L8639" s="15">
        <v>69.0</v>
      </c>
      <c r="M8639" s="40">
        <v>42994.0</v>
      </c>
      <c r="N8639" s="40">
        <v>42994.0</v>
      </c>
      <c r="O8639" s="15" t="s">
        <v>1554</v>
      </c>
      <c r="Q8639" s="7"/>
    </row>
    <row r="8640">
      <c r="A8640" s="39" t="s">
        <v>30843</v>
      </c>
      <c r="B8640" s="15">
        <v>2034166.0</v>
      </c>
      <c r="D8640" s="15">
        <v>0.0</v>
      </c>
      <c r="E8640" s="15" t="s">
        <v>4407</v>
      </c>
      <c r="F8640" s="15" t="s">
        <v>1578</v>
      </c>
      <c r="G8640" s="7">
        <v>39.241</v>
      </c>
      <c r="H8640" s="15" t="s">
        <v>2241</v>
      </c>
      <c r="I8640" s="15" t="s">
        <v>1586</v>
      </c>
      <c r="J8640" s="15" t="s">
        <v>30844</v>
      </c>
      <c r="K8640" s="15">
        <v>57.0</v>
      </c>
      <c r="L8640" s="15">
        <v>57.0</v>
      </c>
      <c r="M8640" s="40">
        <v>42989.0</v>
      </c>
      <c r="N8640" s="40">
        <v>43004.0</v>
      </c>
      <c r="O8640" s="15" t="s">
        <v>1554</v>
      </c>
      <c r="Q8640" s="7"/>
    </row>
    <row r="8641">
      <c r="A8641" s="39" t="s">
        <v>30845</v>
      </c>
      <c r="B8641" s="15">
        <v>2036768.0</v>
      </c>
      <c r="D8641" s="15">
        <v>0.0</v>
      </c>
      <c r="E8641" s="15" t="s">
        <v>4407</v>
      </c>
      <c r="F8641" s="15" t="s">
        <v>1578</v>
      </c>
      <c r="G8641" s="7">
        <v>37.316</v>
      </c>
      <c r="H8641" s="15" t="s">
        <v>1849</v>
      </c>
      <c r="I8641" s="15" t="s">
        <v>1586</v>
      </c>
      <c r="J8641" s="15" t="s">
        <v>30846</v>
      </c>
      <c r="K8641" s="15" t="s">
        <v>1722</v>
      </c>
      <c r="L8641" s="15">
        <v>66.0</v>
      </c>
      <c r="M8641" s="40">
        <v>42999.0</v>
      </c>
      <c r="N8641" s="40">
        <v>42999.0</v>
      </c>
      <c r="O8641" s="15" t="s">
        <v>1554</v>
      </c>
      <c r="Q8641" s="7"/>
    </row>
    <row r="8642">
      <c r="A8642" s="39" t="s">
        <v>30847</v>
      </c>
      <c r="B8642" s="15">
        <v>2040288.0</v>
      </c>
      <c r="D8642" s="15">
        <v>0.0</v>
      </c>
      <c r="E8642" s="15" t="s">
        <v>1557</v>
      </c>
      <c r="F8642" s="15" t="s">
        <v>1833</v>
      </c>
      <c r="G8642" s="7">
        <v>44.708</v>
      </c>
      <c r="H8642" s="15" t="s">
        <v>1802</v>
      </c>
      <c r="I8642" s="15" t="s">
        <v>1586</v>
      </c>
      <c r="J8642" s="15" t="s">
        <v>30848</v>
      </c>
      <c r="K8642" s="15">
        <v>58.0</v>
      </c>
      <c r="L8642" s="15">
        <v>58.0</v>
      </c>
      <c r="M8642" s="40">
        <v>43009.0</v>
      </c>
      <c r="N8642" s="41">
        <v>43039.0</v>
      </c>
      <c r="O8642" s="15" t="s">
        <v>1554</v>
      </c>
      <c r="Q8642" s="7"/>
    </row>
    <row r="8643">
      <c r="A8643" s="39" t="s">
        <v>30850</v>
      </c>
      <c r="B8643" s="15">
        <v>2040289.0</v>
      </c>
      <c r="D8643" s="15">
        <v>0.0</v>
      </c>
      <c r="E8643" s="15" t="s">
        <v>1557</v>
      </c>
      <c r="F8643" s="15" t="s">
        <v>1833</v>
      </c>
      <c r="G8643" s="7">
        <v>50.072</v>
      </c>
      <c r="H8643" s="15" t="s">
        <v>2126</v>
      </c>
      <c r="I8643" s="15" t="s">
        <v>1586</v>
      </c>
      <c r="J8643" s="15" t="s">
        <v>30851</v>
      </c>
      <c r="K8643" s="15">
        <v>84.0</v>
      </c>
      <c r="L8643" s="15">
        <v>83.0</v>
      </c>
      <c r="M8643" s="40">
        <v>43009.0</v>
      </c>
      <c r="N8643" s="40">
        <v>43009.0</v>
      </c>
      <c r="O8643" s="15" t="s">
        <v>1554</v>
      </c>
      <c r="Q8643" s="7"/>
    </row>
    <row r="8644">
      <c r="A8644" s="39" t="s">
        <v>30852</v>
      </c>
      <c r="B8644" s="15">
        <v>1815956.0</v>
      </c>
      <c r="D8644" s="15">
        <v>0.0</v>
      </c>
      <c r="E8644" s="15" t="s">
        <v>1557</v>
      </c>
      <c r="F8644" s="15" t="s">
        <v>1611</v>
      </c>
      <c r="G8644" s="7">
        <v>42.351</v>
      </c>
      <c r="H8644" s="15" t="s">
        <v>2094</v>
      </c>
      <c r="I8644" s="15" t="s">
        <v>1586</v>
      </c>
      <c r="J8644" s="15" t="s">
        <v>30853</v>
      </c>
      <c r="K8644" s="15">
        <v>49.0</v>
      </c>
      <c r="L8644" s="15">
        <v>49.0</v>
      </c>
      <c r="M8644" s="40">
        <v>42451.0</v>
      </c>
      <c r="N8644" s="40">
        <v>42451.0</v>
      </c>
      <c r="O8644" s="15" t="s">
        <v>1554</v>
      </c>
      <c r="Q8644" s="7"/>
    </row>
    <row r="8645">
      <c r="A8645" s="39" t="s">
        <v>30854</v>
      </c>
      <c r="B8645" s="15">
        <v>254252.0</v>
      </c>
      <c r="D8645" s="15">
        <v>0.0</v>
      </c>
      <c r="E8645" s="15" t="s">
        <v>1557</v>
      </c>
      <c r="F8645" s="15" t="s">
        <v>1833</v>
      </c>
      <c r="G8645" s="7">
        <v>27.595</v>
      </c>
      <c r="H8645" s="15" t="s">
        <v>4283</v>
      </c>
      <c r="I8645" s="15" t="s">
        <v>1586</v>
      </c>
      <c r="J8645" s="15" t="s">
        <v>30855</v>
      </c>
      <c r="K8645" s="15" t="s">
        <v>1722</v>
      </c>
      <c r="L8645" s="15">
        <v>49.0</v>
      </c>
      <c r="M8645" s="40">
        <v>40232.0</v>
      </c>
      <c r="N8645" s="40">
        <v>40232.0</v>
      </c>
      <c r="O8645" s="15" t="s">
        <v>1554</v>
      </c>
      <c r="Q8645" s="7"/>
    </row>
    <row r="8646">
      <c r="A8646" s="39" t="s">
        <v>30856</v>
      </c>
      <c r="B8646" s="15">
        <v>1530086.0</v>
      </c>
      <c r="D8646" s="15">
        <v>0.0</v>
      </c>
      <c r="E8646" s="15" t="s">
        <v>1808</v>
      </c>
      <c r="F8646" s="15" t="s">
        <v>2969</v>
      </c>
      <c r="G8646" s="7">
        <v>8.956</v>
      </c>
      <c r="H8646" s="15" t="s">
        <v>4842</v>
      </c>
      <c r="I8646" s="15" t="s">
        <v>1586</v>
      </c>
      <c r="J8646" s="15" t="s">
        <v>30858</v>
      </c>
      <c r="K8646" s="15" t="s">
        <v>1722</v>
      </c>
      <c r="L8646" s="15">
        <v>15.0</v>
      </c>
      <c r="M8646" s="40">
        <v>41859.0</v>
      </c>
      <c r="N8646" s="40">
        <v>41859.0</v>
      </c>
      <c r="O8646" s="15" t="s">
        <v>1554</v>
      </c>
      <c r="Q8646" s="7"/>
    </row>
    <row r="8647">
      <c r="A8647" s="39" t="s">
        <v>30859</v>
      </c>
      <c r="B8647" s="15">
        <v>539221.0</v>
      </c>
      <c r="D8647" s="15">
        <v>0.0</v>
      </c>
      <c r="E8647" s="15" t="s">
        <v>1557</v>
      </c>
      <c r="F8647" s="15" t="s">
        <v>1611</v>
      </c>
      <c r="G8647" s="7">
        <v>40.207</v>
      </c>
      <c r="H8647" s="15" t="s">
        <v>1572</v>
      </c>
      <c r="I8647" s="15" t="s">
        <v>1586</v>
      </c>
      <c r="J8647" s="15" t="s">
        <v>30860</v>
      </c>
      <c r="K8647" s="15">
        <v>63.0</v>
      </c>
      <c r="L8647" s="15">
        <v>62.0</v>
      </c>
      <c r="M8647" s="40">
        <v>39237.0</v>
      </c>
      <c r="N8647" s="40">
        <v>39611.0</v>
      </c>
      <c r="O8647" s="15" t="s">
        <v>1554</v>
      </c>
      <c r="Q8647" s="7"/>
    </row>
    <row r="8648">
      <c r="A8648" s="39" t="s">
        <v>30861</v>
      </c>
      <c r="B8648" s="15">
        <v>1775428.0</v>
      </c>
      <c r="D8648" s="15">
        <v>0.0</v>
      </c>
      <c r="E8648" s="15" t="s">
        <v>1557</v>
      </c>
      <c r="F8648" s="15" t="s">
        <v>1767</v>
      </c>
      <c r="G8648" s="7">
        <v>66.063</v>
      </c>
      <c r="H8648" s="15" t="s">
        <v>10401</v>
      </c>
      <c r="I8648" s="15" t="s">
        <v>1586</v>
      </c>
      <c r="J8648" s="15" t="s">
        <v>30862</v>
      </c>
      <c r="K8648" s="15" t="s">
        <v>1722</v>
      </c>
      <c r="L8648" s="15">
        <v>90.0</v>
      </c>
      <c r="M8648" s="40">
        <v>42388.0</v>
      </c>
      <c r="N8648" s="40">
        <v>42458.0</v>
      </c>
      <c r="O8648" s="15" t="s">
        <v>1554</v>
      </c>
      <c r="Q8648" s="7"/>
    </row>
    <row r="8649">
      <c r="A8649" s="39" t="s">
        <v>30863</v>
      </c>
      <c r="B8649" s="15">
        <v>663559.0</v>
      </c>
      <c r="D8649" s="15">
        <v>0.0</v>
      </c>
      <c r="E8649" s="15" t="s">
        <v>1557</v>
      </c>
      <c r="F8649" s="15" t="s">
        <v>1833</v>
      </c>
      <c r="G8649" s="7">
        <v>74.491</v>
      </c>
      <c r="H8649" s="15">
        <v>63.0</v>
      </c>
      <c r="I8649" s="15" t="s">
        <v>1586</v>
      </c>
      <c r="J8649" s="15" t="s">
        <v>30864</v>
      </c>
      <c r="K8649" s="15">
        <v>145.0</v>
      </c>
      <c r="L8649" s="15">
        <v>143.0</v>
      </c>
      <c r="M8649" s="40">
        <v>40066.0</v>
      </c>
      <c r="N8649" s="40">
        <v>40766.0</v>
      </c>
      <c r="O8649" s="15" t="s">
        <v>1554</v>
      </c>
      <c r="Q8649" s="7"/>
    </row>
    <row r="8650">
      <c r="A8650" s="39" t="s">
        <v>30866</v>
      </c>
      <c r="B8650" s="15">
        <v>665887.0</v>
      </c>
      <c r="D8650" s="15">
        <v>0.0</v>
      </c>
      <c r="E8650" s="15" t="s">
        <v>1557</v>
      </c>
      <c r="F8650" s="15" t="s">
        <v>1833</v>
      </c>
      <c r="G8650" s="7">
        <v>28.625</v>
      </c>
      <c r="H8650" s="15">
        <v>35.0</v>
      </c>
      <c r="I8650" s="15" t="s">
        <v>1586</v>
      </c>
      <c r="J8650" s="15" t="s">
        <v>30867</v>
      </c>
      <c r="K8650" s="15" t="s">
        <v>1722</v>
      </c>
      <c r="L8650" s="15">
        <v>51.0</v>
      </c>
      <c r="M8650" s="40">
        <v>40047.0</v>
      </c>
      <c r="N8650" s="40">
        <v>40047.0</v>
      </c>
      <c r="O8650" s="15" t="s">
        <v>1554</v>
      </c>
      <c r="Q8650" s="7"/>
    </row>
    <row r="8651">
      <c r="A8651" s="39" t="s">
        <v>30868</v>
      </c>
      <c r="B8651" s="15">
        <v>673836.0</v>
      </c>
      <c r="D8651" s="15">
        <v>0.0</v>
      </c>
      <c r="E8651" s="15" t="s">
        <v>1557</v>
      </c>
      <c r="F8651" s="15" t="s">
        <v>1833</v>
      </c>
      <c r="G8651" s="7">
        <v>36.826</v>
      </c>
      <c r="H8651" s="15" t="s">
        <v>1696</v>
      </c>
      <c r="I8651" s="15" t="s">
        <v>1586</v>
      </c>
      <c r="J8651" s="15" t="s">
        <v>30869</v>
      </c>
      <c r="K8651" s="15">
        <v>59.0</v>
      </c>
      <c r="L8651" s="15">
        <v>59.0</v>
      </c>
      <c r="M8651" s="40">
        <v>40155.0</v>
      </c>
      <c r="N8651" s="40">
        <v>40226.0</v>
      </c>
      <c r="O8651" s="15" t="s">
        <v>1554</v>
      </c>
      <c r="Q8651" s="7"/>
    </row>
    <row r="8652">
      <c r="A8652" s="39" t="s">
        <v>30870</v>
      </c>
      <c r="B8652" s="15">
        <v>673838.0</v>
      </c>
      <c r="D8652" s="15">
        <v>0.0</v>
      </c>
      <c r="E8652" s="15" t="s">
        <v>1557</v>
      </c>
      <c r="F8652" s="15" t="s">
        <v>1833</v>
      </c>
      <c r="G8652" s="7">
        <v>40.275</v>
      </c>
      <c r="H8652" s="15" t="s">
        <v>3260</v>
      </c>
      <c r="I8652" s="15" t="s">
        <v>1586</v>
      </c>
      <c r="J8652" s="15" t="s">
        <v>30871</v>
      </c>
      <c r="K8652" s="15">
        <v>66.0</v>
      </c>
      <c r="L8652" s="15">
        <v>66.0</v>
      </c>
      <c r="M8652" s="40">
        <v>40155.0</v>
      </c>
      <c r="N8652" s="40">
        <v>40226.0</v>
      </c>
      <c r="O8652" s="15" t="s">
        <v>1554</v>
      </c>
      <c r="Q8652" s="7"/>
    </row>
    <row r="8653">
      <c r="A8653" s="39" t="s">
        <v>30872</v>
      </c>
      <c r="B8653" s="15">
        <v>698490.0</v>
      </c>
      <c r="D8653" s="15">
        <v>0.0</v>
      </c>
      <c r="E8653" s="15" t="s">
        <v>1557</v>
      </c>
      <c r="F8653" s="15" t="s">
        <v>1833</v>
      </c>
      <c r="G8653" s="7">
        <v>43.461</v>
      </c>
      <c r="H8653" s="15" t="s">
        <v>2263</v>
      </c>
      <c r="I8653" s="15" t="s">
        <v>1586</v>
      </c>
      <c r="J8653" s="15" t="s">
        <v>30874</v>
      </c>
      <c r="K8653" s="15" t="s">
        <v>1722</v>
      </c>
      <c r="L8653" s="15">
        <v>49.0</v>
      </c>
      <c r="M8653" s="40">
        <v>40182.0</v>
      </c>
      <c r="N8653" s="40">
        <v>40182.0</v>
      </c>
      <c r="O8653" s="15" t="s">
        <v>1554</v>
      </c>
      <c r="Q8653" s="7"/>
    </row>
    <row r="8654">
      <c r="A8654" s="39" t="s">
        <v>30875</v>
      </c>
      <c r="B8654" s="15">
        <v>745349.0</v>
      </c>
      <c r="D8654" s="15">
        <v>0.0</v>
      </c>
      <c r="E8654" s="15" t="s">
        <v>1808</v>
      </c>
      <c r="F8654" s="15" t="s">
        <v>2969</v>
      </c>
      <c r="G8654" s="7">
        <v>7.878</v>
      </c>
      <c r="H8654" s="15">
        <v>23.0</v>
      </c>
      <c r="I8654" s="15" t="s">
        <v>1586</v>
      </c>
      <c r="J8654" s="15" t="s">
        <v>30876</v>
      </c>
      <c r="K8654" s="15">
        <v>2.0</v>
      </c>
      <c r="L8654" s="15">
        <v>11.0</v>
      </c>
      <c r="M8654" s="40">
        <v>38596.0</v>
      </c>
      <c r="N8654" s="40">
        <v>40256.0</v>
      </c>
      <c r="O8654" s="15" t="s">
        <v>1554</v>
      </c>
      <c r="Q8654" s="7"/>
    </row>
    <row r="8655">
      <c r="A8655" s="39" t="s">
        <v>30877</v>
      </c>
      <c r="B8655" s="15">
        <v>1204514.0</v>
      </c>
      <c r="D8655" s="15">
        <v>0.0</v>
      </c>
      <c r="E8655" s="15" t="s">
        <v>1557</v>
      </c>
      <c r="F8655" s="15" t="s">
        <v>1767</v>
      </c>
      <c r="G8655" s="7">
        <v>246.421</v>
      </c>
      <c r="H8655" s="15" t="s">
        <v>3584</v>
      </c>
      <c r="I8655" s="15" t="s">
        <v>1586</v>
      </c>
      <c r="J8655" s="15" t="s">
        <v>30878</v>
      </c>
      <c r="K8655" s="15">
        <v>386.0</v>
      </c>
      <c r="L8655" s="15">
        <v>382.0</v>
      </c>
      <c r="M8655" s="40">
        <v>41104.0</v>
      </c>
      <c r="N8655" s="40">
        <v>41104.0</v>
      </c>
      <c r="O8655" s="15" t="s">
        <v>1554</v>
      </c>
      <c r="Q8655" s="7"/>
    </row>
    <row r="8656">
      <c r="A8656" s="39" t="s">
        <v>30880</v>
      </c>
      <c r="B8656" s="15">
        <v>1087480.0</v>
      </c>
      <c r="D8656" s="15">
        <v>0.0</v>
      </c>
      <c r="E8656" s="15" t="s">
        <v>1557</v>
      </c>
      <c r="F8656" s="15" t="s">
        <v>1767</v>
      </c>
      <c r="G8656" s="7">
        <v>83.331</v>
      </c>
      <c r="H8656" s="15" t="s">
        <v>5806</v>
      </c>
      <c r="I8656" s="15" t="s">
        <v>1586</v>
      </c>
      <c r="J8656" s="15" t="s">
        <v>30881</v>
      </c>
      <c r="K8656" s="15" t="s">
        <v>1722</v>
      </c>
      <c r="L8656" s="15">
        <v>128.0</v>
      </c>
      <c r="M8656" s="41">
        <v>41274.0</v>
      </c>
      <c r="N8656" s="41">
        <v>41274.0</v>
      </c>
      <c r="O8656" s="15" t="s">
        <v>1554</v>
      </c>
      <c r="Q8656" s="7"/>
    </row>
    <row r="8657">
      <c r="A8657" s="39" t="s">
        <v>30882</v>
      </c>
      <c r="B8657" s="15">
        <v>889876.0</v>
      </c>
      <c r="D8657" s="15">
        <v>0.0</v>
      </c>
      <c r="E8657" s="15" t="s">
        <v>1557</v>
      </c>
      <c r="F8657" s="15" t="s">
        <v>1767</v>
      </c>
      <c r="G8657" s="7">
        <v>45.159</v>
      </c>
      <c r="H8657" s="15" t="s">
        <v>2396</v>
      </c>
      <c r="I8657" s="15" t="s">
        <v>1586</v>
      </c>
      <c r="J8657" s="15" t="s">
        <v>30884</v>
      </c>
      <c r="K8657" s="15">
        <v>85.0</v>
      </c>
      <c r="L8657" s="15">
        <v>85.0</v>
      </c>
      <c r="M8657" s="40">
        <v>40460.0</v>
      </c>
      <c r="N8657" s="40">
        <v>41173.0</v>
      </c>
      <c r="O8657" s="15" t="s">
        <v>1554</v>
      </c>
      <c r="Q8657" s="7"/>
    </row>
    <row r="8658">
      <c r="A8658" s="39" t="s">
        <v>30885</v>
      </c>
      <c r="B8658" s="15">
        <v>908820.0</v>
      </c>
      <c r="D8658" s="15">
        <v>0.0</v>
      </c>
      <c r="E8658" s="15" t="s">
        <v>4407</v>
      </c>
      <c r="F8658" s="15" t="s">
        <v>1578</v>
      </c>
      <c r="G8658" s="7">
        <v>53.088</v>
      </c>
      <c r="H8658" s="15" t="s">
        <v>4149</v>
      </c>
      <c r="I8658" s="15" t="s">
        <v>1586</v>
      </c>
      <c r="J8658" s="15" t="s">
        <v>30886</v>
      </c>
      <c r="K8658" s="15" t="s">
        <v>1722</v>
      </c>
      <c r="L8658" s="15">
        <v>87.0</v>
      </c>
      <c r="M8658" s="40">
        <v>42772.0</v>
      </c>
      <c r="N8658" s="40">
        <v>42832.0</v>
      </c>
      <c r="O8658" s="15" t="s">
        <v>1554</v>
      </c>
      <c r="Q8658" s="7"/>
    </row>
    <row r="8659">
      <c r="A8659" s="39" t="s">
        <v>30887</v>
      </c>
      <c r="B8659" s="15">
        <v>938080.0</v>
      </c>
      <c r="D8659" s="15">
        <v>0.0</v>
      </c>
      <c r="E8659" s="15" t="s">
        <v>1664</v>
      </c>
      <c r="F8659" s="15" t="s">
        <v>1664</v>
      </c>
      <c r="G8659" s="7">
        <v>26.421</v>
      </c>
      <c r="H8659" s="15" t="s">
        <v>4595</v>
      </c>
      <c r="I8659" s="15" t="s">
        <v>1722</v>
      </c>
      <c r="J8659" s="15" t="s">
        <v>30888</v>
      </c>
      <c r="K8659" s="15">
        <v>26.0</v>
      </c>
      <c r="L8659" s="15">
        <v>24.0</v>
      </c>
      <c r="M8659" s="40">
        <v>40638.0</v>
      </c>
      <c r="N8659" s="40">
        <v>40645.0</v>
      </c>
      <c r="O8659" s="15" t="s">
        <v>1554</v>
      </c>
      <c r="Q8659" s="7"/>
    </row>
    <row r="8660">
      <c r="A8660" s="39" t="s">
        <v>30890</v>
      </c>
      <c r="B8660" s="15">
        <v>947842.0</v>
      </c>
      <c r="D8660" s="15">
        <v>0.0</v>
      </c>
      <c r="E8660" s="15" t="s">
        <v>4407</v>
      </c>
      <c r="F8660" s="15" t="s">
        <v>1578</v>
      </c>
      <c r="G8660" s="7">
        <v>28.765</v>
      </c>
      <c r="H8660" s="15" t="s">
        <v>6716</v>
      </c>
      <c r="I8660" s="15" t="s">
        <v>1586</v>
      </c>
      <c r="J8660" s="15" t="s">
        <v>30891</v>
      </c>
      <c r="K8660" s="15" t="s">
        <v>1722</v>
      </c>
      <c r="L8660" s="15">
        <v>43.0</v>
      </c>
      <c r="M8660" s="40">
        <v>40589.0</v>
      </c>
      <c r="N8660" s="40">
        <v>40638.0</v>
      </c>
      <c r="O8660" s="15" t="s">
        <v>1554</v>
      </c>
      <c r="Q8660" s="7"/>
    </row>
    <row r="8661">
      <c r="A8661" s="39" t="s">
        <v>30892</v>
      </c>
      <c r="B8661" s="15">
        <v>981430.0</v>
      </c>
      <c r="D8661" s="15">
        <v>0.0</v>
      </c>
      <c r="E8661" s="15" t="s">
        <v>1557</v>
      </c>
      <c r="F8661" s="15" t="s">
        <v>1767</v>
      </c>
      <c r="G8661" s="7">
        <v>88.097</v>
      </c>
      <c r="H8661" s="15" t="s">
        <v>3055</v>
      </c>
      <c r="I8661" s="15" t="s">
        <v>1586</v>
      </c>
      <c r="J8661" s="15" t="s">
        <v>30893</v>
      </c>
      <c r="K8661" s="15">
        <v>165.0</v>
      </c>
      <c r="L8661" s="15">
        <v>165.0</v>
      </c>
      <c r="M8661" s="41">
        <v>41605.0</v>
      </c>
      <c r="N8661" s="41">
        <v>41605.0</v>
      </c>
      <c r="O8661" s="15" t="s">
        <v>1554</v>
      </c>
      <c r="Q8661" s="7"/>
    </row>
    <row r="8662">
      <c r="A8662" s="39" t="s">
        <v>30894</v>
      </c>
      <c r="B8662" s="15">
        <v>2045498.0</v>
      </c>
      <c r="C8662" s="15" t="s">
        <v>30895</v>
      </c>
      <c r="D8662" s="15">
        <v>318651.0</v>
      </c>
      <c r="E8662" s="15" t="s">
        <v>1548</v>
      </c>
      <c r="F8662" s="15" t="s">
        <v>2900</v>
      </c>
      <c r="G8662" s="7">
        <v>3.674</v>
      </c>
      <c r="H8662" s="15" t="s">
        <v>1720</v>
      </c>
      <c r="I8662" s="15" t="s">
        <v>1628</v>
      </c>
      <c r="J8662" s="15" t="s">
        <v>30897</v>
      </c>
      <c r="K8662" s="15">
        <v>5.0</v>
      </c>
      <c r="L8662" s="15">
        <v>5.0</v>
      </c>
      <c r="M8662" s="40">
        <v>42469.0</v>
      </c>
      <c r="N8662" s="41">
        <v>43026.0</v>
      </c>
      <c r="O8662" s="15" t="s">
        <v>1554</v>
      </c>
      <c r="Q8662" s="7"/>
    </row>
    <row r="8663">
      <c r="A8663" s="39" t="s">
        <v>30898</v>
      </c>
      <c r="B8663" s="15">
        <v>1226252.0</v>
      </c>
      <c r="D8663" s="15">
        <v>0.0</v>
      </c>
      <c r="E8663" s="15" t="s">
        <v>1557</v>
      </c>
      <c r="F8663" s="15" t="s">
        <v>1611</v>
      </c>
      <c r="G8663" s="7">
        <v>63.369</v>
      </c>
      <c r="H8663" s="15" t="s">
        <v>1772</v>
      </c>
      <c r="I8663" s="15" t="s">
        <v>1586</v>
      </c>
      <c r="J8663" s="15" t="s">
        <v>30899</v>
      </c>
      <c r="K8663" s="15">
        <v>3.0</v>
      </c>
      <c r="L8663" s="15">
        <v>87.0</v>
      </c>
      <c r="M8663" s="40">
        <v>42311.0</v>
      </c>
      <c r="N8663" s="40">
        <v>42762.0</v>
      </c>
      <c r="O8663" s="15" t="s">
        <v>1554</v>
      </c>
      <c r="Q8663" s="7"/>
    </row>
    <row r="8664">
      <c r="A8664" s="39" t="s">
        <v>30900</v>
      </c>
      <c r="B8664" s="15">
        <v>1277893.0</v>
      </c>
      <c r="D8664" s="15">
        <v>0.0</v>
      </c>
      <c r="E8664" s="15" t="s">
        <v>1557</v>
      </c>
      <c r="F8664" s="15" t="s">
        <v>1611</v>
      </c>
      <c r="G8664" s="7">
        <v>38.253</v>
      </c>
      <c r="H8664" s="15" t="s">
        <v>5368</v>
      </c>
      <c r="I8664" s="15" t="s">
        <v>1586</v>
      </c>
      <c r="J8664" s="15" t="s">
        <v>30901</v>
      </c>
      <c r="K8664" s="15">
        <v>58.0</v>
      </c>
      <c r="L8664" s="15">
        <v>58.0</v>
      </c>
      <c r="M8664" s="40">
        <v>42740.0</v>
      </c>
      <c r="N8664" s="40">
        <v>42740.0</v>
      </c>
      <c r="O8664" s="15" t="s">
        <v>1554</v>
      </c>
      <c r="Q8664" s="7"/>
    </row>
    <row r="8665">
      <c r="A8665" s="39" t="s">
        <v>30902</v>
      </c>
      <c r="B8665" s="15">
        <v>1278402.0</v>
      </c>
      <c r="D8665" s="15">
        <v>0.0</v>
      </c>
      <c r="E8665" s="15" t="s">
        <v>1557</v>
      </c>
      <c r="F8665" s="15" t="s">
        <v>1767</v>
      </c>
      <c r="G8665" s="7">
        <v>173.821</v>
      </c>
      <c r="H8665" s="15" t="s">
        <v>1602</v>
      </c>
      <c r="I8665" s="15" t="s">
        <v>1586</v>
      </c>
      <c r="J8665" s="15" t="s">
        <v>30903</v>
      </c>
      <c r="K8665" s="15">
        <v>220.0</v>
      </c>
      <c r="L8665" s="15">
        <v>215.0</v>
      </c>
      <c r="M8665" s="41">
        <v>42656.0</v>
      </c>
      <c r="N8665" s="41">
        <v>42656.0</v>
      </c>
      <c r="O8665" s="15" t="s">
        <v>1554</v>
      </c>
      <c r="Q8665" s="7"/>
    </row>
    <row r="8666">
      <c r="A8666" s="39" t="s">
        <v>30905</v>
      </c>
      <c r="B8666" s="15">
        <v>1175653.0</v>
      </c>
      <c r="D8666" s="15">
        <v>0.0</v>
      </c>
      <c r="E8666" s="15" t="s">
        <v>1557</v>
      </c>
      <c r="F8666" s="15" t="s">
        <v>1767</v>
      </c>
      <c r="G8666" s="7">
        <v>66.45</v>
      </c>
      <c r="H8666" s="15" t="s">
        <v>3468</v>
      </c>
      <c r="I8666" s="15" t="s">
        <v>1586</v>
      </c>
      <c r="J8666" s="15" t="s">
        <v>30906</v>
      </c>
      <c r="K8666" s="15" t="s">
        <v>1722</v>
      </c>
      <c r="L8666" s="15" t="s">
        <v>1722</v>
      </c>
      <c r="M8666" s="40">
        <v>41066.0</v>
      </c>
      <c r="N8666" s="40">
        <v>41066.0</v>
      </c>
      <c r="O8666" s="15" t="s">
        <v>1554</v>
      </c>
      <c r="Q8666" s="7"/>
    </row>
    <row r="8667">
      <c r="A8667" s="39" t="s">
        <v>30907</v>
      </c>
      <c r="B8667" s="15">
        <v>1034134.0</v>
      </c>
      <c r="D8667" s="15">
        <v>0.0</v>
      </c>
      <c r="E8667" s="15" t="s">
        <v>1557</v>
      </c>
      <c r="F8667" s="15" t="s">
        <v>1767</v>
      </c>
      <c r="G8667" s="7">
        <v>155.167</v>
      </c>
      <c r="H8667" s="15" t="s">
        <v>3251</v>
      </c>
      <c r="I8667" s="15" t="s">
        <v>1586</v>
      </c>
      <c r="J8667" s="15" t="s">
        <v>30908</v>
      </c>
      <c r="K8667" s="15">
        <v>266.0</v>
      </c>
      <c r="L8667" s="15">
        <v>231.0</v>
      </c>
      <c r="M8667" s="40">
        <v>40740.0</v>
      </c>
      <c r="N8667" s="40">
        <v>40942.0</v>
      </c>
      <c r="O8667" s="15" t="s">
        <v>1554</v>
      </c>
      <c r="Q8667" s="7"/>
    </row>
    <row r="8668">
      <c r="A8668" s="39" t="s">
        <v>30910</v>
      </c>
      <c r="B8668" s="15">
        <v>1874014.0</v>
      </c>
      <c r="D8668" s="15">
        <v>0.0</v>
      </c>
      <c r="E8668" s="15" t="s">
        <v>1557</v>
      </c>
      <c r="F8668" s="15" t="s">
        <v>1833</v>
      </c>
      <c r="G8668" s="7">
        <v>15.556</v>
      </c>
      <c r="H8668" s="15" t="s">
        <v>10437</v>
      </c>
      <c r="I8668" s="15" t="s">
        <v>1586</v>
      </c>
      <c r="J8668" s="15" t="s">
        <v>30911</v>
      </c>
      <c r="K8668" s="15">
        <v>26.0</v>
      </c>
      <c r="L8668" s="15">
        <v>26.0</v>
      </c>
      <c r="M8668" s="40">
        <v>42596.0</v>
      </c>
      <c r="N8668" s="41">
        <v>43020.0</v>
      </c>
      <c r="O8668" s="15" t="s">
        <v>1554</v>
      </c>
      <c r="Q8668" s="7"/>
    </row>
    <row r="8669">
      <c r="A8669" s="39" t="s">
        <v>30912</v>
      </c>
      <c r="B8669" s="15">
        <v>1278423.0</v>
      </c>
      <c r="D8669" s="15">
        <v>0.0</v>
      </c>
      <c r="E8669" s="15" t="s">
        <v>1557</v>
      </c>
      <c r="F8669" s="15" t="s">
        <v>1767</v>
      </c>
      <c r="G8669" s="7">
        <v>179.558</v>
      </c>
      <c r="H8669" s="15" t="s">
        <v>2440</v>
      </c>
      <c r="I8669" s="15" t="s">
        <v>1586</v>
      </c>
      <c r="J8669" s="15" t="s">
        <v>30913</v>
      </c>
      <c r="K8669" s="15">
        <v>217.0</v>
      </c>
      <c r="L8669" s="15">
        <v>216.0</v>
      </c>
      <c r="M8669" s="41">
        <v>42656.0</v>
      </c>
      <c r="N8669" s="41">
        <v>42656.0</v>
      </c>
      <c r="O8669" s="15" t="s">
        <v>1554</v>
      </c>
      <c r="Q8669" s="7"/>
    </row>
    <row r="8670">
      <c r="A8670" s="39" t="s">
        <v>30915</v>
      </c>
      <c r="B8670" s="15">
        <v>1032891.0</v>
      </c>
      <c r="D8670" s="15">
        <v>0.0</v>
      </c>
      <c r="E8670" s="15" t="s">
        <v>1557</v>
      </c>
      <c r="F8670" s="15" t="s">
        <v>1833</v>
      </c>
      <c r="G8670" s="7">
        <v>53.171</v>
      </c>
      <c r="H8670" s="15" t="s">
        <v>2831</v>
      </c>
      <c r="I8670" s="15" t="s">
        <v>1586</v>
      </c>
      <c r="J8670" s="15" t="s">
        <v>30916</v>
      </c>
      <c r="K8670" s="15">
        <v>97.0</v>
      </c>
      <c r="L8670" s="15">
        <v>96.0</v>
      </c>
      <c r="M8670" s="40">
        <v>40740.0</v>
      </c>
      <c r="N8670" s="40">
        <v>40942.0</v>
      </c>
      <c r="O8670" s="15" t="s">
        <v>1554</v>
      </c>
      <c r="Q8670" s="7"/>
    </row>
    <row r="8671">
      <c r="A8671" s="39" t="s">
        <v>30917</v>
      </c>
      <c r="B8671" s="15">
        <v>1032892.0</v>
      </c>
      <c r="D8671" s="15">
        <v>0.0</v>
      </c>
      <c r="E8671" s="15" t="s">
        <v>1557</v>
      </c>
      <c r="F8671" s="15" t="s">
        <v>1833</v>
      </c>
      <c r="G8671" s="7">
        <v>50.364</v>
      </c>
      <c r="H8671" s="15">
        <v>64.0</v>
      </c>
      <c r="I8671" s="15" t="s">
        <v>1586</v>
      </c>
      <c r="J8671" s="15" t="s">
        <v>30919</v>
      </c>
      <c r="K8671" s="15">
        <v>90.0</v>
      </c>
      <c r="L8671" s="15">
        <v>89.0</v>
      </c>
      <c r="M8671" s="40">
        <v>40740.0</v>
      </c>
      <c r="N8671" s="40">
        <v>40942.0</v>
      </c>
      <c r="O8671" s="15" t="s">
        <v>1554</v>
      </c>
      <c r="Q8671" s="7"/>
    </row>
    <row r="8672">
      <c r="A8672" s="39" t="s">
        <v>30920</v>
      </c>
      <c r="B8672" s="15">
        <v>1032893.0</v>
      </c>
      <c r="D8672" s="15">
        <v>0.0</v>
      </c>
      <c r="E8672" s="15" t="s">
        <v>1557</v>
      </c>
      <c r="F8672" s="15" t="s">
        <v>1833</v>
      </c>
      <c r="G8672" s="7">
        <v>109.27</v>
      </c>
      <c r="H8672" s="15" t="s">
        <v>13856</v>
      </c>
      <c r="I8672" s="15" t="s">
        <v>1586</v>
      </c>
      <c r="J8672" s="15" t="s">
        <v>30921</v>
      </c>
      <c r="K8672" s="15">
        <v>231.0</v>
      </c>
      <c r="L8672" s="15">
        <v>230.0</v>
      </c>
      <c r="M8672" s="40">
        <v>40740.0</v>
      </c>
      <c r="N8672" s="40">
        <v>40942.0</v>
      </c>
      <c r="O8672" s="15" t="s">
        <v>1554</v>
      </c>
      <c r="Q8672" s="7"/>
    </row>
    <row r="8673">
      <c r="A8673" s="39" t="s">
        <v>30923</v>
      </c>
      <c r="B8673" s="15">
        <v>1033977.0</v>
      </c>
      <c r="D8673" s="15">
        <v>0.0</v>
      </c>
      <c r="E8673" s="15" t="s">
        <v>4407</v>
      </c>
      <c r="F8673" s="15" t="s">
        <v>1578</v>
      </c>
      <c r="G8673" s="7">
        <v>46.45</v>
      </c>
      <c r="H8673" s="42">
        <v>43341.0</v>
      </c>
      <c r="I8673" s="15" t="s">
        <v>1586</v>
      </c>
      <c r="J8673" s="15" t="s">
        <v>30924</v>
      </c>
      <c r="K8673" s="15" t="s">
        <v>1722</v>
      </c>
      <c r="L8673" s="15">
        <v>74.0</v>
      </c>
      <c r="M8673" s="40">
        <v>42914.0</v>
      </c>
      <c r="N8673" s="40">
        <v>42914.0</v>
      </c>
      <c r="O8673" s="15" t="s">
        <v>1554</v>
      </c>
      <c r="Q8673" s="7"/>
    </row>
    <row r="8674">
      <c r="A8674" s="39" t="s">
        <v>30925</v>
      </c>
      <c r="B8674" s="15">
        <v>1034099.0</v>
      </c>
      <c r="D8674" s="15">
        <v>0.0</v>
      </c>
      <c r="E8674" s="15" t="s">
        <v>1557</v>
      </c>
      <c r="F8674" s="15" t="s">
        <v>1833</v>
      </c>
      <c r="G8674" s="7">
        <v>111.688</v>
      </c>
      <c r="H8674" s="15" t="s">
        <v>1834</v>
      </c>
      <c r="I8674" s="15" t="s">
        <v>1586</v>
      </c>
      <c r="J8674" s="15" t="s">
        <v>30926</v>
      </c>
      <c r="K8674" s="15">
        <v>1.0</v>
      </c>
      <c r="L8674" s="15">
        <v>242.0</v>
      </c>
      <c r="M8674" s="40">
        <v>40741.0</v>
      </c>
      <c r="N8674" s="40">
        <v>40942.0</v>
      </c>
      <c r="O8674" s="15" t="s">
        <v>1554</v>
      </c>
      <c r="Q8674" s="7"/>
    </row>
    <row r="8675">
      <c r="A8675" s="39" t="s">
        <v>30928</v>
      </c>
      <c r="B8675" s="15">
        <v>1034100.0</v>
      </c>
      <c r="D8675" s="15">
        <v>0.0</v>
      </c>
      <c r="E8675" s="15" t="s">
        <v>1557</v>
      </c>
      <c r="F8675" s="15" t="s">
        <v>1833</v>
      </c>
      <c r="G8675" s="7">
        <v>74.997</v>
      </c>
      <c r="H8675" s="15" t="s">
        <v>2517</v>
      </c>
      <c r="I8675" s="15" t="s">
        <v>1586</v>
      </c>
      <c r="J8675" s="15" t="s">
        <v>30929</v>
      </c>
      <c r="K8675" s="15">
        <v>2.0</v>
      </c>
      <c r="L8675" s="15">
        <v>147.0</v>
      </c>
      <c r="M8675" s="40">
        <v>40741.0</v>
      </c>
      <c r="N8675" s="40">
        <v>40942.0</v>
      </c>
      <c r="O8675" s="15" t="s">
        <v>1554</v>
      </c>
      <c r="Q8675" s="7"/>
    </row>
    <row r="8676">
      <c r="A8676" s="39" t="s">
        <v>30930</v>
      </c>
      <c r="B8676" s="15">
        <v>1034101.0</v>
      </c>
      <c r="D8676" s="15">
        <v>0.0</v>
      </c>
      <c r="E8676" s="15" t="s">
        <v>1557</v>
      </c>
      <c r="F8676" s="15" t="s">
        <v>1833</v>
      </c>
      <c r="G8676" s="7">
        <v>58.899</v>
      </c>
      <c r="H8676" s="15" t="s">
        <v>3890</v>
      </c>
      <c r="I8676" s="15" t="s">
        <v>1586</v>
      </c>
      <c r="J8676" s="15" t="s">
        <v>30931</v>
      </c>
      <c r="K8676" s="15" t="s">
        <v>1722</v>
      </c>
      <c r="L8676" s="15">
        <v>105.0</v>
      </c>
      <c r="M8676" s="40">
        <v>40741.0</v>
      </c>
      <c r="N8676" s="40">
        <v>40942.0</v>
      </c>
      <c r="O8676" s="15" t="s">
        <v>1554</v>
      </c>
      <c r="Q8676" s="7"/>
    </row>
    <row r="8677">
      <c r="A8677" s="39" t="s">
        <v>30932</v>
      </c>
      <c r="B8677" s="15">
        <v>1034102.0</v>
      </c>
      <c r="D8677" s="15">
        <v>0.0</v>
      </c>
      <c r="E8677" s="15" t="s">
        <v>1557</v>
      </c>
      <c r="F8677" s="15" t="s">
        <v>1833</v>
      </c>
      <c r="G8677" s="7">
        <v>51.547</v>
      </c>
      <c r="H8677" s="15" t="s">
        <v>2038</v>
      </c>
      <c r="I8677" s="15" t="s">
        <v>1586</v>
      </c>
      <c r="J8677" s="15" t="s">
        <v>30934</v>
      </c>
      <c r="K8677" s="15">
        <v>3.0</v>
      </c>
      <c r="L8677" s="15">
        <v>97.0</v>
      </c>
      <c r="M8677" s="40">
        <v>40741.0</v>
      </c>
      <c r="N8677" s="40">
        <v>40942.0</v>
      </c>
      <c r="O8677" s="15" t="s">
        <v>1554</v>
      </c>
      <c r="Q8677" s="7"/>
    </row>
    <row r="8678">
      <c r="A8678" s="39" t="s">
        <v>30935</v>
      </c>
      <c r="B8678" s="15">
        <v>1034103.0</v>
      </c>
      <c r="D8678" s="15">
        <v>0.0</v>
      </c>
      <c r="E8678" s="15" t="s">
        <v>1557</v>
      </c>
      <c r="F8678" s="15" t="s">
        <v>1833</v>
      </c>
      <c r="G8678" s="7">
        <v>51.889</v>
      </c>
      <c r="H8678" s="15" t="s">
        <v>4430</v>
      </c>
      <c r="I8678" s="15" t="s">
        <v>1586</v>
      </c>
      <c r="J8678" s="15" t="s">
        <v>30936</v>
      </c>
      <c r="K8678" s="15">
        <v>3.0</v>
      </c>
      <c r="L8678" s="15">
        <v>104.0</v>
      </c>
      <c r="M8678" s="40">
        <v>40741.0</v>
      </c>
      <c r="N8678" s="40">
        <v>40942.0</v>
      </c>
      <c r="O8678" s="15" t="s">
        <v>1554</v>
      </c>
      <c r="Q8678" s="7"/>
    </row>
    <row r="8679">
      <c r="A8679" s="39" t="s">
        <v>30937</v>
      </c>
      <c r="B8679" s="15">
        <v>1034107.0</v>
      </c>
      <c r="D8679" s="15">
        <v>0.0</v>
      </c>
      <c r="E8679" s="15" t="s">
        <v>1557</v>
      </c>
      <c r="F8679" s="15" t="s">
        <v>1833</v>
      </c>
      <c r="G8679" s="7">
        <v>55.6</v>
      </c>
      <c r="H8679" s="15" t="s">
        <v>2154</v>
      </c>
      <c r="I8679" s="15" t="s">
        <v>1586</v>
      </c>
      <c r="J8679" s="15" t="s">
        <v>30938</v>
      </c>
      <c r="K8679" s="15" t="s">
        <v>1722</v>
      </c>
      <c r="L8679" s="15">
        <v>103.0</v>
      </c>
      <c r="M8679" s="40">
        <v>40741.0</v>
      </c>
      <c r="N8679" s="40">
        <v>40942.0</v>
      </c>
      <c r="O8679" s="15" t="s">
        <v>1554</v>
      </c>
      <c r="Q8679" s="7"/>
    </row>
    <row r="8680">
      <c r="A8680" s="39" t="s">
        <v>30940</v>
      </c>
      <c r="B8680" s="15">
        <v>1034108.0</v>
      </c>
      <c r="D8680" s="15">
        <v>0.0</v>
      </c>
      <c r="E8680" s="15" t="s">
        <v>1557</v>
      </c>
      <c r="F8680" s="15" t="s">
        <v>1833</v>
      </c>
      <c r="G8680" s="7">
        <v>52.169</v>
      </c>
      <c r="H8680" s="15" t="s">
        <v>3542</v>
      </c>
      <c r="I8680" s="15" t="s">
        <v>1586</v>
      </c>
      <c r="J8680" s="15" t="s">
        <v>30941</v>
      </c>
      <c r="K8680" s="15">
        <v>97.0</v>
      </c>
      <c r="L8680" s="15">
        <v>97.0</v>
      </c>
      <c r="M8680" s="40">
        <v>40741.0</v>
      </c>
      <c r="N8680" s="40">
        <v>40942.0</v>
      </c>
      <c r="O8680" s="15" t="s">
        <v>1554</v>
      </c>
      <c r="Q8680" s="7"/>
    </row>
    <row r="8681">
      <c r="A8681" s="39" t="s">
        <v>30942</v>
      </c>
      <c r="B8681" s="15">
        <v>1034109.0</v>
      </c>
      <c r="D8681" s="15">
        <v>0.0</v>
      </c>
      <c r="E8681" s="15" t="s">
        <v>1557</v>
      </c>
      <c r="F8681" s="15" t="s">
        <v>1833</v>
      </c>
      <c r="G8681" s="7">
        <v>51.381</v>
      </c>
      <c r="H8681" s="15" t="s">
        <v>3542</v>
      </c>
      <c r="I8681" s="15" t="s">
        <v>1586</v>
      </c>
      <c r="J8681" s="15" t="s">
        <v>30943</v>
      </c>
      <c r="K8681" s="15" t="s">
        <v>1722</v>
      </c>
      <c r="L8681" s="15">
        <v>92.0</v>
      </c>
      <c r="M8681" s="40">
        <v>40741.0</v>
      </c>
      <c r="N8681" s="40">
        <v>40942.0</v>
      </c>
      <c r="O8681" s="15" t="s">
        <v>1554</v>
      </c>
      <c r="Q8681" s="7"/>
    </row>
    <row r="8682">
      <c r="A8682" s="39" t="s">
        <v>30944</v>
      </c>
      <c r="B8682" s="15">
        <v>1034110.0</v>
      </c>
      <c r="D8682" s="15">
        <v>0.0</v>
      </c>
      <c r="E8682" s="15" t="s">
        <v>1557</v>
      </c>
      <c r="F8682" s="15" t="s">
        <v>1833</v>
      </c>
      <c r="G8682" s="7">
        <v>50.486</v>
      </c>
      <c r="H8682" s="15" t="s">
        <v>6661</v>
      </c>
      <c r="I8682" s="15" t="s">
        <v>1586</v>
      </c>
      <c r="J8682" s="15" t="s">
        <v>30945</v>
      </c>
      <c r="K8682" s="15" t="s">
        <v>1722</v>
      </c>
      <c r="L8682" s="15">
        <v>89.0</v>
      </c>
      <c r="M8682" s="40">
        <v>40741.0</v>
      </c>
      <c r="N8682" s="40">
        <v>40942.0</v>
      </c>
      <c r="O8682" s="15" t="s">
        <v>1554</v>
      </c>
      <c r="Q8682" s="7"/>
    </row>
    <row r="8683">
      <c r="A8683" s="39" t="s">
        <v>30947</v>
      </c>
      <c r="B8683" s="15">
        <v>1034111.0</v>
      </c>
      <c r="D8683" s="15">
        <v>0.0</v>
      </c>
      <c r="E8683" s="15" t="s">
        <v>1557</v>
      </c>
      <c r="F8683" s="15" t="s">
        <v>1833</v>
      </c>
      <c r="G8683" s="7">
        <v>109.086</v>
      </c>
      <c r="H8683" s="15" t="s">
        <v>4430</v>
      </c>
      <c r="I8683" s="15" t="s">
        <v>1586</v>
      </c>
      <c r="J8683" s="15" t="s">
        <v>30948</v>
      </c>
      <c r="K8683" s="15">
        <v>1.0</v>
      </c>
      <c r="L8683" s="15">
        <v>229.0</v>
      </c>
      <c r="M8683" s="40">
        <v>40741.0</v>
      </c>
      <c r="N8683" s="40">
        <v>40942.0</v>
      </c>
      <c r="O8683" s="15" t="s">
        <v>1554</v>
      </c>
      <c r="Q8683" s="7"/>
    </row>
    <row r="8684">
      <c r="A8684" s="39" t="s">
        <v>30949</v>
      </c>
      <c r="B8684" s="15">
        <v>1034112.0</v>
      </c>
      <c r="D8684" s="15">
        <v>0.0</v>
      </c>
      <c r="E8684" s="15" t="s">
        <v>1557</v>
      </c>
      <c r="F8684" s="15" t="s">
        <v>1833</v>
      </c>
      <c r="G8684" s="7">
        <v>57.278</v>
      </c>
      <c r="H8684" s="15" t="s">
        <v>9648</v>
      </c>
      <c r="I8684" s="15" t="s">
        <v>1586</v>
      </c>
      <c r="J8684" s="15" t="s">
        <v>30950</v>
      </c>
      <c r="K8684" s="15" t="s">
        <v>1722</v>
      </c>
      <c r="L8684" s="15">
        <v>108.0</v>
      </c>
      <c r="M8684" s="40">
        <v>40741.0</v>
      </c>
      <c r="N8684" s="40">
        <v>40942.0</v>
      </c>
      <c r="O8684" s="15" t="s">
        <v>1554</v>
      </c>
      <c r="Q8684" s="7"/>
    </row>
    <row r="8685">
      <c r="A8685" s="39" t="s">
        <v>30952</v>
      </c>
      <c r="B8685" s="15">
        <v>1034113.0</v>
      </c>
      <c r="D8685" s="15">
        <v>0.0</v>
      </c>
      <c r="E8685" s="15" t="s">
        <v>1557</v>
      </c>
      <c r="F8685" s="15" t="s">
        <v>1833</v>
      </c>
      <c r="G8685" s="7">
        <v>51.426</v>
      </c>
      <c r="H8685" s="15" t="s">
        <v>3542</v>
      </c>
      <c r="I8685" s="15" t="s">
        <v>1586</v>
      </c>
      <c r="J8685" s="15" t="s">
        <v>30953</v>
      </c>
      <c r="K8685" s="15" t="s">
        <v>1722</v>
      </c>
      <c r="L8685" s="15">
        <v>90.0</v>
      </c>
      <c r="M8685" s="40">
        <v>40741.0</v>
      </c>
      <c r="N8685" s="40">
        <v>41010.0</v>
      </c>
      <c r="O8685" s="15" t="s">
        <v>1554</v>
      </c>
      <c r="Q8685" s="7"/>
    </row>
    <row r="8686">
      <c r="A8686" s="39" t="s">
        <v>30954</v>
      </c>
      <c r="B8686" s="15">
        <v>1034114.0</v>
      </c>
      <c r="D8686" s="15">
        <v>0.0</v>
      </c>
      <c r="E8686" s="15" t="s">
        <v>1557</v>
      </c>
      <c r="F8686" s="15" t="s">
        <v>1833</v>
      </c>
      <c r="G8686" s="7">
        <v>61.147</v>
      </c>
      <c r="H8686" s="15" t="s">
        <v>8962</v>
      </c>
      <c r="I8686" s="15" t="s">
        <v>1586</v>
      </c>
      <c r="J8686" s="15" t="s">
        <v>30955</v>
      </c>
      <c r="K8686" s="15" t="s">
        <v>1722</v>
      </c>
      <c r="L8686" s="15">
        <v>100.0</v>
      </c>
      <c r="M8686" s="40">
        <v>40741.0</v>
      </c>
      <c r="N8686" s="41">
        <v>40876.0</v>
      </c>
      <c r="O8686" s="15" t="s">
        <v>1554</v>
      </c>
      <c r="Q8686" s="7"/>
    </row>
    <row r="8687">
      <c r="A8687" s="39" t="s">
        <v>30957</v>
      </c>
      <c r="B8687" s="15">
        <v>1034117.0</v>
      </c>
      <c r="D8687" s="15">
        <v>0.0</v>
      </c>
      <c r="E8687" s="15" t="s">
        <v>1557</v>
      </c>
      <c r="F8687" s="15" t="s">
        <v>1833</v>
      </c>
      <c r="G8687" s="7">
        <v>64.791</v>
      </c>
      <c r="H8687" s="15" t="s">
        <v>8179</v>
      </c>
      <c r="I8687" s="15" t="s">
        <v>1586</v>
      </c>
      <c r="J8687" s="15" t="s">
        <v>30958</v>
      </c>
      <c r="K8687" s="15" t="s">
        <v>1722</v>
      </c>
      <c r="L8687" s="15">
        <v>90.0</v>
      </c>
      <c r="M8687" s="40">
        <v>40741.0</v>
      </c>
      <c r="N8687" s="40">
        <v>40942.0</v>
      </c>
      <c r="O8687" s="15" t="s">
        <v>1554</v>
      </c>
      <c r="Q8687" s="7"/>
    </row>
    <row r="8688">
      <c r="A8688" s="39" t="s">
        <v>30959</v>
      </c>
      <c r="B8688" s="15">
        <v>1035483.0</v>
      </c>
      <c r="D8688" s="15">
        <v>0.0</v>
      </c>
      <c r="E8688" s="15" t="s">
        <v>1557</v>
      </c>
      <c r="F8688" s="15" t="s">
        <v>1833</v>
      </c>
      <c r="G8688" s="7">
        <v>75.706</v>
      </c>
      <c r="H8688" s="15" t="s">
        <v>2517</v>
      </c>
      <c r="I8688" s="15" t="s">
        <v>1586</v>
      </c>
      <c r="J8688" s="15" t="s">
        <v>30960</v>
      </c>
      <c r="K8688" s="15">
        <v>2.0</v>
      </c>
      <c r="L8688" s="15">
        <v>145.0</v>
      </c>
      <c r="M8688" s="40">
        <v>40740.0</v>
      </c>
      <c r="N8688" s="40">
        <v>40942.0</v>
      </c>
      <c r="O8688" s="15" t="s">
        <v>1554</v>
      </c>
      <c r="Q8688" s="7"/>
    </row>
    <row r="8689">
      <c r="A8689" s="39" t="s">
        <v>30962</v>
      </c>
      <c r="B8689" s="15">
        <v>1034105.0</v>
      </c>
      <c r="D8689" s="15">
        <v>0.0</v>
      </c>
      <c r="E8689" s="15" t="s">
        <v>1557</v>
      </c>
      <c r="F8689" s="15" t="s">
        <v>1833</v>
      </c>
      <c r="G8689" s="7">
        <v>76.049</v>
      </c>
      <c r="H8689" s="15">
        <v>63.0</v>
      </c>
      <c r="I8689" s="15" t="s">
        <v>1586</v>
      </c>
      <c r="J8689" s="15" t="s">
        <v>30963</v>
      </c>
      <c r="K8689" s="15">
        <v>2.0</v>
      </c>
      <c r="L8689" s="15">
        <v>143.0</v>
      </c>
      <c r="M8689" s="40">
        <v>40741.0</v>
      </c>
      <c r="N8689" s="40">
        <v>40942.0</v>
      </c>
      <c r="O8689" s="15" t="s">
        <v>1554</v>
      </c>
      <c r="Q8689" s="7"/>
    </row>
    <row r="8690">
      <c r="A8690" s="39" t="s">
        <v>30964</v>
      </c>
      <c r="B8690" s="15">
        <v>1036613.0</v>
      </c>
      <c r="D8690" s="15">
        <v>0.0</v>
      </c>
      <c r="E8690" s="15" t="s">
        <v>1557</v>
      </c>
      <c r="F8690" s="15" t="s">
        <v>1833</v>
      </c>
      <c r="G8690" s="7">
        <v>50.988</v>
      </c>
      <c r="H8690" s="15" t="s">
        <v>6661</v>
      </c>
      <c r="I8690" s="15" t="s">
        <v>1586</v>
      </c>
      <c r="J8690" s="15" t="s">
        <v>30965</v>
      </c>
      <c r="K8690" s="15">
        <v>92.0</v>
      </c>
      <c r="L8690" s="15">
        <v>92.0</v>
      </c>
      <c r="M8690" s="40">
        <v>40740.0</v>
      </c>
      <c r="N8690" s="40">
        <v>40942.0</v>
      </c>
      <c r="O8690" s="15" t="s">
        <v>1554</v>
      </c>
      <c r="Q8690" s="7"/>
    </row>
    <row r="8691">
      <c r="A8691" s="39" t="s">
        <v>30966</v>
      </c>
      <c r="B8691" s="15">
        <v>1036614.0</v>
      </c>
      <c r="D8691" s="15">
        <v>0.0</v>
      </c>
      <c r="E8691" s="15" t="s">
        <v>1557</v>
      </c>
      <c r="F8691" s="15" t="s">
        <v>1833</v>
      </c>
      <c r="G8691" s="7">
        <v>57.701</v>
      </c>
      <c r="H8691" s="15" t="s">
        <v>4430</v>
      </c>
      <c r="I8691" s="15" t="s">
        <v>1586</v>
      </c>
      <c r="J8691" s="15" t="s">
        <v>30967</v>
      </c>
      <c r="K8691" s="15">
        <v>106.0</v>
      </c>
      <c r="L8691" s="15">
        <v>106.0</v>
      </c>
      <c r="M8691" s="40">
        <v>40740.0</v>
      </c>
      <c r="N8691" s="40">
        <v>40942.0</v>
      </c>
      <c r="O8691" s="15" t="s">
        <v>1554</v>
      </c>
      <c r="Q8691" s="7"/>
    </row>
    <row r="8692">
      <c r="A8692" s="39" t="s">
        <v>30969</v>
      </c>
      <c r="B8692" s="15">
        <v>1041406.0</v>
      </c>
      <c r="D8692" s="15">
        <v>0.0</v>
      </c>
      <c r="E8692" s="15" t="s">
        <v>1557</v>
      </c>
      <c r="F8692" s="15" t="s">
        <v>1833</v>
      </c>
      <c r="G8692" s="7">
        <v>51.702</v>
      </c>
      <c r="H8692" s="15" t="s">
        <v>2038</v>
      </c>
      <c r="I8692" s="15" t="s">
        <v>1586</v>
      </c>
      <c r="J8692" s="15" t="s">
        <v>30970</v>
      </c>
      <c r="K8692" s="15">
        <v>100.0</v>
      </c>
      <c r="L8692" s="15">
        <v>97.0</v>
      </c>
      <c r="M8692" s="40">
        <v>40740.0</v>
      </c>
      <c r="N8692" s="40">
        <v>40942.0</v>
      </c>
      <c r="O8692" s="15" t="s">
        <v>1554</v>
      </c>
      <c r="Q8692" s="7"/>
    </row>
    <row r="8693">
      <c r="A8693" s="39" t="s">
        <v>30971</v>
      </c>
      <c r="B8693" s="15">
        <v>1041807.0</v>
      </c>
      <c r="D8693" s="15">
        <v>0.0</v>
      </c>
      <c r="E8693" s="15" t="s">
        <v>1557</v>
      </c>
      <c r="F8693" s="15" t="s">
        <v>1833</v>
      </c>
      <c r="G8693" s="7">
        <v>51.083</v>
      </c>
      <c r="H8693" s="15" t="s">
        <v>10412</v>
      </c>
      <c r="I8693" s="15" t="s">
        <v>1586</v>
      </c>
      <c r="J8693" s="15" t="s">
        <v>30972</v>
      </c>
      <c r="K8693" s="15">
        <v>91.0</v>
      </c>
      <c r="L8693" s="15">
        <v>90.0</v>
      </c>
      <c r="M8693" s="40">
        <v>40740.0</v>
      </c>
      <c r="N8693" s="40">
        <v>40942.0</v>
      </c>
      <c r="O8693" s="15" t="s">
        <v>1554</v>
      </c>
      <c r="Q8693" s="7"/>
    </row>
    <row r="8694">
      <c r="A8694" s="39" t="s">
        <v>30974</v>
      </c>
      <c r="B8694" s="15">
        <v>1041808.0</v>
      </c>
      <c r="D8694" s="15">
        <v>0.0</v>
      </c>
      <c r="E8694" s="15" t="s">
        <v>1557</v>
      </c>
      <c r="F8694" s="15" t="s">
        <v>1833</v>
      </c>
      <c r="G8694" s="7">
        <v>51.241</v>
      </c>
      <c r="H8694" s="15">
        <v>60.0</v>
      </c>
      <c r="I8694" s="15" t="s">
        <v>1586</v>
      </c>
      <c r="J8694" s="15" t="s">
        <v>30975</v>
      </c>
      <c r="K8694" s="15">
        <v>90.0</v>
      </c>
      <c r="L8694" s="15">
        <v>89.0</v>
      </c>
      <c r="M8694" s="40">
        <v>40740.0</v>
      </c>
      <c r="N8694" s="40">
        <v>40942.0</v>
      </c>
      <c r="O8694" s="15" t="s">
        <v>1554</v>
      </c>
      <c r="Q8694" s="7"/>
    </row>
    <row r="8695">
      <c r="A8695" s="39" t="s">
        <v>30976</v>
      </c>
      <c r="B8695" s="15">
        <v>1051143.0</v>
      </c>
      <c r="D8695" s="15">
        <v>0.0</v>
      </c>
      <c r="E8695" s="15" t="s">
        <v>1557</v>
      </c>
      <c r="F8695" s="15" t="s">
        <v>1833</v>
      </c>
      <c r="G8695" s="7">
        <v>59.749</v>
      </c>
      <c r="H8695" s="15" t="s">
        <v>6615</v>
      </c>
      <c r="I8695" s="15" t="s">
        <v>1586</v>
      </c>
      <c r="J8695" s="15" t="s">
        <v>30977</v>
      </c>
      <c r="K8695" s="15">
        <v>95.0</v>
      </c>
      <c r="L8695" s="15">
        <v>94.0</v>
      </c>
      <c r="M8695" s="40">
        <v>40740.0</v>
      </c>
      <c r="N8695" s="40">
        <v>40942.0</v>
      </c>
      <c r="O8695" s="15" t="s">
        <v>1554</v>
      </c>
      <c r="Q8695" s="7"/>
    </row>
    <row r="8696">
      <c r="A8696" s="39" t="s">
        <v>30979</v>
      </c>
      <c r="B8696" s="15">
        <v>1541820.0</v>
      </c>
      <c r="D8696" s="15">
        <v>0.0</v>
      </c>
      <c r="E8696" s="15" t="s">
        <v>1557</v>
      </c>
      <c r="F8696" s="15" t="s">
        <v>1833</v>
      </c>
      <c r="G8696" s="7">
        <v>69.271</v>
      </c>
      <c r="H8696" s="15" t="s">
        <v>2400</v>
      </c>
      <c r="I8696" s="15" t="s">
        <v>1586</v>
      </c>
      <c r="J8696" s="15" t="s">
        <v>30980</v>
      </c>
      <c r="K8696" s="15">
        <v>102.0</v>
      </c>
      <c r="L8696" s="15">
        <v>102.0</v>
      </c>
      <c r="M8696" s="40">
        <v>41892.0</v>
      </c>
      <c r="N8696" s="40">
        <v>42186.0</v>
      </c>
      <c r="O8696" s="15" t="s">
        <v>1554</v>
      </c>
      <c r="Q8696" s="7"/>
    </row>
    <row r="8697">
      <c r="A8697" s="39" t="s">
        <v>30981</v>
      </c>
      <c r="B8697" s="15">
        <v>10683.0</v>
      </c>
      <c r="D8697" s="15">
        <v>0.0</v>
      </c>
      <c r="E8697" s="15" t="s">
        <v>1557</v>
      </c>
      <c r="F8697" s="15" t="s">
        <v>1767</v>
      </c>
      <c r="G8697" s="7">
        <v>252.197</v>
      </c>
      <c r="H8697" s="42">
        <v>43308.0</v>
      </c>
      <c r="I8697" s="15" t="s">
        <v>1586</v>
      </c>
      <c r="J8697" s="15" t="s">
        <v>30982</v>
      </c>
      <c r="K8697" s="15">
        <v>312.0</v>
      </c>
      <c r="L8697" s="15">
        <v>311.0</v>
      </c>
      <c r="M8697" s="40">
        <v>42966.0</v>
      </c>
      <c r="N8697" s="40">
        <v>42966.0</v>
      </c>
      <c r="O8697" s="15" t="s">
        <v>1554</v>
      </c>
      <c r="Q8697" s="7"/>
    </row>
    <row r="8698">
      <c r="A8698" s="39" t="s">
        <v>30983</v>
      </c>
      <c r="B8698" s="15">
        <v>1070989.0</v>
      </c>
      <c r="D8698" s="15">
        <v>0.0</v>
      </c>
      <c r="E8698" s="15" t="s">
        <v>1557</v>
      </c>
      <c r="F8698" s="15" t="s">
        <v>1833</v>
      </c>
      <c r="G8698" s="7">
        <v>74.675</v>
      </c>
      <c r="H8698" s="15">
        <v>63.0</v>
      </c>
      <c r="I8698" s="15" t="s">
        <v>1586</v>
      </c>
      <c r="J8698" s="15" t="s">
        <v>30985</v>
      </c>
      <c r="K8698" s="15">
        <v>145.0</v>
      </c>
      <c r="L8698" s="15">
        <v>143.0</v>
      </c>
      <c r="M8698" s="40">
        <v>40762.0</v>
      </c>
      <c r="N8698" s="40">
        <v>40942.0</v>
      </c>
      <c r="O8698" s="15" t="s">
        <v>1554</v>
      </c>
      <c r="Q8698" s="7"/>
    </row>
    <row r="8699">
      <c r="A8699" s="39" t="s">
        <v>30986</v>
      </c>
      <c r="B8699" s="15">
        <v>1071502.0</v>
      </c>
      <c r="D8699" s="15">
        <v>0.0</v>
      </c>
      <c r="E8699" s="15" t="s">
        <v>1557</v>
      </c>
      <c r="F8699" s="15" t="s">
        <v>1833</v>
      </c>
      <c r="G8699" s="7">
        <v>50.965</v>
      </c>
      <c r="H8699" s="15" t="s">
        <v>4190</v>
      </c>
      <c r="I8699" s="15" t="s">
        <v>1586</v>
      </c>
      <c r="J8699" s="15" t="s">
        <v>30987</v>
      </c>
      <c r="K8699" s="15">
        <v>87.0</v>
      </c>
      <c r="L8699" s="15">
        <v>86.0</v>
      </c>
      <c r="M8699" s="40">
        <v>40761.0</v>
      </c>
      <c r="N8699" s="40">
        <v>40942.0</v>
      </c>
      <c r="O8699" s="15" t="s">
        <v>1554</v>
      </c>
      <c r="Q8699" s="7"/>
    </row>
    <row r="8700">
      <c r="A8700" s="39" t="s">
        <v>30988</v>
      </c>
      <c r="B8700" s="15">
        <v>10736.0</v>
      </c>
      <c r="D8700" s="15">
        <v>0.0</v>
      </c>
      <c r="E8700" s="15" t="s">
        <v>1557</v>
      </c>
      <c r="F8700" s="15" t="s">
        <v>1833</v>
      </c>
      <c r="G8700" s="7">
        <v>128.375</v>
      </c>
      <c r="H8700" s="15">
        <v>35.0</v>
      </c>
      <c r="I8700" s="15" t="s">
        <v>1586</v>
      </c>
      <c r="J8700" s="15" t="s">
        <v>30989</v>
      </c>
      <c r="K8700" s="15">
        <v>201.0</v>
      </c>
      <c r="L8700" s="15">
        <v>201.0</v>
      </c>
      <c r="M8700" s="40">
        <v>42759.0</v>
      </c>
      <c r="N8700" s="40">
        <v>42762.0</v>
      </c>
      <c r="O8700" s="15" t="s">
        <v>1554</v>
      </c>
      <c r="Q8700" s="7"/>
    </row>
    <row r="8701">
      <c r="A8701" s="39" t="s">
        <v>30991</v>
      </c>
      <c r="B8701" s="15">
        <v>1073754.0</v>
      </c>
      <c r="D8701" s="15">
        <v>0.0</v>
      </c>
      <c r="E8701" s="15" t="s">
        <v>4407</v>
      </c>
      <c r="F8701" s="15" t="s">
        <v>1578</v>
      </c>
      <c r="G8701" s="7">
        <v>22.162</v>
      </c>
      <c r="H8701" s="15" t="s">
        <v>2189</v>
      </c>
      <c r="I8701" s="15" t="s">
        <v>1586</v>
      </c>
      <c r="J8701" s="15" t="s">
        <v>30992</v>
      </c>
      <c r="K8701" s="15" t="s">
        <v>1722</v>
      </c>
      <c r="L8701" s="15">
        <v>30.0</v>
      </c>
      <c r="M8701" s="40">
        <v>40771.0</v>
      </c>
      <c r="N8701" s="41">
        <v>40861.0</v>
      </c>
      <c r="O8701" s="15" t="s">
        <v>1554</v>
      </c>
      <c r="Q8701" s="7"/>
    </row>
    <row r="8702">
      <c r="A8702" s="39" t="s">
        <v>30993</v>
      </c>
      <c r="B8702" s="15">
        <v>1074306.0</v>
      </c>
      <c r="D8702" s="15">
        <v>0.0</v>
      </c>
      <c r="E8702" s="15" t="s">
        <v>1557</v>
      </c>
      <c r="F8702" s="15" t="s">
        <v>1833</v>
      </c>
      <c r="G8702" s="7">
        <v>76.174</v>
      </c>
      <c r="H8702" s="15" t="s">
        <v>2517</v>
      </c>
      <c r="I8702" s="15" t="s">
        <v>1586</v>
      </c>
      <c r="J8702" s="15" t="s">
        <v>30995</v>
      </c>
      <c r="K8702" s="15">
        <v>147.0</v>
      </c>
      <c r="L8702" s="15">
        <v>145.0</v>
      </c>
      <c r="M8702" s="40">
        <v>40769.0</v>
      </c>
      <c r="N8702" s="40">
        <v>40942.0</v>
      </c>
      <c r="O8702" s="15" t="s">
        <v>1554</v>
      </c>
      <c r="Q8702" s="7"/>
    </row>
    <row r="8703">
      <c r="A8703" s="39" t="s">
        <v>30996</v>
      </c>
      <c r="B8703" s="15">
        <v>1675552.0</v>
      </c>
      <c r="D8703" s="15">
        <v>0.0</v>
      </c>
      <c r="E8703" s="15" t="s">
        <v>1557</v>
      </c>
      <c r="F8703" s="15" t="s">
        <v>1833</v>
      </c>
      <c r="G8703" s="7">
        <v>69.377</v>
      </c>
      <c r="H8703" s="15" t="s">
        <v>1750</v>
      </c>
      <c r="I8703" s="15" t="s">
        <v>1586</v>
      </c>
      <c r="J8703" s="15" t="s">
        <v>30997</v>
      </c>
      <c r="K8703" s="15">
        <v>107.0</v>
      </c>
      <c r="L8703" s="15">
        <v>106.0</v>
      </c>
      <c r="M8703" s="40">
        <v>42225.0</v>
      </c>
      <c r="N8703" s="40">
        <v>42542.0</v>
      </c>
      <c r="O8703" s="15" t="s">
        <v>1554</v>
      </c>
      <c r="Q8703" s="7"/>
    </row>
    <row r="8704">
      <c r="A8704" s="39" t="s">
        <v>30999</v>
      </c>
      <c r="B8704" s="15">
        <v>1498213.0</v>
      </c>
      <c r="D8704" s="15">
        <v>0.0</v>
      </c>
      <c r="E8704" s="15" t="s">
        <v>1557</v>
      </c>
      <c r="F8704" s="15" t="s">
        <v>1611</v>
      </c>
      <c r="G8704" s="7">
        <v>19.347</v>
      </c>
      <c r="H8704" s="15" t="s">
        <v>6565</v>
      </c>
      <c r="I8704" s="15" t="s">
        <v>1586</v>
      </c>
      <c r="J8704" s="15" t="s">
        <v>31000</v>
      </c>
      <c r="K8704" s="15" t="s">
        <v>1722</v>
      </c>
      <c r="L8704" s="15">
        <v>27.0</v>
      </c>
      <c r="M8704" s="40">
        <v>42020.0</v>
      </c>
      <c r="N8704" s="40">
        <v>42060.0</v>
      </c>
      <c r="O8704" s="15" t="s">
        <v>1554</v>
      </c>
      <c r="Q8704" s="7"/>
    </row>
    <row r="8705">
      <c r="A8705" s="39" t="s">
        <v>31001</v>
      </c>
      <c r="B8705" s="15">
        <v>1079896.0</v>
      </c>
      <c r="D8705" s="15">
        <v>0.0</v>
      </c>
      <c r="E8705" s="15" t="s">
        <v>1557</v>
      </c>
      <c r="F8705" s="15" t="s">
        <v>1833</v>
      </c>
      <c r="G8705" s="7">
        <v>67.169</v>
      </c>
      <c r="H8705" s="15" t="s">
        <v>13987</v>
      </c>
      <c r="I8705" s="15" t="s">
        <v>1586</v>
      </c>
      <c r="J8705" s="15" t="s">
        <v>31002</v>
      </c>
      <c r="K8705" s="15">
        <v>88.0</v>
      </c>
      <c r="L8705" s="15">
        <v>88.0</v>
      </c>
      <c r="M8705" s="40">
        <v>40792.0</v>
      </c>
      <c r="N8705" s="40">
        <v>40942.0</v>
      </c>
      <c r="O8705" s="15" t="s">
        <v>1554</v>
      </c>
      <c r="Q8705" s="7"/>
    </row>
    <row r="8706">
      <c r="A8706" s="39" t="s">
        <v>31004</v>
      </c>
      <c r="B8706" s="15">
        <v>1089114.0</v>
      </c>
      <c r="D8706" s="15">
        <v>0.0</v>
      </c>
      <c r="E8706" s="15" t="s">
        <v>1557</v>
      </c>
      <c r="F8706" s="15" t="s">
        <v>1833</v>
      </c>
      <c r="G8706" s="7">
        <v>41.901</v>
      </c>
      <c r="H8706" s="15" t="s">
        <v>6615</v>
      </c>
      <c r="I8706" s="15" t="s">
        <v>1586</v>
      </c>
      <c r="J8706" s="15" t="s">
        <v>31005</v>
      </c>
      <c r="K8706" s="15">
        <v>62.0</v>
      </c>
      <c r="L8706" s="15">
        <v>62.0</v>
      </c>
      <c r="M8706" s="40">
        <v>40853.0</v>
      </c>
      <c r="N8706" s="40">
        <v>40942.0</v>
      </c>
      <c r="O8706" s="15" t="s">
        <v>1554</v>
      </c>
      <c r="Q8706" s="7"/>
    </row>
    <row r="8707">
      <c r="A8707" s="39" t="s">
        <v>31006</v>
      </c>
      <c r="B8707" s="15">
        <v>1089125.0</v>
      </c>
      <c r="D8707" s="15">
        <v>0.0</v>
      </c>
      <c r="E8707" s="15" t="s">
        <v>1557</v>
      </c>
      <c r="F8707" s="15" t="s">
        <v>1833</v>
      </c>
      <c r="G8707" s="7">
        <v>48.963</v>
      </c>
      <c r="H8707" s="15" t="s">
        <v>10442</v>
      </c>
      <c r="I8707" s="15" t="s">
        <v>1586</v>
      </c>
      <c r="J8707" s="15" t="s">
        <v>31008</v>
      </c>
      <c r="K8707" s="15">
        <v>95.0</v>
      </c>
      <c r="L8707" s="15">
        <v>92.0</v>
      </c>
      <c r="M8707" s="40">
        <v>40853.0</v>
      </c>
      <c r="N8707" s="40">
        <v>40942.0</v>
      </c>
      <c r="O8707" s="15" t="s">
        <v>1554</v>
      </c>
      <c r="Q8707" s="7"/>
    </row>
    <row r="8708">
      <c r="A8708" s="39" t="s">
        <v>31009</v>
      </c>
      <c r="B8708" s="15">
        <v>1089126.0</v>
      </c>
      <c r="D8708" s="15">
        <v>0.0</v>
      </c>
      <c r="E8708" s="15" t="s">
        <v>1557</v>
      </c>
      <c r="F8708" s="15" t="s">
        <v>1833</v>
      </c>
      <c r="G8708" s="7">
        <v>68.633</v>
      </c>
      <c r="H8708" s="15" t="s">
        <v>9965</v>
      </c>
      <c r="I8708" s="15" t="s">
        <v>1586</v>
      </c>
      <c r="J8708" s="15" t="s">
        <v>31010</v>
      </c>
      <c r="K8708" s="15">
        <v>103.0</v>
      </c>
      <c r="L8708" s="15">
        <v>103.0</v>
      </c>
      <c r="M8708" s="40">
        <v>40853.0</v>
      </c>
      <c r="N8708" s="40">
        <v>40942.0</v>
      </c>
      <c r="O8708" s="15" t="s">
        <v>1554</v>
      </c>
      <c r="Q8708" s="7"/>
    </row>
    <row r="8709">
      <c r="A8709" s="39" t="s">
        <v>31011</v>
      </c>
      <c r="B8709" s="15">
        <v>1805456.0</v>
      </c>
      <c r="D8709" s="15">
        <v>0.0</v>
      </c>
      <c r="E8709" s="15" t="s">
        <v>1557</v>
      </c>
      <c r="F8709" s="15" t="s">
        <v>1767</v>
      </c>
      <c r="G8709" s="7">
        <v>239.461</v>
      </c>
      <c r="H8709" s="15" t="s">
        <v>4736</v>
      </c>
      <c r="I8709" s="15" t="s">
        <v>1586</v>
      </c>
      <c r="J8709" s="15" t="s">
        <v>31013</v>
      </c>
      <c r="K8709" s="15">
        <v>269.0</v>
      </c>
      <c r="L8709" s="15">
        <v>267.0</v>
      </c>
      <c r="M8709" s="40">
        <v>42458.0</v>
      </c>
      <c r="N8709" s="40">
        <v>42458.0</v>
      </c>
      <c r="O8709" s="15" t="s">
        <v>1554</v>
      </c>
      <c r="Q8709" s="7"/>
    </row>
    <row r="8710">
      <c r="A8710" s="39" t="s">
        <v>31014</v>
      </c>
      <c r="B8710" s="15">
        <v>1093100.0</v>
      </c>
      <c r="D8710" s="15">
        <v>0.0</v>
      </c>
      <c r="E8710" s="15" t="s">
        <v>1557</v>
      </c>
      <c r="F8710" s="15" t="s">
        <v>1833</v>
      </c>
      <c r="G8710" s="7">
        <v>37.374</v>
      </c>
      <c r="H8710" s="15" t="s">
        <v>12937</v>
      </c>
      <c r="I8710" s="15" t="s">
        <v>1586</v>
      </c>
      <c r="J8710" s="15" t="s">
        <v>31015</v>
      </c>
      <c r="K8710" s="15">
        <v>55.0</v>
      </c>
      <c r="L8710" s="15">
        <v>55.0</v>
      </c>
      <c r="M8710" s="40">
        <v>40940.0</v>
      </c>
      <c r="N8710" s="40">
        <v>40940.0</v>
      </c>
      <c r="O8710" s="15" t="s">
        <v>1554</v>
      </c>
      <c r="Q8710" s="7"/>
    </row>
    <row r="8711">
      <c r="A8711" s="39" t="s">
        <v>31016</v>
      </c>
      <c r="B8711" s="15">
        <v>1093672.0</v>
      </c>
      <c r="D8711" s="15">
        <v>0.0</v>
      </c>
      <c r="E8711" s="15" t="s">
        <v>1557</v>
      </c>
      <c r="F8711" s="15" t="s">
        <v>1833</v>
      </c>
      <c r="G8711" s="7">
        <v>37.84</v>
      </c>
      <c r="H8711" s="15" t="s">
        <v>12937</v>
      </c>
      <c r="I8711" s="15" t="s">
        <v>1586</v>
      </c>
      <c r="J8711" s="15" t="s">
        <v>31018</v>
      </c>
      <c r="K8711" s="15">
        <v>61.0</v>
      </c>
      <c r="L8711" s="15">
        <v>61.0</v>
      </c>
      <c r="M8711" s="40">
        <v>40940.0</v>
      </c>
      <c r="N8711" s="40">
        <v>41283.0</v>
      </c>
      <c r="O8711" s="15" t="s">
        <v>1554</v>
      </c>
      <c r="Q8711" s="7"/>
    </row>
    <row r="8712">
      <c r="A8712" s="39" t="s">
        <v>31019</v>
      </c>
      <c r="B8712" s="15">
        <v>1097752.0</v>
      </c>
      <c r="D8712" s="15">
        <v>0.0</v>
      </c>
      <c r="E8712" s="15" t="s">
        <v>1557</v>
      </c>
      <c r="F8712" s="15" t="s">
        <v>1833</v>
      </c>
      <c r="G8712" s="7">
        <v>55.363</v>
      </c>
      <c r="H8712" s="15" t="s">
        <v>2840</v>
      </c>
      <c r="I8712" s="15" t="s">
        <v>1586</v>
      </c>
      <c r="J8712" s="15" t="s">
        <v>31020</v>
      </c>
      <c r="K8712" s="15">
        <v>98.0</v>
      </c>
      <c r="L8712" s="15">
        <v>98.0</v>
      </c>
      <c r="M8712" s="41">
        <v>40846.0</v>
      </c>
      <c r="N8712" s="40">
        <v>40942.0</v>
      </c>
      <c r="O8712" s="15" t="s">
        <v>1554</v>
      </c>
      <c r="Q8712" s="7"/>
    </row>
    <row r="8713">
      <c r="A8713" s="39" t="s">
        <v>31021</v>
      </c>
      <c r="B8713" s="15">
        <v>1097754.0</v>
      </c>
      <c r="D8713" s="15">
        <v>0.0</v>
      </c>
      <c r="E8713" s="15" t="s">
        <v>1557</v>
      </c>
      <c r="F8713" s="15" t="s">
        <v>1833</v>
      </c>
      <c r="G8713" s="7">
        <v>49.228</v>
      </c>
      <c r="H8713" s="15" t="s">
        <v>2154</v>
      </c>
      <c r="I8713" s="15" t="s">
        <v>1586</v>
      </c>
      <c r="J8713" s="15" t="s">
        <v>31023</v>
      </c>
      <c r="K8713" s="15">
        <v>96.0</v>
      </c>
      <c r="L8713" s="15">
        <v>95.0</v>
      </c>
      <c r="M8713" s="41">
        <v>40847.0</v>
      </c>
      <c r="N8713" s="40">
        <v>40942.0</v>
      </c>
      <c r="O8713" s="15" t="s">
        <v>1554</v>
      </c>
      <c r="Q8713" s="7"/>
    </row>
    <row r="8714">
      <c r="A8714" s="39" t="s">
        <v>31024</v>
      </c>
      <c r="B8714" s="15">
        <v>1115653.0</v>
      </c>
      <c r="D8714" s="15">
        <v>0.0</v>
      </c>
      <c r="E8714" s="15" t="s">
        <v>1557</v>
      </c>
      <c r="F8714" s="15" t="s">
        <v>1611</v>
      </c>
      <c r="G8714" s="7">
        <v>47.343</v>
      </c>
      <c r="H8714" s="15" t="s">
        <v>1756</v>
      </c>
      <c r="I8714" s="15" t="s">
        <v>1586</v>
      </c>
      <c r="J8714" s="15" t="s">
        <v>31025</v>
      </c>
      <c r="K8714" s="15" t="s">
        <v>1722</v>
      </c>
      <c r="L8714" s="15">
        <v>68.0</v>
      </c>
      <c r="M8714" s="40">
        <v>41478.0</v>
      </c>
      <c r="N8714" s="40">
        <v>41478.0</v>
      </c>
      <c r="O8714" s="15" t="s">
        <v>1554</v>
      </c>
      <c r="Q8714" s="7"/>
    </row>
    <row r="8715">
      <c r="A8715" s="39" t="s">
        <v>31026</v>
      </c>
      <c r="B8715" s="15">
        <v>112596.0</v>
      </c>
      <c r="D8715" s="15">
        <v>0.0</v>
      </c>
      <c r="E8715" s="15" t="s">
        <v>4407</v>
      </c>
      <c r="F8715" s="15" t="s">
        <v>1578</v>
      </c>
      <c r="G8715" s="7">
        <v>65.653</v>
      </c>
      <c r="H8715" s="15" t="s">
        <v>3260</v>
      </c>
      <c r="I8715" s="15" t="s">
        <v>1586</v>
      </c>
      <c r="J8715" s="15" t="s">
        <v>31027</v>
      </c>
      <c r="K8715" s="15">
        <v>65.0</v>
      </c>
      <c r="L8715" s="15">
        <v>65.0</v>
      </c>
      <c r="M8715" s="40">
        <v>42598.0</v>
      </c>
      <c r="N8715" s="40">
        <v>42598.0</v>
      </c>
      <c r="O8715" s="15" t="s">
        <v>1554</v>
      </c>
      <c r="Q8715" s="7"/>
    </row>
    <row r="8716">
      <c r="A8716" s="39" t="s">
        <v>31028</v>
      </c>
      <c r="B8716" s="15">
        <v>1126951.0</v>
      </c>
      <c r="D8716" s="15">
        <v>0.0</v>
      </c>
      <c r="E8716" s="15" t="s">
        <v>1557</v>
      </c>
      <c r="F8716" s="15" t="s">
        <v>1767</v>
      </c>
      <c r="G8716" s="7">
        <v>154.371</v>
      </c>
      <c r="H8716" s="15" t="s">
        <v>2320</v>
      </c>
      <c r="I8716" s="15" t="s">
        <v>1586</v>
      </c>
      <c r="J8716" s="15" t="s">
        <v>31030</v>
      </c>
      <c r="K8716" s="15">
        <v>223.0</v>
      </c>
      <c r="L8716" s="15">
        <v>223.0</v>
      </c>
      <c r="M8716" s="40">
        <v>41182.0</v>
      </c>
      <c r="N8716" s="40">
        <v>41182.0</v>
      </c>
      <c r="O8716" s="15" t="s">
        <v>1554</v>
      </c>
      <c r="Q8716" s="7"/>
    </row>
    <row r="8717">
      <c r="A8717" s="39" t="s">
        <v>31031</v>
      </c>
      <c r="B8717" s="15">
        <v>1131256.0</v>
      </c>
      <c r="D8717" s="15">
        <v>0.0</v>
      </c>
      <c r="E8717" s="15" t="s">
        <v>1557</v>
      </c>
      <c r="F8717" s="15" t="s">
        <v>1833</v>
      </c>
      <c r="G8717" s="7">
        <v>74.155</v>
      </c>
      <c r="H8717" s="15" t="s">
        <v>6183</v>
      </c>
      <c r="I8717" s="15" t="s">
        <v>1586</v>
      </c>
      <c r="J8717" s="15" t="s">
        <v>31032</v>
      </c>
      <c r="K8717" s="15" t="s">
        <v>1722</v>
      </c>
      <c r="L8717" s="15">
        <v>137.0</v>
      </c>
      <c r="M8717" s="40">
        <v>40945.0</v>
      </c>
      <c r="N8717" s="40">
        <v>40945.0</v>
      </c>
      <c r="O8717" s="15" t="s">
        <v>1554</v>
      </c>
      <c r="Q8717" s="7"/>
    </row>
    <row r="8718">
      <c r="A8718" s="39" t="s">
        <v>31033</v>
      </c>
      <c r="B8718" s="15">
        <v>1126949.0</v>
      </c>
      <c r="D8718" s="15">
        <v>0.0</v>
      </c>
      <c r="E8718" s="15" t="s">
        <v>1557</v>
      </c>
      <c r="F8718" s="15" t="s">
        <v>1767</v>
      </c>
      <c r="G8718" s="7">
        <v>162.598</v>
      </c>
      <c r="H8718" s="15" t="s">
        <v>2396</v>
      </c>
      <c r="I8718" s="15" t="s">
        <v>1586</v>
      </c>
      <c r="J8718" s="15" t="s">
        <v>31034</v>
      </c>
      <c r="K8718" s="15">
        <v>272.0</v>
      </c>
      <c r="L8718" s="15">
        <v>272.0</v>
      </c>
      <c r="M8718" s="40">
        <v>41182.0</v>
      </c>
      <c r="N8718" s="40">
        <v>41182.0</v>
      </c>
      <c r="O8718" s="15" t="s">
        <v>1554</v>
      </c>
      <c r="Q8718" s="7"/>
    </row>
    <row r="8719">
      <c r="A8719" s="39" t="s">
        <v>31035</v>
      </c>
      <c r="B8719" s="15">
        <v>1542091.0</v>
      </c>
      <c r="D8719" s="15">
        <v>0.0</v>
      </c>
      <c r="E8719" s="15" t="s">
        <v>1557</v>
      </c>
      <c r="F8719" s="15" t="s">
        <v>1833</v>
      </c>
      <c r="G8719" s="7">
        <v>43.047</v>
      </c>
      <c r="H8719" s="15" t="s">
        <v>2271</v>
      </c>
      <c r="I8719" s="15" t="s">
        <v>1586</v>
      </c>
      <c r="J8719" s="15" t="s">
        <v>31036</v>
      </c>
      <c r="K8719" s="15">
        <v>54.0</v>
      </c>
      <c r="L8719" s="15">
        <v>54.0</v>
      </c>
      <c r="M8719" s="40">
        <v>42247.0</v>
      </c>
      <c r="N8719" s="40">
        <v>42247.0</v>
      </c>
      <c r="O8719" s="15" t="s">
        <v>1554</v>
      </c>
      <c r="Q8719" s="7"/>
    </row>
    <row r="8720">
      <c r="A8720" s="39" t="s">
        <v>31037</v>
      </c>
      <c r="B8720" s="15">
        <v>1162289.0</v>
      </c>
      <c r="D8720" s="15">
        <v>0.0</v>
      </c>
      <c r="E8720" s="15" t="s">
        <v>1557</v>
      </c>
      <c r="F8720" s="15" t="s">
        <v>1611</v>
      </c>
      <c r="G8720" s="7">
        <v>38.689</v>
      </c>
      <c r="H8720" s="15" t="s">
        <v>3304</v>
      </c>
      <c r="I8720" s="15" t="s">
        <v>1586</v>
      </c>
      <c r="J8720" s="15" t="s">
        <v>31038</v>
      </c>
      <c r="K8720" s="15">
        <v>51.0</v>
      </c>
      <c r="L8720" s="15">
        <v>51.0</v>
      </c>
      <c r="M8720" s="40">
        <v>41333.0</v>
      </c>
      <c r="N8720" s="40">
        <v>41334.0</v>
      </c>
      <c r="O8720" s="15" t="s">
        <v>1554</v>
      </c>
      <c r="Q8720" s="7"/>
    </row>
    <row r="8721">
      <c r="A8721" s="39" t="s">
        <v>31039</v>
      </c>
      <c r="B8721" s="15">
        <v>1165135.0</v>
      </c>
      <c r="D8721" s="15">
        <v>0.0</v>
      </c>
      <c r="E8721" s="15" t="s">
        <v>1557</v>
      </c>
      <c r="F8721" s="15" t="s">
        <v>1833</v>
      </c>
      <c r="G8721" s="7">
        <v>32.582</v>
      </c>
      <c r="H8721" s="15" t="s">
        <v>3260</v>
      </c>
      <c r="I8721" s="15" t="s">
        <v>1586</v>
      </c>
      <c r="J8721" s="15" t="s">
        <v>31040</v>
      </c>
      <c r="K8721" s="15">
        <v>60.0</v>
      </c>
      <c r="L8721" s="15">
        <v>58.0</v>
      </c>
      <c r="M8721" s="40">
        <v>40995.0</v>
      </c>
      <c r="N8721" s="40">
        <v>41031.0</v>
      </c>
      <c r="O8721" s="15" t="s">
        <v>1554</v>
      </c>
      <c r="Q8721" s="7"/>
    </row>
    <row r="8722">
      <c r="A8722" s="39" t="s">
        <v>31041</v>
      </c>
      <c r="B8722" s="15">
        <v>1165136.0</v>
      </c>
      <c r="D8722" s="15">
        <v>0.0</v>
      </c>
      <c r="E8722" s="15" t="s">
        <v>1557</v>
      </c>
      <c r="F8722" s="15" t="s">
        <v>1833</v>
      </c>
      <c r="G8722" s="7">
        <v>32.023</v>
      </c>
      <c r="H8722" s="15" t="s">
        <v>11674</v>
      </c>
      <c r="I8722" s="15" t="s">
        <v>1586</v>
      </c>
      <c r="J8722" s="15" t="s">
        <v>31042</v>
      </c>
      <c r="K8722" s="15">
        <v>57.0</v>
      </c>
      <c r="L8722" s="15">
        <v>57.0</v>
      </c>
      <c r="M8722" s="40">
        <v>40995.0</v>
      </c>
      <c r="N8722" s="40">
        <v>41031.0</v>
      </c>
      <c r="O8722" s="15" t="s">
        <v>1554</v>
      </c>
      <c r="Q8722" s="7"/>
    </row>
    <row r="8723">
      <c r="A8723" s="39" t="s">
        <v>31043</v>
      </c>
      <c r="B8723" s="15">
        <v>1165151.0</v>
      </c>
      <c r="D8723" s="15">
        <v>0.0</v>
      </c>
      <c r="E8723" s="15" t="s">
        <v>1557</v>
      </c>
      <c r="F8723" s="15" t="s">
        <v>1833</v>
      </c>
      <c r="G8723" s="7">
        <v>31.772</v>
      </c>
      <c r="H8723" s="15" t="s">
        <v>1696</v>
      </c>
      <c r="I8723" s="15" t="s">
        <v>1586</v>
      </c>
      <c r="J8723" s="15" t="s">
        <v>31044</v>
      </c>
      <c r="K8723" s="15">
        <v>56.0</v>
      </c>
      <c r="L8723" s="15">
        <v>56.0</v>
      </c>
      <c r="M8723" s="40">
        <v>40995.0</v>
      </c>
      <c r="N8723" s="40">
        <v>41031.0</v>
      </c>
      <c r="O8723" s="15" t="s">
        <v>1554</v>
      </c>
      <c r="Q8723" s="7"/>
    </row>
    <row r="8724">
      <c r="A8724" s="39" t="s">
        <v>31045</v>
      </c>
      <c r="B8724" s="15">
        <v>1165160.0</v>
      </c>
      <c r="D8724" s="15">
        <v>0.0</v>
      </c>
      <c r="E8724" s="15" t="s">
        <v>1557</v>
      </c>
      <c r="F8724" s="15" t="s">
        <v>1833</v>
      </c>
      <c r="G8724" s="7">
        <v>32.384</v>
      </c>
      <c r="H8724" s="15" t="s">
        <v>4283</v>
      </c>
      <c r="I8724" s="15" t="s">
        <v>1586</v>
      </c>
      <c r="J8724" s="15" t="s">
        <v>31046</v>
      </c>
      <c r="K8724" s="15">
        <v>56.0</v>
      </c>
      <c r="L8724" s="15">
        <v>55.0</v>
      </c>
      <c r="M8724" s="40">
        <v>40995.0</v>
      </c>
      <c r="N8724" s="40">
        <v>41031.0</v>
      </c>
      <c r="O8724" s="15" t="s">
        <v>1554</v>
      </c>
      <c r="Q8724" s="7"/>
    </row>
    <row r="8725">
      <c r="A8725" s="39" t="s">
        <v>31047</v>
      </c>
      <c r="B8725" s="15">
        <v>1176425.0</v>
      </c>
      <c r="D8725" s="15">
        <v>0.0</v>
      </c>
      <c r="E8725" s="15" t="s">
        <v>1557</v>
      </c>
      <c r="F8725" s="15" t="s">
        <v>1833</v>
      </c>
      <c r="G8725" s="7">
        <v>51.44</v>
      </c>
      <c r="H8725" s="15" t="s">
        <v>3286</v>
      </c>
      <c r="I8725" s="15" t="s">
        <v>1586</v>
      </c>
      <c r="J8725" s="15" t="s">
        <v>31048</v>
      </c>
      <c r="K8725" s="15">
        <v>88.0</v>
      </c>
      <c r="L8725" s="15">
        <v>88.0</v>
      </c>
      <c r="M8725" s="40">
        <v>41070.0</v>
      </c>
      <c r="N8725" s="40">
        <v>41070.0</v>
      </c>
      <c r="O8725" s="15" t="s">
        <v>1554</v>
      </c>
      <c r="Q8725" s="7"/>
    </row>
    <row r="8726">
      <c r="A8726" s="39" t="s">
        <v>31049</v>
      </c>
      <c r="B8726" s="15">
        <v>1191380.0</v>
      </c>
      <c r="D8726" s="15">
        <v>0.0</v>
      </c>
      <c r="E8726" s="15" t="s">
        <v>1557</v>
      </c>
      <c r="F8726" s="15" t="s">
        <v>1833</v>
      </c>
      <c r="G8726" s="7">
        <v>49.381</v>
      </c>
      <c r="H8726" s="15" t="s">
        <v>9693</v>
      </c>
      <c r="I8726" s="15" t="s">
        <v>1586</v>
      </c>
      <c r="J8726" s="15" t="s">
        <v>31050</v>
      </c>
      <c r="K8726" s="15">
        <v>72.0</v>
      </c>
      <c r="L8726" s="15">
        <v>72.0</v>
      </c>
      <c r="M8726" s="40">
        <v>41147.0</v>
      </c>
      <c r="N8726" s="41">
        <v>41234.0</v>
      </c>
      <c r="O8726" s="15" t="s">
        <v>1554</v>
      </c>
      <c r="Q8726" s="7"/>
    </row>
    <row r="8727">
      <c r="A8727" s="39" t="s">
        <v>31051</v>
      </c>
      <c r="B8727" s="15">
        <v>1194642.0</v>
      </c>
      <c r="D8727" s="15">
        <v>0.0</v>
      </c>
      <c r="E8727" s="15" t="s">
        <v>1557</v>
      </c>
      <c r="F8727" s="15" t="s">
        <v>1833</v>
      </c>
      <c r="G8727" s="7">
        <v>53.972</v>
      </c>
      <c r="H8727" s="15" t="s">
        <v>3832</v>
      </c>
      <c r="I8727" s="15" t="s">
        <v>1586</v>
      </c>
      <c r="J8727" s="15" t="s">
        <v>31052</v>
      </c>
      <c r="K8727" s="15">
        <v>100.0</v>
      </c>
      <c r="L8727" s="15">
        <v>100.0</v>
      </c>
      <c r="M8727" s="40">
        <v>41070.0</v>
      </c>
      <c r="N8727" s="40">
        <v>42650.0</v>
      </c>
      <c r="O8727" s="15" t="s">
        <v>1554</v>
      </c>
      <c r="Q8727" s="7"/>
    </row>
    <row r="8728">
      <c r="A8728" s="39" t="s">
        <v>31053</v>
      </c>
      <c r="B8728" s="15">
        <v>1195069.0</v>
      </c>
      <c r="D8728" s="15">
        <v>0.0</v>
      </c>
      <c r="E8728" s="15" t="s">
        <v>1557</v>
      </c>
      <c r="F8728" s="15" t="s">
        <v>1578</v>
      </c>
      <c r="G8728" s="7">
        <v>51.505</v>
      </c>
      <c r="H8728" s="15" t="s">
        <v>10412</v>
      </c>
      <c r="I8728" s="15" t="s">
        <v>1586</v>
      </c>
      <c r="J8728" s="15" t="s">
        <v>31054</v>
      </c>
      <c r="K8728" s="15">
        <v>93.0</v>
      </c>
      <c r="L8728" s="15">
        <v>92.0</v>
      </c>
      <c r="M8728" s="40">
        <v>41104.0</v>
      </c>
      <c r="N8728" s="40">
        <v>41104.0</v>
      </c>
      <c r="O8728" s="15" t="s">
        <v>1554</v>
      </c>
      <c r="Q8728" s="7"/>
    </row>
    <row r="8729">
      <c r="A8729" s="39" t="s">
        <v>31055</v>
      </c>
      <c r="B8729" s="15">
        <v>1195070.0</v>
      </c>
      <c r="D8729" s="15">
        <v>0.0</v>
      </c>
      <c r="E8729" s="15" t="s">
        <v>1557</v>
      </c>
      <c r="F8729" s="15" t="s">
        <v>1833</v>
      </c>
      <c r="G8729" s="7">
        <v>61.567</v>
      </c>
      <c r="H8729" s="15" t="s">
        <v>8962</v>
      </c>
      <c r="I8729" s="15" t="s">
        <v>1586</v>
      </c>
      <c r="J8729" s="15" t="s">
        <v>31056</v>
      </c>
      <c r="K8729" s="15">
        <v>99.0</v>
      </c>
      <c r="L8729" s="15">
        <v>99.0</v>
      </c>
      <c r="M8729" s="40">
        <v>41104.0</v>
      </c>
      <c r="N8729" s="40">
        <v>41104.0</v>
      </c>
      <c r="O8729" s="15" t="s">
        <v>1554</v>
      </c>
      <c r="Q8729" s="7"/>
    </row>
    <row r="8730">
      <c r="A8730" s="39" t="s">
        <v>31057</v>
      </c>
      <c r="B8730" s="15">
        <v>1211281.0</v>
      </c>
      <c r="D8730" s="15">
        <v>0.0</v>
      </c>
      <c r="E8730" s="15" t="s">
        <v>1557</v>
      </c>
      <c r="F8730" s="15" t="s">
        <v>1833</v>
      </c>
      <c r="G8730" s="7">
        <v>51.5</v>
      </c>
      <c r="H8730" s="15" t="s">
        <v>12937</v>
      </c>
      <c r="I8730" s="15" t="s">
        <v>1586</v>
      </c>
      <c r="J8730" s="15" t="s">
        <v>31058</v>
      </c>
      <c r="K8730" s="15">
        <v>85.0</v>
      </c>
      <c r="L8730" s="15">
        <v>86.0</v>
      </c>
      <c r="M8730" s="40">
        <v>41188.0</v>
      </c>
      <c r="N8730" s="40">
        <v>41188.0</v>
      </c>
      <c r="O8730" s="15" t="s">
        <v>1554</v>
      </c>
      <c r="Q8730" s="7"/>
    </row>
    <row r="8731">
      <c r="A8731" s="39" t="s">
        <v>31059</v>
      </c>
      <c r="B8731" s="15">
        <v>1211282.0</v>
      </c>
      <c r="D8731" s="15">
        <v>0.0</v>
      </c>
      <c r="E8731" s="15" t="s">
        <v>1557</v>
      </c>
      <c r="F8731" s="15" t="s">
        <v>1833</v>
      </c>
      <c r="G8731" s="7">
        <v>50.645</v>
      </c>
      <c r="H8731" s="15" t="s">
        <v>2126</v>
      </c>
      <c r="I8731" s="15" t="s">
        <v>1586</v>
      </c>
      <c r="J8731" s="15" t="s">
        <v>31060</v>
      </c>
      <c r="K8731" s="15">
        <v>87.0</v>
      </c>
      <c r="L8731" s="15">
        <v>86.0</v>
      </c>
      <c r="M8731" s="40">
        <v>41188.0</v>
      </c>
      <c r="N8731" s="40">
        <v>41188.0</v>
      </c>
      <c r="O8731" s="15" t="s">
        <v>1554</v>
      </c>
      <c r="Q8731" s="7"/>
    </row>
    <row r="8732">
      <c r="A8732" s="39" t="s">
        <v>31061</v>
      </c>
      <c r="B8732" s="15">
        <v>1211283.0</v>
      </c>
      <c r="D8732" s="15">
        <v>0.0</v>
      </c>
      <c r="E8732" s="15" t="s">
        <v>1557</v>
      </c>
      <c r="F8732" s="15" t="s">
        <v>1833</v>
      </c>
      <c r="G8732" s="7">
        <v>49.186</v>
      </c>
      <c r="H8732" s="15">
        <v>64.0</v>
      </c>
      <c r="I8732" s="15" t="s">
        <v>1586</v>
      </c>
      <c r="J8732" s="15" t="s">
        <v>31062</v>
      </c>
      <c r="K8732" s="15">
        <v>83.0</v>
      </c>
      <c r="L8732" s="15">
        <v>83.0</v>
      </c>
      <c r="M8732" s="40">
        <v>41188.0</v>
      </c>
      <c r="N8732" s="40">
        <v>41188.0</v>
      </c>
      <c r="O8732" s="15" t="s">
        <v>1554</v>
      </c>
      <c r="Q8732" s="7"/>
    </row>
    <row r="8733">
      <c r="A8733" s="39" t="s">
        <v>31063</v>
      </c>
      <c r="B8733" s="15">
        <v>1211285.0</v>
      </c>
      <c r="D8733" s="15">
        <v>0.0</v>
      </c>
      <c r="E8733" s="15" t="s">
        <v>1557</v>
      </c>
      <c r="F8733" s="15" t="s">
        <v>1833</v>
      </c>
      <c r="G8733" s="7">
        <v>43.305</v>
      </c>
      <c r="H8733" s="15" t="s">
        <v>10067</v>
      </c>
      <c r="I8733" s="15" t="s">
        <v>1586</v>
      </c>
      <c r="J8733" s="15" t="s">
        <v>31064</v>
      </c>
      <c r="K8733" s="15">
        <v>63.0</v>
      </c>
      <c r="L8733" s="15">
        <v>63.0</v>
      </c>
      <c r="M8733" s="40">
        <v>41486.0</v>
      </c>
      <c r="N8733" s="40">
        <v>41582.0</v>
      </c>
      <c r="O8733" s="15" t="s">
        <v>1554</v>
      </c>
      <c r="Q8733" s="7"/>
    </row>
    <row r="8734">
      <c r="A8734" s="39" t="s">
        <v>31065</v>
      </c>
      <c r="B8734" s="15">
        <v>1211286.0</v>
      </c>
      <c r="D8734" s="15">
        <v>0.0</v>
      </c>
      <c r="E8734" s="15" t="s">
        <v>1557</v>
      </c>
      <c r="F8734" s="15" t="s">
        <v>1833</v>
      </c>
      <c r="G8734" s="7">
        <v>42.902</v>
      </c>
      <c r="H8734" s="15" t="s">
        <v>3260</v>
      </c>
      <c r="I8734" s="15" t="s">
        <v>1586</v>
      </c>
      <c r="J8734" s="15" t="s">
        <v>31066</v>
      </c>
      <c r="K8734" s="15">
        <v>61.0</v>
      </c>
      <c r="L8734" s="15">
        <v>61.0</v>
      </c>
      <c r="M8734" s="40">
        <v>41486.0</v>
      </c>
      <c r="N8734" s="40">
        <v>41582.0</v>
      </c>
      <c r="O8734" s="15" t="s">
        <v>1554</v>
      </c>
      <c r="Q8734" s="7"/>
    </row>
    <row r="8735">
      <c r="A8735" s="39" t="s">
        <v>31067</v>
      </c>
      <c r="B8735" s="15">
        <v>1211386.0</v>
      </c>
      <c r="D8735" s="15">
        <v>0.0</v>
      </c>
      <c r="E8735" s="15" t="s">
        <v>4407</v>
      </c>
      <c r="F8735" s="15" t="s">
        <v>1578</v>
      </c>
      <c r="G8735" s="7">
        <v>43.827</v>
      </c>
      <c r="H8735" s="15" t="s">
        <v>3604</v>
      </c>
      <c r="I8735" s="15" t="s">
        <v>1586</v>
      </c>
      <c r="J8735" s="15" t="s">
        <v>31068</v>
      </c>
      <c r="K8735" s="15">
        <v>52.0</v>
      </c>
      <c r="L8735" s="15">
        <v>52.0</v>
      </c>
      <c r="M8735" s="40">
        <v>42780.0</v>
      </c>
      <c r="N8735" s="40">
        <v>42780.0</v>
      </c>
      <c r="O8735" s="15" t="s">
        <v>1554</v>
      </c>
      <c r="Q8735" s="7"/>
    </row>
    <row r="8736">
      <c r="A8736" s="39" t="s">
        <v>31069</v>
      </c>
      <c r="B8736" s="15">
        <v>1225795.0</v>
      </c>
      <c r="D8736" s="15">
        <v>0.0</v>
      </c>
      <c r="E8736" s="15" t="s">
        <v>1557</v>
      </c>
      <c r="F8736" s="15" t="s">
        <v>1833</v>
      </c>
      <c r="G8736" s="7">
        <v>80.617</v>
      </c>
      <c r="H8736" s="15">
        <v>37.0</v>
      </c>
      <c r="I8736" s="15" t="s">
        <v>1586</v>
      </c>
      <c r="J8736" s="15" t="s">
        <v>31070</v>
      </c>
      <c r="K8736" s="15">
        <v>127.0</v>
      </c>
      <c r="L8736" s="15">
        <v>127.0</v>
      </c>
      <c r="M8736" s="41">
        <v>41192.0</v>
      </c>
      <c r="N8736" s="41">
        <v>41233.0</v>
      </c>
      <c r="O8736" s="15" t="s">
        <v>1554</v>
      </c>
      <c r="Q8736" s="7"/>
    </row>
    <row r="8737">
      <c r="A8737" s="39" t="s">
        <v>31071</v>
      </c>
      <c r="B8737" s="15">
        <v>1225805.0</v>
      </c>
      <c r="D8737" s="15">
        <v>0.0</v>
      </c>
      <c r="E8737" s="15" t="s">
        <v>1557</v>
      </c>
      <c r="F8737" s="15" t="s">
        <v>1833</v>
      </c>
      <c r="G8737" s="7">
        <v>41.66</v>
      </c>
      <c r="H8737" s="15" t="s">
        <v>2158</v>
      </c>
      <c r="I8737" s="15" t="s">
        <v>1586</v>
      </c>
      <c r="J8737" s="15" t="s">
        <v>31073</v>
      </c>
      <c r="K8737" s="15" t="s">
        <v>1722</v>
      </c>
      <c r="L8737" s="15">
        <v>66.0</v>
      </c>
      <c r="M8737" s="40">
        <v>41157.0</v>
      </c>
      <c r="N8737" s="40">
        <v>41157.0</v>
      </c>
      <c r="O8737" s="15" t="s">
        <v>1554</v>
      </c>
      <c r="Q8737" s="7"/>
    </row>
    <row r="8738">
      <c r="A8738" s="39" t="s">
        <v>31074</v>
      </c>
      <c r="B8738" s="15">
        <v>1225806.0</v>
      </c>
      <c r="D8738" s="15">
        <v>0.0</v>
      </c>
      <c r="E8738" s="15" t="s">
        <v>1557</v>
      </c>
      <c r="F8738" s="15" t="s">
        <v>1833</v>
      </c>
      <c r="G8738" s="7">
        <v>43.028</v>
      </c>
      <c r="H8738" s="15" t="s">
        <v>3309</v>
      </c>
      <c r="I8738" s="15" t="s">
        <v>1586</v>
      </c>
      <c r="J8738" s="15" t="s">
        <v>31075</v>
      </c>
      <c r="K8738" s="15" t="s">
        <v>1722</v>
      </c>
      <c r="L8738" s="15">
        <v>70.0</v>
      </c>
      <c r="M8738" s="40">
        <v>41157.0</v>
      </c>
      <c r="N8738" s="40">
        <v>41494.0</v>
      </c>
      <c r="O8738" s="15" t="s">
        <v>1554</v>
      </c>
      <c r="Q8738" s="7"/>
    </row>
    <row r="8739">
      <c r="A8739" s="39" t="s">
        <v>31076</v>
      </c>
      <c r="B8739" s="15">
        <v>1225861.0</v>
      </c>
      <c r="D8739" s="15">
        <v>0.0</v>
      </c>
      <c r="E8739" s="15" t="s">
        <v>1557</v>
      </c>
      <c r="F8739" s="15" t="s">
        <v>1833</v>
      </c>
      <c r="G8739" s="7">
        <v>58.866</v>
      </c>
      <c r="H8739" s="15" t="s">
        <v>4108</v>
      </c>
      <c r="I8739" s="15" t="s">
        <v>1586</v>
      </c>
      <c r="J8739" s="15" t="s">
        <v>31077</v>
      </c>
      <c r="K8739" s="15">
        <v>104.0</v>
      </c>
      <c r="L8739" s="15">
        <v>104.0</v>
      </c>
      <c r="M8739" s="40">
        <v>41157.0</v>
      </c>
      <c r="N8739" s="40">
        <v>41157.0</v>
      </c>
      <c r="O8739" s="15" t="s">
        <v>1554</v>
      </c>
      <c r="Q8739" s="7"/>
    </row>
    <row r="8740">
      <c r="A8740" s="39" t="s">
        <v>31078</v>
      </c>
      <c r="B8740" s="15">
        <v>1225862.0</v>
      </c>
      <c r="D8740" s="15">
        <v>0.0</v>
      </c>
      <c r="E8740" s="15" t="s">
        <v>1557</v>
      </c>
      <c r="F8740" s="15" t="s">
        <v>1833</v>
      </c>
      <c r="G8740" s="7">
        <v>51.235</v>
      </c>
      <c r="H8740" s="15" t="s">
        <v>2126</v>
      </c>
      <c r="I8740" s="15" t="s">
        <v>1586</v>
      </c>
      <c r="J8740" s="15" t="s">
        <v>31079</v>
      </c>
      <c r="K8740" s="15">
        <v>87.0</v>
      </c>
      <c r="L8740" s="15">
        <v>86.0</v>
      </c>
      <c r="M8740" s="40">
        <v>41157.0</v>
      </c>
      <c r="N8740" s="40">
        <v>41157.0</v>
      </c>
      <c r="O8740" s="15" t="s">
        <v>1554</v>
      </c>
      <c r="Q8740" s="7"/>
    </row>
    <row r="8741">
      <c r="A8741" s="39" t="s">
        <v>31081</v>
      </c>
      <c r="B8741" s="15">
        <v>1226253.0</v>
      </c>
      <c r="D8741" s="15">
        <v>0.0</v>
      </c>
      <c r="E8741" s="15" t="s">
        <v>1557</v>
      </c>
      <c r="F8741" s="15" t="s">
        <v>1833</v>
      </c>
      <c r="G8741" s="7">
        <v>59.872</v>
      </c>
      <c r="H8741" s="15">
        <v>51.0</v>
      </c>
      <c r="I8741" s="15" t="s">
        <v>1586</v>
      </c>
      <c r="J8741" s="15" t="s">
        <v>31082</v>
      </c>
      <c r="K8741" s="15">
        <v>3.0</v>
      </c>
      <c r="L8741" s="15">
        <v>84.0</v>
      </c>
      <c r="M8741" s="40">
        <v>42311.0</v>
      </c>
      <c r="N8741" s="40">
        <v>42762.0</v>
      </c>
      <c r="O8741" s="15" t="s">
        <v>1554</v>
      </c>
      <c r="Q8741" s="7"/>
    </row>
    <row r="8742">
      <c r="A8742" s="39" t="s">
        <v>31083</v>
      </c>
      <c r="B8742" s="15">
        <v>1226255.0</v>
      </c>
      <c r="D8742" s="15">
        <v>0.0</v>
      </c>
      <c r="E8742" s="15" t="s">
        <v>1557</v>
      </c>
      <c r="F8742" s="15" t="s">
        <v>1833</v>
      </c>
      <c r="G8742" s="7">
        <v>64.9</v>
      </c>
      <c r="H8742" s="15" t="s">
        <v>5042</v>
      </c>
      <c r="I8742" s="15" t="s">
        <v>1586</v>
      </c>
      <c r="J8742" s="15" t="s">
        <v>31084</v>
      </c>
      <c r="K8742" s="15">
        <v>3.0</v>
      </c>
      <c r="L8742" s="15">
        <v>84.0</v>
      </c>
      <c r="M8742" s="40">
        <v>42311.0</v>
      </c>
      <c r="N8742" s="40">
        <v>42762.0</v>
      </c>
      <c r="O8742" s="15" t="s">
        <v>1554</v>
      </c>
      <c r="Q8742" s="7"/>
    </row>
    <row r="8743">
      <c r="A8743" s="39" t="s">
        <v>31085</v>
      </c>
      <c r="B8743" s="15">
        <v>1226256.0</v>
      </c>
      <c r="D8743" s="15">
        <v>0.0</v>
      </c>
      <c r="E8743" s="15" t="s">
        <v>1557</v>
      </c>
      <c r="F8743" s="15" t="s">
        <v>1833</v>
      </c>
      <c r="G8743" s="7">
        <v>62.274</v>
      </c>
      <c r="H8743" s="15" t="s">
        <v>3798</v>
      </c>
      <c r="I8743" s="15" t="s">
        <v>1586</v>
      </c>
      <c r="J8743" s="15" t="s">
        <v>31086</v>
      </c>
      <c r="K8743" s="15">
        <v>3.0</v>
      </c>
      <c r="L8743" s="15">
        <v>86.0</v>
      </c>
      <c r="M8743" s="40">
        <v>42311.0</v>
      </c>
      <c r="N8743" s="40">
        <v>42762.0</v>
      </c>
      <c r="O8743" s="15" t="s">
        <v>1554</v>
      </c>
      <c r="Q8743" s="7"/>
    </row>
    <row r="8744">
      <c r="A8744" s="39" t="s">
        <v>31087</v>
      </c>
      <c r="B8744" s="15">
        <v>1226257.0</v>
      </c>
      <c r="D8744" s="15">
        <v>0.0</v>
      </c>
      <c r="E8744" s="15" t="s">
        <v>1557</v>
      </c>
      <c r="F8744" s="15" t="s">
        <v>1833</v>
      </c>
      <c r="G8744" s="7">
        <v>63.552</v>
      </c>
      <c r="H8744" s="15" t="s">
        <v>3304</v>
      </c>
      <c r="I8744" s="15" t="s">
        <v>1586</v>
      </c>
      <c r="J8744" s="15" t="s">
        <v>31089</v>
      </c>
      <c r="K8744" s="15">
        <v>3.0</v>
      </c>
      <c r="L8744" s="15">
        <v>76.0</v>
      </c>
      <c r="M8744" s="40">
        <v>42311.0</v>
      </c>
      <c r="N8744" s="40">
        <v>42762.0</v>
      </c>
      <c r="O8744" s="15" t="s">
        <v>1554</v>
      </c>
      <c r="Q8744" s="7"/>
    </row>
    <row r="8745">
      <c r="A8745" s="39" t="s">
        <v>31090</v>
      </c>
      <c r="B8745" s="15">
        <v>1226258.0</v>
      </c>
      <c r="D8745" s="15">
        <v>0.0</v>
      </c>
      <c r="E8745" s="15" t="s">
        <v>1557</v>
      </c>
      <c r="F8745" s="15" t="s">
        <v>1833</v>
      </c>
      <c r="G8745" s="7">
        <v>56.224</v>
      </c>
      <c r="H8745" s="15" t="s">
        <v>3836</v>
      </c>
      <c r="I8745" s="15" t="s">
        <v>1586</v>
      </c>
      <c r="J8745" s="15" t="s">
        <v>31091</v>
      </c>
      <c r="K8745" s="15">
        <v>3.0</v>
      </c>
      <c r="L8745" s="15">
        <v>70.0</v>
      </c>
      <c r="M8745" s="40">
        <v>42311.0</v>
      </c>
      <c r="N8745" s="40">
        <v>42762.0</v>
      </c>
      <c r="O8745" s="15" t="s">
        <v>1554</v>
      </c>
      <c r="Q8745" s="7"/>
    </row>
    <row r="8746">
      <c r="A8746" s="39" t="s">
        <v>31092</v>
      </c>
      <c r="B8746" s="15">
        <v>1226259.0</v>
      </c>
      <c r="D8746" s="15">
        <v>0.0</v>
      </c>
      <c r="E8746" s="15" t="s">
        <v>1557</v>
      </c>
      <c r="F8746" s="15" t="s">
        <v>1833</v>
      </c>
      <c r="G8746" s="7">
        <v>57.034</v>
      </c>
      <c r="H8746" s="15" t="s">
        <v>5521</v>
      </c>
      <c r="I8746" s="15" t="s">
        <v>1586</v>
      </c>
      <c r="J8746" s="15" t="s">
        <v>31093</v>
      </c>
      <c r="K8746" s="15">
        <v>3.0</v>
      </c>
      <c r="L8746" s="15">
        <v>65.0</v>
      </c>
      <c r="M8746" s="40">
        <v>42311.0</v>
      </c>
      <c r="N8746" s="40">
        <v>42762.0</v>
      </c>
      <c r="O8746" s="15" t="s">
        <v>1554</v>
      </c>
      <c r="Q8746" s="7"/>
    </row>
    <row r="8747">
      <c r="A8747" s="39" t="s">
        <v>31094</v>
      </c>
      <c r="B8747" s="15">
        <v>1226260.0</v>
      </c>
      <c r="D8747" s="15">
        <v>0.0</v>
      </c>
      <c r="E8747" s="15" t="s">
        <v>1557</v>
      </c>
      <c r="F8747" s="15" t="s">
        <v>1833</v>
      </c>
      <c r="G8747" s="7">
        <v>58.326</v>
      </c>
      <c r="H8747" s="15" t="s">
        <v>2284</v>
      </c>
      <c r="I8747" s="15" t="s">
        <v>1586</v>
      </c>
      <c r="J8747" s="15" t="s">
        <v>31096</v>
      </c>
      <c r="K8747" s="15">
        <v>3.0</v>
      </c>
      <c r="L8747" s="15">
        <v>66.0</v>
      </c>
      <c r="M8747" s="40">
        <v>42311.0</v>
      </c>
      <c r="N8747" s="40">
        <v>42762.0</v>
      </c>
      <c r="O8747" s="15" t="s">
        <v>1554</v>
      </c>
      <c r="Q8747" s="7"/>
    </row>
    <row r="8748">
      <c r="A8748" s="39" t="s">
        <v>31097</v>
      </c>
      <c r="B8748" s="15">
        <v>1226261.0</v>
      </c>
      <c r="D8748" s="15">
        <v>0.0</v>
      </c>
      <c r="E8748" s="15" t="s">
        <v>1557</v>
      </c>
      <c r="F8748" s="15" t="s">
        <v>1833</v>
      </c>
      <c r="G8748" s="7">
        <v>58.538</v>
      </c>
      <c r="H8748" s="15" t="s">
        <v>2296</v>
      </c>
      <c r="I8748" s="15" t="s">
        <v>1586</v>
      </c>
      <c r="J8748" s="15" t="s">
        <v>31098</v>
      </c>
      <c r="K8748" s="15">
        <v>3.0</v>
      </c>
      <c r="L8748" s="15">
        <v>83.0</v>
      </c>
      <c r="M8748" s="40">
        <v>42311.0</v>
      </c>
      <c r="N8748" s="40">
        <v>42762.0</v>
      </c>
      <c r="O8748" s="15" t="s">
        <v>1554</v>
      </c>
      <c r="Q8748" s="7"/>
    </row>
    <row r="8749">
      <c r="A8749" s="39" t="s">
        <v>31099</v>
      </c>
      <c r="B8749" s="15">
        <v>1226262.0</v>
      </c>
      <c r="D8749" s="15">
        <v>0.0</v>
      </c>
      <c r="E8749" s="15" t="s">
        <v>1557</v>
      </c>
      <c r="F8749" s="15" t="s">
        <v>1833</v>
      </c>
      <c r="G8749" s="7">
        <v>57.849</v>
      </c>
      <c r="H8749" s="15" t="s">
        <v>2540</v>
      </c>
      <c r="I8749" s="15" t="s">
        <v>1586</v>
      </c>
      <c r="J8749" s="15" t="s">
        <v>31100</v>
      </c>
      <c r="K8749" s="15">
        <v>3.0</v>
      </c>
      <c r="L8749" s="15">
        <v>78.0</v>
      </c>
      <c r="M8749" s="40">
        <v>42311.0</v>
      </c>
      <c r="N8749" s="40">
        <v>42762.0</v>
      </c>
      <c r="O8749" s="15" t="s">
        <v>1554</v>
      </c>
      <c r="Q8749" s="7"/>
    </row>
    <row r="8750">
      <c r="A8750" s="39" t="s">
        <v>31101</v>
      </c>
      <c r="B8750" s="15">
        <v>1226263.0</v>
      </c>
      <c r="D8750" s="15">
        <v>0.0</v>
      </c>
      <c r="E8750" s="15" t="s">
        <v>1557</v>
      </c>
      <c r="F8750" s="15" t="s">
        <v>1833</v>
      </c>
      <c r="G8750" s="7">
        <v>55.023</v>
      </c>
      <c r="H8750" s="15">
        <v>51.0</v>
      </c>
      <c r="I8750" s="15" t="s">
        <v>1586</v>
      </c>
      <c r="J8750" s="15" t="s">
        <v>31103</v>
      </c>
      <c r="K8750" s="15">
        <v>5.0</v>
      </c>
      <c r="L8750" s="15">
        <v>78.0</v>
      </c>
      <c r="M8750" s="40">
        <v>42311.0</v>
      </c>
      <c r="N8750" s="40">
        <v>42762.0</v>
      </c>
      <c r="O8750" s="15" t="s">
        <v>1554</v>
      </c>
      <c r="Q8750" s="7"/>
    </row>
    <row r="8751">
      <c r="A8751" s="39" t="s">
        <v>31104</v>
      </c>
      <c r="B8751" s="15">
        <v>1229761.0</v>
      </c>
      <c r="D8751" s="15">
        <v>0.0</v>
      </c>
      <c r="E8751" s="15" t="s">
        <v>1557</v>
      </c>
      <c r="F8751" s="15" t="s">
        <v>1767</v>
      </c>
      <c r="G8751" s="7">
        <v>59.363</v>
      </c>
      <c r="H8751" s="15" t="s">
        <v>11275</v>
      </c>
      <c r="I8751" s="15" t="s">
        <v>1586</v>
      </c>
      <c r="J8751" s="15" t="s">
        <v>31105</v>
      </c>
      <c r="K8751" s="15">
        <v>72.0</v>
      </c>
      <c r="L8751" s="15">
        <v>71.0</v>
      </c>
      <c r="M8751" s="41">
        <v>41205.0</v>
      </c>
      <c r="N8751" s="40">
        <v>41781.0</v>
      </c>
      <c r="O8751" s="15" t="s">
        <v>1554</v>
      </c>
      <c r="Q8751" s="7"/>
    </row>
    <row r="8752">
      <c r="A8752" s="39" t="s">
        <v>31106</v>
      </c>
      <c r="B8752" s="15">
        <v>1230469.0</v>
      </c>
      <c r="D8752" s="15">
        <v>0.0</v>
      </c>
      <c r="E8752" s="15" t="s">
        <v>1557</v>
      </c>
      <c r="F8752" s="15" t="s">
        <v>1833</v>
      </c>
      <c r="G8752" s="7">
        <v>37.159</v>
      </c>
      <c r="H8752" s="15" t="s">
        <v>2141</v>
      </c>
      <c r="I8752" s="15" t="s">
        <v>1586</v>
      </c>
      <c r="J8752" s="15" t="s">
        <v>31107</v>
      </c>
      <c r="K8752" s="15" t="s">
        <v>1722</v>
      </c>
      <c r="L8752" s="15">
        <v>51.0</v>
      </c>
      <c r="M8752" s="40">
        <v>41359.0</v>
      </c>
      <c r="N8752" s="40">
        <v>41426.0</v>
      </c>
      <c r="O8752" s="15" t="s">
        <v>1554</v>
      </c>
      <c r="Q8752" s="7"/>
    </row>
    <row r="8753">
      <c r="A8753" s="39" t="s">
        <v>31108</v>
      </c>
      <c r="B8753" s="15">
        <v>1500815.0</v>
      </c>
      <c r="D8753" s="15">
        <v>0.0</v>
      </c>
      <c r="E8753" s="15" t="s">
        <v>1557</v>
      </c>
      <c r="F8753" s="15" t="s">
        <v>1833</v>
      </c>
      <c r="G8753" s="7">
        <v>29.464</v>
      </c>
      <c r="H8753" s="15" t="s">
        <v>5483</v>
      </c>
      <c r="I8753" s="15" t="s">
        <v>1586</v>
      </c>
      <c r="J8753" s="15" t="s">
        <v>31109</v>
      </c>
      <c r="K8753" s="15">
        <v>45.0</v>
      </c>
      <c r="L8753" s="15">
        <v>45.0</v>
      </c>
      <c r="M8753" s="40">
        <v>42114.0</v>
      </c>
      <c r="N8753" s="40">
        <v>42114.0</v>
      </c>
      <c r="O8753" s="15" t="s">
        <v>1554</v>
      </c>
      <c r="Q8753" s="7"/>
    </row>
    <row r="8754">
      <c r="A8754" s="39" t="s">
        <v>31111</v>
      </c>
      <c r="B8754" s="15">
        <v>1239386.0</v>
      </c>
      <c r="D8754" s="15">
        <v>0.0</v>
      </c>
      <c r="E8754" s="15" t="s">
        <v>1557</v>
      </c>
      <c r="F8754" s="15" t="s">
        <v>1833</v>
      </c>
      <c r="G8754" s="7">
        <v>50.348</v>
      </c>
      <c r="H8754" s="15" t="s">
        <v>17295</v>
      </c>
      <c r="I8754" s="15" t="s">
        <v>1586</v>
      </c>
      <c r="J8754" s="15" t="s">
        <v>31112</v>
      </c>
      <c r="K8754" s="15" t="s">
        <v>1722</v>
      </c>
      <c r="L8754" s="15">
        <v>72.0</v>
      </c>
      <c r="M8754" s="41">
        <v>41212.0</v>
      </c>
      <c r="N8754" s="41">
        <v>41234.0</v>
      </c>
      <c r="O8754" s="15" t="s">
        <v>1554</v>
      </c>
      <c r="Q8754" s="7"/>
    </row>
    <row r="8755">
      <c r="A8755" s="39" t="s">
        <v>31113</v>
      </c>
      <c r="B8755" s="15">
        <v>1244857.0</v>
      </c>
      <c r="D8755" s="15">
        <v>0.0</v>
      </c>
      <c r="E8755" s="15" t="s">
        <v>1557</v>
      </c>
      <c r="F8755" s="15" t="s">
        <v>1611</v>
      </c>
      <c r="G8755" s="7">
        <v>41.684</v>
      </c>
      <c r="H8755" s="15" t="s">
        <v>5382</v>
      </c>
      <c r="I8755" s="15" t="s">
        <v>1586</v>
      </c>
      <c r="J8755" s="15" t="s">
        <v>31114</v>
      </c>
      <c r="K8755" s="15" t="s">
        <v>1722</v>
      </c>
      <c r="L8755" s="15">
        <v>48.0</v>
      </c>
      <c r="M8755" s="41">
        <v>41202.0</v>
      </c>
      <c r="N8755" s="40">
        <v>41389.0</v>
      </c>
      <c r="O8755" s="15" t="s">
        <v>1554</v>
      </c>
      <c r="Q8755" s="7"/>
    </row>
    <row r="8756">
      <c r="A8756" s="39" t="s">
        <v>31115</v>
      </c>
      <c r="B8756" s="15">
        <v>1273706.0</v>
      </c>
      <c r="D8756" s="15">
        <v>0.0</v>
      </c>
      <c r="E8756" s="15" t="s">
        <v>1557</v>
      </c>
      <c r="F8756" s="15" t="s">
        <v>1833</v>
      </c>
      <c r="G8756" s="7">
        <v>43.017</v>
      </c>
      <c r="H8756" s="15" t="s">
        <v>2877</v>
      </c>
      <c r="I8756" s="15" t="s">
        <v>1586</v>
      </c>
      <c r="J8756" s="15" t="s">
        <v>31116</v>
      </c>
      <c r="K8756" s="15">
        <v>65.0</v>
      </c>
      <c r="L8756" s="15">
        <v>65.0</v>
      </c>
      <c r="M8756" s="40">
        <v>41291.0</v>
      </c>
      <c r="N8756" s="40">
        <v>41507.0</v>
      </c>
      <c r="O8756" s="15" t="s">
        <v>1554</v>
      </c>
      <c r="Q8756" s="7"/>
    </row>
    <row r="8757">
      <c r="A8757" s="39" t="s">
        <v>31118</v>
      </c>
      <c r="B8757" s="15">
        <v>1273707.0</v>
      </c>
      <c r="D8757" s="15">
        <v>0.0</v>
      </c>
      <c r="E8757" s="15" t="s">
        <v>1557</v>
      </c>
      <c r="F8757" s="15" t="s">
        <v>1611</v>
      </c>
      <c r="G8757" s="7">
        <v>65.27</v>
      </c>
      <c r="H8757" s="15" t="s">
        <v>4499</v>
      </c>
      <c r="I8757" s="15" t="s">
        <v>1586</v>
      </c>
      <c r="J8757" s="15" t="s">
        <v>31119</v>
      </c>
      <c r="K8757" s="15">
        <v>71.0</v>
      </c>
      <c r="L8757" s="15">
        <v>71.0</v>
      </c>
      <c r="M8757" s="40">
        <v>41290.0</v>
      </c>
      <c r="N8757" s="41">
        <v>43038.0</v>
      </c>
      <c r="O8757" s="15" t="s">
        <v>1554</v>
      </c>
      <c r="Q8757" s="7"/>
    </row>
    <row r="8758">
      <c r="A8758" s="39" t="s">
        <v>31120</v>
      </c>
      <c r="B8758" s="15">
        <v>1273744.0</v>
      </c>
      <c r="D8758" s="15">
        <v>0.0</v>
      </c>
      <c r="E8758" s="15" t="s">
        <v>1557</v>
      </c>
      <c r="F8758" s="15" t="s">
        <v>1833</v>
      </c>
      <c r="G8758" s="7">
        <v>49.492</v>
      </c>
      <c r="H8758" s="15" t="s">
        <v>2023</v>
      </c>
      <c r="I8758" s="15" t="s">
        <v>1586</v>
      </c>
      <c r="J8758" s="15" t="s">
        <v>31121</v>
      </c>
      <c r="K8758" s="15">
        <v>75.0</v>
      </c>
      <c r="L8758" s="15">
        <v>75.0</v>
      </c>
      <c r="M8758" s="40">
        <v>41317.0</v>
      </c>
      <c r="N8758" s="40">
        <v>41528.0</v>
      </c>
      <c r="O8758" s="15" t="s">
        <v>1554</v>
      </c>
      <c r="Q8758" s="7"/>
    </row>
    <row r="8759">
      <c r="A8759" s="39" t="s">
        <v>31122</v>
      </c>
      <c r="B8759" s="15">
        <v>1277891.0</v>
      </c>
      <c r="D8759" s="15">
        <v>0.0</v>
      </c>
      <c r="E8759" s="15" t="s">
        <v>1557</v>
      </c>
      <c r="F8759" s="15" t="s">
        <v>1611</v>
      </c>
      <c r="G8759" s="7">
        <v>35.598</v>
      </c>
      <c r="H8759" s="15" t="s">
        <v>2118</v>
      </c>
      <c r="I8759" s="15" t="s">
        <v>1586</v>
      </c>
      <c r="J8759" s="15" t="s">
        <v>31123</v>
      </c>
      <c r="K8759" s="15">
        <v>56.0</v>
      </c>
      <c r="L8759" s="15">
        <v>56.0</v>
      </c>
      <c r="M8759" s="40">
        <v>41316.0</v>
      </c>
      <c r="N8759" s="40">
        <v>41437.0</v>
      </c>
      <c r="O8759" s="15" t="s">
        <v>1554</v>
      </c>
      <c r="Q8759" s="7"/>
    </row>
    <row r="8760">
      <c r="A8760" s="39" t="s">
        <v>31125</v>
      </c>
      <c r="B8760" s="15">
        <v>1277892.0</v>
      </c>
      <c r="D8760" s="15">
        <v>0.0</v>
      </c>
      <c r="E8760" s="15" t="s">
        <v>1557</v>
      </c>
      <c r="F8760" s="15" t="s">
        <v>1611</v>
      </c>
      <c r="G8760" s="7">
        <v>38.94</v>
      </c>
      <c r="H8760" s="15" t="s">
        <v>2320</v>
      </c>
      <c r="I8760" s="15" t="s">
        <v>1586</v>
      </c>
      <c r="J8760" s="15" t="s">
        <v>31126</v>
      </c>
      <c r="K8760" s="15">
        <v>56.0</v>
      </c>
      <c r="L8760" s="15">
        <v>56.0</v>
      </c>
      <c r="M8760" s="40">
        <v>41316.0</v>
      </c>
      <c r="N8760" s="40">
        <v>41437.0</v>
      </c>
      <c r="O8760" s="15" t="s">
        <v>1554</v>
      </c>
      <c r="Q8760" s="7"/>
    </row>
    <row r="8761">
      <c r="A8761" s="39" t="s">
        <v>31127</v>
      </c>
      <c r="B8761" s="15">
        <v>1289595.0</v>
      </c>
      <c r="D8761" s="15">
        <v>0.0</v>
      </c>
      <c r="E8761" s="15" t="s">
        <v>4407</v>
      </c>
      <c r="F8761" s="15" t="s">
        <v>1578</v>
      </c>
      <c r="G8761" s="7">
        <v>33.516</v>
      </c>
      <c r="H8761" s="15" t="s">
        <v>2428</v>
      </c>
      <c r="I8761" s="15" t="s">
        <v>1586</v>
      </c>
      <c r="J8761" s="15" t="s">
        <v>31128</v>
      </c>
      <c r="K8761" s="15">
        <v>54.0</v>
      </c>
      <c r="L8761" s="15">
        <v>54.0</v>
      </c>
      <c r="M8761" s="40">
        <v>41330.0</v>
      </c>
      <c r="N8761" s="40">
        <v>41437.0</v>
      </c>
      <c r="O8761" s="15" t="s">
        <v>1554</v>
      </c>
      <c r="Q8761" s="7"/>
    </row>
    <row r="8762">
      <c r="A8762" s="39" t="s">
        <v>31129</v>
      </c>
      <c r="B8762" s="15">
        <v>1289596.0</v>
      </c>
      <c r="D8762" s="15">
        <v>0.0</v>
      </c>
      <c r="E8762" s="15" t="s">
        <v>1557</v>
      </c>
      <c r="F8762" s="15" t="s">
        <v>1611</v>
      </c>
      <c r="G8762" s="7">
        <v>42.703</v>
      </c>
      <c r="H8762" s="15" t="s">
        <v>2141</v>
      </c>
      <c r="I8762" s="15" t="s">
        <v>1586</v>
      </c>
      <c r="J8762" s="15" t="s">
        <v>31130</v>
      </c>
      <c r="K8762" s="15">
        <v>67.0</v>
      </c>
      <c r="L8762" s="15">
        <v>67.0</v>
      </c>
      <c r="M8762" s="40">
        <v>41330.0</v>
      </c>
      <c r="N8762" s="40">
        <v>41437.0</v>
      </c>
      <c r="O8762" s="15" t="s">
        <v>1554</v>
      </c>
      <c r="Q8762" s="7"/>
    </row>
    <row r="8763">
      <c r="A8763" s="39" t="s">
        <v>31132</v>
      </c>
      <c r="B8763" s="15">
        <v>1289597.0</v>
      </c>
      <c r="D8763" s="15">
        <v>0.0</v>
      </c>
      <c r="E8763" s="15" t="s">
        <v>1557</v>
      </c>
      <c r="F8763" s="15" t="s">
        <v>1611</v>
      </c>
      <c r="G8763" s="7">
        <v>38.539</v>
      </c>
      <c r="H8763" s="15" t="s">
        <v>1559</v>
      </c>
      <c r="I8763" s="15" t="s">
        <v>1586</v>
      </c>
      <c r="J8763" s="15" t="s">
        <v>31133</v>
      </c>
      <c r="K8763" s="15">
        <v>64.0</v>
      </c>
      <c r="L8763" s="15">
        <v>64.0</v>
      </c>
      <c r="M8763" s="40">
        <v>41330.0</v>
      </c>
      <c r="N8763" s="40">
        <v>41437.0</v>
      </c>
      <c r="O8763" s="15" t="s">
        <v>1554</v>
      </c>
      <c r="Q8763" s="7"/>
    </row>
    <row r="8764">
      <c r="A8764" s="39" t="s">
        <v>31134</v>
      </c>
      <c r="B8764" s="15">
        <v>1289598.0</v>
      </c>
      <c r="D8764" s="15">
        <v>0.0</v>
      </c>
      <c r="E8764" s="15" t="s">
        <v>1557</v>
      </c>
      <c r="F8764" s="15" t="s">
        <v>1611</v>
      </c>
      <c r="G8764" s="7">
        <v>36.128</v>
      </c>
      <c r="H8764" s="15" t="s">
        <v>1710</v>
      </c>
      <c r="I8764" s="15" t="s">
        <v>1586</v>
      </c>
      <c r="J8764" s="15" t="s">
        <v>31135</v>
      </c>
      <c r="K8764" s="15">
        <v>62.0</v>
      </c>
      <c r="L8764" s="15">
        <v>62.0</v>
      </c>
      <c r="M8764" s="40">
        <v>41330.0</v>
      </c>
      <c r="N8764" s="40">
        <v>41437.0</v>
      </c>
      <c r="O8764" s="15" t="s">
        <v>1554</v>
      </c>
      <c r="Q8764" s="7"/>
    </row>
    <row r="8765">
      <c r="A8765" s="39" t="s">
        <v>31136</v>
      </c>
      <c r="B8765" s="15">
        <v>1289599.0</v>
      </c>
      <c r="D8765" s="15">
        <v>0.0</v>
      </c>
      <c r="E8765" s="15" t="s">
        <v>1557</v>
      </c>
      <c r="F8765" s="15" t="s">
        <v>1611</v>
      </c>
      <c r="G8765" s="7">
        <v>34.367</v>
      </c>
      <c r="H8765" s="15" t="s">
        <v>2777</v>
      </c>
      <c r="I8765" s="15" t="s">
        <v>1586</v>
      </c>
      <c r="J8765" s="15" t="s">
        <v>31137</v>
      </c>
      <c r="K8765" s="15">
        <v>57.0</v>
      </c>
      <c r="L8765" s="15">
        <v>57.0</v>
      </c>
      <c r="M8765" s="40">
        <v>41330.0</v>
      </c>
      <c r="N8765" s="40">
        <v>41437.0</v>
      </c>
      <c r="O8765" s="15" t="s">
        <v>1554</v>
      </c>
      <c r="Q8765" s="7"/>
    </row>
    <row r="8766">
      <c r="A8766" s="39" t="s">
        <v>31138</v>
      </c>
      <c r="B8766" s="15">
        <v>1289601.0</v>
      </c>
      <c r="D8766" s="15">
        <v>0.0</v>
      </c>
      <c r="E8766" s="15" t="s">
        <v>1557</v>
      </c>
      <c r="F8766" s="15" t="s">
        <v>1611</v>
      </c>
      <c r="G8766" s="7">
        <v>35.373</v>
      </c>
      <c r="H8766" s="15" t="s">
        <v>2049</v>
      </c>
      <c r="I8766" s="15" t="s">
        <v>1586</v>
      </c>
      <c r="J8766" s="15" t="s">
        <v>31139</v>
      </c>
      <c r="K8766" s="15">
        <v>54.0</v>
      </c>
      <c r="L8766" s="15">
        <v>54.0</v>
      </c>
      <c r="M8766" s="40">
        <v>41330.0</v>
      </c>
      <c r="N8766" s="40">
        <v>41437.0</v>
      </c>
      <c r="O8766" s="15" t="s">
        <v>1554</v>
      </c>
      <c r="Q8766" s="7"/>
    </row>
    <row r="8767">
      <c r="A8767" s="39" t="s">
        <v>31141</v>
      </c>
      <c r="B8767" s="15">
        <v>1292086.0</v>
      </c>
      <c r="D8767" s="15">
        <v>0.0</v>
      </c>
      <c r="E8767" s="15" t="s">
        <v>1557</v>
      </c>
      <c r="F8767" s="15" t="s">
        <v>1611</v>
      </c>
      <c r="G8767" s="7">
        <v>46.318</v>
      </c>
      <c r="H8767" s="15" t="s">
        <v>5382</v>
      </c>
      <c r="I8767" s="15" t="s">
        <v>1586</v>
      </c>
      <c r="J8767" s="15" t="s">
        <v>31142</v>
      </c>
      <c r="K8767" s="15" t="s">
        <v>1722</v>
      </c>
      <c r="L8767" s="15">
        <v>49.0</v>
      </c>
      <c r="M8767" s="40">
        <v>42936.0</v>
      </c>
      <c r="N8767" s="40">
        <v>42936.0</v>
      </c>
      <c r="O8767" s="15" t="s">
        <v>1554</v>
      </c>
      <c r="Q8767" s="7"/>
    </row>
    <row r="8768">
      <c r="A8768" s="39" t="s">
        <v>31143</v>
      </c>
      <c r="B8768" s="15">
        <v>1296641.0</v>
      </c>
      <c r="D8768" s="15">
        <v>0.0</v>
      </c>
      <c r="E8768" s="15" t="s">
        <v>1557</v>
      </c>
      <c r="F8768" s="15" t="s">
        <v>1833</v>
      </c>
      <c r="G8768" s="7">
        <v>46.048</v>
      </c>
      <c r="H8768" s="15" t="s">
        <v>2009</v>
      </c>
      <c r="I8768" s="15" t="s">
        <v>1586</v>
      </c>
      <c r="J8768" s="15" t="s">
        <v>31144</v>
      </c>
      <c r="K8768" s="15">
        <v>19.0</v>
      </c>
      <c r="L8768" s="15">
        <v>57.0</v>
      </c>
      <c r="M8768" s="40">
        <v>41338.0</v>
      </c>
      <c r="N8768" s="40">
        <v>41372.0</v>
      </c>
      <c r="O8768" s="15" t="s">
        <v>1554</v>
      </c>
      <c r="Q8768" s="7"/>
    </row>
    <row r="8769">
      <c r="A8769" s="39" t="s">
        <v>31145</v>
      </c>
      <c r="B8769" s="15">
        <v>1296654.0</v>
      </c>
      <c r="D8769" s="15">
        <v>0.0</v>
      </c>
      <c r="E8769" s="15" t="s">
        <v>1557</v>
      </c>
      <c r="F8769" s="15" t="s">
        <v>1833</v>
      </c>
      <c r="G8769" s="7">
        <v>82.008</v>
      </c>
      <c r="H8769" s="15" t="s">
        <v>2211</v>
      </c>
      <c r="I8769" s="15" t="s">
        <v>1586</v>
      </c>
      <c r="J8769" s="15" t="s">
        <v>31146</v>
      </c>
      <c r="K8769" s="15">
        <v>140.0</v>
      </c>
      <c r="L8769" s="15">
        <v>138.0</v>
      </c>
      <c r="M8769" s="40">
        <v>41478.0</v>
      </c>
      <c r="N8769" s="40">
        <v>42430.0</v>
      </c>
      <c r="O8769" s="15" t="s">
        <v>1554</v>
      </c>
      <c r="Q8769" s="7"/>
    </row>
    <row r="8770">
      <c r="A8770" s="39" t="s">
        <v>31147</v>
      </c>
      <c r="B8770" s="15">
        <v>1296660.0</v>
      </c>
      <c r="D8770" s="15">
        <v>0.0</v>
      </c>
      <c r="E8770" s="15" t="s">
        <v>1557</v>
      </c>
      <c r="F8770" s="15" t="s">
        <v>1767</v>
      </c>
      <c r="G8770" s="7">
        <v>58.573</v>
      </c>
      <c r="H8770" s="15" t="s">
        <v>1912</v>
      </c>
      <c r="I8770" s="15" t="s">
        <v>1586</v>
      </c>
      <c r="J8770" s="15" t="s">
        <v>31149</v>
      </c>
      <c r="K8770" s="15">
        <v>102.0</v>
      </c>
      <c r="L8770" s="15">
        <v>102.0</v>
      </c>
      <c r="M8770" s="40">
        <v>41478.0</v>
      </c>
      <c r="N8770" s="40">
        <v>42186.0</v>
      </c>
      <c r="O8770" s="15" t="s">
        <v>1554</v>
      </c>
      <c r="Q8770" s="7"/>
    </row>
    <row r="8771">
      <c r="A8771" s="39" t="s">
        <v>31150</v>
      </c>
      <c r="B8771" s="15">
        <v>1327940.0</v>
      </c>
      <c r="D8771" s="15">
        <v>0.0</v>
      </c>
      <c r="E8771" s="15" t="s">
        <v>1557</v>
      </c>
      <c r="F8771" s="15" t="s">
        <v>1611</v>
      </c>
      <c r="G8771" s="7">
        <v>64.746</v>
      </c>
      <c r="H8771" s="15" t="s">
        <v>4467</v>
      </c>
      <c r="I8771" s="15" t="s">
        <v>1586</v>
      </c>
      <c r="J8771" s="15" t="s">
        <v>31151</v>
      </c>
      <c r="K8771" s="15">
        <v>66.0</v>
      </c>
      <c r="L8771" s="15">
        <v>66.0</v>
      </c>
      <c r="M8771" s="41">
        <v>42369.0</v>
      </c>
      <c r="N8771" s="41">
        <v>42369.0</v>
      </c>
      <c r="O8771" s="15" t="s">
        <v>1554</v>
      </c>
      <c r="Q8771" s="7"/>
    </row>
    <row r="8772">
      <c r="A8772" s="39" t="s">
        <v>31152</v>
      </c>
      <c r="B8772" s="15">
        <v>1747283.0</v>
      </c>
      <c r="D8772" s="15">
        <v>0.0</v>
      </c>
      <c r="E8772" s="15" t="s">
        <v>1557</v>
      </c>
      <c r="F8772" s="15" t="s">
        <v>1611</v>
      </c>
      <c r="G8772" s="7">
        <v>145.343</v>
      </c>
      <c r="H8772" s="15" t="s">
        <v>3022</v>
      </c>
      <c r="I8772" s="15" t="s">
        <v>1586</v>
      </c>
      <c r="J8772" s="15" t="s">
        <v>31153</v>
      </c>
      <c r="K8772" s="15">
        <v>221.0</v>
      </c>
      <c r="L8772" s="15">
        <v>198.0</v>
      </c>
      <c r="M8772" s="41">
        <v>42332.0</v>
      </c>
      <c r="N8772" s="41">
        <v>42332.0</v>
      </c>
      <c r="O8772" s="15" t="s">
        <v>1554</v>
      </c>
      <c r="Q8772" s="7"/>
    </row>
    <row r="8773">
      <c r="A8773" s="39" t="s">
        <v>31154</v>
      </c>
      <c r="B8773" s="15">
        <v>1327979.0</v>
      </c>
      <c r="D8773" s="15">
        <v>0.0</v>
      </c>
      <c r="E8773" s="15" t="s">
        <v>1557</v>
      </c>
      <c r="F8773" s="15" t="s">
        <v>1833</v>
      </c>
      <c r="G8773" s="7">
        <v>39.151</v>
      </c>
      <c r="H8773" s="15" t="s">
        <v>2752</v>
      </c>
      <c r="I8773" s="15" t="s">
        <v>1586</v>
      </c>
      <c r="J8773" s="15" t="s">
        <v>31156</v>
      </c>
      <c r="K8773" s="15">
        <v>64.0</v>
      </c>
      <c r="L8773" s="15">
        <v>64.0</v>
      </c>
      <c r="M8773" s="40">
        <v>41454.0</v>
      </c>
      <c r="N8773" s="41">
        <v>42369.0</v>
      </c>
      <c r="O8773" s="15" t="s">
        <v>1554</v>
      </c>
      <c r="Q8773" s="7"/>
    </row>
    <row r="8774">
      <c r="A8774" s="39" t="s">
        <v>31157</v>
      </c>
      <c r="B8774" s="15">
        <v>1327995.0</v>
      </c>
      <c r="D8774" s="15">
        <v>0.0</v>
      </c>
      <c r="E8774" s="15" t="s">
        <v>1557</v>
      </c>
      <c r="F8774" s="15" t="s">
        <v>1833</v>
      </c>
      <c r="G8774" s="7">
        <v>38.476</v>
      </c>
      <c r="H8774" s="15" t="s">
        <v>2752</v>
      </c>
      <c r="I8774" s="15" t="s">
        <v>1586</v>
      </c>
      <c r="J8774" s="15" t="s">
        <v>31158</v>
      </c>
      <c r="K8774" s="15">
        <v>63.0</v>
      </c>
      <c r="L8774" s="15">
        <v>63.0</v>
      </c>
      <c r="M8774" s="40">
        <v>41454.0</v>
      </c>
      <c r="N8774" s="41">
        <v>42369.0</v>
      </c>
      <c r="O8774" s="15" t="s">
        <v>1554</v>
      </c>
      <c r="Q8774" s="7"/>
    </row>
    <row r="8775">
      <c r="A8775" s="39" t="s">
        <v>31159</v>
      </c>
      <c r="B8775" s="15">
        <v>1334242.0</v>
      </c>
      <c r="D8775" s="15">
        <v>0.0</v>
      </c>
      <c r="E8775" s="15" t="s">
        <v>1557</v>
      </c>
      <c r="F8775" s="15" t="s">
        <v>1578</v>
      </c>
      <c r="G8775" s="7">
        <v>86.537</v>
      </c>
      <c r="H8775" s="15" t="s">
        <v>3895</v>
      </c>
      <c r="I8775" s="15" t="s">
        <v>1586</v>
      </c>
      <c r="J8775" s="15" t="s">
        <v>31160</v>
      </c>
      <c r="K8775" s="15">
        <v>96.0</v>
      </c>
      <c r="L8775" s="15">
        <v>96.0</v>
      </c>
      <c r="M8775" s="40">
        <v>41498.0</v>
      </c>
      <c r="N8775" s="40">
        <v>41498.0</v>
      </c>
      <c r="O8775" s="15" t="s">
        <v>1554</v>
      </c>
      <c r="Q8775" s="7"/>
    </row>
    <row r="8776">
      <c r="A8776" s="39" t="s">
        <v>31161</v>
      </c>
      <c r="B8776" s="15">
        <v>1334243.0</v>
      </c>
      <c r="D8776" s="15">
        <v>0.0</v>
      </c>
      <c r="E8776" s="15" t="s">
        <v>1557</v>
      </c>
      <c r="F8776" s="15" t="s">
        <v>1578</v>
      </c>
      <c r="G8776" s="7">
        <v>87.887</v>
      </c>
      <c r="H8776" s="15">
        <v>34.0</v>
      </c>
      <c r="I8776" s="15" t="s">
        <v>1586</v>
      </c>
      <c r="J8776" s="15" t="s">
        <v>31162</v>
      </c>
      <c r="K8776" s="15">
        <v>97.0</v>
      </c>
      <c r="L8776" s="15">
        <v>97.0</v>
      </c>
      <c r="M8776" s="40">
        <v>41498.0</v>
      </c>
      <c r="N8776" s="40">
        <v>41498.0</v>
      </c>
      <c r="O8776" s="15" t="s">
        <v>1554</v>
      </c>
      <c r="Q8776" s="7"/>
    </row>
    <row r="8777">
      <c r="A8777" s="39" t="s">
        <v>31163</v>
      </c>
      <c r="B8777" s="15">
        <v>1334244.0</v>
      </c>
      <c r="D8777" s="15">
        <v>0.0</v>
      </c>
      <c r="E8777" s="15" t="s">
        <v>1557</v>
      </c>
      <c r="F8777" s="15" t="s">
        <v>1578</v>
      </c>
      <c r="G8777" s="7">
        <v>47.417</v>
      </c>
      <c r="H8777" s="15" t="s">
        <v>3260</v>
      </c>
      <c r="I8777" s="15" t="s">
        <v>1586</v>
      </c>
      <c r="J8777" s="15" t="s">
        <v>31164</v>
      </c>
      <c r="K8777" s="15">
        <v>34.0</v>
      </c>
      <c r="L8777" s="15">
        <v>34.0</v>
      </c>
      <c r="M8777" s="40">
        <v>41498.0</v>
      </c>
      <c r="N8777" s="40">
        <v>41498.0</v>
      </c>
      <c r="O8777" s="15" t="s">
        <v>1554</v>
      </c>
      <c r="Q8777" s="7"/>
    </row>
    <row r="8778">
      <c r="A8778" s="39" t="s">
        <v>31166</v>
      </c>
      <c r="B8778" s="15">
        <v>1334245.0</v>
      </c>
      <c r="D8778" s="15">
        <v>0.0</v>
      </c>
      <c r="E8778" s="15" t="s">
        <v>1557</v>
      </c>
      <c r="F8778" s="15" t="s">
        <v>1578</v>
      </c>
      <c r="G8778" s="7">
        <v>87.308</v>
      </c>
      <c r="H8778" s="15" t="s">
        <v>2304</v>
      </c>
      <c r="I8778" s="15" t="s">
        <v>1586</v>
      </c>
      <c r="J8778" s="15" t="s">
        <v>31167</v>
      </c>
      <c r="K8778" s="15">
        <v>103.0</v>
      </c>
      <c r="L8778" s="15">
        <v>103.0</v>
      </c>
      <c r="M8778" s="40">
        <v>41498.0</v>
      </c>
      <c r="N8778" s="40">
        <v>41498.0</v>
      </c>
      <c r="O8778" s="15" t="s">
        <v>1554</v>
      </c>
      <c r="Q8778" s="7"/>
    </row>
    <row r="8779">
      <c r="A8779" s="39" t="s">
        <v>31168</v>
      </c>
      <c r="B8779" s="15">
        <v>1334246.0</v>
      </c>
      <c r="D8779" s="15">
        <v>0.0</v>
      </c>
      <c r="E8779" s="15" t="s">
        <v>1557</v>
      </c>
      <c r="F8779" s="15" t="s">
        <v>1578</v>
      </c>
      <c r="G8779" s="7">
        <v>89.607</v>
      </c>
      <c r="H8779" s="15" t="s">
        <v>2304</v>
      </c>
      <c r="I8779" s="15" t="s">
        <v>1586</v>
      </c>
      <c r="J8779" s="15" t="s">
        <v>31169</v>
      </c>
      <c r="K8779" s="15">
        <v>103.0</v>
      </c>
      <c r="L8779" s="15">
        <v>103.0</v>
      </c>
      <c r="M8779" s="40">
        <v>41498.0</v>
      </c>
      <c r="N8779" s="40">
        <v>41498.0</v>
      </c>
      <c r="O8779" s="15" t="s">
        <v>1554</v>
      </c>
      <c r="Q8779" s="7"/>
    </row>
    <row r="8780">
      <c r="A8780" s="39" t="s">
        <v>31170</v>
      </c>
      <c r="B8780" s="15">
        <v>1340711.0</v>
      </c>
      <c r="D8780" s="15">
        <v>0.0</v>
      </c>
      <c r="E8780" s="15" t="s">
        <v>1557</v>
      </c>
      <c r="F8780" s="15" t="s">
        <v>1833</v>
      </c>
      <c r="G8780" s="7">
        <v>52.807</v>
      </c>
      <c r="H8780" s="15" t="s">
        <v>2094</v>
      </c>
      <c r="I8780" s="15" t="s">
        <v>1586</v>
      </c>
      <c r="J8780" s="15" t="s">
        <v>31171</v>
      </c>
      <c r="K8780" s="15">
        <v>96.0</v>
      </c>
      <c r="L8780" s="15">
        <v>94.0</v>
      </c>
      <c r="M8780" s="40">
        <v>41478.0</v>
      </c>
      <c r="N8780" s="40">
        <v>42871.0</v>
      </c>
      <c r="O8780" s="15" t="s">
        <v>1554</v>
      </c>
      <c r="Q8780" s="7"/>
    </row>
    <row r="8781">
      <c r="A8781" s="39" t="s">
        <v>31172</v>
      </c>
      <c r="B8781" s="15">
        <v>1357705.0</v>
      </c>
      <c r="D8781" s="15">
        <v>0.0</v>
      </c>
      <c r="E8781" s="15" t="s">
        <v>4407</v>
      </c>
      <c r="F8781" s="15" t="s">
        <v>1578</v>
      </c>
      <c r="G8781" s="7">
        <v>129.439</v>
      </c>
      <c r="H8781" s="15" t="s">
        <v>3827</v>
      </c>
      <c r="I8781" s="15" t="s">
        <v>1586</v>
      </c>
      <c r="J8781" s="15" t="s">
        <v>31174</v>
      </c>
      <c r="K8781" s="15" t="s">
        <v>1722</v>
      </c>
      <c r="L8781" s="15" t="s">
        <v>1722</v>
      </c>
      <c r="M8781" s="40">
        <v>41820.0</v>
      </c>
      <c r="N8781" s="40">
        <v>41820.0</v>
      </c>
      <c r="O8781" s="15" t="s">
        <v>1554</v>
      </c>
      <c r="Q8781" s="7"/>
    </row>
    <row r="8782">
      <c r="A8782" s="39" t="s">
        <v>31175</v>
      </c>
      <c r="B8782" s="15">
        <v>1357706.0</v>
      </c>
      <c r="D8782" s="15">
        <v>0.0</v>
      </c>
      <c r="E8782" s="15" t="s">
        <v>1557</v>
      </c>
      <c r="F8782" s="15" t="s">
        <v>1767</v>
      </c>
      <c r="G8782" s="7">
        <v>45.035</v>
      </c>
      <c r="H8782" s="15" t="s">
        <v>1983</v>
      </c>
      <c r="I8782" s="15" t="s">
        <v>1586</v>
      </c>
      <c r="J8782" s="15" t="s">
        <v>31176</v>
      </c>
      <c r="K8782" s="15" t="s">
        <v>1722</v>
      </c>
      <c r="L8782" s="15" t="s">
        <v>1722</v>
      </c>
      <c r="M8782" s="40">
        <v>41820.0</v>
      </c>
      <c r="N8782" s="40">
        <v>41820.0</v>
      </c>
      <c r="O8782" s="15" t="s">
        <v>1554</v>
      </c>
      <c r="Q8782" s="7"/>
    </row>
    <row r="8783">
      <c r="A8783" s="39" t="s">
        <v>31177</v>
      </c>
      <c r="B8783" s="15">
        <v>1357707.0</v>
      </c>
      <c r="D8783" s="15">
        <v>0.0</v>
      </c>
      <c r="E8783" s="15" t="s">
        <v>1557</v>
      </c>
      <c r="F8783" s="15" t="s">
        <v>1611</v>
      </c>
      <c r="G8783" s="7">
        <v>37.211</v>
      </c>
      <c r="H8783" s="15" t="s">
        <v>2019</v>
      </c>
      <c r="I8783" s="15" t="s">
        <v>1586</v>
      </c>
      <c r="J8783" s="15" t="s">
        <v>31178</v>
      </c>
      <c r="K8783" s="15" t="s">
        <v>1722</v>
      </c>
      <c r="L8783" s="15" t="s">
        <v>1722</v>
      </c>
      <c r="M8783" s="40">
        <v>41820.0</v>
      </c>
      <c r="N8783" s="40">
        <v>41820.0</v>
      </c>
      <c r="O8783" s="15" t="s">
        <v>1554</v>
      </c>
      <c r="Q8783" s="7"/>
    </row>
    <row r="8784">
      <c r="A8784" s="39" t="s">
        <v>31180</v>
      </c>
      <c r="B8784" s="15">
        <v>1357708.0</v>
      </c>
      <c r="D8784" s="15">
        <v>0.0</v>
      </c>
      <c r="E8784" s="15" t="s">
        <v>4407</v>
      </c>
      <c r="F8784" s="15" t="s">
        <v>1578</v>
      </c>
      <c r="G8784" s="7">
        <v>38.208</v>
      </c>
      <c r="H8784" s="15" t="s">
        <v>1902</v>
      </c>
      <c r="I8784" s="15" t="s">
        <v>1586</v>
      </c>
      <c r="J8784" s="15" t="s">
        <v>31181</v>
      </c>
      <c r="K8784" s="15" t="s">
        <v>1722</v>
      </c>
      <c r="L8784" s="15" t="s">
        <v>1722</v>
      </c>
      <c r="M8784" s="40">
        <v>41820.0</v>
      </c>
      <c r="N8784" s="40">
        <v>41820.0</v>
      </c>
      <c r="O8784" s="15" t="s">
        <v>1554</v>
      </c>
      <c r="Q8784" s="7"/>
    </row>
    <row r="8785">
      <c r="A8785" s="39" t="s">
        <v>31182</v>
      </c>
      <c r="B8785" s="15">
        <v>1357709.0</v>
      </c>
      <c r="D8785" s="15">
        <v>0.0</v>
      </c>
      <c r="E8785" s="15" t="s">
        <v>1557</v>
      </c>
      <c r="F8785" s="15" t="s">
        <v>1611</v>
      </c>
      <c r="G8785" s="7">
        <v>37.73</v>
      </c>
      <c r="H8785" s="15" t="s">
        <v>2524</v>
      </c>
      <c r="I8785" s="15" t="s">
        <v>1586</v>
      </c>
      <c r="J8785" s="15" t="s">
        <v>31183</v>
      </c>
      <c r="K8785" s="15" t="s">
        <v>1722</v>
      </c>
      <c r="L8785" s="15" t="s">
        <v>1722</v>
      </c>
      <c r="M8785" s="40">
        <v>41820.0</v>
      </c>
      <c r="N8785" s="40">
        <v>41820.0</v>
      </c>
      <c r="O8785" s="15" t="s">
        <v>1554</v>
      </c>
      <c r="Q8785" s="7"/>
    </row>
    <row r="8786">
      <c r="A8786" s="39" t="s">
        <v>31184</v>
      </c>
      <c r="B8786" s="15">
        <v>1357710.0</v>
      </c>
      <c r="D8786" s="15">
        <v>0.0</v>
      </c>
      <c r="E8786" s="15" t="s">
        <v>1557</v>
      </c>
      <c r="F8786" s="15" t="s">
        <v>1578</v>
      </c>
      <c r="G8786" s="7">
        <v>35.33</v>
      </c>
      <c r="H8786" s="15" t="s">
        <v>1828</v>
      </c>
      <c r="I8786" s="15" t="s">
        <v>1586</v>
      </c>
      <c r="J8786" s="15" t="s">
        <v>31185</v>
      </c>
      <c r="K8786" s="15" t="s">
        <v>1722</v>
      </c>
      <c r="L8786" s="15" t="s">
        <v>1722</v>
      </c>
      <c r="M8786" s="40">
        <v>41820.0</v>
      </c>
      <c r="N8786" s="40">
        <v>41820.0</v>
      </c>
      <c r="O8786" s="15" t="s">
        <v>1554</v>
      </c>
      <c r="Q8786" s="7"/>
    </row>
    <row r="8787">
      <c r="A8787" s="39" t="s">
        <v>31186</v>
      </c>
      <c r="B8787" s="15">
        <v>1357712.0</v>
      </c>
      <c r="D8787" s="15">
        <v>0.0</v>
      </c>
      <c r="E8787" s="15" t="s">
        <v>1557</v>
      </c>
      <c r="F8787" s="15" t="s">
        <v>1833</v>
      </c>
      <c r="G8787" s="7">
        <v>43.278</v>
      </c>
      <c r="H8787" s="15" t="s">
        <v>2334</v>
      </c>
      <c r="I8787" s="15" t="s">
        <v>1586</v>
      </c>
      <c r="J8787" s="15" t="s">
        <v>31188</v>
      </c>
      <c r="K8787" s="15">
        <v>66.0</v>
      </c>
      <c r="L8787" s="15">
        <v>66.0</v>
      </c>
      <c r="M8787" s="40">
        <v>41696.0</v>
      </c>
      <c r="N8787" s="40">
        <v>41696.0</v>
      </c>
      <c r="O8787" s="15" t="s">
        <v>1554</v>
      </c>
      <c r="Q8787" s="7"/>
    </row>
    <row r="8788">
      <c r="A8788" s="39" t="s">
        <v>31189</v>
      </c>
      <c r="B8788" s="15">
        <v>1366055.0</v>
      </c>
      <c r="D8788" s="15">
        <v>0.0</v>
      </c>
      <c r="E8788" s="15" t="s">
        <v>1557</v>
      </c>
      <c r="F8788" s="15" t="s">
        <v>1833</v>
      </c>
      <c r="G8788" s="7">
        <v>39.94</v>
      </c>
      <c r="H8788" s="15" t="s">
        <v>1902</v>
      </c>
      <c r="I8788" s="15" t="s">
        <v>1586</v>
      </c>
      <c r="J8788" s="15" t="s">
        <v>31190</v>
      </c>
      <c r="K8788" s="15">
        <v>62.0</v>
      </c>
      <c r="L8788" s="15">
        <v>62.0</v>
      </c>
      <c r="M8788" s="40">
        <v>41478.0</v>
      </c>
      <c r="N8788" s="40">
        <v>41696.0</v>
      </c>
      <c r="O8788" s="15" t="s">
        <v>1554</v>
      </c>
      <c r="Q8788" s="7"/>
    </row>
    <row r="8789">
      <c r="A8789" s="39" t="s">
        <v>31191</v>
      </c>
      <c r="B8789" s="15">
        <v>1805949.0</v>
      </c>
      <c r="D8789" s="15">
        <v>0.0</v>
      </c>
      <c r="E8789" s="15" t="s">
        <v>1557</v>
      </c>
      <c r="F8789" s="15" t="s">
        <v>1767</v>
      </c>
      <c r="G8789" s="7">
        <v>164.227</v>
      </c>
      <c r="H8789" s="15" t="s">
        <v>2233</v>
      </c>
      <c r="I8789" s="15" t="s">
        <v>1586</v>
      </c>
      <c r="J8789" s="15" t="s">
        <v>31192</v>
      </c>
      <c r="K8789" s="15">
        <v>293.0</v>
      </c>
      <c r="L8789" s="15">
        <v>293.0</v>
      </c>
      <c r="M8789" s="40">
        <v>42471.0</v>
      </c>
      <c r="N8789" s="40">
        <v>42471.0</v>
      </c>
      <c r="O8789" s="15" t="s">
        <v>1554</v>
      </c>
      <c r="Q8789" s="7"/>
    </row>
    <row r="8790">
      <c r="A8790" s="39" t="s">
        <v>31193</v>
      </c>
      <c r="B8790" s="15">
        <v>1406341.0</v>
      </c>
      <c r="D8790" s="15">
        <v>0.0</v>
      </c>
      <c r="E8790" s="15" t="s">
        <v>1557</v>
      </c>
      <c r="F8790" s="15" t="s">
        <v>1833</v>
      </c>
      <c r="G8790" s="7">
        <v>81.291</v>
      </c>
      <c r="H8790" s="15" t="s">
        <v>13429</v>
      </c>
      <c r="I8790" s="15" t="s">
        <v>1586</v>
      </c>
      <c r="J8790" s="15" t="s">
        <v>31194</v>
      </c>
      <c r="K8790" s="15">
        <v>111.0</v>
      </c>
      <c r="L8790" s="15">
        <v>111.0</v>
      </c>
      <c r="M8790" s="41">
        <v>42717.0</v>
      </c>
      <c r="N8790" s="40">
        <v>42745.0</v>
      </c>
      <c r="O8790" s="15" t="s">
        <v>1554</v>
      </c>
      <c r="Q8790" s="7"/>
    </row>
    <row r="8791">
      <c r="A8791" s="39" t="s">
        <v>31196</v>
      </c>
      <c r="B8791" s="15">
        <v>1406787.0</v>
      </c>
      <c r="D8791" s="15">
        <v>0.0</v>
      </c>
      <c r="E8791" s="15" t="s">
        <v>1557</v>
      </c>
      <c r="F8791" s="15" t="s">
        <v>1611</v>
      </c>
      <c r="G8791" s="7">
        <v>39.874</v>
      </c>
      <c r="H8791" s="15" t="s">
        <v>2223</v>
      </c>
      <c r="I8791" s="15" t="s">
        <v>1586</v>
      </c>
      <c r="J8791" s="15" t="s">
        <v>31197</v>
      </c>
      <c r="K8791" s="15">
        <v>50.0</v>
      </c>
      <c r="L8791" s="15">
        <v>50.0</v>
      </c>
      <c r="M8791" s="41">
        <v>41576.0</v>
      </c>
      <c r="N8791" s="40">
        <v>41663.0</v>
      </c>
      <c r="O8791" s="15" t="s">
        <v>1554</v>
      </c>
      <c r="Q8791" s="7"/>
    </row>
    <row r="8792">
      <c r="A8792" s="39" t="s">
        <v>31198</v>
      </c>
      <c r="B8792" s="15">
        <v>1414766.0</v>
      </c>
      <c r="D8792" s="15">
        <v>0.0</v>
      </c>
      <c r="E8792" s="15" t="s">
        <v>4407</v>
      </c>
      <c r="F8792" s="15" t="s">
        <v>1578</v>
      </c>
      <c r="G8792" s="7">
        <v>41.51</v>
      </c>
      <c r="H8792" s="15" t="s">
        <v>6118</v>
      </c>
      <c r="I8792" s="15" t="s">
        <v>1586</v>
      </c>
      <c r="J8792" s="15" t="s">
        <v>31199</v>
      </c>
      <c r="K8792" s="15">
        <v>60.0</v>
      </c>
      <c r="L8792" s="15">
        <v>60.0</v>
      </c>
      <c r="M8792" s="40">
        <v>41947.0</v>
      </c>
      <c r="N8792" s="40">
        <v>41947.0</v>
      </c>
      <c r="O8792" s="15" t="s">
        <v>1554</v>
      </c>
      <c r="Q8792" s="7"/>
    </row>
    <row r="8793">
      <c r="A8793" s="39" t="s">
        <v>31200</v>
      </c>
      <c r="B8793" s="15">
        <v>1415147.0</v>
      </c>
      <c r="D8793" s="15">
        <v>0.0</v>
      </c>
      <c r="E8793" s="15" t="s">
        <v>1557</v>
      </c>
      <c r="F8793" s="15" t="s">
        <v>1833</v>
      </c>
      <c r="G8793" s="7">
        <v>55.601</v>
      </c>
      <c r="H8793" s="15">
        <v>63.0</v>
      </c>
      <c r="I8793" s="15" t="s">
        <v>1586</v>
      </c>
      <c r="J8793" s="15" t="s">
        <v>31201</v>
      </c>
      <c r="K8793" s="15">
        <v>72.0</v>
      </c>
      <c r="L8793" s="15">
        <v>72.0</v>
      </c>
      <c r="M8793" s="41">
        <v>41608.0</v>
      </c>
      <c r="N8793" s="40">
        <v>41733.0</v>
      </c>
      <c r="O8793" s="15" t="s">
        <v>1554</v>
      </c>
      <c r="Q8793" s="7"/>
    </row>
    <row r="8794">
      <c r="A8794" s="39" t="s">
        <v>31203</v>
      </c>
      <c r="B8794" s="15">
        <v>1415148.0</v>
      </c>
      <c r="D8794" s="15">
        <v>0.0</v>
      </c>
      <c r="E8794" s="15" t="s">
        <v>1557</v>
      </c>
      <c r="F8794" s="15" t="s">
        <v>1833</v>
      </c>
      <c r="G8794" s="7">
        <v>56.147</v>
      </c>
      <c r="H8794" s="15" t="s">
        <v>7616</v>
      </c>
      <c r="I8794" s="15" t="s">
        <v>1586</v>
      </c>
      <c r="J8794" s="15" t="s">
        <v>31204</v>
      </c>
      <c r="K8794" s="15">
        <v>77.0</v>
      </c>
      <c r="L8794" s="15">
        <v>77.0</v>
      </c>
      <c r="M8794" s="41">
        <v>41608.0</v>
      </c>
      <c r="N8794" s="40">
        <v>41733.0</v>
      </c>
      <c r="O8794" s="15" t="s">
        <v>1554</v>
      </c>
      <c r="Q8794" s="7"/>
    </row>
    <row r="8795">
      <c r="A8795" s="39" t="s">
        <v>31205</v>
      </c>
      <c r="B8795" s="15">
        <v>1416027.0</v>
      </c>
      <c r="D8795" s="15">
        <v>0.0</v>
      </c>
      <c r="E8795" s="15" t="s">
        <v>1557</v>
      </c>
      <c r="F8795" s="15" t="s">
        <v>1833</v>
      </c>
      <c r="G8795" s="7">
        <v>46.719</v>
      </c>
      <c r="H8795" s="15" t="s">
        <v>3066</v>
      </c>
      <c r="I8795" s="15" t="s">
        <v>1586</v>
      </c>
      <c r="J8795" s="15" t="s">
        <v>31206</v>
      </c>
      <c r="K8795" s="15">
        <v>78.0</v>
      </c>
      <c r="L8795" s="15">
        <v>78.0</v>
      </c>
      <c r="M8795" s="40">
        <v>41832.0</v>
      </c>
      <c r="N8795" s="40">
        <v>41832.0</v>
      </c>
      <c r="O8795" s="15" t="s">
        <v>1554</v>
      </c>
      <c r="Q8795" s="7"/>
    </row>
    <row r="8796">
      <c r="A8796" s="39" t="s">
        <v>31207</v>
      </c>
      <c r="B8796" s="15">
        <v>1432428.0</v>
      </c>
      <c r="D8796" s="15">
        <v>0.0</v>
      </c>
      <c r="E8796" s="15" t="s">
        <v>1557</v>
      </c>
      <c r="F8796" s="15" t="s">
        <v>1611</v>
      </c>
      <c r="G8796" s="7">
        <v>42.409</v>
      </c>
      <c r="H8796" s="15" t="s">
        <v>3086</v>
      </c>
      <c r="I8796" s="15" t="s">
        <v>1586</v>
      </c>
      <c r="J8796" s="15" t="s">
        <v>31208</v>
      </c>
      <c r="K8796" s="15" t="s">
        <v>1722</v>
      </c>
      <c r="L8796" s="15">
        <v>42.0</v>
      </c>
      <c r="M8796" s="40">
        <v>41976.0</v>
      </c>
      <c r="N8796" s="40">
        <v>41976.0</v>
      </c>
      <c r="O8796" s="15" t="s">
        <v>1554</v>
      </c>
      <c r="Q8796" s="7"/>
    </row>
    <row r="8797">
      <c r="A8797" s="39" t="s">
        <v>31210</v>
      </c>
      <c r="B8797" s="15">
        <v>1437328.0</v>
      </c>
      <c r="D8797" s="15">
        <v>0.0</v>
      </c>
      <c r="E8797" s="15" t="s">
        <v>1557</v>
      </c>
      <c r="F8797" s="15" t="s">
        <v>1611</v>
      </c>
      <c r="G8797" s="7">
        <v>42.492</v>
      </c>
      <c r="H8797" s="15" t="s">
        <v>2840</v>
      </c>
      <c r="I8797" s="15" t="s">
        <v>1586</v>
      </c>
      <c r="J8797" s="15" t="s">
        <v>31211</v>
      </c>
      <c r="K8797" s="15" t="s">
        <v>1722</v>
      </c>
      <c r="L8797" s="15">
        <v>41.0</v>
      </c>
      <c r="M8797" s="41">
        <v>41990.0</v>
      </c>
      <c r="N8797" s="40">
        <v>42070.0</v>
      </c>
      <c r="O8797" s="15" t="s">
        <v>1554</v>
      </c>
      <c r="Q8797" s="7"/>
    </row>
    <row r="8798">
      <c r="A8798" s="39" t="s">
        <v>31212</v>
      </c>
      <c r="B8798" s="15">
        <v>1437329.0</v>
      </c>
      <c r="D8798" s="15">
        <v>0.0</v>
      </c>
      <c r="E8798" s="15" t="s">
        <v>1557</v>
      </c>
      <c r="F8798" s="15" t="s">
        <v>1611</v>
      </c>
      <c r="G8798" s="7">
        <v>42.112</v>
      </c>
      <c r="H8798" s="15" t="s">
        <v>2840</v>
      </c>
      <c r="I8798" s="15" t="s">
        <v>1586</v>
      </c>
      <c r="J8798" s="15" t="s">
        <v>31213</v>
      </c>
      <c r="K8798" s="15">
        <v>54.0</v>
      </c>
      <c r="L8798" s="15">
        <v>43.0</v>
      </c>
      <c r="M8798" s="41">
        <v>41996.0</v>
      </c>
      <c r="N8798" s="41">
        <v>41996.0</v>
      </c>
      <c r="O8798" s="15" t="s">
        <v>1554</v>
      </c>
      <c r="Q8798" s="7"/>
    </row>
    <row r="8799">
      <c r="A8799" s="39" t="s">
        <v>31214</v>
      </c>
      <c r="B8799" s="15">
        <v>1451074.0</v>
      </c>
      <c r="D8799" s="15">
        <v>0.0</v>
      </c>
      <c r="E8799" s="15" t="s">
        <v>4407</v>
      </c>
      <c r="F8799" s="15" t="s">
        <v>1578</v>
      </c>
      <c r="G8799" s="7">
        <v>60.896</v>
      </c>
      <c r="H8799" s="15" t="s">
        <v>3304</v>
      </c>
      <c r="I8799" s="15" t="s">
        <v>1586</v>
      </c>
      <c r="J8799" s="15" t="s">
        <v>31215</v>
      </c>
      <c r="K8799" s="15">
        <v>16.0</v>
      </c>
      <c r="L8799" s="15" t="s">
        <v>1722</v>
      </c>
      <c r="M8799" s="41">
        <v>42320.0</v>
      </c>
      <c r="N8799" s="41">
        <v>42320.0</v>
      </c>
      <c r="O8799" s="15" t="s">
        <v>1554</v>
      </c>
      <c r="Q8799" s="7"/>
    </row>
    <row r="8800">
      <c r="A8800" s="39" t="s">
        <v>31217</v>
      </c>
      <c r="B8800" s="15">
        <v>1458853.0</v>
      </c>
      <c r="D8800" s="15">
        <v>0.0</v>
      </c>
      <c r="E8800" s="15" t="s">
        <v>1557</v>
      </c>
      <c r="F8800" s="15" t="s">
        <v>1767</v>
      </c>
      <c r="G8800" s="7">
        <v>135.279</v>
      </c>
      <c r="H8800" s="15" t="s">
        <v>3554</v>
      </c>
      <c r="I8800" s="15" t="s">
        <v>1586</v>
      </c>
      <c r="J8800" s="15" t="s">
        <v>31218</v>
      </c>
      <c r="K8800" s="15">
        <v>205.0</v>
      </c>
      <c r="L8800" s="15">
        <v>188.0</v>
      </c>
      <c r="M8800" s="40">
        <v>41789.0</v>
      </c>
      <c r="N8800" s="40">
        <v>41843.0</v>
      </c>
      <c r="O8800" s="15" t="s">
        <v>1554</v>
      </c>
      <c r="Q8800" s="7"/>
    </row>
    <row r="8801">
      <c r="A8801" s="39" t="s">
        <v>31219</v>
      </c>
      <c r="B8801" s="15">
        <v>1034127.0</v>
      </c>
      <c r="D8801" s="15">
        <v>0.0</v>
      </c>
      <c r="E8801" s="15" t="s">
        <v>1557</v>
      </c>
      <c r="F8801" s="15" t="s">
        <v>1833</v>
      </c>
      <c r="G8801" s="7">
        <v>59.646</v>
      </c>
      <c r="H8801" s="15" t="s">
        <v>6615</v>
      </c>
      <c r="I8801" s="15" t="s">
        <v>1586</v>
      </c>
      <c r="J8801" s="15" t="s">
        <v>31220</v>
      </c>
      <c r="K8801" s="15">
        <v>95.0</v>
      </c>
      <c r="L8801" s="15">
        <v>94.0</v>
      </c>
      <c r="M8801" s="40">
        <v>40740.0</v>
      </c>
      <c r="N8801" s="40">
        <v>40942.0</v>
      </c>
      <c r="O8801" s="15" t="s">
        <v>1554</v>
      </c>
      <c r="Q8801" s="7"/>
    </row>
    <row r="8802">
      <c r="A8802" s="39" t="s">
        <v>31221</v>
      </c>
      <c r="B8802" s="15">
        <v>1034129.0</v>
      </c>
      <c r="D8802" s="15">
        <v>0.0</v>
      </c>
      <c r="E8802" s="15" t="s">
        <v>1557</v>
      </c>
      <c r="F8802" s="15" t="s">
        <v>1833</v>
      </c>
      <c r="G8802" s="7">
        <v>51.308</v>
      </c>
      <c r="H8802" s="15" t="s">
        <v>3029</v>
      </c>
      <c r="I8802" s="15" t="s">
        <v>1586</v>
      </c>
      <c r="J8802" s="15" t="s">
        <v>31222</v>
      </c>
      <c r="K8802" s="15">
        <v>84.0</v>
      </c>
      <c r="L8802" s="15">
        <v>84.0</v>
      </c>
      <c r="M8802" s="40">
        <v>40740.0</v>
      </c>
      <c r="N8802" s="40">
        <v>40942.0</v>
      </c>
      <c r="O8802" s="15" t="s">
        <v>1554</v>
      </c>
      <c r="Q8802" s="7"/>
    </row>
    <row r="8803">
      <c r="A8803" s="39" t="s">
        <v>31223</v>
      </c>
      <c r="B8803" s="15">
        <v>1034131.0</v>
      </c>
      <c r="D8803" s="15">
        <v>0.0</v>
      </c>
      <c r="E8803" s="15" t="s">
        <v>1557</v>
      </c>
      <c r="F8803" s="15" t="s">
        <v>1833</v>
      </c>
      <c r="G8803" s="7">
        <v>68.245</v>
      </c>
      <c r="H8803" s="15" t="s">
        <v>9656</v>
      </c>
      <c r="I8803" s="15" t="s">
        <v>1586</v>
      </c>
      <c r="J8803" s="15" t="s">
        <v>31225</v>
      </c>
      <c r="K8803" s="15">
        <v>102.0</v>
      </c>
      <c r="L8803" s="15">
        <v>102.0</v>
      </c>
      <c r="M8803" s="40">
        <v>40740.0</v>
      </c>
      <c r="N8803" s="40">
        <v>40942.0</v>
      </c>
      <c r="O8803" s="15" t="s">
        <v>1554</v>
      </c>
      <c r="Q8803" s="7"/>
    </row>
    <row r="8804">
      <c r="A8804" s="39" t="s">
        <v>31226</v>
      </c>
      <c r="B8804" s="15">
        <v>1034133.0</v>
      </c>
      <c r="D8804" s="15">
        <v>0.0</v>
      </c>
      <c r="E8804" s="15" t="s">
        <v>1557</v>
      </c>
      <c r="F8804" s="15" t="s">
        <v>1833</v>
      </c>
      <c r="G8804" s="7">
        <v>51.578</v>
      </c>
      <c r="H8804" s="15">
        <v>61.0</v>
      </c>
      <c r="I8804" s="15" t="s">
        <v>1586</v>
      </c>
      <c r="J8804" s="15" t="s">
        <v>31227</v>
      </c>
      <c r="K8804" s="15">
        <v>83.0</v>
      </c>
      <c r="L8804" s="15">
        <v>82.0</v>
      </c>
      <c r="M8804" s="40">
        <v>40747.0</v>
      </c>
      <c r="N8804" s="40">
        <v>40942.0</v>
      </c>
      <c r="O8804" s="15" t="s">
        <v>1554</v>
      </c>
      <c r="Q8804" s="7"/>
    </row>
    <row r="8805">
      <c r="A8805" s="39" t="s">
        <v>31228</v>
      </c>
      <c r="B8805" s="15">
        <v>1034135.0</v>
      </c>
      <c r="D8805" s="15">
        <v>0.0</v>
      </c>
      <c r="E8805" s="15" t="s">
        <v>1557</v>
      </c>
      <c r="F8805" s="15" t="s">
        <v>1833</v>
      </c>
      <c r="G8805" s="7">
        <v>52.213</v>
      </c>
      <c r="H8805" s="15" t="s">
        <v>4108</v>
      </c>
      <c r="I8805" s="15" t="s">
        <v>1586</v>
      </c>
      <c r="J8805" s="15" t="s">
        <v>31229</v>
      </c>
      <c r="K8805" s="15">
        <v>99.0</v>
      </c>
      <c r="L8805" s="15">
        <v>96.0</v>
      </c>
      <c r="M8805" s="40">
        <v>40740.0</v>
      </c>
      <c r="N8805" s="40">
        <v>40942.0</v>
      </c>
      <c r="O8805" s="15" t="s">
        <v>1554</v>
      </c>
      <c r="Q8805" s="7"/>
    </row>
    <row r="8806">
      <c r="A8806" s="39" t="s">
        <v>31230</v>
      </c>
      <c r="B8806" s="15">
        <v>1034137.0</v>
      </c>
      <c r="D8806" s="15">
        <v>0.0</v>
      </c>
      <c r="E8806" s="15" t="s">
        <v>1557</v>
      </c>
      <c r="F8806" s="15" t="s">
        <v>1833</v>
      </c>
      <c r="G8806" s="7">
        <v>74.914</v>
      </c>
      <c r="H8806" s="15" t="s">
        <v>2057</v>
      </c>
      <c r="I8806" s="15" t="s">
        <v>1586</v>
      </c>
      <c r="J8806" s="15" t="s">
        <v>31232</v>
      </c>
      <c r="K8806" s="15">
        <v>135.0</v>
      </c>
      <c r="L8806" s="15">
        <v>126.0</v>
      </c>
      <c r="M8806" s="40">
        <v>40741.0</v>
      </c>
      <c r="N8806" s="40">
        <v>40942.0</v>
      </c>
      <c r="O8806" s="15" t="s">
        <v>1554</v>
      </c>
      <c r="Q8806" s="7"/>
    </row>
    <row r="8807">
      <c r="A8807" s="39" t="s">
        <v>31233</v>
      </c>
      <c r="B8807" s="15">
        <v>1034142.0</v>
      </c>
      <c r="D8807" s="15">
        <v>0.0</v>
      </c>
      <c r="E8807" s="15" t="s">
        <v>1557</v>
      </c>
      <c r="F8807" s="15" t="s">
        <v>1833</v>
      </c>
      <c r="G8807" s="7">
        <v>51.339</v>
      </c>
      <c r="H8807" s="15" t="s">
        <v>4499</v>
      </c>
      <c r="I8807" s="15" t="s">
        <v>1586</v>
      </c>
      <c r="J8807" s="15" t="s">
        <v>31234</v>
      </c>
      <c r="K8807" s="15">
        <v>94.0</v>
      </c>
      <c r="L8807" s="15">
        <v>93.0</v>
      </c>
      <c r="M8807" s="40">
        <v>40741.0</v>
      </c>
      <c r="N8807" s="40">
        <v>40942.0</v>
      </c>
      <c r="O8807" s="15" t="s">
        <v>1554</v>
      </c>
      <c r="Q8807" s="7"/>
    </row>
    <row r="8808">
      <c r="A8808" s="39" t="s">
        <v>31235</v>
      </c>
      <c r="B8808" s="15">
        <v>1034145.0</v>
      </c>
      <c r="D8808" s="15">
        <v>0.0</v>
      </c>
      <c r="E8808" s="15" t="s">
        <v>1557</v>
      </c>
      <c r="F8808" s="15" t="s">
        <v>1833</v>
      </c>
      <c r="G8808" s="7">
        <v>56.719</v>
      </c>
      <c r="H8808" s="15" t="s">
        <v>9648</v>
      </c>
      <c r="I8808" s="15" t="s">
        <v>1586</v>
      </c>
      <c r="J8808" s="15" t="s">
        <v>31236</v>
      </c>
      <c r="K8808" s="15">
        <v>107.0</v>
      </c>
      <c r="L8808" s="15">
        <v>107.0</v>
      </c>
      <c r="M8808" s="40">
        <v>40741.0</v>
      </c>
      <c r="N8808" s="40">
        <v>40942.0</v>
      </c>
      <c r="O8808" s="15" t="s">
        <v>1554</v>
      </c>
      <c r="Q8808" s="7"/>
    </row>
    <row r="8809">
      <c r="A8809" s="39" t="s">
        <v>31237</v>
      </c>
      <c r="B8809" s="15">
        <v>1034147.0</v>
      </c>
      <c r="D8809" s="15">
        <v>0.0</v>
      </c>
      <c r="E8809" s="15" t="s">
        <v>1557</v>
      </c>
      <c r="F8809" s="15" t="s">
        <v>1833</v>
      </c>
      <c r="G8809" s="7">
        <v>73.784</v>
      </c>
      <c r="H8809" s="15" t="s">
        <v>2057</v>
      </c>
      <c r="I8809" s="15" t="s">
        <v>1586</v>
      </c>
      <c r="J8809" s="15" t="s">
        <v>31239</v>
      </c>
      <c r="K8809" s="15">
        <v>131.0</v>
      </c>
      <c r="L8809" s="15">
        <v>122.0</v>
      </c>
      <c r="M8809" s="40">
        <v>40741.0</v>
      </c>
      <c r="N8809" s="40">
        <v>40942.0</v>
      </c>
      <c r="O8809" s="15" t="s">
        <v>1554</v>
      </c>
      <c r="Q8809" s="7"/>
    </row>
    <row r="8810">
      <c r="A8810" s="39" t="s">
        <v>31240</v>
      </c>
      <c r="B8810" s="15">
        <v>1034150.0</v>
      </c>
      <c r="D8810" s="15">
        <v>0.0</v>
      </c>
      <c r="E8810" s="15" t="s">
        <v>1557</v>
      </c>
      <c r="F8810" s="15" t="s">
        <v>1833</v>
      </c>
      <c r="G8810" s="7">
        <v>58.714</v>
      </c>
      <c r="H8810" s="15">
        <v>61.0</v>
      </c>
      <c r="I8810" s="15" t="s">
        <v>1586</v>
      </c>
      <c r="J8810" s="15" t="s">
        <v>31241</v>
      </c>
      <c r="K8810" s="15">
        <v>116.0</v>
      </c>
      <c r="L8810" s="15">
        <v>116.0</v>
      </c>
      <c r="M8810" s="40">
        <v>40741.0</v>
      </c>
      <c r="N8810" s="40">
        <v>42941.0</v>
      </c>
      <c r="O8810" s="15" t="s">
        <v>1554</v>
      </c>
      <c r="Q8810" s="7"/>
    </row>
    <row r="8811">
      <c r="A8811" s="39" t="s">
        <v>31242</v>
      </c>
      <c r="B8811" s="15">
        <v>1034152.0</v>
      </c>
      <c r="D8811" s="15">
        <v>0.0</v>
      </c>
      <c r="E8811" s="15" t="s">
        <v>1557</v>
      </c>
      <c r="F8811" s="15" t="s">
        <v>1833</v>
      </c>
      <c r="G8811" s="7">
        <v>60.835</v>
      </c>
      <c r="H8811" s="15" t="s">
        <v>2492</v>
      </c>
      <c r="I8811" s="15" t="s">
        <v>1586</v>
      </c>
      <c r="J8811" s="15" t="s">
        <v>31243</v>
      </c>
      <c r="K8811" s="15">
        <v>99.0</v>
      </c>
      <c r="L8811" s="15">
        <v>98.0</v>
      </c>
      <c r="M8811" s="40">
        <v>40741.0</v>
      </c>
      <c r="N8811" s="40">
        <v>40942.0</v>
      </c>
      <c r="O8811" s="15" t="s">
        <v>1554</v>
      </c>
      <c r="Q8811" s="7"/>
    </row>
    <row r="8812">
      <c r="A8812" s="39" t="s">
        <v>31244</v>
      </c>
      <c r="B8812" s="15">
        <v>1147722.0</v>
      </c>
      <c r="D8812" s="15">
        <v>0.0</v>
      </c>
      <c r="E8812" s="15" t="s">
        <v>4407</v>
      </c>
      <c r="F8812" s="15" t="s">
        <v>1578</v>
      </c>
      <c r="G8812" s="7">
        <v>57.198</v>
      </c>
      <c r="H8812" s="15" t="s">
        <v>2540</v>
      </c>
      <c r="I8812" s="15" t="s">
        <v>1586</v>
      </c>
      <c r="J8812" s="15" t="s">
        <v>31246</v>
      </c>
      <c r="K8812" s="15">
        <v>82.0</v>
      </c>
      <c r="L8812" s="15">
        <v>79.0</v>
      </c>
      <c r="M8812" s="40">
        <v>40966.0</v>
      </c>
      <c r="N8812" s="40">
        <v>41004.0</v>
      </c>
      <c r="O8812" s="15" t="s">
        <v>1554</v>
      </c>
      <c r="Q8812" s="7"/>
    </row>
    <row r="8813">
      <c r="A8813" s="39" t="s">
        <v>31247</v>
      </c>
      <c r="B8813" s="15">
        <v>1277896.0</v>
      </c>
      <c r="D8813" s="15">
        <v>0.0</v>
      </c>
      <c r="E8813" s="15" t="s">
        <v>4407</v>
      </c>
      <c r="F8813" s="15" t="s">
        <v>1578</v>
      </c>
      <c r="G8813" s="7">
        <v>38.253</v>
      </c>
      <c r="H8813" s="15" t="s">
        <v>5368</v>
      </c>
      <c r="I8813" s="15" t="s">
        <v>1586</v>
      </c>
      <c r="J8813" s="15" t="s">
        <v>31248</v>
      </c>
      <c r="K8813" s="15">
        <v>58.0</v>
      </c>
      <c r="L8813" s="15">
        <v>58.0</v>
      </c>
      <c r="M8813" s="40">
        <v>42740.0</v>
      </c>
      <c r="N8813" s="40">
        <v>42740.0</v>
      </c>
      <c r="O8813" s="15" t="s">
        <v>1554</v>
      </c>
      <c r="Q8813" s="7"/>
    </row>
    <row r="8814">
      <c r="A8814" s="39" t="s">
        <v>31249</v>
      </c>
      <c r="B8814" s="15">
        <v>1279070.0</v>
      </c>
      <c r="D8814" s="15">
        <v>0.0</v>
      </c>
      <c r="E8814" s="15" t="s">
        <v>4407</v>
      </c>
      <c r="F8814" s="15" t="s">
        <v>1578</v>
      </c>
      <c r="G8814" s="7">
        <v>41.142</v>
      </c>
      <c r="H8814" s="15" t="s">
        <v>5368</v>
      </c>
      <c r="I8814" s="15" t="s">
        <v>1586</v>
      </c>
      <c r="J8814" s="15" t="s">
        <v>31250</v>
      </c>
      <c r="K8814" s="15">
        <v>58.0</v>
      </c>
      <c r="L8814" s="15">
        <v>58.0</v>
      </c>
      <c r="M8814" s="40">
        <v>42740.0</v>
      </c>
      <c r="N8814" s="40">
        <v>42740.0</v>
      </c>
      <c r="O8814" s="15" t="s">
        <v>1554</v>
      </c>
      <c r="Q8814" s="7"/>
    </row>
    <row r="8815">
      <c r="A8815" s="39" t="s">
        <v>31252</v>
      </c>
      <c r="B8815" s="15">
        <v>1462581.0</v>
      </c>
      <c r="D8815" s="15">
        <v>0.0</v>
      </c>
      <c r="E8815" s="15" t="s">
        <v>1557</v>
      </c>
      <c r="F8815" s="15" t="s">
        <v>1833</v>
      </c>
      <c r="G8815" s="7">
        <v>62.774</v>
      </c>
      <c r="H8815" s="15">
        <v>56.0</v>
      </c>
      <c r="I8815" s="15" t="s">
        <v>1586</v>
      </c>
      <c r="J8815" s="15" t="s">
        <v>31253</v>
      </c>
      <c r="K8815" s="15">
        <v>95.0</v>
      </c>
      <c r="L8815" s="15">
        <v>95.0</v>
      </c>
      <c r="M8815" s="40">
        <v>41704.0</v>
      </c>
      <c r="N8815" s="40">
        <v>42187.0</v>
      </c>
      <c r="O8815" s="15" t="s">
        <v>1554</v>
      </c>
      <c r="Q8815" s="7"/>
    </row>
    <row r="8816">
      <c r="A8816" s="39" t="s">
        <v>31254</v>
      </c>
      <c r="B8816" s="15">
        <v>1608311.0</v>
      </c>
      <c r="D8816" s="15">
        <v>0.0</v>
      </c>
      <c r="E8816" s="15" t="s">
        <v>1557</v>
      </c>
      <c r="F8816" s="15" t="s">
        <v>1767</v>
      </c>
      <c r="G8816" s="7">
        <v>177.215</v>
      </c>
      <c r="H8816" s="15" t="s">
        <v>2223</v>
      </c>
      <c r="I8816" s="15" t="s">
        <v>1586</v>
      </c>
      <c r="J8816" s="15" t="s">
        <v>31255</v>
      </c>
      <c r="K8816" s="15">
        <v>177.0</v>
      </c>
      <c r="L8816" s="15">
        <v>300.0</v>
      </c>
      <c r="M8816" s="40">
        <v>42039.0</v>
      </c>
      <c r="N8816" s="40">
        <v>42039.0</v>
      </c>
      <c r="O8816" s="15" t="s">
        <v>1554</v>
      </c>
      <c r="Q8816" s="7"/>
    </row>
    <row r="8817">
      <c r="A8817" s="39" t="s">
        <v>31257</v>
      </c>
      <c r="B8817" s="15">
        <v>1653734.0</v>
      </c>
      <c r="D8817" s="15">
        <v>0.0</v>
      </c>
      <c r="E8817" s="15" t="s">
        <v>4407</v>
      </c>
      <c r="F8817" s="15" t="s">
        <v>1578</v>
      </c>
      <c r="G8817" s="7">
        <v>158.066</v>
      </c>
      <c r="H8817" s="15">
        <v>39.0</v>
      </c>
      <c r="I8817" s="15" t="s">
        <v>1586</v>
      </c>
      <c r="J8817" s="15" t="s">
        <v>31258</v>
      </c>
      <c r="K8817" s="15">
        <v>10.0</v>
      </c>
      <c r="L8817" s="15">
        <v>261.0</v>
      </c>
      <c r="M8817" s="41">
        <v>42658.0</v>
      </c>
      <c r="N8817" s="40">
        <v>42914.0</v>
      </c>
      <c r="O8817" s="15" t="s">
        <v>1554</v>
      </c>
      <c r="Q8817" s="7"/>
    </row>
    <row r="8818">
      <c r="A8818" s="39" t="s">
        <v>31259</v>
      </c>
      <c r="B8818" s="15">
        <v>1903259.0</v>
      </c>
      <c r="D8818" s="15">
        <v>0.0</v>
      </c>
      <c r="E8818" s="15" t="s">
        <v>4407</v>
      </c>
      <c r="F8818" s="15" t="s">
        <v>1578</v>
      </c>
      <c r="G8818" s="7">
        <v>48.157</v>
      </c>
      <c r="H8818" s="15" t="s">
        <v>4108</v>
      </c>
      <c r="I8818" s="15" t="s">
        <v>1586</v>
      </c>
      <c r="J8818" s="15" t="s">
        <v>31260</v>
      </c>
      <c r="K8818" s="15">
        <v>3.0</v>
      </c>
      <c r="L8818" s="15">
        <v>58.0</v>
      </c>
      <c r="M8818" s="41">
        <v>42658.0</v>
      </c>
      <c r="N8818" s="40">
        <v>42914.0</v>
      </c>
      <c r="O8818" s="15" t="s">
        <v>1554</v>
      </c>
      <c r="Q8818" s="7"/>
    </row>
    <row r="8819">
      <c r="A8819" s="39" t="s">
        <v>31261</v>
      </c>
      <c r="B8819" s="15">
        <v>1903260.0</v>
      </c>
      <c r="D8819" s="15">
        <v>0.0</v>
      </c>
      <c r="E8819" s="15" t="s">
        <v>4407</v>
      </c>
      <c r="F8819" s="15" t="s">
        <v>1578</v>
      </c>
      <c r="G8819" s="7">
        <v>34.713</v>
      </c>
      <c r="H8819" s="15">
        <v>46.0</v>
      </c>
      <c r="I8819" s="15" t="s">
        <v>1586</v>
      </c>
      <c r="J8819" s="15" t="s">
        <v>31263</v>
      </c>
      <c r="K8819" s="15" t="s">
        <v>1722</v>
      </c>
      <c r="L8819" s="15">
        <v>49.0</v>
      </c>
      <c r="M8819" s="41">
        <v>42658.0</v>
      </c>
      <c r="N8819" s="40">
        <v>42914.0</v>
      </c>
      <c r="O8819" s="15" t="s">
        <v>1554</v>
      </c>
      <c r="Q8819" s="7"/>
    </row>
    <row r="8820">
      <c r="A8820" s="39" t="s">
        <v>31264</v>
      </c>
      <c r="B8820" s="15">
        <v>1912325.0</v>
      </c>
      <c r="D8820" s="15">
        <v>0.0</v>
      </c>
      <c r="E8820" s="15" t="s">
        <v>1808</v>
      </c>
      <c r="F8820" s="15" t="s">
        <v>2969</v>
      </c>
      <c r="G8820" s="7">
        <v>7.079</v>
      </c>
      <c r="H8820" s="15" t="s">
        <v>3538</v>
      </c>
      <c r="I8820" s="15" t="s">
        <v>1586</v>
      </c>
      <c r="J8820" s="15" t="s">
        <v>31265</v>
      </c>
      <c r="K8820" s="15">
        <v>11.0</v>
      </c>
      <c r="L8820" s="15">
        <v>11.0</v>
      </c>
      <c r="M8820" s="40">
        <v>42864.0</v>
      </c>
      <c r="N8820" s="40">
        <v>42864.0</v>
      </c>
      <c r="O8820" s="15" t="s">
        <v>1554</v>
      </c>
      <c r="Q8820" s="7"/>
    </row>
    <row r="8821">
      <c r="A8821" s="39" t="s">
        <v>31266</v>
      </c>
      <c r="B8821" s="15">
        <v>1912326.0</v>
      </c>
      <c r="D8821" s="15">
        <v>0.0</v>
      </c>
      <c r="E8821" s="15" t="s">
        <v>1808</v>
      </c>
      <c r="F8821" s="15" t="s">
        <v>2969</v>
      </c>
      <c r="G8821" s="7">
        <v>21.012</v>
      </c>
      <c r="H8821" s="15" t="s">
        <v>2660</v>
      </c>
      <c r="I8821" s="15" t="s">
        <v>1586</v>
      </c>
      <c r="J8821" s="15" t="s">
        <v>31267</v>
      </c>
      <c r="K8821" s="15">
        <v>34.0</v>
      </c>
      <c r="L8821" s="15">
        <v>34.0</v>
      </c>
      <c r="M8821" s="40">
        <v>42864.0</v>
      </c>
      <c r="N8821" s="40">
        <v>42864.0</v>
      </c>
      <c r="O8821" s="15" t="s">
        <v>1554</v>
      </c>
      <c r="Q8821" s="7"/>
    </row>
    <row r="8822">
      <c r="A8822" s="39" t="s">
        <v>31269</v>
      </c>
      <c r="B8822" s="15">
        <v>1912327.0</v>
      </c>
      <c r="D8822" s="15">
        <v>0.0</v>
      </c>
      <c r="E8822" s="15" t="s">
        <v>1808</v>
      </c>
      <c r="F8822" s="15" t="s">
        <v>2969</v>
      </c>
      <c r="G8822" s="7">
        <v>13.327</v>
      </c>
      <c r="H8822" s="15" t="s">
        <v>1551</v>
      </c>
      <c r="I8822" s="15" t="s">
        <v>1586</v>
      </c>
      <c r="J8822" s="15" t="s">
        <v>31270</v>
      </c>
      <c r="K8822" s="15">
        <v>24.0</v>
      </c>
      <c r="L8822" s="15">
        <v>23.0</v>
      </c>
      <c r="M8822" s="40">
        <v>42864.0</v>
      </c>
      <c r="N8822" s="40">
        <v>42864.0</v>
      </c>
      <c r="O8822" s="15" t="s">
        <v>1554</v>
      </c>
      <c r="Q8822" s="7"/>
    </row>
    <row r="8823">
      <c r="A8823" s="39" t="s">
        <v>31271</v>
      </c>
      <c r="B8823" s="15">
        <v>1920526.0</v>
      </c>
      <c r="D8823" s="15">
        <v>0.0</v>
      </c>
      <c r="E8823" s="15" t="s">
        <v>4407</v>
      </c>
      <c r="F8823" s="15" t="s">
        <v>1578</v>
      </c>
      <c r="G8823" s="7">
        <v>99.517</v>
      </c>
      <c r="H8823" s="15" t="s">
        <v>2023</v>
      </c>
      <c r="I8823" s="15" t="s">
        <v>1586</v>
      </c>
      <c r="J8823" s="15" t="s">
        <v>31272</v>
      </c>
      <c r="K8823" s="15" t="s">
        <v>1722</v>
      </c>
      <c r="L8823" s="15">
        <v>52.0</v>
      </c>
      <c r="M8823" s="40">
        <v>42818.0</v>
      </c>
      <c r="N8823" s="40">
        <v>42913.0</v>
      </c>
      <c r="O8823" s="15" t="s">
        <v>1554</v>
      </c>
      <c r="Q8823" s="7"/>
    </row>
    <row r="8824">
      <c r="A8824" s="39" t="s">
        <v>31274</v>
      </c>
      <c r="B8824" s="15">
        <v>1034139.0</v>
      </c>
      <c r="D8824" s="15">
        <v>0.0</v>
      </c>
      <c r="E8824" s="15" t="s">
        <v>1557</v>
      </c>
      <c r="F8824" s="15" t="s">
        <v>1833</v>
      </c>
      <c r="G8824" s="7">
        <v>65.1</v>
      </c>
      <c r="H8824" s="15" t="s">
        <v>2831</v>
      </c>
      <c r="I8824" s="15" t="s">
        <v>1586</v>
      </c>
      <c r="J8824" s="15" t="s">
        <v>31275</v>
      </c>
      <c r="K8824" s="15">
        <v>107.0</v>
      </c>
      <c r="L8824" s="15">
        <v>107.0</v>
      </c>
      <c r="M8824" s="40">
        <v>40740.0</v>
      </c>
      <c r="N8824" s="40">
        <v>40942.0</v>
      </c>
      <c r="O8824" s="15" t="s">
        <v>1554</v>
      </c>
      <c r="Q8824" s="7"/>
    </row>
    <row r="8825">
      <c r="A8825" s="39" t="s">
        <v>31276</v>
      </c>
      <c r="B8825" s="15">
        <v>1034146.0</v>
      </c>
      <c r="D8825" s="15">
        <v>0.0</v>
      </c>
      <c r="E8825" s="15" t="s">
        <v>1557</v>
      </c>
      <c r="F8825" s="15" t="s">
        <v>1833</v>
      </c>
      <c r="G8825" s="7">
        <v>71.547</v>
      </c>
      <c r="H8825" s="15">
        <v>56.0</v>
      </c>
      <c r="I8825" s="15" t="s">
        <v>1586</v>
      </c>
      <c r="J8825" s="15" t="s">
        <v>31277</v>
      </c>
      <c r="K8825" s="15">
        <v>98.0</v>
      </c>
      <c r="L8825" s="15">
        <v>98.0</v>
      </c>
      <c r="M8825" s="40">
        <v>40741.0</v>
      </c>
      <c r="N8825" s="40">
        <v>40942.0</v>
      </c>
      <c r="O8825" s="15" t="s">
        <v>1554</v>
      </c>
      <c r="Q8825" s="7"/>
    </row>
    <row r="8826">
      <c r="A8826" s="39" t="s">
        <v>31279</v>
      </c>
      <c r="B8826" s="15">
        <v>1034130.0</v>
      </c>
      <c r="D8826" s="15">
        <v>0.0</v>
      </c>
      <c r="E8826" s="15" t="s">
        <v>1557</v>
      </c>
      <c r="F8826" s="15" t="s">
        <v>1833</v>
      </c>
      <c r="G8826" s="7">
        <v>70.428</v>
      </c>
      <c r="H8826" s="15" t="s">
        <v>8937</v>
      </c>
      <c r="I8826" s="15" t="s">
        <v>1586</v>
      </c>
      <c r="J8826" s="15" t="s">
        <v>31280</v>
      </c>
      <c r="K8826" s="15">
        <v>100.0</v>
      </c>
      <c r="L8826" s="15">
        <v>100.0</v>
      </c>
      <c r="M8826" s="40">
        <v>40740.0</v>
      </c>
      <c r="N8826" s="40">
        <v>40942.0</v>
      </c>
      <c r="O8826" s="15" t="s">
        <v>1554</v>
      </c>
      <c r="Q8826" s="7"/>
    </row>
    <row r="8827">
      <c r="A8827" s="39" t="s">
        <v>31281</v>
      </c>
      <c r="B8827" s="15">
        <v>1034151.0</v>
      </c>
      <c r="D8827" s="15">
        <v>0.0</v>
      </c>
      <c r="E8827" s="15" t="s">
        <v>1557</v>
      </c>
      <c r="F8827" s="15" t="s">
        <v>1833</v>
      </c>
      <c r="G8827" s="7">
        <v>71.092</v>
      </c>
      <c r="H8827" s="15" t="s">
        <v>13987</v>
      </c>
      <c r="I8827" s="15" t="s">
        <v>1586</v>
      </c>
      <c r="J8827" s="15" t="s">
        <v>31283</v>
      </c>
      <c r="K8827" s="15">
        <v>95.0</v>
      </c>
      <c r="L8827" s="15">
        <v>95.0</v>
      </c>
      <c r="M8827" s="40">
        <v>40740.0</v>
      </c>
      <c r="N8827" s="40">
        <v>40942.0</v>
      </c>
      <c r="O8827" s="15" t="s">
        <v>1554</v>
      </c>
      <c r="Q8827" s="7"/>
    </row>
    <row r="8828">
      <c r="A8828" s="39" t="s">
        <v>31284</v>
      </c>
      <c r="B8828" s="15">
        <v>1034144.0</v>
      </c>
      <c r="D8828" s="15">
        <v>0.0</v>
      </c>
      <c r="E8828" s="15" t="s">
        <v>1557</v>
      </c>
      <c r="F8828" s="15" t="s">
        <v>1833</v>
      </c>
      <c r="G8828" s="7">
        <v>47.78</v>
      </c>
      <c r="H8828" s="15" t="s">
        <v>3685</v>
      </c>
      <c r="I8828" s="15" t="s">
        <v>1586</v>
      </c>
      <c r="J8828" s="15" t="s">
        <v>31285</v>
      </c>
      <c r="K8828" s="15">
        <v>79.0</v>
      </c>
      <c r="L8828" s="15">
        <v>78.0</v>
      </c>
      <c r="M8828" s="40">
        <v>40741.0</v>
      </c>
      <c r="N8828" s="40">
        <v>40942.0</v>
      </c>
      <c r="O8828" s="15" t="s">
        <v>1554</v>
      </c>
      <c r="Q8828" s="7"/>
    </row>
    <row r="8829">
      <c r="A8829" s="39" t="s">
        <v>31286</v>
      </c>
      <c r="B8829" s="15">
        <v>314021.0</v>
      </c>
      <c r="D8829" s="15">
        <v>0.0</v>
      </c>
      <c r="E8829" s="15" t="s">
        <v>1557</v>
      </c>
      <c r="F8829" s="15" t="s">
        <v>1833</v>
      </c>
      <c r="G8829" s="7">
        <v>42.073</v>
      </c>
      <c r="H8829" s="15" t="s">
        <v>4287</v>
      </c>
      <c r="I8829" s="15" t="s">
        <v>1586</v>
      </c>
      <c r="J8829" s="15" t="s">
        <v>31287</v>
      </c>
      <c r="K8829" s="15" t="s">
        <v>1722</v>
      </c>
      <c r="L8829" s="15">
        <v>58.0</v>
      </c>
      <c r="M8829" s="40">
        <v>40360.0</v>
      </c>
      <c r="N8829" s="41">
        <v>41600.0</v>
      </c>
      <c r="O8829" s="15" t="s">
        <v>1554</v>
      </c>
      <c r="Q8829" s="7"/>
    </row>
    <row r="8830">
      <c r="A8830" s="39" t="s">
        <v>31288</v>
      </c>
      <c r="B8830" s="15">
        <v>743964.0</v>
      </c>
      <c r="D8830" s="15">
        <v>0.0</v>
      </c>
      <c r="E8830" s="15" t="s">
        <v>4407</v>
      </c>
      <c r="F8830" s="15" t="s">
        <v>1578</v>
      </c>
      <c r="G8830" s="7">
        <v>40.36</v>
      </c>
      <c r="H8830" s="15" t="s">
        <v>4467</v>
      </c>
      <c r="I8830" s="15" t="s">
        <v>1586</v>
      </c>
      <c r="J8830" s="15" t="s">
        <v>31290</v>
      </c>
      <c r="K8830" s="15">
        <v>61.0</v>
      </c>
      <c r="L8830" s="15">
        <v>61.0</v>
      </c>
      <c r="M8830" s="40">
        <v>41060.0</v>
      </c>
      <c r="N8830" s="40">
        <v>41060.0</v>
      </c>
      <c r="O8830" s="15" t="s">
        <v>1554</v>
      </c>
      <c r="Q8830" s="7"/>
    </row>
    <row r="8831">
      <c r="A8831" s="39" t="s">
        <v>31291</v>
      </c>
      <c r="B8831" s="15">
        <v>861448.0</v>
      </c>
      <c r="D8831" s="15">
        <v>0.0</v>
      </c>
      <c r="E8831" s="15" t="s">
        <v>4407</v>
      </c>
      <c r="F8831" s="15" t="s">
        <v>1578</v>
      </c>
      <c r="G8831" s="7">
        <v>63.748</v>
      </c>
      <c r="H8831" s="15" t="s">
        <v>3000</v>
      </c>
      <c r="I8831" s="15" t="s">
        <v>1586</v>
      </c>
      <c r="J8831" s="15" t="s">
        <v>31292</v>
      </c>
      <c r="K8831" s="15">
        <v>9.0</v>
      </c>
      <c r="L8831" s="15">
        <v>66.0</v>
      </c>
      <c r="M8831" s="40">
        <v>40517.0</v>
      </c>
      <c r="N8831" s="40">
        <v>40567.0</v>
      </c>
      <c r="O8831" s="15" t="s">
        <v>1554</v>
      </c>
      <c r="Q8831" s="7"/>
    </row>
    <row r="8832">
      <c r="A8832" s="39" t="s">
        <v>31293</v>
      </c>
      <c r="B8832" s="15">
        <v>947066.0</v>
      </c>
      <c r="D8832" s="15">
        <v>0.0</v>
      </c>
      <c r="E8832" s="15" t="s">
        <v>1557</v>
      </c>
      <c r="F8832" s="15" t="s">
        <v>1833</v>
      </c>
      <c r="G8832" s="7">
        <v>41.882</v>
      </c>
      <c r="H8832" s="15" t="s">
        <v>4553</v>
      </c>
      <c r="I8832" s="15" t="s">
        <v>1586</v>
      </c>
      <c r="J8832" s="15" t="s">
        <v>31295</v>
      </c>
      <c r="K8832" s="15" t="s">
        <v>1722</v>
      </c>
      <c r="L8832" s="15">
        <v>53.0</v>
      </c>
      <c r="M8832" s="40">
        <v>40569.0</v>
      </c>
      <c r="N8832" s="40">
        <v>40638.0</v>
      </c>
      <c r="O8832" s="15" t="s">
        <v>1554</v>
      </c>
      <c r="Q8832" s="7"/>
    </row>
    <row r="8833">
      <c r="A8833" s="39" t="s">
        <v>31296</v>
      </c>
      <c r="B8833" s="15">
        <v>949124.0</v>
      </c>
      <c r="D8833" s="15">
        <v>0.0</v>
      </c>
      <c r="E8833" s="15" t="s">
        <v>4407</v>
      </c>
      <c r="F8833" s="15" t="s">
        <v>1578</v>
      </c>
      <c r="G8833" s="7">
        <v>66.81</v>
      </c>
      <c r="H8833" s="15" t="s">
        <v>3260</v>
      </c>
      <c r="I8833" s="15" t="s">
        <v>1586</v>
      </c>
      <c r="J8833" s="15" t="s">
        <v>31297</v>
      </c>
      <c r="K8833" s="15" t="s">
        <v>1722</v>
      </c>
      <c r="L8833" s="15">
        <v>63.0</v>
      </c>
      <c r="M8833" s="40">
        <v>40583.0</v>
      </c>
      <c r="N8833" s="40">
        <v>40630.0</v>
      </c>
      <c r="O8833" s="15" t="s">
        <v>1554</v>
      </c>
      <c r="Q8833" s="7"/>
    </row>
    <row r="8834">
      <c r="A8834" s="39" t="s">
        <v>31298</v>
      </c>
      <c r="B8834" s="15">
        <v>949125.0</v>
      </c>
      <c r="D8834" s="15">
        <v>0.0</v>
      </c>
      <c r="E8834" s="15" t="s">
        <v>4407</v>
      </c>
      <c r="F8834" s="15" t="s">
        <v>1578</v>
      </c>
      <c r="G8834" s="7">
        <v>40.003</v>
      </c>
      <c r="H8834" s="15" t="s">
        <v>3550</v>
      </c>
      <c r="I8834" s="15" t="s">
        <v>1586</v>
      </c>
      <c r="J8834" s="15" t="s">
        <v>31299</v>
      </c>
      <c r="K8834" s="15" t="s">
        <v>1722</v>
      </c>
      <c r="L8834" s="15" t="s">
        <v>1722</v>
      </c>
      <c r="M8834" s="40">
        <v>40583.0</v>
      </c>
      <c r="N8834" s="40">
        <v>40630.0</v>
      </c>
      <c r="O8834" s="15" t="s">
        <v>2353</v>
      </c>
      <c r="Q8834" s="7"/>
    </row>
    <row r="8835">
      <c r="A8835" s="39" t="s">
        <v>31300</v>
      </c>
      <c r="B8835" s="15">
        <v>949126.0</v>
      </c>
      <c r="D8835" s="15">
        <v>0.0</v>
      </c>
      <c r="E8835" s="15" t="s">
        <v>4407</v>
      </c>
      <c r="F8835" s="15" t="s">
        <v>1578</v>
      </c>
      <c r="G8835" s="7">
        <v>21.272</v>
      </c>
      <c r="H8835" s="15" t="s">
        <v>6303</v>
      </c>
      <c r="I8835" s="15" t="s">
        <v>1586</v>
      </c>
      <c r="J8835" s="15" t="s">
        <v>31302</v>
      </c>
      <c r="K8835" s="15" t="s">
        <v>1722</v>
      </c>
      <c r="L8835" s="15" t="s">
        <v>1722</v>
      </c>
      <c r="M8835" s="40">
        <v>40583.0</v>
      </c>
      <c r="N8835" s="40">
        <v>40630.0</v>
      </c>
      <c r="O8835" s="15" t="s">
        <v>1554</v>
      </c>
      <c r="Q8835" s="7"/>
    </row>
    <row r="8836">
      <c r="A8836" s="39" t="s">
        <v>31303</v>
      </c>
      <c r="B8836" s="15">
        <v>1089123.0</v>
      </c>
      <c r="D8836" s="15">
        <v>0.0</v>
      </c>
      <c r="E8836" s="15" t="s">
        <v>1557</v>
      </c>
      <c r="F8836" s="15" t="s">
        <v>1833</v>
      </c>
      <c r="G8836" s="7">
        <v>67.451</v>
      </c>
      <c r="H8836" s="15">
        <v>69.0</v>
      </c>
      <c r="I8836" s="15" t="s">
        <v>1586</v>
      </c>
      <c r="J8836" s="15" t="s">
        <v>31304</v>
      </c>
      <c r="K8836" s="15">
        <v>92.0</v>
      </c>
      <c r="L8836" s="15">
        <v>92.0</v>
      </c>
      <c r="M8836" s="40">
        <v>40853.0</v>
      </c>
      <c r="N8836" s="40">
        <v>40942.0</v>
      </c>
      <c r="O8836" s="15" t="s">
        <v>1554</v>
      </c>
      <c r="Q8836" s="7"/>
    </row>
    <row r="8837">
      <c r="A8837" s="39" t="s">
        <v>31305</v>
      </c>
      <c r="B8837" s="15">
        <v>1818107.0</v>
      </c>
      <c r="D8837" s="15">
        <v>0.0</v>
      </c>
      <c r="E8837" s="15" t="s">
        <v>1557</v>
      </c>
      <c r="F8837" s="15" t="s">
        <v>1833</v>
      </c>
      <c r="G8837" s="7">
        <v>68.327</v>
      </c>
      <c r="H8837" s="15" t="s">
        <v>4308</v>
      </c>
      <c r="I8837" s="15" t="s">
        <v>1586</v>
      </c>
      <c r="J8837" s="15" t="s">
        <v>31306</v>
      </c>
      <c r="K8837" s="15">
        <v>96.0</v>
      </c>
      <c r="L8837" s="15">
        <v>96.0</v>
      </c>
      <c r="M8837" s="40">
        <v>42463.0</v>
      </c>
      <c r="N8837" s="40">
        <v>42463.0</v>
      </c>
      <c r="O8837" s="15" t="s">
        <v>1554</v>
      </c>
      <c r="Q8837" s="7"/>
    </row>
    <row r="8838">
      <c r="A8838" s="39" t="s">
        <v>31307</v>
      </c>
      <c r="B8838" s="15">
        <v>1235694.0</v>
      </c>
      <c r="D8838" s="15">
        <v>0.0</v>
      </c>
      <c r="E8838" s="15" t="s">
        <v>1557</v>
      </c>
      <c r="F8838" s="15" t="s">
        <v>1833</v>
      </c>
      <c r="G8838" s="7">
        <v>68.884</v>
      </c>
      <c r="H8838" s="15" t="s">
        <v>4308</v>
      </c>
      <c r="I8838" s="15" t="s">
        <v>1586</v>
      </c>
      <c r="J8838" s="15" t="s">
        <v>31308</v>
      </c>
      <c r="K8838" s="15">
        <v>104.0</v>
      </c>
      <c r="L8838" s="15">
        <v>104.0</v>
      </c>
      <c r="M8838" s="40">
        <v>41290.0</v>
      </c>
      <c r="N8838" s="40">
        <v>42865.0</v>
      </c>
      <c r="O8838" s="15" t="s">
        <v>1554</v>
      </c>
      <c r="Q8838" s="7"/>
    </row>
    <row r="8839">
      <c r="A8839" s="39" t="s">
        <v>31310</v>
      </c>
      <c r="B8839" s="15">
        <v>172315.0</v>
      </c>
      <c r="C8839" s="15" t="s">
        <v>31311</v>
      </c>
      <c r="D8839" s="15">
        <v>15401.0</v>
      </c>
      <c r="E8839" s="15" t="s">
        <v>1548</v>
      </c>
      <c r="F8839" s="15" t="s">
        <v>1776</v>
      </c>
      <c r="G8839" s="7">
        <v>7.59</v>
      </c>
      <c r="H8839" s="15" t="s">
        <v>2163</v>
      </c>
      <c r="I8839" s="15" t="s">
        <v>1686</v>
      </c>
      <c r="J8839" s="15" t="s">
        <v>31312</v>
      </c>
      <c r="K8839" s="15">
        <v>1.0</v>
      </c>
      <c r="L8839" s="15">
        <v>1.0</v>
      </c>
      <c r="M8839" s="40">
        <v>37409.0</v>
      </c>
      <c r="N8839" s="40">
        <v>42045.0</v>
      </c>
      <c r="O8839" s="15" t="s">
        <v>1554</v>
      </c>
      <c r="Q8839" s="7"/>
    </row>
    <row r="8840">
      <c r="A8840" s="39" t="s">
        <v>31313</v>
      </c>
      <c r="B8840" s="15">
        <v>39085.0</v>
      </c>
      <c r="C8840" s="15" t="s">
        <v>31314</v>
      </c>
      <c r="D8840" s="15">
        <v>15357.0</v>
      </c>
      <c r="E8840" s="15" t="s">
        <v>1548</v>
      </c>
      <c r="F8840" s="15" t="s">
        <v>1776</v>
      </c>
      <c r="G8840" s="7">
        <v>7.348</v>
      </c>
      <c r="H8840" s="15" t="s">
        <v>6418</v>
      </c>
      <c r="I8840" s="15" t="s">
        <v>1686</v>
      </c>
      <c r="J8840" s="15" t="s">
        <v>31315</v>
      </c>
      <c r="K8840" s="15">
        <v>1.0</v>
      </c>
      <c r="L8840" s="15">
        <v>1.0</v>
      </c>
      <c r="M8840" s="40">
        <v>35940.0</v>
      </c>
      <c r="N8840" s="40">
        <v>42045.0</v>
      </c>
      <c r="O8840" s="15" t="s">
        <v>1554</v>
      </c>
      <c r="Q8840" s="7"/>
    </row>
    <row r="8841">
      <c r="A8841" s="39" t="s">
        <v>31317</v>
      </c>
      <c r="B8841" s="15">
        <v>857277.0</v>
      </c>
      <c r="D8841" s="15">
        <v>0.0</v>
      </c>
      <c r="E8841" s="15" t="s">
        <v>1557</v>
      </c>
      <c r="F8841" s="15" t="s">
        <v>1767</v>
      </c>
      <c r="G8841" s="7">
        <v>168.92</v>
      </c>
      <c r="H8841" s="15" t="s">
        <v>3361</v>
      </c>
      <c r="I8841" s="15" t="s">
        <v>1586</v>
      </c>
      <c r="J8841" s="15" t="s">
        <v>31318</v>
      </c>
      <c r="K8841" s="15">
        <v>290.0</v>
      </c>
      <c r="L8841" s="15">
        <v>280.0</v>
      </c>
      <c r="M8841" s="40">
        <v>40362.0</v>
      </c>
      <c r="N8841" s="41">
        <v>40492.0</v>
      </c>
      <c r="O8841" s="15" t="s">
        <v>1554</v>
      </c>
      <c r="Q8841" s="7"/>
    </row>
    <row r="8842">
      <c r="A8842" s="39" t="s">
        <v>31319</v>
      </c>
      <c r="B8842" s="15">
        <v>2050584.0</v>
      </c>
      <c r="C8842" s="15" t="s">
        <v>31320</v>
      </c>
      <c r="D8842" s="15">
        <v>169555.0</v>
      </c>
      <c r="E8842" s="15" t="s">
        <v>1808</v>
      </c>
      <c r="F8842" s="15" t="s">
        <v>1809</v>
      </c>
      <c r="G8842" s="7">
        <v>2.741</v>
      </c>
      <c r="H8842" s="15" t="s">
        <v>4401</v>
      </c>
      <c r="I8842" s="15" t="s">
        <v>1628</v>
      </c>
      <c r="J8842" s="15" t="s">
        <v>31322</v>
      </c>
      <c r="K8842" s="15">
        <v>7.0</v>
      </c>
      <c r="L8842" s="15">
        <v>7.0</v>
      </c>
      <c r="M8842" s="40">
        <v>41087.0</v>
      </c>
      <c r="N8842" s="40">
        <v>41368.0</v>
      </c>
      <c r="O8842" s="15" t="s">
        <v>1554</v>
      </c>
      <c r="Q8842" s="7"/>
    </row>
    <row r="8843">
      <c r="A8843" s="39" t="s">
        <v>31323</v>
      </c>
      <c r="B8843" s="15">
        <v>2050037.0</v>
      </c>
      <c r="C8843" s="15" t="s">
        <v>31324</v>
      </c>
      <c r="D8843" s="15">
        <v>195535.0</v>
      </c>
      <c r="E8843" s="15" t="s">
        <v>1916</v>
      </c>
      <c r="F8843" s="15" t="s">
        <v>3423</v>
      </c>
      <c r="G8843" s="7">
        <v>3.23</v>
      </c>
      <c r="H8843" s="15" t="s">
        <v>1802</v>
      </c>
      <c r="I8843" s="15" t="s">
        <v>1686</v>
      </c>
      <c r="J8843" s="15" t="s">
        <v>31325</v>
      </c>
      <c r="K8843" s="15">
        <v>4.0</v>
      </c>
      <c r="L8843" s="15">
        <v>4.0</v>
      </c>
      <c r="M8843" s="40">
        <v>41351.0</v>
      </c>
      <c r="N8843" s="40">
        <v>41378.0</v>
      </c>
      <c r="O8843" s="15" t="s">
        <v>1554</v>
      </c>
      <c r="Q8843" s="7"/>
    </row>
    <row r="8844">
      <c r="A8844" s="39" t="s">
        <v>31326</v>
      </c>
      <c r="B8844" s="15">
        <v>2035815.0</v>
      </c>
      <c r="C8844" s="15" t="s">
        <v>31327</v>
      </c>
      <c r="D8844" s="15">
        <v>280292.0</v>
      </c>
      <c r="E8844" s="15" t="s">
        <v>1557</v>
      </c>
      <c r="F8844" s="15" t="s">
        <v>2004</v>
      </c>
      <c r="G8844" s="7">
        <v>5.047</v>
      </c>
      <c r="H8844" s="15" t="s">
        <v>2049</v>
      </c>
      <c r="I8844" s="15" t="s">
        <v>1686</v>
      </c>
      <c r="J8844" s="15" t="s">
        <v>31328</v>
      </c>
      <c r="K8844" s="15">
        <v>4.0</v>
      </c>
      <c r="L8844" s="15">
        <v>4.0</v>
      </c>
      <c r="M8844" s="40">
        <v>42063.0</v>
      </c>
      <c r="N8844" s="40">
        <v>42284.0</v>
      </c>
      <c r="O8844" s="15" t="s">
        <v>1554</v>
      </c>
      <c r="Q8844" s="7"/>
    </row>
    <row r="8845">
      <c r="A8845" s="39" t="s">
        <v>31329</v>
      </c>
      <c r="B8845" s="15">
        <v>1513278.0</v>
      </c>
      <c r="C8845" s="15" t="s">
        <v>31330</v>
      </c>
      <c r="D8845" s="15">
        <v>76343.0</v>
      </c>
      <c r="E8845" s="15" t="s">
        <v>1548</v>
      </c>
      <c r="F8845" s="15" t="s">
        <v>1578</v>
      </c>
      <c r="G8845" s="7">
        <v>14.702</v>
      </c>
      <c r="H8845" s="15" t="s">
        <v>31332</v>
      </c>
      <c r="I8845" s="15" t="s">
        <v>1722</v>
      </c>
      <c r="J8845" s="15" t="s">
        <v>31333</v>
      </c>
      <c r="K8845" s="15">
        <v>8.0</v>
      </c>
      <c r="L8845" s="15">
        <v>8.0</v>
      </c>
      <c r="M8845" s="41">
        <v>40845.0</v>
      </c>
      <c r="N8845" s="41">
        <v>43050.0</v>
      </c>
      <c r="O8845" s="15" t="s">
        <v>1554</v>
      </c>
      <c r="Q8845" s="7"/>
    </row>
    <row r="8846">
      <c r="A8846" s="39" t="s">
        <v>31334</v>
      </c>
      <c r="B8846" s="15">
        <v>2050038.0</v>
      </c>
      <c r="C8846" s="15" t="s">
        <v>31335</v>
      </c>
      <c r="D8846" s="15">
        <v>188548.0</v>
      </c>
      <c r="E8846" s="15" t="s">
        <v>1808</v>
      </c>
      <c r="F8846" s="15" t="s">
        <v>1998</v>
      </c>
      <c r="G8846" s="7">
        <v>1.719</v>
      </c>
      <c r="H8846" s="15" t="s">
        <v>4401</v>
      </c>
      <c r="I8846" s="15" t="s">
        <v>1686</v>
      </c>
      <c r="J8846" s="15" t="s">
        <v>31336</v>
      </c>
      <c r="K8846" s="15">
        <v>4.0</v>
      </c>
      <c r="L8846" s="15">
        <v>4.0</v>
      </c>
      <c r="M8846" s="40">
        <v>41302.0</v>
      </c>
      <c r="N8846" s="40">
        <v>41428.0</v>
      </c>
      <c r="O8846" s="15" t="s">
        <v>1554</v>
      </c>
      <c r="Q8846" s="7"/>
    </row>
    <row r="8847">
      <c r="A8847" s="39" t="s">
        <v>31338</v>
      </c>
      <c r="B8847" s="15">
        <v>1987145.0</v>
      </c>
      <c r="C8847" s="15" t="s">
        <v>31339</v>
      </c>
      <c r="D8847" s="15">
        <v>302023.0</v>
      </c>
      <c r="E8847" s="15" t="s">
        <v>1548</v>
      </c>
      <c r="F8847" s="15" t="s">
        <v>1776</v>
      </c>
      <c r="G8847" s="7">
        <v>7.81</v>
      </c>
      <c r="H8847" s="15" t="s">
        <v>2158</v>
      </c>
      <c r="I8847" s="15" t="s">
        <v>1686</v>
      </c>
      <c r="J8847" s="15" t="s">
        <v>31340</v>
      </c>
      <c r="K8847" s="15">
        <v>1.0</v>
      </c>
      <c r="L8847" s="15">
        <v>1.0</v>
      </c>
      <c r="M8847" s="40">
        <v>42310.0</v>
      </c>
      <c r="N8847" s="41">
        <v>43050.0</v>
      </c>
      <c r="O8847" s="15" t="s">
        <v>1554</v>
      </c>
      <c r="Q8847" s="7"/>
    </row>
    <row r="8848">
      <c r="A8848" s="39" t="s">
        <v>31341</v>
      </c>
      <c r="B8848" s="15">
        <v>1987140.0</v>
      </c>
      <c r="C8848" s="15" t="s">
        <v>31342</v>
      </c>
      <c r="D8848" s="15">
        <v>302024.0</v>
      </c>
      <c r="E8848" s="15" t="s">
        <v>1548</v>
      </c>
      <c r="F8848" s="15" t="s">
        <v>1776</v>
      </c>
      <c r="G8848" s="7">
        <v>7.656</v>
      </c>
      <c r="H8848" s="15" t="s">
        <v>6583</v>
      </c>
      <c r="I8848" s="15" t="s">
        <v>1686</v>
      </c>
      <c r="J8848" s="15" t="s">
        <v>31343</v>
      </c>
      <c r="K8848" s="15">
        <v>1.0</v>
      </c>
      <c r="L8848" s="15">
        <v>1.0</v>
      </c>
      <c r="M8848" s="40">
        <v>42310.0</v>
      </c>
      <c r="N8848" s="41">
        <v>43050.0</v>
      </c>
      <c r="O8848" s="15" t="s">
        <v>1554</v>
      </c>
      <c r="Q8848" s="7"/>
    </row>
    <row r="8849">
      <c r="A8849" s="39" t="s">
        <v>31345</v>
      </c>
      <c r="B8849" s="15">
        <v>1987144.0</v>
      </c>
      <c r="C8849" s="15" t="s">
        <v>31346</v>
      </c>
      <c r="D8849" s="15">
        <v>302022.0</v>
      </c>
      <c r="E8849" s="15" t="s">
        <v>1548</v>
      </c>
      <c r="F8849" s="15" t="s">
        <v>1776</v>
      </c>
      <c r="G8849" s="7">
        <v>6.929</v>
      </c>
      <c r="H8849" s="15" t="s">
        <v>2752</v>
      </c>
      <c r="I8849" s="15" t="s">
        <v>1686</v>
      </c>
      <c r="J8849" s="15" t="s">
        <v>31347</v>
      </c>
      <c r="K8849" s="15">
        <v>1.0</v>
      </c>
      <c r="L8849" s="15">
        <v>1.0</v>
      </c>
      <c r="M8849" s="40">
        <v>42310.0</v>
      </c>
      <c r="N8849" s="41">
        <v>43050.0</v>
      </c>
      <c r="O8849" s="15" t="s">
        <v>1554</v>
      </c>
      <c r="Q8849" s="7"/>
    </row>
    <row r="8850">
      <c r="A8850" s="39" t="s">
        <v>31348</v>
      </c>
      <c r="B8850" s="15">
        <v>1034136.0</v>
      </c>
      <c r="D8850" s="15">
        <v>0.0</v>
      </c>
      <c r="E8850" s="15" t="s">
        <v>1557</v>
      </c>
      <c r="F8850" s="15" t="s">
        <v>1833</v>
      </c>
      <c r="G8850" s="7">
        <v>50.877</v>
      </c>
      <c r="H8850" s="15">
        <v>64.0</v>
      </c>
      <c r="I8850" s="15" t="s">
        <v>1586</v>
      </c>
      <c r="J8850" s="15" t="s">
        <v>31350</v>
      </c>
      <c r="K8850" s="15">
        <v>88.0</v>
      </c>
      <c r="L8850" s="15">
        <v>85.0</v>
      </c>
      <c r="M8850" s="40">
        <v>40740.0</v>
      </c>
      <c r="N8850" s="40">
        <v>40942.0</v>
      </c>
      <c r="O8850" s="15" t="s">
        <v>1554</v>
      </c>
      <c r="Q8850" s="7"/>
    </row>
    <row r="8851">
      <c r="A8851" s="39" t="s">
        <v>31351</v>
      </c>
      <c r="B8851" s="15">
        <v>1871707.0</v>
      </c>
      <c r="D8851" s="15">
        <v>0.0</v>
      </c>
      <c r="E8851" s="15" t="s">
        <v>1557</v>
      </c>
      <c r="F8851" s="15" t="s">
        <v>1767</v>
      </c>
      <c r="G8851" s="7">
        <v>165.831</v>
      </c>
      <c r="H8851" s="15" t="s">
        <v>6303</v>
      </c>
      <c r="I8851" s="15" t="s">
        <v>1586</v>
      </c>
      <c r="J8851" s="15" t="s">
        <v>31352</v>
      </c>
      <c r="K8851" s="15" t="s">
        <v>1722</v>
      </c>
      <c r="L8851" s="15" t="s">
        <v>1722</v>
      </c>
      <c r="M8851" s="40">
        <v>42567.0</v>
      </c>
      <c r="N8851" s="40">
        <v>42567.0</v>
      </c>
      <c r="O8851" s="15" t="s">
        <v>2353</v>
      </c>
      <c r="Q8851" s="7"/>
    </row>
    <row r="8852">
      <c r="A8852" s="39" t="s">
        <v>31354</v>
      </c>
      <c r="B8852" s="15">
        <v>1871708.0</v>
      </c>
      <c r="D8852" s="15">
        <v>0.0</v>
      </c>
      <c r="E8852" s="15" t="s">
        <v>1557</v>
      </c>
      <c r="F8852" s="15" t="s">
        <v>1767</v>
      </c>
      <c r="G8852" s="7">
        <v>44.911</v>
      </c>
      <c r="H8852" s="15" t="s">
        <v>5391</v>
      </c>
      <c r="I8852" s="15" t="s">
        <v>1586</v>
      </c>
      <c r="J8852" s="15" t="s">
        <v>31355</v>
      </c>
      <c r="K8852" s="15" t="s">
        <v>1722</v>
      </c>
      <c r="L8852" s="15" t="s">
        <v>1722</v>
      </c>
      <c r="M8852" s="40">
        <v>42567.0</v>
      </c>
      <c r="N8852" s="40">
        <v>42567.0</v>
      </c>
      <c r="O8852" s="15" t="s">
        <v>2353</v>
      </c>
      <c r="Q8852" s="7"/>
    </row>
    <row r="8853">
      <c r="A8853" s="39" t="s">
        <v>31356</v>
      </c>
      <c r="B8853" s="15">
        <v>1871709.0</v>
      </c>
      <c r="D8853" s="15">
        <v>0.0</v>
      </c>
      <c r="E8853" s="15" t="s">
        <v>4407</v>
      </c>
      <c r="F8853" s="15" t="s">
        <v>1578</v>
      </c>
      <c r="G8853" s="7">
        <v>160.268</v>
      </c>
      <c r="H8853" s="15" t="s">
        <v>2241</v>
      </c>
      <c r="I8853" s="15" t="s">
        <v>1586</v>
      </c>
      <c r="J8853" s="15" t="s">
        <v>31358</v>
      </c>
      <c r="K8853" s="15" t="s">
        <v>1722</v>
      </c>
      <c r="L8853" s="15" t="s">
        <v>1722</v>
      </c>
      <c r="M8853" s="40">
        <v>42567.0</v>
      </c>
      <c r="N8853" s="40">
        <v>42567.0</v>
      </c>
      <c r="O8853" s="15" t="s">
        <v>2353</v>
      </c>
      <c r="Q8853" s="7"/>
    </row>
    <row r="8854">
      <c r="A8854" s="39" t="s">
        <v>31359</v>
      </c>
      <c r="B8854" s="15">
        <v>1871710.0</v>
      </c>
      <c r="D8854" s="15">
        <v>0.0</v>
      </c>
      <c r="E8854" s="15" t="s">
        <v>4407</v>
      </c>
      <c r="F8854" s="15" t="s">
        <v>1578</v>
      </c>
      <c r="G8854" s="7">
        <v>193.624</v>
      </c>
      <c r="H8854" s="15" t="s">
        <v>1714</v>
      </c>
      <c r="I8854" s="15" t="s">
        <v>1586</v>
      </c>
      <c r="J8854" s="15" t="s">
        <v>31360</v>
      </c>
      <c r="K8854" s="15" t="s">
        <v>1722</v>
      </c>
      <c r="L8854" s="15" t="s">
        <v>1722</v>
      </c>
      <c r="M8854" s="40">
        <v>42567.0</v>
      </c>
      <c r="N8854" s="40">
        <v>42567.0</v>
      </c>
      <c r="O8854" s="15" t="s">
        <v>2353</v>
      </c>
      <c r="Q8854" s="7"/>
    </row>
    <row r="8855">
      <c r="A8855" s="39" t="s">
        <v>31363</v>
      </c>
      <c r="B8855" s="15">
        <v>1871716.0</v>
      </c>
      <c r="D8855" s="15">
        <v>0.0</v>
      </c>
      <c r="E8855" s="15" t="s">
        <v>1557</v>
      </c>
      <c r="F8855" s="15" t="s">
        <v>1767</v>
      </c>
      <c r="G8855" s="7">
        <v>146.203</v>
      </c>
      <c r="H8855" s="15" t="s">
        <v>3082</v>
      </c>
      <c r="I8855" s="15" t="s">
        <v>1586</v>
      </c>
      <c r="J8855" s="15" t="s">
        <v>31364</v>
      </c>
      <c r="K8855" s="15" t="s">
        <v>1722</v>
      </c>
      <c r="L8855" s="15" t="s">
        <v>1722</v>
      </c>
      <c r="M8855" s="40">
        <v>42567.0</v>
      </c>
      <c r="N8855" s="40">
        <v>42567.0</v>
      </c>
      <c r="O8855" s="15" t="s">
        <v>2353</v>
      </c>
      <c r="Q8855" s="7"/>
    </row>
    <row r="8856">
      <c r="A8856" s="39" t="s">
        <v>31365</v>
      </c>
      <c r="B8856" s="15">
        <v>1897515.0</v>
      </c>
      <c r="D8856" s="15">
        <v>0.0</v>
      </c>
      <c r="E8856" s="15" t="s">
        <v>1557</v>
      </c>
      <c r="F8856" s="15" t="s">
        <v>1611</v>
      </c>
      <c r="G8856" s="7">
        <v>45.059</v>
      </c>
      <c r="H8856" s="15" t="s">
        <v>2271</v>
      </c>
      <c r="I8856" s="15" t="s">
        <v>1586</v>
      </c>
      <c r="J8856" s="15" t="s">
        <v>31366</v>
      </c>
      <c r="K8856" s="15" t="s">
        <v>1722</v>
      </c>
      <c r="L8856" s="15" t="s">
        <v>1722</v>
      </c>
      <c r="M8856" s="40">
        <v>42651.0</v>
      </c>
      <c r="N8856" s="40">
        <v>42651.0</v>
      </c>
      <c r="O8856" s="15" t="s">
        <v>2353</v>
      </c>
      <c r="Q8856" s="7"/>
    </row>
    <row r="8857">
      <c r="A8857" s="39" t="s">
        <v>31367</v>
      </c>
      <c r="B8857" s="15">
        <v>1912592.0</v>
      </c>
      <c r="D8857" s="15">
        <v>0.0</v>
      </c>
      <c r="E8857" s="15" t="s">
        <v>4407</v>
      </c>
      <c r="F8857" s="15" t="s">
        <v>1578</v>
      </c>
      <c r="G8857" s="7">
        <v>41.775</v>
      </c>
      <c r="H8857" s="42">
        <v>43281.0</v>
      </c>
      <c r="I8857" s="15" t="s">
        <v>1586</v>
      </c>
      <c r="J8857" s="15" t="s">
        <v>31369</v>
      </c>
      <c r="K8857" s="15" t="s">
        <v>1722</v>
      </c>
      <c r="L8857" s="15" t="s">
        <v>1722</v>
      </c>
      <c r="M8857" s="41">
        <v>42717.0</v>
      </c>
      <c r="N8857" s="41">
        <v>42717.0</v>
      </c>
      <c r="O8857" s="15" t="s">
        <v>2353</v>
      </c>
      <c r="Q8857" s="7"/>
    </row>
    <row r="8858">
      <c r="A8858" s="39" t="s">
        <v>31370</v>
      </c>
      <c r="B8858" s="15">
        <v>1912593.0</v>
      </c>
      <c r="D8858" s="15">
        <v>0.0</v>
      </c>
      <c r="E8858" s="15" t="s">
        <v>4407</v>
      </c>
      <c r="F8858" s="15" t="s">
        <v>1578</v>
      </c>
      <c r="G8858" s="7">
        <v>43.334</v>
      </c>
      <c r="H8858" s="15" t="s">
        <v>2752</v>
      </c>
      <c r="I8858" s="15" t="s">
        <v>1586</v>
      </c>
      <c r="J8858" s="15" t="s">
        <v>31371</v>
      </c>
      <c r="K8858" s="15" t="s">
        <v>1722</v>
      </c>
      <c r="L8858" s="15" t="s">
        <v>1722</v>
      </c>
      <c r="M8858" s="41">
        <v>42717.0</v>
      </c>
      <c r="N8858" s="41">
        <v>42717.0</v>
      </c>
      <c r="O8858" s="15" t="s">
        <v>2353</v>
      </c>
      <c r="Q8858" s="7"/>
    </row>
    <row r="8859">
      <c r="A8859" s="39" t="s">
        <v>31372</v>
      </c>
      <c r="B8859" s="15">
        <v>1916097.0</v>
      </c>
      <c r="D8859" s="15">
        <v>0.0</v>
      </c>
      <c r="E8859" s="15" t="s">
        <v>4407</v>
      </c>
      <c r="F8859" s="15" t="s">
        <v>1578</v>
      </c>
      <c r="G8859" s="7">
        <v>88.973</v>
      </c>
      <c r="H8859" s="15" t="s">
        <v>4401</v>
      </c>
      <c r="I8859" s="15" t="s">
        <v>1586</v>
      </c>
      <c r="J8859" s="15" t="s">
        <v>31373</v>
      </c>
      <c r="K8859" s="15" t="s">
        <v>1722</v>
      </c>
      <c r="L8859" s="15">
        <v>234.0</v>
      </c>
      <c r="M8859" s="41">
        <v>42697.0</v>
      </c>
      <c r="N8859" s="41">
        <v>42697.0</v>
      </c>
      <c r="O8859" s="15" t="s">
        <v>2353</v>
      </c>
      <c r="Q8859" s="7"/>
    </row>
    <row r="8860">
      <c r="A8860" s="39" t="s">
        <v>31374</v>
      </c>
      <c r="B8860" s="15">
        <v>557989.0</v>
      </c>
      <c r="D8860" s="15">
        <v>0.0</v>
      </c>
      <c r="E8860" s="15" t="s">
        <v>4407</v>
      </c>
      <c r="F8860" s="15" t="s">
        <v>1578</v>
      </c>
      <c r="G8860" s="7">
        <v>22.689</v>
      </c>
      <c r="H8860" s="15" t="s">
        <v>10028</v>
      </c>
      <c r="I8860" s="15" t="s">
        <v>1586</v>
      </c>
      <c r="J8860" s="15" t="s">
        <v>31375</v>
      </c>
      <c r="K8860" s="15">
        <v>6.0</v>
      </c>
      <c r="L8860" s="15">
        <v>30.0</v>
      </c>
      <c r="M8860" s="40">
        <v>39704.0</v>
      </c>
      <c r="N8860" s="40">
        <v>42577.0</v>
      </c>
      <c r="O8860" s="15" t="s">
        <v>1554</v>
      </c>
      <c r="Q8860" s="7"/>
    </row>
    <row r="8861">
      <c r="A8861" s="39" t="s">
        <v>31377</v>
      </c>
      <c r="B8861" s="15">
        <v>1401445.0</v>
      </c>
      <c r="C8861" s="15" t="s">
        <v>31378</v>
      </c>
      <c r="D8861" s="15">
        <v>323871.0</v>
      </c>
      <c r="E8861" s="15" t="s">
        <v>1548</v>
      </c>
      <c r="F8861" s="15" t="s">
        <v>4837</v>
      </c>
      <c r="G8861" s="7">
        <v>16.146</v>
      </c>
      <c r="H8861" s="15" t="s">
        <v>3584</v>
      </c>
      <c r="I8861" s="15" t="s">
        <v>1567</v>
      </c>
      <c r="J8861" s="15" t="s">
        <v>31379</v>
      </c>
      <c r="K8861" s="15">
        <v>6.0</v>
      </c>
      <c r="L8861" s="15">
        <v>6.0</v>
      </c>
      <c r="M8861" s="40">
        <v>42511.0</v>
      </c>
      <c r="N8861" s="40">
        <v>42521.0</v>
      </c>
      <c r="O8861" s="15" t="s">
        <v>1554</v>
      </c>
      <c r="Q8861" s="7"/>
    </row>
    <row r="8862">
      <c r="A8862" s="39" t="s">
        <v>31380</v>
      </c>
      <c r="B8862" s="15">
        <v>1647412.0</v>
      </c>
      <c r="D8862" s="15">
        <v>0.0</v>
      </c>
      <c r="E8862" s="15" t="s">
        <v>1557</v>
      </c>
      <c r="F8862" s="15" t="s">
        <v>1767</v>
      </c>
      <c r="G8862" s="7">
        <v>167.552</v>
      </c>
      <c r="H8862" s="15" t="s">
        <v>2103</v>
      </c>
      <c r="I8862" s="15" t="s">
        <v>1586</v>
      </c>
      <c r="J8862" s="15" t="s">
        <v>31381</v>
      </c>
      <c r="K8862" s="15">
        <v>261.0</v>
      </c>
      <c r="L8862" s="15">
        <v>261.0</v>
      </c>
      <c r="M8862" s="40">
        <v>42490.0</v>
      </c>
      <c r="N8862" s="40">
        <v>42490.0</v>
      </c>
      <c r="O8862" s="15" t="s">
        <v>1554</v>
      </c>
      <c r="Q8862" s="7"/>
    </row>
    <row r="8863">
      <c r="A8863" s="39" t="s">
        <v>31383</v>
      </c>
      <c r="B8863" s="15">
        <v>2035999.0</v>
      </c>
      <c r="C8863" s="15" t="s">
        <v>31384</v>
      </c>
      <c r="D8863" s="15">
        <v>185192.0</v>
      </c>
      <c r="E8863" s="15" t="s">
        <v>1557</v>
      </c>
      <c r="F8863" s="15" t="s">
        <v>2004</v>
      </c>
      <c r="G8863" s="7">
        <v>5.176</v>
      </c>
      <c r="H8863" s="15" t="s">
        <v>3070</v>
      </c>
      <c r="I8863" s="15" t="s">
        <v>1686</v>
      </c>
      <c r="J8863" s="15" t="s">
        <v>31385</v>
      </c>
      <c r="K8863" s="15">
        <v>5.0</v>
      </c>
      <c r="L8863" s="15">
        <v>5.0</v>
      </c>
      <c r="M8863" s="41">
        <v>41267.0</v>
      </c>
      <c r="N8863" s="41">
        <v>43038.0</v>
      </c>
      <c r="O8863" s="15" t="s">
        <v>1554</v>
      </c>
      <c r="Q8863" s="7"/>
    </row>
    <row r="8864">
      <c r="A8864" s="39" t="s">
        <v>31386</v>
      </c>
      <c r="B8864" s="15">
        <v>2035998.0</v>
      </c>
      <c r="C8864" s="15" t="s">
        <v>31387</v>
      </c>
      <c r="D8864" s="15">
        <v>185193.0</v>
      </c>
      <c r="E8864" s="15" t="s">
        <v>1557</v>
      </c>
      <c r="F8864" s="15" t="s">
        <v>2004</v>
      </c>
      <c r="G8864" s="7">
        <v>4.914</v>
      </c>
      <c r="H8864" s="15" t="s">
        <v>2049</v>
      </c>
      <c r="I8864" s="15" t="s">
        <v>1686</v>
      </c>
      <c r="J8864" s="15" t="s">
        <v>31388</v>
      </c>
      <c r="K8864" s="15">
        <v>5.0</v>
      </c>
      <c r="L8864" s="15">
        <v>5.0</v>
      </c>
      <c r="M8864" s="41">
        <v>41267.0</v>
      </c>
      <c r="N8864" s="41">
        <v>43038.0</v>
      </c>
      <c r="O8864" s="15" t="s">
        <v>1554</v>
      </c>
      <c r="Q8864" s="7"/>
    </row>
    <row r="8865">
      <c r="A8865" s="39" t="s">
        <v>31389</v>
      </c>
      <c r="B8865" s="15">
        <v>2038728.0</v>
      </c>
      <c r="C8865" s="15" t="s">
        <v>31390</v>
      </c>
      <c r="D8865" s="15">
        <v>243497.0</v>
      </c>
      <c r="E8865" s="15" t="s">
        <v>1808</v>
      </c>
      <c r="F8865" s="15" t="s">
        <v>1998</v>
      </c>
      <c r="G8865" s="7">
        <v>1.79</v>
      </c>
      <c r="H8865" s="15" t="s">
        <v>2552</v>
      </c>
      <c r="I8865" s="15" t="s">
        <v>1686</v>
      </c>
      <c r="J8865" s="15" t="s">
        <v>31391</v>
      </c>
      <c r="K8865" s="15">
        <v>2.0</v>
      </c>
      <c r="L8865" s="15">
        <v>2.0</v>
      </c>
      <c r="M8865" s="40">
        <v>41680.0</v>
      </c>
      <c r="N8865" s="41">
        <v>43038.0</v>
      </c>
      <c r="O8865" s="15" t="s">
        <v>1554</v>
      </c>
      <c r="Q8865" s="7"/>
    </row>
    <row r="8866">
      <c r="A8866" s="39" t="s">
        <v>31393</v>
      </c>
      <c r="B8866" s="15">
        <v>1112578.0</v>
      </c>
      <c r="D8866" s="15">
        <v>0.0</v>
      </c>
      <c r="E8866" s="15" t="s">
        <v>1557</v>
      </c>
      <c r="F8866" s="15" t="s">
        <v>1767</v>
      </c>
      <c r="G8866" s="7">
        <v>168.394</v>
      </c>
      <c r="H8866" s="15" t="s">
        <v>3568</v>
      </c>
      <c r="I8866" s="15" t="s">
        <v>1586</v>
      </c>
      <c r="J8866" s="15" t="s">
        <v>31394</v>
      </c>
      <c r="K8866" s="15">
        <v>283.0</v>
      </c>
      <c r="L8866" s="15">
        <v>271.0</v>
      </c>
      <c r="M8866" s="41">
        <v>41934.0</v>
      </c>
      <c r="N8866" s="40">
        <v>42033.0</v>
      </c>
      <c r="O8866" s="15" t="s">
        <v>1554</v>
      </c>
      <c r="Q8866" s="7"/>
    </row>
    <row r="8867">
      <c r="A8867" s="39" t="s">
        <v>31395</v>
      </c>
      <c r="B8867" s="15">
        <v>2041530.0</v>
      </c>
      <c r="D8867" s="15">
        <v>0.0</v>
      </c>
      <c r="E8867" s="15" t="s">
        <v>1557</v>
      </c>
      <c r="F8867" s="15" t="s">
        <v>1833</v>
      </c>
      <c r="G8867" s="7">
        <v>112.285</v>
      </c>
      <c r="H8867" s="15" t="s">
        <v>4160</v>
      </c>
      <c r="I8867" s="15" t="s">
        <v>1586</v>
      </c>
      <c r="J8867" s="15" t="s">
        <v>31396</v>
      </c>
      <c r="K8867" s="15">
        <v>242.0</v>
      </c>
      <c r="L8867" s="15">
        <v>241.0</v>
      </c>
      <c r="M8867" s="41">
        <v>43036.0</v>
      </c>
      <c r="N8867" s="40">
        <v>43046.0</v>
      </c>
      <c r="O8867" s="15" t="s">
        <v>1554</v>
      </c>
      <c r="Q8867" s="7"/>
    </row>
    <row r="8868">
      <c r="A8868" s="39" t="s">
        <v>31398</v>
      </c>
      <c r="B8868" s="15">
        <v>2041555.0</v>
      </c>
      <c r="D8868" s="15">
        <v>0.0</v>
      </c>
      <c r="E8868" s="15" t="s">
        <v>1557</v>
      </c>
      <c r="F8868" s="15" t="s">
        <v>1833</v>
      </c>
      <c r="G8868" s="7">
        <v>68.682</v>
      </c>
      <c r="H8868" s="15" t="s">
        <v>4308</v>
      </c>
      <c r="I8868" s="15" t="s">
        <v>1586</v>
      </c>
      <c r="J8868" s="15" t="s">
        <v>31399</v>
      </c>
      <c r="K8868" s="15">
        <v>103.0</v>
      </c>
      <c r="L8868" s="15">
        <v>103.0</v>
      </c>
      <c r="M8868" s="41">
        <v>43036.0</v>
      </c>
      <c r="N8868" s="40">
        <v>43046.0</v>
      </c>
      <c r="O8868" s="15" t="s">
        <v>1554</v>
      </c>
      <c r="Q8868" s="7"/>
    </row>
    <row r="8869">
      <c r="A8869" s="39" t="s">
        <v>31400</v>
      </c>
      <c r="B8869" s="15">
        <v>1158721.0</v>
      </c>
      <c r="D8869" s="15">
        <v>0.0</v>
      </c>
      <c r="E8869" s="15" t="s">
        <v>1557</v>
      </c>
      <c r="F8869" s="15" t="s">
        <v>1611</v>
      </c>
      <c r="G8869" s="7">
        <v>44.789</v>
      </c>
      <c r="H8869" s="15">
        <v>52.0</v>
      </c>
      <c r="I8869" s="15" t="s">
        <v>1586</v>
      </c>
      <c r="J8869" s="15" t="s">
        <v>31401</v>
      </c>
      <c r="K8869" s="15">
        <v>71.0</v>
      </c>
      <c r="L8869" s="15">
        <v>68.0</v>
      </c>
      <c r="M8869" s="40">
        <v>40981.0</v>
      </c>
      <c r="N8869" s="40">
        <v>41025.0</v>
      </c>
      <c r="O8869" s="15" t="s">
        <v>1554</v>
      </c>
      <c r="Q8869" s="7"/>
    </row>
    <row r="8870">
      <c r="A8870" s="39" t="s">
        <v>31402</v>
      </c>
      <c r="B8870" s="15">
        <v>1327941.0</v>
      </c>
      <c r="D8870" s="15">
        <v>0.0</v>
      </c>
      <c r="E8870" s="15" t="s">
        <v>1557</v>
      </c>
      <c r="F8870" s="15" t="s">
        <v>1611</v>
      </c>
      <c r="G8870" s="7">
        <v>38.689</v>
      </c>
      <c r="H8870" s="15" t="s">
        <v>3304</v>
      </c>
      <c r="I8870" s="15" t="s">
        <v>1586</v>
      </c>
      <c r="J8870" s="15" t="s">
        <v>31404</v>
      </c>
      <c r="K8870" s="15">
        <v>51.0</v>
      </c>
      <c r="L8870" s="15">
        <v>51.0</v>
      </c>
      <c r="M8870" s="40">
        <v>41520.0</v>
      </c>
      <c r="N8870" s="40">
        <v>41520.0</v>
      </c>
      <c r="O8870" s="15" t="s">
        <v>1554</v>
      </c>
      <c r="Q8870" s="7"/>
    </row>
    <row r="8871">
      <c r="A8871" s="39" t="s">
        <v>31405</v>
      </c>
      <c r="B8871" s="15">
        <v>1327984.0</v>
      </c>
      <c r="D8871" s="15">
        <v>0.0</v>
      </c>
      <c r="E8871" s="15" t="s">
        <v>1557</v>
      </c>
      <c r="F8871" s="15" t="s">
        <v>1833</v>
      </c>
      <c r="G8871" s="7">
        <v>78.275</v>
      </c>
      <c r="H8871" s="15" t="s">
        <v>2215</v>
      </c>
      <c r="I8871" s="15" t="s">
        <v>1586</v>
      </c>
      <c r="J8871" s="15" t="s">
        <v>31407</v>
      </c>
      <c r="K8871" s="15">
        <v>109.0</v>
      </c>
      <c r="L8871" s="15">
        <v>109.0</v>
      </c>
      <c r="M8871" s="40">
        <v>41454.0</v>
      </c>
      <c r="N8871" s="41">
        <v>42369.0</v>
      </c>
      <c r="O8871" s="15" t="s">
        <v>1554</v>
      </c>
      <c r="Q8871" s="7"/>
    </row>
    <row r="8872">
      <c r="A8872" s="39" t="s">
        <v>31408</v>
      </c>
      <c r="B8872" s="15">
        <v>1340809.0</v>
      </c>
      <c r="D8872" s="15">
        <v>0.0</v>
      </c>
      <c r="E8872" s="15" t="s">
        <v>1557</v>
      </c>
      <c r="F8872" s="15" t="s">
        <v>1767</v>
      </c>
      <c r="G8872" s="7">
        <v>132.667</v>
      </c>
      <c r="H8872" s="15">
        <v>26.0</v>
      </c>
      <c r="I8872" s="15" t="s">
        <v>1586</v>
      </c>
      <c r="J8872" s="15" t="s">
        <v>31409</v>
      </c>
      <c r="K8872" s="15" t="s">
        <v>1722</v>
      </c>
      <c r="L8872" s="15">
        <v>147.0</v>
      </c>
      <c r="M8872" s="40">
        <v>41498.0</v>
      </c>
      <c r="N8872" s="40">
        <v>42234.0</v>
      </c>
      <c r="O8872" s="15" t="s">
        <v>1554</v>
      </c>
      <c r="Q8872" s="7"/>
    </row>
    <row r="8873">
      <c r="A8873" s="39" t="s">
        <v>31410</v>
      </c>
      <c r="B8873" s="15">
        <v>1340813.0</v>
      </c>
      <c r="D8873" s="15">
        <v>0.0</v>
      </c>
      <c r="E8873" s="15" t="s">
        <v>1808</v>
      </c>
      <c r="F8873" s="15" t="s">
        <v>3154</v>
      </c>
      <c r="G8873" s="7">
        <v>5.486</v>
      </c>
      <c r="H8873" s="15" t="s">
        <v>8889</v>
      </c>
      <c r="I8873" s="15" t="s">
        <v>1586</v>
      </c>
      <c r="J8873" s="15" t="s">
        <v>31412</v>
      </c>
      <c r="K8873" s="15">
        <v>11.0</v>
      </c>
      <c r="L8873" s="15">
        <v>11.0</v>
      </c>
      <c r="M8873" s="40">
        <v>41498.0</v>
      </c>
      <c r="N8873" s="40">
        <v>41498.0</v>
      </c>
      <c r="O8873" s="15" t="s">
        <v>1554</v>
      </c>
      <c r="Q8873" s="7"/>
    </row>
    <row r="8874">
      <c r="A8874" s="39" t="s">
        <v>31413</v>
      </c>
      <c r="B8874" s="15">
        <v>1470458.0</v>
      </c>
      <c r="D8874" s="15">
        <v>0.0</v>
      </c>
      <c r="E8874" s="15" t="s">
        <v>1557</v>
      </c>
      <c r="F8874" s="15" t="s">
        <v>1578</v>
      </c>
      <c r="G8874" s="7">
        <v>37.94</v>
      </c>
      <c r="H8874" s="42">
        <v>43248.0</v>
      </c>
      <c r="I8874" s="15" t="s">
        <v>1586</v>
      </c>
      <c r="J8874" s="15" t="s">
        <v>31415</v>
      </c>
      <c r="K8874" s="15">
        <v>60.0</v>
      </c>
      <c r="L8874" s="15">
        <v>60.0</v>
      </c>
      <c r="M8874" s="40">
        <v>41731.0</v>
      </c>
      <c r="N8874" s="40">
        <v>41758.0</v>
      </c>
      <c r="O8874" s="15" t="s">
        <v>1554</v>
      </c>
      <c r="Q8874" s="7"/>
    </row>
    <row r="8875">
      <c r="A8875" s="39" t="s">
        <v>31416</v>
      </c>
      <c r="B8875" s="15">
        <v>1470460.0</v>
      </c>
      <c r="D8875" s="15">
        <v>0.0</v>
      </c>
      <c r="E8875" s="15" t="s">
        <v>1557</v>
      </c>
      <c r="F8875" s="15" t="s">
        <v>1578</v>
      </c>
      <c r="G8875" s="7">
        <v>35.417</v>
      </c>
      <c r="H8875" s="42">
        <v>43371.0</v>
      </c>
      <c r="I8875" s="15" t="s">
        <v>1586</v>
      </c>
      <c r="J8875" s="15" t="s">
        <v>31417</v>
      </c>
      <c r="K8875" s="15">
        <v>58.0</v>
      </c>
      <c r="L8875" s="15">
        <v>58.0</v>
      </c>
      <c r="M8875" s="40">
        <v>41731.0</v>
      </c>
      <c r="N8875" s="40">
        <v>41758.0</v>
      </c>
      <c r="O8875" s="15" t="s">
        <v>1554</v>
      </c>
      <c r="Q8875" s="7"/>
    </row>
    <row r="8876">
      <c r="A8876" s="39" t="s">
        <v>31418</v>
      </c>
      <c r="B8876" s="15">
        <v>1471543.0</v>
      </c>
      <c r="D8876" s="15">
        <v>0.0</v>
      </c>
      <c r="E8876" s="15" t="s">
        <v>1557</v>
      </c>
      <c r="F8876" s="15" t="s">
        <v>1833</v>
      </c>
      <c r="G8876" s="7">
        <v>53.746</v>
      </c>
      <c r="H8876" s="15" t="s">
        <v>8725</v>
      </c>
      <c r="I8876" s="15" t="s">
        <v>1586</v>
      </c>
      <c r="J8876" s="15" t="s">
        <v>31420</v>
      </c>
      <c r="K8876" s="15">
        <v>84.0</v>
      </c>
      <c r="L8876" s="15">
        <v>84.0</v>
      </c>
      <c r="M8876" s="40">
        <v>41766.0</v>
      </c>
      <c r="N8876" s="40">
        <v>41766.0</v>
      </c>
      <c r="O8876" s="15" t="s">
        <v>1554</v>
      </c>
      <c r="Q8876" s="7"/>
    </row>
    <row r="8877">
      <c r="A8877" s="39" t="s">
        <v>31421</v>
      </c>
      <c r="B8877" s="15">
        <v>1541890.0</v>
      </c>
      <c r="D8877" s="15">
        <v>0.0</v>
      </c>
      <c r="E8877" s="15" t="s">
        <v>1557</v>
      </c>
      <c r="F8877" s="15" t="s">
        <v>1611</v>
      </c>
      <c r="G8877" s="7">
        <v>72.646</v>
      </c>
      <c r="H8877" s="15" t="s">
        <v>3776</v>
      </c>
      <c r="I8877" s="15" t="s">
        <v>1586</v>
      </c>
      <c r="J8877" s="15" t="s">
        <v>31423</v>
      </c>
      <c r="K8877" s="15" t="s">
        <v>1722</v>
      </c>
      <c r="L8877" s="15">
        <v>92.0</v>
      </c>
      <c r="M8877" s="41">
        <v>41993.0</v>
      </c>
      <c r="N8877" s="41">
        <v>41993.0</v>
      </c>
      <c r="O8877" s="15" t="s">
        <v>1554</v>
      </c>
      <c r="Q8877" s="7"/>
    </row>
    <row r="8878">
      <c r="A8878" s="39" t="s">
        <v>31424</v>
      </c>
      <c r="B8878" s="15">
        <v>1636254.0</v>
      </c>
      <c r="D8878" s="15">
        <v>0.0</v>
      </c>
      <c r="E8878" s="15" t="s">
        <v>1557</v>
      </c>
      <c r="F8878" s="15" t="s">
        <v>1833</v>
      </c>
      <c r="G8878" s="7">
        <v>45.653</v>
      </c>
      <c r="H8878" s="15" t="s">
        <v>2869</v>
      </c>
      <c r="I8878" s="15" t="s">
        <v>1586</v>
      </c>
      <c r="J8878" s="15" t="s">
        <v>31425</v>
      </c>
      <c r="K8878" s="15">
        <v>86.0</v>
      </c>
      <c r="L8878" s="15">
        <v>86.0</v>
      </c>
      <c r="M8878" s="40">
        <v>42240.0</v>
      </c>
      <c r="N8878" s="40">
        <v>42438.0</v>
      </c>
      <c r="O8878" s="15" t="s">
        <v>1554</v>
      </c>
      <c r="Q8878" s="7"/>
    </row>
    <row r="8879">
      <c r="A8879" s="39" t="s">
        <v>31427</v>
      </c>
      <c r="B8879" s="15">
        <v>1695221.0</v>
      </c>
      <c r="D8879" s="15">
        <v>0.0</v>
      </c>
      <c r="E8879" s="15" t="s">
        <v>1557</v>
      </c>
      <c r="F8879" s="15" t="s">
        <v>1833</v>
      </c>
      <c r="G8879" s="7">
        <v>41.768</v>
      </c>
      <c r="H8879" s="15" t="s">
        <v>5042</v>
      </c>
      <c r="I8879" s="15" t="s">
        <v>1586</v>
      </c>
      <c r="J8879" s="15" t="s">
        <v>31428</v>
      </c>
      <c r="K8879" s="15" t="s">
        <v>1722</v>
      </c>
      <c r="L8879" s="15">
        <v>52.0</v>
      </c>
      <c r="M8879" s="40">
        <v>42582.0</v>
      </c>
      <c r="N8879" s="40">
        <v>42582.0</v>
      </c>
      <c r="O8879" s="15" t="s">
        <v>1554</v>
      </c>
      <c r="Q8879" s="7"/>
    </row>
    <row r="8880">
      <c r="A8880" s="39" t="s">
        <v>31430</v>
      </c>
      <c r="B8880" s="15">
        <v>1662333.0</v>
      </c>
      <c r="D8880" s="15">
        <v>0.0</v>
      </c>
      <c r="E8880" s="15" t="s">
        <v>1557</v>
      </c>
      <c r="F8880" s="15" t="s">
        <v>1833</v>
      </c>
      <c r="G8880" s="7">
        <v>35.985</v>
      </c>
      <c r="H8880" s="15" t="s">
        <v>4100</v>
      </c>
      <c r="I8880" s="15" t="s">
        <v>1586</v>
      </c>
      <c r="J8880" s="15" t="s">
        <v>31431</v>
      </c>
      <c r="K8880" s="15">
        <v>44.0</v>
      </c>
      <c r="L8880" s="15">
        <v>44.0</v>
      </c>
      <c r="M8880" s="40">
        <v>42225.0</v>
      </c>
      <c r="N8880" s="40">
        <v>42528.0</v>
      </c>
      <c r="O8880" s="15" t="s">
        <v>1554</v>
      </c>
      <c r="Q8880" s="7"/>
    </row>
    <row r="8881">
      <c r="A8881" s="39" t="s">
        <v>31432</v>
      </c>
      <c r="B8881" s="15">
        <v>1698254.0</v>
      </c>
      <c r="D8881" s="15">
        <v>0.0</v>
      </c>
      <c r="E8881" s="15" t="s">
        <v>1557</v>
      </c>
      <c r="F8881" s="15" t="s">
        <v>1833</v>
      </c>
      <c r="G8881" s="7">
        <v>50.841</v>
      </c>
      <c r="H8881" s="15" t="s">
        <v>12937</v>
      </c>
      <c r="I8881" s="15" t="s">
        <v>1586</v>
      </c>
      <c r="J8881" s="15" t="s">
        <v>31434</v>
      </c>
      <c r="K8881" s="15">
        <v>92.0</v>
      </c>
      <c r="L8881" s="15">
        <v>89.0</v>
      </c>
      <c r="M8881" s="40">
        <v>42239.0</v>
      </c>
      <c r="N8881" s="40">
        <v>42239.0</v>
      </c>
      <c r="O8881" s="15" t="s">
        <v>1554</v>
      </c>
      <c r="Q8881" s="7"/>
    </row>
    <row r="8882">
      <c r="A8882" s="39" t="s">
        <v>31435</v>
      </c>
      <c r="B8882" s="15">
        <v>1747284.0</v>
      </c>
      <c r="D8882" s="15">
        <v>0.0</v>
      </c>
      <c r="E8882" s="15" t="s">
        <v>1557</v>
      </c>
      <c r="F8882" s="15" t="s">
        <v>1611</v>
      </c>
      <c r="G8882" s="7">
        <v>145.865</v>
      </c>
      <c r="H8882" s="15" t="s">
        <v>3022</v>
      </c>
      <c r="I8882" s="15" t="s">
        <v>1586</v>
      </c>
      <c r="J8882" s="15" t="s">
        <v>31436</v>
      </c>
      <c r="K8882" s="15">
        <v>221.0</v>
      </c>
      <c r="L8882" s="15">
        <v>197.0</v>
      </c>
      <c r="M8882" s="41">
        <v>42332.0</v>
      </c>
      <c r="N8882" s="41">
        <v>42332.0</v>
      </c>
      <c r="O8882" s="15" t="s">
        <v>1554</v>
      </c>
      <c r="Q8882" s="7"/>
    </row>
    <row r="8883">
      <c r="A8883" s="39" t="s">
        <v>31437</v>
      </c>
      <c r="B8883" s="15">
        <v>1772328.0</v>
      </c>
      <c r="D8883" s="15">
        <v>0.0</v>
      </c>
      <c r="E8883" s="15" t="s">
        <v>1557</v>
      </c>
      <c r="F8883" s="15" t="s">
        <v>1767</v>
      </c>
      <c r="G8883" s="7">
        <v>70.265</v>
      </c>
      <c r="H8883" s="15" t="s">
        <v>10442</v>
      </c>
      <c r="I8883" s="15" t="s">
        <v>1586</v>
      </c>
      <c r="J8883" s="15" t="s">
        <v>31438</v>
      </c>
      <c r="K8883" s="15">
        <v>112.0</v>
      </c>
      <c r="L8883" s="15">
        <v>112.0</v>
      </c>
      <c r="M8883" s="40">
        <v>42388.0</v>
      </c>
      <c r="N8883" s="40">
        <v>42830.0</v>
      </c>
      <c r="O8883" s="15" t="s">
        <v>1554</v>
      </c>
      <c r="Q8883" s="7"/>
    </row>
    <row r="8884">
      <c r="A8884" s="39" t="s">
        <v>31439</v>
      </c>
      <c r="B8884" s="15">
        <v>1873993.0</v>
      </c>
      <c r="D8884" s="15">
        <v>0.0</v>
      </c>
      <c r="E8884" s="15" t="s">
        <v>1557</v>
      </c>
      <c r="F8884" s="15" t="s">
        <v>1611</v>
      </c>
      <c r="G8884" s="7">
        <v>39.215</v>
      </c>
      <c r="H8884" s="15" t="s">
        <v>1566</v>
      </c>
      <c r="I8884" s="15" t="s">
        <v>1586</v>
      </c>
      <c r="J8884" s="15" t="s">
        <v>31440</v>
      </c>
      <c r="K8884" s="15">
        <v>48.0</v>
      </c>
      <c r="L8884" s="15">
        <v>48.0</v>
      </c>
      <c r="M8884" s="40">
        <v>42590.0</v>
      </c>
      <c r="N8884" s="40">
        <v>42752.0</v>
      </c>
      <c r="O8884" s="15" t="s">
        <v>1554</v>
      </c>
      <c r="Q8884" s="7"/>
    </row>
    <row r="8885">
      <c r="A8885" s="39" t="s">
        <v>31442</v>
      </c>
      <c r="B8885" s="15">
        <v>1852642.0</v>
      </c>
      <c r="D8885" s="15">
        <v>0.0</v>
      </c>
      <c r="E8885" s="15" t="s">
        <v>1557</v>
      </c>
      <c r="F8885" s="15" t="s">
        <v>1611</v>
      </c>
      <c r="G8885" s="7">
        <v>75.448</v>
      </c>
      <c r="H8885" s="15" t="s">
        <v>1572</v>
      </c>
      <c r="I8885" s="15" t="s">
        <v>1586</v>
      </c>
      <c r="J8885" s="15" t="s">
        <v>31443</v>
      </c>
      <c r="K8885" s="15">
        <v>99.0</v>
      </c>
      <c r="L8885" s="15">
        <v>92.0</v>
      </c>
      <c r="M8885" s="40">
        <v>42539.0</v>
      </c>
      <c r="N8885" s="40">
        <v>42906.0</v>
      </c>
      <c r="O8885" s="15" t="s">
        <v>1554</v>
      </c>
      <c r="Q8885" s="7"/>
    </row>
    <row r="8886">
      <c r="A8886" s="39" t="s">
        <v>31444</v>
      </c>
      <c r="B8886" s="15">
        <v>673833.0</v>
      </c>
      <c r="D8886" s="15">
        <v>0.0</v>
      </c>
      <c r="E8886" s="15" t="s">
        <v>1557</v>
      </c>
      <c r="F8886" s="15" t="s">
        <v>1833</v>
      </c>
      <c r="G8886" s="7">
        <v>38.989</v>
      </c>
      <c r="H8886" s="15">
        <v>34.0</v>
      </c>
      <c r="I8886" s="15" t="s">
        <v>1586</v>
      </c>
      <c r="J8886" s="15" t="s">
        <v>31446</v>
      </c>
      <c r="K8886" s="15">
        <v>63.0</v>
      </c>
      <c r="L8886" s="15">
        <v>63.0</v>
      </c>
      <c r="M8886" s="40">
        <v>40155.0</v>
      </c>
      <c r="N8886" s="40">
        <v>40226.0</v>
      </c>
      <c r="O8886" s="15" t="s">
        <v>1554</v>
      </c>
      <c r="Q8886" s="7"/>
    </row>
    <row r="8887">
      <c r="A8887" s="39" t="s">
        <v>31447</v>
      </c>
      <c r="B8887" s="15">
        <v>673834.0</v>
      </c>
      <c r="D8887" s="15">
        <v>0.0</v>
      </c>
      <c r="E8887" s="15" t="s">
        <v>1557</v>
      </c>
      <c r="F8887" s="15" t="s">
        <v>1833</v>
      </c>
      <c r="G8887" s="7">
        <v>38.721</v>
      </c>
      <c r="H8887" s="15">
        <v>34.0</v>
      </c>
      <c r="I8887" s="15" t="s">
        <v>1586</v>
      </c>
      <c r="J8887" s="15" t="s">
        <v>31448</v>
      </c>
      <c r="K8887" s="15">
        <v>74.0</v>
      </c>
      <c r="L8887" s="15">
        <v>74.0</v>
      </c>
      <c r="M8887" s="40">
        <v>40155.0</v>
      </c>
      <c r="N8887" s="40">
        <v>40226.0</v>
      </c>
      <c r="O8887" s="15" t="s">
        <v>1554</v>
      </c>
      <c r="Q8887" s="7"/>
    </row>
    <row r="8888">
      <c r="A8888" s="39" t="s">
        <v>31449</v>
      </c>
      <c r="B8888" s="15">
        <v>1852643.0</v>
      </c>
      <c r="D8888" s="15">
        <v>0.0</v>
      </c>
      <c r="E8888" s="15" t="s">
        <v>1557</v>
      </c>
      <c r="F8888" s="15" t="s">
        <v>1611</v>
      </c>
      <c r="G8888" s="7">
        <v>71.173</v>
      </c>
      <c r="H8888" s="15" t="s">
        <v>1572</v>
      </c>
      <c r="I8888" s="15" t="s">
        <v>1586</v>
      </c>
      <c r="J8888" s="15" t="s">
        <v>31451</v>
      </c>
      <c r="K8888" s="15">
        <v>92.0</v>
      </c>
      <c r="L8888" s="15">
        <v>84.0</v>
      </c>
      <c r="M8888" s="40">
        <v>42539.0</v>
      </c>
      <c r="N8888" s="40">
        <v>42906.0</v>
      </c>
      <c r="O8888" s="15" t="s">
        <v>1554</v>
      </c>
      <c r="Q8888" s="7"/>
    </row>
    <row r="8889">
      <c r="A8889" s="39" t="s">
        <v>31452</v>
      </c>
      <c r="B8889" s="15">
        <v>1874529.0</v>
      </c>
      <c r="D8889" s="15">
        <v>0.0</v>
      </c>
      <c r="E8889" s="15" t="s">
        <v>1557</v>
      </c>
      <c r="F8889" s="15" t="s">
        <v>1611</v>
      </c>
      <c r="G8889" s="7">
        <v>39.167</v>
      </c>
      <c r="H8889" s="15" t="s">
        <v>1566</v>
      </c>
      <c r="I8889" s="15" t="s">
        <v>1586</v>
      </c>
      <c r="J8889" s="15" t="s">
        <v>31453</v>
      </c>
      <c r="K8889" s="15">
        <v>48.0</v>
      </c>
      <c r="L8889" s="15">
        <v>48.0</v>
      </c>
      <c r="M8889" s="40">
        <v>42590.0</v>
      </c>
      <c r="N8889" s="40">
        <v>42752.0</v>
      </c>
      <c r="O8889" s="15" t="s">
        <v>1554</v>
      </c>
      <c r="Q8889" s="7"/>
    </row>
    <row r="8890">
      <c r="A8890" s="39" t="s">
        <v>31455</v>
      </c>
      <c r="B8890" s="15">
        <v>1873902.0</v>
      </c>
      <c r="D8890" s="15">
        <v>0.0</v>
      </c>
      <c r="E8890" s="15" t="s">
        <v>1557</v>
      </c>
      <c r="F8890" s="15" t="s">
        <v>1767</v>
      </c>
      <c r="G8890" s="7">
        <v>70.096</v>
      </c>
      <c r="H8890" s="15" t="s">
        <v>3086</v>
      </c>
      <c r="I8890" s="15" t="s">
        <v>1586</v>
      </c>
      <c r="J8890" s="15" t="s">
        <v>31456</v>
      </c>
      <c r="K8890" s="15">
        <v>111.0</v>
      </c>
      <c r="L8890" s="15">
        <v>111.0</v>
      </c>
      <c r="M8890" s="40">
        <v>42576.0</v>
      </c>
      <c r="N8890" s="40">
        <v>42576.0</v>
      </c>
      <c r="O8890" s="15" t="s">
        <v>1554</v>
      </c>
      <c r="Q8890" s="7"/>
    </row>
    <row r="8891">
      <c r="A8891" s="39" t="s">
        <v>31457</v>
      </c>
      <c r="B8891" s="15">
        <v>1747285.0</v>
      </c>
      <c r="D8891" s="15">
        <v>0.0</v>
      </c>
      <c r="E8891" s="15" t="s">
        <v>1557</v>
      </c>
      <c r="F8891" s="15" t="s">
        <v>1611</v>
      </c>
      <c r="G8891" s="7">
        <v>145.865</v>
      </c>
      <c r="H8891" s="15" t="s">
        <v>3022</v>
      </c>
      <c r="I8891" s="15" t="s">
        <v>1586</v>
      </c>
      <c r="J8891" s="15" t="s">
        <v>31459</v>
      </c>
      <c r="K8891" s="15">
        <v>221.0</v>
      </c>
      <c r="L8891" s="15">
        <v>197.0</v>
      </c>
      <c r="M8891" s="41">
        <v>42332.0</v>
      </c>
      <c r="N8891" s="41">
        <v>42332.0</v>
      </c>
      <c r="O8891" s="15" t="s">
        <v>1554</v>
      </c>
      <c r="Q8891" s="7"/>
    </row>
    <row r="8892">
      <c r="A8892" s="39" t="s">
        <v>31460</v>
      </c>
      <c r="B8892" s="15">
        <v>1701854.0</v>
      </c>
      <c r="D8892" s="15">
        <v>0.0</v>
      </c>
      <c r="E8892" s="15" t="s">
        <v>1557</v>
      </c>
      <c r="F8892" s="15" t="s">
        <v>1833</v>
      </c>
      <c r="G8892" s="7">
        <v>50.797</v>
      </c>
      <c r="H8892" s="15">
        <v>64.0</v>
      </c>
      <c r="I8892" s="15" t="s">
        <v>1586</v>
      </c>
      <c r="J8892" s="15" t="s">
        <v>31461</v>
      </c>
      <c r="K8892" s="15">
        <v>95.0</v>
      </c>
      <c r="L8892" s="15">
        <v>92.0</v>
      </c>
      <c r="M8892" s="40">
        <v>42270.0</v>
      </c>
      <c r="N8892" s="40">
        <v>42270.0</v>
      </c>
      <c r="O8892" s="15" t="s">
        <v>1554</v>
      </c>
      <c r="Q8892" s="7"/>
    </row>
    <row r="8893">
      <c r="A8893" s="39" t="s">
        <v>31463</v>
      </c>
      <c r="B8893" s="15">
        <v>1698423.0</v>
      </c>
      <c r="D8893" s="15">
        <v>0.0</v>
      </c>
      <c r="E8893" s="15" t="s">
        <v>1557</v>
      </c>
      <c r="F8893" s="15" t="s">
        <v>1833</v>
      </c>
      <c r="G8893" s="7">
        <v>36.081</v>
      </c>
      <c r="H8893" s="15" t="s">
        <v>4100</v>
      </c>
      <c r="I8893" s="15" t="s">
        <v>1586</v>
      </c>
      <c r="J8893" s="15" t="s">
        <v>31464</v>
      </c>
      <c r="K8893" s="15">
        <v>46.0</v>
      </c>
      <c r="L8893" s="15">
        <v>46.0</v>
      </c>
      <c r="M8893" s="40">
        <v>42234.0</v>
      </c>
      <c r="N8893" s="40">
        <v>42528.0</v>
      </c>
      <c r="O8893" s="15" t="s">
        <v>1554</v>
      </c>
      <c r="Q8893" s="7"/>
    </row>
    <row r="8894">
      <c r="A8894" s="39" t="s">
        <v>31466</v>
      </c>
      <c r="B8894" s="15">
        <v>1747352.0</v>
      </c>
      <c r="D8894" s="15">
        <v>0.0</v>
      </c>
      <c r="E8894" s="15" t="s">
        <v>1557</v>
      </c>
      <c r="F8894" s="15" t="s">
        <v>1833</v>
      </c>
      <c r="G8894" s="7">
        <v>41.72</v>
      </c>
      <c r="H8894" s="15" t="s">
        <v>1670</v>
      </c>
      <c r="I8894" s="15" t="s">
        <v>1586</v>
      </c>
      <c r="J8894" s="15" t="s">
        <v>31467</v>
      </c>
      <c r="K8894" s="15" t="s">
        <v>1722</v>
      </c>
      <c r="L8894" s="15">
        <v>53.0</v>
      </c>
      <c r="M8894" s="41">
        <v>42326.0</v>
      </c>
      <c r="N8894" s="41">
        <v>42326.0</v>
      </c>
      <c r="O8894" s="15" t="s">
        <v>1554</v>
      </c>
      <c r="Q8894" s="7"/>
    </row>
    <row r="8895">
      <c r="A8895" s="39" t="s">
        <v>31468</v>
      </c>
      <c r="B8895" s="15">
        <v>1636260.0</v>
      </c>
      <c r="D8895" s="15">
        <v>0.0</v>
      </c>
      <c r="E8895" s="15" t="s">
        <v>1557</v>
      </c>
      <c r="F8895" s="15" t="s">
        <v>1833</v>
      </c>
      <c r="G8895" s="7">
        <v>45.653</v>
      </c>
      <c r="H8895" s="15" t="s">
        <v>2869</v>
      </c>
      <c r="I8895" s="15" t="s">
        <v>1586</v>
      </c>
      <c r="J8895" s="15" t="s">
        <v>31470</v>
      </c>
      <c r="K8895" s="15">
        <v>86.0</v>
      </c>
      <c r="L8895" s="15">
        <v>86.0</v>
      </c>
      <c r="M8895" s="40">
        <v>42240.0</v>
      </c>
      <c r="N8895" s="40">
        <v>42438.0</v>
      </c>
      <c r="O8895" s="15" t="s">
        <v>1554</v>
      </c>
      <c r="Q8895" s="7"/>
    </row>
    <row r="8896">
      <c r="A8896" s="39" t="s">
        <v>31471</v>
      </c>
      <c r="B8896" s="15">
        <v>1541891.0</v>
      </c>
      <c r="D8896" s="15">
        <v>0.0</v>
      </c>
      <c r="E8896" s="15" t="s">
        <v>1557</v>
      </c>
      <c r="F8896" s="15" t="s">
        <v>1611</v>
      </c>
      <c r="G8896" s="7">
        <v>73.048</v>
      </c>
      <c r="H8896" s="15" t="s">
        <v>3776</v>
      </c>
      <c r="I8896" s="15" t="s">
        <v>1586</v>
      </c>
      <c r="J8896" s="15" t="s">
        <v>31472</v>
      </c>
      <c r="K8896" s="15" t="s">
        <v>1722</v>
      </c>
      <c r="L8896" s="15">
        <v>92.0</v>
      </c>
      <c r="M8896" s="41">
        <v>41993.0</v>
      </c>
      <c r="N8896" s="41">
        <v>41993.0</v>
      </c>
      <c r="O8896" s="15" t="s">
        <v>1554</v>
      </c>
      <c r="Q8896" s="7"/>
    </row>
    <row r="8897">
      <c r="A8897" s="39" t="s">
        <v>31474</v>
      </c>
      <c r="B8897" s="15">
        <v>1679527.0</v>
      </c>
      <c r="D8897" s="15">
        <v>0.0</v>
      </c>
      <c r="E8897" s="15" t="s">
        <v>1557</v>
      </c>
      <c r="F8897" s="15" t="s">
        <v>1833</v>
      </c>
      <c r="G8897" s="7">
        <v>53.746</v>
      </c>
      <c r="H8897" s="15" t="s">
        <v>8725</v>
      </c>
      <c r="I8897" s="15" t="s">
        <v>1586</v>
      </c>
      <c r="J8897" s="15" t="s">
        <v>31475</v>
      </c>
      <c r="K8897" s="15">
        <v>84.0</v>
      </c>
      <c r="L8897" s="15">
        <v>84.0</v>
      </c>
      <c r="M8897" s="40">
        <v>42200.0</v>
      </c>
      <c r="N8897" s="40">
        <v>42201.0</v>
      </c>
      <c r="O8897" s="15" t="s">
        <v>1554</v>
      </c>
      <c r="Q8897" s="7"/>
    </row>
    <row r="8898">
      <c r="A8898" s="39" t="s">
        <v>31476</v>
      </c>
      <c r="B8898" s="15">
        <v>1470461.0</v>
      </c>
      <c r="D8898" s="15">
        <v>0.0</v>
      </c>
      <c r="E8898" s="15" t="s">
        <v>1557</v>
      </c>
      <c r="F8898" s="15" t="s">
        <v>1578</v>
      </c>
      <c r="G8898" s="7">
        <v>35.459</v>
      </c>
      <c r="H8898" s="42">
        <v>43371.0</v>
      </c>
      <c r="I8898" s="15" t="s">
        <v>1586</v>
      </c>
      <c r="J8898" s="15" t="s">
        <v>31478</v>
      </c>
      <c r="K8898" s="15">
        <v>58.0</v>
      </c>
      <c r="L8898" s="15">
        <v>58.0</v>
      </c>
      <c r="M8898" s="40">
        <v>41731.0</v>
      </c>
      <c r="N8898" s="40">
        <v>41758.0</v>
      </c>
      <c r="O8898" s="15" t="s">
        <v>1554</v>
      </c>
      <c r="Q8898" s="7"/>
    </row>
    <row r="8899">
      <c r="A8899" s="39" t="s">
        <v>31479</v>
      </c>
      <c r="B8899" s="15">
        <v>1470459.0</v>
      </c>
      <c r="D8899" s="15">
        <v>0.0</v>
      </c>
      <c r="E8899" s="15" t="s">
        <v>1557</v>
      </c>
      <c r="F8899" s="15" t="s">
        <v>1578</v>
      </c>
      <c r="G8899" s="7">
        <v>36.734</v>
      </c>
      <c r="H8899" s="42">
        <v>43248.0</v>
      </c>
      <c r="I8899" s="15" t="s">
        <v>1586</v>
      </c>
      <c r="J8899" s="15" t="s">
        <v>31481</v>
      </c>
      <c r="K8899" s="15">
        <v>58.0</v>
      </c>
      <c r="L8899" s="15">
        <v>58.0</v>
      </c>
      <c r="M8899" s="40">
        <v>41731.0</v>
      </c>
      <c r="N8899" s="40">
        <v>41758.0</v>
      </c>
      <c r="O8899" s="15" t="s">
        <v>1554</v>
      </c>
      <c r="Q8899" s="7"/>
    </row>
    <row r="8900">
      <c r="A8900" s="39" t="s">
        <v>31482</v>
      </c>
      <c r="B8900" s="15">
        <v>1340814.0</v>
      </c>
      <c r="D8900" s="15">
        <v>0.0</v>
      </c>
      <c r="E8900" s="15" t="s">
        <v>1808</v>
      </c>
      <c r="F8900" s="15" t="s">
        <v>3154</v>
      </c>
      <c r="G8900" s="7">
        <v>5.486</v>
      </c>
      <c r="H8900" s="15" t="s">
        <v>8889</v>
      </c>
      <c r="I8900" s="15" t="s">
        <v>1586</v>
      </c>
      <c r="J8900" s="15" t="s">
        <v>31483</v>
      </c>
      <c r="K8900" s="15">
        <v>11.0</v>
      </c>
      <c r="L8900" s="15">
        <v>11.0</v>
      </c>
      <c r="M8900" s="40">
        <v>41498.0</v>
      </c>
      <c r="N8900" s="40">
        <v>41498.0</v>
      </c>
      <c r="O8900" s="15" t="s">
        <v>1554</v>
      </c>
      <c r="Q8900" s="7"/>
    </row>
    <row r="8901">
      <c r="A8901" s="39" t="s">
        <v>31485</v>
      </c>
      <c r="B8901" s="15">
        <v>1327992.0</v>
      </c>
      <c r="D8901" s="15">
        <v>0.0</v>
      </c>
      <c r="E8901" s="15" t="s">
        <v>1557</v>
      </c>
      <c r="F8901" s="15" t="s">
        <v>1833</v>
      </c>
      <c r="G8901" s="7">
        <v>76.666</v>
      </c>
      <c r="H8901" s="15" t="s">
        <v>2215</v>
      </c>
      <c r="I8901" s="15" t="s">
        <v>1586</v>
      </c>
      <c r="J8901" s="15" t="s">
        <v>31487</v>
      </c>
      <c r="K8901" s="15">
        <v>104.0</v>
      </c>
      <c r="L8901" s="15">
        <v>104.0</v>
      </c>
      <c r="M8901" s="40">
        <v>41454.0</v>
      </c>
      <c r="N8901" s="41">
        <v>42369.0</v>
      </c>
      <c r="O8901" s="15" t="s">
        <v>1554</v>
      </c>
      <c r="Q8901" s="7"/>
    </row>
    <row r="8902">
      <c r="A8902" s="39" t="s">
        <v>31488</v>
      </c>
      <c r="B8902" s="15">
        <v>1327942.0</v>
      </c>
      <c r="D8902" s="15">
        <v>0.0</v>
      </c>
      <c r="E8902" s="15" t="s">
        <v>1557</v>
      </c>
      <c r="F8902" s="15" t="s">
        <v>1611</v>
      </c>
      <c r="G8902" s="7">
        <v>38.689</v>
      </c>
      <c r="H8902" s="15" t="s">
        <v>3304</v>
      </c>
      <c r="I8902" s="15" t="s">
        <v>1586</v>
      </c>
      <c r="J8902" s="15" t="s">
        <v>31490</v>
      </c>
      <c r="K8902" s="15">
        <v>51.0</v>
      </c>
      <c r="L8902" s="15">
        <v>51.0</v>
      </c>
      <c r="M8902" s="40">
        <v>41520.0</v>
      </c>
      <c r="N8902" s="40">
        <v>41520.0</v>
      </c>
      <c r="O8902" s="15" t="s">
        <v>1554</v>
      </c>
      <c r="Q8902" s="7"/>
    </row>
    <row r="8903">
      <c r="A8903" s="39" t="s">
        <v>31491</v>
      </c>
      <c r="B8903" s="15">
        <v>1308869.0</v>
      </c>
      <c r="D8903" s="15">
        <v>0.0</v>
      </c>
      <c r="E8903" s="15" t="s">
        <v>1557</v>
      </c>
      <c r="F8903" s="15" t="s">
        <v>1611</v>
      </c>
      <c r="G8903" s="7">
        <v>38.253</v>
      </c>
      <c r="H8903" s="15" t="s">
        <v>5368</v>
      </c>
      <c r="I8903" s="15" t="s">
        <v>1586</v>
      </c>
      <c r="J8903" s="15" t="s">
        <v>31492</v>
      </c>
      <c r="K8903" s="15">
        <v>57.0</v>
      </c>
      <c r="L8903" s="15">
        <v>56.0</v>
      </c>
      <c r="M8903" s="40">
        <v>41733.0</v>
      </c>
      <c r="N8903" s="40">
        <v>41733.0</v>
      </c>
      <c r="O8903" s="15" t="s">
        <v>1554</v>
      </c>
      <c r="Q8903" s="7"/>
    </row>
    <row r="8904">
      <c r="A8904" s="39" t="s">
        <v>31494</v>
      </c>
      <c r="B8904" s="15">
        <v>69608.0</v>
      </c>
      <c r="D8904" s="15">
        <v>0.0</v>
      </c>
      <c r="E8904" s="15" t="s">
        <v>1557</v>
      </c>
      <c r="F8904" s="15" t="s">
        <v>1767</v>
      </c>
      <c r="G8904" s="7">
        <v>168.401</v>
      </c>
      <c r="H8904" s="15" t="s">
        <v>3568</v>
      </c>
      <c r="I8904" s="15" t="s">
        <v>1586</v>
      </c>
      <c r="J8904" s="15" t="s">
        <v>31495</v>
      </c>
      <c r="K8904" s="15">
        <v>284.0</v>
      </c>
      <c r="L8904" s="15">
        <v>272.0</v>
      </c>
      <c r="M8904" s="41">
        <v>41934.0</v>
      </c>
      <c r="N8904" s="40">
        <v>42033.0</v>
      </c>
      <c r="O8904" s="15" t="s">
        <v>1554</v>
      </c>
      <c r="Q8904" s="7"/>
    </row>
    <row r="8905">
      <c r="A8905" s="39" t="s">
        <v>31496</v>
      </c>
      <c r="B8905" s="15">
        <v>697289.0</v>
      </c>
      <c r="D8905" s="15">
        <v>0.0</v>
      </c>
      <c r="E8905" s="15" t="s">
        <v>1557</v>
      </c>
      <c r="F8905" s="15" t="s">
        <v>1767</v>
      </c>
      <c r="G8905" s="7">
        <v>168.896</v>
      </c>
      <c r="H8905" s="15" t="s">
        <v>3361</v>
      </c>
      <c r="I8905" s="15" t="s">
        <v>1586</v>
      </c>
      <c r="J8905" s="15" t="s">
        <v>31498</v>
      </c>
      <c r="K8905" s="15">
        <v>282.0</v>
      </c>
      <c r="L8905" s="15">
        <v>272.0</v>
      </c>
      <c r="M8905" s="41">
        <v>41934.0</v>
      </c>
      <c r="N8905" s="40">
        <v>42033.0</v>
      </c>
      <c r="O8905" s="15" t="s">
        <v>1554</v>
      </c>
      <c r="Q8905" s="7"/>
    </row>
    <row r="8906">
      <c r="A8906" s="39" t="s">
        <v>31499</v>
      </c>
      <c r="B8906" s="15">
        <v>1235693.0</v>
      </c>
      <c r="D8906" s="15">
        <v>0.0</v>
      </c>
      <c r="E8906" s="15" t="s">
        <v>1557</v>
      </c>
      <c r="F8906" s="15" t="s">
        <v>1833</v>
      </c>
      <c r="G8906" s="7">
        <v>68.992</v>
      </c>
      <c r="H8906" s="15" t="s">
        <v>4308</v>
      </c>
      <c r="I8906" s="15" t="s">
        <v>1586</v>
      </c>
      <c r="J8906" s="15" t="s">
        <v>31501</v>
      </c>
      <c r="K8906" s="15">
        <v>101.0</v>
      </c>
      <c r="L8906" s="15">
        <v>101.0</v>
      </c>
      <c r="M8906" s="40">
        <v>41290.0</v>
      </c>
      <c r="N8906" s="40">
        <v>42865.0</v>
      </c>
      <c r="O8906" s="15" t="s">
        <v>1554</v>
      </c>
      <c r="Q8906" s="7"/>
    </row>
    <row r="8907">
      <c r="A8907" s="39" t="s">
        <v>31502</v>
      </c>
      <c r="B8907" s="15">
        <v>663558.0</v>
      </c>
      <c r="D8907" s="15">
        <v>0.0</v>
      </c>
      <c r="E8907" s="15" t="s">
        <v>1557</v>
      </c>
      <c r="F8907" s="15" t="s">
        <v>1833</v>
      </c>
      <c r="G8907" s="7">
        <v>68.323</v>
      </c>
      <c r="H8907" s="15" t="s">
        <v>2492</v>
      </c>
      <c r="I8907" s="15" t="s">
        <v>1586</v>
      </c>
      <c r="J8907" s="15" t="s">
        <v>31503</v>
      </c>
      <c r="K8907" s="15">
        <v>97.0</v>
      </c>
      <c r="L8907" s="15">
        <v>97.0</v>
      </c>
      <c r="M8907" s="40">
        <v>40066.0</v>
      </c>
      <c r="N8907" s="40">
        <v>40766.0</v>
      </c>
      <c r="O8907" s="15" t="s">
        <v>1554</v>
      </c>
      <c r="Q8907" s="7"/>
    </row>
    <row r="8908">
      <c r="A8908" s="39" t="s">
        <v>31504</v>
      </c>
      <c r="B8908" s="15">
        <v>1527533.0</v>
      </c>
      <c r="D8908" s="15">
        <v>0.0</v>
      </c>
      <c r="E8908" s="15" t="s">
        <v>1557</v>
      </c>
      <c r="F8908" s="15" t="s">
        <v>1833</v>
      </c>
      <c r="G8908" s="7">
        <v>67.496</v>
      </c>
      <c r="H8908" s="15" t="s">
        <v>13987</v>
      </c>
      <c r="I8908" s="15" t="s">
        <v>1586</v>
      </c>
      <c r="J8908" s="15" t="s">
        <v>31505</v>
      </c>
      <c r="K8908" s="15">
        <v>92.0</v>
      </c>
      <c r="L8908" s="15">
        <v>92.0</v>
      </c>
      <c r="M8908" s="40">
        <v>41877.0</v>
      </c>
      <c r="N8908" s="40">
        <v>41877.0</v>
      </c>
      <c r="O8908" s="15" t="s">
        <v>1554</v>
      </c>
      <c r="Q8908" s="7"/>
    </row>
    <row r="8909">
      <c r="A8909" s="39" t="s">
        <v>31506</v>
      </c>
      <c r="B8909" s="15">
        <v>1173765.0</v>
      </c>
      <c r="D8909" s="15">
        <v>0.0</v>
      </c>
      <c r="E8909" s="15" t="s">
        <v>1557</v>
      </c>
      <c r="F8909" s="15" t="s">
        <v>1767</v>
      </c>
      <c r="G8909" s="7">
        <v>135.764</v>
      </c>
      <c r="H8909" s="15" t="s">
        <v>3554</v>
      </c>
      <c r="I8909" s="15" t="s">
        <v>1586</v>
      </c>
      <c r="J8909" s="15" t="s">
        <v>31508</v>
      </c>
      <c r="K8909" s="15">
        <v>205.0</v>
      </c>
      <c r="L8909" s="15">
        <v>188.0</v>
      </c>
      <c r="M8909" s="40">
        <v>41789.0</v>
      </c>
      <c r="N8909" s="41">
        <v>41964.0</v>
      </c>
      <c r="O8909" s="15" t="s">
        <v>1554</v>
      </c>
      <c r="Q8909" s="7"/>
    </row>
    <row r="8910">
      <c r="A8910" s="39" t="s">
        <v>31509</v>
      </c>
      <c r="B8910" s="15">
        <v>1640882.0</v>
      </c>
      <c r="D8910" s="15">
        <v>0.0</v>
      </c>
      <c r="E8910" s="15" t="s">
        <v>1557</v>
      </c>
      <c r="F8910" s="15" t="s">
        <v>1833</v>
      </c>
      <c r="G8910" s="7">
        <v>69.11</v>
      </c>
      <c r="H8910" s="15" t="s">
        <v>2492</v>
      </c>
      <c r="I8910" s="15" t="s">
        <v>1586</v>
      </c>
      <c r="J8910" s="15" t="s">
        <v>31510</v>
      </c>
      <c r="K8910" s="15">
        <v>106.0</v>
      </c>
      <c r="L8910" s="15">
        <v>106.0</v>
      </c>
      <c r="M8910" s="40">
        <v>42480.0</v>
      </c>
      <c r="N8910" s="40">
        <v>42480.0</v>
      </c>
      <c r="O8910" s="15" t="s">
        <v>1554</v>
      </c>
      <c r="Q8910" s="7"/>
    </row>
    <row r="8911">
      <c r="A8911" s="39" t="s">
        <v>30912</v>
      </c>
      <c r="B8911" s="15">
        <v>1278423.0</v>
      </c>
      <c r="D8911" s="15">
        <v>0.0</v>
      </c>
      <c r="E8911" s="15" t="s">
        <v>1557</v>
      </c>
      <c r="F8911" s="15" t="s">
        <v>1767</v>
      </c>
      <c r="G8911" s="7">
        <v>179.558</v>
      </c>
      <c r="H8911" s="15" t="s">
        <v>2440</v>
      </c>
      <c r="I8911" s="15" t="s">
        <v>1586</v>
      </c>
      <c r="J8911" s="15" t="s">
        <v>31512</v>
      </c>
      <c r="K8911" s="15">
        <v>217.0</v>
      </c>
      <c r="L8911" s="15">
        <v>216.0</v>
      </c>
      <c r="M8911" s="41">
        <v>42656.0</v>
      </c>
      <c r="N8911" s="41">
        <v>42656.0</v>
      </c>
      <c r="O8911" s="15" t="s">
        <v>1554</v>
      </c>
      <c r="Q8911" s="7"/>
    </row>
    <row r="8912">
      <c r="A8912" s="39" t="s">
        <v>31514</v>
      </c>
      <c r="B8912" s="15">
        <v>1698362.0</v>
      </c>
      <c r="D8912" s="15">
        <v>0.0</v>
      </c>
      <c r="E8912" s="15" t="s">
        <v>1557</v>
      </c>
      <c r="F8912" s="15" t="s">
        <v>1833</v>
      </c>
      <c r="G8912" s="7">
        <v>15.556</v>
      </c>
      <c r="H8912" s="15" t="s">
        <v>10437</v>
      </c>
      <c r="I8912" s="15" t="s">
        <v>1586</v>
      </c>
      <c r="J8912" s="15" t="s">
        <v>31515</v>
      </c>
      <c r="K8912" s="15">
        <v>26.0</v>
      </c>
      <c r="L8912" s="15">
        <v>26.0</v>
      </c>
      <c r="M8912" s="40">
        <v>42270.0</v>
      </c>
      <c r="N8912" s="40">
        <v>42831.0</v>
      </c>
      <c r="O8912" s="15" t="s">
        <v>1554</v>
      </c>
      <c r="Q8912" s="7"/>
    </row>
    <row r="8913">
      <c r="A8913" s="39" t="s">
        <v>31516</v>
      </c>
      <c r="B8913" s="15">
        <v>1034132.0</v>
      </c>
      <c r="D8913" s="15">
        <v>0.0</v>
      </c>
      <c r="E8913" s="15" t="s">
        <v>1557</v>
      </c>
      <c r="F8913" s="15" t="s">
        <v>1767</v>
      </c>
      <c r="G8913" s="7">
        <v>156.281</v>
      </c>
      <c r="H8913" s="15" t="s">
        <v>8929</v>
      </c>
      <c r="I8913" s="15" t="s">
        <v>1586</v>
      </c>
      <c r="J8913" s="15" t="s">
        <v>31518</v>
      </c>
      <c r="K8913" s="15">
        <v>265.0</v>
      </c>
      <c r="L8913" s="15">
        <v>232.0</v>
      </c>
      <c r="M8913" s="40">
        <v>40741.0</v>
      </c>
      <c r="N8913" s="40">
        <v>41060.0</v>
      </c>
      <c r="O8913" s="15" t="s">
        <v>1554</v>
      </c>
      <c r="Q8913" s="7"/>
    </row>
    <row r="8914">
      <c r="A8914" s="39" t="s">
        <v>31519</v>
      </c>
      <c r="B8914" s="15">
        <v>1640975.0</v>
      </c>
      <c r="D8914" s="15">
        <v>0.0</v>
      </c>
      <c r="E8914" s="15" t="s">
        <v>1557</v>
      </c>
      <c r="F8914" s="15" t="s">
        <v>1767</v>
      </c>
      <c r="G8914" s="7">
        <v>65.867</v>
      </c>
      <c r="H8914" s="15" t="s">
        <v>3776</v>
      </c>
      <c r="I8914" s="15" t="s">
        <v>1586</v>
      </c>
      <c r="J8914" s="15" t="s">
        <v>31521</v>
      </c>
      <c r="K8914" s="15" t="s">
        <v>1722</v>
      </c>
      <c r="L8914" s="15">
        <v>90.0</v>
      </c>
      <c r="M8914" s="40">
        <v>42130.0</v>
      </c>
      <c r="N8914" s="40">
        <v>42445.0</v>
      </c>
      <c r="O8914" s="15" t="s">
        <v>1554</v>
      </c>
      <c r="Q8914" s="7"/>
    </row>
    <row r="8915">
      <c r="A8915" s="39" t="s">
        <v>30902</v>
      </c>
      <c r="B8915" s="15">
        <v>1278402.0</v>
      </c>
      <c r="D8915" s="15">
        <v>0.0</v>
      </c>
      <c r="E8915" s="15" t="s">
        <v>1557</v>
      </c>
      <c r="F8915" s="15" t="s">
        <v>1767</v>
      </c>
      <c r="G8915" s="7">
        <v>175.19</v>
      </c>
      <c r="H8915" s="15" t="s">
        <v>1602</v>
      </c>
      <c r="I8915" s="15" t="s">
        <v>1586</v>
      </c>
      <c r="J8915" s="15" t="s">
        <v>31523</v>
      </c>
      <c r="K8915" s="15">
        <v>217.0</v>
      </c>
      <c r="L8915" s="15">
        <v>212.0</v>
      </c>
      <c r="M8915" s="41">
        <v>42656.0</v>
      </c>
      <c r="N8915" s="41">
        <v>42656.0</v>
      </c>
      <c r="O8915" s="15" t="s">
        <v>1554</v>
      </c>
      <c r="Q8915" s="7"/>
    </row>
    <row r="8916">
      <c r="A8916" s="39" t="s">
        <v>31524</v>
      </c>
      <c r="B8916" s="15">
        <v>1401446.0</v>
      </c>
      <c r="D8916" s="15">
        <v>0.0</v>
      </c>
      <c r="E8916" s="15" t="s">
        <v>1557</v>
      </c>
      <c r="F8916" s="15" t="s">
        <v>1611</v>
      </c>
      <c r="G8916" s="7">
        <v>41.143</v>
      </c>
      <c r="H8916" s="15" t="s">
        <v>5368</v>
      </c>
      <c r="I8916" s="15" t="s">
        <v>1586</v>
      </c>
      <c r="J8916" s="15" t="s">
        <v>31525</v>
      </c>
      <c r="K8916" s="15">
        <v>58.0</v>
      </c>
      <c r="L8916" s="15">
        <v>58.0</v>
      </c>
      <c r="M8916" s="40">
        <v>41547.0</v>
      </c>
      <c r="N8916" s="40">
        <v>41702.0</v>
      </c>
      <c r="O8916" s="15" t="s">
        <v>1554</v>
      </c>
      <c r="Q8916" s="7"/>
    </row>
    <row r="8917">
      <c r="A8917" s="39" t="s">
        <v>31527</v>
      </c>
      <c r="B8917" s="15">
        <v>1675551.0</v>
      </c>
      <c r="D8917" s="15">
        <v>0.0</v>
      </c>
      <c r="E8917" s="15" t="s">
        <v>1557</v>
      </c>
      <c r="F8917" s="15" t="s">
        <v>1833</v>
      </c>
      <c r="G8917" s="7">
        <v>67.277</v>
      </c>
      <c r="H8917" s="15">
        <v>69.0</v>
      </c>
      <c r="I8917" s="15" t="s">
        <v>1586</v>
      </c>
      <c r="J8917" s="15" t="s">
        <v>31528</v>
      </c>
      <c r="K8917" s="15">
        <v>91.0</v>
      </c>
      <c r="L8917" s="15">
        <v>91.0</v>
      </c>
      <c r="M8917" s="40">
        <v>42225.0</v>
      </c>
      <c r="N8917" s="40">
        <v>42542.0</v>
      </c>
      <c r="O8917" s="15" t="s">
        <v>1554</v>
      </c>
      <c r="Q8917" s="7"/>
    </row>
    <row r="8918">
      <c r="A8918" s="39" t="s">
        <v>28085</v>
      </c>
      <c r="B8918" s="15">
        <v>1758150.0</v>
      </c>
      <c r="D8918" s="15">
        <v>0.0</v>
      </c>
      <c r="E8918" s="15" t="s">
        <v>1808</v>
      </c>
      <c r="F8918" s="15" t="s">
        <v>3154</v>
      </c>
      <c r="G8918" s="7">
        <v>5.301</v>
      </c>
      <c r="H8918" s="15" t="s">
        <v>5368</v>
      </c>
      <c r="I8918" s="15" t="s">
        <v>1586</v>
      </c>
      <c r="J8918" s="15" t="s">
        <v>31530</v>
      </c>
      <c r="K8918" s="15" t="s">
        <v>1722</v>
      </c>
      <c r="L8918" s="15">
        <v>5.0</v>
      </c>
      <c r="M8918" s="41">
        <v>42718.0</v>
      </c>
      <c r="N8918" s="41">
        <v>42718.0</v>
      </c>
      <c r="O8918" s="15" t="s">
        <v>1554</v>
      </c>
      <c r="Q8918" s="7"/>
    </row>
    <row r="8919">
      <c r="A8919" s="39" t="s">
        <v>28082</v>
      </c>
      <c r="B8919" s="15">
        <v>1407671.0</v>
      </c>
      <c r="D8919" s="15">
        <v>0.0</v>
      </c>
      <c r="E8919" s="15" t="s">
        <v>1664</v>
      </c>
      <c r="F8919" s="15" t="s">
        <v>1664</v>
      </c>
      <c r="G8919" s="7">
        <v>30.903</v>
      </c>
      <c r="H8919" s="15">
        <v>35.0</v>
      </c>
      <c r="I8919" s="15" t="s">
        <v>1722</v>
      </c>
      <c r="J8919" s="15" t="s">
        <v>31531</v>
      </c>
      <c r="K8919" s="15" t="s">
        <v>1722</v>
      </c>
      <c r="L8919" s="15">
        <v>50.0</v>
      </c>
      <c r="M8919" s="40">
        <v>41584.0</v>
      </c>
      <c r="N8919" s="41">
        <v>42307.0</v>
      </c>
      <c r="O8919" s="15" t="s">
        <v>1554</v>
      </c>
      <c r="Q8919" s="7"/>
    </row>
    <row r="8920">
      <c r="A8920" s="39" t="s">
        <v>31533</v>
      </c>
      <c r="B8920" s="15">
        <v>310953.0</v>
      </c>
      <c r="D8920" s="15">
        <v>0.0</v>
      </c>
      <c r="E8920" s="15" t="s">
        <v>1808</v>
      </c>
      <c r="F8920" s="15" t="s">
        <v>3154</v>
      </c>
      <c r="G8920" s="7">
        <v>5.577</v>
      </c>
      <c r="H8920" s="15">
        <v>46.0</v>
      </c>
      <c r="I8920" s="15" t="s">
        <v>1586</v>
      </c>
      <c r="J8920" s="15" t="s">
        <v>31534</v>
      </c>
      <c r="K8920" s="15" t="s">
        <v>1722</v>
      </c>
      <c r="L8920" s="15">
        <v>11.0</v>
      </c>
      <c r="M8920" s="40">
        <v>42563.0</v>
      </c>
      <c r="N8920" s="40">
        <v>42563.0</v>
      </c>
      <c r="O8920" s="15" t="s">
        <v>1554</v>
      </c>
      <c r="Q8920" s="7"/>
    </row>
    <row r="8921">
      <c r="A8921" s="39" t="s">
        <v>27611</v>
      </c>
      <c r="B8921" s="15">
        <v>10847.0</v>
      </c>
      <c r="D8921" s="15">
        <v>0.0</v>
      </c>
      <c r="E8921" s="15" t="s">
        <v>1808</v>
      </c>
      <c r="F8921" s="15" t="s">
        <v>3154</v>
      </c>
      <c r="G8921" s="7">
        <v>5.386</v>
      </c>
      <c r="H8921" s="15" t="s">
        <v>1983</v>
      </c>
      <c r="I8921" s="15" t="s">
        <v>1586</v>
      </c>
      <c r="J8921" s="15" t="s">
        <v>31536</v>
      </c>
      <c r="K8921" s="15" t="s">
        <v>1722</v>
      </c>
      <c r="L8921" s="15">
        <v>11.0</v>
      </c>
      <c r="M8921" s="40">
        <v>40414.0</v>
      </c>
      <c r="N8921" s="40">
        <v>40414.0</v>
      </c>
      <c r="O8921" s="15" t="s">
        <v>1554</v>
      </c>
      <c r="Q8921" s="7"/>
    </row>
    <row r="8922">
      <c r="A8922" s="39" t="s">
        <v>31537</v>
      </c>
      <c r="B8922" s="15">
        <v>180816.0</v>
      </c>
      <c r="D8922" s="15">
        <v>0.0</v>
      </c>
      <c r="E8922" s="15" t="s">
        <v>1557</v>
      </c>
      <c r="F8922" s="15" t="s">
        <v>1611</v>
      </c>
      <c r="G8922" s="7">
        <v>61.765</v>
      </c>
      <c r="H8922" s="15" t="s">
        <v>4821</v>
      </c>
      <c r="I8922" s="15" t="s">
        <v>1586</v>
      </c>
      <c r="J8922" s="15" t="s">
        <v>31539</v>
      </c>
      <c r="K8922" s="15">
        <v>20.0</v>
      </c>
      <c r="L8922" s="15">
        <v>166.0</v>
      </c>
      <c r="M8922" s="40">
        <v>37348.0</v>
      </c>
      <c r="N8922" s="40">
        <v>39840.0</v>
      </c>
      <c r="O8922" s="15" t="s">
        <v>1554</v>
      </c>
      <c r="Q8922" s="7"/>
    </row>
    <row r="8923">
      <c r="A8923" s="39" t="s">
        <v>31540</v>
      </c>
      <c r="B8923" s="15">
        <v>1235692.0</v>
      </c>
      <c r="D8923" s="15">
        <v>0.0</v>
      </c>
      <c r="E8923" s="15" t="s">
        <v>1557</v>
      </c>
      <c r="F8923" s="15" t="s">
        <v>1833</v>
      </c>
      <c r="G8923" s="7">
        <v>69.321</v>
      </c>
      <c r="H8923" s="15" t="s">
        <v>6615</v>
      </c>
      <c r="I8923" s="15" t="s">
        <v>1586</v>
      </c>
      <c r="J8923" s="15" t="s">
        <v>31541</v>
      </c>
      <c r="K8923" s="15">
        <v>104.0</v>
      </c>
      <c r="L8923" s="15">
        <v>104.0</v>
      </c>
      <c r="M8923" s="40">
        <v>41290.0</v>
      </c>
      <c r="N8923" s="40">
        <v>42865.0</v>
      </c>
      <c r="O8923" s="15" t="s">
        <v>1554</v>
      </c>
      <c r="Q8923" s="7"/>
    </row>
    <row r="8924">
      <c r="A8924" s="39" t="s">
        <v>26529</v>
      </c>
      <c r="B8924" s="15">
        <v>186617.0</v>
      </c>
      <c r="C8924" s="15" t="s">
        <v>26530</v>
      </c>
      <c r="D8924" s="15">
        <v>371593.0</v>
      </c>
      <c r="E8924" s="15" t="s">
        <v>1664</v>
      </c>
      <c r="F8924" s="15" t="s">
        <v>1664</v>
      </c>
      <c r="G8924" s="7">
        <v>31037.9</v>
      </c>
      <c r="H8924" s="15">
        <v>41.0</v>
      </c>
      <c r="I8924" s="15" t="s">
        <v>1722</v>
      </c>
      <c r="J8924" s="15" t="s">
        <v>31543</v>
      </c>
      <c r="K8924" s="15" t="s">
        <v>1722</v>
      </c>
      <c r="L8924" s="15" t="s">
        <v>1722</v>
      </c>
      <c r="M8924" s="40">
        <v>42770.0</v>
      </c>
      <c r="N8924" s="40">
        <v>42851.0</v>
      </c>
      <c r="O8924" s="15" t="s">
        <v>22466</v>
      </c>
      <c r="Q8924" s="7"/>
    </row>
    <row r="8925">
      <c r="A8925" s="39" t="s">
        <v>26525</v>
      </c>
      <c r="B8925" s="15">
        <v>1678146.0</v>
      </c>
      <c r="D8925" s="15">
        <v>0.0</v>
      </c>
      <c r="E8925" s="15" t="s">
        <v>1548</v>
      </c>
      <c r="F8925" s="15" t="s">
        <v>1565</v>
      </c>
      <c r="G8925" s="7">
        <v>6.671</v>
      </c>
      <c r="H8925" s="15" t="s">
        <v>1750</v>
      </c>
      <c r="I8925" s="15" t="s">
        <v>1567</v>
      </c>
      <c r="J8925" s="15" t="s">
        <v>31545</v>
      </c>
      <c r="K8925" s="15" t="s">
        <v>1722</v>
      </c>
      <c r="L8925" s="15">
        <v>3.0</v>
      </c>
      <c r="M8925" s="40">
        <v>42795.0</v>
      </c>
      <c r="N8925" s="40">
        <v>42795.0</v>
      </c>
      <c r="O8925" s="15" t="s">
        <v>1554</v>
      </c>
      <c r="Q8925" s="7"/>
    </row>
    <row r="8926">
      <c r="A8926" s="39" t="s">
        <v>31546</v>
      </c>
      <c r="B8926" s="15">
        <v>64284.0</v>
      </c>
      <c r="C8926" s="15" t="s">
        <v>31547</v>
      </c>
      <c r="D8926" s="15">
        <v>375045.0</v>
      </c>
      <c r="E8926" s="15" t="s">
        <v>1548</v>
      </c>
      <c r="F8926" s="15" t="s">
        <v>1801</v>
      </c>
      <c r="G8926" s="7">
        <v>10.173</v>
      </c>
      <c r="H8926" s="15" t="s">
        <v>3882</v>
      </c>
      <c r="I8926" s="15" t="s">
        <v>1803</v>
      </c>
      <c r="J8926" s="15" t="s">
        <v>31549</v>
      </c>
      <c r="K8926" s="15">
        <v>1.0</v>
      </c>
      <c r="L8926" s="15">
        <v>1.0</v>
      </c>
      <c r="M8926" s="40">
        <v>40072.0</v>
      </c>
      <c r="N8926" s="40">
        <v>42782.0</v>
      </c>
      <c r="O8926" s="15" t="s">
        <v>1554</v>
      </c>
      <c r="Q8926" s="7"/>
    </row>
    <row r="8927">
      <c r="A8927" s="39" t="s">
        <v>22648</v>
      </c>
      <c r="B8927" s="15">
        <v>1883368.0</v>
      </c>
      <c r="D8927" s="15">
        <v>0.0</v>
      </c>
      <c r="E8927" s="15" t="s">
        <v>4407</v>
      </c>
      <c r="F8927" s="15" t="s">
        <v>1578</v>
      </c>
      <c r="G8927" s="7">
        <v>214.214</v>
      </c>
      <c r="H8927" s="15" t="s">
        <v>1710</v>
      </c>
      <c r="I8927" s="15" t="s">
        <v>1586</v>
      </c>
      <c r="J8927" s="15" t="s">
        <v>31550</v>
      </c>
      <c r="K8927" s="15">
        <v>262.0</v>
      </c>
      <c r="L8927" s="15">
        <v>262.0</v>
      </c>
      <c r="M8927" s="41">
        <v>42654.0</v>
      </c>
      <c r="N8927" s="41">
        <v>42654.0</v>
      </c>
      <c r="O8927" s="15" t="s">
        <v>1554</v>
      </c>
      <c r="Q8927" s="7"/>
    </row>
    <row r="8928">
      <c r="A8928" s="39" t="s">
        <v>22467</v>
      </c>
      <c r="B8928" s="15">
        <v>1885248.0</v>
      </c>
      <c r="C8928" s="15" t="s">
        <v>31552</v>
      </c>
      <c r="D8928" s="15">
        <v>344991.0</v>
      </c>
      <c r="E8928" s="15" t="s">
        <v>1548</v>
      </c>
      <c r="F8928" s="15" t="s">
        <v>18494</v>
      </c>
      <c r="G8928" s="7">
        <v>8.786</v>
      </c>
      <c r="H8928" s="15" t="s">
        <v>1813</v>
      </c>
      <c r="I8928" s="15" t="s">
        <v>1686</v>
      </c>
      <c r="J8928" s="15" t="s">
        <v>31553</v>
      </c>
      <c r="K8928" s="15">
        <v>6.0</v>
      </c>
      <c r="L8928" s="15">
        <v>6.0</v>
      </c>
      <c r="M8928" s="40">
        <v>42643.0</v>
      </c>
      <c r="N8928" s="41">
        <v>42702.0</v>
      </c>
      <c r="O8928" s="15" t="s">
        <v>1554</v>
      </c>
      <c r="Q8928" s="7"/>
    </row>
    <row r="8929">
      <c r="A8929" s="39" t="s">
        <v>22462</v>
      </c>
      <c r="B8929" s="15">
        <v>239364.0</v>
      </c>
      <c r="C8929" s="15" t="s">
        <v>22464</v>
      </c>
      <c r="D8929" s="15">
        <v>16209.0</v>
      </c>
      <c r="E8929" s="15" t="s">
        <v>1664</v>
      </c>
      <c r="F8929" s="15" t="s">
        <v>1664</v>
      </c>
      <c r="G8929" s="7">
        <v>898.386</v>
      </c>
      <c r="H8929" s="15" t="s">
        <v>31555</v>
      </c>
      <c r="I8929" s="15" t="s">
        <v>1722</v>
      </c>
      <c r="J8929" s="15" t="s">
        <v>31556</v>
      </c>
      <c r="K8929" s="15" t="s">
        <v>1722</v>
      </c>
      <c r="L8929" s="15" t="s">
        <v>1722</v>
      </c>
      <c r="M8929" s="40">
        <v>38734.0</v>
      </c>
      <c r="N8929" s="40">
        <v>41862.0</v>
      </c>
      <c r="O8929" s="15" t="s">
        <v>22466</v>
      </c>
      <c r="Q8929" s="7"/>
    </row>
    <row r="8930">
      <c r="A8930" s="39" t="s">
        <v>31557</v>
      </c>
      <c r="B8930" s="15">
        <v>1821548.0</v>
      </c>
      <c r="D8930" s="15">
        <v>0.0</v>
      </c>
      <c r="E8930" s="15" t="s">
        <v>1557</v>
      </c>
      <c r="F8930" s="15" t="s">
        <v>1833</v>
      </c>
      <c r="G8930" s="7">
        <v>47.881</v>
      </c>
      <c r="H8930" s="15" t="s">
        <v>9774</v>
      </c>
      <c r="I8930" s="15" t="s">
        <v>1586</v>
      </c>
      <c r="J8930" s="15" t="s">
        <v>31559</v>
      </c>
      <c r="K8930" s="15">
        <v>74.0</v>
      </c>
      <c r="L8930" s="15">
        <v>74.0</v>
      </c>
      <c r="M8930" s="40">
        <v>42463.0</v>
      </c>
      <c r="N8930" s="40">
        <v>42463.0</v>
      </c>
      <c r="O8930" s="15" t="s">
        <v>1554</v>
      </c>
      <c r="Q8930" s="7"/>
    </row>
    <row r="8931">
      <c r="A8931" s="39" t="s">
        <v>31560</v>
      </c>
      <c r="B8931" s="15">
        <v>1805458.0</v>
      </c>
      <c r="D8931" s="15">
        <v>0.0</v>
      </c>
      <c r="E8931" s="15" t="s">
        <v>1557</v>
      </c>
      <c r="F8931" s="15" t="s">
        <v>1833</v>
      </c>
      <c r="G8931" s="7">
        <v>53.425</v>
      </c>
      <c r="H8931" s="15" t="s">
        <v>4499</v>
      </c>
      <c r="I8931" s="15" t="s">
        <v>1586</v>
      </c>
      <c r="J8931" s="15" t="s">
        <v>31561</v>
      </c>
      <c r="K8931" s="15">
        <v>100.0</v>
      </c>
      <c r="L8931" s="15">
        <v>99.0</v>
      </c>
      <c r="M8931" s="40">
        <v>42442.0</v>
      </c>
      <c r="N8931" s="40">
        <v>42442.0</v>
      </c>
      <c r="O8931" s="15" t="s">
        <v>1554</v>
      </c>
      <c r="Q8931" s="7"/>
    </row>
    <row r="8932">
      <c r="A8932" s="39" t="s">
        <v>31563</v>
      </c>
      <c r="B8932" s="15">
        <v>1821722.0</v>
      </c>
      <c r="D8932" s="15">
        <v>0.0</v>
      </c>
      <c r="E8932" s="15" t="s">
        <v>1557</v>
      </c>
      <c r="F8932" s="15" t="s">
        <v>1833</v>
      </c>
      <c r="G8932" s="7">
        <v>53.932</v>
      </c>
      <c r="H8932" s="15" t="s">
        <v>4096</v>
      </c>
      <c r="I8932" s="15" t="s">
        <v>1586</v>
      </c>
      <c r="J8932" s="15" t="s">
        <v>31564</v>
      </c>
      <c r="K8932" s="15">
        <v>95.0</v>
      </c>
      <c r="L8932" s="15">
        <v>94.0</v>
      </c>
      <c r="M8932" s="40">
        <v>42471.0</v>
      </c>
      <c r="N8932" s="40">
        <v>42471.0</v>
      </c>
      <c r="O8932" s="15" t="s">
        <v>1554</v>
      </c>
      <c r="Q8932" s="7"/>
    </row>
    <row r="8933">
      <c r="A8933" s="39" t="s">
        <v>31566</v>
      </c>
      <c r="B8933" s="15">
        <v>1871683.0</v>
      </c>
      <c r="D8933" s="15">
        <v>0.0</v>
      </c>
      <c r="E8933" s="15" t="s">
        <v>1557</v>
      </c>
      <c r="F8933" s="15" t="s">
        <v>1833</v>
      </c>
      <c r="G8933" s="7">
        <v>33.44</v>
      </c>
      <c r="H8933" s="15" t="s">
        <v>4479</v>
      </c>
      <c r="I8933" s="15" t="s">
        <v>1586</v>
      </c>
      <c r="J8933" s="15" t="s">
        <v>31567</v>
      </c>
      <c r="K8933" s="15">
        <v>52.0</v>
      </c>
      <c r="L8933" s="15">
        <v>52.0</v>
      </c>
      <c r="M8933" s="40">
        <v>42567.0</v>
      </c>
      <c r="N8933" s="40">
        <v>42626.0</v>
      </c>
      <c r="O8933" s="15" t="s">
        <v>1554</v>
      </c>
      <c r="Q8933" s="7"/>
    </row>
    <row r="8934">
      <c r="A8934" s="39" t="s">
        <v>31568</v>
      </c>
      <c r="B8934" s="15">
        <v>1838069.0</v>
      </c>
      <c r="D8934" s="15">
        <v>0.0</v>
      </c>
      <c r="E8934" s="15" t="s">
        <v>1557</v>
      </c>
      <c r="F8934" s="15" t="s">
        <v>1833</v>
      </c>
      <c r="G8934" s="7">
        <v>80.649</v>
      </c>
      <c r="H8934" s="15">
        <v>47.0</v>
      </c>
      <c r="I8934" s="15" t="s">
        <v>1586</v>
      </c>
      <c r="J8934" s="15" t="s">
        <v>31570</v>
      </c>
      <c r="K8934" s="15">
        <v>117.0</v>
      </c>
      <c r="L8934" s="15">
        <v>115.0</v>
      </c>
      <c r="M8934" s="40">
        <v>42491.0</v>
      </c>
      <c r="N8934" s="40">
        <v>42491.0</v>
      </c>
      <c r="O8934" s="15" t="s">
        <v>1554</v>
      </c>
      <c r="Q8934" s="7"/>
    </row>
    <row r="8935">
      <c r="A8935" s="39" t="s">
        <v>31571</v>
      </c>
      <c r="B8935" s="15">
        <v>1838068.0</v>
      </c>
      <c r="D8935" s="15">
        <v>0.0</v>
      </c>
      <c r="E8935" s="15" t="s">
        <v>1557</v>
      </c>
      <c r="F8935" s="15" t="s">
        <v>1833</v>
      </c>
      <c r="G8935" s="7">
        <v>17.118</v>
      </c>
      <c r="H8935" s="15" t="s">
        <v>15279</v>
      </c>
      <c r="I8935" s="15" t="s">
        <v>1586</v>
      </c>
      <c r="J8935" s="15" t="s">
        <v>31572</v>
      </c>
      <c r="K8935" s="15">
        <v>27.0</v>
      </c>
      <c r="L8935" s="15">
        <v>27.0</v>
      </c>
      <c r="M8935" s="40">
        <v>42491.0</v>
      </c>
      <c r="N8935" s="40">
        <v>42491.0</v>
      </c>
      <c r="O8935" s="15" t="s">
        <v>1554</v>
      </c>
      <c r="Q8935" s="7"/>
    </row>
    <row r="8936">
      <c r="A8936" s="39" t="s">
        <v>21900</v>
      </c>
      <c r="B8936" s="15">
        <v>1567487.0</v>
      </c>
      <c r="D8936" s="15">
        <v>0.0</v>
      </c>
      <c r="E8936" s="15" t="s">
        <v>1557</v>
      </c>
      <c r="F8936" s="15" t="s">
        <v>1578</v>
      </c>
      <c r="G8936" s="7">
        <v>39.861</v>
      </c>
      <c r="H8936" s="15" t="s">
        <v>2005</v>
      </c>
      <c r="I8936" s="15" t="s">
        <v>1586</v>
      </c>
      <c r="J8936" s="15" t="s">
        <v>31574</v>
      </c>
      <c r="K8936" s="15">
        <v>56.0</v>
      </c>
      <c r="L8936" s="15">
        <v>56.0</v>
      </c>
      <c r="M8936" s="41">
        <v>42308.0</v>
      </c>
      <c r="N8936" s="41">
        <v>42308.0</v>
      </c>
      <c r="O8936" s="15" t="s">
        <v>1554</v>
      </c>
      <c r="Q8936" s="7"/>
    </row>
    <row r="8937">
      <c r="A8937" s="39" t="s">
        <v>31575</v>
      </c>
      <c r="B8937" s="15">
        <v>1868598.0</v>
      </c>
      <c r="D8937" s="15">
        <v>0.0</v>
      </c>
      <c r="E8937" s="15" t="s">
        <v>1557</v>
      </c>
      <c r="F8937" s="15" t="s">
        <v>1833</v>
      </c>
      <c r="G8937" s="7">
        <v>43.223</v>
      </c>
      <c r="H8937" s="15" t="s">
        <v>3568</v>
      </c>
      <c r="I8937" s="15" t="s">
        <v>1586</v>
      </c>
      <c r="J8937" s="15" t="s">
        <v>31577</v>
      </c>
      <c r="K8937" s="15" t="s">
        <v>1722</v>
      </c>
      <c r="L8937" s="15">
        <v>67.0</v>
      </c>
      <c r="M8937" s="40">
        <v>42571.0</v>
      </c>
      <c r="N8937" s="40">
        <v>42571.0</v>
      </c>
      <c r="O8937" s="15" t="s">
        <v>1554</v>
      </c>
      <c r="Q8937" s="7"/>
    </row>
    <row r="8938">
      <c r="A8938" s="39" t="s">
        <v>31578</v>
      </c>
      <c r="B8938" s="15">
        <v>1777066.0</v>
      </c>
      <c r="D8938" s="15">
        <v>0.0</v>
      </c>
      <c r="E8938" s="15" t="s">
        <v>1557</v>
      </c>
      <c r="F8938" s="15" t="s">
        <v>1767</v>
      </c>
      <c r="G8938" s="7">
        <v>92.466</v>
      </c>
      <c r="H8938" s="15" t="s">
        <v>3097</v>
      </c>
      <c r="I8938" s="15" t="s">
        <v>1586</v>
      </c>
      <c r="J8938" s="15" t="s">
        <v>31580</v>
      </c>
      <c r="K8938" s="15">
        <v>171.0</v>
      </c>
      <c r="L8938" s="15">
        <v>161.0</v>
      </c>
      <c r="M8938" s="40">
        <v>42458.0</v>
      </c>
      <c r="N8938" s="40">
        <v>42458.0</v>
      </c>
      <c r="O8938" s="15" t="s">
        <v>1554</v>
      </c>
      <c r="Q8938" s="7"/>
    </row>
    <row r="8939">
      <c r="A8939" s="39" t="s">
        <v>31581</v>
      </c>
      <c r="B8939" s="15">
        <v>1813773.0</v>
      </c>
      <c r="D8939" s="15">
        <v>0.0</v>
      </c>
      <c r="E8939" s="15" t="s">
        <v>1557</v>
      </c>
      <c r="F8939" s="15" t="s">
        <v>1611</v>
      </c>
      <c r="G8939" s="7">
        <v>42.126</v>
      </c>
      <c r="H8939" s="15" t="s">
        <v>1572</v>
      </c>
      <c r="I8939" s="15" t="s">
        <v>1586</v>
      </c>
      <c r="J8939" s="15" t="s">
        <v>31582</v>
      </c>
      <c r="K8939" s="15" t="s">
        <v>1722</v>
      </c>
      <c r="L8939" s="15">
        <v>64.0</v>
      </c>
      <c r="M8939" s="40">
        <v>42543.0</v>
      </c>
      <c r="N8939" s="40">
        <v>42543.0</v>
      </c>
      <c r="O8939" s="15" t="s">
        <v>1554</v>
      </c>
      <c r="Q8939" s="7"/>
    </row>
    <row r="8940">
      <c r="A8940" s="39" t="s">
        <v>31584</v>
      </c>
      <c r="B8940" s="15">
        <v>1837219.0</v>
      </c>
      <c r="D8940" s="15">
        <v>0.0</v>
      </c>
      <c r="E8940" s="15" t="s">
        <v>1557</v>
      </c>
      <c r="F8940" s="15" t="s">
        <v>1833</v>
      </c>
      <c r="G8940" s="7">
        <v>49.178</v>
      </c>
      <c r="H8940" s="15" t="s">
        <v>1813</v>
      </c>
      <c r="I8940" s="15" t="s">
        <v>1586</v>
      </c>
      <c r="J8940" s="15" t="s">
        <v>31585</v>
      </c>
      <c r="K8940" s="15" t="s">
        <v>1722</v>
      </c>
      <c r="L8940" s="15">
        <v>83.0</v>
      </c>
      <c r="M8940" s="40">
        <v>42487.0</v>
      </c>
      <c r="N8940" s="40">
        <v>42487.0</v>
      </c>
      <c r="O8940" s="15" t="s">
        <v>1554</v>
      </c>
      <c r="Q8940" s="7"/>
    </row>
    <row r="8941">
      <c r="A8941" s="39" t="s">
        <v>31587</v>
      </c>
      <c r="B8941" s="15">
        <v>1883204.0</v>
      </c>
      <c r="D8941" s="15">
        <v>0.0</v>
      </c>
      <c r="E8941" s="15" t="s">
        <v>1557</v>
      </c>
      <c r="F8941" s="15" t="s">
        <v>1833</v>
      </c>
      <c r="G8941" s="7">
        <v>41.942</v>
      </c>
      <c r="H8941" s="15" t="s">
        <v>4673</v>
      </c>
      <c r="I8941" s="15" t="s">
        <v>1586</v>
      </c>
      <c r="J8941" s="15" t="s">
        <v>31588</v>
      </c>
      <c r="K8941" s="15" t="s">
        <v>1722</v>
      </c>
      <c r="L8941" s="15">
        <v>57.0</v>
      </c>
      <c r="M8941" s="40">
        <v>42590.0</v>
      </c>
      <c r="N8941" s="40">
        <v>42590.0</v>
      </c>
      <c r="O8941" s="15" t="s">
        <v>1554</v>
      </c>
      <c r="Q8941" s="7"/>
    </row>
    <row r="8942">
      <c r="A8942" s="39" t="s">
        <v>31589</v>
      </c>
      <c r="B8942" s="15">
        <v>1862963.0</v>
      </c>
      <c r="D8942" s="15">
        <v>0.0</v>
      </c>
      <c r="E8942" s="15" t="s">
        <v>1557</v>
      </c>
      <c r="F8942" s="15" t="s">
        <v>1833</v>
      </c>
      <c r="G8942" s="7">
        <v>22.251</v>
      </c>
      <c r="H8942" s="15" t="s">
        <v>3554</v>
      </c>
      <c r="I8942" s="15" t="s">
        <v>1586</v>
      </c>
      <c r="J8942" s="15" t="s">
        <v>31590</v>
      </c>
      <c r="K8942" s="15" t="s">
        <v>1722</v>
      </c>
      <c r="L8942" s="15">
        <v>38.0</v>
      </c>
      <c r="M8942" s="40">
        <v>42552.0</v>
      </c>
      <c r="N8942" s="40">
        <v>42552.0</v>
      </c>
      <c r="O8942" s="15" t="s">
        <v>1554</v>
      </c>
      <c r="Q8942" s="7"/>
    </row>
    <row r="8943">
      <c r="A8943" s="39" t="s">
        <v>31591</v>
      </c>
      <c r="B8943" s="15">
        <v>1873903.0</v>
      </c>
      <c r="D8943" s="15">
        <v>0.0</v>
      </c>
      <c r="E8943" s="15" t="s">
        <v>1557</v>
      </c>
      <c r="F8943" s="15" t="s">
        <v>1833</v>
      </c>
      <c r="G8943" s="7">
        <v>53.622</v>
      </c>
      <c r="H8943" s="15" t="s">
        <v>3542</v>
      </c>
      <c r="I8943" s="15" t="s">
        <v>1586</v>
      </c>
      <c r="J8943" s="15" t="s">
        <v>31593</v>
      </c>
      <c r="K8943" s="15">
        <v>91.0</v>
      </c>
      <c r="L8943" s="15">
        <v>91.0</v>
      </c>
      <c r="M8943" s="40">
        <v>42576.0</v>
      </c>
      <c r="N8943" s="40">
        <v>42576.0</v>
      </c>
      <c r="O8943" s="15" t="s">
        <v>1554</v>
      </c>
      <c r="Q8943" s="7"/>
    </row>
    <row r="8944">
      <c r="A8944" s="39" t="s">
        <v>31594</v>
      </c>
      <c r="B8944" s="15">
        <v>1887642.0</v>
      </c>
      <c r="D8944" s="15">
        <v>0.0</v>
      </c>
      <c r="E8944" s="15" t="s">
        <v>1557</v>
      </c>
      <c r="F8944" s="15" t="s">
        <v>1833</v>
      </c>
      <c r="G8944" s="7">
        <v>53.432</v>
      </c>
      <c r="H8944" s="15" t="s">
        <v>6615</v>
      </c>
      <c r="I8944" s="15" t="s">
        <v>1586</v>
      </c>
      <c r="J8944" s="15" t="s">
        <v>31595</v>
      </c>
      <c r="K8944" s="15">
        <v>83.0</v>
      </c>
      <c r="L8944" s="15">
        <v>83.0</v>
      </c>
      <c r="M8944" s="40">
        <v>42606.0</v>
      </c>
      <c r="N8944" s="40">
        <v>42748.0</v>
      </c>
      <c r="O8944" s="15" t="s">
        <v>1554</v>
      </c>
      <c r="Q8944" s="7"/>
    </row>
    <row r="8945">
      <c r="A8945" s="39" t="s">
        <v>31597</v>
      </c>
      <c r="B8945" s="15">
        <v>1871689.0</v>
      </c>
      <c r="D8945" s="15">
        <v>0.0</v>
      </c>
      <c r="E8945" s="15" t="s">
        <v>1557</v>
      </c>
      <c r="F8945" s="15" t="s">
        <v>1833</v>
      </c>
      <c r="G8945" s="7">
        <v>33.035</v>
      </c>
      <c r="H8945" s="15" t="s">
        <v>2103</v>
      </c>
      <c r="I8945" s="15" t="s">
        <v>1586</v>
      </c>
      <c r="J8945" s="15" t="s">
        <v>31598</v>
      </c>
      <c r="K8945" s="15">
        <v>52.0</v>
      </c>
      <c r="L8945" s="15">
        <v>52.0</v>
      </c>
      <c r="M8945" s="40">
        <v>42567.0</v>
      </c>
      <c r="N8945" s="40">
        <v>42626.0</v>
      </c>
      <c r="O8945" s="15" t="s">
        <v>1554</v>
      </c>
      <c r="Q8945" s="7"/>
    </row>
    <row r="8946">
      <c r="A8946" s="39" t="s">
        <v>31600</v>
      </c>
      <c r="B8946" s="15">
        <v>1805468.0</v>
      </c>
      <c r="D8946" s="15">
        <v>0.0</v>
      </c>
      <c r="E8946" s="15" t="s">
        <v>1557</v>
      </c>
      <c r="F8946" s="15" t="s">
        <v>1611</v>
      </c>
      <c r="G8946" s="7">
        <v>39.832</v>
      </c>
      <c r="H8946" s="15" t="s">
        <v>4521</v>
      </c>
      <c r="I8946" s="15" t="s">
        <v>1586</v>
      </c>
      <c r="J8946" s="15" t="s">
        <v>31601</v>
      </c>
      <c r="K8946" s="15">
        <v>50.0</v>
      </c>
      <c r="L8946" s="15">
        <v>50.0</v>
      </c>
      <c r="M8946" s="40">
        <v>42522.0</v>
      </c>
      <c r="N8946" s="40">
        <v>42563.0</v>
      </c>
      <c r="O8946" s="15" t="s">
        <v>1554</v>
      </c>
      <c r="Q8946" s="7"/>
    </row>
    <row r="8947">
      <c r="A8947" s="39" t="s">
        <v>31602</v>
      </c>
      <c r="B8947" s="15">
        <v>1871685.0</v>
      </c>
      <c r="D8947" s="15">
        <v>0.0</v>
      </c>
      <c r="E8947" s="15" t="s">
        <v>1557</v>
      </c>
      <c r="F8947" s="15" t="s">
        <v>1833</v>
      </c>
      <c r="G8947" s="7">
        <v>34.117</v>
      </c>
      <c r="H8947" s="15" t="s">
        <v>3554</v>
      </c>
      <c r="I8947" s="15" t="s">
        <v>1586</v>
      </c>
      <c r="J8947" s="15" t="s">
        <v>31604</v>
      </c>
      <c r="K8947" s="15">
        <v>51.0</v>
      </c>
      <c r="L8947" s="15">
        <v>51.0</v>
      </c>
      <c r="M8947" s="40">
        <v>42567.0</v>
      </c>
      <c r="N8947" s="40">
        <v>42626.0</v>
      </c>
      <c r="O8947" s="15" t="s">
        <v>1554</v>
      </c>
      <c r="Q8947" s="7"/>
    </row>
    <row r="8948">
      <c r="A8948" s="39" t="s">
        <v>31605</v>
      </c>
      <c r="B8948" s="15">
        <v>1814959.0</v>
      </c>
      <c r="D8948" s="15">
        <v>0.0</v>
      </c>
      <c r="E8948" s="15" t="s">
        <v>1557</v>
      </c>
      <c r="F8948" s="15" t="s">
        <v>1833</v>
      </c>
      <c r="G8948" s="7">
        <v>32.813</v>
      </c>
      <c r="H8948" s="15" t="s">
        <v>4331</v>
      </c>
      <c r="I8948" s="15" t="s">
        <v>1586</v>
      </c>
      <c r="J8948" s="15" t="s">
        <v>31607</v>
      </c>
      <c r="K8948" s="15">
        <v>49.0</v>
      </c>
      <c r="L8948" s="15">
        <v>48.0</v>
      </c>
      <c r="M8948" s="40">
        <v>42543.0</v>
      </c>
      <c r="N8948" s="40">
        <v>42543.0</v>
      </c>
      <c r="O8948" s="15" t="s">
        <v>1554</v>
      </c>
      <c r="Q8948" s="7"/>
    </row>
    <row r="8949">
      <c r="A8949" s="39" t="s">
        <v>31608</v>
      </c>
      <c r="B8949" s="15">
        <v>1852566.0</v>
      </c>
      <c r="D8949" s="15">
        <v>0.0</v>
      </c>
      <c r="E8949" s="15" t="s">
        <v>1557</v>
      </c>
      <c r="F8949" s="15" t="s">
        <v>1767</v>
      </c>
      <c r="G8949" s="7">
        <v>162.04</v>
      </c>
      <c r="H8949" s="15" t="s">
        <v>6565</v>
      </c>
      <c r="I8949" s="15" t="s">
        <v>1586</v>
      </c>
      <c r="J8949" s="15" t="s">
        <v>31610</v>
      </c>
      <c r="K8949" s="15">
        <v>292.0</v>
      </c>
      <c r="L8949" s="15">
        <v>292.0</v>
      </c>
      <c r="M8949" s="40">
        <v>42528.0</v>
      </c>
      <c r="N8949" s="40">
        <v>42528.0</v>
      </c>
      <c r="O8949" s="15" t="s">
        <v>1554</v>
      </c>
      <c r="Q8949" s="7"/>
    </row>
    <row r="8950">
      <c r="A8950" s="39" t="s">
        <v>31611</v>
      </c>
      <c r="B8950" s="15">
        <v>1883375.0</v>
      </c>
      <c r="D8950" s="15">
        <v>0.0</v>
      </c>
      <c r="E8950" s="15" t="s">
        <v>1557</v>
      </c>
      <c r="F8950" s="15" t="s">
        <v>1767</v>
      </c>
      <c r="G8950" s="7">
        <v>241.654</v>
      </c>
      <c r="H8950" s="15">
        <v>51.0</v>
      </c>
      <c r="I8950" s="15" t="s">
        <v>1586</v>
      </c>
      <c r="J8950" s="15" t="s">
        <v>31612</v>
      </c>
      <c r="K8950" s="15">
        <v>281.0</v>
      </c>
      <c r="L8950" s="15">
        <v>272.0</v>
      </c>
      <c r="M8950" s="40">
        <v>42596.0</v>
      </c>
      <c r="N8950" s="40">
        <v>42601.0</v>
      </c>
      <c r="O8950" s="15" t="s">
        <v>1554</v>
      </c>
      <c r="Q8950" s="7"/>
    </row>
    <row r="8951">
      <c r="A8951" s="39" t="s">
        <v>31613</v>
      </c>
      <c r="B8951" s="15">
        <v>1887653.0</v>
      </c>
      <c r="D8951" s="15">
        <v>0.0</v>
      </c>
      <c r="E8951" s="15" t="s">
        <v>1557</v>
      </c>
      <c r="F8951" s="15" t="s">
        <v>1833</v>
      </c>
      <c r="G8951" s="7">
        <v>52.738</v>
      </c>
      <c r="H8951" s="15">
        <v>62.0</v>
      </c>
      <c r="I8951" s="15" t="s">
        <v>1586</v>
      </c>
      <c r="J8951" s="15" t="s">
        <v>31614</v>
      </c>
      <c r="K8951" s="15">
        <v>101.0</v>
      </c>
      <c r="L8951" s="15">
        <v>98.0</v>
      </c>
      <c r="M8951" s="40">
        <v>42606.0</v>
      </c>
      <c r="N8951" s="40">
        <v>42606.0</v>
      </c>
      <c r="O8951" s="15" t="s">
        <v>1554</v>
      </c>
      <c r="Q8951" s="7"/>
    </row>
    <row r="8952">
      <c r="A8952" s="39" t="s">
        <v>21170</v>
      </c>
      <c r="B8952" s="15">
        <v>1871153.0</v>
      </c>
      <c r="C8952" s="15" t="s">
        <v>31616</v>
      </c>
      <c r="D8952" s="15">
        <v>340453.0</v>
      </c>
      <c r="E8952" s="15" t="s">
        <v>1659</v>
      </c>
      <c r="F8952" s="15" t="s">
        <v>10049</v>
      </c>
      <c r="G8952" s="7">
        <v>10.887</v>
      </c>
      <c r="H8952" s="15" t="s">
        <v>2777</v>
      </c>
      <c r="I8952" s="15" t="s">
        <v>1560</v>
      </c>
      <c r="J8952" s="15" t="s">
        <v>31617</v>
      </c>
      <c r="K8952" s="15">
        <v>1.0</v>
      </c>
      <c r="L8952" s="15">
        <v>1.0</v>
      </c>
      <c r="M8952" s="40">
        <v>42602.0</v>
      </c>
      <c r="N8952" s="40">
        <v>42611.0</v>
      </c>
      <c r="O8952" s="15" t="s">
        <v>1554</v>
      </c>
      <c r="Q8952" s="7"/>
    </row>
    <row r="8953">
      <c r="A8953" s="39" t="s">
        <v>31619</v>
      </c>
      <c r="B8953" s="15">
        <v>434309.0</v>
      </c>
      <c r="C8953" s="15" t="s">
        <v>31620</v>
      </c>
      <c r="D8953" s="15">
        <v>19577.0</v>
      </c>
      <c r="E8953" s="15" t="s">
        <v>1548</v>
      </c>
      <c r="F8953" s="15" t="s">
        <v>1776</v>
      </c>
      <c r="G8953" s="7">
        <v>8.115</v>
      </c>
      <c r="H8953" s="15" t="s">
        <v>1813</v>
      </c>
      <c r="I8953" s="15" t="s">
        <v>1686</v>
      </c>
      <c r="J8953" s="15" t="s">
        <v>31621</v>
      </c>
      <c r="K8953" s="15">
        <v>1.0</v>
      </c>
      <c r="L8953" s="15">
        <v>2.0</v>
      </c>
      <c r="M8953" s="40">
        <v>39197.0</v>
      </c>
      <c r="N8953" s="41">
        <v>42298.0</v>
      </c>
      <c r="O8953" s="15" t="s">
        <v>1554</v>
      </c>
      <c r="Q8953" s="7"/>
    </row>
    <row r="8954">
      <c r="A8954" s="39" t="s">
        <v>31622</v>
      </c>
      <c r="B8954" s="15">
        <v>1715293.0</v>
      </c>
      <c r="C8954" s="15" t="s">
        <v>20603</v>
      </c>
      <c r="D8954" s="15">
        <v>314778.0</v>
      </c>
      <c r="E8954" s="15" t="s">
        <v>1548</v>
      </c>
      <c r="F8954" s="15" t="s">
        <v>18494</v>
      </c>
      <c r="G8954" s="7">
        <v>9.006</v>
      </c>
      <c r="H8954" s="15" t="s">
        <v>2320</v>
      </c>
      <c r="I8954" s="15" t="s">
        <v>1686</v>
      </c>
      <c r="J8954" s="15" t="s">
        <v>31624</v>
      </c>
      <c r="K8954" s="15">
        <v>6.0</v>
      </c>
      <c r="L8954" s="15">
        <v>6.0</v>
      </c>
      <c r="M8954" s="40">
        <v>41547.0</v>
      </c>
      <c r="N8954" s="40">
        <v>42605.0</v>
      </c>
      <c r="O8954" s="15" t="s">
        <v>1554</v>
      </c>
      <c r="Q8954" s="7"/>
    </row>
    <row r="8955">
      <c r="A8955" s="39" t="s">
        <v>31625</v>
      </c>
      <c r="B8955" s="15">
        <v>1358124.0</v>
      </c>
      <c r="D8955" s="15">
        <v>0.0</v>
      </c>
      <c r="E8955" s="15" t="s">
        <v>1557</v>
      </c>
      <c r="F8955" s="15" t="s">
        <v>1833</v>
      </c>
      <c r="G8955" s="7">
        <v>76.131</v>
      </c>
      <c r="H8955" s="15">
        <v>63.0</v>
      </c>
      <c r="I8955" s="15" t="s">
        <v>1586</v>
      </c>
      <c r="J8955" s="15" t="s">
        <v>31626</v>
      </c>
      <c r="K8955" s="15">
        <v>145.0</v>
      </c>
      <c r="L8955" s="15">
        <v>143.0</v>
      </c>
      <c r="M8955" s="40">
        <v>41478.0</v>
      </c>
      <c r="N8955" s="40">
        <v>41478.0</v>
      </c>
      <c r="O8955" s="15" t="s">
        <v>1554</v>
      </c>
      <c r="Q8955" s="7"/>
    </row>
    <row r="8956">
      <c r="A8956" s="39" t="s">
        <v>31627</v>
      </c>
      <c r="B8956" s="15">
        <v>1805460.0</v>
      </c>
      <c r="D8956" s="15">
        <v>0.0</v>
      </c>
      <c r="E8956" s="15" t="s">
        <v>1557</v>
      </c>
      <c r="F8956" s="15" t="s">
        <v>1833</v>
      </c>
      <c r="G8956" s="7">
        <v>52.502</v>
      </c>
      <c r="H8956" s="15" t="s">
        <v>2038</v>
      </c>
      <c r="I8956" s="15" t="s">
        <v>1586</v>
      </c>
      <c r="J8956" s="15" t="s">
        <v>31628</v>
      </c>
      <c r="K8956" s="15">
        <v>102.0</v>
      </c>
      <c r="L8956" s="15">
        <v>99.0</v>
      </c>
      <c r="M8956" s="40">
        <v>42451.0</v>
      </c>
      <c r="N8956" s="40">
        <v>42451.0</v>
      </c>
      <c r="O8956" s="15" t="s">
        <v>1554</v>
      </c>
      <c r="Q8956" s="7"/>
    </row>
    <row r="8957">
      <c r="A8957" s="39" t="s">
        <v>31630</v>
      </c>
      <c r="B8957" s="15">
        <v>1677909.0</v>
      </c>
      <c r="D8957" s="15">
        <v>0.0</v>
      </c>
      <c r="E8957" s="15" t="s">
        <v>1557</v>
      </c>
      <c r="F8957" s="15" t="s">
        <v>1767</v>
      </c>
      <c r="G8957" s="7">
        <v>131.326</v>
      </c>
      <c r="H8957" s="42">
        <v>43216.0</v>
      </c>
      <c r="I8957" s="15" t="s">
        <v>1586</v>
      </c>
      <c r="J8957" s="15" t="s">
        <v>31631</v>
      </c>
      <c r="K8957" s="15">
        <v>182.0</v>
      </c>
      <c r="L8957" s="15">
        <v>181.0</v>
      </c>
      <c r="M8957" s="40">
        <v>42193.0</v>
      </c>
      <c r="N8957" s="40">
        <v>42970.0</v>
      </c>
      <c r="O8957" s="15" t="s">
        <v>1554</v>
      </c>
      <c r="Q8957" s="7"/>
    </row>
    <row r="8958">
      <c r="A8958" s="39" t="s">
        <v>31632</v>
      </c>
      <c r="B8958" s="15">
        <v>1589269.0</v>
      </c>
      <c r="D8958" s="15">
        <v>0.0</v>
      </c>
      <c r="E8958" s="15" t="s">
        <v>1557</v>
      </c>
      <c r="F8958" s="15" t="s">
        <v>1833</v>
      </c>
      <c r="G8958" s="7">
        <v>40.365</v>
      </c>
      <c r="H8958" s="15" t="s">
        <v>4287</v>
      </c>
      <c r="I8958" s="15" t="s">
        <v>1586</v>
      </c>
      <c r="J8958" s="15" t="s">
        <v>31633</v>
      </c>
      <c r="K8958" s="15" t="s">
        <v>1722</v>
      </c>
      <c r="L8958" s="15" t="s">
        <v>1722</v>
      </c>
      <c r="M8958" s="40">
        <v>42022.0</v>
      </c>
      <c r="N8958" s="40">
        <v>42069.0</v>
      </c>
      <c r="O8958" s="15" t="s">
        <v>1554</v>
      </c>
      <c r="Q8958" s="7"/>
    </row>
    <row r="8959">
      <c r="A8959" s="39" t="s">
        <v>31635</v>
      </c>
      <c r="B8959" s="15">
        <v>1821279.0</v>
      </c>
      <c r="D8959" s="15">
        <v>0.0</v>
      </c>
      <c r="E8959" s="15" t="s">
        <v>1557</v>
      </c>
      <c r="F8959" s="15" t="s">
        <v>1833</v>
      </c>
      <c r="G8959" s="7">
        <v>43.698</v>
      </c>
      <c r="H8959" s="15" t="s">
        <v>2400</v>
      </c>
      <c r="I8959" s="15" t="s">
        <v>1586</v>
      </c>
      <c r="J8959" s="15" t="s">
        <v>31636</v>
      </c>
      <c r="K8959" s="15">
        <v>72.0</v>
      </c>
      <c r="L8959" s="15">
        <v>72.0</v>
      </c>
      <c r="M8959" s="40">
        <v>42463.0</v>
      </c>
      <c r="N8959" s="40">
        <v>42463.0</v>
      </c>
      <c r="O8959" s="15" t="s">
        <v>1554</v>
      </c>
      <c r="Q8959" s="7"/>
    </row>
    <row r="8960">
      <c r="A8960" s="39" t="s">
        <v>31637</v>
      </c>
      <c r="B8960" s="15">
        <v>1572746.0</v>
      </c>
      <c r="D8960" s="15">
        <v>0.0</v>
      </c>
      <c r="E8960" s="15" t="s">
        <v>1557</v>
      </c>
      <c r="F8960" s="15" t="s">
        <v>1767</v>
      </c>
      <c r="G8960" s="7">
        <v>36.745</v>
      </c>
      <c r="H8960" s="15">
        <v>42.0</v>
      </c>
      <c r="I8960" s="15" t="s">
        <v>1586</v>
      </c>
      <c r="J8960" s="15" t="s">
        <v>31639</v>
      </c>
      <c r="K8960" s="15">
        <v>52.0</v>
      </c>
      <c r="L8960" s="15">
        <v>52.0</v>
      </c>
      <c r="M8960" s="40">
        <v>42255.0</v>
      </c>
      <c r="N8960" s="40">
        <v>42255.0</v>
      </c>
      <c r="O8960" s="15" t="s">
        <v>1554</v>
      </c>
      <c r="Q8960" s="7"/>
    </row>
    <row r="8961">
      <c r="A8961" s="39" t="s">
        <v>31640</v>
      </c>
      <c r="B8961" s="15">
        <v>1089107.0</v>
      </c>
      <c r="D8961" s="15">
        <v>0.0</v>
      </c>
      <c r="E8961" s="15" t="s">
        <v>1557</v>
      </c>
      <c r="F8961" s="15" t="s">
        <v>1833</v>
      </c>
      <c r="G8961" s="7">
        <v>68.133</v>
      </c>
      <c r="H8961" s="15" t="s">
        <v>4308</v>
      </c>
      <c r="I8961" s="15" t="s">
        <v>1586</v>
      </c>
      <c r="J8961" s="15" t="s">
        <v>31641</v>
      </c>
      <c r="K8961" s="15">
        <v>100.0</v>
      </c>
      <c r="L8961" s="15">
        <v>100.0</v>
      </c>
      <c r="M8961" s="40">
        <v>40853.0</v>
      </c>
      <c r="N8961" s="40">
        <v>40942.0</v>
      </c>
      <c r="O8961" s="15" t="s">
        <v>1554</v>
      </c>
      <c r="Q8961" s="7"/>
    </row>
    <row r="8962">
      <c r="A8962" s="39" t="s">
        <v>31642</v>
      </c>
      <c r="B8962" s="15">
        <v>1698440.0</v>
      </c>
      <c r="D8962" s="15">
        <v>0.0</v>
      </c>
      <c r="E8962" s="15" t="s">
        <v>1557</v>
      </c>
      <c r="F8962" s="15" t="s">
        <v>1833</v>
      </c>
      <c r="G8962" s="7">
        <v>57.249</v>
      </c>
      <c r="H8962" s="15">
        <v>68.0</v>
      </c>
      <c r="I8962" s="15" t="s">
        <v>1586</v>
      </c>
      <c r="J8962" s="15" t="s">
        <v>31643</v>
      </c>
      <c r="K8962" s="15">
        <v>93.0</v>
      </c>
      <c r="L8962" s="15">
        <v>92.0</v>
      </c>
      <c r="M8962" s="40">
        <v>42245.0</v>
      </c>
      <c r="N8962" s="40">
        <v>42245.0</v>
      </c>
      <c r="O8962" s="15" t="s">
        <v>1554</v>
      </c>
      <c r="Q8962" s="7"/>
    </row>
    <row r="8963">
      <c r="A8963" s="39" t="s">
        <v>31645</v>
      </c>
      <c r="B8963" s="15">
        <v>1195075.0</v>
      </c>
      <c r="D8963" s="15">
        <v>0.0</v>
      </c>
      <c r="E8963" s="15" t="s">
        <v>1557</v>
      </c>
      <c r="F8963" s="15" t="s">
        <v>1833</v>
      </c>
      <c r="G8963" s="7">
        <v>52.494</v>
      </c>
      <c r="H8963" s="15" t="s">
        <v>4108</v>
      </c>
      <c r="I8963" s="15" t="s">
        <v>1586</v>
      </c>
      <c r="J8963" s="15" t="s">
        <v>31646</v>
      </c>
      <c r="K8963" s="15">
        <v>100.0</v>
      </c>
      <c r="L8963" s="15">
        <v>99.0</v>
      </c>
      <c r="M8963" s="40">
        <v>41084.0</v>
      </c>
      <c r="N8963" s="40">
        <v>41084.0</v>
      </c>
      <c r="O8963" s="15" t="s">
        <v>1554</v>
      </c>
      <c r="Q8963" s="7"/>
    </row>
    <row r="8964">
      <c r="A8964" s="39" t="s">
        <v>31647</v>
      </c>
      <c r="B8964" s="15">
        <v>1647468.0</v>
      </c>
      <c r="D8964" s="15">
        <v>0.0</v>
      </c>
      <c r="E8964" s="15" t="s">
        <v>1557</v>
      </c>
      <c r="F8964" s="15" t="s">
        <v>1767</v>
      </c>
      <c r="G8964" s="7">
        <v>35.203</v>
      </c>
      <c r="H8964" s="15" t="s">
        <v>5179</v>
      </c>
      <c r="I8964" s="15" t="s">
        <v>1586</v>
      </c>
      <c r="J8964" s="15" t="s">
        <v>31648</v>
      </c>
      <c r="K8964" s="15">
        <v>49.0</v>
      </c>
      <c r="L8964" s="15">
        <v>49.0</v>
      </c>
      <c r="M8964" s="40">
        <v>42270.0</v>
      </c>
      <c r="N8964" s="40">
        <v>42814.0</v>
      </c>
      <c r="O8964" s="15" t="s">
        <v>1554</v>
      </c>
      <c r="Q8964" s="7"/>
    </row>
    <row r="8965">
      <c r="A8965" s="39" t="s">
        <v>31649</v>
      </c>
      <c r="B8965" s="15">
        <v>1792228.0</v>
      </c>
      <c r="D8965" s="15">
        <v>0.0</v>
      </c>
      <c r="E8965" s="15" t="s">
        <v>1557</v>
      </c>
      <c r="F8965" s="15" t="s">
        <v>1833</v>
      </c>
      <c r="G8965" s="7">
        <v>50.877</v>
      </c>
      <c r="H8965" s="15">
        <v>64.0</v>
      </c>
      <c r="I8965" s="15" t="s">
        <v>1586</v>
      </c>
      <c r="J8965" s="15" t="s">
        <v>31650</v>
      </c>
      <c r="K8965" s="15">
        <v>91.0</v>
      </c>
      <c r="L8965" s="15">
        <v>88.0</v>
      </c>
      <c r="M8965" s="40">
        <v>42442.0</v>
      </c>
      <c r="N8965" s="40">
        <v>42442.0</v>
      </c>
      <c r="O8965" s="15" t="s">
        <v>1554</v>
      </c>
      <c r="Q8965" s="7"/>
    </row>
    <row r="8966">
      <c r="A8966" s="39" t="s">
        <v>31652</v>
      </c>
      <c r="B8966" s="15">
        <v>1690806.0</v>
      </c>
      <c r="D8966" s="15">
        <v>0.0</v>
      </c>
      <c r="E8966" s="15" t="s">
        <v>1557</v>
      </c>
      <c r="F8966" s="15" t="s">
        <v>1833</v>
      </c>
      <c r="G8966" s="7">
        <v>29.602</v>
      </c>
      <c r="H8966" s="15">
        <v>54.0</v>
      </c>
      <c r="I8966" s="15" t="s">
        <v>1586</v>
      </c>
      <c r="J8966" s="15" t="s">
        <v>31653</v>
      </c>
      <c r="K8966" s="15">
        <v>43.0</v>
      </c>
      <c r="L8966" s="15">
        <v>43.0</v>
      </c>
      <c r="M8966" s="40">
        <v>42245.0</v>
      </c>
      <c r="N8966" s="40">
        <v>42460.0</v>
      </c>
      <c r="O8966" s="15" t="s">
        <v>1554</v>
      </c>
      <c r="Q8966" s="7"/>
    </row>
    <row r="8967">
      <c r="A8967" s="39" t="s">
        <v>31654</v>
      </c>
      <c r="B8967" s="15">
        <v>1673878.0</v>
      </c>
      <c r="D8967" s="15">
        <v>0.0</v>
      </c>
      <c r="E8967" s="15" t="s">
        <v>1557</v>
      </c>
      <c r="F8967" s="15" t="s">
        <v>1833</v>
      </c>
      <c r="G8967" s="7">
        <v>49.483</v>
      </c>
      <c r="H8967" s="15" t="s">
        <v>17295</v>
      </c>
      <c r="I8967" s="15" t="s">
        <v>1586</v>
      </c>
      <c r="J8967" s="15" t="s">
        <v>31655</v>
      </c>
      <c r="K8967" s="15">
        <v>75.0</v>
      </c>
      <c r="L8967" s="15">
        <v>75.0</v>
      </c>
      <c r="M8967" s="40">
        <v>42234.0</v>
      </c>
      <c r="N8967" s="40">
        <v>42430.0</v>
      </c>
      <c r="O8967" s="15" t="s">
        <v>1554</v>
      </c>
      <c r="Q8967" s="7"/>
    </row>
    <row r="8968">
      <c r="A8968" s="39" t="s">
        <v>31657</v>
      </c>
      <c r="B8968" s="15">
        <v>1690426.0</v>
      </c>
      <c r="D8968" s="15">
        <v>0.0</v>
      </c>
      <c r="E8968" s="15" t="s">
        <v>1557</v>
      </c>
      <c r="F8968" s="15" t="s">
        <v>1833</v>
      </c>
      <c r="G8968" s="7">
        <v>49.562</v>
      </c>
      <c r="H8968" s="15" t="s">
        <v>6204</v>
      </c>
      <c r="I8968" s="15" t="s">
        <v>1586</v>
      </c>
      <c r="J8968" s="15" t="s">
        <v>31658</v>
      </c>
      <c r="K8968" s="15">
        <v>73.0</v>
      </c>
      <c r="L8968" s="15">
        <v>73.0</v>
      </c>
      <c r="M8968" s="40">
        <v>42234.0</v>
      </c>
      <c r="N8968" s="40">
        <v>42234.0</v>
      </c>
      <c r="O8968" s="15" t="s">
        <v>1554</v>
      </c>
      <c r="Q8968" s="7"/>
    </row>
    <row r="8969">
      <c r="A8969" s="39" t="s">
        <v>31659</v>
      </c>
      <c r="B8969" s="15">
        <v>1675550.0</v>
      </c>
      <c r="D8969" s="15">
        <v>0.0</v>
      </c>
      <c r="E8969" s="15" t="s">
        <v>1557</v>
      </c>
      <c r="F8969" s="15" t="s">
        <v>1833</v>
      </c>
      <c r="G8969" s="7">
        <v>58.456</v>
      </c>
      <c r="H8969" s="15" t="s">
        <v>3086</v>
      </c>
      <c r="I8969" s="15" t="s">
        <v>1586</v>
      </c>
      <c r="J8969" s="15" t="s">
        <v>31660</v>
      </c>
      <c r="K8969" s="15">
        <v>112.0</v>
      </c>
      <c r="L8969" s="15">
        <v>112.0</v>
      </c>
      <c r="M8969" s="40">
        <v>42225.0</v>
      </c>
      <c r="N8969" s="40">
        <v>42542.0</v>
      </c>
      <c r="O8969" s="15" t="s">
        <v>1554</v>
      </c>
      <c r="Q8969" s="7"/>
    </row>
    <row r="8970">
      <c r="A8970" s="39" t="s">
        <v>31661</v>
      </c>
      <c r="B8970" s="15">
        <v>1701852.0</v>
      </c>
      <c r="D8970" s="15">
        <v>0.0</v>
      </c>
      <c r="E8970" s="15" t="s">
        <v>1557</v>
      </c>
      <c r="F8970" s="15" t="s">
        <v>1833</v>
      </c>
      <c r="G8970" s="7">
        <v>75.586</v>
      </c>
      <c r="H8970" s="15" t="s">
        <v>10407</v>
      </c>
      <c r="I8970" s="15" t="s">
        <v>1586</v>
      </c>
      <c r="J8970" s="15" t="s">
        <v>31663</v>
      </c>
      <c r="K8970" s="15">
        <v>138.0</v>
      </c>
      <c r="L8970" s="15">
        <v>128.0</v>
      </c>
      <c r="M8970" s="40">
        <v>42239.0</v>
      </c>
      <c r="N8970" s="40">
        <v>42239.0</v>
      </c>
      <c r="O8970" s="15" t="s">
        <v>1554</v>
      </c>
      <c r="Q8970" s="7"/>
    </row>
    <row r="8971">
      <c r="A8971" s="39" t="s">
        <v>31664</v>
      </c>
      <c r="B8971" s="15">
        <v>1642588.0</v>
      </c>
      <c r="D8971" s="15">
        <v>0.0</v>
      </c>
      <c r="E8971" s="15" t="s">
        <v>1557</v>
      </c>
      <c r="F8971" s="15" t="s">
        <v>1833</v>
      </c>
      <c r="G8971" s="7">
        <v>42.887</v>
      </c>
      <c r="H8971" s="15" t="s">
        <v>5955</v>
      </c>
      <c r="I8971" s="15" t="s">
        <v>1586</v>
      </c>
      <c r="J8971" s="15" t="s">
        <v>31665</v>
      </c>
      <c r="K8971" s="15" t="s">
        <v>1722</v>
      </c>
      <c r="L8971" s="15">
        <v>57.0</v>
      </c>
      <c r="M8971" s="40">
        <v>42261.0</v>
      </c>
      <c r="N8971" s="40">
        <v>42261.0</v>
      </c>
      <c r="O8971" s="15" t="s">
        <v>1554</v>
      </c>
      <c r="Q8971" s="7"/>
    </row>
    <row r="8972">
      <c r="A8972" s="39" t="s">
        <v>31667</v>
      </c>
      <c r="B8972" s="15">
        <v>39804.0</v>
      </c>
      <c r="C8972" s="15" t="s">
        <v>31668</v>
      </c>
      <c r="D8972" s="15">
        <v>307769.0</v>
      </c>
      <c r="E8972" s="15" t="s">
        <v>1548</v>
      </c>
      <c r="F8972" s="15" t="s">
        <v>4850</v>
      </c>
      <c r="G8972" s="7">
        <v>4.184</v>
      </c>
      <c r="H8972" s="15" t="s">
        <v>2263</v>
      </c>
      <c r="I8972" s="15" t="s">
        <v>1586</v>
      </c>
      <c r="J8972" s="15" t="s">
        <v>31669</v>
      </c>
      <c r="K8972" s="15">
        <v>4.0</v>
      </c>
      <c r="L8972" s="15">
        <v>4.0</v>
      </c>
      <c r="M8972" s="41">
        <v>39043.0</v>
      </c>
      <c r="N8972" s="40">
        <v>42374.0</v>
      </c>
      <c r="O8972" s="15" t="s">
        <v>1554</v>
      </c>
      <c r="Q8972" s="7"/>
    </row>
    <row r="8973">
      <c r="A8973" s="39" t="s">
        <v>31670</v>
      </c>
      <c r="B8973" s="15">
        <v>1873950.0</v>
      </c>
      <c r="D8973" s="15">
        <v>0.0</v>
      </c>
      <c r="E8973" s="15" t="s">
        <v>1557</v>
      </c>
      <c r="F8973" s="15" t="s">
        <v>1833</v>
      </c>
      <c r="G8973" s="7">
        <v>50.884</v>
      </c>
      <c r="H8973" s="15">
        <v>64.0</v>
      </c>
      <c r="I8973" s="15" t="s">
        <v>1586</v>
      </c>
      <c r="J8973" s="15" t="s">
        <v>31671</v>
      </c>
      <c r="K8973" s="15" t="s">
        <v>1722</v>
      </c>
      <c r="L8973" s="15">
        <v>90.0</v>
      </c>
      <c r="M8973" s="40">
        <v>42576.0</v>
      </c>
      <c r="N8973" s="40">
        <v>42576.0</v>
      </c>
      <c r="O8973" s="15" t="s">
        <v>1554</v>
      </c>
      <c r="Q8973" s="7"/>
    </row>
    <row r="8974">
      <c r="A8974" s="39" t="s">
        <v>31672</v>
      </c>
      <c r="B8974" s="15">
        <v>1700839.0</v>
      </c>
      <c r="D8974" s="15">
        <v>0.0</v>
      </c>
      <c r="E8974" s="15" t="s">
        <v>1557</v>
      </c>
      <c r="F8974" s="15" t="s">
        <v>1833</v>
      </c>
      <c r="G8974" s="7">
        <v>46.596</v>
      </c>
      <c r="H8974" s="15" t="s">
        <v>3101</v>
      </c>
      <c r="I8974" s="15" t="s">
        <v>1586</v>
      </c>
      <c r="J8974" s="15" t="s">
        <v>31674</v>
      </c>
      <c r="K8974" s="15">
        <v>69.0</v>
      </c>
      <c r="L8974" s="15">
        <v>66.0</v>
      </c>
      <c r="M8974" s="40">
        <v>42245.0</v>
      </c>
      <c r="N8974" s="40">
        <v>42245.0</v>
      </c>
      <c r="O8974" s="15" t="s">
        <v>1554</v>
      </c>
      <c r="Q8974" s="7"/>
    </row>
    <row r="8975">
      <c r="A8975" s="39" t="s">
        <v>31675</v>
      </c>
      <c r="B8975" s="15">
        <v>1714621.0</v>
      </c>
      <c r="C8975" s="15" t="s">
        <v>18628</v>
      </c>
      <c r="D8975" s="15">
        <v>14675.0</v>
      </c>
      <c r="E8975" s="15" t="s">
        <v>1548</v>
      </c>
      <c r="F8975" s="15" t="s">
        <v>18494</v>
      </c>
      <c r="G8975" s="7">
        <v>8.91</v>
      </c>
      <c r="H8975" s="15" t="s">
        <v>1802</v>
      </c>
      <c r="I8975" s="15" t="s">
        <v>1686</v>
      </c>
      <c r="J8975" s="15" t="s">
        <v>31676</v>
      </c>
      <c r="K8975" s="15">
        <v>6.0</v>
      </c>
      <c r="L8975" s="15">
        <v>6.0</v>
      </c>
      <c r="M8975" s="40">
        <v>34340.0</v>
      </c>
      <c r="N8975" s="40">
        <v>42612.0</v>
      </c>
      <c r="O8975" s="15" t="s">
        <v>1554</v>
      </c>
      <c r="Q8975" s="7"/>
    </row>
    <row r="8976">
      <c r="A8976" s="39" t="s">
        <v>31677</v>
      </c>
      <c r="B8976" s="15">
        <v>1548719.0</v>
      </c>
      <c r="C8976" s="15" t="s">
        <v>18622</v>
      </c>
      <c r="D8976" s="15">
        <v>300260.0</v>
      </c>
      <c r="E8976" s="15" t="s">
        <v>1548</v>
      </c>
      <c r="F8976" s="15" t="s">
        <v>18494</v>
      </c>
      <c r="G8976" s="7">
        <v>8.901</v>
      </c>
      <c r="H8976" s="15" t="s">
        <v>2428</v>
      </c>
      <c r="I8976" s="15" t="s">
        <v>1686</v>
      </c>
      <c r="J8976" s="15" t="s">
        <v>31679</v>
      </c>
      <c r="K8976" s="15">
        <v>6.0</v>
      </c>
      <c r="L8976" s="15">
        <v>6.0</v>
      </c>
      <c r="M8976" s="40">
        <v>41113.0</v>
      </c>
      <c r="N8976" s="40">
        <v>42612.0</v>
      </c>
      <c r="O8976" s="15" t="s">
        <v>1554</v>
      </c>
      <c r="Q8976" s="7"/>
    </row>
    <row r="8977">
      <c r="A8977" s="39" t="s">
        <v>31680</v>
      </c>
      <c r="B8977" s="15">
        <v>1715288.0</v>
      </c>
      <c r="C8977" s="15" t="s">
        <v>31681</v>
      </c>
      <c r="D8977" s="15">
        <v>296131.0</v>
      </c>
      <c r="E8977" s="15" t="s">
        <v>1548</v>
      </c>
      <c r="F8977" s="15" t="s">
        <v>18494</v>
      </c>
      <c r="G8977" s="7">
        <v>8.93</v>
      </c>
      <c r="H8977" s="15" t="s">
        <v>2820</v>
      </c>
      <c r="I8977" s="15" t="s">
        <v>1686</v>
      </c>
      <c r="J8977" s="15" t="s">
        <v>31682</v>
      </c>
      <c r="K8977" s="15">
        <v>6.0</v>
      </c>
      <c r="L8977" s="15">
        <v>6.0</v>
      </c>
      <c r="M8977" s="40">
        <v>41386.0</v>
      </c>
      <c r="N8977" s="40">
        <v>42605.0</v>
      </c>
      <c r="O8977" s="15" t="s">
        <v>1554</v>
      </c>
      <c r="Q8977" s="7"/>
    </row>
    <row r="8978">
      <c r="A8978" s="39" t="s">
        <v>31683</v>
      </c>
      <c r="B8978" s="15">
        <v>1692242.0</v>
      </c>
      <c r="C8978" s="15" t="s">
        <v>31684</v>
      </c>
      <c r="D8978" s="15">
        <v>293720.0</v>
      </c>
      <c r="E8978" s="15" t="s">
        <v>1808</v>
      </c>
      <c r="F8978" s="15" t="s">
        <v>1998</v>
      </c>
      <c r="G8978" s="7">
        <v>1.901</v>
      </c>
      <c r="H8978" s="15" t="s">
        <v>3798</v>
      </c>
      <c r="I8978" s="15" t="s">
        <v>1686</v>
      </c>
      <c r="J8978" s="15" t="s">
        <v>31685</v>
      </c>
      <c r="K8978" s="15">
        <v>2.0</v>
      </c>
      <c r="L8978" s="15">
        <v>2.0</v>
      </c>
      <c r="M8978" s="40">
        <v>42232.0</v>
      </c>
      <c r="N8978" s="40">
        <v>42240.0</v>
      </c>
      <c r="O8978" s="15" t="s">
        <v>1554</v>
      </c>
      <c r="Q8978" s="7"/>
    </row>
    <row r="8979">
      <c r="A8979" s="39" t="s">
        <v>31687</v>
      </c>
      <c r="B8979" s="15">
        <v>1655655.0</v>
      </c>
      <c r="D8979" s="15">
        <v>0.0</v>
      </c>
      <c r="E8979" s="15" t="s">
        <v>1808</v>
      </c>
      <c r="F8979" s="15" t="s">
        <v>3154</v>
      </c>
      <c r="G8979" s="7">
        <v>4.451</v>
      </c>
      <c r="H8979" s="15" t="s">
        <v>1859</v>
      </c>
      <c r="I8979" s="15" t="s">
        <v>1586</v>
      </c>
      <c r="J8979" s="15" t="s">
        <v>31688</v>
      </c>
      <c r="K8979" s="15" t="s">
        <v>1722</v>
      </c>
      <c r="L8979" s="15">
        <v>5.0</v>
      </c>
      <c r="M8979" s="40">
        <v>42151.0</v>
      </c>
      <c r="N8979" s="40">
        <v>42151.0</v>
      </c>
      <c r="O8979" s="15" t="s">
        <v>1554</v>
      </c>
      <c r="Q8979" s="7"/>
    </row>
    <row r="8980">
      <c r="A8980" s="39" t="s">
        <v>31689</v>
      </c>
      <c r="B8980" s="15">
        <v>1500804.0</v>
      </c>
      <c r="D8980" s="15">
        <v>0.0</v>
      </c>
      <c r="E8980" s="15" t="s">
        <v>1557</v>
      </c>
      <c r="F8980" s="15" t="s">
        <v>1833</v>
      </c>
      <c r="G8980" s="7">
        <v>29.407</v>
      </c>
      <c r="H8980" s="15" t="s">
        <v>4204</v>
      </c>
      <c r="I8980" s="15" t="s">
        <v>1586</v>
      </c>
      <c r="J8980" s="15" t="s">
        <v>31690</v>
      </c>
      <c r="K8980" s="15">
        <v>46.0</v>
      </c>
      <c r="L8980" s="15">
        <v>46.0</v>
      </c>
      <c r="M8980" s="40">
        <v>42114.0</v>
      </c>
      <c r="N8980" s="40">
        <v>42114.0</v>
      </c>
      <c r="O8980" s="15" t="s">
        <v>1554</v>
      </c>
      <c r="Q8980" s="7"/>
    </row>
    <row r="8981">
      <c r="A8981" s="39" t="s">
        <v>31692</v>
      </c>
      <c r="B8981" s="15">
        <v>1500809.0</v>
      </c>
      <c r="D8981" s="15">
        <v>0.0</v>
      </c>
      <c r="E8981" s="15" t="s">
        <v>1557</v>
      </c>
      <c r="F8981" s="15" t="s">
        <v>1833</v>
      </c>
      <c r="G8981" s="7">
        <v>29.491</v>
      </c>
      <c r="H8981" s="15" t="s">
        <v>6085</v>
      </c>
      <c r="I8981" s="15" t="s">
        <v>1586</v>
      </c>
      <c r="J8981" s="15" t="s">
        <v>31693</v>
      </c>
      <c r="K8981" s="15">
        <v>46.0</v>
      </c>
      <c r="L8981" s="15">
        <v>46.0</v>
      </c>
      <c r="M8981" s="40">
        <v>42114.0</v>
      </c>
      <c r="N8981" s="40">
        <v>42114.0</v>
      </c>
      <c r="O8981" s="15" t="s">
        <v>1554</v>
      </c>
      <c r="Q8981" s="7"/>
    </row>
    <row r="8982">
      <c r="A8982" s="39" t="s">
        <v>31694</v>
      </c>
      <c r="B8982" s="15">
        <v>1220601.0</v>
      </c>
      <c r="D8982" s="15">
        <v>0.0</v>
      </c>
      <c r="E8982" s="15" t="s">
        <v>1557</v>
      </c>
      <c r="F8982" s="15" t="s">
        <v>1767</v>
      </c>
      <c r="G8982" s="7">
        <v>43.444</v>
      </c>
      <c r="H8982" s="15" t="s">
        <v>6118</v>
      </c>
      <c r="I8982" s="15" t="s">
        <v>1586</v>
      </c>
      <c r="J8982" s="15" t="s">
        <v>31695</v>
      </c>
      <c r="K8982" s="15">
        <v>57.0</v>
      </c>
      <c r="L8982" s="15">
        <v>56.0</v>
      </c>
      <c r="M8982" s="40">
        <v>41290.0</v>
      </c>
      <c r="N8982" s="40">
        <v>41642.0</v>
      </c>
      <c r="O8982" s="15" t="s">
        <v>1554</v>
      </c>
      <c r="Q8982" s="7"/>
    </row>
    <row r="8983">
      <c r="A8983" s="39" t="s">
        <v>31696</v>
      </c>
      <c r="B8983" s="15">
        <v>1235652.0</v>
      </c>
      <c r="D8983" s="15">
        <v>0.0</v>
      </c>
      <c r="E8983" s="15" t="s">
        <v>1557</v>
      </c>
      <c r="F8983" s="15" t="s">
        <v>1833</v>
      </c>
      <c r="G8983" s="7">
        <v>29.451</v>
      </c>
      <c r="H8983" s="15" t="s">
        <v>2271</v>
      </c>
      <c r="I8983" s="15" t="s">
        <v>1586</v>
      </c>
      <c r="J8983" s="15" t="s">
        <v>31697</v>
      </c>
      <c r="K8983" s="15">
        <v>45.0</v>
      </c>
      <c r="L8983" s="15">
        <v>45.0</v>
      </c>
      <c r="M8983" s="40">
        <v>41521.0</v>
      </c>
      <c r="N8983" s="40">
        <v>41521.0</v>
      </c>
      <c r="O8983" s="15" t="s">
        <v>1554</v>
      </c>
      <c r="Q8983" s="7"/>
    </row>
    <row r="8984">
      <c r="A8984" s="39" t="s">
        <v>31698</v>
      </c>
      <c r="B8984" s="15">
        <v>1558465.0</v>
      </c>
      <c r="D8984" s="15">
        <v>0.0</v>
      </c>
      <c r="E8984" s="15" t="s">
        <v>1557</v>
      </c>
      <c r="F8984" s="15" t="s">
        <v>1611</v>
      </c>
      <c r="G8984" s="7">
        <v>46.149</v>
      </c>
      <c r="H8984" s="15" t="s">
        <v>2648</v>
      </c>
      <c r="I8984" s="15" t="s">
        <v>1586</v>
      </c>
      <c r="J8984" s="15" t="s">
        <v>31699</v>
      </c>
      <c r="K8984" s="15">
        <v>76.0</v>
      </c>
      <c r="L8984" s="15">
        <v>75.0</v>
      </c>
      <c r="M8984" s="40">
        <v>42823.0</v>
      </c>
      <c r="N8984" s="40">
        <v>42898.0</v>
      </c>
      <c r="O8984" s="15" t="s">
        <v>1554</v>
      </c>
      <c r="Q8984" s="7"/>
    </row>
    <row r="8985">
      <c r="A8985" s="39" t="s">
        <v>17780</v>
      </c>
      <c r="B8985" s="15">
        <v>1493508.0</v>
      </c>
      <c r="D8985" s="15">
        <v>0.0</v>
      </c>
      <c r="E8985" s="15" t="s">
        <v>1557</v>
      </c>
      <c r="F8985" s="15" t="s">
        <v>1767</v>
      </c>
      <c r="G8985" s="7">
        <v>154.99</v>
      </c>
      <c r="H8985" s="15" t="s">
        <v>2197</v>
      </c>
      <c r="I8985" s="15" t="s">
        <v>1586</v>
      </c>
      <c r="J8985" s="15" t="s">
        <v>31701</v>
      </c>
      <c r="K8985" s="15">
        <v>215.0</v>
      </c>
      <c r="L8985" s="15">
        <v>215.0</v>
      </c>
      <c r="M8985" s="40">
        <v>42104.0</v>
      </c>
      <c r="N8985" s="40">
        <v>42104.0</v>
      </c>
      <c r="O8985" s="15" t="s">
        <v>1554</v>
      </c>
      <c r="Q8985" s="7"/>
    </row>
    <row r="8986">
      <c r="A8986" s="39" t="s">
        <v>17696</v>
      </c>
      <c r="B8986" s="15">
        <v>1493514.0</v>
      </c>
      <c r="D8986" s="15">
        <v>0.0</v>
      </c>
      <c r="E8986" s="15" t="s">
        <v>1557</v>
      </c>
      <c r="F8986" s="15" t="s">
        <v>1767</v>
      </c>
      <c r="G8986" s="7">
        <v>192.117</v>
      </c>
      <c r="H8986" s="15" t="s">
        <v>1607</v>
      </c>
      <c r="I8986" s="15" t="s">
        <v>1586</v>
      </c>
      <c r="J8986" s="15" t="s">
        <v>31702</v>
      </c>
      <c r="K8986" s="15">
        <v>223.0</v>
      </c>
      <c r="L8986" s="15">
        <v>223.0</v>
      </c>
      <c r="M8986" s="40">
        <v>42104.0</v>
      </c>
      <c r="N8986" s="40">
        <v>42104.0</v>
      </c>
      <c r="O8986" s="15" t="s">
        <v>1554</v>
      </c>
      <c r="Q8986" s="7"/>
    </row>
    <row r="8987">
      <c r="A8987" s="39" t="s">
        <v>17693</v>
      </c>
      <c r="B8987" s="15">
        <v>1493511.0</v>
      </c>
      <c r="D8987" s="15">
        <v>0.0</v>
      </c>
      <c r="E8987" s="15" t="s">
        <v>1557</v>
      </c>
      <c r="F8987" s="15" t="s">
        <v>1767</v>
      </c>
      <c r="G8987" s="7">
        <v>225.059</v>
      </c>
      <c r="H8987" s="15" t="s">
        <v>2118</v>
      </c>
      <c r="I8987" s="15" t="s">
        <v>1586</v>
      </c>
      <c r="J8987" s="15" t="s">
        <v>31705</v>
      </c>
      <c r="K8987" s="15">
        <v>282.0</v>
      </c>
      <c r="L8987" s="15">
        <v>282.0</v>
      </c>
      <c r="M8987" s="40">
        <v>42104.0</v>
      </c>
      <c r="N8987" s="40">
        <v>42104.0</v>
      </c>
      <c r="O8987" s="15" t="s">
        <v>1554</v>
      </c>
      <c r="Q8987" s="7"/>
    </row>
    <row r="8988">
      <c r="A8988" s="39" t="s">
        <v>17687</v>
      </c>
      <c r="B8988" s="15">
        <v>1493507.0</v>
      </c>
      <c r="D8988" s="15">
        <v>0.0</v>
      </c>
      <c r="E8988" s="15" t="s">
        <v>1557</v>
      </c>
      <c r="F8988" s="15" t="s">
        <v>1767</v>
      </c>
      <c r="G8988" s="7">
        <v>171.279</v>
      </c>
      <c r="H8988" s="15" t="s">
        <v>2304</v>
      </c>
      <c r="I8988" s="15" t="s">
        <v>1586</v>
      </c>
      <c r="J8988" s="15" t="s">
        <v>31707</v>
      </c>
      <c r="K8988" s="15">
        <v>209.0</v>
      </c>
      <c r="L8988" s="15">
        <v>209.0</v>
      </c>
      <c r="M8988" s="40">
        <v>42104.0</v>
      </c>
      <c r="N8988" s="40">
        <v>42104.0</v>
      </c>
      <c r="O8988" s="15" t="s">
        <v>1554</v>
      </c>
      <c r="Q8988" s="7"/>
    </row>
    <row r="8989">
      <c r="A8989" s="39" t="s">
        <v>17683</v>
      </c>
      <c r="B8989" s="15">
        <v>1493509.0</v>
      </c>
      <c r="D8989" s="15">
        <v>0.0</v>
      </c>
      <c r="E8989" s="15" t="s">
        <v>1557</v>
      </c>
      <c r="F8989" s="15" t="s">
        <v>1767</v>
      </c>
      <c r="G8989" s="7">
        <v>179.2</v>
      </c>
      <c r="H8989" s="15" t="s">
        <v>2640</v>
      </c>
      <c r="I8989" s="15" t="s">
        <v>1586</v>
      </c>
      <c r="J8989" s="15" t="s">
        <v>31709</v>
      </c>
      <c r="K8989" s="15">
        <v>218.0</v>
      </c>
      <c r="L8989" s="15">
        <v>218.0</v>
      </c>
      <c r="M8989" s="40">
        <v>42104.0</v>
      </c>
      <c r="N8989" s="40">
        <v>42104.0</v>
      </c>
      <c r="O8989" s="15" t="s">
        <v>1554</v>
      </c>
      <c r="Q8989" s="7"/>
    </row>
    <row r="8990">
      <c r="A8990" s="39" t="s">
        <v>31710</v>
      </c>
      <c r="B8990" s="15">
        <v>1414741.0</v>
      </c>
      <c r="D8990" s="15">
        <v>0.0</v>
      </c>
      <c r="E8990" s="15" t="s">
        <v>1557</v>
      </c>
      <c r="F8990" s="15" t="s">
        <v>1833</v>
      </c>
      <c r="G8990" s="7">
        <v>28.452</v>
      </c>
      <c r="H8990" s="15" t="s">
        <v>3260</v>
      </c>
      <c r="I8990" s="15" t="s">
        <v>1586</v>
      </c>
      <c r="J8990" s="15" t="s">
        <v>31711</v>
      </c>
      <c r="K8990" s="15">
        <v>53.0</v>
      </c>
      <c r="L8990" s="15">
        <v>53.0</v>
      </c>
      <c r="M8990" s="40">
        <v>41772.0</v>
      </c>
      <c r="N8990" s="40">
        <v>41820.0</v>
      </c>
      <c r="O8990" s="15" t="s">
        <v>1554</v>
      </c>
      <c r="Q8990" s="7"/>
    </row>
    <row r="8991">
      <c r="A8991" s="39" t="s">
        <v>17231</v>
      </c>
      <c r="B8991" s="15">
        <v>674953.0</v>
      </c>
      <c r="C8991" s="15" t="s">
        <v>31712</v>
      </c>
      <c r="D8991" s="15">
        <v>292100.0</v>
      </c>
      <c r="E8991" s="15" t="s">
        <v>1638</v>
      </c>
      <c r="F8991" s="15" t="s">
        <v>1639</v>
      </c>
      <c r="G8991" s="7">
        <v>4.666</v>
      </c>
      <c r="H8991" s="15" t="s">
        <v>1745</v>
      </c>
      <c r="I8991" s="15" t="s">
        <v>1740</v>
      </c>
      <c r="J8991" s="15" t="s">
        <v>31714</v>
      </c>
      <c r="K8991" s="15">
        <v>2.0</v>
      </c>
      <c r="L8991" s="15">
        <v>2.0</v>
      </c>
      <c r="M8991" s="40">
        <v>42217.0</v>
      </c>
      <c r="N8991" s="40">
        <v>42234.0</v>
      </c>
      <c r="O8991" s="15" t="s">
        <v>1554</v>
      </c>
      <c r="Q8991" s="7"/>
    </row>
    <row r="8992">
      <c r="A8992" s="39" t="s">
        <v>17486</v>
      </c>
      <c r="B8992" s="15">
        <v>187850.0</v>
      </c>
      <c r="C8992" s="15" t="s">
        <v>31715</v>
      </c>
      <c r="D8992" s="15">
        <v>369104.0</v>
      </c>
      <c r="E8992" s="15" t="s">
        <v>2014</v>
      </c>
      <c r="F8992" s="15" t="s">
        <v>1578</v>
      </c>
      <c r="G8992" s="7">
        <v>1.364</v>
      </c>
      <c r="H8992" s="15" t="s">
        <v>2440</v>
      </c>
      <c r="I8992" s="15" t="s">
        <v>1628</v>
      </c>
      <c r="J8992" s="15" t="s">
        <v>31716</v>
      </c>
      <c r="K8992" s="15">
        <v>1.0</v>
      </c>
      <c r="L8992" s="15">
        <v>1.0</v>
      </c>
      <c r="M8992" s="40">
        <v>42758.0</v>
      </c>
      <c r="N8992" s="40">
        <v>42762.0</v>
      </c>
      <c r="O8992" s="15" t="s">
        <v>1554</v>
      </c>
      <c r="Q8992" s="7"/>
    </row>
    <row r="8993">
      <c r="A8993" s="39" t="s">
        <v>31717</v>
      </c>
      <c r="B8993" s="15">
        <v>1511883.0</v>
      </c>
      <c r="C8993" s="15" t="s">
        <v>31719</v>
      </c>
      <c r="D8993" s="15">
        <v>38243.0</v>
      </c>
      <c r="E8993" s="15" t="s">
        <v>1808</v>
      </c>
      <c r="F8993" s="15" t="s">
        <v>2436</v>
      </c>
      <c r="G8993" s="7">
        <v>5.104</v>
      </c>
      <c r="H8993" s="15" t="s">
        <v>2524</v>
      </c>
      <c r="I8993" s="15" t="s">
        <v>1686</v>
      </c>
      <c r="J8993" s="15" t="s">
        <v>31720</v>
      </c>
      <c r="K8993" s="15">
        <v>5.0</v>
      </c>
      <c r="L8993" s="15">
        <v>5.0</v>
      </c>
      <c r="M8993" s="40">
        <v>39956.0</v>
      </c>
      <c r="N8993" s="40">
        <v>41810.0</v>
      </c>
      <c r="O8993" s="15" t="s">
        <v>1554</v>
      </c>
      <c r="Q8993" s="7"/>
    </row>
    <row r="8994">
      <c r="A8994" s="39" t="s">
        <v>17199</v>
      </c>
      <c r="B8994" s="15">
        <v>1458851.0</v>
      </c>
      <c r="D8994" s="15">
        <v>0.0</v>
      </c>
      <c r="E8994" s="15" t="s">
        <v>1557</v>
      </c>
      <c r="F8994" s="15" t="s">
        <v>1833</v>
      </c>
      <c r="G8994" s="7">
        <v>55.073</v>
      </c>
      <c r="H8994" s="15">
        <v>40.0</v>
      </c>
      <c r="I8994" s="15" t="s">
        <v>1586</v>
      </c>
      <c r="J8994" s="15" t="s">
        <v>31722</v>
      </c>
      <c r="K8994" s="15">
        <v>88.0</v>
      </c>
      <c r="L8994" s="15">
        <v>88.0</v>
      </c>
      <c r="M8994" s="40">
        <v>41789.0</v>
      </c>
      <c r="N8994" s="41">
        <v>41964.0</v>
      </c>
      <c r="O8994" s="15" t="s">
        <v>1554</v>
      </c>
      <c r="Q8994" s="7"/>
    </row>
    <row r="8995">
      <c r="A8995" s="39" t="s">
        <v>31723</v>
      </c>
      <c r="B8995" s="15">
        <v>1513208.0</v>
      </c>
      <c r="C8995" s="15" t="s">
        <v>31724</v>
      </c>
      <c r="D8995" s="15">
        <v>32695.0</v>
      </c>
      <c r="E8995" s="15" t="s">
        <v>1808</v>
      </c>
      <c r="F8995" s="15" t="s">
        <v>2436</v>
      </c>
      <c r="G8995" s="7">
        <v>6.31</v>
      </c>
      <c r="H8995" s="15" t="s">
        <v>2049</v>
      </c>
      <c r="I8995" s="15" t="s">
        <v>1560</v>
      </c>
      <c r="J8995" s="15" t="s">
        <v>31725</v>
      </c>
      <c r="K8995" s="15">
        <v>3.0</v>
      </c>
      <c r="L8995" s="15">
        <v>3.0</v>
      </c>
      <c r="M8995" s="41">
        <v>39764.0</v>
      </c>
      <c r="N8995" s="40">
        <v>41810.0</v>
      </c>
      <c r="O8995" s="15" t="s">
        <v>1554</v>
      </c>
      <c r="Q8995" s="7"/>
    </row>
    <row r="8996">
      <c r="A8996" s="39" t="s">
        <v>31726</v>
      </c>
      <c r="B8996" s="15">
        <v>1434127.0</v>
      </c>
      <c r="D8996" s="15">
        <v>0.0</v>
      </c>
      <c r="E8996" s="15" t="s">
        <v>1557</v>
      </c>
      <c r="F8996" s="15" t="s">
        <v>1611</v>
      </c>
      <c r="G8996" s="7">
        <v>42.542</v>
      </c>
      <c r="H8996" s="15" t="s">
        <v>1943</v>
      </c>
      <c r="I8996" s="15" t="s">
        <v>1586</v>
      </c>
      <c r="J8996" s="15" t="s">
        <v>31727</v>
      </c>
      <c r="K8996" s="15" t="s">
        <v>1722</v>
      </c>
      <c r="L8996" s="15">
        <v>34.0</v>
      </c>
      <c r="M8996" s="40">
        <v>41819.0</v>
      </c>
      <c r="N8996" s="40">
        <v>41819.0</v>
      </c>
      <c r="O8996" s="15" t="s">
        <v>1554</v>
      </c>
      <c r="Q8996" s="7"/>
    </row>
    <row r="8997">
      <c r="A8997" s="39" t="s">
        <v>31729</v>
      </c>
      <c r="B8997" s="15">
        <v>1458863.0</v>
      </c>
      <c r="C8997" s="15" t="s">
        <v>31730</v>
      </c>
      <c r="D8997" s="15">
        <v>266779.0</v>
      </c>
      <c r="E8997" s="15" t="s">
        <v>1557</v>
      </c>
      <c r="F8997" s="15" t="s">
        <v>1767</v>
      </c>
      <c r="G8997" s="7">
        <v>40.161</v>
      </c>
      <c r="H8997" s="15">
        <v>42.0</v>
      </c>
      <c r="I8997" s="15" t="s">
        <v>1586</v>
      </c>
      <c r="J8997" s="15" t="s">
        <v>31731</v>
      </c>
      <c r="K8997" s="15">
        <v>70.0</v>
      </c>
      <c r="L8997" s="15">
        <v>70.0</v>
      </c>
      <c r="M8997" s="40">
        <v>41897.0</v>
      </c>
      <c r="N8997" s="41">
        <v>41953.0</v>
      </c>
      <c r="O8997" s="15" t="s">
        <v>1554</v>
      </c>
      <c r="Q8997" s="7"/>
    </row>
    <row r="8998">
      <c r="A8998" s="39" t="s">
        <v>16373</v>
      </c>
      <c r="B8998" s="15">
        <v>1541887.0</v>
      </c>
      <c r="D8998" s="15">
        <v>0.0</v>
      </c>
      <c r="E8998" s="15" t="s">
        <v>1557</v>
      </c>
      <c r="F8998" s="15" t="s">
        <v>1833</v>
      </c>
      <c r="G8998" s="7">
        <v>59.407</v>
      </c>
      <c r="H8998" s="15" t="s">
        <v>7049</v>
      </c>
      <c r="I8998" s="15" t="s">
        <v>1586</v>
      </c>
      <c r="J8998" s="15" t="s">
        <v>31732</v>
      </c>
      <c r="K8998" s="15">
        <v>75.0</v>
      </c>
      <c r="L8998" s="15">
        <v>75.0</v>
      </c>
      <c r="M8998" s="40">
        <v>41389.0</v>
      </c>
      <c r="N8998" s="41">
        <v>41568.0</v>
      </c>
      <c r="O8998" s="15" t="s">
        <v>1554</v>
      </c>
      <c r="Q8998" s="7"/>
    </row>
    <row r="8999">
      <c r="A8999" s="39" t="s">
        <v>31733</v>
      </c>
      <c r="B8999" s="15">
        <v>1476902.0</v>
      </c>
      <c r="D8999" s="15">
        <v>0.0</v>
      </c>
      <c r="E8999" s="15" t="s">
        <v>1557</v>
      </c>
      <c r="F8999" s="15" t="s">
        <v>1767</v>
      </c>
      <c r="G8999" s="7">
        <v>41.476</v>
      </c>
      <c r="H8999" s="15" t="s">
        <v>3538</v>
      </c>
      <c r="I8999" s="15" t="s">
        <v>1586</v>
      </c>
      <c r="J8999" s="15" t="s">
        <v>31734</v>
      </c>
      <c r="K8999" s="15">
        <v>67.0</v>
      </c>
      <c r="L8999" s="15">
        <v>67.0</v>
      </c>
      <c r="M8999" s="40">
        <v>41821.0</v>
      </c>
      <c r="N8999" s="41">
        <v>41999.0</v>
      </c>
      <c r="O8999" s="15" t="s">
        <v>1554</v>
      </c>
      <c r="Q8999" s="7"/>
    </row>
    <row r="9000">
      <c r="A9000" s="39" t="s">
        <v>31735</v>
      </c>
      <c r="B9000" s="15">
        <v>1498169.0</v>
      </c>
      <c r="D9000" s="15">
        <v>0.0</v>
      </c>
      <c r="E9000" s="15" t="s">
        <v>1557</v>
      </c>
      <c r="F9000" s="15" t="s">
        <v>1611</v>
      </c>
      <c r="G9000" s="7">
        <v>74.806</v>
      </c>
      <c r="H9000" s="15" t="s">
        <v>3604</v>
      </c>
      <c r="I9000" s="15" t="s">
        <v>1586</v>
      </c>
      <c r="J9000" s="15" t="s">
        <v>31736</v>
      </c>
      <c r="K9000" s="15">
        <v>85.0</v>
      </c>
      <c r="L9000" s="15">
        <v>85.0</v>
      </c>
      <c r="M9000" s="40">
        <v>42012.0</v>
      </c>
      <c r="N9000" s="40">
        <v>42012.0</v>
      </c>
      <c r="O9000" s="15" t="s">
        <v>1554</v>
      </c>
      <c r="Q9000" s="7"/>
    </row>
    <row r="9001">
      <c r="A9001" s="39" t="s">
        <v>31738</v>
      </c>
      <c r="B9001" s="15">
        <v>1629654.0</v>
      </c>
      <c r="D9001" s="15">
        <v>0.0</v>
      </c>
      <c r="E9001" s="15" t="s">
        <v>1557</v>
      </c>
      <c r="F9001" s="15" t="s">
        <v>1611</v>
      </c>
      <c r="G9001" s="7">
        <v>40.525</v>
      </c>
      <c r="H9001" s="15" t="s">
        <v>4113</v>
      </c>
      <c r="I9001" s="15" t="s">
        <v>1586</v>
      </c>
      <c r="J9001" s="15" t="s">
        <v>31739</v>
      </c>
      <c r="K9001" s="15">
        <v>49.0</v>
      </c>
      <c r="L9001" s="15">
        <v>49.0</v>
      </c>
      <c r="M9001" s="40">
        <v>42171.0</v>
      </c>
      <c r="N9001" s="40">
        <v>42171.0</v>
      </c>
      <c r="O9001" s="15" t="s">
        <v>1554</v>
      </c>
      <c r="Q9001" s="7"/>
    </row>
    <row r="9002">
      <c r="A9002" s="39" t="s">
        <v>31740</v>
      </c>
      <c r="B9002" s="15">
        <v>1486397.0</v>
      </c>
      <c r="D9002" s="15">
        <v>0.0</v>
      </c>
      <c r="E9002" s="15" t="s">
        <v>1557</v>
      </c>
      <c r="F9002" s="15" t="s">
        <v>1767</v>
      </c>
      <c r="G9002" s="7">
        <v>138.036</v>
      </c>
      <c r="H9002" s="15" t="s">
        <v>3554</v>
      </c>
      <c r="I9002" s="15" t="s">
        <v>1586</v>
      </c>
      <c r="J9002" s="15" t="s">
        <v>31741</v>
      </c>
      <c r="K9002" s="15" t="s">
        <v>1722</v>
      </c>
      <c r="L9002" s="15">
        <v>187.0</v>
      </c>
      <c r="M9002" s="40">
        <v>41811.0</v>
      </c>
      <c r="N9002" s="40">
        <v>41811.0</v>
      </c>
      <c r="O9002" s="15" t="s">
        <v>1554</v>
      </c>
      <c r="Q9002" s="7"/>
    </row>
    <row r="9003">
      <c r="A9003" s="39" t="s">
        <v>31742</v>
      </c>
      <c r="B9003" s="15">
        <v>1605995.0</v>
      </c>
      <c r="C9003" s="15" t="s">
        <v>31743</v>
      </c>
      <c r="D9003" s="15">
        <v>225011.0</v>
      </c>
      <c r="E9003" s="15" t="s">
        <v>1808</v>
      </c>
      <c r="F9003" s="15" t="s">
        <v>1809</v>
      </c>
      <c r="G9003" s="7">
        <v>2.786</v>
      </c>
      <c r="H9003" s="15">
        <v>44.0</v>
      </c>
      <c r="I9003" s="15" t="s">
        <v>1628</v>
      </c>
      <c r="J9003" s="15" t="s">
        <v>31744</v>
      </c>
      <c r="K9003" s="15">
        <v>6.0</v>
      </c>
      <c r="L9003" s="15">
        <v>6.0</v>
      </c>
      <c r="M9003" s="40">
        <v>41538.0</v>
      </c>
      <c r="N9003" s="40">
        <v>42034.0</v>
      </c>
      <c r="O9003" s="15" t="s">
        <v>1554</v>
      </c>
      <c r="Q9003" s="7"/>
    </row>
    <row r="9004">
      <c r="A9004" s="39" t="s">
        <v>31746</v>
      </c>
      <c r="B9004" s="15">
        <v>1805955.0</v>
      </c>
      <c r="D9004" s="15">
        <v>0.0</v>
      </c>
      <c r="E9004" s="15" t="s">
        <v>1557</v>
      </c>
      <c r="F9004" s="15" t="s">
        <v>1767</v>
      </c>
      <c r="G9004" s="7">
        <v>162.865</v>
      </c>
      <c r="H9004" s="15">
        <v>38.0</v>
      </c>
      <c r="I9004" s="15" t="s">
        <v>1586</v>
      </c>
      <c r="J9004" s="15" t="s">
        <v>31747</v>
      </c>
      <c r="K9004" s="15">
        <v>304.0</v>
      </c>
      <c r="L9004" s="15">
        <v>297.0</v>
      </c>
      <c r="M9004" s="40">
        <v>42471.0</v>
      </c>
      <c r="N9004" s="40">
        <v>42471.0</v>
      </c>
      <c r="O9004" s="15" t="s">
        <v>1554</v>
      </c>
      <c r="Q9004" s="7"/>
    </row>
    <row r="9005">
      <c r="A9005" s="39" t="s">
        <v>31748</v>
      </c>
      <c r="B9005" s="15">
        <v>1458709.0</v>
      </c>
      <c r="D9005" s="15">
        <v>0.0</v>
      </c>
      <c r="E9005" s="15" t="s">
        <v>1557</v>
      </c>
      <c r="F9005" s="15" t="s">
        <v>1833</v>
      </c>
      <c r="G9005" s="7">
        <v>68.662</v>
      </c>
      <c r="H9005" s="15" t="s">
        <v>9965</v>
      </c>
      <c r="I9005" s="15" t="s">
        <v>1586</v>
      </c>
      <c r="J9005" s="15" t="s">
        <v>31749</v>
      </c>
      <c r="K9005" s="15">
        <v>103.0</v>
      </c>
      <c r="L9005" s="15">
        <v>103.0</v>
      </c>
      <c r="M9005" s="40">
        <v>41731.0</v>
      </c>
      <c r="N9005" s="40">
        <v>41731.0</v>
      </c>
      <c r="O9005" s="15" t="s">
        <v>1554</v>
      </c>
      <c r="Q9005" s="7"/>
    </row>
    <row r="9006">
      <c r="A9006" s="39" t="s">
        <v>31750</v>
      </c>
      <c r="B9006" s="15">
        <v>1089129.0</v>
      </c>
      <c r="D9006" s="15">
        <v>0.0</v>
      </c>
      <c r="E9006" s="15" t="s">
        <v>1557</v>
      </c>
      <c r="F9006" s="15" t="s">
        <v>1833</v>
      </c>
      <c r="G9006" s="7">
        <v>51.813</v>
      </c>
      <c r="H9006" s="15" t="s">
        <v>3286</v>
      </c>
      <c r="I9006" s="15" t="s">
        <v>1586</v>
      </c>
      <c r="J9006" s="15" t="s">
        <v>31751</v>
      </c>
      <c r="K9006" s="15">
        <v>91.0</v>
      </c>
      <c r="L9006" s="15">
        <v>91.0</v>
      </c>
      <c r="M9006" s="40">
        <v>40853.0</v>
      </c>
      <c r="N9006" s="40">
        <v>40942.0</v>
      </c>
      <c r="O9006" s="15" t="s">
        <v>1554</v>
      </c>
      <c r="Q9006" s="7"/>
    </row>
    <row r="9007">
      <c r="A9007" s="39" t="s">
        <v>15072</v>
      </c>
      <c r="B9007" s="15">
        <v>1330521.0</v>
      </c>
      <c r="C9007" s="15" t="s">
        <v>31752</v>
      </c>
      <c r="D9007" s="15">
        <v>42941.0</v>
      </c>
      <c r="E9007" s="15" t="s">
        <v>1548</v>
      </c>
      <c r="F9007" s="15" t="s">
        <v>1776</v>
      </c>
      <c r="G9007" s="7">
        <v>7.379</v>
      </c>
      <c r="H9007" s="15" t="s">
        <v>2552</v>
      </c>
      <c r="I9007" s="15" t="s">
        <v>1686</v>
      </c>
      <c r="J9007" s="15" t="s">
        <v>31753</v>
      </c>
      <c r="K9007" s="15">
        <v>1.0</v>
      </c>
      <c r="L9007" s="15">
        <v>1.0</v>
      </c>
      <c r="M9007" s="40">
        <v>37284.0</v>
      </c>
      <c r="N9007" s="40">
        <v>41722.0</v>
      </c>
      <c r="O9007" s="15" t="s">
        <v>1554</v>
      </c>
      <c r="Q9007" s="7"/>
    </row>
    <row r="9008">
      <c r="A9008" s="39" t="s">
        <v>15028</v>
      </c>
      <c r="B9008" s="15">
        <v>1239439.0</v>
      </c>
      <c r="C9008" s="15" t="s">
        <v>31755</v>
      </c>
      <c r="D9008" s="15">
        <v>36399.0</v>
      </c>
      <c r="E9008" s="15" t="s">
        <v>1548</v>
      </c>
      <c r="F9008" s="15" t="s">
        <v>1848</v>
      </c>
      <c r="G9008" s="7">
        <v>7.722</v>
      </c>
      <c r="H9008" s="15" t="s">
        <v>2428</v>
      </c>
      <c r="I9008" s="15" t="s">
        <v>1686</v>
      </c>
      <c r="J9008" s="15" t="s">
        <v>31756</v>
      </c>
      <c r="K9008" s="15">
        <v>3.0</v>
      </c>
      <c r="L9008" s="15">
        <v>3.0</v>
      </c>
      <c r="M9008" s="40">
        <v>39897.0</v>
      </c>
      <c r="N9008" s="40">
        <v>41186.0</v>
      </c>
      <c r="O9008" s="15" t="s">
        <v>1554</v>
      </c>
      <c r="Q9008" s="7"/>
    </row>
    <row r="9009">
      <c r="A9009" s="39" t="s">
        <v>31757</v>
      </c>
      <c r="B9009" s="15">
        <v>1821221.0</v>
      </c>
      <c r="D9009" s="15">
        <v>0.0</v>
      </c>
      <c r="E9009" s="15" t="s">
        <v>1557</v>
      </c>
      <c r="F9009" s="15" t="s">
        <v>1833</v>
      </c>
      <c r="G9009" s="7">
        <v>52.946</v>
      </c>
      <c r="H9009" s="15" t="s">
        <v>13399</v>
      </c>
      <c r="I9009" s="15" t="s">
        <v>1586</v>
      </c>
      <c r="J9009" s="15" t="s">
        <v>31758</v>
      </c>
      <c r="K9009" s="15">
        <v>97.0</v>
      </c>
      <c r="L9009" s="15">
        <v>96.0</v>
      </c>
      <c r="M9009" s="40">
        <v>42463.0</v>
      </c>
      <c r="N9009" s="40">
        <v>42463.0</v>
      </c>
      <c r="O9009" s="15" t="s">
        <v>1554</v>
      </c>
      <c r="Q9009" s="7"/>
    </row>
    <row r="9010">
      <c r="A9010" s="39" t="s">
        <v>31759</v>
      </c>
      <c r="B9010" s="15">
        <v>1755690.0</v>
      </c>
      <c r="D9010" s="15">
        <v>0.0</v>
      </c>
      <c r="E9010" s="15" t="s">
        <v>1557</v>
      </c>
      <c r="F9010" s="15" t="s">
        <v>1833</v>
      </c>
      <c r="G9010" s="7">
        <v>37.714</v>
      </c>
      <c r="H9010" s="15" t="s">
        <v>4117</v>
      </c>
      <c r="I9010" s="15" t="s">
        <v>1586</v>
      </c>
      <c r="J9010" s="15" t="s">
        <v>31760</v>
      </c>
      <c r="K9010" s="15">
        <v>59.0</v>
      </c>
      <c r="L9010" s="15">
        <v>59.0</v>
      </c>
      <c r="M9010" s="41">
        <v>42337.0</v>
      </c>
      <c r="N9010" s="41">
        <v>42337.0</v>
      </c>
      <c r="O9010" s="15" t="s">
        <v>1554</v>
      </c>
      <c r="Q9010" s="7"/>
    </row>
    <row r="9011">
      <c r="A9011" s="39" t="s">
        <v>31761</v>
      </c>
      <c r="B9011" s="15">
        <v>1453337.0</v>
      </c>
      <c r="D9011" s="15">
        <v>0.0</v>
      </c>
      <c r="E9011" s="15" t="s">
        <v>1557</v>
      </c>
      <c r="F9011" s="15" t="s">
        <v>1833</v>
      </c>
      <c r="G9011" s="7">
        <v>95.702</v>
      </c>
      <c r="H9011" s="15" t="s">
        <v>2149</v>
      </c>
      <c r="I9011" s="15" t="s">
        <v>1586</v>
      </c>
      <c r="J9011" s="15" t="s">
        <v>31762</v>
      </c>
      <c r="K9011" s="15">
        <v>127.0</v>
      </c>
      <c r="L9011" s="15">
        <v>126.0</v>
      </c>
      <c r="M9011" s="40">
        <v>41982.0</v>
      </c>
      <c r="N9011" s="40">
        <v>41982.0</v>
      </c>
      <c r="O9011" s="15" t="s">
        <v>1554</v>
      </c>
      <c r="Q9011" s="7"/>
    </row>
    <row r="9012">
      <c r="A9012" s="39" t="s">
        <v>31763</v>
      </c>
      <c r="B9012" s="15">
        <v>1416008.0</v>
      </c>
      <c r="D9012" s="15">
        <v>0.0</v>
      </c>
      <c r="E9012" s="15" t="s">
        <v>1557</v>
      </c>
      <c r="F9012" s="15" t="s">
        <v>1611</v>
      </c>
      <c r="G9012" s="7">
        <v>73.659</v>
      </c>
      <c r="H9012" s="15" t="s">
        <v>5663</v>
      </c>
      <c r="I9012" s="15" t="s">
        <v>1586</v>
      </c>
      <c r="J9012" s="15" t="s">
        <v>31764</v>
      </c>
      <c r="K9012" s="15">
        <v>89.0</v>
      </c>
      <c r="L9012" s="15">
        <v>89.0</v>
      </c>
      <c r="M9012" s="41">
        <v>41629.0</v>
      </c>
      <c r="N9012" s="40">
        <v>41698.0</v>
      </c>
      <c r="O9012" s="15" t="s">
        <v>1554</v>
      </c>
      <c r="Q9012" s="7"/>
    </row>
    <row r="9013">
      <c r="A9013" s="39" t="s">
        <v>31766</v>
      </c>
      <c r="B9013" s="15">
        <v>1340834.0</v>
      </c>
      <c r="D9013" s="15">
        <v>0.0</v>
      </c>
      <c r="E9013" s="15" t="s">
        <v>1557</v>
      </c>
      <c r="F9013" s="15" t="s">
        <v>1833</v>
      </c>
      <c r="G9013" s="7">
        <v>51.384</v>
      </c>
      <c r="H9013" s="15" t="s">
        <v>3286</v>
      </c>
      <c r="I9013" s="15" t="s">
        <v>1586</v>
      </c>
      <c r="J9013" s="15" t="s">
        <v>31767</v>
      </c>
      <c r="K9013" s="15">
        <v>87.0</v>
      </c>
      <c r="L9013" s="15">
        <v>87.0</v>
      </c>
      <c r="M9013" s="40">
        <v>41499.0</v>
      </c>
      <c r="N9013" s="40">
        <v>41499.0</v>
      </c>
      <c r="O9013" s="15" t="s">
        <v>1554</v>
      </c>
      <c r="Q9013" s="7"/>
    </row>
    <row r="9014">
      <c r="A9014" s="39" t="s">
        <v>31768</v>
      </c>
      <c r="B9014" s="15">
        <v>1463810.0</v>
      </c>
      <c r="D9014" s="15">
        <v>0.0</v>
      </c>
      <c r="E9014" s="15" t="s">
        <v>1557</v>
      </c>
      <c r="F9014" s="15" t="s">
        <v>1833</v>
      </c>
      <c r="G9014" s="7">
        <v>71.565</v>
      </c>
      <c r="H9014" s="15">
        <v>70.0</v>
      </c>
      <c r="I9014" s="15" t="s">
        <v>1586</v>
      </c>
      <c r="J9014" s="15" t="s">
        <v>31769</v>
      </c>
      <c r="K9014" s="15">
        <v>100.0</v>
      </c>
      <c r="L9014" s="15">
        <v>100.0</v>
      </c>
      <c r="M9014" s="40">
        <v>41696.0</v>
      </c>
      <c r="N9014" s="40">
        <v>41808.0</v>
      </c>
      <c r="O9014" s="15" t="s">
        <v>1554</v>
      </c>
      <c r="Q9014" s="7"/>
    </row>
    <row r="9015">
      <c r="A9015" s="39" t="s">
        <v>31770</v>
      </c>
      <c r="B9015" s="15">
        <v>1747713.0</v>
      </c>
      <c r="D9015" s="15">
        <v>0.0</v>
      </c>
      <c r="E9015" s="15" t="s">
        <v>1557</v>
      </c>
      <c r="F9015" s="15" t="s">
        <v>1767</v>
      </c>
      <c r="G9015" s="7">
        <v>248.605</v>
      </c>
      <c r="H9015" s="15" t="s">
        <v>1710</v>
      </c>
      <c r="I9015" s="15" t="s">
        <v>1586</v>
      </c>
      <c r="J9015" s="15" t="s">
        <v>31771</v>
      </c>
      <c r="K9015" s="15">
        <v>410.0</v>
      </c>
      <c r="L9015" s="15">
        <v>380.0</v>
      </c>
      <c r="M9015" s="40">
        <v>42430.0</v>
      </c>
      <c r="N9015" s="40">
        <v>42713.0</v>
      </c>
      <c r="O9015" s="15" t="s">
        <v>1554</v>
      </c>
      <c r="Q9015" s="7"/>
    </row>
    <row r="9016">
      <c r="A9016" s="39" t="s">
        <v>31772</v>
      </c>
      <c r="B9016" s="15">
        <v>1873989.0</v>
      </c>
      <c r="D9016" s="15">
        <v>0.0</v>
      </c>
      <c r="E9016" s="15" t="s">
        <v>1557</v>
      </c>
      <c r="F9016" s="15" t="s">
        <v>1833</v>
      </c>
      <c r="G9016" s="7">
        <v>52.044</v>
      </c>
      <c r="H9016" s="15" t="s">
        <v>2038</v>
      </c>
      <c r="I9016" s="15" t="s">
        <v>1586</v>
      </c>
      <c r="J9016" s="15" t="s">
        <v>31774</v>
      </c>
      <c r="K9016" s="15">
        <v>99.0</v>
      </c>
      <c r="L9016" s="15">
        <v>96.0</v>
      </c>
      <c r="M9016" s="40">
        <v>42571.0</v>
      </c>
      <c r="N9016" s="40">
        <v>42627.0</v>
      </c>
      <c r="O9016" s="15" t="s">
        <v>1554</v>
      </c>
      <c r="Q9016" s="7"/>
    </row>
    <row r="9017">
      <c r="A9017" s="39" t="s">
        <v>31775</v>
      </c>
      <c r="B9017" s="15">
        <v>1698716.0</v>
      </c>
      <c r="D9017" s="15">
        <v>0.0</v>
      </c>
      <c r="E9017" s="15" t="s">
        <v>1557</v>
      </c>
      <c r="F9017" s="15" t="s">
        <v>1833</v>
      </c>
      <c r="G9017" s="7">
        <v>69.653</v>
      </c>
      <c r="H9017" s="15" t="s">
        <v>11275</v>
      </c>
      <c r="I9017" s="15" t="s">
        <v>1586</v>
      </c>
      <c r="J9017" s="15" t="s">
        <v>31776</v>
      </c>
      <c r="K9017" s="15">
        <v>123.0</v>
      </c>
      <c r="L9017" s="15">
        <v>123.0</v>
      </c>
      <c r="M9017" s="40">
        <v>42245.0</v>
      </c>
      <c r="N9017" s="40">
        <v>42245.0</v>
      </c>
      <c r="O9017" s="15" t="s">
        <v>1554</v>
      </c>
      <c r="Q9017" s="7"/>
    </row>
    <row r="9018">
      <c r="A9018" s="39" t="s">
        <v>31777</v>
      </c>
      <c r="B9018" s="15">
        <v>1235648.0</v>
      </c>
      <c r="D9018" s="15">
        <v>0.0</v>
      </c>
      <c r="E9018" s="15" t="s">
        <v>1557</v>
      </c>
      <c r="F9018" s="15" t="s">
        <v>1833</v>
      </c>
      <c r="G9018" s="7">
        <v>29.512</v>
      </c>
      <c r="H9018" s="15">
        <v>54.0</v>
      </c>
      <c r="I9018" s="15" t="s">
        <v>1586</v>
      </c>
      <c r="J9018" s="15" t="s">
        <v>31778</v>
      </c>
      <c r="K9018" s="15">
        <v>45.0</v>
      </c>
      <c r="L9018" s="15">
        <v>45.0</v>
      </c>
      <c r="M9018" s="40">
        <v>41521.0</v>
      </c>
      <c r="N9018" s="40">
        <v>41521.0</v>
      </c>
      <c r="O9018" s="15" t="s">
        <v>1554</v>
      </c>
      <c r="Q9018" s="7"/>
    </row>
    <row r="9019">
      <c r="A9019" s="39" t="s">
        <v>31779</v>
      </c>
      <c r="B9019" s="15">
        <v>1429913.0</v>
      </c>
      <c r="D9019" s="15">
        <v>0.0</v>
      </c>
      <c r="E9019" s="15" t="s">
        <v>1557</v>
      </c>
      <c r="F9019" s="15" t="s">
        <v>1833</v>
      </c>
      <c r="G9019" s="7">
        <v>74.533</v>
      </c>
      <c r="H9019" s="15" t="s">
        <v>4096</v>
      </c>
      <c r="I9019" s="15" t="s">
        <v>1586</v>
      </c>
      <c r="J9019" s="15" t="s">
        <v>31781</v>
      </c>
      <c r="K9019" s="15">
        <v>143.0</v>
      </c>
      <c r="L9019" s="15">
        <v>141.0</v>
      </c>
      <c r="M9019" s="40">
        <v>41610.0</v>
      </c>
      <c r="N9019" s="40">
        <v>42871.0</v>
      </c>
      <c r="O9019" s="15" t="s">
        <v>1554</v>
      </c>
      <c r="Q9019" s="7"/>
    </row>
    <row r="9020">
      <c r="A9020" s="39" t="s">
        <v>31782</v>
      </c>
      <c r="B9020" s="15">
        <v>1486474.0</v>
      </c>
      <c r="D9020" s="15">
        <v>0.0</v>
      </c>
      <c r="E9020" s="15" t="s">
        <v>1557</v>
      </c>
      <c r="F9020" s="15" t="s">
        <v>1833</v>
      </c>
      <c r="G9020" s="7">
        <v>55.307</v>
      </c>
      <c r="H9020" s="15" t="s">
        <v>9648</v>
      </c>
      <c r="I9020" s="15" t="s">
        <v>1586</v>
      </c>
      <c r="J9020" s="15" t="s">
        <v>31783</v>
      </c>
      <c r="K9020" s="15">
        <v>108.0</v>
      </c>
      <c r="L9020" s="15">
        <v>108.0</v>
      </c>
      <c r="M9020" s="40">
        <v>41783.0</v>
      </c>
      <c r="N9020" s="40">
        <v>41783.0</v>
      </c>
      <c r="O9020" s="15" t="s">
        <v>1554</v>
      </c>
      <c r="Q9020" s="7"/>
    </row>
    <row r="9021">
      <c r="A9021" s="39" t="s">
        <v>31784</v>
      </c>
      <c r="B9021" s="15">
        <v>1327975.0</v>
      </c>
      <c r="D9021" s="15">
        <v>0.0</v>
      </c>
      <c r="E9021" s="15" t="s">
        <v>1557</v>
      </c>
      <c r="F9021" s="15" t="s">
        <v>1611</v>
      </c>
      <c r="G9021" s="7">
        <v>72.529</v>
      </c>
      <c r="H9021" s="15" t="s">
        <v>2668</v>
      </c>
      <c r="I9021" s="15" t="s">
        <v>1586</v>
      </c>
      <c r="J9021" s="15" t="s">
        <v>31785</v>
      </c>
      <c r="K9021" s="15">
        <v>101.0</v>
      </c>
      <c r="L9021" s="15">
        <v>101.0</v>
      </c>
      <c r="M9021" s="40">
        <v>41454.0</v>
      </c>
      <c r="N9021" s="41">
        <v>42369.0</v>
      </c>
      <c r="O9021" s="15" t="s">
        <v>1554</v>
      </c>
      <c r="Q9021" s="7"/>
    </row>
    <row r="9022">
      <c r="A9022" s="39" t="s">
        <v>31787</v>
      </c>
      <c r="B9022" s="15">
        <v>1814279.0</v>
      </c>
      <c r="D9022" s="15">
        <v>0.0</v>
      </c>
      <c r="E9022" s="15" t="s">
        <v>1557</v>
      </c>
      <c r="F9022" s="15" t="s">
        <v>1578</v>
      </c>
      <c r="G9022" s="7">
        <v>43.226</v>
      </c>
      <c r="H9022" s="15" t="s">
        <v>9551</v>
      </c>
      <c r="I9022" s="15" t="s">
        <v>1586</v>
      </c>
      <c r="J9022" s="15" t="s">
        <v>31788</v>
      </c>
      <c r="K9022" s="15" t="s">
        <v>1722</v>
      </c>
      <c r="L9022" s="15">
        <v>57.0</v>
      </c>
      <c r="M9022" s="40">
        <v>42582.0</v>
      </c>
      <c r="N9022" s="40">
        <v>42582.0</v>
      </c>
      <c r="O9022" s="15" t="s">
        <v>1554</v>
      </c>
      <c r="Q9022" s="7"/>
    </row>
    <row r="9023">
      <c r="A9023" s="39" t="s">
        <v>31789</v>
      </c>
      <c r="B9023" s="15">
        <v>1327997.0</v>
      </c>
      <c r="D9023" s="15">
        <v>0.0</v>
      </c>
      <c r="E9023" s="15" t="s">
        <v>1808</v>
      </c>
      <c r="F9023" s="15" t="s">
        <v>3154</v>
      </c>
      <c r="G9023" s="7">
        <v>6.478</v>
      </c>
      <c r="H9023" s="15" t="s">
        <v>7532</v>
      </c>
      <c r="I9023" s="15" t="s">
        <v>1586</v>
      </c>
      <c r="J9023" s="15" t="s">
        <v>31790</v>
      </c>
      <c r="K9023" s="15">
        <v>13.0</v>
      </c>
      <c r="L9023" s="15">
        <v>13.0</v>
      </c>
      <c r="M9023" s="40">
        <v>41454.0</v>
      </c>
      <c r="N9023" s="41">
        <v>42369.0</v>
      </c>
      <c r="O9023" s="15" t="s">
        <v>1554</v>
      </c>
      <c r="Q9023" s="7"/>
    </row>
    <row r="9024">
      <c r="A9024" s="39" t="s">
        <v>31792</v>
      </c>
      <c r="B9024" s="15">
        <v>1173755.0</v>
      </c>
      <c r="D9024" s="15">
        <v>0.0</v>
      </c>
      <c r="E9024" s="15" t="s">
        <v>1557</v>
      </c>
      <c r="F9024" s="15" t="s">
        <v>1833</v>
      </c>
      <c r="G9024" s="7">
        <v>59.815</v>
      </c>
      <c r="H9024" s="15" t="s">
        <v>4542</v>
      </c>
      <c r="I9024" s="15" t="s">
        <v>1586</v>
      </c>
      <c r="J9024" s="15" t="s">
        <v>31793</v>
      </c>
      <c r="K9024" s="15">
        <v>71.0</v>
      </c>
      <c r="L9024" s="15">
        <v>71.0</v>
      </c>
      <c r="M9024" s="40">
        <v>41470.0</v>
      </c>
      <c r="N9024" s="40">
        <v>41470.0</v>
      </c>
      <c r="O9024" s="15" t="s">
        <v>1554</v>
      </c>
      <c r="Q9024" s="7"/>
    </row>
    <row r="9025">
      <c r="A9025" s="39" t="s">
        <v>31794</v>
      </c>
      <c r="B9025" s="15">
        <v>1173758.0</v>
      </c>
      <c r="D9025" s="15">
        <v>0.0</v>
      </c>
      <c r="E9025" s="15" t="s">
        <v>1557</v>
      </c>
      <c r="F9025" s="15" t="s">
        <v>1833</v>
      </c>
      <c r="G9025" s="7">
        <v>59.245</v>
      </c>
      <c r="H9025" s="15" t="s">
        <v>7049</v>
      </c>
      <c r="I9025" s="15" t="s">
        <v>1586</v>
      </c>
      <c r="J9025" s="15" t="s">
        <v>31795</v>
      </c>
      <c r="K9025" s="15">
        <v>71.0</v>
      </c>
      <c r="L9025" s="15">
        <v>71.0</v>
      </c>
      <c r="M9025" s="40">
        <v>41470.0</v>
      </c>
      <c r="N9025" s="40">
        <v>41470.0</v>
      </c>
      <c r="O9025" s="15" t="s">
        <v>1554</v>
      </c>
      <c r="Q9025" s="7"/>
    </row>
    <row r="9026">
      <c r="A9026" s="39" t="s">
        <v>31797</v>
      </c>
      <c r="B9026" s="15">
        <v>1327949.0</v>
      </c>
      <c r="D9026" s="15">
        <v>0.0</v>
      </c>
      <c r="E9026" s="15" t="s">
        <v>1557</v>
      </c>
      <c r="F9026" s="15" t="s">
        <v>1833</v>
      </c>
      <c r="G9026" s="7">
        <v>39.318</v>
      </c>
      <c r="H9026" s="15" t="s">
        <v>9774</v>
      </c>
      <c r="I9026" s="15" t="s">
        <v>1586</v>
      </c>
      <c r="J9026" s="15" t="s">
        <v>31798</v>
      </c>
      <c r="K9026" s="15">
        <v>58.0</v>
      </c>
      <c r="L9026" s="15">
        <v>58.0</v>
      </c>
      <c r="M9026" s="40">
        <v>41401.0</v>
      </c>
      <c r="N9026" s="40">
        <v>41696.0</v>
      </c>
      <c r="O9026" s="15" t="s">
        <v>1554</v>
      </c>
      <c r="Q9026" s="7"/>
    </row>
    <row r="9027">
      <c r="A9027" s="39" t="s">
        <v>31799</v>
      </c>
      <c r="B9027" s="15">
        <v>1283073.0</v>
      </c>
      <c r="D9027" s="15">
        <v>0.0</v>
      </c>
      <c r="E9027" s="15" t="s">
        <v>1557</v>
      </c>
      <c r="F9027" s="15" t="s">
        <v>1611</v>
      </c>
      <c r="G9027" s="7">
        <v>68.964</v>
      </c>
      <c r="H9027" s="15" t="s">
        <v>1696</v>
      </c>
      <c r="I9027" s="15" t="s">
        <v>1586</v>
      </c>
      <c r="J9027" s="15" t="s">
        <v>31800</v>
      </c>
      <c r="K9027" s="15">
        <v>80.0</v>
      </c>
      <c r="L9027" s="15">
        <v>79.0</v>
      </c>
      <c r="M9027" s="40">
        <v>41437.0</v>
      </c>
      <c r="N9027" s="40">
        <v>41437.0</v>
      </c>
      <c r="O9027" s="15" t="s">
        <v>1554</v>
      </c>
      <c r="Q9027" s="7"/>
    </row>
    <row r="9028">
      <c r="A9028" s="39" t="s">
        <v>31801</v>
      </c>
      <c r="B9028" s="15">
        <v>1718601.0</v>
      </c>
      <c r="D9028" s="15">
        <v>0.0</v>
      </c>
      <c r="E9028" s="15" t="s">
        <v>1557</v>
      </c>
      <c r="F9028" s="15" t="s">
        <v>1833</v>
      </c>
      <c r="G9028" s="7">
        <v>81.128</v>
      </c>
      <c r="H9028" s="15" t="s">
        <v>10442</v>
      </c>
      <c r="I9028" s="15" t="s">
        <v>1586</v>
      </c>
      <c r="J9028" s="15" t="s">
        <v>31802</v>
      </c>
      <c r="K9028" s="15">
        <v>161.0</v>
      </c>
      <c r="L9028" s="15">
        <v>139.0</v>
      </c>
      <c r="M9028" s="40">
        <v>42270.0</v>
      </c>
      <c r="N9028" s="40">
        <v>42270.0</v>
      </c>
      <c r="O9028" s="15" t="s">
        <v>1554</v>
      </c>
      <c r="Q9028" s="7"/>
    </row>
    <row r="9029">
      <c r="A9029" s="39" t="s">
        <v>31803</v>
      </c>
      <c r="B9029" s="15">
        <v>1690427.0</v>
      </c>
      <c r="D9029" s="15">
        <v>0.0</v>
      </c>
      <c r="E9029" s="15" t="s">
        <v>1557</v>
      </c>
      <c r="F9029" s="15" t="s">
        <v>1833</v>
      </c>
      <c r="G9029" s="7">
        <v>50.773</v>
      </c>
      <c r="H9029" s="15" t="s">
        <v>13375</v>
      </c>
      <c r="I9029" s="15" t="s">
        <v>1586</v>
      </c>
      <c r="J9029" s="15" t="s">
        <v>31804</v>
      </c>
      <c r="K9029" s="15">
        <v>76.0</v>
      </c>
      <c r="L9029" s="15">
        <v>76.0</v>
      </c>
      <c r="M9029" s="40">
        <v>42234.0</v>
      </c>
      <c r="N9029" s="40">
        <v>42234.0</v>
      </c>
      <c r="O9029" s="15" t="s">
        <v>1554</v>
      </c>
      <c r="Q9029" s="7"/>
    </row>
    <row r="9030">
      <c r="A9030" s="39" t="s">
        <v>31806</v>
      </c>
      <c r="B9030" s="15">
        <v>1701847.0</v>
      </c>
      <c r="D9030" s="15">
        <v>0.0</v>
      </c>
      <c r="E9030" s="15" t="s">
        <v>1557</v>
      </c>
      <c r="F9030" s="15" t="s">
        <v>1833</v>
      </c>
      <c r="G9030" s="7">
        <v>75.114</v>
      </c>
      <c r="H9030" s="15">
        <v>63.0</v>
      </c>
      <c r="I9030" s="15" t="s">
        <v>1586</v>
      </c>
      <c r="J9030" s="15" t="s">
        <v>31807</v>
      </c>
      <c r="K9030" s="15">
        <v>143.0</v>
      </c>
      <c r="L9030" s="15">
        <v>141.0</v>
      </c>
      <c r="M9030" s="40">
        <v>42239.0</v>
      </c>
      <c r="N9030" s="40">
        <v>42239.0</v>
      </c>
      <c r="O9030" s="15" t="s">
        <v>1554</v>
      </c>
      <c r="Q9030" s="7"/>
    </row>
    <row r="9031">
      <c r="A9031" s="39" t="s">
        <v>31808</v>
      </c>
      <c r="B9031" s="15">
        <v>1300005.0</v>
      </c>
      <c r="D9031" s="15">
        <v>0.0</v>
      </c>
      <c r="E9031" s="15" t="s">
        <v>1557</v>
      </c>
      <c r="F9031" s="15" t="s">
        <v>1611</v>
      </c>
      <c r="G9031" s="7">
        <v>104.036</v>
      </c>
      <c r="H9031" s="15" t="s">
        <v>2178</v>
      </c>
      <c r="I9031" s="15" t="s">
        <v>1586</v>
      </c>
      <c r="J9031" s="15" t="s">
        <v>31809</v>
      </c>
      <c r="K9031" s="15">
        <v>123.0</v>
      </c>
      <c r="L9031" s="15">
        <v>122.0</v>
      </c>
      <c r="M9031" s="40">
        <v>41430.0</v>
      </c>
      <c r="N9031" s="40">
        <v>41430.0</v>
      </c>
      <c r="O9031" s="15" t="s">
        <v>1554</v>
      </c>
      <c r="Q9031" s="7"/>
    </row>
    <row r="9032">
      <c r="A9032" s="39" t="s">
        <v>13064</v>
      </c>
      <c r="B9032" s="15">
        <v>93678.0</v>
      </c>
      <c r="C9032" s="15" t="s">
        <v>31810</v>
      </c>
      <c r="D9032" s="15">
        <v>193982.0</v>
      </c>
      <c r="E9032" s="15" t="s">
        <v>1808</v>
      </c>
      <c r="F9032" s="15" t="s">
        <v>2232</v>
      </c>
      <c r="G9032" s="7">
        <v>2.912</v>
      </c>
      <c r="H9032" s="15" t="s">
        <v>1607</v>
      </c>
      <c r="I9032" s="15" t="s">
        <v>1567</v>
      </c>
      <c r="J9032" s="15" t="s">
        <v>31811</v>
      </c>
      <c r="K9032" s="15">
        <v>3.0</v>
      </c>
      <c r="L9032" s="15">
        <v>3.0</v>
      </c>
      <c r="M9032" s="40">
        <v>41349.0</v>
      </c>
      <c r="N9032" s="40">
        <v>41358.0</v>
      </c>
      <c r="O9032" s="15" t="s">
        <v>1554</v>
      </c>
      <c r="Q9032" s="7"/>
    </row>
    <row r="9033">
      <c r="A9033" s="39" t="s">
        <v>31813</v>
      </c>
      <c r="B9033" s="15">
        <v>1273743.0</v>
      </c>
      <c r="D9033" s="15">
        <v>0.0</v>
      </c>
      <c r="E9033" s="15" t="s">
        <v>1557</v>
      </c>
      <c r="F9033" s="15" t="s">
        <v>1833</v>
      </c>
      <c r="G9033" s="7">
        <v>49.362</v>
      </c>
      <c r="H9033" s="15" t="s">
        <v>1849</v>
      </c>
      <c r="I9033" s="15" t="s">
        <v>1586</v>
      </c>
      <c r="J9033" s="15" t="s">
        <v>31814</v>
      </c>
      <c r="K9033" s="15">
        <v>79.0</v>
      </c>
      <c r="L9033" s="15">
        <v>79.0</v>
      </c>
      <c r="M9033" s="40">
        <v>41317.0</v>
      </c>
      <c r="N9033" s="40">
        <v>41528.0</v>
      </c>
      <c r="O9033" s="15" t="s">
        <v>1554</v>
      </c>
      <c r="Q9033" s="7"/>
    </row>
    <row r="9034">
      <c r="A9034" s="39" t="s">
        <v>31815</v>
      </c>
      <c r="B9034" s="15">
        <v>1542131.0</v>
      </c>
      <c r="D9034" s="15">
        <v>0.0</v>
      </c>
      <c r="E9034" s="15" t="s">
        <v>1557</v>
      </c>
      <c r="F9034" s="15" t="s">
        <v>1767</v>
      </c>
      <c r="G9034" s="7">
        <v>152.308</v>
      </c>
      <c r="H9034" s="15" t="s">
        <v>4821</v>
      </c>
      <c r="I9034" s="15" t="s">
        <v>1586</v>
      </c>
      <c r="J9034" s="15" t="s">
        <v>31816</v>
      </c>
      <c r="K9034" s="15">
        <v>191.0</v>
      </c>
      <c r="L9034" s="15">
        <v>190.0</v>
      </c>
      <c r="M9034" s="40">
        <v>42283.0</v>
      </c>
      <c r="N9034" s="40">
        <v>42283.0</v>
      </c>
      <c r="O9034" s="15" t="s">
        <v>1554</v>
      </c>
      <c r="Q9034" s="7"/>
    </row>
    <row r="9035">
      <c r="A9035" s="39" t="s">
        <v>31817</v>
      </c>
      <c r="B9035" s="15">
        <v>874268.0</v>
      </c>
      <c r="D9035" s="15">
        <v>0.0</v>
      </c>
      <c r="E9035" s="15" t="s">
        <v>1557</v>
      </c>
      <c r="F9035" s="15" t="s">
        <v>1833</v>
      </c>
      <c r="G9035" s="7">
        <v>42.481</v>
      </c>
      <c r="H9035" s="15" t="s">
        <v>3862</v>
      </c>
      <c r="I9035" s="15" t="s">
        <v>1586</v>
      </c>
      <c r="J9035" s="15" t="s">
        <v>31819</v>
      </c>
      <c r="K9035" s="15">
        <v>13.0</v>
      </c>
      <c r="L9035" s="15">
        <v>42.0</v>
      </c>
      <c r="M9035" s="40">
        <v>40822.0</v>
      </c>
      <c r="N9035" s="40">
        <v>40822.0</v>
      </c>
      <c r="O9035" s="15" t="s">
        <v>1554</v>
      </c>
      <c r="Q9035" s="7"/>
    </row>
    <row r="9036">
      <c r="A9036" s="39" t="s">
        <v>31820</v>
      </c>
      <c r="B9036" s="15">
        <v>1883378.0</v>
      </c>
      <c r="D9036" s="15">
        <v>0.0</v>
      </c>
      <c r="E9036" s="15" t="s">
        <v>1557</v>
      </c>
      <c r="F9036" s="15" t="s">
        <v>1833</v>
      </c>
      <c r="G9036" s="7">
        <v>243.953</v>
      </c>
      <c r="H9036" s="15" t="s">
        <v>5521</v>
      </c>
      <c r="I9036" s="15" t="s">
        <v>1586</v>
      </c>
      <c r="J9036" s="15" t="s">
        <v>31821</v>
      </c>
      <c r="K9036" s="15">
        <v>288.0</v>
      </c>
      <c r="L9036" s="15">
        <v>276.0</v>
      </c>
      <c r="M9036" s="40">
        <v>42596.0</v>
      </c>
      <c r="N9036" s="40">
        <v>42601.0</v>
      </c>
      <c r="O9036" s="15" t="s">
        <v>1554</v>
      </c>
      <c r="Q9036" s="7"/>
    </row>
    <row r="9037">
      <c r="A9037" s="39" t="s">
        <v>31823</v>
      </c>
      <c r="B9037" s="15">
        <v>1072683.0</v>
      </c>
      <c r="D9037" s="15">
        <v>0.0</v>
      </c>
      <c r="E9037" s="15" t="s">
        <v>1557</v>
      </c>
      <c r="F9037" s="15" t="s">
        <v>1611</v>
      </c>
      <c r="G9037" s="7">
        <v>38.552</v>
      </c>
      <c r="H9037" s="15" t="s">
        <v>2597</v>
      </c>
      <c r="I9037" s="15" t="s">
        <v>1586</v>
      </c>
      <c r="J9037" s="15" t="s">
        <v>31824</v>
      </c>
      <c r="K9037" s="15">
        <v>45.0</v>
      </c>
      <c r="L9037" s="15">
        <v>45.0</v>
      </c>
      <c r="M9037" s="40">
        <v>40764.0</v>
      </c>
      <c r="N9037" s="40">
        <v>42576.0</v>
      </c>
      <c r="O9037" s="15" t="s">
        <v>1554</v>
      </c>
      <c r="Q9037" s="7"/>
    </row>
    <row r="9038">
      <c r="A9038" s="39" t="s">
        <v>31825</v>
      </c>
      <c r="B9038" s="15">
        <v>1497850.0</v>
      </c>
      <c r="D9038" s="15">
        <v>0.0</v>
      </c>
      <c r="E9038" s="15" t="s">
        <v>1808</v>
      </c>
      <c r="F9038" s="15" t="s">
        <v>2969</v>
      </c>
      <c r="G9038" s="7">
        <v>6.386</v>
      </c>
      <c r="H9038" s="15" t="s">
        <v>2098</v>
      </c>
      <c r="I9038" s="15" t="s">
        <v>1586</v>
      </c>
      <c r="J9038" s="15" t="s">
        <v>31827</v>
      </c>
      <c r="K9038" s="15" t="s">
        <v>1722</v>
      </c>
      <c r="L9038" s="15">
        <v>11.0</v>
      </c>
      <c r="M9038" s="41">
        <v>41943.0</v>
      </c>
      <c r="N9038" s="41">
        <v>41943.0</v>
      </c>
      <c r="O9038" s="15" t="s">
        <v>1554</v>
      </c>
      <c r="Q9038" s="7"/>
    </row>
    <row r="9039">
      <c r="A9039" s="39" t="s">
        <v>31828</v>
      </c>
      <c r="B9039" s="15">
        <v>1042124.0</v>
      </c>
      <c r="D9039" s="15">
        <v>0.0</v>
      </c>
      <c r="E9039" s="15" t="s">
        <v>1557</v>
      </c>
      <c r="F9039" s="15" t="s">
        <v>1833</v>
      </c>
      <c r="G9039" s="7">
        <v>39.594</v>
      </c>
      <c r="H9039" s="15" t="s">
        <v>2215</v>
      </c>
      <c r="I9039" s="15" t="s">
        <v>1586</v>
      </c>
      <c r="J9039" s="15" t="s">
        <v>31830</v>
      </c>
      <c r="K9039" s="15">
        <v>49.0</v>
      </c>
      <c r="L9039" s="15">
        <v>49.0</v>
      </c>
      <c r="M9039" s="40">
        <v>40723.0</v>
      </c>
      <c r="N9039" s="40">
        <v>40723.0</v>
      </c>
      <c r="O9039" s="15" t="s">
        <v>1554</v>
      </c>
      <c r="Q9039" s="7"/>
    </row>
    <row r="9040">
      <c r="A9040" s="39" t="s">
        <v>12501</v>
      </c>
      <c r="B9040" s="15">
        <v>1090133.0</v>
      </c>
      <c r="D9040" s="15">
        <v>0.0</v>
      </c>
      <c r="E9040" s="15" t="s">
        <v>1557</v>
      </c>
      <c r="F9040" s="15" t="s">
        <v>1611</v>
      </c>
      <c r="G9040" s="7">
        <v>39.646</v>
      </c>
      <c r="H9040" s="15" t="s">
        <v>3432</v>
      </c>
      <c r="I9040" s="15" t="s">
        <v>1586</v>
      </c>
      <c r="J9040" s="15" t="s">
        <v>31831</v>
      </c>
      <c r="K9040" s="15">
        <v>15.0</v>
      </c>
      <c r="L9040" s="15">
        <v>23.0</v>
      </c>
      <c r="M9040" s="41">
        <v>40834.0</v>
      </c>
      <c r="N9040" s="40">
        <v>42576.0</v>
      </c>
      <c r="O9040" s="15" t="s">
        <v>1554</v>
      </c>
      <c r="Q9040" s="7"/>
    </row>
    <row r="9041">
      <c r="A9041" s="39" t="s">
        <v>12412</v>
      </c>
      <c r="B9041" s="15">
        <v>1133292.0</v>
      </c>
      <c r="D9041" s="15">
        <v>0.0</v>
      </c>
      <c r="E9041" s="15" t="s">
        <v>1557</v>
      </c>
      <c r="F9041" s="15" t="s">
        <v>1611</v>
      </c>
      <c r="G9041" s="7">
        <v>41.143</v>
      </c>
      <c r="H9041" s="15" t="s">
        <v>5368</v>
      </c>
      <c r="I9041" s="15" t="s">
        <v>1586</v>
      </c>
      <c r="J9041" s="15" t="s">
        <v>31833</v>
      </c>
      <c r="K9041" s="15">
        <v>58.0</v>
      </c>
      <c r="L9041" s="15">
        <v>58.0</v>
      </c>
      <c r="M9041" s="40">
        <v>42740.0</v>
      </c>
      <c r="N9041" s="40">
        <v>42740.0</v>
      </c>
      <c r="O9041" s="15" t="s">
        <v>1554</v>
      </c>
      <c r="Q9041" s="7"/>
    </row>
    <row r="9042">
      <c r="A9042" s="39" t="s">
        <v>31834</v>
      </c>
      <c r="B9042" s="15">
        <v>1340811.0</v>
      </c>
      <c r="D9042" s="15">
        <v>0.0</v>
      </c>
      <c r="E9042" s="15" t="s">
        <v>1557</v>
      </c>
      <c r="F9042" s="15" t="s">
        <v>1767</v>
      </c>
      <c r="G9042" s="7">
        <v>176.044</v>
      </c>
      <c r="H9042" s="15" t="s">
        <v>3895</v>
      </c>
      <c r="I9042" s="15" t="s">
        <v>1586</v>
      </c>
      <c r="J9042" s="15" t="s">
        <v>31835</v>
      </c>
      <c r="K9042" s="15">
        <v>215.0</v>
      </c>
      <c r="L9042" s="15">
        <v>215.0</v>
      </c>
      <c r="M9042" s="41">
        <v>41622.0</v>
      </c>
      <c r="N9042" s="40">
        <v>41887.0</v>
      </c>
      <c r="O9042" s="15" t="s">
        <v>1554</v>
      </c>
      <c r="Q9042" s="7"/>
    </row>
    <row r="9043">
      <c r="A9043" s="39" t="s">
        <v>31836</v>
      </c>
      <c r="B9043" s="15">
        <v>1500712.0</v>
      </c>
      <c r="D9043" s="15">
        <v>0.0</v>
      </c>
      <c r="E9043" s="15" t="s">
        <v>1557</v>
      </c>
      <c r="F9043" s="15" t="s">
        <v>1767</v>
      </c>
      <c r="G9043" s="7">
        <v>44.395</v>
      </c>
      <c r="H9043" s="15" t="s">
        <v>3407</v>
      </c>
      <c r="I9043" s="15" t="s">
        <v>1586</v>
      </c>
      <c r="J9043" s="15" t="s">
        <v>31838</v>
      </c>
      <c r="K9043" s="15">
        <v>71.0</v>
      </c>
      <c r="L9043" s="15">
        <v>71.0</v>
      </c>
      <c r="M9043" s="40">
        <v>41784.0</v>
      </c>
      <c r="N9043" s="41">
        <v>41999.0</v>
      </c>
      <c r="O9043" s="15" t="s">
        <v>1554</v>
      </c>
      <c r="Q9043" s="7"/>
    </row>
    <row r="9044">
      <c r="A9044" s="39" t="s">
        <v>31839</v>
      </c>
      <c r="B9044" s="15">
        <v>1211278.0</v>
      </c>
      <c r="D9044" s="15">
        <v>0.0</v>
      </c>
      <c r="E9044" s="15" t="s">
        <v>1557</v>
      </c>
      <c r="F9044" s="15" t="s">
        <v>1833</v>
      </c>
      <c r="G9044" s="7">
        <v>51.16</v>
      </c>
      <c r="H9044" s="15">
        <v>67.0</v>
      </c>
      <c r="I9044" s="15" t="s">
        <v>1586</v>
      </c>
      <c r="J9044" s="15" t="s">
        <v>31840</v>
      </c>
      <c r="K9044" s="15">
        <v>81.0</v>
      </c>
      <c r="L9044" s="15">
        <v>81.0</v>
      </c>
      <c r="M9044" s="40">
        <v>41118.0</v>
      </c>
      <c r="N9044" s="40">
        <v>41582.0</v>
      </c>
      <c r="O9044" s="15" t="s">
        <v>1554</v>
      </c>
      <c r="Q9044" s="7"/>
    </row>
    <row r="9045">
      <c r="A9045" s="39" t="s">
        <v>12261</v>
      </c>
      <c r="B9045" s="15">
        <v>1204537.0</v>
      </c>
      <c r="D9045" s="15">
        <v>0.0</v>
      </c>
      <c r="E9045" s="15" t="s">
        <v>1557</v>
      </c>
      <c r="F9045" s="15" t="s">
        <v>1833</v>
      </c>
      <c r="G9045" s="7">
        <v>205.504</v>
      </c>
      <c r="H9045" s="15" t="s">
        <v>12271</v>
      </c>
      <c r="I9045" s="15" t="s">
        <v>1586</v>
      </c>
      <c r="J9045" s="15" t="s">
        <v>31842</v>
      </c>
      <c r="K9045" s="15">
        <v>319.0</v>
      </c>
      <c r="L9045" s="15">
        <v>319.0</v>
      </c>
      <c r="M9045" s="40">
        <v>41153.0</v>
      </c>
      <c r="N9045" s="40">
        <v>41153.0</v>
      </c>
      <c r="O9045" s="15" t="s">
        <v>1554</v>
      </c>
      <c r="Q9045" s="7"/>
    </row>
    <row r="9046">
      <c r="A9046" s="39" t="s">
        <v>31843</v>
      </c>
      <c r="B9046" s="15">
        <v>1643325.0</v>
      </c>
      <c r="D9046" s="15">
        <v>0.0</v>
      </c>
      <c r="E9046" s="15" t="s">
        <v>1557</v>
      </c>
      <c r="F9046" s="15" t="s">
        <v>1833</v>
      </c>
      <c r="G9046" s="7">
        <v>41.999</v>
      </c>
      <c r="H9046" s="15" t="s">
        <v>3361</v>
      </c>
      <c r="I9046" s="15" t="s">
        <v>1586</v>
      </c>
      <c r="J9046" s="15" t="s">
        <v>31844</v>
      </c>
      <c r="K9046" s="15">
        <v>63.0</v>
      </c>
      <c r="L9046" s="15">
        <v>63.0</v>
      </c>
      <c r="M9046" s="41">
        <v>42326.0</v>
      </c>
      <c r="N9046" s="41">
        <v>42326.0</v>
      </c>
      <c r="O9046" s="15" t="s">
        <v>1554</v>
      </c>
      <c r="Q9046" s="7"/>
    </row>
    <row r="9047">
      <c r="A9047" s="39" t="s">
        <v>11639</v>
      </c>
      <c r="B9047" s="15">
        <v>1141525.0</v>
      </c>
      <c r="D9047" s="15">
        <v>0.0</v>
      </c>
      <c r="E9047" s="15" t="s">
        <v>1557</v>
      </c>
      <c r="F9047" s="15" t="s">
        <v>1611</v>
      </c>
      <c r="G9047" s="7">
        <v>42.965</v>
      </c>
      <c r="H9047" s="15" t="s">
        <v>2094</v>
      </c>
      <c r="I9047" s="15" t="s">
        <v>1586</v>
      </c>
      <c r="J9047" s="15" t="s">
        <v>31846</v>
      </c>
      <c r="K9047" s="15">
        <v>54.0</v>
      </c>
      <c r="L9047" s="15">
        <v>54.0</v>
      </c>
      <c r="M9047" s="40">
        <v>42676.0</v>
      </c>
      <c r="N9047" s="40">
        <v>42676.0</v>
      </c>
      <c r="O9047" s="15" t="s">
        <v>1554</v>
      </c>
      <c r="Q9047" s="7"/>
    </row>
    <row r="9048">
      <c r="A9048" s="39" t="s">
        <v>31847</v>
      </c>
      <c r="B9048" s="15">
        <v>1010615.0</v>
      </c>
      <c r="D9048" s="15">
        <v>0.0</v>
      </c>
      <c r="E9048" s="15" t="s">
        <v>1557</v>
      </c>
      <c r="F9048" s="15" t="s">
        <v>1611</v>
      </c>
      <c r="G9048" s="7">
        <v>18.186</v>
      </c>
      <c r="H9048" s="15" t="s">
        <v>20042</v>
      </c>
      <c r="I9048" s="15" t="s">
        <v>1586</v>
      </c>
      <c r="J9048" s="15" t="s">
        <v>31848</v>
      </c>
      <c r="K9048" s="15" t="s">
        <v>1722</v>
      </c>
      <c r="L9048" s="15">
        <v>21.0</v>
      </c>
      <c r="M9048" s="41">
        <v>40899.0</v>
      </c>
      <c r="N9048" s="41">
        <v>40899.0</v>
      </c>
      <c r="O9048" s="15" t="s">
        <v>1554</v>
      </c>
      <c r="Q9048" s="7"/>
    </row>
    <row r="9049">
      <c r="A9049" s="39" t="s">
        <v>11030</v>
      </c>
      <c r="B9049" s="15">
        <v>407392.0</v>
      </c>
      <c r="D9049" s="15">
        <v>0.0</v>
      </c>
      <c r="E9049" s="15" t="s">
        <v>1557</v>
      </c>
      <c r="F9049" s="15" t="s">
        <v>1767</v>
      </c>
      <c r="G9049" s="7">
        <v>152.372</v>
      </c>
      <c r="H9049" s="15" t="s">
        <v>10167</v>
      </c>
      <c r="I9049" s="15" t="s">
        <v>1586</v>
      </c>
      <c r="J9049" s="15" t="s">
        <v>31850</v>
      </c>
      <c r="K9049" s="15">
        <v>173.0</v>
      </c>
      <c r="L9049" s="15">
        <v>170.0</v>
      </c>
      <c r="M9049" s="40">
        <v>40752.0</v>
      </c>
      <c r="N9049" s="40">
        <v>40794.0</v>
      </c>
      <c r="O9049" s="15" t="s">
        <v>1554</v>
      </c>
      <c r="Q9049" s="7"/>
    </row>
    <row r="9050">
      <c r="A9050" s="39" t="s">
        <v>11005</v>
      </c>
      <c r="B9050" s="15">
        <v>68887.0</v>
      </c>
      <c r="C9050" s="15" t="s">
        <v>31851</v>
      </c>
      <c r="D9050" s="15">
        <v>70005.0</v>
      </c>
      <c r="E9050" s="15" t="s">
        <v>1808</v>
      </c>
      <c r="F9050" s="15" t="s">
        <v>2232</v>
      </c>
      <c r="G9050" s="7">
        <v>3.725</v>
      </c>
      <c r="H9050" s="15" t="s">
        <v>1640</v>
      </c>
      <c r="I9050" s="15" t="s">
        <v>1567</v>
      </c>
      <c r="J9050" s="15" t="s">
        <v>31852</v>
      </c>
      <c r="K9050" s="15" t="s">
        <v>1722</v>
      </c>
      <c r="L9050" s="15" t="s">
        <v>1722</v>
      </c>
      <c r="M9050" s="40">
        <v>40730.0</v>
      </c>
      <c r="N9050" s="40">
        <v>40737.0</v>
      </c>
      <c r="O9050" s="15" t="s">
        <v>2353</v>
      </c>
      <c r="Q9050" s="7"/>
    </row>
    <row r="9051">
      <c r="A9051" s="39" t="s">
        <v>31854</v>
      </c>
      <c r="B9051" s="15">
        <v>947379.0</v>
      </c>
      <c r="D9051" s="15">
        <v>0.0</v>
      </c>
      <c r="E9051" s="15" t="s">
        <v>1557</v>
      </c>
      <c r="F9051" s="15" t="s">
        <v>1767</v>
      </c>
      <c r="G9051" s="7">
        <v>142.072</v>
      </c>
      <c r="H9051" s="15" t="s">
        <v>3827</v>
      </c>
      <c r="I9051" s="15" t="s">
        <v>1586</v>
      </c>
      <c r="J9051" s="15" t="s">
        <v>31855</v>
      </c>
      <c r="K9051" s="15" t="s">
        <v>1722</v>
      </c>
      <c r="L9051" s="15">
        <v>1.0</v>
      </c>
      <c r="M9051" s="41">
        <v>40836.0</v>
      </c>
      <c r="N9051" s="40">
        <v>42187.0</v>
      </c>
      <c r="O9051" s="15" t="s">
        <v>1554</v>
      </c>
      <c r="Q9051" s="7"/>
    </row>
    <row r="9052">
      <c r="A9052" s="39" t="s">
        <v>31856</v>
      </c>
      <c r="B9052" s="15">
        <v>915425.0</v>
      </c>
      <c r="C9052" s="15" t="s">
        <v>31857</v>
      </c>
      <c r="D9052" s="15">
        <v>17121.0</v>
      </c>
      <c r="E9052" s="15" t="s">
        <v>1557</v>
      </c>
      <c r="F9052" s="15" t="s">
        <v>1822</v>
      </c>
      <c r="G9052" s="7">
        <v>7.259</v>
      </c>
      <c r="H9052" s="15" t="s">
        <v>2648</v>
      </c>
      <c r="I9052" s="15" t="s">
        <v>1686</v>
      </c>
      <c r="J9052" s="15" t="s">
        <v>31859</v>
      </c>
      <c r="K9052" s="15">
        <v>6.0</v>
      </c>
      <c r="L9052" s="15">
        <v>6.0</v>
      </c>
      <c r="M9052" s="40">
        <v>38868.0</v>
      </c>
      <c r="N9052" s="40">
        <v>40263.0</v>
      </c>
      <c r="O9052" s="15" t="s">
        <v>1554</v>
      </c>
      <c r="Q9052" s="7"/>
    </row>
    <row r="9053">
      <c r="A9053" s="39" t="s">
        <v>31860</v>
      </c>
      <c r="B9053" s="15">
        <v>756278.0</v>
      </c>
      <c r="D9053" s="15">
        <v>0.0</v>
      </c>
      <c r="E9053" s="15" t="s">
        <v>1557</v>
      </c>
      <c r="F9053" s="15" t="s">
        <v>1767</v>
      </c>
      <c r="G9053" s="7">
        <v>171.77</v>
      </c>
      <c r="H9053" s="15" t="s">
        <v>2141</v>
      </c>
      <c r="I9053" s="15" t="s">
        <v>1586</v>
      </c>
      <c r="J9053" s="15" t="s">
        <v>31861</v>
      </c>
      <c r="K9053" s="15">
        <v>230.0</v>
      </c>
      <c r="L9053" s="15">
        <v>222.0</v>
      </c>
      <c r="M9053" s="41">
        <v>42656.0</v>
      </c>
      <c r="N9053" s="41">
        <v>42656.0</v>
      </c>
      <c r="O9053" s="15" t="s">
        <v>1554</v>
      </c>
      <c r="Q9053" s="7"/>
    </row>
    <row r="9054">
      <c r="A9054" s="39" t="s">
        <v>31862</v>
      </c>
      <c r="B9054" s="15">
        <v>869661.0</v>
      </c>
      <c r="D9054" s="15">
        <v>0.0</v>
      </c>
      <c r="E9054" s="15" t="s">
        <v>1557</v>
      </c>
      <c r="F9054" s="15" t="s">
        <v>1767</v>
      </c>
      <c r="G9054" s="7">
        <v>175.43</v>
      </c>
      <c r="H9054" s="15" t="s">
        <v>1591</v>
      </c>
      <c r="I9054" s="15" t="s">
        <v>1586</v>
      </c>
      <c r="J9054" s="15" t="s">
        <v>31863</v>
      </c>
      <c r="K9054" s="15">
        <v>214.0</v>
      </c>
      <c r="L9054" s="15">
        <v>208.0</v>
      </c>
      <c r="M9054" s="40">
        <v>41350.0</v>
      </c>
      <c r="N9054" s="40">
        <v>41350.0</v>
      </c>
      <c r="O9054" s="15" t="s">
        <v>1554</v>
      </c>
      <c r="Q9054" s="7"/>
    </row>
    <row r="9055">
      <c r="A9055" s="39" t="s">
        <v>10974</v>
      </c>
      <c r="B9055" s="15">
        <v>754038.0</v>
      </c>
      <c r="D9055" s="15">
        <v>0.0</v>
      </c>
      <c r="E9055" s="15" t="s">
        <v>1557</v>
      </c>
      <c r="F9055" s="15" t="s">
        <v>1767</v>
      </c>
      <c r="G9055" s="7">
        <v>172.342</v>
      </c>
      <c r="H9055" s="15" t="s">
        <v>2197</v>
      </c>
      <c r="I9055" s="15" t="s">
        <v>1586</v>
      </c>
      <c r="J9055" s="15" t="s">
        <v>31865</v>
      </c>
      <c r="K9055" s="15">
        <v>211.0</v>
      </c>
      <c r="L9055" s="15">
        <v>211.0</v>
      </c>
      <c r="M9055" s="41">
        <v>42654.0</v>
      </c>
      <c r="N9055" s="41">
        <v>42654.0</v>
      </c>
      <c r="O9055" s="15" t="s">
        <v>1554</v>
      </c>
      <c r="Q9055" s="7"/>
    </row>
    <row r="9056">
      <c r="A9056" s="39" t="s">
        <v>31866</v>
      </c>
      <c r="B9056" s="15">
        <v>1176764.0</v>
      </c>
      <c r="D9056" s="15">
        <v>0.0</v>
      </c>
      <c r="E9056" s="15" t="s">
        <v>1557</v>
      </c>
      <c r="F9056" s="15" t="s">
        <v>1611</v>
      </c>
      <c r="G9056" s="7">
        <v>39.415</v>
      </c>
      <c r="H9056" s="15" t="s">
        <v>2075</v>
      </c>
      <c r="I9056" s="15" t="s">
        <v>1586</v>
      </c>
      <c r="J9056" s="15" t="s">
        <v>31867</v>
      </c>
      <c r="K9056" s="15" t="s">
        <v>1722</v>
      </c>
      <c r="L9056" s="15">
        <v>44.0</v>
      </c>
      <c r="M9056" s="40">
        <v>41078.0</v>
      </c>
      <c r="N9056" s="40">
        <v>41078.0</v>
      </c>
      <c r="O9056" s="15" t="s">
        <v>1554</v>
      </c>
      <c r="Q9056" s="7"/>
    </row>
    <row r="9057">
      <c r="A9057" s="39" t="s">
        <v>31868</v>
      </c>
      <c r="B9057" s="15">
        <v>1278485.0</v>
      </c>
      <c r="D9057" s="15">
        <v>0.0</v>
      </c>
      <c r="E9057" s="15" t="s">
        <v>1557</v>
      </c>
      <c r="F9057" s="15" t="s">
        <v>1578</v>
      </c>
      <c r="G9057" s="7">
        <v>192.999</v>
      </c>
      <c r="H9057" s="15" t="s">
        <v>2141</v>
      </c>
      <c r="I9057" s="15" t="s">
        <v>1586</v>
      </c>
      <c r="J9057" s="15" t="s">
        <v>31869</v>
      </c>
      <c r="K9057" s="15">
        <v>236.0</v>
      </c>
      <c r="L9057" s="15">
        <v>230.0</v>
      </c>
      <c r="M9057" s="40">
        <v>42442.0</v>
      </c>
      <c r="N9057" s="40">
        <v>42442.0</v>
      </c>
      <c r="O9057" s="15" t="s">
        <v>1554</v>
      </c>
      <c r="Q9057" s="7"/>
    </row>
    <row r="9058">
      <c r="A9058" s="39" t="s">
        <v>31871</v>
      </c>
      <c r="B9058" s="15">
        <v>763552.0</v>
      </c>
      <c r="C9058" s="15" t="s">
        <v>31872</v>
      </c>
      <c r="D9058" s="15">
        <v>50561.0</v>
      </c>
      <c r="E9058" s="15" t="s">
        <v>1557</v>
      </c>
      <c r="F9058" s="15" t="s">
        <v>1822</v>
      </c>
      <c r="G9058" s="7">
        <v>7.51</v>
      </c>
      <c r="H9058" s="15" t="s">
        <v>2484</v>
      </c>
      <c r="I9058" s="15" t="s">
        <v>1686</v>
      </c>
      <c r="J9058" s="15" t="s">
        <v>31873</v>
      </c>
      <c r="K9058" s="15">
        <v>7.0</v>
      </c>
      <c r="L9058" s="15">
        <v>7.0</v>
      </c>
      <c r="M9058" s="40">
        <v>40360.0</v>
      </c>
      <c r="N9058" s="40">
        <v>42577.0</v>
      </c>
      <c r="O9058" s="15" t="s">
        <v>1554</v>
      </c>
      <c r="Q9058" s="7"/>
    </row>
    <row r="9059">
      <c r="A9059" s="39" t="s">
        <v>31874</v>
      </c>
      <c r="B9059" s="15">
        <v>329289.0</v>
      </c>
      <c r="C9059" s="15" t="s">
        <v>31875</v>
      </c>
      <c r="D9059" s="15">
        <v>16320.0</v>
      </c>
      <c r="E9059" s="15" t="s">
        <v>2014</v>
      </c>
      <c r="F9059" s="15" t="s">
        <v>2018</v>
      </c>
      <c r="G9059" s="7">
        <v>0.895</v>
      </c>
      <c r="H9059" s="15" t="s">
        <v>2440</v>
      </c>
      <c r="I9059" s="15" t="s">
        <v>1628</v>
      </c>
      <c r="J9059" s="15" t="s">
        <v>31876</v>
      </c>
      <c r="K9059" s="15" t="s">
        <v>1722</v>
      </c>
      <c r="L9059" s="15" t="s">
        <v>1722</v>
      </c>
      <c r="M9059" s="40">
        <v>38733.0</v>
      </c>
      <c r="N9059" s="40">
        <v>40578.0</v>
      </c>
      <c r="O9059" s="15" t="s">
        <v>1554</v>
      </c>
      <c r="Q9059" s="7"/>
    </row>
    <row r="9060">
      <c r="A9060" s="39" t="s">
        <v>31877</v>
      </c>
      <c r="B9060" s="15">
        <v>11908.0</v>
      </c>
      <c r="C9060" s="15" t="s">
        <v>31878</v>
      </c>
      <c r="D9060" s="15">
        <v>15434.0</v>
      </c>
      <c r="E9060" s="15" t="s">
        <v>1916</v>
      </c>
      <c r="F9060" s="15" t="s">
        <v>2532</v>
      </c>
      <c r="G9060" s="7">
        <v>8.507</v>
      </c>
      <c r="H9060" s="15" t="s">
        <v>1957</v>
      </c>
      <c r="I9060" s="15" t="s">
        <v>1686</v>
      </c>
      <c r="J9060" s="15" t="s">
        <v>31879</v>
      </c>
      <c r="K9060" s="15">
        <v>8.0</v>
      </c>
      <c r="L9060" s="15">
        <v>6.0</v>
      </c>
      <c r="M9060" s="40">
        <v>35816.0</v>
      </c>
      <c r="N9060" s="40">
        <v>40248.0</v>
      </c>
      <c r="O9060" s="15" t="s">
        <v>1554</v>
      </c>
      <c r="Q9060" s="7"/>
    </row>
    <row r="9061">
      <c r="A9061" s="39" t="s">
        <v>31881</v>
      </c>
      <c r="B9061" s="15">
        <v>45659.0</v>
      </c>
      <c r="C9061" s="15" t="s">
        <v>31882</v>
      </c>
      <c r="D9061" s="15">
        <v>31177.0</v>
      </c>
      <c r="E9061" s="15" t="s">
        <v>1557</v>
      </c>
      <c r="F9061" s="15" t="s">
        <v>2628</v>
      </c>
      <c r="G9061" s="7">
        <v>35.343</v>
      </c>
      <c r="H9061" s="15" t="s">
        <v>2324</v>
      </c>
      <c r="I9061" s="15" t="s">
        <v>1567</v>
      </c>
      <c r="J9061" s="15" t="s">
        <v>31883</v>
      </c>
      <c r="K9061" s="15">
        <v>17.0</v>
      </c>
      <c r="L9061" s="15">
        <v>39.0</v>
      </c>
      <c r="M9061" s="41">
        <v>38679.0</v>
      </c>
      <c r="N9061" s="40">
        <v>42135.0</v>
      </c>
      <c r="O9061" s="15" t="s">
        <v>1554</v>
      </c>
      <c r="Q9061" s="7"/>
    </row>
    <row r="9062">
      <c r="A9062" s="39" t="s">
        <v>31884</v>
      </c>
      <c r="B9062" s="15">
        <v>1544902.0</v>
      </c>
      <c r="C9062" s="15" t="s">
        <v>31885</v>
      </c>
      <c r="D9062" s="15">
        <v>339556.0</v>
      </c>
      <c r="E9062" s="15" t="s">
        <v>1548</v>
      </c>
      <c r="F9062" s="15" t="s">
        <v>1801</v>
      </c>
      <c r="G9062" s="7">
        <v>9.443</v>
      </c>
      <c r="H9062" s="15" t="s">
        <v>3220</v>
      </c>
      <c r="I9062" s="15" t="s">
        <v>1567</v>
      </c>
      <c r="J9062" s="15" t="s">
        <v>31886</v>
      </c>
      <c r="K9062" s="15">
        <v>1.0</v>
      </c>
      <c r="L9062" s="15">
        <v>2.0</v>
      </c>
      <c r="M9062" s="40">
        <v>39393.0</v>
      </c>
      <c r="N9062" s="40">
        <v>42641.0</v>
      </c>
      <c r="O9062" s="15" t="s">
        <v>1554</v>
      </c>
      <c r="Q9062" s="7"/>
    </row>
    <row r="9063">
      <c r="A9063" s="39" t="s">
        <v>31887</v>
      </c>
      <c r="B9063" s="15">
        <v>78540.0</v>
      </c>
      <c r="C9063" s="15" t="s">
        <v>31888</v>
      </c>
      <c r="D9063" s="15">
        <v>15395.0</v>
      </c>
      <c r="E9063" s="15" t="s">
        <v>1548</v>
      </c>
      <c r="F9063" s="15" t="s">
        <v>3181</v>
      </c>
      <c r="G9063" s="7">
        <v>43354.0</v>
      </c>
      <c r="H9063" s="15" t="s">
        <v>2131</v>
      </c>
      <c r="I9063" s="15" t="s">
        <v>1751</v>
      </c>
      <c r="J9063" s="15" t="s">
        <v>31890</v>
      </c>
      <c r="K9063" s="15">
        <v>12.0</v>
      </c>
      <c r="L9063" s="15">
        <v>3.0</v>
      </c>
      <c r="M9063" s="40">
        <v>37320.0</v>
      </c>
      <c r="N9063" s="40">
        <v>41087.0</v>
      </c>
      <c r="O9063" s="15" t="s">
        <v>1554</v>
      </c>
      <c r="Q9063" s="7"/>
    </row>
    <row r="9064">
      <c r="A9064" s="39" t="s">
        <v>10799</v>
      </c>
      <c r="B9064" s="15">
        <v>11082.0</v>
      </c>
      <c r="C9064" s="15" t="s">
        <v>31891</v>
      </c>
      <c r="D9064" s="15">
        <v>30293.0</v>
      </c>
      <c r="E9064" s="15" t="s">
        <v>1548</v>
      </c>
      <c r="F9064" s="15" t="s">
        <v>1801</v>
      </c>
      <c r="G9064" s="7">
        <v>11.029</v>
      </c>
      <c r="H9064" s="15" t="s">
        <v>2263</v>
      </c>
      <c r="I9064" s="15" t="s">
        <v>1803</v>
      </c>
      <c r="J9064" s="15" t="s">
        <v>31892</v>
      </c>
      <c r="K9064" s="15">
        <v>1.0</v>
      </c>
      <c r="L9064" s="15">
        <v>3.0</v>
      </c>
      <c r="M9064" s="41">
        <v>38636.0</v>
      </c>
      <c r="N9064" s="40">
        <v>42606.0</v>
      </c>
      <c r="O9064" s="15" t="s">
        <v>1554</v>
      </c>
      <c r="Q9064" s="7"/>
    </row>
    <row r="9065">
      <c r="A9065" s="39" t="s">
        <v>31893</v>
      </c>
      <c r="B9065" s="15">
        <v>11152.0</v>
      </c>
      <c r="C9065" s="15" t="s">
        <v>31894</v>
      </c>
      <c r="D9065" s="15">
        <v>30039.0</v>
      </c>
      <c r="E9065" s="15" t="s">
        <v>1548</v>
      </c>
      <c r="F9065" s="15" t="s">
        <v>1684</v>
      </c>
      <c r="G9065" s="7">
        <v>27.657</v>
      </c>
      <c r="H9065" s="15" t="s">
        <v>2824</v>
      </c>
      <c r="I9065" s="15" t="s">
        <v>1686</v>
      </c>
      <c r="J9065" s="15" t="s">
        <v>31896</v>
      </c>
      <c r="K9065" s="15">
        <v>11.0</v>
      </c>
      <c r="L9065" s="15">
        <v>11.0</v>
      </c>
      <c r="M9065" s="40">
        <v>39597.0</v>
      </c>
      <c r="N9065" s="41">
        <v>41621.0</v>
      </c>
      <c r="O9065" s="15" t="s">
        <v>1554</v>
      </c>
      <c r="Q9065" s="7"/>
    </row>
    <row r="9066">
      <c r="A9066" s="39" t="s">
        <v>31897</v>
      </c>
      <c r="B9066" s="15">
        <v>11053.0</v>
      </c>
      <c r="C9066" s="15" t="s">
        <v>31898</v>
      </c>
      <c r="D9066" s="15">
        <v>15306.0</v>
      </c>
      <c r="E9066" s="15" t="s">
        <v>1548</v>
      </c>
      <c r="F9066" s="15" t="s">
        <v>1801</v>
      </c>
      <c r="G9066" s="7">
        <v>10.735</v>
      </c>
      <c r="H9066" s="15" t="s">
        <v>2686</v>
      </c>
      <c r="I9066" s="15" t="s">
        <v>1803</v>
      </c>
      <c r="J9066" s="15" t="s">
        <v>31899</v>
      </c>
      <c r="K9066" s="15">
        <v>1.0</v>
      </c>
      <c r="L9066" s="15">
        <v>1.0</v>
      </c>
      <c r="M9066" s="40">
        <v>35489.0</v>
      </c>
      <c r="N9066" s="40">
        <v>42262.0</v>
      </c>
      <c r="O9066" s="15" t="s">
        <v>1554</v>
      </c>
      <c r="Q9066" s="7"/>
    </row>
    <row r="9067">
      <c r="A9067" s="39" t="s">
        <v>31900</v>
      </c>
      <c r="B9067" s="15">
        <v>289367.0</v>
      </c>
      <c r="C9067" s="15" t="s">
        <v>31902</v>
      </c>
      <c r="D9067" s="15">
        <v>15253.0</v>
      </c>
      <c r="E9067" s="15" t="s">
        <v>1808</v>
      </c>
      <c r="F9067" s="15" t="s">
        <v>2232</v>
      </c>
      <c r="G9067" s="7">
        <v>2.635</v>
      </c>
      <c r="H9067" s="15" t="s">
        <v>6418</v>
      </c>
      <c r="I9067" s="15" t="s">
        <v>1567</v>
      </c>
      <c r="J9067" s="15" t="s">
        <v>31903</v>
      </c>
      <c r="K9067" s="15">
        <v>5.0</v>
      </c>
      <c r="L9067" s="15">
        <v>5.0</v>
      </c>
      <c r="M9067" s="40">
        <v>38473.0</v>
      </c>
      <c r="N9067" s="40">
        <v>39911.0</v>
      </c>
      <c r="O9067" s="15" t="s">
        <v>1554</v>
      </c>
      <c r="Q9067" s="7"/>
    </row>
    <row r="9068">
      <c r="A9068" s="39" t="s">
        <v>31904</v>
      </c>
      <c r="B9068" s="15">
        <v>502102.0</v>
      </c>
      <c r="C9068" s="15" t="s">
        <v>31905</v>
      </c>
      <c r="D9068" s="15">
        <v>39313.0</v>
      </c>
      <c r="E9068" s="15" t="s">
        <v>1548</v>
      </c>
      <c r="F9068" s="15" t="s">
        <v>1684</v>
      </c>
      <c r="G9068" s="7">
        <v>31.25</v>
      </c>
      <c r="H9068" s="15" t="s">
        <v>1710</v>
      </c>
      <c r="I9068" s="15" t="s">
        <v>1686</v>
      </c>
      <c r="J9068" s="15" t="s">
        <v>31906</v>
      </c>
      <c r="K9068" s="15">
        <v>10.0</v>
      </c>
      <c r="L9068" s="15">
        <v>10.0</v>
      </c>
      <c r="M9068" s="40">
        <v>40005.0</v>
      </c>
      <c r="N9068" s="41">
        <v>41239.0</v>
      </c>
      <c r="O9068" s="15" t="s">
        <v>1554</v>
      </c>
      <c r="Q9068" s="7"/>
    </row>
    <row r="9069">
      <c r="A9069" s="39" t="s">
        <v>31907</v>
      </c>
      <c r="B9069" s="15">
        <v>11795.0</v>
      </c>
      <c r="C9069" s="15" t="s">
        <v>31909</v>
      </c>
      <c r="D9069" s="15">
        <v>15200.0</v>
      </c>
      <c r="E9069" s="15" t="s">
        <v>1916</v>
      </c>
      <c r="F9069" s="15" t="s">
        <v>2532</v>
      </c>
      <c r="G9069" s="7">
        <v>8.323</v>
      </c>
      <c r="H9069" s="15" t="s">
        <v>1597</v>
      </c>
      <c r="I9069" s="15" t="s">
        <v>1686</v>
      </c>
      <c r="J9069" s="15" t="s">
        <v>31910</v>
      </c>
      <c r="K9069" s="15">
        <v>3.0</v>
      </c>
      <c r="L9069" s="15">
        <v>3.0</v>
      </c>
      <c r="M9069" s="41">
        <v>33540.0</v>
      </c>
      <c r="N9069" s="40">
        <v>42577.0</v>
      </c>
      <c r="O9069" s="15" t="s">
        <v>1554</v>
      </c>
      <c r="Q9069" s="7"/>
    </row>
    <row r="9070">
      <c r="A9070" s="39" t="s">
        <v>10751</v>
      </c>
      <c r="B9070" s="15">
        <v>268746.0</v>
      </c>
      <c r="D9070" s="15">
        <v>0.0</v>
      </c>
      <c r="E9070" s="15" t="s">
        <v>1557</v>
      </c>
      <c r="F9070" s="15" t="s">
        <v>1767</v>
      </c>
      <c r="G9070" s="7">
        <v>252.407</v>
      </c>
      <c r="H9070" s="15" t="s">
        <v>2103</v>
      </c>
      <c r="I9070" s="15" t="s">
        <v>1586</v>
      </c>
      <c r="J9070" s="15" t="s">
        <v>31911</v>
      </c>
      <c r="K9070" s="15">
        <v>332.0</v>
      </c>
      <c r="L9070" s="15">
        <v>330.0</v>
      </c>
      <c r="M9070" s="41">
        <v>40132.0</v>
      </c>
      <c r="N9070" s="41">
        <v>40132.0</v>
      </c>
      <c r="O9070" s="15" t="s">
        <v>1554</v>
      </c>
      <c r="Q9070" s="7"/>
    </row>
    <row r="9071">
      <c r="A9071" s="39" t="s">
        <v>31912</v>
      </c>
      <c r="B9071" s="15">
        <v>488241.0</v>
      </c>
      <c r="C9071" s="15" t="s">
        <v>31914</v>
      </c>
      <c r="D9071" s="15">
        <v>15620.0</v>
      </c>
      <c r="E9071" s="15" t="s">
        <v>1548</v>
      </c>
      <c r="F9071" s="15" t="s">
        <v>5756</v>
      </c>
      <c r="G9071" s="7">
        <v>13.46</v>
      </c>
      <c r="H9071" s="15" t="s">
        <v>31915</v>
      </c>
      <c r="I9071" s="15" t="s">
        <v>1567</v>
      </c>
      <c r="J9071" s="15" t="s">
        <v>31916</v>
      </c>
      <c r="K9071" s="15">
        <v>12.0</v>
      </c>
      <c r="L9071" s="15">
        <v>12.0</v>
      </c>
      <c r="M9071" s="41">
        <v>32857.0</v>
      </c>
      <c r="N9071" s="41">
        <v>42297.0</v>
      </c>
      <c r="O9071" s="15" t="s">
        <v>1554</v>
      </c>
      <c r="Q9071" s="7"/>
    </row>
    <row r="9072">
      <c r="A9072" s="39" t="s">
        <v>31917</v>
      </c>
      <c r="B9072" s="15">
        <v>159122.0</v>
      </c>
      <c r="C9072" s="15" t="s">
        <v>31918</v>
      </c>
      <c r="D9072" s="15">
        <v>14872.0</v>
      </c>
      <c r="E9072" s="15" t="s">
        <v>1916</v>
      </c>
      <c r="F9072" s="15" t="s">
        <v>2532</v>
      </c>
      <c r="G9072" s="7">
        <v>9.518</v>
      </c>
      <c r="H9072" s="15">
        <v>44.0</v>
      </c>
      <c r="I9072" s="15" t="s">
        <v>1686</v>
      </c>
      <c r="J9072" s="15" t="s">
        <v>31919</v>
      </c>
      <c r="K9072" s="15">
        <v>8.0</v>
      </c>
      <c r="L9072" s="15">
        <v>8.0</v>
      </c>
      <c r="M9072" s="40">
        <v>37351.0</v>
      </c>
      <c r="N9072" s="40">
        <v>42576.0</v>
      </c>
      <c r="O9072" s="15" t="s">
        <v>1554</v>
      </c>
      <c r="Q9072" s="7"/>
    </row>
    <row r="9073">
      <c r="A9073" s="39" t="s">
        <v>31920</v>
      </c>
      <c r="B9073" s="15">
        <v>331642.0</v>
      </c>
      <c r="C9073" s="15" t="s">
        <v>31922</v>
      </c>
      <c r="D9073" s="15">
        <v>16653.0</v>
      </c>
      <c r="E9073" s="15" t="s">
        <v>1548</v>
      </c>
      <c r="F9073" s="15" t="s">
        <v>4829</v>
      </c>
      <c r="G9073" s="7">
        <v>7.454</v>
      </c>
      <c r="H9073" s="15" t="s">
        <v>2033</v>
      </c>
      <c r="I9073" s="15" t="s">
        <v>1686</v>
      </c>
      <c r="J9073" s="15" t="s">
        <v>31923</v>
      </c>
      <c r="K9073" s="15">
        <v>2.0</v>
      </c>
      <c r="L9073" s="15">
        <v>2.0</v>
      </c>
      <c r="M9073" s="40">
        <v>38782.0</v>
      </c>
      <c r="N9073" s="40">
        <v>39220.0</v>
      </c>
      <c r="O9073" s="15" t="s">
        <v>1554</v>
      </c>
      <c r="Q9073" s="7"/>
    </row>
    <row r="9074">
      <c r="A9074" s="39" t="s">
        <v>31924</v>
      </c>
      <c r="B9074" s="15">
        <v>33748.0</v>
      </c>
      <c r="C9074" s="15" t="s">
        <v>31925</v>
      </c>
      <c r="D9074" s="15">
        <v>15221.0</v>
      </c>
      <c r="E9074" s="15" t="s">
        <v>1916</v>
      </c>
      <c r="F9074" s="15" t="s">
        <v>2532</v>
      </c>
      <c r="G9074" s="7">
        <v>8.855</v>
      </c>
      <c r="H9074" s="15" t="s">
        <v>3055</v>
      </c>
      <c r="I9074" s="15" t="s">
        <v>1686</v>
      </c>
      <c r="J9074" s="15" t="s">
        <v>31926</v>
      </c>
      <c r="K9074" s="15">
        <v>12.0</v>
      </c>
      <c r="L9074" s="15">
        <v>7.0</v>
      </c>
      <c r="M9074" s="40">
        <v>35914.0</v>
      </c>
      <c r="N9074" s="40">
        <v>40982.0</v>
      </c>
      <c r="O9074" s="15" t="s">
        <v>1554</v>
      </c>
      <c r="Q9074" s="7"/>
    </row>
    <row r="9075">
      <c r="A9075" s="39" t="s">
        <v>31928</v>
      </c>
      <c r="B9075" s="15">
        <v>234601.0</v>
      </c>
      <c r="C9075" s="15" t="s">
        <v>31929</v>
      </c>
      <c r="D9075" s="15">
        <v>14952.0</v>
      </c>
      <c r="E9075" s="15" t="s">
        <v>1548</v>
      </c>
      <c r="F9075" s="15" t="s">
        <v>4829</v>
      </c>
      <c r="G9075" s="7">
        <v>7.458</v>
      </c>
      <c r="H9075" s="15" t="s">
        <v>4776</v>
      </c>
      <c r="I9075" s="15" t="s">
        <v>1567</v>
      </c>
      <c r="J9075" s="15" t="s">
        <v>31930</v>
      </c>
      <c r="K9075" s="15">
        <v>2.0</v>
      </c>
      <c r="L9075" s="15">
        <v>2.0</v>
      </c>
      <c r="M9075" s="40">
        <v>38043.0</v>
      </c>
      <c r="N9075" s="40">
        <v>39791.0</v>
      </c>
      <c r="O9075" s="15" t="s">
        <v>1554</v>
      </c>
      <c r="Q9075" s="7"/>
    </row>
    <row r="9076">
      <c r="A9076" s="39" t="s">
        <v>31931</v>
      </c>
      <c r="B9076" s="15">
        <v>11946.0</v>
      </c>
      <c r="C9076" s="15" t="s">
        <v>31932</v>
      </c>
      <c r="D9076" s="15">
        <v>62661.0</v>
      </c>
      <c r="E9076" s="15" t="s">
        <v>1916</v>
      </c>
      <c r="F9076" s="15" t="s">
        <v>2532</v>
      </c>
      <c r="G9076" s="7">
        <v>7.489</v>
      </c>
      <c r="H9076" s="15" t="s">
        <v>2300</v>
      </c>
      <c r="I9076" s="15" t="s">
        <v>1686</v>
      </c>
      <c r="J9076" s="15" t="s">
        <v>31933</v>
      </c>
      <c r="K9076" s="15">
        <v>3.0</v>
      </c>
      <c r="L9076" s="15">
        <v>3.0</v>
      </c>
      <c r="M9076" s="40">
        <v>40575.0</v>
      </c>
      <c r="N9076" s="40">
        <v>42577.0</v>
      </c>
      <c r="O9076" s="15" t="s">
        <v>1554</v>
      </c>
      <c r="Q9076" s="7"/>
    </row>
    <row r="9077">
      <c r="A9077" s="39" t="s">
        <v>31935</v>
      </c>
      <c r="B9077" s="15">
        <v>130308.0</v>
      </c>
      <c r="C9077" s="15" t="s">
        <v>31936</v>
      </c>
      <c r="D9077" s="15">
        <v>15152.0</v>
      </c>
      <c r="E9077" s="15" t="s">
        <v>1557</v>
      </c>
      <c r="F9077" s="15" t="s">
        <v>2628</v>
      </c>
      <c r="G9077" s="7">
        <v>35.994</v>
      </c>
      <c r="H9077" s="15" t="s">
        <v>5457</v>
      </c>
      <c r="I9077" s="15" t="s">
        <v>1686</v>
      </c>
      <c r="J9077" s="15" t="s">
        <v>31937</v>
      </c>
      <c r="K9077" s="15">
        <v>14.0</v>
      </c>
      <c r="L9077" s="15">
        <v>37.0</v>
      </c>
      <c r="M9077" s="41">
        <v>37222.0</v>
      </c>
      <c r="N9077" s="40">
        <v>42577.0</v>
      </c>
      <c r="O9077" s="15" t="s">
        <v>1554</v>
      </c>
      <c r="Q9077" s="7"/>
    </row>
    <row r="9078">
      <c r="A9078" s="39" t="s">
        <v>10694</v>
      </c>
      <c r="B9078" s="15">
        <v>41678.0</v>
      </c>
      <c r="C9078" s="15" t="s">
        <v>31938</v>
      </c>
      <c r="D9078" s="15">
        <v>15112.0</v>
      </c>
      <c r="E9078" s="15" t="s">
        <v>1557</v>
      </c>
      <c r="F9078" s="15" t="s">
        <v>2628</v>
      </c>
      <c r="G9078" s="7">
        <v>26.263</v>
      </c>
      <c r="H9078" s="15" t="s">
        <v>7887</v>
      </c>
      <c r="I9078" s="15" t="s">
        <v>1686</v>
      </c>
      <c r="J9078" s="15" t="s">
        <v>31940</v>
      </c>
      <c r="K9078" s="15" t="s">
        <v>1722</v>
      </c>
      <c r="L9078" s="15">
        <v>23.0</v>
      </c>
      <c r="M9078" s="40">
        <v>38322.0</v>
      </c>
      <c r="N9078" s="40">
        <v>39790.0</v>
      </c>
      <c r="O9078" s="15" t="s">
        <v>1554</v>
      </c>
      <c r="Q9078" s="7"/>
    </row>
    <row r="9079">
      <c r="A9079" s="39" t="s">
        <v>31941</v>
      </c>
      <c r="B9079" s="15">
        <v>46922.0</v>
      </c>
      <c r="C9079" s="15" t="s">
        <v>31942</v>
      </c>
      <c r="D9079" s="15">
        <v>15105.0</v>
      </c>
      <c r="E9079" s="15" t="s">
        <v>1557</v>
      </c>
      <c r="F9079" s="15" t="s">
        <v>2628</v>
      </c>
      <c r="G9079" s="7">
        <v>35.1</v>
      </c>
      <c r="H9079" s="15" t="s">
        <v>4542</v>
      </c>
      <c r="I9079" s="15" t="s">
        <v>1567</v>
      </c>
      <c r="J9079" s="15" t="s">
        <v>31943</v>
      </c>
      <c r="K9079" s="15" t="s">
        <v>1722</v>
      </c>
      <c r="L9079" s="15">
        <v>19.0</v>
      </c>
      <c r="M9079" s="40">
        <v>38322.0</v>
      </c>
      <c r="N9079" s="40">
        <v>39790.0</v>
      </c>
      <c r="O9079" s="15" t="s">
        <v>1554</v>
      </c>
      <c r="Q9079" s="7"/>
    </row>
    <row r="9080">
      <c r="A9080" s="39" t="s">
        <v>10690</v>
      </c>
      <c r="B9080" s="15">
        <v>172864.0</v>
      </c>
      <c r="C9080" s="15" t="s">
        <v>31945</v>
      </c>
      <c r="D9080" s="15">
        <v>40321.0</v>
      </c>
      <c r="E9080" s="15" t="s">
        <v>1557</v>
      </c>
      <c r="F9080" s="15" t="s">
        <v>2628</v>
      </c>
      <c r="G9080" s="7">
        <v>45.063</v>
      </c>
      <c r="H9080" s="15" t="s">
        <v>2271</v>
      </c>
      <c r="I9080" s="15" t="s">
        <v>1686</v>
      </c>
      <c r="J9080" s="15" t="s">
        <v>31946</v>
      </c>
      <c r="K9080" s="15" t="s">
        <v>1722</v>
      </c>
      <c r="L9080" s="15">
        <v>34.0</v>
      </c>
      <c r="M9080" s="40">
        <v>38322.0</v>
      </c>
      <c r="N9080" s="40">
        <v>40066.0</v>
      </c>
      <c r="O9080" s="15" t="s">
        <v>1554</v>
      </c>
      <c r="Q9080" s="7"/>
    </row>
    <row r="9081">
      <c r="A9081" s="39" t="s">
        <v>10687</v>
      </c>
      <c r="B9081" s="15">
        <v>10553.0</v>
      </c>
      <c r="C9081" s="15" t="s">
        <v>31947</v>
      </c>
      <c r="D9081" s="15">
        <v>40323.0</v>
      </c>
      <c r="E9081" s="15" t="s">
        <v>1557</v>
      </c>
      <c r="F9081" s="15" t="s">
        <v>2628</v>
      </c>
      <c r="G9081" s="7">
        <v>43.804</v>
      </c>
      <c r="H9081" s="15" t="s">
        <v>5663</v>
      </c>
      <c r="I9081" s="15" t="s">
        <v>1686</v>
      </c>
      <c r="J9081" s="15" t="s">
        <v>31948</v>
      </c>
      <c r="K9081" s="15" t="s">
        <v>1722</v>
      </c>
      <c r="L9081" s="15">
        <v>38.0</v>
      </c>
      <c r="M9081" s="40">
        <v>38322.0</v>
      </c>
      <c r="N9081" s="40">
        <v>40066.0</v>
      </c>
      <c r="O9081" s="15" t="s">
        <v>1554</v>
      </c>
      <c r="Q9081" s="7"/>
    </row>
    <row r="9082">
      <c r="A9082" s="39" t="s">
        <v>10684</v>
      </c>
      <c r="B9082" s="15">
        <v>45370.0</v>
      </c>
      <c r="C9082" s="15" t="s">
        <v>31950</v>
      </c>
      <c r="D9082" s="15">
        <v>40317.0</v>
      </c>
      <c r="E9082" s="15" t="s">
        <v>1557</v>
      </c>
      <c r="F9082" s="15" t="s">
        <v>2628</v>
      </c>
      <c r="G9082" s="7">
        <v>32.621</v>
      </c>
      <c r="H9082" s="15" t="s">
        <v>2351</v>
      </c>
      <c r="I9082" s="15" t="s">
        <v>1686</v>
      </c>
      <c r="J9082" s="15" t="s">
        <v>31951</v>
      </c>
      <c r="K9082" s="15" t="s">
        <v>1722</v>
      </c>
      <c r="L9082" s="15">
        <v>28.0</v>
      </c>
      <c r="M9082" s="40">
        <v>38322.0</v>
      </c>
      <c r="N9082" s="40">
        <v>40066.0</v>
      </c>
      <c r="O9082" s="15" t="s">
        <v>1554</v>
      </c>
      <c r="Q9082" s="7"/>
    </row>
    <row r="9083">
      <c r="A9083" s="39" t="s">
        <v>10680</v>
      </c>
      <c r="B9083" s="15">
        <v>130329.0</v>
      </c>
      <c r="C9083" s="15" t="s">
        <v>31952</v>
      </c>
      <c r="D9083" s="15">
        <v>40313.0</v>
      </c>
      <c r="E9083" s="15" t="s">
        <v>1557</v>
      </c>
      <c r="F9083" s="15" t="s">
        <v>2628</v>
      </c>
      <c r="G9083" s="7">
        <v>33.213</v>
      </c>
      <c r="H9083" s="15">
        <v>43.0</v>
      </c>
      <c r="I9083" s="15" t="s">
        <v>1686</v>
      </c>
      <c r="J9083" s="15" t="s">
        <v>31953</v>
      </c>
      <c r="K9083" s="15" t="s">
        <v>1722</v>
      </c>
      <c r="L9083" s="15">
        <v>31.0</v>
      </c>
      <c r="M9083" s="40">
        <v>38322.0</v>
      </c>
      <c r="N9083" s="40">
        <v>40066.0</v>
      </c>
      <c r="O9083" s="15" t="s">
        <v>1554</v>
      </c>
      <c r="Q9083" s="7"/>
    </row>
    <row r="9084">
      <c r="A9084" s="39" t="s">
        <v>10677</v>
      </c>
      <c r="B9084" s="15">
        <v>10530.0</v>
      </c>
      <c r="C9084" s="15" t="s">
        <v>31955</v>
      </c>
      <c r="D9084" s="15">
        <v>40319.0</v>
      </c>
      <c r="E9084" s="15" t="s">
        <v>1557</v>
      </c>
      <c r="F9084" s="15" t="s">
        <v>2628</v>
      </c>
      <c r="G9084" s="7">
        <v>30.944</v>
      </c>
      <c r="H9084" s="15" t="s">
        <v>2548</v>
      </c>
      <c r="I9084" s="15" t="s">
        <v>1686</v>
      </c>
      <c r="J9084" s="15" t="s">
        <v>31956</v>
      </c>
      <c r="K9084" s="15" t="s">
        <v>1722</v>
      </c>
      <c r="L9084" s="15">
        <v>29.0</v>
      </c>
      <c r="M9084" s="40">
        <v>38322.0</v>
      </c>
      <c r="N9084" s="40">
        <v>40066.0</v>
      </c>
      <c r="O9084" s="15" t="s">
        <v>1554</v>
      </c>
      <c r="Q9084" s="7"/>
    </row>
    <row r="9085">
      <c r="A9085" s="39" t="s">
        <v>31957</v>
      </c>
      <c r="B9085" s="15">
        <v>28285.0</v>
      </c>
      <c r="C9085" s="15" t="s">
        <v>31958</v>
      </c>
      <c r="D9085" s="15">
        <v>15107.0</v>
      </c>
      <c r="E9085" s="15" t="s">
        <v>1557</v>
      </c>
      <c r="F9085" s="15" t="s">
        <v>2628</v>
      </c>
      <c r="G9085" s="7">
        <v>35.938</v>
      </c>
      <c r="H9085" s="15" t="s">
        <v>6716</v>
      </c>
      <c r="I9085" s="15" t="s">
        <v>1567</v>
      </c>
      <c r="J9085" s="15" t="s">
        <v>31959</v>
      </c>
      <c r="K9085" s="15" t="s">
        <v>1722</v>
      </c>
      <c r="L9085" s="15">
        <v>36.0</v>
      </c>
      <c r="M9085" s="40">
        <v>38322.0</v>
      </c>
      <c r="N9085" s="40">
        <v>39790.0</v>
      </c>
      <c r="O9085" s="15" t="s">
        <v>1554</v>
      </c>
      <c r="Q9085" s="7"/>
    </row>
    <row r="9086">
      <c r="A9086" s="39" t="s">
        <v>10670</v>
      </c>
      <c r="B9086" s="15">
        <v>28282.0</v>
      </c>
      <c r="C9086" s="15" t="s">
        <v>31960</v>
      </c>
      <c r="D9086" s="15">
        <v>40315.0</v>
      </c>
      <c r="E9086" s="15" t="s">
        <v>1557</v>
      </c>
      <c r="F9086" s="15" t="s">
        <v>2628</v>
      </c>
      <c r="G9086" s="7">
        <v>34.125</v>
      </c>
      <c r="H9086" s="15" t="s">
        <v>5934</v>
      </c>
      <c r="I9086" s="15" t="s">
        <v>1567</v>
      </c>
      <c r="J9086" s="15" t="s">
        <v>31962</v>
      </c>
      <c r="K9086" s="15" t="s">
        <v>1722</v>
      </c>
      <c r="L9086" s="15">
        <v>35.0</v>
      </c>
      <c r="M9086" s="40">
        <v>38322.0</v>
      </c>
      <c r="N9086" s="40">
        <v>40066.0</v>
      </c>
      <c r="O9086" s="15" t="s">
        <v>1554</v>
      </c>
      <c r="Q9086" s="7"/>
    </row>
    <row r="9087">
      <c r="A9087" s="39" t="s">
        <v>10663</v>
      </c>
      <c r="B9087" s="15">
        <v>10510.0</v>
      </c>
      <c r="C9087" s="15" t="s">
        <v>31963</v>
      </c>
      <c r="D9087" s="15">
        <v>40311.0</v>
      </c>
      <c r="E9087" s="15" t="s">
        <v>1557</v>
      </c>
      <c r="F9087" s="15" t="s">
        <v>2628</v>
      </c>
      <c r="G9087" s="7">
        <v>34.446</v>
      </c>
      <c r="H9087" s="15">
        <v>54.0</v>
      </c>
      <c r="I9087" s="15" t="s">
        <v>1686</v>
      </c>
      <c r="J9087" s="15" t="s">
        <v>31964</v>
      </c>
      <c r="K9087" s="15" t="s">
        <v>1722</v>
      </c>
      <c r="L9087" s="15">
        <v>24.0</v>
      </c>
      <c r="M9087" s="40">
        <v>38322.0</v>
      </c>
      <c r="N9087" s="40">
        <v>40066.0</v>
      </c>
      <c r="O9087" s="15" t="s">
        <v>1554</v>
      </c>
      <c r="Q9087" s="7"/>
    </row>
    <row r="9088">
      <c r="A9088" s="39" t="s">
        <v>31965</v>
      </c>
      <c r="B9088" s="15">
        <v>10514.0</v>
      </c>
      <c r="C9088" s="15" t="s">
        <v>31966</v>
      </c>
      <c r="D9088" s="15">
        <v>15102.0</v>
      </c>
      <c r="E9088" s="15" t="s">
        <v>1557</v>
      </c>
      <c r="F9088" s="15" t="s">
        <v>2628</v>
      </c>
      <c r="G9088" s="7">
        <v>31.323</v>
      </c>
      <c r="H9088" s="15" t="s">
        <v>5391</v>
      </c>
      <c r="I9088" s="15" t="s">
        <v>1686</v>
      </c>
      <c r="J9088" s="15" t="s">
        <v>31967</v>
      </c>
      <c r="K9088" s="15" t="s">
        <v>1722</v>
      </c>
      <c r="L9088" s="15">
        <v>31.0</v>
      </c>
      <c r="M9088" s="40">
        <v>38322.0</v>
      </c>
      <c r="N9088" s="40">
        <v>39790.0</v>
      </c>
      <c r="O9088" s="15" t="s">
        <v>1554</v>
      </c>
      <c r="Q9088" s="7"/>
    </row>
    <row r="9089">
      <c r="A9089" s="39" t="s">
        <v>10660</v>
      </c>
      <c r="B9089" s="15">
        <v>114429.0</v>
      </c>
      <c r="C9089" s="15" t="s">
        <v>31969</v>
      </c>
      <c r="D9089" s="15">
        <v>40309.0</v>
      </c>
      <c r="E9089" s="15" t="s">
        <v>1557</v>
      </c>
      <c r="F9089" s="15" t="s">
        <v>2628</v>
      </c>
      <c r="G9089" s="7">
        <v>33.034</v>
      </c>
      <c r="H9089" s="15" t="s">
        <v>3653</v>
      </c>
      <c r="I9089" s="15" t="s">
        <v>1686</v>
      </c>
      <c r="J9089" s="15" t="s">
        <v>31970</v>
      </c>
      <c r="K9089" s="15" t="s">
        <v>1722</v>
      </c>
      <c r="L9089" s="15">
        <v>20.0</v>
      </c>
      <c r="M9089" s="40">
        <v>38322.0</v>
      </c>
      <c r="N9089" s="40">
        <v>40066.0</v>
      </c>
      <c r="O9089" s="15" t="s">
        <v>1554</v>
      </c>
      <c r="Q9089" s="7"/>
    </row>
    <row r="9090">
      <c r="A9090" s="39" t="s">
        <v>31971</v>
      </c>
      <c r="B9090" s="15">
        <v>146269.0</v>
      </c>
      <c r="C9090" s="15" t="s">
        <v>31972</v>
      </c>
      <c r="D9090" s="15">
        <v>16114.0</v>
      </c>
      <c r="E9090" s="15" t="s">
        <v>1557</v>
      </c>
      <c r="F9090" s="15" t="s">
        <v>1833</v>
      </c>
      <c r="G9090" s="7">
        <v>36.466</v>
      </c>
      <c r="H9090" s="15" t="s">
        <v>1818</v>
      </c>
      <c r="I9090" s="15" t="s">
        <v>1586</v>
      </c>
      <c r="J9090" s="15" t="s">
        <v>31973</v>
      </c>
      <c r="K9090" s="15">
        <v>51.0</v>
      </c>
      <c r="L9090" s="15">
        <v>51.0</v>
      </c>
      <c r="M9090" s="40">
        <v>38169.0</v>
      </c>
      <c r="N9090" s="40">
        <v>40148.0</v>
      </c>
      <c r="O9090" s="15" t="s">
        <v>1554</v>
      </c>
      <c r="Q9090" s="7"/>
    </row>
    <row r="9091">
      <c r="A9091" s="39" t="s">
        <v>10652</v>
      </c>
      <c r="B9091" s="15">
        <v>10376.0</v>
      </c>
      <c r="C9091" s="15" t="s">
        <v>31975</v>
      </c>
      <c r="D9091" s="15">
        <v>14413.0</v>
      </c>
      <c r="E9091" s="15" t="s">
        <v>1557</v>
      </c>
      <c r="F9091" s="15" t="s">
        <v>1827</v>
      </c>
      <c r="G9091" s="7">
        <v>171.823</v>
      </c>
      <c r="H9091" s="15" t="s">
        <v>10654</v>
      </c>
      <c r="I9091" s="15" t="s">
        <v>1567</v>
      </c>
      <c r="J9091" s="15" t="s">
        <v>31976</v>
      </c>
      <c r="K9091" s="15">
        <v>152.0</v>
      </c>
      <c r="L9091" s="15">
        <v>95.0</v>
      </c>
      <c r="M9091" s="40">
        <v>37538.0</v>
      </c>
      <c r="N9091" s="40">
        <v>42577.0</v>
      </c>
      <c r="O9091" s="15" t="s">
        <v>1554</v>
      </c>
      <c r="Q9091" s="7"/>
    </row>
    <row r="9092">
      <c r="A9092" s="39" t="s">
        <v>31978</v>
      </c>
      <c r="B9092" s="15">
        <v>298975.0</v>
      </c>
      <c r="C9092" s="15" t="s">
        <v>31979</v>
      </c>
      <c r="D9092" s="15">
        <v>14506.0</v>
      </c>
      <c r="E9092" s="15" t="s">
        <v>2014</v>
      </c>
      <c r="F9092" s="15" t="s">
        <v>1578</v>
      </c>
      <c r="G9092" s="7">
        <v>0.355</v>
      </c>
      <c r="H9092" s="15" t="s">
        <v>9707</v>
      </c>
      <c r="I9092" s="15" t="s">
        <v>1628</v>
      </c>
      <c r="J9092" s="15" t="s">
        <v>31980</v>
      </c>
      <c r="K9092" s="15" t="s">
        <v>1722</v>
      </c>
      <c r="L9092" s="15" t="s">
        <v>1722</v>
      </c>
      <c r="M9092" s="40">
        <v>32601.0</v>
      </c>
      <c r="N9092" s="40">
        <v>40579.0</v>
      </c>
      <c r="O9092" s="15" t="s">
        <v>1554</v>
      </c>
      <c r="Q9092" s="7"/>
    </row>
    <row r="9093">
      <c r="A9093" s="39" t="s">
        <v>10645</v>
      </c>
      <c r="B9093" s="15">
        <v>10760.0</v>
      </c>
      <c r="D9093" s="15">
        <v>0.0</v>
      </c>
      <c r="E9093" s="15" t="s">
        <v>1557</v>
      </c>
      <c r="F9093" s="15" t="s">
        <v>1611</v>
      </c>
      <c r="G9093" s="7">
        <v>39.778</v>
      </c>
      <c r="H9093" s="15" t="s">
        <v>2279</v>
      </c>
      <c r="I9093" s="15" t="s">
        <v>1586</v>
      </c>
      <c r="J9093" s="15" t="s">
        <v>31982</v>
      </c>
      <c r="K9093" s="15">
        <v>49.0</v>
      </c>
      <c r="L9093" s="15">
        <v>48.0</v>
      </c>
      <c r="M9093" s="41">
        <v>40132.0</v>
      </c>
      <c r="N9093" s="41">
        <v>40132.0</v>
      </c>
      <c r="O9093" s="15" t="s">
        <v>1554</v>
      </c>
      <c r="Q9093" s="7"/>
    </row>
    <row r="9094">
      <c r="A9094" s="39" t="s">
        <v>31983</v>
      </c>
      <c r="B9094" s="15">
        <v>259931.0</v>
      </c>
      <c r="C9094" s="15" t="s">
        <v>31984</v>
      </c>
      <c r="D9094" s="15">
        <v>14380.0</v>
      </c>
      <c r="E9094" s="15" t="s">
        <v>1916</v>
      </c>
      <c r="F9094" s="15" t="s">
        <v>3423</v>
      </c>
      <c r="G9094" s="7">
        <v>3.018</v>
      </c>
      <c r="H9094" s="15" t="s">
        <v>2869</v>
      </c>
      <c r="I9094" s="15" t="s">
        <v>1686</v>
      </c>
      <c r="J9094" s="15" t="s">
        <v>31985</v>
      </c>
      <c r="K9094" s="15">
        <v>3.0</v>
      </c>
      <c r="L9094" s="15">
        <v>3.0</v>
      </c>
      <c r="M9094" s="40">
        <v>33946.0</v>
      </c>
      <c r="N9094" s="40">
        <v>39790.0</v>
      </c>
      <c r="O9094" s="15" t="s">
        <v>1554</v>
      </c>
      <c r="Q9094" s="7"/>
    </row>
    <row r="9095">
      <c r="A9095" s="39" t="s">
        <v>31986</v>
      </c>
      <c r="B9095" s="15">
        <v>1165152.0</v>
      </c>
      <c r="D9095" s="15">
        <v>0.0</v>
      </c>
      <c r="E9095" s="15" t="s">
        <v>1557</v>
      </c>
      <c r="F9095" s="15" t="s">
        <v>1833</v>
      </c>
      <c r="G9095" s="7">
        <v>31.772</v>
      </c>
      <c r="H9095" s="15" t="s">
        <v>1696</v>
      </c>
      <c r="I9095" s="15" t="s">
        <v>1586</v>
      </c>
      <c r="J9095" s="15" t="s">
        <v>31988</v>
      </c>
      <c r="K9095" s="15">
        <v>57.0</v>
      </c>
      <c r="L9095" s="15">
        <v>57.0</v>
      </c>
      <c r="M9095" s="40">
        <v>40995.0</v>
      </c>
      <c r="N9095" s="40">
        <v>41031.0</v>
      </c>
      <c r="O9095" s="15" t="s">
        <v>1554</v>
      </c>
      <c r="Q9095" s="7"/>
    </row>
    <row r="9096">
      <c r="A9096" s="39" t="s">
        <v>31989</v>
      </c>
      <c r="B9096" s="15">
        <v>1855815.0</v>
      </c>
      <c r="D9096" s="15">
        <v>0.0</v>
      </c>
      <c r="E9096" s="15" t="s">
        <v>1557</v>
      </c>
      <c r="F9096" s="15" t="s">
        <v>1611</v>
      </c>
      <c r="G9096" s="7">
        <v>58.371</v>
      </c>
      <c r="H9096" s="15" t="s">
        <v>5042</v>
      </c>
      <c r="I9096" s="15" t="s">
        <v>1586</v>
      </c>
      <c r="J9096" s="15" t="s">
        <v>31990</v>
      </c>
      <c r="K9096" s="15">
        <v>85.0</v>
      </c>
      <c r="L9096" s="15">
        <v>85.0</v>
      </c>
      <c r="M9096" s="40">
        <v>42825.0</v>
      </c>
      <c r="N9096" s="40">
        <v>42825.0</v>
      </c>
      <c r="O9096" s="15" t="s">
        <v>1554</v>
      </c>
      <c r="Q9096" s="7"/>
    </row>
    <row r="9097">
      <c r="A9097" s="39" t="s">
        <v>31992</v>
      </c>
      <c r="B9097" s="15">
        <v>1327778.0</v>
      </c>
      <c r="D9097" s="15">
        <v>0.0</v>
      </c>
      <c r="E9097" s="15" t="s">
        <v>1557</v>
      </c>
      <c r="F9097" s="15" t="s">
        <v>1833</v>
      </c>
      <c r="G9097" s="7">
        <v>76.653</v>
      </c>
      <c r="H9097" s="15" t="s">
        <v>3227</v>
      </c>
      <c r="I9097" s="15" t="s">
        <v>1586</v>
      </c>
      <c r="J9097" s="15" t="s">
        <v>31993</v>
      </c>
      <c r="K9097" s="15">
        <v>144.0</v>
      </c>
      <c r="L9097" s="15">
        <v>132.0</v>
      </c>
      <c r="M9097" s="40">
        <v>41401.0</v>
      </c>
      <c r="N9097" s="40">
        <v>41401.0</v>
      </c>
      <c r="O9097" s="15" t="s">
        <v>1554</v>
      </c>
      <c r="Q9097" s="7"/>
    </row>
    <row r="9098">
      <c r="A9098" s="39" t="s">
        <v>31994</v>
      </c>
      <c r="B9098" s="15">
        <v>1667587.0</v>
      </c>
      <c r="C9098" s="15" t="s">
        <v>31995</v>
      </c>
      <c r="D9098" s="15">
        <v>284015.0</v>
      </c>
      <c r="E9098" s="15" t="s">
        <v>1557</v>
      </c>
      <c r="F9098" s="15" t="s">
        <v>1827</v>
      </c>
      <c r="G9098" s="7">
        <v>226.084</v>
      </c>
      <c r="H9098" s="15">
        <v>53.0</v>
      </c>
      <c r="I9098" s="15" t="s">
        <v>1686</v>
      </c>
      <c r="J9098" s="15" t="s">
        <v>31996</v>
      </c>
      <c r="K9098" s="15">
        <v>84.0</v>
      </c>
      <c r="L9098" s="15">
        <v>84.0</v>
      </c>
      <c r="M9098" s="40">
        <v>42137.0</v>
      </c>
      <c r="N9098" s="40">
        <v>42249.0</v>
      </c>
      <c r="O9098" s="15" t="s">
        <v>1554</v>
      </c>
      <c r="Q9098" s="7"/>
    </row>
    <row r="9099">
      <c r="A9099" s="39" t="s">
        <v>31997</v>
      </c>
      <c r="B9099" s="15">
        <v>1698359.0</v>
      </c>
      <c r="D9099" s="15">
        <v>0.0</v>
      </c>
      <c r="E9099" s="15" t="s">
        <v>1557</v>
      </c>
      <c r="F9099" s="15" t="s">
        <v>1833</v>
      </c>
      <c r="G9099" s="7">
        <v>41.9</v>
      </c>
      <c r="H9099" s="15" t="s">
        <v>6615</v>
      </c>
      <c r="I9099" s="15" t="s">
        <v>1586</v>
      </c>
      <c r="J9099" s="15" t="s">
        <v>31999</v>
      </c>
      <c r="K9099" s="15">
        <v>63.0</v>
      </c>
      <c r="L9099" s="15">
        <v>63.0</v>
      </c>
      <c r="M9099" s="40">
        <v>42234.0</v>
      </c>
      <c r="N9099" s="40">
        <v>42234.0</v>
      </c>
      <c r="O9099" s="15" t="s">
        <v>1554</v>
      </c>
      <c r="Q9099" s="7"/>
    </row>
    <row r="9100">
      <c r="A9100" s="39" t="s">
        <v>32000</v>
      </c>
      <c r="B9100" s="15">
        <v>36339.0</v>
      </c>
      <c r="C9100" s="15" t="s">
        <v>27313</v>
      </c>
      <c r="D9100" s="15">
        <v>261534.0</v>
      </c>
      <c r="E9100" s="15" t="s">
        <v>1557</v>
      </c>
      <c r="F9100" s="15" t="s">
        <v>1767</v>
      </c>
      <c r="G9100" s="7">
        <v>168.401</v>
      </c>
      <c r="H9100" s="15" t="s">
        <v>3361</v>
      </c>
      <c r="I9100" s="15" t="s">
        <v>1586</v>
      </c>
      <c r="J9100" s="15" t="s">
        <v>32001</v>
      </c>
      <c r="K9100" s="15">
        <v>287.0</v>
      </c>
      <c r="L9100" s="15">
        <v>276.0</v>
      </c>
      <c r="M9100" s="41">
        <v>41934.0</v>
      </c>
      <c r="N9100" s="40">
        <v>42284.0</v>
      </c>
      <c r="O9100" s="15" t="s">
        <v>1554</v>
      </c>
      <c r="Q9100" s="7"/>
    </row>
    <row r="9101">
      <c r="A9101" s="39" t="s">
        <v>32002</v>
      </c>
      <c r="B9101" s="15">
        <v>867695.0</v>
      </c>
      <c r="D9101" s="15">
        <v>0.0</v>
      </c>
      <c r="E9101" s="15" t="s">
        <v>1808</v>
      </c>
      <c r="F9101" s="15" t="s">
        <v>2969</v>
      </c>
      <c r="G9101" s="7">
        <v>6.856</v>
      </c>
      <c r="H9101" s="15" t="s">
        <v>2552</v>
      </c>
      <c r="I9101" s="15" t="s">
        <v>1586</v>
      </c>
      <c r="J9101" s="15" t="s">
        <v>32004</v>
      </c>
      <c r="K9101" s="15">
        <v>3.0</v>
      </c>
      <c r="L9101" s="15">
        <v>12.0</v>
      </c>
      <c r="M9101" s="40">
        <v>40386.0</v>
      </c>
      <c r="N9101" s="40">
        <v>40975.0</v>
      </c>
      <c r="O9101" s="15" t="s">
        <v>1554</v>
      </c>
      <c r="Q9101" s="7"/>
    </row>
    <row r="9102">
      <c r="A9102" s="39" t="s">
        <v>10051</v>
      </c>
      <c r="B9102" s="15">
        <v>64320.0</v>
      </c>
      <c r="C9102" s="15" t="s">
        <v>32005</v>
      </c>
      <c r="D9102" s="15">
        <v>411812.0</v>
      </c>
      <c r="E9102" s="15" t="s">
        <v>1548</v>
      </c>
      <c r="F9102" s="15" t="s">
        <v>1801</v>
      </c>
      <c r="G9102" s="7">
        <v>10.808</v>
      </c>
      <c r="H9102" s="15" t="s">
        <v>5521</v>
      </c>
      <c r="I9102" s="15" t="s">
        <v>1803</v>
      </c>
      <c r="J9102" s="15" t="s">
        <v>32006</v>
      </c>
      <c r="K9102" s="15">
        <v>1.0</v>
      </c>
      <c r="L9102" s="15">
        <v>1.0</v>
      </c>
      <c r="M9102" s="40">
        <v>42411.0</v>
      </c>
      <c r="N9102" s="40">
        <v>43009.0</v>
      </c>
      <c r="O9102" s="15" t="s">
        <v>1554</v>
      </c>
      <c r="Q9102" s="7"/>
    </row>
    <row r="9103">
      <c r="A9103" s="39" t="s">
        <v>9921</v>
      </c>
      <c r="B9103" s="15">
        <v>329864.0</v>
      </c>
      <c r="D9103" s="15">
        <v>0.0</v>
      </c>
      <c r="E9103" s="15" t="s">
        <v>1557</v>
      </c>
      <c r="F9103" s="15" t="s">
        <v>1611</v>
      </c>
      <c r="G9103" s="7">
        <v>60.03</v>
      </c>
      <c r="H9103" s="15" t="s">
        <v>2552</v>
      </c>
      <c r="I9103" s="15" t="s">
        <v>1586</v>
      </c>
      <c r="J9103" s="15" t="s">
        <v>32007</v>
      </c>
      <c r="K9103" s="15" t="s">
        <v>1722</v>
      </c>
      <c r="L9103" s="15">
        <v>93.0</v>
      </c>
      <c r="M9103" s="40">
        <v>42861.0</v>
      </c>
      <c r="N9103" s="40">
        <v>42861.0</v>
      </c>
      <c r="O9103" s="15" t="s">
        <v>1554</v>
      </c>
      <c r="Q9103" s="7"/>
    </row>
    <row r="9104">
      <c r="A9104" s="39" t="s">
        <v>32008</v>
      </c>
      <c r="B9104" s="15">
        <v>861048.0</v>
      </c>
      <c r="D9104" s="15">
        <v>0.0</v>
      </c>
      <c r="E9104" s="15" t="s">
        <v>1557</v>
      </c>
      <c r="F9104" s="15" t="s">
        <v>1833</v>
      </c>
      <c r="G9104" s="7">
        <v>47.287</v>
      </c>
      <c r="H9104" s="15" t="s">
        <v>9774</v>
      </c>
      <c r="I9104" s="15" t="s">
        <v>1586</v>
      </c>
      <c r="J9104" s="15" t="s">
        <v>32009</v>
      </c>
      <c r="K9104" s="15">
        <v>76.0</v>
      </c>
      <c r="L9104" s="15">
        <v>76.0</v>
      </c>
      <c r="M9104" s="40">
        <v>40408.0</v>
      </c>
      <c r="N9104" s="40">
        <v>42748.0</v>
      </c>
      <c r="O9104" s="15" t="s">
        <v>1554</v>
      </c>
      <c r="Q9104" s="7"/>
    </row>
    <row r="9105">
      <c r="A9105" s="39" t="s">
        <v>32011</v>
      </c>
      <c r="B9105" s="15">
        <v>1327768.0</v>
      </c>
      <c r="D9105" s="15">
        <v>0.0</v>
      </c>
      <c r="E9105" s="15" t="s">
        <v>1557</v>
      </c>
      <c r="F9105" s="15" t="s">
        <v>1611</v>
      </c>
      <c r="G9105" s="7">
        <v>42.519</v>
      </c>
      <c r="H9105" s="15" t="s">
        <v>2098</v>
      </c>
      <c r="I9105" s="15" t="s">
        <v>1586</v>
      </c>
      <c r="J9105" s="15" t="s">
        <v>32012</v>
      </c>
      <c r="K9105" s="15" t="s">
        <v>1722</v>
      </c>
      <c r="L9105" s="15" t="s">
        <v>1722</v>
      </c>
      <c r="M9105" s="40">
        <v>41441.0</v>
      </c>
      <c r="N9105" s="40">
        <v>41705.0</v>
      </c>
      <c r="O9105" s="15" t="s">
        <v>1554</v>
      </c>
      <c r="Q9105" s="7"/>
    </row>
    <row r="9106">
      <c r="A9106" s="39" t="s">
        <v>9289</v>
      </c>
      <c r="B9106" s="15">
        <v>518829.0</v>
      </c>
      <c r="C9106" s="15" t="s">
        <v>32013</v>
      </c>
      <c r="D9106" s="15">
        <v>29397.0</v>
      </c>
      <c r="E9106" s="15" t="s">
        <v>2014</v>
      </c>
      <c r="F9106" s="15" t="s">
        <v>1578</v>
      </c>
      <c r="G9106" s="7">
        <v>1.388</v>
      </c>
      <c r="H9106" s="15" t="s">
        <v>2440</v>
      </c>
      <c r="I9106" s="15" t="s">
        <v>1628</v>
      </c>
      <c r="J9106" s="15" t="s">
        <v>32014</v>
      </c>
      <c r="K9106" s="15">
        <v>1.0</v>
      </c>
      <c r="L9106" s="15">
        <v>1.0</v>
      </c>
      <c r="M9106" s="40">
        <v>39559.0</v>
      </c>
      <c r="N9106" s="41">
        <v>40533.0</v>
      </c>
      <c r="O9106" s="15" t="s">
        <v>1554</v>
      </c>
      <c r="Q9106" s="7"/>
    </row>
    <row r="9107">
      <c r="A9107" s="39" t="s">
        <v>32015</v>
      </c>
      <c r="B9107" s="15">
        <v>338109.0</v>
      </c>
      <c r="D9107" s="15">
        <v>0.0</v>
      </c>
      <c r="E9107" s="15" t="s">
        <v>1808</v>
      </c>
      <c r="F9107" s="15" t="s">
        <v>3154</v>
      </c>
      <c r="G9107" s="7">
        <v>6.097</v>
      </c>
      <c r="H9107" s="15" t="s">
        <v>1792</v>
      </c>
      <c r="I9107" s="15" t="s">
        <v>1586</v>
      </c>
      <c r="J9107" s="15" t="s">
        <v>32016</v>
      </c>
      <c r="K9107" s="15">
        <v>10.0</v>
      </c>
      <c r="L9107" s="15">
        <v>10.0</v>
      </c>
      <c r="M9107" s="40">
        <v>38741.0</v>
      </c>
      <c r="N9107" s="40">
        <v>38741.0</v>
      </c>
      <c r="O9107" s="15" t="s">
        <v>1554</v>
      </c>
      <c r="Q9107" s="7"/>
    </row>
    <row r="9108">
      <c r="A9108" s="39" t="s">
        <v>9558</v>
      </c>
      <c r="B9108" s="15">
        <v>344021.0</v>
      </c>
      <c r="D9108" s="15">
        <v>0.0</v>
      </c>
      <c r="E9108" s="15" t="s">
        <v>1557</v>
      </c>
      <c r="F9108" s="15" t="s">
        <v>1611</v>
      </c>
      <c r="G9108" s="7">
        <v>39.699</v>
      </c>
      <c r="H9108" s="15" t="s">
        <v>5042</v>
      </c>
      <c r="I9108" s="15" t="s">
        <v>1586</v>
      </c>
      <c r="J9108" s="15" t="s">
        <v>32017</v>
      </c>
      <c r="K9108" s="15">
        <v>58.0</v>
      </c>
      <c r="L9108" s="15">
        <v>58.0</v>
      </c>
      <c r="M9108" s="40">
        <v>38691.0</v>
      </c>
      <c r="N9108" s="40">
        <v>40568.0</v>
      </c>
      <c r="O9108" s="15" t="s">
        <v>1554</v>
      </c>
      <c r="Q9108" s="7"/>
    </row>
    <row r="9109">
      <c r="A9109" s="39" t="s">
        <v>32019</v>
      </c>
      <c r="B9109" s="15">
        <v>1319980.0</v>
      </c>
      <c r="D9109" s="15">
        <v>0.0</v>
      </c>
      <c r="E9109" s="15" t="s">
        <v>1557</v>
      </c>
      <c r="F9109" s="15" t="s">
        <v>1611</v>
      </c>
      <c r="G9109" s="7">
        <v>17.602</v>
      </c>
      <c r="H9109" s="42">
        <v>43280.0</v>
      </c>
      <c r="I9109" s="15" t="s">
        <v>1586</v>
      </c>
      <c r="J9109" s="15" t="s">
        <v>32020</v>
      </c>
      <c r="K9109" s="15">
        <v>20.0</v>
      </c>
      <c r="L9109" s="15">
        <v>20.0</v>
      </c>
      <c r="M9109" s="40">
        <v>42106.0</v>
      </c>
      <c r="N9109" s="40">
        <v>42106.0</v>
      </c>
      <c r="O9109" s="15" t="s">
        <v>1554</v>
      </c>
      <c r="Q9109" s="7"/>
    </row>
    <row r="9110">
      <c r="A9110" s="39" t="s">
        <v>32021</v>
      </c>
      <c r="B9110" s="15">
        <v>588068.0</v>
      </c>
      <c r="D9110" s="15">
        <v>0.0</v>
      </c>
      <c r="E9110" s="15" t="s">
        <v>1557</v>
      </c>
      <c r="F9110" s="15" t="s">
        <v>1611</v>
      </c>
      <c r="G9110" s="7">
        <v>39.481</v>
      </c>
      <c r="H9110" s="15" t="s">
        <v>3584</v>
      </c>
      <c r="I9110" s="15" t="s">
        <v>1586</v>
      </c>
      <c r="J9110" s="15" t="s">
        <v>32022</v>
      </c>
      <c r="K9110" s="15">
        <v>52.0</v>
      </c>
      <c r="L9110" s="15">
        <v>52.0</v>
      </c>
      <c r="M9110" s="40">
        <v>41010.0</v>
      </c>
      <c r="N9110" s="40">
        <v>41515.0</v>
      </c>
      <c r="O9110" s="15" t="s">
        <v>1554</v>
      </c>
      <c r="Q9110" s="7"/>
    </row>
    <row r="9111">
      <c r="A9111" s="39" t="s">
        <v>32023</v>
      </c>
      <c r="B9111" s="15">
        <v>10757.0</v>
      </c>
      <c r="D9111" s="15">
        <v>0.0</v>
      </c>
      <c r="E9111" s="15" t="s">
        <v>1557</v>
      </c>
      <c r="F9111" s="15" t="s">
        <v>1611</v>
      </c>
      <c r="G9111" s="7">
        <v>19.366</v>
      </c>
      <c r="H9111" s="15" t="s">
        <v>3000</v>
      </c>
      <c r="I9111" s="15" t="s">
        <v>1586</v>
      </c>
      <c r="J9111" s="15" t="s">
        <v>32024</v>
      </c>
      <c r="K9111" s="15" t="s">
        <v>1722</v>
      </c>
      <c r="L9111" s="15">
        <v>27.0</v>
      </c>
      <c r="M9111" s="40">
        <v>34087.0</v>
      </c>
      <c r="N9111" s="40">
        <v>35110.0</v>
      </c>
      <c r="O9111" s="15" t="s">
        <v>1554</v>
      </c>
      <c r="Q9111" s="7"/>
    </row>
    <row r="9112">
      <c r="A9112" s="39" t="s">
        <v>32025</v>
      </c>
      <c r="B9112" s="15">
        <v>44024.0</v>
      </c>
      <c r="C9112" s="15" t="s">
        <v>9286</v>
      </c>
      <c r="D9112" s="15">
        <v>18843.0</v>
      </c>
      <c r="E9112" s="15" t="s">
        <v>1548</v>
      </c>
      <c r="F9112" s="15" t="s">
        <v>1801</v>
      </c>
      <c r="G9112" s="7">
        <v>10.874</v>
      </c>
      <c r="H9112" s="15" t="s">
        <v>5042</v>
      </c>
      <c r="I9112" s="15" t="s">
        <v>1803</v>
      </c>
      <c r="J9112" s="15" t="s">
        <v>32027</v>
      </c>
      <c r="K9112" s="15">
        <v>1.0</v>
      </c>
      <c r="L9112" s="15">
        <v>1.0</v>
      </c>
      <c r="M9112" s="41">
        <v>38655.0</v>
      </c>
      <c r="N9112" s="41">
        <v>42731.0</v>
      </c>
      <c r="O9112" s="15" t="s">
        <v>1554</v>
      </c>
      <c r="Q9112" s="7"/>
    </row>
    <row r="9113">
      <c r="A9113" s="39" t="s">
        <v>32028</v>
      </c>
      <c r="B9113" s="15">
        <v>134822.0</v>
      </c>
      <c r="D9113" s="15">
        <v>0.0</v>
      </c>
      <c r="E9113" s="15" t="s">
        <v>1557</v>
      </c>
      <c r="F9113" s="15" t="s">
        <v>1767</v>
      </c>
      <c r="G9113" s="7">
        <v>166.007</v>
      </c>
      <c r="H9113" s="15" t="s">
        <v>3361</v>
      </c>
      <c r="I9113" s="15" t="s">
        <v>1586</v>
      </c>
      <c r="J9113" s="15" t="s">
        <v>32029</v>
      </c>
      <c r="K9113" s="15">
        <v>284.0</v>
      </c>
      <c r="L9113" s="15">
        <v>274.0</v>
      </c>
      <c r="M9113" s="41">
        <v>41934.0</v>
      </c>
      <c r="N9113" s="40">
        <v>42033.0</v>
      </c>
      <c r="O9113" s="15" t="s">
        <v>1554</v>
      </c>
      <c r="Q9113" s="7"/>
    </row>
    <row r="9114">
      <c r="A9114" s="39" t="s">
        <v>8905</v>
      </c>
      <c r="B9114" s="15">
        <v>445435.0</v>
      </c>
      <c r="C9114" s="15" t="s">
        <v>32030</v>
      </c>
      <c r="D9114" s="15">
        <v>28979.0</v>
      </c>
      <c r="E9114" s="15" t="s">
        <v>1548</v>
      </c>
      <c r="F9114" s="15" t="s">
        <v>1633</v>
      </c>
      <c r="G9114" s="7">
        <v>6.937</v>
      </c>
      <c r="H9114" s="15" t="s">
        <v>3468</v>
      </c>
      <c r="I9114" s="15" t="s">
        <v>1628</v>
      </c>
      <c r="J9114" s="15" t="s">
        <v>32031</v>
      </c>
      <c r="K9114" s="15">
        <v>5.0</v>
      </c>
      <c r="L9114" s="15">
        <v>5.0</v>
      </c>
      <c r="M9114" s="40">
        <v>39508.0</v>
      </c>
      <c r="N9114" s="40">
        <v>39520.0</v>
      </c>
      <c r="O9114" s="15" t="s">
        <v>1554</v>
      </c>
      <c r="Q9114" s="7"/>
    </row>
    <row r="9115">
      <c r="A9115" s="39" t="s">
        <v>32032</v>
      </c>
      <c r="B9115" s="15">
        <v>71031.0</v>
      </c>
      <c r="D9115" s="15">
        <v>0.0</v>
      </c>
      <c r="E9115" s="15" t="s">
        <v>1638</v>
      </c>
      <c r="F9115" s="15" t="s">
        <v>1863</v>
      </c>
      <c r="G9115" s="7">
        <v>5.115</v>
      </c>
      <c r="H9115" s="15" t="s">
        <v>32033</v>
      </c>
      <c r="I9115" s="15" t="s">
        <v>1567</v>
      </c>
      <c r="J9115" s="15" t="s">
        <v>32034</v>
      </c>
      <c r="K9115" s="15">
        <v>1.0</v>
      </c>
      <c r="L9115" s="15">
        <v>11.0</v>
      </c>
      <c r="M9115" s="40">
        <v>39871.0</v>
      </c>
      <c r="N9115" s="40">
        <v>42574.0</v>
      </c>
      <c r="O9115" s="15" t="s">
        <v>1554</v>
      </c>
      <c r="Q9115" s="7"/>
    </row>
    <row r="9116">
      <c r="A9116" s="39" t="s">
        <v>32035</v>
      </c>
      <c r="B9116" s="15">
        <v>1572748.0</v>
      </c>
      <c r="D9116" s="15">
        <v>0.0</v>
      </c>
      <c r="E9116" s="15" t="s">
        <v>1557</v>
      </c>
      <c r="F9116" s="15" t="s">
        <v>1767</v>
      </c>
      <c r="G9116" s="7">
        <v>34.926</v>
      </c>
      <c r="H9116" s="15" t="s">
        <v>2777</v>
      </c>
      <c r="I9116" s="15" t="s">
        <v>1586</v>
      </c>
      <c r="J9116" s="15" t="s">
        <v>32036</v>
      </c>
      <c r="K9116" s="15">
        <v>52.0</v>
      </c>
      <c r="L9116" s="15">
        <v>52.0</v>
      </c>
      <c r="M9116" s="40">
        <v>42255.0</v>
      </c>
      <c r="N9116" s="40">
        <v>42255.0</v>
      </c>
      <c r="O9116" s="15" t="s">
        <v>1554</v>
      </c>
      <c r="Q9116" s="7"/>
    </row>
    <row r="9117">
      <c r="A9117" s="39" t="s">
        <v>32038</v>
      </c>
      <c r="B9117" s="15">
        <v>359962.0</v>
      </c>
      <c r="D9117" s="15">
        <v>0.0</v>
      </c>
      <c r="E9117" s="15" t="s">
        <v>1557</v>
      </c>
      <c r="F9117" s="15" t="s">
        <v>1833</v>
      </c>
      <c r="G9117" s="7">
        <v>37.373</v>
      </c>
      <c r="H9117" s="15" t="s">
        <v>4287</v>
      </c>
      <c r="I9117" s="15" t="s">
        <v>1586</v>
      </c>
      <c r="J9117" s="15" t="s">
        <v>32039</v>
      </c>
      <c r="K9117" s="15">
        <v>53.0</v>
      </c>
      <c r="L9117" s="15">
        <v>53.0</v>
      </c>
      <c r="M9117" s="40">
        <v>38732.0</v>
      </c>
      <c r="N9117" s="40">
        <v>38814.0</v>
      </c>
      <c r="O9117" s="15" t="s">
        <v>1554</v>
      </c>
      <c r="Q9117" s="7"/>
    </row>
    <row r="9118">
      <c r="A9118" s="39" t="s">
        <v>32040</v>
      </c>
      <c r="B9118" s="15">
        <v>39803.0</v>
      </c>
      <c r="D9118" s="15">
        <v>0.0</v>
      </c>
      <c r="E9118" s="15" t="s">
        <v>1548</v>
      </c>
      <c r="F9118" s="15" t="s">
        <v>4850</v>
      </c>
      <c r="G9118" s="7">
        <v>4.218</v>
      </c>
      <c r="H9118" s="15" t="s">
        <v>2945</v>
      </c>
      <c r="I9118" s="15" t="s">
        <v>1586</v>
      </c>
      <c r="J9118" s="15" t="s">
        <v>32041</v>
      </c>
      <c r="K9118" s="15" t="s">
        <v>1722</v>
      </c>
      <c r="L9118" s="15">
        <v>4.0</v>
      </c>
      <c r="M9118" s="40">
        <v>40065.0</v>
      </c>
      <c r="N9118" s="40">
        <v>40065.0</v>
      </c>
      <c r="O9118" s="15" t="s">
        <v>1554</v>
      </c>
      <c r="Q9118" s="7"/>
    </row>
    <row r="9119">
      <c r="A9119" s="39" t="s">
        <v>7914</v>
      </c>
      <c r="B9119" s="15">
        <v>373126.0</v>
      </c>
      <c r="D9119" s="15">
        <v>0.0</v>
      </c>
      <c r="E9119" s="15" t="s">
        <v>4407</v>
      </c>
      <c r="F9119" s="15" t="s">
        <v>1578</v>
      </c>
      <c r="G9119" s="7">
        <v>52.162</v>
      </c>
      <c r="H9119" s="15" t="s">
        <v>2189</v>
      </c>
      <c r="I9119" s="15" t="s">
        <v>1586</v>
      </c>
      <c r="J9119" s="15" t="s">
        <v>32042</v>
      </c>
      <c r="K9119" s="15" t="s">
        <v>1722</v>
      </c>
      <c r="L9119" s="15">
        <v>51.0</v>
      </c>
      <c r="M9119" s="40">
        <v>39126.0</v>
      </c>
      <c r="N9119" s="40">
        <v>39161.0</v>
      </c>
      <c r="O9119" s="15" t="s">
        <v>1554</v>
      </c>
      <c r="Q9119" s="7"/>
    </row>
    <row r="9120">
      <c r="A9120" s="39" t="s">
        <v>32043</v>
      </c>
      <c r="B9120" s="15">
        <v>340017.0</v>
      </c>
      <c r="C9120" s="15" t="s">
        <v>32044</v>
      </c>
      <c r="D9120" s="15">
        <v>315135.0</v>
      </c>
      <c r="E9120" s="15" t="s">
        <v>1548</v>
      </c>
      <c r="F9120" s="15" t="s">
        <v>4829</v>
      </c>
      <c r="G9120" s="7">
        <v>7.313</v>
      </c>
      <c r="H9120" s="15" t="s">
        <v>4614</v>
      </c>
      <c r="I9120" s="15" t="s">
        <v>1567</v>
      </c>
      <c r="J9120" s="15" t="s">
        <v>32045</v>
      </c>
      <c r="K9120" s="15">
        <v>3.0</v>
      </c>
      <c r="L9120" s="15">
        <v>3.0</v>
      </c>
      <c r="M9120" s="40">
        <v>41146.0</v>
      </c>
      <c r="N9120" s="40">
        <v>42452.0</v>
      </c>
      <c r="O9120" s="15" t="s">
        <v>1554</v>
      </c>
      <c r="Q9120" s="7"/>
    </row>
    <row r="9121">
      <c r="A9121" s="39" t="s">
        <v>32046</v>
      </c>
      <c r="B9121" s="15">
        <v>1239565.0</v>
      </c>
      <c r="C9121" s="15" t="s">
        <v>32047</v>
      </c>
      <c r="D9121" s="15">
        <v>343484.0</v>
      </c>
      <c r="E9121" s="15" t="s">
        <v>1548</v>
      </c>
      <c r="F9121" s="15" t="s">
        <v>1848</v>
      </c>
      <c r="G9121" s="7">
        <v>6.673</v>
      </c>
      <c r="H9121" s="15" t="s">
        <v>1962</v>
      </c>
      <c r="I9121" s="15" t="s">
        <v>1567</v>
      </c>
      <c r="J9121" s="15" t="s">
        <v>32049</v>
      </c>
      <c r="K9121" s="15">
        <v>2.0</v>
      </c>
      <c r="L9121" s="15">
        <v>2.0</v>
      </c>
      <c r="M9121" s="40">
        <v>39452.0</v>
      </c>
      <c r="N9121" s="40">
        <v>42632.0</v>
      </c>
      <c r="O9121" s="15" t="s">
        <v>1554</v>
      </c>
      <c r="Q9121" s="7"/>
    </row>
    <row r="9122">
      <c r="A9122" s="39" t="s">
        <v>32050</v>
      </c>
      <c r="B9122" s="15">
        <v>1675528.0</v>
      </c>
      <c r="D9122" s="15">
        <v>0.0</v>
      </c>
      <c r="E9122" s="15" t="s">
        <v>1557</v>
      </c>
      <c r="F9122" s="15" t="s">
        <v>1833</v>
      </c>
      <c r="G9122" s="7">
        <v>41.898</v>
      </c>
      <c r="H9122" s="15" t="s">
        <v>3827</v>
      </c>
      <c r="I9122" s="15" t="s">
        <v>1586</v>
      </c>
      <c r="J9122" s="15" t="s">
        <v>32051</v>
      </c>
      <c r="K9122" s="15" t="s">
        <v>1722</v>
      </c>
      <c r="L9122" s="15">
        <v>63.0</v>
      </c>
      <c r="M9122" s="40">
        <v>42190.0</v>
      </c>
      <c r="N9122" s="41">
        <v>42326.0</v>
      </c>
      <c r="O9122" s="15" t="s">
        <v>1554</v>
      </c>
      <c r="Q9122" s="7"/>
    </row>
    <row r="9123">
      <c r="A9123" s="39" t="s">
        <v>32052</v>
      </c>
      <c r="B9123" s="15">
        <v>1028375.0</v>
      </c>
      <c r="D9123" s="15">
        <v>0.0</v>
      </c>
      <c r="E9123" s="15" t="s">
        <v>1557</v>
      </c>
      <c r="F9123" s="15" t="s">
        <v>1767</v>
      </c>
      <c r="G9123" s="7">
        <v>138.339</v>
      </c>
      <c r="H9123" s="42">
        <v>43220.0</v>
      </c>
      <c r="I9123" s="15" t="s">
        <v>1586</v>
      </c>
      <c r="J9123" s="15" t="s">
        <v>32053</v>
      </c>
      <c r="K9123" s="15">
        <v>4.0</v>
      </c>
      <c r="L9123" s="15">
        <v>215.0</v>
      </c>
      <c r="M9123" s="40">
        <v>40786.0</v>
      </c>
      <c r="N9123" s="40">
        <v>40805.0</v>
      </c>
      <c r="O9123" s="15" t="s">
        <v>1554</v>
      </c>
      <c r="Q9123" s="7"/>
    </row>
    <row r="9124">
      <c r="A9124" s="39" t="s">
        <v>32054</v>
      </c>
      <c r="B9124" s="15">
        <v>1235712.0</v>
      </c>
      <c r="D9124" s="15">
        <v>0.0</v>
      </c>
      <c r="E9124" s="15" t="s">
        <v>1557</v>
      </c>
      <c r="F9124" s="15" t="s">
        <v>1767</v>
      </c>
      <c r="G9124" s="7">
        <v>37.637</v>
      </c>
      <c r="H9124" s="15" t="s">
        <v>4171</v>
      </c>
      <c r="I9124" s="15" t="s">
        <v>1586</v>
      </c>
      <c r="J9124" s="15" t="s">
        <v>32055</v>
      </c>
      <c r="K9124" s="15">
        <v>47.0</v>
      </c>
      <c r="L9124" s="15">
        <v>47.0</v>
      </c>
      <c r="M9124" s="41">
        <v>41212.0</v>
      </c>
      <c r="N9124" s="40">
        <v>41277.0</v>
      </c>
      <c r="O9124" s="15" t="s">
        <v>1554</v>
      </c>
      <c r="Q9124" s="7"/>
    </row>
    <row r="9125">
      <c r="A9125" s="39" t="s">
        <v>7004</v>
      </c>
      <c r="B9125" s="15">
        <v>31754.0</v>
      </c>
      <c r="D9125" s="15">
        <v>0.0</v>
      </c>
      <c r="E9125" s="15" t="s">
        <v>1557</v>
      </c>
      <c r="F9125" s="15" t="s">
        <v>1833</v>
      </c>
      <c r="G9125" s="7">
        <v>40.003</v>
      </c>
      <c r="H9125" s="15">
        <v>35.0</v>
      </c>
      <c r="I9125" s="15" t="s">
        <v>1586</v>
      </c>
      <c r="J9125" s="15" t="s">
        <v>32057</v>
      </c>
      <c r="K9125" s="15" t="s">
        <v>1722</v>
      </c>
      <c r="L9125" s="15">
        <v>64.0</v>
      </c>
      <c r="M9125" s="41">
        <v>37589.0</v>
      </c>
      <c r="N9125" s="41">
        <v>39744.0</v>
      </c>
      <c r="O9125" s="15" t="s">
        <v>1554</v>
      </c>
      <c r="Q9125" s="7"/>
    </row>
    <row r="9126">
      <c r="A9126" s="39" t="s">
        <v>6909</v>
      </c>
      <c r="B9126" s="15">
        <v>44560.0</v>
      </c>
      <c r="C9126" s="15" t="s">
        <v>32058</v>
      </c>
      <c r="D9126" s="15">
        <v>284016.0</v>
      </c>
      <c r="E9126" s="15" t="s">
        <v>1808</v>
      </c>
      <c r="F9126" s="15" t="s">
        <v>1809</v>
      </c>
      <c r="G9126" s="7">
        <v>2.75</v>
      </c>
      <c r="H9126" s="15" t="s">
        <v>1813</v>
      </c>
      <c r="I9126" s="15" t="s">
        <v>1628</v>
      </c>
      <c r="J9126" s="15" t="s">
        <v>32059</v>
      </c>
      <c r="K9126" s="15">
        <v>6.0</v>
      </c>
      <c r="L9126" s="15">
        <v>6.0</v>
      </c>
      <c r="M9126" s="40">
        <v>42125.0</v>
      </c>
      <c r="N9126" s="40">
        <v>42138.0</v>
      </c>
      <c r="O9126" s="15" t="s">
        <v>1554</v>
      </c>
      <c r="Q9126" s="7"/>
    </row>
    <row r="9127">
      <c r="A9127" s="39" t="s">
        <v>6896</v>
      </c>
      <c r="B9127" s="15">
        <v>10849.0</v>
      </c>
      <c r="D9127" s="15">
        <v>0.0</v>
      </c>
      <c r="E9127" s="15" t="s">
        <v>1808</v>
      </c>
      <c r="F9127" s="15" t="s">
        <v>3154</v>
      </c>
      <c r="G9127" s="7">
        <v>6.089</v>
      </c>
      <c r="H9127" s="15" t="s">
        <v>3082</v>
      </c>
      <c r="I9127" s="15" t="s">
        <v>1586</v>
      </c>
      <c r="J9127" s="15" t="s">
        <v>32061</v>
      </c>
      <c r="K9127" s="15">
        <v>10.0</v>
      </c>
      <c r="L9127" s="15">
        <v>10.0</v>
      </c>
      <c r="M9127" s="40">
        <v>38744.0</v>
      </c>
      <c r="N9127" s="40">
        <v>39646.0</v>
      </c>
      <c r="O9127" s="15" t="s">
        <v>1554</v>
      </c>
      <c r="Q9127" s="7"/>
    </row>
    <row r="9128">
      <c r="A9128" s="39" t="s">
        <v>32062</v>
      </c>
      <c r="B9128" s="15">
        <v>282066.0</v>
      </c>
      <c r="D9128" s="15">
        <v>0.0</v>
      </c>
      <c r="E9128" s="15" t="s">
        <v>1557</v>
      </c>
      <c r="F9128" s="15" t="s">
        <v>6215</v>
      </c>
      <c r="G9128" s="7">
        <v>33.641</v>
      </c>
      <c r="H9128" s="42">
        <v>43184.0</v>
      </c>
      <c r="I9128" s="15" t="s">
        <v>1618</v>
      </c>
      <c r="J9128" s="15" t="s">
        <v>32063</v>
      </c>
      <c r="K9128" s="15" t="s">
        <v>1722</v>
      </c>
      <c r="L9128" s="15">
        <v>46.0</v>
      </c>
      <c r="M9128" s="41">
        <v>38306.0</v>
      </c>
      <c r="N9128" s="40">
        <v>38457.0</v>
      </c>
      <c r="O9128" s="15" t="s">
        <v>1554</v>
      </c>
      <c r="Q9128" s="7"/>
    </row>
    <row r="9129">
      <c r="A9129" s="39" t="s">
        <v>6834</v>
      </c>
      <c r="B9129" s="15">
        <v>12022.0</v>
      </c>
      <c r="D9129" s="15">
        <v>0.0</v>
      </c>
      <c r="E9129" s="15" t="s">
        <v>1548</v>
      </c>
      <c r="F9129" s="15" t="s">
        <v>4850</v>
      </c>
      <c r="G9129" s="7">
        <v>3.525</v>
      </c>
      <c r="H9129" s="15">
        <v>51.0</v>
      </c>
      <c r="I9129" s="15" t="s">
        <v>1586</v>
      </c>
      <c r="J9129" s="15" t="s">
        <v>32065</v>
      </c>
      <c r="K9129" s="15" t="s">
        <v>1722</v>
      </c>
      <c r="L9129" s="15">
        <v>4.0</v>
      </c>
      <c r="M9129" s="40">
        <v>41170.0</v>
      </c>
      <c r="N9129" s="40">
        <v>41170.0</v>
      </c>
      <c r="O9129" s="15" t="s">
        <v>1554</v>
      </c>
      <c r="Q9129" s="7"/>
    </row>
    <row r="9130">
      <c r="A9130" s="39" t="s">
        <v>32066</v>
      </c>
      <c r="B9130" s="15">
        <v>12021.0</v>
      </c>
      <c r="D9130" s="15">
        <v>0.0</v>
      </c>
      <c r="E9130" s="15" t="s">
        <v>1548</v>
      </c>
      <c r="F9130" s="15" t="s">
        <v>4850</v>
      </c>
      <c r="G9130" s="7">
        <v>3.486</v>
      </c>
      <c r="H9130" s="15" t="s">
        <v>5934</v>
      </c>
      <c r="I9130" s="15" t="s">
        <v>1586</v>
      </c>
      <c r="J9130" s="15" t="s">
        <v>32068</v>
      </c>
      <c r="K9130" s="15" t="s">
        <v>1722</v>
      </c>
      <c r="L9130" s="15">
        <v>4.0</v>
      </c>
      <c r="M9130" s="40">
        <v>36650.0</v>
      </c>
      <c r="N9130" s="40">
        <v>36650.0</v>
      </c>
      <c r="O9130" s="15" t="s">
        <v>1554</v>
      </c>
      <c r="Q9130" s="7"/>
    </row>
    <row r="9131">
      <c r="A9131" s="39" t="s">
        <v>32069</v>
      </c>
      <c r="B9131" s="15">
        <v>341698.0</v>
      </c>
      <c r="D9131" s="15">
        <v>0.0</v>
      </c>
      <c r="E9131" s="15" t="s">
        <v>1557</v>
      </c>
      <c r="F9131" s="15" t="s">
        <v>1833</v>
      </c>
      <c r="G9131" s="7">
        <v>38.893</v>
      </c>
      <c r="H9131" s="15" t="s">
        <v>2668</v>
      </c>
      <c r="I9131" s="15" t="s">
        <v>1586</v>
      </c>
      <c r="J9131" s="15" t="s">
        <v>32070</v>
      </c>
      <c r="K9131" s="15">
        <v>3.0</v>
      </c>
      <c r="L9131" s="15">
        <v>53.0</v>
      </c>
      <c r="M9131" s="40">
        <v>38922.0</v>
      </c>
      <c r="N9131" s="40">
        <v>38922.0</v>
      </c>
      <c r="O9131" s="15" t="s">
        <v>1554</v>
      </c>
      <c r="Q9131" s="7"/>
    </row>
    <row r="9132">
      <c r="A9132" s="39" t="s">
        <v>6886</v>
      </c>
      <c r="B9132" s="15">
        <v>10386.0</v>
      </c>
      <c r="D9132" s="15">
        <v>0.0</v>
      </c>
      <c r="E9132" s="15" t="s">
        <v>1557</v>
      </c>
      <c r="F9132" s="15" t="s">
        <v>1827</v>
      </c>
      <c r="G9132" s="7">
        <v>144.879</v>
      </c>
      <c r="H9132" s="15" t="s">
        <v>3882</v>
      </c>
      <c r="I9132" s="15" t="s">
        <v>1686</v>
      </c>
      <c r="J9132" s="15" t="s">
        <v>1722</v>
      </c>
      <c r="K9132" s="15">
        <v>45.0</v>
      </c>
      <c r="L9132" s="15">
        <v>88.0</v>
      </c>
      <c r="M9132" s="15" t="s">
        <v>1722</v>
      </c>
      <c r="N9132" s="15" t="s">
        <v>1722</v>
      </c>
      <c r="O9132" s="15" t="s">
        <v>22466</v>
      </c>
      <c r="Q9132" s="7"/>
    </row>
    <row r="9133">
      <c r="A9133" s="39" t="s">
        <v>32072</v>
      </c>
      <c r="B9133" s="15">
        <v>1175655.0</v>
      </c>
      <c r="D9133" s="15">
        <v>0.0</v>
      </c>
      <c r="E9133" s="15" t="s">
        <v>1557</v>
      </c>
      <c r="F9133" s="15" t="s">
        <v>1833</v>
      </c>
      <c r="G9133" s="7">
        <v>36.57</v>
      </c>
      <c r="H9133" s="15" t="s">
        <v>4117</v>
      </c>
      <c r="I9133" s="15" t="s">
        <v>1586</v>
      </c>
      <c r="J9133" s="15" t="s">
        <v>32074</v>
      </c>
      <c r="K9133" s="15">
        <v>56.0</v>
      </c>
      <c r="L9133" s="15">
        <v>56.0</v>
      </c>
      <c r="M9133" s="40">
        <v>41066.0</v>
      </c>
      <c r="N9133" s="40">
        <v>42033.0</v>
      </c>
      <c r="O9133" s="15" t="s">
        <v>1554</v>
      </c>
      <c r="Q9133" s="7"/>
    </row>
    <row r="9134">
      <c r="A9134" s="39" t="s">
        <v>32075</v>
      </c>
      <c r="B9134" s="15">
        <v>1176434.0</v>
      </c>
      <c r="D9134" s="15">
        <v>0.0</v>
      </c>
      <c r="E9134" s="15" t="s">
        <v>1557</v>
      </c>
      <c r="F9134" s="15" t="s">
        <v>1611</v>
      </c>
      <c r="G9134" s="7">
        <v>37.432</v>
      </c>
      <c r="H9134" s="15" t="s">
        <v>5382</v>
      </c>
      <c r="I9134" s="15" t="s">
        <v>1586</v>
      </c>
      <c r="J9134" s="15" t="s">
        <v>32076</v>
      </c>
      <c r="K9134" s="15">
        <v>49.0</v>
      </c>
      <c r="L9134" s="15">
        <v>49.0</v>
      </c>
      <c r="M9134" s="40">
        <v>41382.0</v>
      </c>
      <c r="N9134" s="40">
        <v>41382.0</v>
      </c>
      <c r="O9134" s="15" t="s">
        <v>1554</v>
      </c>
      <c r="Q9134" s="7"/>
    </row>
    <row r="9135">
      <c r="A9135" s="39" t="s">
        <v>32077</v>
      </c>
      <c r="B9135" s="15">
        <v>1529057.0</v>
      </c>
      <c r="D9135" s="15">
        <v>0.0</v>
      </c>
      <c r="E9135" s="15" t="s">
        <v>1557</v>
      </c>
      <c r="F9135" s="15" t="s">
        <v>1611</v>
      </c>
      <c r="G9135" s="7">
        <v>50.25</v>
      </c>
      <c r="H9135" s="15" t="s">
        <v>2163</v>
      </c>
      <c r="I9135" s="15" t="s">
        <v>1586</v>
      </c>
      <c r="J9135" s="15" t="s">
        <v>32079</v>
      </c>
      <c r="K9135" s="15">
        <v>70.0</v>
      </c>
      <c r="L9135" s="15">
        <v>70.0</v>
      </c>
      <c r="M9135" s="40">
        <v>41857.0</v>
      </c>
      <c r="N9135" s="40">
        <v>41878.0</v>
      </c>
      <c r="O9135" s="15" t="s">
        <v>1554</v>
      </c>
      <c r="Q9135" s="7"/>
    </row>
    <row r="9136">
      <c r="A9136" s="39" t="s">
        <v>32080</v>
      </c>
      <c r="B9136" s="15">
        <v>374525.0</v>
      </c>
      <c r="D9136" s="15">
        <v>0.0</v>
      </c>
      <c r="E9136" s="15" t="s">
        <v>1557</v>
      </c>
      <c r="F9136" s="15" t="s">
        <v>1833</v>
      </c>
      <c r="G9136" s="7">
        <v>37.131</v>
      </c>
      <c r="H9136" s="15" t="s">
        <v>3827</v>
      </c>
      <c r="I9136" s="15" t="s">
        <v>1586</v>
      </c>
      <c r="J9136" s="15" t="s">
        <v>32081</v>
      </c>
      <c r="K9136" s="15" t="s">
        <v>1722</v>
      </c>
      <c r="L9136" s="15">
        <v>60.0</v>
      </c>
      <c r="M9136" s="40">
        <v>39210.0</v>
      </c>
      <c r="N9136" s="40">
        <v>39210.0</v>
      </c>
      <c r="O9136" s="15" t="s">
        <v>1554</v>
      </c>
      <c r="Q9136" s="7"/>
    </row>
    <row r="9137">
      <c r="A9137" s="39" t="s">
        <v>32082</v>
      </c>
      <c r="B9137" s="15">
        <v>201846.0</v>
      </c>
      <c r="D9137" s="15">
        <v>0.0</v>
      </c>
      <c r="E9137" s="15" t="s">
        <v>1557</v>
      </c>
      <c r="F9137" s="15" t="s">
        <v>1833</v>
      </c>
      <c r="G9137" s="7">
        <v>33.613</v>
      </c>
      <c r="H9137" s="15" t="s">
        <v>2103</v>
      </c>
      <c r="I9137" s="15" t="s">
        <v>1586</v>
      </c>
      <c r="J9137" s="15" t="s">
        <v>32083</v>
      </c>
      <c r="K9137" s="15" t="s">
        <v>1722</v>
      </c>
      <c r="L9137" s="15">
        <v>50.0</v>
      </c>
      <c r="M9137" s="40">
        <v>39701.0</v>
      </c>
      <c r="N9137" s="40">
        <v>39701.0</v>
      </c>
      <c r="O9137" s="15" t="s">
        <v>1554</v>
      </c>
      <c r="Q9137" s="7"/>
    </row>
    <row r="9138">
      <c r="A9138" s="39" t="s">
        <v>6266</v>
      </c>
      <c r="B9138" s="15">
        <v>194966.0</v>
      </c>
      <c r="D9138" s="15">
        <v>0.0</v>
      </c>
      <c r="E9138" s="15" t="s">
        <v>1557</v>
      </c>
      <c r="F9138" s="15" t="s">
        <v>1611</v>
      </c>
      <c r="G9138" s="7">
        <v>43.769</v>
      </c>
      <c r="H9138" s="15" t="s">
        <v>1700</v>
      </c>
      <c r="I9138" s="15" t="s">
        <v>1586</v>
      </c>
      <c r="J9138" s="15" t="s">
        <v>32085</v>
      </c>
      <c r="K9138" s="15" t="s">
        <v>1722</v>
      </c>
      <c r="L9138" s="15">
        <v>52.0</v>
      </c>
      <c r="M9138" s="40">
        <v>38019.0</v>
      </c>
      <c r="N9138" s="40">
        <v>38019.0</v>
      </c>
      <c r="O9138" s="15" t="s">
        <v>1554</v>
      </c>
      <c r="Q9138" s="7"/>
    </row>
    <row r="9139">
      <c r="A9139" s="39" t="s">
        <v>32086</v>
      </c>
      <c r="B9139" s="15">
        <v>378809.0</v>
      </c>
      <c r="C9139" s="15" t="s">
        <v>32087</v>
      </c>
      <c r="D9139" s="15">
        <v>276005.0</v>
      </c>
      <c r="E9139" s="15" t="s">
        <v>1548</v>
      </c>
      <c r="F9139" s="15" t="s">
        <v>2456</v>
      </c>
      <c r="G9139" s="7">
        <v>19.114</v>
      </c>
      <c r="H9139" s="15" t="s">
        <v>2233</v>
      </c>
      <c r="I9139" s="15" t="s">
        <v>1567</v>
      </c>
      <c r="J9139" s="15" t="s">
        <v>32089</v>
      </c>
      <c r="K9139" s="15">
        <v>7.0</v>
      </c>
      <c r="L9139" s="15">
        <v>7.0</v>
      </c>
      <c r="M9139" s="40">
        <v>38822.0</v>
      </c>
      <c r="N9139" s="40">
        <v>42059.0</v>
      </c>
      <c r="O9139" s="15" t="s">
        <v>1554</v>
      </c>
      <c r="Q9139" s="7"/>
    </row>
    <row r="9140">
      <c r="A9140" s="39" t="s">
        <v>32090</v>
      </c>
      <c r="B9140" s="15">
        <v>1529392.0</v>
      </c>
      <c r="C9140" s="15" t="s">
        <v>32091</v>
      </c>
      <c r="D9140" s="15">
        <v>301458.0</v>
      </c>
      <c r="E9140" s="15" t="s">
        <v>1548</v>
      </c>
      <c r="F9140" s="15" t="s">
        <v>4837</v>
      </c>
      <c r="G9140" s="7">
        <v>15.618</v>
      </c>
      <c r="H9140" s="15">
        <v>36.0</v>
      </c>
      <c r="I9140" s="15" t="s">
        <v>1567</v>
      </c>
      <c r="J9140" s="15" t="s">
        <v>32092</v>
      </c>
      <c r="K9140" s="15">
        <v>6.0</v>
      </c>
      <c r="L9140" s="15">
        <v>6.0</v>
      </c>
      <c r="M9140" s="40">
        <v>42196.0</v>
      </c>
      <c r="N9140" s="41">
        <v>42320.0</v>
      </c>
      <c r="O9140" s="15" t="s">
        <v>1554</v>
      </c>
      <c r="Q9140" s="7"/>
    </row>
    <row r="9141">
      <c r="A9141" s="39" t="s">
        <v>4679</v>
      </c>
      <c r="B9141" s="15">
        <v>10754.0</v>
      </c>
      <c r="D9141" s="15">
        <v>0.0</v>
      </c>
      <c r="E9141" s="15" t="s">
        <v>1557</v>
      </c>
      <c r="F9141" s="15" t="s">
        <v>1611</v>
      </c>
      <c r="G9141" s="7">
        <v>41.66</v>
      </c>
      <c r="H9141" s="15">
        <v>47.0</v>
      </c>
      <c r="I9141" s="15" t="s">
        <v>1586</v>
      </c>
      <c r="J9141" s="15" t="s">
        <v>32094</v>
      </c>
      <c r="K9141" s="15">
        <v>61.0</v>
      </c>
      <c r="L9141" s="15">
        <v>71.0</v>
      </c>
      <c r="M9141" s="40">
        <v>39352.0</v>
      </c>
      <c r="N9141" s="40">
        <v>39784.0</v>
      </c>
      <c r="O9141" s="15" t="s">
        <v>1554</v>
      </c>
      <c r="Q9141" s="7"/>
    </row>
    <row r="9142">
      <c r="A9142" s="39" t="s">
        <v>4497</v>
      </c>
      <c r="B9142" s="15">
        <v>35343.0</v>
      </c>
      <c r="D9142" s="15">
        <v>0.0</v>
      </c>
      <c r="E9142" s="15" t="s">
        <v>1557</v>
      </c>
      <c r="F9142" s="15" t="s">
        <v>1767</v>
      </c>
      <c r="G9142" s="7">
        <v>35.559</v>
      </c>
      <c r="H9142" s="15" t="s">
        <v>4499</v>
      </c>
      <c r="I9142" s="15" t="s">
        <v>1586</v>
      </c>
      <c r="J9142" s="15" t="s">
        <v>32095</v>
      </c>
      <c r="K9142" s="15">
        <v>2.0</v>
      </c>
      <c r="L9142" s="15">
        <v>2.0</v>
      </c>
      <c r="M9142" s="40">
        <v>35676.0</v>
      </c>
      <c r="N9142" s="40">
        <v>36069.0</v>
      </c>
      <c r="O9142" s="15" t="s">
        <v>1554</v>
      </c>
      <c r="Q9142" s="7"/>
    </row>
    <row r="9143">
      <c r="A9143" s="39" t="s">
        <v>32096</v>
      </c>
      <c r="B9143" s="15">
        <v>1815974.0</v>
      </c>
      <c r="D9143" s="15">
        <v>0.0</v>
      </c>
      <c r="E9143" s="15" t="s">
        <v>1557</v>
      </c>
      <c r="F9143" s="15" t="s">
        <v>1611</v>
      </c>
      <c r="G9143" s="7">
        <v>43.265</v>
      </c>
      <c r="H9143" s="15" t="s">
        <v>3082</v>
      </c>
      <c r="I9143" s="15" t="s">
        <v>1586</v>
      </c>
      <c r="J9143" s="15" t="s">
        <v>32098</v>
      </c>
      <c r="K9143" s="15">
        <v>54.0</v>
      </c>
      <c r="L9143" s="15">
        <v>54.0</v>
      </c>
      <c r="M9143" s="40">
        <v>42625.0</v>
      </c>
      <c r="N9143" s="40">
        <v>42625.0</v>
      </c>
      <c r="O9143" s="15" t="s">
        <v>1554</v>
      </c>
      <c r="Q9143" s="7"/>
    </row>
    <row r="9144">
      <c r="A9144" s="39" t="s">
        <v>32099</v>
      </c>
      <c r="B9144" s="15">
        <v>1463607.0</v>
      </c>
      <c r="D9144" s="15">
        <v>0.0</v>
      </c>
      <c r="E9144" s="15" t="s">
        <v>1808</v>
      </c>
      <c r="F9144" s="15" t="s">
        <v>2969</v>
      </c>
      <c r="G9144" s="7">
        <v>7.325</v>
      </c>
      <c r="H9144" s="15" t="s">
        <v>2965</v>
      </c>
      <c r="I9144" s="15" t="s">
        <v>1586</v>
      </c>
      <c r="J9144" s="15" t="s">
        <v>32100</v>
      </c>
      <c r="K9144" s="15" t="s">
        <v>1722</v>
      </c>
      <c r="L9144" s="15">
        <v>13.0</v>
      </c>
      <c r="M9144" s="40">
        <v>41838.0</v>
      </c>
      <c r="N9144" s="40">
        <v>41838.0</v>
      </c>
      <c r="O9144" s="15" t="s">
        <v>1554</v>
      </c>
      <c r="Q9144" s="7"/>
    </row>
    <row r="9145">
      <c r="A9145" s="39" t="s">
        <v>32101</v>
      </c>
      <c r="B9145" s="15">
        <v>1327779.0</v>
      </c>
      <c r="D9145" s="15">
        <v>0.0</v>
      </c>
      <c r="E9145" s="15" t="s">
        <v>1557</v>
      </c>
      <c r="F9145" s="15" t="s">
        <v>1833</v>
      </c>
      <c r="G9145" s="7">
        <v>50.891</v>
      </c>
      <c r="H9145" s="15" t="s">
        <v>4117</v>
      </c>
      <c r="I9145" s="15" t="s">
        <v>1586</v>
      </c>
      <c r="J9145" s="15" t="s">
        <v>32102</v>
      </c>
      <c r="K9145" s="15">
        <v>86.0</v>
      </c>
      <c r="L9145" s="15">
        <v>83.0</v>
      </c>
      <c r="M9145" s="40">
        <v>41401.0</v>
      </c>
      <c r="N9145" s="40">
        <v>41401.0</v>
      </c>
      <c r="O9145" s="15" t="s">
        <v>1554</v>
      </c>
      <c r="Q9145" s="7"/>
    </row>
    <row r="9146">
      <c r="A9146" s="39" t="s">
        <v>32103</v>
      </c>
      <c r="B9146" s="15">
        <v>1862701.0</v>
      </c>
      <c r="D9146" s="15">
        <v>0.0</v>
      </c>
      <c r="E9146" s="15" t="s">
        <v>1557</v>
      </c>
      <c r="F9146" s="15" t="s">
        <v>1767</v>
      </c>
      <c r="G9146" s="7">
        <v>279.593</v>
      </c>
      <c r="H9146" s="15" t="s">
        <v>4331</v>
      </c>
      <c r="I9146" s="15" t="s">
        <v>1586</v>
      </c>
      <c r="J9146" s="15" t="s">
        <v>32105</v>
      </c>
      <c r="K9146" s="15">
        <v>368.0</v>
      </c>
      <c r="L9146" s="15">
        <v>368.0</v>
      </c>
      <c r="M9146" s="40">
        <v>42543.0</v>
      </c>
      <c r="N9146" s="40">
        <v>42543.0</v>
      </c>
      <c r="O9146" s="15" t="s">
        <v>1554</v>
      </c>
      <c r="Q9146" s="7"/>
    </row>
    <row r="9147">
      <c r="A9147" s="39" t="s">
        <v>32106</v>
      </c>
      <c r="B9147" s="15">
        <v>180503.0</v>
      </c>
      <c r="D9147" s="15">
        <v>0.0</v>
      </c>
      <c r="E9147" s="15" t="s">
        <v>1808</v>
      </c>
      <c r="F9147" s="15" t="s">
        <v>2969</v>
      </c>
      <c r="G9147" s="7">
        <v>6.834</v>
      </c>
      <c r="H9147" s="15" t="s">
        <v>1943</v>
      </c>
      <c r="I9147" s="15" t="s">
        <v>1586</v>
      </c>
      <c r="J9147" s="15" t="s">
        <v>32107</v>
      </c>
      <c r="K9147" s="15" t="s">
        <v>1722</v>
      </c>
      <c r="L9147" s="15">
        <v>6.0</v>
      </c>
      <c r="M9147" s="41">
        <v>37237.0</v>
      </c>
      <c r="N9147" s="40">
        <v>37844.0</v>
      </c>
      <c r="O9147" s="15" t="s">
        <v>1554</v>
      </c>
      <c r="Q9147" s="7"/>
    </row>
    <row r="9148">
      <c r="A9148" s="39" t="s">
        <v>32108</v>
      </c>
      <c r="B9148" s="15">
        <v>1807511.0</v>
      </c>
      <c r="D9148" s="15">
        <v>0.0</v>
      </c>
      <c r="E9148" s="15" t="s">
        <v>1557</v>
      </c>
      <c r="F9148" s="15" t="s">
        <v>1611</v>
      </c>
      <c r="G9148" s="7">
        <v>18.379</v>
      </c>
      <c r="H9148" s="15" t="s">
        <v>2375</v>
      </c>
      <c r="I9148" s="15" t="s">
        <v>1586</v>
      </c>
      <c r="J9148" s="15" t="s">
        <v>32109</v>
      </c>
      <c r="K9148" s="15">
        <v>25.0</v>
      </c>
      <c r="L9148" s="15">
        <v>24.0</v>
      </c>
      <c r="M9148" s="40">
        <v>42458.0</v>
      </c>
      <c r="N9148" s="40">
        <v>42458.0</v>
      </c>
      <c r="O9148" s="15" t="s">
        <v>1554</v>
      </c>
      <c r="Q9148" s="7"/>
    </row>
    <row r="9149">
      <c r="A9149" s="39" t="s">
        <v>32111</v>
      </c>
      <c r="B9149" s="15">
        <v>1841196.0</v>
      </c>
      <c r="D9149" s="15">
        <v>0.0</v>
      </c>
      <c r="E9149" s="15" t="s">
        <v>1557</v>
      </c>
      <c r="F9149" s="15" t="s">
        <v>1767</v>
      </c>
      <c r="G9149" s="7">
        <v>33.108</v>
      </c>
      <c r="H9149" s="15" t="s">
        <v>2365</v>
      </c>
      <c r="I9149" s="15" t="s">
        <v>1586</v>
      </c>
      <c r="J9149" s="15" t="s">
        <v>32112</v>
      </c>
      <c r="K9149" s="15">
        <v>46.0</v>
      </c>
      <c r="L9149" s="15">
        <v>46.0</v>
      </c>
      <c r="M9149" s="40">
        <v>42491.0</v>
      </c>
      <c r="N9149" s="40">
        <v>42521.0</v>
      </c>
      <c r="O9149" s="15" t="s">
        <v>1554</v>
      </c>
      <c r="Q9149" s="7"/>
    </row>
    <row r="9150">
      <c r="A9150" s="39" t="s">
        <v>32113</v>
      </c>
      <c r="B9150" s="15">
        <v>261665.0</v>
      </c>
      <c r="D9150" s="15">
        <v>0.0</v>
      </c>
      <c r="E9150" s="15" t="s">
        <v>1557</v>
      </c>
      <c r="F9150" s="15" t="s">
        <v>3844</v>
      </c>
      <c r="G9150" s="7">
        <v>14.946</v>
      </c>
      <c r="H9150" s="15" t="s">
        <v>5382</v>
      </c>
      <c r="I9150" s="15" t="s">
        <v>1586</v>
      </c>
      <c r="J9150" s="15" t="s">
        <v>32114</v>
      </c>
      <c r="K9150" s="15" t="s">
        <v>1722</v>
      </c>
      <c r="L9150" s="15">
        <v>32.0</v>
      </c>
      <c r="M9150" s="40">
        <v>38169.0</v>
      </c>
      <c r="N9150" s="40">
        <v>38747.0</v>
      </c>
      <c r="O9150" s="15" t="s">
        <v>1554</v>
      </c>
      <c r="Q9150" s="7"/>
    </row>
    <row r="9151">
      <c r="A9151" s="39" t="s">
        <v>32115</v>
      </c>
      <c r="B9151" s="15">
        <v>979536.0</v>
      </c>
      <c r="D9151" s="15">
        <v>0.0</v>
      </c>
      <c r="E9151" s="15" t="s">
        <v>1557</v>
      </c>
      <c r="F9151" s="15" t="s">
        <v>1611</v>
      </c>
      <c r="G9151" s="7">
        <v>39.088</v>
      </c>
      <c r="H9151" s="15" t="s">
        <v>1813</v>
      </c>
      <c r="I9151" s="15" t="s">
        <v>1586</v>
      </c>
      <c r="J9151" s="15" t="s">
        <v>32116</v>
      </c>
      <c r="K9151" s="15">
        <v>47.0</v>
      </c>
      <c r="L9151" s="15">
        <v>47.0</v>
      </c>
      <c r="M9151" s="40">
        <v>40596.0</v>
      </c>
      <c r="N9151" s="40">
        <v>40731.0</v>
      </c>
      <c r="O9151" s="15" t="s">
        <v>1554</v>
      </c>
      <c r="Q9151" s="7"/>
    </row>
    <row r="9152">
      <c r="A9152" s="39" t="s">
        <v>32117</v>
      </c>
      <c r="B9152" s="15">
        <v>1902331.0</v>
      </c>
      <c r="D9152" s="15">
        <v>0.0</v>
      </c>
      <c r="E9152" s="15" t="s">
        <v>1557</v>
      </c>
      <c r="F9152" s="15" t="s">
        <v>3628</v>
      </c>
      <c r="G9152" s="7">
        <v>39.399</v>
      </c>
      <c r="H9152" s="15" t="s">
        <v>2219</v>
      </c>
      <c r="I9152" s="15" t="s">
        <v>1618</v>
      </c>
      <c r="J9152" s="15" t="s">
        <v>32118</v>
      </c>
      <c r="K9152" s="15">
        <v>69.0</v>
      </c>
      <c r="L9152" s="15">
        <v>69.0</v>
      </c>
      <c r="M9152" s="40">
        <v>42646.0</v>
      </c>
      <c r="N9152" s="40">
        <v>42646.0</v>
      </c>
      <c r="O9152" s="15" t="s">
        <v>1554</v>
      </c>
      <c r="Q9152" s="7"/>
    </row>
    <row r="9153">
      <c r="A9153" s="39" t="s">
        <v>3405</v>
      </c>
      <c r="B9153" s="15">
        <v>10872.0</v>
      </c>
      <c r="D9153" s="15">
        <v>0.0</v>
      </c>
      <c r="E9153" s="15" t="s">
        <v>1808</v>
      </c>
      <c r="F9153" s="15" t="s">
        <v>2969</v>
      </c>
      <c r="G9153" s="7">
        <v>5.833</v>
      </c>
      <c r="H9153" s="15" t="s">
        <v>3407</v>
      </c>
      <c r="I9153" s="15" t="s">
        <v>1586</v>
      </c>
      <c r="J9153" s="15" t="s">
        <v>32119</v>
      </c>
      <c r="K9153" s="15" t="s">
        <v>1722</v>
      </c>
      <c r="L9153" s="15">
        <v>9.0</v>
      </c>
      <c r="M9153" s="40">
        <v>34087.0</v>
      </c>
      <c r="N9153" s="40">
        <v>35110.0</v>
      </c>
      <c r="O9153" s="15" t="s">
        <v>1554</v>
      </c>
      <c r="Q9153" s="7"/>
    </row>
    <row r="9154">
      <c r="A9154" s="39" t="s">
        <v>3359</v>
      </c>
      <c r="B9154" s="15">
        <v>10665.0</v>
      </c>
      <c r="D9154" s="15">
        <v>0.0</v>
      </c>
      <c r="E9154" s="15" t="s">
        <v>1557</v>
      </c>
      <c r="F9154" s="15" t="s">
        <v>1767</v>
      </c>
      <c r="G9154" s="7">
        <v>168.922</v>
      </c>
      <c r="H9154" s="15" t="s">
        <v>3361</v>
      </c>
      <c r="I9154" s="15" t="s">
        <v>1586</v>
      </c>
      <c r="J9154" s="15" t="s">
        <v>32121</v>
      </c>
      <c r="K9154" s="15">
        <v>211.0</v>
      </c>
      <c r="L9154" s="15">
        <v>202.0</v>
      </c>
      <c r="M9154" s="40">
        <v>41766.0</v>
      </c>
      <c r="N9154" s="40">
        <v>42187.0</v>
      </c>
      <c r="O9154" s="15" t="s">
        <v>1554</v>
      </c>
      <c r="Q9154" s="7"/>
    </row>
    <row r="9155">
      <c r="A9155" s="39" t="s">
        <v>3333</v>
      </c>
      <c r="B9155" s="15">
        <v>10679.0</v>
      </c>
      <c r="D9155" s="15">
        <v>0.0</v>
      </c>
      <c r="E9155" s="15" t="s">
        <v>1557</v>
      </c>
      <c r="F9155" s="15" t="s">
        <v>1767</v>
      </c>
      <c r="G9155" s="7">
        <v>31.2</v>
      </c>
      <c r="H9155" s="15" t="s">
        <v>1640</v>
      </c>
      <c r="I9155" s="15" t="s">
        <v>1586</v>
      </c>
      <c r="J9155" s="15" t="s">
        <v>32122</v>
      </c>
      <c r="K9155" s="15" t="s">
        <v>1722</v>
      </c>
      <c r="L9155" s="15">
        <v>46.0</v>
      </c>
      <c r="M9155" s="40">
        <v>41334.0</v>
      </c>
      <c r="N9155" s="40">
        <v>41481.0</v>
      </c>
      <c r="O9155" s="15" t="s">
        <v>1554</v>
      </c>
      <c r="Q9155" s="7"/>
    </row>
    <row r="9156">
      <c r="A9156" s="39" t="s">
        <v>32123</v>
      </c>
      <c r="B9156" s="15">
        <v>1818374.0</v>
      </c>
      <c r="D9156" s="15">
        <v>0.0</v>
      </c>
      <c r="E9156" s="15" t="s">
        <v>1557</v>
      </c>
      <c r="F9156" s="15" t="s">
        <v>1833</v>
      </c>
      <c r="G9156" s="7">
        <v>51.37</v>
      </c>
      <c r="H9156" s="15" t="s">
        <v>3286</v>
      </c>
      <c r="I9156" s="15" t="s">
        <v>1586</v>
      </c>
      <c r="J9156" s="15" t="s">
        <v>32124</v>
      </c>
      <c r="K9156" s="15">
        <v>87.0</v>
      </c>
      <c r="L9156" s="15">
        <v>87.0</v>
      </c>
      <c r="M9156" s="40">
        <v>42463.0</v>
      </c>
      <c r="N9156" s="40">
        <v>42494.0</v>
      </c>
      <c r="O9156" s="15" t="s">
        <v>1554</v>
      </c>
      <c r="Q9156" s="7"/>
    </row>
    <row r="9157">
      <c r="A9157" s="39" t="s">
        <v>3166</v>
      </c>
      <c r="B9157" s="15">
        <v>10844.0</v>
      </c>
      <c r="D9157" s="15">
        <v>0.0</v>
      </c>
      <c r="E9157" s="15" t="s">
        <v>1808</v>
      </c>
      <c r="F9157" s="15" t="s">
        <v>3154</v>
      </c>
      <c r="G9157" s="7">
        <v>5.386</v>
      </c>
      <c r="H9157" s="15" t="s">
        <v>1818</v>
      </c>
      <c r="I9157" s="15" t="s">
        <v>1586</v>
      </c>
      <c r="J9157" s="15" t="s">
        <v>32125</v>
      </c>
      <c r="K9157" s="15" t="s">
        <v>1722</v>
      </c>
      <c r="L9157" s="15">
        <v>12.0</v>
      </c>
      <c r="M9157" s="41">
        <v>32142.0</v>
      </c>
      <c r="N9157" s="41">
        <v>32142.0</v>
      </c>
      <c r="O9157" s="15" t="s">
        <v>1554</v>
      </c>
      <c r="Q9157" s="7"/>
    </row>
    <row r="9158">
      <c r="A9158" s="39" t="s">
        <v>32126</v>
      </c>
      <c r="B9158" s="15">
        <v>979532.0</v>
      </c>
      <c r="D9158" s="15">
        <v>0.0</v>
      </c>
      <c r="E9158" s="15" t="s">
        <v>1557</v>
      </c>
      <c r="F9158" s="15" t="s">
        <v>1767</v>
      </c>
      <c r="G9158" s="7">
        <v>124.497</v>
      </c>
      <c r="H9158" s="15" t="s">
        <v>2316</v>
      </c>
      <c r="I9158" s="15" t="s">
        <v>1586</v>
      </c>
      <c r="J9158" s="15" t="s">
        <v>32128</v>
      </c>
      <c r="K9158" s="15">
        <v>227.0</v>
      </c>
      <c r="L9158" s="15">
        <v>227.0</v>
      </c>
      <c r="M9158" s="40">
        <v>40596.0</v>
      </c>
      <c r="N9158" s="40">
        <v>40731.0</v>
      </c>
      <c r="O9158" s="15" t="s">
        <v>1554</v>
      </c>
      <c r="Q9158" s="7"/>
    </row>
    <row r="9159">
      <c r="A9159" s="39" t="s">
        <v>32129</v>
      </c>
      <c r="B9159" s="15">
        <v>1327973.0</v>
      </c>
      <c r="D9159" s="15">
        <v>0.0</v>
      </c>
      <c r="E9159" s="15" t="s">
        <v>1557</v>
      </c>
      <c r="F9159" s="15" t="s">
        <v>1767</v>
      </c>
      <c r="G9159" s="7">
        <v>54.015</v>
      </c>
      <c r="H9159" s="15" t="s">
        <v>2219</v>
      </c>
      <c r="I9159" s="15" t="s">
        <v>1586</v>
      </c>
      <c r="J9159" s="15" t="s">
        <v>32130</v>
      </c>
      <c r="K9159" s="15">
        <v>80.0</v>
      </c>
      <c r="L9159" s="15">
        <v>80.0</v>
      </c>
      <c r="M9159" s="40">
        <v>41454.0</v>
      </c>
      <c r="N9159" s="41">
        <v>42369.0</v>
      </c>
      <c r="O9159" s="15" t="s">
        <v>1554</v>
      </c>
      <c r="Q9159" s="7"/>
    </row>
    <row r="9160">
      <c r="A9160" s="39" t="s">
        <v>1959</v>
      </c>
      <c r="B9160" s="15">
        <v>652718.0</v>
      </c>
      <c r="C9160" s="15" t="s">
        <v>32131</v>
      </c>
      <c r="D9160" s="15">
        <v>336037.0</v>
      </c>
      <c r="E9160" s="15" t="s">
        <v>1808</v>
      </c>
      <c r="F9160" s="15" t="s">
        <v>1809</v>
      </c>
      <c r="G9160" s="7">
        <v>2.837</v>
      </c>
      <c r="H9160" s="15" t="s">
        <v>8889</v>
      </c>
      <c r="I9160" s="15" t="s">
        <v>1628</v>
      </c>
      <c r="J9160" s="15" t="s">
        <v>32133</v>
      </c>
      <c r="K9160" s="15">
        <v>6.0</v>
      </c>
      <c r="L9160" s="15">
        <v>6.0</v>
      </c>
      <c r="M9160" s="40">
        <v>42574.0</v>
      </c>
      <c r="N9160" s="40">
        <v>42752.0</v>
      </c>
      <c r="O9160" s="15" t="s">
        <v>1554</v>
      </c>
      <c r="Q9160" s="7"/>
    </row>
    <row r="9161">
      <c r="A9161" s="39" t="s">
        <v>32134</v>
      </c>
      <c r="B9161" s="15">
        <v>1930509.0</v>
      </c>
      <c r="D9161" s="15">
        <v>0.0</v>
      </c>
      <c r="E9161" s="15" t="s">
        <v>1577</v>
      </c>
      <c r="F9161" s="15" t="s">
        <v>1578</v>
      </c>
      <c r="G9161" s="7">
        <v>8.856</v>
      </c>
      <c r="H9161" s="15" t="s">
        <v>2300</v>
      </c>
      <c r="I9161" s="15" t="s">
        <v>1580</v>
      </c>
      <c r="J9161" s="15" t="s">
        <v>32135</v>
      </c>
      <c r="K9161" s="15" t="s">
        <v>1722</v>
      </c>
      <c r="L9161" s="15">
        <v>1.0</v>
      </c>
      <c r="M9161" s="41">
        <v>42731.0</v>
      </c>
      <c r="N9161" s="41">
        <v>42731.0</v>
      </c>
      <c r="O9161" s="15" t="s">
        <v>1554</v>
      </c>
      <c r="Q9161" s="7"/>
    </row>
    <row r="9162">
      <c r="A9162" s="39" t="s">
        <v>32136</v>
      </c>
      <c r="B9162" s="15">
        <v>1930508.0</v>
      </c>
      <c r="D9162" s="15">
        <v>0.0</v>
      </c>
      <c r="E9162" s="15" t="s">
        <v>1577</v>
      </c>
      <c r="F9162" s="15" t="s">
        <v>1578</v>
      </c>
      <c r="G9162" s="7">
        <v>8.497</v>
      </c>
      <c r="H9162" s="15" t="s">
        <v>1983</v>
      </c>
      <c r="I9162" s="15" t="s">
        <v>1580</v>
      </c>
      <c r="J9162" s="15" t="s">
        <v>32137</v>
      </c>
      <c r="K9162" s="15">
        <v>1.0</v>
      </c>
      <c r="L9162" s="15">
        <v>1.0</v>
      </c>
      <c r="M9162" s="41">
        <v>42731.0</v>
      </c>
      <c r="N9162" s="41">
        <v>42733.0</v>
      </c>
      <c r="O9162" s="15" t="s">
        <v>1554</v>
      </c>
      <c r="Q9162" s="7"/>
    </row>
    <row r="9163">
      <c r="A9163" s="39" t="s">
        <v>2209</v>
      </c>
      <c r="B9163" s="15">
        <v>756280.0</v>
      </c>
      <c r="D9163" s="15">
        <v>0.0</v>
      </c>
      <c r="E9163" s="15" t="s">
        <v>1557</v>
      </c>
      <c r="F9163" s="15" t="s">
        <v>1767</v>
      </c>
      <c r="G9163" s="7">
        <v>54.566</v>
      </c>
      <c r="H9163" s="15" t="s">
        <v>2219</v>
      </c>
      <c r="I9163" s="15" t="s">
        <v>1586</v>
      </c>
      <c r="J9163" s="15" t="s">
        <v>32139</v>
      </c>
      <c r="K9163" s="15">
        <v>81.0</v>
      </c>
      <c r="L9163" s="15">
        <v>81.0</v>
      </c>
      <c r="M9163" s="40">
        <v>41454.0</v>
      </c>
      <c r="N9163" s="41">
        <v>42369.0</v>
      </c>
      <c r="O9163" s="15" t="s">
        <v>1554</v>
      </c>
      <c r="Q9163" s="7"/>
    </row>
    <row r="9164">
      <c r="A9164" s="39" t="s">
        <v>32140</v>
      </c>
      <c r="B9164" s="15">
        <v>979531.0</v>
      </c>
      <c r="D9164" s="15">
        <v>0.0</v>
      </c>
      <c r="E9164" s="15" t="s">
        <v>1557</v>
      </c>
      <c r="F9164" s="15" t="s">
        <v>1767</v>
      </c>
      <c r="G9164" s="7">
        <v>124.497</v>
      </c>
      <c r="H9164" s="15" t="s">
        <v>2316</v>
      </c>
      <c r="I9164" s="15" t="s">
        <v>1586</v>
      </c>
      <c r="J9164" s="15" t="s">
        <v>32141</v>
      </c>
      <c r="K9164" s="15">
        <v>227.0</v>
      </c>
      <c r="L9164" s="15">
        <v>227.0</v>
      </c>
      <c r="M9164" s="40">
        <v>40596.0</v>
      </c>
      <c r="N9164" s="40">
        <v>40731.0</v>
      </c>
      <c r="O9164" s="15" t="s">
        <v>1554</v>
      </c>
      <c r="Q9164" s="7"/>
    </row>
    <row r="9165">
      <c r="A9165" s="39" t="s">
        <v>32142</v>
      </c>
      <c r="B9165" s="15">
        <v>1508658.0</v>
      </c>
      <c r="D9165" s="15">
        <v>0.0</v>
      </c>
      <c r="E9165" s="15" t="s">
        <v>1808</v>
      </c>
      <c r="F9165" s="15" t="s">
        <v>3154</v>
      </c>
      <c r="G9165" s="7">
        <v>5.386</v>
      </c>
      <c r="H9165" s="15" t="s">
        <v>3097</v>
      </c>
      <c r="I9165" s="15" t="s">
        <v>1586</v>
      </c>
      <c r="J9165" s="15" t="s">
        <v>32143</v>
      </c>
      <c r="K9165" s="15">
        <v>11.0</v>
      </c>
      <c r="L9165" s="15">
        <v>11.0</v>
      </c>
      <c r="M9165" s="40">
        <v>41857.0</v>
      </c>
      <c r="N9165" s="41">
        <v>41940.0</v>
      </c>
      <c r="O9165" s="15" t="s">
        <v>1554</v>
      </c>
      <c r="Q9165" s="7"/>
    </row>
    <row r="9166">
      <c r="A9166" s="39" t="s">
        <v>32145</v>
      </c>
      <c r="B9166" s="15">
        <v>1821725.0</v>
      </c>
      <c r="D9166" s="15">
        <v>0.0</v>
      </c>
      <c r="E9166" s="15" t="s">
        <v>1557</v>
      </c>
      <c r="F9166" s="15" t="s">
        <v>1833</v>
      </c>
      <c r="G9166" s="7">
        <v>51.162</v>
      </c>
      <c r="H9166" s="15" t="s">
        <v>3286</v>
      </c>
      <c r="I9166" s="15" t="s">
        <v>1586</v>
      </c>
      <c r="J9166" s="15" t="s">
        <v>32146</v>
      </c>
      <c r="K9166" s="15">
        <v>88.0</v>
      </c>
      <c r="L9166" s="15">
        <v>88.0</v>
      </c>
      <c r="M9166" s="40">
        <v>42471.0</v>
      </c>
      <c r="N9166" s="40">
        <v>42471.0</v>
      </c>
      <c r="O9166" s="15" t="s">
        <v>1554</v>
      </c>
      <c r="Q9166" s="7"/>
    </row>
    <row r="9167">
      <c r="A9167" s="39" t="s">
        <v>3359</v>
      </c>
      <c r="B9167" s="15">
        <v>10665.0</v>
      </c>
      <c r="D9167" s="15">
        <v>0.0</v>
      </c>
      <c r="E9167" s="15" t="s">
        <v>1557</v>
      </c>
      <c r="F9167" s="15" t="s">
        <v>1767</v>
      </c>
      <c r="G9167" s="7">
        <v>166.816</v>
      </c>
      <c r="H9167" s="15" t="s">
        <v>3361</v>
      </c>
      <c r="I9167" s="15" t="s">
        <v>1586</v>
      </c>
      <c r="J9167" s="15" t="s">
        <v>32147</v>
      </c>
      <c r="K9167" s="15">
        <v>197.0</v>
      </c>
      <c r="L9167" s="15">
        <v>188.0</v>
      </c>
      <c r="M9167" s="40">
        <v>41766.0</v>
      </c>
      <c r="N9167" s="40">
        <v>42187.0</v>
      </c>
      <c r="O9167" s="15" t="s">
        <v>1554</v>
      </c>
      <c r="Q9167" s="7"/>
    </row>
    <row r="9168">
      <c r="A9168" s="39" t="s">
        <v>32149</v>
      </c>
      <c r="B9168" s="15">
        <v>482822.0</v>
      </c>
      <c r="D9168" s="15">
        <v>0.0</v>
      </c>
      <c r="E9168" s="15" t="s">
        <v>1557</v>
      </c>
      <c r="F9168" s="15" t="s">
        <v>1833</v>
      </c>
      <c r="G9168" s="7">
        <v>42.925</v>
      </c>
      <c r="H9168" s="15" t="s">
        <v>5179</v>
      </c>
      <c r="I9168" s="15" t="s">
        <v>1586</v>
      </c>
      <c r="J9168" s="15" t="s">
        <v>32150</v>
      </c>
      <c r="K9168" s="15">
        <v>58.0</v>
      </c>
      <c r="L9168" s="15">
        <v>56.0</v>
      </c>
      <c r="M9168" s="40">
        <v>40009.0</v>
      </c>
      <c r="N9168" s="40">
        <v>42753.0</v>
      </c>
      <c r="O9168" s="15" t="s">
        <v>1554</v>
      </c>
      <c r="Q9168" s="7"/>
    </row>
    <row r="9169">
      <c r="A9169" s="39" t="s">
        <v>32151</v>
      </c>
      <c r="B9169" s="15">
        <v>979537.0</v>
      </c>
      <c r="D9169" s="15">
        <v>0.0</v>
      </c>
      <c r="E9169" s="15" t="s">
        <v>1557</v>
      </c>
      <c r="F9169" s="15" t="s">
        <v>1611</v>
      </c>
      <c r="G9169" s="7">
        <v>39.349</v>
      </c>
      <c r="H9169" s="15" t="s">
        <v>3255</v>
      </c>
      <c r="I9169" s="15" t="s">
        <v>1586</v>
      </c>
      <c r="J9169" s="15" t="s">
        <v>32152</v>
      </c>
      <c r="K9169" s="15">
        <v>48.0</v>
      </c>
      <c r="L9169" s="15">
        <v>48.0</v>
      </c>
      <c r="M9169" s="40">
        <v>40596.0</v>
      </c>
      <c r="N9169" s="40">
        <v>40731.0</v>
      </c>
      <c r="O9169" s="15" t="s">
        <v>1554</v>
      </c>
      <c r="Q9169" s="7"/>
    </row>
    <row r="9170">
      <c r="A9170" s="39" t="s">
        <v>32153</v>
      </c>
      <c r="B9170" s="15">
        <v>318593.0</v>
      </c>
      <c r="D9170" s="15">
        <v>0.0</v>
      </c>
      <c r="E9170" s="15" t="s">
        <v>1557</v>
      </c>
      <c r="F9170" s="15" t="s">
        <v>3844</v>
      </c>
      <c r="G9170" s="7">
        <v>14.935</v>
      </c>
      <c r="H9170" s="15" t="s">
        <v>5382</v>
      </c>
      <c r="I9170" s="15" t="s">
        <v>1586</v>
      </c>
      <c r="J9170" s="15" t="s">
        <v>32155</v>
      </c>
      <c r="K9170" s="15">
        <v>31.0</v>
      </c>
      <c r="L9170" s="15">
        <v>31.0</v>
      </c>
      <c r="M9170" s="40">
        <v>38601.0</v>
      </c>
      <c r="N9170" s="40">
        <v>38601.0</v>
      </c>
      <c r="O9170" s="15" t="s">
        <v>1554</v>
      </c>
      <c r="Q9170" s="7"/>
    </row>
    <row r="9171">
      <c r="A9171" s="39" t="s">
        <v>32156</v>
      </c>
      <c r="B9171" s="15">
        <v>10753.0</v>
      </c>
      <c r="D9171" s="15">
        <v>0.0</v>
      </c>
      <c r="E9171" s="15" t="s">
        <v>1557</v>
      </c>
      <c r="F9171" s="15" t="s">
        <v>1611</v>
      </c>
      <c r="G9171" s="7">
        <v>18.753</v>
      </c>
      <c r="H9171" s="15" t="s">
        <v>2885</v>
      </c>
      <c r="I9171" s="15" t="s">
        <v>1586</v>
      </c>
      <c r="J9171" s="15" t="s">
        <v>32157</v>
      </c>
      <c r="K9171" s="15">
        <v>20.0</v>
      </c>
      <c r="L9171" s="15">
        <v>27.0</v>
      </c>
      <c r="M9171" s="41">
        <v>39782.0</v>
      </c>
      <c r="N9171" s="40">
        <v>39939.0</v>
      </c>
      <c r="O9171" s="15" t="s">
        <v>1554</v>
      </c>
      <c r="Q9171" s="7"/>
    </row>
    <row r="9172">
      <c r="A9172" s="39" t="s">
        <v>32158</v>
      </c>
      <c r="B9172" s="15">
        <v>1873892.0</v>
      </c>
      <c r="D9172" s="15">
        <v>0.0</v>
      </c>
      <c r="E9172" s="15" t="s">
        <v>1557</v>
      </c>
      <c r="F9172" s="15" t="s">
        <v>1833</v>
      </c>
      <c r="G9172" s="7">
        <v>50.897</v>
      </c>
      <c r="H9172" s="15" t="s">
        <v>4117</v>
      </c>
      <c r="I9172" s="15" t="s">
        <v>1586</v>
      </c>
      <c r="J9172" s="15" t="s">
        <v>32159</v>
      </c>
      <c r="K9172" s="15">
        <v>86.0</v>
      </c>
      <c r="L9172" s="15">
        <v>83.0</v>
      </c>
      <c r="M9172" s="40">
        <v>42576.0</v>
      </c>
      <c r="N9172" s="40">
        <v>42576.0</v>
      </c>
      <c r="O9172" s="15" t="s">
        <v>1554</v>
      </c>
      <c r="Q9172" s="7"/>
    </row>
    <row r="9173">
      <c r="A9173" s="39" t="s">
        <v>32160</v>
      </c>
      <c r="B9173" s="15">
        <v>1815975.0</v>
      </c>
      <c r="D9173" s="15">
        <v>0.0</v>
      </c>
      <c r="E9173" s="15" t="s">
        <v>1557</v>
      </c>
      <c r="F9173" s="15" t="s">
        <v>1611</v>
      </c>
      <c r="G9173" s="7">
        <v>43.733</v>
      </c>
      <c r="H9173" s="15">
        <v>45.0</v>
      </c>
      <c r="I9173" s="15" t="s">
        <v>1586</v>
      </c>
      <c r="J9173" s="15" t="s">
        <v>32162</v>
      </c>
      <c r="K9173" s="15">
        <v>56.0</v>
      </c>
      <c r="L9173" s="15">
        <v>56.0</v>
      </c>
      <c r="M9173" s="40">
        <v>42625.0</v>
      </c>
      <c r="N9173" s="40">
        <v>42625.0</v>
      </c>
      <c r="O9173" s="15" t="s">
        <v>1554</v>
      </c>
      <c r="Q9173" s="7"/>
    </row>
    <row r="9174">
      <c r="A9174" s="39" t="s">
        <v>4679</v>
      </c>
      <c r="B9174" s="15">
        <v>10754.0</v>
      </c>
      <c r="D9174" s="15">
        <v>0.0</v>
      </c>
      <c r="E9174" s="15" t="s">
        <v>1557</v>
      </c>
      <c r="F9174" s="15" t="s">
        <v>1611</v>
      </c>
      <c r="G9174" s="7">
        <v>41.66</v>
      </c>
      <c r="H9174" s="15">
        <v>47.0</v>
      </c>
      <c r="I9174" s="15" t="s">
        <v>1586</v>
      </c>
      <c r="J9174" s="15" t="s">
        <v>32163</v>
      </c>
      <c r="K9174" s="15">
        <v>71.0</v>
      </c>
      <c r="L9174" s="15">
        <v>71.0</v>
      </c>
      <c r="M9174" s="40">
        <v>39515.0</v>
      </c>
      <c r="N9174" s="40">
        <v>39785.0</v>
      </c>
      <c r="O9174" s="15" t="s">
        <v>1554</v>
      </c>
      <c r="Q9174" s="7"/>
    </row>
    <row r="9175">
      <c r="A9175" s="39" t="s">
        <v>32164</v>
      </c>
      <c r="B9175" s="15">
        <v>254253.0</v>
      </c>
      <c r="D9175" s="15">
        <v>0.0</v>
      </c>
      <c r="E9175" s="15" t="s">
        <v>1557</v>
      </c>
      <c r="F9175" s="15" t="s">
        <v>1833</v>
      </c>
      <c r="G9175" s="7">
        <v>31.106</v>
      </c>
      <c r="H9175" s="15" t="s">
        <v>2288</v>
      </c>
      <c r="I9175" s="15" t="s">
        <v>1586</v>
      </c>
      <c r="J9175" s="15" t="s">
        <v>32166</v>
      </c>
      <c r="K9175" s="15">
        <v>51.0</v>
      </c>
      <c r="L9175" s="15">
        <v>50.0</v>
      </c>
      <c r="M9175" s="40">
        <v>41454.0</v>
      </c>
      <c r="N9175" s="40">
        <v>41454.0</v>
      </c>
      <c r="O9175" s="15" t="s">
        <v>1554</v>
      </c>
      <c r="Q9175" s="7"/>
    </row>
    <row r="9176">
      <c r="A9176" s="39" t="s">
        <v>32167</v>
      </c>
      <c r="B9176" s="15">
        <v>374526.0</v>
      </c>
      <c r="D9176" s="15">
        <v>0.0</v>
      </c>
      <c r="E9176" s="15" t="s">
        <v>1557</v>
      </c>
      <c r="F9176" s="15" t="s">
        <v>1833</v>
      </c>
      <c r="G9176" s="7">
        <v>35.594</v>
      </c>
      <c r="H9176" s="15" t="s">
        <v>3827</v>
      </c>
      <c r="I9176" s="15" t="s">
        <v>1586</v>
      </c>
      <c r="J9176" s="15" t="s">
        <v>32168</v>
      </c>
      <c r="K9176" s="15" t="s">
        <v>1722</v>
      </c>
      <c r="L9176" s="15">
        <v>53.0</v>
      </c>
      <c r="M9176" s="40">
        <v>39210.0</v>
      </c>
      <c r="N9176" s="40">
        <v>39210.0</v>
      </c>
      <c r="O9176" s="15" t="s">
        <v>1554</v>
      </c>
      <c r="Q9176" s="7"/>
    </row>
    <row r="9177">
      <c r="A9177" s="39" t="s">
        <v>32169</v>
      </c>
      <c r="B9177" s="15">
        <v>979534.0</v>
      </c>
      <c r="D9177" s="15">
        <v>0.0</v>
      </c>
      <c r="E9177" s="15" t="s">
        <v>1557</v>
      </c>
      <c r="F9177" s="15" t="s">
        <v>1611</v>
      </c>
      <c r="G9177" s="7">
        <v>48.626</v>
      </c>
      <c r="H9177" s="15" t="s">
        <v>2163</v>
      </c>
      <c r="I9177" s="15" t="s">
        <v>1586</v>
      </c>
      <c r="J9177" s="15" t="s">
        <v>32170</v>
      </c>
      <c r="K9177" s="15">
        <v>61.0</v>
      </c>
      <c r="L9177" s="15">
        <v>62.0</v>
      </c>
      <c r="M9177" s="40">
        <v>40596.0</v>
      </c>
      <c r="N9177" s="40">
        <v>40731.0</v>
      </c>
      <c r="O9177" s="15" t="s">
        <v>1554</v>
      </c>
      <c r="Q9177" s="7"/>
    </row>
    <row r="9178">
      <c r="A9178" s="39" t="s">
        <v>32171</v>
      </c>
      <c r="B9178" s="15">
        <v>1195074.0</v>
      </c>
      <c r="D9178" s="15">
        <v>0.0</v>
      </c>
      <c r="E9178" s="15" t="s">
        <v>1557</v>
      </c>
      <c r="F9178" s="15" t="s">
        <v>1611</v>
      </c>
      <c r="G9178" s="7">
        <v>37.26</v>
      </c>
      <c r="H9178" s="15" t="s">
        <v>2279</v>
      </c>
      <c r="I9178" s="15" t="s">
        <v>1586</v>
      </c>
      <c r="J9178" s="15" t="s">
        <v>32173</v>
      </c>
      <c r="K9178" s="15">
        <v>50.0</v>
      </c>
      <c r="L9178" s="15">
        <v>48.0</v>
      </c>
      <c r="M9178" s="41">
        <v>41269.0</v>
      </c>
      <c r="N9178" s="41">
        <v>41269.0</v>
      </c>
      <c r="O9178" s="15" t="s">
        <v>2353</v>
      </c>
      <c r="Q9178" s="7"/>
    </row>
    <row r="9179">
      <c r="A9179" s="39" t="s">
        <v>32174</v>
      </c>
      <c r="B9179" s="15">
        <v>1075774.0</v>
      </c>
      <c r="D9179" s="15">
        <v>0.0</v>
      </c>
      <c r="E9179" s="15" t="s">
        <v>1557</v>
      </c>
      <c r="F9179" s="15" t="s">
        <v>1611</v>
      </c>
      <c r="G9179" s="7">
        <v>38.202</v>
      </c>
      <c r="H9179" s="15" t="s">
        <v>3836</v>
      </c>
      <c r="I9179" s="15" t="s">
        <v>1586</v>
      </c>
      <c r="J9179" s="15" t="s">
        <v>32175</v>
      </c>
      <c r="K9179" s="15" t="s">
        <v>1722</v>
      </c>
      <c r="L9179" s="15">
        <v>55.0</v>
      </c>
      <c r="M9179" s="40">
        <v>41521.0</v>
      </c>
      <c r="N9179" s="40">
        <v>41521.0</v>
      </c>
      <c r="O9179" s="15" t="s">
        <v>1554</v>
      </c>
      <c r="Q9179" s="7"/>
    </row>
    <row r="9180">
      <c r="A9180" s="39" t="s">
        <v>32176</v>
      </c>
      <c r="B9180" s="15">
        <v>10682.0</v>
      </c>
      <c r="D9180" s="15">
        <v>0.0</v>
      </c>
      <c r="E9180" s="15" t="s">
        <v>1557</v>
      </c>
      <c r="F9180" s="15" t="s">
        <v>1767</v>
      </c>
      <c r="G9180" s="7">
        <v>101.66</v>
      </c>
      <c r="H9180" s="15" t="s">
        <v>1844</v>
      </c>
      <c r="I9180" s="15" t="s">
        <v>1586</v>
      </c>
      <c r="J9180" s="15" t="s">
        <v>32177</v>
      </c>
      <c r="K9180" s="15">
        <v>114.0</v>
      </c>
      <c r="L9180" s="15">
        <v>113.0</v>
      </c>
      <c r="M9180" s="40">
        <v>38835.0</v>
      </c>
      <c r="N9180" s="40">
        <v>38835.0</v>
      </c>
      <c r="O9180" s="15" t="s">
        <v>1554</v>
      </c>
      <c r="Q9180" s="7"/>
    </row>
    <row r="9181">
      <c r="A9181" s="39" t="s">
        <v>32178</v>
      </c>
      <c r="B9181" s="15">
        <v>1514988.0</v>
      </c>
      <c r="D9181" s="15">
        <v>0.0</v>
      </c>
      <c r="E9181" s="15" t="s">
        <v>1557</v>
      </c>
      <c r="F9181" s="15" t="s">
        <v>1767</v>
      </c>
      <c r="G9181" s="7">
        <v>37.631</v>
      </c>
      <c r="H9181" s="15" t="s">
        <v>4171</v>
      </c>
      <c r="I9181" s="15" t="s">
        <v>1586</v>
      </c>
      <c r="J9181" s="15" t="s">
        <v>32179</v>
      </c>
      <c r="K9181" s="15">
        <v>55.0</v>
      </c>
      <c r="L9181" s="15">
        <v>53.0</v>
      </c>
      <c r="M9181" s="40">
        <v>41900.0</v>
      </c>
      <c r="N9181" s="41">
        <v>41927.0</v>
      </c>
      <c r="O9181" s="15" t="s">
        <v>1554</v>
      </c>
      <c r="Q9181" s="7"/>
    </row>
    <row r="9182">
      <c r="A9182" s="39" t="s">
        <v>32180</v>
      </c>
      <c r="B9182" s="15">
        <v>1239385.0</v>
      </c>
      <c r="D9182" s="15">
        <v>0.0</v>
      </c>
      <c r="E9182" s="15" t="s">
        <v>1557</v>
      </c>
      <c r="F9182" s="15" t="s">
        <v>1767</v>
      </c>
      <c r="G9182" s="7">
        <v>137.031</v>
      </c>
      <c r="H9182" s="42">
        <v>43220.0</v>
      </c>
      <c r="I9182" s="15" t="s">
        <v>1586</v>
      </c>
      <c r="J9182" s="15" t="s">
        <v>32181</v>
      </c>
      <c r="K9182" s="15">
        <v>206.0</v>
      </c>
      <c r="L9182" s="15">
        <v>198.0</v>
      </c>
      <c r="M9182" s="41">
        <v>41223.0</v>
      </c>
      <c r="N9182" s="40">
        <v>41250.0</v>
      </c>
      <c r="O9182" s="15" t="s">
        <v>1554</v>
      </c>
      <c r="Q9182" s="7"/>
    </row>
    <row r="9183">
      <c r="A9183" s="39" t="s">
        <v>32183</v>
      </c>
      <c r="B9183" s="15">
        <v>1675529.0</v>
      </c>
      <c r="D9183" s="15">
        <v>0.0</v>
      </c>
      <c r="E9183" s="15" t="s">
        <v>1557</v>
      </c>
      <c r="F9183" s="15" t="s">
        <v>1833</v>
      </c>
      <c r="G9183" s="7">
        <v>42.309</v>
      </c>
      <c r="H9183" s="15" t="s">
        <v>4479</v>
      </c>
      <c r="I9183" s="15" t="s">
        <v>1586</v>
      </c>
      <c r="J9183" s="15" t="s">
        <v>32184</v>
      </c>
      <c r="K9183" s="15" t="s">
        <v>1722</v>
      </c>
      <c r="L9183" s="15">
        <v>65.0</v>
      </c>
      <c r="M9183" s="40">
        <v>42190.0</v>
      </c>
      <c r="N9183" s="41">
        <v>42326.0</v>
      </c>
      <c r="O9183" s="15" t="s">
        <v>1554</v>
      </c>
      <c r="Q9183" s="7"/>
    </row>
    <row r="9184">
      <c r="A9184" s="39" t="s">
        <v>32185</v>
      </c>
      <c r="B9184" s="15">
        <v>95340.0</v>
      </c>
      <c r="C9184" s="15" t="s">
        <v>32186</v>
      </c>
      <c r="D9184" s="15">
        <v>315113.0</v>
      </c>
      <c r="E9184" s="15" t="s">
        <v>1548</v>
      </c>
      <c r="F9184" s="15" t="s">
        <v>4829</v>
      </c>
      <c r="G9184" s="7">
        <v>7.518</v>
      </c>
      <c r="H9184" s="15">
        <v>50.0</v>
      </c>
      <c r="I9184" s="15" t="s">
        <v>1567</v>
      </c>
      <c r="J9184" s="15" t="s">
        <v>32187</v>
      </c>
      <c r="K9184" s="15">
        <v>3.0</v>
      </c>
      <c r="L9184" s="15">
        <v>3.0</v>
      </c>
      <c r="M9184" s="40">
        <v>36685.0</v>
      </c>
      <c r="N9184" s="40">
        <v>42448.0</v>
      </c>
      <c r="O9184" s="15" t="s">
        <v>1554</v>
      </c>
      <c r="Q9184" s="7"/>
    </row>
    <row r="9185">
      <c r="A9185" s="39" t="s">
        <v>32040</v>
      </c>
      <c r="B9185" s="15">
        <v>39803.0</v>
      </c>
      <c r="D9185" s="15">
        <v>0.0</v>
      </c>
      <c r="E9185" s="15" t="s">
        <v>1548</v>
      </c>
      <c r="F9185" s="15" t="s">
        <v>4850</v>
      </c>
      <c r="G9185" s="7">
        <v>4.221</v>
      </c>
      <c r="H9185" s="15">
        <v>47.0</v>
      </c>
      <c r="I9185" s="15" t="s">
        <v>1586</v>
      </c>
      <c r="J9185" s="15" t="s">
        <v>32188</v>
      </c>
      <c r="K9185" s="15" t="s">
        <v>1722</v>
      </c>
      <c r="L9185" s="15">
        <v>4.0</v>
      </c>
      <c r="M9185" s="40">
        <v>40065.0</v>
      </c>
      <c r="N9185" s="40">
        <v>40065.0</v>
      </c>
      <c r="O9185" s="15" t="s">
        <v>1554</v>
      </c>
      <c r="Q9185" s="7"/>
    </row>
    <row r="9186">
      <c r="A9186" s="39" t="s">
        <v>32189</v>
      </c>
      <c r="B9186" s="15">
        <v>376821.0</v>
      </c>
      <c r="D9186" s="15">
        <v>0.0</v>
      </c>
      <c r="E9186" s="15" t="s">
        <v>1557</v>
      </c>
      <c r="F9186" s="15" t="s">
        <v>1767</v>
      </c>
      <c r="G9186" s="7">
        <v>34.6</v>
      </c>
      <c r="H9186" s="15" t="s">
        <v>2118</v>
      </c>
      <c r="I9186" s="15" t="s">
        <v>1586</v>
      </c>
      <c r="J9186" s="15" t="s">
        <v>32191</v>
      </c>
      <c r="K9186" s="15" t="s">
        <v>1722</v>
      </c>
      <c r="L9186" s="15">
        <v>51.0</v>
      </c>
      <c r="M9186" s="40">
        <v>38882.0</v>
      </c>
      <c r="N9186" s="40">
        <v>38882.0</v>
      </c>
      <c r="O9186" s="15" t="s">
        <v>1554</v>
      </c>
      <c r="Q9186" s="7"/>
    </row>
    <row r="9187">
      <c r="A9187" s="39" t="s">
        <v>32192</v>
      </c>
      <c r="B9187" s="15">
        <v>35333.0</v>
      </c>
      <c r="D9187" s="15">
        <v>0.0</v>
      </c>
      <c r="E9187" s="15" t="s">
        <v>1638</v>
      </c>
      <c r="F9187" s="15" t="s">
        <v>1863</v>
      </c>
      <c r="G9187" s="7">
        <v>18.479</v>
      </c>
      <c r="H9187" s="15" t="s">
        <v>32193</v>
      </c>
      <c r="I9187" s="15" t="s">
        <v>1567</v>
      </c>
      <c r="J9187" s="15" t="s">
        <v>32194</v>
      </c>
      <c r="K9187" s="15" t="s">
        <v>1722</v>
      </c>
      <c r="L9187" s="15">
        <v>11.0</v>
      </c>
      <c r="M9187" s="41">
        <v>40142.0</v>
      </c>
      <c r="N9187" s="41">
        <v>40142.0</v>
      </c>
      <c r="O9187" s="15" t="s">
        <v>1554</v>
      </c>
      <c r="Q9187" s="7"/>
    </row>
    <row r="9188">
      <c r="A9188" s="39" t="s">
        <v>32195</v>
      </c>
      <c r="B9188" s="15">
        <v>1698364.0</v>
      </c>
      <c r="D9188" s="15">
        <v>0.0</v>
      </c>
      <c r="E9188" s="15" t="s">
        <v>1557</v>
      </c>
      <c r="F9188" s="15" t="s">
        <v>1833</v>
      </c>
      <c r="G9188" s="7">
        <v>41.901</v>
      </c>
      <c r="H9188" s="15" t="s">
        <v>6615</v>
      </c>
      <c r="I9188" s="15" t="s">
        <v>1586</v>
      </c>
      <c r="J9188" s="15" t="s">
        <v>32196</v>
      </c>
      <c r="K9188" s="15">
        <v>63.0</v>
      </c>
      <c r="L9188" s="15">
        <v>63.0</v>
      </c>
      <c r="M9188" s="40">
        <v>42270.0</v>
      </c>
      <c r="N9188" s="40">
        <v>42270.0</v>
      </c>
      <c r="O9188" s="15" t="s">
        <v>1554</v>
      </c>
      <c r="Q9188" s="7"/>
    </row>
    <row r="9189">
      <c r="A9189" s="39" t="s">
        <v>32197</v>
      </c>
      <c r="B9189" s="15">
        <v>1837841.0</v>
      </c>
      <c r="D9189" s="15">
        <v>0.0</v>
      </c>
      <c r="E9189" s="15" t="s">
        <v>1557</v>
      </c>
      <c r="F9189" s="15" t="s">
        <v>1833</v>
      </c>
      <c r="G9189" s="7">
        <v>76.492</v>
      </c>
      <c r="H9189" s="15">
        <v>59.0</v>
      </c>
      <c r="I9189" s="15" t="s">
        <v>1586</v>
      </c>
      <c r="J9189" s="15" t="s">
        <v>32198</v>
      </c>
      <c r="K9189" s="15">
        <v>144.0</v>
      </c>
      <c r="L9189" s="15">
        <v>133.0</v>
      </c>
      <c r="M9189" s="40">
        <v>42523.0</v>
      </c>
      <c r="N9189" s="40">
        <v>42523.0</v>
      </c>
      <c r="O9189" s="15" t="s">
        <v>1554</v>
      </c>
      <c r="Q9189" s="7"/>
    </row>
    <row r="9190">
      <c r="A9190" s="39" t="s">
        <v>32199</v>
      </c>
      <c r="B9190" s="15">
        <v>1855816.0</v>
      </c>
      <c r="D9190" s="15">
        <v>0.0</v>
      </c>
      <c r="E9190" s="15" t="s">
        <v>1557</v>
      </c>
      <c r="F9190" s="15" t="s">
        <v>1611</v>
      </c>
      <c r="G9190" s="7">
        <v>57.123</v>
      </c>
      <c r="H9190" s="15" t="s">
        <v>2901</v>
      </c>
      <c r="I9190" s="15" t="s">
        <v>1586</v>
      </c>
      <c r="J9190" s="15" t="s">
        <v>32200</v>
      </c>
      <c r="K9190" s="15">
        <v>77.0</v>
      </c>
      <c r="L9190" s="15">
        <v>75.0</v>
      </c>
      <c r="M9190" s="40">
        <v>42825.0</v>
      </c>
      <c r="N9190" s="40">
        <v>42825.0</v>
      </c>
      <c r="O9190" s="15" t="s">
        <v>1554</v>
      </c>
      <c r="Q9190" s="7"/>
    </row>
    <row r="9191">
      <c r="A9191" s="39" t="s">
        <v>32201</v>
      </c>
      <c r="B9191" s="15">
        <v>1165154.0</v>
      </c>
      <c r="D9191" s="15">
        <v>0.0</v>
      </c>
      <c r="E9191" s="15" t="s">
        <v>1557</v>
      </c>
      <c r="F9191" s="15" t="s">
        <v>1833</v>
      </c>
      <c r="G9191" s="7">
        <v>30.876</v>
      </c>
      <c r="H9191" s="15" t="s">
        <v>7887</v>
      </c>
      <c r="I9191" s="15" t="s">
        <v>1586</v>
      </c>
      <c r="J9191" s="15" t="s">
        <v>32203</v>
      </c>
      <c r="K9191" s="15">
        <v>54.0</v>
      </c>
      <c r="L9191" s="15">
        <v>54.0</v>
      </c>
      <c r="M9191" s="40">
        <v>40995.0</v>
      </c>
      <c r="N9191" s="40">
        <v>41031.0</v>
      </c>
      <c r="O9191" s="15" t="s">
        <v>1554</v>
      </c>
      <c r="Q9191" s="7"/>
    </row>
    <row r="9192">
      <c r="A9192" s="39" t="s">
        <v>10645</v>
      </c>
      <c r="B9192" s="15">
        <v>10760.0</v>
      </c>
      <c r="D9192" s="15">
        <v>0.0</v>
      </c>
      <c r="E9192" s="15" t="s">
        <v>1557</v>
      </c>
      <c r="F9192" s="15" t="s">
        <v>1611</v>
      </c>
      <c r="G9192" s="7">
        <v>39.938</v>
      </c>
      <c r="H9192" s="15" t="s">
        <v>2279</v>
      </c>
      <c r="I9192" s="15" t="s">
        <v>1586</v>
      </c>
      <c r="J9192" s="15" t="s">
        <v>32204</v>
      </c>
      <c r="K9192" s="15" t="s">
        <v>1722</v>
      </c>
      <c r="L9192" s="15">
        <v>57.0</v>
      </c>
      <c r="M9192" s="41">
        <v>37939.0</v>
      </c>
      <c r="N9192" s="41">
        <v>37939.0</v>
      </c>
      <c r="O9192" s="15" t="s">
        <v>1554</v>
      </c>
      <c r="Q9192" s="7"/>
    </row>
    <row r="9193">
      <c r="A9193" s="39" t="s">
        <v>10666</v>
      </c>
      <c r="B9193" s="15">
        <v>10512.0</v>
      </c>
      <c r="C9193" s="15" t="s">
        <v>32205</v>
      </c>
      <c r="D9193" s="15">
        <v>15101.0</v>
      </c>
      <c r="E9193" s="15" t="s">
        <v>1557</v>
      </c>
      <c r="F9193" s="15" t="s">
        <v>2628</v>
      </c>
      <c r="G9193" s="7">
        <v>30.536</v>
      </c>
      <c r="H9193" s="15">
        <v>47.0</v>
      </c>
      <c r="I9193" s="15" t="s">
        <v>1686</v>
      </c>
      <c r="J9193" s="15" t="s">
        <v>32206</v>
      </c>
      <c r="K9193" s="15" t="s">
        <v>1722</v>
      </c>
      <c r="L9193" s="15">
        <v>31.0</v>
      </c>
      <c r="M9193" s="40">
        <v>38322.0</v>
      </c>
      <c r="N9193" s="40">
        <v>39790.0</v>
      </c>
      <c r="O9193" s="15" t="s">
        <v>1554</v>
      </c>
      <c r="Q9193" s="7"/>
    </row>
    <row r="9194">
      <c r="A9194" s="39" t="s">
        <v>32207</v>
      </c>
      <c r="B9194" s="15">
        <v>10533.0</v>
      </c>
      <c r="C9194" s="15" t="s">
        <v>32208</v>
      </c>
      <c r="D9194" s="15">
        <v>15113.0</v>
      </c>
      <c r="E9194" s="15" t="s">
        <v>1557</v>
      </c>
      <c r="F9194" s="15" t="s">
        <v>2628</v>
      </c>
      <c r="G9194" s="7">
        <v>36.001</v>
      </c>
      <c r="H9194" s="15" t="s">
        <v>5488</v>
      </c>
      <c r="I9194" s="15" t="s">
        <v>1567</v>
      </c>
      <c r="J9194" s="15" t="s">
        <v>32209</v>
      </c>
      <c r="K9194" s="15" t="s">
        <v>1722</v>
      </c>
      <c r="L9194" s="15">
        <v>36.0</v>
      </c>
      <c r="M9194" s="40">
        <v>38322.0</v>
      </c>
      <c r="N9194" s="40">
        <v>39790.0</v>
      </c>
      <c r="O9194" s="15" t="s">
        <v>1554</v>
      </c>
      <c r="Q9194" s="7"/>
    </row>
    <row r="9195">
      <c r="A9195" s="39" t="s">
        <v>32211</v>
      </c>
      <c r="B9195" s="15">
        <v>198503.0</v>
      </c>
      <c r="C9195" s="15" t="s">
        <v>32212</v>
      </c>
      <c r="D9195" s="15">
        <v>14607.0</v>
      </c>
      <c r="E9195" s="15" t="s">
        <v>1557</v>
      </c>
      <c r="F9195" s="15" t="s">
        <v>2628</v>
      </c>
      <c r="G9195" s="7">
        <v>35.524</v>
      </c>
      <c r="H9195" s="15" t="s">
        <v>2263</v>
      </c>
      <c r="I9195" s="15" t="s">
        <v>1567</v>
      </c>
      <c r="J9195" s="15" t="s">
        <v>32213</v>
      </c>
      <c r="K9195" s="15" t="s">
        <v>1722</v>
      </c>
      <c r="L9195" s="15">
        <v>38.0</v>
      </c>
      <c r="M9195" s="40">
        <v>38322.0</v>
      </c>
      <c r="N9195" s="40">
        <v>39790.0</v>
      </c>
      <c r="O9195" s="15" t="s">
        <v>1554</v>
      </c>
      <c r="Q9195" s="7"/>
    </row>
    <row r="9196">
      <c r="A9196" s="39" t="s">
        <v>32214</v>
      </c>
      <c r="B9196" s="15">
        <v>651580.0</v>
      </c>
      <c r="C9196" s="15" t="s">
        <v>32215</v>
      </c>
      <c r="D9196" s="15">
        <v>39353.0</v>
      </c>
      <c r="E9196" s="15" t="s">
        <v>1557</v>
      </c>
      <c r="F9196" s="15" t="s">
        <v>2628</v>
      </c>
      <c r="G9196" s="7">
        <v>34.92</v>
      </c>
      <c r="H9196" s="15" t="s">
        <v>3776</v>
      </c>
      <c r="I9196" s="15" t="s">
        <v>1567</v>
      </c>
      <c r="J9196" s="15" t="s">
        <v>32216</v>
      </c>
      <c r="K9196" s="15">
        <v>36.0</v>
      </c>
      <c r="L9196" s="15">
        <v>36.0</v>
      </c>
      <c r="M9196" s="40">
        <v>39613.0</v>
      </c>
      <c r="N9196" s="40">
        <v>41029.0</v>
      </c>
      <c r="O9196" s="15" t="s">
        <v>1554</v>
      </c>
      <c r="Q9196" s="7"/>
    </row>
    <row r="9197">
      <c r="A9197" s="39" t="s">
        <v>32217</v>
      </c>
      <c r="B9197" s="15">
        <v>1123958.0</v>
      </c>
      <c r="C9197" s="15" t="s">
        <v>32218</v>
      </c>
      <c r="D9197" s="15">
        <v>162489.0</v>
      </c>
      <c r="E9197" s="15" t="s">
        <v>1557</v>
      </c>
      <c r="F9197" s="15" t="s">
        <v>2628</v>
      </c>
      <c r="G9197" s="7">
        <v>36.711</v>
      </c>
      <c r="H9197" s="15" t="s">
        <v>2057</v>
      </c>
      <c r="I9197" s="15" t="s">
        <v>1686</v>
      </c>
      <c r="J9197" s="15" t="s">
        <v>32220</v>
      </c>
      <c r="K9197" s="15">
        <v>31.0</v>
      </c>
      <c r="L9197" s="15">
        <v>31.0</v>
      </c>
      <c r="M9197" s="41">
        <v>40901.0</v>
      </c>
      <c r="N9197" s="40">
        <v>41114.0</v>
      </c>
      <c r="O9197" s="15" t="s">
        <v>1554</v>
      </c>
      <c r="Q9197" s="7"/>
    </row>
    <row r="9198">
      <c r="A9198" s="39" t="s">
        <v>32221</v>
      </c>
      <c r="B9198" s="15">
        <v>291175.0</v>
      </c>
      <c r="C9198" s="15" t="s">
        <v>32222</v>
      </c>
      <c r="D9198" s="15">
        <v>15048.0</v>
      </c>
      <c r="E9198" s="15" t="s">
        <v>1548</v>
      </c>
      <c r="F9198" s="15" t="s">
        <v>4829</v>
      </c>
      <c r="G9198" s="7">
        <v>7.429</v>
      </c>
      <c r="H9198" s="15" t="s">
        <v>3973</v>
      </c>
      <c r="I9198" s="15" t="s">
        <v>1567</v>
      </c>
      <c r="J9198" s="15" t="s">
        <v>32223</v>
      </c>
      <c r="K9198" s="15">
        <v>3.0</v>
      </c>
      <c r="L9198" s="15">
        <v>3.0</v>
      </c>
      <c r="M9198" s="40">
        <v>38235.0</v>
      </c>
      <c r="N9198" s="40">
        <v>39790.0</v>
      </c>
      <c r="O9198" s="15" t="s">
        <v>1554</v>
      </c>
      <c r="Q9198" s="7"/>
    </row>
    <row r="9199">
      <c r="A9199" s="39" t="s">
        <v>32224</v>
      </c>
      <c r="B9199" s="15">
        <v>1332244.0</v>
      </c>
      <c r="C9199" s="15" t="s">
        <v>32225</v>
      </c>
      <c r="D9199" s="15">
        <v>274585.0</v>
      </c>
      <c r="E9199" s="15" t="s">
        <v>1548</v>
      </c>
      <c r="F9199" s="15" t="s">
        <v>5756</v>
      </c>
      <c r="G9199" s="7">
        <v>13.191</v>
      </c>
      <c r="H9199" s="15" t="s">
        <v>32226</v>
      </c>
      <c r="I9199" s="15" t="s">
        <v>1567</v>
      </c>
      <c r="J9199" s="15" t="s">
        <v>32227</v>
      </c>
      <c r="K9199" s="15">
        <v>12.0</v>
      </c>
      <c r="L9199" s="15">
        <v>12.0</v>
      </c>
      <c r="M9199" s="40">
        <v>41409.0</v>
      </c>
      <c r="N9199" s="40">
        <v>42041.0</v>
      </c>
      <c r="O9199" s="15" t="s">
        <v>1554</v>
      </c>
      <c r="Q9199" s="7"/>
    </row>
    <row r="9200">
      <c r="A9200" s="39" t="s">
        <v>32228</v>
      </c>
      <c r="B9200" s="15">
        <v>44561.0</v>
      </c>
      <c r="C9200" s="15" t="s">
        <v>32230</v>
      </c>
      <c r="D9200" s="15">
        <v>15204.0</v>
      </c>
      <c r="E9200" s="15" t="s">
        <v>1916</v>
      </c>
      <c r="F9200" s="15" t="s">
        <v>2532</v>
      </c>
      <c r="G9200" s="7">
        <v>8.135</v>
      </c>
      <c r="H9200" s="15" t="s">
        <v>4204</v>
      </c>
      <c r="I9200" s="15" t="s">
        <v>1686</v>
      </c>
      <c r="J9200" s="15" t="s">
        <v>32231</v>
      </c>
      <c r="K9200" s="15">
        <v>4.0</v>
      </c>
      <c r="L9200" s="15">
        <v>2.0</v>
      </c>
      <c r="M9200" s="41">
        <v>35045.0</v>
      </c>
      <c r="N9200" s="40">
        <v>40579.0</v>
      </c>
      <c r="O9200" s="15" t="s">
        <v>1554</v>
      </c>
      <c r="Q9200" s="7"/>
    </row>
    <row r="9201">
      <c r="A9201" s="39" t="s">
        <v>32232</v>
      </c>
      <c r="B9201" s="15">
        <v>11070.0</v>
      </c>
      <c r="C9201" s="15" t="s">
        <v>32233</v>
      </c>
      <c r="D9201" s="15">
        <v>15599.0</v>
      </c>
      <c r="E9201" s="15" t="s">
        <v>1548</v>
      </c>
      <c r="F9201" s="15" t="s">
        <v>1801</v>
      </c>
      <c r="G9201" s="7">
        <v>10.649</v>
      </c>
      <c r="H9201" s="15" t="s">
        <v>2836</v>
      </c>
      <c r="I9201" s="15" t="s">
        <v>1803</v>
      </c>
      <c r="J9201" s="15" t="s">
        <v>32234</v>
      </c>
      <c r="K9201" s="15">
        <v>1.0</v>
      </c>
      <c r="L9201" s="15">
        <v>1.0</v>
      </c>
      <c r="M9201" s="40">
        <v>36894.0</v>
      </c>
      <c r="N9201" s="40">
        <v>42411.0</v>
      </c>
      <c r="O9201" s="15" t="s">
        <v>1554</v>
      </c>
      <c r="Q9201" s="7"/>
    </row>
    <row r="9202">
      <c r="A9202" s="39" t="s">
        <v>32235</v>
      </c>
      <c r="B9202" s="15">
        <v>31649.0</v>
      </c>
      <c r="C9202" s="15" t="s">
        <v>32237</v>
      </c>
      <c r="D9202" s="15">
        <v>20937.0</v>
      </c>
      <c r="E9202" s="15" t="s">
        <v>1548</v>
      </c>
      <c r="F9202" s="15" t="s">
        <v>1801</v>
      </c>
      <c r="G9202" s="7">
        <v>9.711</v>
      </c>
      <c r="H9202" s="15" t="s">
        <v>2275</v>
      </c>
      <c r="I9202" s="15" t="s">
        <v>1567</v>
      </c>
      <c r="J9202" s="15" t="s">
        <v>32238</v>
      </c>
      <c r="K9202" s="15">
        <v>1.0</v>
      </c>
      <c r="L9202" s="15">
        <v>2.0</v>
      </c>
      <c r="M9202" s="40">
        <v>36438.0</v>
      </c>
      <c r="N9202" s="40">
        <v>42605.0</v>
      </c>
      <c r="O9202" s="15" t="s">
        <v>1554</v>
      </c>
      <c r="Q9202" s="7"/>
    </row>
    <row r="9203">
      <c r="A9203" s="39" t="s">
        <v>31868</v>
      </c>
      <c r="B9203" s="15">
        <v>1278485.0</v>
      </c>
      <c r="D9203" s="15">
        <v>0.0</v>
      </c>
      <c r="E9203" s="15" t="s">
        <v>1557</v>
      </c>
      <c r="F9203" s="15" t="s">
        <v>1578</v>
      </c>
      <c r="G9203" s="7">
        <v>197.629</v>
      </c>
      <c r="H9203" s="15" t="s">
        <v>2640</v>
      </c>
      <c r="I9203" s="15" t="s">
        <v>1586</v>
      </c>
      <c r="J9203" s="15" t="s">
        <v>32239</v>
      </c>
      <c r="K9203" s="15">
        <v>240.0</v>
      </c>
      <c r="L9203" s="15">
        <v>235.0</v>
      </c>
      <c r="M9203" s="41">
        <v>42656.0</v>
      </c>
      <c r="N9203" s="41">
        <v>42656.0</v>
      </c>
      <c r="O9203" s="15" t="s">
        <v>1554</v>
      </c>
      <c r="Q9203" s="7"/>
    </row>
    <row r="9204">
      <c r="A9204" s="39" t="s">
        <v>32240</v>
      </c>
      <c r="B9204" s="15">
        <v>687800.0</v>
      </c>
      <c r="D9204" s="15">
        <v>0.0</v>
      </c>
      <c r="E9204" s="15" t="s">
        <v>1557</v>
      </c>
      <c r="F9204" s="15" t="s">
        <v>1767</v>
      </c>
      <c r="G9204" s="7">
        <v>175.41</v>
      </c>
      <c r="H9204" s="15" t="s">
        <v>1591</v>
      </c>
      <c r="I9204" s="15" t="s">
        <v>1586</v>
      </c>
      <c r="J9204" s="15" t="s">
        <v>32242</v>
      </c>
      <c r="K9204" s="15">
        <v>220.0</v>
      </c>
      <c r="L9204" s="15">
        <v>214.0</v>
      </c>
      <c r="M9204" s="41">
        <v>42656.0</v>
      </c>
      <c r="N9204" s="41">
        <v>42656.0</v>
      </c>
      <c r="O9204" s="15" t="s">
        <v>1554</v>
      </c>
      <c r="Q9204" s="7"/>
    </row>
    <row r="9205">
      <c r="A9205" s="39" t="s">
        <v>31860</v>
      </c>
      <c r="B9205" s="15">
        <v>756278.0</v>
      </c>
      <c r="D9205" s="15">
        <v>0.0</v>
      </c>
      <c r="E9205" s="15" t="s">
        <v>1557</v>
      </c>
      <c r="F9205" s="15" t="s">
        <v>1767</v>
      </c>
      <c r="G9205" s="7">
        <v>169.483</v>
      </c>
      <c r="H9205" s="15" t="s">
        <v>2141</v>
      </c>
      <c r="I9205" s="15" t="s">
        <v>1586</v>
      </c>
      <c r="J9205" s="15" t="s">
        <v>32243</v>
      </c>
      <c r="K9205" s="15">
        <v>226.0</v>
      </c>
      <c r="L9205" s="15">
        <v>218.0</v>
      </c>
      <c r="M9205" s="41">
        <v>42656.0</v>
      </c>
      <c r="N9205" s="41">
        <v>42656.0</v>
      </c>
      <c r="O9205" s="15" t="s">
        <v>1554</v>
      </c>
      <c r="Q9205" s="7"/>
    </row>
    <row r="9206">
      <c r="A9206" s="39" t="s">
        <v>32244</v>
      </c>
      <c r="B9206" s="15">
        <v>565537.0</v>
      </c>
      <c r="C9206" s="15" t="s">
        <v>32245</v>
      </c>
      <c r="D9206" s="15">
        <v>34847.0</v>
      </c>
      <c r="E9206" s="15" t="s">
        <v>1557</v>
      </c>
      <c r="F9206" s="15" t="s">
        <v>1822</v>
      </c>
      <c r="G9206" s="7">
        <v>7.149</v>
      </c>
      <c r="H9206" s="15" t="s">
        <v>3584</v>
      </c>
      <c r="I9206" s="15" t="s">
        <v>1686</v>
      </c>
      <c r="J9206" s="15" t="s">
        <v>32247</v>
      </c>
      <c r="K9206" s="15">
        <v>5.0</v>
      </c>
      <c r="L9206" s="15">
        <v>5.0</v>
      </c>
      <c r="M9206" s="40">
        <v>39881.0</v>
      </c>
      <c r="N9206" s="40">
        <v>40263.0</v>
      </c>
      <c r="O9206" s="15" t="s">
        <v>1554</v>
      </c>
      <c r="Q9206" s="7"/>
    </row>
    <row r="9207">
      <c r="A9207" s="39" t="s">
        <v>12412</v>
      </c>
      <c r="B9207" s="15">
        <v>1133292.0</v>
      </c>
      <c r="D9207" s="15">
        <v>0.0</v>
      </c>
      <c r="E9207" s="15" t="s">
        <v>1557</v>
      </c>
      <c r="F9207" s="15" t="s">
        <v>1611</v>
      </c>
      <c r="G9207" s="7">
        <v>41.142</v>
      </c>
      <c r="H9207" s="15" t="s">
        <v>5368</v>
      </c>
      <c r="I9207" s="15" t="s">
        <v>1586</v>
      </c>
      <c r="J9207" s="15" t="s">
        <v>32248</v>
      </c>
      <c r="K9207" s="15">
        <v>58.0</v>
      </c>
      <c r="L9207" s="15">
        <v>58.0</v>
      </c>
      <c r="M9207" s="40">
        <v>41733.0</v>
      </c>
      <c r="N9207" s="40">
        <v>41733.0</v>
      </c>
      <c r="O9207" s="15" t="s">
        <v>1554</v>
      </c>
      <c r="Q9207" s="7"/>
    </row>
    <row r="9208">
      <c r="A9208" s="39" t="s">
        <v>32249</v>
      </c>
      <c r="B9208" s="15">
        <v>1300006.0</v>
      </c>
      <c r="D9208" s="15">
        <v>0.0</v>
      </c>
      <c r="E9208" s="15" t="s">
        <v>1557</v>
      </c>
      <c r="F9208" s="15" t="s">
        <v>1611</v>
      </c>
      <c r="G9208" s="7">
        <v>101.724</v>
      </c>
      <c r="H9208" s="15" t="s">
        <v>2178</v>
      </c>
      <c r="I9208" s="15" t="s">
        <v>1586</v>
      </c>
      <c r="J9208" s="15" t="s">
        <v>32251</v>
      </c>
      <c r="K9208" s="15">
        <v>117.0</v>
      </c>
      <c r="L9208" s="15">
        <v>117.0</v>
      </c>
      <c r="M9208" s="40">
        <v>41430.0</v>
      </c>
      <c r="N9208" s="40">
        <v>41430.0</v>
      </c>
      <c r="O9208" s="15" t="s">
        <v>1554</v>
      </c>
      <c r="Q9208" s="7"/>
    </row>
    <row r="9209">
      <c r="A9209" s="39" t="s">
        <v>32252</v>
      </c>
      <c r="B9209" s="15">
        <v>1498190.0</v>
      </c>
      <c r="D9209" s="15">
        <v>0.0</v>
      </c>
      <c r="E9209" s="15" t="s">
        <v>1557</v>
      </c>
      <c r="F9209" s="15" t="s">
        <v>1833</v>
      </c>
      <c r="G9209" s="7">
        <v>40.086</v>
      </c>
      <c r="H9209" s="15" t="s">
        <v>9774</v>
      </c>
      <c r="I9209" s="15" t="s">
        <v>1586</v>
      </c>
      <c r="J9209" s="15" t="s">
        <v>32253</v>
      </c>
      <c r="K9209" s="15" t="s">
        <v>1722</v>
      </c>
      <c r="L9209" s="15">
        <v>59.0</v>
      </c>
      <c r="M9209" s="40">
        <v>41974.0</v>
      </c>
      <c r="N9209" s="40">
        <v>41974.0</v>
      </c>
      <c r="O9209" s="15" t="s">
        <v>1554</v>
      </c>
      <c r="Q9209" s="7"/>
    </row>
    <row r="9210">
      <c r="A9210" s="39" t="s">
        <v>32254</v>
      </c>
      <c r="B9210" s="15">
        <v>1328028.0</v>
      </c>
      <c r="D9210" s="15">
        <v>0.0</v>
      </c>
      <c r="E9210" s="15" t="s">
        <v>1808</v>
      </c>
      <c r="F9210" s="15" t="s">
        <v>3154</v>
      </c>
      <c r="G9210" s="7">
        <v>6.478</v>
      </c>
      <c r="H9210" s="15" t="s">
        <v>3870</v>
      </c>
      <c r="I9210" s="15" t="s">
        <v>1586</v>
      </c>
      <c r="J9210" s="15" t="s">
        <v>32256</v>
      </c>
      <c r="K9210" s="15">
        <v>13.0</v>
      </c>
      <c r="L9210" s="15">
        <v>13.0</v>
      </c>
      <c r="M9210" s="40">
        <v>41454.0</v>
      </c>
      <c r="N9210" s="41">
        <v>42369.0</v>
      </c>
      <c r="O9210" s="15" t="s">
        <v>1554</v>
      </c>
      <c r="Q9210" s="7"/>
    </row>
    <row r="9211">
      <c r="A9211" s="39" t="s">
        <v>32257</v>
      </c>
      <c r="B9211" s="15">
        <v>1235651.0</v>
      </c>
      <c r="D9211" s="15">
        <v>0.0</v>
      </c>
      <c r="E9211" s="15" t="s">
        <v>1557</v>
      </c>
      <c r="F9211" s="15" t="s">
        <v>1833</v>
      </c>
      <c r="G9211" s="7">
        <v>29.503</v>
      </c>
      <c r="H9211" s="15">
        <v>54.0</v>
      </c>
      <c r="I9211" s="15" t="s">
        <v>1586</v>
      </c>
      <c r="J9211" s="15" t="s">
        <v>32258</v>
      </c>
      <c r="K9211" s="15">
        <v>45.0</v>
      </c>
      <c r="L9211" s="15">
        <v>45.0</v>
      </c>
      <c r="M9211" s="40">
        <v>41521.0</v>
      </c>
      <c r="N9211" s="40">
        <v>41521.0</v>
      </c>
      <c r="O9211" s="15" t="s">
        <v>1554</v>
      </c>
      <c r="Q9211" s="7"/>
    </row>
    <row r="9212">
      <c r="A9212" s="39" t="s">
        <v>32259</v>
      </c>
      <c r="B9212" s="15">
        <v>1747714.0</v>
      </c>
      <c r="D9212" s="15">
        <v>0.0</v>
      </c>
      <c r="E9212" s="15" t="s">
        <v>1557</v>
      </c>
      <c r="F9212" s="15" t="s">
        <v>1767</v>
      </c>
      <c r="G9212" s="7">
        <v>250.485</v>
      </c>
      <c r="H9212" s="15" t="s">
        <v>2820</v>
      </c>
      <c r="I9212" s="15" t="s">
        <v>1586</v>
      </c>
      <c r="J9212" s="15" t="s">
        <v>32260</v>
      </c>
      <c r="K9212" s="15">
        <v>412.0</v>
      </c>
      <c r="L9212" s="15">
        <v>383.0</v>
      </c>
      <c r="M9212" s="40">
        <v>42430.0</v>
      </c>
      <c r="N9212" s="40">
        <v>42713.0</v>
      </c>
      <c r="O9212" s="15" t="s">
        <v>1554</v>
      </c>
      <c r="Q9212" s="7"/>
    </row>
    <row r="9213">
      <c r="A9213" s="39" t="s">
        <v>32262</v>
      </c>
      <c r="B9213" s="15">
        <v>1429792.0</v>
      </c>
      <c r="D9213" s="15">
        <v>0.0</v>
      </c>
      <c r="E9213" s="15" t="s">
        <v>1557</v>
      </c>
      <c r="F9213" s="15" t="s">
        <v>1833</v>
      </c>
      <c r="G9213" s="7">
        <v>51.369</v>
      </c>
      <c r="H9213" s="15" t="s">
        <v>3286</v>
      </c>
      <c r="I9213" s="15" t="s">
        <v>1586</v>
      </c>
      <c r="J9213" s="15" t="s">
        <v>32263</v>
      </c>
      <c r="K9213" s="15">
        <v>91.0</v>
      </c>
      <c r="L9213" s="15">
        <v>91.0</v>
      </c>
      <c r="M9213" s="40">
        <v>41658.0</v>
      </c>
      <c r="N9213" s="40">
        <v>41658.0</v>
      </c>
      <c r="O9213" s="15" t="s">
        <v>1554</v>
      </c>
      <c r="Q9213" s="7"/>
    </row>
    <row r="9214">
      <c r="A9214" s="39" t="s">
        <v>32264</v>
      </c>
      <c r="B9214" s="15">
        <v>1458712.0</v>
      </c>
      <c r="D9214" s="15">
        <v>0.0</v>
      </c>
      <c r="E9214" s="15" t="s">
        <v>1557</v>
      </c>
      <c r="F9214" s="15" t="s">
        <v>1833</v>
      </c>
      <c r="G9214" s="7">
        <v>68.628</v>
      </c>
      <c r="H9214" s="15" t="s">
        <v>9965</v>
      </c>
      <c r="I9214" s="15" t="s">
        <v>1586</v>
      </c>
      <c r="J9214" s="15" t="s">
        <v>32265</v>
      </c>
      <c r="K9214" s="15">
        <v>103.0</v>
      </c>
      <c r="L9214" s="15">
        <v>103.0</v>
      </c>
      <c r="M9214" s="40">
        <v>41731.0</v>
      </c>
      <c r="N9214" s="40">
        <v>41731.0</v>
      </c>
      <c r="O9214" s="15" t="s">
        <v>1554</v>
      </c>
      <c r="Q9214" s="7"/>
    </row>
    <row r="9215">
      <c r="A9215" s="39" t="s">
        <v>15377</v>
      </c>
      <c r="B9215" s="15">
        <v>1489311.0</v>
      </c>
      <c r="C9215" s="15" t="s">
        <v>32266</v>
      </c>
      <c r="D9215" s="15">
        <v>248099.0</v>
      </c>
      <c r="E9215" s="15" t="s">
        <v>1808</v>
      </c>
      <c r="F9215" s="15" t="s">
        <v>1809</v>
      </c>
      <c r="G9215" s="7">
        <v>2.785</v>
      </c>
      <c r="H9215" s="15" t="s">
        <v>3097</v>
      </c>
      <c r="I9215" s="15" t="s">
        <v>1628</v>
      </c>
      <c r="J9215" s="15" t="s">
        <v>32267</v>
      </c>
      <c r="K9215" s="15">
        <v>6.0</v>
      </c>
      <c r="L9215" s="15">
        <v>6.0</v>
      </c>
      <c r="M9215" s="40">
        <v>41752.0</v>
      </c>
      <c r="N9215" s="40">
        <v>41778.0</v>
      </c>
      <c r="O9215" s="15" t="s">
        <v>1554</v>
      </c>
      <c r="Q9215" s="7"/>
    </row>
    <row r="9216">
      <c r="A9216" s="39" t="s">
        <v>32269</v>
      </c>
      <c r="B9216" s="15">
        <v>1486414.0</v>
      </c>
      <c r="D9216" s="15">
        <v>0.0</v>
      </c>
      <c r="E9216" s="15" t="s">
        <v>1557</v>
      </c>
      <c r="F9216" s="15" t="s">
        <v>1767</v>
      </c>
      <c r="G9216" s="7">
        <v>136.589</v>
      </c>
      <c r="H9216" s="15" t="s">
        <v>6303</v>
      </c>
      <c r="I9216" s="15" t="s">
        <v>1586</v>
      </c>
      <c r="J9216" s="15" t="s">
        <v>32270</v>
      </c>
      <c r="K9216" s="15" t="s">
        <v>1722</v>
      </c>
      <c r="L9216" s="15">
        <v>196.0</v>
      </c>
      <c r="M9216" s="40">
        <v>41811.0</v>
      </c>
      <c r="N9216" s="40">
        <v>41811.0</v>
      </c>
      <c r="O9216" s="15" t="s">
        <v>1554</v>
      </c>
      <c r="Q9216" s="7"/>
    </row>
    <row r="9217">
      <c r="A9217" s="39" t="s">
        <v>32271</v>
      </c>
      <c r="B9217" s="15">
        <v>1458861.0</v>
      </c>
      <c r="C9217" s="15" t="s">
        <v>32272</v>
      </c>
      <c r="D9217" s="15">
        <v>266781.0</v>
      </c>
      <c r="E9217" s="15" t="s">
        <v>1557</v>
      </c>
      <c r="F9217" s="15" t="s">
        <v>1767</v>
      </c>
      <c r="G9217" s="7">
        <v>43.51</v>
      </c>
      <c r="H9217" s="15" t="s">
        <v>2005</v>
      </c>
      <c r="I9217" s="15" t="s">
        <v>1586</v>
      </c>
      <c r="J9217" s="15" t="s">
        <v>32273</v>
      </c>
      <c r="K9217" s="15">
        <v>69.0</v>
      </c>
      <c r="L9217" s="15">
        <v>69.0</v>
      </c>
      <c r="M9217" s="40">
        <v>41897.0</v>
      </c>
      <c r="N9217" s="41">
        <v>41953.0</v>
      </c>
      <c r="O9217" s="15" t="s">
        <v>1554</v>
      </c>
      <c r="Q9217" s="7"/>
    </row>
    <row r="9218">
      <c r="A9218" s="39" t="s">
        <v>17683</v>
      </c>
      <c r="B9218" s="15">
        <v>1493509.0</v>
      </c>
      <c r="D9218" s="15">
        <v>0.0</v>
      </c>
      <c r="E9218" s="15" t="s">
        <v>1557</v>
      </c>
      <c r="F9218" s="15" t="s">
        <v>1767</v>
      </c>
      <c r="G9218" s="7">
        <v>179.116</v>
      </c>
      <c r="H9218" s="15" t="s">
        <v>2640</v>
      </c>
      <c r="I9218" s="15" t="s">
        <v>1586</v>
      </c>
      <c r="J9218" s="15" t="s">
        <v>32275</v>
      </c>
      <c r="K9218" s="15">
        <v>220.0</v>
      </c>
      <c r="L9218" s="15">
        <v>220.0</v>
      </c>
      <c r="M9218" s="40">
        <v>42104.0</v>
      </c>
      <c r="N9218" s="40">
        <v>42104.0</v>
      </c>
      <c r="O9218" s="15" t="s">
        <v>1554</v>
      </c>
      <c r="Q9218" s="7"/>
    </row>
    <row r="9219">
      <c r="A9219" s="39" t="s">
        <v>17687</v>
      </c>
      <c r="B9219" s="15">
        <v>1493507.0</v>
      </c>
      <c r="D9219" s="15">
        <v>0.0</v>
      </c>
      <c r="E9219" s="15" t="s">
        <v>1557</v>
      </c>
      <c r="F9219" s="15" t="s">
        <v>1767</v>
      </c>
      <c r="G9219" s="7">
        <v>171.035</v>
      </c>
      <c r="H9219" s="15" t="s">
        <v>2304</v>
      </c>
      <c r="I9219" s="15" t="s">
        <v>1586</v>
      </c>
      <c r="J9219" s="15" t="s">
        <v>32277</v>
      </c>
      <c r="K9219" s="15">
        <v>208.0</v>
      </c>
      <c r="L9219" s="15">
        <v>208.0</v>
      </c>
      <c r="M9219" s="40">
        <v>42104.0</v>
      </c>
      <c r="N9219" s="40">
        <v>42104.0</v>
      </c>
      <c r="O9219" s="15" t="s">
        <v>1554</v>
      </c>
      <c r="Q9219" s="7"/>
    </row>
    <row r="9220">
      <c r="A9220" s="39" t="s">
        <v>17693</v>
      </c>
      <c r="B9220" s="15">
        <v>1493511.0</v>
      </c>
      <c r="D9220" s="15">
        <v>0.0</v>
      </c>
      <c r="E9220" s="15" t="s">
        <v>1557</v>
      </c>
      <c r="F9220" s="15" t="s">
        <v>1767</v>
      </c>
      <c r="G9220" s="7">
        <v>226.158</v>
      </c>
      <c r="H9220" s="15" t="s">
        <v>2118</v>
      </c>
      <c r="I9220" s="15" t="s">
        <v>1586</v>
      </c>
      <c r="J9220" s="15" t="s">
        <v>32278</v>
      </c>
      <c r="K9220" s="15">
        <v>287.0</v>
      </c>
      <c r="L9220" s="15">
        <v>287.0</v>
      </c>
      <c r="M9220" s="40">
        <v>42104.0</v>
      </c>
      <c r="N9220" s="40">
        <v>42104.0</v>
      </c>
      <c r="O9220" s="15" t="s">
        <v>1554</v>
      </c>
      <c r="Q9220" s="7"/>
    </row>
    <row r="9221">
      <c r="A9221" s="39" t="s">
        <v>17780</v>
      </c>
      <c r="B9221" s="15">
        <v>1493508.0</v>
      </c>
      <c r="D9221" s="15">
        <v>0.0</v>
      </c>
      <c r="E9221" s="15" t="s">
        <v>1557</v>
      </c>
      <c r="F9221" s="15" t="s">
        <v>1767</v>
      </c>
      <c r="G9221" s="7">
        <v>172.802</v>
      </c>
      <c r="H9221" s="15" t="s">
        <v>3895</v>
      </c>
      <c r="I9221" s="15" t="s">
        <v>1586</v>
      </c>
      <c r="J9221" s="15" t="s">
        <v>32280</v>
      </c>
      <c r="K9221" s="15">
        <v>215.0</v>
      </c>
      <c r="L9221" s="15">
        <v>215.0</v>
      </c>
      <c r="M9221" s="40">
        <v>42104.0</v>
      </c>
      <c r="N9221" s="40">
        <v>42104.0</v>
      </c>
      <c r="O9221" s="15" t="s">
        <v>1554</v>
      </c>
      <c r="Q9221" s="7"/>
    </row>
    <row r="9222">
      <c r="A9222" s="39" t="s">
        <v>32282</v>
      </c>
      <c r="B9222" s="15">
        <v>1558463.0</v>
      </c>
      <c r="D9222" s="15">
        <v>0.0</v>
      </c>
      <c r="E9222" s="15" t="s">
        <v>1557</v>
      </c>
      <c r="F9222" s="15" t="s">
        <v>1611</v>
      </c>
      <c r="G9222" s="7">
        <v>39.542</v>
      </c>
      <c r="H9222" s="15" t="s">
        <v>3973</v>
      </c>
      <c r="I9222" s="15" t="s">
        <v>1586</v>
      </c>
      <c r="J9222" s="15" t="s">
        <v>32283</v>
      </c>
      <c r="K9222" s="15">
        <v>48.0</v>
      </c>
      <c r="L9222" s="15">
        <v>48.0</v>
      </c>
      <c r="M9222" s="40">
        <v>41978.0</v>
      </c>
      <c r="N9222" s="41">
        <v>41999.0</v>
      </c>
      <c r="O9222" s="15" t="s">
        <v>1554</v>
      </c>
      <c r="Q9222" s="7"/>
    </row>
    <row r="9223">
      <c r="A9223" s="39" t="s">
        <v>32284</v>
      </c>
      <c r="B9223" s="15">
        <v>1235657.0</v>
      </c>
      <c r="D9223" s="15">
        <v>0.0</v>
      </c>
      <c r="E9223" s="15" t="s">
        <v>1557</v>
      </c>
      <c r="F9223" s="15" t="s">
        <v>1833</v>
      </c>
      <c r="G9223" s="7">
        <v>29.453</v>
      </c>
      <c r="H9223" s="15" t="s">
        <v>2271</v>
      </c>
      <c r="I9223" s="15" t="s">
        <v>1586</v>
      </c>
      <c r="J9223" s="15" t="s">
        <v>32285</v>
      </c>
      <c r="K9223" s="15">
        <v>45.0</v>
      </c>
      <c r="L9223" s="15">
        <v>45.0</v>
      </c>
      <c r="M9223" s="40">
        <v>41521.0</v>
      </c>
      <c r="N9223" s="40">
        <v>41521.0</v>
      </c>
      <c r="O9223" s="15" t="s">
        <v>1554</v>
      </c>
      <c r="Q9223" s="7"/>
    </row>
    <row r="9224">
      <c r="A9224" s="39" t="s">
        <v>32287</v>
      </c>
      <c r="B9224" s="15">
        <v>1220602.0</v>
      </c>
      <c r="D9224" s="15">
        <v>0.0</v>
      </c>
      <c r="E9224" s="15" t="s">
        <v>1557</v>
      </c>
      <c r="F9224" s="15" t="s">
        <v>1767</v>
      </c>
      <c r="G9224" s="7">
        <v>46.486</v>
      </c>
      <c r="H9224" s="15" t="s">
        <v>4821</v>
      </c>
      <c r="I9224" s="15" t="s">
        <v>1586</v>
      </c>
      <c r="J9224" s="15" t="s">
        <v>32288</v>
      </c>
      <c r="K9224" s="15">
        <v>60.0</v>
      </c>
      <c r="L9224" s="15">
        <v>60.0</v>
      </c>
      <c r="M9224" s="40">
        <v>41290.0</v>
      </c>
      <c r="N9224" s="40">
        <v>41642.0</v>
      </c>
      <c r="O9224" s="15" t="s">
        <v>1554</v>
      </c>
      <c r="Q9224" s="7"/>
    </row>
    <row r="9225">
      <c r="A9225" s="39" t="s">
        <v>32289</v>
      </c>
      <c r="B9225" s="15">
        <v>1500811.0</v>
      </c>
      <c r="D9225" s="15">
        <v>0.0</v>
      </c>
      <c r="E9225" s="15" t="s">
        <v>1557</v>
      </c>
      <c r="F9225" s="15" t="s">
        <v>1833</v>
      </c>
      <c r="G9225" s="7">
        <v>29.491</v>
      </c>
      <c r="H9225" s="15" t="s">
        <v>6085</v>
      </c>
      <c r="I9225" s="15" t="s">
        <v>1586</v>
      </c>
      <c r="J9225" s="15" t="s">
        <v>32290</v>
      </c>
      <c r="K9225" s="15">
        <v>46.0</v>
      </c>
      <c r="L9225" s="15">
        <v>46.0</v>
      </c>
      <c r="M9225" s="40">
        <v>42114.0</v>
      </c>
      <c r="N9225" s="40">
        <v>42114.0</v>
      </c>
      <c r="O9225" s="15" t="s">
        <v>1554</v>
      </c>
      <c r="Q9225" s="7"/>
    </row>
    <row r="9226">
      <c r="A9226" s="39" t="s">
        <v>32292</v>
      </c>
      <c r="B9226" s="15">
        <v>1692253.0</v>
      </c>
      <c r="C9226" s="15" t="s">
        <v>32293</v>
      </c>
      <c r="D9226" s="15">
        <v>293706.0</v>
      </c>
      <c r="E9226" s="15" t="s">
        <v>1808</v>
      </c>
      <c r="F9226" s="15" t="s">
        <v>1998</v>
      </c>
      <c r="G9226" s="7">
        <v>2.237</v>
      </c>
      <c r="H9226" s="15" t="s">
        <v>3798</v>
      </c>
      <c r="I9226" s="15" t="s">
        <v>1686</v>
      </c>
      <c r="J9226" s="15" t="s">
        <v>32294</v>
      </c>
      <c r="K9226" s="15">
        <v>2.0</v>
      </c>
      <c r="L9226" s="15">
        <v>2.0</v>
      </c>
      <c r="M9226" s="40">
        <v>42232.0</v>
      </c>
      <c r="N9226" s="40">
        <v>42240.0</v>
      </c>
      <c r="O9226" s="15" t="s">
        <v>1554</v>
      </c>
      <c r="Q9226" s="7"/>
    </row>
    <row r="9227">
      <c r="A9227" s="39" t="s">
        <v>32295</v>
      </c>
      <c r="B9227" s="15">
        <v>1715290.0</v>
      </c>
      <c r="C9227" s="15" t="s">
        <v>31681</v>
      </c>
      <c r="D9227" s="15">
        <v>296131.0</v>
      </c>
      <c r="E9227" s="15" t="s">
        <v>1548</v>
      </c>
      <c r="F9227" s="15" t="s">
        <v>18494</v>
      </c>
      <c r="G9227" s="7">
        <v>8.957</v>
      </c>
      <c r="H9227" s="15" t="s">
        <v>2141</v>
      </c>
      <c r="I9227" s="15" t="s">
        <v>1686</v>
      </c>
      <c r="J9227" s="15" t="s">
        <v>32296</v>
      </c>
      <c r="K9227" s="15">
        <v>6.0</v>
      </c>
      <c r="L9227" s="15">
        <v>6.0</v>
      </c>
      <c r="M9227" s="40">
        <v>41386.0</v>
      </c>
      <c r="N9227" s="40">
        <v>42605.0</v>
      </c>
      <c r="O9227" s="15" t="s">
        <v>1554</v>
      </c>
      <c r="Q9227" s="7"/>
    </row>
    <row r="9228">
      <c r="A9228" s="39" t="s">
        <v>32298</v>
      </c>
      <c r="B9228" s="15">
        <v>1548714.0</v>
      </c>
      <c r="C9228" s="15" t="s">
        <v>18622</v>
      </c>
      <c r="D9228" s="15">
        <v>300260.0</v>
      </c>
      <c r="E9228" s="15" t="s">
        <v>1548</v>
      </c>
      <c r="F9228" s="15" t="s">
        <v>18494</v>
      </c>
      <c r="G9228" s="7">
        <v>8.87</v>
      </c>
      <c r="H9228" s="15" t="s">
        <v>2049</v>
      </c>
      <c r="I9228" s="15" t="s">
        <v>1686</v>
      </c>
      <c r="J9228" s="15" t="s">
        <v>32299</v>
      </c>
      <c r="K9228" s="15">
        <v>6.0</v>
      </c>
      <c r="L9228" s="15">
        <v>6.0</v>
      </c>
      <c r="M9228" s="40">
        <v>41113.0</v>
      </c>
      <c r="N9228" s="40">
        <v>42605.0</v>
      </c>
      <c r="O9228" s="15" t="s">
        <v>1554</v>
      </c>
      <c r="Q9228" s="7"/>
    </row>
    <row r="9229">
      <c r="A9229" s="39" t="s">
        <v>32300</v>
      </c>
      <c r="B9229" s="15">
        <v>1747281.0</v>
      </c>
      <c r="D9229" s="15">
        <v>0.0</v>
      </c>
      <c r="E9229" s="15" t="s">
        <v>1557</v>
      </c>
      <c r="F9229" s="15" t="s">
        <v>1833</v>
      </c>
      <c r="G9229" s="7">
        <v>46.596</v>
      </c>
      <c r="H9229" s="15" t="s">
        <v>3101</v>
      </c>
      <c r="I9229" s="15" t="s">
        <v>1586</v>
      </c>
      <c r="J9229" s="15" t="s">
        <v>32301</v>
      </c>
      <c r="K9229" s="15">
        <v>69.0</v>
      </c>
      <c r="L9229" s="15">
        <v>66.0</v>
      </c>
      <c r="M9229" s="41">
        <v>42326.0</v>
      </c>
      <c r="N9229" s="41">
        <v>42326.0</v>
      </c>
      <c r="O9229" s="15" t="s">
        <v>1554</v>
      </c>
      <c r="Q9229" s="7"/>
    </row>
    <row r="9230">
      <c r="A9230" s="39" t="s">
        <v>32303</v>
      </c>
      <c r="B9230" s="15">
        <v>1690428.0</v>
      </c>
      <c r="D9230" s="15">
        <v>0.0</v>
      </c>
      <c r="E9230" s="15" t="s">
        <v>1557</v>
      </c>
      <c r="F9230" s="15" t="s">
        <v>1833</v>
      </c>
      <c r="G9230" s="7">
        <v>50.727</v>
      </c>
      <c r="H9230" s="15" t="s">
        <v>6204</v>
      </c>
      <c r="I9230" s="15" t="s">
        <v>1586</v>
      </c>
      <c r="J9230" s="15" t="s">
        <v>32304</v>
      </c>
      <c r="K9230" s="15">
        <v>76.0</v>
      </c>
      <c r="L9230" s="15">
        <v>76.0</v>
      </c>
      <c r="M9230" s="40">
        <v>42234.0</v>
      </c>
      <c r="N9230" s="40">
        <v>42234.0</v>
      </c>
      <c r="O9230" s="15" t="s">
        <v>1554</v>
      </c>
      <c r="Q9230" s="7"/>
    </row>
    <row r="9231">
      <c r="A9231" s="39" t="s">
        <v>32305</v>
      </c>
      <c r="B9231" s="15">
        <v>1690807.0</v>
      </c>
      <c r="D9231" s="15">
        <v>0.0</v>
      </c>
      <c r="E9231" s="15" t="s">
        <v>1557</v>
      </c>
      <c r="F9231" s="15" t="s">
        <v>1833</v>
      </c>
      <c r="G9231" s="7">
        <v>29.526</v>
      </c>
      <c r="H9231" s="15">
        <v>54.0</v>
      </c>
      <c r="I9231" s="15" t="s">
        <v>1586</v>
      </c>
      <c r="J9231" s="15" t="s">
        <v>32306</v>
      </c>
      <c r="K9231" s="15">
        <v>42.0</v>
      </c>
      <c r="L9231" s="15">
        <v>42.0</v>
      </c>
      <c r="M9231" s="40">
        <v>42245.0</v>
      </c>
      <c r="N9231" s="40">
        <v>42460.0</v>
      </c>
      <c r="O9231" s="15" t="s">
        <v>1554</v>
      </c>
      <c r="Q9231" s="7"/>
    </row>
    <row r="9232">
      <c r="A9232" s="39" t="s">
        <v>32308</v>
      </c>
      <c r="B9232" s="15">
        <v>1821720.0</v>
      </c>
      <c r="D9232" s="15">
        <v>0.0</v>
      </c>
      <c r="E9232" s="15" t="s">
        <v>1557</v>
      </c>
      <c r="F9232" s="15" t="s">
        <v>1833</v>
      </c>
      <c r="G9232" s="7">
        <v>50.839</v>
      </c>
      <c r="H9232" s="15">
        <v>64.0</v>
      </c>
      <c r="I9232" s="15" t="s">
        <v>1586</v>
      </c>
      <c r="J9232" s="15" t="s">
        <v>32309</v>
      </c>
      <c r="K9232" s="15">
        <v>96.0</v>
      </c>
      <c r="L9232" s="15">
        <v>93.0</v>
      </c>
      <c r="M9232" s="40">
        <v>42463.0</v>
      </c>
      <c r="N9232" s="40">
        <v>42463.0</v>
      </c>
      <c r="O9232" s="15" t="s">
        <v>1554</v>
      </c>
      <c r="Q9232" s="7"/>
    </row>
    <row r="9233">
      <c r="A9233" s="39" t="s">
        <v>32310</v>
      </c>
      <c r="B9233" s="15">
        <v>75725.0</v>
      </c>
      <c r="D9233" s="15">
        <v>0.0</v>
      </c>
      <c r="E9233" s="15" t="s">
        <v>1548</v>
      </c>
      <c r="F9233" s="15" t="s">
        <v>4850</v>
      </c>
      <c r="G9233" s="7">
        <v>4.248</v>
      </c>
      <c r="H9233" s="15" t="s">
        <v>2189</v>
      </c>
      <c r="I9233" s="15" t="s">
        <v>1586</v>
      </c>
      <c r="J9233" s="15" t="s">
        <v>32311</v>
      </c>
      <c r="K9233" s="15" t="s">
        <v>1722</v>
      </c>
      <c r="L9233" s="15">
        <v>4.0</v>
      </c>
      <c r="M9233" s="40">
        <v>35910.0</v>
      </c>
      <c r="N9233" s="40">
        <v>35902.0</v>
      </c>
      <c r="O9233" s="15" t="s">
        <v>1554</v>
      </c>
      <c r="Q9233" s="7"/>
    </row>
    <row r="9234">
      <c r="A9234" s="39" t="s">
        <v>32312</v>
      </c>
      <c r="B9234" s="15">
        <v>1821540.0</v>
      </c>
      <c r="D9234" s="15">
        <v>0.0</v>
      </c>
      <c r="E9234" s="15" t="s">
        <v>1557</v>
      </c>
      <c r="F9234" s="15" t="s">
        <v>1833</v>
      </c>
      <c r="G9234" s="7">
        <v>43.679</v>
      </c>
      <c r="H9234" s="15" t="s">
        <v>2400</v>
      </c>
      <c r="I9234" s="15" t="s">
        <v>1586</v>
      </c>
      <c r="J9234" s="15" t="s">
        <v>32314</v>
      </c>
      <c r="K9234" s="15">
        <v>73.0</v>
      </c>
      <c r="L9234" s="15">
        <v>73.0</v>
      </c>
      <c r="M9234" s="40">
        <v>42463.0</v>
      </c>
      <c r="N9234" s="40">
        <v>42463.0</v>
      </c>
      <c r="O9234" s="15" t="s">
        <v>1554</v>
      </c>
      <c r="Q9234" s="7"/>
    </row>
    <row r="9235">
      <c r="A9235" s="39" t="s">
        <v>32315</v>
      </c>
      <c r="B9235" s="15">
        <v>1821726.0</v>
      </c>
      <c r="D9235" s="15">
        <v>0.0</v>
      </c>
      <c r="E9235" s="15" t="s">
        <v>1557</v>
      </c>
      <c r="F9235" s="15" t="s">
        <v>1833</v>
      </c>
      <c r="G9235" s="7">
        <v>52.16</v>
      </c>
      <c r="H9235" s="15" t="s">
        <v>10442</v>
      </c>
      <c r="I9235" s="15" t="s">
        <v>1586</v>
      </c>
      <c r="J9235" s="15" t="s">
        <v>32316</v>
      </c>
      <c r="K9235" s="15">
        <v>104.0</v>
      </c>
      <c r="L9235" s="15">
        <v>101.0</v>
      </c>
      <c r="M9235" s="40">
        <v>42471.0</v>
      </c>
      <c r="N9235" s="40">
        <v>42471.0</v>
      </c>
      <c r="O9235" s="15" t="s">
        <v>1554</v>
      </c>
      <c r="Q9235" s="7"/>
    </row>
    <row r="9236">
      <c r="A9236" s="39" t="s">
        <v>32317</v>
      </c>
      <c r="B9236" s="15">
        <v>1815609.0</v>
      </c>
      <c r="D9236" s="15">
        <v>0.0</v>
      </c>
      <c r="E9236" s="15" t="s">
        <v>1557</v>
      </c>
      <c r="F9236" s="15" t="s">
        <v>1833</v>
      </c>
      <c r="G9236" s="7">
        <v>74.896</v>
      </c>
      <c r="H9236" s="15">
        <v>63.0</v>
      </c>
      <c r="I9236" s="15" t="s">
        <v>1586</v>
      </c>
      <c r="J9236" s="15" t="s">
        <v>32318</v>
      </c>
      <c r="K9236" s="15">
        <v>145.0</v>
      </c>
      <c r="L9236" s="15">
        <v>143.0</v>
      </c>
      <c r="M9236" s="40">
        <v>42463.0</v>
      </c>
      <c r="N9236" s="40">
        <v>42463.0</v>
      </c>
      <c r="O9236" s="15" t="s">
        <v>1554</v>
      </c>
      <c r="Q9236" s="7"/>
    </row>
    <row r="9237">
      <c r="A9237" s="39" t="s">
        <v>32319</v>
      </c>
      <c r="B9237" s="15">
        <v>511755.0</v>
      </c>
      <c r="C9237" s="15" t="s">
        <v>32320</v>
      </c>
      <c r="D9237" s="15">
        <v>30053.0</v>
      </c>
      <c r="E9237" s="15" t="s">
        <v>1548</v>
      </c>
      <c r="F9237" s="15" t="s">
        <v>1776</v>
      </c>
      <c r="G9237" s="7">
        <v>7.961</v>
      </c>
      <c r="H9237" s="15" t="s">
        <v>3653</v>
      </c>
      <c r="I9237" s="15" t="s">
        <v>1686</v>
      </c>
      <c r="J9237" s="15" t="s">
        <v>32321</v>
      </c>
      <c r="K9237" s="15">
        <v>1.0</v>
      </c>
      <c r="L9237" s="15">
        <v>2.0</v>
      </c>
      <c r="M9237" s="40">
        <v>39599.0</v>
      </c>
      <c r="N9237" s="41">
        <v>42297.0</v>
      </c>
      <c r="O9237" s="15" t="s">
        <v>1554</v>
      </c>
      <c r="Q9237" s="7"/>
    </row>
    <row r="9238">
      <c r="A9238" s="39" t="s">
        <v>32322</v>
      </c>
      <c r="B9238" s="15">
        <v>1883376.0</v>
      </c>
      <c r="D9238" s="15">
        <v>0.0</v>
      </c>
      <c r="E9238" s="15" t="s">
        <v>1557</v>
      </c>
      <c r="F9238" s="15" t="s">
        <v>1767</v>
      </c>
      <c r="G9238" s="7">
        <v>241.05</v>
      </c>
      <c r="H9238" s="15">
        <v>51.0</v>
      </c>
      <c r="I9238" s="15" t="s">
        <v>1586</v>
      </c>
      <c r="J9238" s="15" t="s">
        <v>32323</v>
      </c>
      <c r="K9238" s="15">
        <v>281.0</v>
      </c>
      <c r="L9238" s="15">
        <v>271.0</v>
      </c>
      <c r="M9238" s="40">
        <v>42596.0</v>
      </c>
      <c r="N9238" s="40">
        <v>42601.0</v>
      </c>
      <c r="O9238" s="15" t="s">
        <v>1554</v>
      </c>
      <c r="Q9238" s="7"/>
    </row>
    <row r="9239">
      <c r="A9239" s="39" t="s">
        <v>32324</v>
      </c>
      <c r="B9239" s="15">
        <v>1862964.0</v>
      </c>
      <c r="D9239" s="15">
        <v>0.0</v>
      </c>
      <c r="E9239" s="15" t="s">
        <v>1557</v>
      </c>
      <c r="F9239" s="15" t="s">
        <v>1833</v>
      </c>
      <c r="G9239" s="7">
        <v>22.157</v>
      </c>
      <c r="H9239" s="15" t="s">
        <v>3554</v>
      </c>
      <c r="I9239" s="15" t="s">
        <v>1586</v>
      </c>
      <c r="J9239" s="15" t="s">
        <v>32326</v>
      </c>
      <c r="K9239" s="15" t="s">
        <v>1722</v>
      </c>
      <c r="L9239" s="15">
        <v>38.0</v>
      </c>
      <c r="M9239" s="40">
        <v>42552.0</v>
      </c>
      <c r="N9239" s="40">
        <v>42552.0</v>
      </c>
      <c r="O9239" s="15" t="s">
        <v>1554</v>
      </c>
      <c r="Q9239" s="7"/>
    </row>
    <row r="9240">
      <c r="A9240" s="39" t="s">
        <v>32327</v>
      </c>
      <c r="B9240" s="15">
        <v>1883205.0</v>
      </c>
      <c r="D9240" s="15">
        <v>0.0</v>
      </c>
      <c r="E9240" s="15" t="s">
        <v>1557</v>
      </c>
      <c r="F9240" s="15" t="s">
        <v>1833</v>
      </c>
      <c r="G9240" s="7">
        <v>44.899</v>
      </c>
      <c r="H9240" s="15" t="s">
        <v>4673</v>
      </c>
      <c r="I9240" s="15" t="s">
        <v>1586</v>
      </c>
      <c r="J9240" s="15" t="s">
        <v>32328</v>
      </c>
      <c r="K9240" s="15" t="s">
        <v>1722</v>
      </c>
      <c r="L9240" s="15">
        <v>63.0</v>
      </c>
      <c r="M9240" s="40">
        <v>42590.0</v>
      </c>
      <c r="N9240" s="40">
        <v>42590.0</v>
      </c>
      <c r="O9240" s="15" t="s">
        <v>1554</v>
      </c>
      <c r="Q9240" s="7"/>
    </row>
    <row r="9241">
      <c r="A9241" s="39" t="s">
        <v>32329</v>
      </c>
      <c r="B9241" s="15">
        <v>1813774.0</v>
      </c>
      <c r="D9241" s="15">
        <v>0.0</v>
      </c>
      <c r="E9241" s="15" t="s">
        <v>1557</v>
      </c>
      <c r="F9241" s="15" t="s">
        <v>1611</v>
      </c>
      <c r="G9241" s="7">
        <v>42.85</v>
      </c>
      <c r="H9241" s="15" t="s">
        <v>2981</v>
      </c>
      <c r="I9241" s="15" t="s">
        <v>1586</v>
      </c>
      <c r="J9241" s="15" t="s">
        <v>32330</v>
      </c>
      <c r="K9241" s="15" t="s">
        <v>1722</v>
      </c>
      <c r="L9241" s="15">
        <v>64.0</v>
      </c>
      <c r="M9241" s="40">
        <v>42543.0</v>
      </c>
      <c r="N9241" s="40">
        <v>42543.0</v>
      </c>
      <c r="O9241" s="15" t="s">
        <v>1554</v>
      </c>
      <c r="Q9241" s="7"/>
    </row>
    <row r="9242">
      <c r="A9242" s="39" t="s">
        <v>32331</v>
      </c>
      <c r="B9242" s="15">
        <v>1777067.0</v>
      </c>
      <c r="D9242" s="15">
        <v>0.0</v>
      </c>
      <c r="E9242" s="15" t="s">
        <v>1557</v>
      </c>
      <c r="F9242" s="15" t="s">
        <v>1767</v>
      </c>
      <c r="G9242" s="7">
        <v>92.068</v>
      </c>
      <c r="H9242" s="15" t="s">
        <v>1983</v>
      </c>
      <c r="I9242" s="15" t="s">
        <v>1586</v>
      </c>
      <c r="J9242" s="15" t="s">
        <v>32332</v>
      </c>
      <c r="K9242" s="15">
        <v>166.0</v>
      </c>
      <c r="L9242" s="15">
        <v>161.0</v>
      </c>
      <c r="M9242" s="40">
        <v>42458.0</v>
      </c>
      <c r="N9242" s="40">
        <v>42458.0</v>
      </c>
      <c r="O9242" s="15" t="s">
        <v>1554</v>
      </c>
      <c r="Q9242" s="7"/>
    </row>
    <row r="9243">
      <c r="A9243" s="39" t="s">
        <v>32333</v>
      </c>
      <c r="B9243" s="15">
        <v>1838076.0</v>
      </c>
      <c r="D9243" s="15">
        <v>0.0</v>
      </c>
      <c r="E9243" s="15" t="s">
        <v>1557</v>
      </c>
      <c r="F9243" s="15" t="s">
        <v>1833</v>
      </c>
      <c r="G9243" s="7">
        <v>80.729</v>
      </c>
      <c r="H9243" s="15">
        <v>47.0</v>
      </c>
      <c r="I9243" s="15" t="s">
        <v>1586</v>
      </c>
      <c r="J9243" s="15" t="s">
        <v>32334</v>
      </c>
      <c r="K9243" s="15">
        <v>117.0</v>
      </c>
      <c r="L9243" s="15">
        <v>115.0</v>
      </c>
      <c r="M9243" s="40">
        <v>42491.0</v>
      </c>
      <c r="N9243" s="40">
        <v>42491.0</v>
      </c>
      <c r="O9243" s="15" t="s">
        <v>1554</v>
      </c>
      <c r="Q9243" s="7"/>
    </row>
    <row r="9244">
      <c r="A9244" s="39" t="s">
        <v>32336</v>
      </c>
      <c r="B9244" s="15">
        <v>1871686.0</v>
      </c>
      <c r="D9244" s="15">
        <v>0.0</v>
      </c>
      <c r="E9244" s="15" t="s">
        <v>1557</v>
      </c>
      <c r="F9244" s="15" t="s">
        <v>1833</v>
      </c>
      <c r="G9244" s="7">
        <v>34.084</v>
      </c>
      <c r="H9244" s="15" t="s">
        <v>6303</v>
      </c>
      <c r="I9244" s="15" t="s">
        <v>1586</v>
      </c>
      <c r="J9244" s="15" t="s">
        <v>32337</v>
      </c>
      <c r="K9244" s="15">
        <v>51.0</v>
      </c>
      <c r="L9244" s="15">
        <v>51.0</v>
      </c>
      <c r="M9244" s="40">
        <v>42567.0</v>
      </c>
      <c r="N9244" s="40">
        <v>42626.0</v>
      </c>
      <c r="O9244" s="15" t="s">
        <v>1554</v>
      </c>
      <c r="Q9244" s="7"/>
    </row>
    <row r="9245">
      <c r="A9245" s="39" t="s">
        <v>22462</v>
      </c>
      <c r="B9245" s="15">
        <v>239364.0</v>
      </c>
      <c r="C9245" s="15" t="s">
        <v>22464</v>
      </c>
      <c r="D9245" s="15">
        <v>16209.0</v>
      </c>
      <c r="E9245" s="15" t="s">
        <v>1664</v>
      </c>
      <c r="F9245" s="15" t="s">
        <v>1664</v>
      </c>
      <c r="G9245" s="7">
        <v>653.659</v>
      </c>
      <c r="H9245" s="15" t="s">
        <v>32338</v>
      </c>
      <c r="I9245" s="15" t="s">
        <v>1722</v>
      </c>
      <c r="J9245" s="15" t="s">
        <v>32339</v>
      </c>
      <c r="K9245" s="15" t="s">
        <v>1722</v>
      </c>
      <c r="L9245" s="15" t="s">
        <v>1722</v>
      </c>
      <c r="M9245" s="40">
        <v>38734.0</v>
      </c>
      <c r="N9245" s="40">
        <v>41862.0</v>
      </c>
      <c r="O9245" s="15" t="s">
        <v>22466</v>
      </c>
      <c r="Q9245" s="7"/>
    </row>
    <row r="9246">
      <c r="A9246" s="39" t="s">
        <v>26529</v>
      </c>
      <c r="B9246" s="15">
        <v>186617.0</v>
      </c>
      <c r="C9246" s="15" t="s">
        <v>26530</v>
      </c>
      <c r="D9246" s="15">
        <v>371593.0</v>
      </c>
      <c r="E9246" s="15" t="s">
        <v>1664</v>
      </c>
      <c r="F9246" s="15" t="s">
        <v>1664</v>
      </c>
      <c r="G9246" s="7">
        <v>25046.7</v>
      </c>
      <c r="H9246" s="15" t="s">
        <v>1849</v>
      </c>
      <c r="I9246" s="15" t="s">
        <v>1722</v>
      </c>
      <c r="J9246" s="15" t="s">
        <v>32340</v>
      </c>
      <c r="K9246" s="15" t="s">
        <v>1722</v>
      </c>
      <c r="L9246" s="15" t="s">
        <v>1722</v>
      </c>
      <c r="M9246" s="40">
        <v>42770.0</v>
      </c>
      <c r="N9246" s="40">
        <v>42851.0</v>
      </c>
      <c r="O9246" s="15" t="s">
        <v>22466</v>
      </c>
      <c r="Q9246" s="7"/>
    </row>
    <row r="9247">
      <c r="A9247" s="39" t="s">
        <v>32341</v>
      </c>
      <c r="B9247" s="15">
        <v>1458713.0</v>
      </c>
      <c r="D9247" s="15">
        <v>0.0</v>
      </c>
      <c r="E9247" s="15" t="s">
        <v>1557</v>
      </c>
      <c r="F9247" s="15" t="s">
        <v>1833</v>
      </c>
      <c r="G9247" s="7">
        <v>68.607</v>
      </c>
      <c r="H9247" s="15" t="s">
        <v>4308</v>
      </c>
      <c r="I9247" s="15" t="s">
        <v>1586</v>
      </c>
      <c r="J9247" s="15" t="s">
        <v>32343</v>
      </c>
      <c r="K9247" s="15">
        <v>102.0</v>
      </c>
      <c r="L9247" s="15">
        <v>102.0</v>
      </c>
      <c r="M9247" s="40">
        <v>41731.0</v>
      </c>
      <c r="N9247" s="40">
        <v>41731.0</v>
      </c>
      <c r="O9247" s="15" t="s">
        <v>1554</v>
      </c>
      <c r="Q9247" s="7"/>
    </row>
    <row r="9248">
      <c r="A9248" s="39" t="s">
        <v>32344</v>
      </c>
      <c r="B9248" s="15">
        <v>1226254.0</v>
      </c>
      <c r="D9248" s="15">
        <v>0.0</v>
      </c>
      <c r="E9248" s="15" t="s">
        <v>1557</v>
      </c>
      <c r="F9248" s="15" t="s">
        <v>1611</v>
      </c>
      <c r="G9248" s="7">
        <v>63.253</v>
      </c>
      <c r="H9248" s="15" t="s">
        <v>1772</v>
      </c>
      <c r="I9248" s="15" t="s">
        <v>1586</v>
      </c>
      <c r="J9248" s="15" t="s">
        <v>32345</v>
      </c>
      <c r="K9248" s="15">
        <v>3.0</v>
      </c>
      <c r="L9248" s="15">
        <v>91.0</v>
      </c>
      <c r="M9248" s="40">
        <v>42311.0</v>
      </c>
      <c r="N9248" s="40">
        <v>42762.0</v>
      </c>
      <c r="O9248" s="15" t="s">
        <v>1554</v>
      </c>
      <c r="Q9248" s="7"/>
    </row>
    <row r="9249">
      <c r="A9249" s="39" t="s">
        <v>27611</v>
      </c>
      <c r="B9249" s="15">
        <v>10847.0</v>
      </c>
      <c r="D9249" s="15">
        <v>0.0</v>
      </c>
      <c r="E9249" s="15" t="s">
        <v>1808</v>
      </c>
      <c r="F9249" s="15" t="s">
        <v>3154</v>
      </c>
      <c r="G9249" s="7">
        <v>5.386</v>
      </c>
      <c r="H9249" s="15" t="s">
        <v>1983</v>
      </c>
      <c r="I9249" s="15" t="s">
        <v>1586</v>
      </c>
      <c r="J9249" s="15" t="s">
        <v>32346</v>
      </c>
      <c r="K9249" s="15" t="s">
        <v>1722</v>
      </c>
      <c r="L9249" s="15">
        <v>11.0</v>
      </c>
      <c r="M9249" s="40">
        <v>40725.0</v>
      </c>
      <c r="N9249" s="40">
        <v>40725.0</v>
      </c>
      <c r="O9249" s="15" t="s">
        <v>1554</v>
      </c>
      <c r="Q9249" s="7"/>
    </row>
    <row r="9250">
      <c r="A9250" s="39" t="s">
        <v>31533</v>
      </c>
      <c r="B9250" s="15">
        <v>310953.0</v>
      </c>
      <c r="D9250" s="15">
        <v>0.0</v>
      </c>
      <c r="E9250" s="15" t="s">
        <v>1808</v>
      </c>
      <c r="F9250" s="15" t="s">
        <v>3154</v>
      </c>
      <c r="G9250" s="7">
        <v>5.577</v>
      </c>
      <c r="H9250" s="15" t="s">
        <v>4070</v>
      </c>
      <c r="I9250" s="15" t="s">
        <v>1586</v>
      </c>
      <c r="J9250" s="15" t="s">
        <v>32347</v>
      </c>
      <c r="K9250" s="15" t="s">
        <v>1722</v>
      </c>
      <c r="L9250" s="15">
        <v>11.0</v>
      </c>
      <c r="M9250" s="40">
        <v>38418.0</v>
      </c>
      <c r="N9250" s="40">
        <v>38446.0</v>
      </c>
      <c r="O9250" s="15" t="s">
        <v>1554</v>
      </c>
      <c r="Q9250" s="7"/>
    </row>
    <row r="9251">
      <c r="A9251" s="39" t="s">
        <v>28082</v>
      </c>
      <c r="B9251" s="15">
        <v>1407671.0</v>
      </c>
      <c r="D9251" s="15">
        <v>0.0</v>
      </c>
      <c r="E9251" s="15" t="s">
        <v>1664</v>
      </c>
      <c r="F9251" s="15" t="s">
        <v>1664</v>
      </c>
      <c r="G9251" s="7">
        <v>34.478</v>
      </c>
      <c r="H9251" s="15" t="s">
        <v>4396</v>
      </c>
      <c r="I9251" s="15" t="s">
        <v>1722</v>
      </c>
      <c r="J9251" s="15" t="s">
        <v>32348</v>
      </c>
      <c r="K9251" s="15" t="s">
        <v>1722</v>
      </c>
      <c r="L9251" s="15">
        <v>55.0</v>
      </c>
      <c r="M9251" s="40">
        <v>41584.0</v>
      </c>
      <c r="N9251" s="41">
        <v>42307.0</v>
      </c>
      <c r="O9251" s="15" t="s">
        <v>1554</v>
      </c>
      <c r="Q9251" s="7"/>
    </row>
    <row r="9252">
      <c r="A9252" s="39" t="s">
        <v>28085</v>
      </c>
      <c r="B9252" s="15">
        <v>1758150.0</v>
      </c>
      <c r="D9252" s="15">
        <v>0.0</v>
      </c>
      <c r="E9252" s="15" t="s">
        <v>1808</v>
      </c>
      <c r="F9252" s="15" t="s">
        <v>3154</v>
      </c>
      <c r="G9252" s="7">
        <v>5.013</v>
      </c>
      <c r="H9252" s="15" t="s">
        <v>2451</v>
      </c>
      <c r="I9252" s="15" t="s">
        <v>1586</v>
      </c>
      <c r="J9252" s="15" t="s">
        <v>32350</v>
      </c>
      <c r="K9252" s="15" t="s">
        <v>1722</v>
      </c>
      <c r="L9252" s="15">
        <v>5.0</v>
      </c>
      <c r="M9252" s="41">
        <v>42718.0</v>
      </c>
      <c r="N9252" s="41">
        <v>42718.0</v>
      </c>
      <c r="O9252" s="15" t="s">
        <v>1554</v>
      </c>
      <c r="Q9252" s="7"/>
    </row>
    <row r="9253">
      <c r="A9253" s="39" t="s">
        <v>32351</v>
      </c>
      <c r="B9253" s="15">
        <v>1874015.0</v>
      </c>
      <c r="D9253" s="15">
        <v>0.0</v>
      </c>
      <c r="E9253" s="15" t="s">
        <v>1557</v>
      </c>
      <c r="F9253" s="15" t="s">
        <v>1833</v>
      </c>
      <c r="G9253" s="7">
        <v>66.507</v>
      </c>
      <c r="H9253" s="15">
        <v>69.0</v>
      </c>
      <c r="I9253" s="15" t="s">
        <v>1586</v>
      </c>
      <c r="J9253" s="15" t="s">
        <v>32352</v>
      </c>
      <c r="K9253" s="15">
        <v>90.0</v>
      </c>
      <c r="L9253" s="15">
        <v>90.0</v>
      </c>
      <c r="M9253" s="40">
        <v>42596.0</v>
      </c>
      <c r="N9253" s="40">
        <v>42596.0</v>
      </c>
      <c r="O9253" s="15" t="s">
        <v>1554</v>
      </c>
      <c r="Q9253" s="7"/>
    </row>
    <row r="9254">
      <c r="A9254" s="39" t="s">
        <v>30900</v>
      </c>
      <c r="B9254" s="15">
        <v>1277893.0</v>
      </c>
      <c r="D9254" s="15">
        <v>0.0</v>
      </c>
      <c r="E9254" s="15" t="s">
        <v>1557</v>
      </c>
      <c r="F9254" s="15" t="s">
        <v>1611</v>
      </c>
      <c r="G9254" s="7">
        <v>38.253</v>
      </c>
      <c r="H9254" s="15" t="s">
        <v>5368</v>
      </c>
      <c r="I9254" s="15" t="s">
        <v>1586</v>
      </c>
      <c r="J9254" s="15" t="s">
        <v>32353</v>
      </c>
      <c r="K9254" s="15">
        <v>57.0</v>
      </c>
      <c r="L9254" s="15">
        <v>56.0</v>
      </c>
      <c r="M9254" s="40">
        <v>41733.0</v>
      </c>
      <c r="N9254" s="40">
        <v>41733.0</v>
      </c>
      <c r="O9254" s="15" t="s">
        <v>1554</v>
      </c>
      <c r="Q9254" s="7"/>
    </row>
    <row r="9255">
      <c r="A9255" s="39" t="s">
        <v>30902</v>
      </c>
      <c r="B9255" s="15">
        <v>1278402.0</v>
      </c>
      <c r="D9255" s="15">
        <v>0.0</v>
      </c>
      <c r="E9255" s="15" t="s">
        <v>1557</v>
      </c>
      <c r="F9255" s="15" t="s">
        <v>1767</v>
      </c>
      <c r="G9255" s="7">
        <v>174.204</v>
      </c>
      <c r="H9255" s="15" t="s">
        <v>1602</v>
      </c>
      <c r="I9255" s="15" t="s">
        <v>1586</v>
      </c>
      <c r="J9255" s="15" t="s">
        <v>32355</v>
      </c>
      <c r="K9255" s="15">
        <v>220.0</v>
      </c>
      <c r="L9255" s="15">
        <v>215.0</v>
      </c>
      <c r="M9255" s="41">
        <v>42656.0</v>
      </c>
      <c r="N9255" s="41">
        <v>42656.0</v>
      </c>
      <c r="O9255" s="15" t="s">
        <v>1554</v>
      </c>
      <c r="Q9255" s="7"/>
    </row>
    <row r="9256">
      <c r="A9256" s="39" t="s">
        <v>32356</v>
      </c>
      <c r="B9256" s="15">
        <v>1737467.0</v>
      </c>
      <c r="D9256" s="15">
        <v>0.0</v>
      </c>
      <c r="E9256" s="15" t="s">
        <v>1557</v>
      </c>
      <c r="F9256" s="15" t="s">
        <v>1767</v>
      </c>
      <c r="G9256" s="7">
        <v>65.762</v>
      </c>
      <c r="H9256" s="15" t="s">
        <v>3776</v>
      </c>
      <c r="I9256" s="15" t="s">
        <v>1586</v>
      </c>
      <c r="J9256" s="15" t="s">
        <v>32357</v>
      </c>
      <c r="K9256" s="15" t="s">
        <v>1722</v>
      </c>
      <c r="L9256" s="15">
        <v>90.0</v>
      </c>
      <c r="M9256" s="41">
        <v>42302.0</v>
      </c>
      <c r="N9256" s="41">
        <v>42302.0</v>
      </c>
      <c r="O9256" s="15" t="s">
        <v>1554</v>
      </c>
      <c r="Q9256" s="7"/>
    </row>
    <row r="9257">
      <c r="A9257" s="39" t="s">
        <v>32358</v>
      </c>
      <c r="B9257" s="15">
        <v>1088867.0</v>
      </c>
      <c r="D9257" s="15">
        <v>0.0</v>
      </c>
      <c r="E9257" s="15" t="s">
        <v>1557</v>
      </c>
      <c r="F9257" s="15" t="s">
        <v>1767</v>
      </c>
      <c r="G9257" s="7">
        <v>155.299</v>
      </c>
      <c r="H9257" s="15" t="s">
        <v>8929</v>
      </c>
      <c r="I9257" s="15" t="s">
        <v>1586</v>
      </c>
      <c r="J9257" s="15" t="s">
        <v>32359</v>
      </c>
      <c r="K9257" s="15">
        <v>264.0</v>
      </c>
      <c r="L9257" s="15">
        <v>229.0</v>
      </c>
      <c r="M9257" s="41">
        <v>40847.0</v>
      </c>
      <c r="N9257" s="40">
        <v>40998.0</v>
      </c>
      <c r="O9257" s="15" t="s">
        <v>1554</v>
      </c>
      <c r="Q9257" s="7"/>
    </row>
    <row r="9258">
      <c r="A9258" s="39" t="s">
        <v>32360</v>
      </c>
      <c r="B9258" s="15">
        <v>1698363.0</v>
      </c>
      <c r="D9258" s="15">
        <v>0.0</v>
      </c>
      <c r="E9258" s="15" t="s">
        <v>1557</v>
      </c>
      <c r="F9258" s="15" t="s">
        <v>1833</v>
      </c>
      <c r="G9258" s="7">
        <v>15.63</v>
      </c>
      <c r="H9258" s="15">
        <v>60.0</v>
      </c>
      <c r="I9258" s="15" t="s">
        <v>1586</v>
      </c>
      <c r="J9258" s="15" t="s">
        <v>32361</v>
      </c>
      <c r="K9258" s="15">
        <v>26.0</v>
      </c>
      <c r="L9258" s="15">
        <v>26.0</v>
      </c>
      <c r="M9258" s="40">
        <v>42270.0</v>
      </c>
      <c r="N9258" s="40">
        <v>42831.0</v>
      </c>
      <c r="O9258" s="15" t="s">
        <v>1554</v>
      </c>
      <c r="Q9258" s="7"/>
    </row>
    <row r="9259">
      <c r="A9259" s="39" t="s">
        <v>30912</v>
      </c>
      <c r="B9259" s="15">
        <v>1278423.0</v>
      </c>
      <c r="D9259" s="15">
        <v>0.0</v>
      </c>
      <c r="E9259" s="15" t="s">
        <v>1557</v>
      </c>
      <c r="F9259" s="15" t="s">
        <v>1767</v>
      </c>
      <c r="G9259" s="7">
        <v>179.565</v>
      </c>
      <c r="H9259" s="15" t="s">
        <v>2440</v>
      </c>
      <c r="I9259" s="15" t="s">
        <v>1586</v>
      </c>
      <c r="J9259" s="15" t="s">
        <v>32362</v>
      </c>
      <c r="K9259" s="15">
        <v>217.0</v>
      </c>
      <c r="L9259" s="15">
        <v>216.0</v>
      </c>
      <c r="M9259" s="41">
        <v>42656.0</v>
      </c>
      <c r="N9259" s="41">
        <v>42656.0</v>
      </c>
      <c r="O9259" s="15" t="s">
        <v>1554</v>
      </c>
      <c r="Q9259" s="7"/>
    </row>
    <row r="9260">
      <c r="A9260" s="39" t="s">
        <v>32363</v>
      </c>
      <c r="B9260" s="15">
        <v>1640883.0</v>
      </c>
      <c r="D9260" s="15">
        <v>0.0</v>
      </c>
      <c r="E9260" s="15" t="s">
        <v>1557</v>
      </c>
      <c r="F9260" s="15" t="s">
        <v>1833</v>
      </c>
      <c r="G9260" s="7">
        <v>69.171</v>
      </c>
      <c r="H9260" s="15" t="s">
        <v>2400</v>
      </c>
      <c r="I9260" s="15" t="s">
        <v>1586</v>
      </c>
      <c r="J9260" s="15" t="s">
        <v>32365</v>
      </c>
      <c r="K9260" s="15">
        <v>106.0</v>
      </c>
      <c r="L9260" s="15">
        <v>106.0</v>
      </c>
      <c r="M9260" s="40">
        <v>42480.0</v>
      </c>
      <c r="N9260" s="40">
        <v>42480.0</v>
      </c>
      <c r="O9260" s="15" t="s">
        <v>1554</v>
      </c>
      <c r="Q9260" s="7"/>
    </row>
    <row r="9261">
      <c r="A9261" s="39" t="s">
        <v>32366</v>
      </c>
      <c r="B9261" s="15">
        <v>330395.0</v>
      </c>
      <c r="D9261" s="15">
        <v>0.0</v>
      </c>
      <c r="E9261" s="15" t="s">
        <v>1557</v>
      </c>
      <c r="F9261" s="15" t="s">
        <v>1767</v>
      </c>
      <c r="G9261" s="7">
        <v>131.384</v>
      </c>
      <c r="H9261" s="15">
        <v>36.0</v>
      </c>
      <c r="I9261" s="15" t="s">
        <v>1586</v>
      </c>
      <c r="J9261" s="15" t="s">
        <v>32367</v>
      </c>
      <c r="K9261" s="15">
        <v>3.0</v>
      </c>
      <c r="L9261" s="15">
        <v>174.0</v>
      </c>
      <c r="M9261" s="40">
        <v>38657.0</v>
      </c>
      <c r="N9261" s="40">
        <v>38688.0</v>
      </c>
      <c r="O9261" s="15" t="s">
        <v>1554</v>
      </c>
      <c r="Q9261" s="7"/>
    </row>
    <row r="9262">
      <c r="A9262" s="39" t="s">
        <v>32368</v>
      </c>
      <c r="B9262" s="15">
        <v>1701803.0</v>
      </c>
      <c r="D9262" s="15">
        <v>0.0</v>
      </c>
      <c r="E9262" s="15" t="s">
        <v>1557</v>
      </c>
      <c r="F9262" s="15" t="s">
        <v>1833</v>
      </c>
      <c r="G9262" s="7">
        <v>67.349</v>
      </c>
      <c r="H9262" s="15" t="s">
        <v>13987</v>
      </c>
      <c r="I9262" s="15" t="s">
        <v>1586</v>
      </c>
      <c r="J9262" s="15" t="s">
        <v>32369</v>
      </c>
      <c r="K9262" s="15">
        <v>92.0</v>
      </c>
      <c r="L9262" s="15">
        <v>92.0</v>
      </c>
      <c r="M9262" s="40">
        <v>42270.0</v>
      </c>
      <c r="N9262" s="40">
        <v>42270.0</v>
      </c>
      <c r="O9262" s="15" t="s">
        <v>1554</v>
      </c>
      <c r="Q9262" s="7"/>
    </row>
    <row r="9263">
      <c r="A9263" s="39" t="s">
        <v>32370</v>
      </c>
      <c r="B9263" s="15">
        <v>1084721.0</v>
      </c>
      <c r="D9263" s="15">
        <v>0.0</v>
      </c>
      <c r="E9263" s="15" t="s">
        <v>1557</v>
      </c>
      <c r="F9263" s="15" t="s">
        <v>1833</v>
      </c>
      <c r="G9263" s="7">
        <v>68.307</v>
      </c>
      <c r="H9263" s="15" t="s">
        <v>2492</v>
      </c>
      <c r="I9263" s="15" t="s">
        <v>1586</v>
      </c>
      <c r="J9263" s="15" t="s">
        <v>32371</v>
      </c>
      <c r="K9263" s="15">
        <v>99.0</v>
      </c>
      <c r="L9263" s="15">
        <v>99.0</v>
      </c>
      <c r="M9263" s="40">
        <v>40812.0</v>
      </c>
      <c r="N9263" s="40">
        <v>42186.0</v>
      </c>
      <c r="O9263" s="15" t="s">
        <v>1554</v>
      </c>
      <c r="Q9263" s="7"/>
    </row>
    <row r="9264">
      <c r="A9264" s="39" t="s">
        <v>32372</v>
      </c>
      <c r="B9264" s="15">
        <v>1235690.0</v>
      </c>
      <c r="D9264" s="15">
        <v>0.0</v>
      </c>
      <c r="E9264" s="15" t="s">
        <v>1557</v>
      </c>
      <c r="F9264" s="15" t="s">
        <v>1833</v>
      </c>
      <c r="G9264" s="7">
        <v>68.91</v>
      </c>
      <c r="H9264" s="15" t="s">
        <v>4308</v>
      </c>
      <c r="I9264" s="15" t="s">
        <v>1586</v>
      </c>
      <c r="J9264" s="15" t="s">
        <v>32374</v>
      </c>
      <c r="K9264" s="15">
        <v>105.0</v>
      </c>
      <c r="L9264" s="15">
        <v>105.0</v>
      </c>
      <c r="M9264" s="40">
        <v>41290.0</v>
      </c>
      <c r="N9264" s="41">
        <v>41635.0</v>
      </c>
      <c r="O9264" s="15" t="s">
        <v>1554</v>
      </c>
      <c r="Q9264" s="7"/>
    </row>
    <row r="9265">
      <c r="A9265" s="39" t="s">
        <v>32375</v>
      </c>
      <c r="B9265" s="15">
        <v>697290.0</v>
      </c>
      <c r="D9265" s="15">
        <v>0.0</v>
      </c>
      <c r="E9265" s="15" t="s">
        <v>1557</v>
      </c>
      <c r="F9265" s="15" t="s">
        <v>1767</v>
      </c>
      <c r="G9265" s="7">
        <v>168.966</v>
      </c>
      <c r="H9265" s="15" t="s">
        <v>3361</v>
      </c>
      <c r="I9265" s="15" t="s">
        <v>1586</v>
      </c>
      <c r="J9265" s="15" t="s">
        <v>32376</v>
      </c>
      <c r="K9265" s="15">
        <v>286.0</v>
      </c>
      <c r="L9265" s="15">
        <v>276.0</v>
      </c>
      <c r="M9265" s="41">
        <v>41934.0</v>
      </c>
      <c r="N9265" s="40">
        <v>42033.0</v>
      </c>
      <c r="O9265" s="15" t="s">
        <v>1554</v>
      </c>
      <c r="Q9265" s="7"/>
    </row>
    <row r="9266">
      <c r="A9266" s="39" t="s">
        <v>32377</v>
      </c>
      <c r="B9266" s="15">
        <v>69610.0</v>
      </c>
      <c r="D9266" s="15">
        <v>0.0</v>
      </c>
      <c r="E9266" s="15" t="s">
        <v>1557</v>
      </c>
      <c r="F9266" s="15" t="s">
        <v>1767</v>
      </c>
      <c r="G9266" s="7">
        <v>168.394</v>
      </c>
      <c r="H9266" s="15" t="s">
        <v>3568</v>
      </c>
      <c r="I9266" s="15" t="s">
        <v>1586</v>
      </c>
      <c r="J9266" s="15" t="s">
        <v>32378</v>
      </c>
      <c r="K9266" s="15">
        <v>283.0</v>
      </c>
      <c r="L9266" s="15">
        <v>271.0</v>
      </c>
      <c r="M9266" s="41">
        <v>41934.0</v>
      </c>
      <c r="N9266" s="40">
        <v>42033.0</v>
      </c>
      <c r="O9266" s="15" t="s">
        <v>1554</v>
      </c>
      <c r="Q9266" s="7"/>
    </row>
    <row r="9267">
      <c r="A9267" s="39" t="s">
        <v>32379</v>
      </c>
      <c r="B9267" s="15">
        <v>1308871.0</v>
      </c>
      <c r="D9267" s="15">
        <v>0.0</v>
      </c>
      <c r="E9267" s="15" t="s">
        <v>1557</v>
      </c>
      <c r="F9267" s="15" t="s">
        <v>1611</v>
      </c>
      <c r="G9267" s="7">
        <v>38.253</v>
      </c>
      <c r="H9267" s="15" t="s">
        <v>5368</v>
      </c>
      <c r="I9267" s="15" t="s">
        <v>1586</v>
      </c>
      <c r="J9267" s="15" t="s">
        <v>32380</v>
      </c>
      <c r="K9267" s="15">
        <v>57.0</v>
      </c>
      <c r="L9267" s="15">
        <v>56.0</v>
      </c>
      <c r="M9267" s="40">
        <v>41733.0</v>
      </c>
      <c r="N9267" s="40">
        <v>41733.0</v>
      </c>
      <c r="O9267" s="15" t="s">
        <v>1554</v>
      </c>
      <c r="Q9267" s="7"/>
    </row>
    <row r="9268">
      <c r="A9268" s="39" t="s">
        <v>32382</v>
      </c>
      <c r="B9268" s="15">
        <v>1470462.0</v>
      </c>
      <c r="D9268" s="15">
        <v>0.0</v>
      </c>
      <c r="E9268" s="15" t="s">
        <v>1557</v>
      </c>
      <c r="F9268" s="15" t="s">
        <v>1578</v>
      </c>
      <c r="G9268" s="7">
        <v>36.991</v>
      </c>
      <c r="H9268" s="42">
        <v>43309.0</v>
      </c>
      <c r="I9268" s="15" t="s">
        <v>1586</v>
      </c>
      <c r="J9268" s="15" t="s">
        <v>32383</v>
      </c>
      <c r="K9268" s="15">
        <v>59.0</v>
      </c>
      <c r="L9268" s="15">
        <v>59.0</v>
      </c>
      <c r="M9268" s="40">
        <v>41731.0</v>
      </c>
      <c r="N9268" s="40">
        <v>41758.0</v>
      </c>
      <c r="O9268" s="15" t="s">
        <v>1554</v>
      </c>
      <c r="Q9268" s="7"/>
    </row>
    <row r="9269">
      <c r="A9269" s="39" t="s">
        <v>32384</v>
      </c>
      <c r="B9269" s="15">
        <v>1698367.0</v>
      </c>
      <c r="D9269" s="15">
        <v>0.0</v>
      </c>
      <c r="E9269" s="15" t="s">
        <v>1557</v>
      </c>
      <c r="F9269" s="15" t="s">
        <v>1833</v>
      </c>
      <c r="G9269" s="7">
        <v>53.79</v>
      </c>
      <c r="H9269" s="15" t="s">
        <v>9965</v>
      </c>
      <c r="I9269" s="15" t="s">
        <v>1586</v>
      </c>
      <c r="J9269" s="15" t="s">
        <v>32385</v>
      </c>
      <c r="K9269" s="15">
        <v>84.0</v>
      </c>
      <c r="L9269" s="15">
        <v>84.0</v>
      </c>
      <c r="M9269" s="40">
        <v>42239.0</v>
      </c>
      <c r="N9269" s="40">
        <v>42239.0</v>
      </c>
      <c r="O9269" s="15" t="s">
        <v>1554</v>
      </c>
      <c r="Q9269" s="7"/>
    </row>
    <row r="9270">
      <c r="A9270" s="39" t="s">
        <v>32386</v>
      </c>
      <c r="B9270" s="15">
        <v>1702260.0</v>
      </c>
      <c r="D9270" s="15">
        <v>0.0</v>
      </c>
      <c r="E9270" s="15" t="s">
        <v>1557</v>
      </c>
      <c r="F9270" s="15" t="s">
        <v>1833</v>
      </c>
      <c r="G9270" s="7">
        <v>44.256</v>
      </c>
      <c r="H9270" s="15" t="s">
        <v>1943</v>
      </c>
      <c r="I9270" s="15" t="s">
        <v>1586</v>
      </c>
      <c r="J9270" s="15" t="s">
        <v>32387</v>
      </c>
      <c r="K9270" s="15">
        <v>84.0</v>
      </c>
      <c r="L9270" s="15">
        <v>84.0</v>
      </c>
      <c r="M9270" s="40">
        <v>42240.0</v>
      </c>
      <c r="N9270" s="40">
        <v>42438.0</v>
      </c>
      <c r="O9270" s="15" t="s">
        <v>1554</v>
      </c>
      <c r="Q9270" s="7"/>
    </row>
    <row r="9271">
      <c r="A9271" s="39" t="s">
        <v>32389</v>
      </c>
      <c r="B9271" s="15">
        <v>1788345.0</v>
      </c>
      <c r="D9271" s="15">
        <v>0.0</v>
      </c>
      <c r="E9271" s="15" t="s">
        <v>1557</v>
      </c>
      <c r="F9271" s="15" t="s">
        <v>1833</v>
      </c>
      <c r="G9271" s="7">
        <v>41.865</v>
      </c>
      <c r="H9271" s="15" t="s">
        <v>5042</v>
      </c>
      <c r="I9271" s="15" t="s">
        <v>1586</v>
      </c>
      <c r="J9271" s="15" t="s">
        <v>32390</v>
      </c>
      <c r="K9271" s="15" t="s">
        <v>1722</v>
      </c>
      <c r="L9271" s="15">
        <v>62.0</v>
      </c>
      <c r="M9271" s="40">
        <v>42487.0</v>
      </c>
      <c r="N9271" s="40">
        <v>42487.0</v>
      </c>
      <c r="O9271" s="15" t="s">
        <v>1554</v>
      </c>
      <c r="Q9271" s="7"/>
    </row>
    <row r="9272">
      <c r="A9272" s="39" t="s">
        <v>32391</v>
      </c>
      <c r="B9272" s="15">
        <v>927988.0</v>
      </c>
      <c r="D9272" s="15">
        <v>0.0</v>
      </c>
      <c r="E9272" s="15" t="s">
        <v>1557</v>
      </c>
      <c r="F9272" s="15" t="s">
        <v>1833</v>
      </c>
      <c r="G9272" s="7">
        <v>48.491</v>
      </c>
      <c r="H9272" s="15">
        <v>64.0</v>
      </c>
      <c r="I9272" s="15" t="s">
        <v>1586</v>
      </c>
      <c r="J9272" s="15" t="s">
        <v>32392</v>
      </c>
      <c r="K9272" s="15">
        <v>41.0</v>
      </c>
      <c r="L9272" s="15">
        <v>33.0</v>
      </c>
      <c r="M9272" s="40">
        <v>40589.0</v>
      </c>
      <c r="N9272" s="40">
        <v>40589.0</v>
      </c>
      <c r="O9272" s="15" t="s">
        <v>2353</v>
      </c>
      <c r="Q9272" s="7"/>
    </row>
    <row r="9273">
      <c r="A9273" s="39" t="s">
        <v>32393</v>
      </c>
      <c r="B9273" s="15">
        <v>1874531.0</v>
      </c>
      <c r="D9273" s="15">
        <v>0.0</v>
      </c>
      <c r="E9273" s="15" t="s">
        <v>1557</v>
      </c>
      <c r="F9273" s="15" t="s">
        <v>1611</v>
      </c>
      <c r="G9273" s="7">
        <v>39.136</v>
      </c>
      <c r="H9273" s="15" t="s">
        <v>1566</v>
      </c>
      <c r="I9273" s="15" t="s">
        <v>1586</v>
      </c>
      <c r="J9273" s="15" t="s">
        <v>32394</v>
      </c>
      <c r="K9273" s="15">
        <v>47.0</v>
      </c>
      <c r="L9273" s="15">
        <v>47.0</v>
      </c>
      <c r="M9273" s="40">
        <v>42590.0</v>
      </c>
      <c r="N9273" s="40">
        <v>42752.0</v>
      </c>
      <c r="O9273" s="15" t="s">
        <v>1554</v>
      </c>
      <c r="Q9273" s="7"/>
    </row>
    <row r="9274">
      <c r="A9274" s="39" t="s">
        <v>32395</v>
      </c>
      <c r="B9274" s="15">
        <v>1874530.0</v>
      </c>
      <c r="D9274" s="15">
        <v>0.0</v>
      </c>
      <c r="E9274" s="15" t="s">
        <v>1557</v>
      </c>
      <c r="F9274" s="15" t="s">
        <v>1611</v>
      </c>
      <c r="G9274" s="7">
        <v>39.092</v>
      </c>
      <c r="H9274" s="15" t="s">
        <v>1566</v>
      </c>
      <c r="I9274" s="15" t="s">
        <v>1586</v>
      </c>
      <c r="J9274" s="15" t="s">
        <v>32397</v>
      </c>
      <c r="K9274" s="15">
        <v>48.0</v>
      </c>
      <c r="L9274" s="15">
        <v>48.0</v>
      </c>
      <c r="M9274" s="40">
        <v>42590.0</v>
      </c>
      <c r="N9274" s="40">
        <v>42752.0</v>
      </c>
      <c r="O9274" s="15" t="s">
        <v>2353</v>
      </c>
      <c r="Q9274" s="7"/>
    </row>
    <row r="9275">
      <c r="A9275" s="39" t="s">
        <v>32398</v>
      </c>
      <c r="B9275" s="15">
        <v>1788346.0</v>
      </c>
      <c r="D9275" s="15">
        <v>0.0</v>
      </c>
      <c r="E9275" s="15" t="s">
        <v>1557</v>
      </c>
      <c r="F9275" s="15" t="s">
        <v>1833</v>
      </c>
      <c r="G9275" s="7">
        <v>41.867</v>
      </c>
      <c r="H9275" s="15" t="s">
        <v>5042</v>
      </c>
      <c r="I9275" s="15" t="s">
        <v>1586</v>
      </c>
      <c r="J9275" s="15" t="s">
        <v>32399</v>
      </c>
      <c r="K9275" s="15" t="s">
        <v>1722</v>
      </c>
      <c r="L9275" s="15">
        <v>61.0</v>
      </c>
      <c r="M9275" s="40">
        <v>42487.0</v>
      </c>
      <c r="N9275" s="40">
        <v>42487.0</v>
      </c>
      <c r="O9275" s="15" t="s">
        <v>1554</v>
      </c>
      <c r="Q9275" s="7"/>
    </row>
    <row r="9276">
      <c r="A9276" s="39" t="s">
        <v>32400</v>
      </c>
      <c r="B9276" s="15">
        <v>1718174.0</v>
      </c>
      <c r="D9276" s="15">
        <v>0.0</v>
      </c>
      <c r="E9276" s="15" t="s">
        <v>1557</v>
      </c>
      <c r="F9276" s="15" t="s">
        <v>1833</v>
      </c>
      <c r="G9276" s="7">
        <v>53.746</v>
      </c>
      <c r="H9276" s="15" t="s">
        <v>8725</v>
      </c>
      <c r="I9276" s="15" t="s">
        <v>1586</v>
      </c>
      <c r="J9276" s="15" t="s">
        <v>32401</v>
      </c>
      <c r="K9276" s="15">
        <v>85.0</v>
      </c>
      <c r="L9276" s="15">
        <v>85.0</v>
      </c>
      <c r="M9276" s="40">
        <v>42270.0</v>
      </c>
      <c r="N9276" s="40">
        <v>42270.0</v>
      </c>
      <c r="O9276" s="15" t="s">
        <v>1554</v>
      </c>
      <c r="Q9276" s="7"/>
    </row>
    <row r="9277">
      <c r="A9277" s="39" t="s">
        <v>32402</v>
      </c>
      <c r="B9277" s="15">
        <v>69612.0</v>
      </c>
      <c r="D9277" s="15">
        <v>0.0</v>
      </c>
      <c r="E9277" s="15" t="s">
        <v>1557</v>
      </c>
      <c r="F9277" s="15" t="s">
        <v>1767</v>
      </c>
      <c r="G9277" s="7">
        <v>168.395</v>
      </c>
      <c r="H9277" s="15" t="s">
        <v>3568</v>
      </c>
      <c r="I9277" s="15" t="s">
        <v>1586</v>
      </c>
      <c r="J9277" s="15" t="s">
        <v>32403</v>
      </c>
      <c r="K9277" s="15">
        <v>284.0</v>
      </c>
      <c r="L9277" s="15">
        <v>272.0</v>
      </c>
      <c r="M9277" s="41">
        <v>41934.0</v>
      </c>
      <c r="N9277" s="40">
        <v>42033.0</v>
      </c>
      <c r="O9277" s="15" t="s">
        <v>1554</v>
      </c>
      <c r="Q9277" s="7"/>
    </row>
    <row r="9278">
      <c r="A9278" s="39" t="s">
        <v>32404</v>
      </c>
      <c r="B9278" s="15">
        <v>1089124.0</v>
      </c>
      <c r="D9278" s="15">
        <v>0.0</v>
      </c>
      <c r="E9278" s="15" t="s">
        <v>1557</v>
      </c>
      <c r="F9278" s="15" t="s">
        <v>1833</v>
      </c>
      <c r="G9278" s="7">
        <v>68.839</v>
      </c>
      <c r="H9278" s="15" t="s">
        <v>4308</v>
      </c>
      <c r="I9278" s="15" t="s">
        <v>1586</v>
      </c>
      <c r="J9278" s="15" t="s">
        <v>32406</v>
      </c>
      <c r="K9278" s="15">
        <v>104.0</v>
      </c>
      <c r="L9278" s="15">
        <v>104.0</v>
      </c>
      <c r="M9278" s="40">
        <v>40853.0</v>
      </c>
      <c r="N9278" s="40">
        <v>42186.0</v>
      </c>
      <c r="O9278" s="15" t="s">
        <v>1554</v>
      </c>
      <c r="Q9278" s="7"/>
    </row>
    <row r="9279">
      <c r="A9279" s="39" t="s">
        <v>32407</v>
      </c>
      <c r="B9279" s="15">
        <v>1541886.0</v>
      </c>
      <c r="D9279" s="15">
        <v>0.0</v>
      </c>
      <c r="E9279" s="15" t="s">
        <v>1557</v>
      </c>
      <c r="F9279" s="15" t="s">
        <v>1833</v>
      </c>
      <c r="G9279" s="7">
        <v>68.576</v>
      </c>
      <c r="H9279" s="15" t="s">
        <v>2492</v>
      </c>
      <c r="I9279" s="15" t="s">
        <v>1586</v>
      </c>
      <c r="J9279" s="15" t="s">
        <v>32408</v>
      </c>
      <c r="K9279" s="15">
        <v>101.0</v>
      </c>
      <c r="L9279" s="15">
        <v>101.0</v>
      </c>
      <c r="M9279" s="40">
        <v>41892.0</v>
      </c>
      <c r="N9279" s="40">
        <v>41892.0</v>
      </c>
      <c r="O9279" s="15" t="s">
        <v>1554</v>
      </c>
      <c r="Q9279" s="7"/>
    </row>
    <row r="9280">
      <c r="A9280" s="39" t="s">
        <v>32409</v>
      </c>
      <c r="B9280" s="15">
        <v>1897426.0</v>
      </c>
      <c r="D9280" s="15">
        <v>0.0</v>
      </c>
      <c r="E9280" s="15" t="s">
        <v>1557</v>
      </c>
      <c r="F9280" s="15" t="s">
        <v>1833</v>
      </c>
      <c r="G9280" s="7">
        <v>68.938</v>
      </c>
      <c r="H9280" s="15" t="s">
        <v>2492</v>
      </c>
      <c r="I9280" s="15" t="s">
        <v>1586</v>
      </c>
      <c r="J9280" s="15" t="s">
        <v>32410</v>
      </c>
      <c r="K9280" s="15">
        <v>101.0</v>
      </c>
      <c r="L9280" s="15">
        <v>101.0</v>
      </c>
      <c r="M9280" s="40">
        <v>42634.0</v>
      </c>
      <c r="N9280" s="40">
        <v>42634.0</v>
      </c>
      <c r="O9280" s="15" t="s">
        <v>1554</v>
      </c>
      <c r="Q9280" s="7"/>
    </row>
    <row r="9281">
      <c r="A9281" s="39" t="s">
        <v>30912</v>
      </c>
      <c r="B9281" s="15">
        <v>1278423.0</v>
      </c>
      <c r="D9281" s="15">
        <v>0.0</v>
      </c>
      <c r="E9281" s="15" t="s">
        <v>1557</v>
      </c>
      <c r="F9281" s="15" t="s">
        <v>1767</v>
      </c>
      <c r="G9281" s="7">
        <v>179.558</v>
      </c>
      <c r="H9281" s="15" t="s">
        <v>2440</v>
      </c>
      <c r="I9281" s="15" t="s">
        <v>1586</v>
      </c>
      <c r="J9281" s="15" t="s">
        <v>32411</v>
      </c>
      <c r="K9281" s="15">
        <v>217.0</v>
      </c>
      <c r="L9281" s="15">
        <v>216.0</v>
      </c>
      <c r="M9281" s="41">
        <v>42656.0</v>
      </c>
      <c r="N9281" s="41">
        <v>42656.0</v>
      </c>
      <c r="O9281" s="15" t="s">
        <v>1554</v>
      </c>
      <c r="Q9281" s="7"/>
    </row>
    <row r="9282">
      <c r="A9282" s="39" t="s">
        <v>32412</v>
      </c>
      <c r="B9282" s="15">
        <v>1735465.0</v>
      </c>
      <c r="D9282" s="15">
        <v>0.0</v>
      </c>
      <c r="E9282" s="15" t="s">
        <v>1557</v>
      </c>
      <c r="F9282" s="15" t="s">
        <v>1833</v>
      </c>
      <c r="G9282" s="7">
        <v>15.556</v>
      </c>
      <c r="H9282" s="15" t="s">
        <v>10437</v>
      </c>
      <c r="I9282" s="15" t="s">
        <v>1586</v>
      </c>
      <c r="J9282" s="15" t="s">
        <v>32413</v>
      </c>
      <c r="K9282" s="15">
        <v>26.0</v>
      </c>
      <c r="L9282" s="15">
        <v>26.0</v>
      </c>
      <c r="M9282" s="41">
        <v>42302.0</v>
      </c>
      <c r="N9282" s="41">
        <v>42302.0</v>
      </c>
      <c r="O9282" s="15" t="s">
        <v>1554</v>
      </c>
      <c r="Q9282" s="7"/>
    </row>
    <row r="9283">
      <c r="A9283" s="39" t="s">
        <v>32415</v>
      </c>
      <c r="B9283" s="15">
        <v>1089131.0</v>
      </c>
      <c r="D9283" s="15">
        <v>0.0</v>
      </c>
      <c r="E9283" s="15" t="s">
        <v>1557</v>
      </c>
      <c r="F9283" s="15" t="s">
        <v>1767</v>
      </c>
      <c r="G9283" s="7">
        <v>156.758</v>
      </c>
      <c r="H9283" s="15" t="s">
        <v>4171</v>
      </c>
      <c r="I9283" s="15" t="s">
        <v>1586</v>
      </c>
      <c r="J9283" s="15" t="s">
        <v>32416</v>
      </c>
      <c r="K9283" s="15">
        <v>274.0</v>
      </c>
      <c r="L9283" s="15">
        <v>238.0</v>
      </c>
      <c r="M9283" s="40">
        <v>40853.0</v>
      </c>
      <c r="N9283" s="40">
        <v>40942.0</v>
      </c>
      <c r="O9283" s="15" t="s">
        <v>1554</v>
      </c>
      <c r="Q9283" s="7"/>
    </row>
    <row r="9284">
      <c r="A9284" s="39" t="s">
        <v>32417</v>
      </c>
      <c r="B9284" s="15">
        <v>1737466.0</v>
      </c>
      <c r="D9284" s="15">
        <v>0.0</v>
      </c>
      <c r="E9284" s="15" t="s">
        <v>1557</v>
      </c>
      <c r="F9284" s="15" t="s">
        <v>1767</v>
      </c>
      <c r="G9284" s="7">
        <v>65.908</v>
      </c>
      <c r="H9284" s="15" t="s">
        <v>3776</v>
      </c>
      <c r="I9284" s="15" t="s">
        <v>1586</v>
      </c>
      <c r="J9284" s="15" t="s">
        <v>32418</v>
      </c>
      <c r="K9284" s="15" t="s">
        <v>1722</v>
      </c>
      <c r="L9284" s="15">
        <v>90.0</v>
      </c>
      <c r="M9284" s="41">
        <v>42302.0</v>
      </c>
      <c r="N9284" s="41">
        <v>42302.0</v>
      </c>
      <c r="O9284" s="15" t="s">
        <v>1554</v>
      </c>
      <c r="Q9284" s="7"/>
    </row>
    <row r="9285">
      <c r="A9285" s="39" t="s">
        <v>30902</v>
      </c>
      <c r="B9285" s="15">
        <v>1278402.0</v>
      </c>
      <c r="D9285" s="15">
        <v>0.0</v>
      </c>
      <c r="E9285" s="15" t="s">
        <v>1557</v>
      </c>
      <c r="F9285" s="15" t="s">
        <v>1767</v>
      </c>
      <c r="G9285" s="7">
        <v>174.67</v>
      </c>
      <c r="H9285" s="15" t="s">
        <v>6418</v>
      </c>
      <c r="I9285" s="15" t="s">
        <v>1586</v>
      </c>
      <c r="J9285" s="15" t="s">
        <v>32419</v>
      </c>
      <c r="K9285" s="15">
        <v>218.0</v>
      </c>
      <c r="L9285" s="15">
        <v>213.0</v>
      </c>
      <c r="M9285" s="41">
        <v>42656.0</v>
      </c>
      <c r="N9285" s="41">
        <v>42656.0</v>
      </c>
      <c r="O9285" s="15" t="s">
        <v>1554</v>
      </c>
      <c r="Q9285" s="7"/>
    </row>
    <row r="9286">
      <c r="A9286" s="39" t="s">
        <v>32420</v>
      </c>
      <c r="B9286" s="15">
        <v>1667365.0</v>
      </c>
      <c r="D9286" s="15">
        <v>0.0</v>
      </c>
      <c r="E9286" s="15" t="s">
        <v>1557</v>
      </c>
      <c r="F9286" s="15" t="s">
        <v>1611</v>
      </c>
      <c r="G9286" s="7">
        <v>41.143</v>
      </c>
      <c r="H9286" s="15" t="s">
        <v>5368</v>
      </c>
      <c r="I9286" s="15" t="s">
        <v>1586</v>
      </c>
      <c r="J9286" s="15" t="s">
        <v>32421</v>
      </c>
      <c r="K9286" s="15">
        <v>58.0</v>
      </c>
      <c r="L9286" s="15">
        <v>58.0</v>
      </c>
      <c r="M9286" s="40">
        <v>42185.0</v>
      </c>
      <c r="N9286" s="40">
        <v>42185.0</v>
      </c>
      <c r="O9286" s="15" t="s">
        <v>1554</v>
      </c>
      <c r="Q9286" s="7"/>
    </row>
    <row r="9287">
      <c r="A9287" s="39" t="s">
        <v>28085</v>
      </c>
      <c r="B9287" s="15">
        <v>1758150.0</v>
      </c>
      <c r="D9287" s="15">
        <v>0.0</v>
      </c>
      <c r="E9287" s="15" t="s">
        <v>1808</v>
      </c>
      <c r="F9287" s="15" t="s">
        <v>3154</v>
      </c>
      <c r="G9287" s="7">
        <v>4.651</v>
      </c>
      <c r="H9287" s="15" t="s">
        <v>5368</v>
      </c>
      <c r="I9287" s="15" t="s">
        <v>1586</v>
      </c>
      <c r="J9287" s="15" t="s">
        <v>32422</v>
      </c>
      <c r="K9287" s="15" t="s">
        <v>1722</v>
      </c>
      <c r="L9287" s="15">
        <v>4.0</v>
      </c>
      <c r="M9287" s="41">
        <v>42718.0</v>
      </c>
      <c r="N9287" s="41">
        <v>42718.0</v>
      </c>
      <c r="O9287" s="15" t="s">
        <v>1554</v>
      </c>
      <c r="Q9287" s="7"/>
    </row>
    <row r="9288">
      <c r="A9288" s="39" t="s">
        <v>28082</v>
      </c>
      <c r="B9288" s="15">
        <v>1407671.0</v>
      </c>
      <c r="D9288" s="15">
        <v>0.0</v>
      </c>
      <c r="E9288" s="15" t="s">
        <v>1664</v>
      </c>
      <c r="F9288" s="15" t="s">
        <v>1664</v>
      </c>
      <c r="G9288" s="7">
        <v>36.799</v>
      </c>
      <c r="H9288" s="15" t="s">
        <v>1696</v>
      </c>
      <c r="I9288" s="15" t="s">
        <v>1722</v>
      </c>
      <c r="J9288" s="15" t="s">
        <v>32423</v>
      </c>
      <c r="K9288" s="15" t="s">
        <v>1722</v>
      </c>
      <c r="L9288" s="15">
        <v>48.0</v>
      </c>
      <c r="M9288" s="40">
        <v>41584.0</v>
      </c>
      <c r="N9288" s="41">
        <v>42307.0</v>
      </c>
      <c r="O9288" s="15" t="s">
        <v>1554</v>
      </c>
      <c r="Q9288" s="7"/>
    </row>
    <row r="9289">
      <c r="A9289" s="39" t="s">
        <v>31533</v>
      </c>
      <c r="B9289" s="15">
        <v>310953.0</v>
      </c>
      <c r="D9289" s="15">
        <v>0.0</v>
      </c>
      <c r="E9289" s="15" t="s">
        <v>1808</v>
      </c>
      <c r="F9289" s="15" t="s">
        <v>3154</v>
      </c>
      <c r="G9289" s="7">
        <v>5.577</v>
      </c>
      <c r="H9289" s="15" t="s">
        <v>4070</v>
      </c>
      <c r="I9289" s="15" t="s">
        <v>1586</v>
      </c>
      <c r="J9289" s="15" t="s">
        <v>32425</v>
      </c>
      <c r="K9289" s="15" t="s">
        <v>1722</v>
      </c>
      <c r="L9289" s="15">
        <v>11.0</v>
      </c>
      <c r="M9289" s="40">
        <v>42563.0</v>
      </c>
      <c r="N9289" s="40">
        <v>42563.0</v>
      </c>
      <c r="O9289" s="15" t="s">
        <v>1554</v>
      </c>
      <c r="Q9289" s="7"/>
    </row>
    <row r="9290">
      <c r="A9290" s="39" t="s">
        <v>27611</v>
      </c>
      <c r="B9290" s="15">
        <v>10847.0</v>
      </c>
      <c r="D9290" s="15">
        <v>0.0</v>
      </c>
      <c r="E9290" s="15" t="s">
        <v>1808</v>
      </c>
      <c r="F9290" s="15" t="s">
        <v>3154</v>
      </c>
      <c r="G9290" s="7">
        <v>5.386</v>
      </c>
      <c r="H9290" s="15" t="s">
        <v>2392</v>
      </c>
      <c r="I9290" s="15" t="s">
        <v>1586</v>
      </c>
      <c r="J9290" s="15" t="s">
        <v>32426</v>
      </c>
      <c r="K9290" s="15" t="s">
        <v>1722</v>
      </c>
      <c r="L9290" s="15">
        <v>11.0</v>
      </c>
      <c r="M9290" s="40">
        <v>39132.0</v>
      </c>
      <c r="N9290" s="40">
        <v>39132.0</v>
      </c>
      <c r="O9290" s="15" t="s">
        <v>1554</v>
      </c>
      <c r="Q9290" s="7"/>
    </row>
    <row r="9291">
      <c r="A9291" s="39" t="s">
        <v>32427</v>
      </c>
      <c r="B9291" s="15">
        <v>1486471.0</v>
      </c>
      <c r="D9291" s="15">
        <v>0.0</v>
      </c>
      <c r="E9291" s="15" t="s">
        <v>1557</v>
      </c>
      <c r="F9291" s="15" t="s">
        <v>1833</v>
      </c>
      <c r="G9291" s="7">
        <v>68.428</v>
      </c>
      <c r="H9291" s="15" t="s">
        <v>4308</v>
      </c>
      <c r="I9291" s="15" t="s">
        <v>1586</v>
      </c>
      <c r="J9291" s="15" t="s">
        <v>32428</v>
      </c>
      <c r="K9291" s="15">
        <v>101.0</v>
      </c>
      <c r="L9291" s="15">
        <v>101.0</v>
      </c>
      <c r="M9291" s="40">
        <v>41818.0</v>
      </c>
      <c r="N9291" s="40">
        <v>41818.0</v>
      </c>
      <c r="O9291" s="15" t="s">
        <v>1554</v>
      </c>
      <c r="Q9291" s="7"/>
    </row>
    <row r="9292">
      <c r="A9292" s="39" t="s">
        <v>26529</v>
      </c>
      <c r="B9292" s="15">
        <v>186617.0</v>
      </c>
      <c r="C9292" s="15" t="s">
        <v>26530</v>
      </c>
      <c r="D9292" s="15">
        <v>371593.0</v>
      </c>
      <c r="E9292" s="15" t="s">
        <v>1664</v>
      </c>
      <c r="F9292" s="15" t="s">
        <v>1664</v>
      </c>
      <c r="G9292" s="7">
        <v>29606.8</v>
      </c>
      <c r="H9292" s="15" t="s">
        <v>1902</v>
      </c>
      <c r="I9292" s="15" t="s">
        <v>1722</v>
      </c>
      <c r="J9292" s="15" t="s">
        <v>32429</v>
      </c>
      <c r="K9292" s="15" t="s">
        <v>1722</v>
      </c>
      <c r="L9292" s="15" t="s">
        <v>1722</v>
      </c>
      <c r="M9292" s="40">
        <v>42770.0</v>
      </c>
      <c r="N9292" s="40">
        <v>42851.0</v>
      </c>
      <c r="O9292" s="15" t="s">
        <v>22466</v>
      </c>
      <c r="Q9292" s="7"/>
    </row>
    <row r="9293">
      <c r="A9293" s="39" t="s">
        <v>32430</v>
      </c>
      <c r="B9293" s="15">
        <v>1777068.0</v>
      </c>
      <c r="D9293" s="15">
        <v>0.0</v>
      </c>
      <c r="E9293" s="15" t="s">
        <v>1557</v>
      </c>
      <c r="F9293" s="15" t="s">
        <v>1767</v>
      </c>
      <c r="G9293" s="7">
        <v>92.095</v>
      </c>
      <c r="H9293" s="15" t="s">
        <v>1983</v>
      </c>
      <c r="I9293" s="15" t="s">
        <v>1586</v>
      </c>
      <c r="J9293" s="15" t="s">
        <v>32432</v>
      </c>
      <c r="K9293" s="15">
        <v>166.0</v>
      </c>
      <c r="L9293" s="15">
        <v>161.0</v>
      </c>
      <c r="M9293" s="40">
        <v>42458.0</v>
      </c>
      <c r="N9293" s="40">
        <v>42458.0</v>
      </c>
      <c r="O9293" s="15" t="s">
        <v>1554</v>
      </c>
      <c r="Q9293" s="7"/>
    </row>
    <row r="9294">
      <c r="A9294" s="39" t="s">
        <v>32433</v>
      </c>
      <c r="B9294" s="15">
        <v>1813777.0</v>
      </c>
      <c r="D9294" s="15">
        <v>0.0</v>
      </c>
      <c r="E9294" s="15" t="s">
        <v>1557</v>
      </c>
      <c r="F9294" s="15" t="s">
        <v>1611</v>
      </c>
      <c r="G9294" s="7">
        <v>42.154</v>
      </c>
      <c r="H9294" s="15" t="s">
        <v>1572</v>
      </c>
      <c r="I9294" s="15" t="s">
        <v>1586</v>
      </c>
      <c r="J9294" s="15" t="s">
        <v>32434</v>
      </c>
      <c r="K9294" s="15" t="s">
        <v>1722</v>
      </c>
      <c r="L9294" s="15">
        <v>64.0</v>
      </c>
      <c r="M9294" s="40">
        <v>42543.0</v>
      </c>
      <c r="N9294" s="40">
        <v>42543.0</v>
      </c>
      <c r="O9294" s="15" t="s">
        <v>1554</v>
      </c>
      <c r="Q9294" s="7"/>
    </row>
    <row r="9295">
      <c r="A9295" s="39" t="s">
        <v>32435</v>
      </c>
      <c r="B9295" s="15">
        <v>1862965.0</v>
      </c>
      <c r="D9295" s="15">
        <v>0.0</v>
      </c>
      <c r="E9295" s="15" t="s">
        <v>1557</v>
      </c>
      <c r="F9295" s="15" t="s">
        <v>1833</v>
      </c>
      <c r="G9295" s="7">
        <v>22.35</v>
      </c>
      <c r="H9295" s="15" t="s">
        <v>3554</v>
      </c>
      <c r="I9295" s="15" t="s">
        <v>1586</v>
      </c>
      <c r="J9295" s="15" t="s">
        <v>32436</v>
      </c>
      <c r="K9295" s="15" t="s">
        <v>1722</v>
      </c>
      <c r="L9295" s="15">
        <v>39.0</v>
      </c>
      <c r="M9295" s="40">
        <v>42552.0</v>
      </c>
      <c r="N9295" s="40">
        <v>42552.0</v>
      </c>
      <c r="O9295" s="15" t="s">
        <v>1554</v>
      </c>
      <c r="Q9295" s="7"/>
    </row>
    <row r="9296">
      <c r="A9296" s="39" t="s">
        <v>32437</v>
      </c>
      <c r="B9296" s="15">
        <v>1821724.0</v>
      </c>
      <c r="D9296" s="15">
        <v>0.0</v>
      </c>
      <c r="E9296" s="15" t="s">
        <v>1557</v>
      </c>
      <c r="F9296" s="15" t="s">
        <v>1833</v>
      </c>
      <c r="G9296" s="7">
        <v>50.892</v>
      </c>
      <c r="H9296" s="15">
        <v>64.0</v>
      </c>
      <c r="I9296" s="15" t="s">
        <v>1586</v>
      </c>
      <c r="J9296" s="15" t="s">
        <v>32438</v>
      </c>
      <c r="K9296" s="15">
        <v>93.0</v>
      </c>
      <c r="L9296" s="15">
        <v>90.0</v>
      </c>
      <c r="M9296" s="40">
        <v>42471.0</v>
      </c>
      <c r="N9296" s="40">
        <v>42471.0</v>
      </c>
      <c r="O9296" s="15" t="s">
        <v>1554</v>
      </c>
      <c r="Q9296" s="7"/>
    </row>
    <row r="9297">
      <c r="A9297" s="39" t="s">
        <v>32439</v>
      </c>
      <c r="B9297" s="15">
        <v>1690808.0</v>
      </c>
      <c r="D9297" s="15">
        <v>0.0</v>
      </c>
      <c r="E9297" s="15" t="s">
        <v>1557</v>
      </c>
      <c r="F9297" s="15" t="s">
        <v>1833</v>
      </c>
      <c r="G9297" s="7">
        <v>29.581</v>
      </c>
      <c r="H9297" s="15">
        <v>54.0</v>
      </c>
      <c r="I9297" s="15" t="s">
        <v>1586</v>
      </c>
      <c r="J9297" s="15" t="s">
        <v>32441</v>
      </c>
      <c r="K9297" s="15">
        <v>43.0</v>
      </c>
      <c r="L9297" s="15">
        <v>43.0</v>
      </c>
      <c r="M9297" s="40">
        <v>42245.0</v>
      </c>
      <c r="N9297" s="40">
        <v>42460.0</v>
      </c>
      <c r="O9297" s="15" t="s">
        <v>1554</v>
      </c>
      <c r="Q9297" s="7"/>
    </row>
    <row r="9298">
      <c r="A9298" s="39" t="s">
        <v>32442</v>
      </c>
      <c r="B9298" s="15">
        <v>1755671.0</v>
      </c>
      <c r="D9298" s="15">
        <v>0.0</v>
      </c>
      <c r="E9298" s="15" t="s">
        <v>1557</v>
      </c>
      <c r="F9298" s="15" t="s">
        <v>1833</v>
      </c>
      <c r="G9298" s="7">
        <v>46.596</v>
      </c>
      <c r="H9298" s="15" t="s">
        <v>10292</v>
      </c>
      <c r="I9298" s="15" t="s">
        <v>1586</v>
      </c>
      <c r="J9298" s="15" t="s">
        <v>32443</v>
      </c>
      <c r="K9298" s="15">
        <v>69.0</v>
      </c>
      <c r="L9298" s="15">
        <v>66.0</v>
      </c>
      <c r="M9298" s="41">
        <v>42332.0</v>
      </c>
      <c r="N9298" s="41">
        <v>42332.0</v>
      </c>
      <c r="O9298" s="15" t="s">
        <v>1554</v>
      </c>
      <c r="Q9298" s="7"/>
    </row>
    <row r="9299">
      <c r="A9299" s="39" t="s">
        <v>32444</v>
      </c>
      <c r="B9299" s="15">
        <v>1548715.0</v>
      </c>
      <c r="C9299" s="15" t="s">
        <v>18622</v>
      </c>
      <c r="D9299" s="15">
        <v>300260.0</v>
      </c>
      <c r="E9299" s="15" t="s">
        <v>1548</v>
      </c>
      <c r="F9299" s="15" t="s">
        <v>18494</v>
      </c>
      <c r="G9299" s="7">
        <v>8.914</v>
      </c>
      <c r="H9299" s="15" t="s">
        <v>2023</v>
      </c>
      <c r="I9299" s="15" t="s">
        <v>1686</v>
      </c>
      <c r="J9299" s="15" t="s">
        <v>32445</v>
      </c>
      <c r="K9299" s="15">
        <v>6.0</v>
      </c>
      <c r="L9299" s="15">
        <v>6.0</v>
      </c>
      <c r="M9299" s="40">
        <v>39672.0</v>
      </c>
      <c r="N9299" s="40">
        <v>42607.0</v>
      </c>
      <c r="O9299" s="15" t="s">
        <v>1554</v>
      </c>
      <c r="Q9299" s="7"/>
    </row>
    <row r="9300">
      <c r="A9300" s="39" t="s">
        <v>32446</v>
      </c>
      <c r="B9300" s="15">
        <v>1692244.0</v>
      </c>
      <c r="C9300" s="15" t="s">
        <v>32447</v>
      </c>
      <c r="D9300" s="15">
        <v>293718.0</v>
      </c>
      <c r="E9300" s="15" t="s">
        <v>1808</v>
      </c>
      <c r="F9300" s="15" t="s">
        <v>1998</v>
      </c>
      <c r="G9300" s="7">
        <v>2.469</v>
      </c>
      <c r="H9300" s="15" t="s">
        <v>2836</v>
      </c>
      <c r="I9300" s="15" t="s">
        <v>1686</v>
      </c>
      <c r="J9300" s="15" t="s">
        <v>32449</v>
      </c>
      <c r="K9300" s="15">
        <v>2.0</v>
      </c>
      <c r="L9300" s="15">
        <v>2.0</v>
      </c>
      <c r="M9300" s="40">
        <v>42232.0</v>
      </c>
      <c r="N9300" s="40">
        <v>42240.0</v>
      </c>
      <c r="O9300" s="15" t="s">
        <v>1554</v>
      </c>
      <c r="Q9300" s="7"/>
    </row>
    <row r="9301">
      <c r="A9301" s="39" t="s">
        <v>32450</v>
      </c>
      <c r="B9301" s="15">
        <v>1220603.0</v>
      </c>
      <c r="D9301" s="15">
        <v>0.0</v>
      </c>
      <c r="E9301" s="15" t="s">
        <v>1557</v>
      </c>
      <c r="F9301" s="15" t="s">
        <v>1767</v>
      </c>
      <c r="G9301" s="7">
        <v>45.912</v>
      </c>
      <c r="H9301" s="15" t="s">
        <v>3798</v>
      </c>
      <c r="I9301" s="15" t="s">
        <v>1586</v>
      </c>
      <c r="J9301" s="15" t="s">
        <v>32451</v>
      </c>
      <c r="K9301" s="15">
        <v>59.0</v>
      </c>
      <c r="L9301" s="15">
        <v>59.0</v>
      </c>
      <c r="M9301" s="40">
        <v>41290.0</v>
      </c>
      <c r="N9301" s="40">
        <v>41642.0</v>
      </c>
      <c r="O9301" s="15" t="s">
        <v>1554</v>
      </c>
      <c r="Q9301" s="7"/>
    </row>
    <row r="9302">
      <c r="A9302" s="39" t="s">
        <v>32452</v>
      </c>
      <c r="B9302" s="15">
        <v>1558464.0</v>
      </c>
      <c r="D9302" s="15">
        <v>0.0</v>
      </c>
      <c r="E9302" s="15" t="s">
        <v>1557</v>
      </c>
      <c r="F9302" s="15" t="s">
        <v>1611</v>
      </c>
      <c r="G9302" s="7">
        <v>39.53</v>
      </c>
      <c r="H9302" s="15" t="s">
        <v>2351</v>
      </c>
      <c r="I9302" s="15" t="s">
        <v>1586</v>
      </c>
      <c r="J9302" s="15" t="s">
        <v>32453</v>
      </c>
      <c r="K9302" s="15">
        <v>48.0</v>
      </c>
      <c r="L9302" s="15">
        <v>48.0</v>
      </c>
      <c r="M9302" s="40">
        <v>41978.0</v>
      </c>
      <c r="N9302" s="41">
        <v>41999.0</v>
      </c>
      <c r="O9302" s="15" t="s">
        <v>1554</v>
      </c>
      <c r="Q9302" s="7"/>
    </row>
    <row r="9303">
      <c r="A9303" s="39" t="s">
        <v>17780</v>
      </c>
      <c r="B9303" s="15">
        <v>1493508.0</v>
      </c>
      <c r="D9303" s="15">
        <v>0.0</v>
      </c>
      <c r="E9303" s="15" t="s">
        <v>1557</v>
      </c>
      <c r="F9303" s="15" t="s">
        <v>1767</v>
      </c>
      <c r="G9303" s="7">
        <v>172.686</v>
      </c>
      <c r="H9303" s="15" t="s">
        <v>3895</v>
      </c>
      <c r="I9303" s="15" t="s">
        <v>1586</v>
      </c>
      <c r="J9303" s="15" t="s">
        <v>32454</v>
      </c>
      <c r="K9303" s="15">
        <v>216.0</v>
      </c>
      <c r="L9303" s="15">
        <v>216.0</v>
      </c>
      <c r="M9303" s="40">
        <v>42104.0</v>
      </c>
      <c r="N9303" s="40">
        <v>42104.0</v>
      </c>
      <c r="O9303" s="15" t="s">
        <v>1554</v>
      </c>
      <c r="Q9303" s="7"/>
    </row>
    <row r="9304">
      <c r="A9304" s="39" t="s">
        <v>17693</v>
      </c>
      <c r="B9304" s="15">
        <v>1493511.0</v>
      </c>
      <c r="D9304" s="15">
        <v>0.0</v>
      </c>
      <c r="E9304" s="15" t="s">
        <v>1557</v>
      </c>
      <c r="F9304" s="15" t="s">
        <v>1767</v>
      </c>
      <c r="G9304" s="7">
        <v>216.628</v>
      </c>
      <c r="H9304" s="15" t="s">
        <v>2118</v>
      </c>
      <c r="I9304" s="15" t="s">
        <v>1586</v>
      </c>
      <c r="J9304" s="15" t="s">
        <v>32456</v>
      </c>
      <c r="K9304" s="15">
        <v>286.0</v>
      </c>
      <c r="L9304" s="15">
        <v>286.0</v>
      </c>
      <c r="M9304" s="40">
        <v>42104.0</v>
      </c>
      <c r="N9304" s="40">
        <v>42104.0</v>
      </c>
      <c r="O9304" s="15" t="s">
        <v>1554</v>
      </c>
      <c r="Q9304" s="7"/>
    </row>
    <row r="9305">
      <c r="A9305" s="39" t="s">
        <v>17687</v>
      </c>
      <c r="B9305" s="15">
        <v>1493507.0</v>
      </c>
      <c r="D9305" s="15">
        <v>0.0</v>
      </c>
      <c r="E9305" s="15" t="s">
        <v>1557</v>
      </c>
      <c r="F9305" s="15" t="s">
        <v>1767</v>
      </c>
      <c r="G9305" s="7">
        <v>171.073</v>
      </c>
      <c r="H9305" s="15" t="s">
        <v>2304</v>
      </c>
      <c r="I9305" s="15" t="s">
        <v>1586</v>
      </c>
      <c r="J9305" s="15" t="s">
        <v>32457</v>
      </c>
      <c r="K9305" s="15">
        <v>209.0</v>
      </c>
      <c r="L9305" s="15">
        <v>209.0</v>
      </c>
      <c r="M9305" s="40">
        <v>42104.0</v>
      </c>
      <c r="N9305" s="40">
        <v>42104.0</v>
      </c>
      <c r="O9305" s="15" t="s">
        <v>1554</v>
      </c>
      <c r="Q9305" s="7"/>
    </row>
    <row r="9306">
      <c r="A9306" s="39" t="s">
        <v>17683</v>
      </c>
      <c r="B9306" s="15">
        <v>1493509.0</v>
      </c>
      <c r="D9306" s="15">
        <v>0.0</v>
      </c>
      <c r="E9306" s="15" t="s">
        <v>1557</v>
      </c>
      <c r="F9306" s="15" t="s">
        <v>1767</v>
      </c>
      <c r="G9306" s="7">
        <v>179.11</v>
      </c>
      <c r="H9306" s="15" t="s">
        <v>2640</v>
      </c>
      <c r="I9306" s="15" t="s">
        <v>1586</v>
      </c>
      <c r="J9306" s="15" t="s">
        <v>32458</v>
      </c>
      <c r="K9306" s="15">
        <v>218.0</v>
      </c>
      <c r="L9306" s="15">
        <v>218.0</v>
      </c>
      <c r="M9306" s="40">
        <v>42104.0</v>
      </c>
      <c r="N9306" s="40">
        <v>42104.0</v>
      </c>
      <c r="O9306" s="15" t="s">
        <v>1554</v>
      </c>
      <c r="Q9306" s="7"/>
    </row>
    <row r="9307">
      <c r="A9307" s="39" t="s">
        <v>32459</v>
      </c>
      <c r="B9307" s="15">
        <v>1458860.0</v>
      </c>
      <c r="C9307" s="15" t="s">
        <v>32460</v>
      </c>
      <c r="D9307" s="15">
        <v>266988.0</v>
      </c>
      <c r="E9307" s="15" t="s">
        <v>1557</v>
      </c>
      <c r="F9307" s="15" t="s">
        <v>1767</v>
      </c>
      <c r="G9307" s="7">
        <v>139.004</v>
      </c>
      <c r="H9307" s="15" t="s">
        <v>4331</v>
      </c>
      <c r="I9307" s="15" t="s">
        <v>1586</v>
      </c>
      <c r="J9307" s="15" t="s">
        <v>32461</v>
      </c>
      <c r="K9307" s="15">
        <v>239.0</v>
      </c>
      <c r="L9307" s="15">
        <v>236.0</v>
      </c>
      <c r="M9307" s="40">
        <v>41897.0</v>
      </c>
      <c r="N9307" s="41">
        <v>41957.0</v>
      </c>
      <c r="O9307" s="15" t="s">
        <v>1554</v>
      </c>
      <c r="Q9307" s="7"/>
    </row>
    <row r="9308">
      <c r="A9308" s="39" t="s">
        <v>32462</v>
      </c>
      <c r="B9308" s="15">
        <v>1486419.0</v>
      </c>
      <c r="D9308" s="15">
        <v>0.0</v>
      </c>
      <c r="E9308" s="15" t="s">
        <v>1557</v>
      </c>
      <c r="F9308" s="15" t="s">
        <v>1767</v>
      </c>
      <c r="G9308" s="7">
        <v>136.468</v>
      </c>
      <c r="H9308" s="15" t="s">
        <v>6303</v>
      </c>
      <c r="I9308" s="15" t="s">
        <v>1586</v>
      </c>
      <c r="J9308" s="15" t="s">
        <v>32464</v>
      </c>
      <c r="K9308" s="15" t="s">
        <v>1722</v>
      </c>
      <c r="L9308" s="15">
        <v>189.0</v>
      </c>
      <c r="M9308" s="40">
        <v>41811.0</v>
      </c>
      <c r="N9308" s="40">
        <v>41811.0</v>
      </c>
      <c r="O9308" s="15" t="s">
        <v>1554</v>
      </c>
      <c r="Q9308" s="7"/>
    </row>
    <row r="9309">
      <c r="A9309" s="39" t="s">
        <v>32465</v>
      </c>
      <c r="B9309" s="15">
        <v>861046.0</v>
      </c>
      <c r="D9309" s="15">
        <v>0.0</v>
      </c>
      <c r="E9309" s="15" t="s">
        <v>1557</v>
      </c>
      <c r="F9309" s="15" t="s">
        <v>1833</v>
      </c>
      <c r="G9309" s="7">
        <v>51.436</v>
      </c>
      <c r="H9309" s="15" t="s">
        <v>3286</v>
      </c>
      <c r="I9309" s="15" t="s">
        <v>1586</v>
      </c>
      <c r="J9309" s="15" t="s">
        <v>32466</v>
      </c>
      <c r="K9309" s="15">
        <v>87.0</v>
      </c>
      <c r="L9309" s="15">
        <v>87.0</v>
      </c>
      <c r="M9309" s="40">
        <v>40408.0</v>
      </c>
      <c r="N9309" s="40">
        <v>40766.0</v>
      </c>
      <c r="O9309" s="15" t="s">
        <v>1554</v>
      </c>
      <c r="Q9309" s="7"/>
    </row>
    <row r="9310">
      <c r="A9310" s="39" t="s">
        <v>32467</v>
      </c>
      <c r="B9310" s="15">
        <v>1300007.0</v>
      </c>
      <c r="D9310" s="15">
        <v>0.0</v>
      </c>
      <c r="E9310" s="15" t="s">
        <v>1557</v>
      </c>
      <c r="F9310" s="15" t="s">
        <v>1611</v>
      </c>
      <c r="G9310" s="7">
        <v>100.619</v>
      </c>
      <c r="H9310" s="15" t="s">
        <v>2178</v>
      </c>
      <c r="I9310" s="15" t="s">
        <v>1586</v>
      </c>
      <c r="J9310" s="15" t="s">
        <v>32468</v>
      </c>
      <c r="K9310" s="15">
        <v>116.0</v>
      </c>
      <c r="L9310" s="15">
        <v>116.0</v>
      </c>
      <c r="M9310" s="40">
        <v>41430.0</v>
      </c>
      <c r="N9310" s="40">
        <v>41430.0</v>
      </c>
      <c r="O9310" s="15" t="s">
        <v>1554</v>
      </c>
      <c r="Q9310" s="7"/>
    </row>
    <row r="9311">
      <c r="A9311" s="39" t="s">
        <v>31860</v>
      </c>
      <c r="B9311" s="15">
        <v>756278.0</v>
      </c>
      <c r="D9311" s="15">
        <v>0.0</v>
      </c>
      <c r="E9311" s="15" t="s">
        <v>1557</v>
      </c>
      <c r="F9311" s="15" t="s">
        <v>1767</v>
      </c>
      <c r="G9311" s="7">
        <v>170.397</v>
      </c>
      <c r="H9311" s="15" t="s">
        <v>2141</v>
      </c>
      <c r="I9311" s="15" t="s">
        <v>1586</v>
      </c>
      <c r="J9311" s="15" t="s">
        <v>32470</v>
      </c>
      <c r="K9311" s="15">
        <v>229.0</v>
      </c>
      <c r="L9311" s="15">
        <v>221.0</v>
      </c>
      <c r="M9311" s="41">
        <v>42656.0</v>
      </c>
      <c r="N9311" s="41">
        <v>42656.0</v>
      </c>
      <c r="O9311" s="15" t="s">
        <v>1554</v>
      </c>
      <c r="Q9311" s="7"/>
    </row>
    <row r="9312">
      <c r="A9312" s="39" t="s">
        <v>32240</v>
      </c>
      <c r="B9312" s="15">
        <v>687800.0</v>
      </c>
      <c r="D9312" s="15">
        <v>0.0</v>
      </c>
      <c r="E9312" s="15" t="s">
        <v>1557</v>
      </c>
      <c r="F9312" s="15" t="s">
        <v>1767</v>
      </c>
      <c r="G9312" s="7">
        <v>175.432</v>
      </c>
      <c r="H9312" s="15" t="s">
        <v>1591</v>
      </c>
      <c r="I9312" s="15" t="s">
        <v>1586</v>
      </c>
      <c r="J9312" s="15" t="s">
        <v>32471</v>
      </c>
      <c r="K9312" s="15">
        <v>220.0</v>
      </c>
      <c r="L9312" s="15">
        <v>214.0</v>
      </c>
      <c r="M9312" s="41">
        <v>42656.0</v>
      </c>
      <c r="N9312" s="41">
        <v>42656.0</v>
      </c>
      <c r="O9312" s="15" t="s">
        <v>1554</v>
      </c>
      <c r="Q9312" s="7"/>
    </row>
    <row r="9313">
      <c r="A9313" s="39" t="s">
        <v>31868</v>
      </c>
      <c r="B9313" s="15">
        <v>1278485.0</v>
      </c>
      <c r="D9313" s="15">
        <v>0.0</v>
      </c>
      <c r="E9313" s="15" t="s">
        <v>1557</v>
      </c>
      <c r="F9313" s="15" t="s">
        <v>1578</v>
      </c>
      <c r="G9313" s="7">
        <v>193.001</v>
      </c>
      <c r="H9313" s="15" t="s">
        <v>2141</v>
      </c>
      <c r="I9313" s="15" t="s">
        <v>1586</v>
      </c>
      <c r="J9313" s="15" t="s">
        <v>32472</v>
      </c>
      <c r="K9313" s="15">
        <v>236.0</v>
      </c>
      <c r="L9313" s="15">
        <v>230.0</v>
      </c>
      <c r="M9313" s="41">
        <v>42656.0</v>
      </c>
      <c r="N9313" s="41">
        <v>42656.0</v>
      </c>
      <c r="O9313" s="15" t="s">
        <v>1554</v>
      </c>
      <c r="Q9313" s="7"/>
    </row>
    <row r="9314">
      <c r="A9314" s="39" t="s">
        <v>32473</v>
      </c>
      <c r="B9314" s="15">
        <v>356421.0</v>
      </c>
      <c r="C9314" s="15" t="s">
        <v>32474</v>
      </c>
      <c r="D9314" s="15">
        <v>20939.0</v>
      </c>
      <c r="E9314" s="15" t="s">
        <v>1548</v>
      </c>
      <c r="F9314" s="15" t="s">
        <v>1801</v>
      </c>
      <c r="G9314" s="7">
        <v>9.628</v>
      </c>
      <c r="H9314" s="15" t="s">
        <v>10401</v>
      </c>
      <c r="I9314" s="15" t="s">
        <v>1567</v>
      </c>
      <c r="J9314" s="15" t="s">
        <v>32475</v>
      </c>
      <c r="K9314" s="15">
        <v>1.0</v>
      </c>
      <c r="L9314" s="15">
        <v>2.0</v>
      </c>
      <c r="M9314" s="40">
        <v>36046.0</v>
      </c>
      <c r="N9314" s="40">
        <v>42605.0</v>
      </c>
      <c r="O9314" s="15" t="s">
        <v>1554</v>
      </c>
      <c r="Q9314" s="7"/>
    </row>
    <row r="9315">
      <c r="A9315" s="39" t="s">
        <v>32476</v>
      </c>
      <c r="B9315" s="15">
        <v>11069.0</v>
      </c>
      <c r="C9315" s="15" t="s">
        <v>32477</v>
      </c>
      <c r="D9315" s="15">
        <v>15598.0</v>
      </c>
      <c r="E9315" s="15" t="s">
        <v>1548</v>
      </c>
      <c r="F9315" s="15" t="s">
        <v>1801</v>
      </c>
      <c r="G9315" s="7">
        <v>10.707</v>
      </c>
      <c r="H9315" s="15" t="s">
        <v>2686</v>
      </c>
      <c r="I9315" s="15" t="s">
        <v>1803</v>
      </c>
      <c r="J9315" s="15" t="s">
        <v>32478</v>
      </c>
      <c r="K9315" s="15">
        <v>1.0</v>
      </c>
      <c r="L9315" s="15">
        <v>1.0</v>
      </c>
      <c r="M9315" s="40">
        <v>34183.0</v>
      </c>
      <c r="N9315" s="40">
        <v>42261.0</v>
      </c>
      <c r="O9315" s="15" t="s">
        <v>1554</v>
      </c>
      <c r="Q9315" s="7"/>
    </row>
    <row r="9316">
      <c r="A9316" s="39" t="s">
        <v>32480</v>
      </c>
      <c r="B9316" s="15">
        <v>641809.0</v>
      </c>
      <c r="C9316" s="15" t="s">
        <v>32481</v>
      </c>
      <c r="D9316" s="15">
        <v>37813.0</v>
      </c>
      <c r="E9316" s="15" t="s">
        <v>1548</v>
      </c>
      <c r="F9316" s="15" t="s">
        <v>5756</v>
      </c>
      <c r="G9316" s="7">
        <v>13.158</v>
      </c>
      <c r="H9316" s="15" t="s">
        <v>32482</v>
      </c>
      <c r="I9316" s="15" t="s">
        <v>1567</v>
      </c>
      <c r="J9316" s="15" t="s">
        <v>32483</v>
      </c>
      <c r="K9316" s="15">
        <v>12.0</v>
      </c>
      <c r="L9316" s="15">
        <v>11.0</v>
      </c>
      <c r="M9316" s="40">
        <v>39931.0</v>
      </c>
      <c r="N9316" s="40">
        <v>42058.0</v>
      </c>
      <c r="O9316" s="15" t="s">
        <v>1554</v>
      </c>
      <c r="Q9316" s="7"/>
    </row>
    <row r="9317">
      <c r="A9317" s="39" t="s">
        <v>32484</v>
      </c>
      <c r="B9317" s="15">
        <v>10522.0</v>
      </c>
      <c r="C9317" s="15" t="s">
        <v>32485</v>
      </c>
      <c r="D9317" s="15">
        <v>15115.0</v>
      </c>
      <c r="E9317" s="15" t="s">
        <v>1557</v>
      </c>
      <c r="F9317" s="15" t="s">
        <v>2628</v>
      </c>
      <c r="G9317" s="7">
        <v>34.794</v>
      </c>
      <c r="H9317" s="15" t="s">
        <v>2365</v>
      </c>
      <c r="I9317" s="15" t="s">
        <v>1567</v>
      </c>
      <c r="J9317" s="15" t="s">
        <v>32486</v>
      </c>
      <c r="K9317" s="15" t="s">
        <v>1722</v>
      </c>
      <c r="L9317" s="15">
        <v>37.0</v>
      </c>
      <c r="M9317" s="40">
        <v>38322.0</v>
      </c>
      <c r="N9317" s="40">
        <v>39790.0</v>
      </c>
      <c r="O9317" s="15" t="s">
        <v>1554</v>
      </c>
      <c r="Q9317" s="7"/>
    </row>
    <row r="9318">
      <c r="A9318" s="39" t="s">
        <v>32487</v>
      </c>
      <c r="B9318" s="15">
        <v>290314.0</v>
      </c>
      <c r="C9318" s="15" t="s">
        <v>32488</v>
      </c>
      <c r="D9318" s="15">
        <v>15040.0</v>
      </c>
      <c r="E9318" s="15" t="s">
        <v>1548</v>
      </c>
      <c r="F9318" s="15" t="s">
        <v>4829</v>
      </c>
      <c r="G9318" s="7">
        <v>7.476</v>
      </c>
      <c r="H9318" s="15" t="s">
        <v>1705</v>
      </c>
      <c r="I9318" s="15" t="s">
        <v>1567</v>
      </c>
      <c r="J9318" s="15" t="s">
        <v>32489</v>
      </c>
      <c r="K9318" s="15">
        <v>2.0</v>
      </c>
      <c r="L9318" s="15">
        <v>2.0</v>
      </c>
      <c r="M9318" s="40">
        <v>38253.0</v>
      </c>
      <c r="N9318" s="40">
        <v>39790.0</v>
      </c>
      <c r="O9318" s="15" t="s">
        <v>1554</v>
      </c>
      <c r="Q9318" s="7"/>
    </row>
    <row r="9319">
      <c r="A9319" s="39" t="s">
        <v>10673</v>
      </c>
      <c r="B9319" s="15">
        <v>10515.0</v>
      </c>
      <c r="C9319" s="15" t="s">
        <v>32491</v>
      </c>
      <c r="D9319" s="15">
        <v>15106.0</v>
      </c>
      <c r="E9319" s="15" t="s">
        <v>1557</v>
      </c>
      <c r="F9319" s="15" t="s">
        <v>2628</v>
      </c>
      <c r="G9319" s="7">
        <v>35.937</v>
      </c>
      <c r="H9319" s="15" t="s">
        <v>6716</v>
      </c>
      <c r="I9319" s="15" t="s">
        <v>1567</v>
      </c>
      <c r="J9319" s="15" t="s">
        <v>32492</v>
      </c>
      <c r="K9319" s="15" t="s">
        <v>1722</v>
      </c>
      <c r="L9319" s="15">
        <v>36.0</v>
      </c>
      <c r="M9319" s="40">
        <v>38322.0</v>
      </c>
      <c r="N9319" s="40">
        <v>39790.0</v>
      </c>
      <c r="O9319" s="15" t="s">
        <v>1554</v>
      </c>
      <c r="Q9319" s="7"/>
    </row>
    <row r="9320">
      <c r="A9320" s="39" t="s">
        <v>10645</v>
      </c>
      <c r="B9320" s="15">
        <v>10760.0</v>
      </c>
      <c r="D9320" s="15">
        <v>0.0</v>
      </c>
      <c r="E9320" s="15" t="s">
        <v>1557</v>
      </c>
      <c r="F9320" s="15" t="s">
        <v>1611</v>
      </c>
      <c r="G9320" s="7">
        <v>39.093</v>
      </c>
      <c r="H9320" s="15" t="s">
        <v>3432</v>
      </c>
      <c r="I9320" s="15" t="s">
        <v>1586</v>
      </c>
      <c r="J9320" s="15" t="s">
        <v>32493</v>
      </c>
      <c r="K9320" s="15" t="s">
        <v>1722</v>
      </c>
      <c r="L9320" s="15">
        <v>52.0</v>
      </c>
      <c r="M9320" s="41">
        <v>37939.0</v>
      </c>
      <c r="N9320" s="40">
        <v>39058.0</v>
      </c>
      <c r="O9320" s="15" t="s">
        <v>1554</v>
      </c>
      <c r="Q9320" s="7"/>
    </row>
    <row r="9321">
      <c r="A9321" s="39" t="s">
        <v>32494</v>
      </c>
      <c r="B9321" s="15">
        <v>1165137.0</v>
      </c>
      <c r="D9321" s="15">
        <v>0.0</v>
      </c>
      <c r="E9321" s="15" t="s">
        <v>1557</v>
      </c>
      <c r="F9321" s="15" t="s">
        <v>1833</v>
      </c>
      <c r="G9321" s="7">
        <v>33.178</v>
      </c>
      <c r="H9321" s="15" t="s">
        <v>4283</v>
      </c>
      <c r="I9321" s="15" t="s">
        <v>1586</v>
      </c>
      <c r="J9321" s="15" t="s">
        <v>32495</v>
      </c>
      <c r="K9321" s="15">
        <v>57.0</v>
      </c>
      <c r="L9321" s="15">
        <v>57.0</v>
      </c>
      <c r="M9321" s="40">
        <v>40995.0</v>
      </c>
      <c r="N9321" s="40">
        <v>41031.0</v>
      </c>
      <c r="O9321" s="15" t="s">
        <v>1554</v>
      </c>
      <c r="Q9321" s="7"/>
    </row>
    <row r="9322">
      <c r="A9322" s="39" t="s">
        <v>32496</v>
      </c>
      <c r="B9322" s="15">
        <v>254397.0</v>
      </c>
      <c r="D9322" s="15">
        <v>0.0</v>
      </c>
      <c r="E9322" s="15" t="s">
        <v>1557</v>
      </c>
      <c r="F9322" s="15" t="s">
        <v>1611</v>
      </c>
      <c r="G9322" s="7">
        <v>57.248</v>
      </c>
      <c r="H9322" s="15" t="s">
        <v>2324</v>
      </c>
      <c r="I9322" s="15" t="s">
        <v>1586</v>
      </c>
      <c r="J9322" s="15" t="s">
        <v>32498</v>
      </c>
      <c r="K9322" s="15">
        <v>78.0</v>
      </c>
      <c r="L9322" s="15">
        <v>75.0</v>
      </c>
      <c r="M9322" s="41">
        <v>39731.0</v>
      </c>
      <c r="N9322" s="40">
        <v>39785.0</v>
      </c>
      <c r="O9322" s="15" t="s">
        <v>1554</v>
      </c>
      <c r="Q9322" s="7"/>
    </row>
    <row r="9323">
      <c r="A9323" s="39" t="s">
        <v>32499</v>
      </c>
      <c r="B9323" s="15">
        <v>1698365.0</v>
      </c>
      <c r="D9323" s="15">
        <v>0.0</v>
      </c>
      <c r="E9323" s="15" t="s">
        <v>1557</v>
      </c>
      <c r="F9323" s="15" t="s">
        <v>1833</v>
      </c>
      <c r="G9323" s="7">
        <v>41.901</v>
      </c>
      <c r="H9323" s="15" t="s">
        <v>6615</v>
      </c>
      <c r="I9323" s="15" t="s">
        <v>1586</v>
      </c>
      <c r="J9323" s="15" t="s">
        <v>32500</v>
      </c>
      <c r="K9323" s="15">
        <v>63.0</v>
      </c>
      <c r="L9323" s="15">
        <v>63.0</v>
      </c>
      <c r="M9323" s="40">
        <v>42270.0</v>
      </c>
      <c r="N9323" s="40">
        <v>42270.0</v>
      </c>
      <c r="O9323" s="15" t="s">
        <v>1554</v>
      </c>
      <c r="Q9323" s="7"/>
    </row>
    <row r="9324">
      <c r="A9324" s="39" t="s">
        <v>32501</v>
      </c>
      <c r="B9324" s="15">
        <v>666965.0</v>
      </c>
      <c r="D9324" s="15">
        <v>0.0</v>
      </c>
      <c r="E9324" s="15" t="s">
        <v>1638</v>
      </c>
      <c r="F9324" s="15" t="s">
        <v>1863</v>
      </c>
      <c r="G9324" s="7">
        <v>17.421</v>
      </c>
      <c r="H9324" s="15" t="s">
        <v>32502</v>
      </c>
      <c r="I9324" s="15" t="s">
        <v>1567</v>
      </c>
      <c r="J9324" s="15" t="s">
        <v>32503</v>
      </c>
      <c r="K9324" s="15" t="s">
        <v>1722</v>
      </c>
      <c r="L9324" s="15">
        <v>11.0</v>
      </c>
      <c r="M9324" s="40">
        <v>40390.0</v>
      </c>
      <c r="N9324" s="40">
        <v>40392.0</v>
      </c>
      <c r="O9324" s="15" t="s">
        <v>1554</v>
      </c>
      <c r="Q9324" s="7"/>
    </row>
    <row r="9325">
      <c r="A9325" s="39" t="s">
        <v>32040</v>
      </c>
      <c r="B9325" s="15">
        <v>39803.0</v>
      </c>
      <c r="D9325" s="15">
        <v>0.0</v>
      </c>
      <c r="E9325" s="15" t="s">
        <v>1548</v>
      </c>
      <c r="F9325" s="15" t="s">
        <v>4850</v>
      </c>
      <c r="G9325" s="7">
        <v>4.218</v>
      </c>
      <c r="H9325" s="15" t="s">
        <v>2686</v>
      </c>
      <c r="I9325" s="15" t="s">
        <v>1586</v>
      </c>
      <c r="J9325" s="15" t="s">
        <v>32504</v>
      </c>
      <c r="K9325" s="15" t="s">
        <v>1722</v>
      </c>
      <c r="L9325" s="15">
        <v>4.0</v>
      </c>
      <c r="M9325" s="40">
        <v>40065.0</v>
      </c>
      <c r="N9325" s="40">
        <v>40065.0</v>
      </c>
      <c r="O9325" s="15" t="s">
        <v>1554</v>
      </c>
      <c r="Q9325" s="7"/>
    </row>
    <row r="9326">
      <c r="A9326" s="39" t="s">
        <v>32505</v>
      </c>
      <c r="B9326" s="15">
        <v>1183318.0</v>
      </c>
      <c r="C9326" s="15" t="s">
        <v>32506</v>
      </c>
      <c r="D9326" s="15">
        <v>315150.0</v>
      </c>
      <c r="E9326" s="15" t="s">
        <v>1548</v>
      </c>
      <c r="F9326" s="15" t="s">
        <v>4829</v>
      </c>
      <c r="G9326" s="7">
        <v>7.527</v>
      </c>
      <c r="H9326" s="15" t="s">
        <v>2540</v>
      </c>
      <c r="I9326" s="15" t="s">
        <v>1567</v>
      </c>
      <c r="J9326" s="15" t="s">
        <v>32507</v>
      </c>
      <c r="K9326" s="15">
        <v>3.0</v>
      </c>
      <c r="L9326" s="15">
        <v>3.0</v>
      </c>
      <c r="M9326" s="40">
        <v>41042.0</v>
      </c>
      <c r="N9326" s="40">
        <v>42513.0</v>
      </c>
      <c r="O9326" s="15" t="s">
        <v>1554</v>
      </c>
      <c r="Q9326" s="7"/>
    </row>
    <row r="9327">
      <c r="A9327" s="39" t="s">
        <v>32508</v>
      </c>
      <c r="B9327" s="15">
        <v>1195076.0</v>
      </c>
      <c r="D9327" s="15">
        <v>0.0</v>
      </c>
      <c r="E9327" s="15" t="s">
        <v>1557</v>
      </c>
      <c r="F9327" s="15" t="s">
        <v>1767</v>
      </c>
      <c r="G9327" s="7">
        <v>145.647</v>
      </c>
      <c r="H9327" s="42">
        <v>43220.0</v>
      </c>
      <c r="I9327" s="15" t="s">
        <v>1586</v>
      </c>
      <c r="J9327" s="15" t="s">
        <v>32510</v>
      </c>
      <c r="K9327" s="15">
        <v>232.0</v>
      </c>
      <c r="L9327" s="15">
        <v>232.0</v>
      </c>
      <c r="M9327" s="40">
        <v>41104.0</v>
      </c>
      <c r="N9327" s="40">
        <v>41726.0</v>
      </c>
      <c r="O9327" s="15" t="s">
        <v>1554</v>
      </c>
      <c r="Q9327" s="7"/>
    </row>
    <row r="9328">
      <c r="A9328" s="39" t="s">
        <v>32511</v>
      </c>
      <c r="B9328" s="15">
        <v>374527.0</v>
      </c>
      <c r="D9328" s="15">
        <v>0.0</v>
      </c>
      <c r="E9328" s="15" t="s">
        <v>1557</v>
      </c>
      <c r="F9328" s="15" t="s">
        <v>1833</v>
      </c>
      <c r="G9328" s="7">
        <v>35.992</v>
      </c>
      <c r="H9328" s="15">
        <v>36.0</v>
      </c>
      <c r="I9328" s="15" t="s">
        <v>1586</v>
      </c>
      <c r="J9328" s="15" t="s">
        <v>32512</v>
      </c>
      <c r="K9328" s="15" t="s">
        <v>1722</v>
      </c>
      <c r="L9328" s="15">
        <v>52.0</v>
      </c>
      <c r="M9328" s="40">
        <v>39210.0</v>
      </c>
      <c r="N9328" s="40">
        <v>39210.0</v>
      </c>
      <c r="O9328" s="15" t="s">
        <v>1554</v>
      </c>
      <c r="Q9328" s="7"/>
    </row>
    <row r="9329">
      <c r="A9329" s="39" t="s">
        <v>32513</v>
      </c>
      <c r="B9329" s="15">
        <v>200913.0</v>
      </c>
      <c r="D9329" s="15">
        <v>0.0</v>
      </c>
      <c r="E9329" s="15" t="s">
        <v>1557</v>
      </c>
      <c r="F9329" s="15" t="s">
        <v>1611</v>
      </c>
      <c r="G9329" s="7">
        <v>41.724</v>
      </c>
      <c r="H9329" s="15" t="s">
        <v>2836</v>
      </c>
      <c r="I9329" s="15" t="s">
        <v>1586</v>
      </c>
      <c r="J9329" s="15" t="s">
        <v>32514</v>
      </c>
      <c r="K9329" s="15">
        <v>72.0</v>
      </c>
      <c r="L9329" s="15">
        <v>72.0</v>
      </c>
      <c r="M9329" s="40">
        <v>37459.0</v>
      </c>
      <c r="N9329" s="40">
        <v>37659.0</v>
      </c>
      <c r="O9329" s="15" t="s">
        <v>1554</v>
      </c>
      <c r="Q9329" s="7"/>
    </row>
    <row r="9330">
      <c r="A9330" s="39" t="s">
        <v>32515</v>
      </c>
      <c r="B9330" s="15">
        <v>1815976.0</v>
      </c>
      <c r="D9330" s="15">
        <v>0.0</v>
      </c>
      <c r="E9330" s="15" t="s">
        <v>1557</v>
      </c>
      <c r="F9330" s="15" t="s">
        <v>1611</v>
      </c>
      <c r="G9330" s="7">
        <v>43.49</v>
      </c>
      <c r="H9330" s="15" t="s">
        <v>3082</v>
      </c>
      <c r="I9330" s="15" t="s">
        <v>1586</v>
      </c>
      <c r="J9330" s="15" t="s">
        <v>32516</v>
      </c>
      <c r="K9330" s="15">
        <v>55.0</v>
      </c>
      <c r="L9330" s="15">
        <v>55.0</v>
      </c>
      <c r="M9330" s="40">
        <v>42625.0</v>
      </c>
      <c r="N9330" s="40">
        <v>42625.0</v>
      </c>
      <c r="O9330" s="15" t="s">
        <v>1554</v>
      </c>
      <c r="Q9330" s="7"/>
    </row>
    <row r="9331">
      <c r="A9331" s="39" t="s">
        <v>32517</v>
      </c>
      <c r="B9331" s="15">
        <v>318594.0</v>
      </c>
      <c r="D9331" s="15">
        <v>0.0</v>
      </c>
      <c r="E9331" s="15" t="s">
        <v>1557</v>
      </c>
      <c r="F9331" s="15" t="s">
        <v>3844</v>
      </c>
      <c r="G9331" s="7">
        <v>14.937</v>
      </c>
      <c r="H9331" s="15" t="s">
        <v>5368</v>
      </c>
      <c r="I9331" s="15" t="s">
        <v>1586</v>
      </c>
      <c r="J9331" s="15" t="s">
        <v>32519</v>
      </c>
      <c r="K9331" s="15">
        <v>31.0</v>
      </c>
      <c r="L9331" s="15">
        <v>31.0</v>
      </c>
      <c r="M9331" s="40">
        <v>38601.0</v>
      </c>
      <c r="N9331" s="40">
        <v>38601.0</v>
      </c>
      <c r="O9331" s="15" t="s">
        <v>1554</v>
      </c>
      <c r="Q9331" s="7"/>
    </row>
    <row r="9332">
      <c r="A9332" s="39" t="s">
        <v>32520</v>
      </c>
      <c r="B9332" s="15">
        <v>979539.0</v>
      </c>
      <c r="D9332" s="15">
        <v>0.0</v>
      </c>
      <c r="E9332" s="15" t="s">
        <v>1557</v>
      </c>
      <c r="F9332" s="15" t="s">
        <v>1611</v>
      </c>
      <c r="G9332" s="7">
        <v>39.042</v>
      </c>
      <c r="H9332" s="15" t="s">
        <v>3255</v>
      </c>
      <c r="I9332" s="15" t="s">
        <v>1586</v>
      </c>
      <c r="J9332" s="15" t="s">
        <v>32521</v>
      </c>
      <c r="K9332" s="15">
        <v>45.0</v>
      </c>
      <c r="L9332" s="15">
        <v>45.0</v>
      </c>
      <c r="M9332" s="40">
        <v>40596.0</v>
      </c>
      <c r="N9332" s="40">
        <v>40731.0</v>
      </c>
      <c r="O9332" s="15" t="s">
        <v>1554</v>
      </c>
      <c r="Q9332" s="7"/>
    </row>
    <row r="9333">
      <c r="A9333" s="39" t="s">
        <v>3359</v>
      </c>
      <c r="B9333" s="15">
        <v>10665.0</v>
      </c>
      <c r="D9333" s="15">
        <v>0.0</v>
      </c>
      <c r="E9333" s="15" t="s">
        <v>1557</v>
      </c>
      <c r="F9333" s="15" t="s">
        <v>1767</v>
      </c>
      <c r="G9333" s="7">
        <v>165.66</v>
      </c>
      <c r="H9333" s="15" t="s">
        <v>3361</v>
      </c>
      <c r="I9333" s="15" t="s">
        <v>1586</v>
      </c>
      <c r="J9333" s="15" t="s">
        <v>32522</v>
      </c>
      <c r="K9333" s="15">
        <v>192.0</v>
      </c>
      <c r="L9333" s="15">
        <v>183.0</v>
      </c>
      <c r="M9333" s="40">
        <v>41766.0</v>
      </c>
      <c r="N9333" s="40">
        <v>42187.0</v>
      </c>
      <c r="O9333" s="15" t="s">
        <v>1554</v>
      </c>
      <c r="Q9333" s="7"/>
    </row>
    <row r="9334">
      <c r="A9334" s="39" t="s">
        <v>32523</v>
      </c>
      <c r="B9334" s="15">
        <v>1821721.0</v>
      </c>
      <c r="D9334" s="15">
        <v>0.0</v>
      </c>
      <c r="E9334" s="15" t="s">
        <v>1557</v>
      </c>
      <c r="F9334" s="15" t="s">
        <v>1833</v>
      </c>
      <c r="G9334" s="7">
        <v>51.371</v>
      </c>
      <c r="H9334" s="15" t="s">
        <v>3286</v>
      </c>
      <c r="I9334" s="15" t="s">
        <v>1586</v>
      </c>
      <c r="J9334" s="15" t="s">
        <v>32524</v>
      </c>
      <c r="K9334" s="15">
        <v>86.0</v>
      </c>
      <c r="L9334" s="15">
        <v>86.0</v>
      </c>
      <c r="M9334" s="40">
        <v>42471.0</v>
      </c>
      <c r="N9334" s="40">
        <v>42471.0</v>
      </c>
      <c r="O9334" s="15" t="s">
        <v>1554</v>
      </c>
      <c r="Q9334" s="7"/>
    </row>
    <row r="9335">
      <c r="A9335" s="39" t="s">
        <v>32525</v>
      </c>
      <c r="B9335" s="15">
        <v>338111.0</v>
      </c>
      <c r="D9335" s="15">
        <v>0.0</v>
      </c>
      <c r="E9335" s="15" t="s">
        <v>1808</v>
      </c>
      <c r="F9335" s="15" t="s">
        <v>3154</v>
      </c>
      <c r="G9335" s="7">
        <v>5.386</v>
      </c>
      <c r="H9335" s="15" t="s">
        <v>2877</v>
      </c>
      <c r="I9335" s="15" t="s">
        <v>1586</v>
      </c>
      <c r="J9335" s="15" t="s">
        <v>32527</v>
      </c>
      <c r="K9335" s="15">
        <v>11.0</v>
      </c>
      <c r="L9335" s="15">
        <v>11.0</v>
      </c>
      <c r="M9335" s="40">
        <v>38741.0</v>
      </c>
      <c r="N9335" s="40">
        <v>38741.0</v>
      </c>
      <c r="O9335" s="15" t="s">
        <v>1554</v>
      </c>
      <c r="Q9335" s="7"/>
    </row>
    <row r="9336">
      <c r="A9336" s="39" t="s">
        <v>32528</v>
      </c>
      <c r="B9336" s="15">
        <v>979530.0</v>
      </c>
      <c r="D9336" s="15">
        <v>0.0</v>
      </c>
      <c r="E9336" s="15" t="s">
        <v>1557</v>
      </c>
      <c r="F9336" s="15" t="s">
        <v>1767</v>
      </c>
      <c r="G9336" s="7">
        <v>123.097</v>
      </c>
      <c r="H9336" s="15" t="s">
        <v>2316</v>
      </c>
      <c r="I9336" s="15" t="s">
        <v>1586</v>
      </c>
      <c r="J9336" s="15" t="s">
        <v>32529</v>
      </c>
      <c r="K9336" s="15">
        <v>226.0</v>
      </c>
      <c r="L9336" s="15">
        <v>226.0</v>
      </c>
      <c r="M9336" s="40">
        <v>40596.0</v>
      </c>
      <c r="N9336" s="40">
        <v>40731.0</v>
      </c>
      <c r="O9336" s="15" t="s">
        <v>1554</v>
      </c>
      <c r="Q9336" s="7"/>
    </row>
    <row r="9337">
      <c r="A9337" s="39" t="s">
        <v>32530</v>
      </c>
      <c r="B9337" s="15">
        <v>1327999.0</v>
      </c>
      <c r="D9337" s="15">
        <v>0.0</v>
      </c>
      <c r="E9337" s="15" t="s">
        <v>1557</v>
      </c>
      <c r="F9337" s="15" t="s">
        <v>1767</v>
      </c>
      <c r="G9337" s="7">
        <v>54.012</v>
      </c>
      <c r="H9337" s="15" t="s">
        <v>2219</v>
      </c>
      <c r="I9337" s="15" t="s">
        <v>1586</v>
      </c>
      <c r="J9337" s="15" t="s">
        <v>32531</v>
      </c>
      <c r="K9337" s="15">
        <v>80.0</v>
      </c>
      <c r="L9337" s="15">
        <v>80.0</v>
      </c>
      <c r="M9337" s="40">
        <v>41454.0</v>
      </c>
      <c r="N9337" s="41">
        <v>42369.0</v>
      </c>
      <c r="O9337" s="15" t="s">
        <v>1554</v>
      </c>
      <c r="Q9337" s="7"/>
    </row>
    <row r="9338">
      <c r="A9338" s="39" t="s">
        <v>32532</v>
      </c>
      <c r="B9338" s="15">
        <v>1930507.0</v>
      </c>
      <c r="D9338" s="15">
        <v>0.0</v>
      </c>
      <c r="E9338" s="15" t="s">
        <v>1577</v>
      </c>
      <c r="F9338" s="15" t="s">
        <v>1578</v>
      </c>
      <c r="G9338" s="7">
        <v>9.591</v>
      </c>
      <c r="H9338" s="15" t="s">
        <v>2158</v>
      </c>
      <c r="I9338" s="15" t="s">
        <v>1580</v>
      </c>
      <c r="J9338" s="15" t="s">
        <v>32533</v>
      </c>
      <c r="K9338" s="15">
        <v>1.0</v>
      </c>
      <c r="L9338" s="15">
        <v>1.0</v>
      </c>
      <c r="M9338" s="41">
        <v>42731.0</v>
      </c>
      <c r="N9338" s="41">
        <v>42733.0</v>
      </c>
      <c r="O9338" s="15" t="s">
        <v>1554</v>
      </c>
      <c r="Q9338" s="7"/>
    </row>
    <row r="9339">
      <c r="A9339" s="39" t="s">
        <v>32534</v>
      </c>
      <c r="B9339" s="15">
        <v>2021738.0</v>
      </c>
      <c r="D9339" s="15">
        <v>0.0</v>
      </c>
      <c r="E9339" s="15" t="s">
        <v>1577</v>
      </c>
      <c r="F9339" s="15" t="s">
        <v>1578</v>
      </c>
      <c r="G9339" s="7">
        <v>2.585</v>
      </c>
      <c r="H9339" s="15">
        <v>52.0</v>
      </c>
      <c r="I9339" s="15" t="s">
        <v>1580</v>
      </c>
      <c r="J9339" s="15" t="s">
        <v>32536</v>
      </c>
      <c r="K9339" s="15">
        <v>2.0</v>
      </c>
      <c r="L9339" s="15">
        <v>2.0</v>
      </c>
      <c r="M9339" s="40">
        <v>42942.0</v>
      </c>
      <c r="N9339" s="40">
        <v>43012.0</v>
      </c>
      <c r="O9339" s="15" t="s">
        <v>1554</v>
      </c>
      <c r="Q9339" s="7"/>
    </row>
    <row r="9340">
      <c r="A9340" s="39" t="s">
        <v>32537</v>
      </c>
      <c r="B9340" s="15">
        <v>979529.0</v>
      </c>
      <c r="D9340" s="15">
        <v>0.0</v>
      </c>
      <c r="E9340" s="15" t="s">
        <v>1557</v>
      </c>
      <c r="F9340" s="15" t="s">
        <v>1767</v>
      </c>
      <c r="G9340" s="7">
        <v>123.104</v>
      </c>
      <c r="H9340" s="15" t="s">
        <v>2316</v>
      </c>
      <c r="I9340" s="15" t="s">
        <v>1586</v>
      </c>
      <c r="J9340" s="15" t="s">
        <v>32538</v>
      </c>
      <c r="K9340" s="15">
        <v>226.0</v>
      </c>
      <c r="L9340" s="15">
        <v>226.0</v>
      </c>
      <c r="M9340" s="40">
        <v>40596.0</v>
      </c>
      <c r="N9340" s="40">
        <v>40731.0</v>
      </c>
      <c r="O9340" s="15" t="s">
        <v>1554</v>
      </c>
      <c r="Q9340" s="7"/>
    </row>
    <row r="9341">
      <c r="A9341" s="39" t="s">
        <v>32539</v>
      </c>
      <c r="B9341" s="15">
        <v>338112.0</v>
      </c>
      <c r="D9341" s="15">
        <v>0.0</v>
      </c>
      <c r="E9341" s="15" t="s">
        <v>1808</v>
      </c>
      <c r="F9341" s="15" t="s">
        <v>3154</v>
      </c>
      <c r="G9341" s="7">
        <v>5.386</v>
      </c>
      <c r="H9341" s="15" t="s">
        <v>2107</v>
      </c>
      <c r="I9341" s="15" t="s">
        <v>1586</v>
      </c>
      <c r="J9341" s="15" t="s">
        <v>32540</v>
      </c>
      <c r="K9341" s="15">
        <v>11.0</v>
      </c>
      <c r="L9341" s="15">
        <v>11.0</v>
      </c>
      <c r="M9341" s="40">
        <v>38741.0</v>
      </c>
      <c r="N9341" s="40">
        <v>38741.0</v>
      </c>
      <c r="O9341" s="15" t="s">
        <v>1554</v>
      </c>
      <c r="Q9341" s="7"/>
    </row>
    <row r="9342">
      <c r="A9342" s="39" t="s">
        <v>32541</v>
      </c>
      <c r="B9342" s="15">
        <v>1873449.0</v>
      </c>
      <c r="D9342" s="15">
        <v>0.0</v>
      </c>
      <c r="E9342" s="15" t="s">
        <v>1557</v>
      </c>
      <c r="F9342" s="15" t="s">
        <v>1833</v>
      </c>
      <c r="G9342" s="7">
        <v>51.37</v>
      </c>
      <c r="H9342" s="15" t="s">
        <v>3286</v>
      </c>
      <c r="I9342" s="15" t="s">
        <v>1586</v>
      </c>
      <c r="J9342" s="15" t="s">
        <v>32542</v>
      </c>
      <c r="K9342" s="15">
        <v>88.0</v>
      </c>
      <c r="L9342" s="15">
        <v>88.0</v>
      </c>
      <c r="M9342" s="40">
        <v>42576.0</v>
      </c>
      <c r="N9342" s="40">
        <v>42576.0</v>
      </c>
      <c r="O9342" s="15" t="s">
        <v>1554</v>
      </c>
      <c r="Q9342" s="7"/>
    </row>
    <row r="9343">
      <c r="A9343" s="39" t="s">
        <v>32543</v>
      </c>
      <c r="B9343" s="15">
        <v>318595.0</v>
      </c>
      <c r="D9343" s="15">
        <v>0.0</v>
      </c>
      <c r="E9343" s="15" t="s">
        <v>1557</v>
      </c>
      <c r="F9343" s="15" t="s">
        <v>3844</v>
      </c>
      <c r="G9343" s="7">
        <v>14.954</v>
      </c>
      <c r="H9343" s="15" t="s">
        <v>5382</v>
      </c>
      <c r="I9343" s="15" t="s">
        <v>1586</v>
      </c>
      <c r="J9343" s="15" t="s">
        <v>32544</v>
      </c>
      <c r="K9343" s="15">
        <v>31.0</v>
      </c>
      <c r="L9343" s="15">
        <v>31.0</v>
      </c>
      <c r="M9343" s="40">
        <v>38601.0</v>
      </c>
      <c r="N9343" s="40">
        <v>38601.0</v>
      </c>
      <c r="O9343" s="15" t="s">
        <v>1554</v>
      </c>
      <c r="Q9343" s="7"/>
    </row>
    <row r="9344">
      <c r="A9344" s="39" t="s">
        <v>32545</v>
      </c>
      <c r="B9344" s="15">
        <v>1815977.0</v>
      </c>
      <c r="D9344" s="15">
        <v>0.0</v>
      </c>
      <c r="E9344" s="15" t="s">
        <v>1557</v>
      </c>
      <c r="F9344" s="15" t="s">
        <v>1611</v>
      </c>
      <c r="G9344" s="7">
        <v>43.223</v>
      </c>
      <c r="H9344" s="15" t="s">
        <v>2864</v>
      </c>
      <c r="I9344" s="15" t="s">
        <v>1586</v>
      </c>
      <c r="J9344" s="15" t="s">
        <v>32547</v>
      </c>
      <c r="K9344" s="15">
        <v>54.0</v>
      </c>
      <c r="L9344" s="15">
        <v>54.0</v>
      </c>
      <c r="M9344" s="40">
        <v>42625.0</v>
      </c>
      <c r="N9344" s="40">
        <v>42625.0</v>
      </c>
      <c r="O9344" s="15" t="s">
        <v>1554</v>
      </c>
      <c r="Q9344" s="7"/>
    </row>
    <row r="9345">
      <c r="A9345" s="39" t="s">
        <v>32548</v>
      </c>
      <c r="B9345" s="15">
        <v>1654888.0</v>
      </c>
      <c r="D9345" s="15">
        <v>0.0</v>
      </c>
      <c r="E9345" s="15" t="s">
        <v>1557</v>
      </c>
      <c r="F9345" s="15" t="s">
        <v>1611</v>
      </c>
      <c r="G9345" s="7">
        <v>55.391</v>
      </c>
      <c r="H9345" s="15" t="s">
        <v>3220</v>
      </c>
      <c r="I9345" s="15" t="s">
        <v>1586</v>
      </c>
      <c r="J9345" s="15" t="s">
        <v>32549</v>
      </c>
      <c r="K9345" s="15">
        <v>91.0</v>
      </c>
      <c r="L9345" s="15">
        <v>91.0</v>
      </c>
      <c r="M9345" s="41">
        <v>42307.0</v>
      </c>
      <c r="N9345" s="40">
        <v>42516.0</v>
      </c>
      <c r="O9345" s="15" t="s">
        <v>1554</v>
      </c>
      <c r="Q9345" s="7"/>
    </row>
    <row r="9346">
      <c r="A9346" s="39" t="s">
        <v>32550</v>
      </c>
      <c r="B9346" s="15">
        <v>374529.0</v>
      </c>
      <c r="D9346" s="15">
        <v>0.0</v>
      </c>
      <c r="E9346" s="15" t="s">
        <v>1557</v>
      </c>
      <c r="F9346" s="15" t="s">
        <v>1833</v>
      </c>
      <c r="G9346" s="7">
        <v>34.897</v>
      </c>
      <c r="H9346" s="15" t="s">
        <v>6303</v>
      </c>
      <c r="I9346" s="15" t="s">
        <v>1586</v>
      </c>
      <c r="J9346" s="15" t="s">
        <v>32551</v>
      </c>
      <c r="K9346" s="15" t="s">
        <v>1722</v>
      </c>
      <c r="L9346" s="15">
        <v>51.0</v>
      </c>
      <c r="M9346" s="40">
        <v>39210.0</v>
      </c>
      <c r="N9346" s="40">
        <v>39210.0</v>
      </c>
      <c r="O9346" s="15" t="s">
        <v>1554</v>
      </c>
      <c r="Q9346" s="7"/>
    </row>
    <row r="9347">
      <c r="A9347" s="39" t="s">
        <v>32552</v>
      </c>
      <c r="B9347" s="15">
        <v>1195077.0</v>
      </c>
      <c r="D9347" s="15">
        <v>0.0</v>
      </c>
      <c r="E9347" s="15" t="s">
        <v>1557</v>
      </c>
      <c r="F9347" s="15" t="s">
        <v>1767</v>
      </c>
      <c r="G9347" s="7">
        <v>141.018</v>
      </c>
      <c r="H9347" s="42">
        <v>43250.0</v>
      </c>
      <c r="I9347" s="15" t="s">
        <v>1586</v>
      </c>
      <c r="J9347" s="15" t="s">
        <v>32553</v>
      </c>
      <c r="K9347" s="15">
        <v>212.0</v>
      </c>
      <c r="L9347" s="15">
        <v>212.0</v>
      </c>
      <c r="M9347" s="40">
        <v>41104.0</v>
      </c>
      <c r="N9347" s="40">
        <v>41726.0</v>
      </c>
      <c r="O9347" s="15" t="s">
        <v>1554</v>
      </c>
      <c r="Q9347" s="7"/>
    </row>
    <row r="9348">
      <c r="A9348" s="39" t="s">
        <v>32040</v>
      </c>
      <c r="B9348" s="15">
        <v>39803.0</v>
      </c>
      <c r="D9348" s="15">
        <v>0.0</v>
      </c>
      <c r="E9348" s="15" t="s">
        <v>1548</v>
      </c>
      <c r="F9348" s="15" t="s">
        <v>4850</v>
      </c>
      <c r="G9348" s="7">
        <v>4.218</v>
      </c>
      <c r="H9348" s="15" t="s">
        <v>2075</v>
      </c>
      <c r="I9348" s="15" t="s">
        <v>1586</v>
      </c>
      <c r="J9348" s="15" t="s">
        <v>32555</v>
      </c>
      <c r="K9348" s="15" t="s">
        <v>1722</v>
      </c>
      <c r="L9348" s="15">
        <v>4.0</v>
      </c>
      <c r="M9348" s="40">
        <v>40065.0</v>
      </c>
      <c r="N9348" s="40">
        <v>40065.0</v>
      </c>
      <c r="O9348" s="15" t="s">
        <v>1554</v>
      </c>
      <c r="Q9348" s="7"/>
    </row>
    <row r="9349">
      <c r="A9349" s="39" t="s">
        <v>8271</v>
      </c>
      <c r="B9349" s="15">
        <v>28875.0</v>
      </c>
      <c r="D9349" s="15">
        <v>0.0</v>
      </c>
      <c r="E9349" s="15" t="s">
        <v>1638</v>
      </c>
      <c r="F9349" s="15" t="s">
        <v>1863</v>
      </c>
      <c r="G9349" s="7">
        <v>18.464</v>
      </c>
      <c r="H9349" s="15" t="s">
        <v>32556</v>
      </c>
      <c r="I9349" s="15" t="s">
        <v>1567</v>
      </c>
      <c r="J9349" s="15" t="s">
        <v>32557</v>
      </c>
      <c r="K9349" s="15" t="s">
        <v>1722</v>
      </c>
      <c r="L9349" s="15">
        <v>11.0</v>
      </c>
      <c r="M9349" s="40">
        <v>41839.0</v>
      </c>
      <c r="N9349" s="40">
        <v>41839.0</v>
      </c>
      <c r="O9349" s="15" t="s">
        <v>1554</v>
      </c>
      <c r="Q9349" s="7"/>
    </row>
    <row r="9350">
      <c r="A9350" s="39" t="s">
        <v>32558</v>
      </c>
      <c r="B9350" s="15">
        <v>1872689.0</v>
      </c>
      <c r="D9350" s="15">
        <v>0.0</v>
      </c>
      <c r="E9350" s="15" t="s">
        <v>1557</v>
      </c>
      <c r="F9350" s="15" t="s">
        <v>1833</v>
      </c>
      <c r="G9350" s="7">
        <v>41.901</v>
      </c>
      <c r="H9350" s="15" t="s">
        <v>6615</v>
      </c>
      <c r="I9350" s="15" t="s">
        <v>1586</v>
      </c>
      <c r="J9350" s="15" t="s">
        <v>32559</v>
      </c>
      <c r="K9350" s="15">
        <v>63.0</v>
      </c>
      <c r="L9350" s="15">
        <v>63.0</v>
      </c>
      <c r="M9350" s="40">
        <v>42567.0</v>
      </c>
      <c r="N9350" s="40">
        <v>42567.0</v>
      </c>
      <c r="O9350" s="15" t="s">
        <v>1554</v>
      </c>
      <c r="Q9350" s="7"/>
    </row>
    <row r="9351">
      <c r="A9351" s="39" t="s">
        <v>32560</v>
      </c>
      <c r="B9351" s="15">
        <v>1506453.0</v>
      </c>
      <c r="D9351" s="15">
        <v>0.0</v>
      </c>
      <c r="E9351" s="15" t="s">
        <v>1557</v>
      </c>
      <c r="F9351" s="15" t="s">
        <v>1611</v>
      </c>
      <c r="G9351" s="7">
        <v>61.137</v>
      </c>
      <c r="H9351" s="15" t="s">
        <v>1670</v>
      </c>
      <c r="I9351" s="15" t="s">
        <v>1586</v>
      </c>
      <c r="J9351" s="15" t="s">
        <v>32561</v>
      </c>
      <c r="K9351" s="15" t="s">
        <v>1722</v>
      </c>
      <c r="L9351" s="15">
        <v>91.0</v>
      </c>
      <c r="M9351" s="40">
        <v>41840.0</v>
      </c>
      <c r="N9351" s="40">
        <v>42173.0</v>
      </c>
      <c r="O9351" s="15" t="s">
        <v>1554</v>
      </c>
      <c r="Q9351" s="7"/>
    </row>
    <row r="9352">
      <c r="A9352" s="39" t="s">
        <v>32562</v>
      </c>
      <c r="B9352" s="15">
        <v>1165138.0</v>
      </c>
      <c r="D9352" s="15">
        <v>0.0</v>
      </c>
      <c r="E9352" s="15" t="s">
        <v>1557</v>
      </c>
      <c r="F9352" s="15" t="s">
        <v>1833</v>
      </c>
      <c r="G9352" s="7">
        <v>32.581</v>
      </c>
      <c r="H9352" s="15" t="s">
        <v>3260</v>
      </c>
      <c r="I9352" s="15" t="s">
        <v>1586</v>
      </c>
      <c r="J9352" s="15" t="s">
        <v>32563</v>
      </c>
      <c r="K9352" s="15">
        <v>60.0</v>
      </c>
      <c r="L9352" s="15">
        <v>58.0</v>
      </c>
      <c r="M9352" s="40">
        <v>40995.0</v>
      </c>
      <c r="N9352" s="40">
        <v>41031.0</v>
      </c>
      <c r="O9352" s="15" t="s">
        <v>1554</v>
      </c>
      <c r="Q9352" s="7"/>
    </row>
    <row r="9353">
      <c r="A9353" s="39" t="s">
        <v>10645</v>
      </c>
      <c r="B9353" s="15">
        <v>10760.0</v>
      </c>
      <c r="D9353" s="15">
        <v>0.0</v>
      </c>
      <c r="E9353" s="15" t="s">
        <v>1557</v>
      </c>
      <c r="F9353" s="15" t="s">
        <v>1611</v>
      </c>
      <c r="G9353" s="7">
        <v>37.664</v>
      </c>
      <c r="H9353" s="15" t="s">
        <v>3432</v>
      </c>
      <c r="I9353" s="15" t="s">
        <v>1586</v>
      </c>
      <c r="J9353" s="15" t="s">
        <v>32565</v>
      </c>
      <c r="K9353" s="15" t="s">
        <v>1722</v>
      </c>
      <c r="L9353" s="15">
        <v>49.0</v>
      </c>
      <c r="M9353" s="41">
        <v>37939.0</v>
      </c>
      <c r="N9353" s="40">
        <v>39058.0</v>
      </c>
      <c r="O9353" s="15" t="s">
        <v>1554</v>
      </c>
      <c r="Q9353" s="7"/>
    </row>
    <row r="9354">
      <c r="A9354" s="39" t="s">
        <v>32566</v>
      </c>
      <c r="B9354" s="15">
        <v>10519.0</v>
      </c>
      <c r="C9354" s="15" t="s">
        <v>32567</v>
      </c>
      <c r="D9354" s="15">
        <v>15114.0</v>
      </c>
      <c r="E9354" s="15" t="s">
        <v>1557</v>
      </c>
      <c r="F9354" s="15" t="s">
        <v>2628</v>
      </c>
      <c r="G9354" s="7">
        <v>35.514</v>
      </c>
      <c r="H9354" s="15" t="s">
        <v>5521</v>
      </c>
      <c r="I9354" s="15" t="s">
        <v>1567</v>
      </c>
      <c r="J9354" s="15" t="s">
        <v>32568</v>
      </c>
      <c r="K9354" s="15" t="s">
        <v>1722</v>
      </c>
      <c r="L9354" s="15">
        <v>37.0</v>
      </c>
      <c r="M9354" s="40">
        <v>38322.0</v>
      </c>
      <c r="N9354" s="40">
        <v>39790.0</v>
      </c>
      <c r="O9354" s="15" t="s">
        <v>1554</v>
      </c>
      <c r="Q9354" s="7"/>
    </row>
    <row r="9355">
      <c r="A9355" s="39" t="s">
        <v>32569</v>
      </c>
      <c r="B9355" s="15">
        <v>130760.0</v>
      </c>
      <c r="C9355" s="15" t="s">
        <v>32570</v>
      </c>
      <c r="D9355" s="15">
        <v>14892.0</v>
      </c>
      <c r="E9355" s="15" t="s">
        <v>1548</v>
      </c>
      <c r="F9355" s="15" t="s">
        <v>5756</v>
      </c>
      <c r="G9355" s="7">
        <v>13.498</v>
      </c>
      <c r="H9355" s="15" t="s">
        <v>3459</v>
      </c>
      <c r="I9355" s="15" t="s">
        <v>1567</v>
      </c>
      <c r="J9355" s="15" t="s">
        <v>32571</v>
      </c>
      <c r="K9355" s="15">
        <v>10.0</v>
      </c>
      <c r="L9355" s="15">
        <v>10.0</v>
      </c>
      <c r="M9355" s="40">
        <v>36707.0</v>
      </c>
      <c r="N9355" s="40">
        <v>42071.0</v>
      </c>
      <c r="O9355" s="15" t="s">
        <v>1554</v>
      </c>
      <c r="Q9355" s="7"/>
    </row>
    <row r="9356">
      <c r="A9356" s="39" t="s">
        <v>32572</v>
      </c>
      <c r="B9356" s="15">
        <v>1280920.0</v>
      </c>
      <c r="C9356" s="15" t="s">
        <v>32573</v>
      </c>
      <c r="D9356" s="15">
        <v>284012.0</v>
      </c>
      <c r="E9356" s="15" t="s">
        <v>1548</v>
      </c>
      <c r="F9356" s="15" t="s">
        <v>4829</v>
      </c>
      <c r="G9356" s="7">
        <v>7.521</v>
      </c>
      <c r="H9356" s="15" t="s">
        <v>1670</v>
      </c>
      <c r="I9356" s="15" t="s">
        <v>1567</v>
      </c>
      <c r="J9356" s="15" t="s">
        <v>32575</v>
      </c>
      <c r="K9356" s="15">
        <v>2.0</v>
      </c>
      <c r="L9356" s="15">
        <v>2.0</v>
      </c>
      <c r="M9356" s="40">
        <v>41464.0</v>
      </c>
      <c r="N9356" s="40">
        <v>42138.0</v>
      </c>
      <c r="O9356" s="15" t="s">
        <v>1554</v>
      </c>
      <c r="Q9356" s="7"/>
    </row>
    <row r="9357">
      <c r="A9357" s="39" t="s">
        <v>32576</v>
      </c>
      <c r="B9357" s="15">
        <v>356419.0</v>
      </c>
      <c r="C9357" s="15" t="s">
        <v>32577</v>
      </c>
      <c r="D9357" s="15">
        <v>20935.0</v>
      </c>
      <c r="E9357" s="15" t="s">
        <v>1548</v>
      </c>
      <c r="F9357" s="15" t="s">
        <v>1801</v>
      </c>
      <c r="G9357" s="7">
        <v>9.343</v>
      </c>
      <c r="H9357" s="15" t="s">
        <v>4614</v>
      </c>
      <c r="I9357" s="15" t="s">
        <v>1567</v>
      </c>
      <c r="J9357" s="15" t="s">
        <v>32578</v>
      </c>
      <c r="K9357" s="15">
        <v>1.0</v>
      </c>
      <c r="L9357" s="15">
        <v>2.0</v>
      </c>
      <c r="M9357" s="40">
        <v>35685.0</v>
      </c>
      <c r="N9357" s="40">
        <v>42605.0</v>
      </c>
      <c r="O9357" s="15" t="s">
        <v>1554</v>
      </c>
      <c r="Q9357" s="7"/>
    </row>
    <row r="9358">
      <c r="A9358" s="39" t="s">
        <v>31868</v>
      </c>
      <c r="B9358" s="15">
        <v>1278485.0</v>
      </c>
      <c r="D9358" s="15">
        <v>0.0</v>
      </c>
      <c r="E9358" s="15" t="s">
        <v>1557</v>
      </c>
      <c r="F9358" s="15" t="s">
        <v>1578</v>
      </c>
      <c r="G9358" s="7">
        <v>197.868</v>
      </c>
      <c r="H9358" s="15" t="s">
        <v>2640</v>
      </c>
      <c r="I9358" s="15" t="s">
        <v>1586</v>
      </c>
      <c r="J9358" s="15" t="s">
        <v>32579</v>
      </c>
      <c r="K9358" s="15">
        <v>241.0</v>
      </c>
      <c r="L9358" s="15">
        <v>236.0</v>
      </c>
      <c r="M9358" s="41">
        <v>42656.0</v>
      </c>
      <c r="N9358" s="41">
        <v>42656.0</v>
      </c>
      <c r="O9358" s="15" t="s">
        <v>1554</v>
      </c>
      <c r="Q9358" s="7"/>
    </row>
    <row r="9359">
      <c r="A9359" s="39" t="s">
        <v>32240</v>
      </c>
      <c r="B9359" s="15">
        <v>687800.0</v>
      </c>
      <c r="D9359" s="15">
        <v>0.0</v>
      </c>
      <c r="E9359" s="15" t="s">
        <v>1557</v>
      </c>
      <c r="F9359" s="15" t="s">
        <v>1767</v>
      </c>
      <c r="G9359" s="7">
        <v>175.431</v>
      </c>
      <c r="H9359" s="15" t="s">
        <v>1591</v>
      </c>
      <c r="I9359" s="15" t="s">
        <v>1586</v>
      </c>
      <c r="J9359" s="15" t="s">
        <v>32580</v>
      </c>
      <c r="K9359" s="15">
        <v>220.0</v>
      </c>
      <c r="L9359" s="15">
        <v>214.0</v>
      </c>
      <c r="M9359" s="41">
        <v>42656.0</v>
      </c>
      <c r="N9359" s="41">
        <v>42656.0</v>
      </c>
      <c r="O9359" s="15" t="s">
        <v>1554</v>
      </c>
      <c r="Q9359" s="7"/>
    </row>
    <row r="9360">
      <c r="A9360" s="39" t="s">
        <v>31860</v>
      </c>
      <c r="B9360" s="15">
        <v>756278.0</v>
      </c>
      <c r="D9360" s="15">
        <v>0.0</v>
      </c>
      <c r="E9360" s="15" t="s">
        <v>1557</v>
      </c>
      <c r="F9360" s="15" t="s">
        <v>1767</v>
      </c>
      <c r="G9360" s="7">
        <v>169.803</v>
      </c>
      <c r="H9360" s="15" t="s">
        <v>2141</v>
      </c>
      <c r="I9360" s="15" t="s">
        <v>1586</v>
      </c>
      <c r="J9360" s="15" t="s">
        <v>32582</v>
      </c>
      <c r="K9360" s="15">
        <v>230.0</v>
      </c>
      <c r="L9360" s="15">
        <v>222.0</v>
      </c>
      <c r="M9360" s="41">
        <v>42656.0</v>
      </c>
      <c r="N9360" s="41">
        <v>42656.0</v>
      </c>
      <c r="O9360" s="15" t="s">
        <v>1554</v>
      </c>
      <c r="Q9360" s="7"/>
    </row>
    <row r="9361">
      <c r="A9361" s="39" t="s">
        <v>32583</v>
      </c>
      <c r="B9361" s="15">
        <v>1458862.0</v>
      </c>
      <c r="C9361" s="15" t="s">
        <v>32584</v>
      </c>
      <c r="D9361" s="15">
        <v>266780.0</v>
      </c>
      <c r="E9361" s="15" t="s">
        <v>1557</v>
      </c>
      <c r="F9361" s="15" t="s">
        <v>1767</v>
      </c>
      <c r="G9361" s="7">
        <v>49.64</v>
      </c>
      <c r="H9361" s="15" t="s">
        <v>1994</v>
      </c>
      <c r="I9361" s="15" t="s">
        <v>1586</v>
      </c>
      <c r="J9361" s="15" t="s">
        <v>32585</v>
      </c>
      <c r="K9361" s="15">
        <v>75.0</v>
      </c>
      <c r="L9361" s="15">
        <v>75.0</v>
      </c>
      <c r="M9361" s="40">
        <v>41897.0</v>
      </c>
      <c r="N9361" s="41">
        <v>41953.0</v>
      </c>
      <c r="O9361" s="15" t="s">
        <v>1554</v>
      </c>
      <c r="Q9361" s="7"/>
    </row>
    <row r="9362">
      <c r="A9362" s="39" t="s">
        <v>17683</v>
      </c>
      <c r="B9362" s="15">
        <v>1493509.0</v>
      </c>
      <c r="D9362" s="15">
        <v>0.0</v>
      </c>
      <c r="E9362" s="15" t="s">
        <v>1557</v>
      </c>
      <c r="F9362" s="15" t="s">
        <v>1767</v>
      </c>
      <c r="G9362" s="7">
        <v>158.3</v>
      </c>
      <c r="H9362" s="15" t="s">
        <v>2640</v>
      </c>
      <c r="I9362" s="15" t="s">
        <v>1586</v>
      </c>
      <c r="J9362" s="15" t="s">
        <v>32586</v>
      </c>
      <c r="K9362" s="15">
        <v>182.0</v>
      </c>
      <c r="L9362" s="15">
        <v>182.0</v>
      </c>
      <c r="M9362" s="40">
        <v>42104.0</v>
      </c>
      <c r="N9362" s="40">
        <v>42104.0</v>
      </c>
      <c r="O9362" s="15" t="s">
        <v>1554</v>
      </c>
      <c r="Q9362" s="7"/>
    </row>
    <row r="9363">
      <c r="A9363" s="39" t="s">
        <v>17687</v>
      </c>
      <c r="B9363" s="15">
        <v>1493507.0</v>
      </c>
      <c r="D9363" s="15">
        <v>0.0</v>
      </c>
      <c r="E9363" s="15" t="s">
        <v>1557</v>
      </c>
      <c r="F9363" s="15" t="s">
        <v>1767</v>
      </c>
      <c r="G9363" s="7">
        <v>171.296</v>
      </c>
      <c r="H9363" s="15" t="s">
        <v>2304</v>
      </c>
      <c r="I9363" s="15" t="s">
        <v>1586</v>
      </c>
      <c r="J9363" s="15" t="s">
        <v>32587</v>
      </c>
      <c r="K9363" s="15">
        <v>206.0</v>
      </c>
      <c r="L9363" s="15">
        <v>206.0</v>
      </c>
      <c r="M9363" s="40">
        <v>42104.0</v>
      </c>
      <c r="N9363" s="40">
        <v>42104.0</v>
      </c>
      <c r="O9363" s="15" t="s">
        <v>1554</v>
      </c>
      <c r="Q9363" s="7"/>
    </row>
    <row r="9364">
      <c r="A9364" s="39" t="s">
        <v>17693</v>
      </c>
      <c r="B9364" s="15">
        <v>1493511.0</v>
      </c>
      <c r="D9364" s="15">
        <v>0.0</v>
      </c>
      <c r="E9364" s="15" t="s">
        <v>1557</v>
      </c>
      <c r="F9364" s="15" t="s">
        <v>1767</v>
      </c>
      <c r="G9364" s="7">
        <v>225.391</v>
      </c>
      <c r="H9364" s="15" t="s">
        <v>2118</v>
      </c>
      <c r="I9364" s="15" t="s">
        <v>1586</v>
      </c>
      <c r="J9364" s="15" t="s">
        <v>32589</v>
      </c>
      <c r="K9364" s="15">
        <v>286.0</v>
      </c>
      <c r="L9364" s="15">
        <v>286.0</v>
      </c>
      <c r="M9364" s="40">
        <v>42104.0</v>
      </c>
      <c r="N9364" s="40">
        <v>42104.0</v>
      </c>
      <c r="O9364" s="15" t="s">
        <v>1554</v>
      </c>
      <c r="Q9364" s="7"/>
    </row>
    <row r="9365">
      <c r="A9365" s="39" t="s">
        <v>17780</v>
      </c>
      <c r="B9365" s="15">
        <v>1493508.0</v>
      </c>
      <c r="D9365" s="15">
        <v>0.0</v>
      </c>
      <c r="E9365" s="15" t="s">
        <v>1557</v>
      </c>
      <c r="F9365" s="15" t="s">
        <v>1767</v>
      </c>
      <c r="G9365" s="7">
        <v>172.688</v>
      </c>
      <c r="H9365" s="15" t="s">
        <v>3895</v>
      </c>
      <c r="I9365" s="15" t="s">
        <v>1586</v>
      </c>
      <c r="J9365" s="15" t="s">
        <v>32590</v>
      </c>
      <c r="K9365" s="15">
        <v>216.0</v>
      </c>
      <c r="L9365" s="15">
        <v>216.0</v>
      </c>
      <c r="M9365" s="40">
        <v>42104.0</v>
      </c>
      <c r="N9365" s="40">
        <v>42104.0</v>
      </c>
      <c r="O9365" s="15" t="s">
        <v>1554</v>
      </c>
      <c r="Q9365" s="7"/>
    </row>
    <row r="9366">
      <c r="A9366" s="39" t="s">
        <v>31698</v>
      </c>
      <c r="B9366" s="15">
        <v>1558465.0</v>
      </c>
      <c r="D9366" s="15">
        <v>0.0</v>
      </c>
      <c r="E9366" s="15" t="s">
        <v>1557</v>
      </c>
      <c r="F9366" s="15" t="s">
        <v>1611</v>
      </c>
      <c r="G9366" s="7">
        <v>39.53</v>
      </c>
      <c r="H9366" s="15" t="s">
        <v>2351</v>
      </c>
      <c r="I9366" s="15" t="s">
        <v>1586</v>
      </c>
      <c r="J9366" s="15" t="s">
        <v>32591</v>
      </c>
      <c r="K9366" s="15">
        <v>48.0</v>
      </c>
      <c r="L9366" s="15">
        <v>48.0</v>
      </c>
      <c r="M9366" s="40">
        <v>41978.0</v>
      </c>
      <c r="N9366" s="41">
        <v>41999.0</v>
      </c>
      <c r="O9366" s="15" t="s">
        <v>1554</v>
      </c>
      <c r="Q9366" s="7"/>
    </row>
    <row r="9367">
      <c r="A9367" s="39" t="s">
        <v>32592</v>
      </c>
      <c r="B9367" s="15">
        <v>1220605.0</v>
      </c>
      <c r="D9367" s="15">
        <v>0.0</v>
      </c>
      <c r="E9367" s="15" t="s">
        <v>1557</v>
      </c>
      <c r="F9367" s="15" t="s">
        <v>1767</v>
      </c>
      <c r="G9367" s="7">
        <v>50.426</v>
      </c>
      <c r="H9367" s="15" t="s">
        <v>2131</v>
      </c>
      <c r="I9367" s="15" t="s">
        <v>1586</v>
      </c>
      <c r="J9367" s="15" t="s">
        <v>32594</v>
      </c>
      <c r="K9367" s="15">
        <v>75.0</v>
      </c>
      <c r="L9367" s="15">
        <v>75.0</v>
      </c>
      <c r="M9367" s="40">
        <v>41290.0</v>
      </c>
      <c r="N9367" s="40">
        <v>41642.0</v>
      </c>
      <c r="O9367" s="15" t="s">
        <v>1554</v>
      </c>
      <c r="Q9367" s="7"/>
    </row>
    <row r="9368">
      <c r="A9368" s="39" t="s">
        <v>32595</v>
      </c>
      <c r="B9368" s="15">
        <v>1692247.0</v>
      </c>
      <c r="C9368" s="15" t="s">
        <v>32596</v>
      </c>
      <c r="D9368" s="15">
        <v>293715.0</v>
      </c>
      <c r="E9368" s="15" t="s">
        <v>1808</v>
      </c>
      <c r="F9368" s="15" t="s">
        <v>1998</v>
      </c>
      <c r="G9368" s="7">
        <v>2.061</v>
      </c>
      <c r="H9368" s="15" t="s">
        <v>5391</v>
      </c>
      <c r="I9368" s="15" t="s">
        <v>1686</v>
      </c>
      <c r="J9368" s="15" t="s">
        <v>32597</v>
      </c>
      <c r="K9368" s="15">
        <v>2.0</v>
      </c>
      <c r="L9368" s="15">
        <v>2.0</v>
      </c>
      <c r="M9368" s="40">
        <v>42232.0</v>
      </c>
      <c r="N9368" s="40">
        <v>42240.0</v>
      </c>
      <c r="O9368" s="15" t="s">
        <v>1554</v>
      </c>
      <c r="Q9368" s="7"/>
    </row>
    <row r="9369">
      <c r="A9369" s="39" t="s">
        <v>32598</v>
      </c>
      <c r="B9369" s="15">
        <v>1690809.0</v>
      </c>
      <c r="D9369" s="15">
        <v>0.0</v>
      </c>
      <c r="E9369" s="15" t="s">
        <v>1557</v>
      </c>
      <c r="F9369" s="15" t="s">
        <v>1833</v>
      </c>
      <c r="G9369" s="7">
        <v>29.428</v>
      </c>
      <c r="H9369" s="15" t="s">
        <v>5483</v>
      </c>
      <c r="I9369" s="15" t="s">
        <v>1586</v>
      </c>
      <c r="J9369" s="15" t="s">
        <v>32599</v>
      </c>
      <c r="K9369" s="15">
        <v>43.0</v>
      </c>
      <c r="L9369" s="15">
        <v>43.0</v>
      </c>
      <c r="M9369" s="40">
        <v>42245.0</v>
      </c>
      <c r="N9369" s="40">
        <v>42460.0</v>
      </c>
      <c r="O9369" s="15" t="s">
        <v>1554</v>
      </c>
      <c r="Q9369" s="7"/>
    </row>
    <row r="9370">
      <c r="A9370" s="39" t="s">
        <v>32600</v>
      </c>
      <c r="B9370" s="15">
        <v>1873697.0</v>
      </c>
      <c r="D9370" s="15">
        <v>0.0</v>
      </c>
      <c r="E9370" s="15" t="s">
        <v>1557</v>
      </c>
      <c r="F9370" s="15" t="s">
        <v>1833</v>
      </c>
      <c r="G9370" s="7">
        <v>50.866</v>
      </c>
      <c r="H9370" s="15" t="s">
        <v>12937</v>
      </c>
      <c r="I9370" s="15" t="s">
        <v>1586</v>
      </c>
      <c r="J9370" s="15" t="s">
        <v>32602</v>
      </c>
      <c r="K9370" s="15">
        <v>94.0</v>
      </c>
      <c r="L9370" s="15">
        <v>91.0</v>
      </c>
      <c r="M9370" s="40">
        <v>42576.0</v>
      </c>
      <c r="N9370" s="40">
        <v>42576.0</v>
      </c>
      <c r="O9370" s="15" t="s">
        <v>1554</v>
      </c>
      <c r="Q9370" s="7"/>
    </row>
    <row r="9371">
      <c r="A9371" s="39" t="s">
        <v>32603</v>
      </c>
      <c r="B9371" s="15">
        <v>1813778.0</v>
      </c>
      <c r="D9371" s="15">
        <v>0.0</v>
      </c>
      <c r="E9371" s="15" t="s">
        <v>1557</v>
      </c>
      <c r="F9371" s="15" t="s">
        <v>1611</v>
      </c>
      <c r="G9371" s="7">
        <v>42.134</v>
      </c>
      <c r="H9371" s="15" t="s">
        <v>1572</v>
      </c>
      <c r="I9371" s="15" t="s">
        <v>1586</v>
      </c>
      <c r="J9371" s="15" t="s">
        <v>32604</v>
      </c>
      <c r="K9371" s="15" t="s">
        <v>1722</v>
      </c>
      <c r="L9371" s="15">
        <v>64.0</v>
      </c>
      <c r="M9371" s="40">
        <v>42543.0</v>
      </c>
      <c r="N9371" s="40">
        <v>42543.0</v>
      </c>
      <c r="O9371" s="15" t="s">
        <v>1554</v>
      </c>
      <c r="Q9371" s="7"/>
    </row>
    <row r="9372">
      <c r="A9372" s="39" t="s">
        <v>32605</v>
      </c>
      <c r="B9372" s="15">
        <v>1777069.0</v>
      </c>
      <c r="D9372" s="15">
        <v>0.0</v>
      </c>
      <c r="E9372" s="15" t="s">
        <v>1557</v>
      </c>
      <c r="F9372" s="15" t="s">
        <v>1767</v>
      </c>
      <c r="G9372" s="7">
        <v>92.816</v>
      </c>
      <c r="H9372" s="15" t="s">
        <v>1828</v>
      </c>
      <c r="I9372" s="15" t="s">
        <v>1586</v>
      </c>
      <c r="J9372" s="15" t="s">
        <v>32606</v>
      </c>
      <c r="K9372" s="15">
        <v>176.0</v>
      </c>
      <c r="L9372" s="15">
        <v>167.0</v>
      </c>
      <c r="M9372" s="40">
        <v>42458.0</v>
      </c>
      <c r="N9372" s="40">
        <v>42458.0</v>
      </c>
      <c r="O9372" s="15" t="s">
        <v>1554</v>
      </c>
      <c r="Q9372" s="7"/>
    </row>
    <row r="9373">
      <c r="A9373" s="39" t="s">
        <v>26529</v>
      </c>
      <c r="B9373" s="15">
        <v>186617.0</v>
      </c>
      <c r="C9373" s="15" t="s">
        <v>26530</v>
      </c>
      <c r="D9373" s="15">
        <v>371593.0</v>
      </c>
      <c r="E9373" s="15" t="s">
        <v>1664</v>
      </c>
      <c r="F9373" s="15" t="s">
        <v>1664</v>
      </c>
      <c r="G9373" s="7">
        <v>21189.5</v>
      </c>
      <c r="H9373" s="15" t="s">
        <v>2777</v>
      </c>
      <c r="I9373" s="15" t="s">
        <v>1722</v>
      </c>
      <c r="J9373" s="15" t="s">
        <v>32607</v>
      </c>
      <c r="K9373" s="15" t="s">
        <v>1722</v>
      </c>
      <c r="L9373" s="15" t="s">
        <v>1722</v>
      </c>
      <c r="M9373" s="40">
        <v>42770.0</v>
      </c>
      <c r="N9373" s="40">
        <v>42851.0</v>
      </c>
      <c r="O9373" s="15" t="s">
        <v>22466</v>
      </c>
      <c r="Q9373" s="7"/>
    </row>
    <row r="9374">
      <c r="A9374" s="39" t="s">
        <v>32608</v>
      </c>
      <c r="B9374" s="15">
        <v>1700833.0</v>
      </c>
      <c r="D9374" s="15">
        <v>0.0</v>
      </c>
      <c r="E9374" s="15" t="s">
        <v>1557</v>
      </c>
      <c r="F9374" s="15" t="s">
        <v>1833</v>
      </c>
      <c r="G9374" s="7">
        <v>68.405</v>
      </c>
      <c r="H9374" s="15" t="s">
        <v>4308</v>
      </c>
      <c r="I9374" s="15" t="s">
        <v>1586</v>
      </c>
      <c r="J9374" s="15" t="s">
        <v>32609</v>
      </c>
      <c r="K9374" s="15">
        <v>101.0</v>
      </c>
      <c r="L9374" s="15">
        <v>101.0</v>
      </c>
      <c r="M9374" s="40">
        <v>42245.0</v>
      </c>
      <c r="N9374" s="40">
        <v>42245.0</v>
      </c>
      <c r="O9374" s="15" t="s">
        <v>1554</v>
      </c>
      <c r="Q9374" s="7"/>
    </row>
    <row r="9375">
      <c r="A9375" s="39" t="s">
        <v>27611</v>
      </c>
      <c r="B9375" s="15">
        <v>10847.0</v>
      </c>
      <c r="D9375" s="15">
        <v>0.0</v>
      </c>
      <c r="E9375" s="15" t="s">
        <v>1808</v>
      </c>
      <c r="F9375" s="15" t="s">
        <v>3154</v>
      </c>
      <c r="G9375" s="7">
        <v>5.386</v>
      </c>
      <c r="H9375" s="15">
        <v>44.0</v>
      </c>
      <c r="I9375" s="15" t="s">
        <v>1586</v>
      </c>
      <c r="J9375" s="15" t="s">
        <v>32610</v>
      </c>
      <c r="K9375" s="15" t="s">
        <v>1722</v>
      </c>
      <c r="L9375" s="15">
        <v>11.0</v>
      </c>
      <c r="M9375" s="40">
        <v>39132.0</v>
      </c>
      <c r="N9375" s="40">
        <v>39132.0</v>
      </c>
      <c r="O9375" s="15" t="s">
        <v>1554</v>
      </c>
      <c r="Q9375" s="7"/>
    </row>
    <row r="9376">
      <c r="A9376" s="39" t="s">
        <v>31533</v>
      </c>
      <c r="B9376" s="15">
        <v>310953.0</v>
      </c>
      <c r="D9376" s="15">
        <v>0.0</v>
      </c>
      <c r="E9376" s="15" t="s">
        <v>1808</v>
      </c>
      <c r="F9376" s="15" t="s">
        <v>3154</v>
      </c>
      <c r="G9376" s="7">
        <v>5.577</v>
      </c>
      <c r="H9376" s="15" t="s">
        <v>4070</v>
      </c>
      <c r="I9376" s="15" t="s">
        <v>1586</v>
      </c>
      <c r="J9376" s="15" t="s">
        <v>32611</v>
      </c>
      <c r="K9376" s="15" t="s">
        <v>1722</v>
      </c>
      <c r="L9376" s="15">
        <v>11.0</v>
      </c>
      <c r="M9376" s="40">
        <v>42563.0</v>
      </c>
      <c r="N9376" s="40">
        <v>42563.0</v>
      </c>
      <c r="O9376" s="15" t="s">
        <v>1554</v>
      </c>
      <c r="Q9376" s="7"/>
    </row>
    <row r="9377">
      <c r="A9377" s="39" t="s">
        <v>28082</v>
      </c>
      <c r="B9377" s="15">
        <v>1407671.0</v>
      </c>
      <c r="D9377" s="15">
        <v>0.0</v>
      </c>
      <c r="E9377" s="15" t="s">
        <v>1664</v>
      </c>
      <c r="F9377" s="15" t="s">
        <v>1664</v>
      </c>
      <c r="G9377" s="7">
        <v>37.654</v>
      </c>
      <c r="H9377" s="15" t="s">
        <v>4283</v>
      </c>
      <c r="I9377" s="15" t="s">
        <v>1722</v>
      </c>
      <c r="J9377" s="15" t="s">
        <v>32613</v>
      </c>
      <c r="K9377" s="15" t="s">
        <v>1722</v>
      </c>
      <c r="L9377" s="15">
        <v>53.0</v>
      </c>
      <c r="M9377" s="40">
        <v>41584.0</v>
      </c>
      <c r="N9377" s="41">
        <v>42307.0</v>
      </c>
      <c r="O9377" s="15" t="s">
        <v>1554</v>
      </c>
      <c r="Q9377" s="7"/>
    </row>
    <row r="9378">
      <c r="A9378" s="39" t="s">
        <v>28085</v>
      </c>
      <c r="B9378" s="15">
        <v>1758150.0</v>
      </c>
      <c r="D9378" s="15">
        <v>0.0</v>
      </c>
      <c r="E9378" s="15" t="s">
        <v>1808</v>
      </c>
      <c r="F9378" s="15" t="s">
        <v>3154</v>
      </c>
      <c r="G9378" s="7">
        <v>5.338</v>
      </c>
      <c r="H9378" s="15" t="s">
        <v>2660</v>
      </c>
      <c r="I9378" s="15" t="s">
        <v>1586</v>
      </c>
      <c r="J9378" s="15" t="s">
        <v>32614</v>
      </c>
      <c r="K9378" s="15" t="s">
        <v>1722</v>
      </c>
      <c r="L9378" s="15">
        <v>3.0</v>
      </c>
      <c r="M9378" s="41">
        <v>42718.0</v>
      </c>
      <c r="N9378" s="41">
        <v>42718.0</v>
      </c>
      <c r="O9378" s="15" t="s">
        <v>1554</v>
      </c>
      <c r="Q9378" s="7"/>
    </row>
    <row r="9379">
      <c r="A9379" s="39" t="s">
        <v>32615</v>
      </c>
      <c r="B9379" s="15">
        <v>1667364.0</v>
      </c>
      <c r="D9379" s="15">
        <v>0.0</v>
      </c>
      <c r="E9379" s="15" t="s">
        <v>1557</v>
      </c>
      <c r="F9379" s="15" t="s">
        <v>1611</v>
      </c>
      <c r="G9379" s="7">
        <v>41.143</v>
      </c>
      <c r="H9379" s="15" t="s">
        <v>5368</v>
      </c>
      <c r="I9379" s="15" t="s">
        <v>1586</v>
      </c>
      <c r="J9379" s="15" t="s">
        <v>32616</v>
      </c>
      <c r="K9379" s="15">
        <v>58.0</v>
      </c>
      <c r="L9379" s="15">
        <v>58.0</v>
      </c>
      <c r="M9379" s="40">
        <v>42185.0</v>
      </c>
      <c r="N9379" s="40">
        <v>42185.0</v>
      </c>
      <c r="O9379" s="15" t="s">
        <v>1554</v>
      </c>
      <c r="Q9379" s="7"/>
    </row>
    <row r="9380">
      <c r="A9380" s="39" t="s">
        <v>30902</v>
      </c>
      <c r="B9380" s="15">
        <v>1278402.0</v>
      </c>
      <c r="D9380" s="15">
        <v>0.0</v>
      </c>
      <c r="E9380" s="15" t="s">
        <v>1557</v>
      </c>
      <c r="F9380" s="15" t="s">
        <v>1767</v>
      </c>
      <c r="G9380" s="7">
        <v>176.183</v>
      </c>
      <c r="H9380" s="15" t="s">
        <v>6418</v>
      </c>
      <c r="I9380" s="15" t="s">
        <v>1586</v>
      </c>
      <c r="J9380" s="15" t="s">
        <v>32617</v>
      </c>
      <c r="K9380" s="15">
        <v>218.0</v>
      </c>
      <c r="L9380" s="15">
        <v>213.0</v>
      </c>
      <c r="M9380" s="41">
        <v>42656.0</v>
      </c>
      <c r="N9380" s="41">
        <v>42656.0</v>
      </c>
      <c r="O9380" s="15" t="s">
        <v>1554</v>
      </c>
      <c r="Q9380" s="7"/>
    </row>
    <row r="9381">
      <c r="A9381" s="39" t="s">
        <v>32618</v>
      </c>
      <c r="B9381" s="15">
        <v>1737465.0</v>
      </c>
      <c r="D9381" s="15">
        <v>0.0</v>
      </c>
      <c r="E9381" s="15" t="s">
        <v>1557</v>
      </c>
      <c r="F9381" s="15" t="s">
        <v>1767</v>
      </c>
      <c r="G9381" s="7">
        <v>65.763</v>
      </c>
      <c r="H9381" s="15" t="s">
        <v>3776</v>
      </c>
      <c r="I9381" s="15" t="s">
        <v>1586</v>
      </c>
      <c r="J9381" s="15" t="s">
        <v>32620</v>
      </c>
      <c r="K9381" s="15" t="s">
        <v>1722</v>
      </c>
      <c r="L9381" s="15">
        <v>90.0</v>
      </c>
      <c r="M9381" s="41">
        <v>42302.0</v>
      </c>
      <c r="N9381" s="41">
        <v>42302.0</v>
      </c>
      <c r="O9381" s="15" t="s">
        <v>1554</v>
      </c>
      <c r="Q9381" s="7"/>
    </row>
    <row r="9382">
      <c r="A9382" s="39" t="s">
        <v>32621</v>
      </c>
      <c r="B9382" s="15">
        <v>1176426.0</v>
      </c>
      <c r="D9382" s="15">
        <v>0.0</v>
      </c>
      <c r="E9382" s="15" t="s">
        <v>1557</v>
      </c>
      <c r="F9382" s="15" t="s">
        <v>1767</v>
      </c>
      <c r="G9382" s="7">
        <v>154.466</v>
      </c>
      <c r="H9382" s="15" t="s">
        <v>4171</v>
      </c>
      <c r="I9382" s="15" t="s">
        <v>1586</v>
      </c>
      <c r="J9382" s="15" t="s">
        <v>32622</v>
      </c>
      <c r="K9382" s="15">
        <v>265.0</v>
      </c>
      <c r="L9382" s="15">
        <v>232.0</v>
      </c>
      <c r="M9382" s="40">
        <v>41070.0</v>
      </c>
      <c r="N9382" s="40">
        <v>41070.0</v>
      </c>
      <c r="O9382" s="15" t="s">
        <v>1554</v>
      </c>
      <c r="Q9382" s="7"/>
    </row>
    <row r="9383">
      <c r="A9383" s="39" t="s">
        <v>32623</v>
      </c>
      <c r="B9383" s="15">
        <v>1772306.0</v>
      </c>
      <c r="D9383" s="15">
        <v>0.0</v>
      </c>
      <c r="E9383" s="15" t="s">
        <v>1557</v>
      </c>
      <c r="F9383" s="15" t="s">
        <v>1833</v>
      </c>
      <c r="G9383" s="7">
        <v>15.556</v>
      </c>
      <c r="H9383" s="15" t="s">
        <v>10437</v>
      </c>
      <c r="I9383" s="15" t="s">
        <v>1586</v>
      </c>
      <c r="J9383" s="15" t="s">
        <v>32624</v>
      </c>
      <c r="K9383" s="15">
        <v>26.0</v>
      </c>
      <c r="L9383" s="15">
        <v>26.0</v>
      </c>
      <c r="M9383" s="40">
        <v>42388.0</v>
      </c>
      <c r="N9383" s="40">
        <v>42388.0</v>
      </c>
      <c r="O9383" s="15" t="s">
        <v>1554</v>
      </c>
      <c r="Q9383" s="7"/>
    </row>
    <row r="9384">
      <c r="A9384" s="39" t="s">
        <v>30912</v>
      </c>
      <c r="B9384" s="15">
        <v>1278423.0</v>
      </c>
      <c r="D9384" s="15">
        <v>0.0</v>
      </c>
      <c r="E9384" s="15" t="s">
        <v>1557</v>
      </c>
      <c r="F9384" s="15" t="s">
        <v>1767</v>
      </c>
      <c r="G9384" s="7">
        <v>179.558</v>
      </c>
      <c r="H9384" s="15" t="s">
        <v>2440</v>
      </c>
      <c r="I9384" s="15" t="s">
        <v>1586</v>
      </c>
      <c r="J9384" s="15" t="s">
        <v>32625</v>
      </c>
      <c r="K9384" s="15">
        <v>217.0</v>
      </c>
      <c r="L9384" s="15">
        <v>216.0</v>
      </c>
      <c r="M9384" s="41">
        <v>42656.0</v>
      </c>
      <c r="N9384" s="41">
        <v>42656.0</v>
      </c>
      <c r="O9384" s="15" t="s">
        <v>1554</v>
      </c>
      <c r="Q9384" s="7"/>
    </row>
    <row r="9385">
      <c r="A9385" s="39" t="s">
        <v>32627</v>
      </c>
      <c r="B9385" s="15">
        <v>1897764.0</v>
      </c>
      <c r="D9385" s="15">
        <v>0.0</v>
      </c>
      <c r="E9385" s="15" t="s">
        <v>1557</v>
      </c>
      <c r="F9385" s="15" t="s">
        <v>1833</v>
      </c>
      <c r="G9385" s="7">
        <v>68.604</v>
      </c>
      <c r="H9385" s="15" t="s">
        <v>2492</v>
      </c>
      <c r="I9385" s="15" t="s">
        <v>1586</v>
      </c>
      <c r="J9385" s="15" t="s">
        <v>32628</v>
      </c>
      <c r="K9385" s="15">
        <v>100.0</v>
      </c>
      <c r="L9385" s="15">
        <v>100.0</v>
      </c>
      <c r="M9385" s="40">
        <v>42634.0</v>
      </c>
      <c r="N9385" s="40">
        <v>42634.0</v>
      </c>
      <c r="O9385" s="15" t="s">
        <v>1554</v>
      </c>
      <c r="Q9385" s="7"/>
    </row>
    <row r="9386">
      <c r="A9386" s="39" t="s">
        <v>32629</v>
      </c>
      <c r="B9386" s="15">
        <v>1718175.0</v>
      </c>
      <c r="D9386" s="15">
        <v>0.0</v>
      </c>
      <c r="E9386" s="15" t="s">
        <v>1557</v>
      </c>
      <c r="F9386" s="15" t="s">
        <v>1833</v>
      </c>
      <c r="G9386" s="7">
        <v>68.596</v>
      </c>
      <c r="H9386" s="15" t="s">
        <v>4308</v>
      </c>
      <c r="I9386" s="15" t="s">
        <v>1586</v>
      </c>
      <c r="J9386" s="15" t="s">
        <v>32630</v>
      </c>
      <c r="K9386" s="15">
        <v>101.0</v>
      </c>
      <c r="L9386" s="15">
        <v>101.0</v>
      </c>
      <c r="M9386" s="41">
        <v>42288.0</v>
      </c>
      <c r="N9386" s="41">
        <v>42288.0</v>
      </c>
      <c r="O9386" s="15" t="s">
        <v>1554</v>
      </c>
      <c r="Q9386" s="7"/>
    </row>
    <row r="9387">
      <c r="A9387" s="39" t="s">
        <v>32631</v>
      </c>
      <c r="B9387" s="15">
        <v>1873890.0</v>
      </c>
      <c r="D9387" s="15">
        <v>0.0</v>
      </c>
      <c r="E9387" s="15" t="s">
        <v>1557</v>
      </c>
      <c r="F9387" s="15" t="s">
        <v>1833</v>
      </c>
      <c r="G9387" s="7">
        <v>69.0</v>
      </c>
      <c r="H9387" s="15" t="s">
        <v>4308</v>
      </c>
      <c r="I9387" s="15" t="s">
        <v>1586</v>
      </c>
      <c r="J9387" s="15" t="s">
        <v>32632</v>
      </c>
      <c r="K9387" s="15">
        <v>101.0</v>
      </c>
      <c r="L9387" s="15">
        <v>101.0</v>
      </c>
      <c r="M9387" s="40">
        <v>42571.0</v>
      </c>
      <c r="N9387" s="40">
        <v>42571.0</v>
      </c>
      <c r="O9387" s="15" t="s">
        <v>1554</v>
      </c>
      <c r="Q9387" s="7"/>
    </row>
    <row r="9388">
      <c r="A9388" s="39" t="s">
        <v>32633</v>
      </c>
      <c r="B9388" s="15">
        <v>697291.0</v>
      </c>
      <c r="D9388" s="15">
        <v>0.0</v>
      </c>
      <c r="E9388" s="15" t="s">
        <v>1557</v>
      </c>
      <c r="F9388" s="15" t="s">
        <v>1767</v>
      </c>
      <c r="G9388" s="7">
        <v>168.395</v>
      </c>
      <c r="H9388" s="15" t="s">
        <v>3568</v>
      </c>
      <c r="I9388" s="15" t="s">
        <v>1586</v>
      </c>
      <c r="J9388" s="15" t="s">
        <v>32635</v>
      </c>
      <c r="K9388" s="15">
        <v>284.0</v>
      </c>
      <c r="L9388" s="15">
        <v>272.0</v>
      </c>
      <c r="M9388" s="41">
        <v>41934.0</v>
      </c>
      <c r="N9388" s="40">
        <v>42033.0</v>
      </c>
      <c r="O9388" s="15" t="s">
        <v>1554</v>
      </c>
      <c r="Q9388" s="7"/>
    </row>
    <row r="9389">
      <c r="A9389" s="39" t="s">
        <v>32636</v>
      </c>
      <c r="B9389" s="15">
        <v>1034106.0</v>
      </c>
      <c r="D9389" s="15">
        <v>0.0</v>
      </c>
      <c r="E9389" s="15" t="s">
        <v>1557</v>
      </c>
      <c r="F9389" s="15" t="s">
        <v>1833</v>
      </c>
      <c r="G9389" s="7">
        <v>68.675</v>
      </c>
      <c r="H9389" s="15" t="s">
        <v>2492</v>
      </c>
      <c r="I9389" s="15" t="s">
        <v>1586</v>
      </c>
      <c r="J9389" s="15" t="s">
        <v>32637</v>
      </c>
      <c r="K9389" s="15" t="s">
        <v>1722</v>
      </c>
      <c r="L9389" s="15">
        <v>101.0</v>
      </c>
      <c r="M9389" s="40">
        <v>40741.0</v>
      </c>
      <c r="N9389" s="40">
        <v>40942.0</v>
      </c>
      <c r="O9389" s="15" t="s">
        <v>1554</v>
      </c>
      <c r="Q9389" s="7"/>
    </row>
    <row r="9390">
      <c r="A9390" s="39" t="s">
        <v>32638</v>
      </c>
      <c r="B9390" s="15">
        <v>1235691.0</v>
      </c>
      <c r="D9390" s="15">
        <v>0.0</v>
      </c>
      <c r="E9390" s="15" t="s">
        <v>1557</v>
      </c>
      <c r="F9390" s="15" t="s">
        <v>1833</v>
      </c>
      <c r="G9390" s="7">
        <v>68.004</v>
      </c>
      <c r="H9390" s="15" t="s">
        <v>4308</v>
      </c>
      <c r="I9390" s="15" t="s">
        <v>1586</v>
      </c>
      <c r="J9390" s="15" t="s">
        <v>32639</v>
      </c>
      <c r="K9390" s="15">
        <v>99.0</v>
      </c>
      <c r="L9390" s="15">
        <v>99.0</v>
      </c>
      <c r="M9390" s="40">
        <v>41290.0</v>
      </c>
      <c r="N9390" s="40">
        <v>42865.0</v>
      </c>
      <c r="O9390" s="15" t="s">
        <v>1554</v>
      </c>
      <c r="Q9390" s="7"/>
    </row>
    <row r="9391">
      <c r="A9391" s="39" t="s">
        <v>32640</v>
      </c>
      <c r="B9391" s="15">
        <v>1897765.0</v>
      </c>
      <c r="D9391" s="15">
        <v>0.0</v>
      </c>
      <c r="E9391" s="15" t="s">
        <v>1557</v>
      </c>
      <c r="F9391" s="15" t="s">
        <v>1833</v>
      </c>
      <c r="G9391" s="7">
        <v>68.637</v>
      </c>
      <c r="H9391" s="15" t="s">
        <v>2492</v>
      </c>
      <c r="I9391" s="15" t="s">
        <v>1586</v>
      </c>
      <c r="J9391" s="15" t="s">
        <v>32641</v>
      </c>
      <c r="K9391" s="15">
        <v>101.0</v>
      </c>
      <c r="L9391" s="15">
        <v>101.0</v>
      </c>
      <c r="M9391" s="40">
        <v>42634.0</v>
      </c>
      <c r="N9391" s="40">
        <v>42712.0</v>
      </c>
      <c r="O9391" s="15" t="s">
        <v>1554</v>
      </c>
      <c r="Q9391" s="7"/>
    </row>
    <row r="9392">
      <c r="A9392" s="39" t="s">
        <v>30912</v>
      </c>
      <c r="B9392" s="15">
        <v>1278423.0</v>
      </c>
      <c r="D9392" s="15">
        <v>0.0</v>
      </c>
      <c r="E9392" s="15" t="s">
        <v>1557</v>
      </c>
      <c r="F9392" s="15" t="s">
        <v>1767</v>
      </c>
      <c r="G9392" s="7">
        <v>180.78</v>
      </c>
      <c r="H9392" s="15" t="s">
        <v>2440</v>
      </c>
      <c r="I9392" s="15" t="s">
        <v>1586</v>
      </c>
      <c r="J9392" s="15" t="s">
        <v>32643</v>
      </c>
      <c r="K9392" s="15">
        <v>221.0</v>
      </c>
      <c r="L9392" s="15">
        <v>220.0</v>
      </c>
      <c r="M9392" s="41">
        <v>42656.0</v>
      </c>
      <c r="N9392" s="41">
        <v>42656.0</v>
      </c>
      <c r="O9392" s="15" t="s">
        <v>1554</v>
      </c>
      <c r="Q9392" s="7"/>
    </row>
    <row r="9393">
      <c r="A9393" s="39" t="s">
        <v>32644</v>
      </c>
      <c r="B9393" s="15">
        <v>1772308.0</v>
      </c>
      <c r="D9393" s="15">
        <v>0.0</v>
      </c>
      <c r="E9393" s="15" t="s">
        <v>1557</v>
      </c>
      <c r="F9393" s="15" t="s">
        <v>1833</v>
      </c>
      <c r="G9393" s="7">
        <v>15.63</v>
      </c>
      <c r="H9393" s="15">
        <v>60.0</v>
      </c>
      <c r="I9393" s="15" t="s">
        <v>1586</v>
      </c>
      <c r="J9393" s="15" t="s">
        <v>32645</v>
      </c>
      <c r="K9393" s="15">
        <v>26.0</v>
      </c>
      <c r="L9393" s="15">
        <v>26.0</v>
      </c>
      <c r="M9393" s="40">
        <v>42388.0</v>
      </c>
      <c r="N9393" s="40">
        <v>42388.0</v>
      </c>
      <c r="O9393" s="15" t="s">
        <v>1554</v>
      </c>
      <c r="Q9393" s="7"/>
    </row>
    <row r="9394">
      <c r="A9394" s="39" t="s">
        <v>32646</v>
      </c>
      <c r="B9394" s="15">
        <v>1340835.0</v>
      </c>
      <c r="D9394" s="15">
        <v>0.0</v>
      </c>
      <c r="E9394" s="15" t="s">
        <v>1557</v>
      </c>
      <c r="F9394" s="15" t="s">
        <v>1767</v>
      </c>
      <c r="G9394" s="7">
        <v>155.714</v>
      </c>
      <c r="H9394" s="15" t="s">
        <v>8929</v>
      </c>
      <c r="I9394" s="15" t="s">
        <v>1586</v>
      </c>
      <c r="J9394" s="15" t="s">
        <v>32647</v>
      </c>
      <c r="K9394" s="15">
        <v>268.0</v>
      </c>
      <c r="L9394" s="15">
        <v>235.0</v>
      </c>
      <c r="M9394" s="40">
        <v>41539.0</v>
      </c>
      <c r="N9394" s="40">
        <v>41539.0</v>
      </c>
      <c r="O9394" s="15" t="s">
        <v>1554</v>
      </c>
      <c r="Q9394" s="7"/>
    </row>
    <row r="9395">
      <c r="A9395" s="39" t="s">
        <v>32648</v>
      </c>
      <c r="B9395" s="15">
        <v>1737464.0</v>
      </c>
      <c r="D9395" s="15">
        <v>0.0</v>
      </c>
      <c r="E9395" s="15" t="s">
        <v>1557</v>
      </c>
      <c r="F9395" s="15" t="s">
        <v>1767</v>
      </c>
      <c r="G9395" s="7">
        <v>65.76</v>
      </c>
      <c r="H9395" s="15" t="s">
        <v>3776</v>
      </c>
      <c r="I9395" s="15" t="s">
        <v>1586</v>
      </c>
      <c r="J9395" s="15" t="s">
        <v>32649</v>
      </c>
      <c r="K9395" s="15" t="s">
        <v>1722</v>
      </c>
      <c r="L9395" s="15">
        <v>91.0</v>
      </c>
      <c r="M9395" s="41">
        <v>42302.0</v>
      </c>
      <c r="N9395" s="41">
        <v>42302.0</v>
      </c>
      <c r="O9395" s="15" t="s">
        <v>1554</v>
      </c>
      <c r="Q9395" s="7"/>
    </row>
    <row r="9396">
      <c r="A9396" s="39" t="s">
        <v>30902</v>
      </c>
      <c r="B9396" s="15">
        <v>1278402.0</v>
      </c>
      <c r="D9396" s="15">
        <v>0.0</v>
      </c>
      <c r="E9396" s="15" t="s">
        <v>1557</v>
      </c>
      <c r="F9396" s="15" t="s">
        <v>1767</v>
      </c>
      <c r="G9396" s="7">
        <v>174.79</v>
      </c>
      <c r="H9396" s="15" t="s">
        <v>1602</v>
      </c>
      <c r="I9396" s="15" t="s">
        <v>1586</v>
      </c>
      <c r="J9396" s="15" t="s">
        <v>32651</v>
      </c>
      <c r="K9396" s="15">
        <v>220.0</v>
      </c>
      <c r="L9396" s="15">
        <v>215.0</v>
      </c>
      <c r="M9396" s="41">
        <v>42656.0</v>
      </c>
      <c r="N9396" s="41">
        <v>42656.0</v>
      </c>
      <c r="O9396" s="15" t="s">
        <v>1554</v>
      </c>
      <c r="Q9396" s="7"/>
    </row>
    <row r="9397">
      <c r="A9397" s="39" t="s">
        <v>32652</v>
      </c>
      <c r="B9397" s="15">
        <v>1667371.0</v>
      </c>
      <c r="D9397" s="15">
        <v>0.0</v>
      </c>
      <c r="E9397" s="15" t="s">
        <v>1557</v>
      </c>
      <c r="F9397" s="15" t="s">
        <v>1611</v>
      </c>
      <c r="G9397" s="7">
        <v>41.143</v>
      </c>
      <c r="H9397" s="15" t="s">
        <v>5368</v>
      </c>
      <c r="I9397" s="15" t="s">
        <v>1586</v>
      </c>
      <c r="J9397" s="15" t="s">
        <v>32653</v>
      </c>
      <c r="K9397" s="15">
        <v>58.0</v>
      </c>
      <c r="L9397" s="15">
        <v>58.0</v>
      </c>
      <c r="M9397" s="40">
        <v>42185.0</v>
      </c>
      <c r="N9397" s="40">
        <v>42185.0</v>
      </c>
      <c r="O9397" s="15" t="s">
        <v>1554</v>
      </c>
      <c r="Q9397" s="7"/>
    </row>
    <row r="9398">
      <c r="A9398" s="39" t="s">
        <v>28085</v>
      </c>
      <c r="B9398" s="15">
        <v>1758150.0</v>
      </c>
      <c r="D9398" s="15">
        <v>0.0</v>
      </c>
      <c r="E9398" s="15" t="s">
        <v>1808</v>
      </c>
      <c r="F9398" s="15" t="s">
        <v>3154</v>
      </c>
      <c r="G9398" s="7">
        <v>4.876</v>
      </c>
      <c r="H9398" s="15" t="s">
        <v>1700</v>
      </c>
      <c r="I9398" s="15" t="s">
        <v>1586</v>
      </c>
      <c r="J9398" s="15" t="s">
        <v>32654</v>
      </c>
      <c r="K9398" s="15" t="s">
        <v>1722</v>
      </c>
      <c r="L9398" s="15">
        <v>5.0</v>
      </c>
      <c r="M9398" s="41">
        <v>42718.0</v>
      </c>
      <c r="N9398" s="41">
        <v>42718.0</v>
      </c>
      <c r="O9398" s="15" t="s">
        <v>1554</v>
      </c>
      <c r="Q9398" s="7"/>
    </row>
    <row r="9399">
      <c r="A9399" s="39" t="s">
        <v>28082</v>
      </c>
      <c r="B9399" s="15">
        <v>1407671.0</v>
      </c>
      <c r="D9399" s="15">
        <v>0.0</v>
      </c>
      <c r="E9399" s="15" t="s">
        <v>1664</v>
      </c>
      <c r="F9399" s="15" t="s">
        <v>1664</v>
      </c>
      <c r="G9399" s="7">
        <v>38.732</v>
      </c>
      <c r="H9399" s="15" t="s">
        <v>2316</v>
      </c>
      <c r="I9399" s="15" t="s">
        <v>1722</v>
      </c>
      <c r="J9399" s="15" t="s">
        <v>32656</v>
      </c>
      <c r="K9399" s="15" t="s">
        <v>1722</v>
      </c>
      <c r="L9399" s="15">
        <v>56.0</v>
      </c>
      <c r="M9399" s="40">
        <v>41584.0</v>
      </c>
      <c r="N9399" s="41">
        <v>42307.0</v>
      </c>
      <c r="O9399" s="15" t="s">
        <v>1554</v>
      </c>
      <c r="Q9399" s="7"/>
    </row>
    <row r="9400">
      <c r="A9400" s="39" t="s">
        <v>31533</v>
      </c>
      <c r="B9400" s="15">
        <v>310953.0</v>
      </c>
      <c r="D9400" s="15">
        <v>0.0</v>
      </c>
      <c r="E9400" s="15" t="s">
        <v>1808</v>
      </c>
      <c r="F9400" s="15" t="s">
        <v>3154</v>
      </c>
      <c r="G9400" s="7">
        <v>5.577</v>
      </c>
      <c r="H9400" s="15" t="s">
        <v>4070</v>
      </c>
      <c r="I9400" s="15" t="s">
        <v>1586</v>
      </c>
      <c r="J9400" s="15" t="s">
        <v>32657</v>
      </c>
      <c r="K9400" s="15" t="s">
        <v>1722</v>
      </c>
      <c r="L9400" s="15">
        <v>11.0</v>
      </c>
      <c r="M9400" s="40">
        <v>42563.0</v>
      </c>
      <c r="N9400" s="40">
        <v>42563.0</v>
      </c>
      <c r="O9400" s="15" t="s">
        <v>1554</v>
      </c>
      <c r="Q9400" s="7"/>
    </row>
    <row r="9401">
      <c r="A9401" s="39" t="s">
        <v>27611</v>
      </c>
      <c r="B9401" s="15">
        <v>10847.0</v>
      </c>
      <c r="D9401" s="15">
        <v>0.0</v>
      </c>
      <c r="E9401" s="15" t="s">
        <v>1808</v>
      </c>
      <c r="F9401" s="15" t="s">
        <v>3154</v>
      </c>
      <c r="G9401" s="7">
        <v>5.386</v>
      </c>
      <c r="H9401" s="15" t="s">
        <v>1613</v>
      </c>
      <c r="I9401" s="15" t="s">
        <v>1586</v>
      </c>
      <c r="J9401" s="15" t="s">
        <v>32658</v>
      </c>
      <c r="K9401" s="15" t="s">
        <v>1722</v>
      </c>
      <c r="L9401" s="15">
        <v>11.0</v>
      </c>
      <c r="M9401" s="40">
        <v>39132.0</v>
      </c>
      <c r="N9401" s="40">
        <v>39132.0</v>
      </c>
      <c r="O9401" s="15" t="s">
        <v>1554</v>
      </c>
      <c r="Q9401" s="7"/>
    </row>
    <row r="9402">
      <c r="A9402" s="39" t="s">
        <v>26529</v>
      </c>
      <c r="B9402" s="15">
        <v>186617.0</v>
      </c>
      <c r="C9402" s="15" t="s">
        <v>26530</v>
      </c>
      <c r="D9402" s="15">
        <v>371593.0</v>
      </c>
      <c r="E9402" s="15" t="s">
        <v>1664</v>
      </c>
      <c r="F9402" s="15" t="s">
        <v>1664</v>
      </c>
      <c r="G9402" s="7">
        <v>49312.9</v>
      </c>
      <c r="H9402" s="15">
        <v>41.0</v>
      </c>
      <c r="I9402" s="15" t="s">
        <v>1722</v>
      </c>
      <c r="J9402" s="15" t="s">
        <v>32659</v>
      </c>
      <c r="K9402" s="15" t="s">
        <v>1722</v>
      </c>
      <c r="L9402" s="15" t="s">
        <v>1722</v>
      </c>
      <c r="M9402" s="40">
        <v>42770.0</v>
      </c>
      <c r="N9402" s="40">
        <v>42851.0</v>
      </c>
      <c r="O9402" s="15" t="s">
        <v>22466</v>
      </c>
      <c r="Q9402" s="7"/>
    </row>
    <row r="9403">
      <c r="A9403" s="39" t="s">
        <v>32660</v>
      </c>
      <c r="B9403" s="15">
        <v>1777070.0</v>
      </c>
      <c r="D9403" s="15">
        <v>0.0</v>
      </c>
      <c r="E9403" s="15" t="s">
        <v>1557</v>
      </c>
      <c r="F9403" s="15" t="s">
        <v>1767</v>
      </c>
      <c r="G9403" s="7">
        <v>93.385</v>
      </c>
      <c r="H9403" s="15">
        <v>45.0</v>
      </c>
      <c r="I9403" s="15" t="s">
        <v>1586</v>
      </c>
      <c r="J9403" s="15" t="s">
        <v>32662</v>
      </c>
      <c r="K9403" s="15">
        <v>179.0</v>
      </c>
      <c r="L9403" s="15">
        <v>170.0</v>
      </c>
      <c r="M9403" s="40">
        <v>42458.0</v>
      </c>
      <c r="N9403" s="40">
        <v>42458.0</v>
      </c>
      <c r="O9403" s="15" t="s">
        <v>1554</v>
      </c>
      <c r="Q9403" s="7"/>
    </row>
    <row r="9404">
      <c r="A9404" s="39" t="s">
        <v>32663</v>
      </c>
      <c r="B9404" s="15">
        <v>1813780.0</v>
      </c>
      <c r="D9404" s="15">
        <v>0.0</v>
      </c>
      <c r="E9404" s="15" t="s">
        <v>1557</v>
      </c>
      <c r="F9404" s="15" t="s">
        <v>1611</v>
      </c>
      <c r="G9404" s="7">
        <v>42.428</v>
      </c>
      <c r="H9404" s="15" t="s">
        <v>2981</v>
      </c>
      <c r="I9404" s="15" t="s">
        <v>1586</v>
      </c>
      <c r="J9404" s="15" t="s">
        <v>32664</v>
      </c>
      <c r="K9404" s="15" t="s">
        <v>1722</v>
      </c>
      <c r="L9404" s="15">
        <v>64.0</v>
      </c>
      <c r="M9404" s="40">
        <v>42543.0</v>
      </c>
      <c r="N9404" s="40">
        <v>42543.0</v>
      </c>
      <c r="O9404" s="15" t="s">
        <v>1554</v>
      </c>
      <c r="Q9404" s="7"/>
    </row>
    <row r="9405">
      <c r="A9405" s="39" t="s">
        <v>32665</v>
      </c>
      <c r="B9405" s="15">
        <v>1034148.0</v>
      </c>
      <c r="D9405" s="15">
        <v>0.0</v>
      </c>
      <c r="E9405" s="15" t="s">
        <v>1557</v>
      </c>
      <c r="F9405" s="15" t="s">
        <v>1833</v>
      </c>
      <c r="G9405" s="7">
        <v>50.963</v>
      </c>
      <c r="H9405" s="15">
        <v>64.0</v>
      </c>
      <c r="I9405" s="15" t="s">
        <v>1586</v>
      </c>
      <c r="J9405" s="15" t="s">
        <v>32666</v>
      </c>
      <c r="K9405" s="15">
        <v>88.0</v>
      </c>
      <c r="L9405" s="15">
        <v>85.0</v>
      </c>
      <c r="M9405" s="40">
        <v>40741.0</v>
      </c>
      <c r="N9405" s="40">
        <v>40942.0</v>
      </c>
      <c r="O9405" s="15" t="s">
        <v>1554</v>
      </c>
      <c r="Q9405" s="7"/>
    </row>
    <row r="9406">
      <c r="A9406" s="39" t="s">
        <v>32667</v>
      </c>
      <c r="B9406" s="15">
        <v>1690810.0</v>
      </c>
      <c r="D9406" s="15">
        <v>0.0</v>
      </c>
      <c r="E9406" s="15" t="s">
        <v>1557</v>
      </c>
      <c r="F9406" s="15" t="s">
        <v>1833</v>
      </c>
      <c r="G9406" s="7">
        <v>29.609</v>
      </c>
      <c r="H9406" s="15" t="s">
        <v>3246</v>
      </c>
      <c r="I9406" s="15" t="s">
        <v>1586</v>
      </c>
      <c r="J9406" s="15" t="s">
        <v>32668</v>
      </c>
      <c r="K9406" s="15">
        <v>42.0</v>
      </c>
      <c r="L9406" s="15">
        <v>42.0</v>
      </c>
      <c r="M9406" s="40">
        <v>42245.0</v>
      </c>
      <c r="N9406" s="40">
        <v>42460.0</v>
      </c>
      <c r="O9406" s="15" t="s">
        <v>1554</v>
      </c>
      <c r="Q9406" s="7"/>
    </row>
    <row r="9407">
      <c r="A9407" s="39" t="s">
        <v>32670</v>
      </c>
      <c r="B9407" s="15">
        <v>1692256.0</v>
      </c>
      <c r="C9407" s="15" t="s">
        <v>32671</v>
      </c>
      <c r="D9407" s="15">
        <v>293732.0</v>
      </c>
      <c r="E9407" s="15" t="s">
        <v>1808</v>
      </c>
      <c r="F9407" s="15" t="s">
        <v>1998</v>
      </c>
      <c r="G9407" s="7">
        <v>1.894</v>
      </c>
      <c r="H9407" s="15" t="s">
        <v>1828</v>
      </c>
      <c r="I9407" s="15" t="s">
        <v>1686</v>
      </c>
      <c r="J9407" s="15" t="s">
        <v>32672</v>
      </c>
      <c r="K9407" s="15">
        <v>2.0</v>
      </c>
      <c r="L9407" s="15">
        <v>2.0</v>
      </c>
      <c r="M9407" s="40">
        <v>42232.0</v>
      </c>
      <c r="N9407" s="40">
        <v>42240.0</v>
      </c>
      <c r="O9407" s="15" t="s">
        <v>1554</v>
      </c>
      <c r="Q9407" s="7"/>
    </row>
    <row r="9408">
      <c r="A9408" s="39" t="s">
        <v>32673</v>
      </c>
      <c r="B9408" s="15">
        <v>1220715.0</v>
      </c>
      <c r="D9408" s="15">
        <v>0.0</v>
      </c>
      <c r="E9408" s="15" t="s">
        <v>1557</v>
      </c>
      <c r="F9408" s="15" t="s">
        <v>1767</v>
      </c>
      <c r="G9408" s="7">
        <v>43.619</v>
      </c>
      <c r="H9408" s="15" t="s">
        <v>4821</v>
      </c>
      <c r="I9408" s="15" t="s">
        <v>1586</v>
      </c>
      <c r="J9408" s="15" t="s">
        <v>32674</v>
      </c>
      <c r="K9408" s="15">
        <v>59.0</v>
      </c>
      <c r="L9408" s="15">
        <v>59.0</v>
      </c>
      <c r="M9408" s="40">
        <v>41290.0</v>
      </c>
      <c r="N9408" s="40">
        <v>41642.0</v>
      </c>
      <c r="O9408" s="15" t="s">
        <v>1554</v>
      </c>
      <c r="Q9408" s="7"/>
    </row>
    <row r="9409">
      <c r="A9409" s="39" t="s">
        <v>32676</v>
      </c>
      <c r="B9409" s="15">
        <v>1558466.0</v>
      </c>
      <c r="D9409" s="15">
        <v>0.0</v>
      </c>
      <c r="E9409" s="15" t="s">
        <v>1557</v>
      </c>
      <c r="F9409" s="15" t="s">
        <v>1611</v>
      </c>
      <c r="G9409" s="7">
        <v>39.53</v>
      </c>
      <c r="H9409" s="15" t="s">
        <v>2351</v>
      </c>
      <c r="I9409" s="15" t="s">
        <v>1586</v>
      </c>
      <c r="J9409" s="15" t="s">
        <v>32677</v>
      </c>
      <c r="K9409" s="15">
        <v>48.0</v>
      </c>
      <c r="L9409" s="15">
        <v>48.0</v>
      </c>
      <c r="M9409" s="40">
        <v>41978.0</v>
      </c>
      <c r="N9409" s="41">
        <v>41999.0</v>
      </c>
      <c r="O9409" s="15" t="s">
        <v>1554</v>
      </c>
      <c r="Q9409" s="7"/>
    </row>
    <row r="9410">
      <c r="A9410" s="39" t="s">
        <v>17780</v>
      </c>
      <c r="B9410" s="15">
        <v>1493508.0</v>
      </c>
      <c r="D9410" s="15">
        <v>0.0</v>
      </c>
      <c r="E9410" s="15" t="s">
        <v>1557</v>
      </c>
      <c r="F9410" s="15" t="s">
        <v>1767</v>
      </c>
      <c r="G9410" s="7">
        <v>172.681</v>
      </c>
      <c r="H9410" s="15" t="s">
        <v>3895</v>
      </c>
      <c r="I9410" s="15" t="s">
        <v>1586</v>
      </c>
      <c r="J9410" s="15" t="s">
        <v>32678</v>
      </c>
      <c r="K9410" s="15">
        <v>215.0</v>
      </c>
      <c r="L9410" s="15">
        <v>215.0</v>
      </c>
      <c r="M9410" s="40">
        <v>42104.0</v>
      </c>
      <c r="N9410" s="40">
        <v>42104.0</v>
      </c>
      <c r="O9410" s="15" t="s">
        <v>1554</v>
      </c>
      <c r="Q9410" s="7"/>
    </row>
    <row r="9411">
      <c r="A9411" s="39" t="s">
        <v>17693</v>
      </c>
      <c r="B9411" s="15">
        <v>1493511.0</v>
      </c>
      <c r="D9411" s="15">
        <v>0.0</v>
      </c>
      <c r="E9411" s="15" t="s">
        <v>1557</v>
      </c>
      <c r="F9411" s="15" t="s">
        <v>1767</v>
      </c>
      <c r="G9411" s="7">
        <v>223.27</v>
      </c>
      <c r="H9411" s="15" t="s">
        <v>2118</v>
      </c>
      <c r="I9411" s="15" t="s">
        <v>1586</v>
      </c>
      <c r="J9411" s="15" t="s">
        <v>32679</v>
      </c>
      <c r="K9411" s="15">
        <v>287.0</v>
      </c>
      <c r="L9411" s="15">
        <v>287.0</v>
      </c>
      <c r="M9411" s="40">
        <v>42104.0</v>
      </c>
      <c r="N9411" s="40">
        <v>42104.0</v>
      </c>
      <c r="O9411" s="15" t="s">
        <v>1554</v>
      </c>
      <c r="Q9411" s="7"/>
    </row>
    <row r="9412">
      <c r="A9412" s="39" t="s">
        <v>17687</v>
      </c>
      <c r="B9412" s="15">
        <v>1493507.0</v>
      </c>
      <c r="D9412" s="15">
        <v>0.0</v>
      </c>
      <c r="E9412" s="15" t="s">
        <v>1557</v>
      </c>
      <c r="F9412" s="15" t="s">
        <v>1767</v>
      </c>
      <c r="G9412" s="7">
        <v>171.294</v>
      </c>
      <c r="H9412" s="15" t="s">
        <v>2304</v>
      </c>
      <c r="I9412" s="15" t="s">
        <v>1586</v>
      </c>
      <c r="J9412" s="15" t="s">
        <v>32680</v>
      </c>
      <c r="K9412" s="15">
        <v>209.0</v>
      </c>
      <c r="L9412" s="15">
        <v>209.0</v>
      </c>
      <c r="M9412" s="40">
        <v>42104.0</v>
      </c>
      <c r="N9412" s="40">
        <v>42104.0</v>
      </c>
      <c r="O9412" s="15" t="s">
        <v>1554</v>
      </c>
      <c r="Q9412" s="7"/>
    </row>
    <row r="9413">
      <c r="A9413" s="39" t="s">
        <v>17683</v>
      </c>
      <c r="B9413" s="15">
        <v>1493509.0</v>
      </c>
      <c r="D9413" s="15">
        <v>0.0</v>
      </c>
      <c r="E9413" s="15" t="s">
        <v>1557</v>
      </c>
      <c r="F9413" s="15" t="s">
        <v>1767</v>
      </c>
      <c r="G9413" s="7">
        <v>179.107</v>
      </c>
      <c r="H9413" s="15" t="s">
        <v>2640</v>
      </c>
      <c r="I9413" s="15" t="s">
        <v>1586</v>
      </c>
      <c r="J9413" s="15" t="s">
        <v>32682</v>
      </c>
      <c r="K9413" s="15">
        <v>218.0</v>
      </c>
      <c r="L9413" s="15">
        <v>218.0</v>
      </c>
      <c r="M9413" s="40">
        <v>42104.0</v>
      </c>
      <c r="N9413" s="40">
        <v>42104.0</v>
      </c>
      <c r="O9413" s="15" t="s">
        <v>1554</v>
      </c>
      <c r="Q9413" s="7"/>
    </row>
    <row r="9414">
      <c r="A9414" s="39" t="s">
        <v>32683</v>
      </c>
      <c r="B9414" s="15">
        <v>1458858.0</v>
      </c>
      <c r="D9414" s="15">
        <v>0.0</v>
      </c>
      <c r="E9414" s="15" t="s">
        <v>1557</v>
      </c>
      <c r="F9414" s="15" t="s">
        <v>1767</v>
      </c>
      <c r="G9414" s="7">
        <v>42.252</v>
      </c>
      <c r="H9414" s="15" t="s">
        <v>7532</v>
      </c>
      <c r="I9414" s="15" t="s">
        <v>1586</v>
      </c>
      <c r="J9414" s="15" t="s">
        <v>32684</v>
      </c>
      <c r="K9414" s="15">
        <v>63.0</v>
      </c>
      <c r="L9414" s="15">
        <v>63.0</v>
      </c>
      <c r="M9414" s="40">
        <v>41897.0</v>
      </c>
      <c r="N9414" s="41">
        <v>41941.0</v>
      </c>
      <c r="O9414" s="15" t="s">
        <v>1554</v>
      </c>
      <c r="Q9414" s="7"/>
    </row>
    <row r="9415">
      <c r="A9415" s="39" t="s">
        <v>31860</v>
      </c>
      <c r="B9415" s="15">
        <v>756278.0</v>
      </c>
      <c r="D9415" s="15">
        <v>0.0</v>
      </c>
      <c r="E9415" s="15" t="s">
        <v>1557</v>
      </c>
      <c r="F9415" s="15" t="s">
        <v>1767</v>
      </c>
      <c r="G9415" s="7">
        <v>171.216</v>
      </c>
      <c r="H9415" s="15" t="s">
        <v>2141</v>
      </c>
      <c r="I9415" s="15" t="s">
        <v>1586</v>
      </c>
      <c r="J9415" s="15" t="s">
        <v>32685</v>
      </c>
      <c r="K9415" s="15">
        <v>232.0</v>
      </c>
      <c r="L9415" s="15">
        <v>224.0</v>
      </c>
      <c r="M9415" s="41">
        <v>42656.0</v>
      </c>
      <c r="N9415" s="41">
        <v>42656.0</v>
      </c>
      <c r="O9415" s="15" t="s">
        <v>1554</v>
      </c>
      <c r="Q9415" s="7"/>
    </row>
    <row r="9416">
      <c r="A9416" s="39" t="s">
        <v>32240</v>
      </c>
      <c r="B9416" s="15">
        <v>687800.0</v>
      </c>
      <c r="D9416" s="15">
        <v>0.0</v>
      </c>
      <c r="E9416" s="15" t="s">
        <v>1557</v>
      </c>
      <c r="F9416" s="15" t="s">
        <v>1767</v>
      </c>
      <c r="G9416" s="7">
        <v>175.083</v>
      </c>
      <c r="H9416" s="15" t="s">
        <v>1591</v>
      </c>
      <c r="I9416" s="15" t="s">
        <v>1586</v>
      </c>
      <c r="J9416" s="15" t="s">
        <v>32687</v>
      </c>
      <c r="K9416" s="15">
        <v>221.0</v>
      </c>
      <c r="L9416" s="15">
        <v>215.0</v>
      </c>
      <c r="M9416" s="41">
        <v>42656.0</v>
      </c>
      <c r="N9416" s="41">
        <v>42656.0</v>
      </c>
      <c r="O9416" s="15" t="s">
        <v>1554</v>
      </c>
      <c r="Q9416" s="7"/>
    </row>
    <row r="9417">
      <c r="A9417" s="39" t="s">
        <v>31868</v>
      </c>
      <c r="B9417" s="15">
        <v>1278485.0</v>
      </c>
      <c r="D9417" s="15">
        <v>0.0</v>
      </c>
      <c r="E9417" s="15" t="s">
        <v>1557</v>
      </c>
      <c r="F9417" s="15" t="s">
        <v>1578</v>
      </c>
      <c r="G9417" s="7">
        <v>197.45</v>
      </c>
      <c r="H9417" s="15" t="s">
        <v>2524</v>
      </c>
      <c r="I9417" s="15" t="s">
        <v>1586</v>
      </c>
      <c r="J9417" s="15" t="s">
        <v>32688</v>
      </c>
      <c r="K9417" s="15">
        <v>240.0</v>
      </c>
      <c r="L9417" s="15">
        <v>235.0</v>
      </c>
      <c r="M9417" s="41">
        <v>42656.0</v>
      </c>
      <c r="N9417" s="41">
        <v>42656.0</v>
      </c>
      <c r="O9417" s="15" t="s">
        <v>1554</v>
      </c>
      <c r="Q9417" s="7"/>
    </row>
    <row r="9418">
      <c r="A9418" s="39" t="s">
        <v>32689</v>
      </c>
      <c r="B9418" s="15">
        <v>356418.0</v>
      </c>
      <c r="C9418" s="15" t="s">
        <v>32690</v>
      </c>
      <c r="D9418" s="15">
        <v>20933.0</v>
      </c>
      <c r="E9418" s="15" t="s">
        <v>1548</v>
      </c>
      <c r="F9418" s="15" t="s">
        <v>1801</v>
      </c>
      <c r="G9418" s="7">
        <v>9.355</v>
      </c>
      <c r="H9418" s="15" t="s">
        <v>2033</v>
      </c>
      <c r="I9418" s="15" t="s">
        <v>1567</v>
      </c>
      <c r="J9418" s="15" t="s">
        <v>32691</v>
      </c>
      <c r="K9418" s="15">
        <v>1.0</v>
      </c>
      <c r="L9418" s="15">
        <v>2.0</v>
      </c>
      <c r="M9418" s="40">
        <v>35620.0</v>
      </c>
      <c r="N9418" s="40">
        <v>42605.0</v>
      </c>
      <c r="O9418" s="15" t="s">
        <v>1554</v>
      </c>
      <c r="Q9418" s="7"/>
    </row>
    <row r="9419">
      <c r="A9419" s="39" t="s">
        <v>32692</v>
      </c>
      <c r="B9419" s="15">
        <v>93838.0</v>
      </c>
      <c r="C9419" s="15" t="s">
        <v>32694</v>
      </c>
      <c r="D9419" s="15">
        <v>15617.0</v>
      </c>
      <c r="E9419" s="15" t="s">
        <v>1548</v>
      </c>
      <c r="F9419" s="15" t="s">
        <v>5756</v>
      </c>
      <c r="G9419" s="7">
        <v>13.59</v>
      </c>
      <c r="H9419" s="15" t="s">
        <v>32695</v>
      </c>
      <c r="I9419" s="15" t="s">
        <v>1567</v>
      </c>
      <c r="J9419" s="15" t="s">
        <v>32696</v>
      </c>
      <c r="K9419" s="15">
        <v>12.0</v>
      </c>
      <c r="L9419" s="15">
        <v>12.0</v>
      </c>
      <c r="M9419" s="40">
        <v>36403.0</v>
      </c>
      <c r="N9419" s="41">
        <v>42297.0</v>
      </c>
      <c r="O9419" s="15" t="s">
        <v>1554</v>
      </c>
      <c r="Q9419" s="7"/>
    </row>
    <row r="9420">
      <c r="A9420" s="39" t="s">
        <v>10645</v>
      </c>
      <c r="B9420" s="15">
        <v>10760.0</v>
      </c>
      <c r="D9420" s="15">
        <v>0.0</v>
      </c>
      <c r="E9420" s="15" t="s">
        <v>1557</v>
      </c>
      <c r="F9420" s="15" t="s">
        <v>1611</v>
      </c>
      <c r="G9420" s="7">
        <v>39.096</v>
      </c>
      <c r="H9420" s="15" t="s">
        <v>3882</v>
      </c>
      <c r="I9420" s="15" t="s">
        <v>1586</v>
      </c>
      <c r="J9420" s="15" t="s">
        <v>32697</v>
      </c>
      <c r="K9420" s="15" t="s">
        <v>1722</v>
      </c>
      <c r="L9420" s="15">
        <v>54.0</v>
      </c>
      <c r="M9420" s="41">
        <v>37939.0</v>
      </c>
      <c r="N9420" s="40">
        <v>39058.0</v>
      </c>
      <c r="O9420" s="15" t="s">
        <v>1554</v>
      </c>
      <c r="Q9420" s="7"/>
    </row>
    <row r="9421">
      <c r="A9421" s="39" t="s">
        <v>32698</v>
      </c>
      <c r="B9421" s="15">
        <v>1165139.0</v>
      </c>
      <c r="D9421" s="15">
        <v>0.0</v>
      </c>
      <c r="E9421" s="15" t="s">
        <v>1557</v>
      </c>
      <c r="F9421" s="15" t="s">
        <v>1833</v>
      </c>
      <c r="G9421" s="7">
        <v>32.546</v>
      </c>
      <c r="H9421" s="15" t="s">
        <v>11674</v>
      </c>
      <c r="I9421" s="15" t="s">
        <v>1586</v>
      </c>
      <c r="J9421" s="15" t="s">
        <v>32699</v>
      </c>
      <c r="K9421" s="15">
        <v>55.0</v>
      </c>
      <c r="L9421" s="15">
        <v>55.0</v>
      </c>
      <c r="M9421" s="40">
        <v>40995.0</v>
      </c>
      <c r="N9421" s="40">
        <v>41031.0</v>
      </c>
      <c r="O9421" s="15" t="s">
        <v>1554</v>
      </c>
      <c r="Q9421" s="7"/>
    </row>
    <row r="9422">
      <c r="A9422" s="39" t="s">
        <v>32700</v>
      </c>
      <c r="B9422" s="15">
        <v>1660374.0</v>
      </c>
      <c r="D9422" s="15">
        <v>0.0</v>
      </c>
      <c r="E9422" s="15" t="s">
        <v>1557</v>
      </c>
      <c r="F9422" s="15" t="s">
        <v>1611</v>
      </c>
      <c r="G9422" s="7">
        <v>62.708</v>
      </c>
      <c r="H9422" s="15" t="s">
        <v>3836</v>
      </c>
      <c r="I9422" s="15" t="s">
        <v>1586</v>
      </c>
      <c r="J9422" s="15" t="s">
        <v>32701</v>
      </c>
      <c r="K9422" s="15" t="s">
        <v>1722</v>
      </c>
      <c r="L9422" s="15">
        <v>93.0</v>
      </c>
      <c r="M9422" s="40">
        <v>42276.0</v>
      </c>
      <c r="N9422" s="40">
        <v>42277.0</v>
      </c>
      <c r="O9422" s="15" t="s">
        <v>1554</v>
      </c>
      <c r="Q9422" s="7"/>
    </row>
    <row r="9423">
      <c r="A9423" s="39" t="s">
        <v>32703</v>
      </c>
      <c r="B9423" s="15">
        <v>663555.0</v>
      </c>
      <c r="D9423" s="15">
        <v>0.0</v>
      </c>
      <c r="E9423" s="15" t="s">
        <v>1557</v>
      </c>
      <c r="F9423" s="15" t="s">
        <v>1833</v>
      </c>
      <c r="G9423" s="7">
        <v>41.901</v>
      </c>
      <c r="H9423" s="15" t="s">
        <v>6615</v>
      </c>
      <c r="I9423" s="15" t="s">
        <v>1586</v>
      </c>
      <c r="J9423" s="15" t="s">
        <v>32704</v>
      </c>
      <c r="K9423" s="15">
        <v>63.0</v>
      </c>
      <c r="L9423" s="15">
        <v>63.0</v>
      </c>
      <c r="M9423" s="40">
        <v>40066.0</v>
      </c>
      <c r="N9423" s="40">
        <v>40730.0</v>
      </c>
      <c r="O9423" s="15" t="s">
        <v>1554</v>
      </c>
      <c r="Q9423" s="7"/>
    </row>
    <row r="9424">
      <c r="A9424" s="39" t="s">
        <v>8271</v>
      </c>
      <c r="B9424" s="15">
        <v>28875.0</v>
      </c>
      <c r="D9424" s="15">
        <v>0.0</v>
      </c>
      <c r="E9424" s="15" t="s">
        <v>1638</v>
      </c>
      <c r="F9424" s="15" t="s">
        <v>1863</v>
      </c>
      <c r="G9424" s="7">
        <v>18.512</v>
      </c>
      <c r="H9424" s="15" t="s">
        <v>32705</v>
      </c>
      <c r="I9424" s="15" t="s">
        <v>1567</v>
      </c>
      <c r="J9424" s="15" t="s">
        <v>32706</v>
      </c>
      <c r="K9424" s="15" t="s">
        <v>1722</v>
      </c>
      <c r="L9424" s="15">
        <v>11.0</v>
      </c>
      <c r="M9424" s="40">
        <v>41839.0</v>
      </c>
      <c r="N9424" s="40">
        <v>41839.0</v>
      </c>
      <c r="O9424" s="15" t="s">
        <v>1554</v>
      </c>
      <c r="Q9424" s="7"/>
    </row>
    <row r="9425">
      <c r="A9425" s="39" t="s">
        <v>32040</v>
      </c>
      <c r="B9425" s="15">
        <v>39803.0</v>
      </c>
      <c r="D9425" s="15">
        <v>0.0</v>
      </c>
      <c r="E9425" s="15" t="s">
        <v>1548</v>
      </c>
      <c r="F9425" s="15" t="s">
        <v>4850</v>
      </c>
      <c r="G9425" s="7">
        <v>4.219</v>
      </c>
      <c r="H9425" s="15" t="s">
        <v>1844</v>
      </c>
      <c r="I9425" s="15" t="s">
        <v>1586</v>
      </c>
      <c r="J9425" s="15" t="s">
        <v>32707</v>
      </c>
      <c r="K9425" s="15" t="s">
        <v>1722</v>
      </c>
      <c r="L9425" s="15">
        <v>4.0</v>
      </c>
      <c r="M9425" s="40">
        <v>40065.0</v>
      </c>
      <c r="N9425" s="40">
        <v>40065.0</v>
      </c>
      <c r="O9425" s="15" t="s">
        <v>1554</v>
      </c>
      <c r="Q9425" s="7"/>
    </row>
    <row r="9426">
      <c r="A9426" s="39" t="s">
        <v>32708</v>
      </c>
      <c r="B9426" s="15">
        <v>1195081.0</v>
      </c>
      <c r="D9426" s="15">
        <v>0.0</v>
      </c>
      <c r="E9426" s="15" t="s">
        <v>1557</v>
      </c>
      <c r="F9426" s="15" t="s">
        <v>1767</v>
      </c>
      <c r="G9426" s="7">
        <v>148.564</v>
      </c>
      <c r="H9426" s="42">
        <v>43220.0</v>
      </c>
      <c r="I9426" s="15" t="s">
        <v>1586</v>
      </c>
      <c r="J9426" s="15" t="s">
        <v>32709</v>
      </c>
      <c r="K9426" s="15">
        <v>233.0</v>
      </c>
      <c r="L9426" s="15">
        <v>233.0</v>
      </c>
      <c r="M9426" s="40">
        <v>41104.0</v>
      </c>
      <c r="N9426" s="40">
        <v>41726.0</v>
      </c>
      <c r="O9426" s="15" t="s">
        <v>1554</v>
      </c>
      <c r="Q9426" s="7"/>
    </row>
    <row r="9427">
      <c r="A9427" s="39" t="s">
        <v>32710</v>
      </c>
      <c r="B9427" s="15">
        <v>444474.0</v>
      </c>
      <c r="D9427" s="15">
        <v>0.0</v>
      </c>
      <c r="E9427" s="15" t="s">
        <v>1557</v>
      </c>
      <c r="F9427" s="15" t="s">
        <v>1833</v>
      </c>
      <c r="G9427" s="7">
        <v>33.641</v>
      </c>
      <c r="H9427" s="15">
        <v>36.0</v>
      </c>
      <c r="I9427" s="15" t="s">
        <v>1586</v>
      </c>
      <c r="J9427" s="15" t="s">
        <v>32711</v>
      </c>
      <c r="K9427" s="15" t="s">
        <v>1722</v>
      </c>
      <c r="L9427" s="15">
        <v>51.0</v>
      </c>
      <c r="M9427" s="40">
        <v>39210.0</v>
      </c>
      <c r="N9427" s="40">
        <v>39225.0</v>
      </c>
      <c r="O9427" s="15" t="s">
        <v>1554</v>
      </c>
      <c r="Q9427" s="7"/>
    </row>
    <row r="9428">
      <c r="A9428" s="39" t="s">
        <v>32712</v>
      </c>
      <c r="B9428" s="15">
        <v>1654887.0</v>
      </c>
      <c r="D9428" s="15">
        <v>0.0</v>
      </c>
      <c r="E9428" s="15" t="s">
        <v>1557</v>
      </c>
      <c r="F9428" s="15" t="s">
        <v>1611</v>
      </c>
      <c r="G9428" s="7">
        <v>41.783</v>
      </c>
      <c r="H9428" s="15" t="s">
        <v>2836</v>
      </c>
      <c r="I9428" s="15" t="s">
        <v>1586</v>
      </c>
      <c r="J9428" s="15" t="s">
        <v>32713</v>
      </c>
      <c r="K9428" s="15">
        <v>78.0</v>
      </c>
      <c r="L9428" s="15">
        <v>78.0</v>
      </c>
      <c r="M9428" s="41">
        <v>42307.0</v>
      </c>
      <c r="N9428" s="40">
        <v>42516.0</v>
      </c>
      <c r="O9428" s="15" t="s">
        <v>1554</v>
      </c>
      <c r="Q9428" s="7"/>
    </row>
    <row r="9429">
      <c r="A9429" s="39" t="s">
        <v>32714</v>
      </c>
      <c r="B9429" s="15">
        <v>1815978.0</v>
      </c>
      <c r="D9429" s="15">
        <v>0.0</v>
      </c>
      <c r="E9429" s="15" t="s">
        <v>1557</v>
      </c>
      <c r="F9429" s="15" t="s">
        <v>1611</v>
      </c>
      <c r="G9429" s="7">
        <v>43.266</v>
      </c>
      <c r="H9429" s="15" t="s">
        <v>3082</v>
      </c>
      <c r="I9429" s="15" t="s">
        <v>1586</v>
      </c>
      <c r="J9429" s="15" t="s">
        <v>32715</v>
      </c>
      <c r="K9429" s="15">
        <v>54.0</v>
      </c>
      <c r="L9429" s="15">
        <v>54.0</v>
      </c>
      <c r="M9429" s="40">
        <v>42625.0</v>
      </c>
      <c r="N9429" s="40">
        <v>42625.0</v>
      </c>
      <c r="O9429" s="15" t="s">
        <v>1554</v>
      </c>
      <c r="Q9429" s="7"/>
    </row>
    <row r="9430">
      <c r="A9430" s="39" t="s">
        <v>32716</v>
      </c>
      <c r="B9430" s="15">
        <v>318596.0</v>
      </c>
      <c r="D9430" s="15">
        <v>0.0</v>
      </c>
      <c r="E9430" s="15" t="s">
        <v>1557</v>
      </c>
      <c r="F9430" s="15" t="s">
        <v>3844</v>
      </c>
      <c r="G9430" s="7">
        <v>14.939</v>
      </c>
      <c r="H9430" s="15" t="s">
        <v>5368</v>
      </c>
      <c r="I9430" s="15" t="s">
        <v>1586</v>
      </c>
      <c r="J9430" s="15" t="s">
        <v>32717</v>
      </c>
      <c r="K9430" s="15">
        <v>31.0</v>
      </c>
      <c r="L9430" s="15">
        <v>31.0</v>
      </c>
      <c r="M9430" s="40">
        <v>38601.0</v>
      </c>
      <c r="N9430" s="40">
        <v>38601.0</v>
      </c>
      <c r="O9430" s="15" t="s">
        <v>1554</v>
      </c>
      <c r="Q9430" s="7"/>
    </row>
    <row r="9431">
      <c r="A9431" s="39" t="s">
        <v>32718</v>
      </c>
      <c r="B9431" s="15">
        <v>1034124.0</v>
      </c>
      <c r="D9431" s="15">
        <v>0.0</v>
      </c>
      <c r="E9431" s="15" t="s">
        <v>1557</v>
      </c>
      <c r="F9431" s="15" t="s">
        <v>1833</v>
      </c>
      <c r="G9431" s="7">
        <v>51.369</v>
      </c>
      <c r="H9431" s="15" t="s">
        <v>3286</v>
      </c>
      <c r="I9431" s="15" t="s">
        <v>1586</v>
      </c>
      <c r="J9431" s="15" t="s">
        <v>32719</v>
      </c>
      <c r="K9431" s="15">
        <v>86.0</v>
      </c>
      <c r="L9431" s="15">
        <v>86.0</v>
      </c>
      <c r="M9431" s="40">
        <v>40688.0</v>
      </c>
      <c r="N9431" s="40">
        <v>40942.0</v>
      </c>
      <c r="O9431" s="15" t="s">
        <v>1554</v>
      </c>
      <c r="Q9431" s="7"/>
    </row>
    <row r="9432">
      <c r="A9432" s="39" t="s">
        <v>32720</v>
      </c>
      <c r="B9432" s="15">
        <v>338113.0</v>
      </c>
      <c r="D9432" s="15">
        <v>0.0</v>
      </c>
      <c r="E9432" s="15" t="s">
        <v>1808</v>
      </c>
      <c r="F9432" s="15" t="s">
        <v>3154</v>
      </c>
      <c r="G9432" s="7">
        <v>5.386</v>
      </c>
      <c r="H9432" s="15" t="s">
        <v>1983</v>
      </c>
      <c r="I9432" s="15" t="s">
        <v>1586</v>
      </c>
      <c r="J9432" s="15" t="s">
        <v>32721</v>
      </c>
      <c r="K9432" s="15">
        <v>11.0</v>
      </c>
      <c r="L9432" s="15">
        <v>11.0</v>
      </c>
      <c r="M9432" s="40">
        <v>38741.0</v>
      </c>
      <c r="N9432" s="40">
        <v>38741.0</v>
      </c>
      <c r="O9432" s="15" t="s">
        <v>1554</v>
      </c>
      <c r="Q9432" s="7"/>
    </row>
    <row r="9433">
      <c r="A9433" s="39" t="s">
        <v>32722</v>
      </c>
      <c r="B9433" s="15">
        <v>979528.0</v>
      </c>
      <c r="D9433" s="15">
        <v>0.0</v>
      </c>
      <c r="E9433" s="15" t="s">
        <v>1557</v>
      </c>
      <c r="F9433" s="15" t="s">
        <v>1767</v>
      </c>
      <c r="G9433" s="7">
        <v>129.373</v>
      </c>
      <c r="H9433" s="15" t="s">
        <v>2316</v>
      </c>
      <c r="I9433" s="15" t="s">
        <v>1586</v>
      </c>
      <c r="J9433" s="15" t="s">
        <v>32723</v>
      </c>
      <c r="K9433" s="15">
        <v>230.0</v>
      </c>
      <c r="L9433" s="15">
        <v>230.0</v>
      </c>
      <c r="M9433" s="40">
        <v>40596.0</v>
      </c>
      <c r="N9433" s="40">
        <v>40731.0</v>
      </c>
      <c r="O9433" s="15" t="s">
        <v>1554</v>
      </c>
      <c r="Q9433" s="7"/>
    </row>
    <row r="9434">
      <c r="A9434" s="39" t="s">
        <v>32724</v>
      </c>
      <c r="B9434" s="15">
        <v>979526.0</v>
      </c>
      <c r="D9434" s="15">
        <v>0.0</v>
      </c>
      <c r="E9434" s="15" t="s">
        <v>1557</v>
      </c>
      <c r="F9434" s="15" t="s">
        <v>1767</v>
      </c>
      <c r="G9434" s="7">
        <v>124.826</v>
      </c>
      <c r="H9434" s="15" t="s">
        <v>2316</v>
      </c>
      <c r="I9434" s="15" t="s">
        <v>1586</v>
      </c>
      <c r="J9434" s="15" t="s">
        <v>32725</v>
      </c>
      <c r="K9434" s="15">
        <v>230.0</v>
      </c>
      <c r="L9434" s="15">
        <v>230.0</v>
      </c>
      <c r="M9434" s="40">
        <v>40596.0</v>
      </c>
      <c r="N9434" s="40">
        <v>40731.0</v>
      </c>
      <c r="O9434" s="15" t="s">
        <v>1554</v>
      </c>
      <c r="Q9434" s="7"/>
    </row>
    <row r="9435">
      <c r="A9435" s="39" t="s">
        <v>32726</v>
      </c>
      <c r="B9435" s="15">
        <v>338114.0</v>
      </c>
      <c r="D9435" s="15">
        <v>0.0</v>
      </c>
      <c r="E9435" s="15" t="s">
        <v>1808</v>
      </c>
      <c r="F9435" s="15" t="s">
        <v>3154</v>
      </c>
      <c r="G9435" s="7">
        <v>5.386</v>
      </c>
      <c r="H9435" s="15" t="s">
        <v>2877</v>
      </c>
      <c r="I9435" s="15" t="s">
        <v>1586</v>
      </c>
      <c r="J9435" s="15" t="s">
        <v>32727</v>
      </c>
      <c r="K9435" s="15">
        <v>11.0</v>
      </c>
      <c r="L9435" s="15">
        <v>11.0</v>
      </c>
      <c r="M9435" s="40">
        <v>38741.0</v>
      </c>
      <c r="N9435" s="40">
        <v>38741.0</v>
      </c>
      <c r="O9435" s="15" t="s">
        <v>1554</v>
      </c>
      <c r="Q9435" s="7"/>
    </row>
    <row r="9436">
      <c r="A9436" s="39" t="s">
        <v>32728</v>
      </c>
      <c r="B9436" s="15">
        <v>1056832.0</v>
      </c>
      <c r="D9436" s="15">
        <v>0.0</v>
      </c>
      <c r="E9436" s="15" t="s">
        <v>1557</v>
      </c>
      <c r="F9436" s="15" t="s">
        <v>1833</v>
      </c>
      <c r="G9436" s="7">
        <v>51.368</v>
      </c>
      <c r="H9436" s="15" t="s">
        <v>3286</v>
      </c>
      <c r="I9436" s="15" t="s">
        <v>1586</v>
      </c>
      <c r="J9436" s="15" t="s">
        <v>32729</v>
      </c>
      <c r="K9436" s="15">
        <v>87.0</v>
      </c>
      <c r="L9436" s="15">
        <v>87.0</v>
      </c>
      <c r="M9436" s="40">
        <v>40761.0</v>
      </c>
      <c r="N9436" s="40">
        <v>40942.0</v>
      </c>
      <c r="O9436" s="15" t="s">
        <v>1554</v>
      </c>
      <c r="Q9436" s="7"/>
    </row>
    <row r="9437">
      <c r="A9437" s="39" t="s">
        <v>32113</v>
      </c>
      <c r="B9437" s="15">
        <v>261665.0</v>
      </c>
      <c r="D9437" s="15">
        <v>0.0</v>
      </c>
      <c r="E9437" s="15" t="s">
        <v>1557</v>
      </c>
      <c r="F9437" s="15" t="s">
        <v>3844</v>
      </c>
      <c r="G9437" s="7">
        <v>14.942</v>
      </c>
      <c r="H9437" s="15" t="s">
        <v>2279</v>
      </c>
      <c r="I9437" s="15" t="s">
        <v>1586</v>
      </c>
      <c r="J9437" s="15" t="s">
        <v>32730</v>
      </c>
      <c r="K9437" s="15">
        <v>31.0</v>
      </c>
      <c r="L9437" s="15">
        <v>31.0</v>
      </c>
      <c r="M9437" s="40">
        <v>38601.0</v>
      </c>
      <c r="N9437" s="40">
        <v>38601.0</v>
      </c>
      <c r="O9437" s="15" t="s">
        <v>1554</v>
      </c>
      <c r="Q9437" s="7"/>
    </row>
    <row r="9438">
      <c r="A9438" s="39" t="s">
        <v>32731</v>
      </c>
      <c r="B9438" s="15">
        <v>1654886.0</v>
      </c>
      <c r="D9438" s="15">
        <v>0.0</v>
      </c>
      <c r="E9438" s="15" t="s">
        <v>1557</v>
      </c>
      <c r="F9438" s="15" t="s">
        <v>1611</v>
      </c>
      <c r="G9438" s="7">
        <v>41.803</v>
      </c>
      <c r="H9438" s="15" t="s">
        <v>2836</v>
      </c>
      <c r="I9438" s="15" t="s">
        <v>1586</v>
      </c>
      <c r="J9438" s="15" t="s">
        <v>32732</v>
      </c>
      <c r="K9438" s="15">
        <v>75.0</v>
      </c>
      <c r="L9438" s="15">
        <v>75.0</v>
      </c>
      <c r="M9438" s="41">
        <v>42307.0</v>
      </c>
      <c r="N9438" s="40">
        <v>42516.0</v>
      </c>
      <c r="O9438" s="15" t="s">
        <v>1554</v>
      </c>
      <c r="Q9438" s="7"/>
    </row>
    <row r="9439">
      <c r="A9439" s="39" t="s">
        <v>32733</v>
      </c>
      <c r="B9439" s="15">
        <v>1195078.0</v>
      </c>
      <c r="D9439" s="15">
        <v>0.0</v>
      </c>
      <c r="E9439" s="15" t="s">
        <v>1557</v>
      </c>
      <c r="F9439" s="15" t="s">
        <v>1767</v>
      </c>
      <c r="G9439" s="7">
        <v>148.481</v>
      </c>
      <c r="H9439" s="42">
        <v>43220.0</v>
      </c>
      <c r="I9439" s="15" t="s">
        <v>1586</v>
      </c>
      <c r="J9439" s="15" t="s">
        <v>32734</v>
      </c>
      <c r="K9439" s="15">
        <v>233.0</v>
      </c>
      <c r="L9439" s="15">
        <v>233.0</v>
      </c>
      <c r="M9439" s="40">
        <v>41104.0</v>
      </c>
      <c r="N9439" s="40">
        <v>41726.0</v>
      </c>
      <c r="O9439" s="15" t="s">
        <v>1554</v>
      </c>
      <c r="Q9439" s="7"/>
    </row>
    <row r="9440">
      <c r="A9440" s="39" t="s">
        <v>32040</v>
      </c>
      <c r="B9440" s="15">
        <v>39803.0</v>
      </c>
      <c r="D9440" s="15">
        <v>0.0</v>
      </c>
      <c r="E9440" s="15" t="s">
        <v>1548</v>
      </c>
      <c r="F9440" s="15" t="s">
        <v>4850</v>
      </c>
      <c r="G9440" s="7">
        <v>4.217</v>
      </c>
      <c r="H9440" s="15" t="s">
        <v>3823</v>
      </c>
      <c r="I9440" s="15" t="s">
        <v>1586</v>
      </c>
      <c r="J9440" s="15" t="s">
        <v>32735</v>
      </c>
      <c r="K9440" s="15" t="s">
        <v>1722</v>
      </c>
      <c r="L9440" s="15">
        <v>4.0</v>
      </c>
      <c r="M9440" s="40">
        <v>41845.0</v>
      </c>
      <c r="N9440" s="40">
        <v>42186.0</v>
      </c>
      <c r="O9440" s="15" t="s">
        <v>1554</v>
      </c>
      <c r="Q9440" s="7"/>
    </row>
    <row r="9441">
      <c r="A9441" s="39" t="s">
        <v>8271</v>
      </c>
      <c r="B9441" s="15">
        <v>28875.0</v>
      </c>
      <c r="D9441" s="15">
        <v>0.0</v>
      </c>
      <c r="E9441" s="15" t="s">
        <v>1638</v>
      </c>
      <c r="F9441" s="15" t="s">
        <v>1863</v>
      </c>
      <c r="G9441" s="7">
        <v>18.517</v>
      </c>
      <c r="H9441" s="15" t="s">
        <v>32736</v>
      </c>
      <c r="I9441" s="15" t="s">
        <v>1567</v>
      </c>
      <c r="J9441" s="15" t="s">
        <v>32737</v>
      </c>
      <c r="K9441" s="15" t="s">
        <v>1722</v>
      </c>
      <c r="L9441" s="15">
        <v>11.0</v>
      </c>
      <c r="M9441" s="40">
        <v>41839.0</v>
      </c>
      <c r="N9441" s="40">
        <v>41839.0</v>
      </c>
      <c r="O9441" s="15" t="s">
        <v>1554</v>
      </c>
      <c r="Q9441" s="7"/>
    </row>
    <row r="9442">
      <c r="A9442" s="39" t="s">
        <v>32738</v>
      </c>
      <c r="B9442" s="15">
        <v>1660378.0</v>
      </c>
      <c r="D9442" s="15">
        <v>0.0</v>
      </c>
      <c r="E9442" s="15" t="s">
        <v>1557</v>
      </c>
      <c r="F9442" s="15" t="s">
        <v>1611</v>
      </c>
      <c r="G9442" s="7">
        <v>62.708</v>
      </c>
      <c r="H9442" s="15" t="s">
        <v>3836</v>
      </c>
      <c r="I9442" s="15" t="s">
        <v>1586</v>
      </c>
      <c r="J9442" s="15" t="s">
        <v>32739</v>
      </c>
      <c r="K9442" s="15" t="s">
        <v>1722</v>
      </c>
      <c r="L9442" s="15">
        <v>93.0</v>
      </c>
      <c r="M9442" s="40">
        <v>42276.0</v>
      </c>
      <c r="N9442" s="40">
        <v>42277.0</v>
      </c>
      <c r="O9442" s="15" t="s">
        <v>1554</v>
      </c>
      <c r="Q9442" s="7"/>
    </row>
    <row r="9443">
      <c r="A9443" s="39" t="s">
        <v>32740</v>
      </c>
      <c r="B9443" s="15">
        <v>1165140.0</v>
      </c>
      <c r="D9443" s="15">
        <v>0.0</v>
      </c>
      <c r="E9443" s="15" t="s">
        <v>1557</v>
      </c>
      <c r="F9443" s="15" t="s">
        <v>1833</v>
      </c>
      <c r="G9443" s="7">
        <v>32.277</v>
      </c>
      <c r="H9443" s="15" t="s">
        <v>3260</v>
      </c>
      <c r="I9443" s="15" t="s">
        <v>1586</v>
      </c>
      <c r="J9443" s="15" t="s">
        <v>32741</v>
      </c>
      <c r="K9443" s="15">
        <v>60.0</v>
      </c>
      <c r="L9443" s="15">
        <v>58.0</v>
      </c>
      <c r="M9443" s="40">
        <v>40995.0</v>
      </c>
      <c r="N9443" s="40">
        <v>41031.0</v>
      </c>
      <c r="O9443" s="15" t="s">
        <v>1554</v>
      </c>
      <c r="Q9443" s="7"/>
    </row>
    <row r="9444">
      <c r="A9444" s="39" t="s">
        <v>10645</v>
      </c>
      <c r="B9444" s="15">
        <v>10760.0</v>
      </c>
      <c r="D9444" s="15">
        <v>0.0</v>
      </c>
      <c r="E9444" s="15" t="s">
        <v>1557</v>
      </c>
      <c r="F9444" s="15" t="s">
        <v>1611</v>
      </c>
      <c r="G9444" s="7">
        <v>39.085</v>
      </c>
      <c r="H9444" s="15" t="s">
        <v>1782</v>
      </c>
      <c r="I9444" s="15" t="s">
        <v>1586</v>
      </c>
      <c r="J9444" s="15" t="s">
        <v>32742</v>
      </c>
      <c r="K9444" s="15" t="s">
        <v>1722</v>
      </c>
      <c r="L9444" s="15">
        <v>52.0</v>
      </c>
      <c r="M9444" s="41">
        <v>37939.0</v>
      </c>
      <c r="N9444" s="40">
        <v>39058.0</v>
      </c>
      <c r="O9444" s="15" t="s">
        <v>1554</v>
      </c>
      <c r="Q9444" s="7"/>
    </row>
    <row r="9445">
      <c r="A9445" s="39" t="s">
        <v>32743</v>
      </c>
      <c r="B9445" s="15">
        <v>211044.0</v>
      </c>
      <c r="C9445" s="15" t="s">
        <v>32744</v>
      </c>
      <c r="D9445" s="15">
        <v>15521.0</v>
      </c>
      <c r="E9445" s="15" t="s">
        <v>1548</v>
      </c>
      <c r="F9445" s="15" t="s">
        <v>5756</v>
      </c>
      <c r="G9445" s="7">
        <v>13.588</v>
      </c>
      <c r="H9445" s="15" t="s">
        <v>32745</v>
      </c>
      <c r="I9445" s="15" t="s">
        <v>1567</v>
      </c>
      <c r="J9445" s="15" t="s">
        <v>32746</v>
      </c>
      <c r="K9445" s="15">
        <v>12.0</v>
      </c>
      <c r="L9445" s="15">
        <v>12.0</v>
      </c>
      <c r="M9445" s="40">
        <v>30111.0</v>
      </c>
      <c r="N9445" s="41">
        <v>42297.0</v>
      </c>
      <c r="O9445" s="15" t="s">
        <v>1554</v>
      </c>
      <c r="Q9445" s="7"/>
    </row>
    <row r="9446">
      <c r="A9446" s="39" t="s">
        <v>32747</v>
      </c>
      <c r="B9446" s="15">
        <v>356415.0</v>
      </c>
      <c r="C9446" s="15" t="s">
        <v>32748</v>
      </c>
      <c r="D9446" s="15">
        <v>20941.0</v>
      </c>
      <c r="E9446" s="15" t="s">
        <v>1548</v>
      </c>
      <c r="F9446" s="15" t="s">
        <v>1801</v>
      </c>
      <c r="G9446" s="7">
        <v>9.456</v>
      </c>
      <c r="H9446" s="15" t="s">
        <v>4563</v>
      </c>
      <c r="I9446" s="15" t="s">
        <v>1567</v>
      </c>
      <c r="J9446" s="15" t="s">
        <v>32749</v>
      </c>
      <c r="K9446" s="15">
        <v>1.0</v>
      </c>
      <c r="L9446" s="15">
        <v>2.0</v>
      </c>
      <c r="M9446" s="40">
        <v>34536.0</v>
      </c>
      <c r="N9446" s="40">
        <v>42605.0</v>
      </c>
      <c r="O9446" s="15" t="s">
        <v>1554</v>
      </c>
      <c r="Q9446" s="7"/>
    </row>
    <row r="9447">
      <c r="A9447" s="39" t="s">
        <v>31868</v>
      </c>
      <c r="B9447" s="15">
        <v>1278485.0</v>
      </c>
      <c r="D9447" s="15">
        <v>0.0</v>
      </c>
      <c r="E9447" s="15" t="s">
        <v>1557</v>
      </c>
      <c r="F9447" s="15" t="s">
        <v>1578</v>
      </c>
      <c r="G9447" s="7">
        <v>192.972</v>
      </c>
      <c r="H9447" s="15" t="s">
        <v>2141</v>
      </c>
      <c r="I9447" s="15" t="s">
        <v>1586</v>
      </c>
      <c r="J9447" s="15" t="s">
        <v>32751</v>
      </c>
      <c r="K9447" s="15">
        <v>236.0</v>
      </c>
      <c r="L9447" s="15">
        <v>230.0</v>
      </c>
      <c r="M9447" s="41">
        <v>42656.0</v>
      </c>
      <c r="N9447" s="41">
        <v>42656.0</v>
      </c>
      <c r="O9447" s="15" t="s">
        <v>1554</v>
      </c>
      <c r="Q9447" s="7"/>
    </row>
    <row r="9448">
      <c r="A9448" s="39" t="s">
        <v>32240</v>
      </c>
      <c r="B9448" s="15">
        <v>687800.0</v>
      </c>
      <c r="D9448" s="15">
        <v>0.0</v>
      </c>
      <c r="E9448" s="15" t="s">
        <v>1557</v>
      </c>
      <c r="F9448" s="15" t="s">
        <v>1767</v>
      </c>
      <c r="G9448" s="7">
        <v>175.777</v>
      </c>
      <c r="H9448" s="15" t="s">
        <v>1591</v>
      </c>
      <c r="I9448" s="15" t="s">
        <v>1586</v>
      </c>
      <c r="J9448" s="15" t="s">
        <v>32752</v>
      </c>
      <c r="K9448" s="15">
        <v>221.0</v>
      </c>
      <c r="L9448" s="15">
        <v>215.0</v>
      </c>
      <c r="M9448" s="41">
        <v>42656.0</v>
      </c>
      <c r="N9448" s="41">
        <v>42656.0</v>
      </c>
      <c r="O9448" s="15" t="s">
        <v>1554</v>
      </c>
      <c r="Q9448" s="7"/>
    </row>
    <row r="9449">
      <c r="A9449" s="39" t="s">
        <v>31860</v>
      </c>
      <c r="B9449" s="15">
        <v>756278.0</v>
      </c>
      <c r="D9449" s="15">
        <v>0.0</v>
      </c>
      <c r="E9449" s="15" t="s">
        <v>1557</v>
      </c>
      <c r="F9449" s="15" t="s">
        <v>1767</v>
      </c>
      <c r="G9449" s="7">
        <v>170.397</v>
      </c>
      <c r="H9449" s="15" t="s">
        <v>2141</v>
      </c>
      <c r="I9449" s="15" t="s">
        <v>1586</v>
      </c>
      <c r="J9449" s="15" t="s">
        <v>32753</v>
      </c>
      <c r="K9449" s="15">
        <v>229.0</v>
      </c>
      <c r="L9449" s="15">
        <v>221.0</v>
      </c>
      <c r="M9449" s="41">
        <v>42656.0</v>
      </c>
      <c r="N9449" s="41">
        <v>42656.0</v>
      </c>
      <c r="O9449" s="15" t="s">
        <v>1554</v>
      </c>
      <c r="Q9449" s="7"/>
    </row>
    <row r="9450">
      <c r="A9450" s="39" t="s">
        <v>17683</v>
      </c>
      <c r="B9450" s="15">
        <v>1493509.0</v>
      </c>
      <c r="D9450" s="15">
        <v>0.0</v>
      </c>
      <c r="E9450" s="15" t="s">
        <v>1557</v>
      </c>
      <c r="F9450" s="15" t="s">
        <v>1767</v>
      </c>
      <c r="G9450" s="7">
        <v>179.095</v>
      </c>
      <c r="H9450" s="15" t="s">
        <v>2640</v>
      </c>
      <c r="I9450" s="15" t="s">
        <v>1586</v>
      </c>
      <c r="J9450" s="15" t="s">
        <v>32755</v>
      </c>
      <c r="K9450" s="15">
        <v>218.0</v>
      </c>
      <c r="L9450" s="15">
        <v>218.0</v>
      </c>
      <c r="M9450" s="40">
        <v>42104.0</v>
      </c>
      <c r="N9450" s="40">
        <v>42104.0</v>
      </c>
      <c r="O9450" s="15" t="s">
        <v>1554</v>
      </c>
      <c r="Q9450" s="7"/>
    </row>
    <row r="9451">
      <c r="A9451" s="39" t="s">
        <v>17687</v>
      </c>
      <c r="B9451" s="15">
        <v>1493507.0</v>
      </c>
      <c r="D9451" s="15">
        <v>0.0</v>
      </c>
      <c r="E9451" s="15" t="s">
        <v>1557</v>
      </c>
      <c r="F9451" s="15" t="s">
        <v>1767</v>
      </c>
      <c r="G9451" s="7">
        <v>171.179</v>
      </c>
      <c r="H9451" s="15" t="s">
        <v>2304</v>
      </c>
      <c r="I9451" s="15" t="s">
        <v>1586</v>
      </c>
      <c r="J9451" s="15" t="s">
        <v>32756</v>
      </c>
      <c r="K9451" s="15">
        <v>207.0</v>
      </c>
      <c r="L9451" s="15">
        <v>207.0</v>
      </c>
      <c r="M9451" s="40">
        <v>42104.0</v>
      </c>
      <c r="N9451" s="40">
        <v>42104.0</v>
      </c>
      <c r="O9451" s="15" t="s">
        <v>1554</v>
      </c>
      <c r="Q9451" s="7"/>
    </row>
    <row r="9452">
      <c r="A9452" s="39" t="s">
        <v>17693</v>
      </c>
      <c r="B9452" s="15">
        <v>1493511.0</v>
      </c>
      <c r="D9452" s="15">
        <v>0.0</v>
      </c>
      <c r="E9452" s="15" t="s">
        <v>1557</v>
      </c>
      <c r="F9452" s="15" t="s">
        <v>1767</v>
      </c>
      <c r="G9452" s="7">
        <v>215.767</v>
      </c>
      <c r="H9452" s="15" t="s">
        <v>2118</v>
      </c>
      <c r="I9452" s="15" t="s">
        <v>1586</v>
      </c>
      <c r="J9452" s="15" t="s">
        <v>32758</v>
      </c>
      <c r="K9452" s="15">
        <v>289.0</v>
      </c>
      <c r="L9452" s="15">
        <v>289.0</v>
      </c>
      <c r="M9452" s="40">
        <v>42104.0</v>
      </c>
      <c r="N9452" s="40">
        <v>42104.0</v>
      </c>
      <c r="O9452" s="15" t="s">
        <v>1554</v>
      </c>
      <c r="Q9452" s="7"/>
    </row>
    <row r="9453">
      <c r="A9453" s="39" t="s">
        <v>17780</v>
      </c>
      <c r="B9453" s="15">
        <v>1493508.0</v>
      </c>
      <c r="D9453" s="15">
        <v>0.0</v>
      </c>
      <c r="E9453" s="15" t="s">
        <v>1557</v>
      </c>
      <c r="F9453" s="15" t="s">
        <v>1767</v>
      </c>
      <c r="G9453" s="7">
        <v>172.688</v>
      </c>
      <c r="H9453" s="15" t="s">
        <v>3895</v>
      </c>
      <c r="I9453" s="15" t="s">
        <v>1586</v>
      </c>
      <c r="J9453" s="15" t="s">
        <v>32759</v>
      </c>
      <c r="K9453" s="15">
        <v>217.0</v>
      </c>
      <c r="L9453" s="15">
        <v>217.0</v>
      </c>
      <c r="M9453" s="40">
        <v>42104.0</v>
      </c>
      <c r="N9453" s="40">
        <v>42104.0</v>
      </c>
      <c r="O9453" s="15" t="s">
        <v>1554</v>
      </c>
      <c r="Q9453" s="7"/>
    </row>
    <row r="9454">
      <c r="A9454" s="39" t="s">
        <v>32761</v>
      </c>
      <c r="B9454" s="15">
        <v>1558468.0</v>
      </c>
      <c r="D9454" s="15">
        <v>0.0</v>
      </c>
      <c r="E9454" s="15" t="s">
        <v>1557</v>
      </c>
      <c r="F9454" s="15" t="s">
        <v>1611</v>
      </c>
      <c r="G9454" s="7">
        <v>39.782</v>
      </c>
      <c r="H9454" s="15" t="s">
        <v>2351</v>
      </c>
      <c r="I9454" s="15" t="s">
        <v>1586</v>
      </c>
      <c r="J9454" s="15" t="s">
        <v>32762</v>
      </c>
      <c r="K9454" s="15">
        <v>49.0</v>
      </c>
      <c r="L9454" s="15">
        <v>49.0</v>
      </c>
      <c r="M9454" s="40">
        <v>41978.0</v>
      </c>
      <c r="N9454" s="41">
        <v>41999.0</v>
      </c>
      <c r="O9454" s="15" t="s">
        <v>1554</v>
      </c>
      <c r="Q9454" s="7"/>
    </row>
    <row r="9455">
      <c r="A9455" s="39" t="s">
        <v>32763</v>
      </c>
      <c r="B9455" s="15">
        <v>1220716.0</v>
      </c>
      <c r="D9455" s="15">
        <v>0.0</v>
      </c>
      <c r="E9455" s="15" t="s">
        <v>1557</v>
      </c>
      <c r="F9455" s="15" t="s">
        <v>1767</v>
      </c>
      <c r="G9455" s="7">
        <v>45.962</v>
      </c>
      <c r="H9455" s="15" t="s">
        <v>3798</v>
      </c>
      <c r="I9455" s="15" t="s">
        <v>1586</v>
      </c>
      <c r="J9455" s="15" t="s">
        <v>32764</v>
      </c>
      <c r="K9455" s="15">
        <v>61.0</v>
      </c>
      <c r="L9455" s="15">
        <v>61.0</v>
      </c>
      <c r="M9455" s="40">
        <v>41290.0</v>
      </c>
      <c r="N9455" s="40">
        <v>41642.0</v>
      </c>
      <c r="O9455" s="15" t="s">
        <v>1554</v>
      </c>
      <c r="Q9455" s="7"/>
    </row>
    <row r="9456">
      <c r="A9456" s="39" t="s">
        <v>32766</v>
      </c>
      <c r="B9456" s="15">
        <v>1692259.0</v>
      </c>
      <c r="C9456" s="15" t="s">
        <v>32767</v>
      </c>
      <c r="D9456" s="15">
        <v>293729.0</v>
      </c>
      <c r="E9456" s="15" t="s">
        <v>1808</v>
      </c>
      <c r="F9456" s="15" t="s">
        <v>1998</v>
      </c>
      <c r="G9456" s="7">
        <v>2.257</v>
      </c>
      <c r="H9456" s="15" t="s">
        <v>5382</v>
      </c>
      <c r="I9456" s="15" t="s">
        <v>1686</v>
      </c>
      <c r="J9456" s="15" t="s">
        <v>32768</v>
      </c>
      <c r="K9456" s="15">
        <v>2.0</v>
      </c>
      <c r="L9456" s="15">
        <v>2.0</v>
      </c>
      <c r="M9456" s="40">
        <v>42232.0</v>
      </c>
      <c r="N9456" s="40">
        <v>42241.0</v>
      </c>
      <c r="O9456" s="15" t="s">
        <v>1554</v>
      </c>
      <c r="Q9456" s="7"/>
    </row>
    <row r="9457">
      <c r="A9457" s="39" t="s">
        <v>32769</v>
      </c>
      <c r="B9457" s="15">
        <v>1690811.0</v>
      </c>
      <c r="D9457" s="15">
        <v>0.0</v>
      </c>
      <c r="E9457" s="15" t="s">
        <v>1557</v>
      </c>
      <c r="F9457" s="15" t="s">
        <v>1833</v>
      </c>
      <c r="G9457" s="7">
        <v>29.551</v>
      </c>
      <c r="H9457" s="15" t="s">
        <v>3246</v>
      </c>
      <c r="I9457" s="15" t="s">
        <v>1586</v>
      </c>
      <c r="J9457" s="15" t="s">
        <v>32770</v>
      </c>
      <c r="K9457" s="15">
        <v>42.0</v>
      </c>
      <c r="L9457" s="15">
        <v>42.0</v>
      </c>
      <c r="M9457" s="40">
        <v>42245.0</v>
      </c>
      <c r="N9457" s="40">
        <v>42460.0</v>
      </c>
      <c r="O9457" s="15" t="s">
        <v>1554</v>
      </c>
      <c r="Q9457" s="7"/>
    </row>
    <row r="9458">
      <c r="A9458" s="39" t="s">
        <v>32771</v>
      </c>
      <c r="B9458" s="15">
        <v>1567477.0</v>
      </c>
      <c r="D9458" s="15">
        <v>0.0</v>
      </c>
      <c r="E9458" s="15" t="s">
        <v>1557</v>
      </c>
      <c r="F9458" s="15" t="s">
        <v>1833</v>
      </c>
      <c r="G9458" s="7">
        <v>50.877</v>
      </c>
      <c r="H9458" s="15">
        <v>64.0</v>
      </c>
      <c r="I9458" s="15" t="s">
        <v>1586</v>
      </c>
      <c r="J9458" s="15" t="s">
        <v>32773</v>
      </c>
      <c r="K9458" s="15">
        <v>94.0</v>
      </c>
      <c r="L9458" s="15">
        <v>91.0</v>
      </c>
      <c r="M9458" s="41">
        <v>42001.0</v>
      </c>
      <c r="N9458" s="41">
        <v>42001.0</v>
      </c>
      <c r="O9458" s="15" t="s">
        <v>1554</v>
      </c>
      <c r="Q9458" s="7"/>
    </row>
    <row r="9459">
      <c r="A9459" s="39" t="s">
        <v>26529</v>
      </c>
      <c r="B9459" s="15">
        <v>186617.0</v>
      </c>
      <c r="C9459" s="15" t="s">
        <v>26530</v>
      </c>
      <c r="D9459" s="15">
        <v>371593.0</v>
      </c>
      <c r="E9459" s="15" t="s">
        <v>1664</v>
      </c>
      <c r="F9459" s="15" t="s">
        <v>1664</v>
      </c>
      <c r="G9459" s="7">
        <v>16983.8</v>
      </c>
      <c r="H9459" s="15" t="s">
        <v>1710</v>
      </c>
      <c r="I9459" s="15" t="s">
        <v>1722</v>
      </c>
      <c r="J9459" s="15" t="s">
        <v>32774</v>
      </c>
      <c r="K9459" s="15" t="s">
        <v>1722</v>
      </c>
      <c r="L9459" s="15" t="s">
        <v>1722</v>
      </c>
      <c r="M9459" s="40">
        <v>42770.0</v>
      </c>
      <c r="N9459" s="40">
        <v>42851.0</v>
      </c>
      <c r="O9459" s="15" t="s">
        <v>22466</v>
      </c>
      <c r="Q9459" s="7"/>
    </row>
    <row r="9460">
      <c r="A9460" s="39" t="s">
        <v>27611</v>
      </c>
      <c r="B9460" s="15">
        <v>10847.0</v>
      </c>
      <c r="D9460" s="15">
        <v>0.0</v>
      </c>
      <c r="E9460" s="15" t="s">
        <v>1808</v>
      </c>
      <c r="F9460" s="15" t="s">
        <v>3154</v>
      </c>
      <c r="G9460" s="7">
        <v>5.386</v>
      </c>
      <c r="H9460" s="15" t="s">
        <v>2392</v>
      </c>
      <c r="I9460" s="15" t="s">
        <v>1586</v>
      </c>
      <c r="J9460" s="15" t="s">
        <v>32775</v>
      </c>
      <c r="K9460" s="15" t="s">
        <v>1722</v>
      </c>
      <c r="L9460" s="15">
        <v>11.0</v>
      </c>
      <c r="M9460" s="40">
        <v>39132.0</v>
      </c>
      <c r="N9460" s="40">
        <v>39132.0</v>
      </c>
      <c r="O9460" s="15" t="s">
        <v>1554</v>
      </c>
      <c r="Q9460" s="7"/>
    </row>
    <row r="9461">
      <c r="A9461" s="39" t="s">
        <v>31533</v>
      </c>
      <c r="B9461" s="15">
        <v>310953.0</v>
      </c>
      <c r="D9461" s="15">
        <v>0.0</v>
      </c>
      <c r="E9461" s="15" t="s">
        <v>1808</v>
      </c>
      <c r="F9461" s="15" t="s">
        <v>3154</v>
      </c>
      <c r="G9461" s="7">
        <v>5.577</v>
      </c>
      <c r="H9461" s="15">
        <v>46.0</v>
      </c>
      <c r="I9461" s="15" t="s">
        <v>1586</v>
      </c>
      <c r="J9461" s="15" t="s">
        <v>32777</v>
      </c>
      <c r="K9461" s="15" t="s">
        <v>1722</v>
      </c>
      <c r="L9461" s="15">
        <v>11.0</v>
      </c>
      <c r="M9461" s="40">
        <v>42563.0</v>
      </c>
      <c r="N9461" s="40">
        <v>42563.0</v>
      </c>
      <c r="O9461" s="15" t="s">
        <v>1554</v>
      </c>
      <c r="Q9461" s="7"/>
    </row>
    <row r="9462">
      <c r="A9462" s="39" t="s">
        <v>28082</v>
      </c>
      <c r="B9462" s="15">
        <v>1407671.0</v>
      </c>
      <c r="D9462" s="15">
        <v>0.0</v>
      </c>
      <c r="E9462" s="15" t="s">
        <v>1664</v>
      </c>
      <c r="F9462" s="15" t="s">
        <v>1664</v>
      </c>
      <c r="G9462" s="7">
        <v>32.324</v>
      </c>
      <c r="H9462" s="15" t="s">
        <v>3361</v>
      </c>
      <c r="I9462" s="15" t="s">
        <v>1722</v>
      </c>
      <c r="J9462" s="15" t="s">
        <v>32778</v>
      </c>
      <c r="K9462" s="15" t="s">
        <v>1722</v>
      </c>
      <c r="L9462" s="15">
        <v>49.0</v>
      </c>
      <c r="M9462" s="40">
        <v>41584.0</v>
      </c>
      <c r="N9462" s="41">
        <v>42307.0</v>
      </c>
      <c r="O9462" s="15" t="s">
        <v>1554</v>
      </c>
      <c r="Q9462" s="7"/>
    </row>
    <row r="9463">
      <c r="A9463" s="39" t="s">
        <v>28085</v>
      </c>
      <c r="B9463" s="15">
        <v>1758150.0</v>
      </c>
      <c r="D9463" s="15">
        <v>0.0</v>
      </c>
      <c r="E9463" s="15" t="s">
        <v>1808</v>
      </c>
      <c r="F9463" s="15" t="s">
        <v>3154</v>
      </c>
      <c r="G9463" s="7">
        <v>5.003</v>
      </c>
      <c r="H9463" s="15" t="s">
        <v>2197</v>
      </c>
      <c r="I9463" s="15" t="s">
        <v>1586</v>
      </c>
      <c r="J9463" s="15" t="s">
        <v>32779</v>
      </c>
      <c r="K9463" s="15" t="s">
        <v>1722</v>
      </c>
      <c r="L9463" s="15">
        <v>5.0</v>
      </c>
      <c r="M9463" s="41">
        <v>42718.0</v>
      </c>
      <c r="N9463" s="41">
        <v>42718.0</v>
      </c>
      <c r="O9463" s="15" t="s">
        <v>1554</v>
      </c>
      <c r="Q9463" s="7"/>
    </row>
    <row r="9464">
      <c r="A9464" s="39" t="s">
        <v>32780</v>
      </c>
      <c r="B9464" s="15">
        <v>1667370.0</v>
      </c>
      <c r="D9464" s="15">
        <v>0.0</v>
      </c>
      <c r="E9464" s="15" t="s">
        <v>1557</v>
      </c>
      <c r="F9464" s="15" t="s">
        <v>1611</v>
      </c>
      <c r="G9464" s="7">
        <v>41.142</v>
      </c>
      <c r="H9464" s="15" t="s">
        <v>5368</v>
      </c>
      <c r="I9464" s="15" t="s">
        <v>1586</v>
      </c>
      <c r="J9464" s="15" t="s">
        <v>32782</v>
      </c>
      <c r="K9464" s="15">
        <v>58.0</v>
      </c>
      <c r="L9464" s="15">
        <v>58.0</v>
      </c>
      <c r="M9464" s="40">
        <v>42185.0</v>
      </c>
      <c r="N9464" s="40">
        <v>42185.0</v>
      </c>
      <c r="O9464" s="15" t="s">
        <v>1554</v>
      </c>
      <c r="Q9464" s="7"/>
    </row>
    <row r="9465">
      <c r="A9465" s="39" t="s">
        <v>30902</v>
      </c>
      <c r="B9465" s="15">
        <v>1278402.0</v>
      </c>
      <c r="D9465" s="15">
        <v>0.0</v>
      </c>
      <c r="E9465" s="15" t="s">
        <v>1557</v>
      </c>
      <c r="F9465" s="15" t="s">
        <v>1767</v>
      </c>
      <c r="G9465" s="7">
        <v>175.557</v>
      </c>
      <c r="H9465" s="15" t="s">
        <v>6418</v>
      </c>
      <c r="I9465" s="15" t="s">
        <v>1586</v>
      </c>
      <c r="J9465" s="15" t="s">
        <v>32783</v>
      </c>
      <c r="K9465" s="15">
        <v>220.0</v>
      </c>
      <c r="L9465" s="15">
        <v>215.0</v>
      </c>
      <c r="M9465" s="41">
        <v>42656.0</v>
      </c>
      <c r="N9465" s="41">
        <v>42656.0</v>
      </c>
      <c r="O9465" s="15" t="s">
        <v>1554</v>
      </c>
      <c r="Q9465" s="7"/>
    </row>
    <row r="9466">
      <c r="A9466" s="39" t="s">
        <v>32784</v>
      </c>
      <c r="B9466" s="15">
        <v>1701859.0</v>
      </c>
      <c r="D9466" s="15">
        <v>0.0</v>
      </c>
      <c r="E9466" s="15" t="s">
        <v>1557</v>
      </c>
      <c r="F9466" s="15" t="s">
        <v>1767</v>
      </c>
      <c r="G9466" s="7">
        <v>65.917</v>
      </c>
      <c r="H9466" s="15" t="s">
        <v>3776</v>
      </c>
      <c r="I9466" s="15" t="s">
        <v>1586</v>
      </c>
      <c r="J9466" s="15" t="s">
        <v>32785</v>
      </c>
      <c r="K9466" s="15" t="s">
        <v>1722</v>
      </c>
      <c r="L9466" s="15">
        <v>88.0</v>
      </c>
      <c r="M9466" s="41">
        <v>42318.0</v>
      </c>
      <c r="N9466" s="41">
        <v>42318.0</v>
      </c>
      <c r="O9466" s="15" t="s">
        <v>1554</v>
      </c>
      <c r="Q9466" s="7"/>
    </row>
    <row r="9467">
      <c r="A9467" s="39" t="s">
        <v>32786</v>
      </c>
      <c r="B9467" s="15">
        <v>1486404.0</v>
      </c>
      <c r="D9467" s="15">
        <v>0.0</v>
      </c>
      <c r="E9467" s="15" t="s">
        <v>1557</v>
      </c>
      <c r="F9467" s="15" t="s">
        <v>1767</v>
      </c>
      <c r="G9467" s="7">
        <v>155.476</v>
      </c>
      <c r="H9467" s="15" t="s">
        <v>8929</v>
      </c>
      <c r="I9467" s="15" t="s">
        <v>1586</v>
      </c>
      <c r="J9467" s="15" t="s">
        <v>32787</v>
      </c>
      <c r="K9467" s="15">
        <v>267.0</v>
      </c>
      <c r="L9467" s="15">
        <v>233.0</v>
      </c>
      <c r="M9467" s="40">
        <v>41811.0</v>
      </c>
      <c r="N9467" s="40">
        <v>41811.0</v>
      </c>
      <c r="O9467" s="15" t="s">
        <v>1554</v>
      </c>
      <c r="Q9467" s="7"/>
    </row>
    <row r="9468">
      <c r="A9468" s="39" t="s">
        <v>32788</v>
      </c>
      <c r="B9468" s="15">
        <v>1772317.0</v>
      </c>
      <c r="D9468" s="15">
        <v>0.0</v>
      </c>
      <c r="E9468" s="15" t="s">
        <v>1557</v>
      </c>
      <c r="F9468" s="15" t="s">
        <v>1833</v>
      </c>
      <c r="G9468" s="7">
        <v>15.63</v>
      </c>
      <c r="H9468" s="15">
        <v>60.0</v>
      </c>
      <c r="I9468" s="15" t="s">
        <v>1586</v>
      </c>
      <c r="J9468" s="15" t="s">
        <v>32789</v>
      </c>
      <c r="K9468" s="15">
        <v>26.0</v>
      </c>
      <c r="L9468" s="15">
        <v>26.0</v>
      </c>
      <c r="M9468" s="40">
        <v>42388.0</v>
      </c>
      <c r="N9468" s="40">
        <v>42388.0</v>
      </c>
      <c r="O9468" s="15" t="s">
        <v>1554</v>
      </c>
      <c r="Q9468" s="7"/>
    </row>
    <row r="9469">
      <c r="A9469" s="39" t="s">
        <v>30912</v>
      </c>
      <c r="B9469" s="15">
        <v>1278423.0</v>
      </c>
      <c r="D9469" s="15">
        <v>0.0</v>
      </c>
      <c r="E9469" s="15" t="s">
        <v>1557</v>
      </c>
      <c r="F9469" s="15" t="s">
        <v>1767</v>
      </c>
      <c r="G9469" s="7">
        <v>179.56</v>
      </c>
      <c r="H9469" s="15" t="s">
        <v>2440</v>
      </c>
      <c r="I9469" s="15" t="s">
        <v>1586</v>
      </c>
      <c r="J9469" s="15" t="s">
        <v>32791</v>
      </c>
      <c r="K9469" s="15">
        <v>217.0</v>
      </c>
      <c r="L9469" s="15">
        <v>216.0</v>
      </c>
      <c r="M9469" s="41">
        <v>42656.0</v>
      </c>
      <c r="N9469" s="41">
        <v>42656.0</v>
      </c>
      <c r="O9469" s="15" t="s">
        <v>1554</v>
      </c>
      <c r="Q9469" s="7"/>
    </row>
    <row r="9470">
      <c r="A9470" s="39" t="s">
        <v>32792</v>
      </c>
      <c r="B9470" s="15">
        <v>1897768.0</v>
      </c>
      <c r="D9470" s="15">
        <v>0.0</v>
      </c>
      <c r="E9470" s="15" t="s">
        <v>1557</v>
      </c>
      <c r="F9470" s="15" t="s">
        <v>1833</v>
      </c>
      <c r="G9470" s="7">
        <v>68.637</v>
      </c>
      <c r="H9470" s="15" t="s">
        <v>2492</v>
      </c>
      <c r="I9470" s="15" t="s">
        <v>1586</v>
      </c>
      <c r="J9470" s="15" t="s">
        <v>32793</v>
      </c>
      <c r="K9470" s="15">
        <v>102.0</v>
      </c>
      <c r="L9470" s="15">
        <v>102.0</v>
      </c>
      <c r="M9470" s="40">
        <v>42634.0</v>
      </c>
      <c r="N9470" s="40">
        <v>42634.0</v>
      </c>
      <c r="O9470" s="15" t="s">
        <v>1554</v>
      </c>
      <c r="Q9470" s="7"/>
    </row>
    <row r="9471">
      <c r="A9471" s="39" t="s">
        <v>32794</v>
      </c>
      <c r="B9471" s="15">
        <v>1032894.0</v>
      </c>
      <c r="D9471" s="15">
        <v>0.0</v>
      </c>
      <c r="E9471" s="15" t="s">
        <v>1557</v>
      </c>
      <c r="F9471" s="15" t="s">
        <v>1833</v>
      </c>
      <c r="G9471" s="7">
        <v>68.839</v>
      </c>
      <c r="H9471" s="15" t="s">
        <v>4308</v>
      </c>
      <c r="I9471" s="15" t="s">
        <v>1586</v>
      </c>
      <c r="J9471" s="15" t="s">
        <v>32796</v>
      </c>
      <c r="K9471" s="15">
        <v>100.0</v>
      </c>
      <c r="L9471" s="15">
        <v>100.0</v>
      </c>
      <c r="M9471" s="40">
        <v>40740.0</v>
      </c>
      <c r="N9471" s="40">
        <v>42186.0</v>
      </c>
      <c r="O9471" s="15" t="s">
        <v>1554</v>
      </c>
      <c r="Q9471" s="7"/>
    </row>
    <row r="9472">
      <c r="A9472" s="39" t="s">
        <v>32797</v>
      </c>
      <c r="B9472" s="15">
        <v>1035484.0</v>
      </c>
      <c r="D9472" s="15">
        <v>0.0</v>
      </c>
      <c r="E9472" s="15" t="s">
        <v>1557</v>
      </c>
      <c r="F9472" s="15" t="s">
        <v>1833</v>
      </c>
      <c r="G9472" s="7">
        <v>68.804</v>
      </c>
      <c r="H9472" s="15" t="s">
        <v>4308</v>
      </c>
      <c r="I9472" s="15" t="s">
        <v>1586</v>
      </c>
      <c r="J9472" s="15" t="s">
        <v>32798</v>
      </c>
      <c r="K9472" s="15" t="s">
        <v>1722</v>
      </c>
      <c r="L9472" s="15">
        <v>101.0</v>
      </c>
      <c r="M9472" s="40">
        <v>40740.0</v>
      </c>
      <c r="N9472" s="40">
        <v>40942.0</v>
      </c>
      <c r="O9472" s="15" t="s">
        <v>1554</v>
      </c>
      <c r="Q9472" s="7"/>
    </row>
    <row r="9473">
      <c r="A9473" s="39" t="s">
        <v>32799</v>
      </c>
      <c r="B9473" s="15">
        <v>1089133.0</v>
      </c>
      <c r="D9473" s="15">
        <v>0.0</v>
      </c>
      <c r="E9473" s="15" t="s">
        <v>1557</v>
      </c>
      <c r="F9473" s="15" t="s">
        <v>1833</v>
      </c>
      <c r="G9473" s="7">
        <v>68.992</v>
      </c>
      <c r="H9473" s="15" t="s">
        <v>4308</v>
      </c>
      <c r="I9473" s="15" t="s">
        <v>1586</v>
      </c>
      <c r="J9473" s="15" t="s">
        <v>32800</v>
      </c>
      <c r="K9473" s="15">
        <v>103.0</v>
      </c>
      <c r="L9473" s="15">
        <v>103.0</v>
      </c>
      <c r="M9473" s="40">
        <v>40853.0</v>
      </c>
      <c r="N9473" s="40">
        <v>42186.0</v>
      </c>
      <c r="O9473" s="15" t="s">
        <v>1554</v>
      </c>
      <c r="Q9473" s="7"/>
    </row>
    <row r="9474">
      <c r="A9474" s="39" t="s">
        <v>32801</v>
      </c>
      <c r="B9474" s="15">
        <v>1567474.0</v>
      </c>
      <c r="D9474" s="15">
        <v>0.0</v>
      </c>
      <c r="E9474" s="15" t="s">
        <v>1557</v>
      </c>
      <c r="F9474" s="15" t="s">
        <v>1833</v>
      </c>
      <c r="G9474" s="7">
        <v>68.328</v>
      </c>
      <c r="H9474" s="15" t="s">
        <v>4308</v>
      </c>
      <c r="I9474" s="15" t="s">
        <v>1586</v>
      </c>
      <c r="J9474" s="15" t="s">
        <v>32802</v>
      </c>
      <c r="K9474" s="15">
        <v>99.0</v>
      </c>
      <c r="L9474" s="15">
        <v>99.0</v>
      </c>
      <c r="M9474" s="40">
        <v>42022.0</v>
      </c>
      <c r="N9474" s="40">
        <v>42022.0</v>
      </c>
      <c r="O9474" s="15" t="s">
        <v>1554</v>
      </c>
      <c r="Q9474" s="7"/>
    </row>
    <row r="9475">
      <c r="A9475" s="39" t="s">
        <v>32803</v>
      </c>
      <c r="B9475" s="15">
        <v>1933689.0</v>
      </c>
      <c r="D9475" s="15">
        <v>0.0</v>
      </c>
      <c r="E9475" s="15" t="s">
        <v>1557</v>
      </c>
      <c r="F9475" s="15" t="s">
        <v>1833</v>
      </c>
      <c r="G9475" s="7">
        <v>69.082</v>
      </c>
      <c r="H9475" s="15" t="s">
        <v>2400</v>
      </c>
      <c r="I9475" s="15" t="s">
        <v>1586</v>
      </c>
      <c r="J9475" s="15" t="s">
        <v>32804</v>
      </c>
      <c r="K9475" s="15">
        <v>103.0</v>
      </c>
      <c r="L9475" s="15">
        <v>103.0</v>
      </c>
      <c r="M9475" s="40">
        <v>42795.0</v>
      </c>
      <c r="N9475" s="40">
        <v>42795.0</v>
      </c>
      <c r="O9475" s="15" t="s">
        <v>1554</v>
      </c>
      <c r="Q9475" s="7"/>
    </row>
    <row r="9476">
      <c r="A9476" s="39" t="s">
        <v>30912</v>
      </c>
      <c r="B9476" s="15">
        <v>1278423.0</v>
      </c>
      <c r="D9476" s="15">
        <v>0.0</v>
      </c>
      <c r="E9476" s="15" t="s">
        <v>1557</v>
      </c>
      <c r="F9476" s="15" t="s">
        <v>1767</v>
      </c>
      <c r="G9476" s="7">
        <v>179.559</v>
      </c>
      <c r="H9476" s="15" t="s">
        <v>2440</v>
      </c>
      <c r="I9476" s="15" t="s">
        <v>1586</v>
      </c>
      <c r="J9476" s="15" t="s">
        <v>32805</v>
      </c>
      <c r="K9476" s="15">
        <v>217.0</v>
      </c>
      <c r="L9476" s="15">
        <v>216.0</v>
      </c>
      <c r="M9476" s="41">
        <v>42656.0</v>
      </c>
      <c r="N9476" s="41">
        <v>42656.0</v>
      </c>
      <c r="O9476" s="15" t="s">
        <v>1554</v>
      </c>
      <c r="Q9476" s="7"/>
    </row>
    <row r="9477">
      <c r="A9477" s="39" t="s">
        <v>32806</v>
      </c>
      <c r="B9477" s="15">
        <v>1772320.0</v>
      </c>
      <c r="D9477" s="15">
        <v>0.0</v>
      </c>
      <c r="E9477" s="15" t="s">
        <v>1557</v>
      </c>
      <c r="F9477" s="15" t="s">
        <v>1833</v>
      </c>
      <c r="G9477" s="7">
        <v>15.319</v>
      </c>
      <c r="H9477" s="15" t="s">
        <v>2309</v>
      </c>
      <c r="I9477" s="15" t="s">
        <v>1586</v>
      </c>
      <c r="J9477" s="15" t="s">
        <v>32807</v>
      </c>
      <c r="K9477" s="15">
        <v>25.0</v>
      </c>
      <c r="L9477" s="15">
        <v>25.0</v>
      </c>
      <c r="M9477" s="40">
        <v>42388.0</v>
      </c>
      <c r="N9477" s="40">
        <v>42388.0</v>
      </c>
      <c r="O9477" s="15" t="s">
        <v>1554</v>
      </c>
      <c r="Q9477" s="7"/>
    </row>
    <row r="9478">
      <c r="A9478" s="39" t="s">
        <v>32808</v>
      </c>
      <c r="B9478" s="15">
        <v>1566994.0</v>
      </c>
      <c r="D9478" s="15">
        <v>0.0</v>
      </c>
      <c r="E9478" s="15" t="s">
        <v>1557</v>
      </c>
      <c r="F9478" s="15" t="s">
        <v>1767</v>
      </c>
      <c r="G9478" s="7">
        <v>157.204</v>
      </c>
      <c r="H9478" s="15" t="s">
        <v>8929</v>
      </c>
      <c r="I9478" s="15" t="s">
        <v>1586</v>
      </c>
      <c r="J9478" s="15" t="s">
        <v>32809</v>
      </c>
      <c r="K9478" s="15">
        <v>264.0</v>
      </c>
      <c r="L9478" s="15">
        <v>231.0</v>
      </c>
      <c r="M9478" s="41">
        <v>41965.0</v>
      </c>
      <c r="N9478" s="41">
        <v>41965.0</v>
      </c>
      <c r="O9478" s="15" t="s">
        <v>1554</v>
      </c>
      <c r="Q9478" s="7"/>
    </row>
    <row r="9479">
      <c r="A9479" s="39" t="s">
        <v>32810</v>
      </c>
      <c r="B9479" s="15">
        <v>1701860.0</v>
      </c>
      <c r="D9479" s="15">
        <v>0.0</v>
      </c>
      <c r="E9479" s="15" t="s">
        <v>1557</v>
      </c>
      <c r="F9479" s="15" t="s">
        <v>1767</v>
      </c>
      <c r="G9479" s="7">
        <v>65.795</v>
      </c>
      <c r="H9479" s="15" t="s">
        <v>3776</v>
      </c>
      <c r="I9479" s="15" t="s">
        <v>1586</v>
      </c>
      <c r="J9479" s="15" t="s">
        <v>32811</v>
      </c>
      <c r="K9479" s="15" t="s">
        <v>1722</v>
      </c>
      <c r="L9479" s="15">
        <v>89.0</v>
      </c>
      <c r="M9479" s="41">
        <v>42318.0</v>
      </c>
      <c r="N9479" s="41">
        <v>42318.0</v>
      </c>
      <c r="O9479" s="15" t="s">
        <v>1554</v>
      </c>
      <c r="Q9479" s="7"/>
    </row>
    <row r="9480">
      <c r="A9480" s="39" t="s">
        <v>30902</v>
      </c>
      <c r="B9480" s="15">
        <v>1278402.0</v>
      </c>
      <c r="D9480" s="15">
        <v>0.0</v>
      </c>
      <c r="E9480" s="15" t="s">
        <v>1557</v>
      </c>
      <c r="F9480" s="15" t="s">
        <v>1767</v>
      </c>
      <c r="G9480" s="7">
        <v>174.351</v>
      </c>
      <c r="H9480" s="15" t="s">
        <v>6418</v>
      </c>
      <c r="I9480" s="15" t="s">
        <v>1586</v>
      </c>
      <c r="J9480" s="15" t="s">
        <v>32812</v>
      </c>
      <c r="K9480" s="15">
        <v>221.0</v>
      </c>
      <c r="L9480" s="15">
        <v>216.0</v>
      </c>
      <c r="M9480" s="41">
        <v>42656.0</v>
      </c>
      <c r="N9480" s="41">
        <v>42656.0</v>
      </c>
      <c r="O9480" s="15" t="s">
        <v>1554</v>
      </c>
      <c r="Q9480" s="7"/>
    </row>
    <row r="9481">
      <c r="A9481" s="39" t="s">
        <v>32813</v>
      </c>
      <c r="B9481" s="15">
        <v>1667369.0</v>
      </c>
      <c r="D9481" s="15">
        <v>0.0</v>
      </c>
      <c r="E9481" s="15" t="s">
        <v>1557</v>
      </c>
      <c r="F9481" s="15" t="s">
        <v>1611</v>
      </c>
      <c r="G9481" s="7">
        <v>41.142</v>
      </c>
      <c r="H9481" s="15" t="s">
        <v>5368</v>
      </c>
      <c r="I9481" s="15" t="s">
        <v>1586</v>
      </c>
      <c r="J9481" s="15" t="s">
        <v>32814</v>
      </c>
      <c r="K9481" s="15">
        <v>58.0</v>
      </c>
      <c r="L9481" s="15">
        <v>58.0</v>
      </c>
      <c r="M9481" s="40">
        <v>42185.0</v>
      </c>
      <c r="N9481" s="40">
        <v>42185.0</v>
      </c>
      <c r="O9481" s="15" t="s">
        <v>1554</v>
      </c>
      <c r="Q9481" s="7"/>
    </row>
    <row r="9482">
      <c r="A9482" s="39" t="s">
        <v>28085</v>
      </c>
      <c r="B9482" s="15">
        <v>1758150.0</v>
      </c>
      <c r="D9482" s="15">
        <v>0.0</v>
      </c>
      <c r="E9482" s="15" t="s">
        <v>1808</v>
      </c>
      <c r="F9482" s="15" t="s">
        <v>3154</v>
      </c>
      <c r="G9482" s="7">
        <v>43225.0</v>
      </c>
      <c r="H9482" s="15" t="s">
        <v>1745</v>
      </c>
      <c r="I9482" s="15" t="s">
        <v>1586</v>
      </c>
      <c r="J9482" s="15" t="s">
        <v>32815</v>
      </c>
      <c r="K9482" s="15" t="s">
        <v>1722</v>
      </c>
      <c r="L9482" s="15">
        <v>5.0</v>
      </c>
      <c r="M9482" s="41">
        <v>42718.0</v>
      </c>
      <c r="N9482" s="41">
        <v>42718.0</v>
      </c>
      <c r="O9482" s="15" t="s">
        <v>1554</v>
      </c>
      <c r="Q9482" s="7"/>
    </row>
    <row r="9483">
      <c r="A9483" s="39" t="s">
        <v>28082</v>
      </c>
      <c r="B9483" s="15">
        <v>1407671.0</v>
      </c>
      <c r="D9483" s="15">
        <v>0.0</v>
      </c>
      <c r="E9483" s="15" t="s">
        <v>1664</v>
      </c>
      <c r="F9483" s="15" t="s">
        <v>1664</v>
      </c>
      <c r="G9483" s="7">
        <v>32.562</v>
      </c>
      <c r="H9483" s="15" t="s">
        <v>3827</v>
      </c>
      <c r="I9483" s="15" t="s">
        <v>1722</v>
      </c>
      <c r="J9483" s="15" t="s">
        <v>32816</v>
      </c>
      <c r="K9483" s="15" t="s">
        <v>1722</v>
      </c>
      <c r="L9483" s="15">
        <v>48.0</v>
      </c>
      <c r="M9483" s="40">
        <v>41584.0</v>
      </c>
      <c r="N9483" s="41">
        <v>42307.0</v>
      </c>
      <c r="O9483" s="15" t="s">
        <v>1554</v>
      </c>
      <c r="Q9483" s="7"/>
    </row>
    <row r="9484">
      <c r="A9484" s="39" t="s">
        <v>31533</v>
      </c>
      <c r="B9484" s="15">
        <v>310953.0</v>
      </c>
      <c r="D9484" s="15">
        <v>0.0</v>
      </c>
      <c r="E9484" s="15" t="s">
        <v>1808</v>
      </c>
      <c r="F9484" s="15" t="s">
        <v>3154</v>
      </c>
      <c r="G9484" s="7">
        <v>5.577</v>
      </c>
      <c r="H9484" s="15" t="s">
        <v>4070</v>
      </c>
      <c r="I9484" s="15" t="s">
        <v>1586</v>
      </c>
      <c r="J9484" s="15" t="s">
        <v>32817</v>
      </c>
      <c r="K9484" s="15" t="s">
        <v>1722</v>
      </c>
      <c r="L9484" s="15">
        <v>11.0</v>
      </c>
      <c r="M9484" s="40">
        <v>42563.0</v>
      </c>
      <c r="N9484" s="40">
        <v>42563.0</v>
      </c>
      <c r="O9484" s="15" t="s">
        <v>1554</v>
      </c>
      <c r="Q9484" s="7"/>
    </row>
    <row r="9485">
      <c r="A9485" s="39" t="s">
        <v>27611</v>
      </c>
      <c r="B9485" s="15">
        <v>10847.0</v>
      </c>
      <c r="D9485" s="15">
        <v>0.0</v>
      </c>
      <c r="E9485" s="15" t="s">
        <v>1808</v>
      </c>
      <c r="F9485" s="15" t="s">
        <v>3154</v>
      </c>
      <c r="G9485" s="7">
        <v>5.386</v>
      </c>
      <c r="H9485" s="15" t="s">
        <v>1983</v>
      </c>
      <c r="I9485" s="15" t="s">
        <v>1586</v>
      </c>
      <c r="J9485" s="15" t="s">
        <v>32818</v>
      </c>
      <c r="K9485" s="15" t="s">
        <v>1722</v>
      </c>
      <c r="L9485" s="15">
        <v>11.0</v>
      </c>
      <c r="M9485" s="40">
        <v>39132.0</v>
      </c>
      <c r="N9485" s="40">
        <v>39132.0</v>
      </c>
      <c r="O9485" s="15" t="s">
        <v>1554</v>
      </c>
      <c r="Q9485" s="7"/>
    </row>
    <row r="9486">
      <c r="A9486" s="39" t="s">
        <v>26529</v>
      </c>
      <c r="B9486" s="15">
        <v>186617.0</v>
      </c>
      <c r="C9486" s="15" t="s">
        <v>26530</v>
      </c>
      <c r="D9486" s="15">
        <v>371593.0</v>
      </c>
      <c r="E9486" s="15" t="s">
        <v>1664</v>
      </c>
      <c r="F9486" s="15" t="s">
        <v>1664</v>
      </c>
      <c r="G9486" s="7">
        <v>26486.0</v>
      </c>
      <c r="H9486" s="15" t="s">
        <v>3070</v>
      </c>
      <c r="I9486" s="15" t="s">
        <v>1722</v>
      </c>
      <c r="J9486" s="15" t="s">
        <v>32819</v>
      </c>
      <c r="K9486" s="15" t="s">
        <v>1722</v>
      </c>
      <c r="L9486" s="15" t="s">
        <v>1722</v>
      </c>
      <c r="M9486" s="40">
        <v>42770.0</v>
      </c>
      <c r="N9486" s="40">
        <v>42851.0</v>
      </c>
      <c r="O9486" s="15" t="s">
        <v>22466</v>
      </c>
      <c r="Q9486" s="7"/>
    </row>
    <row r="9487">
      <c r="A9487" s="39" t="s">
        <v>32820</v>
      </c>
      <c r="B9487" s="15">
        <v>1690812.0</v>
      </c>
      <c r="D9487" s="15">
        <v>0.0</v>
      </c>
      <c r="E9487" s="15" t="s">
        <v>1557</v>
      </c>
      <c r="F9487" s="15" t="s">
        <v>1833</v>
      </c>
      <c r="G9487" s="7">
        <v>29.488</v>
      </c>
      <c r="H9487" s="15">
        <v>54.0</v>
      </c>
      <c r="I9487" s="15" t="s">
        <v>1586</v>
      </c>
      <c r="J9487" s="15" t="s">
        <v>32821</v>
      </c>
      <c r="K9487" s="15">
        <v>42.0</v>
      </c>
      <c r="L9487" s="15">
        <v>42.0</v>
      </c>
      <c r="M9487" s="40">
        <v>42245.0</v>
      </c>
      <c r="N9487" s="40">
        <v>42460.0</v>
      </c>
      <c r="O9487" s="15" t="s">
        <v>1554</v>
      </c>
      <c r="Q9487" s="7"/>
    </row>
    <row r="9488">
      <c r="A9488" s="39" t="s">
        <v>17780</v>
      </c>
      <c r="B9488" s="15">
        <v>1493508.0</v>
      </c>
      <c r="D9488" s="15">
        <v>0.0</v>
      </c>
      <c r="E9488" s="15" t="s">
        <v>1557</v>
      </c>
      <c r="F9488" s="15" t="s">
        <v>1767</v>
      </c>
      <c r="G9488" s="7">
        <v>172.688</v>
      </c>
      <c r="H9488" s="15" t="s">
        <v>3895</v>
      </c>
      <c r="I9488" s="15" t="s">
        <v>1586</v>
      </c>
      <c r="J9488" s="15" t="s">
        <v>32822</v>
      </c>
      <c r="K9488" s="15">
        <v>216.0</v>
      </c>
      <c r="L9488" s="15">
        <v>216.0</v>
      </c>
      <c r="M9488" s="40">
        <v>42104.0</v>
      </c>
      <c r="N9488" s="40">
        <v>42104.0</v>
      </c>
      <c r="O9488" s="15" t="s">
        <v>1554</v>
      </c>
      <c r="Q9488" s="7"/>
    </row>
    <row r="9489">
      <c r="A9489" s="39" t="s">
        <v>17693</v>
      </c>
      <c r="B9489" s="15">
        <v>1493511.0</v>
      </c>
      <c r="D9489" s="15">
        <v>0.0</v>
      </c>
      <c r="E9489" s="15" t="s">
        <v>1557</v>
      </c>
      <c r="F9489" s="15" t="s">
        <v>1767</v>
      </c>
      <c r="G9489" s="7">
        <v>222.326</v>
      </c>
      <c r="H9489" s="15" t="s">
        <v>2777</v>
      </c>
      <c r="I9489" s="15" t="s">
        <v>1586</v>
      </c>
      <c r="J9489" s="15" t="s">
        <v>32824</v>
      </c>
      <c r="K9489" s="15">
        <v>281.0</v>
      </c>
      <c r="L9489" s="15">
        <v>281.0</v>
      </c>
      <c r="M9489" s="40">
        <v>42104.0</v>
      </c>
      <c r="N9489" s="40">
        <v>42104.0</v>
      </c>
      <c r="O9489" s="15" t="s">
        <v>1554</v>
      </c>
      <c r="Q9489" s="7"/>
    </row>
    <row r="9490">
      <c r="A9490" s="39" t="s">
        <v>17687</v>
      </c>
      <c r="B9490" s="15">
        <v>1493507.0</v>
      </c>
      <c r="D9490" s="15">
        <v>0.0</v>
      </c>
      <c r="E9490" s="15" t="s">
        <v>1557</v>
      </c>
      <c r="F9490" s="15" t="s">
        <v>1767</v>
      </c>
      <c r="G9490" s="7">
        <v>171.192</v>
      </c>
      <c r="H9490" s="15" t="s">
        <v>2304</v>
      </c>
      <c r="I9490" s="15" t="s">
        <v>1586</v>
      </c>
      <c r="J9490" s="15" t="s">
        <v>32825</v>
      </c>
      <c r="K9490" s="15">
        <v>206.0</v>
      </c>
      <c r="L9490" s="15">
        <v>206.0</v>
      </c>
      <c r="M9490" s="40">
        <v>42104.0</v>
      </c>
      <c r="N9490" s="40">
        <v>42104.0</v>
      </c>
      <c r="O9490" s="15" t="s">
        <v>1554</v>
      </c>
      <c r="Q9490" s="7"/>
    </row>
    <row r="9491">
      <c r="A9491" s="39" t="s">
        <v>17683</v>
      </c>
      <c r="B9491" s="15">
        <v>1493509.0</v>
      </c>
      <c r="D9491" s="15">
        <v>0.0</v>
      </c>
      <c r="E9491" s="15" t="s">
        <v>1557</v>
      </c>
      <c r="F9491" s="15" t="s">
        <v>1767</v>
      </c>
      <c r="G9491" s="7">
        <v>178.873</v>
      </c>
      <c r="H9491" s="15" t="s">
        <v>2640</v>
      </c>
      <c r="I9491" s="15" t="s">
        <v>1586</v>
      </c>
      <c r="J9491" s="15" t="s">
        <v>32826</v>
      </c>
      <c r="K9491" s="15">
        <v>218.0</v>
      </c>
      <c r="L9491" s="15">
        <v>218.0</v>
      </c>
      <c r="M9491" s="40">
        <v>42104.0</v>
      </c>
      <c r="N9491" s="40">
        <v>42104.0</v>
      </c>
      <c r="O9491" s="15" t="s">
        <v>1554</v>
      </c>
      <c r="Q9491" s="7"/>
    </row>
    <row r="9492">
      <c r="A9492" s="39" t="s">
        <v>32827</v>
      </c>
      <c r="B9492" s="15">
        <v>869726.0</v>
      </c>
      <c r="D9492" s="15">
        <v>0.0</v>
      </c>
      <c r="E9492" s="15" t="s">
        <v>1557</v>
      </c>
      <c r="F9492" s="15" t="s">
        <v>1767</v>
      </c>
      <c r="G9492" s="7">
        <v>168.327</v>
      </c>
      <c r="H9492" s="15" t="s">
        <v>2141</v>
      </c>
      <c r="I9492" s="15" t="s">
        <v>1586</v>
      </c>
      <c r="J9492" s="15" t="s">
        <v>32829</v>
      </c>
      <c r="K9492" s="15">
        <v>211.0</v>
      </c>
      <c r="L9492" s="15">
        <v>203.0</v>
      </c>
      <c r="M9492" s="40">
        <v>40955.0</v>
      </c>
      <c r="N9492" s="40">
        <v>40989.0</v>
      </c>
      <c r="O9492" s="15" t="s">
        <v>1554</v>
      </c>
      <c r="Q9492" s="7"/>
    </row>
    <row r="9493">
      <c r="A9493" s="39" t="s">
        <v>32240</v>
      </c>
      <c r="B9493" s="15">
        <v>687800.0</v>
      </c>
      <c r="D9493" s="15">
        <v>0.0</v>
      </c>
      <c r="E9493" s="15" t="s">
        <v>1557</v>
      </c>
      <c r="F9493" s="15" t="s">
        <v>1767</v>
      </c>
      <c r="G9493" s="7">
        <v>175.439</v>
      </c>
      <c r="H9493" s="15" t="s">
        <v>1591</v>
      </c>
      <c r="I9493" s="15" t="s">
        <v>1586</v>
      </c>
      <c r="J9493" s="15" t="s">
        <v>32830</v>
      </c>
      <c r="K9493" s="15">
        <v>222.0</v>
      </c>
      <c r="L9493" s="15">
        <v>216.0</v>
      </c>
      <c r="M9493" s="41">
        <v>42656.0</v>
      </c>
      <c r="N9493" s="41">
        <v>42656.0</v>
      </c>
      <c r="O9493" s="15" t="s">
        <v>1554</v>
      </c>
      <c r="Q9493" s="7"/>
    </row>
    <row r="9494">
      <c r="A9494" s="39" t="s">
        <v>31868</v>
      </c>
      <c r="B9494" s="15">
        <v>1278485.0</v>
      </c>
      <c r="D9494" s="15">
        <v>0.0</v>
      </c>
      <c r="E9494" s="15" t="s">
        <v>1557</v>
      </c>
      <c r="F9494" s="15" t="s">
        <v>1578</v>
      </c>
      <c r="G9494" s="7">
        <v>197.625</v>
      </c>
      <c r="H9494" s="15" t="s">
        <v>2640</v>
      </c>
      <c r="I9494" s="15" t="s">
        <v>1586</v>
      </c>
      <c r="J9494" s="15" t="s">
        <v>32831</v>
      </c>
      <c r="K9494" s="15">
        <v>240.0</v>
      </c>
      <c r="L9494" s="15">
        <v>235.0</v>
      </c>
      <c r="M9494" s="41">
        <v>42656.0</v>
      </c>
      <c r="N9494" s="41">
        <v>42656.0</v>
      </c>
      <c r="O9494" s="15" t="s">
        <v>1554</v>
      </c>
      <c r="Q9494" s="7"/>
    </row>
    <row r="9495">
      <c r="A9495" s="39" t="s">
        <v>32832</v>
      </c>
      <c r="B9495" s="15">
        <v>1165141.0</v>
      </c>
      <c r="D9495" s="15">
        <v>0.0</v>
      </c>
      <c r="E9495" s="15" t="s">
        <v>1557</v>
      </c>
      <c r="F9495" s="15" t="s">
        <v>1833</v>
      </c>
      <c r="G9495" s="7">
        <v>32.275</v>
      </c>
      <c r="H9495" s="15" t="s">
        <v>3260</v>
      </c>
      <c r="I9495" s="15" t="s">
        <v>1586</v>
      </c>
      <c r="J9495" s="15" t="s">
        <v>32834</v>
      </c>
      <c r="K9495" s="15">
        <v>60.0</v>
      </c>
      <c r="L9495" s="15">
        <v>58.0</v>
      </c>
      <c r="M9495" s="40">
        <v>40995.0</v>
      </c>
      <c r="N9495" s="40">
        <v>41031.0</v>
      </c>
      <c r="O9495" s="15" t="s">
        <v>1554</v>
      </c>
      <c r="Q9495" s="7"/>
    </row>
    <row r="9496">
      <c r="A9496" s="39" t="s">
        <v>32835</v>
      </c>
      <c r="B9496" s="15">
        <v>1660361.0</v>
      </c>
      <c r="D9496" s="15">
        <v>0.0</v>
      </c>
      <c r="E9496" s="15" t="s">
        <v>1557</v>
      </c>
      <c r="F9496" s="15" t="s">
        <v>1611</v>
      </c>
      <c r="G9496" s="7">
        <v>62.708</v>
      </c>
      <c r="H9496" s="15" t="s">
        <v>3836</v>
      </c>
      <c r="I9496" s="15" t="s">
        <v>1586</v>
      </c>
      <c r="J9496" s="15" t="s">
        <v>32836</v>
      </c>
      <c r="K9496" s="15" t="s">
        <v>1722</v>
      </c>
      <c r="L9496" s="15">
        <v>93.0</v>
      </c>
      <c r="M9496" s="40">
        <v>42276.0</v>
      </c>
      <c r="N9496" s="40">
        <v>42277.0</v>
      </c>
      <c r="O9496" s="15" t="s">
        <v>1554</v>
      </c>
      <c r="Q9496" s="7"/>
    </row>
    <row r="9497">
      <c r="A9497" s="39" t="s">
        <v>8271</v>
      </c>
      <c r="B9497" s="15">
        <v>28875.0</v>
      </c>
      <c r="D9497" s="15">
        <v>0.0</v>
      </c>
      <c r="E9497" s="15" t="s">
        <v>1638</v>
      </c>
      <c r="F9497" s="15" t="s">
        <v>1863</v>
      </c>
      <c r="G9497" s="7">
        <v>43269.0</v>
      </c>
      <c r="H9497" s="15" t="s">
        <v>32837</v>
      </c>
      <c r="I9497" s="15" t="s">
        <v>1567</v>
      </c>
      <c r="J9497" s="15" t="s">
        <v>32838</v>
      </c>
      <c r="K9497" s="15" t="s">
        <v>1722</v>
      </c>
      <c r="L9497" s="15">
        <v>11.0</v>
      </c>
      <c r="M9497" s="40">
        <v>41839.0</v>
      </c>
      <c r="N9497" s="40">
        <v>41839.0</v>
      </c>
      <c r="O9497" s="15" t="s">
        <v>1554</v>
      </c>
      <c r="Q9497" s="7"/>
    </row>
    <row r="9498">
      <c r="A9498" s="39" t="s">
        <v>32839</v>
      </c>
      <c r="B9498" s="15">
        <v>1195079.0</v>
      </c>
      <c r="D9498" s="15">
        <v>0.0</v>
      </c>
      <c r="E9498" s="15" t="s">
        <v>1557</v>
      </c>
      <c r="F9498" s="15" t="s">
        <v>1767</v>
      </c>
      <c r="G9498" s="7">
        <v>148.243</v>
      </c>
      <c r="H9498" s="15" t="s">
        <v>2215</v>
      </c>
      <c r="I9498" s="15" t="s">
        <v>1586</v>
      </c>
      <c r="J9498" s="15" t="s">
        <v>32840</v>
      </c>
      <c r="K9498" s="15">
        <v>232.0</v>
      </c>
      <c r="L9498" s="15">
        <v>232.0</v>
      </c>
      <c r="M9498" s="40">
        <v>41104.0</v>
      </c>
      <c r="N9498" s="40">
        <v>41729.0</v>
      </c>
      <c r="O9498" s="15" t="s">
        <v>1554</v>
      </c>
      <c r="Q9498" s="7"/>
    </row>
    <row r="9499">
      <c r="A9499" s="39" t="s">
        <v>32842</v>
      </c>
      <c r="B9499" s="15">
        <v>1654885.0</v>
      </c>
      <c r="D9499" s="15">
        <v>0.0</v>
      </c>
      <c r="E9499" s="15" t="s">
        <v>1557</v>
      </c>
      <c r="F9499" s="15" t="s">
        <v>1611</v>
      </c>
      <c r="G9499" s="7">
        <v>41.733</v>
      </c>
      <c r="H9499" s="15" t="s">
        <v>2836</v>
      </c>
      <c r="I9499" s="15" t="s">
        <v>1586</v>
      </c>
      <c r="J9499" s="15" t="s">
        <v>32843</v>
      </c>
      <c r="K9499" s="15">
        <v>80.0</v>
      </c>
      <c r="L9499" s="15">
        <v>80.0</v>
      </c>
      <c r="M9499" s="41">
        <v>42307.0</v>
      </c>
      <c r="N9499" s="40">
        <v>42516.0</v>
      </c>
      <c r="O9499" s="15" t="s">
        <v>1554</v>
      </c>
      <c r="Q9499" s="7"/>
    </row>
    <row r="9500">
      <c r="A9500" s="39" t="s">
        <v>32844</v>
      </c>
      <c r="B9500" s="15">
        <v>1074829.0</v>
      </c>
      <c r="D9500" s="15">
        <v>0.0</v>
      </c>
      <c r="E9500" s="15" t="s">
        <v>1557</v>
      </c>
      <c r="F9500" s="15" t="s">
        <v>1833</v>
      </c>
      <c r="G9500" s="7">
        <v>51.367</v>
      </c>
      <c r="H9500" s="15" t="s">
        <v>3286</v>
      </c>
      <c r="I9500" s="15" t="s">
        <v>1586</v>
      </c>
      <c r="J9500" s="15" t="s">
        <v>32846</v>
      </c>
      <c r="K9500" s="15">
        <v>87.0</v>
      </c>
      <c r="L9500" s="15">
        <v>87.0</v>
      </c>
      <c r="M9500" s="40">
        <v>40770.0</v>
      </c>
      <c r="N9500" s="40">
        <v>40942.0</v>
      </c>
      <c r="O9500" s="15" t="s">
        <v>1554</v>
      </c>
      <c r="Q9500" s="7"/>
    </row>
    <row r="9501">
      <c r="A9501" s="39" t="s">
        <v>32847</v>
      </c>
      <c r="B9501" s="15">
        <v>338115.0</v>
      </c>
      <c r="D9501" s="15">
        <v>0.0</v>
      </c>
      <c r="E9501" s="15" t="s">
        <v>1808</v>
      </c>
      <c r="F9501" s="15" t="s">
        <v>3154</v>
      </c>
      <c r="G9501" s="7">
        <v>5.386</v>
      </c>
      <c r="H9501" s="15" t="s">
        <v>3097</v>
      </c>
      <c r="I9501" s="15" t="s">
        <v>1586</v>
      </c>
      <c r="J9501" s="15" t="s">
        <v>32848</v>
      </c>
      <c r="K9501" s="15">
        <v>11.0</v>
      </c>
      <c r="L9501" s="15">
        <v>11.0</v>
      </c>
      <c r="M9501" s="40">
        <v>38741.0</v>
      </c>
      <c r="N9501" s="40">
        <v>38741.0</v>
      </c>
      <c r="O9501" s="15" t="s">
        <v>1554</v>
      </c>
      <c r="Q9501" s="7"/>
    </row>
    <row r="9502">
      <c r="A9502" s="39" t="s">
        <v>32849</v>
      </c>
      <c r="B9502" s="15">
        <v>979527.0</v>
      </c>
      <c r="D9502" s="15">
        <v>0.0</v>
      </c>
      <c r="E9502" s="15" t="s">
        <v>1557</v>
      </c>
      <c r="F9502" s="15" t="s">
        <v>1767</v>
      </c>
      <c r="G9502" s="7">
        <v>128.083</v>
      </c>
      <c r="H9502" s="15" t="s">
        <v>2580</v>
      </c>
      <c r="I9502" s="15" t="s">
        <v>1586</v>
      </c>
      <c r="J9502" s="15" t="s">
        <v>32850</v>
      </c>
      <c r="K9502" s="15">
        <v>225.0</v>
      </c>
      <c r="L9502" s="15">
        <v>225.0</v>
      </c>
      <c r="M9502" s="40">
        <v>40596.0</v>
      </c>
      <c r="N9502" s="40">
        <v>40731.0</v>
      </c>
      <c r="O9502" s="15" t="s">
        <v>1554</v>
      </c>
      <c r="Q9502" s="7"/>
    </row>
    <row r="9503">
      <c r="A9503" s="39" t="s">
        <v>32851</v>
      </c>
      <c r="B9503" s="15">
        <v>338116.0</v>
      </c>
      <c r="D9503" s="15">
        <v>0.0</v>
      </c>
      <c r="E9503" s="15" t="s">
        <v>1808</v>
      </c>
      <c r="F9503" s="15" t="s">
        <v>3154</v>
      </c>
      <c r="G9503" s="7">
        <v>5.386</v>
      </c>
      <c r="H9503" s="15" t="s">
        <v>2877</v>
      </c>
      <c r="I9503" s="15" t="s">
        <v>1586</v>
      </c>
      <c r="J9503" s="15" t="s">
        <v>32853</v>
      </c>
      <c r="K9503" s="15">
        <v>11.0</v>
      </c>
      <c r="L9503" s="15">
        <v>11.0</v>
      </c>
      <c r="M9503" s="40">
        <v>38741.0</v>
      </c>
      <c r="N9503" s="40">
        <v>38741.0</v>
      </c>
      <c r="O9503" s="15" t="s">
        <v>1554</v>
      </c>
      <c r="Q9503" s="7"/>
    </row>
    <row r="9504">
      <c r="A9504" s="39" t="s">
        <v>32854</v>
      </c>
      <c r="B9504" s="15">
        <v>1168593.0</v>
      </c>
      <c r="D9504" s="15">
        <v>0.0</v>
      </c>
      <c r="E9504" s="15" t="s">
        <v>1557</v>
      </c>
      <c r="F9504" s="15" t="s">
        <v>1833</v>
      </c>
      <c r="G9504" s="7">
        <v>51.37</v>
      </c>
      <c r="H9504" s="15" t="s">
        <v>3286</v>
      </c>
      <c r="I9504" s="15" t="s">
        <v>1586</v>
      </c>
      <c r="J9504" s="15" t="s">
        <v>32855</v>
      </c>
      <c r="K9504" s="15">
        <v>89.0</v>
      </c>
      <c r="L9504" s="15">
        <v>89.0</v>
      </c>
      <c r="M9504" s="40">
        <v>41070.0</v>
      </c>
      <c r="N9504" s="40">
        <v>41070.0</v>
      </c>
      <c r="O9504" s="15" t="s">
        <v>1554</v>
      </c>
      <c r="Q9504" s="7"/>
    </row>
    <row r="9505">
      <c r="A9505" s="39" t="s">
        <v>4679</v>
      </c>
      <c r="B9505" s="15">
        <v>10754.0</v>
      </c>
      <c r="D9505" s="15">
        <v>0.0</v>
      </c>
      <c r="E9505" s="15" t="s">
        <v>1557</v>
      </c>
      <c r="F9505" s="15" t="s">
        <v>1611</v>
      </c>
      <c r="G9505" s="7">
        <v>41.724</v>
      </c>
      <c r="H9505" s="15" t="s">
        <v>2836</v>
      </c>
      <c r="I9505" s="15" t="s">
        <v>1586</v>
      </c>
      <c r="J9505" s="15" t="s">
        <v>32856</v>
      </c>
      <c r="K9505" s="15">
        <v>64.0</v>
      </c>
      <c r="L9505" s="15">
        <v>64.0</v>
      </c>
      <c r="M9505" s="40">
        <v>36687.0</v>
      </c>
      <c r="N9505" s="40">
        <v>36895.0</v>
      </c>
      <c r="O9505" s="15" t="s">
        <v>1554</v>
      </c>
      <c r="Q9505" s="7"/>
    </row>
    <row r="9506">
      <c r="A9506" s="39" t="s">
        <v>32857</v>
      </c>
      <c r="B9506" s="15">
        <v>1195080.0</v>
      </c>
      <c r="D9506" s="15">
        <v>0.0</v>
      </c>
      <c r="E9506" s="15" t="s">
        <v>1557</v>
      </c>
      <c r="F9506" s="15" t="s">
        <v>1767</v>
      </c>
      <c r="G9506" s="7">
        <v>147.59</v>
      </c>
      <c r="H9506" s="42">
        <v>43220.0</v>
      </c>
      <c r="I9506" s="15" t="s">
        <v>1586</v>
      </c>
      <c r="J9506" s="15" t="s">
        <v>32859</v>
      </c>
      <c r="K9506" s="15">
        <v>232.0</v>
      </c>
      <c r="L9506" s="15">
        <v>232.0</v>
      </c>
      <c r="M9506" s="40">
        <v>41104.0</v>
      </c>
      <c r="N9506" s="40">
        <v>41726.0</v>
      </c>
      <c r="O9506" s="15" t="s">
        <v>1554</v>
      </c>
      <c r="Q9506" s="7"/>
    </row>
    <row r="9507">
      <c r="A9507" s="39" t="s">
        <v>8271</v>
      </c>
      <c r="B9507" s="15">
        <v>28875.0</v>
      </c>
      <c r="D9507" s="15">
        <v>0.0</v>
      </c>
      <c r="E9507" s="15" t="s">
        <v>1638</v>
      </c>
      <c r="F9507" s="15" t="s">
        <v>1863</v>
      </c>
      <c r="G9507" s="7">
        <v>18.603</v>
      </c>
      <c r="H9507" s="15" t="s">
        <v>32860</v>
      </c>
      <c r="I9507" s="15" t="s">
        <v>1567</v>
      </c>
      <c r="J9507" s="15" t="s">
        <v>32861</v>
      </c>
      <c r="K9507" s="15" t="s">
        <v>1722</v>
      </c>
      <c r="L9507" s="15">
        <v>11.0</v>
      </c>
      <c r="M9507" s="40">
        <v>41839.0</v>
      </c>
      <c r="N9507" s="40">
        <v>41839.0</v>
      </c>
      <c r="O9507" s="15" t="s">
        <v>1554</v>
      </c>
      <c r="Q9507" s="7"/>
    </row>
    <row r="9508">
      <c r="A9508" s="39" t="s">
        <v>32862</v>
      </c>
      <c r="B9508" s="15">
        <v>1660363.0</v>
      </c>
      <c r="D9508" s="15">
        <v>0.0</v>
      </c>
      <c r="E9508" s="15" t="s">
        <v>1557</v>
      </c>
      <c r="F9508" s="15" t="s">
        <v>1611</v>
      </c>
      <c r="G9508" s="7">
        <v>62.708</v>
      </c>
      <c r="H9508" s="15" t="s">
        <v>3836</v>
      </c>
      <c r="I9508" s="15" t="s">
        <v>1586</v>
      </c>
      <c r="J9508" s="15" t="s">
        <v>32863</v>
      </c>
      <c r="K9508" s="15" t="s">
        <v>1722</v>
      </c>
      <c r="L9508" s="15">
        <v>93.0</v>
      </c>
      <c r="M9508" s="40">
        <v>42276.0</v>
      </c>
      <c r="N9508" s="40">
        <v>42277.0</v>
      </c>
      <c r="O9508" s="15" t="s">
        <v>1554</v>
      </c>
      <c r="Q9508" s="7"/>
    </row>
    <row r="9509">
      <c r="A9509" s="39" t="s">
        <v>32865</v>
      </c>
      <c r="B9509" s="15">
        <v>1165142.0</v>
      </c>
      <c r="D9509" s="15">
        <v>0.0</v>
      </c>
      <c r="E9509" s="15" t="s">
        <v>1557</v>
      </c>
      <c r="F9509" s="15" t="s">
        <v>1833</v>
      </c>
      <c r="G9509" s="7">
        <v>32.545</v>
      </c>
      <c r="H9509" s="15" t="s">
        <v>4283</v>
      </c>
      <c r="I9509" s="15" t="s">
        <v>1586</v>
      </c>
      <c r="J9509" s="15" t="s">
        <v>32866</v>
      </c>
      <c r="K9509" s="15">
        <v>54.0</v>
      </c>
      <c r="L9509" s="15">
        <v>54.0</v>
      </c>
      <c r="M9509" s="40">
        <v>40995.0</v>
      </c>
      <c r="N9509" s="40">
        <v>41031.0</v>
      </c>
      <c r="O9509" s="15" t="s">
        <v>1554</v>
      </c>
      <c r="Q9509" s="7"/>
    </row>
    <row r="9510">
      <c r="A9510" s="39" t="s">
        <v>31868</v>
      </c>
      <c r="B9510" s="15">
        <v>1278485.0</v>
      </c>
      <c r="D9510" s="15">
        <v>0.0</v>
      </c>
      <c r="E9510" s="15" t="s">
        <v>1557</v>
      </c>
      <c r="F9510" s="15" t="s">
        <v>1578</v>
      </c>
      <c r="G9510" s="7">
        <v>193.281</v>
      </c>
      <c r="H9510" s="15" t="s">
        <v>2141</v>
      </c>
      <c r="I9510" s="15" t="s">
        <v>1586</v>
      </c>
      <c r="J9510" s="15" t="s">
        <v>32867</v>
      </c>
      <c r="K9510" s="15">
        <v>237.0</v>
      </c>
      <c r="L9510" s="15">
        <v>231.0</v>
      </c>
      <c r="M9510" s="41">
        <v>42656.0</v>
      </c>
      <c r="N9510" s="41">
        <v>42656.0</v>
      </c>
      <c r="O9510" s="15" t="s">
        <v>1554</v>
      </c>
      <c r="Q9510" s="7"/>
    </row>
    <row r="9511">
      <c r="A9511" s="39" t="s">
        <v>32240</v>
      </c>
      <c r="B9511" s="15">
        <v>687800.0</v>
      </c>
      <c r="D9511" s="15">
        <v>0.0</v>
      </c>
      <c r="E9511" s="15" t="s">
        <v>1557</v>
      </c>
      <c r="F9511" s="15" t="s">
        <v>1767</v>
      </c>
      <c r="G9511" s="7">
        <v>175.432</v>
      </c>
      <c r="H9511" s="15" t="s">
        <v>1591</v>
      </c>
      <c r="I9511" s="15" t="s">
        <v>1586</v>
      </c>
      <c r="J9511" s="15" t="s">
        <v>32869</v>
      </c>
      <c r="K9511" s="15">
        <v>220.0</v>
      </c>
      <c r="L9511" s="15">
        <v>214.0</v>
      </c>
      <c r="M9511" s="41">
        <v>42656.0</v>
      </c>
      <c r="N9511" s="41">
        <v>42656.0</v>
      </c>
      <c r="O9511" s="15" t="s">
        <v>1554</v>
      </c>
      <c r="Q9511" s="7"/>
    </row>
    <row r="9512">
      <c r="A9512" s="39" t="s">
        <v>32870</v>
      </c>
      <c r="B9512" s="15">
        <v>869725.0</v>
      </c>
      <c r="D9512" s="15">
        <v>0.0</v>
      </c>
      <c r="E9512" s="15" t="s">
        <v>1557</v>
      </c>
      <c r="F9512" s="15" t="s">
        <v>1767</v>
      </c>
      <c r="G9512" s="7">
        <v>171.211</v>
      </c>
      <c r="H9512" s="15" t="s">
        <v>2141</v>
      </c>
      <c r="I9512" s="15" t="s">
        <v>1586</v>
      </c>
      <c r="J9512" s="15" t="s">
        <v>32871</v>
      </c>
      <c r="K9512" s="15">
        <v>220.0</v>
      </c>
      <c r="L9512" s="15">
        <v>212.0</v>
      </c>
      <c r="M9512" s="40">
        <v>40955.0</v>
      </c>
      <c r="N9512" s="40">
        <v>40989.0</v>
      </c>
      <c r="O9512" s="15" t="s">
        <v>1554</v>
      </c>
      <c r="Q9512" s="7"/>
    </row>
    <row r="9513">
      <c r="A9513" s="39" t="s">
        <v>17683</v>
      </c>
      <c r="B9513" s="15">
        <v>1493509.0</v>
      </c>
      <c r="D9513" s="15">
        <v>0.0</v>
      </c>
      <c r="E9513" s="15" t="s">
        <v>1557</v>
      </c>
      <c r="F9513" s="15" t="s">
        <v>1767</v>
      </c>
      <c r="G9513" s="7">
        <v>179.323</v>
      </c>
      <c r="H9513" s="15" t="s">
        <v>2640</v>
      </c>
      <c r="I9513" s="15" t="s">
        <v>1586</v>
      </c>
      <c r="J9513" s="15" t="s">
        <v>32872</v>
      </c>
      <c r="K9513" s="15">
        <v>219.0</v>
      </c>
      <c r="L9513" s="15">
        <v>219.0</v>
      </c>
      <c r="M9513" s="40">
        <v>42104.0</v>
      </c>
      <c r="N9513" s="40">
        <v>42104.0</v>
      </c>
      <c r="O9513" s="15" t="s">
        <v>1554</v>
      </c>
      <c r="Q9513" s="7"/>
    </row>
    <row r="9514">
      <c r="A9514" s="39" t="s">
        <v>17687</v>
      </c>
      <c r="B9514" s="15">
        <v>1493507.0</v>
      </c>
      <c r="D9514" s="15">
        <v>0.0</v>
      </c>
      <c r="E9514" s="15" t="s">
        <v>1557</v>
      </c>
      <c r="F9514" s="15" t="s">
        <v>1767</v>
      </c>
      <c r="G9514" s="7">
        <v>171.231</v>
      </c>
      <c r="H9514" s="15" t="s">
        <v>2304</v>
      </c>
      <c r="I9514" s="15" t="s">
        <v>1586</v>
      </c>
      <c r="J9514" s="15" t="s">
        <v>32874</v>
      </c>
      <c r="K9514" s="15">
        <v>210.0</v>
      </c>
      <c r="L9514" s="15">
        <v>210.0</v>
      </c>
      <c r="M9514" s="40">
        <v>42104.0</v>
      </c>
      <c r="N9514" s="40">
        <v>42104.0</v>
      </c>
      <c r="O9514" s="15" t="s">
        <v>1554</v>
      </c>
      <c r="Q9514" s="7"/>
    </row>
    <row r="9515">
      <c r="A9515" s="39" t="s">
        <v>17693</v>
      </c>
      <c r="B9515" s="15">
        <v>1493511.0</v>
      </c>
      <c r="D9515" s="15">
        <v>0.0</v>
      </c>
      <c r="E9515" s="15" t="s">
        <v>1557</v>
      </c>
      <c r="F9515" s="15" t="s">
        <v>1767</v>
      </c>
      <c r="G9515" s="7">
        <v>226.849</v>
      </c>
      <c r="H9515" s="15" t="s">
        <v>2777</v>
      </c>
      <c r="I9515" s="15" t="s">
        <v>1586</v>
      </c>
      <c r="J9515" s="15" t="s">
        <v>32875</v>
      </c>
      <c r="K9515" s="15">
        <v>288.0</v>
      </c>
      <c r="L9515" s="15">
        <v>288.0</v>
      </c>
      <c r="M9515" s="40">
        <v>42104.0</v>
      </c>
      <c r="N9515" s="40">
        <v>42104.0</v>
      </c>
      <c r="O9515" s="15" t="s">
        <v>1554</v>
      </c>
      <c r="Q9515" s="7"/>
    </row>
    <row r="9516">
      <c r="A9516" s="39" t="s">
        <v>17780</v>
      </c>
      <c r="B9516" s="15">
        <v>1493508.0</v>
      </c>
      <c r="D9516" s="15">
        <v>0.0</v>
      </c>
      <c r="E9516" s="15" t="s">
        <v>1557</v>
      </c>
      <c r="F9516" s="15" t="s">
        <v>1767</v>
      </c>
      <c r="G9516" s="7">
        <v>172.688</v>
      </c>
      <c r="H9516" s="15" t="s">
        <v>3895</v>
      </c>
      <c r="I9516" s="15" t="s">
        <v>1586</v>
      </c>
      <c r="J9516" s="15" t="s">
        <v>32877</v>
      </c>
      <c r="K9516" s="15">
        <v>217.0</v>
      </c>
      <c r="L9516" s="15">
        <v>217.0</v>
      </c>
      <c r="M9516" s="40">
        <v>42104.0</v>
      </c>
      <c r="N9516" s="40">
        <v>42104.0</v>
      </c>
      <c r="O9516" s="15" t="s">
        <v>1554</v>
      </c>
      <c r="Q9516" s="7"/>
    </row>
    <row r="9517">
      <c r="A9517" s="39" t="s">
        <v>32878</v>
      </c>
      <c r="B9517" s="15">
        <v>1690813.0</v>
      </c>
      <c r="D9517" s="15">
        <v>0.0</v>
      </c>
      <c r="E9517" s="15" t="s">
        <v>1557</v>
      </c>
      <c r="F9517" s="15" t="s">
        <v>1833</v>
      </c>
      <c r="G9517" s="7">
        <v>29.786</v>
      </c>
      <c r="H9517" s="15">
        <v>54.0</v>
      </c>
      <c r="I9517" s="15" t="s">
        <v>1586</v>
      </c>
      <c r="J9517" s="15" t="s">
        <v>32879</v>
      </c>
      <c r="K9517" s="15">
        <v>43.0</v>
      </c>
      <c r="L9517" s="15">
        <v>43.0</v>
      </c>
      <c r="M9517" s="40">
        <v>42245.0</v>
      </c>
      <c r="N9517" s="40">
        <v>42460.0</v>
      </c>
      <c r="O9517" s="15" t="s">
        <v>1554</v>
      </c>
      <c r="Q9517" s="7"/>
    </row>
    <row r="9518">
      <c r="A9518" s="39" t="s">
        <v>26529</v>
      </c>
      <c r="B9518" s="15">
        <v>186617.0</v>
      </c>
      <c r="C9518" s="15" t="s">
        <v>26530</v>
      </c>
      <c r="D9518" s="15">
        <v>371593.0</v>
      </c>
      <c r="E9518" s="15" t="s">
        <v>1664</v>
      </c>
      <c r="F9518" s="15" t="s">
        <v>1664</v>
      </c>
      <c r="G9518" s="7">
        <v>25308.2</v>
      </c>
      <c r="H9518" s="15" t="s">
        <v>2777</v>
      </c>
      <c r="I9518" s="15" t="s">
        <v>1722</v>
      </c>
      <c r="J9518" s="15" t="s">
        <v>32880</v>
      </c>
      <c r="K9518" s="15" t="s">
        <v>1722</v>
      </c>
      <c r="L9518" s="15" t="s">
        <v>1722</v>
      </c>
      <c r="M9518" s="40">
        <v>42770.0</v>
      </c>
      <c r="N9518" s="40">
        <v>42851.0</v>
      </c>
      <c r="O9518" s="15" t="s">
        <v>22466</v>
      </c>
      <c r="Q9518" s="7"/>
    </row>
    <row r="9519">
      <c r="A9519" s="39" t="s">
        <v>27611</v>
      </c>
      <c r="B9519" s="15">
        <v>10847.0</v>
      </c>
      <c r="D9519" s="15">
        <v>0.0</v>
      </c>
      <c r="E9519" s="15" t="s">
        <v>1808</v>
      </c>
      <c r="F9519" s="15" t="s">
        <v>3154</v>
      </c>
      <c r="G9519" s="7">
        <v>5.386</v>
      </c>
      <c r="H9519" s="15" t="s">
        <v>1983</v>
      </c>
      <c r="I9519" s="15" t="s">
        <v>1586</v>
      </c>
      <c r="J9519" s="15" t="s">
        <v>32882</v>
      </c>
      <c r="K9519" s="15">
        <v>11.0</v>
      </c>
      <c r="L9519" s="15">
        <v>11.0</v>
      </c>
      <c r="M9519" s="41">
        <v>40117.0</v>
      </c>
      <c r="N9519" s="41">
        <v>40117.0</v>
      </c>
      <c r="O9519" s="15" t="s">
        <v>1554</v>
      </c>
      <c r="Q9519" s="7"/>
    </row>
    <row r="9520">
      <c r="A9520" s="39" t="s">
        <v>31533</v>
      </c>
      <c r="B9520" s="15">
        <v>310953.0</v>
      </c>
      <c r="D9520" s="15">
        <v>0.0</v>
      </c>
      <c r="E9520" s="15" t="s">
        <v>1808</v>
      </c>
      <c r="F9520" s="15" t="s">
        <v>3154</v>
      </c>
      <c r="G9520" s="7">
        <v>5.577</v>
      </c>
      <c r="H9520" s="15">
        <v>46.0</v>
      </c>
      <c r="I9520" s="15" t="s">
        <v>1586</v>
      </c>
      <c r="J9520" s="15" t="s">
        <v>32883</v>
      </c>
      <c r="K9520" s="15" t="s">
        <v>1722</v>
      </c>
      <c r="L9520" s="15">
        <v>11.0</v>
      </c>
      <c r="M9520" s="40">
        <v>42563.0</v>
      </c>
      <c r="N9520" s="40">
        <v>42563.0</v>
      </c>
      <c r="O9520" s="15" t="s">
        <v>1554</v>
      </c>
      <c r="Q9520" s="7"/>
    </row>
    <row r="9521">
      <c r="A9521" s="39" t="s">
        <v>28082</v>
      </c>
      <c r="B9521" s="15">
        <v>1407671.0</v>
      </c>
      <c r="D9521" s="15">
        <v>0.0</v>
      </c>
      <c r="E9521" s="15" t="s">
        <v>1664</v>
      </c>
      <c r="F9521" s="15" t="s">
        <v>1664</v>
      </c>
      <c r="G9521" s="7">
        <v>39.541</v>
      </c>
      <c r="H9521" s="15" t="s">
        <v>3022</v>
      </c>
      <c r="I9521" s="15" t="s">
        <v>1722</v>
      </c>
      <c r="J9521" s="15" t="s">
        <v>32884</v>
      </c>
      <c r="K9521" s="15" t="s">
        <v>1722</v>
      </c>
      <c r="L9521" s="15">
        <v>76.0</v>
      </c>
      <c r="M9521" s="40">
        <v>41584.0</v>
      </c>
      <c r="N9521" s="41">
        <v>42307.0</v>
      </c>
      <c r="O9521" s="15" t="s">
        <v>1554</v>
      </c>
      <c r="Q9521" s="7"/>
    </row>
    <row r="9522">
      <c r="A9522" s="39" t="s">
        <v>28085</v>
      </c>
      <c r="B9522" s="15">
        <v>1758150.0</v>
      </c>
      <c r="D9522" s="15">
        <v>0.0</v>
      </c>
      <c r="E9522" s="15" t="s">
        <v>1808</v>
      </c>
      <c r="F9522" s="15" t="s">
        <v>3154</v>
      </c>
      <c r="G9522" s="7">
        <v>5.482</v>
      </c>
      <c r="H9522" s="15" t="s">
        <v>2320</v>
      </c>
      <c r="I9522" s="15" t="s">
        <v>1586</v>
      </c>
      <c r="J9522" s="15" t="s">
        <v>32885</v>
      </c>
      <c r="K9522" s="15" t="s">
        <v>1722</v>
      </c>
      <c r="L9522" s="15">
        <v>5.0</v>
      </c>
      <c r="M9522" s="41">
        <v>42718.0</v>
      </c>
      <c r="N9522" s="41">
        <v>42718.0</v>
      </c>
      <c r="O9522" s="15" t="s">
        <v>1554</v>
      </c>
      <c r="Q9522" s="7"/>
    </row>
    <row r="9523">
      <c r="A9523" s="39" t="s">
        <v>32886</v>
      </c>
      <c r="B9523" s="15">
        <v>1667368.0</v>
      </c>
      <c r="D9523" s="15">
        <v>0.0</v>
      </c>
      <c r="E9523" s="15" t="s">
        <v>1557</v>
      </c>
      <c r="F9523" s="15" t="s">
        <v>1611</v>
      </c>
      <c r="G9523" s="7">
        <v>41.143</v>
      </c>
      <c r="H9523" s="15" t="s">
        <v>5368</v>
      </c>
      <c r="I9523" s="15" t="s">
        <v>1586</v>
      </c>
      <c r="J9523" s="15" t="s">
        <v>32887</v>
      </c>
      <c r="K9523" s="15">
        <v>58.0</v>
      </c>
      <c r="L9523" s="15">
        <v>58.0</v>
      </c>
      <c r="M9523" s="40">
        <v>42185.0</v>
      </c>
      <c r="N9523" s="40">
        <v>42185.0</v>
      </c>
      <c r="O9523" s="15" t="s">
        <v>1554</v>
      </c>
      <c r="Q9523" s="7"/>
    </row>
    <row r="9524">
      <c r="A9524" s="39" t="s">
        <v>30902</v>
      </c>
      <c r="B9524" s="15">
        <v>1278402.0</v>
      </c>
      <c r="D9524" s="15">
        <v>0.0</v>
      </c>
      <c r="E9524" s="15" t="s">
        <v>1557</v>
      </c>
      <c r="F9524" s="15" t="s">
        <v>1767</v>
      </c>
      <c r="G9524" s="7">
        <v>174.046</v>
      </c>
      <c r="H9524" s="15" t="s">
        <v>1602</v>
      </c>
      <c r="I9524" s="15" t="s">
        <v>1586</v>
      </c>
      <c r="J9524" s="15" t="s">
        <v>32889</v>
      </c>
      <c r="K9524" s="15">
        <v>220.0</v>
      </c>
      <c r="L9524" s="15">
        <v>215.0</v>
      </c>
      <c r="M9524" s="41">
        <v>42656.0</v>
      </c>
      <c r="N9524" s="41">
        <v>42656.0</v>
      </c>
      <c r="O9524" s="15" t="s">
        <v>1554</v>
      </c>
      <c r="Q9524" s="7"/>
    </row>
    <row r="9525">
      <c r="A9525" s="39" t="s">
        <v>32890</v>
      </c>
      <c r="B9525" s="15">
        <v>1701861.0</v>
      </c>
      <c r="D9525" s="15">
        <v>0.0</v>
      </c>
      <c r="E9525" s="15" t="s">
        <v>1557</v>
      </c>
      <c r="F9525" s="15" t="s">
        <v>1767</v>
      </c>
      <c r="G9525" s="7">
        <v>65.762</v>
      </c>
      <c r="H9525" s="15" t="s">
        <v>3776</v>
      </c>
      <c r="I9525" s="15" t="s">
        <v>1586</v>
      </c>
      <c r="J9525" s="15" t="s">
        <v>32891</v>
      </c>
      <c r="K9525" s="15" t="s">
        <v>1722</v>
      </c>
      <c r="L9525" s="15">
        <v>88.0</v>
      </c>
      <c r="M9525" s="41">
        <v>42318.0</v>
      </c>
      <c r="N9525" s="41">
        <v>42318.0</v>
      </c>
      <c r="O9525" s="15" t="s">
        <v>1554</v>
      </c>
      <c r="Q9525" s="7"/>
    </row>
    <row r="9526">
      <c r="A9526" s="39" t="s">
        <v>32892</v>
      </c>
      <c r="B9526" s="15">
        <v>1647303.0</v>
      </c>
      <c r="D9526" s="15">
        <v>0.0</v>
      </c>
      <c r="E9526" s="15" t="s">
        <v>1557</v>
      </c>
      <c r="F9526" s="15" t="s">
        <v>1767</v>
      </c>
      <c r="G9526" s="7">
        <v>154.553</v>
      </c>
      <c r="H9526" s="15" t="s">
        <v>8929</v>
      </c>
      <c r="I9526" s="15" t="s">
        <v>1586</v>
      </c>
      <c r="J9526" s="15" t="s">
        <v>32894</v>
      </c>
      <c r="K9526" s="15">
        <v>267.0</v>
      </c>
      <c r="L9526" s="15">
        <v>232.0</v>
      </c>
      <c r="M9526" s="40">
        <v>42140.0</v>
      </c>
      <c r="N9526" s="40">
        <v>42178.0</v>
      </c>
      <c r="O9526" s="15" t="s">
        <v>1554</v>
      </c>
      <c r="Q9526" s="7"/>
    </row>
    <row r="9527">
      <c r="A9527" s="39" t="s">
        <v>32895</v>
      </c>
      <c r="B9527" s="15">
        <v>1772324.0</v>
      </c>
      <c r="D9527" s="15">
        <v>0.0</v>
      </c>
      <c r="E9527" s="15" t="s">
        <v>1557</v>
      </c>
      <c r="F9527" s="15" t="s">
        <v>1833</v>
      </c>
      <c r="G9527" s="7">
        <v>15.524</v>
      </c>
      <c r="H9527" s="15" t="s">
        <v>10417</v>
      </c>
      <c r="I9527" s="15" t="s">
        <v>1586</v>
      </c>
      <c r="J9527" s="15" t="s">
        <v>32896</v>
      </c>
      <c r="K9527" s="15">
        <v>26.0</v>
      </c>
      <c r="L9527" s="15">
        <v>26.0</v>
      </c>
      <c r="M9527" s="40">
        <v>42388.0</v>
      </c>
      <c r="N9527" s="40">
        <v>42388.0</v>
      </c>
      <c r="O9527" s="15" t="s">
        <v>1554</v>
      </c>
      <c r="Q9527" s="7"/>
    </row>
    <row r="9528">
      <c r="A9528" s="39" t="s">
        <v>30912</v>
      </c>
      <c r="B9528" s="15">
        <v>1278423.0</v>
      </c>
      <c r="D9528" s="15">
        <v>0.0</v>
      </c>
      <c r="E9528" s="15" t="s">
        <v>1557</v>
      </c>
      <c r="F9528" s="15" t="s">
        <v>1767</v>
      </c>
      <c r="G9528" s="7">
        <v>180.111</v>
      </c>
      <c r="H9528" s="15" t="s">
        <v>2440</v>
      </c>
      <c r="I9528" s="15" t="s">
        <v>1586</v>
      </c>
      <c r="J9528" s="15" t="s">
        <v>32897</v>
      </c>
      <c r="K9528" s="15">
        <v>218.0</v>
      </c>
      <c r="L9528" s="15">
        <v>217.0</v>
      </c>
      <c r="M9528" s="41">
        <v>42656.0</v>
      </c>
      <c r="N9528" s="41">
        <v>42656.0</v>
      </c>
      <c r="O9528" s="15" t="s">
        <v>1554</v>
      </c>
      <c r="Q9528" s="7"/>
    </row>
    <row r="9529">
      <c r="A9529" s="39" t="s">
        <v>32899</v>
      </c>
      <c r="B9529" s="15">
        <v>1933690.0</v>
      </c>
      <c r="D9529" s="15">
        <v>0.0</v>
      </c>
      <c r="E9529" s="15" t="s">
        <v>1557</v>
      </c>
      <c r="F9529" s="15" t="s">
        <v>1833</v>
      </c>
      <c r="G9529" s="7">
        <v>69.082</v>
      </c>
      <c r="H9529" s="15" t="s">
        <v>2400</v>
      </c>
      <c r="I9529" s="15" t="s">
        <v>1586</v>
      </c>
      <c r="J9529" s="15" t="s">
        <v>32900</v>
      </c>
      <c r="K9529" s="15">
        <v>103.0</v>
      </c>
      <c r="L9529" s="15">
        <v>103.0</v>
      </c>
      <c r="M9529" s="40">
        <v>42795.0</v>
      </c>
      <c r="N9529" s="40">
        <v>42795.0</v>
      </c>
      <c r="O9529" s="15" t="s">
        <v>1554</v>
      </c>
      <c r="Q9529" s="7"/>
    </row>
    <row r="9530">
      <c r="A9530" s="39" t="s">
        <v>32901</v>
      </c>
      <c r="B9530" s="15">
        <v>1084720.0</v>
      </c>
      <c r="D9530" s="15">
        <v>0.0</v>
      </c>
      <c r="E9530" s="15" t="s">
        <v>1557</v>
      </c>
      <c r="F9530" s="15" t="s">
        <v>1833</v>
      </c>
      <c r="G9530" s="7">
        <v>68.6</v>
      </c>
      <c r="H9530" s="15" t="s">
        <v>2492</v>
      </c>
      <c r="I9530" s="15" t="s">
        <v>1586</v>
      </c>
      <c r="J9530" s="15" t="s">
        <v>32902</v>
      </c>
      <c r="K9530" s="15">
        <v>98.0</v>
      </c>
      <c r="L9530" s="15">
        <v>98.0</v>
      </c>
      <c r="M9530" s="40">
        <v>40812.0</v>
      </c>
      <c r="N9530" s="40">
        <v>42186.0</v>
      </c>
      <c r="O9530" s="15" t="s">
        <v>1554</v>
      </c>
      <c r="Q9530" s="7"/>
    </row>
    <row r="9531">
      <c r="A9531" s="39" t="s">
        <v>32904</v>
      </c>
      <c r="B9531" s="15">
        <v>1567476.0</v>
      </c>
      <c r="D9531" s="15">
        <v>0.0</v>
      </c>
      <c r="E9531" s="15" t="s">
        <v>1557</v>
      </c>
      <c r="F9531" s="15" t="s">
        <v>1833</v>
      </c>
      <c r="G9531" s="7">
        <v>68.311</v>
      </c>
      <c r="H9531" s="15" t="s">
        <v>4308</v>
      </c>
      <c r="I9531" s="15" t="s">
        <v>1586</v>
      </c>
      <c r="J9531" s="15" t="s">
        <v>32905</v>
      </c>
      <c r="K9531" s="15">
        <v>101.0</v>
      </c>
      <c r="L9531" s="15">
        <v>101.0</v>
      </c>
      <c r="M9531" s="41">
        <v>42001.0</v>
      </c>
      <c r="N9531" s="40">
        <v>42186.0</v>
      </c>
      <c r="O9531" s="15" t="s">
        <v>1554</v>
      </c>
      <c r="Q9531" s="7"/>
    </row>
    <row r="9532">
      <c r="A9532" s="39" t="s">
        <v>32906</v>
      </c>
      <c r="B9532" s="15">
        <v>701455.0</v>
      </c>
      <c r="D9532" s="15">
        <v>0.0</v>
      </c>
      <c r="E9532" s="15" t="s">
        <v>1557</v>
      </c>
      <c r="F9532" s="15" t="s">
        <v>1833</v>
      </c>
      <c r="G9532" s="7">
        <v>68.432</v>
      </c>
      <c r="H9532" s="15" t="s">
        <v>4308</v>
      </c>
      <c r="I9532" s="15" t="s">
        <v>1586</v>
      </c>
      <c r="J9532" s="15" t="s">
        <v>32907</v>
      </c>
      <c r="K9532" s="15">
        <v>102.0</v>
      </c>
      <c r="L9532" s="15">
        <v>102.0</v>
      </c>
      <c r="M9532" s="40">
        <v>40183.0</v>
      </c>
      <c r="N9532" s="40">
        <v>40183.0</v>
      </c>
      <c r="O9532" s="15" t="s">
        <v>1554</v>
      </c>
      <c r="Q9532" s="7"/>
    </row>
    <row r="9533">
      <c r="A9533" s="39" t="s">
        <v>32908</v>
      </c>
      <c r="B9533" s="15">
        <v>1034104.0</v>
      </c>
      <c r="D9533" s="15">
        <v>0.0</v>
      </c>
      <c r="E9533" s="15" t="s">
        <v>1557</v>
      </c>
      <c r="F9533" s="15" t="s">
        <v>1833</v>
      </c>
      <c r="G9533" s="7">
        <v>68.193</v>
      </c>
      <c r="H9533" s="15" t="s">
        <v>4308</v>
      </c>
      <c r="I9533" s="15" t="s">
        <v>1586</v>
      </c>
      <c r="J9533" s="15" t="s">
        <v>32909</v>
      </c>
      <c r="K9533" s="15" t="s">
        <v>1722</v>
      </c>
      <c r="L9533" s="15">
        <v>99.0</v>
      </c>
      <c r="M9533" s="40">
        <v>40741.0</v>
      </c>
      <c r="N9533" s="40">
        <v>40942.0</v>
      </c>
      <c r="O9533" s="15" t="s">
        <v>1554</v>
      </c>
      <c r="Q9533" s="7"/>
    </row>
    <row r="9534">
      <c r="A9534" s="39" t="s">
        <v>32911</v>
      </c>
      <c r="B9534" s="15">
        <v>1933691.0</v>
      </c>
      <c r="D9534" s="15">
        <v>0.0</v>
      </c>
      <c r="E9534" s="15" t="s">
        <v>1557</v>
      </c>
      <c r="F9534" s="15" t="s">
        <v>1833</v>
      </c>
      <c r="G9534" s="7">
        <v>69.082</v>
      </c>
      <c r="H9534" s="15" t="s">
        <v>2400</v>
      </c>
      <c r="I9534" s="15" t="s">
        <v>1586</v>
      </c>
      <c r="J9534" s="15" t="s">
        <v>32912</v>
      </c>
      <c r="K9534" s="15">
        <v>103.0</v>
      </c>
      <c r="L9534" s="15">
        <v>103.0</v>
      </c>
      <c r="M9534" s="40">
        <v>42795.0</v>
      </c>
      <c r="N9534" s="40">
        <v>42795.0</v>
      </c>
      <c r="O9534" s="15" t="s">
        <v>1554</v>
      </c>
      <c r="Q9534" s="7"/>
    </row>
    <row r="9535">
      <c r="A9535" s="39" t="s">
        <v>32913</v>
      </c>
      <c r="B9535" s="15">
        <v>1698253.0</v>
      </c>
      <c r="D9535" s="15">
        <v>0.0</v>
      </c>
      <c r="E9535" s="15" t="s">
        <v>1557</v>
      </c>
      <c r="F9535" s="15" t="s">
        <v>1767</v>
      </c>
      <c r="G9535" s="7">
        <v>155.292</v>
      </c>
      <c r="H9535" s="15" t="s">
        <v>8929</v>
      </c>
      <c r="I9535" s="15" t="s">
        <v>1586</v>
      </c>
      <c r="J9535" s="15" t="s">
        <v>32914</v>
      </c>
      <c r="K9535" s="15">
        <v>268.0</v>
      </c>
      <c r="L9535" s="15">
        <v>232.0</v>
      </c>
      <c r="M9535" s="40">
        <v>42234.0</v>
      </c>
      <c r="N9535" s="40">
        <v>42234.0</v>
      </c>
      <c r="O9535" s="15" t="s">
        <v>1554</v>
      </c>
      <c r="Q9535" s="7"/>
    </row>
    <row r="9536">
      <c r="A9536" s="39" t="s">
        <v>32915</v>
      </c>
      <c r="B9536" s="15">
        <v>1701862.0</v>
      </c>
      <c r="D9536" s="15">
        <v>0.0</v>
      </c>
      <c r="E9536" s="15" t="s">
        <v>1557</v>
      </c>
      <c r="F9536" s="15" t="s">
        <v>1767</v>
      </c>
      <c r="G9536" s="7">
        <v>65.762</v>
      </c>
      <c r="H9536" s="15" t="s">
        <v>3776</v>
      </c>
      <c r="I9536" s="15" t="s">
        <v>1586</v>
      </c>
      <c r="J9536" s="15" t="s">
        <v>32917</v>
      </c>
      <c r="K9536" s="15" t="s">
        <v>1722</v>
      </c>
      <c r="L9536" s="15">
        <v>88.0</v>
      </c>
      <c r="M9536" s="41">
        <v>42318.0</v>
      </c>
      <c r="N9536" s="41">
        <v>42318.0</v>
      </c>
      <c r="O9536" s="15" t="s">
        <v>1554</v>
      </c>
      <c r="Q9536" s="7"/>
    </row>
    <row r="9537">
      <c r="A9537" s="39" t="s">
        <v>30902</v>
      </c>
      <c r="B9537" s="15">
        <v>1278402.0</v>
      </c>
      <c r="D9537" s="15">
        <v>0.0</v>
      </c>
      <c r="E9537" s="15" t="s">
        <v>1557</v>
      </c>
      <c r="F9537" s="15" t="s">
        <v>1767</v>
      </c>
      <c r="G9537" s="7">
        <v>174.353</v>
      </c>
      <c r="H9537" s="15" t="s">
        <v>1602</v>
      </c>
      <c r="I9537" s="15" t="s">
        <v>1586</v>
      </c>
      <c r="J9537" s="15" t="s">
        <v>32918</v>
      </c>
      <c r="K9537" s="15">
        <v>221.0</v>
      </c>
      <c r="L9537" s="15">
        <v>216.0</v>
      </c>
      <c r="M9537" s="41">
        <v>42656.0</v>
      </c>
      <c r="N9537" s="41">
        <v>42656.0</v>
      </c>
      <c r="O9537" s="15" t="s">
        <v>1554</v>
      </c>
      <c r="Q9537" s="7"/>
    </row>
    <row r="9538">
      <c r="A9538" s="39" t="s">
        <v>32920</v>
      </c>
      <c r="B9538" s="15">
        <v>1667373.0</v>
      </c>
      <c r="D9538" s="15">
        <v>0.0</v>
      </c>
      <c r="E9538" s="15" t="s">
        <v>1557</v>
      </c>
      <c r="F9538" s="15" t="s">
        <v>1611</v>
      </c>
      <c r="G9538" s="7">
        <v>41.143</v>
      </c>
      <c r="H9538" s="15" t="s">
        <v>5368</v>
      </c>
      <c r="I9538" s="15" t="s">
        <v>1586</v>
      </c>
      <c r="J9538" s="15" t="s">
        <v>32921</v>
      </c>
      <c r="K9538" s="15">
        <v>58.0</v>
      </c>
      <c r="L9538" s="15">
        <v>58.0</v>
      </c>
      <c r="M9538" s="40">
        <v>42185.0</v>
      </c>
      <c r="N9538" s="40">
        <v>42185.0</v>
      </c>
      <c r="O9538" s="15" t="s">
        <v>1554</v>
      </c>
      <c r="Q9538" s="7"/>
    </row>
    <row r="9539">
      <c r="A9539" s="39" t="s">
        <v>28085</v>
      </c>
      <c r="B9539" s="15">
        <v>1758150.0</v>
      </c>
      <c r="D9539" s="15">
        <v>0.0</v>
      </c>
      <c r="E9539" s="15" t="s">
        <v>1808</v>
      </c>
      <c r="F9539" s="15" t="s">
        <v>3154</v>
      </c>
      <c r="G9539" s="7">
        <v>5.147</v>
      </c>
      <c r="H9539" s="15" t="s">
        <v>2824</v>
      </c>
      <c r="I9539" s="15" t="s">
        <v>1586</v>
      </c>
      <c r="J9539" s="15" t="s">
        <v>32923</v>
      </c>
      <c r="K9539" s="15" t="s">
        <v>1722</v>
      </c>
      <c r="L9539" s="15">
        <v>5.0</v>
      </c>
      <c r="M9539" s="41">
        <v>42718.0</v>
      </c>
      <c r="N9539" s="41">
        <v>42718.0</v>
      </c>
      <c r="O9539" s="15" t="s">
        <v>1554</v>
      </c>
      <c r="Q9539" s="7"/>
    </row>
    <row r="9540">
      <c r="A9540" s="39" t="s">
        <v>28082</v>
      </c>
      <c r="B9540" s="15">
        <v>1407671.0</v>
      </c>
      <c r="D9540" s="15">
        <v>0.0</v>
      </c>
      <c r="E9540" s="15" t="s">
        <v>1664</v>
      </c>
      <c r="F9540" s="15" t="s">
        <v>1664</v>
      </c>
      <c r="G9540" s="7">
        <v>36.627</v>
      </c>
      <c r="H9540" s="15" t="s">
        <v>10220</v>
      </c>
      <c r="I9540" s="15" t="s">
        <v>1722</v>
      </c>
      <c r="J9540" s="15" t="s">
        <v>32924</v>
      </c>
      <c r="K9540" s="15" t="s">
        <v>1722</v>
      </c>
      <c r="L9540" s="15">
        <v>65.0</v>
      </c>
      <c r="M9540" s="40">
        <v>41584.0</v>
      </c>
      <c r="N9540" s="41">
        <v>42307.0</v>
      </c>
      <c r="O9540" s="15" t="s">
        <v>1554</v>
      </c>
      <c r="Q9540" s="7"/>
    </row>
    <row r="9541">
      <c r="A9541" s="39" t="s">
        <v>31533</v>
      </c>
      <c r="B9541" s="15">
        <v>310953.0</v>
      </c>
      <c r="D9541" s="15">
        <v>0.0</v>
      </c>
      <c r="E9541" s="15" t="s">
        <v>1808</v>
      </c>
      <c r="F9541" s="15" t="s">
        <v>3154</v>
      </c>
      <c r="G9541" s="7">
        <v>5.577</v>
      </c>
      <c r="H9541" s="15" t="s">
        <v>4070</v>
      </c>
      <c r="I9541" s="15" t="s">
        <v>1586</v>
      </c>
      <c r="J9541" s="15" t="s">
        <v>32926</v>
      </c>
      <c r="K9541" s="15" t="s">
        <v>1722</v>
      </c>
      <c r="L9541" s="15">
        <v>11.0</v>
      </c>
      <c r="M9541" s="40">
        <v>42563.0</v>
      </c>
      <c r="N9541" s="40">
        <v>42563.0</v>
      </c>
      <c r="O9541" s="15" t="s">
        <v>1554</v>
      </c>
      <c r="Q9541" s="7"/>
    </row>
    <row r="9542">
      <c r="A9542" s="39" t="s">
        <v>27611</v>
      </c>
      <c r="B9542" s="15">
        <v>10847.0</v>
      </c>
      <c r="D9542" s="15">
        <v>0.0</v>
      </c>
      <c r="E9542" s="15" t="s">
        <v>1808</v>
      </c>
      <c r="F9542" s="15" t="s">
        <v>3154</v>
      </c>
      <c r="G9542" s="7">
        <v>5.386</v>
      </c>
      <c r="H9542" s="15" t="s">
        <v>1983</v>
      </c>
      <c r="I9542" s="15" t="s">
        <v>1586</v>
      </c>
      <c r="J9542" s="15" t="s">
        <v>32927</v>
      </c>
      <c r="K9542" s="15" t="s">
        <v>1722</v>
      </c>
      <c r="L9542" s="15" t="s">
        <v>1722</v>
      </c>
      <c r="M9542" s="40">
        <v>36404.0</v>
      </c>
      <c r="N9542" s="40">
        <v>38035.0</v>
      </c>
      <c r="O9542" s="15" t="s">
        <v>1554</v>
      </c>
      <c r="Q9542" s="7"/>
    </row>
    <row r="9543">
      <c r="A9543" s="39" t="s">
        <v>26529</v>
      </c>
      <c r="B9543" s="15">
        <v>186617.0</v>
      </c>
      <c r="C9543" s="15" t="s">
        <v>26530</v>
      </c>
      <c r="D9543" s="15">
        <v>371593.0</v>
      </c>
      <c r="E9543" s="15" t="s">
        <v>1664</v>
      </c>
      <c r="F9543" s="15" t="s">
        <v>1664</v>
      </c>
      <c r="G9543" s="7">
        <v>136454.0</v>
      </c>
      <c r="H9543" s="15" t="s">
        <v>1559</v>
      </c>
      <c r="I9543" s="15" t="s">
        <v>1722</v>
      </c>
      <c r="J9543" s="15" t="s">
        <v>32929</v>
      </c>
      <c r="K9543" s="15" t="s">
        <v>1722</v>
      </c>
      <c r="L9543" s="15" t="s">
        <v>1722</v>
      </c>
      <c r="M9543" s="40">
        <v>42770.0</v>
      </c>
      <c r="N9543" s="40">
        <v>42851.0</v>
      </c>
      <c r="O9543" s="15" t="s">
        <v>22466</v>
      </c>
      <c r="Q9543" s="7"/>
    </row>
    <row r="9544">
      <c r="A9544" s="39" t="s">
        <v>32930</v>
      </c>
      <c r="B9544" s="15">
        <v>1690814.0</v>
      </c>
      <c r="D9544" s="15">
        <v>0.0</v>
      </c>
      <c r="E9544" s="15" t="s">
        <v>1557</v>
      </c>
      <c r="F9544" s="15" t="s">
        <v>1833</v>
      </c>
      <c r="G9544" s="7">
        <v>29.704</v>
      </c>
      <c r="H9544" s="15">
        <v>54.0</v>
      </c>
      <c r="I9544" s="15" t="s">
        <v>1586</v>
      </c>
      <c r="J9544" s="15" t="s">
        <v>32931</v>
      </c>
      <c r="K9544" s="15">
        <v>43.0</v>
      </c>
      <c r="L9544" s="15">
        <v>43.0</v>
      </c>
      <c r="M9544" s="40">
        <v>42245.0</v>
      </c>
      <c r="N9544" s="40">
        <v>42460.0</v>
      </c>
      <c r="O9544" s="15" t="s">
        <v>1554</v>
      </c>
      <c r="Q9544" s="7"/>
    </row>
    <row r="9545">
      <c r="A9545" s="39" t="s">
        <v>17780</v>
      </c>
      <c r="B9545" s="15">
        <v>1493508.0</v>
      </c>
      <c r="D9545" s="15">
        <v>0.0</v>
      </c>
      <c r="E9545" s="15" t="s">
        <v>1557</v>
      </c>
      <c r="F9545" s="15" t="s">
        <v>1767</v>
      </c>
      <c r="G9545" s="7">
        <v>172.691</v>
      </c>
      <c r="H9545" s="15" t="s">
        <v>3895</v>
      </c>
      <c r="I9545" s="15" t="s">
        <v>1586</v>
      </c>
      <c r="J9545" s="15" t="s">
        <v>32933</v>
      </c>
      <c r="K9545" s="15">
        <v>214.0</v>
      </c>
      <c r="L9545" s="15">
        <v>214.0</v>
      </c>
      <c r="M9545" s="40">
        <v>42104.0</v>
      </c>
      <c r="N9545" s="40">
        <v>42104.0</v>
      </c>
      <c r="O9545" s="15" t="s">
        <v>1554</v>
      </c>
      <c r="Q9545" s="7"/>
    </row>
    <row r="9546">
      <c r="A9546" s="39" t="s">
        <v>17693</v>
      </c>
      <c r="B9546" s="15">
        <v>1493511.0</v>
      </c>
      <c r="D9546" s="15">
        <v>0.0</v>
      </c>
      <c r="E9546" s="15" t="s">
        <v>1557</v>
      </c>
      <c r="F9546" s="15" t="s">
        <v>1767</v>
      </c>
      <c r="G9546" s="7">
        <v>224.948</v>
      </c>
      <c r="H9546" s="15" t="s">
        <v>2118</v>
      </c>
      <c r="I9546" s="15" t="s">
        <v>1586</v>
      </c>
      <c r="J9546" s="15" t="s">
        <v>32935</v>
      </c>
      <c r="K9546" s="15">
        <v>286.0</v>
      </c>
      <c r="L9546" s="15">
        <v>286.0</v>
      </c>
      <c r="M9546" s="40">
        <v>42104.0</v>
      </c>
      <c r="N9546" s="40">
        <v>42104.0</v>
      </c>
      <c r="O9546" s="15" t="s">
        <v>1554</v>
      </c>
      <c r="Q9546" s="7"/>
    </row>
    <row r="9547">
      <c r="A9547" s="39" t="s">
        <v>17687</v>
      </c>
      <c r="B9547" s="15">
        <v>1493507.0</v>
      </c>
      <c r="D9547" s="15">
        <v>0.0</v>
      </c>
      <c r="E9547" s="15" t="s">
        <v>1557</v>
      </c>
      <c r="F9547" s="15" t="s">
        <v>1767</v>
      </c>
      <c r="G9547" s="7">
        <v>172.372</v>
      </c>
      <c r="H9547" s="15" t="s">
        <v>2304</v>
      </c>
      <c r="I9547" s="15" t="s">
        <v>1586</v>
      </c>
      <c r="J9547" s="15" t="s">
        <v>32936</v>
      </c>
      <c r="K9547" s="15">
        <v>212.0</v>
      </c>
      <c r="L9547" s="15">
        <v>212.0</v>
      </c>
      <c r="M9547" s="40">
        <v>42104.0</v>
      </c>
      <c r="N9547" s="40">
        <v>42104.0</v>
      </c>
      <c r="O9547" s="15" t="s">
        <v>1554</v>
      </c>
      <c r="Q9547" s="7"/>
    </row>
    <row r="9548">
      <c r="A9548" s="39" t="s">
        <v>17683</v>
      </c>
      <c r="B9548" s="15">
        <v>1493509.0</v>
      </c>
      <c r="D9548" s="15">
        <v>0.0</v>
      </c>
      <c r="E9548" s="15" t="s">
        <v>1557</v>
      </c>
      <c r="F9548" s="15" t="s">
        <v>1767</v>
      </c>
      <c r="G9548" s="7">
        <v>179.116</v>
      </c>
      <c r="H9548" s="15" t="s">
        <v>2640</v>
      </c>
      <c r="I9548" s="15" t="s">
        <v>1586</v>
      </c>
      <c r="J9548" s="15" t="s">
        <v>32938</v>
      </c>
      <c r="K9548" s="15">
        <v>218.0</v>
      </c>
      <c r="L9548" s="15">
        <v>218.0</v>
      </c>
      <c r="M9548" s="40">
        <v>42104.0</v>
      </c>
      <c r="N9548" s="40">
        <v>42104.0</v>
      </c>
      <c r="O9548" s="15" t="s">
        <v>1554</v>
      </c>
      <c r="Q9548" s="7"/>
    </row>
    <row r="9549">
      <c r="A9549" s="39" t="s">
        <v>32240</v>
      </c>
      <c r="B9549" s="15">
        <v>687800.0</v>
      </c>
      <c r="D9549" s="15">
        <v>0.0</v>
      </c>
      <c r="E9549" s="15" t="s">
        <v>1557</v>
      </c>
      <c r="F9549" s="15" t="s">
        <v>1767</v>
      </c>
      <c r="G9549" s="7">
        <v>175.447</v>
      </c>
      <c r="H9549" s="15" t="s">
        <v>1591</v>
      </c>
      <c r="I9549" s="15" t="s">
        <v>1586</v>
      </c>
      <c r="J9549" s="15" t="s">
        <v>32940</v>
      </c>
      <c r="K9549" s="15">
        <v>220.0</v>
      </c>
      <c r="L9549" s="15">
        <v>214.0</v>
      </c>
      <c r="M9549" s="41">
        <v>42656.0</v>
      </c>
      <c r="N9549" s="41">
        <v>42656.0</v>
      </c>
      <c r="O9549" s="15" t="s">
        <v>1554</v>
      </c>
      <c r="Q9549" s="7"/>
    </row>
    <row r="9550">
      <c r="A9550" s="39" t="s">
        <v>32941</v>
      </c>
      <c r="B9550" s="15">
        <v>1165143.0</v>
      </c>
      <c r="D9550" s="15">
        <v>0.0</v>
      </c>
      <c r="E9550" s="15" t="s">
        <v>1557</v>
      </c>
      <c r="F9550" s="15" t="s">
        <v>1833</v>
      </c>
      <c r="G9550" s="7">
        <v>32.052</v>
      </c>
      <c r="H9550" s="15" t="s">
        <v>11674</v>
      </c>
      <c r="I9550" s="15" t="s">
        <v>1586</v>
      </c>
      <c r="J9550" s="15" t="s">
        <v>32943</v>
      </c>
      <c r="K9550" s="15">
        <v>57.0</v>
      </c>
      <c r="L9550" s="15">
        <v>57.0</v>
      </c>
      <c r="M9550" s="40">
        <v>40995.0</v>
      </c>
      <c r="N9550" s="40">
        <v>41031.0</v>
      </c>
      <c r="O9550" s="15" t="s">
        <v>1554</v>
      </c>
      <c r="Q9550" s="7"/>
    </row>
    <row r="9551">
      <c r="A9551" s="39" t="s">
        <v>32944</v>
      </c>
      <c r="B9551" s="15">
        <v>1660364.0</v>
      </c>
      <c r="D9551" s="15">
        <v>0.0</v>
      </c>
      <c r="E9551" s="15" t="s">
        <v>1557</v>
      </c>
      <c r="F9551" s="15" t="s">
        <v>1611</v>
      </c>
      <c r="G9551" s="7">
        <v>62.708</v>
      </c>
      <c r="H9551" s="15" t="s">
        <v>3836</v>
      </c>
      <c r="I9551" s="15" t="s">
        <v>1586</v>
      </c>
      <c r="J9551" s="15" t="s">
        <v>32945</v>
      </c>
      <c r="K9551" s="15" t="s">
        <v>1722</v>
      </c>
      <c r="L9551" s="15">
        <v>93.0</v>
      </c>
      <c r="M9551" s="40">
        <v>42276.0</v>
      </c>
      <c r="N9551" s="40">
        <v>42277.0</v>
      </c>
      <c r="O9551" s="15" t="s">
        <v>1554</v>
      </c>
      <c r="Q9551" s="7"/>
    </row>
    <row r="9552">
      <c r="A9552" s="39" t="s">
        <v>8271</v>
      </c>
      <c r="B9552" s="15">
        <v>28875.0</v>
      </c>
      <c r="D9552" s="15">
        <v>0.0</v>
      </c>
      <c r="E9552" s="15" t="s">
        <v>1638</v>
      </c>
      <c r="F9552" s="15" t="s">
        <v>1863</v>
      </c>
      <c r="G9552" s="7">
        <v>18.36</v>
      </c>
      <c r="H9552" s="15" t="s">
        <v>32947</v>
      </c>
      <c r="I9552" s="15" t="s">
        <v>1567</v>
      </c>
      <c r="J9552" s="15" t="s">
        <v>32948</v>
      </c>
      <c r="K9552" s="15">
        <v>11.0</v>
      </c>
      <c r="L9552" s="15">
        <v>11.0</v>
      </c>
      <c r="M9552" s="40">
        <v>41350.0</v>
      </c>
      <c r="N9552" s="40">
        <v>41395.0</v>
      </c>
      <c r="O9552" s="15" t="s">
        <v>1554</v>
      </c>
      <c r="Q9552" s="7"/>
    </row>
    <row r="9553">
      <c r="A9553" s="39" t="s">
        <v>32949</v>
      </c>
      <c r="B9553" s="15">
        <v>516541.0</v>
      </c>
      <c r="D9553" s="15">
        <v>0.0</v>
      </c>
      <c r="E9553" s="15" t="s">
        <v>1557</v>
      </c>
      <c r="F9553" s="15" t="s">
        <v>1767</v>
      </c>
      <c r="G9553" s="7">
        <v>145.542</v>
      </c>
      <c r="H9553" s="42">
        <v>43220.0</v>
      </c>
      <c r="I9553" s="15" t="s">
        <v>1586</v>
      </c>
      <c r="J9553" s="15" t="s">
        <v>32950</v>
      </c>
      <c r="K9553" s="15">
        <v>232.0</v>
      </c>
      <c r="L9553" s="15">
        <v>232.0</v>
      </c>
      <c r="M9553" s="40">
        <v>40206.0</v>
      </c>
      <c r="N9553" s="40">
        <v>41710.0</v>
      </c>
      <c r="O9553" s="15" t="s">
        <v>1554</v>
      </c>
      <c r="Q9553" s="7"/>
    </row>
    <row r="9554">
      <c r="A9554" s="39" t="s">
        <v>32951</v>
      </c>
      <c r="B9554" s="15">
        <v>1211284.0</v>
      </c>
      <c r="D9554" s="15">
        <v>0.0</v>
      </c>
      <c r="E9554" s="15" t="s">
        <v>1557</v>
      </c>
      <c r="F9554" s="15" t="s">
        <v>1833</v>
      </c>
      <c r="G9554" s="7">
        <v>51.377</v>
      </c>
      <c r="H9554" s="15" t="s">
        <v>3286</v>
      </c>
      <c r="I9554" s="15" t="s">
        <v>1586</v>
      </c>
      <c r="J9554" s="15" t="s">
        <v>32952</v>
      </c>
      <c r="K9554" s="15">
        <v>88.0</v>
      </c>
      <c r="L9554" s="15">
        <v>88.0</v>
      </c>
      <c r="M9554" s="40">
        <v>41188.0</v>
      </c>
      <c r="N9554" s="40">
        <v>41188.0</v>
      </c>
      <c r="O9554" s="15" t="s">
        <v>1554</v>
      </c>
      <c r="Q9554" s="7"/>
    </row>
    <row r="9555">
      <c r="A9555" s="39" t="s">
        <v>32953</v>
      </c>
      <c r="B9555" s="15">
        <v>338117.0</v>
      </c>
      <c r="D9555" s="15">
        <v>0.0</v>
      </c>
      <c r="E9555" s="15" t="s">
        <v>1808</v>
      </c>
      <c r="F9555" s="15" t="s">
        <v>3154</v>
      </c>
      <c r="G9555" s="7">
        <v>5.386</v>
      </c>
      <c r="H9555" s="15" t="s">
        <v>1828</v>
      </c>
      <c r="I9555" s="15" t="s">
        <v>1586</v>
      </c>
      <c r="J9555" s="15" t="s">
        <v>32955</v>
      </c>
      <c r="K9555" s="15">
        <v>11.0</v>
      </c>
      <c r="L9555" s="15">
        <v>11.0</v>
      </c>
      <c r="M9555" s="40">
        <v>38741.0</v>
      </c>
      <c r="N9555" s="40">
        <v>38741.0</v>
      </c>
      <c r="O9555" s="15" t="s">
        <v>1554</v>
      </c>
      <c r="Q9555" s="7"/>
    </row>
    <row r="9556">
      <c r="A9556" s="39" t="s">
        <v>32956</v>
      </c>
      <c r="B9556" s="15">
        <v>338118.0</v>
      </c>
      <c r="D9556" s="15">
        <v>0.0</v>
      </c>
      <c r="E9556" s="15" t="s">
        <v>1808</v>
      </c>
      <c r="F9556" s="15" t="s">
        <v>3154</v>
      </c>
      <c r="G9556" s="7">
        <v>5.386</v>
      </c>
      <c r="H9556" s="15" t="s">
        <v>1792</v>
      </c>
      <c r="I9556" s="15" t="s">
        <v>1586</v>
      </c>
      <c r="J9556" s="15" t="s">
        <v>32957</v>
      </c>
      <c r="K9556" s="15">
        <v>11.0</v>
      </c>
      <c r="L9556" s="15">
        <v>11.0</v>
      </c>
      <c r="M9556" s="40">
        <v>38741.0</v>
      </c>
      <c r="N9556" s="40">
        <v>38741.0</v>
      </c>
      <c r="O9556" s="15" t="s">
        <v>1554</v>
      </c>
      <c r="Q9556" s="7"/>
    </row>
    <row r="9557">
      <c r="A9557" s="39" t="s">
        <v>32959</v>
      </c>
      <c r="B9557" s="15">
        <v>1327769.0</v>
      </c>
      <c r="D9557" s="15">
        <v>0.0</v>
      </c>
      <c r="E9557" s="15" t="s">
        <v>1557</v>
      </c>
      <c r="F9557" s="15" t="s">
        <v>1833</v>
      </c>
      <c r="G9557" s="7">
        <v>51.373</v>
      </c>
      <c r="H9557" s="15" t="s">
        <v>3286</v>
      </c>
      <c r="I9557" s="15" t="s">
        <v>1586</v>
      </c>
      <c r="J9557" s="15" t="s">
        <v>32960</v>
      </c>
      <c r="K9557" s="15">
        <v>88.0</v>
      </c>
      <c r="L9557" s="15">
        <v>88.0</v>
      </c>
      <c r="M9557" s="40">
        <v>41401.0</v>
      </c>
      <c r="N9557" s="40">
        <v>41401.0</v>
      </c>
      <c r="O9557" s="15" t="s">
        <v>1554</v>
      </c>
      <c r="Q9557" s="7"/>
    </row>
    <row r="9558">
      <c r="A9558" s="39" t="s">
        <v>32961</v>
      </c>
      <c r="B9558" s="15">
        <v>1610830.0</v>
      </c>
      <c r="D9558" s="15">
        <v>0.0</v>
      </c>
      <c r="E9558" s="15" t="s">
        <v>1557</v>
      </c>
      <c r="F9558" s="15" t="s">
        <v>1767</v>
      </c>
      <c r="G9558" s="7">
        <v>140.218</v>
      </c>
      <c r="H9558" s="42">
        <v>43189.0</v>
      </c>
      <c r="I9558" s="15" t="s">
        <v>1586</v>
      </c>
      <c r="J9558" s="15" t="s">
        <v>32963</v>
      </c>
      <c r="K9558" s="15" t="s">
        <v>1722</v>
      </c>
      <c r="L9558" s="15">
        <v>209.0</v>
      </c>
      <c r="M9558" s="40">
        <v>42109.0</v>
      </c>
      <c r="N9558" s="40">
        <v>42109.0</v>
      </c>
      <c r="O9558" s="15" t="s">
        <v>1554</v>
      </c>
      <c r="Q9558" s="7"/>
    </row>
    <row r="9559">
      <c r="A9559" s="39" t="s">
        <v>8271</v>
      </c>
      <c r="B9559" s="15">
        <v>28875.0</v>
      </c>
      <c r="D9559" s="15">
        <v>0.0</v>
      </c>
      <c r="E9559" s="15" t="s">
        <v>1638</v>
      </c>
      <c r="F9559" s="15" t="s">
        <v>1863</v>
      </c>
      <c r="G9559" s="7">
        <v>6.992</v>
      </c>
      <c r="H9559" s="15" t="s">
        <v>32964</v>
      </c>
      <c r="I9559" s="15" t="s">
        <v>1567</v>
      </c>
      <c r="J9559" s="15" t="s">
        <v>32965</v>
      </c>
      <c r="K9559" s="15" t="s">
        <v>1722</v>
      </c>
      <c r="L9559" s="15">
        <v>11.0</v>
      </c>
      <c r="M9559" s="40">
        <v>38845.0</v>
      </c>
      <c r="N9559" s="40">
        <v>42576.0</v>
      </c>
      <c r="O9559" s="15" t="s">
        <v>1554</v>
      </c>
      <c r="Q9559" s="7"/>
    </row>
    <row r="9560">
      <c r="A9560" s="39" t="s">
        <v>32967</v>
      </c>
      <c r="B9560" s="15">
        <v>1660366.0</v>
      </c>
      <c r="D9560" s="15">
        <v>0.0</v>
      </c>
      <c r="E9560" s="15" t="s">
        <v>1557</v>
      </c>
      <c r="F9560" s="15" t="s">
        <v>1611</v>
      </c>
      <c r="G9560" s="7">
        <v>62.708</v>
      </c>
      <c r="H9560" s="15" t="s">
        <v>3836</v>
      </c>
      <c r="I9560" s="15" t="s">
        <v>1586</v>
      </c>
      <c r="J9560" s="15" t="s">
        <v>32968</v>
      </c>
      <c r="K9560" s="15" t="s">
        <v>1722</v>
      </c>
      <c r="L9560" s="15">
        <v>93.0</v>
      </c>
      <c r="M9560" s="40">
        <v>42276.0</v>
      </c>
      <c r="N9560" s="40">
        <v>42277.0</v>
      </c>
      <c r="O9560" s="15" t="s">
        <v>1554</v>
      </c>
      <c r="Q9560" s="7"/>
    </row>
    <row r="9561">
      <c r="A9561" s="39" t="s">
        <v>32969</v>
      </c>
      <c r="B9561" s="15">
        <v>1165144.0</v>
      </c>
      <c r="D9561" s="15">
        <v>0.0</v>
      </c>
      <c r="E9561" s="15" t="s">
        <v>1557</v>
      </c>
      <c r="G9561" s="7"/>
      <c r="Q9561" s="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44"/>
      <c r="B1" s="45" t="s">
        <v>6282</v>
      </c>
      <c r="C1" s="45" t="s">
        <v>6287</v>
      </c>
      <c r="D1" s="45" t="s">
        <v>6289</v>
      </c>
      <c r="E1" s="45" t="s">
        <v>6290</v>
      </c>
      <c r="F1" s="45" t="s">
        <v>6291</v>
      </c>
      <c r="G1" s="45" t="s">
        <v>6292</v>
      </c>
      <c r="H1" s="45" t="s">
        <v>6293</v>
      </c>
      <c r="I1" s="45" t="s">
        <v>6295</v>
      </c>
      <c r="J1" s="45" t="s">
        <v>6296</v>
      </c>
      <c r="K1" s="45" t="s">
        <v>6298</v>
      </c>
      <c r="L1" s="45" t="s">
        <v>6299</v>
      </c>
      <c r="M1" s="45" t="s">
        <v>6300</v>
      </c>
      <c r="N1" s="45" t="s">
        <v>6301</v>
      </c>
      <c r="O1" s="45" t="s">
        <v>6302</v>
      </c>
      <c r="P1" s="45" t="s">
        <v>6304</v>
      </c>
      <c r="Q1" s="45" t="s">
        <v>6306</v>
      </c>
      <c r="R1" s="45" t="s">
        <v>6307</v>
      </c>
      <c r="S1" s="45" t="s">
        <v>257</v>
      </c>
      <c r="T1" s="45" t="s">
        <v>6308</v>
      </c>
      <c r="U1" s="45" t="s">
        <v>6309</v>
      </c>
      <c r="V1" s="44" t="s">
        <v>6310</v>
      </c>
    </row>
    <row r="2">
      <c r="A2" s="44" t="s">
        <v>6311</v>
      </c>
      <c r="B2" s="46">
        <v>1.2903225806451613</v>
      </c>
      <c r="C2" s="46">
        <v>6.129032258064516</v>
      </c>
      <c r="D2" s="46">
        <v>16.129032258064516</v>
      </c>
      <c r="E2" s="46">
        <v>4.193548387096774</v>
      </c>
      <c r="F2" s="46">
        <v>10.96774193548387</v>
      </c>
      <c r="G2" s="46">
        <v>3.870967741935484</v>
      </c>
      <c r="H2" s="46">
        <v>9.35483870967742</v>
      </c>
      <c r="I2" s="46">
        <v>4.516129032258065</v>
      </c>
      <c r="J2" s="46">
        <v>8.064516129032258</v>
      </c>
      <c r="K2" s="46">
        <v>6.129032258064516</v>
      </c>
      <c r="L2" s="46">
        <v>3.5483870967741935</v>
      </c>
      <c r="M2" s="46">
        <v>3.5483870967741935</v>
      </c>
      <c r="N2" s="46">
        <v>3.225806451612903</v>
      </c>
      <c r="O2" s="46">
        <v>5.161290322580645</v>
      </c>
      <c r="P2" s="46">
        <v>1.2903225806451613</v>
      </c>
      <c r="Q2" s="46">
        <v>3.870967741935484</v>
      </c>
      <c r="R2" s="46">
        <v>3.225806451612903</v>
      </c>
      <c r="S2" s="46">
        <v>2.5806451612903225</v>
      </c>
      <c r="T2" s="46">
        <v>1.6129032258064515</v>
      </c>
      <c r="U2" s="46">
        <v>1.2903225806451613</v>
      </c>
      <c r="V2" s="47">
        <v>100.0</v>
      </c>
    </row>
    <row r="3">
      <c r="A3" s="44" t="s">
        <v>6327</v>
      </c>
      <c r="B3" s="46">
        <v>1.1111111111111112</v>
      </c>
      <c r="C3" s="46">
        <v>8.333333333333334</v>
      </c>
      <c r="D3" s="46">
        <v>22.77777777777778</v>
      </c>
      <c r="E3" s="46">
        <v>3.3333333333333335</v>
      </c>
      <c r="F3" s="46">
        <v>9.444444444444445</v>
      </c>
      <c r="G3" s="46">
        <v>3.3333333333333335</v>
      </c>
      <c r="H3" s="46">
        <v>7.222222222222222</v>
      </c>
      <c r="I3" s="46">
        <v>5.555555555555555</v>
      </c>
      <c r="J3" s="46">
        <v>7.777777777777778</v>
      </c>
      <c r="K3" s="46">
        <v>5.555555555555555</v>
      </c>
      <c r="L3" s="46">
        <v>3.3333333333333335</v>
      </c>
      <c r="M3" s="46">
        <v>1.6666666666666667</v>
      </c>
      <c r="N3" s="46">
        <v>3.3333333333333335</v>
      </c>
      <c r="O3" s="46">
        <v>5.555555555555555</v>
      </c>
      <c r="P3" s="46">
        <v>0.0</v>
      </c>
      <c r="Q3" s="46">
        <v>2.2222222222222223</v>
      </c>
      <c r="R3" s="46">
        <v>1.1111111111111112</v>
      </c>
      <c r="S3" s="46">
        <v>5.0</v>
      </c>
      <c r="T3" s="46">
        <v>2.2222222222222223</v>
      </c>
      <c r="U3" s="46">
        <v>1.1111111111111112</v>
      </c>
      <c r="V3" s="47">
        <v>100.0</v>
      </c>
    </row>
    <row r="4">
      <c r="A4" s="44" t="s">
        <v>6334</v>
      </c>
      <c r="B4" s="46">
        <v>1.5486725663716814</v>
      </c>
      <c r="C4" s="46">
        <v>7.743362831858407</v>
      </c>
      <c r="D4" s="46">
        <v>7.743362831858407</v>
      </c>
      <c r="E4" s="46">
        <v>3.982300884955752</v>
      </c>
      <c r="F4" s="46">
        <v>12.168141592920353</v>
      </c>
      <c r="G4" s="46">
        <v>5.088495575221239</v>
      </c>
      <c r="H4" s="46">
        <v>13.274336283185841</v>
      </c>
      <c r="I4" s="46">
        <v>6.6371681415929205</v>
      </c>
      <c r="J4" s="46">
        <v>10.398230088495575</v>
      </c>
      <c r="K4" s="46">
        <v>6.1946902654867255</v>
      </c>
      <c r="L4" s="46">
        <v>2.8761061946902653</v>
      </c>
      <c r="M4" s="46">
        <v>6.6371681415929205</v>
      </c>
      <c r="N4" s="46">
        <v>3.3185840707964602</v>
      </c>
      <c r="O4" s="46">
        <v>1.7699115044247788</v>
      </c>
      <c r="P4" s="46">
        <v>0.6637168141592921</v>
      </c>
      <c r="Q4" s="46">
        <v>2.6548672566371683</v>
      </c>
      <c r="R4" s="46">
        <v>0.6637168141592921</v>
      </c>
      <c r="S4" s="46">
        <v>5.3097345132743365</v>
      </c>
      <c r="T4" s="46">
        <v>1.1061946902654867</v>
      </c>
      <c r="U4" s="46">
        <v>0.22123893805309736</v>
      </c>
      <c r="V4" s="47">
        <v>100.0</v>
      </c>
    </row>
    <row r="5">
      <c r="A5" s="44" t="s">
        <v>6338</v>
      </c>
      <c r="B5" s="46">
        <v>1.0600706713780919</v>
      </c>
      <c r="C5" s="46">
        <v>7.773851590106007</v>
      </c>
      <c r="D5" s="46">
        <v>12.36749116607774</v>
      </c>
      <c r="E5" s="46">
        <v>6.007067137809187</v>
      </c>
      <c r="F5" s="46">
        <v>10.247349823321555</v>
      </c>
      <c r="G5" s="46">
        <v>4.240282685512367</v>
      </c>
      <c r="H5" s="46">
        <v>12.36749116607774</v>
      </c>
      <c r="I5" s="46">
        <v>6.007067137809187</v>
      </c>
      <c r="J5" s="46">
        <v>7.067137809187279</v>
      </c>
      <c r="K5" s="46">
        <v>5.6537102473498235</v>
      </c>
      <c r="L5" s="46">
        <v>3.1802120141342756</v>
      </c>
      <c r="M5" s="46">
        <v>4.240282685512367</v>
      </c>
      <c r="N5" s="46">
        <v>3.5335689045936394</v>
      </c>
      <c r="O5" s="46">
        <v>3.5335689045936394</v>
      </c>
      <c r="P5" s="46">
        <v>0.0</v>
      </c>
      <c r="Q5" s="46">
        <v>0.7067137809187279</v>
      </c>
      <c r="R5" s="46">
        <v>1.7667844522968197</v>
      </c>
      <c r="S5" s="46">
        <v>6.713780918727915</v>
      </c>
      <c r="T5" s="46">
        <v>3.1802120141342756</v>
      </c>
      <c r="U5" s="46">
        <v>0.35335689045936397</v>
      </c>
      <c r="V5" s="47">
        <v>100.0</v>
      </c>
    </row>
    <row r="6">
      <c r="A6" s="44" t="s">
        <v>6343</v>
      </c>
      <c r="B6" s="46">
        <v>1.4492753623188406</v>
      </c>
      <c r="C6" s="46">
        <v>3.140096618357488</v>
      </c>
      <c r="D6" s="46">
        <v>6.280193236714976</v>
      </c>
      <c r="E6" s="46">
        <v>7.246376811594203</v>
      </c>
      <c r="F6" s="46">
        <v>12.077294685990339</v>
      </c>
      <c r="G6" s="46">
        <v>6.280193236714976</v>
      </c>
      <c r="H6" s="46">
        <v>11.352657004830919</v>
      </c>
      <c r="I6" s="46">
        <v>7.48792270531401</v>
      </c>
      <c r="J6" s="46">
        <v>3.864734299516908</v>
      </c>
      <c r="K6" s="46">
        <v>7.971014492753623</v>
      </c>
      <c r="L6" s="46">
        <v>6.038647342995169</v>
      </c>
      <c r="M6" s="46">
        <v>3.864734299516908</v>
      </c>
      <c r="N6" s="46">
        <v>2.1739130434782608</v>
      </c>
      <c r="O6" s="46">
        <v>4.830917874396135</v>
      </c>
      <c r="P6" s="46">
        <v>0.0</v>
      </c>
      <c r="Q6" s="46">
        <v>3.864734299516908</v>
      </c>
      <c r="R6" s="46">
        <v>0.966183574879227</v>
      </c>
      <c r="S6" s="46">
        <v>6.280193236714976</v>
      </c>
      <c r="T6" s="46">
        <v>3.6231884057971016</v>
      </c>
      <c r="U6" s="46">
        <v>1.2077294685990339</v>
      </c>
      <c r="V6" s="47">
        <v>100.0</v>
      </c>
    </row>
    <row r="7">
      <c r="A7" s="44" t="s">
        <v>6349</v>
      </c>
      <c r="B7" s="46">
        <v>2.2831050228310503</v>
      </c>
      <c r="C7" s="46">
        <v>2.2831050228310503</v>
      </c>
      <c r="D7" s="46">
        <v>8.67579908675799</v>
      </c>
      <c r="E7" s="46">
        <v>2.2831050228310503</v>
      </c>
      <c r="F7" s="46">
        <v>10.95890410958904</v>
      </c>
      <c r="G7" s="46">
        <v>2.2831050228310503</v>
      </c>
      <c r="H7" s="46">
        <v>13.242009132420092</v>
      </c>
      <c r="I7" s="46">
        <v>5.0228310502283104</v>
      </c>
      <c r="J7" s="46">
        <v>8.67579908675799</v>
      </c>
      <c r="K7" s="46">
        <v>8.219178082191782</v>
      </c>
      <c r="L7" s="46">
        <v>5.0228310502283104</v>
      </c>
      <c r="M7" s="46">
        <v>6.8493150684931505</v>
      </c>
      <c r="N7" s="46">
        <v>5.47945205479452</v>
      </c>
      <c r="O7" s="46">
        <v>7.762557077625571</v>
      </c>
      <c r="P7" s="46">
        <v>2.73972602739726</v>
      </c>
      <c r="Q7" s="46">
        <v>0.45662100456621</v>
      </c>
      <c r="R7" s="46">
        <v>1.36986301369863</v>
      </c>
      <c r="S7" s="46">
        <v>5.0228310502283104</v>
      </c>
      <c r="T7" s="46">
        <v>1.36986301369863</v>
      </c>
      <c r="U7" s="46">
        <v>0.0</v>
      </c>
      <c r="V7" s="47">
        <v>100.0</v>
      </c>
    </row>
    <row r="8">
      <c r="A8" s="44" t="s">
        <v>6357</v>
      </c>
      <c r="B8" s="46">
        <v>1.8867924528301887</v>
      </c>
      <c r="C8" s="46">
        <v>5.4245283018867925</v>
      </c>
      <c r="D8" s="46">
        <v>10.849056603773585</v>
      </c>
      <c r="E8" s="46">
        <v>4.481132075471698</v>
      </c>
      <c r="F8" s="46">
        <v>12.5</v>
      </c>
      <c r="G8" s="46">
        <v>3.5377358490566038</v>
      </c>
      <c r="H8" s="46">
        <v>11.320754716981131</v>
      </c>
      <c r="I8" s="46">
        <v>3.5377358490566038</v>
      </c>
      <c r="J8" s="46">
        <v>11.084905660377359</v>
      </c>
      <c r="K8" s="46">
        <v>6.839622641509434</v>
      </c>
      <c r="L8" s="46">
        <v>4.716981132075472</v>
      </c>
      <c r="M8" s="46">
        <v>4.009433962264151</v>
      </c>
      <c r="N8" s="46">
        <v>2.830188679245283</v>
      </c>
      <c r="O8" s="46">
        <v>6.367924528301887</v>
      </c>
      <c r="P8" s="46">
        <v>1.4150943396226414</v>
      </c>
      <c r="Q8" s="46">
        <v>1.8867924528301887</v>
      </c>
      <c r="R8" s="46">
        <v>0.7075471698113207</v>
      </c>
      <c r="S8" s="46">
        <v>3.7735849056603774</v>
      </c>
      <c r="T8" s="46">
        <v>2.358490566037736</v>
      </c>
      <c r="U8" s="46">
        <v>0.4716981132075472</v>
      </c>
      <c r="V8" s="47">
        <v>100.0</v>
      </c>
    </row>
    <row r="9">
      <c r="A9" s="44" t="s">
        <v>6361</v>
      </c>
      <c r="B9" s="46">
        <v>3.2911392405063293</v>
      </c>
      <c r="C9" s="46">
        <v>8.860759493670885</v>
      </c>
      <c r="D9" s="46">
        <v>5.569620253164557</v>
      </c>
      <c r="E9" s="46">
        <v>8.60759493670886</v>
      </c>
      <c r="F9" s="46">
        <v>6.329113924050633</v>
      </c>
      <c r="G9" s="46">
        <v>9.367088607594937</v>
      </c>
      <c r="H9" s="46">
        <v>6.329113924050633</v>
      </c>
      <c r="I9" s="46">
        <v>9.873417721518987</v>
      </c>
      <c r="J9" s="46">
        <v>3.5443037974683542</v>
      </c>
      <c r="K9" s="46">
        <v>2.278481012658228</v>
      </c>
      <c r="L9" s="46">
        <v>3.2911392405063293</v>
      </c>
      <c r="M9" s="46">
        <v>6.582278481012659</v>
      </c>
      <c r="N9" s="46">
        <v>2.5316455696202533</v>
      </c>
      <c r="O9" s="46">
        <v>2.278481012658228</v>
      </c>
      <c r="P9" s="46">
        <v>0.5063291139240507</v>
      </c>
      <c r="Q9" s="46">
        <v>5.3164556962025316</v>
      </c>
      <c r="R9" s="46">
        <v>2.7848101265822787</v>
      </c>
      <c r="S9" s="46">
        <v>7.848101265822785</v>
      </c>
      <c r="T9" s="46">
        <v>4.556962025316456</v>
      </c>
      <c r="U9" s="46">
        <v>0.25316455696202533</v>
      </c>
      <c r="V9" s="47">
        <v>100.0</v>
      </c>
    </row>
    <row r="10">
      <c r="A10" s="44" t="s">
        <v>6366</v>
      </c>
      <c r="B10" s="46">
        <v>1.7621145374449338</v>
      </c>
      <c r="C10" s="46">
        <v>4.845814977973569</v>
      </c>
      <c r="D10" s="46">
        <v>6.607929515418502</v>
      </c>
      <c r="E10" s="46">
        <v>3.9647577092511015</v>
      </c>
      <c r="F10" s="46">
        <v>11.894273127753303</v>
      </c>
      <c r="G10" s="46">
        <v>5.286343612334802</v>
      </c>
      <c r="H10" s="46">
        <v>11.894273127753303</v>
      </c>
      <c r="I10" s="46">
        <v>7.048458149779735</v>
      </c>
      <c r="J10" s="46">
        <v>11.45374449339207</v>
      </c>
      <c r="K10" s="46">
        <v>4.845814977973569</v>
      </c>
      <c r="L10" s="46">
        <v>3.9647577092511015</v>
      </c>
      <c r="M10" s="46">
        <v>8.810572687224669</v>
      </c>
      <c r="N10" s="46">
        <v>4.405286343612334</v>
      </c>
      <c r="O10" s="46">
        <v>0.8810572687224669</v>
      </c>
      <c r="P10" s="46">
        <v>0.8810572687224669</v>
      </c>
      <c r="Q10" s="46">
        <v>3.9647577092511015</v>
      </c>
      <c r="R10" s="46">
        <v>1.7621145374449338</v>
      </c>
      <c r="S10" s="46">
        <v>3.5242290748898677</v>
      </c>
      <c r="T10" s="46">
        <v>1.7621145374449338</v>
      </c>
      <c r="U10" s="46">
        <v>0.44052863436123346</v>
      </c>
      <c r="V10" s="47">
        <v>100.0</v>
      </c>
    </row>
    <row r="11">
      <c r="A11" s="44" t="s">
        <v>6371</v>
      </c>
      <c r="B11" s="46">
        <v>1.6666666666666667</v>
      </c>
      <c r="C11" s="46">
        <v>7.916666666666667</v>
      </c>
      <c r="D11" s="46">
        <v>8.75</v>
      </c>
      <c r="E11" s="46">
        <v>4.166666666666667</v>
      </c>
      <c r="F11" s="46">
        <v>8.333333333333334</v>
      </c>
      <c r="G11" s="46">
        <v>5.0</v>
      </c>
      <c r="H11" s="46">
        <v>14.166666666666666</v>
      </c>
      <c r="I11" s="46">
        <v>5.833333333333333</v>
      </c>
      <c r="J11" s="46">
        <v>6.666666666666667</v>
      </c>
      <c r="K11" s="46">
        <v>6.666666666666667</v>
      </c>
      <c r="L11" s="46">
        <v>2.0833333333333335</v>
      </c>
      <c r="M11" s="46">
        <v>6.25</v>
      </c>
      <c r="N11" s="46">
        <v>5.0</v>
      </c>
      <c r="O11" s="46">
        <v>4.583333333333333</v>
      </c>
      <c r="P11" s="46">
        <v>0.4166666666666667</v>
      </c>
      <c r="Q11" s="46">
        <v>3.3333333333333335</v>
      </c>
      <c r="R11" s="46">
        <v>3.3333333333333335</v>
      </c>
      <c r="S11" s="46">
        <v>2.0833333333333335</v>
      </c>
      <c r="T11" s="46">
        <v>3.3333333333333335</v>
      </c>
      <c r="U11" s="46">
        <v>0.4166666666666667</v>
      </c>
      <c r="V11" s="47">
        <v>100.0</v>
      </c>
    </row>
    <row r="12">
      <c r="A12" s="44" t="s">
        <v>6375</v>
      </c>
      <c r="B12" s="46">
        <v>3.3045977011494254</v>
      </c>
      <c r="C12" s="46">
        <v>3.160919540229885</v>
      </c>
      <c r="D12" s="46">
        <v>9.482758620689655</v>
      </c>
      <c r="E12" s="46">
        <v>7.614942528735632</v>
      </c>
      <c r="F12" s="46">
        <v>13.649425287356323</v>
      </c>
      <c r="G12" s="46">
        <v>4.166666666666667</v>
      </c>
      <c r="H12" s="46">
        <v>12.78735632183908</v>
      </c>
      <c r="I12" s="46">
        <v>4.454022988505747</v>
      </c>
      <c r="J12" s="46">
        <v>5.028735632183908</v>
      </c>
      <c r="K12" s="46">
        <v>9.051724137931034</v>
      </c>
      <c r="L12" s="46">
        <v>8.620689655172415</v>
      </c>
      <c r="M12" s="46">
        <v>1.5804597701149425</v>
      </c>
      <c r="N12" s="46">
        <v>2.1551724137931036</v>
      </c>
      <c r="O12" s="46">
        <v>2.8735632183908044</v>
      </c>
      <c r="P12" s="46">
        <v>0.43103448275862066</v>
      </c>
      <c r="Q12" s="46">
        <v>1.7241379310344827</v>
      </c>
      <c r="R12" s="46">
        <v>0.5747126436781609</v>
      </c>
      <c r="S12" s="46">
        <v>6.4655172413793105</v>
      </c>
      <c r="T12" s="46">
        <v>2.1551724137931036</v>
      </c>
      <c r="U12" s="46">
        <v>0.7183908045977011</v>
      </c>
      <c r="V12" s="47">
        <v>100.0</v>
      </c>
    </row>
    <row r="13">
      <c r="A13" s="44" t="s">
        <v>6380</v>
      </c>
      <c r="B13" s="46">
        <v>2.953020134228188</v>
      </c>
      <c r="C13" s="46">
        <v>4.966442953020135</v>
      </c>
      <c r="D13" s="46">
        <v>8.993288590604028</v>
      </c>
      <c r="E13" s="46">
        <v>6.7114093959731544</v>
      </c>
      <c r="F13" s="46">
        <v>8.456375838926174</v>
      </c>
      <c r="G13" s="46">
        <v>8.322147651006711</v>
      </c>
      <c r="H13" s="46">
        <v>6.7114093959731544</v>
      </c>
      <c r="I13" s="46">
        <v>6.97986577181208</v>
      </c>
      <c r="J13" s="46">
        <v>3.7583892617449663</v>
      </c>
      <c r="K13" s="46">
        <v>8.859060402684564</v>
      </c>
      <c r="L13" s="46">
        <v>5.771812080536913</v>
      </c>
      <c r="M13" s="46">
        <v>3.3557046979865772</v>
      </c>
      <c r="N13" s="46">
        <v>4.026845637583893</v>
      </c>
      <c r="O13" s="46">
        <v>2.1476510067114094</v>
      </c>
      <c r="P13" s="46">
        <v>1.610738255033557</v>
      </c>
      <c r="Q13" s="46">
        <v>1.476510067114094</v>
      </c>
      <c r="R13" s="46">
        <v>1.476510067114094</v>
      </c>
      <c r="S13" s="46">
        <v>8.590604026845638</v>
      </c>
      <c r="T13" s="46">
        <v>3.6241610738255035</v>
      </c>
      <c r="U13" s="46">
        <v>1.2080536912751678</v>
      </c>
      <c r="V13" s="47">
        <v>100.0</v>
      </c>
    </row>
    <row r="14">
      <c r="A14" s="44" t="s">
        <v>6385</v>
      </c>
      <c r="B14" s="46">
        <v>1.1204481792717087</v>
      </c>
      <c r="C14" s="46">
        <v>2.5210084033613445</v>
      </c>
      <c r="D14" s="46">
        <v>5.882352941176471</v>
      </c>
      <c r="E14" s="46">
        <v>5.602240896358543</v>
      </c>
      <c r="F14" s="46">
        <v>12.605042016806722</v>
      </c>
      <c r="G14" s="46">
        <v>6.162464985994398</v>
      </c>
      <c r="H14" s="46">
        <v>12.044817927170868</v>
      </c>
      <c r="I14" s="46">
        <v>6.722689075630252</v>
      </c>
      <c r="J14" s="46">
        <v>3.9215686274509802</v>
      </c>
      <c r="K14" s="46">
        <v>7.563025210084033</v>
      </c>
      <c r="L14" s="46">
        <v>9.243697478991596</v>
      </c>
      <c r="M14" s="46">
        <v>3.641456582633053</v>
      </c>
      <c r="N14" s="46">
        <v>1.4005602240896358</v>
      </c>
      <c r="O14" s="46">
        <v>3.9215686274509802</v>
      </c>
      <c r="P14" s="46">
        <v>0.5602240896358543</v>
      </c>
      <c r="Q14" s="46">
        <v>3.361344537815126</v>
      </c>
      <c r="R14" s="46">
        <v>2.2408963585434174</v>
      </c>
      <c r="S14" s="46">
        <v>5.602240896358543</v>
      </c>
      <c r="T14" s="46">
        <v>4.201680672268908</v>
      </c>
      <c r="U14" s="46">
        <v>1.680672268907563</v>
      </c>
      <c r="V14" s="47">
        <v>100.0</v>
      </c>
    </row>
    <row r="15">
      <c r="A15" s="44" t="s">
        <v>6392</v>
      </c>
      <c r="B15" s="46">
        <v>0.7281553398058253</v>
      </c>
      <c r="C15" s="46">
        <v>3.6407766990291264</v>
      </c>
      <c r="D15" s="46">
        <v>9.223300970873787</v>
      </c>
      <c r="E15" s="46">
        <v>6.553398058252427</v>
      </c>
      <c r="F15" s="46">
        <v>10.436893203883495</v>
      </c>
      <c r="G15" s="46">
        <v>4.12621359223301</v>
      </c>
      <c r="H15" s="46">
        <v>12.62135922330097</v>
      </c>
      <c r="I15" s="46">
        <v>4.368932038834951</v>
      </c>
      <c r="J15" s="46">
        <v>9.70873786407767</v>
      </c>
      <c r="K15" s="46">
        <v>7.281553398058253</v>
      </c>
      <c r="L15" s="46">
        <v>4.854368932038835</v>
      </c>
      <c r="M15" s="46">
        <v>6.067961165048544</v>
      </c>
      <c r="N15" s="46">
        <v>4.12621359223301</v>
      </c>
      <c r="O15" s="46">
        <v>3.883495145631068</v>
      </c>
      <c r="P15" s="46">
        <v>0.4854368932038835</v>
      </c>
      <c r="Q15" s="46">
        <v>1.941747572815534</v>
      </c>
      <c r="R15" s="46">
        <v>2.4271844660194173</v>
      </c>
      <c r="S15" s="46">
        <v>4.368932038834951</v>
      </c>
      <c r="T15" s="46">
        <v>2.4271844660194173</v>
      </c>
      <c r="U15" s="46">
        <v>0.7281553398058253</v>
      </c>
      <c r="V15" s="47">
        <v>100.0</v>
      </c>
    </row>
    <row r="16">
      <c r="A16" s="44" t="s">
        <v>6397</v>
      </c>
      <c r="B16" s="46">
        <v>1.589825119236884</v>
      </c>
      <c r="C16" s="46">
        <v>8.267090620031796</v>
      </c>
      <c r="D16" s="46">
        <v>9.220985691573928</v>
      </c>
      <c r="E16" s="46">
        <v>7.154213036565978</v>
      </c>
      <c r="F16" s="46">
        <v>6.200317965023848</v>
      </c>
      <c r="G16" s="46">
        <v>8.108108108108109</v>
      </c>
      <c r="H16" s="46">
        <v>9.85691573926868</v>
      </c>
      <c r="I16" s="46">
        <v>11.128775834658187</v>
      </c>
      <c r="J16" s="46">
        <v>4.610492845786964</v>
      </c>
      <c r="K16" s="46">
        <v>4.92845786963434</v>
      </c>
      <c r="L16" s="46">
        <v>2.2257551669316373</v>
      </c>
      <c r="M16" s="46">
        <v>5.087440381558029</v>
      </c>
      <c r="N16" s="46">
        <v>2.5437201907790143</v>
      </c>
      <c r="O16" s="46">
        <v>2.5437201907790143</v>
      </c>
      <c r="P16" s="46">
        <v>0.9538950715421304</v>
      </c>
      <c r="Q16" s="46">
        <v>1.9077901430842608</v>
      </c>
      <c r="R16" s="46">
        <v>1.7488076311605723</v>
      </c>
      <c r="S16" s="46">
        <v>7.472178060413355</v>
      </c>
      <c r="T16" s="46">
        <v>4.292527821939586</v>
      </c>
      <c r="U16" s="46">
        <v>0.1589825119236884</v>
      </c>
      <c r="V16" s="47">
        <v>100.0</v>
      </c>
    </row>
    <row r="17">
      <c r="A17" s="44" t="s">
        <v>6403</v>
      </c>
      <c r="B17" s="46">
        <v>1.8433179723502304</v>
      </c>
      <c r="C17" s="46">
        <v>4.608294930875576</v>
      </c>
      <c r="D17" s="46">
        <v>7.8341013824884795</v>
      </c>
      <c r="E17" s="46">
        <v>5.990783410138249</v>
      </c>
      <c r="F17" s="46">
        <v>8.755760368663594</v>
      </c>
      <c r="G17" s="46">
        <v>4.147465437788019</v>
      </c>
      <c r="H17" s="46">
        <v>7.8341013824884795</v>
      </c>
      <c r="I17" s="46">
        <v>7.373271889400922</v>
      </c>
      <c r="J17" s="46">
        <v>11.52073732718894</v>
      </c>
      <c r="K17" s="46">
        <v>5.0691244239631335</v>
      </c>
      <c r="L17" s="46">
        <v>4.608294930875576</v>
      </c>
      <c r="M17" s="46">
        <v>5.990783410138249</v>
      </c>
      <c r="N17" s="46">
        <v>2.304147465437788</v>
      </c>
      <c r="O17" s="46">
        <v>4.147465437788019</v>
      </c>
      <c r="P17" s="46">
        <v>0.9216589861751152</v>
      </c>
      <c r="Q17" s="46">
        <v>2.304147465437788</v>
      </c>
      <c r="R17" s="46">
        <v>3.686635944700461</v>
      </c>
      <c r="S17" s="46">
        <v>8.294930875576037</v>
      </c>
      <c r="T17" s="46">
        <v>1.8433179723502304</v>
      </c>
      <c r="U17" s="46">
        <v>0.9216589861751152</v>
      </c>
      <c r="V17" s="47">
        <v>100.0</v>
      </c>
    </row>
    <row r="18">
      <c r="A18" s="44" t="s">
        <v>6409</v>
      </c>
      <c r="B18" s="46">
        <v>1.909307875894988</v>
      </c>
      <c r="C18" s="46">
        <v>4.534606205250597</v>
      </c>
      <c r="D18" s="46">
        <v>11.455847255369928</v>
      </c>
      <c r="E18" s="46">
        <v>3.341288782816229</v>
      </c>
      <c r="F18" s="46">
        <v>12.410501193317423</v>
      </c>
      <c r="G18" s="46">
        <v>2.863961813842482</v>
      </c>
      <c r="H18" s="46">
        <v>12.410501193317423</v>
      </c>
      <c r="I18" s="46">
        <v>4.77326968973747</v>
      </c>
      <c r="J18" s="46">
        <v>11.455847255369928</v>
      </c>
      <c r="K18" s="46">
        <v>5.966587112171838</v>
      </c>
      <c r="L18" s="46">
        <v>4.2959427207637235</v>
      </c>
      <c r="M18" s="46">
        <v>5.4892601431980905</v>
      </c>
      <c r="N18" s="46">
        <v>5.4892601431980905</v>
      </c>
      <c r="O18" s="46">
        <v>4.534606205250597</v>
      </c>
      <c r="P18" s="46">
        <v>1.6706443914081146</v>
      </c>
      <c r="Q18" s="46">
        <v>1.6706443914081146</v>
      </c>
      <c r="R18" s="46">
        <v>1.6706443914081146</v>
      </c>
      <c r="S18" s="46">
        <v>2.6252983293556085</v>
      </c>
      <c r="T18" s="46">
        <v>1.431980906921241</v>
      </c>
      <c r="U18" s="46">
        <v>0.0</v>
      </c>
      <c r="V18" s="47">
        <v>100.0</v>
      </c>
    </row>
    <row r="19">
      <c r="A19" s="44" t="s">
        <v>6415</v>
      </c>
      <c r="B19" s="46">
        <v>1.948051948051948</v>
      </c>
      <c r="C19" s="46">
        <v>5.8441558441558445</v>
      </c>
      <c r="D19" s="46">
        <v>9.74025974025974</v>
      </c>
      <c r="E19" s="46">
        <v>5.8441558441558445</v>
      </c>
      <c r="F19" s="46">
        <v>8.441558441558442</v>
      </c>
      <c r="G19" s="46">
        <v>9.090909090909092</v>
      </c>
      <c r="H19" s="46">
        <v>7.792207792207792</v>
      </c>
      <c r="I19" s="46">
        <v>11.03896103896104</v>
      </c>
      <c r="J19" s="46">
        <v>5.194805194805195</v>
      </c>
      <c r="K19" s="46">
        <v>4.545454545454546</v>
      </c>
      <c r="L19" s="46">
        <v>5.8441558441558445</v>
      </c>
      <c r="M19" s="46">
        <v>7.792207792207792</v>
      </c>
      <c r="N19" s="46">
        <v>2.5974025974025974</v>
      </c>
      <c r="O19" s="46">
        <v>1.2987012987012987</v>
      </c>
      <c r="P19" s="46">
        <v>0.6493506493506493</v>
      </c>
      <c r="Q19" s="46">
        <v>1.2987012987012987</v>
      </c>
      <c r="R19" s="46">
        <v>1.948051948051948</v>
      </c>
      <c r="S19" s="46">
        <v>4.545454545454546</v>
      </c>
      <c r="T19" s="46">
        <v>3.896103896103896</v>
      </c>
      <c r="U19" s="46">
        <v>0.6493506493506493</v>
      </c>
      <c r="V19" s="47">
        <v>100.0</v>
      </c>
    </row>
    <row r="20">
      <c r="A20" s="44" t="s">
        <v>6423</v>
      </c>
      <c r="B20" s="46">
        <v>0.9036144578313253</v>
      </c>
      <c r="C20" s="46">
        <v>5.120481927710843</v>
      </c>
      <c r="D20" s="46">
        <v>7.831325301204819</v>
      </c>
      <c r="E20" s="46">
        <v>4.216867469879518</v>
      </c>
      <c r="F20" s="46">
        <v>8.132530120481928</v>
      </c>
      <c r="G20" s="46">
        <v>6.927710843373494</v>
      </c>
      <c r="H20" s="46">
        <v>9.939759036144578</v>
      </c>
      <c r="I20" s="46">
        <v>5.120481927710843</v>
      </c>
      <c r="J20" s="46">
        <v>8.734939759036145</v>
      </c>
      <c r="K20" s="46">
        <v>7.228915662650603</v>
      </c>
      <c r="L20" s="46">
        <v>6.024096385542169</v>
      </c>
      <c r="M20" s="46">
        <v>6.325301204819277</v>
      </c>
      <c r="N20" s="46">
        <v>3.0120481927710845</v>
      </c>
      <c r="O20" s="46">
        <v>6.626506024096385</v>
      </c>
      <c r="P20" s="46">
        <v>1.2048192771084338</v>
      </c>
      <c r="Q20" s="46">
        <v>3.0120481927710845</v>
      </c>
      <c r="R20" s="46">
        <v>2.108433734939759</v>
      </c>
      <c r="S20" s="46">
        <v>5.120481927710843</v>
      </c>
      <c r="T20" s="46">
        <v>2.4096385542168677</v>
      </c>
      <c r="U20" s="46">
        <v>0.0</v>
      </c>
      <c r="V20" s="47">
        <v>100.0</v>
      </c>
    </row>
    <row r="21">
      <c r="A21" s="44" t="s">
        <v>6428</v>
      </c>
      <c r="B21" s="46">
        <v>2.254428341384863</v>
      </c>
      <c r="C21" s="46">
        <v>4.3478260869565215</v>
      </c>
      <c r="D21" s="46">
        <v>7.890499194847021</v>
      </c>
      <c r="E21" s="46">
        <v>5.797101449275362</v>
      </c>
      <c r="F21" s="46">
        <v>10.466988727858293</v>
      </c>
      <c r="G21" s="46">
        <v>9.500805152979066</v>
      </c>
      <c r="H21" s="46">
        <v>9.178743961352657</v>
      </c>
      <c r="I21" s="46">
        <v>5.797101449275362</v>
      </c>
      <c r="J21" s="46">
        <v>4.669887278582931</v>
      </c>
      <c r="K21" s="46">
        <v>6.602254428341385</v>
      </c>
      <c r="L21" s="46">
        <v>8.051529790660226</v>
      </c>
      <c r="M21" s="46">
        <v>2.576489533011272</v>
      </c>
      <c r="N21" s="46">
        <v>3.0595813204508855</v>
      </c>
      <c r="O21" s="46">
        <v>3.0595813204508855</v>
      </c>
      <c r="P21" s="46">
        <v>0.322061191626409</v>
      </c>
      <c r="Q21" s="46">
        <v>2.0933977455716586</v>
      </c>
      <c r="R21" s="46">
        <v>1.4492753623188406</v>
      </c>
      <c r="S21" s="46">
        <v>8.373590982286634</v>
      </c>
      <c r="T21" s="46">
        <v>3.0595813204508855</v>
      </c>
      <c r="U21" s="46">
        <v>1.4492753623188406</v>
      </c>
      <c r="V21" s="47">
        <v>100.0</v>
      </c>
    </row>
    <row r="22">
      <c r="A22" s="44" t="s">
        <v>6435</v>
      </c>
      <c r="B22" s="46">
        <v>0.6600660066006601</v>
      </c>
      <c r="C22" s="46">
        <v>5.2805280528052805</v>
      </c>
      <c r="D22" s="46">
        <v>12.541254125412541</v>
      </c>
      <c r="E22" s="46">
        <v>5.2805280528052805</v>
      </c>
      <c r="F22" s="46">
        <v>8.58085808580858</v>
      </c>
      <c r="G22" s="46">
        <v>3.6303630363036303</v>
      </c>
      <c r="H22" s="46">
        <v>13.201320132013201</v>
      </c>
      <c r="I22" s="46">
        <v>4.9504950495049505</v>
      </c>
      <c r="J22" s="46">
        <v>8.58085808580858</v>
      </c>
      <c r="K22" s="46">
        <v>3.9603960396039604</v>
      </c>
      <c r="L22" s="46">
        <v>2.9702970297029703</v>
      </c>
      <c r="M22" s="46">
        <v>5.6105610561056105</v>
      </c>
      <c r="N22" s="46">
        <v>3.9603960396039604</v>
      </c>
      <c r="O22" s="46">
        <v>6.270627062706271</v>
      </c>
      <c r="P22" s="46">
        <v>1.3201320132013201</v>
      </c>
      <c r="Q22" s="46">
        <v>3.9603960396039604</v>
      </c>
      <c r="R22" s="46">
        <v>1.6501650165016502</v>
      </c>
      <c r="S22" s="46">
        <v>3.9603960396039604</v>
      </c>
      <c r="T22" s="46">
        <v>2.9702970297029703</v>
      </c>
      <c r="U22" s="46">
        <v>0.6600660066006601</v>
      </c>
      <c r="V22" s="47">
        <v>100.0</v>
      </c>
    </row>
    <row r="23">
      <c r="A23" s="44" t="s">
        <v>6440</v>
      </c>
      <c r="B23" s="46">
        <v>1.1787819253438114</v>
      </c>
      <c r="C23" s="46">
        <v>10.216110019646365</v>
      </c>
      <c r="D23" s="46">
        <v>10.805500982318271</v>
      </c>
      <c r="E23" s="46">
        <v>3.143418467583497</v>
      </c>
      <c r="F23" s="46">
        <v>10.805500982318271</v>
      </c>
      <c r="G23" s="46">
        <v>4.715127701375246</v>
      </c>
      <c r="H23" s="46">
        <v>13.555992141453832</v>
      </c>
      <c r="I23" s="46">
        <v>5.893909626719057</v>
      </c>
      <c r="J23" s="46">
        <v>4.12573673870334</v>
      </c>
      <c r="K23" s="46">
        <v>6.8762278978389</v>
      </c>
      <c r="L23" s="46">
        <v>2.357563850687623</v>
      </c>
      <c r="M23" s="46">
        <v>5.304518664047151</v>
      </c>
      <c r="N23" s="46">
        <v>4.322200392927308</v>
      </c>
      <c r="O23" s="46">
        <v>1.9646365422396856</v>
      </c>
      <c r="P23" s="46">
        <v>0.19646365422396855</v>
      </c>
      <c r="Q23" s="46">
        <v>4.715127701375246</v>
      </c>
      <c r="R23" s="46">
        <v>1.5717092337917484</v>
      </c>
      <c r="S23" s="46">
        <v>6.286836935166994</v>
      </c>
      <c r="T23" s="46">
        <v>1.768172888015717</v>
      </c>
      <c r="U23" s="46">
        <v>0.19646365422396855</v>
      </c>
      <c r="V23" s="47">
        <v>100.0</v>
      </c>
    </row>
    <row r="24">
      <c r="A24" s="44" t="s">
        <v>6447</v>
      </c>
      <c r="B24" s="46">
        <v>0.4830917874396135</v>
      </c>
      <c r="C24" s="46">
        <v>2.4154589371980677</v>
      </c>
      <c r="D24" s="46">
        <v>12.077294685990339</v>
      </c>
      <c r="E24" s="46">
        <v>4.3478260869565215</v>
      </c>
      <c r="F24" s="46">
        <v>12.077294685990339</v>
      </c>
      <c r="G24" s="46">
        <v>5.314009661835748</v>
      </c>
      <c r="H24" s="46">
        <v>12.560386473429952</v>
      </c>
      <c r="I24" s="46">
        <v>2.898550724637681</v>
      </c>
      <c r="J24" s="46">
        <v>5.314009661835748</v>
      </c>
      <c r="K24" s="46">
        <v>8.21256038647343</v>
      </c>
      <c r="L24" s="46">
        <v>2.898550724637681</v>
      </c>
      <c r="M24" s="46">
        <v>8.695652173913043</v>
      </c>
      <c r="N24" s="46">
        <v>4.830917874396135</v>
      </c>
      <c r="O24" s="46">
        <v>4.3478260869565215</v>
      </c>
      <c r="P24" s="46">
        <v>1.932367149758454</v>
      </c>
      <c r="Q24" s="46">
        <v>2.4154589371980677</v>
      </c>
      <c r="R24" s="46">
        <v>1.932367149758454</v>
      </c>
      <c r="S24" s="46">
        <v>3.864734299516908</v>
      </c>
      <c r="T24" s="46">
        <v>3.3816425120772946</v>
      </c>
      <c r="U24" s="46">
        <v>0.0</v>
      </c>
      <c r="V24" s="47">
        <v>100.0</v>
      </c>
    </row>
    <row r="25">
      <c r="A25" s="44" t="s">
        <v>6453</v>
      </c>
      <c r="B25" s="46">
        <v>2.150537634408602</v>
      </c>
      <c r="C25" s="46">
        <v>5.734767025089606</v>
      </c>
      <c r="D25" s="46">
        <v>10.75268817204301</v>
      </c>
      <c r="E25" s="46">
        <v>8.602150537634408</v>
      </c>
      <c r="F25" s="46">
        <v>11.11111111111111</v>
      </c>
      <c r="G25" s="46">
        <v>3.225806451612903</v>
      </c>
      <c r="H25" s="46">
        <v>8.602150537634408</v>
      </c>
      <c r="I25" s="46">
        <v>6.810035842293907</v>
      </c>
      <c r="J25" s="46">
        <v>4.659498207885305</v>
      </c>
      <c r="K25" s="46">
        <v>6.810035842293907</v>
      </c>
      <c r="L25" s="46">
        <v>2.867383512544803</v>
      </c>
      <c r="M25" s="46">
        <v>8.243727598566307</v>
      </c>
      <c r="N25" s="46">
        <v>5.017921146953405</v>
      </c>
      <c r="O25" s="46">
        <v>4.301075268817204</v>
      </c>
      <c r="P25" s="46">
        <v>0.7168458781362007</v>
      </c>
      <c r="Q25" s="46">
        <v>1.7921146953405018</v>
      </c>
      <c r="R25" s="46">
        <v>0.35842293906810035</v>
      </c>
      <c r="S25" s="46">
        <v>5.017921146953405</v>
      </c>
      <c r="T25" s="46">
        <v>2.150537634408602</v>
      </c>
      <c r="U25" s="46">
        <v>1.075268817204301</v>
      </c>
      <c r="V25" s="47">
        <v>100.0</v>
      </c>
    </row>
    <row r="26">
      <c r="A26" s="44" t="s">
        <v>6459</v>
      </c>
      <c r="B26" s="46">
        <v>3.1746031746031744</v>
      </c>
      <c r="C26" s="46">
        <v>5.895691609977324</v>
      </c>
      <c r="D26" s="46">
        <v>7.936507936507937</v>
      </c>
      <c r="E26" s="46">
        <v>7.2562358276643995</v>
      </c>
      <c r="F26" s="46">
        <v>6.349206349206349</v>
      </c>
      <c r="G26" s="46">
        <v>6.122448979591836</v>
      </c>
      <c r="H26" s="46">
        <v>8.16326530612245</v>
      </c>
      <c r="I26" s="46">
        <v>9.750566893424036</v>
      </c>
      <c r="J26" s="46">
        <v>4.535147392290249</v>
      </c>
      <c r="K26" s="46">
        <v>6.802721088435374</v>
      </c>
      <c r="L26" s="46">
        <v>2.947845804988662</v>
      </c>
      <c r="M26" s="46">
        <v>4.988662131519274</v>
      </c>
      <c r="N26" s="46">
        <v>2.7210884353741496</v>
      </c>
      <c r="O26" s="46">
        <v>1.3605442176870748</v>
      </c>
      <c r="P26" s="46">
        <v>0.22675736961451248</v>
      </c>
      <c r="Q26" s="46">
        <v>2.494331065759637</v>
      </c>
      <c r="R26" s="46">
        <v>1.5873015873015872</v>
      </c>
      <c r="S26" s="46">
        <v>11.337868480725623</v>
      </c>
      <c r="T26" s="46">
        <v>6.122448979591836</v>
      </c>
      <c r="U26" s="46">
        <v>0.22675736961451248</v>
      </c>
      <c r="V26" s="47">
        <v>100.0</v>
      </c>
    </row>
    <row r="27">
      <c r="A27" s="44" t="s">
        <v>6465</v>
      </c>
      <c r="B27" s="46">
        <v>2.9761904761904763</v>
      </c>
      <c r="C27" s="46">
        <v>2.6785714285714284</v>
      </c>
      <c r="D27" s="46">
        <v>4.464285714285714</v>
      </c>
      <c r="E27" s="46">
        <v>7.738095238095238</v>
      </c>
      <c r="F27" s="46">
        <v>13.392857142857142</v>
      </c>
      <c r="G27" s="46">
        <v>5.059523809523809</v>
      </c>
      <c r="H27" s="46">
        <v>11.904761904761905</v>
      </c>
      <c r="I27" s="46">
        <v>6.5476190476190474</v>
      </c>
      <c r="J27" s="46">
        <v>4.761904761904762</v>
      </c>
      <c r="K27" s="46">
        <v>8.035714285714286</v>
      </c>
      <c r="L27" s="46">
        <v>7.440476190476191</v>
      </c>
      <c r="M27" s="46">
        <v>2.380952380952381</v>
      </c>
      <c r="N27" s="46">
        <v>3.2738095238095237</v>
      </c>
      <c r="O27" s="46">
        <v>1.7857142857142858</v>
      </c>
      <c r="P27" s="46">
        <v>0.0</v>
      </c>
      <c r="Q27" s="46">
        <v>4.464285714285714</v>
      </c>
      <c r="R27" s="46">
        <v>2.0833333333333335</v>
      </c>
      <c r="S27" s="46">
        <v>4.761904761904762</v>
      </c>
      <c r="T27" s="46">
        <v>4.166666666666667</v>
      </c>
      <c r="U27" s="46">
        <v>2.0833333333333335</v>
      </c>
      <c r="V27" s="47">
        <v>100.0</v>
      </c>
    </row>
    <row r="28">
      <c r="A28" s="44" t="s">
        <v>6471</v>
      </c>
      <c r="B28" s="46">
        <v>1.5037593984962405</v>
      </c>
      <c r="C28" s="46">
        <v>4.511278195488722</v>
      </c>
      <c r="D28" s="46">
        <v>11.654135338345865</v>
      </c>
      <c r="E28" s="46">
        <v>3.3834586466165413</v>
      </c>
      <c r="F28" s="46">
        <v>11.278195488721805</v>
      </c>
      <c r="G28" s="46">
        <v>1.5037593984962405</v>
      </c>
      <c r="H28" s="46">
        <v>12.406015037593985</v>
      </c>
      <c r="I28" s="46">
        <v>5.639097744360902</v>
      </c>
      <c r="J28" s="46">
        <v>12.406015037593985</v>
      </c>
      <c r="K28" s="46">
        <v>5.639097744360902</v>
      </c>
      <c r="L28" s="46">
        <v>5.639097744360902</v>
      </c>
      <c r="M28" s="46">
        <v>6.390977443609023</v>
      </c>
      <c r="N28" s="46">
        <v>4.887218045112782</v>
      </c>
      <c r="O28" s="46">
        <v>4.887218045112782</v>
      </c>
      <c r="P28" s="46">
        <v>0.7518796992481203</v>
      </c>
      <c r="Q28" s="46">
        <v>2.255639097744361</v>
      </c>
      <c r="R28" s="46">
        <v>0.37593984962406013</v>
      </c>
      <c r="S28" s="46">
        <v>3.007518796992481</v>
      </c>
      <c r="T28" s="46">
        <v>1.8796992481203008</v>
      </c>
      <c r="U28" s="46">
        <v>0.0</v>
      </c>
      <c r="V28" s="47">
        <v>100.0</v>
      </c>
    </row>
    <row r="29">
      <c r="A29" s="44" t="s">
        <v>6479</v>
      </c>
      <c r="B29" s="46">
        <v>2.2304832713754648</v>
      </c>
      <c r="C29" s="46">
        <v>3.717472118959108</v>
      </c>
      <c r="D29" s="46">
        <v>7.434944237918216</v>
      </c>
      <c r="E29" s="46">
        <v>4.089219330855019</v>
      </c>
      <c r="F29" s="46">
        <v>15.985130111524164</v>
      </c>
      <c r="G29" s="46">
        <v>2.6022304832713754</v>
      </c>
      <c r="H29" s="46">
        <v>14.49814126394052</v>
      </c>
      <c r="I29" s="46">
        <v>3.345724907063197</v>
      </c>
      <c r="J29" s="46">
        <v>5.947955390334572</v>
      </c>
      <c r="K29" s="46">
        <v>7.806691449814126</v>
      </c>
      <c r="L29" s="46">
        <v>9.66542750929368</v>
      </c>
      <c r="M29" s="46">
        <v>1.486988847583643</v>
      </c>
      <c r="N29" s="46">
        <v>3.345724907063197</v>
      </c>
      <c r="O29" s="46">
        <v>5.5762081784386615</v>
      </c>
      <c r="P29" s="46">
        <v>0.37174721189591076</v>
      </c>
      <c r="Q29" s="46">
        <v>1.1152416356877324</v>
      </c>
      <c r="R29" s="46">
        <v>0.7434944237918215</v>
      </c>
      <c r="S29" s="46">
        <v>4.83271375464684</v>
      </c>
      <c r="T29" s="46">
        <v>2.6022304832713754</v>
      </c>
      <c r="U29" s="46">
        <v>2.6022304832713754</v>
      </c>
      <c r="V29" s="47">
        <v>100.0</v>
      </c>
    </row>
    <row r="30">
      <c r="A30" s="44" t="s">
        <v>6485</v>
      </c>
      <c r="B30" s="46">
        <v>1.3513513513513513</v>
      </c>
      <c r="C30" s="46">
        <v>8.108108108108109</v>
      </c>
      <c r="D30" s="46">
        <v>18.243243243243242</v>
      </c>
      <c r="E30" s="46">
        <v>4.054054054054054</v>
      </c>
      <c r="F30" s="46">
        <v>10.135135135135135</v>
      </c>
      <c r="G30" s="46">
        <v>2.7027027027027026</v>
      </c>
      <c r="H30" s="46">
        <v>12.837837837837839</v>
      </c>
      <c r="I30" s="46">
        <v>4.72972972972973</v>
      </c>
      <c r="J30" s="46">
        <v>7.4324324324324325</v>
      </c>
      <c r="K30" s="46">
        <v>2.027027027027027</v>
      </c>
      <c r="L30" s="46">
        <v>2.7027027027027026</v>
      </c>
      <c r="M30" s="46">
        <v>3.3783783783783785</v>
      </c>
      <c r="N30" s="46">
        <v>3.3783783783783785</v>
      </c>
      <c r="O30" s="46">
        <v>6.081081081081081</v>
      </c>
      <c r="P30" s="46">
        <v>0.0</v>
      </c>
      <c r="Q30" s="46">
        <v>4.72972972972973</v>
      </c>
      <c r="R30" s="46">
        <v>2.7027027027027026</v>
      </c>
      <c r="S30" s="46">
        <v>4.054054054054054</v>
      </c>
      <c r="T30" s="46">
        <v>1.3513513513513513</v>
      </c>
      <c r="U30" s="46">
        <v>0.0</v>
      </c>
      <c r="V30" s="47">
        <v>100.0</v>
      </c>
    </row>
    <row r="31">
      <c r="A31" s="44" t="s">
        <v>6490</v>
      </c>
      <c r="B31" s="46">
        <v>0.6024096385542169</v>
      </c>
      <c r="C31" s="46">
        <v>4.216867469879518</v>
      </c>
      <c r="D31" s="46">
        <v>10.843373493975903</v>
      </c>
      <c r="E31" s="46">
        <v>7.228915662650603</v>
      </c>
      <c r="F31" s="46">
        <v>12.650602409638553</v>
      </c>
      <c r="G31" s="46">
        <v>1.2048192771084338</v>
      </c>
      <c r="H31" s="46">
        <v>16.265060240963855</v>
      </c>
      <c r="I31" s="46">
        <v>3.6144578313253013</v>
      </c>
      <c r="J31" s="46">
        <v>10.843373493975903</v>
      </c>
      <c r="K31" s="46">
        <v>6.626506024096385</v>
      </c>
      <c r="L31" s="46">
        <v>3.0120481927710845</v>
      </c>
      <c r="M31" s="46">
        <v>7.228915662650603</v>
      </c>
      <c r="N31" s="46">
        <v>3.6144578313253013</v>
      </c>
      <c r="O31" s="46">
        <v>3.0120481927710845</v>
      </c>
      <c r="P31" s="46">
        <v>0.0</v>
      </c>
      <c r="Q31" s="46">
        <v>2.4096385542168677</v>
      </c>
      <c r="R31" s="46">
        <v>0.6024096385542169</v>
      </c>
      <c r="S31" s="46">
        <v>2.4096385542168677</v>
      </c>
      <c r="T31" s="46">
        <v>3.6144578313253013</v>
      </c>
      <c r="U31" s="46">
        <v>0.0</v>
      </c>
      <c r="V31" s="47">
        <v>100.0</v>
      </c>
    </row>
    <row r="32">
      <c r="A32" s="44" t="s">
        <v>6496</v>
      </c>
      <c r="B32" s="46">
        <v>3.7037037037037037</v>
      </c>
      <c r="C32" s="46">
        <v>8.080808080808081</v>
      </c>
      <c r="D32" s="46">
        <v>9.090909090909092</v>
      </c>
      <c r="E32" s="46">
        <v>4.713804713804714</v>
      </c>
      <c r="F32" s="46">
        <v>9.427609427609427</v>
      </c>
      <c r="G32" s="46">
        <v>9.427609427609427</v>
      </c>
      <c r="H32" s="46">
        <v>7.070707070707071</v>
      </c>
      <c r="I32" s="46">
        <v>5.723905723905724</v>
      </c>
      <c r="J32" s="46">
        <v>4.040404040404041</v>
      </c>
      <c r="K32" s="46">
        <v>4.713804713804714</v>
      </c>
      <c r="L32" s="46">
        <v>3.0303030303030303</v>
      </c>
      <c r="M32" s="46">
        <v>4.377104377104377</v>
      </c>
      <c r="N32" s="46">
        <v>3.367003367003367</v>
      </c>
      <c r="O32" s="46">
        <v>3.367003367003367</v>
      </c>
      <c r="P32" s="46">
        <v>1.0101010101010102</v>
      </c>
      <c r="Q32" s="46">
        <v>2.356902356902357</v>
      </c>
      <c r="R32" s="46">
        <v>3.0303030303030303</v>
      </c>
      <c r="S32" s="46">
        <v>8.754208754208754</v>
      </c>
      <c r="T32" s="46">
        <v>3.367003367003367</v>
      </c>
      <c r="U32" s="46">
        <v>1.3468013468013469</v>
      </c>
      <c r="V32" s="47">
        <v>100.0</v>
      </c>
    </row>
    <row r="33">
      <c r="A33" s="44" t="s">
        <v>6502</v>
      </c>
      <c r="B33" s="46">
        <v>1.1976047904191616</v>
      </c>
      <c r="C33" s="46">
        <v>5.089820359281437</v>
      </c>
      <c r="D33" s="46">
        <v>10.778443113772456</v>
      </c>
      <c r="E33" s="46">
        <v>5.9880239520958085</v>
      </c>
      <c r="F33" s="46">
        <v>8.682634730538922</v>
      </c>
      <c r="G33" s="46">
        <v>4.790419161676646</v>
      </c>
      <c r="H33" s="46">
        <v>8.982035928143713</v>
      </c>
      <c r="I33" s="46">
        <v>7.485029940119761</v>
      </c>
      <c r="J33" s="46">
        <v>9.281437125748504</v>
      </c>
      <c r="K33" s="46">
        <v>3.8922155688622753</v>
      </c>
      <c r="L33" s="46">
        <v>5.389221556886228</v>
      </c>
      <c r="M33" s="46">
        <v>8.083832335329342</v>
      </c>
      <c r="N33" s="46">
        <v>5.389221556886228</v>
      </c>
      <c r="O33" s="46">
        <v>4.191616766467066</v>
      </c>
      <c r="P33" s="46">
        <v>0.2994011976047904</v>
      </c>
      <c r="Q33" s="46">
        <v>1.7964071856287425</v>
      </c>
      <c r="R33" s="46">
        <v>1.1976047904191616</v>
      </c>
      <c r="S33" s="46">
        <v>4.491017964071856</v>
      </c>
      <c r="T33" s="46">
        <v>1.7964071856287425</v>
      </c>
      <c r="U33" s="46">
        <v>1.1976047904191616</v>
      </c>
      <c r="V33" s="47">
        <v>100.0</v>
      </c>
    </row>
    <row r="34">
      <c r="A34" s="44" t="s">
        <v>6509</v>
      </c>
      <c r="B34" s="46">
        <v>1.6548463356973995</v>
      </c>
      <c r="C34" s="46">
        <v>6.855791962174941</v>
      </c>
      <c r="D34" s="46">
        <v>10.99290780141844</v>
      </c>
      <c r="E34" s="46">
        <v>4.964539007092198</v>
      </c>
      <c r="F34" s="46">
        <v>11.93853427895981</v>
      </c>
      <c r="G34" s="46">
        <v>3.7825059101654848</v>
      </c>
      <c r="H34" s="46">
        <v>10.047281323877069</v>
      </c>
      <c r="I34" s="46">
        <v>5.4373522458628845</v>
      </c>
      <c r="J34" s="46">
        <v>7.5650118203309695</v>
      </c>
      <c r="K34" s="46">
        <v>6.973995271867612</v>
      </c>
      <c r="L34" s="46">
        <v>6.855791962174941</v>
      </c>
      <c r="M34" s="46">
        <v>3.7825059101654848</v>
      </c>
      <c r="N34" s="46">
        <v>3.4278959810874703</v>
      </c>
      <c r="O34" s="46">
        <v>4.609929078014185</v>
      </c>
      <c r="P34" s="46">
        <v>0.2364066193853428</v>
      </c>
      <c r="Q34" s="46">
        <v>1.7730496453900708</v>
      </c>
      <c r="R34" s="46">
        <v>1.1820330969267139</v>
      </c>
      <c r="S34" s="46">
        <v>5.08274231678487</v>
      </c>
      <c r="T34" s="46">
        <v>1.4184397163120568</v>
      </c>
      <c r="U34" s="46">
        <v>1.4184397163120568</v>
      </c>
      <c r="V34" s="47">
        <v>100.0</v>
      </c>
    </row>
    <row r="35">
      <c r="A35" s="44" t="s">
        <v>6515</v>
      </c>
      <c r="B35" s="46">
        <v>0.5893909626719057</v>
      </c>
      <c r="C35" s="46">
        <v>3.9292730844793713</v>
      </c>
      <c r="D35" s="46">
        <v>9.430255402750491</v>
      </c>
      <c r="E35" s="46">
        <v>4.322200392927308</v>
      </c>
      <c r="F35" s="46">
        <v>11.198428290766207</v>
      </c>
      <c r="G35" s="46">
        <v>4.12573673870334</v>
      </c>
      <c r="H35" s="46">
        <v>13.359528487229863</v>
      </c>
      <c r="I35" s="46">
        <v>3.3398821218074657</v>
      </c>
      <c r="J35" s="46">
        <v>8.25147347740668</v>
      </c>
      <c r="K35" s="46">
        <v>4.911591355599215</v>
      </c>
      <c r="L35" s="46">
        <v>8.055009823182711</v>
      </c>
      <c r="M35" s="46">
        <v>5.304518664047151</v>
      </c>
      <c r="N35" s="46">
        <v>3.9292730844793713</v>
      </c>
      <c r="O35" s="46">
        <v>5.304518664047151</v>
      </c>
      <c r="P35" s="46">
        <v>1.1787819253438114</v>
      </c>
      <c r="Q35" s="46">
        <v>3.143418467583497</v>
      </c>
      <c r="R35" s="46">
        <v>1.5717092337917484</v>
      </c>
      <c r="S35" s="46">
        <v>3.732809430255403</v>
      </c>
      <c r="T35" s="46">
        <v>2.75049115913556</v>
      </c>
      <c r="U35" s="46">
        <v>1.5717092337917484</v>
      </c>
      <c r="V35" s="47">
        <v>100.0</v>
      </c>
    </row>
    <row r="36">
      <c r="A36" s="44" t="s">
        <v>6521</v>
      </c>
      <c r="B36" s="46">
        <v>1.8662519440124417</v>
      </c>
      <c r="C36" s="46">
        <v>6.998444790046657</v>
      </c>
      <c r="D36" s="46">
        <v>10.57542768273717</v>
      </c>
      <c r="E36" s="46">
        <v>6.2208398133748055</v>
      </c>
      <c r="F36" s="46">
        <v>9.331259720062208</v>
      </c>
      <c r="G36" s="46">
        <v>6.998444790046657</v>
      </c>
      <c r="H36" s="46">
        <v>9.797822706065318</v>
      </c>
      <c r="I36" s="46">
        <v>5.287713841368585</v>
      </c>
      <c r="J36" s="46">
        <v>6.376360808709176</v>
      </c>
      <c r="K36" s="46">
        <v>5.598755832037325</v>
      </c>
      <c r="L36" s="46">
        <v>3.576982892690513</v>
      </c>
      <c r="M36" s="46">
        <v>6.998444790046657</v>
      </c>
      <c r="N36" s="46">
        <v>3.421461897356143</v>
      </c>
      <c r="O36" s="46">
        <v>3.265940902021773</v>
      </c>
      <c r="P36" s="46">
        <v>0.15552099533437014</v>
      </c>
      <c r="Q36" s="46">
        <v>3.265940902021773</v>
      </c>
      <c r="R36" s="46">
        <v>1.5552099533437014</v>
      </c>
      <c r="S36" s="46">
        <v>6.065318818040436</v>
      </c>
      <c r="T36" s="46">
        <v>1.8662519440124417</v>
      </c>
      <c r="U36" s="46">
        <v>0.7776049766718507</v>
      </c>
      <c r="V36" s="47">
        <v>100.0</v>
      </c>
    </row>
    <row r="37">
      <c r="A37" s="44" t="s">
        <v>6526</v>
      </c>
      <c r="B37" s="46">
        <v>1.0869565217391304</v>
      </c>
      <c r="C37" s="46">
        <v>5.434782608695652</v>
      </c>
      <c r="D37" s="46">
        <v>15.217391304347826</v>
      </c>
      <c r="E37" s="46">
        <v>6.521739130434782</v>
      </c>
      <c r="F37" s="46">
        <v>11.956521739130435</v>
      </c>
      <c r="G37" s="46">
        <v>5.434782608695652</v>
      </c>
      <c r="H37" s="46">
        <v>6.521739130434782</v>
      </c>
      <c r="I37" s="46">
        <v>5.434782608695652</v>
      </c>
      <c r="J37" s="46">
        <v>6.521739130434782</v>
      </c>
      <c r="K37" s="46">
        <v>3.260869565217391</v>
      </c>
      <c r="L37" s="46">
        <v>3.260869565217391</v>
      </c>
      <c r="M37" s="46">
        <v>4.3478260869565215</v>
      </c>
      <c r="N37" s="46">
        <v>4.3478260869565215</v>
      </c>
      <c r="O37" s="46">
        <v>2.1739130434782608</v>
      </c>
      <c r="P37" s="46">
        <v>0.0</v>
      </c>
      <c r="Q37" s="46">
        <v>6.521739130434782</v>
      </c>
      <c r="R37" s="46">
        <v>1.0869565217391304</v>
      </c>
      <c r="S37" s="46">
        <v>6.521739130434782</v>
      </c>
      <c r="T37" s="46">
        <v>3.260869565217391</v>
      </c>
      <c r="U37" s="46">
        <v>1.0869565217391304</v>
      </c>
      <c r="V37" s="47">
        <v>100.0</v>
      </c>
    </row>
    <row r="38">
      <c r="A38" s="44" t="s">
        <v>6532</v>
      </c>
      <c r="B38" s="46">
        <v>3.4965034965034967</v>
      </c>
      <c r="C38" s="46">
        <v>6.993006993006993</v>
      </c>
      <c r="D38" s="46">
        <v>9.79020979020979</v>
      </c>
      <c r="E38" s="46">
        <v>4.895104895104895</v>
      </c>
      <c r="F38" s="46">
        <v>10.48951048951049</v>
      </c>
      <c r="G38" s="46">
        <v>4.195804195804196</v>
      </c>
      <c r="H38" s="46">
        <v>11.888111888111888</v>
      </c>
      <c r="I38" s="46">
        <v>3.4965034965034967</v>
      </c>
      <c r="J38" s="46">
        <v>6.993006993006993</v>
      </c>
      <c r="K38" s="46">
        <v>6.993006993006993</v>
      </c>
      <c r="L38" s="46">
        <v>2.797202797202797</v>
      </c>
      <c r="M38" s="46">
        <v>5.594405594405594</v>
      </c>
      <c r="N38" s="46">
        <v>4.895104895104895</v>
      </c>
      <c r="O38" s="46">
        <v>6.293706293706293</v>
      </c>
      <c r="P38" s="46">
        <v>0.0</v>
      </c>
      <c r="Q38" s="46">
        <v>4.195804195804196</v>
      </c>
      <c r="R38" s="46">
        <v>0.0</v>
      </c>
      <c r="S38" s="46">
        <v>5.594405594405594</v>
      </c>
      <c r="T38" s="46">
        <v>1.3986013986013985</v>
      </c>
      <c r="U38" s="46">
        <v>0.0</v>
      </c>
      <c r="V38" s="47">
        <v>100.0</v>
      </c>
    </row>
    <row r="39">
      <c r="A39" s="44" t="s">
        <v>6536</v>
      </c>
      <c r="B39" s="46">
        <v>1.82648401826484</v>
      </c>
      <c r="C39" s="46">
        <v>5.936073059360731</v>
      </c>
      <c r="D39" s="46">
        <v>10.502283105022832</v>
      </c>
      <c r="E39" s="46">
        <v>4.337899543378995</v>
      </c>
      <c r="F39" s="46">
        <v>10.273972602739725</v>
      </c>
      <c r="G39" s="46">
        <v>4.566210045662101</v>
      </c>
      <c r="H39" s="46">
        <v>9.132420091324201</v>
      </c>
      <c r="I39" s="46">
        <v>4.337899543378995</v>
      </c>
      <c r="J39" s="46">
        <v>9.58904109589041</v>
      </c>
      <c r="K39" s="46">
        <v>5.936073059360731</v>
      </c>
      <c r="L39" s="46">
        <v>4.566210045662101</v>
      </c>
      <c r="M39" s="46">
        <v>4.794520547945205</v>
      </c>
      <c r="N39" s="46">
        <v>5.707762557077626</v>
      </c>
      <c r="O39" s="46">
        <v>3.65296803652968</v>
      </c>
      <c r="P39" s="46">
        <v>1.5981735159817352</v>
      </c>
      <c r="Q39" s="46">
        <v>2.2831050228310503</v>
      </c>
      <c r="R39" s="46">
        <v>1.1415525114155252</v>
      </c>
      <c r="S39" s="46">
        <v>6.392694063926941</v>
      </c>
      <c r="T39" s="46">
        <v>2.9680365296803655</v>
      </c>
      <c r="U39" s="46">
        <v>0.45662100456621</v>
      </c>
      <c r="V39" s="47">
        <v>100.0</v>
      </c>
    </row>
    <row r="40">
      <c r="A40" s="44" t="s">
        <v>6540</v>
      </c>
      <c r="B40" s="46">
        <v>1.1337868480725624</v>
      </c>
      <c r="C40" s="46">
        <v>4.988662131519274</v>
      </c>
      <c r="D40" s="46">
        <v>11.11111111111111</v>
      </c>
      <c r="E40" s="46">
        <v>3.854875283446712</v>
      </c>
      <c r="F40" s="46">
        <v>12.92517006802721</v>
      </c>
      <c r="G40" s="46">
        <v>3.6281179138321997</v>
      </c>
      <c r="H40" s="46">
        <v>11.337868480725623</v>
      </c>
      <c r="I40" s="46">
        <v>4.308390022675737</v>
      </c>
      <c r="J40" s="46">
        <v>11.11111111111111</v>
      </c>
      <c r="K40" s="46">
        <v>4.988662131519274</v>
      </c>
      <c r="L40" s="46">
        <v>4.308390022675737</v>
      </c>
      <c r="M40" s="46">
        <v>7.709750566893424</v>
      </c>
      <c r="N40" s="46">
        <v>3.6281179138321997</v>
      </c>
      <c r="O40" s="46">
        <v>4.761904761904762</v>
      </c>
      <c r="P40" s="46">
        <v>0.9070294784580499</v>
      </c>
      <c r="Q40" s="46">
        <v>2.0408163265306123</v>
      </c>
      <c r="R40" s="46">
        <v>2.494331065759637</v>
      </c>
      <c r="S40" s="46">
        <v>2.0408163265306123</v>
      </c>
      <c r="T40" s="46">
        <v>1.3605442176870748</v>
      </c>
      <c r="U40" s="46">
        <v>1.3605442176870748</v>
      </c>
      <c r="V40" s="47">
        <v>100.0</v>
      </c>
    </row>
    <row r="41">
      <c r="A41" s="44" t="s">
        <v>6544</v>
      </c>
      <c r="B41" s="46">
        <v>3.5714285714285716</v>
      </c>
      <c r="C41" s="46">
        <v>5.654761904761905</v>
      </c>
      <c r="D41" s="46">
        <v>11.904761904761905</v>
      </c>
      <c r="E41" s="46">
        <v>6.25</v>
      </c>
      <c r="F41" s="46">
        <v>9.523809523809524</v>
      </c>
      <c r="G41" s="46">
        <v>4.464285714285714</v>
      </c>
      <c r="H41" s="46">
        <v>11.30952380952381</v>
      </c>
      <c r="I41" s="46">
        <v>3.5714285714285716</v>
      </c>
      <c r="J41" s="46">
        <v>7.142857142857143</v>
      </c>
      <c r="K41" s="46">
        <v>5.059523809523809</v>
      </c>
      <c r="L41" s="46">
        <v>2.6785714285714284</v>
      </c>
      <c r="M41" s="46">
        <v>5.357142857142857</v>
      </c>
      <c r="N41" s="46">
        <v>5.357142857142857</v>
      </c>
      <c r="O41" s="46">
        <v>4.464285714285714</v>
      </c>
      <c r="P41" s="46">
        <v>0.5952380952380952</v>
      </c>
      <c r="Q41" s="46">
        <v>1.7857142857142858</v>
      </c>
      <c r="R41" s="46">
        <v>1.1904761904761905</v>
      </c>
      <c r="S41" s="46">
        <v>5.357142857142857</v>
      </c>
      <c r="T41" s="46">
        <v>3.869047619047619</v>
      </c>
      <c r="U41" s="46">
        <v>0.8928571428571429</v>
      </c>
      <c r="V41" s="47">
        <v>100.0</v>
      </c>
    </row>
    <row r="42">
      <c r="A42" s="44" t="s">
        <v>6548</v>
      </c>
      <c r="B42" s="46">
        <v>2.816901408450704</v>
      </c>
      <c r="C42" s="46">
        <v>13.145539906103286</v>
      </c>
      <c r="D42" s="46">
        <v>10.328638497652582</v>
      </c>
      <c r="E42" s="46">
        <v>5.164319248826291</v>
      </c>
      <c r="F42" s="46">
        <v>6.103286384976526</v>
      </c>
      <c r="G42" s="46">
        <v>7.042253521126761</v>
      </c>
      <c r="H42" s="46">
        <v>7.981220657276995</v>
      </c>
      <c r="I42" s="46">
        <v>7.511737089201878</v>
      </c>
      <c r="J42" s="46">
        <v>5.633802816901408</v>
      </c>
      <c r="K42" s="46">
        <v>7.511737089201878</v>
      </c>
      <c r="L42" s="46">
        <v>5.633802816901408</v>
      </c>
      <c r="M42" s="46">
        <v>2.816901408450704</v>
      </c>
      <c r="N42" s="46">
        <v>4.225352112676056</v>
      </c>
      <c r="O42" s="46">
        <v>1.408450704225352</v>
      </c>
      <c r="P42" s="46">
        <v>0.4694835680751174</v>
      </c>
      <c r="Q42" s="46">
        <v>1.8779342723004695</v>
      </c>
      <c r="R42" s="46">
        <v>1.408450704225352</v>
      </c>
      <c r="S42" s="46">
        <v>4.694835680751174</v>
      </c>
      <c r="T42" s="46">
        <v>2.816901408450704</v>
      </c>
      <c r="U42" s="46">
        <v>1.408450704225352</v>
      </c>
      <c r="V42" s="47">
        <v>100.0</v>
      </c>
    </row>
    <row r="43">
      <c r="A43" s="44" t="s">
        <v>6552</v>
      </c>
      <c r="B43" s="46">
        <v>2.3529411764705883</v>
      </c>
      <c r="C43" s="46">
        <v>3.5294117647058822</v>
      </c>
      <c r="D43" s="46">
        <v>10.588235294117647</v>
      </c>
      <c r="E43" s="46">
        <v>3.5294117647058822</v>
      </c>
      <c r="F43" s="46">
        <v>10.588235294117647</v>
      </c>
      <c r="G43" s="46">
        <v>4.117647058823529</v>
      </c>
      <c r="H43" s="46">
        <v>5.882352941176471</v>
      </c>
      <c r="I43" s="46">
        <v>13.529411764705882</v>
      </c>
      <c r="J43" s="46">
        <v>4.705882352941177</v>
      </c>
      <c r="K43" s="46">
        <v>2.3529411764705883</v>
      </c>
      <c r="L43" s="46">
        <v>5.882352941176471</v>
      </c>
      <c r="M43" s="46">
        <v>10.0</v>
      </c>
      <c r="N43" s="46">
        <v>4.117647058823529</v>
      </c>
      <c r="O43" s="46">
        <v>4.117647058823529</v>
      </c>
      <c r="P43" s="46">
        <v>0.0</v>
      </c>
      <c r="Q43" s="46">
        <v>2.3529411764705883</v>
      </c>
      <c r="R43" s="46">
        <v>1.7647058823529411</v>
      </c>
      <c r="S43" s="46">
        <v>7.0588235294117645</v>
      </c>
      <c r="T43" s="46">
        <v>3.5294117647058822</v>
      </c>
      <c r="U43" s="46">
        <v>0.0</v>
      </c>
      <c r="V43" s="47">
        <v>100.0</v>
      </c>
    </row>
    <row r="44">
      <c r="A44" s="44" t="s">
        <v>6556</v>
      </c>
      <c r="B44" s="46">
        <v>1.342281879194631</v>
      </c>
      <c r="C44" s="46">
        <v>6.040268456375839</v>
      </c>
      <c r="D44" s="46">
        <v>12.751677852348994</v>
      </c>
      <c r="E44" s="46">
        <v>4.697986577181208</v>
      </c>
      <c r="F44" s="46">
        <v>14.093959731543624</v>
      </c>
      <c r="G44" s="46">
        <v>0.6711409395973155</v>
      </c>
      <c r="H44" s="46">
        <v>8.724832214765101</v>
      </c>
      <c r="I44" s="46">
        <v>4.697986577181208</v>
      </c>
      <c r="J44" s="46">
        <v>8.724832214765101</v>
      </c>
      <c r="K44" s="46">
        <v>4.026845637583893</v>
      </c>
      <c r="L44" s="46">
        <v>5.369127516778524</v>
      </c>
      <c r="M44" s="46">
        <v>6.7114093959731544</v>
      </c>
      <c r="N44" s="46">
        <v>4.697986577181208</v>
      </c>
      <c r="O44" s="46">
        <v>5.369127516778524</v>
      </c>
      <c r="P44" s="46">
        <v>0.6711409395973155</v>
      </c>
      <c r="Q44" s="46">
        <v>0.0</v>
      </c>
      <c r="R44" s="46">
        <v>2.684563758389262</v>
      </c>
      <c r="S44" s="46">
        <v>4.697986577181208</v>
      </c>
      <c r="T44" s="46">
        <v>2.684563758389262</v>
      </c>
      <c r="U44" s="46">
        <v>1.342281879194631</v>
      </c>
      <c r="V44" s="47">
        <v>100.0</v>
      </c>
    </row>
    <row r="45">
      <c r="A45" s="44" t="s">
        <v>6562</v>
      </c>
      <c r="B45" s="46">
        <v>0.8403361344537815</v>
      </c>
      <c r="C45" s="46">
        <v>6.218487394957983</v>
      </c>
      <c r="D45" s="46">
        <v>11.260504201680673</v>
      </c>
      <c r="E45" s="46">
        <v>4.873949579831932</v>
      </c>
      <c r="F45" s="46">
        <v>13.445378151260504</v>
      </c>
      <c r="G45" s="46">
        <v>0.5042016806722689</v>
      </c>
      <c r="H45" s="46">
        <v>13.109243697478991</v>
      </c>
      <c r="I45" s="46">
        <v>4.705882352941177</v>
      </c>
      <c r="J45" s="46">
        <v>11.764705882352942</v>
      </c>
      <c r="K45" s="46">
        <v>4.033613445378151</v>
      </c>
      <c r="L45" s="46">
        <v>6.554621848739496</v>
      </c>
      <c r="M45" s="46">
        <v>4.201680672268908</v>
      </c>
      <c r="N45" s="46">
        <v>6.218487394957983</v>
      </c>
      <c r="O45" s="46">
        <v>4.873949579831932</v>
      </c>
      <c r="P45" s="46">
        <v>0.33613445378151263</v>
      </c>
      <c r="Q45" s="46">
        <v>2.0168067226890756</v>
      </c>
      <c r="R45" s="46">
        <v>1.680672268907563</v>
      </c>
      <c r="S45" s="46">
        <v>2.689075630252101</v>
      </c>
      <c r="T45" s="46">
        <v>0.16806722689075632</v>
      </c>
      <c r="U45" s="46">
        <v>0.5042016806722689</v>
      </c>
      <c r="V45" s="47">
        <v>100.0</v>
      </c>
    </row>
    <row r="46">
      <c r="A46" s="44" t="s">
        <v>6569</v>
      </c>
      <c r="B46" s="46">
        <v>3.389830508474576</v>
      </c>
      <c r="C46" s="46">
        <v>5.4613935969868175</v>
      </c>
      <c r="D46" s="46">
        <v>8.286252354048964</v>
      </c>
      <c r="E46" s="46">
        <v>4.8964218455743875</v>
      </c>
      <c r="F46" s="46">
        <v>8.286252354048964</v>
      </c>
      <c r="G46" s="46">
        <v>5.273069679849341</v>
      </c>
      <c r="H46" s="46">
        <v>10.734463276836157</v>
      </c>
      <c r="I46" s="46">
        <v>4.3314500941619585</v>
      </c>
      <c r="J46" s="46">
        <v>8.851224105461393</v>
      </c>
      <c r="K46" s="46">
        <v>4.8964218455743875</v>
      </c>
      <c r="L46" s="46">
        <v>3.9548022598870056</v>
      </c>
      <c r="M46" s="46">
        <v>7.721280602636535</v>
      </c>
      <c r="N46" s="46">
        <v>2.4482109227871938</v>
      </c>
      <c r="O46" s="46">
        <v>3.389830508474576</v>
      </c>
      <c r="P46" s="46">
        <v>0.3766478342749529</v>
      </c>
      <c r="Q46" s="46">
        <v>3.0131826741996233</v>
      </c>
      <c r="R46" s="46">
        <v>3.2015065913371</v>
      </c>
      <c r="S46" s="46">
        <v>7.532956685499058</v>
      </c>
      <c r="T46" s="46">
        <v>3.2015065913371</v>
      </c>
      <c r="U46" s="46">
        <v>0.7532956685499058</v>
      </c>
      <c r="V46" s="47">
        <v>100.0</v>
      </c>
    </row>
    <row r="47">
      <c r="A47" s="44" t="s">
        <v>6576</v>
      </c>
      <c r="B47" s="46">
        <v>0.9216589861751152</v>
      </c>
      <c r="C47" s="46">
        <v>0.9216589861751152</v>
      </c>
      <c r="D47" s="46">
        <v>9.216589861751151</v>
      </c>
      <c r="E47" s="46">
        <v>4.147465437788019</v>
      </c>
      <c r="F47" s="46">
        <v>12.442396313364055</v>
      </c>
      <c r="G47" s="46">
        <v>2.7649769585253456</v>
      </c>
      <c r="H47" s="46">
        <v>9.67741935483871</v>
      </c>
      <c r="I47" s="46">
        <v>4.608294930875576</v>
      </c>
      <c r="J47" s="46">
        <v>13.824884792626728</v>
      </c>
      <c r="K47" s="46">
        <v>7.373271889400922</v>
      </c>
      <c r="L47" s="46">
        <v>6.451612903225806</v>
      </c>
      <c r="M47" s="46">
        <v>6.451612903225806</v>
      </c>
      <c r="N47" s="46">
        <v>4.147465437788019</v>
      </c>
      <c r="O47" s="46">
        <v>2.304147465437788</v>
      </c>
      <c r="P47" s="46">
        <v>0.9216589861751152</v>
      </c>
      <c r="Q47" s="46">
        <v>0.0</v>
      </c>
      <c r="R47" s="46">
        <v>3.225806451612903</v>
      </c>
      <c r="S47" s="46">
        <v>3.225806451612903</v>
      </c>
      <c r="T47" s="46">
        <v>4.608294930875576</v>
      </c>
      <c r="U47" s="46">
        <v>2.7649769585253456</v>
      </c>
      <c r="V47" s="47">
        <v>100.0</v>
      </c>
    </row>
    <row r="48">
      <c r="A48" s="44" t="s">
        <v>6581</v>
      </c>
      <c r="B48" s="46">
        <v>1.9817073170731707</v>
      </c>
      <c r="C48" s="46">
        <v>4.573170731707317</v>
      </c>
      <c r="D48" s="46">
        <v>8.384146341463415</v>
      </c>
      <c r="E48" s="46">
        <v>5.030487804878049</v>
      </c>
      <c r="F48" s="46">
        <v>8.99390243902439</v>
      </c>
      <c r="G48" s="46">
        <v>7.317073170731708</v>
      </c>
      <c r="H48" s="46">
        <v>8.536585365853659</v>
      </c>
      <c r="I48" s="46">
        <v>5.945121951219512</v>
      </c>
      <c r="J48" s="46">
        <v>6.7073170731707314</v>
      </c>
      <c r="K48" s="46">
        <v>7.469512195121951</v>
      </c>
      <c r="L48" s="46">
        <v>3.658536585365854</v>
      </c>
      <c r="M48" s="46">
        <v>6.7073170731707314</v>
      </c>
      <c r="N48" s="46">
        <v>3.658536585365854</v>
      </c>
      <c r="O48" s="46">
        <v>3.8109756097560976</v>
      </c>
      <c r="P48" s="46">
        <v>0.6097560975609756</v>
      </c>
      <c r="Q48" s="46">
        <v>2.7439024390243905</v>
      </c>
      <c r="R48" s="46">
        <v>3.048780487804878</v>
      </c>
      <c r="S48" s="46">
        <v>6.859756097560975</v>
      </c>
      <c r="T48" s="46">
        <v>2.8963414634146343</v>
      </c>
      <c r="U48" s="46">
        <v>1.0670731707317074</v>
      </c>
      <c r="V48" s="47">
        <v>100.0</v>
      </c>
    </row>
    <row r="49">
      <c r="A49" s="44" t="s">
        <v>6588</v>
      </c>
      <c r="B49" s="46">
        <v>1.8518518518518519</v>
      </c>
      <c r="C49" s="46">
        <v>9.25925925925926</v>
      </c>
      <c r="D49" s="46">
        <v>22.22222222222222</v>
      </c>
      <c r="E49" s="46">
        <v>1.8518518518518519</v>
      </c>
      <c r="F49" s="46">
        <v>3.7037037037037037</v>
      </c>
      <c r="G49" s="46">
        <v>1.8518518518518519</v>
      </c>
      <c r="H49" s="46">
        <v>5.555555555555555</v>
      </c>
      <c r="I49" s="46">
        <v>5.555555555555555</v>
      </c>
      <c r="J49" s="46">
        <v>3.7037037037037037</v>
      </c>
      <c r="K49" s="46">
        <v>7.407407407407407</v>
      </c>
      <c r="L49" s="46">
        <v>1.8518518518518519</v>
      </c>
      <c r="M49" s="46">
        <v>1.8518518518518519</v>
      </c>
      <c r="N49" s="46">
        <v>5.555555555555555</v>
      </c>
      <c r="O49" s="46">
        <v>5.555555555555555</v>
      </c>
      <c r="P49" s="46">
        <v>0.0</v>
      </c>
      <c r="Q49" s="46">
        <v>9.25925925925926</v>
      </c>
      <c r="R49" s="46">
        <v>3.7037037037037037</v>
      </c>
      <c r="S49" s="46">
        <v>9.25925925925926</v>
      </c>
      <c r="T49" s="46">
        <v>0.0</v>
      </c>
      <c r="U49" s="46">
        <v>0.0</v>
      </c>
      <c r="V49" s="47">
        <v>100.0</v>
      </c>
    </row>
    <row r="50">
      <c r="A50" s="44" t="s">
        <v>6593</v>
      </c>
      <c r="B50" s="46">
        <v>2.318840579710145</v>
      </c>
      <c r="C50" s="46">
        <v>8.405797101449275</v>
      </c>
      <c r="D50" s="46">
        <v>9.27536231884058</v>
      </c>
      <c r="E50" s="46">
        <v>5.507246376811594</v>
      </c>
      <c r="F50" s="46">
        <v>11.014492753623188</v>
      </c>
      <c r="G50" s="46">
        <v>8.115942028985508</v>
      </c>
      <c r="H50" s="46">
        <v>11.304347826086957</v>
      </c>
      <c r="I50" s="46">
        <v>4.927536231884058</v>
      </c>
      <c r="J50" s="46">
        <v>7.246376811594203</v>
      </c>
      <c r="K50" s="46">
        <v>7.826086956521739</v>
      </c>
      <c r="L50" s="46">
        <v>2.318840579710145</v>
      </c>
      <c r="M50" s="46">
        <v>4.3478260869565215</v>
      </c>
      <c r="N50" s="46">
        <v>4.3478260869565215</v>
      </c>
      <c r="O50" s="46">
        <v>2.028985507246377</v>
      </c>
      <c r="P50" s="46">
        <v>0.5797101449275363</v>
      </c>
      <c r="Q50" s="46">
        <v>2.318840579710145</v>
      </c>
      <c r="R50" s="46">
        <v>0.5797101449275363</v>
      </c>
      <c r="S50" s="46">
        <v>4.63768115942029</v>
      </c>
      <c r="T50" s="46">
        <v>2.028985507246377</v>
      </c>
      <c r="U50" s="46">
        <v>0.8695652173913043</v>
      </c>
      <c r="V50" s="47">
        <v>100.0</v>
      </c>
    </row>
    <row r="51">
      <c r="A51" s="44" t="s">
        <v>6597</v>
      </c>
      <c r="B51" s="46">
        <v>1.9933554817275747</v>
      </c>
      <c r="C51" s="46">
        <v>2.990033222591362</v>
      </c>
      <c r="D51" s="46">
        <v>6.976744186046512</v>
      </c>
      <c r="E51" s="46">
        <v>4.8172757475083055</v>
      </c>
      <c r="F51" s="46">
        <v>12.956810631229235</v>
      </c>
      <c r="G51" s="46">
        <v>7.807308970099668</v>
      </c>
      <c r="H51" s="46">
        <v>14.451827242524917</v>
      </c>
      <c r="I51" s="46">
        <v>7.142857142857143</v>
      </c>
      <c r="J51" s="46">
        <v>6.4784053156146175</v>
      </c>
      <c r="K51" s="46">
        <v>6.312292358803987</v>
      </c>
      <c r="L51" s="46">
        <v>6.976744186046512</v>
      </c>
      <c r="M51" s="46">
        <v>2.3255813953488373</v>
      </c>
      <c r="N51" s="46">
        <v>2.990033222591362</v>
      </c>
      <c r="O51" s="46">
        <v>2.3255813953488373</v>
      </c>
      <c r="P51" s="46">
        <v>0.9966777408637874</v>
      </c>
      <c r="Q51" s="46">
        <v>0.8305647840531561</v>
      </c>
      <c r="R51" s="46">
        <v>1.495016611295681</v>
      </c>
      <c r="S51" s="46">
        <v>6.4784053156146175</v>
      </c>
      <c r="T51" s="46">
        <v>2.990033222591362</v>
      </c>
      <c r="U51" s="46">
        <v>0.6644518272425249</v>
      </c>
      <c r="V51" s="47">
        <v>100.0</v>
      </c>
    </row>
    <row r="52">
      <c r="A52" s="44" t="s">
        <v>6601</v>
      </c>
      <c r="B52" s="46">
        <v>1.1494252873563218</v>
      </c>
      <c r="C52" s="46">
        <v>5.057471264367816</v>
      </c>
      <c r="D52" s="46">
        <v>11.264367816091953</v>
      </c>
      <c r="E52" s="46">
        <v>4.827586206896552</v>
      </c>
      <c r="F52" s="46">
        <v>8.735632183908047</v>
      </c>
      <c r="G52" s="46">
        <v>4.137931034482759</v>
      </c>
      <c r="H52" s="46">
        <v>13.563218390804598</v>
      </c>
      <c r="I52" s="46">
        <v>6.436781609195402</v>
      </c>
      <c r="J52" s="46">
        <v>6.896551724137931</v>
      </c>
      <c r="K52" s="46">
        <v>7.586206896551724</v>
      </c>
      <c r="L52" s="46">
        <v>4.367816091954023</v>
      </c>
      <c r="M52" s="46">
        <v>7.126436781609195</v>
      </c>
      <c r="N52" s="46">
        <v>2.9885057471264367</v>
      </c>
      <c r="O52" s="46">
        <v>4.367816091954023</v>
      </c>
      <c r="P52" s="46">
        <v>0.22988505747126436</v>
      </c>
      <c r="Q52" s="46">
        <v>3.218390804597701</v>
      </c>
      <c r="R52" s="46">
        <v>0.9195402298850575</v>
      </c>
      <c r="S52" s="46">
        <v>4.137931034482759</v>
      </c>
      <c r="T52" s="46">
        <v>2.528735632183908</v>
      </c>
      <c r="U52" s="46">
        <v>0.45977011494252873</v>
      </c>
      <c r="V52" s="47">
        <v>100.0</v>
      </c>
    </row>
    <row r="53">
      <c r="A53" s="44" t="s">
        <v>6606</v>
      </c>
      <c r="B53" s="46">
        <v>2.070393374741201</v>
      </c>
      <c r="C53" s="46">
        <v>6.004140786749482</v>
      </c>
      <c r="D53" s="46">
        <v>9.523809523809524</v>
      </c>
      <c r="E53" s="46">
        <v>5.797101449275362</v>
      </c>
      <c r="F53" s="46">
        <v>9.523809523809524</v>
      </c>
      <c r="G53" s="46">
        <v>4.3478260869565215</v>
      </c>
      <c r="H53" s="46">
        <v>8.074534161490684</v>
      </c>
      <c r="I53" s="46">
        <v>4.554865424430642</v>
      </c>
      <c r="J53" s="46">
        <v>8.695652173913043</v>
      </c>
      <c r="K53" s="46">
        <v>6.211180124223603</v>
      </c>
      <c r="L53" s="46">
        <v>6.211180124223603</v>
      </c>
      <c r="M53" s="46">
        <v>6.832298136645963</v>
      </c>
      <c r="N53" s="46">
        <v>4.554865424430642</v>
      </c>
      <c r="O53" s="46">
        <v>4.761904761904762</v>
      </c>
      <c r="P53" s="46">
        <v>0.6211180124223602</v>
      </c>
      <c r="Q53" s="46">
        <v>3.1055900621118013</v>
      </c>
      <c r="R53" s="46">
        <v>1.6563146997929608</v>
      </c>
      <c r="S53" s="46">
        <v>3.7267080745341614</v>
      </c>
      <c r="T53" s="46">
        <v>2.277432712215321</v>
      </c>
      <c r="U53" s="46">
        <v>1.4492753623188406</v>
      </c>
      <c r="V53" s="47">
        <v>100.0</v>
      </c>
    </row>
    <row r="54">
      <c r="A54" s="44" t="s">
        <v>6611</v>
      </c>
      <c r="B54" s="46">
        <v>1.4354066985645932</v>
      </c>
      <c r="C54" s="46">
        <v>8.61244019138756</v>
      </c>
      <c r="D54" s="46">
        <v>7.177033492822966</v>
      </c>
      <c r="E54" s="46">
        <v>2.3923444976076556</v>
      </c>
      <c r="F54" s="46">
        <v>8.61244019138756</v>
      </c>
      <c r="G54" s="46">
        <v>4.784688995215311</v>
      </c>
      <c r="H54" s="46">
        <v>10.047846889952153</v>
      </c>
      <c r="I54" s="46">
        <v>8.133971291866029</v>
      </c>
      <c r="J54" s="46">
        <v>6.220095693779904</v>
      </c>
      <c r="K54" s="46">
        <v>6.220095693779904</v>
      </c>
      <c r="L54" s="46">
        <v>4.784688995215311</v>
      </c>
      <c r="M54" s="46">
        <v>5.741626794258373</v>
      </c>
      <c r="N54" s="46">
        <v>4.784688995215311</v>
      </c>
      <c r="O54" s="46">
        <v>2.3923444976076556</v>
      </c>
      <c r="P54" s="46">
        <v>2.8708133971291865</v>
      </c>
      <c r="Q54" s="46">
        <v>5.741626794258373</v>
      </c>
      <c r="R54" s="46">
        <v>1.4354066985645932</v>
      </c>
      <c r="S54" s="46">
        <v>5.2631578947368425</v>
      </c>
      <c r="T54" s="46">
        <v>2.3923444976076556</v>
      </c>
      <c r="U54" s="46">
        <v>0.9569377990430622</v>
      </c>
      <c r="V54" s="47">
        <v>100.0</v>
      </c>
    </row>
    <row r="55">
      <c r="A55" s="44" t="s">
        <v>6618</v>
      </c>
      <c r="B55" s="46">
        <v>2.8391167192429023</v>
      </c>
      <c r="C55" s="46">
        <v>5.047318611987381</v>
      </c>
      <c r="D55" s="46">
        <v>12.618296529968454</v>
      </c>
      <c r="E55" s="46">
        <v>3.7854889589905363</v>
      </c>
      <c r="F55" s="46">
        <v>9.779179810725552</v>
      </c>
      <c r="G55" s="46">
        <v>5.047318611987381</v>
      </c>
      <c r="H55" s="46">
        <v>11.987381703470032</v>
      </c>
      <c r="I55" s="46">
        <v>5.678233438485805</v>
      </c>
      <c r="J55" s="46">
        <v>7.255520504731861</v>
      </c>
      <c r="K55" s="46">
        <v>5.993690851735016</v>
      </c>
      <c r="L55" s="46">
        <v>3.470031545741325</v>
      </c>
      <c r="M55" s="46">
        <v>7.255520504731861</v>
      </c>
      <c r="N55" s="46">
        <v>4.73186119873817</v>
      </c>
      <c r="O55" s="46">
        <v>3.7854889589905363</v>
      </c>
      <c r="P55" s="46">
        <v>1.2618296529968454</v>
      </c>
      <c r="Q55" s="46">
        <v>1.2618296529968454</v>
      </c>
      <c r="R55" s="46">
        <v>0.6309148264984227</v>
      </c>
      <c r="S55" s="46">
        <v>3.7854889589905363</v>
      </c>
      <c r="T55" s="46">
        <v>3.470031545741325</v>
      </c>
      <c r="U55" s="46">
        <v>0.31545741324921134</v>
      </c>
      <c r="V55" s="47">
        <v>100.0</v>
      </c>
    </row>
    <row r="56">
      <c r="A56" s="44" t="s">
        <v>6624</v>
      </c>
      <c r="B56" s="46">
        <v>1.8087855297157622</v>
      </c>
      <c r="C56" s="46">
        <v>5.167958656330749</v>
      </c>
      <c r="D56" s="46">
        <v>10.077519379844961</v>
      </c>
      <c r="E56" s="46">
        <v>5.684754521963824</v>
      </c>
      <c r="F56" s="46">
        <v>6.2015503875969</v>
      </c>
      <c r="G56" s="46">
        <v>7.235142118863049</v>
      </c>
      <c r="H56" s="46">
        <v>10.335917312661499</v>
      </c>
      <c r="I56" s="46">
        <v>5.684754521963824</v>
      </c>
      <c r="J56" s="46">
        <v>5.943152454780361</v>
      </c>
      <c r="K56" s="46">
        <v>6.459948320413437</v>
      </c>
      <c r="L56" s="46">
        <v>4.134366925064599</v>
      </c>
      <c r="M56" s="46">
        <v>7.493540051679586</v>
      </c>
      <c r="N56" s="46">
        <v>3.875968992248062</v>
      </c>
      <c r="O56" s="46">
        <v>4.909560723514212</v>
      </c>
      <c r="P56" s="46">
        <v>1.2919896640826873</v>
      </c>
      <c r="Q56" s="46">
        <v>2.3255813953488373</v>
      </c>
      <c r="R56" s="46">
        <v>1.550387596899225</v>
      </c>
      <c r="S56" s="46">
        <v>6.459948320413437</v>
      </c>
      <c r="T56" s="46">
        <v>2.842377260981912</v>
      </c>
      <c r="U56" s="46">
        <v>0.5167958656330749</v>
      </c>
      <c r="V56" s="47">
        <v>100.0</v>
      </c>
    </row>
    <row r="57">
      <c r="A57" s="44" t="s">
        <v>6630</v>
      </c>
      <c r="B57" s="46">
        <v>1.9841269841269842</v>
      </c>
      <c r="C57" s="46">
        <v>4.761904761904762</v>
      </c>
      <c r="D57" s="46">
        <v>13.492063492063492</v>
      </c>
      <c r="E57" s="46">
        <v>4.365079365079365</v>
      </c>
      <c r="F57" s="46">
        <v>12.301587301587302</v>
      </c>
      <c r="G57" s="46">
        <v>4.365079365079365</v>
      </c>
      <c r="H57" s="46">
        <v>6.746031746031746</v>
      </c>
      <c r="I57" s="46">
        <v>6.746031746031746</v>
      </c>
      <c r="J57" s="46">
        <v>6.746031746031746</v>
      </c>
      <c r="K57" s="46">
        <v>4.761904761904762</v>
      </c>
      <c r="L57" s="46">
        <v>2.380952380952381</v>
      </c>
      <c r="M57" s="46">
        <v>5.9523809523809526</v>
      </c>
      <c r="N57" s="46">
        <v>5.158730158730159</v>
      </c>
      <c r="O57" s="46">
        <v>7.142857142857143</v>
      </c>
      <c r="P57" s="46">
        <v>0.7936507936507936</v>
      </c>
      <c r="Q57" s="46">
        <v>4.761904761904762</v>
      </c>
      <c r="R57" s="46">
        <v>2.380952380952381</v>
      </c>
      <c r="S57" s="46">
        <v>2.7777777777777777</v>
      </c>
      <c r="T57" s="46">
        <v>2.380952380952381</v>
      </c>
      <c r="U57" s="46">
        <v>0.0</v>
      </c>
      <c r="V57" s="47">
        <v>100.0</v>
      </c>
    </row>
    <row r="58">
      <c r="A58" s="44" t="s">
        <v>6637</v>
      </c>
      <c r="B58" s="46">
        <v>1.7094017094017093</v>
      </c>
      <c r="C58" s="46">
        <v>11.11111111111111</v>
      </c>
      <c r="D58" s="46">
        <v>11.11111111111111</v>
      </c>
      <c r="E58" s="46">
        <v>5.128205128205129</v>
      </c>
      <c r="F58" s="46">
        <v>13.675213675213675</v>
      </c>
      <c r="G58" s="46">
        <v>0.0</v>
      </c>
      <c r="H58" s="46">
        <v>11.11111111111111</v>
      </c>
      <c r="I58" s="46">
        <v>5.128205128205129</v>
      </c>
      <c r="J58" s="46">
        <v>5.982905982905983</v>
      </c>
      <c r="K58" s="46">
        <v>7.6923076923076925</v>
      </c>
      <c r="L58" s="46">
        <v>2.5641025641025643</v>
      </c>
      <c r="M58" s="46">
        <v>5.128205128205129</v>
      </c>
      <c r="N58" s="46">
        <v>4.273504273504273</v>
      </c>
      <c r="O58" s="46">
        <v>1.7094017094017093</v>
      </c>
      <c r="P58" s="46">
        <v>0.0</v>
      </c>
      <c r="Q58" s="46">
        <v>5.982905982905983</v>
      </c>
      <c r="R58" s="46">
        <v>0.8547008547008547</v>
      </c>
      <c r="S58" s="46">
        <v>3.4188034188034186</v>
      </c>
      <c r="T58" s="46">
        <v>2.5641025641025643</v>
      </c>
      <c r="U58" s="46">
        <v>0.8547008547008547</v>
      </c>
      <c r="V58" s="47">
        <v>100.0</v>
      </c>
    </row>
    <row r="59">
      <c r="A59" s="44" t="s">
        <v>6643</v>
      </c>
      <c r="B59" s="46">
        <v>0.9966777408637874</v>
      </c>
      <c r="C59" s="46">
        <v>5.980066445182724</v>
      </c>
      <c r="D59" s="46">
        <v>10.96345514950166</v>
      </c>
      <c r="E59" s="46">
        <v>4.983388704318937</v>
      </c>
      <c r="F59" s="46">
        <v>9.966777408637874</v>
      </c>
      <c r="G59" s="46">
        <v>3.654485049833887</v>
      </c>
      <c r="H59" s="46">
        <v>12.624584717607974</v>
      </c>
      <c r="I59" s="46">
        <v>6.644518272425249</v>
      </c>
      <c r="J59" s="46">
        <v>7.973421926910299</v>
      </c>
      <c r="K59" s="46">
        <v>7.973421926910299</v>
      </c>
      <c r="L59" s="46">
        <v>3.9867109634551494</v>
      </c>
      <c r="M59" s="46">
        <v>6.644518272425249</v>
      </c>
      <c r="N59" s="46">
        <v>5.980066445182724</v>
      </c>
      <c r="O59" s="46">
        <v>2.3255813953488373</v>
      </c>
      <c r="P59" s="46">
        <v>0.33222591362126247</v>
      </c>
      <c r="Q59" s="46">
        <v>2.990033222591362</v>
      </c>
      <c r="R59" s="46">
        <v>0.9966777408637874</v>
      </c>
      <c r="S59" s="46">
        <v>2.3255813953488373</v>
      </c>
      <c r="T59" s="46">
        <v>1.9933554817275747</v>
      </c>
      <c r="U59" s="46">
        <v>0.6644518272425249</v>
      </c>
      <c r="V59" s="47">
        <v>100.0</v>
      </c>
    </row>
    <row r="60">
      <c r="A60" s="44" t="s">
        <v>6649</v>
      </c>
      <c r="B60" s="46">
        <v>0.6451612903225806</v>
      </c>
      <c r="C60" s="46">
        <v>8.387096774193548</v>
      </c>
      <c r="D60" s="46">
        <v>15.483870967741936</v>
      </c>
      <c r="E60" s="46">
        <v>1.935483870967742</v>
      </c>
      <c r="F60" s="46">
        <v>12.903225806451612</v>
      </c>
      <c r="G60" s="46">
        <v>2.5806451612903225</v>
      </c>
      <c r="H60" s="46">
        <v>13.548387096774194</v>
      </c>
      <c r="I60" s="46">
        <v>3.870967741935484</v>
      </c>
      <c r="J60" s="46">
        <v>9.03225806451613</v>
      </c>
      <c r="K60" s="46">
        <v>4.516129032258065</v>
      </c>
      <c r="L60" s="46">
        <v>6.451612903225806</v>
      </c>
      <c r="M60" s="46">
        <v>5.161290322580645</v>
      </c>
      <c r="N60" s="46">
        <v>1.935483870967742</v>
      </c>
      <c r="O60" s="46">
        <v>5.161290322580645</v>
      </c>
      <c r="P60" s="46">
        <v>1.2903225806451613</v>
      </c>
      <c r="Q60" s="46">
        <v>1.935483870967742</v>
      </c>
      <c r="R60" s="46">
        <v>1.2903225806451613</v>
      </c>
      <c r="S60" s="46">
        <v>2.5806451612903225</v>
      </c>
      <c r="T60" s="46">
        <v>1.2903225806451613</v>
      </c>
      <c r="U60" s="46">
        <v>0.0</v>
      </c>
      <c r="V60" s="47">
        <v>100.0</v>
      </c>
    </row>
    <row r="61">
      <c r="A61" s="44" t="s">
        <v>6653</v>
      </c>
      <c r="B61" s="46">
        <v>1.8181818181818181</v>
      </c>
      <c r="C61" s="46">
        <v>2.272727272727273</v>
      </c>
      <c r="D61" s="46">
        <v>9.545454545454545</v>
      </c>
      <c r="E61" s="46">
        <v>3.6363636363636362</v>
      </c>
      <c r="F61" s="46">
        <v>9.545454545454545</v>
      </c>
      <c r="G61" s="46">
        <v>2.727272727272727</v>
      </c>
      <c r="H61" s="46">
        <v>11.818181818181818</v>
      </c>
      <c r="I61" s="46">
        <v>9.545454545454545</v>
      </c>
      <c r="J61" s="46">
        <v>8.636363636363637</v>
      </c>
      <c r="K61" s="46">
        <v>6.818181818181818</v>
      </c>
      <c r="L61" s="46">
        <v>3.1818181818181817</v>
      </c>
      <c r="M61" s="46">
        <v>9.090909090909092</v>
      </c>
      <c r="N61" s="46">
        <v>5.909090909090909</v>
      </c>
      <c r="O61" s="46">
        <v>5.0</v>
      </c>
      <c r="P61" s="46">
        <v>1.3636363636363635</v>
      </c>
      <c r="Q61" s="46">
        <v>3.6363636363636362</v>
      </c>
      <c r="R61" s="46">
        <v>0.45454545454545453</v>
      </c>
      <c r="S61" s="46">
        <v>3.1818181818181817</v>
      </c>
      <c r="T61" s="46">
        <v>0.9090909090909091</v>
      </c>
      <c r="U61" s="46">
        <v>0.9090909090909091</v>
      </c>
      <c r="V61" s="47">
        <v>100.0</v>
      </c>
    </row>
    <row r="62">
      <c r="A62" s="44" t="s">
        <v>6658</v>
      </c>
      <c r="B62" s="46">
        <v>0.6535947712418301</v>
      </c>
      <c r="C62" s="46">
        <v>6.045751633986928</v>
      </c>
      <c r="D62" s="46">
        <v>12.254901960784315</v>
      </c>
      <c r="E62" s="46">
        <v>5.065359477124183</v>
      </c>
      <c r="F62" s="46">
        <v>9.967320261437909</v>
      </c>
      <c r="G62" s="46">
        <v>2.287581699346405</v>
      </c>
      <c r="H62" s="46">
        <v>12.091503267973856</v>
      </c>
      <c r="I62" s="46">
        <v>4.411764705882353</v>
      </c>
      <c r="J62" s="46">
        <v>12.418300653594772</v>
      </c>
      <c r="K62" s="46">
        <v>7.189542483660131</v>
      </c>
      <c r="L62" s="46">
        <v>5.065359477124183</v>
      </c>
      <c r="M62" s="46">
        <v>5.882352941176471</v>
      </c>
      <c r="N62" s="46">
        <v>3.5947712418300655</v>
      </c>
      <c r="O62" s="46">
        <v>3.104575163398693</v>
      </c>
      <c r="P62" s="46">
        <v>0.6535947712418301</v>
      </c>
      <c r="Q62" s="46">
        <v>1.6339869281045751</v>
      </c>
      <c r="R62" s="46">
        <v>1.7973856209150327</v>
      </c>
      <c r="S62" s="46">
        <v>3.2679738562091503</v>
      </c>
      <c r="T62" s="46">
        <v>2.287581699346405</v>
      </c>
      <c r="U62" s="46">
        <v>0.32679738562091504</v>
      </c>
      <c r="V62" s="47">
        <v>100.0</v>
      </c>
    </row>
    <row r="63">
      <c r="A63" s="44" t="s">
        <v>6663</v>
      </c>
      <c r="B63" s="46">
        <v>1.5873015873015872</v>
      </c>
      <c r="C63" s="46">
        <v>2.821869488536155</v>
      </c>
      <c r="D63" s="46">
        <v>6.525573192239859</v>
      </c>
      <c r="E63" s="46">
        <v>5.467372134038801</v>
      </c>
      <c r="F63" s="46">
        <v>12.698412698412698</v>
      </c>
      <c r="G63" s="46">
        <v>9.523809523809524</v>
      </c>
      <c r="H63" s="46">
        <v>11.11111111111111</v>
      </c>
      <c r="I63" s="46">
        <v>5.99647266313933</v>
      </c>
      <c r="J63" s="46">
        <v>5.99647266313933</v>
      </c>
      <c r="K63" s="46">
        <v>4.056437389770723</v>
      </c>
      <c r="L63" s="46">
        <v>8.112874779541446</v>
      </c>
      <c r="M63" s="46">
        <v>3.3509700176366843</v>
      </c>
      <c r="N63" s="46">
        <v>4.585537918871252</v>
      </c>
      <c r="O63" s="46">
        <v>3.1746031746031744</v>
      </c>
      <c r="P63" s="46">
        <v>0.3527336860670194</v>
      </c>
      <c r="Q63" s="46">
        <v>2.1164021164021163</v>
      </c>
      <c r="R63" s="46">
        <v>0.8818342151675485</v>
      </c>
      <c r="S63" s="46">
        <v>6.525573192239859</v>
      </c>
      <c r="T63" s="46">
        <v>3.1746031746031744</v>
      </c>
      <c r="U63" s="46">
        <v>1.9400352733686066</v>
      </c>
      <c r="V63" s="47">
        <v>100.0</v>
      </c>
    </row>
    <row r="64">
      <c r="A64" s="44" t="s">
        <v>6667</v>
      </c>
      <c r="B64" s="46">
        <v>1.8796992481203008</v>
      </c>
      <c r="C64" s="46">
        <v>6.954887218045113</v>
      </c>
      <c r="D64" s="46">
        <v>8.834586466165414</v>
      </c>
      <c r="E64" s="46">
        <v>4.511278195488722</v>
      </c>
      <c r="F64" s="46">
        <v>8.646616541353383</v>
      </c>
      <c r="G64" s="46">
        <v>7.142857142857143</v>
      </c>
      <c r="H64" s="46">
        <v>9.962406015037594</v>
      </c>
      <c r="I64" s="46">
        <v>6.7669172932330826</v>
      </c>
      <c r="J64" s="46">
        <v>4.511278195488722</v>
      </c>
      <c r="K64" s="46">
        <v>7.706766917293233</v>
      </c>
      <c r="L64" s="46">
        <v>4.323308270676692</v>
      </c>
      <c r="M64" s="46">
        <v>5.827067669172933</v>
      </c>
      <c r="N64" s="46">
        <v>4.511278195488722</v>
      </c>
      <c r="O64" s="46">
        <v>3.1954887218045114</v>
      </c>
      <c r="P64" s="46">
        <v>0.5639097744360902</v>
      </c>
      <c r="Q64" s="46">
        <v>3.5714285714285716</v>
      </c>
      <c r="R64" s="46">
        <v>1.5037593984962405</v>
      </c>
      <c r="S64" s="46">
        <v>5.2631578947368425</v>
      </c>
      <c r="T64" s="46">
        <v>3.3834586466165413</v>
      </c>
      <c r="U64" s="46">
        <v>0.9398496240601504</v>
      </c>
      <c r="V64" s="47">
        <v>100.0</v>
      </c>
    </row>
    <row r="65">
      <c r="A65" s="44" t="s">
        <v>6672</v>
      </c>
      <c r="B65" s="46">
        <v>0.8368200836820083</v>
      </c>
      <c r="C65" s="46">
        <v>6.694560669456067</v>
      </c>
      <c r="D65" s="46">
        <v>10.460251046025105</v>
      </c>
      <c r="E65" s="46">
        <v>5.439330543933054</v>
      </c>
      <c r="F65" s="46">
        <v>10.878661087866108</v>
      </c>
      <c r="G65" s="46">
        <v>1.6736401673640167</v>
      </c>
      <c r="H65" s="46">
        <v>10.878661087866108</v>
      </c>
      <c r="I65" s="46">
        <v>5.439330543933054</v>
      </c>
      <c r="J65" s="46">
        <v>7.531380753138075</v>
      </c>
      <c r="K65" s="46">
        <v>7.531380753138075</v>
      </c>
      <c r="L65" s="46">
        <v>5.02092050209205</v>
      </c>
      <c r="M65" s="46">
        <v>7.949790794979079</v>
      </c>
      <c r="N65" s="46">
        <v>3.3472803347280333</v>
      </c>
      <c r="O65" s="46">
        <v>5.439330543933054</v>
      </c>
      <c r="P65" s="46">
        <v>0.8368200836820083</v>
      </c>
      <c r="Q65" s="46">
        <v>3.7656903765690375</v>
      </c>
      <c r="R65" s="46">
        <v>2.510460251046025</v>
      </c>
      <c r="S65" s="46">
        <v>1.2552301255230125</v>
      </c>
      <c r="T65" s="46">
        <v>2.510460251046025</v>
      </c>
      <c r="U65" s="46">
        <v>0.0</v>
      </c>
      <c r="V65" s="47">
        <v>100.0</v>
      </c>
    </row>
    <row r="66">
      <c r="A66" s="44" t="s">
        <v>6676</v>
      </c>
      <c r="B66" s="46">
        <v>2.1341463414634148</v>
      </c>
      <c r="C66" s="46">
        <v>4.878048780487805</v>
      </c>
      <c r="D66" s="46">
        <v>9.451219512195122</v>
      </c>
      <c r="E66" s="46">
        <v>4.573170731707317</v>
      </c>
      <c r="F66" s="46">
        <v>10.670731707317072</v>
      </c>
      <c r="G66" s="46">
        <v>6.7073170731707314</v>
      </c>
      <c r="H66" s="46">
        <v>7.926829268292683</v>
      </c>
      <c r="I66" s="46">
        <v>5.7926829268292686</v>
      </c>
      <c r="J66" s="46">
        <v>5.7926829268292686</v>
      </c>
      <c r="K66" s="46">
        <v>5.7926829268292686</v>
      </c>
      <c r="L66" s="46">
        <v>4.573170731707317</v>
      </c>
      <c r="M66" s="46">
        <v>8.536585365853659</v>
      </c>
      <c r="N66" s="46">
        <v>3.048780487804878</v>
      </c>
      <c r="O66" s="46">
        <v>5.182926829268292</v>
      </c>
      <c r="P66" s="46">
        <v>0.9146341463414634</v>
      </c>
      <c r="Q66" s="46">
        <v>2.4390243902439024</v>
      </c>
      <c r="R66" s="46">
        <v>1.829268292682927</v>
      </c>
      <c r="S66" s="46">
        <v>7.012195121951219</v>
      </c>
      <c r="T66" s="46">
        <v>2.1341463414634148</v>
      </c>
      <c r="U66" s="46">
        <v>0.6097560975609756</v>
      </c>
      <c r="V66" s="47">
        <v>100.0</v>
      </c>
    </row>
    <row r="67">
      <c r="A67" s="44" t="s">
        <v>6681</v>
      </c>
      <c r="B67" s="46">
        <v>1.6129032258064515</v>
      </c>
      <c r="C67" s="46">
        <v>7.661290322580645</v>
      </c>
      <c r="D67" s="46">
        <v>10.887096774193548</v>
      </c>
      <c r="E67" s="46">
        <v>5.241935483870968</v>
      </c>
      <c r="F67" s="46">
        <v>6.854838709677419</v>
      </c>
      <c r="G67" s="46">
        <v>1.6129032258064515</v>
      </c>
      <c r="H67" s="46">
        <v>6.854838709677419</v>
      </c>
      <c r="I67" s="46">
        <v>7.661290322580645</v>
      </c>
      <c r="J67" s="46">
        <v>12.096774193548388</v>
      </c>
      <c r="K67" s="46">
        <v>5.645161290322581</v>
      </c>
      <c r="L67" s="46">
        <v>4.435483870967742</v>
      </c>
      <c r="M67" s="46">
        <v>7.661290322580645</v>
      </c>
      <c r="N67" s="46">
        <v>3.225806451612903</v>
      </c>
      <c r="O67" s="46">
        <v>6.854838709677419</v>
      </c>
      <c r="P67" s="46">
        <v>0.8064516129032258</v>
      </c>
      <c r="Q67" s="46">
        <v>3.225806451612903</v>
      </c>
      <c r="R67" s="46">
        <v>2.0161290322580645</v>
      </c>
      <c r="S67" s="46">
        <v>2.0161290322580645</v>
      </c>
      <c r="T67" s="46">
        <v>2.0161290322580645</v>
      </c>
      <c r="U67" s="46">
        <v>1.6129032258064515</v>
      </c>
      <c r="V67" s="47">
        <v>100.0</v>
      </c>
    </row>
    <row r="68">
      <c r="A68" s="44" t="s">
        <v>6685</v>
      </c>
      <c r="B68" s="46">
        <v>0.7547169811320755</v>
      </c>
      <c r="C68" s="46">
        <v>2.2641509433962264</v>
      </c>
      <c r="D68" s="46">
        <v>11.320754716981131</v>
      </c>
      <c r="E68" s="46">
        <v>4.528301886792453</v>
      </c>
      <c r="F68" s="46">
        <v>10.566037735849056</v>
      </c>
      <c r="G68" s="46">
        <v>2.2641509433962264</v>
      </c>
      <c r="H68" s="46">
        <v>10.18867924528302</v>
      </c>
      <c r="I68" s="46">
        <v>5.660377358490566</v>
      </c>
      <c r="J68" s="46">
        <v>14.339622641509434</v>
      </c>
      <c r="K68" s="46">
        <v>7.169811320754717</v>
      </c>
      <c r="L68" s="46">
        <v>6.7924528301886795</v>
      </c>
      <c r="M68" s="46">
        <v>4.90566037735849</v>
      </c>
      <c r="N68" s="46">
        <v>3.3962264150943398</v>
      </c>
      <c r="O68" s="46">
        <v>6.415094339622642</v>
      </c>
      <c r="P68" s="46">
        <v>1.1320754716981132</v>
      </c>
      <c r="Q68" s="46">
        <v>0.0</v>
      </c>
      <c r="R68" s="46">
        <v>1.8867924528301887</v>
      </c>
      <c r="S68" s="46">
        <v>3.018867924528302</v>
      </c>
      <c r="T68" s="46">
        <v>2.2641509433962264</v>
      </c>
      <c r="U68" s="46">
        <v>1.1320754716981132</v>
      </c>
      <c r="V68" s="47">
        <v>100.0</v>
      </c>
    </row>
    <row r="69">
      <c r="A69" s="44" t="s">
        <v>6689</v>
      </c>
      <c r="B69" s="46">
        <v>0.975609756097561</v>
      </c>
      <c r="C69" s="46">
        <v>11.21951219512195</v>
      </c>
      <c r="D69" s="46">
        <v>19.024390243902438</v>
      </c>
      <c r="E69" s="46">
        <v>5.365853658536586</v>
      </c>
      <c r="F69" s="46">
        <v>6.829268292682927</v>
      </c>
      <c r="G69" s="46">
        <v>2.926829268292683</v>
      </c>
      <c r="H69" s="46">
        <v>9.268292682926829</v>
      </c>
      <c r="I69" s="46">
        <v>7.804878048780488</v>
      </c>
      <c r="J69" s="46">
        <v>4.878048780487805</v>
      </c>
      <c r="K69" s="46">
        <v>4.390243902439025</v>
      </c>
      <c r="L69" s="46">
        <v>2.4390243902439024</v>
      </c>
      <c r="M69" s="46">
        <v>1.951219512195122</v>
      </c>
      <c r="N69" s="46">
        <v>6.829268292682927</v>
      </c>
      <c r="O69" s="46">
        <v>3.902439024390244</v>
      </c>
      <c r="P69" s="46">
        <v>0.0</v>
      </c>
      <c r="Q69" s="46">
        <v>4.878048780487805</v>
      </c>
      <c r="R69" s="46">
        <v>0.4878048780487805</v>
      </c>
      <c r="S69" s="46">
        <v>4.878048780487805</v>
      </c>
      <c r="T69" s="46">
        <v>0.975609756097561</v>
      </c>
      <c r="U69" s="46">
        <v>0.975609756097561</v>
      </c>
      <c r="V69" s="47">
        <v>100.0</v>
      </c>
    </row>
    <row r="70">
      <c r="A70" s="44" t="s">
        <v>6693</v>
      </c>
      <c r="B70" s="46">
        <v>1.7578125</v>
      </c>
      <c r="C70" s="46">
        <v>8.59375</v>
      </c>
      <c r="D70" s="46">
        <v>9.5703125</v>
      </c>
      <c r="E70" s="46">
        <v>4.4921875</v>
      </c>
      <c r="F70" s="46">
        <v>11.71875</v>
      </c>
      <c r="G70" s="46">
        <v>5.078125</v>
      </c>
      <c r="H70" s="46">
        <v>8.59375</v>
      </c>
      <c r="I70" s="46">
        <v>4.4921875</v>
      </c>
      <c r="J70" s="46">
        <v>6.8359375</v>
      </c>
      <c r="K70" s="46">
        <v>6.25</v>
      </c>
      <c r="L70" s="46">
        <v>3.7109375</v>
      </c>
      <c r="M70" s="46">
        <v>5.46875</v>
      </c>
      <c r="N70" s="46">
        <v>4.296875</v>
      </c>
      <c r="O70" s="46">
        <v>3.7109375</v>
      </c>
      <c r="P70" s="46">
        <v>0.390625</v>
      </c>
      <c r="Q70" s="46">
        <v>3.3203125</v>
      </c>
      <c r="R70" s="46">
        <v>2.34375</v>
      </c>
      <c r="S70" s="46">
        <v>5.6640625</v>
      </c>
      <c r="T70" s="46">
        <v>2.9296875</v>
      </c>
      <c r="U70" s="46">
        <v>0.78125</v>
      </c>
      <c r="V70" s="47">
        <v>100.0</v>
      </c>
    </row>
    <row r="71">
      <c r="A71" s="44" t="s">
        <v>6695</v>
      </c>
      <c r="B71" s="46">
        <v>2.364864864864865</v>
      </c>
      <c r="C71" s="46">
        <v>3.7162162162162162</v>
      </c>
      <c r="D71" s="46">
        <v>6.081081081081081</v>
      </c>
      <c r="E71" s="46">
        <v>3.7162162162162162</v>
      </c>
      <c r="F71" s="46">
        <v>10.135135135135135</v>
      </c>
      <c r="G71" s="46">
        <v>4.054054054054054</v>
      </c>
      <c r="H71" s="46">
        <v>11.824324324324325</v>
      </c>
      <c r="I71" s="46">
        <v>7.77027027027027</v>
      </c>
      <c r="J71" s="46">
        <v>7.094594594594595</v>
      </c>
      <c r="K71" s="46">
        <v>5.743243243243243</v>
      </c>
      <c r="L71" s="46">
        <v>7.77027027027027</v>
      </c>
      <c r="M71" s="46">
        <v>5.405405405405405</v>
      </c>
      <c r="N71" s="46">
        <v>3.0405405405405403</v>
      </c>
      <c r="O71" s="46">
        <v>1.3513513513513513</v>
      </c>
      <c r="P71" s="46">
        <v>0.6756756756756757</v>
      </c>
      <c r="Q71" s="46">
        <v>2.364864864864865</v>
      </c>
      <c r="R71" s="46">
        <v>6.418918918918919</v>
      </c>
      <c r="S71" s="46">
        <v>5.405405405405405</v>
      </c>
      <c r="T71" s="46">
        <v>3.0405405405405403</v>
      </c>
      <c r="U71" s="46">
        <v>2.027027027027027</v>
      </c>
      <c r="V71" s="47">
        <v>100.0</v>
      </c>
    </row>
    <row r="72">
      <c r="A72" s="44" t="s">
        <v>6699</v>
      </c>
      <c r="B72" s="46">
        <v>1.8691588785046729</v>
      </c>
      <c r="C72" s="46">
        <v>10.280373831775702</v>
      </c>
      <c r="D72" s="46">
        <v>19.626168224299064</v>
      </c>
      <c r="E72" s="46">
        <v>8.411214953271028</v>
      </c>
      <c r="F72" s="46">
        <v>7.94392523364486</v>
      </c>
      <c r="G72" s="46">
        <v>5.607476635514018</v>
      </c>
      <c r="H72" s="46">
        <v>4.205607476635514</v>
      </c>
      <c r="I72" s="46">
        <v>4.672897196261682</v>
      </c>
      <c r="J72" s="46">
        <v>5.140186915887851</v>
      </c>
      <c r="K72" s="46">
        <v>8.878504672897197</v>
      </c>
      <c r="L72" s="46">
        <v>4.205607476635514</v>
      </c>
      <c r="M72" s="46">
        <v>6.074766355140187</v>
      </c>
      <c r="N72" s="46">
        <v>4.205607476635514</v>
      </c>
      <c r="O72" s="46">
        <v>1.8691588785046729</v>
      </c>
      <c r="P72" s="46">
        <v>0.4672897196261682</v>
      </c>
      <c r="Q72" s="46">
        <v>0.4672897196261682</v>
      </c>
      <c r="R72" s="46">
        <v>0.4672897196261682</v>
      </c>
      <c r="S72" s="46">
        <v>3.7383177570093458</v>
      </c>
      <c r="T72" s="46">
        <v>1.8691588785046729</v>
      </c>
      <c r="U72" s="46">
        <v>0.0</v>
      </c>
      <c r="V72" s="47">
        <v>100.0</v>
      </c>
    </row>
    <row r="73">
      <c r="A73" s="44" t="s">
        <v>6707</v>
      </c>
      <c r="B73" s="46">
        <v>1.7391304347826086</v>
      </c>
      <c r="C73" s="46">
        <v>4.782608695652174</v>
      </c>
      <c r="D73" s="46">
        <v>12.173913043478262</v>
      </c>
      <c r="E73" s="46">
        <v>4.3478260869565215</v>
      </c>
      <c r="F73" s="46">
        <v>13.91304347826087</v>
      </c>
      <c r="G73" s="46">
        <v>0.43478260869565216</v>
      </c>
      <c r="H73" s="46">
        <v>9.130434782608695</v>
      </c>
      <c r="I73" s="46">
        <v>3.0434782608695654</v>
      </c>
      <c r="J73" s="46">
        <v>12.608695652173912</v>
      </c>
      <c r="K73" s="46">
        <v>4.782608695652174</v>
      </c>
      <c r="L73" s="46">
        <v>8.26086956521739</v>
      </c>
      <c r="M73" s="46">
        <v>4.782608695652174</v>
      </c>
      <c r="N73" s="46">
        <v>3.4782608695652173</v>
      </c>
      <c r="O73" s="46">
        <v>5.6521739130434785</v>
      </c>
      <c r="P73" s="46">
        <v>0.43478260869565216</v>
      </c>
      <c r="Q73" s="46">
        <v>3.9130434782608696</v>
      </c>
      <c r="R73" s="46">
        <v>2.1739130434782608</v>
      </c>
      <c r="S73" s="46">
        <v>1.3043478260869565</v>
      </c>
      <c r="T73" s="46">
        <v>1.7391304347826086</v>
      </c>
      <c r="U73" s="46">
        <v>1.3043478260869565</v>
      </c>
      <c r="V73" s="47">
        <v>100.0</v>
      </c>
    </row>
    <row r="74">
      <c r="A74" s="44" t="s">
        <v>6713</v>
      </c>
      <c r="B74" s="46">
        <v>2.2900763358778624</v>
      </c>
      <c r="C74" s="46">
        <v>5.852417302798982</v>
      </c>
      <c r="D74" s="46">
        <v>9.414758269720101</v>
      </c>
      <c r="E74" s="46">
        <v>4.8346055979643765</v>
      </c>
      <c r="F74" s="46">
        <v>9.414758269720101</v>
      </c>
      <c r="G74" s="46">
        <v>5.597964376590331</v>
      </c>
      <c r="H74" s="46">
        <v>11.450381679389313</v>
      </c>
      <c r="I74" s="46">
        <v>6.361323155216285</v>
      </c>
      <c r="J74" s="46">
        <v>5.852417302798982</v>
      </c>
      <c r="K74" s="46">
        <v>7.124681933842239</v>
      </c>
      <c r="L74" s="46">
        <v>3.3078880407124682</v>
      </c>
      <c r="M74" s="46">
        <v>7.124681933842239</v>
      </c>
      <c r="N74" s="46">
        <v>3.3078880407124682</v>
      </c>
      <c r="O74" s="46">
        <v>4.325699745547074</v>
      </c>
      <c r="P74" s="46">
        <v>1.5267175572519085</v>
      </c>
      <c r="Q74" s="46">
        <v>1.7811704834605597</v>
      </c>
      <c r="R74" s="46">
        <v>2.2900763358778624</v>
      </c>
      <c r="S74" s="46">
        <v>5.597964376590331</v>
      </c>
      <c r="T74" s="46">
        <v>2.2900763358778624</v>
      </c>
      <c r="U74" s="46">
        <v>0.2544529262086514</v>
      </c>
      <c r="V74" s="47">
        <v>100.0</v>
      </c>
    </row>
    <row r="75">
      <c r="A75" s="44" t="s">
        <v>6719</v>
      </c>
      <c r="B75" s="46">
        <v>1.5625</v>
      </c>
      <c r="C75" s="46">
        <v>6.9602272727272725</v>
      </c>
      <c r="D75" s="46">
        <v>11.931818181818182</v>
      </c>
      <c r="E75" s="46">
        <v>5.113636363636363</v>
      </c>
      <c r="F75" s="46">
        <v>10.795454545454545</v>
      </c>
      <c r="G75" s="46">
        <v>2.272727272727273</v>
      </c>
      <c r="H75" s="46">
        <v>10.369318181818182</v>
      </c>
      <c r="I75" s="46">
        <v>5.823863636363637</v>
      </c>
      <c r="J75" s="46">
        <v>9.517045454545455</v>
      </c>
      <c r="K75" s="46">
        <v>5.113636363636363</v>
      </c>
      <c r="L75" s="46">
        <v>4.403409090909091</v>
      </c>
      <c r="M75" s="46">
        <v>7.670454545454546</v>
      </c>
      <c r="N75" s="46">
        <v>2.1306818181818183</v>
      </c>
      <c r="O75" s="46">
        <v>4.545454545454546</v>
      </c>
      <c r="P75" s="46">
        <v>1.2784090909090908</v>
      </c>
      <c r="Q75" s="46">
        <v>3.125</v>
      </c>
      <c r="R75" s="46">
        <v>1.5625</v>
      </c>
      <c r="S75" s="46">
        <v>3.835227272727273</v>
      </c>
      <c r="T75" s="46">
        <v>1.7045454545454546</v>
      </c>
      <c r="U75" s="46">
        <v>0.2840909090909091</v>
      </c>
      <c r="V75" s="47">
        <v>100.0</v>
      </c>
    </row>
    <row r="76">
      <c r="A76" s="44" t="s">
        <v>6725</v>
      </c>
      <c r="B76" s="46">
        <v>0.3546099290780142</v>
      </c>
      <c r="C76" s="46">
        <v>3.1914893617021276</v>
      </c>
      <c r="D76" s="46">
        <v>11.347517730496454</v>
      </c>
      <c r="E76" s="46">
        <v>2.8368794326241136</v>
      </c>
      <c r="F76" s="46">
        <v>12.76595744680851</v>
      </c>
      <c r="G76" s="46">
        <v>2.127659574468085</v>
      </c>
      <c r="H76" s="46">
        <v>13.829787234042554</v>
      </c>
      <c r="I76" s="46">
        <v>3.5460992907801416</v>
      </c>
      <c r="J76" s="46">
        <v>14.539007092198581</v>
      </c>
      <c r="K76" s="46">
        <v>4.25531914893617</v>
      </c>
      <c r="L76" s="46">
        <v>4.964539007092198</v>
      </c>
      <c r="M76" s="46">
        <v>7.446808510638298</v>
      </c>
      <c r="N76" s="46">
        <v>2.8368794326241136</v>
      </c>
      <c r="O76" s="46">
        <v>5.319148936170213</v>
      </c>
      <c r="P76" s="46">
        <v>2.127659574468085</v>
      </c>
      <c r="Q76" s="46">
        <v>0.7092198581560284</v>
      </c>
      <c r="R76" s="46">
        <v>1.0638297872340425</v>
      </c>
      <c r="S76" s="46">
        <v>3.1914893617021276</v>
      </c>
      <c r="T76" s="46">
        <v>2.127659574468085</v>
      </c>
      <c r="U76" s="46">
        <v>1.4184397163120568</v>
      </c>
      <c r="V76" s="47">
        <v>100.0</v>
      </c>
    </row>
    <row r="77">
      <c r="A77" s="44" t="s">
        <v>6731</v>
      </c>
      <c r="B77" s="46">
        <v>1.3157894736842106</v>
      </c>
      <c r="C77" s="46">
        <v>16.44736842105263</v>
      </c>
      <c r="D77" s="46">
        <v>9.868421052631579</v>
      </c>
      <c r="E77" s="46">
        <v>7.894736842105263</v>
      </c>
      <c r="F77" s="46">
        <v>6.578947368421052</v>
      </c>
      <c r="G77" s="46">
        <v>5.2631578947368425</v>
      </c>
      <c r="H77" s="46">
        <v>3.9473684210526314</v>
      </c>
      <c r="I77" s="46">
        <v>1.9736842105263157</v>
      </c>
      <c r="J77" s="46">
        <v>8.552631578947368</v>
      </c>
      <c r="K77" s="46">
        <v>20.394736842105264</v>
      </c>
      <c r="L77" s="46">
        <v>0.6578947368421053</v>
      </c>
      <c r="M77" s="46">
        <v>5.2631578947368425</v>
      </c>
      <c r="N77" s="46">
        <v>2.6315789473684212</v>
      </c>
      <c r="O77" s="46">
        <v>0.6578947368421053</v>
      </c>
      <c r="P77" s="46">
        <v>0.6578947368421053</v>
      </c>
      <c r="Q77" s="46">
        <v>0.0</v>
      </c>
      <c r="R77" s="46">
        <v>0.6578947368421053</v>
      </c>
      <c r="S77" s="46">
        <v>5.2631578947368425</v>
      </c>
      <c r="T77" s="46">
        <v>1.3157894736842106</v>
      </c>
      <c r="U77" s="46">
        <v>0.6578947368421053</v>
      </c>
      <c r="V77" s="47">
        <v>100.0</v>
      </c>
    </row>
    <row r="78">
      <c r="A78" s="44" t="s">
        <v>6736</v>
      </c>
      <c r="B78" s="46">
        <v>2.568218298555377</v>
      </c>
      <c r="C78" s="46">
        <v>4.815409309791332</v>
      </c>
      <c r="D78" s="46">
        <v>8.346709470304976</v>
      </c>
      <c r="E78" s="46">
        <v>6.902086677367576</v>
      </c>
      <c r="F78" s="46">
        <v>11.396468699839486</v>
      </c>
      <c r="G78" s="46">
        <v>5.457463884430177</v>
      </c>
      <c r="H78" s="46">
        <v>12.359550561797754</v>
      </c>
      <c r="I78" s="46">
        <v>5.617977528089888</v>
      </c>
      <c r="J78" s="46">
        <v>5.778491171749598</v>
      </c>
      <c r="K78" s="46">
        <v>5.136436597110754</v>
      </c>
      <c r="L78" s="46">
        <v>6.099518459069021</v>
      </c>
      <c r="M78" s="46">
        <v>4.333868378812199</v>
      </c>
      <c r="N78" s="46">
        <v>3.691813804173355</v>
      </c>
      <c r="O78" s="46">
        <v>3.2102728731942216</v>
      </c>
      <c r="P78" s="46">
        <v>0.32102728731942215</v>
      </c>
      <c r="Q78" s="46">
        <v>3.2102728731942216</v>
      </c>
      <c r="R78" s="46">
        <v>1.6051364365971108</v>
      </c>
      <c r="S78" s="46">
        <v>5.296950240770466</v>
      </c>
      <c r="T78" s="46">
        <v>2.7287319422150884</v>
      </c>
      <c r="U78" s="46">
        <v>1.1235955056179776</v>
      </c>
      <c r="V78" s="47">
        <v>100.0</v>
      </c>
    </row>
    <row r="79">
      <c r="A79" s="44" t="s">
        <v>6742</v>
      </c>
      <c r="B79" s="46">
        <v>0.9727626459143969</v>
      </c>
      <c r="C79" s="46">
        <v>3.6964980544747084</v>
      </c>
      <c r="D79" s="46">
        <v>11.867704280155642</v>
      </c>
      <c r="E79" s="46">
        <v>5.252918287937743</v>
      </c>
      <c r="F79" s="46">
        <v>10.116731517509727</v>
      </c>
      <c r="G79" s="46">
        <v>3.11284046692607</v>
      </c>
      <c r="H79" s="46">
        <v>11.284046692607005</v>
      </c>
      <c r="I79" s="46">
        <v>1.556420233463035</v>
      </c>
      <c r="J79" s="46">
        <v>10.700389105058365</v>
      </c>
      <c r="K79" s="46">
        <v>5.642023346303502</v>
      </c>
      <c r="L79" s="46">
        <v>6.614785992217898</v>
      </c>
      <c r="M79" s="46">
        <v>5.836575875486381</v>
      </c>
      <c r="N79" s="46">
        <v>5.447470817120623</v>
      </c>
      <c r="O79" s="46">
        <v>6.809338521400778</v>
      </c>
      <c r="P79" s="46">
        <v>0.7782101167315175</v>
      </c>
      <c r="Q79" s="46">
        <v>2.3346303501945527</v>
      </c>
      <c r="R79" s="46">
        <v>0.9727626459143969</v>
      </c>
      <c r="S79" s="46">
        <v>3.6964980544747084</v>
      </c>
      <c r="T79" s="46">
        <v>1.9455252918287937</v>
      </c>
      <c r="U79" s="46">
        <v>1.3618677042801557</v>
      </c>
      <c r="V79" s="47">
        <v>100.0</v>
      </c>
    </row>
    <row r="80">
      <c r="A80" s="44" t="s">
        <v>6748</v>
      </c>
      <c r="B80" s="46">
        <v>2.93398533007335</v>
      </c>
      <c r="C80" s="46">
        <v>10.02444987775061</v>
      </c>
      <c r="D80" s="46">
        <v>14.91442542787286</v>
      </c>
      <c r="E80" s="46">
        <v>5.8679706601467</v>
      </c>
      <c r="F80" s="46">
        <v>8.80195599022005</v>
      </c>
      <c r="G80" s="46">
        <v>4.400977995110025</v>
      </c>
      <c r="H80" s="46">
        <v>7.579462102689487</v>
      </c>
      <c r="I80" s="46">
        <v>6.601466992665037</v>
      </c>
      <c r="J80" s="46">
        <v>5.378973105134475</v>
      </c>
      <c r="K80" s="46">
        <v>3.9119804400977993</v>
      </c>
      <c r="L80" s="46">
        <v>3.1784841075794623</v>
      </c>
      <c r="M80" s="46">
        <v>6.845965770171149</v>
      </c>
      <c r="N80" s="46">
        <v>6.601466992665037</v>
      </c>
      <c r="O80" s="46">
        <v>2.2004889975550124</v>
      </c>
      <c r="P80" s="46">
        <v>0.0</v>
      </c>
      <c r="Q80" s="46">
        <v>1.9559902200488997</v>
      </c>
      <c r="R80" s="46">
        <v>0.4889975550122249</v>
      </c>
      <c r="S80" s="46">
        <v>6.356968215158925</v>
      </c>
      <c r="T80" s="46">
        <v>1.2224938875305624</v>
      </c>
      <c r="U80" s="46">
        <v>0.7334963325183375</v>
      </c>
      <c r="V80" s="47">
        <v>100.0</v>
      </c>
    </row>
    <row r="81">
      <c r="A81" s="44" t="s">
        <v>6754</v>
      </c>
      <c r="B81" s="46">
        <v>1.0416666666666667</v>
      </c>
      <c r="C81" s="46">
        <v>1.0416666666666667</v>
      </c>
      <c r="D81" s="46">
        <v>8.333333333333334</v>
      </c>
      <c r="E81" s="46">
        <v>4.166666666666667</v>
      </c>
      <c r="F81" s="46">
        <v>19.791666666666668</v>
      </c>
      <c r="G81" s="46">
        <v>5.208333333333333</v>
      </c>
      <c r="H81" s="46">
        <v>13.541666666666666</v>
      </c>
      <c r="I81" s="46">
        <v>8.333333333333334</v>
      </c>
      <c r="J81" s="46">
        <v>4.166666666666667</v>
      </c>
      <c r="K81" s="46">
        <v>3.125</v>
      </c>
      <c r="L81" s="46">
        <v>10.416666666666666</v>
      </c>
      <c r="M81" s="46">
        <v>3.125</v>
      </c>
      <c r="N81" s="46">
        <v>4.166666666666667</v>
      </c>
      <c r="O81" s="46">
        <v>1.0416666666666667</v>
      </c>
      <c r="P81" s="46">
        <v>0.0</v>
      </c>
      <c r="Q81" s="46">
        <v>3.125</v>
      </c>
      <c r="R81" s="46">
        <v>1.0416666666666667</v>
      </c>
      <c r="S81" s="46">
        <v>5.208333333333333</v>
      </c>
      <c r="T81" s="46">
        <v>2.0833333333333335</v>
      </c>
      <c r="U81" s="46">
        <v>1.0416666666666667</v>
      </c>
      <c r="V81" s="47">
        <v>100.0</v>
      </c>
    </row>
    <row r="82">
      <c r="A82" s="44" t="s">
        <v>6759</v>
      </c>
      <c r="B82" s="46">
        <v>2.7027027027027026</v>
      </c>
      <c r="C82" s="46">
        <v>4.954954954954955</v>
      </c>
      <c r="D82" s="46">
        <v>7.657657657657658</v>
      </c>
      <c r="E82" s="46">
        <v>4.504504504504505</v>
      </c>
      <c r="F82" s="46">
        <v>9.45945945945946</v>
      </c>
      <c r="G82" s="46">
        <v>3.1531531531531534</v>
      </c>
      <c r="H82" s="46">
        <v>10.36036036036036</v>
      </c>
      <c r="I82" s="46">
        <v>5.8558558558558556</v>
      </c>
      <c r="J82" s="46">
        <v>7.207207207207207</v>
      </c>
      <c r="K82" s="46">
        <v>5.405405405405405</v>
      </c>
      <c r="L82" s="46">
        <v>3.1531531531531534</v>
      </c>
      <c r="M82" s="46">
        <v>5.8558558558558556</v>
      </c>
      <c r="N82" s="46">
        <v>8.108108108108109</v>
      </c>
      <c r="O82" s="46">
        <v>2.7027027027027026</v>
      </c>
      <c r="P82" s="46">
        <v>0.0</v>
      </c>
      <c r="Q82" s="46">
        <v>3.6036036036036037</v>
      </c>
      <c r="R82" s="46">
        <v>2.2522522522522523</v>
      </c>
      <c r="S82" s="46">
        <v>9.00900900900901</v>
      </c>
      <c r="T82" s="46">
        <v>2.7027027027027026</v>
      </c>
      <c r="U82" s="46">
        <v>1.3513513513513513</v>
      </c>
      <c r="V82" s="47">
        <v>100.0</v>
      </c>
    </row>
    <row r="83">
      <c r="A83" s="44" t="s">
        <v>6765</v>
      </c>
      <c r="B83" s="46">
        <v>1.2658227848101267</v>
      </c>
      <c r="C83" s="46">
        <v>3.5443037974683542</v>
      </c>
      <c r="D83" s="46">
        <v>8.10126582278481</v>
      </c>
      <c r="E83" s="46">
        <v>2.278481012658228</v>
      </c>
      <c r="F83" s="46">
        <v>8.10126582278481</v>
      </c>
      <c r="G83" s="46">
        <v>2.278481012658228</v>
      </c>
      <c r="H83" s="46">
        <v>11.139240506329115</v>
      </c>
      <c r="I83" s="46">
        <v>5.3164556962025316</v>
      </c>
      <c r="J83" s="46">
        <v>8.860759493670885</v>
      </c>
      <c r="K83" s="46">
        <v>5.3164556962025316</v>
      </c>
      <c r="L83" s="46">
        <v>6.329113924050633</v>
      </c>
      <c r="M83" s="46">
        <v>5.063291139240507</v>
      </c>
      <c r="N83" s="46">
        <v>7.341772151898734</v>
      </c>
      <c r="O83" s="46">
        <v>10.126582278481013</v>
      </c>
      <c r="P83" s="46">
        <v>0.759493670886076</v>
      </c>
      <c r="Q83" s="46">
        <v>4.050632911392405</v>
      </c>
      <c r="R83" s="46">
        <v>2.278481012658228</v>
      </c>
      <c r="S83" s="46">
        <v>3.5443037974683542</v>
      </c>
      <c r="T83" s="46">
        <v>3.037974683544304</v>
      </c>
      <c r="U83" s="46">
        <v>1.2658227848101267</v>
      </c>
      <c r="V83" s="47">
        <v>100.0</v>
      </c>
    </row>
    <row r="84">
      <c r="A84" s="44" t="s">
        <v>6771</v>
      </c>
      <c r="B84" s="46">
        <v>1.2106537530266344</v>
      </c>
      <c r="C84" s="46">
        <v>7.263922518159807</v>
      </c>
      <c r="D84" s="46">
        <v>16.949152542372882</v>
      </c>
      <c r="E84" s="46">
        <v>4.842615012106537</v>
      </c>
      <c r="F84" s="46">
        <v>6.295399515738499</v>
      </c>
      <c r="G84" s="46">
        <v>2.4213075060532687</v>
      </c>
      <c r="H84" s="46">
        <v>7.506053268765133</v>
      </c>
      <c r="I84" s="46">
        <v>4.600484261501211</v>
      </c>
      <c r="J84" s="46">
        <v>11.864406779661017</v>
      </c>
      <c r="K84" s="46">
        <v>6.295399515738499</v>
      </c>
      <c r="L84" s="46">
        <v>6.779661016949152</v>
      </c>
      <c r="M84" s="46">
        <v>5.5690072639225185</v>
      </c>
      <c r="N84" s="46">
        <v>4.116222760290557</v>
      </c>
      <c r="O84" s="46">
        <v>3.87409200968523</v>
      </c>
      <c r="P84" s="46">
        <v>0.48426150121065376</v>
      </c>
      <c r="Q84" s="46">
        <v>2.6634382566585955</v>
      </c>
      <c r="R84" s="46">
        <v>1.937046004842615</v>
      </c>
      <c r="S84" s="46">
        <v>1.937046004842615</v>
      </c>
      <c r="T84" s="46">
        <v>1.4527845036319613</v>
      </c>
      <c r="U84" s="46">
        <v>1.937046004842615</v>
      </c>
      <c r="V84" s="47">
        <v>100.0</v>
      </c>
    </row>
    <row r="85">
      <c r="A85" s="44" t="s">
        <v>6777</v>
      </c>
      <c r="B85" s="46">
        <v>0.5780346820809249</v>
      </c>
      <c r="C85" s="46">
        <v>10.982658959537572</v>
      </c>
      <c r="D85" s="46">
        <v>17.341040462427745</v>
      </c>
      <c r="E85" s="46">
        <v>6.936416184971098</v>
      </c>
      <c r="F85" s="46">
        <v>9.826589595375722</v>
      </c>
      <c r="G85" s="46">
        <v>2.3121387283236996</v>
      </c>
      <c r="H85" s="46">
        <v>8.670520231213873</v>
      </c>
      <c r="I85" s="46">
        <v>2.8901734104046244</v>
      </c>
      <c r="J85" s="46">
        <v>5.202312138728324</v>
      </c>
      <c r="K85" s="46">
        <v>10.982658959537572</v>
      </c>
      <c r="L85" s="46">
        <v>3.468208092485549</v>
      </c>
      <c r="M85" s="46">
        <v>6.358381502890174</v>
      </c>
      <c r="N85" s="46">
        <v>2.8901734104046244</v>
      </c>
      <c r="O85" s="46">
        <v>3.468208092485549</v>
      </c>
      <c r="P85" s="46">
        <v>0.5780346820809249</v>
      </c>
      <c r="Q85" s="46">
        <v>1.7341040462427746</v>
      </c>
      <c r="R85" s="46">
        <v>0.0</v>
      </c>
      <c r="S85" s="46">
        <v>4.046242774566474</v>
      </c>
      <c r="T85" s="46">
        <v>1.7341040462427746</v>
      </c>
      <c r="U85" s="46">
        <v>0.0</v>
      </c>
      <c r="V85" s="47">
        <v>100.0</v>
      </c>
    </row>
    <row r="86">
      <c r="A86" s="44" t="s">
        <v>6784</v>
      </c>
      <c r="B86" s="46">
        <v>1.4962593516209477</v>
      </c>
      <c r="C86" s="46">
        <v>2.2443890274314215</v>
      </c>
      <c r="D86" s="46">
        <v>8.977556109725686</v>
      </c>
      <c r="E86" s="46">
        <v>4.987531172069826</v>
      </c>
      <c r="F86" s="46">
        <v>9.975062344139651</v>
      </c>
      <c r="G86" s="46">
        <v>3.7406483790523692</v>
      </c>
      <c r="H86" s="46">
        <v>13.216957605985037</v>
      </c>
      <c r="I86" s="46">
        <v>7.73067331670823</v>
      </c>
      <c r="J86" s="46">
        <v>7.4812967581047385</v>
      </c>
      <c r="K86" s="46">
        <v>8.229426433915211</v>
      </c>
      <c r="L86" s="46">
        <v>7.4812967581047385</v>
      </c>
      <c r="M86" s="46">
        <v>3.2418952618453867</v>
      </c>
      <c r="N86" s="46">
        <v>2.2443890274314215</v>
      </c>
      <c r="O86" s="46">
        <v>6.483790523690773</v>
      </c>
      <c r="P86" s="46">
        <v>0.24937655860349128</v>
      </c>
      <c r="Q86" s="46">
        <v>1.2468827930174564</v>
      </c>
      <c r="R86" s="46">
        <v>2.2443890274314215</v>
      </c>
      <c r="S86" s="46">
        <v>2.9925187032418954</v>
      </c>
      <c r="T86" s="46">
        <v>1.9950124688279303</v>
      </c>
      <c r="U86" s="46">
        <v>3.7406483790523692</v>
      </c>
      <c r="V86" s="47">
        <v>100.0</v>
      </c>
    </row>
    <row r="87">
      <c r="A87" s="44" t="s">
        <v>6789</v>
      </c>
      <c r="B87" s="46">
        <v>4.444444444444445</v>
      </c>
      <c r="C87" s="46">
        <v>3.111111111111111</v>
      </c>
      <c r="D87" s="46">
        <v>5.333333333333333</v>
      </c>
      <c r="E87" s="46">
        <v>3.111111111111111</v>
      </c>
      <c r="F87" s="46">
        <v>9.777777777777779</v>
      </c>
      <c r="G87" s="46">
        <v>5.333333333333333</v>
      </c>
      <c r="H87" s="46">
        <v>13.777777777777779</v>
      </c>
      <c r="I87" s="46">
        <v>7.555555555555555</v>
      </c>
      <c r="J87" s="46">
        <v>3.111111111111111</v>
      </c>
      <c r="K87" s="46">
        <v>7.555555555555555</v>
      </c>
      <c r="L87" s="46">
        <v>12.88888888888889</v>
      </c>
      <c r="M87" s="46">
        <v>0.8888888888888888</v>
      </c>
      <c r="N87" s="46">
        <v>2.2222222222222223</v>
      </c>
      <c r="O87" s="46">
        <v>4.0</v>
      </c>
      <c r="P87" s="46">
        <v>1.3333333333333333</v>
      </c>
      <c r="Q87" s="46">
        <v>0.4444444444444444</v>
      </c>
      <c r="R87" s="46">
        <v>0.4444444444444444</v>
      </c>
      <c r="S87" s="46">
        <v>6.222222222222222</v>
      </c>
      <c r="T87" s="46">
        <v>4.888888888888889</v>
      </c>
      <c r="U87" s="46">
        <v>3.5555555555555554</v>
      </c>
      <c r="V87" s="47">
        <v>100.0</v>
      </c>
    </row>
    <row r="88">
      <c r="A88" s="44" t="s">
        <v>6796</v>
      </c>
      <c r="B88" s="46">
        <v>2.8846153846153846</v>
      </c>
      <c r="C88" s="46">
        <v>6.730769230769231</v>
      </c>
      <c r="D88" s="46">
        <v>11.057692307692308</v>
      </c>
      <c r="E88" s="46">
        <v>3.3653846153846154</v>
      </c>
      <c r="F88" s="46">
        <v>11.538461538461538</v>
      </c>
      <c r="G88" s="46">
        <v>7.6923076923076925</v>
      </c>
      <c r="H88" s="46">
        <v>9.134615384615385</v>
      </c>
      <c r="I88" s="46">
        <v>7.211538461538462</v>
      </c>
      <c r="J88" s="46">
        <v>6.730769230769231</v>
      </c>
      <c r="K88" s="46">
        <v>9.134615384615385</v>
      </c>
      <c r="L88" s="46">
        <v>1.9230769230769231</v>
      </c>
      <c r="M88" s="46">
        <v>6.730769230769231</v>
      </c>
      <c r="N88" s="46">
        <v>1.9230769230769231</v>
      </c>
      <c r="O88" s="46">
        <v>2.8846153846153846</v>
      </c>
      <c r="P88" s="46">
        <v>0.9615384615384616</v>
      </c>
      <c r="Q88" s="46">
        <v>1.9230769230769231</v>
      </c>
      <c r="R88" s="46">
        <v>1.4423076923076923</v>
      </c>
      <c r="S88" s="46">
        <v>5.288461538461538</v>
      </c>
      <c r="T88" s="46">
        <v>1.4423076923076923</v>
      </c>
      <c r="U88" s="46">
        <v>0.0</v>
      </c>
      <c r="V88" s="47">
        <v>100.0</v>
      </c>
    </row>
    <row r="89">
      <c r="A89" s="44" t="s">
        <v>6802</v>
      </c>
      <c r="B89" s="46">
        <v>1.075268817204301</v>
      </c>
      <c r="C89" s="46">
        <v>5.376344086021505</v>
      </c>
      <c r="D89" s="46">
        <v>11.290322580645162</v>
      </c>
      <c r="E89" s="46">
        <v>3.763440860215054</v>
      </c>
      <c r="F89" s="46">
        <v>13.440860215053764</v>
      </c>
      <c r="G89" s="46">
        <v>4.301075268817204</v>
      </c>
      <c r="H89" s="46">
        <v>13.440860215053764</v>
      </c>
      <c r="I89" s="46">
        <v>3.225806451612903</v>
      </c>
      <c r="J89" s="46">
        <v>12.365591397849462</v>
      </c>
      <c r="K89" s="46">
        <v>4.838709677419355</v>
      </c>
      <c r="L89" s="46">
        <v>3.763440860215054</v>
      </c>
      <c r="M89" s="46">
        <v>6.989247311827957</v>
      </c>
      <c r="N89" s="46">
        <v>3.225806451612903</v>
      </c>
      <c r="O89" s="46">
        <v>8.602150537634408</v>
      </c>
      <c r="P89" s="46">
        <v>0.0</v>
      </c>
      <c r="Q89" s="46">
        <v>2.150537634408602</v>
      </c>
      <c r="R89" s="46">
        <v>0.5376344086021505</v>
      </c>
      <c r="S89" s="46">
        <v>1.6129032258064515</v>
      </c>
      <c r="T89" s="46">
        <v>0.0</v>
      </c>
      <c r="U89" s="46">
        <v>0.0</v>
      </c>
      <c r="V89" s="47">
        <v>100.0</v>
      </c>
    </row>
    <row r="90">
      <c r="A90" s="44" t="s">
        <v>6807</v>
      </c>
      <c r="B90" s="46">
        <v>0.947075208913649</v>
      </c>
      <c r="C90" s="46">
        <v>3.732590529247911</v>
      </c>
      <c r="D90" s="46">
        <v>9.303621169916434</v>
      </c>
      <c r="E90" s="46">
        <v>6.183844011142061</v>
      </c>
      <c r="F90" s="46">
        <v>8.913649025069638</v>
      </c>
      <c r="G90" s="46">
        <v>3.4540389972144845</v>
      </c>
      <c r="H90" s="46">
        <v>9.303621169916434</v>
      </c>
      <c r="I90" s="46">
        <v>5.348189415041783</v>
      </c>
      <c r="J90" s="46">
        <v>9.13649025069638</v>
      </c>
      <c r="K90" s="46">
        <v>8.857938718662952</v>
      </c>
      <c r="L90" s="46">
        <v>6.295264623955432</v>
      </c>
      <c r="M90" s="46">
        <v>6.072423398328691</v>
      </c>
      <c r="N90" s="46">
        <v>4.56824512534819</v>
      </c>
      <c r="O90" s="46">
        <v>5.73816155988858</v>
      </c>
      <c r="P90" s="46">
        <v>0.11142061281337047</v>
      </c>
      <c r="Q90" s="46">
        <v>1.6713091922005572</v>
      </c>
      <c r="R90" s="46">
        <v>0.8913649025069638</v>
      </c>
      <c r="S90" s="46">
        <v>4.79108635097493</v>
      </c>
      <c r="T90" s="46">
        <v>3.1754874651810585</v>
      </c>
      <c r="U90" s="46">
        <v>1.5041782729805013</v>
      </c>
      <c r="V90" s="47">
        <v>100.0</v>
      </c>
    </row>
    <row r="91">
      <c r="A91" s="44" t="s">
        <v>6814</v>
      </c>
      <c r="B91" s="46">
        <v>0.4444444444444444</v>
      </c>
      <c r="C91" s="46">
        <v>6.222222222222222</v>
      </c>
      <c r="D91" s="46">
        <v>9.333333333333334</v>
      </c>
      <c r="E91" s="46">
        <v>4.0</v>
      </c>
      <c r="F91" s="46">
        <v>10.666666666666666</v>
      </c>
      <c r="G91" s="46">
        <v>2.6666666666666665</v>
      </c>
      <c r="H91" s="46">
        <v>14.222222222222221</v>
      </c>
      <c r="I91" s="46">
        <v>3.5555555555555554</v>
      </c>
      <c r="J91" s="46">
        <v>12.0</v>
      </c>
      <c r="K91" s="46">
        <v>6.666666666666667</v>
      </c>
      <c r="L91" s="46">
        <v>4.0</v>
      </c>
      <c r="M91" s="46">
        <v>4.444444444444445</v>
      </c>
      <c r="N91" s="46">
        <v>4.0</v>
      </c>
      <c r="O91" s="46">
        <v>6.222222222222222</v>
      </c>
      <c r="P91" s="46">
        <v>1.3333333333333333</v>
      </c>
      <c r="Q91" s="46">
        <v>2.2222222222222223</v>
      </c>
      <c r="R91" s="46">
        <v>2.6666666666666665</v>
      </c>
      <c r="S91" s="46">
        <v>3.111111111111111</v>
      </c>
      <c r="T91" s="46">
        <v>1.3333333333333333</v>
      </c>
      <c r="U91" s="46">
        <v>0.8888888888888888</v>
      </c>
      <c r="V91" s="47">
        <v>100.0</v>
      </c>
    </row>
    <row r="92">
      <c r="A92" s="44" t="s">
        <v>6819</v>
      </c>
      <c r="B92" s="46">
        <v>2.6785714285714284</v>
      </c>
      <c r="C92" s="46">
        <v>10.714285714285714</v>
      </c>
      <c r="D92" s="46">
        <v>11.607142857142858</v>
      </c>
      <c r="E92" s="46">
        <v>3.5714285714285716</v>
      </c>
      <c r="F92" s="46">
        <v>10.714285714285714</v>
      </c>
      <c r="G92" s="46">
        <v>1.7857142857142858</v>
      </c>
      <c r="H92" s="46">
        <v>13.392857142857142</v>
      </c>
      <c r="I92" s="46">
        <v>4.017857142857143</v>
      </c>
      <c r="J92" s="46">
        <v>6.25</v>
      </c>
      <c r="K92" s="46">
        <v>5.803571428571429</v>
      </c>
      <c r="L92" s="46">
        <v>4.464285714285714</v>
      </c>
      <c r="M92" s="46">
        <v>6.696428571428571</v>
      </c>
      <c r="N92" s="46">
        <v>4.910714285714286</v>
      </c>
      <c r="O92" s="46">
        <v>3.125</v>
      </c>
      <c r="P92" s="46">
        <v>0.0</v>
      </c>
      <c r="Q92" s="46">
        <v>3.5714285714285716</v>
      </c>
      <c r="R92" s="46">
        <v>0.8928571428571429</v>
      </c>
      <c r="S92" s="46">
        <v>4.910714285714286</v>
      </c>
      <c r="T92" s="46">
        <v>0.44642857142857145</v>
      </c>
      <c r="U92" s="46">
        <v>0.44642857142857145</v>
      </c>
      <c r="V92" s="47">
        <v>100.0</v>
      </c>
    </row>
    <row r="93">
      <c r="A93" s="44" t="s">
        <v>6825</v>
      </c>
      <c r="B93" s="46">
        <v>1.5873015873015872</v>
      </c>
      <c r="C93" s="46">
        <v>14.285714285714286</v>
      </c>
      <c r="D93" s="46">
        <v>14.285714285714286</v>
      </c>
      <c r="E93" s="46">
        <v>6.349206349206349</v>
      </c>
      <c r="F93" s="46">
        <v>3.1746031746031744</v>
      </c>
      <c r="G93" s="46">
        <v>3.1746031746031744</v>
      </c>
      <c r="H93" s="46">
        <v>3.1746031746031744</v>
      </c>
      <c r="I93" s="46">
        <v>4.761904761904762</v>
      </c>
      <c r="J93" s="46">
        <v>3.1746031746031744</v>
      </c>
      <c r="K93" s="46">
        <v>1.5873015873015872</v>
      </c>
      <c r="L93" s="46">
        <v>3.1746031746031744</v>
      </c>
      <c r="M93" s="46">
        <v>9.523809523809524</v>
      </c>
      <c r="N93" s="46">
        <v>4.761904761904762</v>
      </c>
      <c r="O93" s="46">
        <v>7.936507936507937</v>
      </c>
      <c r="P93" s="46">
        <v>1.5873015873015872</v>
      </c>
      <c r="Q93" s="46">
        <v>4.761904761904762</v>
      </c>
      <c r="R93" s="46">
        <v>0.0</v>
      </c>
      <c r="S93" s="46">
        <v>3.1746031746031744</v>
      </c>
      <c r="T93" s="46">
        <v>6.349206349206349</v>
      </c>
      <c r="U93" s="46">
        <v>3.1746031746031744</v>
      </c>
      <c r="V93" s="47">
        <v>100.0</v>
      </c>
    </row>
    <row r="94">
      <c r="A94" s="44" t="s">
        <v>6829</v>
      </c>
      <c r="B94" s="46">
        <v>3.0</v>
      </c>
      <c r="C94" s="46">
        <v>6.0</v>
      </c>
      <c r="D94" s="46">
        <v>13.0</v>
      </c>
      <c r="E94" s="46">
        <v>4.0</v>
      </c>
      <c r="F94" s="46">
        <v>8.0</v>
      </c>
      <c r="G94" s="46">
        <v>2.0</v>
      </c>
      <c r="H94" s="46">
        <v>18.0</v>
      </c>
      <c r="I94" s="46">
        <v>5.0</v>
      </c>
      <c r="J94" s="46">
        <v>11.0</v>
      </c>
      <c r="K94" s="46">
        <v>9.0</v>
      </c>
      <c r="L94" s="46">
        <v>1.0</v>
      </c>
      <c r="M94" s="46">
        <v>7.0</v>
      </c>
      <c r="N94" s="46">
        <v>3.0</v>
      </c>
      <c r="O94" s="46">
        <v>3.0</v>
      </c>
      <c r="P94" s="46">
        <v>0.0</v>
      </c>
      <c r="Q94" s="46">
        <v>2.0</v>
      </c>
      <c r="R94" s="46">
        <v>1.0</v>
      </c>
      <c r="S94" s="46">
        <v>2.0</v>
      </c>
      <c r="T94" s="46">
        <v>2.0</v>
      </c>
      <c r="U94" s="46">
        <v>0.0</v>
      </c>
      <c r="V94" s="47">
        <v>100.0</v>
      </c>
    </row>
    <row r="95">
      <c r="A95" s="44" t="s">
        <v>6833</v>
      </c>
      <c r="B95" s="46">
        <v>0.5893909626719057</v>
      </c>
      <c r="C95" s="46">
        <v>5.893909626719057</v>
      </c>
      <c r="D95" s="46">
        <v>14.145383104125736</v>
      </c>
      <c r="E95" s="46">
        <v>7.465618860510806</v>
      </c>
      <c r="F95" s="46">
        <v>8.055009823182711</v>
      </c>
      <c r="G95" s="46">
        <v>2.9469548133595285</v>
      </c>
      <c r="H95" s="46">
        <v>7.465618860510806</v>
      </c>
      <c r="I95" s="46">
        <v>4.911591355599215</v>
      </c>
      <c r="J95" s="46">
        <v>10.019646365422396</v>
      </c>
      <c r="K95" s="46">
        <v>8.644400785854616</v>
      </c>
      <c r="L95" s="46">
        <v>6.4833005893909625</v>
      </c>
      <c r="M95" s="46">
        <v>8.840864440078585</v>
      </c>
      <c r="N95" s="46">
        <v>2.357563850687623</v>
      </c>
      <c r="O95" s="46">
        <v>2.5540275049115913</v>
      </c>
      <c r="P95" s="46">
        <v>0.19646365422396855</v>
      </c>
      <c r="Q95" s="46">
        <v>1.5717092337917484</v>
      </c>
      <c r="R95" s="46">
        <v>0.9823182711198428</v>
      </c>
      <c r="S95" s="46">
        <v>2.5540275049115913</v>
      </c>
      <c r="T95" s="46">
        <v>4.12573673870334</v>
      </c>
      <c r="U95" s="46">
        <v>0.19646365422396855</v>
      </c>
      <c r="V95" s="47">
        <v>100.0</v>
      </c>
    </row>
    <row r="96">
      <c r="A96" s="44" t="s">
        <v>6840</v>
      </c>
      <c r="B96" s="46">
        <v>2.803738317757009</v>
      </c>
      <c r="C96" s="46">
        <v>8.411214953271028</v>
      </c>
      <c r="D96" s="46">
        <v>17.757009345794394</v>
      </c>
      <c r="E96" s="46">
        <v>4.672897196261682</v>
      </c>
      <c r="F96" s="46">
        <v>7.4766355140186915</v>
      </c>
      <c r="G96" s="46">
        <v>3.7383177570093458</v>
      </c>
      <c r="H96" s="46">
        <v>12.149532710280374</v>
      </c>
      <c r="I96" s="46">
        <v>7.4766355140186915</v>
      </c>
      <c r="J96" s="46">
        <v>2.803738317757009</v>
      </c>
      <c r="K96" s="46">
        <v>4.672897196261682</v>
      </c>
      <c r="L96" s="46">
        <v>9.345794392523365</v>
      </c>
      <c r="M96" s="46">
        <v>1.8691588785046729</v>
      </c>
      <c r="N96" s="46">
        <v>4.672897196261682</v>
      </c>
      <c r="O96" s="46">
        <v>0.9345794392523364</v>
      </c>
      <c r="P96" s="46">
        <v>0.0</v>
      </c>
      <c r="Q96" s="46">
        <v>3.7383177570093458</v>
      </c>
      <c r="R96" s="46">
        <v>0.9345794392523364</v>
      </c>
      <c r="S96" s="46">
        <v>1.8691588785046729</v>
      </c>
      <c r="T96" s="46">
        <v>2.803738317757009</v>
      </c>
      <c r="U96" s="46">
        <v>1.8691588785046729</v>
      </c>
      <c r="V96" s="47">
        <v>100.0</v>
      </c>
    </row>
    <row r="97">
      <c r="A97" s="44" t="s">
        <v>6845</v>
      </c>
      <c r="B97" s="46">
        <v>0.8264462809917356</v>
      </c>
      <c r="C97" s="46">
        <v>7.851239669421488</v>
      </c>
      <c r="D97" s="46">
        <v>7.024793388429752</v>
      </c>
      <c r="E97" s="46">
        <v>7.851239669421488</v>
      </c>
      <c r="F97" s="46">
        <v>10.330578512396695</v>
      </c>
      <c r="G97" s="46">
        <v>4.132231404958677</v>
      </c>
      <c r="H97" s="46">
        <v>11.983471074380166</v>
      </c>
      <c r="I97" s="46">
        <v>8.677685950413224</v>
      </c>
      <c r="J97" s="46">
        <v>7.43801652892562</v>
      </c>
      <c r="K97" s="46">
        <v>4.958677685950414</v>
      </c>
      <c r="L97" s="46">
        <v>4.132231404958677</v>
      </c>
      <c r="M97" s="46">
        <v>7.851239669421488</v>
      </c>
      <c r="N97" s="46">
        <v>4.132231404958677</v>
      </c>
      <c r="O97" s="46">
        <v>1.6528925619834711</v>
      </c>
      <c r="P97" s="46">
        <v>0.4132231404958678</v>
      </c>
      <c r="Q97" s="46">
        <v>3.71900826446281</v>
      </c>
      <c r="R97" s="46">
        <v>0.8264462809917356</v>
      </c>
      <c r="S97" s="46">
        <v>4.132231404958677</v>
      </c>
      <c r="T97" s="46">
        <v>1.6528925619834711</v>
      </c>
      <c r="U97" s="46">
        <v>0.4132231404958678</v>
      </c>
      <c r="V97" s="47">
        <v>100.0</v>
      </c>
    </row>
    <row r="98">
      <c r="A98" s="44" t="s">
        <v>6849</v>
      </c>
      <c r="B98" s="46">
        <v>3.2967032967032965</v>
      </c>
      <c r="C98" s="46">
        <v>7.6923076923076925</v>
      </c>
      <c r="D98" s="46">
        <v>9.89010989010989</v>
      </c>
      <c r="E98" s="46">
        <v>5.4945054945054945</v>
      </c>
      <c r="F98" s="46">
        <v>6.593406593406593</v>
      </c>
      <c r="G98" s="46">
        <v>3.2967032967032965</v>
      </c>
      <c r="H98" s="46">
        <v>9.89010989010989</v>
      </c>
      <c r="I98" s="46">
        <v>4.395604395604396</v>
      </c>
      <c r="J98" s="46">
        <v>8.791208791208792</v>
      </c>
      <c r="K98" s="46">
        <v>9.89010989010989</v>
      </c>
      <c r="L98" s="46">
        <v>5.4945054945054945</v>
      </c>
      <c r="M98" s="46">
        <v>2.197802197802198</v>
      </c>
      <c r="N98" s="46">
        <v>2.197802197802198</v>
      </c>
      <c r="O98" s="46">
        <v>6.593406593406593</v>
      </c>
      <c r="P98" s="46">
        <v>1.098901098901099</v>
      </c>
      <c r="Q98" s="46">
        <v>5.4945054945054945</v>
      </c>
      <c r="R98" s="46">
        <v>4.395604395604396</v>
      </c>
      <c r="S98" s="46">
        <v>3.2967032967032965</v>
      </c>
      <c r="T98" s="46">
        <v>0.0</v>
      </c>
      <c r="U98" s="46">
        <v>0.0</v>
      </c>
      <c r="V98" s="47">
        <v>100.0</v>
      </c>
    </row>
    <row r="99">
      <c r="A99" s="44" t="s">
        <v>6858</v>
      </c>
      <c r="B99" s="46">
        <v>2.2304832713754648</v>
      </c>
      <c r="C99" s="46">
        <v>5.947955390334572</v>
      </c>
      <c r="D99" s="46">
        <v>10.037174721189592</v>
      </c>
      <c r="E99" s="46">
        <v>5.947955390334572</v>
      </c>
      <c r="F99" s="46">
        <v>9.66542750929368</v>
      </c>
      <c r="G99" s="46">
        <v>4.4609665427509295</v>
      </c>
      <c r="H99" s="46">
        <v>7.434944237918216</v>
      </c>
      <c r="I99" s="46">
        <v>5.947955390334572</v>
      </c>
      <c r="J99" s="46">
        <v>9.293680297397769</v>
      </c>
      <c r="K99" s="46">
        <v>4.089219330855019</v>
      </c>
      <c r="L99" s="46">
        <v>7.063197026022305</v>
      </c>
      <c r="M99" s="46">
        <v>6.319702602230484</v>
      </c>
      <c r="N99" s="46">
        <v>2.2304832713754648</v>
      </c>
      <c r="O99" s="46">
        <v>5.5762081784386615</v>
      </c>
      <c r="P99" s="46">
        <v>1.1152416356877324</v>
      </c>
      <c r="Q99" s="46">
        <v>1.1152416356877324</v>
      </c>
      <c r="R99" s="46">
        <v>2.6022304832713754</v>
      </c>
      <c r="S99" s="46">
        <v>2.973977695167286</v>
      </c>
      <c r="T99" s="46">
        <v>4.089219330855019</v>
      </c>
      <c r="U99" s="46">
        <v>1.858736059479554</v>
      </c>
      <c r="V99" s="47">
        <v>100.0</v>
      </c>
    </row>
    <row r="100">
      <c r="A100" s="44" t="s">
        <v>6862</v>
      </c>
      <c r="B100" s="46">
        <v>2.150537634408602</v>
      </c>
      <c r="C100" s="46">
        <v>4.301075268817204</v>
      </c>
      <c r="D100" s="46">
        <v>10.21505376344086</v>
      </c>
      <c r="E100" s="46">
        <v>3.763440860215054</v>
      </c>
      <c r="F100" s="46">
        <v>9.67741935483871</v>
      </c>
      <c r="G100" s="46">
        <v>4.838709677419355</v>
      </c>
      <c r="H100" s="46">
        <v>13.440860215053764</v>
      </c>
      <c r="I100" s="46">
        <v>4.838709677419355</v>
      </c>
      <c r="J100" s="46">
        <v>11.827956989247312</v>
      </c>
      <c r="K100" s="46">
        <v>5.913978494623656</v>
      </c>
      <c r="L100" s="46">
        <v>5.913978494623656</v>
      </c>
      <c r="M100" s="46">
        <v>5.913978494623656</v>
      </c>
      <c r="N100" s="46">
        <v>4.301075268817204</v>
      </c>
      <c r="O100" s="46">
        <v>4.301075268817204</v>
      </c>
      <c r="P100" s="46">
        <v>0.0</v>
      </c>
      <c r="Q100" s="46">
        <v>2.6881720430107525</v>
      </c>
      <c r="R100" s="46">
        <v>1.6129032258064515</v>
      </c>
      <c r="S100" s="46">
        <v>2.150537634408602</v>
      </c>
      <c r="T100" s="46">
        <v>1.075268817204301</v>
      </c>
      <c r="U100" s="46">
        <v>1.075268817204301</v>
      </c>
      <c r="V100" s="47">
        <v>100.0</v>
      </c>
    </row>
    <row r="101">
      <c r="A101" s="44" t="s">
        <v>6870</v>
      </c>
      <c r="B101" s="46">
        <v>1.2295081967213115</v>
      </c>
      <c r="C101" s="46">
        <v>3.278688524590164</v>
      </c>
      <c r="D101" s="46">
        <v>10.655737704918034</v>
      </c>
      <c r="E101" s="46">
        <v>5.327868852459017</v>
      </c>
      <c r="F101" s="46">
        <v>10.245901639344263</v>
      </c>
      <c r="G101" s="46">
        <v>2.8688524590163933</v>
      </c>
      <c r="H101" s="46">
        <v>11.065573770491802</v>
      </c>
      <c r="I101" s="46">
        <v>6.967213114754099</v>
      </c>
      <c r="J101" s="46">
        <v>13.114754098360656</v>
      </c>
      <c r="K101" s="46">
        <v>6.967213114754099</v>
      </c>
      <c r="L101" s="46">
        <v>4.098360655737705</v>
      </c>
      <c r="M101" s="46">
        <v>6.147540983606557</v>
      </c>
      <c r="N101" s="46">
        <v>4.918032786885246</v>
      </c>
      <c r="O101" s="46">
        <v>2.8688524590163933</v>
      </c>
      <c r="P101" s="46">
        <v>1.639344262295082</v>
      </c>
      <c r="Q101" s="46">
        <v>0.4098360655737705</v>
      </c>
      <c r="R101" s="46">
        <v>1.639344262295082</v>
      </c>
      <c r="S101" s="46">
        <v>4.098360655737705</v>
      </c>
      <c r="T101" s="46">
        <v>1.2295081967213115</v>
      </c>
      <c r="U101" s="46">
        <v>1.2295081967213115</v>
      </c>
      <c r="V101" s="47">
        <v>100.0</v>
      </c>
    </row>
  </sheetData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3" width="28.43"/>
  </cols>
  <sheetData>
    <row r="1">
      <c r="A1" s="48" t="s">
        <v>7035</v>
      </c>
      <c r="B1" s="48" t="s">
        <v>7042</v>
      </c>
      <c r="C1" s="48" t="s">
        <v>7043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49" t="s">
        <v>7047</v>
      </c>
      <c r="B2" s="49" t="s">
        <v>257</v>
      </c>
      <c r="C2" s="49" t="s">
        <v>7051</v>
      </c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>
      <c r="A3" s="49" t="s">
        <v>7055</v>
      </c>
      <c r="B3" s="49" t="s">
        <v>6306</v>
      </c>
      <c r="C3" s="49" t="s">
        <v>7056</v>
      </c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49" t="s">
        <v>7059</v>
      </c>
      <c r="B4" s="49" t="s">
        <v>6296</v>
      </c>
      <c r="C4" s="49" t="s">
        <v>7060</v>
      </c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9" t="s">
        <v>7063</v>
      </c>
      <c r="B5" s="49" t="s">
        <v>6300</v>
      </c>
      <c r="C5" s="49" t="s">
        <v>7064</v>
      </c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9" t="s">
        <v>7067</v>
      </c>
      <c r="B6" s="49" t="s">
        <v>6304</v>
      </c>
      <c r="C6" s="49" t="s">
        <v>7069</v>
      </c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9" t="s">
        <v>7071</v>
      </c>
      <c r="B7" s="49" t="s">
        <v>6301</v>
      </c>
      <c r="C7" s="49" t="s">
        <v>7073</v>
      </c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9" t="s">
        <v>7075</v>
      </c>
      <c r="B8" s="49" t="s">
        <v>6287</v>
      </c>
      <c r="C8" s="49" t="s">
        <v>7076</v>
      </c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9" t="s">
        <v>7078</v>
      </c>
      <c r="B9" s="49" t="s">
        <v>6292</v>
      </c>
      <c r="C9" s="49" t="s">
        <v>7079</v>
      </c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9" t="s">
        <v>7082</v>
      </c>
      <c r="B10" s="49" t="s">
        <v>6307</v>
      </c>
      <c r="C10" s="49" t="s">
        <v>7083</v>
      </c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9" t="s">
        <v>7086</v>
      </c>
      <c r="B11" s="49" t="s">
        <v>7087</v>
      </c>
      <c r="C11" s="49" t="s">
        <v>7088</v>
      </c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9" t="s">
        <v>7090</v>
      </c>
      <c r="B12" s="49" t="s">
        <v>6291</v>
      </c>
      <c r="C12" s="49" t="s">
        <v>7091</v>
      </c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50" t="s">
        <v>7094</v>
      </c>
      <c r="B13" s="49" t="s">
        <v>6293</v>
      </c>
      <c r="C13" s="49" t="s">
        <v>7097</v>
      </c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9" t="s">
        <v>7100</v>
      </c>
      <c r="B14" s="49" t="s">
        <v>6289</v>
      </c>
      <c r="C14" s="49" t="s">
        <v>7102</v>
      </c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9" t="s">
        <v>7105</v>
      </c>
      <c r="B15" s="49" t="s">
        <v>6282</v>
      </c>
      <c r="C15" s="49" t="s">
        <v>7106</v>
      </c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9" t="s">
        <v>7108</v>
      </c>
      <c r="B16" s="49" t="s">
        <v>6299</v>
      </c>
      <c r="C16" s="49" t="s">
        <v>7110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9" t="s">
        <v>7113</v>
      </c>
      <c r="B17" s="49" t="s">
        <v>6308</v>
      </c>
      <c r="C17" s="49" t="s">
        <v>7114</v>
      </c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9" t="s">
        <v>7117</v>
      </c>
      <c r="B18" s="49" t="s">
        <v>7118</v>
      </c>
      <c r="C18" s="49" t="s">
        <v>7119</v>
      </c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9" t="s">
        <v>7121</v>
      </c>
      <c r="B19" s="49" t="s">
        <v>7122</v>
      </c>
      <c r="C19" s="49" t="s">
        <v>7123</v>
      </c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9" t="s">
        <v>7126</v>
      </c>
      <c r="B20" s="49" t="s">
        <v>6298</v>
      </c>
      <c r="C20" s="49" t="s">
        <v>7127</v>
      </c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9" t="s">
        <v>7130</v>
      </c>
      <c r="B21" s="49" t="s">
        <v>6290</v>
      </c>
      <c r="C21" s="49" t="s">
        <v>7133</v>
      </c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9" t="s">
        <v>7135</v>
      </c>
      <c r="B22" s="49" t="s">
        <v>6309</v>
      </c>
      <c r="C22" s="49" t="s">
        <v>7136</v>
      </c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9" t="s">
        <v>7139</v>
      </c>
      <c r="B23" s="49" t="s">
        <v>6302</v>
      </c>
      <c r="C23" s="49" t="s">
        <v>7141</v>
      </c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9" t="s">
        <v>7147</v>
      </c>
      <c r="B24" s="49" t="s">
        <v>6295</v>
      </c>
      <c r="C24" s="49" t="s">
        <v>7149</v>
      </c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9" t="s">
        <v>7151</v>
      </c>
      <c r="B25" s="49" t="s">
        <v>7152</v>
      </c>
      <c r="C25" s="49" t="s">
        <v>7153</v>
      </c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9" t="s">
        <v>7156</v>
      </c>
      <c r="B26" s="49" t="s">
        <v>7157</v>
      </c>
      <c r="C26" s="49" t="s">
        <v>7158</v>
      </c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9" t="s">
        <v>7160</v>
      </c>
      <c r="B27" s="49" t="s">
        <v>7162</v>
      </c>
      <c r="C27" s="49" t="s">
        <v>7164</v>
      </c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drawing r:id="rId1"/>
</worksheet>
</file>